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mes_raw" sheetId="1" r:id="rId4"/>
    <sheet state="visible" name="Posters" sheetId="2" r:id="rId5"/>
    <sheet state="visible" name="Filmes_final" sheetId="3" r:id="rId6"/>
    <sheet state="visible" name="Genres_final" sheetId="4" r:id="rId7"/>
    <sheet state="visible" name="Stars_final" sheetId="5" r:id="rId8"/>
    <sheet state="visible" name="Inflation Adjusted Gross" sheetId="6" r:id="rId9"/>
    <sheet state="visible" name="Gross_cleaning" sheetId="7" r:id="rId10"/>
    <sheet state="visible" name="Genres_transforming" sheetId="8" r:id="rId11"/>
    <sheet state="visible" name="Stars_transforming" sheetId="9" r:id="rId12"/>
    <sheet state="visible" name="Rating_systems" sheetId="10" r:id="rId13"/>
  </sheets>
  <definedNames/>
  <calcPr/>
</workbook>
</file>

<file path=xl/sharedStrings.xml><?xml version="1.0" encoding="utf-8"?>
<sst xmlns="http://schemas.openxmlformats.org/spreadsheetml/2006/main" count="47081" uniqueCount="6649">
  <si>
    <t>Id_Title</t>
  </si>
  <si>
    <t>Series_Title</t>
  </si>
  <si>
    <t>Gross</t>
  </si>
  <si>
    <t>Released_Year</t>
  </si>
  <si>
    <t>Certificate</t>
  </si>
  <si>
    <t>Runtime</t>
  </si>
  <si>
    <t>Genre</t>
  </si>
  <si>
    <t>IMDB_Rating</t>
  </si>
  <si>
    <t>Overview</t>
  </si>
  <si>
    <t>Meta_score</t>
  </si>
  <si>
    <t>Director</t>
  </si>
  <si>
    <t>Star1</t>
  </si>
  <si>
    <t>Star2</t>
  </si>
  <si>
    <t>Star3</t>
  </si>
  <si>
    <t>Star4</t>
  </si>
  <si>
    <t>Noofvotes</t>
  </si>
  <si>
    <t>Poster_Link</t>
  </si>
  <si>
    <t>The Shawshank Redemption</t>
  </si>
  <si>
    <t>A</t>
  </si>
  <si>
    <t>142 min</t>
  </si>
  <si>
    <t>Drama</t>
  </si>
  <si>
    <t>Two imprisoned men bond over a number of years, finding solace and eventual redemption through acts of common decency.</t>
  </si>
  <si>
    <t>Frank Darabont</t>
  </si>
  <si>
    <t>Tim Robbins</t>
  </si>
  <si>
    <t>Morgan Freeman</t>
  </si>
  <si>
    <t>Bob Gunton</t>
  </si>
  <si>
    <t>William Sadler</t>
  </si>
  <si>
    <t>The Godfather</t>
  </si>
  <si>
    <t>175 min</t>
  </si>
  <si>
    <t>Crime, Drama</t>
  </si>
  <si>
    <t>An organized crime dynasty's aging patriarch transfers control of his clandestine empire to his reluctant son.</t>
  </si>
  <si>
    <t>Francis Ford Coppola</t>
  </si>
  <si>
    <t>Marlon Brando</t>
  </si>
  <si>
    <t>Al Pacino</t>
  </si>
  <si>
    <t>James Caan</t>
  </si>
  <si>
    <t>Diane Keaton</t>
  </si>
  <si>
    <t>The Dark Knight</t>
  </si>
  <si>
    <t>UA</t>
  </si>
  <si>
    <t>152 min</t>
  </si>
  <si>
    <t>Action, Crime, Drama</t>
  </si>
  <si>
    <t>When the menace known as the Joker wreaks havoc and chaos on the people of Gotham, Batman must accept one of the greatest psychological and physical tests of his ability to fight injustice.</t>
  </si>
  <si>
    <t>Christopher Nolan</t>
  </si>
  <si>
    <t>Christian Bale</t>
  </si>
  <si>
    <t>Heath Ledger</t>
  </si>
  <si>
    <t>Aaron Eckhart</t>
  </si>
  <si>
    <t>Michael Caine</t>
  </si>
  <si>
    <t>The Godfather: Part II</t>
  </si>
  <si>
    <t>202 min</t>
  </si>
  <si>
    <t>The early life and career of Vito Corleone in 1920s New York City is portrayed, while his son, Michael, expands and tightens his grip on the family crime syndicate.</t>
  </si>
  <si>
    <t>Robert De Niro</t>
  </si>
  <si>
    <t>Robert Duvall</t>
  </si>
  <si>
    <t>12 Angry Men</t>
  </si>
  <si>
    <t>U</t>
  </si>
  <si>
    <t>96 min</t>
  </si>
  <si>
    <t>A jury holdout attempts to prevent a miscarriage of justice by forcing his colleagues to reconsider the evidence.</t>
  </si>
  <si>
    <t>Sidney Lumet</t>
  </si>
  <si>
    <t>Henry Fonda</t>
  </si>
  <si>
    <t>Lee J. Cobb</t>
  </si>
  <si>
    <t>Martin Balsam</t>
  </si>
  <si>
    <t>John Fiedler</t>
  </si>
  <si>
    <t>The Lord of the Rings: The Return of the King</t>
  </si>
  <si>
    <t>201 min</t>
  </si>
  <si>
    <t>Action, Adventure, Drama</t>
  </si>
  <si>
    <t>Gandalf and Aragorn lead the World of Men against Sauron's army to draw his gaze from Frodo and Sam as they approach Mount Doom with the One Ring.</t>
  </si>
  <si>
    <t>Peter Jackson</t>
  </si>
  <si>
    <t>Elijah Wood</t>
  </si>
  <si>
    <t>Viggo Mortensen</t>
  </si>
  <si>
    <t>Ian McKellen</t>
  </si>
  <si>
    <t>Orlando Bloom</t>
  </si>
  <si>
    <t>Pulp Fiction</t>
  </si>
  <si>
    <t>154 min</t>
  </si>
  <si>
    <t>The lives of two mob hitmen, a boxer, a gangster and his wife, and a pair of diner bandits intertwine in four tales of violence and redemption.</t>
  </si>
  <si>
    <t>Quentin Tarantino</t>
  </si>
  <si>
    <t>John Travolta</t>
  </si>
  <si>
    <t>Uma Thurman</t>
  </si>
  <si>
    <t>Samuel L. Jackson</t>
  </si>
  <si>
    <t>Bruce Willis</t>
  </si>
  <si>
    <t>Schindler's List</t>
  </si>
  <si>
    <t>195 min</t>
  </si>
  <si>
    <t>Biography, Drama, History</t>
  </si>
  <si>
    <t>In German-occupied Poland during World War II, industrialist Oskar Schindler gradually becomes concerned for his Jewish workforce after witnessing their persecution by the Nazis.</t>
  </si>
  <si>
    <t>Steven Spielberg</t>
  </si>
  <si>
    <t>Liam Neeson</t>
  </si>
  <si>
    <t>Ralph Fiennes</t>
  </si>
  <si>
    <t>Ben Kingsley</t>
  </si>
  <si>
    <t>Caroline Goodall</t>
  </si>
  <si>
    <t>Inception</t>
  </si>
  <si>
    <t>148 min</t>
  </si>
  <si>
    <t>Action, Adventure, Sci-Fi</t>
  </si>
  <si>
    <t>A thief who steals corporate secrets through the use of dream-sharing technology is given the inverse task of planting an idea into the mind of a C.E.O.</t>
  </si>
  <si>
    <t>Leonardo DiCaprio</t>
  </si>
  <si>
    <t>Joseph Gordon-Levitt</t>
  </si>
  <si>
    <t>Elliot Page</t>
  </si>
  <si>
    <t>Ken Watanabe</t>
  </si>
  <si>
    <t>Fight Club</t>
  </si>
  <si>
    <t>139 min</t>
  </si>
  <si>
    <t>An insomniac office worker and a devil-may-care soapmaker form an underground fight club that evolves into something much, much more.</t>
  </si>
  <si>
    <t>David Fincher</t>
  </si>
  <si>
    <t>Brad Pitt</t>
  </si>
  <si>
    <t>Edward Norton</t>
  </si>
  <si>
    <t>Meat Loaf</t>
  </si>
  <si>
    <t>Zach Grenier</t>
  </si>
  <si>
    <t>The Lord of the Rings: The Fellowship of the Ring</t>
  </si>
  <si>
    <t>178 min</t>
  </si>
  <si>
    <t>A meek Hobbit from the Shire and eight companions set out on a journey to destroy the powerful One Ring and save Middle-earth from the Dark Lord Sauron.</t>
  </si>
  <si>
    <t>Sean Bean</t>
  </si>
  <si>
    <t>Forrest Gump</t>
  </si>
  <si>
    <t>Drama, Romance</t>
  </si>
  <si>
    <t>The presidencies of Kennedy and Johnson, the events of Vietnam, Watergate and other historical events unfold through the perspective of an Alabama man with an IQ of 75, whose only desire is to be reunited with his childhood sweetheart.</t>
  </si>
  <si>
    <t>Robert Zemeckis</t>
  </si>
  <si>
    <t>Tom Hanks</t>
  </si>
  <si>
    <t>Robin Wright</t>
  </si>
  <si>
    <t>Gary Sinise</t>
  </si>
  <si>
    <t>Sally Field</t>
  </si>
  <si>
    <t>Il buono, il brutto, il cattivo</t>
  </si>
  <si>
    <t>161 min</t>
  </si>
  <si>
    <t>Western</t>
  </si>
  <si>
    <t>A bounty hunting scam joins two men in an uneasy alliance against a third in a race to find a fortune in gold buried in a remote cemetery.</t>
  </si>
  <si>
    <t>Sergio Leone</t>
  </si>
  <si>
    <t>Clint Eastwood</t>
  </si>
  <si>
    <t>Eli Wallach</t>
  </si>
  <si>
    <t>Lee Van Cleef</t>
  </si>
  <si>
    <t>Aldo Giuffrè</t>
  </si>
  <si>
    <t>The Lord of the Rings: The Two Towers</t>
  </si>
  <si>
    <t>179 min</t>
  </si>
  <si>
    <t>While Frodo and Sam edge closer to Mordor with the help of the shifty Gollum, the divided fellowship makes a stand against Sauron's new ally, Saruman, and his hordes of Isengard.</t>
  </si>
  <si>
    <t>The Matrix</t>
  </si>
  <si>
    <t>136 min</t>
  </si>
  <si>
    <t>Action, Sci-Fi</t>
  </si>
  <si>
    <t>When a beautiful stranger leads computer hacker Neo to a forbidding underworld, he discovers the shocking truth--the life he knows is the elaborate deception of an evil cyber-intelligence.</t>
  </si>
  <si>
    <t>Lana Wachowski</t>
  </si>
  <si>
    <t>Lilly Wachowski</t>
  </si>
  <si>
    <t>Keanu Reeves</t>
  </si>
  <si>
    <t>Laurence Fishburne</t>
  </si>
  <si>
    <t>Carrie-Anne Moss</t>
  </si>
  <si>
    <t>Goodfellas</t>
  </si>
  <si>
    <t>146 min</t>
  </si>
  <si>
    <t>Biography, Crime, Drama</t>
  </si>
  <si>
    <t>The story of Henry Hill and his life in the mob, covering his relationship with his wife Karen Hill and his mob partners Jimmy Conway and Tommy DeVito in the Italian-American crime syndicate.</t>
  </si>
  <si>
    <t>Martin Scorsese</t>
  </si>
  <si>
    <t>Ray Liotta</t>
  </si>
  <si>
    <t>Joe Pesci</t>
  </si>
  <si>
    <t>Lorraine Bracco</t>
  </si>
  <si>
    <t>Star Wars: Episode V - The Empire Strikes Back</t>
  </si>
  <si>
    <t>124 min</t>
  </si>
  <si>
    <t>Action, Adventure, Fantasy</t>
  </si>
  <si>
    <t>After the Rebels are brutally overpowered by the Empire on the ice planet Hoth, Luke Skywalker begins Jedi training with Yoda, while his friends are pursued by Darth Vader and a bounty hunter named Boba Fett all over the galaxy.</t>
  </si>
  <si>
    <t>Irvin Kershner</t>
  </si>
  <si>
    <t>Mark Hamill</t>
  </si>
  <si>
    <t>Harrison Ford</t>
  </si>
  <si>
    <t>Carrie Fisher</t>
  </si>
  <si>
    <t>Billy Dee Williams</t>
  </si>
  <si>
    <t>One Flew Over the Cuckoo's Nest</t>
  </si>
  <si>
    <t>133 min</t>
  </si>
  <si>
    <t>A criminal pleads insanity and is admitted to a mental institution, where he rebels against the oppressive nurse and rallies up the scared patients.</t>
  </si>
  <si>
    <t>Milos Forman</t>
  </si>
  <si>
    <t>Jack Nicholson</t>
  </si>
  <si>
    <t>Louise Fletcher</t>
  </si>
  <si>
    <t>Michael Berryman</t>
  </si>
  <si>
    <t>Peter Brocco</t>
  </si>
  <si>
    <t>Hamilton</t>
  </si>
  <si>
    <t>PG-13</t>
  </si>
  <si>
    <t>160 min</t>
  </si>
  <si>
    <t>The real life of one of America's foremost founding fathers and first Secretary of the Treasury, Alexander Hamilton. Captured live on Broadway from the Richard Rodgers Theater with the original Broadway cast.</t>
  </si>
  <si>
    <t>Thomas Kail</t>
  </si>
  <si>
    <t>Lin-Manuel Miranda</t>
  </si>
  <si>
    <t>Phillipa Soo</t>
  </si>
  <si>
    <t>Leslie Odom Jr.</t>
  </si>
  <si>
    <t>Renée Elise Goldsberry</t>
  </si>
  <si>
    <t>Gisaengchung</t>
  </si>
  <si>
    <t>132 min</t>
  </si>
  <si>
    <t>Comedy, Drama, Thriller</t>
  </si>
  <si>
    <t>Greed and class discrimination threaten the newly formed symbiotic relationship between the wealthy Park family and the destitute Kim clan.</t>
  </si>
  <si>
    <t>Bong Joon Ho</t>
  </si>
  <si>
    <t>Kang-ho Song</t>
  </si>
  <si>
    <t>Lee Sun-kyun</t>
  </si>
  <si>
    <t>Cho Yeo-jeong</t>
  </si>
  <si>
    <t>Choi Woo-sik</t>
  </si>
  <si>
    <t>Soorarai Pottru</t>
  </si>
  <si>
    <t>153 min</t>
  </si>
  <si>
    <t>Nedumaaran Rajangam "Maara" sets out to make the common man fly and in the process takes on the world's most capital intensive industry and several enemies who stand in his way.</t>
  </si>
  <si>
    <t>Sudha Kongara</t>
  </si>
  <si>
    <t>Suriya</t>
  </si>
  <si>
    <t>Madhavan</t>
  </si>
  <si>
    <t>Paresh Rawal</t>
  </si>
  <si>
    <t>Aparna Balamurali</t>
  </si>
  <si>
    <t>Interstellar</t>
  </si>
  <si>
    <t>169 min</t>
  </si>
  <si>
    <t>Adventure, Drama, Sci-Fi</t>
  </si>
  <si>
    <t>A team of explorers travel through a wormhole in space in an attempt to ensure humanity's survival.</t>
  </si>
  <si>
    <t>Matthew McConaughey</t>
  </si>
  <si>
    <t>Anne Hathaway</t>
  </si>
  <si>
    <t>Jessica Chastain</t>
  </si>
  <si>
    <t>Mackenzie Foy</t>
  </si>
  <si>
    <t>Cidade de Deus</t>
  </si>
  <si>
    <t>130 min</t>
  </si>
  <si>
    <t>In the slums of Rio, two kids' paths diverge as one struggles to become a photographer and the other a kingpin.</t>
  </si>
  <si>
    <t>Fernando Meirelles</t>
  </si>
  <si>
    <t>Kátia Lund</t>
  </si>
  <si>
    <t>Alexandre Rodrigues</t>
  </si>
  <si>
    <t>Leandro Firmino</t>
  </si>
  <si>
    <t>Matheus Nachtergaele</t>
  </si>
  <si>
    <t>Sen to Chihiro no kamikakushi</t>
  </si>
  <si>
    <t>125 min</t>
  </si>
  <si>
    <t>Animation, Adventure, Family</t>
  </si>
  <si>
    <t>During her family's move to the suburbs, a sullen 10-year-old girl wanders into a world ruled by gods, witches, and spirits, and where humans are changed into beasts.</t>
  </si>
  <si>
    <t>Hayao Miyazaki</t>
  </si>
  <si>
    <t>Daveigh Chase</t>
  </si>
  <si>
    <t>Suzanne Pleshette</t>
  </si>
  <si>
    <t>Miyu Irino</t>
  </si>
  <si>
    <t>Rumi Hiiragi</t>
  </si>
  <si>
    <t>Saving Private Ryan</t>
  </si>
  <si>
    <t>R</t>
  </si>
  <si>
    <t>Drama, War</t>
  </si>
  <si>
    <t>Following the Normandy Landings, a group of U.S. soldiers go behind enemy lines to retrieve a paratrooper whose brothers have been killed in action.</t>
  </si>
  <si>
    <t>Matt Damon</t>
  </si>
  <si>
    <t>Tom Sizemore</t>
  </si>
  <si>
    <t>Edward Burns</t>
  </si>
  <si>
    <t>The Green Mile</t>
  </si>
  <si>
    <t>189 min</t>
  </si>
  <si>
    <t>Crime, Drama, Fantasy</t>
  </si>
  <si>
    <t>The lives of guards on Death Row are affected by one of their charges: a black man accused of child murder and rape, yet who has a mysterious gift.</t>
  </si>
  <si>
    <t>Michael Clarke Duncan</t>
  </si>
  <si>
    <t>David Morse</t>
  </si>
  <si>
    <t>Bonnie Hunt</t>
  </si>
  <si>
    <t>La vita è bella</t>
  </si>
  <si>
    <t>116 min</t>
  </si>
  <si>
    <t>Comedy, Drama, Romance</t>
  </si>
  <si>
    <t>When an open-minded Jewish librarian and his son become victims of the Holocaust, he uses a perfect mixture of will, humor, and imagination to protect his son from the dangers around their camp.</t>
  </si>
  <si>
    <t>Roberto Benigni</t>
  </si>
  <si>
    <t>Nicoletta Braschi</t>
  </si>
  <si>
    <t>Giorgio Cantarini</t>
  </si>
  <si>
    <t>Giustino Durano</t>
  </si>
  <si>
    <t>Se7en</t>
  </si>
  <si>
    <t>127 min</t>
  </si>
  <si>
    <t>Crime, Drama, Mystery</t>
  </si>
  <si>
    <t>Two detectives, a rookie and a veteran, hunt a serial killer who uses the seven deadly sins as his motives.</t>
  </si>
  <si>
    <t>Kevin Spacey</t>
  </si>
  <si>
    <t>Andrew Kevin Walker</t>
  </si>
  <si>
    <t>The Silence of the Lambs</t>
  </si>
  <si>
    <t>118 min</t>
  </si>
  <si>
    <t>Crime, Drama, Thriller</t>
  </si>
  <si>
    <t>A young F.B.I. cadet must receive the help of an incarcerated and manipulative cannibal killer to help catch another serial killer, a madman who skins his victims.</t>
  </si>
  <si>
    <t>Jonathan Demme</t>
  </si>
  <si>
    <t>Jodie Foster</t>
  </si>
  <si>
    <t>Anthony Hopkins</t>
  </si>
  <si>
    <t>Lawrence A. Bonney</t>
  </si>
  <si>
    <t>Kasi Lemmons</t>
  </si>
  <si>
    <t>Star Wars</t>
  </si>
  <si>
    <t>121 min</t>
  </si>
  <si>
    <t>Luke Skywalker joins forces with a Jedi Knight, a cocky pilot, a Wookiee and two droids to save the galaxy from the Empire's world-destroying battle station, while also attempting to rescue Princess Leia from the mysterious Darth Vader.</t>
  </si>
  <si>
    <t>George Lucas</t>
  </si>
  <si>
    <t>Alec Guinness</t>
  </si>
  <si>
    <t>Seppuku</t>
  </si>
  <si>
    <t>Action, Drama, Mystery</t>
  </si>
  <si>
    <t>When a ronin requesting seppuku at a feudal lord's palace is told of the brutal suicide of another ronin who previously visited, he reveals how their pasts are intertwined - and in doing so challenges the clan's integrity.</t>
  </si>
  <si>
    <t>Masaki Kobayashi</t>
  </si>
  <si>
    <t>Tatsuya Nakadai</t>
  </si>
  <si>
    <t>Akira Ishihama</t>
  </si>
  <si>
    <t>Shima Iwashita</t>
  </si>
  <si>
    <t>Tetsurô Tanba</t>
  </si>
  <si>
    <t>Shichinin no samurai</t>
  </si>
  <si>
    <t>207 min</t>
  </si>
  <si>
    <t>A poor village under attack by bandits recruits seven unemployed samurai to help them defend themselves.</t>
  </si>
  <si>
    <t>Akira Kurosawa</t>
  </si>
  <si>
    <t>Toshirô Mifune</t>
  </si>
  <si>
    <t>Takashi Shimura</t>
  </si>
  <si>
    <t>Keiko Tsushima</t>
  </si>
  <si>
    <t>Yukiko Shimazaki</t>
  </si>
  <si>
    <t>It's a Wonderful Life</t>
  </si>
  <si>
    <t>PG</t>
  </si>
  <si>
    <t>Drama, Family, Fantasy</t>
  </si>
  <si>
    <t>An angel is sent from Heaven to help a desperately frustrated businessman by showing him what life would have been like if he had never existed.</t>
  </si>
  <si>
    <t>Frank Capra</t>
  </si>
  <si>
    <t>James Stewart</t>
  </si>
  <si>
    <t>Donna Reed</t>
  </si>
  <si>
    <t>Lionel Barrymore</t>
  </si>
  <si>
    <t>Thomas Mitchell</t>
  </si>
  <si>
    <t>Joker</t>
  </si>
  <si>
    <t>122 min</t>
  </si>
  <si>
    <t>In Gotham City, mentally troubled comedian Arthur Fleck is disregarded and mistreated by society. He then embarks on a downward spiral of revolution and bloody crime. This path brings him face-to-face with his alter-ego: the Joker.</t>
  </si>
  <si>
    <t>Todd Phillips</t>
  </si>
  <si>
    <t>Joaquin Phoenix</t>
  </si>
  <si>
    <t>Zazie Beetz</t>
  </si>
  <si>
    <t>Frances Conroy</t>
  </si>
  <si>
    <t>Whiplash</t>
  </si>
  <si>
    <t>106 min</t>
  </si>
  <si>
    <t>Drama, Music</t>
  </si>
  <si>
    <t>A promising young drummer enrolls at a cut-throat music conservatory where his dreams of greatness are mentored by an instructor who will stop at nothing to realize a student's potential.</t>
  </si>
  <si>
    <t>Damien Chazelle</t>
  </si>
  <si>
    <t>Miles Teller</t>
  </si>
  <si>
    <t>J.K. Simmons</t>
  </si>
  <si>
    <t>Melissa Benoist</t>
  </si>
  <si>
    <t>Paul Reiser</t>
  </si>
  <si>
    <t>The Intouchables</t>
  </si>
  <si>
    <t>112 min</t>
  </si>
  <si>
    <t>Biography, Comedy, Drama</t>
  </si>
  <si>
    <t>After he becomes a quadriplegic from a paragliding accident, an aristocrat hires a young man from the projects to be his caregiver.</t>
  </si>
  <si>
    <t>Olivier Nakache</t>
  </si>
  <si>
    <t>Éric Toledano</t>
  </si>
  <si>
    <t>François Cluzet</t>
  </si>
  <si>
    <t>Omar Sy</t>
  </si>
  <si>
    <t>Anne Le Ny</t>
  </si>
  <si>
    <t>The Prestige</t>
  </si>
  <si>
    <t>Drama, Mystery, Sci-Fi</t>
  </si>
  <si>
    <t>After a tragic accident, two stage magicians engage in a battle to create the ultimate illusion while sacrificing everything they have to outwit each other.</t>
  </si>
  <si>
    <t>Hugh Jackman</t>
  </si>
  <si>
    <t>Scarlett Johansson</t>
  </si>
  <si>
    <t>The Departed</t>
  </si>
  <si>
    <t>151 min</t>
  </si>
  <si>
    <t>An undercover cop and a mole in the police attempt to identify each other while infiltrating an Irish gang in South Boston.</t>
  </si>
  <si>
    <t>Mark Wahlberg</t>
  </si>
  <si>
    <t>The Pianist</t>
  </si>
  <si>
    <t>150 min</t>
  </si>
  <si>
    <t>Biography, Drama, Music</t>
  </si>
  <si>
    <t>A Polish Jewish musician struggles to survive the destruction of the Warsaw ghetto of World War II.</t>
  </si>
  <si>
    <t>Roman Polanski</t>
  </si>
  <si>
    <t>Adrien Brody</t>
  </si>
  <si>
    <t>Thomas Kretschmann</t>
  </si>
  <si>
    <t>Frank Finlay</t>
  </si>
  <si>
    <t>Emilia Fox</t>
  </si>
  <si>
    <t>Gladiator</t>
  </si>
  <si>
    <t>155 min</t>
  </si>
  <si>
    <t>A former Roman General sets out to exact vengeance against the corrupt emperor who murdered his family and sent him into slavery.</t>
  </si>
  <si>
    <t>Ridley Scott</t>
  </si>
  <si>
    <t>Russell Crowe</t>
  </si>
  <si>
    <t>Connie Nielsen</t>
  </si>
  <si>
    <t>Oliver Reed</t>
  </si>
  <si>
    <t>American History X</t>
  </si>
  <si>
    <t>119 min</t>
  </si>
  <si>
    <t>A former neo-nazi skinhead tries to prevent his younger brother from going down the same wrong path that he did.</t>
  </si>
  <si>
    <t>Tony Kaye</t>
  </si>
  <si>
    <t>Edward Furlong</t>
  </si>
  <si>
    <t>Beverly D'Angelo</t>
  </si>
  <si>
    <t>Jennifer Lien</t>
  </si>
  <si>
    <t>The Usual Suspects</t>
  </si>
  <si>
    <t>Crime, Mystery, Thriller</t>
  </si>
  <si>
    <t>A sole survivor tells of the twisty events leading up to a horrific gun battle on a boat, which began when five criminals met at a seemingly random police lineup.</t>
  </si>
  <si>
    <t>Bryan Singer</t>
  </si>
  <si>
    <t>Gabriel Byrne</t>
  </si>
  <si>
    <t>Chazz Palminteri</t>
  </si>
  <si>
    <t>Stephen Baldwin</t>
  </si>
  <si>
    <t>Léon</t>
  </si>
  <si>
    <t>110 min</t>
  </si>
  <si>
    <t>Mathilda, a 12-year-old girl, is reluctantly taken in by Léon, a professional assassin, after her family is murdered. An unusual relationship forms as she becomes his protégée and learns the assassin's trade.</t>
  </si>
  <si>
    <t>Luc Besson</t>
  </si>
  <si>
    <t>Jean Reno</t>
  </si>
  <si>
    <t>Gary Oldman</t>
  </si>
  <si>
    <t>Natalie Portman</t>
  </si>
  <si>
    <t>Danny Aiello</t>
  </si>
  <si>
    <t>The Lion King</t>
  </si>
  <si>
    <t>88 min</t>
  </si>
  <si>
    <t>Animation, Adventure, Drama</t>
  </si>
  <si>
    <t>Lion prince Simba and his father are targeted by his bitter uncle, who wants to ascend the throne himself.</t>
  </si>
  <si>
    <t>Roger Allers</t>
  </si>
  <si>
    <t>Rob Minkoff</t>
  </si>
  <si>
    <t>Matthew Broderick</t>
  </si>
  <si>
    <t>Jeremy Irons</t>
  </si>
  <si>
    <t>James Earl Jones</t>
  </si>
  <si>
    <t>Terminator 2: Judgment Day</t>
  </si>
  <si>
    <t>137 min</t>
  </si>
  <si>
    <t>A cyborg, identical to the one who failed to kill Sarah Connor, must now protect her teenage son, John Connor, from a more advanced and powerful cyborg.</t>
  </si>
  <si>
    <t>James Cameron</t>
  </si>
  <si>
    <t>Arnold Schwarzenegger</t>
  </si>
  <si>
    <t>Linda Hamilton</t>
  </si>
  <si>
    <t>Robert Patrick</t>
  </si>
  <si>
    <t>Nuovo Cinema Paradiso</t>
  </si>
  <si>
    <t>A filmmaker recalls his childhood when falling in love with the pictures at the cinema of his home village and forms a deep friendship with the cinema's projectionist.</t>
  </si>
  <si>
    <t>Giuseppe Tornatore</t>
  </si>
  <si>
    <t>Philippe Noiret</t>
  </si>
  <si>
    <t>Enzo Cannavale</t>
  </si>
  <si>
    <t>Antonella Attili</t>
  </si>
  <si>
    <t>Isa Danieli</t>
  </si>
  <si>
    <t>Hotaru no haka</t>
  </si>
  <si>
    <t>89 min</t>
  </si>
  <si>
    <t>Animation, Drama, War</t>
  </si>
  <si>
    <t>A young boy and his little sister struggle to survive in Japan during World War II.</t>
  </si>
  <si>
    <t>Isao Takahata</t>
  </si>
  <si>
    <t>Tsutomu Tatsumi</t>
  </si>
  <si>
    <t>Ayano Shiraishi</t>
  </si>
  <si>
    <t>Akemi Yamaguchi</t>
  </si>
  <si>
    <t>Yoshiko Shinohara</t>
  </si>
  <si>
    <t>Back to the Future</t>
  </si>
  <si>
    <t>Adventure, Comedy, Sci-Fi</t>
  </si>
  <si>
    <t>Marty McFly, a 17-year-old high school student, is accidentally sent thirty years into the past in a time-traveling DeLorean invented by his close friend, the eccentric scientist Doc Brown.</t>
  </si>
  <si>
    <t>Michael J. Fox</t>
  </si>
  <si>
    <t>Christopher Lloyd</t>
  </si>
  <si>
    <t>Lea Thompson</t>
  </si>
  <si>
    <t>Crispin Glover</t>
  </si>
  <si>
    <t>Once Upon a Time in the West</t>
  </si>
  <si>
    <t>165 min</t>
  </si>
  <si>
    <t>A mysterious stranger with a harmonica joins forces with a notorious desperado to protect a beautiful widow from a ruthless assassin working for the railroad.</t>
  </si>
  <si>
    <t>Charles Bronson</t>
  </si>
  <si>
    <t>Claudia Cardinale</t>
  </si>
  <si>
    <t>Jason Robards</t>
  </si>
  <si>
    <t>Psycho</t>
  </si>
  <si>
    <t>109 min</t>
  </si>
  <si>
    <t>Horror, Mystery, Thriller</t>
  </si>
  <si>
    <t>A Phoenix secretary embezzles $40,000 from her employer's client, goes on the run, and checks into a remote motel run by a young man under the domination of his mother.</t>
  </si>
  <si>
    <t>Alfred Hitchcock</t>
  </si>
  <si>
    <t>Anthony Perkins</t>
  </si>
  <si>
    <t>Janet Leigh</t>
  </si>
  <si>
    <t>Vera Miles</t>
  </si>
  <si>
    <t>John Gavin</t>
  </si>
  <si>
    <t>Casablanca</t>
  </si>
  <si>
    <t>102 min</t>
  </si>
  <si>
    <t>Drama, Romance, War</t>
  </si>
  <si>
    <t>A cynical expatriate American cafe owner struggles to decide whether or not to help his former lover and her fugitive husband escape the Nazis in French Morocco.</t>
  </si>
  <si>
    <t>Michael Curtiz</t>
  </si>
  <si>
    <t>Humphrey Bogart</t>
  </si>
  <si>
    <t>Ingrid Bergman</t>
  </si>
  <si>
    <t>Paul Henreid</t>
  </si>
  <si>
    <t>Claude Rains</t>
  </si>
  <si>
    <t>Modern Times</t>
  </si>
  <si>
    <t>G</t>
  </si>
  <si>
    <t>87 min</t>
  </si>
  <si>
    <t>Comedy, Drama, Family</t>
  </si>
  <si>
    <t>The Tramp struggles to live in modern industrial society with the help of a young homeless woman.</t>
  </si>
  <si>
    <t>Charles Chaplin</t>
  </si>
  <si>
    <t>Paulette Goddard</t>
  </si>
  <si>
    <t>Henry Bergman</t>
  </si>
  <si>
    <t>Tiny Sandford</t>
  </si>
  <si>
    <t>City Lights</t>
  </si>
  <si>
    <t>With the aid of a wealthy erratic tippler, a dewy-eyed tramp who has fallen in love with a sightless flower girl accumulates money to be able to help her medically.</t>
  </si>
  <si>
    <t>Virginia Cherrill</t>
  </si>
  <si>
    <t>Florence Lee</t>
  </si>
  <si>
    <t>Harry Myers</t>
  </si>
  <si>
    <t>Capharnaüm</t>
  </si>
  <si>
    <t>126 min</t>
  </si>
  <si>
    <t>While serving a five-year sentence for a violent crime, a 12-year-old boy sues his parents for neglect.</t>
  </si>
  <si>
    <t>Nadine Labaki</t>
  </si>
  <si>
    <t>Zain Al Rafeea</t>
  </si>
  <si>
    <t>Yordanos Shiferaw</t>
  </si>
  <si>
    <t>Boluwatife Treasure Bankole</t>
  </si>
  <si>
    <t>Kawsar Al Haddad</t>
  </si>
  <si>
    <t>Ayla: The Daughter of War</t>
  </si>
  <si>
    <t>In 1950, amid-st the ravages of the Korean War, Sergeant Süleyman stumbles upon a half-frozen little girl, with no parents and no help in sight. Frantic, scared and on the verge of death, ...                See full summary »</t>
  </si>
  <si>
    <t>Can Ulkay</t>
  </si>
  <si>
    <t>Erdem Can</t>
  </si>
  <si>
    <t>Çetin Tekindor</t>
  </si>
  <si>
    <t>Ismail Hacioglu</t>
  </si>
  <si>
    <t>Kyung-jin Lee</t>
  </si>
  <si>
    <t>Vikram Vedha</t>
  </si>
  <si>
    <t>147 min</t>
  </si>
  <si>
    <t>Vikram, a no-nonsense police officer, accompanied by Simon, his partner, is on the hunt to capture Vedha, a smuggler and a murderer. Vedha tries to change Vikram's life, which leads to a conflict.</t>
  </si>
  <si>
    <t>Gayatri</t>
  </si>
  <si>
    <t>Pushkar</t>
  </si>
  <si>
    <t>Vijay Sethupathi</t>
  </si>
  <si>
    <t>Shraddha Srinath</t>
  </si>
  <si>
    <t>Kimi no na wa.</t>
  </si>
  <si>
    <t>Animation, Drama, Fantasy</t>
  </si>
  <si>
    <t>Two strangers find themselves linked in a bizarre way. When a connection forms, will distance be the only thing to keep them apart?</t>
  </si>
  <si>
    <t>Makoto Shinkai</t>
  </si>
  <si>
    <t>Ryûnosuke Kamiki</t>
  </si>
  <si>
    <t>Mone Kamishiraishi</t>
  </si>
  <si>
    <t>Ryô Narita</t>
  </si>
  <si>
    <t>Aoi Yûki</t>
  </si>
  <si>
    <t>Dangal</t>
  </si>
  <si>
    <t>Action, Biography, Drama</t>
  </si>
  <si>
    <t>Former wrestler Mahavir Singh Phogat and his two wrestler daughters struggle towards glory at the Commonwealth Games in the face of societal oppression.</t>
  </si>
  <si>
    <t>Nitesh Tiwari</t>
  </si>
  <si>
    <t>Aamir Khan</t>
  </si>
  <si>
    <t>Sakshi Tanwar</t>
  </si>
  <si>
    <t>Fatima Sana Shaikh</t>
  </si>
  <si>
    <t>Sanya Malhotra</t>
  </si>
  <si>
    <t>Spider-Man: Into the Spider-Verse</t>
  </si>
  <si>
    <t>117 min</t>
  </si>
  <si>
    <t>Animation, Action, Adventure</t>
  </si>
  <si>
    <t>Teen Miles Morales becomes the Spider-Man of his universe, and must join with five spider-powered individuals from other dimensions to stop a threat for all realities.</t>
  </si>
  <si>
    <t>Bob Persichetti</t>
  </si>
  <si>
    <t>Peter Ramsey</t>
  </si>
  <si>
    <t>Rodney Rothman</t>
  </si>
  <si>
    <t>Shameik Moore</t>
  </si>
  <si>
    <t>Jake Johnson</t>
  </si>
  <si>
    <t>Avengers: Endgame</t>
  </si>
  <si>
    <t>181 min</t>
  </si>
  <si>
    <t>After the devastating events of Avengers: Infinity War (2018), the universe is in ruins. With the help of remaining allies, the Avengers assemble once more in order to reverse Thanos' actions and restore balance to the universe.</t>
  </si>
  <si>
    <t>Anthony Russo</t>
  </si>
  <si>
    <t>Joe Russo</t>
  </si>
  <si>
    <t>Robert Downey Jr.</t>
  </si>
  <si>
    <t>Chris Evans</t>
  </si>
  <si>
    <t>Mark Ruffalo</t>
  </si>
  <si>
    <t>Avengers: Infinity War</t>
  </si>
  <si>
    <t>149 min</t>
  </si>
  <si>
    <t>The Avengers and their allies must be willing to sacrifice all in an attempt to defeat the powerful Thanos before his blitz of devastation and ruin puts an end to the universe.</t>
  </si>
  <si>
    <t>Chris Hemsworth</t>
  </si>
  <si>
    <t>Coco</t>
  </si>
  <si>
    <t>105 min</t>
  </si>
  <si>
    <t>Aspiring musician Miguel, confronted with his family's ancestral ban on music, enters the Land of the Dead to find his great-great-grandfather, a legendary singer.</t>
  </si>
  <si>
    <t>Lee Unkrich</t>
  </si>
  <si>
    <t>Adrian Molina</t>
  </si>
  <si>
    <t>Anthony Gonzalez</t>
  </si>
  <si>
    <t>Gael García Bernal</t>
  </si>
  <si>
    <t>Benjamin Bratt</t>
  </si>
  <si>
    <t>Django Unchained</t>
  </si>
  <si>
    <t>Drama, Western</t>
  </si>
  <si>
    <t>With the help of a German bounty hunter, a freed slave sets out to rescue his wife from a brutal Mississippi plantation owner.</t>
  </si>
  <si>
    <t>Jamie Foxx</t>
  </si>
  <si>
    <t>Christoph Waltz</t>
  </si>
  <si>
    <t>Kerry Washington</t>
  </si>
  <si>
    <t>The Dark Knight Rises</t>
  </si>
  <si>
    <t>164 min</t>
  </si>
  <si>
    <t>Action, Adventure</t>
  </si>
  <si>
    <t>Eight years after the Joker's reign of anarchy, Batman, with the help of the enigmatic Catwoman, is forced from his exile to save Gotham City from the brutal guerrilla terrorist Bane.</t>
  </si>
  <si>
    <t>Tom Hardy</t>
  </si>
  <si>
    <t>3 Idiots</t>
  </si>
  <si>
    <t>170 min</t>
  </si>
  <si>
    <t>Comedy, Drama</t>
  </si>
  <si>
    <t>Two friends are searching for their long lost companion. They revisit their college days and recall the memories of their friend who inspired them to think differently, even as the rest of the world called them "idiots".</t>
  </si>
  <si>
    <t>Rajkumar Hirani</t>
  </si>
  <si>
    <t>Mona Singh</t>
  </si>
  <si>
    <t>Sharman Joshi</t>
  </si>
  <si>
    <t>Taare Zameen Par</t>
  </si>
  <si>
    <t>Drama, Family</t>
  </si>
  <si>
    <t>An eight-year-old boy is thought to be a lazy trouble-maker, until the new art teacher has the patience and compassion to discover the real problem behind his struggles in school.</t>
  </si>
  <si>
    <t>Amole Gupte</t>
  </si>
  <si>
    <t>Darsheel Safary</t>
  </si>
  <si>
    <t>Tisca Chopra</t>
  </si>
  <si>
    <t>WALL·E</t>
  </si>
  <si>
    <t>98 min</t>
  </si>
  <si>
    <t>In the distant future, a small waste-collecting robot inadvertently embarks on a space journey that will ultimately decide the fate of mankind.</t>
  </si>
  <si>
    <t>Andrew Stanton</t>
  </si>
  <si>
    <t>Ben Burtt</t>
  </si>
  <si>
    <t>Elissa Knight</t>
  </si>
  <si>
    <t>Jeff Garlin</t>
  </si>
  <si>
    <t>Fred Willard</t>
  </si>
  <si>
    <t>The Lives of Others</t>
  </si>
  <si>
    <t>Drama, Mystery, Thriller</t>
  </si>
  <si>
    <t>In 1984 East Berlin, an agent of the secret police, conducting surveillance on a writer and his lover, finds himself becoming increasingly absorbed by their lives.</t>
  </si>
  <si>
    <t>Florian Henckel von Donnersmarck</t>
  </si>
  <si>
    <t>Ulrich Mühe</t>
  </si>
  <si>
    <t>Martina Gedeck</t>
  </si>
  <si>
    <t>Sebastian Koch</t>
  </si>
  <si>
    <t>Ulrich Tukur</t>
  </si>
  <si>
    <t>Oldeuboi</t>
  </si>
  <si>
    <t>101 min</t>
  </si>
  <si>
    <t>After being kidnapped and imprisoned for fifteen years, Oh Dae-Su is released, only to find that he must find his captor in five days.</t>
  </si>
  <si>
    <t>Chan-wook Park</t>
  </si>
  <si>
    <t>Choi Min-sik</t>
  </si>
  <si>
    <t>Yoo Ji-Tae</t>
  </si>
  <si>
    <t>Kang Hye-jeong</t>
  </si>
  <si>
    <t>Kim Byeong-Ok</t>
  </si>
  <si>
    <t>Memento</t>
  </si>
  <si>
    <t>113 min</t>
  </si>
  <si>
    <t>Mystery, Thriller</t>
  </si>
  <si>
    <t>A man with short-term memory loss attempts to track down his wife's murderer.</t>
  </si>
  <si>
    <t>Guy Pearce</t>
  </si>
  <si>
    <t>Joe Pantoliano</t>
  </si>
  <si>
    <t>Mark Boone Junior</t>
  </si>
  <si>
    <t>Mononoke-hime</t>
  </si>
  <si>
    <t>134 min</t>
  </si>
  <si>
    <t>On a journey to find the cure for a Tatarigami's curse, Ashitaka finds himself in the middle of a war between the forest gods and Tatara, a mining colony. In this quest he also meets San, the Mononoke Hime.</t>
  </si>
  <si>
    <t>Yôji Matsuda</t>
  </si>
  <si>
    <t>Yuriko Ishida</t>
  </si>
  <si>
    <t>Yûko Tanaka</t>
  </si>
  <si>
    <t>Billy Crudup</t>
  </si>
  <si>
    <t>Once Upon a Time in America</t>
  </si>
  <si>
    <t>229 min</t>
  </si>
  <si>
    <t>A former Prohibition-era Jewish gangster returns to the Lower East Side of Manhattan over thirty years later, where he once again must confront the ghosts and regrets of his old life.</t>
  </si>
  <si>
    <t>James Woods</t>
  </si>
  <si>
    <t>Elizabeth McGovern</t>
  </si>
  <si>
    <t>Treat Williams</t>
  </si>
  <si>
    <t>Raiders of the Lost Ark</t>
  </si>
  <si>
    <t>115 min</t>
  </si>
  <si>
    <t>In 1936, archaeologist and adventurer Indiana Jones is hired by the U.S. government to find the Ark of the Covenant before Adolf Hitler's Nazis can obtain its awesome powers.</t>
  </si>
  <si>
    <t>Karen Allen</t>
  </si>
  <si>
    <t>Paul Freeman</t>
  </si>
  <si>
    <t>John Rhys-Davies</t>
  </si>
  <si>
    <t>The Shining</t>
  </si>
  <si>
    <t>Drama, Horror</t>
  </si>
  <si>
    <t>A family heads to an isolated hotel for the winter where a sinister presence influences the father into violence, while his psychic son sees horrific forebodings from both past and future.</t>
  </si>
  <si>
    <t>Stanley Kubrick</t>
  </si>
  <si>
    <t>Shelley Duvall</t>
  </si>
  <si>
    <t>Danny Lloyd</t>
  </si>
  <si>
    <t>Scatman Crothers</t>
  </si>
  <si>
    <t>Apocalypse Now</t>
  </si>
  <si>
    <t>Drama, Mystery, War</t>
  </si>
  <si>
    <t>A U.S. Army officer serving in Vietnam is tasked with assassinating a renegade Special Forces Colonel who sees himself as a god.</t>
  </si>
  <si>
    <t>Martin Sheen</t>
  </si>
  <si>
    <t>Frederic Forrest</t>
  </si>
  <si>
    <t>Alien</t>
  </si>
  <si>
    <t>Horror, Sci-Fi</t>
  </si>
  <si>
    <t>After a space merchant vessel receives an unknown transmission as a distress call, one of the crew is attacked by a mysterious life form and they soon realize that its life cycle has merely begun.</t>
  </si>
  <si>
    <t>Sigourney Weaver</t>
  </si>
  <si>
    <t>Tom Skerritt</t>
  </si>
  <si>
    <t>John Hurt</t>
  </si>
  <si>
    <t>Veronica Cartwright</t>
  </si>
  <si>
    <t>Anand</t>
  </si>
  <si>
    <t>Drama, Musical</t>
  </si>
  <si>
    <t>The story of a terminally ill man who wishes to live life to the fullest before the inevitable occurs, as told by his best friend.</t>
  </si>
  <si>
    <t>Hrishikesh Mukherjee</t>
  </si>
  <si>
    <t>Rajesh Khanna</t>
  </si>
  <si>
    <t>Amitabh Bachchan</t>
  </si>
  <si>
    <t>Sumita Sanyal</t>
  </si>
  <si>
    <t>Ramesh Deo</t>
  </si>
  <si>
    <t>Tengoku to jigoku</t>
  </si>
  <si>
    <t>143 min</t>
  </si>
  <si>
    <t>An executive of a shoe company becomes a victim of extortion when his chauffeur's son is kidnapped and held for ransom.</t>
  </si>
  <si>
    <t>Yutaka Sada</t>
  </si>
  <si>
    <t>Kyôko Kagawa</t>
  </si>
  <si>
    <t>Dr. Strangelove or: How I Learned to Stop Worrying and Love the Bomb</t>
  </si>
  <si>
    <t>95 min</t>
  </si>
  <si>
    <t>Comedy</t>
  </si>
  <si>
    <t>An insane general triggers a path to nuclear holocaust that a War Room full of politicians and generals frantically tries to stop.</t>
  </si>
  <si>
    <t>Peter Sellers</t>
  </si>
  <si>
    <t>George C. Scott</t>
  </si>
  <si>
    <t>Sterling Hayden</t>
  </si>
  <si>
    <t>Keenan Wynn</t>
  </si>
  <si>
    <t>Witness for the Prosecution</t>
  </si>
  <si>
    <t>A veteran British barrister must defend his client in a murder trial that has surprise after surprise.</t>
  </si>
  <si>
    <t>Billy Wilder</t>
  </si>
  <si>
    <t>Tyrone Power</t>
  </si>
  <si>
    <t>Marlene Dietrich</t>
  </si>
  <si>
    <t>Charles Laughton</t>
  </si>
  <si>
    <t>Elsa Lanchester</t>
  </si>
  <si>
    <t>Paths of Glory</t>
  </si>
  <si>
    <t>After refusing to attack an enemy position, a general accuses the soldiers of cowardice and their commanding officer must defend them.</t>
  </si>
  <si>
    <t>Kirk Douglas</t>
  </si>
  <si>
    <t>Ralph Meeker</t>
  </si>
  <si>
    <t>Adolphe Menjou</t>
  </si>
  <si>
    <t>George Macready</t>
  </si>
  <si>
    <t>Rear Window</t>
  </si>
  <si>
    <t>A wheelchair-bound photographer spies on his neighbors from his apartment window and becomes convinced one of them has committed murder.</t>
  </si>
  <si>
    <t>Grace Kelly</t>
  </si>
  <si>
    <t>Wendell Corey</t>
  </si>
  <si>
    <t>Thelma Ritter</t>
  </si>
  <si>
    <t>Sunset Blvd.</t>
  </si>
  <si>
    <t>Passed</t>
  </si>
  <si>
    <t>Drama, Film-Noir</t>
  </si>
  <si>
    <t>A screenwriter develops a dangerous relationship with a faded film star determined to make a triumphant return.</t>
  </si>
  <si>
    <t>William Holden</t>
  </si>
  <si>
    <t>Gloria Swanson</t>
  </si>
  <si>
    <t>Erich von Stroheim</t>
  </si>
  <si>
    <t>Nancy Olson</t>
  </si>
  <si>
    <t>The Great Dictator</t>
  </si>
  <si>
    <t>Comedy, Drama, War</t>
  </si>
  <si>
    <t>Dictator Adenoid Hynkel tries to expand his empire while a poor Jewish barber tries to avoid persecution from Hynkel's regime.</t>
  </si>
  <si>
    <t>Jack Oakie</t>
  </si>
  <si>
    <t>Reginald Gardiner</t>
  </si>
  <si>
    <t>Drama, Thriller, War</t>
  </si>
  <si>
    <t>April 6th, 1917. As a regiment assembles to wage war deep in enemy territory, two soldiers are assigned to race against time and deliver a message that will stop 1,600 men from walking straight into a deadly trap.</t>
  </si>
  <si>
    <t>Sam Mendes</t>
  </si>
  <si>
    <t>Dean-Charles Chapman</t>
  </si>
  <si>
    <t>George MacKay</t>
  </si>
  <si>
    <t>Daniel Mays</t>
  </si>
  <si>
    <t>Colin Firth</t>
  </si>
  <si>
    <t>Tumbbad</t>
  </si>
  <si>
    <t>104 min</t>
  </si>
  <si>
    <t>Drama, Fantasy, Horror</t>
  </si>
  <si>
    <t>A mythological story about a goddess who created the entire universe. The plot revolves around the consequences when humans build a temple for her first-born.</t>
  </si>
  <si>
    <t>Rahi Anil Barve</t>
  </si>
  <si>
    <t>Anand Gandhi</t>
  </si>
  <si>
    <t>Adesh Prasad</t>
  </si>
  <si>
    <t>Sohum Shah</t>
  </si>
  <si>
    <t>Jyoti Malshe</t>
  </si>
  <si>
    <t>Andhadhun</t>
  </si>
  <si>
    <t>Crime, Drama, Music</t>
  </si>
  <si>
    <t>A series of mysterious events change the life of a blind pianist, who must now report a crime that he should technically know nothing of.</t>
  </si>
  <si>
    <t>Sriram Raghavan</t>
  </si>
  <si>
    <t>Ayushmann Khurrana</t>
  </si>
  <si>
    <t>Tabu</t>
  </si>
  <si>
    <t>Radhika Apte</t>
  </si>
  <si>
    <t>Anil Dhawan</t>
  </si>
  <si>
    <t>Drishyam</t>
  </si>
  <si>
    <t>A man goes to extreme lengths to save his family from punishment after the family commits an accidental crime.</t>
  </si>
  <si>
    <t>Jeethu Joseph</t>
  </si>
  <si>
    <t>Mohanlal</t>
  </si>
  <si>
    <t>Meena</t>
  </si>
  <si>
    <t>Asha Sharath</t>
  </si>
  <si>
    <t>Ansiba</t>
  </si>
  <si>
    <t>Jagten</t>
  </si>
  <si>
    <t>A teacher lives a lonely life, all the while struggling over his son's custody. His life slowly gets better as he finds love and receives good news from his son, but his new luck is about to be brutally shattered by an innocent little lie.</t>
  </si>
  <si>
    <t>Thomas Vinterberg</t>
  </si>
  <si>
    <t>Mads Mikkelsen</t>
  </si>
  <si>
    <t>Thomas Bo Larsen</t>
  </si>
  <si>
    <t>Annika Wedderkopp</t>
  </si>
  <si>
    <t>Lasse Fogelstrøm</t>
  </si>
  <si>
    <t>Jodaeiye Nader az Simin</t>
  </si>
  <si>
    <t>123 min</t>
  </si>
  <si>
    <t>A married couple are faced with a difficult decision - to improve the life of their child by moving to another country or to stay in Iran and look after a deteriorating parent who has Alzheimer's disease.</t>
  </si>
  <si>
    <t>Asghar Farhadi</t>
  </si>
  <si>
    <t>Payman Maadi</t>
  </si>
  <si>
    <t>Leila Hatami</t>
  </si>
  <si>
    <t>Sareh Bayat</t>
  </si>
  <si>
    <t>Shahab Hosseini</t>
  </si>
  <si>
    <t>Incendies</t>
  </si>
  <si>
    <t>131 min</t>
  </si>
  <si>
    <t>Twins journey to the Middle East to discover their family history and fulfill their mother's last wishes.</t>
  </si>
  <si>
    <t>Denis Villeneuve</t>
  </si>
  <si>
    <t>Lubna Azabal</t>
  </si>
  <si>
    <t>Mélissa Désormeaux-Poulin</t>
  </si>
  <si>
    <t>Maxim Gaudette</t>
  </si>
  <si>
    <t>Mustafa Kamel</t>
  </si>
  <si>
    <t>Miracle in cell NO.7</t>
  </si>
  <si>
    <t>TV-14</t>
  </si>
  <si>
    <t>A story of love between a mentally-ill father who was wrongly accused of murder and his lovely six years old daughter. The prison would be their home. Based on the 2013 Korean movie 7-beon-bang-ui seon-mul (2013).</t>
  </si>
  <si>
    <t>Mehmet Ada Öztekin</t>
  </si>
  <si>
    <t>Aras Bulut Iynemli</t>
  </si>
  <si>
    <t>Nisa Sofiya Aksongur</t>
  </si>
  <si>
    <t>Deniz Baysal</t>
  </si>
  <si>
    <t>Celile Toyon Uysal</t>
  </si>
  <si>
    <t>Babam ve Oglum</t>
  </si>
  <si>
    <t>The family of a left-wing journalist is torn apart after the military coup of Turkey in 1980.</t>
  </si>
  <si>
    <t>Çagan Irmak</t>
  </si>
  <si>
    <t>Fikret Kuskan</t>
  </si>
  <si>
    <t>Hümeyra</t>
  </si>
  <si>
    <t>Ege Tanman</t>
  </si>
  <si>
    <t>Inglourious Basterds</t>
  </si>
  <si>
    <t>Adventure, Drama, War</t>
  </si>
  <si>
    <t>In Nazi-occupied France during World War II, a plan to assassinate Nazi leaders by a group of Jewish U.S. soldiers coincides with a theatre owner's vengeful plans for the same.</t>
  </si>
  <si>
    <t>Diane Kruger</t>
  </si>
  <si>
    <t>Eli Roth</t>
  </si>
  <si>
    <t>Mélanie Laurent</t>
  </si>
  <si>
    <t>Eternal Sunshine of the Spotless Mind</t>
  </si>
  <si>
    <t>108 min</t>
  </si>
  <si>
    <t>Drama, Romance, Sci-Fi</t>
  </si>
  <si>
    <t>When their relationship turns sour, a couple undergoes a medical procedure to have each other erased from their memories.</t>
  </si>
  <si>
    <t>Michel Gondry</t>
  </si>
  <si>
    <t>Jim Carrey</t>
  </si>
  <si>
    <t>Kate Winslet</t>
  </si>
  <si>
    <t>Tom Wilkinson</t>
  </si>
  <si>
    <t>Gerry Robert Byrne</t>
  </si>
  <si>
    <t>Amélie</t>
  </si>
  <si>
    <t>Comedy, Romance</t>
  </si>
  <si>
    <t>Amélie is an innocent and naive girl in Paris with her own sense of justice. She decides to help those around her and, along the way, discovers love.</t>
  </si>
  <si>
    <t>Jean-Pierre Jeunet</t>
  </si>
  <si>
    <t>Audrey Tautou</t>
  </si>
  <si>
    <t>Mathieu Kassovitz</t>
  </si>
  <si>
    <t>Rufus</t>
  </si>
  <si>
    <t>Lorella Cravotta</t>
  </si>
  <si>
    <t>Snatch</t>
  </si>
  <si>
    <t>Comedy, Crime</t>
  </si>
  <si>
    <t>Unscrupulous boxing promoters, violent bookmakers, a Russian gangster, incompetent amateur robbers and supposedly Jewish jewelers fight to track down a priceless stolen diamond.</t>
  </si>
  <si>
    <t>Guy Ritchie</t>
  </si>
  <si>
    <t>Jason Statham</t>
  </si>
  <si>
    <t>Benicio Del Toro</t>
  </si>
  <si>
    <t>Dennis Farina</t>
  </si>
  <si>
    <t>Requiem for a Dream</t>
  </si>
  <si>
    <t>The drug-induced utopias of four Coney Island people are shattered when their addictions run deep.</t>
  </si>
  <si>
    <t>Darren Aronofsky</t>
  </si>
  <si>
    <t>Ellen Burstyn</t>
  </si>
  <si>
    <t>Jared Leto</t>
  </si>
  <si>
    <t>Jennifer Connelly</t>
  </si>
  <si>
    <t>Marlon Wayans</t>
  </si>
  <si>
    <t>American Beauty</t>
  </si>
  <si>
    <t>A sexually frustrated suburban father has a mid-life crisis after becoming infatuated with his daughter's best friend.</t>
  </si>
  <si>
    <t>Annette Bening</t>
  </si>
  <si>
    <t>Thora Birch</t>
  </si>
  <si>
    <t>Wes Bentley</t>
  </si>
  <si>
    <t>Good Will Hunting</t>
  </si>
  <si>
    <t>Will Hunting, a janitor at M.I.T., has a gift for mathematics, but needs help from a psychologist to find direction in his life.</t>
  </si>
  <si>
    <t>Gus Van Sant</t>
  </si>
  <si>
    <t>Robin Williams</t>
  </si>
  <si>
    <t>Ben Affleck</t>
  </si>
  <si>
    <t>Stellan Skarsgård</t>
  </si>
  <si>
    <t>Bacheha-Ye aseman</t>
  </si>
  <si>
    <t>Drama, Family, Sport</t>
  </si>
  <si>
    <t>After a boy loses his sister's pair of shoes, he goes on a series of adventures in order to find them. When he can't, he tries a new way to "win" a new pair.</t>
  </si>
  <si>
    <t>Majid Majidi</t>
  </si>
  <si>
    <t>Mohammad Amir Naji</t>
  </si>
  <si>
    <t>Amir Farrokh Hashemian</t>
  </si>
  <si>
    <t>Bahare Seddiqi</t>
  </si>
  <si>
    <t>Nafise Jafar-Mohammadi</t>
  </si>
  <si>
    <t>Toy Story</t>
  </si>
  <si>
    <t>81 min</t>
  </si>
  <si>
    <t>Animation, Adventure, Comedy</t>
  </si>
  <si>
    <t>A cowboy doll is profoundly threatened and jealous when a new spaceman figure supplants him as top toy in a boy's room.</t>
  </si>
  <si>
    <t>John Lasseter</t>
  </si>
  <si>
    <t>Tim Allen</t>
  </si>
  <si>
    <t>Don Rickles</t>
  </si>
  <si>
    <t>Jim Varney</t>
  </si>
  <si>
    <t>Braveheart</t>
  </si>
  <si>
    <t>Scottish warrior William Wallace leads his countrymen in a rebellion to free his homeland from the tyranny of King Edward I of England.</t>
  </si>
  <si>
    <t>Mel Gibson</t>
  </si>
  <si>
    <t>Sophie Marceau</t>
  </si>
  <si>
    <t>Patrick McGoohan</t>
  </si>
  <si>
    <t>Angus Macfadyen</t>
  </si>
  <si>
    <t>Reservoir Dogs</t>
  </si>
  <si>
    <t>99 min</t>
  </si>
  <si>
    <t>When a simple jewelry heist goes horribly wrong, the surviving criminals begin to suspect that one of them is a police informant.</t>
  </si>
  <si>
    <t>Harvey Keitel</t>
  </si>
  <si>
    <t>Tim Roth</t>
  </si>
  <si>
    <t>Michael Madsen</t>
  </si>
  <si>
    <t>Chris Penn</t>
  </si>
  <si>
    <t>Full Metal Jacket</t>
  </si>
  <si>
    <t>A pragmatic U.S. Marine observes the dehumanizing effects the Vietnam War has on his fellow recruits from their brutal boot camp training to the bloody street fighting in Hue.</t>
  </si>
  <si>
    <t>Matthew Modine</t>
  </si>
  <si>
    <t>R. Lee Ermey</t>
  </si>
  <si>
    <t>Vincent D'Onofrio</t>
  </si>
  <si>
    <t>Adam Baldwin</t>
  </si>
  <si>
    <t>Idi i smotri</t>
  </si>
  <si>
    <t>After finding an old rifle, a young boy joins the Soviet resistance movement against ruthless German forces and experiences the horrors of World War II.</t>
  </si>
  <si>
    <t>Elem Klimov</t>
  </si>
  <si>
    <t>Aleksey Kravchenko</t>
  </si>
  <si>
    <t>Olga Mironova</t>
  </si>
  <si>
    <t>Liubomiras Laucevicius</t>
  </si>
  <si>
    <t>Vladas Bagdonas</t>
  </si>
  <si>
    <t>Aliens</t>
  </si>
  <si>
    <t>Fifty-seven years after surviving an apocalyptic attack aboard her space vessel by merciless space creatures, Officer Ripley awakens from hyper-sleep and tries to warn anyone who will listen about the predators.</t>
  </si>
  <si>
    <t>Michael Biehn</t>
  </si>
  <si>
    <t>Carrie Henn</t>
  </si>
  <si>
    <t>Amadeus</t>
  </si>
  <si>
    <t>The life, success and troubles of Wolfgang Amadeus Mozart, as told by Antonio Salieri, the contemporaneous composer who was insanely jealous of Mozart's talent and claimed to have murdered him.</t>
  </si>
  <si>
    <t>F. Murray Abraham</t>
  </si>
  <si>
    <t>Tom Hulce</t>
  </si>
  <si>
    <t>Elizabeth Berridge</t>
  </si>
  <si>
    <t>Roy Dotrice</t>
  </si>
  <si>
    <t>Scarface</t>
  </si>
  <si>
    <t>In 1980 Miami, a determined Cuban immigrant takes over a drug cartel and succumbs to greed.</t>
  </si>
  <si>
    <t>Brian De Palma</t>
  </si>
  <si>
    <t>Michelle Pfeiffer</t>
  </si>
  <si>
    <t>Steven Bauer</t>
  </si>
  <si>
    <t>Mary Elizabeth Mastrantonio</t>
  </si>
  <si>
    <t>Star Wars: Episode VI - Return of the Jedi</t>
  </si>
  <si>
    <t>After a daring mission to rescue Han Solo from Jabba the Hutt, the Rebels dispatch to Endor to destroy the second Death Star. Meanwhile, Luke struggles to help Darth Vader back from the dark side without falling into the Emperor's trap.</t>
  </si>
  <si>
    <t>Richard Marquand</t>
  </si>
  <si>
    <t>Das Boot</t>
  </si>
  <si>
    <t>Adventure, Drama, Thriller</t>
  </si>
  <si>
    <t>The claustrophobic world of a WWII German U-boat; boredom, filth and sheer terror.</t>
  </si>
  <si>
    <t>Wolfgang Petersen</t>
  </si>
  <si>
    <t>Jürgen Prochnow</t>
  </si>
  <si>
    <t>Herbert Grönemeyer</t>
  </si>
  <si>
    <t>Klaus Wennemann</t>
  </si>
  <si>
    <t>Hubertus Bengsch</t>
  </si>
  <si>
    <t>Taxi Driver</t>
  </si>
  <si>
    <t>114 min</t>
  </si>
  <si>
    <t>A mentally unstable veteran works as a nighttime taxi driver in New York City, where the perceived decadence and sleaze fuels his urge for violent action by attempting to liberate a presidential campaign worker and an underage prostitute.</t>
  </si>
  <si>
    <t>Cybill Shepherd</t>
  </si>
  <si>
    <t>Albert Brooks</t>
  </si>
  <si>
    <t>The Sting</t>
  </si>
  <si>
    <t>129 min</t>
  </si>
  <si>
    <t>Comedy, Crime, Drama</t>
  </si>
  <si>
    <t>Two grifters team up to pull off the ultimate con.</t>
  </si>
  <si>
    <t>George Roy Hill</t>
  </si>
  <si>
    <t>Paul Newman</t>
  </si>
  <si>
    <t>Robert Redford</t>
  </si>
  <si>
    <t>Robert Shaw</t>
  </si>
  <si>
    <t>Charles Durning</t>
  </si>
  <si>
    <t>A Clockwork Orange</t>
  </si>
  <si>
    <t>Crime, Drama, Sci-Fi</t>
  </si>
  <si>
    <t>In the future, a sadistic gang leader is imprisoned and volunteers for a conduct-aversion experiment, but it doesn't go as planned.</t>
  </si>
  <si>
    <t>Malcolm McDowell</t>
  </si>
  <si>
    <t>Patrick Magee</t>
  </si>
  <si>
    <t>Michael Bates</t>
  </si>
  <si>
    <t>Warren Clarke</t>
  </si>
  <si>
    <t>2001: A Space Odyssey</t>
  </si>
  <si>
    <t>Adventure, Sci-Fi</t>
  </si>
  <si>
    <t>After discovering a mysterious artifact buried beneath the Lunar surface, mankind sets off on a quest to find its origins with help from intelligent supercomputer H.A.L. 9000.</t>
  </si>
  <si>
    <t>Keir Dullea</t>
  </si>
  <si>
    <t>Gary Lockwood</t>
  </si>
  <si>
    <t>William Sylvester</t>
  </si>
  <si>
    <t>Daniel Richter</t>
  </si>
  <si>
    <t>Per qualche dollaro in più</t>
  </si>
  <si>
    <t>Two bounty hunters with the same intentions team up to track down a Western outlaw.</t>
  </si>
  <si>
    <t>Gian Maria Volontè</t>
  </si>
  <si>
    <t>Mara Krupp</t>
  </si>
  <si>
    <t>Lawrence of Arabia</t>
  </si>
  <si>
    <t>228 min</t>
  </si>
  <si>
    <t>Adventure, Biography, Drama</t>
  </si>
  <si>
    <t>The story of T.E. Lawrence, the English officer who successfully united and led the diverse, often warring, Arab tribes during World War I in order to fight the Turks.</t>
  </si>
  <si>
    <t>David Lean</t>
  </si>
  <si>
    <t>Peter O'Toole</t>
  </si>
  <si>
    <t>Anthony Quinn</t>
  </si>
  <si>
    <t>Jack Hawkins</t>
  </si>
  <si>
    <t>The Apartment</t>
  </si>
  <si>
    <t>A man tries to rise in his company by letting its executives use his apartment for trysts, but complications and a romance of his own ensue.</t>
  </si>
  <si>
    <t>Jack Lemmon</t>
  </si>
  <si>
    <t>Shirley MacLaine</t>
  </si>
  <si>
    <t>Fred MacMurray</t>
  </si>
  <si>
    <t>Ray Walston</t>
  </si>
  <si>
    <t>North by Northwest</t>
  </si>
  <si>
    <t>Adventure, Mystery, Thriller</t>
  </si>
  <si>
    <t>A New York City advertising executive goes on the run after being mistaken for a government agent by a group of foreign spies.</t>
  </si>
  <si>
    <t>Cary Grant</t>
  </si>
  <si>
    <t>Eva Marie Saint</t>
  </si>
  <si>
    <t>James Mason</t>
  </si>
  <si>
    <t>Jessie Royce Landis</t>
  </si>
  <si>
    <t>Vertigo</t>
  </si>
  <si>
    <t>128 min</t>
  </si>
  <si>
    <t>Mystery, Romance, Thriller</t>
  </si>
  <si>
    <t>A former police detective juggles wrestling with his personal demons and becoming obsessed with a hauntingly beautiful woman.</t>
  </si>
  <si>
    <t>Kim Novak</t>
  </si>
  <si>
    <t>Barbara Bel Geddes</t>
  </si>
  <si>
    <t>Tom Helmore</t>
  </si>
  <si>
    <t>Singin' in the Rain</t>
  </si>
  <si>
    <t>103 min</t>
  </si>
  <si>
    <t>Comedy, Musical, Romance</t>
  </si>
  <si>
    <t>A silent film production company and cast make a difficult transition to sound.</t>
  </si>
  <si>
    <t>Stanley Donen</t>
  </si>
  <si>
    <t>Gene Kelly</t>
  </si>
  <si>
    <t>Donald O'Connor</t>
  </si>
  <si>
    <t>Debbie Reynolds</t>
  </si>
  <si>
    <t>Ikiru</t>
  </si>
  <si>
    <t>55,24</t>
  </si>
  <si>
    <t>A bureaucrat tries to find a meaning in his life after he discovers he has terminal cancer.</t>
  </si>
  <si>
    <t>Nobuo Kaneko</t>
  </si>
  <si>
    <t>Shin'ichi Himori</t>
  </si>
  <si>
    <t>Haruo Tanaka</t>
  </si>
  <si>
    <t>Ladri di biciclette</t>
  </si>
  <si>
    <t>332,93</t>
  </si>
  <si>
    <t>In post-war Italy, a working-class man's bicycle is stolen. He and his son set out to find it.</t>
  </si>
  <si>
    <t>Vittorio De Sica</t>
  </si>
  <si>
    <t>Lamberto Maggiorani</t>
  </si>
  <si>
    <t>Enzo Staiola</t>
  </si>
  <si>
    <t>Lianella Carell</t>
  </si>
  <si>
    <t>Elena Altieri</t>
  </si>
  <si>
    <t>Double Indemnity</t>
  </si>
  <si>
    <t>107 min</t>
  </si>
  <si>
    <t>Crime, Drama, Film-Noir</t>
  </si>
  <si>
    <t>An insurance representative lets himself be talked by a seductive housewife into a murder/insurance fraud scheme that arouses the suspicion of an insurance investigator.</t>
  </si>
  <si>
    <t>Barbara Stanwyck</t>
  </si>
  <si>
    <t>Edward G. Robinson</t>
  </si>
  <si>
    <t>Byron Barr</t>
  </si>
  <si>
    <t>Citizen Kane</t>
  </si>
  <si>
    <t>Drama, Mystery</t>
  </si>
  <si>
    <t>Following the death of publishing tycoon Charles Foster Kane, reporters scramble to uncover the meaning of his final utterance; 'Rosebud'.</t>
  </si>
  <si>
    <t>Orson Welles</t>
  </si>
  <si>
    <t>Joseph Cotten</t>
  </si>
  <si>
    <t>Dorothy Comingore</t>
  </si>
  <si>
    <t>Agnes Moorehead</t>
  </si>
  <si>
    <t>M - Eine Stadt sucht einen Mörder</t>
  </si>
  <si>
    <t>When the police in a German city are unable to catch a child-murderer, other criminals join in the manhunt.</t>
  </si>
  <si>
    <t>Fritz Lang</t>
  </si>
  <si>
    <t>Peter Lorre</t>
  </si>
  <si>
    <t>Ellen Widmann</t>
  </si>
  <si>
    <t>Inge Landgut</t>
  </si>
  <si>
    <t>Otto Wernicke</t>
  </si>
  <si>
    <t>Metropolis</t>
  </si>
  <si>
    <t>Drama, Sci-Fi</t>
  </si>
  <si>
    <t>In a futuristic city sharply divided between the working class and the city planners, the son of the city's mastermind falls in love with a working-class prophet who predicts the coming of a savior to mediate their differences.</t>
  </si>
  <si>
    <t>Brigitte Helm</t>
  </si>
  <si>
    <t>Alfred Abel</t>
  </si>
  <si>
    <t>Gustav Fröhlich</t>
  </si>
  <si>
    <t>Rudolf Klein-Rogge</t>
  </si>
  <si>
    <t>The Kid</t>
  </si>
  <si>
    <t>68 min</t>
  </si>
  <si>
    <t>The Tramp cares for an abandoned child, but events put that relationship in jeopardy.</t>
  </si>
  <si>
    <t>Edna Purviance</t>
  </si>
  <si>
    <t>Jackie Coogan</t>
  </si>
  <si>
    <t>Carl Miller</t>
  </si>
  <si>
    <t>Chhichhore</t>
  </si>
  <si>
    <t>A tragic incident forces Anirudh, a middle-aged man, to take a trip down memory lane and reminisce his college days along with his friends, who were labelled as losers.</t>
  </si>
  <si>
    <t>Sushant Singh Rajput</t>
  </si>
  <si>
    <t>Shraddha Kapoor</t>
  </si>
  <si>
    <t>Varun Sharma</t>
  </si>
  <si>
    <t>Prateik</t>
  </si>
  <si>
    <t>Uri: The Surgical Strike</t>
  </si>
  <si>
    <t>138 min</t>
  </si>
  <si>
    <t>Action, Drama, War</t>
  </si>
  <si>
    <t>Indian army special forces execute a covert operation, avenging the killing of fellow army men at their base by a terrorist group.</t>
  </si>
  <si>
    <t>Aditya Dhar</t>
  </si>
  <si>
    <t>Vicky Kaushal</t>
  </si>
  <si>
    <t>Mohit Raina</t>
  </si>
  <si>
    <t>Yami Gautam</t>
  </si>
  <si>
    <t>K.G.F: Chapter 1</t>
  </si>
  <si>
    <t>156 min</t>
  </si>
  <si>
    <t>Action, Drama</t>
  </si>
  <si>
    <t>In the 1970s, a fierce rebel rises against brutal oppression and becomes the symbol of hope to legions of downtrodden people.</t>
  </si>
  <si>
    <t>Prashanth Neel</t>
  </si>
  <si>
    <t>Yash</t>
  </si>
  <si>
    <t>Srinidhi Shetty</t>
  </si>
  <si>
    <t>Ramachandra Raju</t>
  </si>
  <si>
    <t>Archana Jois</t>
  </si>
  <si>
    <t>Green Book</t>
  </si>
  <si>
    <t>A working-class Italian-American bouncer becomes the driver of an African-American classical pianist on a tour of venues through the 1960s American South.</t>
  </si>
  <si>
    <t>Peter Farrelly</t>
  </si>
  <si>
    <t>Mahershala Ali</t>
  </si>
  <si>
    <t>Linda Cardellini</t>
  </si>
  <si>
    <t>Sebastian Maniscalco</t>
  </si>
  <si>
    <t>Three Billboards Outside Ebbing, Missouri</t>
  </si>
  <si>
    <t>A mother personally challenges the local authorities to solve her daughter's murder when they fail to catch the culprit.</t>
  </si>
  <si>
    <t>Martin McDonagh</t>
  </si>
  <si>
    <t>Frances McDormand</t>
  </si>
  <si>
    <t>Woody Harrelson</t>
  </si>
  <si>
    <t>Sam Rockwell</t>
  </si>
  <si>
    <t>Caleb Landry Jones</t>
  </si>
  <si>
    <t>Talvar</t>
  </si>
  <si>
    <t>342,37</t>
  </si>
  <si>
    <t>An experienced investigator confronts several conflicting theories about the perpetrators of a violent double homicide.</t>
  </si>
  <si>
    <t>Meghna Gulzar</t>
  </si>
  <si>
    <t>Irrfan Khan</t>
  </si>
  <si>
    <t>Konkona Sen Sharma</t>
  </si>
  <si>
    <t>Neeraj Kabi</t>
  </si>
  <si>
    <t>Baahubali 2: The Conclusion</t>
  </si>
  <si>
    <t>167 min</t>
  </si>
  <si>
    <t>When Shiva, the son of Bahubali, learns about his heritage, he begins to look for answers. His story is juxtaposed with past events that unfolded in the Mahishmati Kingdom.</t>
  </si>
  <si>
    <t>S.S. Rajamouli</t>
  </si>
  <si>
    <t>Prabhas</t>
  </si>
  <si>
    <t>Rana Daggubati</t>
  </si>
  <si>
    <t>Anushka Shetty</t>
  </si>
  <si>
    <t>Tamannaah Bhatia</t>
  </si>
  <si>
    <t>Klaus</t>
  </si>
  <si>
    <t>A simple act of kindness always sparks another, even in a frozen, faraway place. When Smeerensburg's new postman, Jesper, befriends toymaker Klaus, their gifts melt an age-old feud and deliver a sleigh full of holiday traditions.</t>
  </si>
  <si>
    <t>Sergio Pablos</t>
  </si>
  <si>
    <t>Carlos Martínez López</t>
  </si>
  <si>
    <t>Jason Schwartzman</t>
  </si>
  <si>
    <t>Rashida Jones</t>
  </si>
  <si>
    <t>163 min</t>
  </si>
  <si>
    <t>Desperate measures are taken by a man who tries to save his family from the dark side of the law, after they commit an unexpected crime.</t>
  </si>
  <si>
    <t>Nishikant Kamat</t>
  </si>
  <si>
    <t>Ajay Devgn</t>
  </si>
  <si>
    <t>Shriya Saran</t>
  </si>
  <si>
    <t>Rajat Kapoor</t>
  </si>
  <si>
    <t>Queen</t>
  </si>
  <si>
    <t>Adventure, Comedy, Drama</t>
  </si>
  <si>
    <t>A Delhi girl from a traditional family sets out on a solo honeymoon after her marriage gets cancelled.</t>
  </si>
  <si>
    <t>Vikas Bahl</t>
  </si>
  <si>
    <t>Kangana Ranaut</t>
  </si>
  <si>
    <t>Rajkummar Rao</t>
  </si>
  <si>
    <t>Lisa Haydon</t>
  </si>
  <si>
    <t>Jeffrey Ho</t>
  </si>
  <si>
    <t>Mandariinid</t>
  </si>
  <si>
    <t>In 1992, war rages in Abkhazia, a breakaway region of Georgia. An Estonian man Ivo has decided to stay behind and harvest his crops of tangerines. In a bloody conflict at his door, a wounded man is left behind, and Ivo takes him in.</t>
  </si>
  <si>
    <t>Zaza Urushadze</t>
  </si>
  <si>
    <t>Lembit Ulfsak</t>
  </si>
  <si>
    <t>Elmo Nüganen</t>
  </si>
  <si>
    <t>Giorgi Nakashidze</t>
  </si>
  <si>
    <t>Misha Meskhi</t>
  </si>
  <si>
    <t>Bhaag Milkha Bhaag</t>
  </si>
  <si>
    <t>186 min</t>
  </si>
  <si>
    <t>Biography, Drama, Sport</t>
  </si>
  <si>
    <t>The truth behind the ascension of Milkha Singh who was scarred because of the India-Pakistan partition.</t>
  </si>
  <si>
    <t>Rakeysh Omprakash Mehra</t>
  </si>
  <si>
    <t>Farhan Akhtar</t>
  </si>
  <si>
    <t>Sonam Kapoor</t>
  </si>
  <si>
    <t>Pawan Malhotra</t>
  </si>
  <si>
    <t>Art Malik</t>
  </si>
  <si>
    <t>Gangs of Wasseypur</t>
  </si>
  <si>
    <t>321 min</t>
  </si>
  <si>
    <t>Action, Comedy, Crime</t>
  </si>
  <si>
    <t>A clash between Sultan and Shahid Khan leads to the expulsion of Khan from Wasseypur, and ignites a deadly blood feud spanning three generations.</t>
  </si>
  <si>
    <t>Anurag Kashyap</t>
  </si>
  <si>
    <t>Manoj Bajpayee</t>
  </si>
  <si>
    <t>Richa Chadha</t>
  </si>
  <si>
    <t>Nawazuddin Siddiqui</t>
  </si>
  <si>
    <t>Tigmanshu Dhulia</t>
  </si>
  <si>
    <t>Udaan</t>
  </si>
  <si>
    <t>Expelled from his school, a 16-year old boy returns home to his abusive and oppressive father.</t>
  </si>
  <si>
    <t>Vikramaditya Motwane</t>
  </si>
  <si>
    <t>Rajat Barmecha</t>
  </si>
  <si>
    <t>Ronit Roy</t>
  </si>
  <si>
    <t>Manjot Singh</t>
  </si>
  <si>
    <t>Ram Kapoor</t>
  </si>
  <si>
    <t>Paan Singh Tomar</t>
  </si>
  <si>
    <t>135 min</t>
  </si>
  <si>
    <t>Action, Biography, Crime</t>
  </si>
  <si>
    <t>The story of Paan Singh Tomar, an Indian athlete and seven-time national steeplechase champion who becomes one of the most feared dacoits in Chambal Valley after his retirement.</t>
  </si>
  <si>
    <t>Mahie Gill</t>
  </si>
  <si>
    <t>Rajesh Abhay</t>
  </si>
  <si>
    <t>Hemendra Dandotiya</t>
  </si>
  <si>
    <t>El secreto de sus ojos</t>
  </si>
  <si>
    <t>Drama, Mystery, Romance</t>
  </si>
  <si>
    <t>A retired legal counselor writes a novel hoping to find closure for one of his past unresolved homicide cases and for his unreciprocated love with his superior - both of which still haunt him decades later.</t>
  </si>
  <si>
    <t>Juan José Campanella</t>
  </si>
  <si>
    <t>Ricardo Darín</t>
  </si>
  <si>
    <t>Soledad Villamil</t>
  </si>
  <si>
    <t>Pablo Rago</t>
  </si>
  <si>
    <t>Carla Quevedo</t>
  </si>
  <si>
    <t>Warrior</t>
  </si>
  <si>
    <t>140 min</t>
  </si>
  <si>
    <t>Action, Drama, Sport</t>
  </si>
  <si>
    <t>The youngest son of an alcoholic former boxer returns home, where he's trained by his father for competition in a mixed martial arts tournament - a path that puts the fighter on a collision course with his estranged, older brother.</t>
  </si>
  <si>
    <t>Gavin O'Connor</t>
  </si>
  <si>
    <t>Nick Nolte</t>
  </si>
  <si>
    <t>Joel Edgerton</t>
  </si>
  <si>
    <t>Jennifer Morrison</t>
  </si>
  <si>
    <t>Shutter Island</t>
  </si>
  <si>
    <t>In 1954, a U.S. Marshal investigates the disappearance of a murderer who escaped from a hospital for the criminally insane.</t>
  </si>
  <si>
    <t>Emily Mortimer</t>
  </si>
  <si>
    <t>Up</t>
  </si>
  <si>
    <t>78-year-old Carl Fredricksen travels to Paradise Falls in his house equipped with balloons, inadvertently taking a young stowaway.</t>
  </si>
  <si>
    <t>Pete Docter</t>
  </si>
  <si>
    <t>Bob Peterson</t>
  </si>
  <si>
    <t>Edward Asner</t>
  </si>
  <si>
    <t>Jordan Nagai</t>
  </si>
  <si>
    <t>John Ratzenberger</t>
  </si>
  <si>
    <t>The Wolf of Wall Street</t>
  </si>
  <si>
    <t>180 min</t>
  </si>
  <si>
    <t>Based on the true story of Jordan Belfort, from his rise to a wealthy stock-broker living the high life to his fall involving crime, corruption and the federal government.</t>
  </si>
  <si>
    <t>Jonah Hill</t>
  </si>
  <si>
    <t>Margot Robbie</t>
  </si>
  <si>
    <t>Chak De! India</t>
  </si>
  <si>
    <t>Kabir Khan is the coach of the Indian Women's National Hockey Team and his dream is to make his all girls team emerge victorious against all odds.</t>
  </si>
  <si>
    <t>Shimit Amin</t>
  </si>
  <si>
    <t>Shah Rukh Khan</t>
  </si>
  <si>
    <t>Vidya Malvade</t>
  </si>
  <si>
    <t>Sagarika Ghatge</t>
  </si>
  <si>
    <t>Shilpa Shukla</t>
  </si>
  <si>
    <t>There Will Be Blood</t>
  </si>
  <si>
    <t>158 min</t>
  </si>
  <si>
    <t>A story of family, religion, hatred, oil and madness, focusing on a turn-of-the-century prospector in the early days of the business.</t>
  </si>
  <si>
    <t>Paul Thomas Anderson</t>
  </si>
  <si>
    <t>Daniel Day-Lewis</t>
  </si>
  <si>
    <t>Paul Dano</t>
  </si>
  <si>
    <t>Ciarán Hinds</t>
  </si>
  <si>
    <t>Martin Stringer</t>
  </si>
  <si>
    <t>Pan's Labyrinth</t>
  </si>
  <si>
    <t>Drama, Fantasy, War</t>
  </si>
  <si>
    <t>In the Falangist Spain of 1944, the bookish young stepdaughter of a sadistic army officer escapes into an eerie but captivating fantasy world.</t>
  </si>
  <si>
    <t>Guillermo del Toro</t>
  </si>
  <si>
    <t>Ivana Baquero</t>
  </si>
  <si>
    <t>Ariadna Gil</t>
  </si>
  <si>
    <t>Sergi López</t>
  </si>
  <si>
    <t>Maribel Verdú</t>
  </si>
  <si>
    <t>Toy Story 3</t>
  </si>
  <si>
    <t>The toys are mistakenly delivered to a day-care center instead of the attic right before Andy leaves for college, and it's up to Woody to convince the other toys that they weren't abandoned and to return home.</t>
  </si>
  <si>
    <t>Joan Cusack</t>
  </si>
  <si>
    <t>Ned Beatty</t>
  </si>
  <si>
    <t>V for Vendetta</t>
  </si>
  <si>
    <t>Action, Drama, Sci-Fi</t>
  </si>
  <si>
    <t>In a future British tyranny, a shadowy freedom fighter, known only by the alias of "V", plots to overthrow it with the help of a young woman.</t>
  </si>
  <si>
    <t>James McTeigue</t>
  </si>
  <si>
    <t>Hugo Weaving</t>
  </si>
  <si>
    <t>Rupert Graves</t>
  </si>
  <si>
    <t>Stephen Rea</t>
  </si>
  <si>
    <t>Rang De Basanti</t>
  </si>
  <si>
    <t>The story of six young Indians who assist an English woman to film a documentary on the freedom fighters from their past, and the events that lead them to relive the long-forgotten saga of freedom.</t>
  </si>
  <si>
    <t>Soha Ali Khan</t>
  </si>
  <si>
    <t>Siddharth</t>
  </si>
  <si>
    <t>Black</t>
  </si>
  <si>
    <t>The cathartic tale of a young woman who can't see, hear or talk and the teacher who brings a ray of light into her dark world.</t>
  </si>
  <si>
    <t>Sanjay Leela Bhansali</t>
  </si>
  <si>
    <t>Rani Mukerji</t>
  </si>
  <si>
    <t>Shernaz Patel</t>
  </si>
  <si>
    <t>Ayesha Kapoor</t>
  </si>
  <si>
    <t>Batman Begins</t>
  </si>
  <si>
    <t>After training with his mentor, Batman begins his fight to free crime-ridden Gotham City from corruption.</t>
  </si>
  <si>
    <t>Swades: We, the People</t>
  </si>
  <si>
    <t>210 min</t>
  </si>
  <si>
    <t>A successful Indian scientist returns to an Indian village to take his nanny to America with him and in the process rediscovers his roots.</t>
  </si>
  <si>
    <t>Ashutosh Gowariker</t>
  </si>
  <si>
    <t>Gayatri Joshi</t>
  </si>
  <si>
    <t>Kishori Ballal</t>
  </si>
  <si>
    <t>Smit Sheth</t>
  </si>
  <si>
    <t>Der Untergang</t>
  </si>
  <si>
    <t>Traudl Junge, the final secretary for Adolf Hitler, tells of the Nazi dictator's final days in his Berlin bunker at the end of WWII.</t>
  </si>
  <si>
    <t>Oliver Hirschbiegel</t>
  </si>
  <si>
    <t>Bruno Ganz</t>
  </si>
  <si>
    <t>Alexandra Maria Lara</t>
  </si>
  <si>
    <t>Ulrich Matthes</t>
  </si>
  <si>
    <t>Juliane Köhler</t>
  </si>
  <si>
    <t>Hauru no ugoku shiro</t>
  </si>
  <si>
    <t>When an unconfident young woman is cursed with an old body by a spiteful witch, her only chance of breaking the spell lies with a self-indulgent yet insecure young wizard and his companions in his legged, walking castle.</t>
  </si>
  <si>
    <t>Chieko Baishô</t>
  </si>
  <si>
    <t>Takuya Kimura</t>
  </si>
  <si>
    <t>Tatsuya Gashûin</t>
  </si>
  <si>
    <t>Akihiro Miwa</t>
  </si>
  <si>
    <t>A Beautiful Mind</t>
  </si>
  <si>
    <t>Biography, Drama</t>
  </si>
  <si>
    <t>After John Nash, a brilliant but asocial mathematician, accepts secret work in cryptography, his life takes a turn for the nightmarish.</t>
  </si>
  <si>
    <t>Ron Howard</t>
  </si>
  <si>
    <t>Ed Harris</t>
  </si>
  <si>
    <t>Christopher Plummer</t>
  </si>
  <si>
    <t>Hera Pheri</t>
  </si>
  <si>
    <t>Three unemployed men look for answers to all their money problems - but when their opportunity arrives, will they know what to do with it?</t>
  </si>
  <si>
    <t>Priyadarshan</t>
  </si>
  <si>
    <t>Akshay Kumar</t>
  </si>
  <si>
    <t>Sunil Shetty</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</si>
  <si>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</si>
  <si>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</si>
  <si>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t>
  </si>
  <si>
    <t>Dexter Fletcher</t>
  </si>
  <si>
    <t>Nick Moran</t>
  </si>
  <si>
    <t>L.A. Confidential</t>
  </si>
  <si>
    <t>As corruption grows in 1950s Los Angeles, three policemen - one strait-laced, one brutal, and one sleazy - investigate a series of murders with their own brand of justice.</t>
  </si>
  <si>
    <t>Curtis Hanson</t>
  </si>
  <si>
    <t>Kim Basinger</t>
  </si>
  <si>
    <t>Eskiya</t>
  </si>
  <si>
    <t>Baran the Bandit, released from prison after 35 years, searches for vengeance and his lover.</t>
  </si>
  <si>
    <t>Yavuz Turgul</t>
  </si>
  <si>
    <t>Sener Sen</t>
  </si>
  <si>
    <t>Ugur Yücel</t>
  </si>
  <si>
    <t>Sermin Hürmeriç</t>
  </si>
  <si>
    <t>Yesim Salkim</t>
  </si>
  <si>
    <t>Heat</t>
  </si>
  <si>
    <t>A group of professional bank robbers start to feel the heat from police when they unknowingly leave a clue at their latest heist.</t>
  </si>
  <si>
    <t>Michael Mann</t>
  </si>
  <si>
    <t>Val Kilmer</t>
  </si>
  <si>
    <t>Jon Voight</t>
  </si>
  <si>
    <t>Casino</t>
  </si>
  <si>
    <t>A tale of greed, deception, money, power, and murder occur between two best friends: a mafia enforcer and a casino executive compete against each other over a gambling empire, and over a fast-living and fast-loving socialite.</t>
  </si>
  <si>
    <t>Sharon Stone</t>
  </si>
  <si>
    <t>Andaz Apna Apna</t>
  </si>
  <si>
    <t>Action, Comedy, Romance</t>
  </si>
  <si>
    <t>Two slackers competing for the affections of an heiress inadvertently become her protectors from an evil criminal.</t>
  </si>
  <si>
    <t>Rajkumar Santoshi</t>
  </si>
  <si>
    <t>Salman Khan</t>
  </si>
  <si>
    <t>Raveena Tandon</t>
  </si>
  <si>
    <t>Karisma Kapoor</t>
  </si>
  <si>
    <t>Unforgiven</t>
  </si>
  <si>
    <t>Retired Old West gunslinger William Munny reluctantly takes on one last job, with the help of his old partner Ned Logan and a young man, The "Schofield Kid."</t>
  </si>
  <si>
    <t>Gene Hackman</t>
  </si>
  <si>
    <t>Richard Harris</t>
  </si>
  <si>
    <t>Indiana Jones and the Last Crusade</t>
  </si>
  <si>
    <t>In 1938, after his father Professor Henry Jones, Sr. goes missing while pursuing the Holy Grail, Professor Henry "Indiana" Jones, Jr. finds himself up against Adolf Hitler's Nazis again to stop them from obtaining its powers.</t>
  </si>
  <si>
    <t>Sean Connery</t>
  </si>
  <si>
    <t>Alison Doody</t>
  </si>
  <si>
    <t>Denholm Elliott</t>
  </si>
  <si>
    <t>Dom za vesanje</t>
  </si>
  <si>
    <t>In this luminous tale set in the area around Sarajevo and in Italy, Perhan, an engaging young Romany (gypsy) with telekinetic powers, is seduced by the quick-cash world of petty crime, which threatens to destroy him and those he loves.</t>
  </si>
  <si>
    <t>Emir Kusturica</t>
  </si>
  <si>
    <t>Davor Dujmovic</t>
  </si>
  <si>
    <t>Bora Todorovic</t>
  </si>
  <si>
    <t>Ljubica Adzovic</t>
  </si>
  <si>
    <t>Husnija Hasimovic</t>
  </si>
  <si>
    <t>Tonari no Totoro</t>
  </si>
  <si>
    <t>86 min</t>
  </si>
  <si>
    <t>Animation, Family, Fantasy</t>
  </si>
  <si>
    <t>When two girls move to the country to be near their ailing mother, they have adventures with the wondrous forest spirits who live nearby.</t>
  </si>
  <si>
    <t>Hitoshi Takagi</t>
  </si>
  <si>
    <t>Noriko Hidaka</t>
  </si>
  <si>
    <t>Chika Sakamoto</t>
  </si>
  <si>
    <t>Shigesato Itoi</t>
  </si>
  <si>
    <t>Die Hard</t>
  </si>
  <si>
    <t>Action, Thriller</t>
  </si>
  <si>
    <t>An NYPD officer tries to save his wife and several others taken hostage by German terrorists during a Christmas party at the Nakatomi Plaza in Los Angeles.</t>
  </si>
  <si>
    <t>John McTiernan</t>
  </si>
  <si>
    <t>Alan Rickman</t>
  </si>
  <si>
    <t>Bonnie Bedelia</t>
  </si>
  <si>
    <t>Reginald VelJohnson</t>
  </si>
  <si>
    <t>Ran</t>
  </si>
  <si>
    <t>162 min</t>
  </si>
  <si>
    <t>In Medieval Japan, an elderly warlord retires, handing over his empire to his three sons. However, he vastly underestimates how the new-found power will corrupt them and cause them to turn on each other...and him.</t>
  </si>
  <si>
    <t>Akira Terao</t>
  </si>
  <si>
    <t>Jinpachi Nezu</t>
  </si>
  <si>
    <t>Daisuke Ryû</t>
  </si>
  <si>
    <t>Raging Bull</t>
  </si>
  <si>
    <t>The life of boxer Jake LaMotta, whose violence and temper that led him to the top in the ring destroyed his life outside of it.</t>
  </si>
  <si>
    <t>Cathy Moriarty</t>
  </si>
  <si>
    <t>Frank Vincent</t>
  </si>
  <si>
    <t>Stalker</t>
  </si>
  <si>
    <t>A guide leads two men through an area known as the Zone to find a room that grants wishes.</t>
  </si>
  <si>
    <t>Andrei Tarkovsky</t>
  </si>
  <si>
    <t>Alisa Freyndlikh</t>
  </si>
  <si>
    <t>Aleksandr Kaydanovskiy</t>
  </si>
  <si>
    <t>Anatoliy Solonitsyn</t>
  </si>
  <si>
    <t>Nikolay Grinko</t>
  </si>
  <si>
    <t>Höstsonaten</t>
  </si>
  <si>
    <t>A married daughter who longs for her mother's love is visited by the latter, a successful concert pianist.</t>
  </si>
  <si>
    <t>Ingmar Bergman</t>
  </si>
  <si>
    <t>Liv Ullmann</t>
  </si>
  <si>
    <t>Lena Nyman</t>
  </si>
  <si>
    <t>Halvar Björk</t>
  </si>
  <si>
    <t>The Message</t>
  </si>
  <si>
    <t>177 min</t>
  </si>
  <si>
    <t>This epic historical drama chronicles the life and times of Prophet Muhammad and serves as an introduction to early Islamic history.</t>
  </si>
  <si>
    <t>Moustapha Akkad</t>
  </si>
  <si>
    <t>Irene Papas</t>
  </si>
  <si>
    <t>Michael Ansara</t>
  </si>
  <si>
    <t>Johnny Sekka</t>
  </si>
  <si>
    <t>Sholay</t>
  </si>
  <si>
    <t>204 min</t>
  </si>
  <si>
    <t>Action, Adventure, Comedy</t>
  </si>
  <si>
    <t>After his family is murdered by a notorious and ruthless bandit, a former police officer enlists the services of two outlaws to capture the bandit.</t>
  </si>
  <si>
    <t>Ramesh Sippy</t>
  </si>
  <si>
    <t>Sanjeev Kumar</t>
  </si>
  <si>
    <t>Dharmendra</t>
  </si>
  <si>
    <t>Amjad Khan</t>
  </si>
  <si>
    <t>Monty Python and the Holy Grail</t>
  </si>
  <si>
    <t>91 min</t>
  </si>
  <si>
    <t>Adventure, Comedy, Fantasy</t>
  </si>
  <si>
    <t>King Arthur and his Knights of the Round Table embark on a surreal, low-budget search for the Holy Grail, encountering many, very silly obstacles.</t>
  </si>
  <si>
    <t>Terry Gilliam</t>
  </si>
  <si>
    <t>Terry Jones</t>
  </si>
  <si>
    <t>Graham Chapman</t>
  </si>
  <si>
    <t>John Cleese</t>
  </si>
  <si>
    <t>Eric Idle</t>
  </si>
  <si>
    <t>The Great Escape</t>
  </si>
  <si>
    <t>172 min</t>
  </si>
  <si>
    <t>Adventure, Drama, History</t>
  </si>
  <si>
    <t>Allied prisoners of war plan for several hundred of their number to escape from a German camp during World War II.</t>
  </si>
  <si>
    <t>John Sturges</t>
  </si>
  <si>
    <t>Steve McQueen</t>
  </si>
  <si>
    <t>James Garner</t>
  </si>
  <si>
    <t>Richard Attenborough</t>
  </si>
  <si>
    <t>To Kill a Mockingbird</t>
  </si>
  <si>
    <t>Atticus Finch, a lawyer in the Depression-era South, defends a black man against an undeserved rape charge, and his children against prejudice.</t>
  </si>
  <si>
    <t>Robert Mulligan</t>
  </si>
  <si>
    <t>Gregory Peck</t>
  </si>
  <si>
    <t>John Megna</t>
  </si>
  <si>
    <t>Frank Overton</t>
  </si>
  <si>
    <t>Rosemary Murphy</t>
  </si>
  <si>
    <t>Yôjinbô</t>
  </si>
  <si>
    <t>Action, Drama, Thriller</t>
  </si>
  <si>
    <t>A crafty ronin comes to a town divided by two criminal gangs and decides to play them against each other to free the town.</t>
  </si>
  <si>
    <t>Eijirô Tôno</t>
  </si>
  <si>
    <t>Yôko Tsukasa</t>
  </si>
  <si>
    <t>Judgment at Nuremberg</t>
  </si>
  <si>
    <t>12,18</t>
  </si>
  <si>
    <t>In 1948, an American court in occupied Germany tries four Nazis judged for war crimes.</t>
  </si>
  <si>
    <t>Stanley Kramer</t>
  </si>
  <si>
    <t>Spencer Tracy</t>
  </si>
  <si>
    <t>Burt Lancaster</t>
  </si>
  <si>
    <t>Richard Widmark</t>
  </si>
  <si>
    <t>Some Like It Hot</t>
  </si>
  <si>
    <t>Comedy, Music, Romance</t>
  </si>
  <si>
    <t>After two male musicians witness a mob hit, they flee the state in an all-female band disguised as women, but further complications set in.</t>
  </si>
  <si>
    <t>Marilyn Monroe</t>
  </si>
  <si>
    <t>Tony Curtis</t>
  </si>
  <si>
    <t>George Raft</t>
  </si>
  <si>
    <t>Smultronstället</t>
  </si>
  <si>
    <t>After living a life marked by coldness, an aging professor is forced to confront the emptiness of his existence.</t>
  </si>
  <si>
    <t>Victor Sjöström</t>
  </si>
  <si>
    <t>Bibi Andersson</t>
  </si>
  <si>
    <t>Ingrid Thulin</t>
  </si>
  <si>
    <t>Gunnar Björnstrand</t>
  </si>
  <si>
    <t>Det sjunde inseglet</t>
  </si>
  <si>
    <t>Drama, Fantasy, History</t>
  </si>
  <si>
    <t>A man seeks answers about life, death, and the existence of God as he plays chess against the Grim Reaper during the Black Plague.</t>
  </si>
  <si>
    <t>Max von Sydow</t>
  </si>
  <si>
    <t>Bengt Ekerot</t>
  </si>
  <si>
    <t>Nils Poppe</t>
  </si>
  <si>
    <t>Du rififi chez les hommes</t>
  </si>
  <si>
    <t>Four men plan a technically perfect crime, but the human element intervenes...</t>
  </si>
  <si>
    <t>Jules Dassin</t>
  </si>
  <si>
    <t>Jean Servais</t>
  </si>
  <si>
    <t>Carl Möhner</t>
  </si>
  <si>
    <t>Robert Manuel</t>
  </si>
  <si>
    <t>Janine Darcey</t>
  </si>
  <si>
    <t>Dial M for Murder</t>
  </si>
  <si>
    <t>Crime, Thriller</t>
  </si>
  <si>
    <t>A former tennis player tries to arrange his wife's murder after learning of her affair.</t>
  </si>
  <si>
    <t>Ray Milland</t>
  </si>
  <si>
    <t>Robert Cummings</t>
  </si>
  <si>
    <t>John Williams</t>
  </si>
  <si>
    <t>Tôkyô monogatari</t>
  </si>
  <si>
    <t>An old couple visit their children and grandchildren in the city, but receive little attention.</t>
  </si>
  <si>
    <t>Yasujirô Ozu</t>
  </si>
  <si>
    <t>Chishû Ryû</t>
  </si>
  <si>
    <t>Chieko Higashiyama</t>
  </si>
  <si>
    <t>Sô Yamamura</t>
  </si>
  <si>
    <t>Setsuko Hara</t>
  </si>
  <si>
    <t>Rashômon</t>
  </si>
  <si>
    <t>The rape of a bride and the murder of her samurai husband are recalled from the perspectives of a bandit, the bride, the samurai's ghost and a woodcutter.</t>
  </si>
  <si>
    <t>Machiko Kyô</t>
  </si>
  <si>
    <t>Masayuki Mori</t>
  </si>
  <si>
    <t>All About Eve</t>
  </si>
  <si>
    <t>A seemingly timid but secretly ruthless ingénue insinuates herself into the lives of an aging Broadway star and her circle of theater friends.</t>
  </si>
  <si>
    <t>Joseph L. Mankiewicz</t>
  </si>
  <si>
    <t>Bette Davis</t>
  </si>
  <si>
    <t>Anne Baxter</t>
  </si>
  <si>
    <t>George Sanders</t>
  </si>
  <si>
    <t>Celeste Holm</t>
  </si>
  <si>
    <t>The Treasure of the Sierra Madre</t>
  </si>
  <si>
    <t>Adventure, Drama, Western</t>
  </si>
  <si>
    <t>Two Americans searching for work in Mexico convince an old prospector to help them mine for gold in the Sierra Madre Mountains.</t>
  </si>
  <si>
    <t>John Huston</t>
  </si>
  <si>
    <t>Walter Huston</t>
  </si>
  <si>
    <t>Tim Holt</t>
  </si>
  <si>
    <t>Bruce Bennett</t>
  </si>
  <si>
    <t>To Be or Not to Be</t>
  </si>
  <si>
    <t>Comedy, War</t>
  </si>
  <si>
    <t>During the Nazi occupation of Poland, an acting troupe becomes embroiled in a Polish soldier's efforts to track down a German spy.</t>
  </si>
  <si>
    <t>Ernst Lubitsch</t>
  </si>
  <si>
    <t>Carole Lombard</t>
  </si>
  <si>
    <t>Jack Benny</t>
  </si>
  <si>
    <t>Robert Stack</t>
  </si>
  <si>
    <t>Felix Bressart</t>
  </si>
  <si>
    <t>The Gold Rush</t>
  </si>
  <si>
    <t>A prospector goes to the Klondike in search of gold and finds it and more.</t>
  </si>
  <si>
    <t>Mack Swain</t>
  </si>
  <si>
    <t>Tom Murray</t>
  </si>
  <si>
    <t>Sherlock Jr.</t>
  </si>
  <si>
    <t>45 min</t>
  </si>
  <si>
    <t>A film projectionist longs to be a detective, and puts his meagre skills to work when he is framed by a rival for stealing his girlfriend's father's pocketwatch.</t>
  </si>
  <si>
    <t>Buster Keaton</t>
  </si>
  <si>
    <t>Kathryn McGuire</t>
  </si>
  <si>
    <t>Joe Keaton</t>
  </si>
  <si>
    <t>Erwin Connelly</t>
  </si>
  <si>
    <t>Portrait de la jeune fille en feu</t>
  </si>
  <si>
    <t>On an isolated island in Brittany at the end of the eighteenth century, a female painter is obliged to paint a wedding portrait of a young woman.</t>
  </si>
  <si>
    <t>Céline Sciamma</t>
  </si>
  <si>
    <t>Noémie Merlant</t>
  </si>
  <si>
    <t>Adèle Haenel</t>
  </si>
  <si>
    <t>Luàna Bajrami</t>
  </si>
  <si>
    <t>Valeria Golino</t>
  </si>
  <si>
    <t>Pink</t>
  </si>
  <si>
    <t>Drama, Thriller</t>
  </si>
  <si>
    <t>When three young women are implicated in a crime, a retired lawyer steps forward to help them clear their names.</t>
  </si>
  <si>
    <t>Aniruddha Roy Chowdhury</t>
  </si>
  <si>
    <t>Taapsee Pannu</t>
  </si>
  <si>
    <t>Kirti Kulhari</t>
  </si>
  <si>
    <t>Andrea Tariang</t>
  </si>
  <si>
    <t>Koe no katachi</t>
  </si>
  <si>
    <t>Animation, Drama, Family</t>
  </si>
  <si>
    <t>A young man is ostracized by his classmates after he bullies a deaf girl to the point where she moves away. Years later, he sets off on a path for redemption.</t>
  </si>
  <si>
    <t>Naoko Yamada</t>
  </si>
  <si>
    <t>Saori Hayami</t>
  </si>
  <si>
    <t>Kenshô Ono</t>
  </si>
  <si>
    <t>Contratiempo</t>
  </si>
  <si>
    <t>TV-MA</t>
  </si>
  <si>
    <t>A successful entrepreneur accused of murder and a witness preparation expert have less than three hours to come up with an impregnable defense.</t>
  </si>
  <si>
    <t>Oriol Paulo</t>
  </si>
  <si>
    <t>Mario Casas</t>
  </si>
  <si>
    <t>Ana Wagener</t>
  </si>
  <si>
    <t>Jose Coronado</t>
  </si>
  <si>
    <t>Bárbara Lennie</t>
  </si>
  <si>
    <t>Ah-ga-ssi</t>
  </si>
  <si>
    <t>145 min</t>
  </si>
  <si>
    <t>Drama, Romance, Thriller</t>
  </si>
  <si>
    <t>A woman is hired as a handmaiden to a Japanese heiress, but secretly she is involved in a plot to defraud her.</t>
  </si>
  <si>
    <t>Kim Min-hee</t>
  </si>
  <si>
    <t>Jung-woo Ha</t>
  </si>
  <si>
    <t>Cho Jin-woong</t>
  </si>
  <si>
    <t>Moon So-Ri</t>
  </si>
  <si>
    <t>Mommy</t>
  </si>
  <si>
    <t>A widowed single mother, raising her violent son alone, finds new hope when a mysterious neighbor inserts herself into their household.</t>
  </si>
  <si>
    <t>Xavier Dolan</t>
  </si>
  <si>
    <t>Anne Dorval</t>
  </si>
  <si>
    <t>Antoine Olivier Pilon</t>
  </si>
  <si>
    <t>Suzanne Clément</t>
  </si>
  <si>
    <t>Patrick Huard</t>
  </si>
  <si>
    <t>Haider</t>
  </si>
  <si>
    <t>901,61</t>
  </si>
  <si>
    <t>A young man returns to Kashmir after his father's disappearance to confront his uncle, whom he suspects of playing a role in his father's fate.</t>
  </si>
  <si>
    <t>Vishal Bhardwaj</t>
  </si>
  <si>
    <t>Shahid Kapoor</t>
  </si>
  <si>
    <t>Kay Kay Menon</t>
  </si>
  <si>
    <t>Logan</t>
  </si>
  <si>
    <t>In a future where mutants are nearly extinct, an elderly and weary Logan leads a quiet life. But when Laura, a mutant child pursued by scientists, comes to him for help, he must get her to safety.</t>
  </si>
  <si>
    <t>James Mangold</t>
  </si>
  <si>
    <t>Patrick Stewart</t>
  </si>
  <si>
    <t>Dafne Keen</t>
  </si>
  <si>
    <t>Boyd Holbrook</t>
  </si>
  <si>
    <t>Room</t>
  </si>
  <si>
    <t>Held captive for 7 years in an enclosed space, a woman and her young son finally gain their freedom, allowing the boy to experience the outside world for the first time.</t>
  </si>
  <si>
    <t>Lenny Abrahamson</t>
  </si>
  <si>
    <t>Brie Larson</t>
  </si>
  <si>
    <t>Jacob Tremblay</t>
  </si>
  <si>
    <t>Sean Bridgers</t>
  </si>
  <si>
    <t>Wendy Crewson</t>
  </si>
  <si>
    <t>Relatos salvajes</t>
  </si>
  <si>
    <t>Six short stories that explore the extremities of human behavior involving people in distress.</t>
  </si>
  <si>
    <t>Damián Szifron</t>
  </si>
  <si>
    <t>Darío Grandinetti</t>
  </si>
  <si>
    <t>María Marull</t>
  </si>
  <si>
    <t>Mónica Villa</t>
  </si>
  <si>
    <t>Diego Starosta</t>
  </si>
  <si>
    <t>Soul</t>
  </si>
  <si>
    <t>100 min</t>
  </si>
  <si>
    <t>After landing the gig of a lifetime, a New York jazz pianist suddenly finds himself trapped in a strange land between Earth and the afterlife.</t>
  </si>
  <si>
    <t>Kemp Powers</t>
  </si>
  <si>
    <t>Tina Fey</t>
  </si>
  <si>
    <t>Graham Norton</t>
  </si>
  <si>
    <t>Kis Uykusu</t>
  </si>
  <si>
    <t>165,52</t>
  </si>
  <si>
    <t>196 min</t>
  </si>
  <si>
    <t>A hotel owner and landlord in a remote Turkish village deals with conflicts within his family and a tenant behind on his rent.</t>
  </si>
  <si>
    <t>Nuri Bilge Ceylan</t>
  </si>
  <si>
    <t>Haluk Bilginer</t>
  </si>
  <si>
    <t>Melisa Sözen</t>
  </si>
  <si>
    <t>Demet Akbag</t>
  </si>
  <si>
    <t>Ayberk Pekcan</t>
  </si>
  <si>
    <t>PK</t>
  </si>
  <si>
    <t>Comedy, Drama, Musical</t>
  </si>
  <si>
    <t>An alien on Earth loses the only device he can use to communicate with his spaceship. His innocent nature and child-like questions force the country to evaluate the impact of religion on its people.</t>
  </si>
  <si>
    <t>Anushka Sharma</t>
  </si>
  <si>
    <t>Sanjay Dutt</t>
  </si>
  <si>
    <t>Boman Irani</t>
  </si>
  <si>
    <t>OMG: Oh My God!</t>
  </si>
  <si>
    <t>Comedy, Drama, Fantasy</t>
  </si>
  <si>
    <t>A shopkeeper takes God to court when his shop is destroyed by an earthquake.</t>
  </si>
  <si>
    <t>Umesh Shukla</t>
  </si>
  <si>
    <t>Mithun Chakraborty</t>
  </si>
  <si>
    <t>Mahesh Manjrekar</t>
  </si>
  <si>
    <t>The Grand Budapest Hotel</t>
  </si>
  <si>
    <t>Adventure, Comedy, Crime</t>
  </si>
  <si>
    <t>A writer encounters the owner of an aging high-class hotel, who tells him of his early years serving as a lobby boy in the hotel's glorious years under an exceptional concierge.</t>
  </si>
  <si>
    <t>Wes Anderson</t>
  </si>
  <si>
    <t>Mathieu Amalric</t>
  </si>
  <si>
    <t>Gone Girl</t>
  </si>
  <si>
    <t>With his wife's disappearance having become the focus of an intense media circus, a man sees the spotlight turned on him when it's suspected that he may not be innocent.</t>
  </si>
  <si>
    <t>Rosamund Pike</t>
  </si>
  <si>
    <t>Neil Patrick Harris</t>
  </si>
  <si>
    <t>Tyler Perry</t>
  </si>
  <si>
    <t>Ôkami kodomo no Ame to Yuki</t>
  </si>
  <si>
    <t>After her werewolf lover unexpectedly dies in an accident while hunting for food for their children, a young woman must find ways to raise the werewolf son and daughter that she had with him while keeping their trait hidden from society.</t>
  </si>
  <si>
    <t>Mamoru Hosoda</t>
  </si>
  <si>
    <t>Aoi Miyazaki</t>
  </si>
  <si>
    <t>Takao Osawa</t>
  </si>
  <si>
    <t>Haru Kuroki</t>
  </si>
  <si>
    <t>Yukito Nishii</t>
  </si>
  <si>
    <t>Hacksaw Ridge</t>
  </si>
  <si>
    <t>World War II American Army Medic Desmond T. Doss, who served during the Battle of Okinawa, refuses to kill people, and becomes the first man in American history to receive the Medal of Honor without firing a shot.</t>
  </si>
  <si>
    <t>Andrew Garfield</t>
  </si>
  <si>
    <t>Sam Worthington</t>
  </si>
  <si>
    <t>Luke Bracey</t>
  </si>
  <si>
    <t>Teresa Palmer</t>
  </si>
  <si>
    <t>Inside Out</t>
  </si>
  <si>
    <t>After young Riley is uprooted from her Midwest life and moved to San Francisco, her emotions - Joy, Fear, Anger, Disgust and Sadness - conflict on how best to navigate a new city, house, and school.</t>
  </si>
  <si>
    <t>Ronnie Del Carmen</t>
  </si>
  <si>
    <t>Amy Poehler</t>
  </si>
  <si>
    <t>Bill Hader</t>
  </si>
  <si>
    <t>Lewis Black</t>
  </si>
  <si>
    <t>Barfi!</t>
  </si>
  <si>
    <t>Three young people learn that love can neither be defined nor contained by society's definition of normal and abnormal.</t>
  </si>
  <si>
    <t>Anurag Basu</t>
  </si>
  <si>
    <t>Ranbir Kapoor</t>
  </si>
  <si>
    <t>Priyanka Chopra</t>
  </si>
  <si>
    <t>Ileana D'Cruz</t>
  </si>
  <si>
    <t>Saurabh Shukla</t>
  </si>
  <si>
    <t>12 Years a Slave</t>
  </si>
  <si>
    <t>In the antebellum United States, Solomon Northup, a free black man from upstate New York, is abducted and sold into slavery.</t>
  </si>
  <si>
    <t>Chiwetel Ejiofor</t>
  </si>
  <si>
    <t>Michael Kenneth Williams</t>
  </si>
  <si>
    <t>Michael Fassbender</t>
  </si>
  <si>
    <t>Rush</t>
  </si>
  <si>
    <t>The merciless 1970s rivalry between Formula One rivals James Hunt and Niki Lauda.</t>
  </si>
  <si>
    <t>Daniel Brühl</t>
  </si>
  <si>
    <t>Olivia Wilde</t>
  </si>
  <si>
    <t>Ford v Ferrari</t>
  </si>
  <si>
    <t>American car designer Carroll Shelby and driver Ken Miles battle corporate interference and the laws of physics to build a revolutionary race car for Ford in order to defeat Ferrari at the 24 Hours of Le Mans in 1966.</t>
  </si>
  <si>
    <t>Jon Bernthal</t>
  </si>
  <si>
    <t>Caitriona Balfe</t>
  </si>
  <si>
    <t>Spotlight</t>
  </si>
  <si>
    <t>The true story of how the Boston Globe uncovered the massive scandal of child molestation and cover-up within the local Catholic Archdiocese, shaking the entire Catholic Church to its core.</t>
  </si>
  <si>
    <t>Tom McCarthy</t>
  </si>
  <si>
    <t>Michael Keaton</t>
  </si>
  <si>
    <t>Rachel McAdams</t>
  </si>
  <si>
    <t>Liev Schreiber</t>
  </si>
  <si>
    <t>Song of the Sea</t>
  </si>
  <si>
    <t>93 min</t>
  </si>
  <si>
    <t>Ben, a young Irish boy, and his little sister Saoirse, a girl who can turn into a seal, go on an adventure to free the fairies and save the spirit world.</t>
  </si>
  <si>
    <t>Tomm Moore</t>
  </si>
  <si>
    <t>David Rawle</t>
  </si>
  <si>
    <t>Brendan Gleeson</t>
  </si>
  <si>
    <t>Lisa Hannigan</t>
  </si>
  <si>
    <t>Fionnula Flanagan</t>
  </si>
  <si>
    <t>Kahaani</t>
  </si>
  <si>
    <t>A pregnant woman's search for her missing husband takes her from London to Kolkata, but everyone she questions denies having ever met him.</t>
  </si>
  <si>
    <t>Sujoy Ghosh</t>
  </si>
  <si>
    <t>Vidya Balan</t>
  </si>
  <si>
    <t>Parambrata Chattopadhyay</t>
  </si>
  <si>
    <t>Indraneil Sengupta</t>
  </si>
  <si>
    <t>Zindagi Na Milegi Dobara</t>
  </si>
  <si>
    <t>Three friends decide to turn their fantasy vacation into reality after one of their friends gets engaged.</t>
  </si>
  <si>
    <t>Zoya Akhtar</t>
  </si>
  <si>
    <t>Hrithik Roshan</t>
  </si>
  <si>
    <t>Abhay Deol</t>
  </si>
  <si>
    <t>Katrina Kaif</t>
  </si>
  <si>
    <t>Prisoners</t>
  </si>
  <si>
    <t>When Keller Dover's daughter and her friend go missing, he takes matters into his own hands as the police pursue multiple leads and the pressure mounts.</t>
  </si>
  <si>
    <t>Jake Gyllenhaal</t>
  </si>
  <si>
    <t>Viola Davis</t>
  </si>
  <si>
    <t>Melissa Leo</t>
  </si>
  <si>
    <t>Mad Max: Fury Road</t>
  </si>
  <si>
    <t>120 min</t>
  </si>
  <si>
    <t>In a post-apocalyptic wasteland, a woman rebels against a tyrannical ruler in search for her homeland with the aid of a group of female prisoners, a psychotic worshiper, and a drifter named Max.</t>
  </si>
  <si>
    <t>George Miller</t>
  </si>
  <si>
    <t>Charlize Theron</t>
  </si>
  <si>
    <t>Nicholas Hoult</t>
  </si>
  <si>
    <t>Zoë Kravitz</t>
  </si>
  <si>
    <t>A Wednesday</t>
  </si>
  <si>
    <t>A retiring police officer reminisces about the most astounding day of his career. About a case that was never filed but continues to haunt him in his memories - the case of a man and a Wednesday.</t>
  </si>
  <si>
    <t>Neeraj Pandey</t>
  </si>
  <si>
    <t>Anupam Kher</t>
  </si>
  <si>
    <t>Naseeruddin Shah</t>
  </si>
  <si>
    <t>Jimmy Sheirgill</t>
  </si>
  <si>
    <t>Aamir Bashir</t>
  </si>
  <si>
    <t>Gran Torino</t>
  </si>
  <si>
    <t>Disgruntled Korean War veteran Walt Kowalski sets out to reform his neighbor, Thao Lor, a Hmong teenager who tried to steal Kowalski's prized possession: a 1972 Gran Torino.</t>
  </si>
  <si>
    <t>Bee Vang</t>
  </si>
  <si>
    <t>Christopher Carley</t>
  </si>
  <si>
    <t>Ahney Her</t>
  </si>
  <si>
    <t>Harry Potter and the Deathly Hallows: Part 2</t>
  </si>
  <si>
    <t>Adventure, Drama, Fantasy</t>
  </si>
  <si>
    <t>Harry, Ron, and Hermione search for Voldemort's remaining Horcruxes in their effort to destroy the Dark Lord as the final battle rages on at Hogwarts.</t>
  </si>
  <si>
    <t>David Yates</t>
  </si>
  <si>
    <t>Daniel Radcliffe</t>
  </si>
  <si>
    <t>Emma Watson</t>
  </si>
  <si>
    <t>Rupert Grint</t>
  </si>
  <si>
    <t>Michael Gambon</t>
  </si>
  <si>
    <t>Okuribito</t>
  </si>
  <si>
    <t>A newly unemployed cellist takes a job preparing the dead for funerals.</t>
  </si>
  <si>
    <t>Yôjirô Takita</t>
  </si>
  <si>
    <t>Masahiro Motoki</t>
  </si>
  <si>
    <t>Ryôko Hirosue</t>
  </si>
  <si>
    <t>Tsutomu Yamazaki</t>
  </si>
  <si>
    <t>Kazuko Yoshiyuki</t>
  </si>
  <si>
    <t>Hachi: A Dog's Tale</t>
  </si>
  <si>
    <t>Biography, Drama, Family</t>
  </si>
  <si>
    <t>A college professor bonds with an abandoned dog he takes into his home.</t>
  </si>
  <si>
    <t>Lasse Hallström</t>
  </si>
  <si>
    <t>Richard Gere</t>
  </si>
  <si>
    <t>Joan Allen</t>
  </si>
  <si>
    <t>Cary-Hiroyuki Tagawa</t>
  </si>
  <si>
    <t>Sarah Roemer</t>
  </si>
  <si>
    <t>Mary and Max</t>
  </si>
  <si>
    <t>92 min</t>
  </si>
  <si>
    <t>Animation, Comedy, Drama</t>
  </si>
  <si>
    <t>A tale of friendship between two unlikely pen pals: Mary, a lonely, eight-year-old girl living in the suburbs of Melbourne, and Max, a forty-four-year old, severely obese man living in New York.</t>
  </si>
  <si>
    <t>Adam Elliot</t>
  </si>
  <si>
    <t>Toni Collette</t>
  </si>
  <si>
    <t>Philip Seymour Hoffman</t>
  </si>
  <si>
    <t>Eric Bana</t>
  </si>
  <si>
    <t>Barry Humphries</t>
  </si>
  <si>
    <t>How to Train Your Dragon</t>
  </si>
  <si>
    <t>A hapless young Viking who aspires to hunt dragons becomes the unlikely friend of a young dragon himself, and learns there may be more to the creatures than he assumed.</t>
  </si>
  <si>
    <t>Dean DeBlois</t>
  </si>
  <si>
    <t>Chris Sanders</t>
  </si>
  <si>
    <t>Jay Baruchel</t>
  </si>
  <si>
    <t>Gerard Butler</t>
  </si>
  <si>
    <t>Christopher Mintz-Plasse</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</si>
  <si>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</si>
  <si>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</si>
  <si>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t>
  </si>
  <si>
    <t>Emile Hirsch</t>
  </si>
  <si>
    <t>Vince Vaughn</t>
  </si>
  <si>
    <t>Catherine Keener</t>
  </si>
  <si>
    <t>Marcia Gay Harden</t>
  </si>
  <si>
    <t>No Country for Old Men</t>
  </si>
  <si>
    <t>Violence and mayhem ensue after a hunter stumbles upon a drug deal gone wrong and more than two million dollars in cash near the Rio Grande.</t>
  </si>
  <si>
    <t>Ethan Coen</t>
  </si>
  <si>
    <t>Joel Coen</t>
  </si>
  <si>
    <t>Tommy Lee Jones</t>
  </si>
  <si>
    <t>Javier Bardem</t>
  </si>
  <si>
    <t>Josh Brolin</t>
  </si>
  <si>
    <t>Lage Raho Munna Bhai</t>
  </si>
  <si>
    <t>144 min</t>
  </si>
  <si>
    <t>Munna Bhai embarks on a journey with Mahatma Gandhi in order to fight against a corrupt property dealer.</t>
  </si>
  <si>
    <t>Arshad Warsi</t>
  </si>
  <si>
    <t>Million Dollar Baby</t>
  </si>
  <si>
    <t>Drama, Sport</t>
  </si>
  <si>
    <t>A determined woman works with a hardened boxing trainer to become a professional.</t>
  </si>
  <si>
    <t>Hilary Swank</t>
  </si>
  <si>
    <t>Hotel Rwanda</t>
  </si>
  <si>
    <t>Paul Rusesabagina, a hotel manager, houses over a thousand Tutsi refugees during their struggle against the Hutu militia in Rwanda, Africa.</t>
  </si>
  <si>
    <t>Terry George</t>
  </si>
  <si>
    <t>Don Cheadle</t>
  </si>
  <si>
    <t>Sophie Okonedo</t>
  </si>
  <si>
    <t>Xolani Mali</t>
  </si>
  <si>
    <t>Taegukgi hwinalrimyeo</t>
  </si>
  <si>
    <t>When two brothers are forced to fight in the Korean War, the elder decides to take the riskiest missions if it will help shield the younger from battle.</t>
  </si>
  <si>
    <t>Je-kyu Kang</t>
  </si>
  <si>
    <t>Jang Dong-Gun</t>
  </si>
  <si>
    <t>Won Bin</t>
  </si>
  <si>
    <t>Eun-ju Lee</t>
  </si>
  <si>
    <t>Hyeong-jin Kong</t>
  </si>
  <si>
    <t>Before Sunset</t>
  </si>
  <si>
    <t>80 min</t>
  </si>
  <si>
    <t>Nine years after Jesse and Celine first met, they encounter each other again on the French leg of Jesse's book tour.</t>
  </si>
  <si>
    <t>Richard Linklater</t>
  </si>
  <si>
    <t>Ethan Hawke</t>
  </si>
  <si>
    <t>Julie Delpy</t>
  </si>
  <si>
    <t>Vernon Dobtcheff</t>
  </si>
  <si>
    <t>Louise Lemoine Torrès</t>
  </si>
  <si>
    <t>Munna Bhai M.B.B.S.</t>
  </si>
  <si>
    <t>A gangster sets out to fulfill his father's dream of becoming a doctor.</t>
  </si>
  <si>
    <t>Gracy Singh</t>
  </si>
  <si>
    <t>Sunil Dutt</t>
  </si>
  <si>
    <t>Salinui chueok</t>
  </si>
  <si>
    <t>In a small Korean province in 1986, two detectives struggle with the case of multiple young women being found raped and murdered by an unknown culprit.</t>
  </si>
  <si>
    <t>Kim Sang-kyung</t>
  </si>
  <si>
    <t>Roe-ha Kim</t>
  </si>
  <si>
    <t>Jae-ho Song</t>
  </si>
  <si>
    <t>Dil Chahta Hai</t>
  </si>
  <si>
    <t>Unrated</t>
  </si>
  <si>
    <t>183 min</t>
  </si>
  <si>
    <t>Three inseparable childhood friends are just out of college. Nothing comes between them - until they each fall in love, and their wildly different approaches to relationships creates tension.</t>
  </si>
  <si>
    <t>Saif Ali Khan</t>
  </si>
  <si>
    <t>Akshaye Khanna</t>
  </si>
  <si>
    <t>Preity Zinta</t>
  </si>
  <si>
    <t>Kill Bill: Vol. 1</t>
  </si>
  <si>
    <t>111 min</t>
  </si>
  <si>
    <t>After awakening from a four-year coma, a former assassin wreaks vengeance on the team of assassins who betrayed her.</t>
  </si>
  <si>
    <t>David Carradine</t>
  </si>
  <si>
    <t>Daryl Hannah</t>
  </si>
  <si>
    <t>Finding Nemo</t>
  </si>
  <si>
    <t>After his son is captured in the Great Barrier Reef and taken to Sydney, a timid clownfish sets out on a journey to bring him home.</t>
  </si>
  <si>
    <t>Ellen DeGeneres</t>
  </si>
  <si>
    <t>Alexander Gould</t>
  </si>
  <si>
    <t>Catch Me If You Can</t>
  </si>
  <si>
    <t>141 min</t>
  </si>
  <si>
    <t>Barely 21 yet, Frank is a skilled forger who has passed as a doctor, lawyer and pilot. FBI agent Carl becomes obsessed with tracking down the con man, who only revels in the pursuit.</t>
  </si>
  <si>
    <t>Christopher Walken</t>
  </si>
  <si>
    <t>Amores perros</t>
  </si>
  <si>
    <t>A horrific car accident connects three stories, each involving characters dealing with loss, regret, and life's harsh realities, all in the name of love.</t>
  </si>
  <si>
    <t>Alejandro G. Iñárritu</t>
  </si>
  <si>
    <t>Emilio Echevarría</t>
  </si>
  <si>
    <t>Goya Toledo</t>
  </si>
  <si>
    <t>Álvaro Guerrero</t>
  </si>
  <si>
    <t>Monsters, Inc.</t>
  </si>
  <si>
    <t>In order to power the city, monsters have to scare children so that they scream. However, the children are toxic to the monsters, and after a child gets through, 2 monsters realize things may not be what they think.</t>
  </si>
  <si>
    <t>David Silverman</t>
  </si>
  <si>
    <t>Billy Crystal</t>
  </si>
  <si>
    <t>John Goodman</t>
  </si>
  <si>
    <t>Shin seiki Evangelion Gekijô-ban: Air/Magokoro wo, kimi ni</t>
  </si>
  <si>
    <t>Animation, Action, Drama</t>
  </si>
  <si>
    <t>Concurrent theatrical ending of the TV series Shin seiki evangerion (1995).</t>
  </si>
  <si>
    <t>Hideaki Anno</t>
  </si>
  <si>
    <t>Kazuya Tsurumaki</t>
  </si>
  <si>
    <t>Megumi Ogata</t>
  </si>
  <si>
    <t>Megumi Hayashibara</t>
  </si>
  <si>
    <t>Yûko Miyamura</t>
  </si>
  <si>
    <t>Lagaan: Once Upon a Time in India</t>
  </si>
  <si>
    <t>224 min</t>
  </si>
  <si>
    <t>Adventure, Drama, Musical</t>
  </si>
  <si>
    <t>The people of a small village in Victorian India stake their future on a game of cricket against their ruthless British rulers.</t>
  </si>
  <si>
    <t>Raghuvir Yadav</t>
  </si>
  <si>
    <t>Rachel Shelley</t>
  </si>
  <si>
    <t>The Sixth Sense</t>
  </si>
  <si>
    <t>A boy who communicates with spirits seeks the help of a disheartened child psychologist.</t>
  </si>
  <si>
    <t>M. Night Shyamalan</t>
  </si>
  <si>
    <t>Haley Joel Osment</t>
  </si>
  <si>
    <t>Olivia Williams</t>
  </si>
  <si>
    <t>La leggenda del pianista sull'oceano</t>
  </si>
  <si>
    <t>Drama, Music, Romance</t>
  </si>
  <si>
    <t>A baby boy, discovered in 1900 on an ocean liner, grows into a musical prodigy, never setting foot on land.</t>
  </si>
  <si>
    <t>Pruitt Taylor Vince</t>
  </si>
  <si>
    <t>Mélanie Thierry</t>
  </si>
  <si>
    <t>Bill Nunn</t>
  </si>
  <si>
    <t>The Truman Show</t>
  </si>
  <si>
    <t>An insurance salesman discovers his whole life is actually a reality TV show.</t>
  </si>
  <si>
    <t>Peter Weir</t>
  </si>
  <si>
    <t>Laura Linney</t>
  </si>
  <si>
    <t>Noah Emmerich</t>
  </si>
  <si>
    <t>Crna macka, beli macor</t>
  </si>
  <si>
    <t>348,66</t>
  </si>
  <si>
    <t>Comedy, Crime, Romance</t>
  </si>
  <si>
    <t>Matko and his son Zare live on the banks of the Danube river and get by through hustling and basically doing anything to make a living. In order to pay off a business debt Matko agrees to marry off Zare to the sister of a local gangster.</t>
  </si>
  <si>
    <t>Bajram Severdzan</t>
  </si>
  <si>
    <t>Srdjan 'Zika' Todorovic</t>
  </si>
  <si>
    <t>Branka Katic</t>
  </si>
  <si>
    <t>Florijan Ajdini</t>
  </si>
  <si>
    <t>The Big Lebowski</t>
  </si>
  <si>
    <t>Comedy, Crime, Sport</t>
  </si>
  <si>
    <t>Jeff "The Dude" Lebowski, mistaken for a millionaire of the same name, seeks restitution for his ruined rug and enlists his bowling buddies to help get it.</t>
  </si>
  <si>
    <t>Jeff Bridges</t>
  </si>
  <si>
    <t>Julianne Moore</t>
  </si>
  <si>
    <t>Fa yeung nin wah</t>
  </si>
  <si>
    <t>Two neighbors, a woman and a man, form a strong bond after both suspect extramarital activities of their spouses. However, they agree to keep their bond platonic so as not to commit similar wrongs.</t>
  </si>
  <si>
    <t>Kar-Wai Wong</t>
  </si>
  <si>
    <t>Tony Chiu-Wai Leung</t>
  </si>
  <si>
    <t>Maggie Cheung</t>
  </si>
  <si>
    <t>Ping Lam Siu</t>
  </si>
  <si>
    <t>Tung Cho 'Joe' Cheung</t>
  </si>
  <si>
    <t>Trainspotting</t>
  </si>
  <si>
    <t>Renton, deeply immersed in the Edinburgh drug scene, tries to clean up and get out, despite the allure of the drugs and influence of friends.</t>
  </si>
  <si>
    <t>Danny Boyle</t>
  </si>
  <si>
    <t>Ewan McGregor</t>
  </si>
  <si>
    <t>Ewen Bremner</t>
  </si>
  <si>
    <t>Jonny Lee Miller</t>
  </si>
  <si>
    <t>Kevin McKidd</t>
  </si>
  <si>
    <t>Fargo</t>
  </si>
  <si>
    <t>Jerry Lundegaard's inept crime falls apart due to his and his henchmen's bungling and the persistent police work of the quite pregnant Marge Gunderson.</t>
  </si>
  <si>
    <t>William H. Macy</t>
  </si>
  <si>
    <t>Steve Buscemi</t>
  </si>
  <si>
    <t>Underground</t>
  </si>
  <si>
    <t>A group of Serbian socialists prepares for the war in a surreal underground filled by parties, tragedies, love and hate.</t>
  </si>
  <si>
    <t>Predrag 'Miki' Manojlovic</t>
  </si>
  <si>
    <t>Lazar Ristovski</t>
  </si>
  <si>
    <t>Mirjana Jokovic</t>
  </si>
  <si>
    <t>Slavko Stimac</t>
  </si>
  <si>
    <t>La haine</t>
  </si>
  <si>
    <t>24 hours in the lives of three young men in the French suburbs the day after a violent riot.</t>
  </si>
  <si>
    <t>Vincent Cassel</t>
  </si>
  <si>
    <t>Hubert Koundé</t>
  </si>
  <si>
    <t>Saïd Taghmaoui</t>
  </si>
  <si>
    <t>Abdel Ahmed Ghili</t>
  </si>
  <si>
    <t>Dilwale Dulhania Le Jayenge</t>
  </si>
  <si>
    <t>When Raj meets Simran in Europe, it isn't love at first sight but when Simran moves to India for an arranged marriage, love makes its presence felt.</t>
  </si>
  <si>
    <t>Aditya Chopra</t>
  </si>
  <si>
    <t>Kajol</t>
  </si>
  <si>
    <t>Amrish Puri</t>
  </si>
  <si>
    <t>Farida Jalal</t>
  </si>
  <si>
    <t>Before Sunrise</t>
  </si>
  <si>
    <t>A young man and woman meet on a train in Europe, and wind up spending one evening together in Vienna. Unfortunately, both know that this will probably be their only night together.</t>
  </si>
  <si>
    <t>Andrea Eckert</t>
  </si>
  <si>
    <t>Hanno Pöschl</t>
  </si>
  <si>
    <t>Trois couleurs: Rouge</t>
  </si>
  <si>
    <t>A model discovers a retired judge is keen on invading people's privacy.</t>
  </si>
  <si>
    <t>Krzysztof Kieslowski</t>
  </si>
  <si>
    <t>Irène Jacob</t>
  </si>
  <si>
    <t>Jean-Louis Trintignant</t>
  </si>
  <si>
    <t>Frédérique Feder</t>
  </si>
  <si>
    <t>Jean-Pierre Lorit</t>
  </si>
  <si>
    <t>Chung Hing sam lam</t>
  </si>
  <si>
    <t>600,2</t>
  </si>
  <si>
    <t>Two melancholy Hong Kong policemen fall in love: one with a mysterious female underworld figure, the other with a beautiful and ethereal server at a late-night restaurant he frequents.</t>
  </si>
  <si>
    <t>Brigitte Lin</t>
  </si>
  <si>
    <t>Takeshi Kaneshiro</t>
  </si>
  <si>
    <t>Faye Wong</t>
  </si>
  <si>
    <t>Jurassic Park</t>
  </si>
  <si>
    <t>A pragmatic paleontologist visiting an almost complete theme park is tasked with protecting a couple of kids after a power failure causes the park's cloned dinosaurs to run loose.</t>
  </si>
  <si>
    <t>Sam Neill</t>
  </si>
  <si>
    <t>Laura Dern</t>
  </si>
  <si>
    <t>Jeff Goldblum</t>
  </si>
  <si>
    <t>In the Name of the Father</t>
  </si>
  <si>
    <t>A man's coerced confession to an I.R.A. bombing he did not commit results in the imprisonment of his father as well. An English lawyer fights to free them.</t>
  </si>
  <si>
    <t>Jim Sheridan</t>
  </si>
  <si>
    <t>Pete Postlethwaite</t>
  </si>
  <si>
    <t>Alison Crosbie</t>
  </si>
  <si>
    <t>Philip King</t>
  </si>
  <si>
    <t>Ba wang bie ji</t>
  </si>
  <si>
    <t>171 min</t>
  </si>
  <si>
    <t>Two boys meet at an opera training school in Peking in 1924. Their resulting friendship will span nearly 70 years and will endure some of the most troublesome times in China's history.</t>
  </si>
  <si>
    <t>Kaige Chen</t>
  </si>
  <si>
    <t>Leslie Cheung</t>
  </si>
  <si>
    <t>Fengyi Zhang</t>
  </si>
  <si>
    <t>Gong Li</t>
  </si>
  <si>
    <t>You Ge</t>
  </si>
  <si>
    <t>Dà hóng denglong gaogao guà</t>
  </si>
  <si>
    <t>Drama, History, Romance</t>
  </si>
  <si>
    <t>A young woman becomes the fourth wife of a wealthy lord, and must learn to live with the strict rules and tensions within the household.</t>
  </si>
  <si>
    <t>Yimou Zhang</t>
  </si>
  <si>
    <t>Jingwu Ma</t>
  </si>
  <si>
    <t>Saifei He</t>
  </si>
  <si>
    <t>Cuifen Cao</t>
  </si>
  <si>
    <t>Dead Poets Society</t>
  </si>
  <si>
    <t>Maverick teacher John Keating uses poetry to embolden his boarding school students to new heights of self-expression.</t>
  </si>
  <si>
    <t>Robert Sean Leonard</t>
  </si>
  <si>
    <t>Josh Charles</t>
  </si>
  <si>
    <t>Stand by Me</t>
  </si>
  <si>
    <t>Adventure, Drama</t>
  </si>
  <si>
    <t>After the death of one of his friends, a writer recounts a childhood journey with his friends to find the body of a missing boy.</t>
  </si>
  <si>
    <t>Rob Reiner</t>
  </si>
  <si>
    <t>Wil Wheaton</t>
  </si>
  <si>
    <t>River Phoenix</t>
  </si>
  <si>
    <t>Corey Feldman</t>
  </si>
  <si>
    <t>Jerry O'Connell</t>
  </si>
  <si>
    <t>Platoon</t>
  </si>
  <si>
    <t>Chris Taylor, a neophyte recruit in Vietnam, finds himself caught in a battle of wills between two sergeants, one good and the other evil. A shrewd examination of the brutality of war and the duality of man in conflict.</t>
  </si>
  <si>
    <t>Oliver Stone</t>
  </si>
  <si>
    <t>Charlie Sheen</t>
  </si>
  <si>
    <t>Tom Berenger</t>
  </si>
  <si>
    <t>Willem Dafoe</t>
  </si>
  <si>
    <t>Keith David</t>
  </si>
  <si>
    <t>Paris, Texas</t>
  </si>
  <si>
    <t>Travis Henderson, an aimless drifter who has been missing for four years, wanders out of the desert and must reconnect with society, himself, his life, and his family.</t>
  </si>
  <si>
    <t>Wim Wenders</t>
  </si>
  <si>
    <t>Harry Dean Stanton</t>
  </si>
  <si>
    <t>Nastassja Kinski</t>
  </si>
  <si>
    <t>Dean Stockwell</t>
  </si>
  <si>
    <t>Aurore Clément</t>
  </si>
  <si>
    <t>Kaze no tani no Naushika</t>
  </si>
  <si>
    <t>495,77</t>
  </si>
  <si>
    <t>Animation, Adventure, Fantasy</t>
  </si>
  <si>
    <t>Warrior and pacifist Princess Nausicaä desperately struggles to prevent two warring nations from destroying themselves and their dying planet.</t>
  </si>
  <si>
    <t>Sumi Shimamoto</t>
  </si>
  <si>
    <t>Mahito Tsujimura</t>
  </si>
  <si>
    <t>Hisako Kyôda</t>
  </si>
  <si>
    <t>Gorô Naya</t>
  </si>
  <si>
    <t>The Thing</t>
  </si>
  <si>
    <t>Horror, Mystery, Sci-Fi</t>
  </si>
  <si>
    <t>A research team in Antarctica is hunted by a shape-shifting alien that assumes the appearance of its victims.</t>
  </si>
  <si>
    <t>John Carpenter</t>
  </si>
  <si>
    <t>Kurt Russell</t>
  </si>
  <si>
    <t>Wilford Brimley</t>
  </si>
  <si>
    <t>Richard Masur</t>
  </si>
  <si>
    <t>Pink Floyd: The Wall</t>
  </si>
  <si>
    <t>Drama, Fantasy, Music</t>
  </si>
  <si>
    <t>A confined but troubled rock star descends into madness in the midst of his physical and social isolation from everyone.</t>
  </si>
  <si>
    <t>Alan Parker</t>
  </si>
  <si>
    <t>Bob Geldof</t>
  </si>
  <si>
    <t>Christine Hargreaves</t>
  </si>
  <si>
    <t>James Laurenson</t>
  </si>
  <si>
    <t>Eleanor David</t>
  </si>
  <si>
    <t>Fitzcarraldo</t>
  </si>
  <si>
    <t>The story of Brian Sweeney Fitzgerald, an extremely determined man who intends to build an opera house in the middle of a jungle.</t>
  </si>
  <si>
    <t>Werner Herzog</t>
  </si>
  <si>
    <t>Klaus Kinski</t>
  </si>
  <si>
    <t>José Lewgoy</t>
  </si>
  <si>
    <t>Miguel Ángel Fuentes</t>
  </si>
  <si>
    <t>Fanny och Alexander</t>
  </si>
  <si>
    <t>188 min</t>
  </si>
  <si>
    <t>Two young Swedish children experience the many comedies and tragedies of their family, the Ekdahls.</t>
  </si>
  <si>
    <t>Bertil Guve</t>
  </si>
  <si>
    <t>Pernilla Allwin</t>
  </si>
  <si>
    <t>Kristina Adolphson</t>
  </si>
  <si>
    <t>Börje Ahlstedt</t>
  </si>
  <si>
    <t>Blade Runner</t>
  </si>
  <si>
    <t>Action, Sci-Fi, Thriller</t>
  </si>
  <si>
    <t>A blade runner must pursue and terminate four replicants who stole a ship in space, and have returned to Earth to find their creator.</t>
  </si>
  <si>
    <t>Rutger Hauer</t>
  </si>
  <si>
    <t>Sean Young</t>
  </si>
  <si>
    <t>Edward James Olmos</t>
  </si>
  <si>
    <t>The Elephant Man</t>
  </si>
  <si>
    <t>A Victorian surgeon rescues a heavily disfigured man who is mistreated while scraping a living as a side-show freak. Behind his monstrous façade, there is revealed a person of kindness, intelligence and sophistication.</t>
  </si>
  <si>
    <t>David Lynch</t>
  </si>
  <si>
    <t>Anne Bancroft</t>
  </si>
  <si>
    <t>John Gielgud</t>
  </si>
  <si>
    <t>Life of Brian</t>
  </si>
  <si>
    <t>94 min</t>
  </si>
  <si>
    <t>Born on the original Christmas in the stable next door to Jesus Christ, Brian of Nazareth spends his life being mistaken for a messiah.</t>
  </si>
  <si>
    <t>Michael Palin</t>
  </si>
  <si>
    <t>The Deer Hunter</t>
  </si>
  <si>
    <t>An in-depth examination of the ways in which the U.S. Vietnam War impacts and disrupts the lives of people in a small industrial town in Pennsylvania.</t>
  </si>
  <si>
    <t>Michael Cimino</t>
  </si>
  <si>
    <t>John Cazale</t>
  </si>
  <si>
    <t>John Savage</t>
  </si>
  <si>
    <t>Rocky</t>
  </si>
  <si>
    <t>A small-time boxer gets a supremely rare chance to fight a heavy-weight champion in a bout in which he strives to go the distance for his self-respect.</t>
  </si>
  <si>
    <t>John G. Avildsen</t>
  </si>
  <si>
    <t>Sylvester Stallone</t>
  </si>
  <si>
    <t>Talia Shire</t>
  </si>
  <si>
    <t>Burt Young</t>
  </si>
  <si>
    <t>Carl Weathers</t>
  </si>
  <si>
    <t>Network</t>
  </si>
  <si>
    <t>A television network cynically exploits a deranged former anchor's ravings and revelations about the news media for its own profit.</t>
  </si>
  <si>
    <t>Faye Dunaway</t>
  </si>
  <si>
    <t>Peter Finch</t>
  </si>
  <si>
    <t>Barry Lyndon</t>
  </si>
  <si>
    <t>185 min</t>
  </si>
  <si>
    <t>An Irish rogue wins the heart of a rich widow and assumes her dead husband's aristocratic position in 18th-century England.</t>
  </si>
  <si>
    <t>Ryan O'Neal</t>
  </si>
  <si>
    <t>Marisa Berenson</t>
  </si>
  <si>
    <t>Hardy Krüger</t>
  </si>
  <si>
    <t>Zerkalo</t>
  </si>
  <si>
    <t>A dying man in his forties remembers his past. His childhood, his mother, the war, personal moments and things that tell of the recent history of all the Russian nation.</t>
  </si>
  <si>
    <t>Margarita Terekhova</t>
  </si>
  <si>
    <t>Filipp Yankovskiy</t>
  </si>
  <si>
    <t>Ignat Daniltsev</t>
  </si>
  <si>
    <t>Oleg Yankovskiy</t>
  </si>
  <si>
    <t>Chinatown</t>
  </si>
  <si>
    <t>A private detective hired to expose an adulterer finds himself caught up in a web of deceit, corruption, and murder.</t>
  </si>
  <si>
    <t>Perry Lopez</t>
  </si>
  <si>
    <t>Paper Moon</t>
  </si>
  <si>
    <t>During the Great Depression, a con man finds himself saddled with a young girl who may or may not be his daughter, and the two forge an unlikely partnership.</t>
  </si>
  <si>
    <t>Peter Bogdanovich</t>
  </si>
  <si>
    <t>Tatum O'Neal</t>
  </si>
  <si>
    <t>Madeline Kahn</t>
  </si>
  <si>
    <t>John Hillerman</t>
  </si>
  <si>
    <t>Viskningar och rop</t>
  </si>
  <si>
    <t>When a woman dying of cancer in early twentieth-century Sweden is visited by her two sisters, long-repressed feelings between the siblings rise to the surface.</t>
  </si>
  <si>
    <t>Harriet Andersson</t>
  </si>
  <si>
    <t>Kari Sylwan</t>
  </si>
  <si>
    <t>Solaris</t>
  </si>
  <si>
    <t>A psychologist is sent to a station orbiting a distant planet in order to discover what has caused the crew to go insane.</t>
  </si>
  <si>
    <t>Natalya Bondarchuk</t>
  </si>
  <si>
    <t>Donatas Banionis</t>
  </si>
  <si>
    <t>Jüri Järvet</t>
  </si>
  <si>
    <t>Vladislav Dvorzhetskiy</t>
  </si>
  <si>
    <t>Le samouraï</t>
  </si>
  <si>
    <t>GP</t>
  </si>
  <si>
    <t>After professional hitman Jef Costello is seen by witnesses his efforts to provide himself an alibi drive him further into a corner.</t>
  </si>
  <si>
    <t>Jean-Pierre Melville</t>
  </si>
  <si>
    <t>Alain Delon</t>
  </si>
  <si>
    <t>François Périer</t>
  </si>
  <si>
    <t>Nathalie Delon</t>
  </si>
  <si>
    <t>Cathy Rosier</t>
  </si>
  <si>
    <t>Cool Hand Luke</t>
  </si>
  <si>
    <t>A laid back Southern man is sentenced to two years in a rural prison, but refuses to conform.</t>
  </si>
  <si>
    <t>Stuart Rosenberg</t>
  </si>
  <si>
    <t>George Kennedy</t>
  </si>
  <si>
    <t>Strother Martin</t>
  </si>
  <si>
    <t>J.D. Cannon</t>
  </si>
  <si>
    <t>Persona</t>
  </si>
  <si>
    <t>85 min</t>
  </si>
  <si>
    <t>A nurse is put in charge of a mute actress and finds that their personae are melding together.</t>
  </si>
  <si>
    <t>Margaretha Krook</t>
  </si>
  <si>
    <t>Andrei Rublev</t>
  </si>
  <si>
    <t>205 min</t>
  </si>
  <si>
    <t>The life, times and afflictions of the fifteenth-century Russian iconographer St. Andrei Rublev.</t>
  </si>
  <si>
    <t>Ivan Lapikov</t>
  </si>
  <si>
    <t>Nikolay Sergeev</t>
  </si>
  <si>
    <t>La battaglia di Algeri</t>
  </si>
  <si>
    <t>In the 1950s, fear and violence escalate as the people of Algiers fight for independence from the French government.</t>
  </si>
  <si>
    <t>Gillo Pontecorvo</t>
  </si>
  <si>
    <t>Brahim Hadjadj</t>
  </si>
  <si>
    <t>Jean Martin</t>
  </si>
  <si>
    <t>Yacef Saadi</t>
  </si>
  <si>
    <t>Samia Kerbash</t>
  </si>
  <si>
    <t>El ángel exterminador</t>
  </si>
  <si>
    <t>Not Rated</t>
  </si>
  <si>
    <t>Drama, Fantasy</t>
  </si>
  <si>
    <t>The guests at an upper-class dinner party find themselves unable to leave.</t>
  </si>
  <si>
    <t>Luis Buñuel</t>
  </si>
  <si>
    <t>Silvia Pinal</t>
  </si>
  <si>
    <t>Jacqueline Andere</t>
  </si>
  <si>
    <t>Enrique Rambal</t>
  </si>
  <si>
    <t>José Baviera</t>
  </si>
  <si>
    <t>What Ever Happened to Baby Jane?</t>
  </si>
  <si>
    <t>Drama, Horror, Thriller</t>
  </si>
  <si>
    <t>A former child star torments her paraplegic sister in their decaying Hollywood mansion.</t>
  </si>
  <si>
    <t>Robert Aldrich</t>
  </si>
  <si>
    <t>Joan Crawford</t>
  </si>
  <si>
    <t>Victor Buono</t>
  </si>
  <si>
    <t>Wesley Addy</t>
  </si>
  <si>
    <t>Sanjuro</t>
  </si>
  <si>
    <t>A crafty samurai helps a young man and his fellow clansmen save his uncle, who has been framed and imprisoned by a corrupt superintendent.</t>
  </si>
  <si>
    <t>Keiju Kobayashi</t>
  </si>
  <si>
    <t>Yûnosuke Itô</t>
  </si>
  <si>
    <t>The Man Who Shot Liberty Valance</t>
  </si>
  <si>
    <t>A senator returns to a western town for the funeral of an old friend and tells the story of his origins.</t>
  </si>
  <si>
    <t>John Ford</t>
  </si>
  <si>
    <t>John Wayne</t>
  </si>
  <si>
    <t>Lee Marvin</t>
  </si>
  <si>
    <t>Ivanovo detstvo</t>
  </si>
  <si>
    <t>In WW2, twelve year old Soviet orphan Ivan Bondarev works for the Soviet army as a scout behind the German lines and strikes a friendship with three sympathetic Soviet officers.</t>
  </si>
  <si>
    <t>Eduard Abalov</t>
  </si>
  <si>
    <t>Nikolay Burlyaev</t>
  </si>
  <si>
    <t>Valentin Zubkov</t>
  </si>
  <si>
    <t>Evgeniy Zharikov</t>
  </si>
  <si>
    <t>Jungfrukällan</t>
  </si>
  <si>
    <t>An innocent yet pampered young virgin and her family's pregnant and jealous servant set out to deliver candles to church, but only one returns from events that transpire in the woods along the way.</t>
  </si>
  <si>
    <t>Birgitta Valberg</t>
  </si>
  <si>
    <t>Gunnel Lindblom</t>
  </si>
  <si>
    <t>Birgitta Pettersson</t>
  </si>
  <si>
    <t>Inherit the Wind</t>
  </si>
  <si>
    <t>Based on a real-life case in 1925, two great lawyers argue the case for and against a science teacher accused of the crime of teaching evolution.</t>
  </si>
  <si>
    <t>Fredric March</t>
  </si>
  <si>
    <t>Dick York</t>
  </si>
  <si>
    <t>Les quatre cents coups</t>
  </si>
  <si>
    <t>A young boy, left without attention, delves into a life of petty crime.</t>
  </si>
  <si>
    <t>François Truffaut</t>
  </si>
  <si>
    <t>Jean-Pierre Léaud</t>
  </si>
  <si>
    <t>Albert Rémy</t>
  </si>
  <si>
    <t>Claire Maurier</t>
  </si>
  <si>
    <t>Guy Decomble</t>
  </si>
  <si>
    <t>Ben-Hur</t>
  </si>
  <si>
    <t>212 min</t>
  </si>
  <si>
    <t>After a Jewish prince is betrayed and sent into slavery by a Roman friend, he regains his freedom and comes back for revenge.</t>
  </si>
  <si>
    <t>William Wyler</t>
  </si>
  <si>
    <t>Charlton Heston</t>
  </si>
  <si>
    <t>Stephen Boyd</t>
  </si>
  <si>
    <t>Haya Harareet</t>
  </si>
  <si>
    <t>Kakushi-toride no san-akunin</t>
  </si>
  <si>
    <t>Lured by gold, two greedy peasants unknowingly escort a princess and her general across enemy lines.</t>
  </si>
  <si>
    <t>Misa Uehara</t>
  </si>
  <si>
    <t>Minoru Chiaki</t>
  </si>
  <si>
    <t>Kamatari Fujiwara</t>
  </si>
  <si>
    <t>Le notti di Cabiria</t>
  </si>
  <si>
    <t>A waifish prostitute wanders the streets of Rome looking for true love but finds only heartbreak.</t>
  </si>
  <si>
    <t>Federico Fellini</t>
  </si>
  <si>
    <t>Giulietta Masina</t>
  </si>
  <si>
    <t>Franca Marzi</t>
  </si>
  <si>
    <t>Dorian Gray</t>
  </si>
  <si>
    <t>Kumonosu-jô</t>
  </si>
  <si>
    <t>Drama, History</t>
  </si>
  <si>
    <t>A war-hardened general, egged on by his ambitious wife, works to fulfill a prophecy that he would become lord of Spider's Web Castle.</t>
  </si>
  <si>
    <t>Isuzu Yamada</t>
  </si>
  <si>
    <t>The Bridge on the River Kwai</t>
  </si>
  <si>
    <t>British POWs are forced to build a railway bridge across the river Kwai for their Japanese captors, not knowing that the allied forces are planning to destroy it.</t>
  </si>
  <si>
    <t>Sessue Hayakawa</t>
  </si>
  <si>
    <t>On the Waterfront</t>
  </si>
  <si>
    <t>An ex-prize fighter turned longshoreman struggles to stand up to his corrupt union bosses.</t>
  </si>
  <si>
    <t>Elia Kazan</t>
  </si>
  <si>
    <t>Karl Malden</t>
  </si>
  <si>
    <t>Rod Steiger</t>
  </si>
  <si>
    <t>Le salaire de la peur</t>
  </si>
  <si>
    <t>In a decrepit South American village, four men are hired to transport an urgent nitroglycerine shipment without the equipment that would make it safe.</t>
  </si>
  <si>
    <t>Henri-Georges Clouzot</t>
  </si>
  <si>
    <t>Yves Montand</t>
  </si>
  <si>
    <t>Charles Vanel</t>
  </si>
  <si>
    <t>Peter van Eyck</t>
  </si>
  <si>
    <t>Folco Lulli</t>
  </si>
  <si>
    <t>Ace in the Hole</t>
  </si>
  <si>
    <t>Approved</t>
  </si>
  <si>
    <t>A frustrated former big-city journalist now stuck working for an Albuquerque newspaper exploits a story about a man trapped in a cave to rekindle his career, but the situation quickly escalates into an out-of-control circus.</t>
  </si>
  <si>
    <t>Jan Sterling</t>
  </si>
  <si>
    <t>Robert Arthur</t>
  </si>
  <si>
    <t>Porter Hall</t>
  </si>
  <si>
    <t>White Heat</t>
  </si>
  <si>
    <t>A psychopathic criminal with a mother complex makes a daring break from prison and leads his old gang in a chemical plant payroll heist.</t>
  </si>
  <si>
    <t>Raoul Walsh</t>
  </si>
  <si>
    <t>James Cagney</t>
  </si>
  <si>
    <t>Virginia Mayo</t>
  </si>
  <si>
    <t>Edmond O'Brien</t>
  </si>
  <si>
    <t>Margaret Wycherly</t>
  </si>
  <si>
    <t>The Third Man</t>
  </si>
  <si>
    <t>Film-Noir, Mystery, Thriller</t>
  </si>
  <si>
    <t>Pulp novelist Holly Martins travels to shadowy, postwar Vienna, only to find himself investigating the mysterious death of an old friend, Harry Lime.</t>
  </si>
  <si>
    <t>Carol Reed</t>
  </si>
  <si>
    <t>Alida Valli</t>
  </si>
  <si>
    <t>Trevor Howard</t>
  </si>
  <si>
    <t>The Red Shoes</t>
  </si>
  <si>
    <t>not rated</t>
  </si>
  <si>
    <t>A young ballet dancer is torn between the man she loves and her pursuit to become a prima ballerina.</t>
  </si>
  <si>
    <t>Michael Powell</t>
  </si>
  <si>
    <t>Emeric Pressburger</t>
  </si>
  <si>
    <t>Anton Walbrook</t>
  </si>
  <si>
    <t>Marius Goring</t>
  </si>
  <si>
    <t>Moira Shearer</t>
  </si>
  <si>
    <t>The Shop Around the Corner</t>
  </si>
  <si>
    <t>203,3</t>
  </si>
  <si>
    <t>Two employees at a gift shop can barely stand each other, without realizing that they are falling in love through the post as each other's anonymous pen pal.</t>
  </si>
  <si>
    <t>Margaret Sullavan</t>
  </si>
  <si>
    <t>Frank Morgan</t>
  </si>
  <si>
    <t>Joseph Schildkraut</t>
  </si>
  <si>
    <t>Rebecca</t>
  </si>
  <si>
    <t>A self-conscious woman juggles adjusting to her new role as an aristocrat's wife and avoiding being intimidated by his first wife's spectral presence.</t>
  </si>
  <si>
    <t>Laurence Olivier</t>
  </si>
  <si>
    <t>Joan Fontaine</t>
  </si>
  <si>
    <t>Judith Anderson</t>
  </si>
  <si>
    <t>Mr. Smith Goes to Washington</t>
  </si>
  <si>
    <t>A naive man is appointed to fill a vacancy in the United States Senate. His plans promptly collide with political corruption, but he doesn't back down.</t>
  </si>
  <si>
    <t>Jean Arthur</t>
  </si>
  <si>
    <t>Edward Arnold</t>
  </si>
  <si>
    <t>Gone with the Wind</t>
  </si>
  <si>
    <t>238 min</t>
  </si>
  <si>
    <t>A manipulative woman and a roguish man conduct a turbulent romance during the American Civil War and Reconstruction periods.</t>
  </si>
  <si>
    <t>Victor Fleming</t>
  </si>
  <si>
    <t>George Cukor</t>
  </si>
  <si>
    <t>Sam Wood</t>
  </si>
  <si>
    <t>Clark Gable</t>
  </si>
  <si>
    <t>Vivien Leigh</t>
  </si>
  <si>
    <t>La Grande Illusion</t>
  </si>
  <si>
    <t>Livre</t>
  </si>
  <si>
    <t>During WWI, two French soldiers are captured and imprisoned in a German P.O.W. camp. Several escape attempts follow until they are eventually sent to a seemingly inescapable fortress.</t>
  </si>
  <si>
    <t>Jean Renoir</t>
  </si>
  <si>
    <t>Jean Gabin</t>
  </si>
  <si>
    <t>Dita Parlo</t>
  </si>
  <si>
    <t>Pierre Fresnay</t>
  </si>
  <si>
    <t>It Happened One Night</t>
  </si>
  <si>
    <t>A renegade reporter and a crazy young heiress meet on a bus heading for New York, and end up stuck with each other when the bus leaves them behind at one of the stops.</t>
  </si>
  <si>
    <t>Claudette Colbert</t>
  </si>
  <si>
    <t>Walter Connolly</t>
  </si>
  <si>
    <t>Roscoe Karns</t>
  </si>
  <si>
    <t>La passion de Jeanne d'Arc</t>
  </si>
  <si>
    <t>In 1431, Jeanne d'Arc is placed on trial on charges of heresy. The ecclesiastical jurists attempt to force Jeanne to recant her claims of holy visions.</t>
  </si>
  <si>
    <t>Carl Theodor Dreyer</t>
  </si>
  <si>
    <t>Maria Falconetti</t>
  </si>
  <si>
    <t>Eugene Silvain</t>
  </si>
  <si>
    <t>André Berley</t>
  </si>
  <si>
    <t>Maurice Schutz</t>
  </si>
  <si>
    <t>The Circus</t>
  </si>
  <si>
    <t>27,41</t>
  </si>
  <si>
    <t>72 min</t>
  </si>
  <si>
    <t>The Tramp finds work and the girl of his dreams at a circus.</t>
  </si>
  <si>
    <t>Merna Kennedy</t>
  </si>
  <si>
    <t>Al Ernest Garcia</t>
  </si>
  <si>
    <t>Harry Crocker</t>
  </si>
  <si>
    <t>Sunrise: A Song of Two Humans</t>
  </si>
  <si>
    <t>539,54</t>
  </si>
  <si>
    <t>An allegorical tale about a man fighting the good and evil within him. Both sides are made flesh - one a sophisticated woman he is attracted to and the other his wife.</t>
  </si>
  <si>
    <t>F.W. Murnau</t>
  </si>
  <si>
    <t>George O'Brien</t>
  </si>
  <si>
    <t>Janet Gaynor</t>
  </si>
  <si>
    <t>Margaret Livingston</t>
  </si>
  <si>
    <t>Bodil Rosing</t>
  </si>
  <si>
    <t>The General</t>
  </si>
  <si>
    <t>67 min</t>
  </si>
  <si>
    <t>When Union spies steal an engineer's beloved locomotive, he pursues it single-handedly and straight through enemy lines.</t>
  </si>
  <si>
    <t>Clyde Bruckman</t>
  </si>
  <si>
    <t>Marion Mack</t>
  </si>
  <si>
    <t>Glen Cavender</t>
  </si>
  <si>
    <t>Das Cabinet des Dr. Caligari</t>
  </si>
  <si>
    <t>76 min</t>
  </si>
  <si>
    <t>Fantasy, Horror, Mystery</t>
  </si>
  <si>
    <t>Hypnotist Dr. Caligari uses a somnambulist, Cesare, to commit murders.</t>
  </si>
  <si>
    <t>Robert Wiene</t>
  </si>
  <si>
    <t>Werner Krauss</t>
  </si>
  <si>
    <t>Conrad Veidt</t>
  </si>
  <si>
    <t>Friedrich Feher</t>
  </si>
  <si>
    <t>Lil Dagover</t>
  </si>
  <si>
    <t>Badhaai ho</t>
  </si>
  <si>
    <t>A man is embarrassed when he finds out his mother is pregnant.</t>
  </si>
  <si>
    <t>Amit Ravindernath Sharma</t>
  </si>
  <si>
    <t>Neena Gupta</t>
  </si>
  <si>
    <t>Gajraj Rao</t>
  </si>
  <si>
    <t>Togo</t>
  </si>
  <si>
    <t>The story of Togo, the sled dog who led the 1925 serum run yet was considered by most to be too small and weak to lead such an intense race.</t>
  </si>
  <si>
    <t>Ericson Core</t>
  </si>
  <si>
    <t>Julianne Nicholson</t>
  </si>
  <si>
    <t>Christopher Heyerdahl</t>
  </si>
  <si>
    <t>Richard Dormer</t>
  </si>
  <si>
    <t>Airlift</t>
  </si>
  <si>
    <t>When Iraq invades Kuwait in August 1990, a callous Indian businessman becomes the spokesperson for more than 170,000 stranded countrymen.</t>
  </si>
  <si>
    <t>Raja Menon</t>
  </si>
  <si>
    <t>Nimrat Kaur</t>
  </si>
  <si>
    <t>Kumud Mishra</t>
  </si>
  <si>
    <t>Prakash Belawadi</t>
  </si>
  <si>
    <t>Bajrangi Bhaijaan</t>
  </si>
  <si>
    <t>An Indian man with a magnanimous heart takes a young mute Pakistani girl back to her homeland to reunite her with her family.</t>
  </si>
  <si>
    <t>Kabir Khan</t>
  </si>
  <si>
    <t>Harshaali Malhotra</t>
  </si>
  <si>
    <t>Kareena Kapoor</t>
  </si>
  <si>
    <t>Baby</t>
  </si>
  <si>
    <t>159 min</t>
  </si>
  <si>
    <t>Action, Crime, Thriller</t>
  </si>
  <si>
    <t>An elite counter-intelligence unit learns of a plot, masterminded by a maniacal madman. With the clock ticking, it's up to them to track the terrorists' international tentacles and prevent them from striking at the heart of India.</t>
  </si>
  <si>
    <t>Danny Denzongpa</t>
  </si>
  <si>
    <t>La La Land</t>
  </si>
  <si>
    <t>Comedy, Drama, Music</t>
  </si>
  <si>
    <t>While navigating their careers in Los Angeles, a pianist and an actress fall in love while attempting to reconcile their aspirations for the future.</t>
  </si>
  <si>
    <t>Ryan Gosling</t>
  </si>
  <si>
    <t>Emma Stone</t>
  </si>
  <si>
    <t>Rosemarie DeWitt</t>
  </si>
  <si>
    <t>Lion</t>
  </si>
  <si>
    <t>A five-year-old Indian boy is adopted by an Australian couple after getting lost hundreds of kilometers from home. 25 years later, he sets out to find his lost family.</t>
  </si>
  <si>
    <t>Garth Davis</t>
  </si>
  <si>
    <t>Dev Patel</t>
  </si>
  <si>
    <t>Nicole Kidman</t>
  </si>
  <si>
    <t>Rooney Mara</t>
  </si>
  <si>
    <t>Sunny Pawar</t>
  </si>
  <si>
    <t>The Martian</t>
  </si>
  <si>
    <t>An astronaut becomes stranded on Mars after his team assume him dead, and must rely on his ingenuity to find a way to signal to Earth that he is alive.</t>
  </si>
  <si>
    <t>Kristen Wiig</t>
  </si>
  <si>
    <t>Kate Mara</t>
  </si>
  <si>
    <t>Zootopia</t>
  </si>
  <si>
    <t>In a city of anthropomorphic animals, a rookie bunny cop and a cynical con artist fox must work together to uncover a conspiracy.</t>
  </si>
  <si>
    <t>Byron Howard</t>
  </si>
  <si>
    <t>Rich Moore</t>
  </si>
  <si>
    <t>Jared Bush</t>
  </si>
  <si>
    <t>Ginnifer Goodwin</t>
  </si>
  <si>
    <t>Jason Bateman</t>
  </si>
  <si>
    <t>Bãhubali: The Beginning</t>
  </si>
  <si>
    <t>In ancient India, an adventurous and daring man becomes involved in a decades-old feud between two warring peoples.</t>
  </si>
  <si>
    <t>Ramya Krishnan</t>
  </si>
  <si>
    <t>Sathyaraj</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</si>
  <si>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</si>
  <si>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</si>
  <si>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Chloë Grace Moretz</t>
  </si>
  <si>
    <t>Mary Steenburgen</t>
  </si>
  <si>
    <t>James Marsden</t>
  </si>
  <si>
    <t>Wonder</t>
  </si>
  <si>
    <t>Based on the New York Times bestseller, this movie tells the incredibly inspiring and heartwarming story of August Pullman, a boy with facial differences who enters the fifth grade, attending a mainstream elementary school for the first time.</t>
  </si>
  <si>
    <t>Stephen Chbosky</t>
  </si>
  <si>
    <t>Owen Wilson</t>
  </si>
  <si>
    <t>Izabela Vidovic</t>
  </si>
  <si>
    <t>Julia Roberts</t>
  </si>
  <si>
    <t>Gully Boy</t>
  </si>
  <si>
    <t>A coming-of-age story based on the lives of street rappers in Mumbai.</t>
  </si>
  <si>
    <t>Vijay Varma</t>
  </si>
  <si>
    <t>Nakul Roshan Sahdev</t>
  </si>
  <si>
    <t>Ranveer Singh</t>
  </si>
  <si>
    <t>Vijay Raaz</t>
  </si>
  <si>
    <t>Special Chabbis</t>
  </si>
  <si>
    <t>A gang of con-men rob prominent rich businessmen and politicians by posing as C.B.I and income tax officers.</t>
  </si>
  <si>
    <t>Short Term 12</t>
  </si>
  <si>
    <t>A 20-something supervising staff member of a residential treatment facility navigates the troubled waters of that world alongside her co-worker and longtime boyfriend.</t>
  </si>
  <si>
    <t>Destin Daniel Cretton</t>
  </si>
  <si>
    <t>Frantz Turner</t>
  </si>
  <si>
    <t>John Gallagher Jr.</t>
  </si>
  <si>
    <t>Kaitlyn Dever</t>
  </si>
  <si>
    <t>Serbuan maut 2: Berandal</t>
  </si>
  <si>
    <t>Only a short time after the first raid, Rama goes undercover with the thugs of Jakarta and plans to bring down the syndicate and uncover the corruption within his police force.</t>
  </si>
  <si>
    <t>Gareth Evans</t>
  </si>
  <si>
    <t>Iko Uwais</t>
  </si>
  <si>
    <t>Yayan Ruhian</t>
  </si>
  <si>
    <t>Arifin Putra</t>
  </si>
  <si>
    <t>Oka Antara</t>
  </si>
  <si>
    <t>The Imitation Game</t>
  </si>
  <si>
    <t>Biography, Drama, Thriller</t>
  </si>
  <si>
    <t>During World War II, the English mathematical genius Alan Turing tries to crack the German Enigma code with help from fellow mathematicians.</t>
  </si>
  <si>
    <t>Morten Tyldum</t>
  </si>
  <si>
    <t>Benedict Cumberbatch</t>
  </si>
  <si>
    <t>Keira Knightley</t>
  </si>
  <si>
    <t>Matthew Goode</t>
  </si>
  <si>
    <t>Allen Leech</t>
  </si>
  <si>
    <t>Guardians of the Galaxy</t>
  </si>
  <si>
    <t>A group of intergalactic criminals must pull together to stop a fanatical warrior with plans to purge the universe.</t>
  </si>
  <si>
    <t>James Gunn</t>
  </si>
  <si>
    <t>Chris Pratt</t>
  </si>
  <si>
    <t>Vin Diesel</t>
  </si>
  <si>
    <t>Bradley Cooper</t>
  </si>
  <si>
    <t>Zoe Saldana</t>
  </si>
  <si>
    <t>Blade Runner 2049</t>
  </si>
  <si>
    <t>Young Blade Runner K's discovery of a long-buried secret leads him to track down former Blade Runner Rick Deckard, who's been missing for thirty years.</t>
  </si>
  <si>
    <t>Ana de Armas</t>
  </si>
  <si>
    <t>Dave Bautista</t>
  </si>
  <si>
    <t>Her</t>
  </si>
  <si>
    <t>In a near future, a lonely writer develops an unlikely relationship with an operating system designed to meet his every need.</t>
  </si>
  <si>
    <t>Spike Jonze</t>
  </si>
  <si>
    <t>Amy Adams</t>
  </si>
  <si>
    <t>Bohemian Rhapsody</t>
  </si>
  <si>
    <t>The story of the legendary British rock band Queen and lead singer Freddie Mercury, leading up to their famous performance at Live Aid (1985).</t>
  </si>
  <si>
    <t>Rami Malek</t>
  </si>
  <si>
    <t>Lucy Boynton</t>
  </si>
  <si>
    <t>Gwilym Lee</t>
  </si>
  <si>
    <t>Ben Hardy</t>
  </si>
  <si>
    <t>The Revenant</t>
  </si>
  <si>
    <t>A frontiersman on a fur trading expedition in the 1820s fights for survival after being mauled by a bear and left for dead by members of his own hunting team.</t>
  </si>
  <si>
    <t>Will Poulter</t>
  </si>
  <si>
    <t>Domhnall Gleeson</t>
  </si>
  <si>
    <t>The Perks of Being a Wallflower</t>
  </si>
  <si>
    <t>An introvert freshman is taken under the wings of two seniors who welcome him to the real world</t>
  </si>
  <si>
    <t>Logan Lerman</t>
  </si>
  <si>
    <t>Ezra Miller</t>
  </si>
  <si>
    <t>Paul Rudd</t>
  </si>
  <si>
    <t>Tropa de Elite 2: O Inimigo Agora é Outro</t>
  </si>
  <si>
    <t>After a prison riot, former-Captain Nascimento, now a high ranking security officer in Rio de Janeiro, is swept into a bloody political dispute that involves government officials and paramilitary groups.</t>
  </si>
  <si>
    <t>José Padilha</t>
  </si>
  <si>
    <t>Wagner Moura</t>
  </si>
  <si>
    <t>Irandhir Santos</t>
  </si>
  <si>
    <t>André Ramiro</t>
  </si>
  <si>
    <t>Milhem Cortaz</t>
  </si>
  <si>
    <t>The King's Speech</t>
  </si>
  <si>
    <t>The story of King George VI, his impromptu ascension to the throne of the British Empire in 1936, and the speech therapist who helped the unsure monarch overcome his stammer.</t>
  </si>
  <si>
    <t>Tom Hooper</t>
  </si>
  <si>
    <t>Geoffrey Rush</t>
  </si>
  <si>
    <t>Helena Bonham Carter</t>
  </si>
  <si>
    <t>Derek Jacobi</t>
  </si>
  <si>
    <t>The Help</t>
  </si>
  <si>
    <t>An aspiring author during the civil rights movement of the 1960s decides to write a book detailing the African American maids' point of view on the white families for which they work, and the hardships they go through on a daily basis.</t>
  </si>
  <si>
    <t>Tate Taylor</t>
  </si>
  <si>
    <t>Octavia Spencer</t>
  </si>
  <si>
    <t>Bryce Dallas Howard</t>
  </si>
  <si>
    <t>Deadpool</t>
  </si>
  <si>
    <t>A wisecracking mercenary gets experimented on and becomes immortal but ugly, and sets out to track down the man who ruined his looks.</t>
  </si>
  <si>
    <t>Tim Miller</t>
  </si>
  <si>
    <t>Ryan Reynolds</t>
  </si>
  <si>
    <t>Morena Baccarin</t>
  </si>
  <si>
    <t>T.J. Miller</t>
  </si>
  <si>
    <t>Ed Skrein</t>
  </si>
  <si>
    <t>Darbareye Elly</t>
  </si>
  <si>
    <t>TV-PG</t>
  </si>
  <si>
    <t>The mysterious disappearance of a kindergarten teacher during a picnic in the north of Iran is followed by a series of misadventures for her fellow travelers.</t>
  </si>
  <si>
    <t>Golshifteh Farahani</t>
  </si>
  <si>
    <t>Taraneh Alidoosti</t>
  </si>
  <si>
    <t>Merila Zare'i</t>
  </si>
  <si>
    <t>Dev.D</t>
  </si>
  <si>
    <t>10,95</t>
  </si>
  <si>
    <t>After breaking up with his childhood sweetheart, a young man finds solace in drugs. Meanwhile, a teenage girl is caught in the world of prostitution. Will they be destroyed, or will they find redemption?</t>
  </si>
  <si>
    <t>Kalki Koechlin</t>
  </si>
  <si>
    <t>Dibyendu Bhattacharya</t>
  </si>
  <si>
    <t>Yip Man</t>
  </si>
  <si>
    <t>During the Japanese invasion of China, a wealthy martial artist is forced to leave his home when his city is occupied. With little means of providing for themselves, Ip Man and the remaining members of the city must find a way to survive.</t>
  </si>
  <si>
    <t>Wilson Yip</t>
  </si>
  <si>
    <t>Donnie Yen</t>
  </si>
  <si>
    <t>Simon Yam</t>
  </si>
  <si>
    <t>Siu-Wong Fan</t>
  </si>
  <si>
    <t>Ka Tung Lam</t>
  </si>
  <si>
    <t>My Name Is Khan</t>
  </si>
  <si>
    <t>An Indian Muslim man with Asperger's syndrome takes a challenge to speak to the President of the United States seriously and embarks on a cross-country journey.</t>
  </si>
  <si>
    <t>Karan Johar</t>
  </si>
  <si>
    <t>Sheetal Menon</t>
  </si>
  <si>
    <t>Katie A. Keane</t>
  </si>
  <si>
    <t>Nefes: Vatan Sagolsun</t>
  </si>
  <si>
    <t>Story of 40-man Turkish task force who must defend a relay station.</t>
  </si>
  <si>
    <t>Levent Semerci</t>
  </si>
  <si>
    <t>Mete Horozoglu</t>
  </si>
  <si>
    <t>Ilker Kizmaz</t>
  </si>
  <si>
    <t>Baris Bagci</t>
  </si>
  <si>
    <t>Slumdog Millionaire</t>
  </si>
  <si>
    <t>A Mumbai teenager reflects on his life after being accused of cheating on the Indian version of "Who Wants to be a Millionaire?".</t>
  </si>
  <si>
    <t>Loveleen Tandan</t>
  </si>
  <si>
    <t>Freida Pinto</t>
  </si>
  <si>
    <t>Black Swan</t>
  </si>
  <si>
    <t>A committed dancer struggles to maintain her sanity after winning the lead role in a production of Tchaikovsky's "Swan Lake".</t>
  </si>
  <si>
    <t>Mila Kunis</t>
  </si>
  <si>
    <t>Winona Ryder</t>
  </si>
  <si>
    <t>Tropa de Elite</t>
  </si>
  <si>
    <t>8,06</t>
  </si>
  <si>
    <t>In 1997 Rio de Janeiro, Captain Nascimento has to find a substitute for his position while trying to take down drug dealers and criminals before the Pope visits.</t>
  </si>
  <si>
    <t>Caio Junqueira</t>
  </si>
  <si>
    <t>The Avengers</t>
  </si>
  <si>
    <t>Earth's mightiest heroes must come together and learn to fight as a team if they are going to stop the mischievous Loki and his alien army from enslaving humanity.</t>
  </si>
  <si>
    <t>Joss Whedon</t>
  </si>
  <si>
    <t>Jeremy Renner</t>
  </si>
  <si>
    <t>Persepolis</t>
  </si>
  <si>
    <t>Animation, Biography, Drama</t>
  </si>
  <si>
    <t>A precocious and outspoken Iranian girl grows up during the Islamic Revolution.</t>
  </si>
  <si>
    <t>Vincent Paronnaud</t>
  </si>
  <si>
    <t>Marjane Satrapi</t>
  </si>
  <si>
    <t>Chiara Mastroianni</t>
  </si>
  <si>
    <t>Catherine Deneuve</t>
  </si>
  <si>
    <t>Gena Rowlands</t>
  </si>
  <si>
    <t>Dallas Buyers Club</t>
  </si>
  <si>
    <t>In 1985 Dallas, electrician and hustler Ron Woodroof works around the system to help AIDS patients get the medication they need after he is diagnosed with the disease.</t>
  </si>
  <si>
    <t>Jean-Marc Vallée</t>
  </si>
  <si>
    <t>Jennifer Garner</t>
  </si>
  <si>
    <t>Steve Zahn</t>
  </si>
  <si>
    <t>The Pursuit of Happyness</t>
  </si>
  <si>
    <t>A struggling salesman takes custody of his son as he's poised to begin a life-changing professional career.</t>
  </si>
  <si>
    <t>Gabriele Muccino</t>
  </si>
  <si>
    <t>Will Smith</t>
  </si>
  <si>
    <t>Thandie Newton</t>
  </si>
  <si>
    <t>Jaden Smith</t>
  </si>
  <si>
    <t>Brian Howe</t>
  </si>
  <si>
    <t>Blood Diamond</t>
  </si>
  <si>
    <t>A fisherman, a smuggler, and a syndicate of businessmen match wits over the possession of a priceless diamond.</t>
  </si>
  <si>
    <t>Edward Zwick</t>
  </si>
  <si>
    <t>Djimon Hounsou</t>
  </si>
  <si>
    <t>Kagiso Kuypers</t>
  </si>
  <si>
    <t>The Bourne Ultimatum</t>
  </si>
  <si>
    <t>Action, Mystery, Thriller</t>
  </si>
  <si>
    <t>Jason Bourne dodges a ruthless C.I.A. official and his Agents from a new assassination program while searching for the origins of his life as a trained killer.</t>
  </si>
  <si>
    <t>Paul Greengrass</t>
  </si>
  <si>
    <t>Edgar Ramírez</t>
  </si>
  <si>
    <t>Julia Stiles</t>
  </si>
  <si>
    <t>Bin-jip</t>
  </si>
  <si>
    <t>Crime, Drama, Romance</t>
  </si>
  <si>
    <t>A transient young man breaks into empty homes to partake of the vacationing residents' lives for a few days.</t>
  </si>
  <si>
    <t>Ki-duk Kim</t>
  </si>
  <si>
    <t>Seung-Yun Lee</t>
  </si>
  <si>
    <t>Hee Jae</t>
  </si>
  <si>
    <t>Hyuk-ho Kwon</t>
  </si>
  <si>
    <t>Jin-mo Joo</t>
  </si>
  <si>
    <t>Sin City</t>
  </si>
  <si>
    <t>A movie that explores the dark and miserable town, Basin City, tells the story of three different people, all caught up in violent corruption.</t>
  </si>
  <si>
    <t>Frank Miller</t>
  </si>
  <si>
    <t>Robert Rodriguez</t>
  </si>
  <si>
    <t>Mickey Rourke</t>
  </si>
  <si>
    <t>Clive Owen</t>
  </si>
  <si>
    <t>Le scaphandre et le papillon</t>
  </si>
  <si>
    <t>The true story of Elle editor Jean-Dominique Bauby who suffers a stroke and has to live with an almost totally paralyzed body; only his left eye isn't paralyzed.</t>
  </si>
  <si>
    <t>Julian Schnabel</t>
  </si>
  <si>
    <t>Laura Obiols</t>
  </si>
  <si>
    <t>Emmanuelle Seigner</t>
  </si>
  <si>
    <t>Marie-Josée Croze</t>
  </si>
  <si>
    <t>G.O.R.A.</t>
  </si>
  <si>
    <t>A slick young Turk kidnapped by extraterrestrials shows his great « humanitarian spirit » by outwitting the evil commander-in-chief of the planet of G.O.R.A.</t>
  </si>
  <si>
    <t>Ömer Faruk Sorak</t>
  </si>
  <si>
    <t>Cem Yilmaz</t>
  </si>
  <si>
    <t>Özge Özberk</t>
  </si>
  <si>
    <t>Ozan Güven</t>
  </si>
  <si>
    <t>Safak Sezer</t>
  </si>
  <si>
    <t>Ratatouille</t>
  </si>
  <si>
    <t>A rat who can cook makes an unusual alliance with a young kitchen worker at a famous restaurant.</t>
  </si>
  <si>
    <t>Brad Bird</t>
  </si>
  <si>
    <t>Jan Pinkava</t>
  </si>
  <si>
    <t>Brad Garrett</t>
  </si>
  <si>
    <t>Lou Romano</t>
  </si>
  <si>
    <t>Patton Oswalt</t>
  </si>
  <si>
    <t>Casino Royale</t>
  </si>
  <si>
    <t>Action, Adventure, Thriller</t>
  </si>
  <si>
    <t>After earning 00 status and a licence to kill, Secret Agent James Bond sets out on his first mission as 007. Bond must defeat a private banker funding terrorists in a high-stakes game of poker at Casino Royale, Montenegro.</t>
  </si>
  <si>
    <t>Martin Campbell</t>
  </si>
  <si>
    <t>Daniel Craig</t>
  </si>
  <si>
    <t>Eva Green</t>
  </si>
  <si>
    <t>Judi Dench</t>
  </si>
  <si>
    <t>Jeffrey Wright</t>
  </si>
  <si>
    <t>Kill Bill: Vol. 2</t>
  </si>
  <si>
    <t>The Bride continues her quest of vengeance against her former boss and lover Bill, the reclusive bouncer Budd, and the treacherous, one-eyed Elle.</t>
  </si>
  <si>
    <t>Vozvrashchenie</t>
  </si>
  <si>
    <t>In the Russian wilderness, two brothers face a range of new, conflicting emotions when their father - a man they know only through a single photograph - resurfaces.</t>
  </si>
  <si>
    <t>Andrey Zvyagintsev</t>
  </si>
  <si>
    <t>Vladimir Garin</t>
  </si>
  <si>
    <t>Ivan Dobronravov</t>
  </si>
  <si>
    <t>Konstantin Lavronenko</t>
  </si>
  <si>
    <t>Nataliya Vdovina</t>
  </si>
  <si>
    <t>Bom Yeoareum Gaeul Gyeoul Geurigo Bom</t>
  </si>
  <si>
    <t>A boy is raised by a Buddhist monk in an isolated floating temple where the years pass like the seasons.</t>
  </si>
  <si>
    <t>Yeong-su Oh</t>
  </si>
  <si>
    <t>Jong-ho Kim</t>
  </si>
  <si>
    <t>Kim Young-Min</t>
  </si>
  <si>
    <t>Mar adentro</t>
  </si>
  <si>
    <t>The factual story of Spaniard Ramon Sampedro, who fought a thirty-year campaign in favor of euthanasia and his own right to die.</t>
  </si>
  <si>
    <t>Alejandro Amenábar</t>
  </si>
  <si>
    <t>Belén Rueda</t>
  </si>
  <si>
    <t>Lola Dueñas</t>
  </si>
  <si>
    <t>Mabel Rivera</t>
  </si>
  <si>
    <t>Cinderella Man</t>
  </si>
  <si>
    <t>The story of James J. Braddock, a supposedly washed-up boxer who came back to become a champion and an inspiration in the 1930s.</t>
  </si>
  <si>
    <t>Renée Zellweger</t>
  </si>
  <si>
    <t>Craig Bierko</t>
  </si>
  <si>
    <t>Paul Giamatti</t>
  </si>
  <si>
    <t>Kal Ho Naa Ho</t>
  </si>
  <si>
    <t>Naina, an introverted, perpetually depressed girl's life changes when she meets Aman. But Aman has a secret of his own which changes their lives forever. Embroiled in all this is Rohit, Naina's best friend who conceals his love for her.</t>
  </si>
  <si>
    <t>Nikkhil Advani</t>
  </si>
  <si>
    <t>Jaya Bachchan</t>
  </si>
  <si>
    <t>Mou gaan dou</t>
  </si>
  <si>
    <t>A story between a mole in the police department and an undercover cop. Their objectives are the same: to find out who is the mole, and who is the cop.</t>
  </si>
  <si>
    <t>Andrew Lau</t>
  </si>
  <si>
    <t>Alan Mak</t>
  </si>
  <si>
    <t>Andy Lau</t>
  </si>
  <si>
    <t>Anthony Chau-Sang Wong</t>
  </si>
  <si>
    <t>Pirates of the Caribbean: The Curse of the Black Pearl</t>
  </si>
  <si>
    <t>Blacksmith Will Turner teams up with eccentric pirate "Captain" Jack Sparrow to save his love, the governor's daughter, from Jack's former pirate allies, who are now undead.</t>
  </si>
  <si>
    <t>Gore Verbinski</t>
  </si>
  <si>
    <t>Johnny Depp</t>
  </si>
  <si>
    <t>Big Fish</t>
  </si>
  <si>
    <t>A frustrated son tries to determine the fact from fiction in his dying father's life.</t>
  </si>
  <si>
    <t>Tim Burton</t>
  </si>
  <si>
    <t>Albert Finney</t>
  </si>
  <si>
    <t>Jessica Lange</t>
  </si>
  <si>
    <t>The Incredibles</t>
  </si>
  <si>
    <t>A family of undercover superheroes, while trying to live the quiet suburban life, are forced into action to save the world.</t>
  </si>
  <si>
    <t>Craig T. Nelson</t>
  </si>
  <si>
    <t>Holly Hunter</t>
  </si>
  <si>
    <t>Jason Lee</t>
  </si>
  <si>
    <t>Yeopgijeogin geunyeo</t>
  </si>
  <si>
    <t>A young man sees a drunk, cute woman standing too close to the tracks at a metro station in Seoul and pulls her back. She ends up getting him into trouble repeatedly after that, starting on the train.</t>
  </si>
  <si>
    <t>Jae-young Kwak</t>
  </si>
  <si>
    <t>Tae-Hyun Cha</t>
  </si>
  <si>
    <t>Jun Ji-Hyun</t>
  </si>
  <si>
    <t>In-mun Kim</t>
  </si>
  <si>
    <t>Song Wok-suk</t>
  </si>
  <si>
    <t>Dogville</t>
  </si>
  <si>
    <t>A woman on the run from the mob is reluctantly accepted in a small Colorado community in exchange for labor, but when a search visits the town she finds out that their support has a price.</t>
  </si>
  <si>
    <t>Lars von Trier</t>
  </si>
  <si>
    <t>Paul Bettany</t>
  </si>
  <si>
    <t>Lauren Bacall</t>
  </si>
  <si>
    <t>Vizontele</t>
  </si>
  <si>
    <t>Lives of residents in a small Anatolian village change when television is introduced to them</t>
  </si>
  <si>
    <t>Yilmaz Erdogan</t>
  </si>
  <si>
    <t>Altan Erkekli</t>
  </si>
  <si>
    <t>Donnie Darko</t>
  </si>
  <si>
    <t>After narrowly escaping a bizarre accident, a troubled teenager is plagued by visions of a man in a large rabbit suit who manipulates him to commit a series of crimes.</t>
  </si>
  <si>
    <t>Richard Kelly</t>
  </si>
  <si>
    <t>Jena Malone</t>
  </si>
  <si>
    <t>Mary McDonnell</t>
  </si>
  <si>
    <t>Holmes Osborne</t>
  </si>
  <si>
    <t>Magnolia</t>
  </si>
  <si>
    <t>An epic mosaic of interrelated characters in search of love, forgiveness, and meaning in the San Fernando Valley.</t>
  </si>
  <si>
    <t>Tom Cruise</t>
  </si>
  <si>
    <t>Dancer in the Dark</t>
  </si>
  <si>
    <t>Crime, Drama, Musical</t>
  </si>
  <si>
    <t>An East European girl travels to the United States with her young son, expecting it to be like a Hollywood film.</t>
  </si>
  <si>
    <t>Björk</t>
  </si>
  <si>
    <t>Peter Stormare</t>
  </si>
  <si>
    <t>The Straight Story</t>
  </si>
  <si>
    <t>An old man makes a long journey by lawnmower to mend his relationship with an ill brother.</t>
  </si>
  <si>
    <t>Richard Farnsworth</t>
  </si>
  <si>
    <t>Sissy Spacek</t>
  </si>
  <si>
    <t>Jane Galloway Heitz</t>
  </si>
  <si>
    <t>Joseph A. Carpenter</t>
  </si>
  <si>
    <t>Pâfekuto burû</t>
  </si>
  <si>
    <t>Animation, Crime, Mystery</t>
  </si>
  <si>
    <t>A pop singer gives up her career to become an actress, but she slowly goes insane when she starts being stalked by an obsessed fan and what seems to be a ghost of her past.</t>
  </si>
  <si>
    <t>Satoshi Kon</t>
  </si>
  <si>
    <t>Junko Iwao</t>
  </si>
  <si>
    <t>Rica Matsumoto</t>
  </si>
  <si>
    <t>Shinpachi Tsuji</t>
  </si>
  <si>
    <t>Masaaki Ôkura</t>
  </si>
  <si>
    <t>Festen</t>
  </si>
  <si>
    <t>At Helge's 60th birthday party, some unpleasant family truths are revealed.</t>
  </si>
  <si>
    <t>Ulrich Thomsen</t>
  </si>
  <si>
    <t>Henning Moritzen</t>
  </si>
  <si>
    <t>Paprika Steen</t>
  </si>
  <si>
    <t>Central do Brasil</t>
  </si>
  <si>
    <t>An emotive journey of a former school teacher, who writes letters for illiterate people, and a young boy, whose mother has just died, as they search for the father he never knew.</t>
  </si>
  <si>
    <t>Walter Salles</t>
  </si>
  <si>
    <t>Fernanda Montenegro</t>
  </si>
  <si>
    <t>Vinícius de Oliveira</t>
  </si>
  <si>
    <t>Marília Pêra</t>
  </si>
  <si>
    <t>Soia Lira</t>
  </si>
  <si>
    <t>The Iron Giant</t>
  </si>
  <si>
    <t>A young boy befriends a giant robot from outer space that a paranoid government agent wants to destroy.</t>
  </si>
  <si>
    <t>Eli Marienthal</t>
  </si>
  <si>
    <t>Harry Connick Jr.</t>
  </si>
  <si>
    <t>Jennifer Aniston</t>
  </si>
  <si>
    <t>Knockin' on Heaven's Door</t>
  </si>
  <si>
    <t>Action, Crime, Comedy</t>
  </si>
  <si>
    <t>Two terminally ill patients escape from a hospital, steal a car and rush towards the sea.</t>
  </si>
  <si>
    <t>Thomas Jahn</t>
  </si>
  <si>
    <t>Til Schweiger</t>
  </si>
  <si>
    <t>Jan Josef Liefers</t>
  </si>
  <si>
    <t>Thierry van Werveke</t>
  </si>
  <si>
    <t>Moritz Bleibtreu</t>
  </si>
  <si>
    <t>Sling Blade</t>
  </si>
  <si>
    <t>Karl Childers, a simple man hospitalized since his childhood murder of his mother and her lover, is released to start a new life in a small town.</t>
  </si>
  <si>
    <t>Billy Bob Thornton</t>
  </si>
  <si>
    <t>Dwight Yoakam</t>
  </si>
  <si>
    <t>J.T. Walsh</t>
  </si>
  <si>
    <t>John Ritter</t>
  </si>
  <si>
    <t>Secrets &amp; Lies</t>
  </si>
  <si>
    <t>Following the death of her adoptive parents, a successful young black optometrist establishes contact with her biological mother -- a lonely white factory worker living in poverty in East London.</t>
  </si>
  <si>
    <t>Mike Leigh</t>
  </si>
  <si>
    <t>Timothy Spall</t>
  </si>
  <si>
    <t>Brenda Blethyn</t>
  </si>
  <si>
    <t>Phyllis Logan</t>
  </si>
  <si>
    <t>Claire Rushbrook</t>
  </si>
  <si>
    <t>Twelve Monkeys</t>
  </si>
  <si>
    <t>Mystery, Sci-Fi, Thriller</t>
  </si>
  <si>
    <t>In a future world devastated by disease, a convict is sent back in time to gather information about the man-made virus that wiped out most of the human population on the planet.</t>
  </si>
  <si>
    <t>Madeleine Stowe</t>
  </si>
  <si>
    <t>Joseph Melito</t>
  </si>
  <si>
    <t>Kôkaku Kidôtai</t>
  </si>
  <si>
    <t>83 min</t>
  </si>
  <si>
    <t>Animation, Action, Crime</t>
  </si>
  <si>
    <t>A cyborg policewoman and her partner hunt a mysterious and powerful hacker called the Puppet Master.</t>
  </si>
  <si>
    <t>Mamoru Oshii</t>
  </si>
  <si>
    <t>Atsuko Tanaka</t>
  </si>
  <si>
    <t>Iemasa Kayumi</t>
  </si>
  <si>
    <t>Akio Ôtsuka</t>
  </si>
  <si>
    <t>Kôichi Yamadera</t>
  </si>
  <si>
    <t>The Nightmare Before Christmas</t>
  </si>
  <si>
    <t>Jack Skellington, king of Halloween Town, discovers Christmas Town, but his attempts to bring Christmas to his home causes confusion.</t>
  </si>
  <si>
    <t>Henry Selick</t>
  </si>
  <si>
    <t>Danny Elfman</t>
  </si>
  <si>
    <t>Chris Sarandon</t>
  </si>
  <si>
    <t>Catherine O'Hara</t>
  </si>
  <si>
    <t>William Hickey</t>
  </si>
  <si>
    <t>Groundhog Day</t>
  </si>
  <si>
    <t>Comedy, Fantasy, Romance</t>
  </si>
  <si>
    <t>A weatherman finds himself inexplicably living the same day over and over again.</t>
  </si>
  <si>
    <t>Harold Ramis</t>
  </si>
  <si>
    <t>Bill Murray</t>
  </si>
  <si>
    <t>Andie MacDowell</t>
  </si>
  <si>
    <t>Chris Elliott</t>
  </si>
  <si>
    <t>Stephen Tobolowsky</t>
  </si>
  <si>
    <t>Bound by Honor</t>
  </si>
  <si>
    <t>Based on the true life experiences of poet Jimmy Santiago Baca, the film focuses on step-brothers Paco and Cruz, and their bi-racial cousin Miklo.</t>
  </si>
  <si>
    <t>Taylor Hackford</t>
  </si>
  <si>
    <t>Damian Chapa</t>
  </si>
  <si>
    <t>Jesse Borrego</t>
  </si>
  <si>
    <t>Enrique Castillo</t>
  </si>
  <si>
    <t>Scent of a Woman</t>
  </si>
  <si>
    <t>A prep school student needing money agrees to "babysit" a blind man, but the job is not at all what he anticipated.</t>
  </si>
  <si>
    <t>Martin Brest</t>
  </si>
  <si>
    <t>Chris O'Donnell</t>
  </si>
  <si>
    <t>James Rebhorn</t>
  </si>
  <si>
    <t>Gabrielle Anwar</t>
  </si>
  <si>
    <t>Aladdin</t>
  </si>
  <si>
    <t>90 min</t>
  </si>
  <si>
    <t>A kindhearted street urchin and a power-hungry Grand Vizier vie for a magic lamp that has the power to make their deepest wishes come true.</t>
  </si>
  <si>
    <t>Ron Clements</t>
  </si>
  <si>
    <t>John Musker</t>
  </si>
  <si>
    <t>Scott Weinger</t>
  </si>
  <si>
    <t>Linda Larkin</t>
  </si>
  <si>
    <t>JFK</t>
  </si>
  <si>
    <t>Drama, History, Thriller</t>
  </si>
  <si>
    <t>New Orleans District Attorney Jim Garrison discovers there's more to the Kennedy assassination than the official story.</t>
  </si>
  <si>
    <t>Kevin Costner</t>
  </si>
  <si>
    <t>Walter Matthau</t>
  </si>
  <si>
    <t>Beauty and the Beast</t>
  </si>
  <si>
    <t>84 min</t>
  </si>
  <si>
    <t>A prince cursed to spend his days as a hideous monster sets out to regain his humanity by earning a young woman's love.</t>
  </si>
  <si>
    <t>Gary Trousdale</t>
  </si>
  <si>
    <t>Kirk Wise</t>
  </si>
  <si>
    <t>Paige O'Hara</t>
  </si>
  <si>
    <t>Robby Benson</t>
  </si>
  <si>
    <t>Jesse Corti</t>
  </si>
  <si>
    <t>Dances with Wolves</t>
  </si>
  <si>
    <t>Lieutenant John Dunbar, assigned to a remote western Civil War outpost, befriends wolves and Indians, making him an intolerable aberration in the military.</t>
  </si>
  <si>
    <t>Graham Greene</t>
  </si>
  <si>
    <t>Rodney A. Grant</t>
  </si>
  <si>
    <t>Do the Right Thing</t>
  </si>
  <si>
    <t>On the hottest day of the year on a street in the Bedford-Stuyvesant section of Brooklyn, everyone's hate and bigotry smolders and builds until it explodes into violence.</t>
  </si>
  <si>
    <t>Spike Lee</t>
  </si>
  <si>
    <t>Ossie Davis</t>
  </si>
  <si>
    <t>Ruby Dee</t>
  </si>
  <si>
    <t>Richard Edson</t>
  </si>
  <si>
    <t>Rain Man</t>
  </si>
  <si>
    <t>Selfish yuppie Charlie Babbitt's father left a fortune to his savant brother Raymond and a pittance to Charlie; they travel cross-country.</t>
  </si>
  <si>
    <t>Barry Levinson</t>
  </si>
  <si>
    <t>Dustin Hoffman</t>
  </si>
  <si>
    <t>Gerald R. Molen</t>
  </si>
  <si>
    <t>Akira</t>
  </si>
  <si>
    <t>Animation, Action, Sci-Fi</t>
  </si>
  <si>
    <t>A secret military project endangers Neo-Tokyo when it turns a biker gang member into a rampaging psychic psychopath who can only be stopped by two teenagers and a group of psychics.</t>
  </si>
  <si>
    <t>Katsuhiro Ôtomo</t>
  </si>
  <si>
    <t>Mitsuo Iwata</t>
  </si>
  <si>
    <t>Nozomu Sasaki</t>
  </si>
  <si>
    <t>Mami Koyama</t>
  </si>
  <si>
    <t>Tesshô Genda</t>
  </si>
  <si>
    <t>The Princess Bride</t>
  </si>
  <si>
    <t>Adventure, Family, Fantasy</t>
  </si>
  <si>
    <t>While home sick in bed, a young boy's grandfather reads him the story of a farmboy-turned-pirate who encounters numerous obstacles, enemies and allies in his quest to be reunited with his true love.</t>
  </si>
  <si>
    <t>Cary Elwes</t>
  </si>
  <si>
    <t>Mandy Patinkin</t>
  </si>
  <si>
    <t>Der Himmel über Berlin</t>
  </si>
  <si>
    <t>Drama, Fantasy, Romance</t>
  </si>
  <si>
    <t>An angel tires of overseeing human activity and wishes to become human when he falls in love with a mortal.</t>
  </si>
  <si>
    <t>Solveig Dommartin</t>
  </si>
  <si>
    <t>Otto Sander</t>
  </si>
  <si>
    <t>Curt Bois</t>
  </si>
  <si>
    <t>Au revoir les enfants</t>
  </si>
  <si>
    <t>A French boarding school run by priests seems to be a haven from World War II until a new student arrives. He becomes the roommate of the top student in his class. Rivals at first, the roommates form a bond and share a secret.</t>
  </si>
  <si>
    <t>Louis Malle</t>
  </si>
  <si>
    <t>Gaspard Manesse</t>
  </si>
  <si>
    <t>Raphael Fejtö</t>
  </si>
  <si>
    <t>Francine Racette</t>
  </si>
  <si>
    <t>Stanislas Carré de Malberg</t>
  </si>
  <si>
    <t>Tenkû no shiro Rapyuta</t>
  </si>
  <si>
    <t>A young boy and a girl with a magic crystal must race against pirates and foreign agents in a search for a legendary floating castle.</t>
  </si>
  <si>
    <t>Mayumi Tanaka</t>
  </si>
  <si>
    <t>Keiko Yokozawa</t>
  </si>
  <si>
    <t>Kotoe Hatsui</t>
  </si>
  <si>
    <t>Minori Terada</t>
  </si>
  <si>
    <t>The Terminator</t>
  </si>
  <si>
    <t>A human soldier is sent from 2029 to 1984 to stop an almost indestructible cyborg killing machine, sent from the same year, which has been programmed to execute a young woman whose unborn son is the key to humanity's future salvation.</t>
  </si>
  <si>
    <t>Paul Winfield</t>
  </si>
  <si>
    <t>Gandhi</t>
  </si>
  <si>
    <t>191 min</t>
  </si>
  <si>
    <t>The life of the lawyer who became the famed leader of the Indian revolts against the British rule through his philosophy of nonviolent protest.</t>
  </si>
  <si>
    <t>Rohini Hattangadi</t>
  </si>
  <si>
    <t>Roshan Seth</t>
  </si>
  <si>
    <t>Kagemusha</t>
  </si>
  <si>
    <t>Drama, History, War</t>
  </si>
  <si>
    <t>A petty thief with an utter resemblance to a samurai warlord is hired as the lord's double. When the warlord later dies the thief is forced to take up arms in his place.</t>
  </si>
  <si>
    <t>Ken'ichi Hagiwara</t>
  </si>
  <si>
    <t>Being There</t>
  </si>
  <si>
    <t>A simpleminded, sheltered gardener becomes an unlikely trusted advisor to a powerful businessman and an insider in Washington politics.</t>
  </si>
  <si>
    <t>Hal Ashby</t>
  </si>
  <si>
    <t>Melvyn Douglas</t>
  </si>
  <si>
    <t>Jack Warden</t>
  </si>
  <si>
    <t>Annie Hall</t>
  </si>
  <si>
    <t>Neurotic New York comedian Alvy Singer falls in love with the ditzy Annie Hall.</t>
  </si>
  <si>
    <t>Woody Allen</t>
  </si>
  <si>
    <t>Tony Roberts</t>
  </si>
  <si>
    <t>Carol Kane</t>
  </si>
  <si>
    <t>Jaws</t>
  </si>
  <si>
    <t>Adventure, Thriller</t>
  </si>
  <si>
    <t>When a killer shark unleashes chaos on a beach community, it's up to a local sheriff, a marine biologist, and an old seafarer to hunt the beast down.</t>
  </si>
  <si>
    <t>Roy Scheider</t>
  </si>
  <si>
    <t>Richard Dreyfuss</t>
  </si>
  <si>
    <t>Lorraine Gary</t>
  </si>
  <si>
    <t>Dog Day Afternoon</t>
  </si>
  <si>
    <t>Three amateur bank robbers plan to hold up a bank. A nice simple robbery: Walk in, take the money, and run. Unfortunately, the supposedly uncomplicated heist suddenly becomes a bizarre nightmare as everything that could go wrong does.</t>
  </si>
  <si>
    <t>Penelope Allen</t>
  </si>
  <si>
    <t>Sully Boyar</t>
  </si>
  <si>
    <t>Young Frankenstein</t>
  </si>
  <si>
    <t>An American grandson of the infamous scientist, struggling to prove that his grandfather was not as insane as people believe, is invited to Transylvania, where he discovers the process that reanimates a dead body.</t>
  </si>
  <si>
    <t>Mel Brooks</t>
  </si>
  <si>
    <t>Gene Wilder</t>
  </si>
  <si>
    <t>Marty Feldman</t>
  </si>
  <si>
    <t>Peter Boyle</t>
  </si>
  <si>
    <t>Papillon</t>
  </si>
  <si>
    <t>A man befriends a fellow criminal as the two of them begin serving their sentence on a dreadful prison island, which inspires the man to plot his escape.</t>
  </si>
  <si>
    <t>Franklin J. Schaffner</t>
  </si>
  <si>
    <t>Victor Jory</t>
  </si>
  <si>
    <t>Don Gordon</t>
  </si>
  <si>
    <t>The Exorcist</t>
  </si>
  <si>
    <t>Horror</t>
  </si>
  <si>
    <t>When a 12-year-old girl is possessed by a mysterious entity, her mother seeks the help of two priests to save her.</t>
  </si>
  <si>
    <t>William Friedkin</t>
  </si>
  <si>
    <t>Linda Blair</t>
  </si>
  <si>
    <t>Sleuth</t>
  </si>
  <si>
    <t>A man who loves games and theater invites his wife's lover to meet him, setting up a battle of wits with potentially deadly results.</t>
  </si>
  <si>
    <t>Alec Cawthorne</t>
  </si>
  <si>
    <t>John Matthews</t>
  </si>
  <si>
    <t>The Last Picture Show</t>
  </si>
  <si>
    <t>In 1951, a group of high schoolers come of age in a bleak, isolated, atrophied North Texas town that is slowly dying, both culturally and economically.</t>
  </si>
  <si>
    <t>Timothy Bottoms</t>
  </si>
  <si>
    <t>Ben Johnson</t>
  </si>
  <si>
    <t>Fiddler on the Roof</t>
  </si>
  <si>
    <t>Drama, Family, Musical</t>
  </si>
  <si>
    <t>In prerevolutionary Russia, a Jewish peasant contends with marrying off three of his daughters while growing anti-Semitic sentiment threatens his village.</t>
  </si>
  <si>
    <t>Norman Jewison</t>
  </si>
  <si>
    <t>Topol</t>
  </si>
  <si>
    <t>Norma Crane</t>
  </si>
  <si>
    <t>Leonard Frey</t>
  </si>
  <si>
    <t>Molly Picon</t>
  </si>
  <si>
    <t>Il conformista</t>
  </si>
  <si>
    <t>541,94</t>
  </si>
  <si>
    <t>A weak-willed Italian man becomes a fascist flunky who goes abroad to arrange the assassination of his old teacher, now a political dissident.</t>
  </si>
  <si>
    <t>Bernardo Bertolucci</t>
  </si>
  <si>
    <t>Stefania Sandrelli</t>
  </si>
  <si>
    <t>Gastone Moschin</t>
  </si>
  <si>
    <t>Enzo Tarascio</t>
  </si>
  <si>
    <t>Butch Cassidy and the Sundance Kid</t>
  </si>
  <si>
    <t>Wyoming, early 1900s. Butch Cassidy and The Sundance Kid are the leaders of a band of outlaws. After a train robbery goes wrong they find themselves on the run with a posse hard on their heels. Their solution - escape to Bolivia.</t>
  </si>
  <si>
    <t>Katharine Ross</t>
  </si>
  <si>
    <t>Rosemary's Baby</t>
  </si>
  <si>
    <t>A young couple trying for a baby move into a fancy apartment surrounded by peculiar neighbors.</t>
  </si>
  <si>
    <t>Mia Farrow</t>
  </si>
  <si>
    <t>John Cassavetes</t>
  </si>
  <si>
    <t>Ruth Gordon</t>
  </si>
  <si>
    <t>Sidney Blackmer</t>
  </si>
  <si>
    <t>Planet of the Apes</t>
  </si>
  <si>
    <t>An astronaut crew crash-lands on a planet in the distant future where intelligent talking apes are the dominant species, and humans are the oppressed and enslaved.</t>
  </si>
  <si>
    <t>Roddy McDowall</t>
  </si>
  <si>
    <t>Kim Hunter</t>
  </si>
  <si>
    <t>Maurice Evans</t>
  </si>
  <si>
    <t>The Graduate</t>
  </si>
  <si>
    <t>A disillusioned college graduate finds himself torn between his older lover and her daughter.</t>
  </si>
  <si>
    <t>Mike Nichols</t>
  </si>
  <si>
    <t>William Daniels</t>
  </si>
  <si>
    <t>Who's Afraid of Virginia Woolf?</t>
  </si>
  <si>
    <t>A bitter, aging couple, with the help of alcohol, use their young houseguests to fuel anguish and emotional pain towards each other over the course of a distressing night.</t>
  </si>
  <si>
    <t>Elizabeth Taylor</t>
  </si>
  <si>
    <t>Richard Burton</t>
  </si>
  <si>
    <t>George Segal</t>
  </si>
  <si>
    <t>Sandy Dennis</t>
  </si>
  <si>
    <t>The Sound of Music</t>
  </si>
  <si>
    <t>A woman leaves an Austrian convent to become a governess to the children of a Naval officer widower.</t>
  </si>
  <si>
    <t>Robert Wise</t>
  </si>
  <si>
    <t>Julie Andrews</t>
  </si>
  <si>
    <t>Eleanor Parker</t>
  </si>
  <si>
    <t>Richard Haydn</t>
  </si>
  <si>
    <t>Doctor Zhivago</t>
  </si>
  <si>
    <t>197 min</t>
  </si>
  <si>
    <t>The life of a Russian physician and poet who, although married to another, falls in love with a political activist's wife and experiences hardship during World War I and then the October Revolution.</t>
  </si>
  <si>
    <t>Omar Sharif</t>
  </si>
  <si>
    <t>Julie Christie</t>
  </si>
  <si>
    <t>Geraldine Chaplin</t>
  </si>
  <si>
    <t>Per un pugno di dollari</t>
  </si>
  <si>
    <t>Action, Drama, Western</t>
  </si>
  <si>
    <t>A wandering gunfighter plays two rival families against each other in a town torn apart by greed, pride, and revenge.</t>
  </si>
  <si>
    <t>Marianne Koch</t>
  </si>
  <si>
    <t>Wolfgang Lukschy</t>
  </si>
  <si>
    <t>8½</t>
  </si>
  <si>
    <t>50,69</t>
  </si>
  <si>
    <t>A harried movie director retreats into his memories and fantasies.</t>
  </si>
  <si>
    <t>Marcello Mastroianni</t>
  </si>
  <si>
    <t>Anouk Aimée</t>
  </si>
  <si>
    <t>Sandra Milo</t>
  </si>
  <si>
    <t>Vivre sa vie: Film en douze tableaux</t>
  </si>
  <si>
    <t>Twelve episodic tales in the life of a Parisian woman and her slow descent into prostitution.</t>
  </si>
  <si>
    <t>Jean-Luc Godard</t>
  </si>
  <si>
    <t>Anna Karina</t>
  </si>
  <si>
    <t>Sady Rebbot</t>
  </si>
  <si>
    <t>André S. Labarthe</t>
  </si>
  <si>
    <t>Guylaine Schlumberger</t>
  </si>
  <si>
    <t>The Hustler</t>
  </si>
  <si>
    <t>An up-and-coming pool player plays a long-time champion in a single high-stakes match.</t>
  </si>
  <si>
    <t>Robert Rossen</t>
  </si>
  <si>
    <t>Jackie Gleason</t>
  </si>
  <si>
    <t>Piper Laurie</t>
  </si>
  <si>
    <t>La dolce vita</t>
  </si>
  <si>
    <t>174 min</t>
  </si>
  <si>
    <t>A series of stories following a week in the life of a philandering paparazzo journalist living in Rome.</t>
  </si>
  <si>
    <t>Anita Ekberg</t>
  </si>
  <si>
    <t>Yvonne Furneaux</t>
  </si>
  <si>
    <t>Rio Bravo</t>
  </si>
  <si>
    <t>A small-town sheriff in the American West enlists the help of a cripple, a drunk, and a young gunfighter in his efforts to hold in jail the brother of the local bad guy.</t>
  </si>
  <si>
    <t>Howard Hawks</t>
  </si>
  <si>
    <t>Dean Martin</t>
  </si>
  <si>
    <t>Ricky Nelson</t>
  </si>
  <si>
    <t>Angie Dickinson</t>
  </si>
  <si>
    <t>Anatomy of a Murder</t>
  </si>
  <si>
    <t>In a murder trial, the defendant says he suffered temporary insanity after the victim raped his wife. What is the truth, and will he win his case?</t>
  </si>
  <si>
    <t>Otto Preminger</t>
  </si>
  <si>
    <t>Lee Remick</t>
  </si>
  <si>
    <t>Ben Gazzara</t>
  </si>
  <si>
    <t>Arthur O'Connell</t>
  </si>
  <si>
    <t>Touch of Evil</t>
  </si>
  <si>
    <t>A stark, perverse story of murder, kidnapping, and police corruption in a Mexican border town.</t>
  </si>
  <si>
    <t>Joseph Calleia</t>
  </si>
  <si>
    <t>Cat on a Hot Tin Roof</t>
  </si>
  <si>
    <t>Brick is an alcoholic ex-football player who drinks his days away and resists the affections of his wife. A reunion with his terminal father jogs a host of memories and revelations for both father and son.</t>
  </si>
  <si>
    <t>Richard Brooks</t>
  </si>
  <si>
    <t>Burl Ives</t>
  </si>
  <si>
    <t>Jack Carson</t>
  </si>
  <si>
    <t>Sweet Smell of Success</t>
  </si>
  <si>
    <t>Powerful but unethical Broadway columnist J.J. Hunsecker coerces unscrupulous press agent Sidney Falco into breaking up his sister's romance with a jazz musician.</t>
  </si>
  <si>
    <t>Alexander Mackendrick</t>
  </si>
  <si>
    <t>Susan Harrison</t>
  </si>
  <si>
    <t>Martin Milner</t>
  </si>
  <si>
    <t>The Killing</t>
  </si>
  <si>
    <t>Crook Johnny Clay assembles a five man team to plan and execute a daring race-track robbery.</t>
  </si>
  <si>
    <t>Coleen Gray</t>
  </si>
  <si>
    <t>Vince Edwards</t>
  </si>
  <si>
    <t>Jay C. Flippen</t>
  </si>
  <si>
    <t>The Night of the Hunter</t>
  </si>
  <si>
    <t>A religious fanatic marries a gullible widow whose young children are reluctant to tell him where their real daddy hid the $10,000 he'd stolen in a robbery.</t>
  </si>
  <si>
    <t>Robert Mitchum</t>
  </si>
  <si>
    <t>Shelley Winters</t>
  </si>
  <si>
    <t>Lillian Gish</t>
  </si>
  <si>
    <t>James Gleason</t>
  </si>
  <si>
    <t>La Strada</t>
  </si>
  <si>
    <t>A care-free girl is sold to a traveling entertainer, consequently enduring physical and emotional pain along the way.</t>
  </si>
  <si>
    <t>Richard Basehart</t>
  </si>
  <si>
    <t>Aldo Silvani</t>
  </si>
  <si>
    <t>Les diaboliques</t>
  </si>
  <si>
    <t>Crime, Drama, Horror</t>
  </si>
  <si>
    <t>The wife and mistress of a loathed school principal plan to murder him with what they believe is the perfect alibi.</t>
  </si>
  <si>
    <t>Simone Signoret</t>
  </si>
  <si>
    <t>Véra Clouzot</t>
  </si>
  <si>
    <t>Paul Meurisse</t>
  </si>
  <si>
    <t>Stalag 17</t>
  </si>
  <si>
    <t>When two escaping American World War II prisoners are killed, the German P.O.W. camp barracks black marketeer, J.J. Sefton, is suspected of being an informer.</t>
  </si>
  <si>
    <t>Don Taylor</t>
  </si>
  <si>
    <t>Robert Strauss</t>
  </si>
  <si>
    <t>Roman Holiday</t>
  </si>
  <si>
    <t>A bored and sheltered princess escapes her guardians and falls in love with an American newsman in Rome.</t>
  </si>
  <si>
    <t>Audrey Hepburn</t>
  </si>
  <si>
    <t>Eddie Albert</t>
  </si>
  <si>
    <t>Hartley Power</t>
  </si>
  <si>
    <t>A Streetcar Named Desire</t>
  </si>
  <si>
    <t>Disturbed Blanche DuBois moves in with her sister in New Orleans and is tormented by her brutish brother-in-law while her reality crumbles around her.</t>
  </si>
  <si>
    <t>In a Lonely Place</t>
  </si>
  <si>
    <t>Drama, Film-Noir, Mystery</t>
  </si>
  <si>
    <t>A potentially violent screenwriter is a murder suspect until his lovely neighbor clears him. However, she soon starts to have her doubts.</t>
  </si>
  <si>
    <t>Nicholas Ray</t>
  </si>
  <si>
    <t>Gloria Grahame</t>
  </si>
  <si>
    <t>Frank Lovejoy</t>
  </si>
  <si>
    <t>Carl Benton Reid</t>
  </si>
  <si>
    <t>Kind Hearts and Coronets</t>
  </si>
  <si>
    <t>A distant poor relative of the Duke D'Ascoyne plots to inherit the title by murdering the eight other heirs who stand ahead of him in the line of succession.</t>
  </si>
  <si>
    <t>Robert Hamer</t>
  </si>
  <si>
    <t>Dennis Price</t>
  </si>
  <si>
    <t>Valerie Hobson</t>
  </si>
  <si>
    <t>Joan Greenwood</t>
  </si>
  <si>
    <t>Rope</t>
  </si>
  <si>
    <t>10,59</t>
  </si>
  <si>
    <t>Two men attempt to prove they committed the perfect crime by hosting a dinner party after strangling their former classmate to death.</t>
  </si>
  <si>
    <t>John Dall</t>
  </si>
  <si>
    <t>Farley Granger</t>
  </si>
  <si>
    <t>Dick Hogan</t>
  </si>
  <si>
    <t>Out of the Past</t>
  </si>
  <si>
    <t>97 min</t>
  </si>
  <si>
    <t>A private eye escapes his past to run a gas station in a small town, but his past catches up with him. Now he must return to the big city world of danger, corruption, double crosses and duplicitous dames.</t>
  </si>
  <si>
    <t>Jacques Tourneur</t>
  </si>
  <si>
    <t>Jane Greer</t>
  </si>
  <si>
    <t>Rhonda Fleming</t>
  </si>
  <si>
    <t>Brief Encounter</t>
  </si>
  <si>
    <t>Meeting a stranger in a railway station, a woman is tempted to cheat on her husband.</t>
  </si>
  <si>
    <t>Celia Johnson</t>
  </si>
  <si>
    <t>Stanley Holloway</t>
  </si>
  <si>
    <t>Joyce Carey</t>
  </si>
  <si>
    <t>Laura</t>
  </si>
  <si>
    <t>A police detective falls in love with the woman whose murder he is investigating.</t>
  </si>
  <si>
    <t>Gene Tierney</t>
  </si>
  <si>
    <t>Dana Andrews</t>
  </si>
  <si>
    <t>Clifton Webb</t>
  </si>
  <si>
    <t>Vincent Price</t>
  </si>
  <si>
    <t>The Best Years of Our Lives</t>
  </si>
  <si>
    <t>Three World War II veterans return home to small-town America to discover that they and their families have been irreparably changed.</t>
  </si>
  <si>
    <t>Myrna Loy</t>
  </si>
  <si>
    <t>Teresa Wright</t>
  </si>
  <si>
    <t>Arsenic and Old Lace</t>
  </si>
  <si>
    <t>Comedy, Crime, Thriller</t>
  </si>
  <si>
    <t>A writer of books on the futility of marriage risks his reputation when he decides to get married. Things get even more complicated when he learns on his wedding day that his beloved maiden aunts are habitual murderers.</t>
  </si>
  <si>
    <t>Priscilla Lane</t>
  </si>
  <si>
    <t>Raymond Massey</t>
  </si>
  <si>
    <t>The Maltese Falcon</t>
  </si>
  <si>
    <t>12A</t>
  </si>
  <si>
    <t>Film-Noir, Mystery</t>
  </si>
  <si>
    <t>A private detective takes on a case that involves him with three eccentric criminals, a gorgeous liar, and their quest for a priceless statuette.</t>
  </si>
  <si>
    <t>Mary Astor</t>
  </si>
  <si>
    <t>Gladys George</t>
  </si>
  <si>
    <t>The Grapes of Wrath</t>
  </si>
  <si>
    <t>A poor Midwest family is forced off their land. They travel to California, suffering the misfortunes of the homeless in the Great Depression.</t>
  </si>
  <si>
    <t>Jane Darwell</t>
  </si>
  <si>
    <t>John Carradine</t>
  </si>
  <si>
    <t>Charley Grapewin</t>
  </si>
  <si>
    <t>The Wizard of Oz</t>
  </si>
  <si>
    <t>Dorothy Gale is swept away from a farm in Kansas to a magical land of Oz in a tornado and embarks on a quest with her new friends to see the Wizard who can help her return home to Kansas and help her friends as well.</t>
  </si>
  <si>
    <t>Mervyn LeRoy</t>
  </si>
  <si>
    <t>Norman Taurog</t>
  </si>
  <si>
    <t>Richard Thorpe</t>
  </si>
  <si>
    <t>La règle du jeu</t>
  </si>
  <si>
    <t>A bourgeois life in France at the onset of World War II, as the rich and their poor servants meet up at a French chateau.</t>
  </si>
  <si>
    <t>Marcel Dalio</t>
  </si>
  <si>
    <t>Nora Gregor</t>
  </si>
  <si>
    <t>Paulette Dubost</t>
  </si>
  <si>
    <t>Mila Parély</t>
  </si>
  <si>
    <t>The Thin Man</t>
  </si>
  <si>
    <t>Comedy, Crime, Mystery</t>
  </si>
  <si>
    <t>Former detective Nick Charles and his wealthy wife Nora investigate a murder case, mostly for the fun of it.</t>
  </si>
  <si>
    <t>W.S. Van Dyke</t>
  </si>
  <si>
    <t>William Powell</t>
  </si>
  <si>
    <t>Maureen O'Sullivan</t>
  </si>
  <si>
    <t>Nat Pendleton</t>
  </si>
  <si>
    <t>All Quiet on the Western Front</t>
  </si>
  <si>
    <t>A German youth eagerly enters World War I, but his enthusiasm wanes as he gets a firsthand view of the horror.</t>
  </si>
  <si>
    <t>Lewis Milestone</t>
  </si>
  <si>
    <t>Lew Ayres</t>
  </si>
  <si>
    <t>Louis Wolheim</t>
  </si>
  <si>
    <t>John Wray</t>
  </si>
  <si>
    <t>Arnold Lucy</t>
  </si>
  <si>
    <t>Bronenosets Potemkin</t>
  </si>
  <si>
    <t>50,97</t>
  </si>
  <si>
    <t>75 min</t>
  </si>
  <si>
    <t>In the midst of the Russian Revolution of 1905, the crew of the battleship Potemkin mutiny against the brutal, tyrannical regime of the vessel's officers. The resulting street demonstration in Odessa brings on a police massacre.</t>
  </si>
  <si>
    <t>Sergei M. Eisenstein</t>
  </si>
  <si>
    <t>Aleksandr Antonov</t>
  </si>
  <si>
    <t>Vladimir Barskiy</t>
  </si>
  <si>
    <t>Grigoriy Aleksandrov</t>
  </si>
  <si>
    <t>Ivan Bobrov</t>
  </si>
  <si>
    <t>Knives Out</t>
  </si>
  <si>
    <t>A detective investigates the death of a patriarch of an eccentric, combative family.</t>
  </si>
  <si>
    <t>Rian Johnson</t>
  </si>
  <si>
    <t>Jamie Lee Curtis</t>
  </si>
  <si>
    <t>Dil Bechara</t>
  </si>
  <si>
    <t>The emotional journey of two hopelessly in love youngsters, a young girl, Kizie, suffering from cancer, and a boy, Manny, whom she meets at a support group.</t>
  </si>
  <si>
    <t>Mukesh Chhabra</t>
  </si>
  <si>
    <t>Sanjana Sanghi</t>
  </si>
  <si>
    <t>Sahil Vaid</t>
  </si>
  <si>
    <t>Saswata Chatterjee</t>
  </si>
  <si>
    <t>Manbiki kazoku</t>
  </si>
  <si>
    <t>A family of small-time crooks take in a child they find outside in the cold.</t>
  </si>
  <si>
    <t>Hirokazu Koreeda</t>
  </si>
  <si>
    <t>Lily Franky</t>
  </si>
  <si>
    <t>Sakura Andô</t>
  </si>
  <si>
    <t>Kirin Kiki</t>
  </si>
  <si>
    <t>Mayu Matsuoka</t>
  </si>
  <si>
    <t>Marriage Story</t>
  </si>
  <si>
    <t>Noah Baumbach's incisive and compassionate look at a marriage breaking up and a family staying together.</t>
  </si>
  <si>
    <t>Noah Baumbach</t>
  </si>
  <si>
    <t>Adam Driver</t>
  </si>
  <si>
    <t>Julia Greer</t>
  </si>
  <si>
    <t>Azhy Robertson</t>
  </si>
  <si>
    <t>Call Me by Your Name</t>
  </si>
  <si>
    <t>In 1980s Italy, romance blossoms between a seventeen-year-old student and the older man hired as his father's research assistant.</t>
  </si>
  <si>
    <t>Luca Guadagnino</t>
  </si>
  <si>
    <t>Armie Hammer</t>
  </si>
  <si>
    <t>Timothée Chalamet</t>
  </si>
  <si>
    <t>Michael Stuhlbarg</t>
  </si>
  <si>
    <t>Amira Casar</t>
  </si>
  <si>
    <t>I, Daniel Blake</t>
  </si>
  <si>
    <t>After having suffered a heart-attack, a 59-year-old carpenter must fight the bureaucratic forces of the system in order to receive Employment and Support Allowance.</t>
  </si>
  <si>
    <t>Ken Loach</t>
  </si>
  <si>
    <t>Dave Johns</t>
  </si>
  <si>
    <t>Hayley Squires</t>
  </si>
  <si>
    <t>Sharon Percy</t>
  </si>
  <si>
    <t>Isle of Dogs</t>
  </si>
  <si>
    <t>Set in Japan, Isle of Dogs follows a boy's odyssey in search of his lost dog.</t>
  </si>
  <si>
    <t>Bryan Cranston</t>
  </si>
  <si>
    <t>Koyu Rankin</t>
  </si>
  <si>
    <t>Bob Balaban</t>
  </si>
  <si>
    <t>Hunt for the Wilderpeople</t>
  </si>
  <si>
    <t>A national manhunt is ordered for a rebellious kid and his foster uncle who go missing in the wild New Zealand bush.</t>
  </si>
  <si>
    <t>Taika Waititi</t>
  </si>
  <si>
    <t>Julian Dennison</t>
  </si>
  <si>
    <t>Rima Te Wiata</t>
  </si>
  <si>
    <t>Rachel House</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</si>
  <si>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</si>
  <si>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</si>
  <si>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Matt Ross</t>
  </si>
  <si>
    <t>Samantha Isler</t>
  </si>
  <si>
    <t>Annalise Basso</t>
  </si>
  <si>
    <t>Sing Street</t>
  </si>
  <si>
    <t>A boy growing up in Dublin during the 1980s escapes his strained family life by starting a band to impress the mysterious girl he likes.</t>
  </si>
  <si>
    <t>John Carney</t>
  </si>
  <si>
    <t>Ferdia Walsh-Peelo</t>
  </si>
  <si>
    <t>Aidan Gillen</t>
  </si>
  <si>
    <t>Maria Doyle Kennedy</t>
  </si>
  <si>
    <t>Jack Reynor</t>
  </si>
  <si>
    <t>Thor: Ragnarok</t>
  </si>
  <si>
    <t>Imprisoned on the planet Sakaar, Thor must race against time to return to Asgard and stop Ragnarök, the destruction of his world, at the hands of the powerful and ruthless villain Hela.</t>
  </si>
  <si>
    <t>Tom Hiddleston</t>
  </si>
  <si>
    <t>Cate Blanchett</t>
  </si>
  <si>
    <t>Nightcrawler</t>
  </si>
  <si>
    <t>When Louis Bloom, a con man desperate for work, muscles into the world of L.A. crime journalism, he blurs the line between observer and participant to become the star of his own story.</t>
  </si>
  <si>
    <t>Dan Gilroy</t>
  </si>
  <si>
    <t>Rene Russo</t>
  </si>
  <si>
    <t>Bill Paxton</t>
  </si>
  <si>
    <t>Riz Ahmed</t>
  </si>
  <si>
    <t>Jojo Rabbit</t>
  </si>
  <si>
    <t>A young boy in Hitler's army finds out his mother is hiding a Jewish girl in their home.</t>
  </si>
  <si>
    <t>Roman Griffin Davis</t>
  </si>
  <si>
    <t>Thomasin McKenzie</t>
  </si>
  <si>
    <t>Arrival</t>
  </si>
  <si>
    <t>A linguist works with the military to communicate with alien lifeforms after twelve mysterious spacecrafts appear around the world.</t>
  </si>
  <si>
    <t>Forest Whitaker</t>
  </si>
  <si>
    <t>Star Wars: Episode VII - The Force Awakens</t>
  </si>
  <si>
    <t>As a new threat to the galaxy rises, Rey, a desert scavenger, and Finn, an ex-stormtrooper, must join Han Solo and Chewbacca to search for the one hope of restoring peace.</t>
  </si>
  <si>
    <t>J.J. Abrams</t>
  </si>
  <si>
    <t>Daisy Ridley</t>
  </si>
  <si>
    <t>John Boyega</t>
  </si>
  <si>
    <t>Oscar Isaac</t>
  </si>
  <si>
    <t>Before Midnight</t>
  </si>
  <si>
    <t>We meet Jesse and Celine nine years on in Greece. Almost two decades have passed since their first meeting on that train bound for Vienna.</t>
  </si>
  <si>
    <t>Seamus Davey-Fitzpatrick</t>
  </si>
  <si>
    <t>Ariane Labed</t>
  </si>
  <si>
    <t>X-Men: Days of Future Past</t>
  </si>
  <si>
    <t>The X-Men send Wolverine to the past in a desperate effort to change history and prevent an event that results in doom for both humans and mutants.</t>
  </si>
  <si>
    <t>James McAvoy</t>
  </si>
  <si>
    <t>Bir Zamanlar Anadolu'da</t>
  </si>
  <si>
    <t>138,73</t>
  </si>
  <si>
    <t>157 min</t>
  </si>
  <si>
    <t>A group of men set out in search of a dead body in the Anatolian steppes.</t>
  </si>
  <si>
    <t>Muhammet Uzuner</t>
  </si>
  <si>
    <t>Taner Birsel</t>
  </si>
  <si>
    <t>Ahmet Mümtaz Taylan</t>
  </si>
  <si>
    <t>The Artist</t>
  </si>
  <si>
    <t>An egomaniacal film star develops a relationship with a young dancer against the backdrop of Hollywood's silent era.</t>
  </si>
  <si>
    <t>Michel Hazanavicius</t>
  </si>
  <si>
    <t>Jean Dujardin</t>
  </si>
  <si>
    <t>Bérénice Bejo</t>
  </si>
  <si>
    <t>James Cromwell</t>
  </si>
  <si>
    <t>Edge of Tomorrow</t>
  </si>
  <si>
    <t>A soldier fighting aliens gets to relive the same day over and over again, the day restarting every time he dies.</t>
  </si>
  <si>
    <t>Doug Liman</t>
  </si>
  <si>
    <t>Emily Blunt</t>
  </si>
  <si>
    <t>Amour</t>
  </si>
  <si>
    <t>Georges and Anne are an octogenarian couple. They are cultivated, retired music teachers. Their daughter, also a musician, lives in Britain with her family. One day, Anne has a stroke, and the couple's bond of love is severely tested.</t>
  </si>
  <si>
    <t>Michael Haneke</t>
  </si>
  <si>
    <t>Emmanuelle Riva</t>
  </si>
  <si>
    <t>Isabelle Huppert</t>
  </si>
  <si>
    <t>Alexandre Tharaud</t>
  </si>
  <si>
    <t>The Irishman</t>
  </si>
  <si>
    <t>209 min</t>
  </si>
  <si>
    <t>An old man recalls his time painting houses for his friend, Jimmy Hoffa, through the 1950-70s.</t>
  </si>
  <si>
    <t>Un prophète</t>
  </si>
  <si>
    <t>A young Arab man is sent to a French prison.</t>
  </si>
  <si>
    <t>Jacques Audiard</t>
  </si>
  <si>
    <t>Tahar Rahim</t>
  </si>
  <si>
    <t>Niels Arestrup</t>
  </si>
  <si>
    <t>Adel Bencherif</t>
  </si>
  <si>
    <t>Reda Kateb</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</si>
  <si>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</si>
  <si>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</si>
  <si>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</si>
  <si>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Dominique McElligott</t>
  </si>
  <si>
    <t>Rosie Shaw</t>
  </si>
  <si>
    <t>Låt den rätte komma in</t>
  </si>
  <si>
    <t>Oskar, an overlooked and bullied boy, finds love and revenge through Eli, a beautiful but peculiar girl.</t>
  </si>
  <si>
    <t>Tomas Alfredson</t>
  </si>
  <si>
    <t>Kåre Hedebrant</t>
  </si>
  <si>
    <t>Lina Leandersson</t>
  </si>
  <si>
    <t>Per Ragnar</t>
  </si>
  <si>
    <t>Henrik Dahl</t>
  </si>
  <si>
    <t>District 9</t>
  </si>
  <si>
    <t>Violence ensues after an extraterrestrial race forced to live in slum-like conditions on Earth finds a kindred spirit in a government agent exposed to their biotechnology.</t>
  </si>
  <si>
    <t>Neill Blomkamp</t>
  </si>
  <si>
    <t>Sharlto Copley</t>
  </si>
  <si>
    <t>David James</t>
  </si>
  <si>
    <t>Jason Cope</t>
  </si>
  <si>
    <t>Nathalie Boltt</t>
  </si>
  <si>
    <t>The Wrestler</t>
  </si>
  <si>
    <t>A faded professional wrestler must retire, but finds his quest for a new life outside the ring a dispiriting struggle.</t>
  </si>
  <si>
    <t>Marisa Tomei</t>
  </si>
  <si>
    <t>Evan Rachel Wood</t>
  </si>
  <si>
    <t>Mark Margolis</t>
  </si>
  <si>
    <t>Jab We Met</t>
  </si>
  <si>
    <t>410,8</t>
  </si>
  <si>
    <t>A depressed wealthy businessman finds his life changing after he meets a spunky and care-free young woman.</t>
  </si>
  <si>
    <t>Imtiaz Ali</t>
  </si>
  <si>
    <t>Tarun Arora</t>
  </si>
  <si>
    <t>Dara Singh</t>
  </si>
  <si>
    <t>Boyhood</t>
  </si>
  <si>
    <t>The life of Mason, from early childhood to his arrival at college.</t>
  </si>
  <si>
    <t>Ellar Coltrane</t>
  </si>
  <si>
    <t>Patricia Arquette</t>
  </si>
  <si>
    <t>Elijah Smith</t>
  </si>
  <si>
    <t>4 luni, 3 saptamâni si 2 zile</t>
  </si>
  <si>
    <t>A woman assists her friend in arranging an illegal abortion in 1980s Romania.</t>
  </si>
  <si>
    <t>Cristian Mungiu</t>
  </si>
  <si>
    <t>Anamaria Marinca</t>
  </si>
  <si>
    <t>Laura Vasiliu</t>
  </si>
  <si>
    <t>Vlad Ivanov</t>
  </si>
  <si>
    <t>Alexandru Potocean</t>
  </si>
  <si>
    <t>Star Trek</t>
  </si>
  <si>
    <t>The brash James T. Kirk tries to live up to his father's legacy with Mr. Spock keeping him in check as a vengeful Romulan from the future creates black holes to destroy the Federation one planet at a time.</t>
  </si>
  <si>
    <t>Chris Pine</t>
  </si>
  <si>
    <t>Zachary Quinto</t>
  </si>
  <si>
    <t>Simon Pegg</t>
  </si>
  <si>
    <t>Leonard Nimoy</t>
  </si>
  <si>
    <t>In Bruges</t>
  </si>
  <si>
    <t>Guilt-stricken after a job gone wrong, hitman Ray and his partner await orders from their ruthless boss in Bruges, Belgium, the last place in the world Ray wants to be.</t>
  </si>
  <si>
    <t>Colin Farrell</t>
  </si>
  <si>
    <t>Elizabeth Berrington</t>
  </si>
  <si>
    <t>The Man from Earth</t>
  </si>
  <si>
    <t>Drama, Fantasy, Mystery</t>
  </si>
  <si>
    <t>An impromptu goodbye party for Professor John Oldman becomes a mysterious interrogation after the retiring scholar reveals to his colleagues he has a longer and stranger past than they can imagine.</t>
  </si>
  <si>
    <t>Richard Schenkman</t>
  </si>
  <si>
    <t>David Lee Smith</t>
  </si>
  <si>
    <t>Tony Todd</t>
  </si>
  <si>
    <t>John Billingsley</t>
  </si>
  <si>
    <t>Ellen Crawford</t>
  </si>
  <si>
    <t>Letters from Iwo Jima</t>
  </si>
  <si>
    <t>The story of the battle of Iwo Jima between the United States and Imperial Japan during World War II, as told from the perspective of the Japanese who fought it.</t>
  </si>
  <si>
    <t>Kazunari Ninomiya</t>
  </si>
  <si>
    <t>Tsuyoshi Ihara</t>
  </si>
  <si>
    <t>Ryô Kase</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</si>
  <si>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</si>
  <si>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</si>
  <si>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Tarsem Singh</t>
  </si>
  <si>
    <t>Lee Pace</t>
  </si>
  <si>
    <t>Catinca Untaru</t>
  </si>
  <si>
    <t>Justine Waddell</t>
  </si>
  <si>
    <t>Kim Uylenbroek</t>
  </si>
  <si>
    <t>Life of Pi</t>
  </si>
  <si>
    <t>A young man who survives a disaster at sea is hurtled into an epic journey of adventure and discovery. While cast away, he forms an unexpected connection with another survivor: a fearsome Bengal tiger.</t>
  </si>
  <si>
    <t>Ang Lee</t>
  </si>
  <si>
    <t>Suraj Sharma</t>
  </si>
  <si>
    <t>Adil Hussain</t>
  </si>
  <si>
    <t>Fantastic Mr. Fox</t>
  </si>
  <si>
    <t>An urbane fox cannot resist returning to his farm raiding ways and then must help his community survive the farmers' retaliation.</t>
  </si>
  <si>
    <t>George Clooney</t>
  </si>
  <si>
    <t>Meryl Streep</t>
  </si>
  <si>
    <t>C.R.A.Z.Y.</t>
  </si>
  <si>
    <t>A young French-Canadian, growing up in the 1960s and 1970s, struggles to reconcile his emerging homosexuality with his father's conservative values and his own Catholic beliefs.</t>
  </si>
  <si>
    <t>Michel Côté</t>
  </si>
  <si>
    <t>Marc-André Grondin</t>
  </si>
  <si>
    <t>Danielle Proulx</t>
  </si>
  <si>
    <t>Émile Vallée</t>
  </si>
  <si>
    <t>Les choristes</t>
  </si>
  <si>
    <t>The new teacher at a severely administered boys' boarding school works to positively affect the students' lives through music.</t>
  </si>
  <si>
    <t>Christophe Barratier</t>
  </si>
  <si>
    <t>Gérard Jugnot</t>
  </si>
  <si>
    <t>François Berléand</t>
  </si>
  <si>
    <t>Jean-Baptiste Maunier</t>
  </si>
  <si>
    <t>Kad Merad</t>
  </si>
  <si>
    <t>Iron Man</t>
  </si>
  <si>
    <t>After being held captive in an Afghan cave, billionaire engineer Tony Stark creates a unique weaponized suit of armor to fight evil.</t>
  </si>
  <si>
    <t>Jon Favreau</t>
  </si>
  <si>
    <t>Gwyneth Paltrow</t>
  </si>
  <si>
    <t>Terrence Howard</t>
  </si>
  <si>
    <t>Shaun of the Dead</t>
  </si>
  <si>
    <t>Comedy, Horror</t>
  </si>
  <si>
    <t>A man's uneventful life is disrupted by the zombie apocalypse.</t>
  </si>
  <si>
    <t>Edgar Wright</t>
  </si>
  <si>
    <t>Nick Frost</t>
  </si>
  <si>
    <t>Kate Ashfield</t>
  </si>
  <si>
    <t>Lucy Davis</t>
  </si>
  <si>
    <t>Gegen die Wand</t>
  </si>
  <si>
    <t>With the intention to break free from the strict familial restrictions, a suicidal young woman sets up a marriage of convenience with a forty-year-old addict, an act that will lead to an outburst of envious love.</t>
  </si>
  <si>
    <t>Fatih Akin</t>
  </si>
  <si>
    <t>Birol Ünel</t>
  </si>
  <si>
    <t>Sibel Kekilli</t>
  </si>
  <si>
    <t>Güven Kiraç</t>
  </si>
  <si>
    <t>Zarah Jane McKenzie</t>
  </si>
  <si>
    <t>Mystic River</t>
  </si>
  <si>
    <t>The lives of three men who were childhood friends are shattered when one of them has a family tragedy.</t>
  </si>
  <si>
    <t>Kevin Bacon</t>
  </si>
  <si>
    <t>Emmy Rossum</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</si>
  <si>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</si>
  <si>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</si>
  <si>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Alfonso Cuarón</t>
  </si>
  <si>
    <t>Richard Griffiths</t>
  </si>
  <si>
    <t>Ying xiong</t>
  </si>
  <si>
    <t>Action, Adventure, History</t>
  </si>
  <si>
    <t>A defense officer, Nameless, was summoned by the King of Qin regarding his success of terminating three warriors.</t>
  </si>
  <si>
    <t>Jet Li</t>
  </si>
  <si>
    <t>Ziyi Zhang</t>
  </si>
  <si>
    <t>Hable con ella</t>
  </si>
  <si>
    <t>Two men share an odd friendship while they care for two women who are both in deep comas.</t>
  </si>
  <si>
    <t>Pedro Almodóvar</t>
  </si>
  <si>
    <t>Rosario Flores</t>
  </si>
  <si>
    <t>Javier Cámara</t>
  </si>
  <si>
    <t>Leonor Watling</t>
  </si>
  <si>
    <t>No Man's Land</t>
  </si>
  <si>
    <t>Bosnia and Herzegovina during 1993 at the time of the heaviest fighting between the two warring sides. Two soldiers from opposing sides in the conflict, Nino and Ciki, become trapped in no man's land, whilst a third soldier becomes a living booby trap.</t>
  </si>
  <si>
    <t>Danis Tanovic</t>
  </si>
  <si>
    <t>Branko Djuric</t>
  </si>
  <si>
    <t>Rene Bitorajac</t>
  </si>
  <si>
    <t>Filip Sovagovic</t>
  </si>
  <si>
    <t>Georges Siatidis</t>
  </si>
  <si>
    <t>Cowboy Bebop: Tengoku no tobira</t>
  </si>
  <si>
    <t>A terrorist explosion releases a deadly virus on the masses, and it's up the bounty-hunting Bebop crew to catch the cold-blooded culprit.</t>
  </si>
  <si>
    <t>Shin'ichirô Watanabe</t>
  </si>
  <si>
    <t>Tensai Okamura</t>
  </si>
  <si>
    <t>Hiroyuki Okiura</t>
  </si>
  <si>
    <t>Yoshiyuki Takei</t>
  </si>
  <si>
    <t>Beau Billingslea</t>
  </si>
  <si>
    <t>The Bourne Identity</t>
  </si>
  <si>
    <t>A man is picked up by a fishing boat, bullet-riddled and suffering from amnesia, before racing to elude assassins and attempting to regain his memory.</t>
  </si>
  <si>
    <t>Franka Potente</t>
  </si>
  <si>
    <t>Chris Cooper</t>
  </si>
  <si>
    <t>Nueve reinas</t>
  </si>
  <si>
    <t>Two con artists try to swindle a stamp collector by selling him a sheet of counterfeit rare stamps (the "nine queens").</t>
  </si>
  <si>
    <t>Fabián Bielinsky</t>
  </si>
  <si>
    <t>Gastón Pauls</t>
  </si>
  <si>
    <t>Graciela Tenenbaum</t>
  </si>
  <si>
    <t>María Mercedes Villagra</t>
  </si>
  <si>
    <t>Children of Men</t>
  </si>
  <si>
    <t>In 2027, in a chaotic world in which women have become somehow infertile, a former activist agrees to help transport a miraculously pregnant woman to a sanctuary at sea.</t>
  </si>
  <si>
    <t>Almost Famous</t>
  </si>
  <si>
    <t>A high-school boy is given the chance to write a story for Rolling Stone Magazine about an up-and-coming rock band as he accompanies them on their concert tour.</t>
  </si>
  <si>
    <t>Cameron Crowe</t>
  </si>
  <si>
    <t>Patrick Fugit</t>
  </si>
  <si>
    <t>Kate Hudson</t>
  </si>
  <si>
    <t>Mulholland Dr.</t>
  </si>
  <si>
    <t>After a car wreck on the winding Mulholland Drive renders a woman amnesiac, she and a perky Hollywood-hopeful search for clues and answers across Los Angeles in a twisting venture beyond dreams and reality.</t>
  </si>
  <si>
    <t>Naomi Watts</t>
  </si>
  <si>
    <t>Laura Harring</t>
  </si>
  <si>
    <t>Justin Theroux</t>
  </si>
  <si>
    <t>Jeanne Bates</t>
  </si>
  <si>
    <t>Toy Story 2</t>
  </si>
  <si>
    <t>When Woody is stolen by a toy collector, Buzz and his friends set out on a rescue mission to save Woody before he becomes a museum toy property with his roundup gang Jessie, Prospector, and Bullseye.</t>
  </si>
  <si>
    <t>Ash Brannon</t>
  </si>
  <si>
    <t>Boogie Nights</t>
  </si>
  <si>
    <t>Back when sex was safe, pleasure was a business and business was booming, an idealistic porn producer aspires to elevate his craft to an art when he discovers a hot young talent.</t>
  </si>
  <si>
    <t>Burt Reynolds</t>
  </si>
  <si>
    <t>Luis Guzmán</t>
  </si>
  <si>
    <t>Mimi wo sumaseba</t>
  </si>
  <si>
    <t>A love story between a girl who loves reading books, and a boy who has previously checked out all of the library books she chooses.</t>
  </si>
  <si>
    <t>Yoshifumi Kondô</t>
  </si>
  <si>
    <t>Yoko Honna</t>
  </si>
  <si>
    <t>Issey Takahashi</t>
  </si>
  <si>
    <t>Takashi Tachibana</t>
  </si>
  <si>
    <t>Shigeru Muroi</t>
  </si>
  <si>
    <t>Once Were Warriors</t>
  </si>
  <si>
    <t>A family descended from Maori warriors is bedeviled by a violent father and the societal problems of being treated as outcasts.</t>
  </si>
  <si>
    <t>Lee Tamahori</t>
  </si>
  <si>
    <t>Rena Owen</t>
  </si>
  <si>
    <t>Temuera Morrison</t>
  </si>
  <si>
    <t>Mamaengaroa Kerr-Bell</t>
  </si>
  <si>
    <t>Julian Arahanga</t>
  </si>
  <si>
    <t>True Romance</t>
  </si>
  <si>
    <t>In Detroit, a lonely pop culture geek marries a call girl, steals cocaine from her pimp, and tries to sell it in Hollywood. Meanwhile, the owners of the cocaine, the Mob, track them down in an attempt to reclaim it.</t>
  </si>
  <si>
    <t>Tony Scott</t>
  </si>
  <si>
    <t>Christian Slater</t>
  </si>
  <si>
    <t>Dennis Hopper</t>
  </si>
  <si>
    <t>Trois couleurs: Bleu</t>
  </si>
  <si>
    <t>Drama, Music, Mystery</t>
  </si>
  <si>
    <t>A woman struggles to find a way to live her life after the death of her husband and child.</t>
  </si>
  <si>
    <t>Juliette Binoche</t>
  </si>
  <si>
    <t>Zbigniew Zamachowski</t>
  </si>
  <si>
    <t>Benoît Régent</t>
  </si>
  <si>
    <t>Jûbê ninpûchô</t>
  </si>
  <si>
    <t>A vagabond swordsman is aided by a beautiful ninja girl and a crafty spy in confronting a demonic clan of killers - with a ghost from his past as their leader - who are bent on overthrowing the Tokugawa Shogunate.</t>
  </si>
  <si>
    <t>Yoshiaki Kawajiri</t>
  </si>
  <si>
    <t>Emi Shinohara</t>
  </si>
  <si>
    <t>Takeshi Aono</t>
  </si>
  <si>
    <t>Osamu Saka</t>
  </si>
  <si>
    <t>Carlito's Way</t>
  </si>
  <si>
    <t>A Puerto Rican former convict, just released from prison, pledges to stay away from drugs and violence despite the pressure around him and lead on to a better life outside of N.Y.C.</t>
  </si>
  <si>
    <t>Penelope Ann Miller</t>
  </si>
  <si>
    <t>John Leguizamo</t>
  </si>
  <si>
    <t>Edward Scissorhands</t>
  </si>
  <si>
    <t>An artificial man, who was incompletely constructed and has scissors for hands, leads a solitary life. Then one day, a suburban lady meets him and introduces him to her world.</t>
  </si>
  <si>
    <t>Dianne Wiest</t>
  </si>
  <si>
    <t>Anthony Michael Hall</t>
  </si>
  <si>
    <t>My Left Foot: The Story of Christy Brown</t>
  </si>
  <si>
    <t>Christy Brown, born with cerebral palsy, learns to paint and write with his only controllable limb - his left foot.</t>
  </si>
  <si>
    <t>Brenda Fricker</t>
  </si>
  <si>
    <t>Alison Whelan</t>
  </si>
  <si>
    <t>Kirsten Sheridan</t>
  </si>
  <si>
    <t>Crimes and Misdemeanors</t>
  </si>
  <si>
    <t>An ophthalmologist's mistress threatens to reveal their affair to his wife while a married documentary filmmaker is infatuated with another woman.</t>
  </si>
  <si>
    <t>Martin Landau</t>
  </si>
  <si>
    <t>Bill Bernstein</t>
  </si>
  <si>
    <t>Claire Bloom</t>
  </si>
  <si>
    <t>The Untouchables</t>
  </si>
  <si>
    <t>During the era of Prohibition in the United States, Federal Agent Eliot Ness sets out to stop ruthless Chicago gangster Al Capone and, because of rampant corruption, assembles a small, hand-picked team to help him.</t>
  </si>
  <si>
    <t>Charles Martin Smith</t>
  </si>
  <si>
    <t>Hannah and Her Sisters</t>
  </si>
  <si>
    <t>Between two Thanksgivings two years apart, Hannah's husband falls in love with her sister Lee, while her hypochondriac ex-husband rekindles his relationship with her sister Holly.</t>
  </si>
  <si>
    <t>Barbara Hershey</t>
  </si>
  <si>
    <t>Brazil</t>
  </si>
  <si>
    <t>A bureaucrat in a dystopic society becomes an enemy of the state as he pursues the woman of his dreams.</t>
  </si>
  <si>
    <t>Jonathan Pryce</t>
  </si>
  <si>
    <t>Kim Greist</t>
  </si>
  <si>
    <t>Katherine Helmond</t>
  </si>
  <si>
    <t>This Is Spinal Tap</t>
  </si>
  <si>
    <t>82 min</t>
  </si>
  <si>
    <t>Comedy, Music</t>
  </si>
  <si>
    <t>Spinal Tap, one of England's loudest bands, is chronicled by film director Marty DiBergi on what proves to be a fateful tour.</t>
  </si>
  <si>
    <t>Michael McKean</t>
  </si>
  <si>
    <t>Christopher Guest</t>
  </si>
  <si>
    <t>Kimberly Stringer</t>
  </si>
  <si>
    <t>A Christmas Story</t>
  </si>
  <si>
    <t>Comedy, Family</t>
  </si>
  <si>
    <t>In the 1940s, a young boy named Ralphie attempts to convince his parents, his teacher and Santa that a Red Ryder BB gun really is the perfect Christmas gift.</t>
  </si>
  <si>
    <t>Bob Clark</t>
  </si>
  <si>
    <t>Peter Billingsley</t>
  </si>
  <si>
    <t>Melinda Dillon</t>
  </si>
  <si>
    <t>Darren McGavin</t>
  </si>
  <si>
    <t>Scott Schwartz</t>
  </si>
  <si>
    <t>The Blues Brothers</t>
  </si>
  <si>
    <t>Jake Blues, just released from prison, puts together his old band to save the Catholic home where he and his brother Elwood were raised.</t>
  </si>
  <si>
    <t>John Landis</t>
  </si>
  <si>
    <t>John Belushi</t>
  </si>
  <si>
    <t>Dan Aykroyd</t>
  </si>
  <si>
    <t>Cab Calloway</t>
  </si>
  <si>
    <t>John Candy</t>
  </si>
  <si>
    <t>Manhattan</t>
  </si>
  <si>
    <t>The life of a divorced television writer dating a teenage girl is further complicated when he falls in love with his best friend's mistress.</t>
  </si>
  <si>
    <t>Mariel Hemingway</t>
  </si>
  <si>
    <t>Michael Murphy</t>
  </si>
  <si>
    <t>All That Jazz</t>
  </si>
  <si>
    <t>Drama, Music, Musical</t>
  </si>
  <si>
    <t>Director/choreographer Bob Fosse tells his own life story as he details the sordid career of Joe Gideon, a womanizing, drug-using dancer.</t>
  </si>
  <si>
    <t>Bob Fosse</t>
  </si>
  <si>
    <t>Ann Reinking</t>
  </si>
  <si>
    <t>Leland Palmer</t>
  </si>
  <si>
    <t>Dawn of the Dead</t>
  </si>
  <si>
    <t>Action, Adventure, Horror</t>
  </si>
  <si>
    <t>Following an ever-growing epidemic of zombies that have risen from the dead, two Philadelphia S.W.A.T. team members, a traffic reporter, and his television executive girlfriend seek refuge in a secluded shopping mall.</t>
  </si>
  <si>
    <t>George A. Romero</t>
  </si>
  <si>
    <t>David Emge</t>
  </si>
  <si>
    <t>Ken Foree</t>
  </si>
  <si>
    <t>Scott H. Reiniger</t>
  </si>
  <si>
    <t>Gaylen Ross</t>
  </si>
  <si>
    <t>All the President's Men</t>
  </si>
  <si>
    <t>"The Washington Post" reporters Bob Woodward and Carl Bernstein uncover the details of the Watergate scandal that leads to President Richard Nixon's resignation.</t>
  </si>
  <si>
    <t>Alan J. Pakula</t>
  </si>
  <si>
    <t>La montaña sagrada</t>
  </si>
  <si>
    <t>In a corrupt, greed-fueled world, a powerful alchemist leads a messianic character and seven materialistic figures to the Holy Mountain, where they hope to achieve enlightenment.</t>
  </si>
  <si>
    <t>Alejandro Jodorowsky</t>
  </si>
  <si>
    <t>Horacio Salinas</t>
  </si>
  <si>
    <t>Zamira Saunders</t>
  </si>
  <si>
    <t>Juan Ferrara</t>
  </si>
  <si>
    <t>Amarcord</t>
  </si>
  <si>
    <t>A series of comedic and nostalgic vignettes set in a 1930s Italian coastal town.</t>
  </si>
  <si>
    <t>Magali Noël</t>
  </si>
  <si>
    <t>Bruno Zanin</t>
  </si>
  <si>
    <t>Pupella Maggio</t>
  </si>
  <si>
    <t>Armando Brancia</t>
  </si>
  <si>
    <t>Le charme discret de la bourgeoisie</t>
  </si>
  <si>
    <t>A surreal, virtually plotless series of dreams centered around six middle-class people and their consistently interrupted attempts to have a meal together.</t>
  </si>
  <si>
    <t>Fernando Rey</t>
  </si>
  <si>
    <t>Delphine Seyrig</t>
  </si>
  <si>
    <t>Paul Frankeur</t>
  </si>
  <si>
    <t>Bulle Ogier</t>
  </si>
  <si>
    <t>Aguirre, der Zorn Gottes</t>
  </si>
  <si>
    <t>Action, Adventure, Biography</t>
  </si>
  <si>
    <t>In the 16th century, the ruthless and insane Don Lope de Aguirre leads a Spanish expedition in search of El Dorado.</t>
  </si>
  <si>
    <t>Ruy Guerra</t>
  </si>
  <si>
    <t>Helena Rojo</t>
  </si>
  <si>
    <t>Del Negro</t>
  </si>
  <si>
    <t>Harold and Maude</t>
  </si>
  <si>
    <t>Young, rich, and obsessed with death, Harold finds himself changed forever when he meets lively septuagenarian Maude at a funeral.</t>
  </si>
  <si>
    <t>Bud Cort</t>
  </si>
  <si>
    <t>Vivian Pickles</t>
  </si>
  <si>
    <t>Cyril Cusack</t>
  </si>
  <si>
    <t>Patton</t>
  </si>
  <si>
    <t>Biography, Drama, War</t>
  </si>
  <si>
    <t>The World War II phase of the career of controversial American general George S. Patton.</t>
  </si>
  <si>
    <t>Stephen Young</t>
  </si>
  <si>
    <t>Michael Strong</t>
  </si>
  <si>
    <t>The Wild Bunch</t>
  </si>
  <si>
    <t>Action, Adventure, Western</t>
  </si>
  <si>
    <t>An aging group of outlaws look for one last big score as the "traditional" American West is disappearing around them.</t>
  </si>
  <si>
    <t>Sam Peckinpah</t>
  </si>
  <si>
    <t>Ernest Borgnine</t>
  </si>
  <si>
    <t>Robert Ryan</t>
  </si>
  <si>
    <t>Night of the Living Dead</t>
  </si>
  <si>
    <t>Horror, Thriller</t>
  </si>
  <si>
    <t>A ragtag group of Pennsylvanians barricade themselves in an old farmhouse to remain safe from a horde of flesh-eating ghouls that are ravaging the East Coast of the United States.</t>
  </si>
  <si>
    <t>Duane Jones</t>
  </si>
  <si>
    <t>Judith O'Dea</t>
  </si>
  <si>
    <t>Karl Hardman</t>
  </si>
  <si>
    <t>Marilyn Eastman</t>
  </si>
  <si>
    <t>The Lion in Winter</t>
  </si>
  <si>
    <t>1183 A.D.: King Henry II's three sons all want to inherit the throne, but he won't commit to a choice. They and his wife variously plot to force him.</t>
  </si>
  <si>
    <t>Anthony Harvey</t>
  </si>
  <si>
    <t>Katharine Hepburn</t>
  </si>
  <si>
    <t>John Castle</t>
  </si>
  <si>
    <t>In the Heat of the Night</t>
  </si>
  <si>
    <t>A black police detective is asked to investigate a murder in a racially hostile southern town.</t>
  </si>
  <si>
    <t>Sidney Poitier</t>
  </si>
  <si>
    <t>Warren Oates</t>
  </si>
  <si>
    <t>Lee Grant</t>
  </si>
  <si>
    <t>Charade</t>
  </si>
  <si>
    <t>Comedy, Mystery, Romance</t>
  </si>
  <si>
    <t>Romance and suspense ensue in Paris as a woman is pursued by several men who want a fortune her murdered husband had stolen. Whom can she trust?</t>
  </si>
  <si>
    <t>James Coburn</t>
  </si>
  <si>
    <t>The Manchurian Candidate</t>
  </si>
  <si>
    <t>A former prisoner of war is brainwashed as an unwitting assassin for an international Communist conspiracy.</t>
  </si>
  <si>
    <t>John Frankenheimer</t>
  </si>
  <si>
    <t>Frank Sinatra</t>
  </si>
  <si>
    <t>Laurence Harvey</t>
  </si>
  <si>
    <t>Angela Lansbury</t>
  </si>
  <si>
    <t>Spartacus</t>
  </si>
  <si>
    <t>The slave Spartacus leads a violent revolt against the decadent Roman Republic.</t>
  </si>
  <si>
    <t>Jean Simmons</t>
  </si>
  <si>
    <t>L'avventura</t>
  </si>
  <si>
    <t>A woman disappears during a Mediterranean boating trip. During the search, her lover and her best friend become attracted to each other.</t>
  </si>
  <si>
    <t>Michelangelo Antonioni</t>
  </si>
  <si>
    <t>Gabriele Ferzetti</t>
  </si>
  <si>
    <t>Monica Vitti</t>
  </si>
  <si>
    <t>Lea Massari</t>
  </si>
  <si>
    <t>Dominique Blanchar</t>
  </si>
  <si>
    <t>Hiroshima mon amour</t>
  </si>
  <si>
    <t>88,3</t>
  </si>
  <si>
    <t>A French actress filming an anti-war film in Hiroshima has an affair with a married Japanese architect as they share their differing perspectives on war.</t>
  </si>
  <si>
    <t>Alain Resnais</t>
  </si>
  <si>
    <t>Eiji Okada</t>
  </si>
  <si>
    <t>Stella Dassas</t>
  </si>
  <si>
    <t>Pierre Barbaud</t>
  </si>
  <si>
    <t>The Ten Commandments</t>
  </si>
  <si>
    <t>220 min</t>
  </si>
  <si>
    <t>Moses, an Egyptian Prince, learns of his true heritage as a Hebrew and his divine mission as the deliverer of his people.</t>
  </si>
  <si>
    <t>Cecil B. DeMille</t>
  </si>
  <si>
    <t>Yul Brynner</t>
  </si>
  <si>
    <t>The Searchers</t>
  </si>
  <si>
    <t>An American Civil War veteran embarks on a journey to rescue his niece from the Comanches.</t>
  </si>
  <si>
    <t>Jeffrey Hunter</t>
  </si>
  <si>
    <t>Ward Bond</t>
  </si>
  <si>
    <t>East of Eden</t>
  </si>
  <si>
    <t>Two brothers struggle to maintain their strict, Bible-toting father's favor.</t>
  </si>
  <si>
    <t>James Dean</t>
  </si>
  <si>
    <t>Julie Harris</t>
  </si>
  <si>
    <t>High Noon</t>
  </si>
  <si>
    <t>Drama, Thriller, Western</t>
  </si>
  <si>
    <t>A town Marshal, despite the disagreements of his newlywed bride and the townspeople around him, must face a gang of deadly killers alone at high noon when the gang leader, an outlaw he sent up years ago, arrives on the noon train.</t>
  </si>
  <si>
    <t>Fred Zinnemann</t>
  </si>
  <si>
    <t>Gary Cooper</t>
  </si>
  <si>
    <t>Lloyd Bridges</t>
  </si>
  <si>
    <t>Strangers on a Train</t>
  </si>
  <si>
    <t>Crime, Film-Noir, Thriller</t>
  </si>
  <si>
    <t>A psychopath forces a tennis star to comply with his theory that two strangers can get away with murder.</t>
  </si>
  <si>
    <t>Robert Walker</t>
  </si>
  <si>
    <t>Ruth Roman</t>
  </si>
  <si>
    <t>Leo G. Carroll</t>
  </si>
  <si>
    <t>Harvey</t>
  </si>
  <si>
    <t>Due to his insistence that he has an invisible six foot-tall rabbit for a best friend, a whimsical middle-aged man is thought by his family to be insane - but he may be wiser than anyone knows.</t>
  </si>
  <si>
    <t>Henry Koster</t>
  </si>
  <si>
    <t>Wallace Ford</t>
  </si>
  <si>
    <t>William H. Lynn</t>
  </si>
  <si>
    <t>Victoria Horne</t>
  </si>
  <si>
    <t>Miracle on 34th Street</t>
  </si>
  <si>
    <t>When a nice old man who claims to be Santa Claus is institutionalized as insane, a young lawyer decides to defend him by arguing in court that he is the real thing.</t>
  </si>
  <si>
    <t>George Seaton</t>
  </si>
  <si>
    <t>Edmund Gwenn</t>
  </si>
  <si>
    <t>Maureen O'Hara</t>
  </si>
  <si>
    <t>John Payne</t>
  </si>
  <si>
    <t>Gene Lockhart</t>
  </si>
  <si>
    <t>Notorious</t>
  </si>
  <si>
    <t>Drama, Film-Noir, Romance</t>
  </si>
  <si>
    <t>A woman is asked to spy on a group of Nazi friends in South America. How far will she have to go to ingratiate herself with them?</t>
  </si>
  <si>
    <t>Louis Calhern</t>
  </si>
  <si>
    <t>The Big Sleep</t>
  </si>
  <si>
    <t>Crime, Film-Noir, Mystery</t>
  </si>
  <si>
    <t>Private detective Philip Marlowe is hired by a wealthy family. Before the complex case is over, he's seen murder, blackmail, and what might be love.</t>
  </si>
  <si>
    <t>John Ridgely</t>
  </si>
  <si>
    <t>Martha Vickers</t>
  </si>
  <si>
    <t>The Lost Weekend</t>
  </si>
  <si>
    <t>The desperate life of a chronic alcoholic is followed through a four-day drinking bout.</t>
  </si>
  <si>
    <t>Jane Wyman</t>
  </si>
  <si>
    <t>Phillip Terry</t>
  </si>
  <si>
    <t>Howard Da Silva</t>
  </si>
  <si>
    <t>The Philadelphia Story</t>
  </si>
  <si>
    <t>When a rich woman's ex-husband and a tabloid-type reporter turn up just before her planned remarriage, she begins to learn the truth about herself.</t>
  </si>
  <si>
    <t>Ruth Hussey</t>
  </si>
  <si>
    <t>His Girl Friday</t>
  </si>
  <si>
    <t>A newspaper editor uses every trick in the book to keep his ace reporter ex-wife from remarrying.</t>
  </si>
  <si>
    <t>Rosalind Russell</t>
  </si>
  <si>
    <t>Ralph Bellamy</t>
  </si>
  <si>
    <t>The Adventures of Robin Hood</t>
  </si>
  <si>
    <t>Action, Adventure, Romance</t>
  </si>
  <si>
    <t>When Prince John and the Norman Lords begin oppressing the Saxon masses in King Richard's absence, a Saxon lord fights back as the outlaw leader of a rebel guerrilla army.</t>
  </si>
  <si>
    <t>William Keighley</t>
  </si>
  <si>
    <t>Errol Flynn</t>
  </si>
  <si>
    <t>Olivia de Havilland</t>
  </si>
  <si>
    <t>Basil Rathbone</t>
  </si>
  <si>
    <t>A Night at the Opera</t>
  </si>
  <si>
    <t>Comedy, Music, Musical</t>
  </si>
  <si>
    <t>A sly business manager and two wacky friends of two opera singers help them achieve success while humiliating their stuffy and snobbish enemies.</t>
  </si>
  <si>
    <t>Edmund Goulding</t>
  </si>
  <si>
    <t>Groucho Marx</t>
  </si>
  <si>
    <t>Chico Marx</t>
  </si>
  <si>
    <t>Harpo Marx</t>
  </si>
  <si>
    <t>King Kong</t>
  </si>
  <si>
    <t>Adventure, Horror, Sci-Fi</t>
  </si>
  <si>
    <t>A film crew goes to a tropical island for an exotic location shoot and discovers a colossal ape who takes a shine to their female blonde star. He is then captured and brought back to New York City for public exhibition.</t>
  </si>
  <si>
    <t>Merian C. Cooper</t>
  </si>
  <si>
    <t>Ernest B. Schoedsack</t>
  </si>
  <si>
    <t>Fay Wray</t>
  </si>
  <si>
    <t>Robert Armstrong</t>
  </si>
  <si>
    <t>Bruce Cabot</t>
  </si>
  <si>
    <t>Freaks</t>
  </si>
  <si>
    <t>64 min</t>
  </si>
  <si>
    <t>A circus' beautiful trapeze artist agrees to marry the leader of side-show performers, but his deformed friends discover she is only marrying him for his inheritance.</t>
  </si>
  <si>
    <t>Tod Browning</t>
  </si>
  <si>
    <t>Leila Hyams</t>
  </si>
  <si>
    <t>Olga Baclanova</t>
  </si>
  <si>
    <t>Roscoe Ates</t>
  </si>
  <si>
    <t>Nosferatu</t>
  </si>
  <si>
    <t>Fantasy, Horror</t>
  </si>
  <si>
    <t>Vampire Count Orlok expresses interest in a new residence and real estate agent Hutter's wife.</t>
  </si>
  <si>
    <t>Max Schreck</t>
  </si>
  <si>
    <t>Alexander Granach</t>
  </si>
  <si>
    <t>Gustav von Wangenheim</t>
  </si>
  <si>
    <t>Greta Schröder</t>
  </si>
  <si>
    <t>The Gentlemen</t>
  </si>
  <si>
    <t>An American expat tries to sell off his highly profitable marijuana empire in London, triggering plots, schemes, bribery and blackmail in an attempt to steal his domain out from under him.</t>
  </si>
  <si>
    <t>Charlie Hunnam</t>
  </si>
  <si>
    <t>Michelle Dockery</t>
  </si>
  <si>
    <t>Jeremy Strong</t>
  </si>
  <si>
    <t>Raazi</t>
  </si>
  <si>
    <t>A Kashmiri woman agrees to marry a Pakistani army officer in order to spy on Pakistan during the Indo-Pakistan War of 1971.</t>
  </si>
  <si>
    <t>Alia Bhatt</t>
  </si>
  <si>
    <t>Rajit Kapoor</t>
  </si>
  <si>
    <t>Shishir Sharma</t>
  </si>
  <si>
    <t>Sound of Metal</t>
  </si>
  <si>
    <t>516,52</t>
  </si>
  <si>
    <t>A heavy-metal drummer's life is thrown into freefall when he begins to lose his hearing.</t>
  </si>
  <si>
    <t>Darius Marder</t>
  </si>
  <si>
    <t>Olivia Cooke</t>
  </si>
  <si>
    <t>Paul Raci</t>
  </si>
  <si>
    <t>Lauren Ridloff</t>
  </si>
  <si>
    <t>Forushande</t>
  </si>
  <si>
    <t>While both participating in a production of "Death of a Salesman," a teacher's wife is assaulted in her new home, which leaves him determined to find the perpetrator over his wife's traumatized objections.</t>
  </si>
  <si>
    <t>Babak Karimi</t>
  </si>
  <si>
    <t>Mina Sadati</t>
  </si>
  <si>
    <t>Dunkirk</t>
  </si>
  <si>
    <t>Action, Drama, History</t>
  </si>
  <si>
    <t>Allied soldiers from Belgium, the British Empire, and France are surrounded by the German Army and evacuated during a fierce battle in World War II.</t>
  </si>
  <si>
    <t>Fionn Whitehead</t>
  </si>
  <si>
    <t>Barry Keoghan</t>
  </si>
  <si>
    <t>Mark Rylance</t>
  </si>
  <si>
    <t>Perfetti sconosciuti</t>
  </si>
  <si>
    <t>PG-12</t>
  </si>
  <si>
    <t>Seven long-time friends get together for a dinner. When they decide to share with each other the content of every text message, email and phone call they receive, many secrets start to unveil and the equilibrium trembles.</t>
  </si>
  <si>
    <t>Paolo Genovese</t>
  </si>
  <si>
    <t>Giuseppe Battiston</t>
  </si>
  <si>
    <t>Anna Foglietta</t>
  </si>
  <si>
    <t>Marco Giallini</t>
  </si>
  <si>
    <t>Edoardo Leo</t>
  </si>
  <si>
    <t>Hidden Figures</t>
  </si>
  <si>
    <t>The story of a team of female African-American mathematicians who served a vital role in NASA during the early years of the U.S. space program.</t>
  </si>
  <si>
    <t>Theodore Melfi</t>
  </si>
  <si>
    <t>Taraji P. Henson</t>
  </si>
  <si>
    <t>Janelle Monáe</t>
  </si>
  <si>
    <t>Paddington 2</t>
  </si>
  <si>
    <t>Adventure, Comedy, Family</t>
  </si>
  <si>
    <t>Paddington (Ben Whishaw), now happily settled with the Brown family and a popular member of the local community, picks up a series of odd jobs to buy the perfect present for his Aunt Lucy's (Imelda Staunton's) 100th birthday, only for the gift to be stolen.</t>
  </si>
  <si>
    <t>Paul King</t>
  </si>
  <si>
    <t>Ben Whishaw</t>
  </si>
  <si>
    <t>Hugh Grant</t>
  </si>
  <si>
    <t>Hugh Bonneville</t>
  </si>
  <si>
    <t>Sally Hawkins</t>
  </si>
  <si>
    <t>Udta Punjab</t>
  </si>
  <si>
    <t>A story that revolves around drug abuse in the affluent north Indian State of Punjab and how the youth there have succumbed to it en-masse resulting in a socio-economic decline.</t>
  </si>
  <si>
    <t>Abhishek Chaubey</t>
  </si>
  <si>
    <t>Diljit Dosanjh</t>
  </si>
  <si>
    <t>Kubo and the Two Strings</t>
  </si>
  <si>
    <t>A young boy named Kubo must locate a magical suit of armour worn by his late father in order to defeat a vengeful spirit from the past.</t>
  </si>
  <si>
    <t>Travis Knight</t>
  </si>
  <si>
    <t>Art Parkinson</t>
  </si>
  <si>
    <t>M.S. Dhoni: The Untold Story</t>
  </si>
  <si>
    <t>184 min</t>
  </si>
  <si>
    <t>The untold story of Mahendra Singh Dhoni's journey from ticket collector to trophy collector - the world-cup-winning captain of the Indian Cricket Team.</t>
  </si>
  <si>
    <t>Kiara Advani</t>
  </si>
  <si>
    <t>Disha Patani</t>
  </si>
  <si>
    <t>Manchester by the Sea</t>
  </si>
  <si>
    <t>A depressed uncle is asked to take care of his teenage nephew after the boy's father dies.</t>
  </si>
  <si>
    <t>Kenneth Lonergan</t>
  </si>
  <si>
    <t>Casey Affleck</t>
  </si>
  <si>
    <t>Michelle Williams</t>
  </si>
  <si>
    <t>Kyle Chandler</t>
  </si>
  <si>
    <t>Lucas Hedges</t>
  </si>
  <si>
    <t>Under sandet</t>
  </si>
  <si>
    <t>In post-World War II Denmark, a group of young German POWs are forced to clear a beach of thousands of land mines under the watch of a Danish Sergeant who slowly learns to appreciate their plight.</t>
  </si>
  <si>
    <t>Martin Zandvliet</t>
  </si>
  <si>
    <t>Roland Møller</t>
  </si>
  <si>
    <t>Louis Hofmann</t>
  </si>
  <si>
    <t>Joel Basman</t>
  </si>
  <si>
    <t>Mikkel Boe Følsgaard</t>
  </si>
  <si>
    <t>Rogue One</t>
  </si>
  <si>
    <t>The daughter of an Imperial scientist joins the Rebel Alliance in a risky move to steal the plans for the Death Star.</t>
  </si>
  <si>
    <t>Gareth Edwards</t>
  </si>
  <si>
    <t>Felicity Jones</t>
  </si>
  <si>
    <t>Diego Luna</t>
  </si>
  <si>
    <t>Alan Tudyk</t>
  </si>
  <si>
    <t>Captain America: Civil War</t>
  </si>
  <si>
    <t>Political involvement in the Avengers' affairs causes a rift between Captain America and Iron Man.</t>
  </si>
  <si>
    <t>The Hateful Eight</t>
  </si>
  <si>
    <t>168 min</t>
  </si>
  <si>
    <t>In the dead of a Wyoming winter, a bounty hunter and his prisoner find shelter in a cabin currently inhabited by a collection of nefarious characters.</t>
  </si>
  <si>
    <t>Jennifer Jason Leigh</t>
  </si>
  <si>
    <t>Walton Goggins</t>
  </si>
  <si>
    <t>Little Women</t>
  </si>
  <si>
    <t>Jo March reflects back and forth on her life, telling the beloved story of the March sisters - four young women, each determined to live life on her own terms.</t>
  </si>
  <si>
    <t>Greta Gerwig</t>
  </si>
  <si>
    <t>Saoirse Ronan</t>
  </si>
  <si>
    <t>Florence Pugh</t>
  </si>
  <si>
    <t>Eliza Scanlen</t>
  </si>
  <si>
    <t>Loving Vincent</t>
  </si>
  <si>
    <t>Animation, Biography, Crime</t>
  </si>
  <si>
    <t>In a story depicted in oil painted animation, a young man comes to the last hometown of painter Vincent van Gogh (Robert Gulaczyk) to deliver the troubled artist's final letter and ends up investigating his final days there.</t>
  </si>
  <si>
    <t>Dorota Kobiela</t>
  </si>
  <si>
    <t>Hugh Welchman</t>
  </si>
  <si>
    <t>Douglas Booth</t>
  </si>
  <si>
    <t>Jerome Flynn</t>
  </si>
  <si>
    <t>Robert Gulaczyk</t>
  </si>
  <si>
    <t>Pride</t>
  </si>
  <si>
    <t>U.K. gay activists work to help miners during their lengthy strike of the National Union of Mineworkers in the summer of 1984.</t>
  </si>
  <si>
    <t>Matthew Warchus</t>
  </si>
  <si>
    <t>Bill Nighy</t>
  </si>
  <si>
    <t>Imelda Staunton</t>
  </si>
  <si>
    <t>Dominic West</t>
  </si>
  <si>
    <t>Paddy Considine</t>
  </si>
  <si>
    <t>Le passé</t>
  </si>
  <si>
    <t>An Iranian man deserts his French wife and her two children to return to his homeland. Meanwhile, his wife starts up a new relationship, a reality her husband confronts upon his wife's request for a divorce.</t>
  </si>
  <si>
    <t>Ali Mosaffa</t>
  </si>
  <si>
    <t>Pauline Burlet</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</si>
  <si>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</si>
  <si>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</si>
  <si>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</si>
  <si>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t>
  </si>
  <si>
    <t>Carlo Verdone</t>
  </si>
  <si>
    <t>Sabrina Ferilli</t>
  </si>
  <si>
    <t>Carlo Buccirosso</t>
  </si>
  <si>
    <t>The Lunchbox</t>
  </si>
  <si>
    <t>A mistaken delivery in Mumbai's famously efficient lunchbox delivery system connects a young housewife to an older man in the dusk of his life as they build a fantasy world together through notes in the lunchbox.</t>
  </si>
  <si>
    <t>Ritesh Batra</t>
  </si>
  <si>
    <t>Lillete Dubey</t>
  </si>
  <si>
    <t>Vicky Donor</t>
  </si>
  <si>
    <t>A man is brought in by an infertility doctor to supply him with his sperm, where he becomes the biggest sperm donor for his clinic.</t>
  </si>
  <si>
    <t>Shoojit Sircar</t>
  </si>
  <si>
    <t>Annu Kapoor</t>
  </si>
  <si>
    <t>Dolly Ahluwalia</t>
  </si>
  <si>
    <t>Big Hero 6</t>
  </si>
  <si>
    <t>A special bond develops between plus-sized inflatable robot Baymax and prodigy Hiro Hamada, who together team up with a group of friends to form a band of high-tech heroes.</t>
  </si>
  <si>
    <t>Don Hall</t>
  </si>
  <si>
    <t>Chris Williams</t>
  </si>
  <si>
    <t>Ryan Potter</t>
  </si>
  <si>
    <t>Scott Adsit</t>
  </si>
  <si>
    <t>Jamie Chung</t>
  </si>
  <si>
    <t>About Time</t>
  </si>
  <si>
    <t>At the age of 21, Tim discovers he can travel in time and change what happens and has happened in his own life. His decision to make his world a better place by getting a girlfriend turns out not to be as easy as you might think.</t>
  </si>
  <si>
    <t>Richard Curtis</t>
  </si>
  <si>
    <t>Lydia Wilson</t>
  </si>
  <si>
    <t>English Vinglish</t>
  </si>
  <si>
    <t>A quiet, sweet tempered housewife endures small slights from her well-educated husband and daughter every day because of her inability to speak and understand English.</t>
  </si>
  <si>
    <t>Gauri Shinde</t>
  </si>
  <si>
    <t>Sridevi</t>
  </si>
  <si>
    <t>Mehdi Nebbou</t>
  </si>
  <si>
    <t>Priya Anand</t>
  </si>
  <si>
    <t>Kaze tachinu</t>
  </si>
  <si>
    <t>A look at the life of Jiro Horikoshi, the man who designed Japanese fighter planes during World War II.</t>
  </si>
  <si>
    <t>Hidetoshi Nishijima</t>
  </si>
  <si>
    <t>Miori Takimoto</t>
  </si>
  <si>
    <t>Masahiko Nishimura</t>
  </si>
  <si>
    <t>Toy Story 4</t>
  </si>
  <si>
    <t>When a new toy called "Forky" joins Woody and the gang, a road trip alongside old and new friends reveals how big the world can be for a toy.</t>
  </si>
  <si>
    <t>Josh Cooley</t>
  </si>
  <si>
    <t>Annie Potts</t>
  </si>
  <si>
    <t>Tony Hale</t>
  </si>
  <si>
    <t>La migliore offerta</t>
  </si>
  <si>
    <t>A lonely art expert working for a mysterious and reclusive heiress finds not only her art worth examining.</t>
  </si>
  <si>
    <t>Jim Sturgess</t>
  </si>
  <si>
    <t>Sylvia Hoeks</t>
  </si>
  <si>
    <t>Donald Sutherland</t>
  </si>
  <si>
    <t>Moonrise Kingdom</t>
  </si>
  <si>
    <t>A pair of young lovers flee their New England town, which causes a local search party to fan out to find them.</t>
  </si>
  <si>
    <t>Jared Gilman</t>
  </si>
  <si>
    <t>Kara Hayward</t>
  </si>
  <si>
    <t>How to Train Your Dragon 2</t>
  </si>
  <si>
    <t>When Hiccup and Toothless discover an ice cave that is home to hundreds of new wild dragons and the mysterious Dragon Rider, the two friends find themselves at the center of a battle to protect the peace.</t>
  </si>
  <si>
    <t>Craig Ferguson</t>
  </si>
  <si>
    <t>The Big Short</t>
  </si>
  <si>
    <t>In 2006-2007 a group of investors bet against the US mortgage market. In their research they discover how flawed and corrupt the market is.</t>
  </si>
  <si>
    <t>Adam McKay</t>
  </si>
  <si>
    <t>Steve Carell</t>
  </si>
  <si>
    <t>Kokuhaku</t>
  </si>
  <si>
    <t>A psychological thriller of a grieving mother turned cold-blooded avenger with a twisty master plan to pay back those who were responsible for her daughter's death.</t>
  </si>
  <si>
    <t>Tetsuya Nakashima</t>
  </si>
  <si>
    <t>Takako Matsu</t>
  </si>
  <si>
    <t>Yoshino Kimura</t>
  </si>
  <si>
    <t>Masaki Okada</t>
  </si>
  <si>
    <t>Ang-ma-reul bo-at-da</t>
  </si>
  <si>
    <t>A secret agent exacts revenge on a serial killer through a series of captures and releases.</t>
  </si>
  <si>
    <t>Jee-woon Kim</t>
  </si>
  <si>
    <t>Lee Byung-Hun</t>
  </si>
  <si>
    <t>Jeon Gook-Hwan</t>
  </si>
  <si>
    <t>Ho-jin Chun</t>
  </si>
  <si>
    <t>The Girl with the Dragon Tattoo</t>
  </si>
  <si>
    <t>Journalist Mikael Blomkvist is aided in his search for a woman who has been missing for forty years by Lisbeth Salander, a young computer hacker.</t>
  </si>
  <si>
    <t>Captain Phillips</t>
  </si>
  <si>
    <t>Adventure, Biography, Crime</t>
  </si>
  <si>
    <t>The true story of Captain Richard Phillips and the 2009 hijacking by Somali pirates of the U.S.-flagged MV Maersk Alabama, the first American cargo ship to be hijacked in two hundred years.</t>
  </si>
  <si>
    <t>Barkhad Abdi</t>
  </si>
  <si>
    <t>Barkhad Abdirahman</t>
  </si>
  <si>
    <t>Ajeossi</t>
  </si>
  <si>
    <t>6,46</t>
  </si>
  <si>
    <t>A quiet pawnshop keeper with a violent past takes on a drug-and-organ trafficking ring in hope of saving the child who is his only friend.</t>
  </si>
  <si>
    <t>Jeong-beom Lee</t>
  </si>
  <si>
    <t>Sae-ron Kim</t>
  </si>
  <si>
    <t>Tae-hoon Kim</t>
  </si>
  <si>
    <t>Hee-won Kim</t>
  </si>
  <si>
    <t>Straight Outta Compton</t>
  </si>
  <si>
    <t>The rap group NWA emerges from the mean streets of Compton in Los Angeles, California, in the mid-1980s and revolutionizes Hip Hop culture with their music and tales about life in the hood.</t>
  </si>
  <si>
    <t>F. Gary Gray</t>
  </si>
  <si>
    <t>O'Shea Jackson Jr.</t>
  </si>
  <si>
    <t>Corey Hawkins</t>
  </si>
  <si>
    <t>Jason Mitchell</t>
  </si>
  <si>
    <t>Neil Brown Jr.</t>
  </si>
  <si>
    <t>Madeo</t>
  </si>
  <si>
    <t>A mother desperately searches for the killer who framed her son for a girl's horrific murder.</t>
  </si>
  <si>
    <t>Hye-ja Kim</t>
  </si>
  <si>
    <t>Jin Goo</t>
  </si>
  <si>
    <t>Je-mun Yun</t>
  </si>
  <si>
    <t>Chugyeokja</t>
  </si>
  <si>
    <t>A disgraced ex-policeman who runs a small ring of prostitutes finds himself in a race against time when one of his women goes missing.</t>
  </si>
  <si>
    <t>Hong-jin Na</t>
  </si>
  <si>
    <t>Kim Yoon-seok</t>
  </si>
  <si>
    <t>Yeong-hie Seo</t>
  </si>
  <si>
    <t>Yoo-Jeong Kim</t>
  </si>
  <si>
    <t>The Hobbit: The Desolation of Smaug</t>
  </si>
  <si>
    <t>Adventure, Fantasy</t>
  </si>
  <si>
    <t>The dwarves, along with Bilbo Baggins and Gandalf the Grey, continue their quest to reclaim Erebor, their homeland, from Smaug. Bilbo Baggins is in possession of a mysterious and magical ring.</t>
  </si>
  <si>
    <t>Martin Freeman</t>
  </si>
  <si>
    <t>Richard Armitage</t>
  </si>
  <si>
    <t>Ken Stott</t>
  </si>
  <si>
    <t>Das weiße Band - Eine deutsche Kindergeschichte</t>
  </si>
  <si>
    <t>Drama, History, Mystery</t>
  </si>
  <si>
    <t>Strange events happen in a small village in the north of Germany during the years before World War I, which seem to be ritual punishment. Who is responsible?</t>
  </si>
  <si>
    <t>Christian Friedel</t>
  </si>
  <si>
    <t>Ernst Jacobi</t>
  </si>
  <si>
    <t>Leonie Benesch</t>
  </si>
  <si>
    <t>Män som hatar kvinnor</t>
  </si>
  <si>
    <t>A journalist is aided by a young female hacker in his search for the killer of a woman who has been dead for forty years.</t>
  </si>
  <si>
    <t>Niels Arden Oplev</t>
  </si>
  <si>
    <t>Michael Nyqvist</t>
  </si>
  <si>
    <t>Noomi Rapace</t>
  </si>
  <si>
    <t>Ewa Fröling</t>
  </si>
  <si>
    <t>Lena Endre</t>
  </si>
  <si>
    <t>The Trial of the Chicago 7</t>
  </si>
  <si>
    <t>The story of 7 people on trial stemming from various charges surrounding the uprising at the 1968 Democratic National Convention in Chicago, Illinois.</t>
  </si>
  <si>
    <t>Aaron Sorkin</t>
  </si>
  <si>
    <t>Eddie Redmayne</t>
  </si>
  <si>
    <t>Alex Sharp</t>
  </si>
  <si>
    <t>Sacha Baron Cohen</t>
  </si>
  <si>
    <t>Druk</t>
  </si>
  <si>
    <t>Four friends, all high school teachers, test a theory that they will improve their lives by maintaining a constant level of alcohol in their blood.</t>
  </si>
  <si>
    <t>Magnus Millang</t>
  </si>
  <si>
    <t>Lars Ranthe</t>
  </si>
  <si>
    <t>The Fighter</t>
  </si>
  <si>
    <t>Based on the story of Micky Ward, a fledgling boxer who tries to escape the shadow of his more famous but troubled older boxing brother and get his own shot at greatness.</t>
  </si>
  <si>
    <t>David O. Russell</t>
  </si>
  <si>
    <t>Taken</t>
  </si>
  <si>
    <t>A retired CIA agent travels across Europe and relies on his old skills to save his estranged daughter, who has been kidnapped while on a trip to Paris.</t>
  </si>
  <si>
    <t>Pierre Morel</t>
  </si>
  <si>
    <t>Maggie Grace</t>
  </si>
  <si>
    <t>Famke Janssen</t>
  </si>
  <si>
    <t>Leland Orser</t>
  </si>
  <si>
    <t>The Boy in the Striped Pyjamas</t>
  </si>
  <si>
    <t>Through the innocent eyes of Bruno, the eight-year-old son of the commandant at a German concentration camp, a forbidden friendship with a Jewish boy on the other side of the camp fence has startling and unexpected consequences.</t>
  </si>
  <si>
    <t>Mark Herman</t>
  </si>
  <si>
    <t>Asa Butterfield</t>
  </si>
  <si>
    <t>David Thewlis</t>
  </si>
  <si>
    <t>Rupert Friend</t>
  </si>
  <si>
    <t>Zac Mattoon O'Brien</t>
  </si>
  <si>
    <t>Once</t>
  </si>
  <si>
    <t>A modern-day musical about a busker and an immigrant and their eventful week in Dublin, as they write, rehearse and record songs that tell their love story.</t>
  </si>
  <si>
    <t>Glen Hansard</t>
  </si>
  <si>
    <t>Markéta Irglová</t>
  </si>
  <si>
    <t>Hugh Walsh</t>
  </si>
  <si>
    <t>Gerard Hendrick</t>
  </si>
  <si>
    <t>The Hobbit: An Unexpected Journey</t>
  </si>
  <si>
    <t>A reluctant Hobbit, Bilbo Baggins, sets out to the Lonely Mountain with a spirited group of dwarves to reclaim their mountain home, and the gold within it from the dragon Smaug.</t>
  </si>
  <si>
    <t>Andy Serkis</t>
  </si>
  <si>
    <t>Auf der anderen Seite</t>
  </si>
  <si>
    <t>A Turkish man travels to Istanbul to find the daughter of his father's former girlfriend.</t>
  </si>
  <si>
    <t>Baki Davrak</t>
  </si>
  <si>
    <t>Nurgül Yesilçay</t>
  </si>
  <si>
    <t>Tuncel Kurtiz</t>
  </si>
  <si>
    <t>Nursel Köse</t>
  </si>
  <si>
    <t>Atonement</t>
  </si>
  <si>
    <t>Thirteen-year-old fledgling writer Briony Tallis irrevocably changes the course of several lives when she accuses her older sister's lover of a crime he did not commit.</t>
  </si>
  <si>
    <t>Joe Wright</t>
  </si>
  <si>
    <t>Drive</t>
  </si>
  <si>
    <t>A mysterious Hollywood stuntman and mechanic moonlights as a getaway driver and finds himself in trouble when he helps out his neighbor.</t>
  </si>
  <si>
    <t>Nicolas Winding Refn</t>
  </si>
  <si>
    <t>Carey Mulligan</t>
  </si>
  <si>
    <t>American Gangster</t>
  </si>
  <si>
    <t>An outcast New York City cop is charged with bringing down Harlem drug lord Frank Lucas, whose real life inspired this partly biographical film.</t>
  </si>
  <si>
    <t>Denzel Washington</t>
  </si>
  <si>
    <t>Avatar</t>
  </si>
  <si>
    <t>A paraplegic Marine dispatched to the moon Pandora on a unique mission becomes torn between following his orders and protecting the world he feels is his home.</t>
  </si>
  <si>
    <t>Michelle Rodriguez</t>
  </si>
  <si>
    <t>Mr. Nobody</t>
  </si>
  <si>
    <t>3,6</t>
  </si>
  <si>
    <t>A boy stands on a station platform as a train is about to leave. Should he go with his mother or stay with his father? Infinite possibilities arise from this decision. As long as he doesn't choose, anything is possible.</t>
  </si>
  <si>
    <t>Jaco Van Dormael</t>
  </si>
  <si>
    <t>Sarah Polley</t>
  </si>
  <si>
    <t>Linh Dan Pham</t>
  </si>
  <si>
    <t>Apocalypto</t>
  </si>
  <si>
    <t>As the Mayan kingdom faces its decline, a young man is taken on a perilous journey to a world ruled by fear and oppression.</t>
  </si>
  <si>
    <t>Gerardo Taracena</t>
  </si>
  <si>
    <t>Raoul Max Trujillo</t>
  </si>
  <si>
    <t>Dalia Hernández</t>
  </si>
  <si>
    <t>Rudy Youngblood</t>
  </si>
  <si>
    <t>Little Miss Sunshine</t>
  </si>
  <si>
    <t>A family determined to get their young daughter into the finals of a beauty pageant take a cross-country trip in their VW bus.</t>
  </si>
  <si>
    <t>Jonathan Dayton</t>
  </si>
  <si>
    <t>Valerie Faris</t>
  </si>
  <si>
    <t>Greg Kinnear</t>
  </si>
  <si>
    <t>Hot Fuzz</t>
  </si>
  <si>
    <t>Action, Comedy, Mystery</t>
  </si>
  <si>
    <t>A skilled London police officer is transferred to a small town with a dark secret.</t>
  </si>
  <si>
    <t>The Curious Case of Benjamin Button</t>
  </si>
  <si>
    <t>166 min</t>
  </si>
  <si>
    <t>Tells the story of Benjamin Button, a man who starts aging backwards with consequences.</t>
  </si>
  <si>
    <t>Tilda Swinton</t>
  </si>
  <si>
    <t>Julia Ormond</t>
  </si>
  <si>
    <t>Veer-Zaara</t>
  </si>
  <si>
    <t>192 min</t>
  </si>
  <si>
    <t>Veer-Zaara is a saga of love, separation, courage and sacrifice. A love story that is an inspiration and will remain a legend forever.</t>
  </si>
  <si>
    <t>Yash Chopra</t>
  </si>
  <si>
    <t>Kirron Kher</t>
  </si>
  <si>
    <t>Adams æbler</t>
  </si>
  <si>
    <t>A neo-nazi sentenced to community service at a church clashes with the blindly devotional priest.</t>
  </si>
  <si>
    <t>Anders Thomas Jensen</t>
  </si>
  <si>
    <t>Nicolas Bro</t>
  </si>
  <si>
    <t>Pride &amp; Prejudice</t>
  </si>
  <si>
    <t>Sparks fly when spirited Elizabeth Bennet meets single, rich, and proud Mr. Darcy. But Mr. Darcy reluctantly finds himself falling in love with a woman beneath his class. Can each overcome their own pride and prejudice?</t>
  </si>
  <si>
    <t>Matthew Macfadyen</t>
  </si>
  <si>
    <t>The World's Fastest Indian</t>
  </si>
  <si>
    <t>The story of New Zealander Burt Munro, who spent years rebuilding a 1920 Indian motorcycle, which helped him set the land speed world record at Utah's Bonneville Salt Flats in 1967.</t>
  </si>
  <si>
    <t>Roger Donaldson</t>
  </si>
  <si>
    <t>Diane Ladd</t>
  </si>
  <si>
    <t>Iain Rea</t>
  </si>
  <si>
    <t>Tessa Mitchell</t>
  </si>
  <si>
    <t>Tôkyô goddofâzâzu</t>
  </si>
  <si>
    <t>On Christmas Eve, three homeless people living on the streets of Tokyo discover a newborn baby among the trash and set out to find its parents.</t>
  </si>
  <si>
    <t>Shôgo Furuya</t>
  </si>
  <si>
    <t>Tôru Emori</t>
  </si>
  <si>
    <t>Yoshiaki Umegaki</t>
  </si>
  <si>
    <t>Aya Okamoto</t>
  </si>
  <si>
    <t>Serenity</t>
  </si>
  <si>
    <t>The crew of the ship Serenity try to evade an assassin sent to recapture one of their members who is telepathic.</t>
  </si>
  <si>
    <t>Nathan Fillion</t>
  </si>
  <si>
    <t>Gina Torres</t>
  </si>
  <si>
    <t>Walk the Line</t>
  </si>
  <si>
    <t>A chronicle of country music legend Johnny Cash's life, from his early days on an Arkansas cotton farm to his rise to fame with Sun Records in Memphis, where he recorded alongside Elvis Presley, Jerry Lee Lewis, and Carl Perkins.</t>
  </si>
  <si>
    <t>Reese Witherspoon</t>
  </si>
  <si>
    <t>Ondskan</t>
  </si>
  <si>
    <t>15,28</t>
  </si>
  <si>
    <t>A teenage boy expelled from school for fighting arrives at a boarding school where the systematic bullying of younger students is encouraged as a means to maintain discipline, and decides to fight back.</t>
  </si>
  <si>
    <t>Mikael Håfström</t>
  </si>
  <si>
    <t>Andreas Wilson</t>
  </si>
  <si>
    <t>Henrik Lundström</t>
  </si>
  <si>
    <t>Gustaf Skarsgård</t>
  </si>
  <si>
    <t>Linda Zilliacus</t>
  </si>
  <si>
    <t>The Notebook</t>
  </si>
  <si>
    <t>A poor yet passionate young man falls in love with a rich young woman, giving her a sense of freedom, but they are soon separated because of their social differences.</t>
  </si>
  <si>
    <t>Nick Cassavetes</t>
  </si>
  <si>
    <t>Diarios de motocicleta</t>
  </si>
  <si>
    <t>The dramatization of a motorcycle road trip Che Guevara went on in his youth that showed him his life's calling.</t>
  </si>
  <si>
    <t>Rodrigo De la Serna</t>
  </si>
  <si>
    <t>Mía Maestro</t>
  </si>
  <si>
    <t>Mercedes Morán</t>
  </si>
  <si>
    <t>Lilja 4-ever</t>
  </si>
  <si>
    <t>Sixteen-year-old Lilja and her only friend, the young boy Volodja, live in Russia, fantasizing about a better life. One day, Lilja falls in love with Andrej, who is going to Sweden, and invites Lilja to come along and start a new life.</t>
  </si>
  <si>
    <t>Lukas Moodysson</t>
  </si>
  <si>
    <t>Oksana Akinshina</t>
  </si>
  <si>
    <t>Artyom Bogucharskiy</t>
  </si>
  <si>
    <t>Pavel Ponomaryov</t>
  </si>
  <si>
    <t>Lyubov Agapova</t>
  </si>
  <si>
    <t>Les triplettes de Belleville</t>
  </si>
  <si>
    <t>When her grandson is kidnapped during the Tour de France, Madame Souza and her beloved pooch Bruno team up with the Belleville Sisters--an aged song-and-dance team from the days of Fred Astaire--to rescue him.</t>
  </si>
  <si>
    <t>Sylvain Chomet</t>
  </si>
  <si>
    <t>Michèle Caucheteux</t>
  </si>
  <si>
    <t>Jean-Claude Donda</t>
  </si>
  <si>
    <t>Michel Robin</t>
  </si>
  <si>
    <t>Monica Viegas</t>
  </si>
  <si>
    <t>Gongdong gyeongbi guyeok JSA</t>
  </si>
  <si>
    <t>After a shooting incident at the North/South Korean border/DMZ leaves 2 North Korean soldiers dead, a neutral Swiss/Swedish team investigates, what actually happened.</t>
  </si>
  <si>
    <t>Lee Yeong-ae</t>
  </si>
  <si>
    <t>Kim Tae-Woo</t>
  </si>
  <si>
    <t>The Count of Monte Cristo</t>
  </si>
  <si>
    <t>A young man, falsely imprisoned by his jealous "friend", escapes and uses a hidden treasure to exact his revenge.</t>
  </si>
  <si>
    <t>Kevin Reynolds</t>
  </si>
  <si>
    <t>Jim Caviezel</t>
  </si>
  <si>
    <t>Christopher Adamson</t>
  </si>
  <si>
    <t>JB Blanc</t>
  </si>
  <si>
    <t>Waking Life</t>
  </si>
  <si>
    <t>A man shuffles through a dream meeting various people and discussing the meanings and purposes of the universe.</t>
  </si>
  <si>
    <t>Trevor Jack Brooks</t>
  </si>
  <si>
    <t>Lorelei Linklater</t>
  </si>
  <si>
    <t>Wiley Wiggins</t>
  </si>
  <si>
    <t>Remember the Titans</t>
  </si>
  <si>
    <t>The true story of a newly appointed African-American coach and his high school team on their first season as a racially integrated unit.</t>
  </si>
  <si>
    <t>Boaz Yakin</t>
  </si>
  <si>
    <t>Will Patton</t>
  </si>
  <si>
    <t>Wood Harris</t>
  </si>
  <si>
    <t>Ryan Hurst</t>
  </si>
  <si>
    <t>Wo hu cang long</t>
  </si>
  <si>
    <t>A young Chinese warrior steals a sword from a famed swordsman and then escapes into a world of romantic adventure with a mysterious man in the frontier of the nation.</t>
  </si>
  <si>
    <t>Yun-Fat Chow</t>
  </si>
  <si>
    <t>Michelle Yeoh</t>
  </si>
  <si>
    <t>Chen Chang</t>
  </si>
  <si>
    <t>Todo sobre mi madre</t>
  </si>
  <si>
    <t>Young Esteban wants to become a writer and also to discover the identity of his second mother, a trans woman, carefully concealed by his mother Manuela.</t>
  </si>
  <si>
    <t>Cecilia Roth</t>
  </si>
  <si>
    <t>Marisa Paredes</t>
  </si>
  <si>
    <t>Candela Peña</t>
  </si>
  <si>
    <t>Antonia San Juan</t>
  </si>
  <si>
    <t>Cast Away</t>
  </si>
  <si>
    <t>Adventure, Drama, Romance</t>
  </si>
  <si>
    <t>A FedEx executive undergoes a physical and emotional transformation after crash landing on a deserted island.</t>
  </si>
  <si>
    <t>Helen Hunt</t>
  </si>
  <si>
    <t>Paul Sanchez</t>
  </si>
  <si>
    <t>Lari White</t>
  </si>
  <si>
    <t>The Boondock Saints</t>
  </si>
  <si>
    <t>Two Irish Catholic brothers become vigilantes and wipe out Boston's criminal underworld in the name of God.</t>
  </si>
  <si>
    <t>Troy Duffy</t>
  </si>
  <si>
    <t>Sean Patrick Flanery</t>
  </si>
  <si>
    <t>Norman Reedus</t>
  </si>
  <si>
    <t>David Della Rocco</t>
  </si>
  <si>
    <t>The Insider</t>
  </si>
  <si>
    <t>A research chemist comes under personal and professional attack when he decides to appear in a 60 Minutes exposé on Big Tobacco.</t>
  </si>
  <si>
    <t>Diane Venora</t>
  </si>
  <si>
    <t>October Sky</t>
  </si>
  <si>
    <t>The true story of Homer Hickam, a coal miner's son who was inspired by the first Sputnik launch to take up rocketry against his father's wishes.</t>
  </si>
  <si>
    <t>Joe Johnston</t>
  </si>
  <si>
    <t>Chris Owen</t>
  </si>
  <si>
    <t>Shrek</t>
  </si>
  <si>
    <t>A mean lord exiles fairytale creatures to the swamp of a grumpy ogre, who must go on a quest and rescue a princess for the lord in order to get his land back.</t>
  </si>
  <si>
    <t>Andrew Adamson</t>
  </si>
  <si>
    <t>Vicky Jenson</t>
  </si>
  <si>
    <t>Mike Myers</t>
  </si>
  <si>
    <t>Eddie Murphy</t>
  </si>
  <si>
    <t>Cameron Diaz</t>
  </si>
  <si>
    <t>Titanic</t>
  </si>
  <si>
    <t>194 min</t>
  </si>
  <si>
    <t>A seventeen-year-old aristocrat falls in love with a kind but poor artist aboard the luxurious, ill-fated R.M.S. Titanic.</t>
  </si>
  <si>
    <t>Billy Zane</t>
  </si>
  <si>
    <t>Kathy Bates</t>
  </si>
  <si>
    <t>Hana-bi</t>
  </si>
  <si>
    <t>Nishi leaves the police in the face of harrowing personal and professional difficulties. Spiraling into depression, he makes questionable decisions.</t>
  </si>
  <si>
    <t>Takeshi Kitano</t>
  </si>
  <si>
    <t>Kayoko Kishimoto</t>
  </si>
  <si>
    <t>Ren Osugi</t>
  </si>
  <si>
    <t>Susumu Terajima</t>
  </si>
  <si>
    <t>Gattaca</t>
  </si>
  <si>
    <t>Drama, Sci-Fi, Thriller</t>
  </si>
  <si>
    <t>A genetically inferior man assumes the identity of a superior one in order to pursue his lifelong dream of space travel.</t>
  </si>
  <si>
    <t>Andrew Niccol</t>
  </si>
  <si>
    <t>Jude Law</t>
  </si>
  <si>
    <t>Gore Vidal</t>
  </si>
  <si>
    <t>The Game</t>
  </si>
  <si>
    <t>After a wealthy banker is given an opportunity to participate in a mysterious game, his life is turned upside down when he becomes unable to distinguish between the game and reality.</t>
  </si>
  <si>
    <t>Michael Douglas</t>
  </si>
  <si>
    <t>Deborah Kara Unger</t>
  </si>
  <si>
    <t>Breaking the Waves</t>
  </si>
  <si>
    <t>Oilman Jan is paralyzed in an accident. His wife, who prayed for his return, feels guilty; even more, when Jan urges her to have sex with another.</t>
  </si>
  <si>
    <t>Emily Watson</t>
  </si>
  <si>
    <t>Katrin Cartlidge</t>
  </si>
  <si>
    <t>Jean-Marc Barr</t>
  </si>
  <si>
    <t>Ed Wood</t>
  </si>
  <si>
    <t>Ambitious but troubled movie director Edward D. Wood Jr. tries his best to fulfill his dreams, despite his lack of talent.</t>
  </si>
  <si>
    <t>Sarah Jessica Parker</t>
  </si>
  <si>
    <t>What's Eating Gilbert Grape</t>
  </si>
  <si>
    <t>A young man in a small Midwestern town struggles to care for his mentally-disabled younger brother and morbidly obese mother while attempting to pursue his own happiness.</t>
  </si>
  <si>
    <t>Juliette Lewis</t>
  </si>
  <si>
    <t>Tombstone</t>
  </si>
  <si>
    <t>A successful lawman's plans to retire anonymously in Tombstone, Arizona are disrupted by the kind of outlaws he was famous for eliminating.</t>
  </si>
  <si>
    <t>George P. Cosmatos</t>
  </si>
  <si>
    <t>Kevin Jarre</t>
  </si>
  <si>
    <t>Sam Elliott</t>
  </si>
  <si>
    <t>The Sandlot</t>
  </si>
  <si>
    <t>In the summer of 1962, a new kid in town is taken under the wing of a young baseball prodigy and his rowdy team, resulting in many adventures.</t>
  </si>
  <si>
    <t>David Mickey Evans</t>
  </si>
  <si>
    <t>Tom Guiry</t>
  </si>
  <si>
    <t>Mike Vitar</t>
  </si>
  <si>
    <t>Art LaFleur</t>
  </si>
  <si>
    <t>Patrick Renna</t>
  </si>
  <si>
    <t>The Remains of the Day</t>
  </si>
  <si>
    <t>A butler who sacrificed body and soul to service in the years leading up to World War II realizes too late how misguided his loyalty was to his lordly employer.</t>
  </si>
  <si>
    <t>James Ivory</t>
  </si>
  <si>
    <t>Emma Thompson</t>
  </si>
  <si>
    <t>John Haycraft</t>
  </si>
  <si>
    <t>Christopher Reeve</t>
  </si>
  <si>
    <t>Naked</t>
  </si>
  <si>
    <t>Parallel tales of two sexually obsessed men, one hurting and annoying women physically and mentally, one wandering around the city talking to strangers and experiencing dimensions of life.</t>
  </si>
  <si>
    <t>Lesley Sharp</t>
  </si>
  <si>
    <t>Greg Cruttwell</t>
  </si>
  <si>
    <t>The Fugitive</t>
  </si>
  <si>
    <t>Dr. Richard Kimble, unjustly accused of murdering his wife, must find the real killer while being the target of a nationwide manhunt led by a seasoned U.S. Marshal.</t>
  </si>
  <si>
    <t>Andrew Davis</t>
  </si>
  <si>
    <t>Sela Ward</t>
  </si>
  <si>
    <t>A Bronx Tale</t>
  </si>
  <si>
    <t>A father becomes worried when a local gangster befriends his son in the Bronx in the 1960s.</t>
  </si>
  <si>
    <t>Lillo Brancato</t>
  </si>
  <si>
    <t>Francis Capra</t>
  </si>
  <si>
    <t>Batman: Mask of the Phantasm</t>
  </si>
  <si>
    <t>Batman is wrongly implicated in a series of murders of mob bosses actually done by a new vigilante assassin.</t>
  </si>
  <si>
    <t>Kevin Altieri</t>
  </si>
  <si>
    <t>Boyd Kirkland</t>
  </si>
  <si>
    <t>Frank Paur</t>
  </si>
  <si>
    <t>Dan Riba</t>
  </si>
  <si>
    <t>Eric Radomski</t>
  </si>
  <si>
    <t>Lat sau san taam</t>
  </si>
  <si>
    <t>A tough-as-nails cop teams up with an undercover agent to shut down a sinister mobster and his crew.</t>
  </si>
  <si>
    <t>John Woo</t>
  </si>
  <si>
    <t>Teresa Mo</t>
  </si>
  <si>
    <t>Philip Chan</t>
  </si>
  <si>
    <t>Night on Earth</t>
  </si>
  <si>
    <t>An anthology of 5 different cab drivers in 5 American and European cities and their remarkable fares on the same eventful night.</t>
  </si>
  <si>
    <t>Jim Jarmusch</t>
  </si>
  <si>
    <t>Lisanne Falk</t>
  </si>
  <si>
    <t>Alan Randolph Scott</t>
  </si>
  <si>
    <t>La double vie de Véronique</t>
  </si>
  <si>
    <t>Two parallel stories about two identical women; one living in Poland, the other in France. They don't know each other, but their lives are nevertheless profoundly connected.</t>
  </si>
  <si>
    <t>Wladyslaw Kowalski</t>
  </si>
  <si>
    <t>Halina Gryglaszewska</t>
  </si>
  <si>
    <t>Kalina Jedrusik</t>
  </si>
  <si>
    <t>Boyz n the Hood</t>
  </si>
  <si>
    <t>Follows the lives of three young males living in the Crenshaw ghetto of Los Angeles, dissecting questions of race, relationships, violence, and future prospects.</t>
  </si>
  <si>
    <t>John Singleton</t>
  </si>
  <si>
    <t>Cuba Gooding Jr.</t>
  </si>
  <si>
    <t>Hudhail Al-Amir</t>
  </si>
  <si>
    <t>Lloyd Avery II</t>
  </si>
  <si>
    <t>Misery</t>
  </si>
  <si>
    <t>After a famous author is rescued from a car crash by a fan of his novels, he comes to realize that the care he is receiving is only the beginning of a nightmare of captivity and abuse.</t>
  </si>
  <si>
    <t>Frances Sternhagen</t>
  </si>
  <si>
    <t>Awakenings</t>
  </si>
  <si>
    <t>The victims of an encephalitis epidemic many years ago have been catatonic ever since, but now a new drug offers the prospect of reviving them.</t>
  </si>
  <si>
    <t>Penny Marshall</t>
  </si>
  <si>
    <t>Julie Kavner</t>
  </si>
  <si>
    <t>Ruth Nelson</t>
  </si>
  <si>
    <t>Majo no takkyûbin</t>
  </si>
  <si>
    <t>A young witch, on her mandatory year of independent life, finds fitting into a new community difficult while she supports herself by running an air courier service.</t>
  </si>
  <si>
    <t>Kirsten Dunst</t>
  </si>
  <si>
    <t>Minami Takayama</t>
  </si>
  <si>
    <t>Rei Sakuma</t>
  </si>
  <si>
    <t>Kappei Yamaguchi</t>
  </si>
  <si>
    <t>Glory</t>
  </si>
  <si>
    <t>Robert Gould Shaw leads the U.S. Civil War's first all-black volunteer company, fighting prejudices from both his own Union Army, and the Confederates.</t>
  </si>
  <si>
    <t>Dip huet seung hung</t>
  </si>
  <si>
    <t>A disillusioned assassin accepts one last hit in hopes of using his earnings to restore vision to a singer he accidentally blinded.</t>
  </si>
  <si>
    <t>Danny Lee</t>
  </si>
  <si>
    <t>Sally Yeh</t>
  </si>
  <si>
    <t>Kong Chu</t>
  </si>
  <si>
    <t>Back to the Future Part II</t>
  </si>
  <si>
    <t>After visiting 2015, Marty McFly must repeat his visit to 1955 to prevent disastrous changes to 1985...without interfering with his first trip.</t>
  </si>
  <si>
    <t>Thomas F. Wilson</t>
  </si>
  <si>
    <t>Mississippi Burning</t>
  </si>
  <si>
    <t>Crime, Drama, History</t>
  </si>
  <si>
    <t>Two F.B.I. Agents with wildly different styles arrive in Mississippi to investigate the disappearance of some civil rights activists.</t>
  </si>
  <si>
    <t>Brad Dourif</t>
  </si>
  <si>
    <t>Predator</t>
  </si>
  <si>
    <t>A team of commandos on a mission in a Central American jungle find themselves hunted by an extraterrestrial warrior.</t>
  </si>
  <si>
    <t>Kevin Peter Hall</t>
  </si>
  <si>
    <t>Elpidia Carrillo</t>
  </si>
  <si>
    <t>Evil Dead II</t>
  </si>
  <si>
    <t>Action, Comedy, Fantasy</t>
  </si>
  <si>
    <t>The lone survivor of an onslaught of flesh-possessing spirits holes up in a cabin with a group of strangers while the demons continue their attack.</t>
  </si>
  <si>
    <t>Sam Raimi</t>
  </si>
  <si>
    <t>Bruce Campbell</t>
  </si>
  <si>
    <t>Sarah Berry</t>
  </si>
  <si>
    <t>Dan Hicks</t>
  </si>
  <si>
    <t>Kassie Wesley DePaiva</t>
  </si>
  <si>
    <t>Ferris Bueller's Day Off</t>
  </si>
  <si>
    <t>A high school wise guy is determined to have a day off from school, despite what the Principal thinks of that.</t>
  </si>
  <si>
    <t>John Hughes</t>
  </si>
  <si>
    <t>Alan Ruck</t>
  </si>
  <si>
    <t>Mia Sara</t>
  </si>
  <si>
    <t>Jeffrey Jones</t>
  </si>
  <si>
    <t>Down by Law</t>
  </si>
  <si>
    <t>Two men are framed and sent to jail, where they meet a murderer who helps them escape and leave the state.</t>
  </si>
  <si>
    <t>Tom Waits</t>
  </si>
  <si>
    <t>John Lurie</t>
  </si>
  <si>
    <t>The Goonies</t>
  </si>
  <si>
    <t>A group of young misfits called The Goonies discover an ancient map and set out on an adventure to find a legendary pirate's long-lost treasure.</t>
  </si>
  <si>
    <t>Richard Donner</t>
  </si>
  <si>
    <t>Sean Astin</t>
  </si>
  <si>
    <t>Jeff Cohen</t>
  </si>
  <si>
    <t>The Color Purple</t>
  </si>
  <si>
    <t>A black Southern woman struggles to find her identity after suffering abuse from her father and others over four decades.</t>
  </si>
  <si>
    <t>Danny Glover</t>
  </si>
  <si>
    <t>Whoopi Goldberg</t>
  </si>
  <si>
    <t>Oprah Winfrey</t>
  </si>
  <si>
    <t>Margaret Avery</t>
  </si>
  <si>
    <t>The Breakfast Club</t>
  </si>
  <si>
    <t>Five high school students meet in Saturday detention and discover how they have a lot more in common than they thought.</t>
  </si>
  <si>
    <t>Emilio Estevez</t>
  </si>
  <si>
    <t>Judd Nelson</t>
  </si>
  <si>
    <t>Molly Ringwald</t>
  </si>
  <si>
    <t>Ally Sheedy</t>
  </si>
  <si>
    <t>The Killing Fields</t>
  </si>
  <si>
    <t>A journalist is trapped in Cambodia during tyrant Pol Pot's bloody 'Year Zero' cleansing campaign, which claimed the lives of two million 'undesirable' civilians.</t>
  </si>
  <si>
    <t>Roland Joffé</t>
  </si>
  <si>
    <t>Sam Waterston</t>
  </si>
  <si>
    <t>Haing S. Ngor</t>
  </si>
  <si>
    <t>John Malkovich</t>
  </si>
  <si>
    <t>Julian Sands</t>
  </si>
  <si>
    <t>Ghostbusters</t>
  </si>
  <si>
    <t>Three former parapsychology professors set up shop as a unique ghost removal service.</t>
  </si>
  <si>
    <t>Ivan Reitman</t>
  </si>
  <si>
    <t>The Right Stuff</t>
  </si>
  <si>
    <t>193 min</t>
  </si>
  <si>
    <t>The story of the original Mercury 7 astronauts and their macho, seat-of-the-pants approach to the space program.</t>
  </si>
  <si>
    <t>Philip Kaufman</t>
  </si>
  <si>
    <t>Sam Shepard</t>
  </si>
  <si>
    <t>Scott Glenn</t>
  </si>
  <si>
    <t>Dennis Quaid</t>
  </si>
  <si>
    <t>The King of Comedy</t>
  </si>
  <si>
    <t>Rupert Pupkin is a passionate yet unsuccessful comic who craves nothing more than to be in the spotlight and to achieve this, he stalks and kidnaps his idol to take the spotlight for himself.</t>
  </si>
  <si>
    <t>Jerry Lewis</t>
  </si>
  <si>
    <t>Diahnne Abbott</t>
  </si>
  <si>
    <t>Sandra Bernhard</t>
  </si>
  <si>
    <t>E.T. the Extra-Terrestrial</t>
  </si>
  <si>
    <t>Family, Sci-Fi</t>
  </si>
  <si>
    <t>A troubled child summons the courage to help a friendly alien escape Earth and return to his home world.</t>
  </si>
  <si>
    <t>Henry Thomas</t>
  </si>
  <si>
    <t>Drew Barrymore</t>
  </si>
  <si>
    <t>Peter Coyote</t>
  </si>
  <si>
    <t>Dee Wallace</t>
  </si>
  <si>
    <t>Kramer vs. Kramer</t>
  </si>
  <si>
    <t>Ted Kramer's wife leaves him, allowing for a lost bond to be rediscovered between Ted and his son, Billy. But a heated custody battle ensues over the divorced couple's son, deepening the wounds left by the separation.</t>
  </si>
  <si>
    <t>Robert Benton</t>
  </si>
  <si>
    <t>Jane Alexander</t>
  </si>
  <si>
    <t>Justin Henry</t>
  </si>
  <si>
    <t>Days of Heaven</t>
  </si>
  <si>
    <t>A hot-tempered farm laborer convinces the woman he loves to marry their rich but dying boss so that they can have a claim to his fortune.</t>
  </si>
  <si>
    <t>Terrence Malick</t>
  </si>
  <si>
    <t>Brooke Adams</t>
  </si>
  <si>
    <t>Linda Manz</t>
  </si>
  <si>
    <t>The Outlaw Josey Wales</t>
  </si>
  <si>
    <t>Missouri farmer Josey Wales joins a Confederate guerrilla unit and winds up on the run from the Union soldiers who murdered his family.</t>
  </si>
  <si>
    <t>Sondra Locke</t>
  </si>
  <si>
    <t>Chief Dan George</t>
  </si>
  <si>
    <t>Bill McKinney</t>
  </si>
  <si>
    <t>The Man Who Would Be King</t>
  </si>
  <si>
    <t>Adventure, History, War</t>
  </si>
  <si>
    <t>Two British former soldiers decide to set themselves up as Kings in Kafiristan, a land where no white man has set foot since Alexander the Great.</t>
  </si>
  <si>
    <t>Saeed Jaffrey</t>
  </si>
  <si>
    <t>The Conversation</t>
  </si>
  <si>
    <t>A paranoid, secretive surveillance expert has a crisis of conscience when he suspects that the couple he is spying on will be murdered.</t>
  </si>
  <si>
    <t>Allen Garfield</t>
  </si>
  <si>
    <t>La planète sauvage</t>
  </si>
  <si>
    <t>Animation, Sci-Fi</t>
  </si>
  <si>
    <t>On a faraway planet where blue giants rule, oppressed humanoids rebel against their machine-like leaders.</t>
  </si>
  <si>
    <t>René Laloux</t>
  </si>
  <si>
    <t>Barry Bostwick</t>
  </si>
  <si>
    <t>Jennifer Drake</t>
  </si>
  <si>
    <t>Eric Baugin</t>
  </si>
  <si>
    <t>Jean Topart</t>
  </si>
  <si>
    <t>The Day of the Jackal</t>
  </si>
  <si>
    <t>A professional assassin codenamed "Jackal" plots to kill Charles de Gaulle, the President of France.</t>
  </si>
  <si>
    <t>Edward Fox</t>
  </si>
  <si>
    <t>Terence Alexander</t>
  </si>
  <si>
    <t>Michel Auclair</t>
  </si>
  <si>
    <t>Alan Badel</t>
  </si>
  <si>
    <t>Badlands</t>
  </si>
  <si>
    <t>An impressionable teenage girl from a dead-end town and her older greaser boyfriend embark on a killing spree in the South Dakota badlands.</t>
  </si>
  <si>
    <t>Ramon Bieri</t>
  </si>
  <si>
    <t>Cabaret</t>
  </si>
  <si>
    <t>A female girlie club entertainer in Weimar Republic era Berlin romances two men while the Nazi Party rises to power around them.</t>
  </si>
  <si>
    <t>Liza Minnelli</t>
  </si>
  <si>
    <t>Michael York</t>
  </si>
  <si>
    <t>Helmut Griem</t>
  </si>
  <si>
    <t>Joel Grey</t>
  </si>
  <si>
    <t>Willy Wonka &amp; the Chocolate Factory</t>
  </si>
  <si>
    <t>Family, Fantasy, Musical</t>
  </si>
  <si>
    <t>A poor but hopeful boy seeks one of the five coveted golden tickets that will send him on a tour of Willy Wonka's mysterious chocolate factory.</t>
  </si>
  <si>
    <t>Mel Stuart</t>
  </si>
  <si>
    <t>Jack Albertson</t>
  </si>
  <si>
    <t>Peter Ostrum</t>
  </si>
  <si>
    <t>Roy Kinnear</t>
  </si>
  <si>
    <t>Midnight Cowboy</t>
  </si>
  <si>
    <t>A naive hustler travels from Texas to New York City to seek personal fortune, finding a new friend in the process.</t>
  </si>
  <si>
    <t>John Schlesinger</t>
  </si>
  <si>
    <t>Sylvia Miles</t>
  </si>
  <si>
    <t>John McGiver</t>
  </si>
  <si>
    <t>Wait Until Dark</t>
  </si>
  <si>
    <t>Thriller</t>
  </si>
  <si>
    <t>A recently blinded woman is terrorized by a trio of thugs while they search for a heroin-stuffed doll they believe is in her apartment.</t>
  </si>
  <si>
    <t>Terence Young</t>
  </si>
  <si>
    <t>Alan Arkin</t>
  </si>
  <si>
    <t>Richard Crenna</t>
  </si>
  <si>
    <t>Efrem Zimbalist Jr.</t>
  </si>
  <si>
    <t>Guess Who's Coming to Dinner</t>
  </si>
  <si>
    <t>A couple's attitudes are challenged when their daughter introduces them to her African-American fiancé.</t>
  </si>
  <si>
    <t>Katharine Houghton</t>
  </si>
  <si>
    <t>Bonnie and Clyde</t>
  </si>
  <si>
    <t>Bored waitress Bonnie Parker falls in love with an ex-con named Clyde Barrow and together they start a violent crime spree through the country, stealing cars and robbing banks.</t>
  </si>
  <si>
    <t>Arthur Penn</t>
  </si>
  <si>
    <t>Warren Beatty</t>
  </si>
  <si>
    <t>Michael J. Pollard</t>
  </si>
  <si>
    <t>My Fair Lady</t>
  </si>
  <si>
    <t>Snobbish phonetics Professor Henry Higgins agrees to a wager that he can make flower girl Eliza Doolittle presentable in high society.</t>
  </si>
  <si>
    <t>Rex Harrison</t>
  </si>
  <si>
    <t>Wilfrid Hyde-White</t>
  </si>
  <si>
    <t>Mary Poppins</t>
  </si>
  <si>
    <t>Comedy, Family, Fantasy</t>
  </si>
  <si>
    <t>In turn of the century London, a magical nanny employs music and adventure to help two neglected children become closer to their father.</t>
  </si>
  <si>
    <t>Robert Stevenson</t>
  </si>
  <si>
    <t>Dick Van Dyke</t>
  </si>
  <si>
    <t>David Tomlinson</t>
  </si>
  <si>
    <t>Glynis Johns</t>
  </si>
  <si>
    <t>The Longest Day</t>
  </si>
  <si>
    <t>The events of D-Day, told on a grand scale from both the Allied and German points of view.</t>
  </si>
  <si>
    <t>Ken Annakin</t>
  </si>
  <si>
    <t>Andrew Marton</t>
  </si>
  <si>
    <t>Gerd Oswald</t>
  </si>
  <si>
    <t>Bernhard Wicki</t>
  </si>
  <si>
    <t>Darryl F. Zanuck</t>
  </si>
  <si>
    <t>Jules et Jim</t>
  </si>
  <si>
    <t>Decades of a love triangle concerning two friends and an impulsive woman.</t>
  </si>
  <si>
    <t>Jeanne Moreau</t>
  </si>
  <si>
    <t>Oskar Werner</t>
  </si>
  <si>
    <t>Henri Serre</t>
  </si>
  <si>
    <t>Vanna Urbino</t>
  </si>
  <si>
    <t>The Innocents</t>
  </si>
  <si>
    <t>A young governess for two children becomes convinced that the house and grounds are haunted.</t>
  </si>
  <si>
    <t>Jack Clayton</t>
  </si>
  <si>
    <t>Deborah Kerr</t>
  </si>
  <si>
    <t>Peter Wyngarde</t>
  </si>
  <si>
    <t>Megs Jenkins</t>
  </si>
  <si>
    <t>Michael Redgrave</t>
  </si>
  <si>
    <t>À bout de souffle</t>
  </si>
  <si>
    <t>A small-time thief steals a car and impulsively murders a motorcycle policeman. Wanted by the authorities, he reunites with a hip American journalism student and attempts to persuade her to run away with him to Italy.</t>
  </si>
  <si>
    <t>Jean-Paul Belmondo</t>
  </si>
  <si>
    <t>Jean Seberg</t>
  </si>
  <si>
    <t>Daniel Boulanger</t>
  </si>
  <si>
    <t>Henri-Jacques Huet</t>
  </si>
  <si>
    <t>Red River</t>
  </si>
  <si>
    <t>Dunson leads a cattle drive, the culmination of over 14 years of work, to its destination in Missouri. But his tyrannical behavior along the way causes a mutiny, led by his adopted son.</t>
  </si>
  <si>
    <t>Arthur Rosson</t>
  </si>
  <si>
    <t>Montgomery Clift</t>
  </si>
  <si>
    <t>Joanne Dru</t>
  </si>
  <si>
    <t>Key Largo</t>
  </si>
  <si>
    <t>A man visits his war buddy's family hotel and finds a gangster running things. As a hurricane approaches, the two end up confronting each other.</t>
  </si>
  <si>
    <t>To Have and Have Not</t>
  </si>
  <si>
    <t>Adventure, Comedy, Film-Noir</t>
  </si>
  <si>
    <t>During World War II, American expatriate Harry Morgan helps transport a French Resistance leader and his beautiful wife to Martinique while romancing a sensuous lounge singer.</t>
  </si>
  <si>
    <t>Walter Brennan</t>
  </si>
  <si>
    <t>Dolores Moran</t>
  </si>
  <si>
    <t>Shadow of a Doubt</t>
  </si>
  <si>
    <t>Film-Noir, Thriller</t>
  </si>
  <si>
    <t>A young girl, overjoyed when her favorite uncle comes to visit the family, slowly begins to suspect that he is in fact the "Merry Widow" killer sought by the authorities.</t>
  </si>
  <si>
    <t>Macdonald Carey</t>
  </si>
  <si>
    <t>Henry Travers</t>
  </si>
  <si>
    <t>Stagecoach</t>
  </si>
  <si>
    <t>A group of people traveling on a stagecoach find their journey complicated by the threat of Geronimo and learn something about each other in the process.</t>
  </si>
  <si>
    <t>Claire Trevor</t>
  </si>
  <si>
    <t>Andy Devine</t>
  </si>
  <si>
    <t>The Lady Vanishes</t>
  </si>
  <si>
    <t>While travelling in continental Europe, a rich young playgirl realizes that an elderly lady seems to have disappeared from the train.</t>
  </si>
  <si>
    <t>Margaret Lockwood</t>
  </si>
  <si>
    <t>Paul Lukas</t>
  </si>
  <si>
    <t>May Whitty</t>
  </si>
  <si>
    <t>Bringing Up Baby</t>
  </si>
  <si>
    <t>11,18</t>
  </si>
  <si>
    <t>Comedy, Family, Romance</t>
  </si>
  <si>
    <t>While trying to secure a $1 million donation for his museum, a befuddled paleontologist is pursued by a flighty and often irritating heiress and her pet leopard, Baby.</t>
  </si>
  <si>
    <t>Charles Ruggles</t>
  </si>
  <si>
    <t>Walter Catlett</t>
  </si>
  <si>
    <t>Bride of Frankenstein</t>
  </si>
  <si>
    <t>Drama, Horror, Sci-Fi</t>
  </si>
  <si>
    <t>Mary Shelley reveals the main characters of her novel survived: Dr. Frankenstein, goaded by an even madder scientist, builds his monster a mate.</t>
  </si>
  <si>
    <t>James Whale</t>
  </si>
  <si>
    <t>Boris Karloff</t>
  </si>
  <si>
    <t>Colin Clive</t>
  </si>
  <si>
    <t>Duck Soup</t>
  </si>
  <si>
    <t>103,8</t>
  </si>
  <si>
    <t>69 min</t>
  </si>
  <si>
    <t>Comedy, Musical, War</t>
  </si>
  <si>
    <t>Rufus T. Firefly is named president/dictator of bankrupt Freedonia and declares war on neighboring Sylvania over the love of wealthy Mrs. Teasdale.</t>
  </si>
  <si>
    <t>Leo McCarey</t>
  </si>
  <si>
    <t>Zeppo Marx</t>
  </si>
  <si>
    <t>Scarface: The Shame of the Nation</t>
  </si>
  <si>
    <t>An ambitious and nearly insane violent gangster climbs the ladder of success in the mob, but his weaknesses prove to be his downfall.</t>
  </si>
  <si>
    <t>Richard Rosson</t>
  </si>
  <si>
    <t>Paul Muni</t>
  </si>
  <si>
    <t>Ann Dvorak</t>
  </si>
  <si>
    <t>Karen Morley</t>
  </si>
  <si>
    <t>Frankenstein</t>
  </si>
  <si>
    <t>70 min</t>
  </si>
  <si>
    <t>Dr. Frankenstein dares to tamper with life and death by creating a human monster out of lifeless body parts.</t>
  </si>
  <si>
    <t>Mae Clarke</t>
  </si>
  <si>
    <t>John Boles</t>
  </si>
  <si>
    <t>Roma</t>
  </si>
  <si>
    <t>A year in the life of a middle-class family's maid in Mexico City in the early 1970s.</t>
  </si>
  <si>
    <t>Yalitza Aparicio</t>
  </si>
  <si>
    <t>Marina de Tavira</t>
  </si>
  <si>
    <t>Diego Cortina Autrey</t>
  </si>
  <si>
    <t>Carlos Peralta</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</si>
  <si>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</si>
  <si>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</si>
  <si>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</si>
  <si>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t>
  </si>
  <si>
    <t>Alec Secareanu</t>
  </si>
  <si>
    <t>Gemma Jones</t>
  </si>
  <si>
    <t>Ian Hart</t>
  </si>
  <si>
    <t>Deadpool 2</t>
  </si>
  <si>
    <t>Foul-mouthed mutant mercenary Wade Wilson (a.k.a. Deadpool), brings together a team of fellow mutant rogues to protect a young boy with supernatural abilities from the brutal, time-traveling cyborg Cable.</t>
  </si>
  <si>
    <t>David Leitch</t>
  </si>
  <si>
    <t>Wind River</t>
  </si>
  <si>
    <t>A veteran hunter helps an FBI agent investigate the murder of a young woman on a Wyoming Native American reservation.</t>
  </si>
  <si>
    <t>Taylor Sheridan</t>
  </si>
  <si>
    <t>Kelsey Asbille</t>
  </si>
  <si>
    <t>Julia Jones</t>
  </si>
  <si>
    <t>Teo Briones</t>
  </si>
  <si>
    <t>Get Out</t>
  </si>
  <si>
    <t>A young African-American visits his white girlfriend's parents for the weekend, where his simmering uneasiness about their reception of him eventually reaches a boiling point.</t>
  </si>
  <si>
    <t>Jordan Peele</t>
  </si>
  <si>
    <t>Daniel Kaluuya</t>
  </si>
  <si>
    <t>Allison Williams</t>
  </si>
  <si>
    <t>Bradley Whitford</t>
  </si>
  <si>
    <t>Mission: Impossible - Fallout</t>
  </si>
  <si>
    <t>Ethan Hunt and his IMF team, along with some familiar allies, race against time after a mission gone wrong.</t>
  </si>
  <si>
    <t>Christopher McQuarrie</t>
  </si>
  <si>
    <t>Henry Cavill</t>
  </si>
  <si>
    <t>Ving Rhames</t>
  </si>
  <si>
    <t>En man som heter Ove</t>
  </si>
  <si>
    <t>Ove, an ill-tempered, isolated retiree who spends his days enforcing block association rules and visiting his wife's grave, has finally given up on life just as an unlikely friendship develops with his boisterous new neighbors.</t>
  </si>
  <si>
    <t>Hannes Holm</t>
  </si>
  <si>
    <t>Rolf Lassgård</t>
  </si>
  <si>
    <t>Bahar Pars</t>
  </si>
  <si>
    <t>Filip Berg</t>
  </si>
  <si>
    <t>Ida Engvoll</t>
  </si>
  <si>
    <t>What We Do in the Shadows</t>
  </si>
  <si>
    <t>Viago, Deacon and Vladislav are vampires who are finding that modern life has them struggling with the mundane - like paying rent, keeping up with the chore wheel, trying to get into nightclubs and overcoming flatmate conflicts.</t>
  </si>
  <si>
    <t>Jemaine Clement</t>
  </si>
  <si>
    <t>Cori Gonzalez-Macuer</t>
  </si>
  <si>
    <t>Omoide no Mânî</t>
  </si>
  <si>
    <t>Due to 12 y.o. Anna's asthma, she's sent to stay with relatives of her guardian in the Japanese countryside. She likes to be alone, sketching. She befriends Marnie. Who is the mysterious, blonde Marnie.</t>
  </si>
  <si>
    <t>James Simone</t>
  </si>
  <si>
    <t>Hiromasa Yonebayashi</t>
  </si>
  <si>
    <t>Sara Takatsuki</t>
  </si>
  <si>
    <t>Kasumi Arimura</t>
  </si>
  <si>
    <t>Nanako Matsushima</t>
  </si>
  <si>
    <t>The Theory of Everything</t>
  </si>
  <si>
    <t>Biography, Drama, Romance</t>
  </si>
  <si>
    <t>A look at the relationship between the famous physicist Stephen Hawking and his wife.</t>
  </si>
  <si>
    <t>James Marsh</t>
  </si>
  <si>
    <t>Tom Prior</t>
  </si>
  <si>
    <t>Sophie Perry</t>
  </si>
  <si>
    <t>Kingsman: The Secret Service</t>
  </si>
  <si>
    <t>A spy organisation recruits a promising street kid into the agency's training program, while a global threat emerges from a twisted tech genius.</t>
  </si>
  <si>
    <t>Matthew Vaughn</t>
  </si>
  <si>
    <t>Taron Egerton</t>
  </si>
  <si>
    <t>The Fault in Our Stars</t>
  </si>
  <si>
    <t>Two teenage cancer patients begin a life-affirming journey to visit a reclusive author in Amsterdam.</t>
  </si>
  <si>
    <t>Josh Boone</t>
  </si>
  <si>
    <t>Shailene Woodley</t>
  </si>
  <si>
    <t>Ansel Elgort</t>
  </si>
  <si>
    <t>Nat Wolff</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</si>
  <si>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</si>
  <si>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</si>
  <si>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</si>
  <si>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Thomas Mann</t>
  </si>
  <si>
    <t>RJ Cyler</t>
  </si>
  <si>
    <t>Nick Offerman</t>
  </si>
  <si>
    <t>Birdman or (The Unexpected Virtue of Ignorance)</t>
  </si>
  <si>
    <t>A washed-up superhero actor attempts to revive his fading career by writing, directing, and starring in a Broadway production.</t>
  </si>
  <si>
    <t>Zach Galifianakis</t>
  </si>
  <si>
    <t>Andrea Riseborough</t>
  </si>
  <si>
    <t>La vie d'Adèle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</si>
  <si>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</si>
  <si>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Abdellatif Kechiche</t>
  </si>
  <si>
    <t>Léa Seydoux</t>
  </si>
  <si>
    <t>Adèle Exarchopoulos</t>
  </si>
  <si>
    <t>Salim Kechiouche</t>
  </si>
  <si>
    <t>Aurélien Recoing</t>
  </si>
  <si>
    <t>Kai po che!</t>
  </si>
  <si>
    <t>Three friends growing up in India at the turn of the millennium set out to open a training academy to produce the country's next cricket stars.</t>
  </si>
  <si>
    <t>Abhishek Kapoor</t>
  </si>
  <si>
    <t>Amit Sadh</t>
  </si>
  <si>
    <t>Amrita Puri</t>
  </si>
  <si>
    <t>The Broken Circle Breakdown</t>
  </si>
  <si>
    <t>Elise and Didier fall in love at first sight, in spite of their differences. He talks, she listens. He's a romantic atheist, she's a religious realist. When their daughter becomes seriously ill, their love is put on trial.</t>
  </si>
  <si>
    <t>Felix van Groeningen</t>
  </si>
  <si>
    <t>Veerle Baetens</t>
  </si>
  <si>
    <t>Johan Heldenbergh</t>
  </si>
  <si>
    <t>Nell Cattrysse</t>
  </si>
  <si>
    <t>Geert Van Rampelberg</t>
  </si>
  <si>
    <t>Captain America: The Winter Soldier</t>
  </si>
  <si>
    <t>As Steve Rogers struggles to embrace his role in the modern world, he teams up with a fellow Avenger and S.H.I.E.L.D agent, Black Widow, to battle a new threat from history: an assassin known as the Winter Soldier.</t>
  </si>
  <si>
    <t>Rockstar</t>
  </si>
  <si>
    <t>Janardhan Jakhar chases his dreams of becoming a big Rock star, during which he falls in love with Heer.</t>
  </si>
  <si>
    <t>Nargis Fakhri</t>
  </si>
  <si>
    <t>Shammi Kapoor</t>
  </si>
  <si>
    <t>Nebraska</t>
  </si>
  <si>
    <t>An aging, booze-addled father makes the trip from Montana to Nebraska with his estranged son in order to claim a million-dollar Mega Sweepstakes Marketing prize.</t>
  </si>
  <si>
    <t>Alexander Payne</t>
  </si>
  <si>
    <t>Bruce Dern</t>
  </si>
  <si>
    <t>Will Forte</t>
  </si>
  <si>
    <t>June Squibb</t>
  </si>
  <si>
    <t>Bob Odenkirk</t>
  </si>
  <si>
    <t>Wreck-It Ralph</t>
  </si>
  <si>
    <t>A video game villain wants to be a hero and sets out to fulfill his dream, but his quest brings havoc to the whole arcade where he lives.</t>
  </si>
  <si>
    <t>John C. Reilly</t>
  </si>
  <si>
    <t>Jack McBrayer</t>
  </si>
  <si>
    <t>Jane Lynch</t>
  </si>
  <si>
    <t>Sarah Silverman</t>
  </si>
  <si>
    <t>Le Petit Prince</t>
  </si>
  <si>
    <t>A little girl lives in a very grown-up world with her mother, who tries to prepare her for it. Her neighbor, the Aviator, introduces the girl to an extraordinary world where anything is possible, the world of the Little Prince.</t>
  </si>
  <si>
    <t>Mark Osborne</t>
  </si>
  <si>
    <t>Marion Cotillard</t>
  </si>
  <si>
    <t>Detachment</t>
  </si>
  <si>
    <t>Not rated</t>
  </si>
  <si>
    <t>A substitute teacher who drifts from classroom to classroom finds a connection to the students and teachers during his latest assignment.</t>
  </si>
  <si>
    <t>Christina Hendricks</t>
  </si>
  <si>
    <t>Lucy Liu</t>
  </si>
  <si>
    <t>Midnight in Paris</t>
  </si>
  <si>
    <t>While on a trip to Paris with his fiancée's family, a nostalgic screenwriter finds himself mysteriously going back to the 1920s every day at midnight.</t>
  </si>
  <si>
    <t>Kurt Fuller</t>
  </si>
  <si>
    <t>The Lego Movie</t>
  </si>
  <si>
    <t>An ordinary LEGO construction worker, thought to be the prophesied as "special", is recruited to join a quest to stop an evil tyrant from gluing the LEGO universe into eternal stasis.</t>
  </si>
  <si>
    <t>Christopher Miller</t>
  </si>
  <si>
    <t>Phil Lord</t>
  </si>
  <si>
    <t>Will Ferrell</t>
  </si>
  <si>
    <t>Elizabeth Banks</t>
  </si>
  <si>
    <t>Gravity</t>
  </si>
  <si>
    <t>Two astronauts work together to survive after an accident leaves them stranded in space.</t>
  </si>
  <si>
    <t>Sandra Bullock</t>
  </si>
  <si>
    <t>Orto Ignatiussen</t>
  </si>
  <si>
    <t>Star Trek Into Darkness</t>
  </si>
  <si>
    <t>After the crew of the Enterprise find an unstoppable force of terror from within their own organization, Captain Kirk leads a manhunt to a war-zone world to capture a one-man weapon of mass destruction.</t>
  </si>
  <si>
    <t>Beasts of No Nation</t>
  </si>
  <si>
    <t>A drama based on the experiences of Agu, a child soldier fighting in the civil war of an unnamed African country.</t>
  </si>
  <si>
    <t>Cary Joji Fukunaga</t>
  </si>
  <si>
    <t>Abraham Attah</t>
  </si>
  <si>
    <t>Emmanuel Affadzi</t>
  </si>
  <si>
    <t>Ricky Adelayitor</t>
  </si>
  <si>
    <t>Andrew Adote</t>
  </si>
  <si>
    <t>The Social Network</t>
  </si>
  <si>
    <t>As Harvard student Mark Zuckerberg creates the social networking site that would become known as Facebook, he is sued by the twins who claimed he stole their idea, and by the co-founder who was later squeezed out of the business.</t>
  </si>
  <si>
    <t>Jesse Eisenberg</t>
  </si>
  <si>
    <t>Justin Timberlake</t>
  </si>
  <si>
    <t>X: First Class</t>
  </si>
  <si>
    <t>In the 1960s, superpowered humans Charles Xavier and Erik Lensherr work together to find others like them, but Erik's vengeful pursuit of an ambitious mutant who ruined his life causes a schism to divide them.</t>
  </si>
  <si>
    <t>Jennifer Lawrence</t>
  </si>
  <si>
    <t>The Hangover</t>
  </si>
  <si>
    <t>Three buddies wake up from a bachelor party in Las Vegas, with no memory of the previous night and the bachelor missing. They make their way around the city in order to find their friend before his wedding.</t>
  </si>
  <si>
    <t>Justin Bartha</t>
  </si>
  <si>
    <t>Ed Helms</t>
  </si>
  <si>
    <t>Skyfall</t>
  </si>
  <si>
    <t>James Bond's loyalty to M is tested when her past comes back to haunt her. When MI6 comes under attack, 007 must track down and destroy the threat, no matter how personal the cost.</t>
  </si>
  <si>
    <t>Naomie Harris</t>
  </si>
  <si>
    <t>Silver Linings Playbook</t>
  </si>
  <si>
    <t>After a stint in a mental institution, former teacher Pat Solitano moves back in with his parents and tries to reconcile with his ex-wife. Things get more challenging when Pat meets Tiffany, a mysterious girl with problems of her own.</t>
  </si>
  <si>
    <t>Jacki Weaver</t>
  </si>
  <si>
    <t>Argo</t>
  </si>
  <si>
    <t>Acting under the cover of a Hollywood producer scouting a location for a science fiction film, a CIA agent launches a dangerous operation to rescue six Americans in Tehran during the U.S. hostage crisis in Iran in 1979.</t>
  </si>
  <si>
    <t>(500) Days of Summer</t>
  </si>
  <si>
    <t>An offbeat romantic comedy about a woman who doesn't believe true love exists, and the young man who falls for her.</t>
  </si>
  <si>
    <t>Marc Webb</t>
  </si>
  <si>
    <t>Zooey Deschanel</t>
  </si>
  <si>
    <t>Geoffrey Arend</t>
  </si>
  <si>
    <t>Harry Potter and the Deathly Hallows: Part 1</t>
  </si>
  <si>
    <t>As Harry, Ron, and Hermione race against time and evil to destroy the Horcruxes, they uncover the existence of the three most powerful objects in the wizarding world: the Deathly Hallows.</t>
  </si>
  <si>
    <t>Gake no ue no Ponyo</t>
  </si>
  <si>
    <t>A five-year-old boy develops a relationship with Ponyo, a young goldfish princess who longs to become a human after falling in love with him.</t>
  </si>
  <si>
    <t>Tomoko Yamaguchi</t>
  </si>
  <si>
    <t>Frost/Nixon</t>
  </si>
  <si>
    <t>A dramatic retelling of the post-Watergate television interviews between British talk-show host David Frost and former president Richard Nixon.</t>
  </si>
  <si>
    <t>Frank Langella</t>
  </si>
  <si>
    <t>Michael Sheen</t>
  </si>
  <si>
    <t>Papurika</t>
  </si>
  <si>
    <t>When a machine that allows therapists to enter their patients' dreams is stolen, all Hell breaks loose. Only a young female therapist, Paprika, can stop it.</t>
  </si>
  <si>
    <t>Katsunosuke Hori</t>
  </si>
  <si>
    <t>Tôru Furuya</t>
  </si>
  <si>
    <t>Changeling</t>
  </si>
  <si>
    <t>Grief-stricken mother Christine Collins (Angelina Jolie) takes on the L.A.P.D. to her own detriment when it tries to pass off an obvious impostor as her missing child.</t>
  </si>
  <si>
    <t>Angelina Jolie</t>
  </si>
  <si>
    <t>Colm Feore</t>
  </si>
  <si>
    <t>Amy Ryan</t>
  </si>
  <si>
    <t>Gattlin Griffith</t>
  </si>
  <si>
    <t>Flipped</t>
  </si>
  <si>
    <t>Two eighth-graders start to have feelings for each other despite being total opposites.</t>
  </si>
  <si>
    <t>Madeline Carroll</t>
  </si>
  <si>
    <t>Callan McAuliffe</t>
  </si>
  <si>
    <t>Rebecca De Mornay</t>
  </si>
  <si>
    <t>Anthony Edwards</t>
  </si>
  <si>
    <t>Toki o kakeru shôjo</t>
  </si>
  <si>
    <t>A high-school girl named Makoto acquires the power to travel back in time, and decides to use it for her own personal benefits. Little does she know that she is affecting the lives of others just as much as she is her own.</t>
  </si>
  <si>
    <t>Riisa Naka</t>
  </si>
  <si>
    <t>Takuya Ishida</t>
  </si>
  <si>
    <t>Mitsutaka Itakura</t>
  </si>
  <si>
    <t>Ayami Kakiuchi</t>
  </si>
  <si>
    <t>Death Note: Desu nôto</t>
  </si>
  <si>
    <t>A battle between the world's two greatest minds begins when Light Yagami finds the Death Note, a notebook with the power to kill, and decides to rid the world of criminals.</t>
  </si>
  <si>
    <t>Shûsuke Kaneko</t>
  </si>
  <si>
    <t>Tatsuya Fujiwara</t>
  </si>
  <si>
    <t>Ken'ichi Matsuyama</t>
  </si>
  <si>
    <t>Asaka Seto</t>
  </si>
  <si>
    <t>Yû Kashii</t>
  </si>
  <si>
    <t>This Is England</t>
  </si>
  <si>
    <t>A young boy becomes friends with a gang of skinheads. Friends soon become like family, and relationships will be pushed to the very limit.</t>
  </si>
  <si>
    <t>Shane Meadows</t>
  </si>
  <si>
    <t>Thomas Turgoose</t>
  </si>
  <si>
    <t>Stephen Graham</t>
  </si>
  <si>
    <t>Jo Hartley</t>
  </si>
  <si>
    <t>Andrew Shim</t>
  </si>
  <si>
    <t>Ex Machina</t>
  </si>
  <si>
    <t>A young programmer is selected to participate in a ground-breaking experiment in synthetic intelligence by evaluating the human qualities of a highly advanced humanoid A.I.</t>
  </si>
  <si>
    <t>Alex Garland</t>
  </si>
  <si>
    <t>Alicia Vikander</t>
  </si>
  <si>
    <t>Sonoya Mizuno</t>
  </si>
  <si>
    <t>Efter brylluppet</t>
  </si>
  <si>
    <t>A manager of an orphanage in India is sent to Copenhagen, Denmark, where he discovers a life-altering family secret.</t>
  </si>
  <si>
    <t>Susanne Bier</t>
  </si>
  <si>
    <t>Sidse Babett Knudsen</t>
  </si>
  <si>
    <t>Neeral Mulchandani</t>
  </si>
  <si>
    <t>The Last King of Scotland</t>
  </si>
  <si>
    <t>Based on the events of the brutal Ugandan dictator Idi Amin's regime as seen by his personal physician during the 1970s.</t>
  </si>
  <si>
    <t>Kevin Macdonald</t>
  </si>
  <si>
    <t>Gillian Anderson</t>
  </si>
  <si>
    <t>Zodiac</t>
  </si>
  <si>
    <t>In the late 1960s/early 1970s, a San Francisco cartoonist becomes an amateur detective obsessed with tracking down the Zodiac Killer, an unidentified individual who terrorizes Northern California with a killing spree.</t>
  </si>
  <si>
    <t>Lucky Number Slevin</t>
  </si>
  <si>
    <t>A case of mistaken identity lands Slevin into the middle of a war being plotted by two of the city's most rival crime bosses. Under constant surveillance by Detective Brikowski and assassin Goodkat, he must get them before they get him.</t>
  </si>
  <si>
    <t>Paul McGuigan</t>
  </si>
  <si>
    <t>Josh Hartnett</t>
  </si>
  <si>
    <t>Joyeux Noël</t>
  </si>
  <si>
    <t>Drama, History, Music</t>
  </si>
  <si>
    <t>In December 1914, an unofficial Christmas truce on the Western Front allows soldiers from opposing sides of the First World War to gain insight into each other's way of life.</t>
  </si>
  <si>
    <t>Christian Carion</t>
  </si>
  <si>
    <t>Benno Fürmann</t>
  </si>
  <si>
    <t>Guillaume Canet</t>
  </si>
  <si>
    <t>Natalie Dessay</t>
  </si>
  <si>
    <t>Control</t>
  </si>
  <si>
    <t>A profile of Ian Curtis, the enigmatic singer of Joy Division whose personal, professional, and romantic troubles led him to commit suicide at the age of 23.</t>
  </si>
  <si>
    <t>Anton Corbijn</t>
  </si>
  <si>
    <t>Sam Riley</t>
  </si>
  <si>
    <t>Samantha Morton</t>
  </si>
  <si>
    <t>Craig Parkinson</t>
  </si>
  <si>
    <t>Tangled</t>
  </si>
  <si>
    <t>The magically long-haired Rapunzel has spent her entire life in a tower, but now that a runaway thief has stumbled upon her, she is about to discover the world for the first time, and who she really is.</t>
  </si>
  <si>
    <t>Nathan Greno</t>
  </si>
  <si>
    <t>Mandy Moore</t>
  </si>
  <si>
    <t>Zachary Levi</t>
  </si>
  <si>
    <t>Donna Murphy</t>
  </si>
  <si>
    <t>Zwartboek</t>
  </si>
  <si>
    <t>In the Nazi-occupied Netherlands during World War II, a Jewish singer infiltrates the regional Gestapo headquarters for the Dutch resistance.</t>
  </si>
  <si>
    <t>Paul Verhoeven</t>
  </si>
  <si>
    <t>Carice van Houten</t>
  </si>
  <si>
    <t>Thom Hoffman</t>
  </si>
  <si>
    <t>Halina Reijn</t>
  </si>
  <si>
    <t>Brokeback Mountain</t>
  </si>
  <si>
    <t>The story of a forbidden and secretive relationship between two cowboys, and their lives over the years.</t>
  </si>
  <si>
    <t>Randy Quaid</t>
  </si>
  <si>
    <t>3:10 to Yuma</t>
  </si>
  <si>
    <t>A small-time rancher agrees to hold a captured outlaw who's awaiting a train to go to court in Yuma. A battle of wills ensues as the outlaw tries to psych out the rancher.</t>
  </si>
  <si>
    <t>Ben Foster</t>
  </si>
  <si>
    <t>Crash</t>
  </si>
  <si>
    <t>Los Angeles citizens with vastly separate lives collide in interweaving stories of race, loss and redemption.</t>
  </si>
  <si>
    <t>Paul Haggis</t>
  </si>
  <si>
    <t>Karina Arroyave</t>
  </si>
  <si>
    <t>Kung fu</t>
  </si>
  <si>
    <t>In Shanghai, China in the 1940s, a wannabe gangster aspires to join the notorious "Axe Gang" while residents of a housing complex exhibit extraordinary powers in defending their turf.</t>
  </si>
  <si>
    <t>Stephen Chow</t>
  </si>
  <si>
    <t>Wah Yuen</t>
  </si>
  <si>
    <t>Qiu Yuen</t>
  </si>
  <si>
    <t>Siu-Lung Leung</t>
  </si>
  <si>
    <t>The Bourne Supremacy</t>
  </si>
  <si>
    <t>When Jason Bourne is framed for a CIA operation gone awry, he is forced to resume his former life as a trained assassin to survive.</t>
  </si>
  <si>
    <t>Brian Cox</t>
  </si>
  <si>
    <t>The Machinist</t>
  </si>
  <si>
    <t>An industrial worker who hasn't slept in a year begins to doubt his own sanity.</t>
  </si>
  <si>
    <t>Brad Anderson</t>
  </si>
  <si>
    <t>Aitana Sánchez-Gijón</t>
  </si>
  <si>
    <t>John Sharian</t>
  </si>
  <si>
    <t>Ray</t>
  </si>
  <si>
    <t>The story of the life and career of the legendary rhythm and blues musician Ray Charles, from his humble beginnings in the South, where he went blind at age seven, to his meteoric rise to stardom during the 1950s and 1960s.</t>
  </si>
  <si>
    <t>Regina King</t>
  </si>
  <si>
    <t>Clifton Powell</t>
  </si>
  <si>
    <t>Lost in Translation</t>
  </si>
  <si>
    <t>A faded movie star and a neglected young woman form an unlikely bond after crossing paths in Tokyo.</t>
  </si>
  <si>
    <t>Sofia Coppola</t>
  </si>
  <si>
    <t>Giovanni Ribisi</t>
  </si>
  <si>
    <t>Anna Faris</t>
  </si>
  <si>
    <t>Harry Potter and the Goblet of Fire</t>
  </si>
  <si>
    <t>Harry Potter finds himself competing in a hazardous tournament between rival schools of magic, but he is distracted by recurring nightmares.</t>
  </si>
  <si>
    <t>Mike Newell</t>
  </si>
  <si>
    <t>Eric Sykes</t>
  </si>
  <si>
    <t>Man on Fire</t>
  </si>
  <si>
    <t>In Mexico City, a former CIA operative swears vengeance on those who committed an unspeakable act against the family he was hired to protect.</t>
  </si>
  <si>
    <t>Dakota Fanning</t>
  </si>
  <si>
    <t>Radha Mitchell</t>
  </si>
  <si>
    <t>Coraline</t>
  </si>
  <si>
    <t>An adventurous 11-year-old girl finds another world that is a strangely idealized version of her frustrating home, but it has sinister secrets.</t>
  </si>
  <si>
    <t>Teri Hatcher</t>
  </si>
  <si>
    <t>John Hodgman</t>
  </si>
  <si>
    <t>Jennifer Saunders</t>
  </si>
  <si>
    <t>The Last Samurai</t>
  </si>
  <si>
    <t>An American military advisor embraces the Samurai culture he was hired to destroy after he is captured in battle.</t>
  </si>
  <si>
    <t>Billy Connolly</t>
  </si>
  <si>
    <t>William Atherton</t>
  </si>
  <si>
    <t>The Magdalene Sisters</t>
  </si>
  <si>
    <t>Three young Irish women struggle to maintain their spirits while they endure dehumanizing abuse as inmates of a Magdalene Sisters Asylum.</t>
  </si>
  <si>
    <t>Peter Mullan</t>
  </si>
  <si>
    <t>Eileen Walsh</t>
  </si>
  <si>
    <t>Dorothy Duffy</t>
  </si>
  <si>
    <t>Nora-Jane Noone</t>
  </si>
  <si>
    <t>Anne-Marie Duff</t>
  </si>
  <si>
    <t>Good Bye Lenin!</t>
  </si>
  <si>
    <t>In 1990, to protect his fragile mother from a fatal shock after a long coma, a young man must keep her from learning that her beloved nation of East Germany as she knew it has disappeared.</t>
  </si>
  <si>
    <t>Wolfgang Becker</t>
  </si>
  <si>
    <t>Katrin Saß</t>
  </si>
  <si>
    <t>Chulpan Khamatova</t>
  </si>
  <si>
    <t>Florian Lukas</t>
  </si>
  <si>
    <t>In America</t>
  </si>
  <si>
    <t>A family of Irish immigrants adjust to life on the mean streets of Hell's Kitchen while also grieving the death of a child.</t>
  </si>
  <si>
    <t>Sarah Bolger</t>
  </si>
  <si>
    <t>I Am Sam</t>
  </si>
  <si>
    <t>A mentally handicapped man fights for custody of his 7-year-old daughter and in the process teaches his cold-hearted lawyer the value of love and family.</t>
  </si>
  <si>
    <t>Jessie Nelson</t>
  </si>
  <si>
    <t>Adaptation.</t>
  </si>
  <si>
    <t>A lovelorn screenwriter becomes desperate as he tries and fails to adapt 'The Orchid Thief' by Susan Orlean for the screen.</t>
  </si>
  <si>
    <t>Nicolas Cage</t>
  </si>
  <si>
    <t>Black Hawk Down</t>
  </si>
  <si>
    <t>160 elite U.S. soldiers drop into Somalia to capture two top lieutenants of a renegade warlord and find themselves in a desperate battle with a large force of heavily-armed Somalis.</t>
  </si>
  <si>
    <t>Road to Perdition</t>
  </si>
  <si>
    <t>A mob enforcer's son witnesses a murder, forcing him and his father to take to the road, and his father down a path of redemption and revenge.</t>
  </si>
  <si>
    <t>Tyler Hoechlin</t>
  </si>
  <si>
    <t>Rob Maxey</t>
  </si>
  <si>
    <t>Liam Aiken</t>
  </si>
  <si>
    <t>Das Experiment</t>
  </si>
  <si>
    <t>For two weeks, 20 male participants are hired to play prisoners and guards in a prison. The "prisoners" have to follow seemingly mild rules, and the "guards" are told to retain order without using physical violence.</t>
  </si>
  <si>
    <t>Christian Berkel</t>
  </si>
  <si>
    <t>Oliver Stokowski</t>
  </si>
  <si>
    <t>Wotan Wilke Möhring</t>
  </si>
  <si>
    <t>Billy Elliot</t>
  </si>
  <si>
    <t>A talented young boy becomes torn between his unexpected love of dance and the disintegration of his family.</t>
  </si>
  <si>
    <t>Stephen Daldry</t>
  </si>
  <si>
    <t>Jamie Bell</t>
  </si>
  <si>
    <t>Julie Walters</t>
  </si>
  <si>
    <t>Jean Heywood</t>
  </si>
  <si>
    <t>Jamie Draven</t>
  </si>
  <si>
    <t>Hedwig and the Angry Inch</t>
  </si>
  <si>
    <t>A gender-queer punk-rock singer from East Berlin tours the U.S. with her band as she tells her life story and follows the former lover/band-mate who stole her songs.</t>
  </si>
  <si>
    <t>John Cameron Mitchell</t>
  </si>
  <si>
    <t>Miriam Shor</t>
  </si>
  <si>
    <t>Stephen Trask</t>
  </si>
  <si>
    <t>Theodore Liscinski</t>
  </si>
  <si>
    <t>Ocean's Eleven</t>
  </si>
  <si>
    <t>Danny Ocean and his ten accomplices plan to rob three Las Vegas casinos simultaneously.</t>
  </si>
  <si>
    <t>Steven Soderbergh</t>
  </si>
  <si>
    <t>Vampire Hunter D: Bloodlust</t>
  </si>
  <si>
    <t>Animation, Action, Fantasy</t>
  </si>
  <si>
    <t>When a girl is abducted by a vampire, a legendary bounty hunter is hired to bring her back.</t>
  </si>
  <si>
    <t>Andrew Philpot</t>
  </si>
  <si>
    <t>John Rafter Lee</t>
  </si>
  <si>
    <t>Pamela Adlon</t>
  </si>
  <si>
    <t>Wendee Lee</t>
  </si>
  <si>
    <t>O Brother, Where Art Thou?</t>
  </si>
  <si>
    <t>In the deep south during the 1930s, three escaped convicts search for hidden treasure while a relentless lawman pursues them.</t>
  </si>
  <si>
    <t>John Turturro</t>
  </si>
  <si>
    <t>Tim Blake Nelson</t>
  </si>
  <si>
    <t>Interstate 60: Episodes of the Road</t>
  </si>
  <si>
    <t>Neal Oliver, a very confused young man and an artist, takes a journey of a lifetime on a highway I60 that doesn't exist on any of the maps, going to the places he never even heard of, searching for an answer and his dreamgirl.</t>
  </si>
  <si>
    <t>Bob Gale</t>
  </si>
  <si>
    <t>Matthew Edison</t>
  </si>
  <si>
    <t>South Park: Bigger, Longer &amp; Uncut</t>
  </si>
  <si>
    <t>Animation, Comedy, Fantasy</t>
  </si>
  <si>
    <t>When Stan Marsh and his friends go see an R-rated movie, they start cursing and their parents think that Canada is to blame.</t>
  </si>
  <si>
    <t>Trey Parker</t>
  </si>
  <si>
    <t>Matt Stone</t>
  </si>
  <si>
    <t>Mary Kay Bergman</t>
  </si>
  <si>
    <t>Isaac Hayes</t>
  </si>
  <si>
    <t>Office Space</t>
  </si>
  <si>
    <t>Three company workers who hate their jobs decide to rebel against their greedy boss.</t>
  </si>
  <si>
    <t>Mike Judge</t>
  </si>
  <si>
    <t>Ron Livingston</t>
  </si>
  <si>
    <t>David Herman</t>
  </si>
  <si>
    <t>Ajay Naidu</t>
  </si>
  <si>
    <t>Happiness</t>
  </si>
  <si>
    <t>The lives of several individuals intertwine as they go about their lives in their own unique ways, engaging in acts society as a whole might find disturbing in a desperate search for human connection.</t>
  </si>
  <si>
    <t>Todd Solondz</t>
  </si>
  <si>
    <t>Jane Adams</t>
  </si>
  <si>
    <t>Jon Lovitz</t>
  </si>
  <si>
    <t>Dylan Baker</t>
  </si>
  <si>
    <t>Training Day</t>
  </si>
  <si>
    <t>A rookie cop spends his first day as a Los Angeles narcotics officer with a rogue detective who isn't what he appears to be.</t>
  </si>
  <si>
    <t>Antoine Fuqua</t>
  </si>
  <si>
    <t>Rushmore</t>
  </si>
  <si>
    <t>The extracurricular king of Rushmore Preparatory School is put on academic probation.</t>
  </si>
  <si>
    <t>Seymour Cassel</t>
  </si>
  <si>
    <t>Abre los ojos</t>
  </si>
  <si>
    <t>A very handsome man finds the love of his life, but he suffers an accident and needs to have his face rebuilt by surgery after it is severely disfigured.</t>
  </si>
  <si>
    <t>Eduardo Noriega</t>
  </si>
  <si>
    <t>Penélope Cruz</t>
  </si>
  <si>
    <t>Chete Lera</t>
  </si>
  <si>
    <t>Fele Martínez</t>
  </si>
  <si>
    <t>Being John Malkovich</t>
  </si>
  <si>
    <t>A puppeteer discovers a portal that leads literally into the head of movie star John Malkovich.</t>
  </si>
  <si>
    <t>John Cusack</t>
  </si>
  <si>
    <t>As Good as It Gets</t>
  </si>
  <si>
    <t>A single mother and waitress, a misanthropic author, and a gay artist form an unlikely friendship after the artist is assaulted in a robbery.</t>
  </si>
  <si>
    <t>James L. Brooks</t>
  </si>
  <si>
    <t>The Fifth Element</t>
  </si>
  <si>
    <t>In the colorful future, a cab driver unwittingly becomes the central figure in the search for a legendary cosmic weapon to keep Evil and Mr. Zorg at bay.</t>
  </si>
  <si>
    <t>Milla Jovovich</t>
  </si>
  <si>
    <t>Ian Holm</t>
  </si>
  <si>
    <t>Le dîner de cons</t>
  </si>
  <si>
    <t>A few friends have a weekly fools' dinner, where each brings a fool along. Pierre finds a champion fool for next dinner. Surprise.</t>
  </si>
  <si>
    <t>Francis Veber</t>
  </si>
  <si>
    <t>Thierry Lhermitte</t>
  </si>
  <si>
    <t>Jacques Villeret</t>
  </si>
  <si>
    <t>Francis Huster</t>
  </si>
  <si>
    <t>Daniel Prévost</t>
  </si>
  <si>
    <t>Donnie Brasco</t>
  </si>
  <si>
    <t>An FBI undercover agent infiltrates the mob and finds himself identifying more with the mafia life, at the expense of his regular one.</t>
  </si>
  <si>
    <t>Bruno Kirby</t>
  </si>
  <si>
    <t>Shine</t>
  </si>
  <si>
    <t>Pianist David Helfgott, driven by his father and teachers, has a breakdown. Years later he returns to the piano, to popular if not critical acclaim.</t>
  </si>
  <si>
    <t>Scott Hicks</t>
  </si>
  <si>
    <t>Armin Mueller-Stahl</t>
  </si>
  <si>
    <t>Justin Braine</t>
  </si>
  <si>
    <t>Sonia Todd</t>
  </si>
  <si>
    <t>Primal Fear</t>
  </si>
  <si>
    <t>An altar boy is accused of murdering a priest, and the truth is buried several layers deep.</t>
  </si>
  <si>
    <t>Gregory Hoblit</t>
  </si>
  <si>
    <t>John Mahoney</t>
  </si>
  <si>
    <t>Hamlet</t>
  </si>
  <si>
    <t>242 min</t>
  </si>
  <si>
    <t>Hamlet, Prince of Denmark, returns home to find his father murdered and his mother remarrying the murderer, his uncle. Meanwhile, war is brewing.</t>
  </si>
  <si>
    <t>Kenneth Branagh</t>
  </si>
  <si>
    <t>A Little Princess</t>
  </si>
  <si>
    <t>A young girl is relegated to servitude at a boarding school when her father goes missing and is presumed dead.</t>
  </si>
  <si>
    <t>Liesel Matthews</t>
  </si>
  <si>
    <t>Eleanor Bron</t>
  </si>
  <si>
    <t>Liam Cunningham</t>
  </si>
  <si>
    <t>Rusty Schwimmer</t>
  </si>
  <si>
    <t>Do lok tin si</t>
  </si>
  <si>
    <t>This Hong Kong-set crime drama follows the lives of a hitman, hoping to get out of the business, and his elusive female partner.</t>
  </si>
  <si>
    <t>Leon Lai</t>
  </si>
  <si>
    <t>Michelle Reis</t>
  </si>
  <si>
    <t>Charlie Yeung</t>
  </si>
  <si>
    <t>Il postino</t>
  </si>
  <si>
    <t>A simple Italian postman learns to love poetry while delivering mail to a famous poet, and then uses this to woo local beauty Beatrice.</t>
  </si>
  <si>
    <t>Michael Radford</t>
  </si>
  <si>
    <t>Massimo Troisi</t>
  </si>
  <si>
    <t>Maria Grazia Cucinotta</t>
  </si>
  <si>
    <t>Clerks</t>
  </si>
  <si>
    <t>A day in the lives of two convenience clerks named Dante and Randal as they annoy customers, discuss movies, and play hockey on the store roof.</t>
  </si>
  <si>
    <t>Kevin Smith</t>
  </si>
  <si>
    <t>Brian O'Halloran</t>
  </si>
  <si>
    <t>Jeff Anderson</t>
  </si>
  <si>
    <t>Marilyn Ghigliotti</t>
  </si>
  <si>
    <t>Lisa Spoonauer</t>
  </si>
  <si>
    <t>Short Cuts</t>
  </si>
  <si>
    <t>The day-to-day lives of several suburban Los Angeles residents.</t>
  </si>
  <si>
    <t>Robert Altman</t>
  </si>
  <si>
    <t>Bruce Davison</t>
  </si>
  <si>
    <t>Philadelphia</t>
  </si>
  <si>
    <t>When a man with HIV is fired by his law firm because of his condition, he hires a homophobic small time lawyer as the only willing advocate for a wrongful dismissal suit.</t>
  </si>
  <si>
    <t>Roberta Maxwell</t>
  </si>
  <si>
    <t>Buzz Kilman</t>
  </si>
  <si>
    <t>The Muppet Christmas Carol</t>
  </si>
  <si>
    <t>The Muppet characters tell their version of the classic tale of an old and bitter miser's redemption on Christmas Eve.</t>
  </si>
  <si>
    <t>Brian Henson</t>
  </si>
  <si>
    <t>Kermit the Frog</t>
  </si>
  <si>
    <t>Dave Goelz</t>
  </si>
  <si>
    <t>Miss Piggy</t>
  </si>
  <si>
    <t>Malcolm X</t>
  </si>
  <si>
    <t>Biographical epic of the controversial and influential Black Nationalist leader, from his early life and career as a small-time gangster, to his ministry as a member of the Nation of Islam.</t>
  </si>
  <si>
    <t>Angela Bassett</t>
  </si>
  <si>
    <t>Delroy Lindo</t>
  </si>
  <si>
    <t>The Last of the Mohicans</t>
  </si>
  <si>
    <t>Three trappers protect the daughters of a British Colonel in the midst of the French and Indian War.</t>
  </si>
  <si>
    <t>Russell Means</t>
  </si>
  <si>
    <t>Eric Schweig</t>
  </si>
  <si>
    <t>Kurenai no buta</t>
  </si>
  <si>
    <t>In 1930s Italy, a veteran World War I pilot is cursed to look like an anthropomorphic pig.</t>
  </si>
  <si>
    <t>Shûichirô Moriyama</t>
  </si>
  <si>
    <t>Tokiko Katô</t>
  </si>
  <si>
    <t>Bunshi Katsura Vi</t>
  </si>
  <si>
    <t>Tsunehiko Kamijô</t>
  </si>
  <si>
    <t>Glengarry Glen Ross</t>
  </si>
  <si>
    <t>An examination of the machinations behind the scenes at a real estate office.</t>
  </si>
  <si>
    <t>James Foley</t>
  </si>
  <si>
    <t>Alec Baldwin</t>
  </si>
  <si>
    <t>A Few Good Men</t>
  </si>
  <si>
    <t>Military lawyer Lieutenant Daniel Kaffee defends Marines accused of murder. They contend they were acting under orders.</t>
  </si>
  <si>
    <t>Demi Moore</t>
  </si>
  <si>
    <t>Fried Green Tomatoes</t>
  </si>
  <si>
    <t>A housewife who is unhappy with her life befriends an old lady in a nursing home and is enthralled by the tales she tells of people she used to know.</t>
  </si>
  <si>
    <t>Jon Avnet</t>
  </si>
  <si>
    <t>Jessica Tandy</t>
  </si>
  <si>
    <t>Mary Stuart Masterson</t>
  </si>
  <si>
    <t>Mary-Louise Parker</t>
  </si>
  <si>
    <t>Barton Fink</t>
  </si>
  <si>
    <t>A renowned New York playwright is enticed to California to write for the movies and discovers the hellish truth of Hollywood.</t>
  </si>
  <si>
    <t>Judy Davis</t>
  </si>
  <si>
    <t>Miller's Crossing</t>
  </si>
  <si>
    <t>Tom Reagan, an advisor to a Prohibition-era crime boss, tries to keep the peace between warring mobs but gets caught in divided loyalties.</t>
  </si>
  <si>
    <t>Who Framed Roger Rabbit</t>
  </si>
  <si>
    <t>A toon-hating detective is a cartoon rabbit's only hope to prove his innocence when he is accused of murder.</t>
  </si>
  <si>
    <t>Bob Hoskins</t>
  </si>
  <si>
    <t>Joanna Cassidy</t>
  </si>
  <si>
    <t>Charles Fleischer</t>
  </si>
  <si>
    <t>Spoorloos</t>
  </si>
  <si>
    <t>Rex and Saskia, a young couple in love, are on vacation. They stop at a busy service station and Saskia is abducted. After three years and no sign of Saskia, Rex begins receiving letters from the abductor.</t>
  </si>
  <si>
    <t>George Sluizer</t>
  </si>
  <si>
    <t>Bernard-Pierre Donnadieu</t>
  </si>
  <si>
    <t>Gene Bervoets</t>
  </si>
  <si>
    <t>Johanna ter Steege</t>
  </si>
  <si>
    <t>Gwen Eckhaus</t>
  </si>
  <si>
    <t>Withnail &amp; I</t>
  </si>
  <si>
    <t>In 1969, two substance-abusing, unemployed actors retreat to the countryside for a holiday that proves disastrous.</t>
  </si>
  <si>
    <t>Bruce Robinson</t>
  </si>
  <si>
    <t>Richard E. Grant</t>
  </si>
  <si>
    <t>Paul McGann</t>
  </si>
  <si>
    <t>Ralph Brown</t>
  </si>
  <si>
    <t>The Last Emperor</t>
  </si>
  <si>
    <t>The story of the final Emperor of China.</t>
  </si>
  <si>
    <t>John Lone</t>
  </si>
  <si>
    <t>Joan Chen</t>
  </si>
  <si>
    <t>Ruocheng Ying</t>
  </si>
  <si>
    <t>Empire of the Sun</t>
  </si>
  <si>
    <t>A young English boy struggles to survive under Japanese occupation during World War II.</t>
  </si>
  <si>
    <t>Miranda Richardson</t>
  </si>
  <si>
    <t>Nigel Havers</t>
  </si>
  <si>
    <t>Der Name der Rose</t>
  </si>
  <si>
    <t>An intellectually nonconformist friar investigates a series of mysterious deaths in an isolated abbey.</t>
  </si>
  <si>
    <t>Jean-Jacques Annaud</t>
  </si>
  <si>
    <t>Helmut Qualtinger</t>
  </si>
  <si>
    <t>Elya Baskin</t>
  </si>
  <si>
    <t>Blue Velvet</t>
  </si>
  <si>
    <t>The discovery of a severed human ear found in a field leads a young man on an investigation related to a beautiful, mysterious nightclub singer and a group of psychopathic criminals who have kidnapped her child.</t>
  </si>
  <si>
    <t>Isabella Rossellini</t>
  </si>
  <si>
    <t>Kyle MacLachlan</t>
  </si>
  <si>
    <t>The Purple Rose of Cairo</t>
  </si>
  <si>
    <t>In New Jersey in 1935, a movie character walks off the screen and into the real world.</t>
  </si>
  <si>
    <t>Jeff Daniels</t>
  </si>
  <si>
    <t>Irving Metzman</t>
  </si>
  <si>
    <t>After Hours</t>
  </si>
  <si>
    <t>An ordinary word processor has the worst night of his life after he agrees to visit a girl in Soho who he met that evening at a coffee shop.</t>
  </si>
  <si>
    <t>Griffin Dunne</t>
  </si>
  <si>
    <t>Rosanna Arquette</t>
  </si>
  <si>
    <t>Verna Bloom</t>
  </si>
  <si>
    <t>Tommy Chong</t>
  </si>
  <si>
    <t>Zelig</t>
  </si>
  <si>
    <t>79 min</t>
  </si>
  <si>
    <t>"Documentary" about a man who can look and act like whoever he's around, and meets various famous people.</t>
  </si>
  <si>
    <t>Patrick Horgan</t>
  </si>
  <si>
    <t>John Buckwalter</t>
  </si>
  <si>
    <t>The Verdict</t>
  </si>
  <si>
    <t>A lawyer sees the chance to salvage his career and self-respect by taking a medical malpractice case to trial rather than settling.</t>
  </si>
  <si>
    <t>Charlotte Rampling</t>
  </si>
  <si>
    <t>Star Trek II: The Wrath of Khan</t>
  </si>
  <si>
    <t>With the assistance of the Enterprise crew, Admiral Kirk must stop an old nemesis, Khan Noonien Singh, from using the life-generating Genesis Device as the ultimate weapon.</t>
  </si>
  <si>
    <t>Nicholas Meyer</t>
  </si>
  <si>
    <t>William Shatner</t>
  </si>
  <si>
    <t>DeForest Kelley</t>
  </si>
  <si>
    <t>James Doohan</t>
  </si>
  <si>
    <t>First Blood</t>
  </si>
  <si>
    <t>A veteran Green Beret is forced by a cruel Sheriff and his deputies to flee into the mountains and wage an escalating one-man war against his pursuers.</t>
  </si>
  <si>
    <t>Ted Kotcheff</t>
  </si>
  <si>
    <t>Brian Dennehy</t>
  </si>
  <si>
    <t>Ordinary People</t>
  </si>
  <si>
    <t>The accidental death of the older son of an affluent family deeply strains the relationships among the bitter mother, the good-natured father, and the guilt-ridden younger son.</t>
  </si>
  <si>
    <t>Mary Tyler Moore</t>
  </si>
  <si>
    <t>Judd Hirsch</t>
  </si>
  <si>
    <t>Timothy Hutton</t>
  </si>
  <si>
    <t>Airplane!</t>
  </si>
  <si>
    <t>A man afraid to fly must ensure that a plane lands safely after the pilots become sick.</t>
  </si>
  <si>
    <t>Jim Abrahams</t>
  </si>
  <si>
    <t>David Zucker</t>
  </si>
  <si>
    <t>Jerry Zucker</t>
  </si>
  <si>
    <t>Robert Hays</t>
  </si>
  <si>
    <t>Julie Hagerty</t>
  </si>
  <si>
    <t>Rupan sansei: Kariosutoro no shiro</t>
  </si>
  <si>
    <t>A dashing thief, his gang of desperadoes and an intrepid policeman struggle to free a princess from an evil count's clutches, and learn the hidden secret to a fabulous treasure that she holds part of a key to.</t>
  </si>
  <si>
    <t>Yasuo Yamada</t>
  </si>
  <si>
    <t>Eiko Masuyama</t>
  </si>
  <si>
    <t>Kiyoshi Kobayashi</t>
  </si>
  <si>
    <t>Makio Inoue</t>
  </si>
  <si>
    <t>Halloween</t>
  </si>
  <si>
    <t>Fifteen years after murdering his sister on Halloween night 1963, Michael Myers escapes from a mental hospital and returns to the small town of Haddonfield, Illinois to kill again.</t>
  </si>
  <si>
    <t>Donald Pleasence</t>
  </si>
  <si>
    <t>Tony Moran</t>
  </si>
  <si>
    <t>Nancy Kyes</t>
  </si>
  <si>
    <t>Le locataire</t>
  </si>
  <si>
    <t>A bureaucrat rents a Paris apartment where he finds himself drawn into a rabbit hole of dangerous paranoia.</t>
  </si>
  <si>
    <t>Isabelle Adjani</t>
  </si>
  <si>
    <t>Jo Van Fleet</t>
  </si>
  <si>
    <t>Love and Death</t>
  </si>
  <si>
    <t>In czarist Russia, a neurotic soldier and his distant cousin formulate a plot to assassinate Napoleon.</t>
  </si>
  <si>
    <t>Georges Adet</t>
  </si>
  <si>
    <t>Frank Adu</t>
  </si>
  <si>
    <t>The Taking of Pelham One Two Three</t>
  </si>
  <si>
    <t>In New York, armed men hijack a subway car and demand a ransom for the passengers. Even if it's paid, how could they get away?</t>
  </si>
  <si>
    <t>Joseph Sargent</t>
  </si>
  <si>
    <t>Hector Elizondo</t>
  </si>
  <si>
    <t>Blazing Saddles</t>
  </si>
  <si>
    <t>Comedy, Western</t>
  </si>
  <si>
    <t>In order to ruin a western town, a corrupt politician appoints a black Sheriff, who promptly becomes his most formidable adversary.</t>
  </si>
  <si>
    <t>Cleavon Little</t>
  </si>
  <si>
    <t>Slim Pickens</t>
  </si>
  <si>
    <t>Harvey Korman</t>
  </si>
  <si>
    <t>Serpico</t>
  </si>
  <si>
    <t>An honest New York cop named Frank Serpico blows the whistle on rampant corruption in the force only to have his comrades turn against him.</t>
  </si>
  <si>
    <t>John Randolph</t>
  </si>
  <si>
    <t>Jack Kehoe</t>
  </si>
  <si>
    <t>Biff McGuire</t>
  </si>
  <si>
    <t>Enter the Dragon</t>
  </si>
  <si>
    <t>A secret agent comes to an opium lord's island fortress with other fighters for a martial-arts tournament.</t>
  </si>
  <si>
    <t>Robert Clouse</t>
  </si>
  <si>
    <t>Bruce Lee</t>
  </si>
  <si>
    <t>John Saxon</t>
  </si>
  <si>
    <t>Jim Kelly</t>
  </si>
  <si>
    <t>Ahna Capri</t>
  </si>
  <si>
    <t>Deliverance</t>
  </si>
  <si>
    <t>Intent on seeing the Cahulawassee River before it's dammed and turned into a lake, outdoor fanatic Lewis Medlock takes his friends on a canoeing trip they'll never forget into the dangerous American back-country.</t>
  </si>
  <si>
    <t>John Boorman</t>
  </si>
  <si>
    <t>Ronny Cox</t>
  </si>
  <si>
    <t>The French Connection</t>
  </si>
  <si>
    <t>A pair of NYC cops in the Narcotics Bureau stumble onto a drug smuggling job with a French connection.</t>
  </si>
  <si>
    <t>Tony Lo Bianco</t>
  </si>
  <si>
    <t>Dirty Harry</t>
  </si>
  <si>
    <t>When a madman calling himself "the Scorpio Killer" menaces the city, tough-as-nails San Francisco Police Inspector "Dirty" Harry Callahan is assigned to track down and ferret out the crazed psychopath.</t>
  </si>
  <si>
    <t>Don Siegel</t>
  </si>
  <si>
    <t>Andrew Robinson</t>
  </si>
  <si>
    <t>Harry Guardino</t>
  </si>
  <si>
    <t>Reni Santoni</t>
  </si>
  <si>
    <t>Where Eagles Dare</t>
  </si>
  <si>
    <t>Action, Adventure, War</t>
  </si>
  <si>
    <t>Allied agents stage a daring raid on a castle where the Nazis are holding American brigadier general George Carnaby prisoner, but that's not all that's really going on.</t>
  </si>
  <si>
    <t>Brian G. Hutton</t>
  </si>
  <si>
    <t>Mary Ure</t>
  </si>
  <si>
    <t>Patrick Wymark</t>
  </si>
  <si>
    <t>The Odd Couple</t>
  </si>
  <si>
    <t>Two friends try sharing an apartment, but their ideas of housekeeping and lifestyles are as different as night and day.</t>
  </si>
  <si>
    <t>Gene Saks</t>
  </si>
  <si>
    <t>Herb Edelman</t>
  </si>
  <si>
    <t>The Dirty Dozen</t>
  </si>
  <si>
    <t>During World War II, a rebellious U.S. Army Major is assigned a dozen convicted murderers to train and lead them into a mass assassination mission of German officers.</t>
  </si>
  <si>
    <t>Belle de jour</t>
  </si>
  <si>
    <t>A frigid young housewife decides to spend her midweek afternoons as a prostitute.</t>
  </si>
  <si>
    <t>Jean Sorel</t>
  </si>
  <si>
    <t>Michel Piccoli</t>
  </si>
  <si>
    <t>Geneviève Page</t>
  </si>
  <si>
    <t>A Man for All Seasons</t>
  </si>
  <si>
    <t>The story of Sir Thomas More, who stood up to King Henry VIII when the King rejected the Roman Catholic Church to obtain a divorce and remarry.</t>
  </si>
  <si>
    <t>Paul Scofield</t>
  </si>
  <si>
    <t>Wendy Hiller</t>
  </si>
  <si>
    <t>Leo McKern</t>
  </si>
  <si>
    <t>Repulsion</t>
  </si>
  <si>
    <t>A sex-repulsed woman who disapproves of her sister's boyfriend sinks into depression and has horrific visions of rape and violence.</t>
  </si>
  <si>
    <t>Ian Hendry</t>
  </si>
  <si>
    <t>John Fraser</t>
  </si>
  <si>
    <t>Zulu</t>
  </si>
  <si>
    <t>Outnumbered British soldiers do battle with Zulu warriors at Rorke's Drift.</t>
  </si>
  <si>
    <t>Cy Endfield</t>
  </si>
  <si>
    <t>Stanley Baker</t>
  </si>
  <si>
    <t>Ulla Jacobsson</t>
  </si>
  <si>
    <t>James Booth</t>
  </si>
  <si>
    <t>Goldfinger</t>
  </si>
  <si>
    <t>While investigating a gold magnate's smuggling, James Bond uncovers a plot to contaminate the Fort Knox gold reserve.</t>
  </si>
  <si>
    <t>Guy Hamilton</t>
  </si>
  <si>
    <t>Gert Fröbe</t>
  </si>
  <si>
    <t>Honor Blackman</t>
  </si>
  <si>
    <t>Shirley Eaton</t>
  </si>
  <si>
    <t>The Birds</t>
  </si>
  <si>
    <t>Drama, Horror, Mystery</t>
  </si>
  <si>
    <t>A wealthy San Francisco socialite pursues a potential boyfriend to a small Northern California town that slowly takes a turn for the bizarre when birds of all kinds suddenly begin to attack people.</t>
  </si>
  <si>
    <t>Rod Taylor</t>
  </si>
  <si>
    <t>Tippi Hedren</t>
  </si>
  <si>
    <t>Cape Fear</t>
  </si>
  <si>
    <t>A lawyer's family is stalked by a man he once helped put in jail.</t>
  </si>
  <si>
    <t>J. Lee Thompson</t>
  </si>
  <si>
    <t>Polly Bergen</t>
  </si>
  <si>
    <t>Lori Martin</t>
  </si>
  <si>
    <t>Peeping Tom</t>
  </si>
  <si>
    <t>A young man murders women, using a movie camera to film their dying expressions of terror.</t>
  </si>
  <si>
    <t>Karlheinz Böhm</t>
  </si>
  <si>
    <t>Anna Massey</t>
  </si>
  <si>
    <t>Maxine Audley</t>
  </si>
  <si>
    <t>The Magnificent Seven</t>
  </si>
  <si>
    <t>Seven gunfighters are hired by Mexican peasants to liberate their village from oppressive bandits.</t>
  </si>
  <si>
    <t>Les yeux sans visage</t>
  </si>
  <si>
    <t>A surgeon causes an accident which leaves his daughter disfigured, and goes to extremes to give her a new face.</t>
  </si>
  <si>
    <t>Georges Franju</t>
  </si>
  <si>
    <t>Pierre Brasseur</t>
  </si>
  <si>
    <t>Juliette Mayniel</t>
  </si>
  <si>
    <t>Alexandre Rignault</t>
  </si>
  <si>
    <t>Invasion of the Body Snatchers</t>
  </si>
  <si>
    <t>A small-town doctor learns that the population of his community is being replaced by emotionless alien duplicates.</t>
  </si>
  <si>
    <t>Kevin McCarthy</t>
  </si>
  <si>
    <t>Dana Wynter</t>
  </si>
  <si>
    <t>Larry Gates</t>
  </si>
  <si>
    <t>King Donovan</t>
  </si>
  <si>
    <t>Rebel Without a Cause</t>
  </si>
  <si>
    <t>A rebellious young man with a troubled past comes to a new town, finding friends and enemies.</t>
  </si>
  <si>
    <t>Natalie Wood</t>
  </si>
  <si>
    <t>Sal Mineo</t>
  </si>
  <si>
    <t>Jim Backus</t>
  </si>
  <si>
    <t>The Ladykillers</t>
  </si>
  <si>
    <t>Five oddball criminals planning a bank robbery rent rooms on a cul-de-sac from an octogenarian widow under the pretext that they are classical musicians.</t>
  </si>
  <si>
    <t>Cecil Parker</t>
  </si>
  <si>
    <t>Herbert Lom</t>
  </si>
  <si>
    <t>Sabrina</t>
  </si>
  <si>
    <t>A playboy becomes interested in the daughter of his family's chauffeur, but it's his more serious brother who would be the better man for her.</t>
  </si>
  <si>
    <t>Walter Hampden</t>
  </si>
  <si>
    <t>The Quiet Man</t>
  </si>
  <si>
    <t>A retired American boxer returns to the village of his birth in Ireland, where he falls for a spirited redhead whose brother is contemptuous of their union.</t>
  </si>
  <si>
    <t>Barry Fitzgerald</t>
  </si>
  <si>
    <t>The Day the Earth Stood Still</t>
  </si>
  <si>
    <t>An alien lands and tells the people of Earth that they must live peacefully or be destroyed as a danger to other planets.</t>
  </si>
  <si>
    <t>Michael Rennie</t>
  </si>
  <si>
    <t>Patricia Neal</t>
  </si>
  <si>
    <t>Hugh Marlowe</t>
  </si>
  <si>
    <t>Sam Jaffe</t>
  </si>
  <si>
    <t>The African Queen</t>
  </si>
  <si>
    <t>In WWI Africa, a gin-swilling riverboat captain is persuaded by a strait-laced missionary to use his boat to attack an enemy warship.</t>
  </si>
  <si>
    <t>Robert Morley</t>
  </si>
  <si>
    <t>Peter Bull</t>
  </si>
  <si>
    <t>Gilda</t>
  </si>
  <si>
    <t>A small-time gambler hired to work in a Buenos Aires casino discovers his employer's new wife is his former lover.</t>
  </si>
  <si>
    <t>Charles Vidor</t>
  </si>
  <si>
    <t>Rita Hayworth</t>
  </si>
  <si>
    <t>Glenn Ford</t>
  </si>
  <si>
    <t>Fantasia</t>
  </si>
  <si>
    <t>A collection of animated interpretations of great works of Western classical music.</t>
  </si>
  <si>
    <t>James Algar</t>
  </si>
  <si>
    <t>Samuel Armstrong</t>
  </si>
  <si>
    <t>Ford Beebe Jr.</t>
  </si>
  <si>
    <t>Norman Ferguson</t>
  </si>
  <si>
    <t>David Hand</t>
  </si>
  <si>
    <t>The Invisible Man</t>
  </si>
  <si>
    <t>71 min</t>
  </si>
  <si>
    <t>A scientist finds a way of becoming invisible, but in doing so, he becomes murderously insane.</t>
  </si>
  <si>
    <t>Gloria Stuart</t>
  </si>
  <si>
    <t>William Harrigan</t>
  </si>
  <si>
    <t>Dark Waters</t>
  </si>
  <si>
    <t>A corporate defense attorney takes on an environmental lawsuit against a chemical company that exposes a lengthy history of pollution.</t>
  </si>
  <si>
    <t>Todd Haynes</t>
  </si>
  <si>
    <t>Bill Pullman</t>
  </si>
  <si>
    <t>Searching</t>
  </si>
  <si>
    <t>U/A</t>
  </si>
  <si>
    <t>After his teenage daughter goes missing, a desperate father tries to find clues on her laptop.</t>
  </si>
  <si>
    <t>Aneesh Chaganty</t>
  </si>
  <si>
    <t>John Cho</t>
  </si>
  <si>
    <t>Debra Messing</t>
  </si>
  <si>
    <t>Joseph Lee</t>
  </si>
  <si>
    <t>Michelle La</t>
  </si>
  <si>
    <t>Once Upon a Time... in Hollywood</t>
  </si>
  <si>
    <t>A faded television actor and his stunt double strive to achieve fame and success in the final years of Hollywood's Golden Age in 1969 Los Angeles.</t>
  </si>
  <si>
    <t>Nelyubov</t>
  </si>
  <si>
    <t>A couple going through a divorce must team up to find their son who has disappeared during one of their bitter arguments.</t>
  </si>
  <si>
    <t>Maryana Spivak</t>
  </si>
  <si>
    <t>Aleksey Rozin</t>
  </si>
  <si>
    <t>Matvey Novikov</t>
  </si>
  <si>
    <t>Marina Vasileva</t>
  </si>
  <si>
    <t>The Florida Project</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</si>
  <si>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</si>
  <si>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</si>
  <si>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t>
  </si>
  <si>
    <t>Bria Vinaite</t>
  </si>
  <si>
    <t>Christopher Rivera</t>
  </si>
  <si>
    <t>Just Mercy</t>
  </si>
  <si>
    <t>World-renowned civil rights defense attorney Bryan Stevenson works to free a wrongly condemned death row prisoner.</t>
  </si>
  <si>
    <t>Michael B. Jordan</t>
  </si>
  <si>
    <t>Charlie Pye Jr.</t>
  </si>
  <si>
    <t>Gifted</t>
  </si>
  <si>
    <t>Frank, a single man raising his child prodigy niece Mary, is drawn into a custody battle with his mother.</t>
  </si>
  <si>
    <t>Mckenna Grace</t>
  </si>
  <si>
    <t>Lindsay Duncan</t>
  </si>
  <si>
    <t>The Peanut Butter Falcon</t>
  </si>
  <si>
    <t>Zak runs away from his care home to make his dream of becoming a wrestler come true.</t>
  </si>
  <si>
    <t>Tyler Nilson</t>
  </si>
  <si>
    <t>Michael Schwartz</t>
  </si>
  <si>
    <t>Zack Gottsagen</t>
  </si>
  <si>
    <t>Ann Owens</t>
  </si>
  <si>
    <t>Dakota Johnson</t>
  </si>
  <si>
    <t>Victoria</t>
  </si>
  <si>
    <t>A young Spanish woman who has recently moved to Berlin finds her flirtation with a local guy turn potentially deadly as their night out with his friends reveals a dangerous secret.</t>
  </si>
  <si>
    <t>Sebastian Schipper</t>
  </si>
  <si>
    <t>Laia Costa</t>
  </si>
  <si>
    <t>Frederick Lau</t>
  </si>
  <si>
    <t>Franz Rogowski</t>
  </si>
  <si>
    <t>Burak Yigit</t>
  </si>
  <si>
    <t>Mustang</t>
  </si>
  <si>
    <t>When five orphan girls are seen innocently playing with boys on a beach, their scandalized conservative guardians confine them while forced marriages are arranged.</t>
  </si>
  <si>
    <t>Deniz Gamze Ergüven</t>
  </si>
  <si>
    <t>Günes Sensoy</t>
  </si>
  <si>
    <t>Doga Zeynep Doguslu</t>
  </si>
  <si>
    <t>Tugba Sunguroglu</t>
  </si>
  <si>
    <t>Elit Iscan</t>
  </si>
  <si>
    <t>Guardians of the Galaxy Vol. 2</t>
  </si>
  <si>
    <t>The Guardians struggle to keep together as a team while dealing with their personal family issues, notably Star-Lord's encounter with his father the ambitious celestial being Ego.</t>
  </si>
  <si>
    <t>Baby Driver</t>
  </si>
  <si>
    <t>After being coerced into working for a crime boss, a young getaway driver finds himself taking part in a heist doomed to fail.</t>
  </si>
  <si>
    <t>Jon Hamm</t>
  </si>
  <si>
    <t>Eiza González</t>
  </si>
  <si>
    <t>Only the Brave</t>
  </si>
  <si>
    <t>Based on the true story of the Granite Mountain Hotshots, a group of elite firefighters who risk everything to protect a town from a historic wildfire.</t>
  </si>
  <si>
    <t>Joseph Kosinski</t>
  </si>
  <si>
    <t>Bridge of Spies</t>
  </si>
  <si>
    <t>During the Cold War, an American lawyer is recruited to defend an arrested Soviet spy in court, and then help the CIA facilitate an exchange of the spy for the Soviet captured American U2 spy plane pilot, Francis Gary Powers.</t>
  </si>
  <si>
    <t>Alan Alda</t>
  </si>
  <si>
    <t>Incredibles 2</t>
  </si>
  <si>
    <t>The Incredibles family takes on a new mission which involves a change in family roles: Bob Parr (Mr. Incredible) must manage the house while his wife Helen (Elastigirl) goes out to save the world.</t>
  </si>
  <si>
    <t>Sarah Vowell</t>
  </si>
  <si>
    <t>Huck Milner</t>
  </si>
  <si>
    <t>Moana</t>
  </si>
  <si>
    <t>In Ancient Polynesia, when a terrible curse incurred by the Demigod Maui reaches Moana's island, she answers the Ocean's call to seek out the Demigod to set things right.</t>
  </si>
  <si>
    <t>Auli'i Cravalho</t>
  </si>
  <si>
    <t>Sicario</t>
  </si>
  <si>
    <t>An idealistic FBI agent is enlisted by a government task force to aid in the escalating war against drugs at the border area between the U.S. and Mexico.</t>
  </si>
  <si>
    <t>Creed</t>
  </si>
  <si>
    <t>The former World Heavyweight Champion Rocky Balboa serves as a trainer and mentor to Adonis Johnson, the son of his late friend and former rival Apollo Creed.</t>
  </si>
  <si>
    <t>Ryan Coogler</t>
  </si>
  <si>
    <t>Tessa Thompson</t>
  </si>
  <si>
    <t>Phylicia Rashad</t>
  </si>
  <si>
    <t>Leviafan</t>
  </si>
  <si>
    <t>In a Russian coastal town, Kolya is forced to fight the corrupt mayor when he is told that his house will be demolished. He recruits a lawyer friend to help, but the man's arrival brings further misfortune for Kolya and his family.</t>
  </si>
  <si>
    <t>Aleksey Serebryakov</t>
  </si>
  <si>
    <t>Elena Lyadova</t>
  </si>
  <si>
    <t>Roman Madyanov</t>
  </si>
  <si>
    <t>Vladimir Vdovichenkov</t>
  </si>
  <si>
    <t>Hell or High Water</t>
  </si>
  <si>
    <t>A divorced father and his ex-con older brother resort to a desperate scheme in order to save their family's ranch in West Texas.</t>
  </si>
  <si>
    <t>David Mackenzie</t>
  </si>
  <si>
    <t>Gil Birmingham</t>
  </si>
  <si>
    <t>Philomena</t>
  </si>
  <si>
    <t>A world-weary political journalist picks up the story of a woman's search for her son, who was taken away from her decades ago after she became pregnant and was forced to live in a convent.</t>
  </si>
  <si>
    <t>Stephen Frears</t>
  </si>
  <si>
    <t>Steve Coogan</t>
  </si>
  <si>
    <t>Sophie Kennedy Clark</t>
  </si>
  <si>
    <t>Mare Winningham</t>
  </si>
  <si>
    <t>Dawn of the Planet of the Apes</t>
  </si>
  <si>
    <t>A growing nation of genetically evolved apes led by Caesar is threatened by a band of human survivors of the devastating virus unleashed a decade earlier.</t>
  </si>
  <si>
    <t>Matt Reeves</t>
  </si>
  <si>
    <t>Keri Russell</t>
  </si>
  <si>
    <t>Kodi Smit-McPhee</t>
  </si>
  <si>
    <t>El cuerpo</t>
  </si>
  <si>
    <t>A detective searches for the body of a femme fatale which has gone missing from a morgue.</t>
  </si>
  <si>
    <t>Hugo Silva</t>
  </si>
  <si>
    <t>Aura Garrido</t>
  </si>
  <si>
    <t>Serbuan maut</t>
  </si>
  <si>
    <t>A S.W.A.T. team becomes trapped in a tenement run by a ruthless mobster and his army of killers and thugs.</t>
  </si>
  <si>
    <t>Ananda George</t>
  </si>
  <si>
    <t>Ray Sahetapy</t>
  </si>
  <si>
    <t>Donny Alamsyah</t>
  </si>
  <si>
    <t>End of Watch</t>
  </si>
  <si>
    <t>Shot documentary-style, this film follows the daily grind of two young police officers in LA who are partners and friends, and what happens when they meet criminal forces greater than themselves.</t>
  </si>
  <si>
    <t>David Ayer</t>
  </si>
  <si>
    <t>Michael Peña</t>
  </si>
  <si>
    <t>Anna Kendrick</t>
  </si>
  <si>
    <t>America Ferrera</t>
  </si>
  <si>
    <t>Kari-gurashi no Arietti</t>
  </si>
  <si>
    <t>The Clock family are four-inch-tall people who live anonymously in another family's residence, borrowing simple items to make their home. Life changes for the Clocks when their teenage daughter, Arrietty, is discovered.</t>
  </si>
  <si>
    <t>Mirai Shida</t>
  </si>
  <si>
    <t>A Star Is Born</t>
  </si>
  <si>
    <t>A musician helps a young singer find fame as age and alcoholism send his own career into a downward spiral.</t>
  </si>
  <si>
    <t>Lady Gaga</t>
  </si>
  <si>
    <t>Greg Grunberg</t>
  </si>
  <si>
    <t>True Grit</t>
  </si>
  <si>
    <t>A stubborn teenager enlists the help of a tough U.S. Marshal to track down her father's murderer.</t>
  </si>
  <si>
    <t>Hailee Steinfeld</t>
  </si>
  <si>
    <t>Hævnen</t>
  </si>
  <si>
    <t>The lives of two Danish families cross each other, and an extraordinary but risky friendship comes into bud. But loneliness, frailty and sorrow lie in wait.</t>
  </si>
  <si>
    <t>Mikael Persbrandt</t>
  </si>
  <si>
    <t>Trine Dyrholm</t>
  </si>
  <si>
    <t>Markus Rygaard</t>
  </si>
  <si>
    <t>Wil Johnson</t>
  </si>
  <si>
    <t>Despicable Me</t>
  </si>
  <si>
    <t>Animation, Comedy, Crime</t>
  </si>
  <si>
    <t>When a criminal mastermind uses a trio of orphan girls as pawns for a grand scheme, he finds their love is profoundly changing him for the better.</t>
  </si>
  <si>
    <t>Pierre Coffin</t>
  </si>
  <si>
    <t>Chris Renaud</t>
  </si>
  <si>
    <t>Jason Segel</t>
  </si>
  <si>
    <t>Russell Brand</t>
  </si>
  <si>
    <t>50/50</t>
  </si>
  <si>
    <t>Inspired by a true story, a comedy centered on a 27-year-old guy who learns of his cancer diagnosis and his subsequent struggle to beat the disease.</t>
  </si>
  <si>
    <t>Jonathan Levine</t>
  </si>
  <si>
    <t>Seth Rogen</t>
  </si>
  <si>
    <t>Kick-Ass</t>
  </si>
  <si>
    <t>Dave Lizewski is an unnoticed high school student and comic book fan who one day decides to become a superhero, even though he has no powers, training or meaningful reason to do so.</t>
  </si>
  <si>
    <t>Aaron Taylor-Johnson</t>
  </si>
  <si>
    <t>Garrett M. Brown</t>
  </si>
  <si>
    <t>Celda 211</t>
  </si>
  <si>
    <t>Action, Adventure, Crime</t>
  </si>
  <si>
    <t>The story of two men on different sides of a prison riot -- the inmate leading the rebellion and the young guard trapped in the revolt, who poses as a prisoner in a desperate attempt to survive the ordeal.</t>
  </si>
  <si>
    <t>Daniel Monzón</t>
  </si>
  <si>
    <t>Luis Tosar</t>
  </si>
  <si>
    <t>Alberto Ammann</t>
  </si>
  <si>
    <t>Antonio Resines</t>
  </si>
  <si>
    <t>Manuel Morón</t>
  </si>
  <si>
    <t>Moneyball</t>
  </si>
  <si>
    <t>Oakland A's general manager Billy Beane's successful attempt to assemble a baseball team on a lean budget by employing computer-generated analysis to acquire new players.</t>
  </si>
  <si>
    <t>Bennett Miller</t>
  </si>
  <si>
    <t>La piel que habito</t>
  </si>
  <si>
    <t>A brilliant plastic surgeon, haunted by past tragedies, creates a type of synthetic skin that withstands any kind of damage. His guinea pig: a mysterious and volatile woman who holds the key to his obsession.</t>
  </si>
  <si>
    <t>Antonio Banderas</t>
  </si>
  <si>
    <t>Elena Anaya</t>
  </si>
  <si>
    <t>Jan Cornet</t>
  </si>
  <si>
    <t>Zombieland</t>
  </si>
  <si>
    <t>A shy student trying to reach his family in Ohio, a gun-toting tough guy trying to find the last Twinkie, and a pair of sisters trying to get to an amusement park join forces to travel across a zombie-filled America.</t>
  </si>
  <si>
    <t>Ruben Fleischer</t>
  </si>
  <si>
    <t>Abigail Breslin</t>
  </si>
  <si>
    <t>Die Welle</t>
  </si>
  <si>
    <t>A high school teacher's experiment to demonstrate to his students what life is like under a dictatorship spins horribly out of control when he forms a social unit with a life of its own.</t>
  </si>
  <si>
    <t>Dennis Gansel</t>
  </si>
  <si>
    <t>Jürgen Vogel</t>
  </si>
  <si>
    <t>Max Riemelt</t>
  </si>
  <si>
    <t>Jennifer Ulrich</t>
  </si>
  <si>
    <t>Sherlock Holmes</t>
  </si>
  <si>
    <t>Action, Adventure, Mystery</t>
  </si>
  <si>
    <t>Detective Sherlock Holmes and his stalwart partner Watson engage in a battle of wits and brawn with a nemesis whose plot is a threat to all of England.</t>
  </si>
  <si>
    <t>Mark Strong</t>
  </si>
  <si>
    <t>The Blind Side</t>
  </si>
  <si>
    <t>The story of Michael Oher, a homeless and traumatized boy who became an All-American football player and first-round NFL draft pick with the help of a caring woman and her family.</t>
  </si>
  <si>
    <t>John Lee Hancock</t>
  </si>
  <si>
    <t>Quinton Aaron</t>
  </si>
  <si>
    <t>Tim McGraw</t>
  </si>
  <si>
    <t>Jae Head</t>
  </si>
  <si>
    <t>The Visitor</t>
  </si>
  <si>
    <t>A college professor travels to New York City to attend a conference and finds a young couple living in his apartment.</t>
  </si>
  <si>
    <t>Richard Jenkins</t>
  </si>
  <si>
    <t>Haaz Sleiman</t>
  </si>
  <si>
    <t>Danai Gurira</t>
  </si>
  <si>
    <t>Hiam Abbass</t>
  </si>
  <si>
    <t>Seven Pounds</t>
  </si>
  <si>
    <t>A man with a fateful secret embarks on an extraordinary journey of redemption by forever changing the lives of seven strangers.</t>
  </si>
  <si>
    <t>Rosario Dawson</t>
  </si>
  <si>
    <t>Michael Ealy</t>
  </si>
  <si>
    <t>Eastern Promises</t>
  </si>
  <si>
    <t>A teenager who dies during childbirth leaves clues in her journal that could tie her child to a rape involving a violent Russian mob family.</t>
  </si>
  <si>
    <t>David Cronenberg</t>
  </si>
  <si>
    <t>Josef Altin</t>
  </si>
  <si>
    <t>Stardust</t>
  </si>
  <si>
    <t>In a countryside town bordering on a magical land, a young man makes a promise to his beloved that he'll retrieve a fallen star by venturing into the magical realm.</t>
  </si>
  <si>
    <t>Charlie Cox</t>
  </si>
  <si>
    <t>Claire Danes</t>
  </si>
  <si>
    <t>Sienna Miller</t>
  </si>
  <si>
    <t>The Secret of Kells</t>
  </si>
  <si>
    <t>A young boy in a remote medieval outpost under siege from barbarian raids is beckoned to adventure when a celebrated master illuminator arrives with an ancient book, brimming with secret wisdom and powers.</t>
  </si>
  <si>
    <t>Nora Twomey</t>
  </si>
  <si>
    <t>Evan McGuire</t>
  </si>
  <si>
    <t>Mick Lally</t>
  </si>
  <si>
    <t>Inside Man</t>
  </si>
  <si>
    <t>A police detective, a bank robber, and a high-power broker enter high-stakes negotiations after the criminal's brilliant heist spirals into a hostage situation.</t>
  </si>
  <si>
    <t>Gone Baby Gone</t>
  </si>
  <si>
    <t>Two Boston area detectives investigate a little girl's kidnapping, which ultimately turns into a crisis both professionally and personally.</t>
  </si>
  <si>
    <t>Michelle Monaghan</t>
  </si>
  <si>
    <t>La Vie En Rose</t>
  </si>
  <si>
    <t>Biopic of the iconic French singer Édith Piaf. Raised by her grandmother in a brothel, she was discovered while singing on a street corner at the age of 19. Despite her success, Piaf's life was filled with tragedy.</t>
  </si>
  <si>
    <t>Olivier Dahan</t>
  </si>
  <si>
    <t>Sylvie Testud</t>
  </si>
  <si>
    <t>Pascal Greggory</t>
  </si>
  <si>
    <t>Huo Yuan Jia</t>
  </si>
  <si>
    <t>A biography of Chinese Martial Arts Master Huo Yuanjia, who is the founder and spiritual guru of the Jin Wu Sports Federation.</t>
  </si>
  <si>
    <t>Ronny Yu</t>
  </si>
  <si>
    <t>Li Sun</t>
  </si>
  <si>
    <t>Yong Dong</t>
  </si>
  <si>
    <t>Yun Qu</t>
  </si>
  <si>
    <t>The Illusionist</t>
  </si>
  <si>
    <t>In turn-of-the-century Vienna, a magician uses his abilities to secure the love of a woman far above his social standing.</t>
  </si>
  <si>
    <t>Neil Burger</t>
  </si>
  <si>
    <t>Jessica Biel</t>
  </si>
  <si>
    <t>Rufus Sewell</t>
  </si>
  <si>
    <t>Dead Man's Shoes</t>
  </si>
  <si>
    <t>A disaffected soldier returns to his hometown to get even with the thugs who brutalized his mentally-challenged brother years ago.</t>
  </si>
  <si>
    <t>Gary Stretch</t>
  </si>
  <si>
    <t>Toby Kebbell</t>
  </si>
  <si>
    <t>Stuart Wolfenden</t>
  </si>
  <si>
    <t>Harry Potter and the Half-Blood Prince</t>
  </si>
  <si>
    <t>Action, Adventure, Family</t>
  </si>
  <si>
    <t>As Harry Potter begins his sixth year at Hogwarts, he discovers an old book marked as "the property of the Half-Blood Prince" and begins to learn more about Lord Voldemort's dark past.</t>
  </si>
  <si>
    <t>King Leonidas of Sparta and a force of 300 men fight the Persians at Thermopylae in 480 B.C.</t>
  </si>
  <si>
    <t>Zack Snyder</t>
  </si>
  <si>
    <t>Lena Headey</t>
  </si>
  <si>
    <t>David Wenham</t>
  </si>
  <si>
    <t>Match Point</t>
  </si>
  <si>
    <t>At a turning point in his life, a former tennis pro falls for an actress who happens to be dating his friend and soon-to-be brother-in-law.</t>
  </si>
  <si>
    <t>Jonathan Rhys Meyers</t>
  </si>
  <si>
    <t>Watchmen</t>
  </si>
  <si>
    <t>In 1985 where former superheroes exist, the murder of a colleague sends active vigilante Rorschach into his own sprawling investigation, uncovering something that could completely change the course of history as we know it.</t>
  </si>
  <si>
    <t>Jackie Earle Haley</t>
  </si>
  <si>
    <t>Patrick Wilson</t>
  </si>
  <si>
    <t>Carla Gugino</t>
  </si>
  <si>
    <t>Malin Akerman</t>
  </si>
  <si>
    <t>Lord of War</t>
  </si>
  <si>
    <t>An arms dealer confronts the morality of his work as he is being chased by an INTERPOL Agent.</t>
  </si>
  <si>
    <t>Bridget Moynahan</t>
  </si>
  <si>
    <t>Saw</t>
  </si>
  <si>
    <t>Two strangers awaken in a room with no recollection of how they got there, and soon discover they're pawns in a deadly game perpetrated by a notorious serial killer.</t>
  </si>
  <si>
    <t>James Wan</t>
  </si>
  <si>
    <t>Leigh Whannell</t>
  </si>
  <si>
    <t>Ken Leung</t>
  </si>
  <si>
    <t>Synecdoche, New York</t>
  </si>
  <si>
    <t>A theatre director struggles with his work, and the women in his life, as he creates a life-size replica of New York City inside a warehouse as part of his new play.</t>
  </si>
  <si>
    <t>Charlie Kaufman</t>
  </si>
  <si>
    <t>Mysterious Skin</t>
  </si>
  <si>
    <t>A teenage hustler and a young man obsessed with alien abductions cross paths, together discovering a horrible, liberating truth.</t>
  </si>
  <si>
    <t>Gregg Araki</t>
  </si>
  <si>
    <t>Brady Corbet</t>
  </si>
  <si>
    <t>Elisabeth Shue</t>
  </si>
  <si>
    <t>Chase Ellison</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</si>
  <si>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</si>
  <si>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</si>
  <si>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</si>
  <si>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Thibault Verhaeghe</t>
  </si>
  <si>
    <t>Joséphine Lebas-Joly</t>
  </si>
  <si>
    <t>Un long dimanche de fiançailles</t>
  </si>
  <si>
    <t>Tells the story of a young woman's relentless search for her fiancé, who has disappeared from the trenches of the Somme during World War One.</t>
  </si>
  <si>
    <t>Gaspard Ulliel</t>
  </si>
  <si>
    <t>Dominique Pinon</t>
  </si>
  <si>
    <t>The Station Agent</t>
  </si>
  <si>
    <t>When his only friend dies, a man born with dwarfism moves to rural New Jersey to live a life of solitude, only to meet a chatty hot dog vendor and a woman dealing with her own personal loss.</t>
  </si>
  <si>
    <t>Peter Dinklage</t>
  </si>
  <si>
    <t>Patricia Clarkson</t>
  </si>
  <si>
    <t>Bobby Cannavale</t>
  </si>
  <si>
    <t>Paul Benjamin</t>
  </si>
  <si>
    <t>21 Grams</t>
  </si>
  <si>
    <t>A freak accident brings together a critically ill mathematician, a grieving mother, and a born-again ex-con.</t>
  </si>
  <si>
    <t>Danny Huston</t>
  </si>
  <si>
    <t>Boksuneun naui geot</t>
  </si>
  <si>
    <t>A recently laid off factory worker kidnaps his former boss' friend's daughter, hoping to use the ransom money to pay for his sister's kidney transplant.</t>
  </si>
  <si>
    <t>Shin Ha-kyun</t>
  </si>
  <si>
    <t>Bae Doona</t>
  </si>
  <si>
    <t>Ji-Eun Lim</t>
  </si>
  <si>
    <t>Finding Neverland</t>
  </si>
  <si>
    <t>The story of Sir J.M. Barrie's friendship with a family who inspired him to create Peter Pan.</t>
  </si>
  <si>
    <t>Marc Forster</t>
  </si>
  <si>
    <t>25th Hour</t>
  </si>
  <si>
    <t>Cornered by the DEA, convicted New York drug dealer Montgomery Brogan reevaluates his life in the 24 remaining hours before facing a seven-year jail term.</t>
  </si>
  <si>
    <t>Barry Pepper</t>
  </si>
  <si>
    <t>The Butterfly Effect</t>
  </si>
  <si>
    <t>Evan Treborn suffers blackouts during significant events of his life. As he grows up, he finds a way to remember these lost memories and a supernatural way to alter his life by reading his journal.</t>
  </si>
  <si>
    <t>Eric Bress</t>
  </si>
  <si>
    <t>J. Mackye Gruber</t>
  </si>
  <si>
    <t>Ashton Kutcher</t>
  </si>
  <si>
    <t>Amy Smart</t>
  </si>
  <si>
    <t>Melora Walters</t>
  </si>
  <si>
    <t>28 Days Later...</t>
  </si>
  <si>
    <t>Four weeks after a mysterious, incurable virus spreads throughout the UK, a handful of survivors try to find sanctuary.</t>
  </si>
  <si>
    <t>Cillian Murphy</t>
  </si>
  <si>
    <t>Christopher Eccleston</t>
  </si>
  <si>
    <t>Alex Palmer</t>
  </si>
  <si>
    <t>Batoru rowaiaru</t>
  </si>
  <si>
    <t>In the future, the Japanese government captures a class of ninth-grade students and forces them to kill each other under the revolutionary "Battle Royale" act.</t>
  </si>
  <si>
    <t>Kinji Fukasaku</t>
  </si>
  <si>
    <t>Aki Maeda</t>
  </si>
  <si>
    <t>Tarô Yamamoto</t>
  </si>
  <si>
    <t>The Royal Tenenbaums</t>
  </si>
  <si>
    <t>The eccentric members of a dysfunctional family reluctantly gather under the same roof for various reasons.</t>
  </si>
  <si>
    <t>Anjelica Huston</t>
  </si>
  <si>
    <t>Ben Stiller</t>
  </si>
  <si>
    <t>Y tu mamá también</t>
  </si>
  <si>
    <t>In Mexico, two teenage boys and an attractive older woman embark on a road trip and learn a thing or two about life, friendship, sex, and each other.</t>
  </si>
  <si>
    <t>Daniel Giménez Cacho</t>
  </si>
  <si>
    <t>Ana López Mercado</t>
  </si>
  <si>
    <t>Harry Potter and the Sorcerer's Stone</t>
  </si>
  <si>
    <t>An orphaned boy enrolls in a school of wizardry, where he learns the truth about himself, his family and the terrible evil that haunts the magical world.</t>
  </si>
  <si>
    <t>Chris Columbus</t>
  </si>
  <si>
    <t>Maggie Smith</t>
  </si>
  <si>
    <t>The Others</t>
  </si>
  <si>
    <t>A woman who lives in her darkened old family house with her two photosensitive children becomes convinced that the home is haunted.</t>
  </si>
  <si>
    <t>Alakina Mann</t>
  </si>
  <si>
    <t>Blow</t>
  </si>
  <si>
    <t>The story of how George Jung, along with the Medellín Cartel headed by Pablo Escobar, established the American cocaine market in the 1970s in the United States.</t>
  </si>
  <si>
    <t>Ted Demme</t>
  </si>
  <si>
    <t>Rachel Griffiths</t>
  </si>
  <si>
    <t>Enemy at the Gates</t>
  </si>
  <si>
    <t>A Russian and a German sniper play a game of cat-and-mouse during the Battle of Stalingrad.</t>
  </si>
  <si>
    <t>Joseph Fiennes</t>
  </si>
  <si>
    <t>Rachel Weisz</t>
  </si>
  <si>
    <t>Minority Report</t>
  </si>
  <si>
    <t>Action, Crime, Mystery</t>
  </si>
  <si>
    <t>In a future where a special police unit is able to arrest murderers before they commit their crimes, an officer from that unit is himself accused of a future murder.</t>
  </si>
  <si>
    <t>The Hurricane</t>
  </si>
  <si>
    <t>The story of Rubin 'Hurricane' Carter, a boxer wrongly imprisoned for murder, and the people who aided in his fight to prove his innocence.</t>
  </si>
  <si>
    <t>Vicellous Shannon</t>
  </si>
  <si>
    <t>American Psycho</t>
  </si>
  <si>
    <t>A wealthy New York City investment banking executive, Patrick Bateman, hides his alternate psychopathic ego from his co-workers and friends as he delves deeper into his violent, hedonistic fantasies.</t>
  </si>
  <si>
    <t>Mary Harron</t>
  </si>
  <si>
    <t>Josh Lucas</t>
  </si>
  <si>
    <t>Bill Sage</t>
  </si>
  <si>
    <t>Lola rennt</t>
  </si>
  <si>
    <t>After a botched money delivery, Lola has 20 minutes to come up with 100,000 Deutschmarks.</t>
  </si>
  <si>
    <t>Tom Tykwer</t>
  </si>
  <si>
    <t>Herbert Knaup</t>
  </si>
  <si>
    <t>Nina Petri</t>
  </si>
  <si>
    <t>The Thin Red Line</t>
  </si>
  <si>
    <t>Adaptation of James Jones' autobiographical 1962 novel, focusing on the conflict at Guadalcanal during the second World War.</t>
  </si>
  <si>
    <t>Kirk Acevedo</t>
  </si>
  <si>
    <t>Mulan</t>
  </si>
  <si>
    <t>To save her father from death in the army, a young maiden secretly goes in his place and becomes one of China's greatest heroines in the process.</t>
  </si>
  <si>
    <t>Tony Bancroft</t>
  </si>
  <si>
    <t>Barry Cook</t>
  </si>
  <si>
    <t>Ming-Na Wen</t>
  </si>
  <si>
    <t>BD Wong</t>
  </si>
  <si>
    <t>Fear and Loathing in Las Vegas</t>
  </si>
  <si>
    <t>An oddball journalist and his psychopathic lawyer travel to Las Vegas for a series of psychedelic escapades.</t>
  </si>
  <si>
    <t>Tobey Maguire</t>
  </si>
  <si>
    <t>Michael Lee Gogin</t>
  </si>
  <si>
    <t>Funny Games</t>
  </si>
  <si>
    <t>Two violent young men take a mother, father, and son hostage in their vacation cabin and force them to play sadistic "games" with one another for their own amusement.</t>
  </si>
  <si>
    <t>Susanne Lothar</t>
  </si>
  <si>
    <t>Arno Frisch</t>
  </si>
  <si>
    <t>Frank Giering</t>
  </si>
  <si>
    <t>Dark City</t>
  </si>
  <si>
    <t>A man struggles with memories of his past, which include a wife he cannot remember and a nightmarish world no one else ever seems to wake up from.</t>
  </si>
  <si>
    <t>Alex Proyas</t>
  </si>
  <si>
    <t>Kiefer Sutherland</t>
  </si>
  <si>
    <t>William Hurt</t>
  </si>
  <si>
    <t>Sleepers</t>
  </si>
  <si>
    <t>After a prank goes disastrously wrong, a group of boys are sent to a detention center where they are brutalized. Thirteen years later, an unexpected random encounter with a former guard gives them a chance for revenge.</t>
  </si>
  <si>
    <t>Jason Patric</t>
  </si>
  <si>
    <t>Lost Highway</t>
  </si>
  <si>
    <t>Anonymous videotapes presage a musician's murder conviction, and a gangster's girlfriend leads a mechanic astray.</t>
  </si>
  <si>
    <t>John Roselius</t>
  </si>
  <si>
    <t>Louis Eppolito</t>
  </si>
  <si>
    <t>Sense and Sensibility</t>
  </si>
  <si>
    <t>Rich Mr. Dashwood dies, leaving his second wife and her three daughters poor by the rules of inheritance. The two eldest daughters are the title opposites.</t>
  </si>
  <si>
    <t>James Fleet</t>
  </si>
  <si>
    <t>Die Hard: With a Vengeance</t>
  </si>
  <si>
    <t>John McClane and a Harlem store owner are targeted by German terrorist Simon in New York City, where he plans to rob the Federal Reserve Building.</t>
  </si>
  <si>
    <t>Dead Man</t>
  </si>
  <si>
    <t>On the run after murdering a man, accountant William Blake encounters a strange aboriginal American man named Nobody who prepares him for his journey into the spiritual world.</t>
  </si>
  <si>
    <t>Gary Farmer</t>
  </si>
  <si>
    <t>Lance Henriksen</t>
  </si>
  <si>
    <t>The Bridges of Madison County</t>
  </si>
  <si>
    <t>Photographer Robert Kincaid wanders into the life of housewife Francesca Johnson for four days in the 1960s.</t>
  </si>
  <si>
    <t>Annie Corley</t>
  </si>
  <si>
    <t>Victor Slezak</t>
  </si>
  <si>
    <t>Apollo 13</t>
  </si>
  <si>
    <t>NASA must devise a strategy to return Apollo 13 to Earth safely after the spacecraft undergoes massive internal damage putting the lives of the three astronauts on board in jeopardy.</t>
  </si>
  <si>
    <t>Trois couleurs: Blanc</t>
  </si>
  <si>
    <t>After his wife divorces him, a Polish immigrant plots to get even with her.</t>
  </si>
  <si>
    <t>Janusz Gajos</t>
  </si>
  <si>
    <t>Jerzy Stuhr</t>
  </si>
  <si>
    <t>Falling Down</t>
  </si>
  <si>
    <t>An ordinary man frustrated with the various flaws he sees in society begins to psychotically and violently lash out against them.</t>
  </si>
  <si>
    <t>Joel Schumacher</t>
  </si>
  <si>
    <t>Rachel Ticotin</t>
  </si>
  <si>
    <t>Dazed and Confused</t>
  </si>
  <si>
    <t>The adventures of high school and junior high students on the last day of school in May 1976.</t>
  </si>
  <si>
    <t>Jason London</t>
  </si>
  <si>
    <t>Rory Cochrane</t>
  </si>
  <si>
    <t>My Cousin Vinny</t>
  </si>
  <si>
    <t>Two New Yorkers accused of murder in rural Alabama while on their way back to college call in the help of one of their cousins, a loudmouth lawyer with no trial experience.</t>
  </si>
  <si>
    <t>Jonathan Lynn</t>
  </si>
  <si>
    <t>Ralph Macchio</t>
  </si>
  <si>
    <t>Mitchell Whitfield</t>
  </si>
  <si>
    <t>Omohide poro poro</t>
  </si>
  <si>
    <t>Animation, Drama, Romance</t>
  </si>
  <si>
    <t>A twenty-seven-year-old office worker travels to the countryside while reminiscing about her childhood in Tokyo.</t>
  </si>
  <si>
    <t>Miki Imai</t>
  </si>
  <si>
    <t>Toshirô Yanagiba</t>
  </si>
  <si>
    <t>Mayumi Izuka</t>
  </si>
  <si>
    <t>Delicatessen</t>
  </si>
  <si>
    <t>Post-apocalyptic surrealist black comedy about the landlord of an apartment building who occasionally prepares a delicacy for his odd tenants.</t>
  </si>
  <si>
    <t>Marc Caro</t>
  </si>
  <si>
    <t>Marie-Laure Dougnac</t>
  </si>
  <si>
    <t>Pascal Benezech</t>
  </si>
  <si>
    <t>Home Alone</t>
  </si>
  <si>
    <t>An eight-year-old troublemaker must protect his house from a pair of burglars when he is accidentally left home alone by his family during Christmas vacation.</t>
  </si>
  <si>
    <t>Macaulay Culkin</t>
  </si>
  <si>
    <t>Daniel Stern</t>
  </si>
  <si>
    <t>John Heard</t>
  </si>
  <si>
    <t>The Godfather: Part III</t>
  </si>
  <si>
    <t>Follows Michael Corleone, now in his 60s, as he seeks to free his family from crime and find a suitable successor to his empire.</t>
  </si>
  <si>
    <t>Andy Garcia</t>
  </si>
  <si>
    <t>When Harry Met Sally...</t>
  </si>
  <si>
    <t>Harry and Sally have known each other for years, and are very good friends, but they fear sex would ruin the friendship.</t>
  </si>
  <si>
    <t>Meg Ryan</t>
  </si>
  <si>
    <t>The Little Mermaid</t>
  </si>
  <si>
    <t>A mermaid princess makes a Faustian bargain in an attempt to become human and win a prince's love.</t>
  </si>
  <si>
    <t>Jodi Benson</t>
  </si>
  <si>
    <t>Samuel E. Wright</t>
  </si>
  <si>
    <t>Rene Auberjonois</t>
  </si>
  <si>
    <t>The Naked Gun: From the Files of Police Squad!</t>
  </si>
  <si>
    <t>Incompetent police Detective Frank Drebin must foil an attempt to assassinate Queen Elizabeth II.</t>
  </si>
  <si>
    <t>Leslie Nielsen</t>
  </si>
  <si>
    <t>Priscilla Presley</t>
  </si>
  <si>
    <t>O.J. Simpson</t>
  </si>
  <si>
    <t>Ricardo Montalban</t>
  </si>
  <si>
    <t>Planes, Trains &amp; Automobiles</t>
  </si>
  <si>
    <t>A man must struggle to travel home for Thanksgiving with a lovable oaf of a shower curtain ring salesman as his only companion.</t>
  </si>
  <si>
    <t>Steve Martin</t>
  </si>
  <si>
    <t>Laila Robins</t>
  </si>
  <si>
    <t>Lethal Weapon</t>
  </si>
  <si>
    <t>Two newly paired cops who are complete opposites must put aside their differences in order to catch a gang of drug smugglers.</t>
  </si>
  <si>
    <t>Gary Busey</t>
  </si>
  <si>
    <t>Mitchell Ryan</t>
  </si>
  <si>
    <t>Blood Simple</t>
  </si>
  <si>
    <t>The owner of a seedy small-town Texas bar discovers that one of his employees is having an affair with his wife. A chaotic chain of misunderstandings, lies and mischief ensues after he devises a plot to have them murdered.</t>
  </si>
  <si>
    <t>John Getz</t>
  </si>
  <si>
    <t>Dan Hedaya</t>
  </si>
  <si>
    <t>On Golden Pond</t>
  </si>
  <si>
    <t>Norman is a curmudgeon with an estranged relationship with his daughter Chelsea. At Golden Pond, he and his wife nevertheless agree to care for Billy, the son of Chelsea's new boyfriend, and a most unexpected relationship blooms.</t>
  </si>
  <si>
    <t>Mark Rydell</t>
  </si>
  <si>
    <t>Jane Fonda</t>
  </si>
  <si>
    <t>Doug McKeon</t>
  </si>
  <si>
    <t>Mad Max 2</t>
  </si>
  <si>
    <t>In the post-apocalyptic Australian wasteland, a cynical drifter agrees to help a small, gasoline-rich community escape a horde of bandits.</t>
  </si>
  <si>
    <t>Bruce Spence</t>
  </si>
  <si>
    <t>Michael Preston</t>
  </si>
  <si>
    <t>Max Phipps</t>
  </si>
  <si>
    <t>The Warriors</t>
  </si>
  <si>
    <t>In the near future, a charismatic leader summons the street gangs of New York City in a bid to take it over. When he is killed, The Warriors are falsely blamed and now must fight their way home while every other gang is hunting them down.</t>
  </si>
  <si>
    <t>Walter Hill</t>
  </si>
  <si>
    <t>Michael Beck</t>
  </si>
  <si>
    <t>James Remar</t>
  </si>
  <si>
    <t>Dorsey Wright</t>
  </si>
  <si>
    <t>Brian Tyler</t>
  </si>
  <si>
    <t>The Muppet Movie</t>
  </si>
  <si>
    <t>Kermit and his newfound friends trek across America to find success in Hollywood, but a frog legs merchant is after Kermit.</t>
  </si>
  <si>
    <t>James Frawley</t>
  </si>
  <si>
    <t>Jim Henson</t>
  </si>
  <si>
    <t>Frank Oz</t>
  </si>
  <si>
    <t>Jerry Nelson</t>
  </si>
  <si>
    <t>Richard Hunt</t>
  </si>
  <si>
    <t>Escape from Alcatraz</t>
  </si>
  <si>
    <t>Alcatraz is the most secure prison of its time. It is believed that no one can ever escape from it, until three daring men make a possible successful attempt at escaping from one of the most infamous prisons in the world.</t>
  </si>
  <si>
    <t>Roberts Blossom</t>
  </si>
  <si>
    <t>Jack Thibeau</t>
  </si>
  <si>
    <t>Watership Down</t>
  </si>
  <si>
    <t>Hoping to escape destruction by human developers and save their community, a colony of rabbits, led by Hazel and Fiver, seek out a safe place to set up a new warren.</t>
  </si>
  <si>
    <t>Martin Rosen</t>
  </si>
  <si>
    <t>John Hubley</t>
  </si>
  <si>
    <t>Richard Briers</t>
  </si>
  <si>
    <t>Ralph Richardson</t>
  </si>
  <si>
    <t>Midnight Express</t>
  </si>
  <si>
    <t>Billy Hayes, an American college student, is caught smuggling drugs out of Turkey and thrown into prison.</t>
  </si>
  <si>
    <t>Brad Davis</t>
  </si>
  <si>
    <t>Irene Miracle</t>
  </si>
  <si>
    <t>Bo Hopkins</t>
  </si>
  <si>
    <t>Paolo Bonacelli</t>
  </si>
  <si>
    <t>Close Encounters of the Third Kind</t>
  </si>
  <si>
    <t>Roy Neary, an electric lineman, watches how his quiet and ordinary daily life turns upside down after a close encounter with a UFO.</t>
  </si>
  <si>
    <t>Teri Garr</t>
  </si>
  <si>
    <t>The Long Goodbye</t>
  </si>
  <si>
    <t>Private investigator Philip Marlowe helps a friend out of a jam, but in doing so gets implicated in his wife's murder.</t>
  </si>
  <si>
    <t>Elliott Gould</t>
  </si>
  <si>
    <t>Nina van Pallandt</t>
  </si>
  <si>
    <t>Giù la testa</t>
  </si>
  <si>
    <t>696,69</t>
  </si>
  <si>
    <t>Drama, War, Western</t>
  </si>
  <si>
    <t>A low-life bandit and an I.R.A. explosives expert rebel against the government and become heroes of the Mexican Revolution.</t>
  </si>
  <si>
    <t>Romolo Valli</t>
  </si>
  <si>
    <t>Maria Monti</t>
  </si>
  <si>
    <t>Kelly's Heroes</t>
  </si>
  <si>
    <t>Adventure, Comedy, War</t>
  </si>
  <si>
    <t>A group of U.S. soldiers sneaks across enemy lines to get their hands on a secret stash of Nazi treasure.</t>
  </si>
  <si>
    <t>Telly Savalas</t>
  </si>
  <si>
    <t>Carroll O'Connor</t>
  </si>
  <si>
    <t>The Jungle Book</t>
  </si>
  <si>
    <t>78 min</t>
  </si>
  <si>
    <t>Bagheera the Panther and Baloo the Bear have a difficult time trying to convince a boy to leave the jungle for human civilization.</t>
  </si>
  <si>
    <t>Wolfgang Reitherman</t>
  </si>
  <si>
    <t>Phil Harris</t>
  </si>
  <si>
    <t>Sebastian Cabot</t>
  </si>
  <si>
    <t>Louis Prima</t>
  </si>
  <si>
    <t>Bruce Reitherman</t>
  </si>
  <si>
    <t>Blowup</t>
  </si>
  <si>
    <t>A fashion photographer unknowingly captures a death on film after following two lovers in a park.</t>
  </si>
  <si>
    <t>David Hemmings</t>
  </si>
  <si>
    <t>Vanessa Redgrave</t>
  </si>
  <si>
    <t>Sarah Miles</t>
  </si>
  <si>
    <t>A Hard Day's Night</t>
  </si>
  <si>
    <t>Over two "typical" days in the life of The Beatles, the boys struggle to keep themselves and Sir Paul McCartney's mischievous grandfather in check while preparing for a live television performance.</t>
  </si>
  <si>
    <t>Richard Lester</t>
  </si>
  <si>
    <t>John Lennon</t>
  </si>
  <si>
    <t>Paul McCartney</t>
  </si>
  <si>
    <t>George Harrison</t>
  </si>
  <si>
    <t>Ringo Starr</t>
  </si>
  <si>
    <t>Breakfast at Tiffany's</t>
  </si>
  <si>
    <t>A young New York socialite becomes interested in a young man who has moved into her apartment building, but her past threatens to get in the way.</t>
  </si>
  <si>
    <t>Blake Edwards</t>
  </si>
  <si>
    <t>George Peppard</t>
  </si>
  <si>
    <t>Buddy Ebsen</t>
  </si>
  <si>
    <t>Giant</t>
  </si>
  <si>
    <t>5,400,00</t>
  </si>
  <si>
    <t>Sprawling epic covering the life of a Texas cattle rancher and his family and associates.</t>
  </si>
  <si>
    <t>George Stevens</t>
  </si>
  <si>
    <t>Rock Hudson</t>
  </si>
  <si>
    <t>Carroll Baker</t>
  </si>
  <si>
    <t>From Here to Eternity</t>
  </si>
  <si>
    <t>In Hawaii in 1941, a private is cruelly punished for not boxing on his unit's team, while his captain's wife and second-in-command are falling in love.</t>
  </si>
  <si>
    <t>Lifeboat</t>
  </si>
  <si>
    <t>Several survivors of a torpedoed merchant ship in World War II find themselves in the same lifeboat with one of the crew members of the U-boat that sank their ship.</t>
  </si>
  <si>
    <t>Tallulah Bankhead</t>
  </si>
  <si>
    <t>John Hodiak</t>
  </si>
  <si>
    <t>Walter Slezak</t>
  </si>
  <si>
    <t>William Bendix</t>
  </si>
  <si>
    <t>The 39 Steps</t>
  </si>
  <si>
    <t>A man in London tries to help a counter-espionage Agent. But when the Agent is killed, and the man stands accused, he must go on the run to save himself and stop a spy ring which is trying to steal top secret information.</t>
  </si>
  <si>
    <t>Robert Donat</t>
  </si>
  <si>
    <t>Madeleine Carroll</t>
  </si>
  <si>
    <t>Lucie Mannheim</t>
  </si>
  <si>
    <t>Godfrey Tearle</t>
  </si>
  <si>
    <t>https://m.media-amazon.com/images/M/MV5BMDFkYTc0MGEtZmNhMC00ZDIzLWFmNTEtODM1ZmRlYWMwMWFmXkEyXkFqcGdeQXVyMTMxODk2OTU@._V1_UX67_CR0,0,67,98_AL_.jpg</t>
  </si>
  <si>
    <t>https://m.media-amazon.com/images/M/MV5BM2MyNjYxNmUtYTAwNi00MTYxLWJmNWYtYzZlODY3ZTk3OTFlXkEyXkFqcGdeQXVyNzkwMjQ5NzM@._V1_UY98_CR1,0,67,98_AL_.jpg</t>
  </si>
  <si>
    <t>https://m.media-amazon.com/images/M/MV5BMTMxNTMwODM0NF5BMl5BanBnXkFtZTcwODAyMTk2Mw@@._V1_UX67_CR0,0,67,98_AL_.jpg</t>
  </si>
  <si>
    <t>https://m.media-amazon.com/images/M/MV5BMWMwMGQzZTItY2JlNC00OWZiLWIyMDctNDk2ZDQ2YjRjMWQ0XkEyXkFqcGdeQXVyNzkwMjQ5NzM@._V1_UY98_CR1,0,67,98_AL_.jpg</t>
  </si>
  <si>
    <t>https://m.media-amazon.com/images/M/MV5BMWU4N2FjNzYtNTVkNC00NzQ0LTg0MjAtYTJlMjFhNGUxZDFmXkEyXkFqcGdeQXVyNjc1NTYyMjg@._V1_UX67_CR0,0,67,98_AL_.jpg</t>
  </si>
  <si>
    <t>https://m.media-amazon.com/images/M/MV5BNzA5ZDNlZWMtM2NhNS00NDJjLTk4NDItYTRmY2EwMWZlMTY3XkEyXkFqcGdeQXVyNzkwMjQ5NzM@._V1_UX67_CR0,0,67,98_AL_.jpg</t>
  </si>
  <si>
    <t>https://m.media-amazon.com/images/M/MV5BNGNhMDIzZTUtNTBlZi00MTRlLWFjM2ItYzViMjE3YzI5MjljXkEyXkFqcGdeQXVyNzkwMjQ5NzM@._V1_UY98_CR0,0,67,98_AL_.jpg</t>
  </si>
  <si>
    <t>https://m.media-amazon.com/images/M/MV5BNDE4OTMxMTctNmRhYy00NWE2LTg3YzItYTk3M2UwOTU5Njg4XkEyXkFqcGdeQXVyNjU0OTQ0OTY@._V1_UX67_CR0,0,67,98_AL_.jpg</t>
  </si>
  <si>
    <t>https://m.media-amazon.com/images/M/MV5BMjAxMzY3NjcxNF5BMl5BanBnXkFtZTcwNTI5OTM0Mw@@._V1_UX67_CR0,0,67,98_AL_.jpg</t>
  </si>
  <si>
    <t>https://m.media-amazon.com/images/M/MV5BMmEzNTkxYjQtZTc0MC00YTVjLTg5ZTEtZWMwOWVlYzY0NWIwXkEyXkFqcGdeQXVyNzkwMjQ5NzM@._V1_UX67_CR0,0,67,98_AL_.jpg</t>
  </si>
  <si>
    <t>https://m.media-amazon.com/images/M/MV5BN2EyZjM3NzUtNWUzMi00MTgxLWI0NTctMzY4M2VlOTdjZWRiXkEyXkFqcGdeQXVyNDUzOTQ5MjY@._V1_UX67_CR0,0,67,98_AL_.jpg</t>
  </si>
  <si>
    <t>https://m.media-amazon.com/images/M/MV5BNWIwODRlZTUtY2U3ZS00Yzg1LWJhNzYtMmZiYmEyNmU1NjMzXkEyXkFqcGdeQXVyMTQxNzMzNDI@._V1_UY98_CR0,0,67,98_AL_.jpg</t>
  </si>
  <si>
    <t>https://m.media-amazon.com/images/M/MV5BOTQ5NDI3MTI4MF5BMl5BanBnXkFtZTgwNDQ4ODE5MDE@._V1_UX67_CR0,0,67,98_AL_.jpg</t>
  </si>
  <si>
    <t>https://m.media-amazon.com/images/M/MV5BZGMxZTdjZmYtMmE2Ni00ZTdkLWI5NTgtNjlmMjBiNzU2MmI5XkEyXkFqcGdeQXVyNjU0OTQ0OTY@._V1_UX67_CR0,0,67,98_AL_.jpg</t>
  </si>
  <si>
    <t>https://m.media-amazon.com/images/M/MV5BNzQzOTk3OTAtNDQ0Zi00ZTVkLWI0MTEtMDllZjNkYzNjNTc4L2ltYWdlXkEyXkFqcGdeQXVyNjU0OTQ0OTY@._V1_UX67_CR0,0,67,98_AL_.jpg</t>
  </si>
  <si>
    <t>https://m.media-amazon.com/images/M/MV5BY2NkZjEzMDgtN2RjYy00YzM1LWI4ZmQtMjIwYjFjNmI3ZGEwXkEyXkFqcGdeQXVyNzkwMjQ5NzM@._V1_UX67_CR0,0,67,98_AL_.jpg</t>
  </si>
  <si>
    <t>https://m.media-amazon.com/images/M/MV5BYmU1NDRjNDgtMzhiMi00NjZmLTg5NGItZDNiZjU5NTU4OTE0XkEyXkFqcGdeQXVyNzkwMjQ5NzM@._V1_UX67_CR0,0,67,98_AL_.jpg</t>
  </si>
  <si>
    <t>https://m.media-amazon.com/images/M/MV5BZjA0OWVhOTAtYWQxNi00YzNhLWI4ZjYtNjFjZTEyYjJlNDVlL2ltYWdlL2ltYWdlXkEyXkFqcGdeQXVyMTQxNzMzNDI@._V1_UX67_CR0,0,67,98_AL_.jpg</t>
  </si>
  <si>
    <t>https://m.media-amazon.com/images/M/MV5BNjViNWRjYWEtZTI0NC00N2E3LTk0NGQtMjY4NTM3OGNkZjY0XkEyXkFqcGdeQXVyMjUxMTY3ODM@._V1_UX67_CR0,0,67,98_AL_.jpg</t>
  </si>
  <si>
    <t>https://m.media-amazon.com/images/M/MV5BYWZjMjk3ZTItODQ2ZC00NTY5LWE0ZDYtZTI3MjcwN2Q5NTVkXkEyXkFqcGdeQXVyODk4OTc3MTY@._V1_UX67_CR0,0,67,98_AL_.jpg</t>
  </si>
  <si>
    <t>https://m.media-amazon.com/images/M/MV5BOTc2ZTlmYmItMDBhYS00YmMzLWI4ZjAtMTI5YTBjOTFiMGEwXkEyXkFqcGdeQXVyODE5NzE3OTE@._V1_UY98_CR0,0,67,98_AL_.jpg</t>
  </si>
  <si>
    <t>https://m.media-amazon.com/images/M/MV5BZjdkOTU3MDktN2IxOS00OGEyLWFmMjktY2FiMmZkNWIyODZiXkEyXkFqcGdeQXVyMTMxODk2OTU@._V1_UX67_CR0,0,67,98_AL_.jpg</t>
  </si>
  <si>
    <t>https://m.media-amazon.com/images/M/MV5BOTMwYjc5ZmItYTFjZC00ZGQ3LTlkNTMtMjZiNTZlMWQzNzI5XkEyXkFqcGdeQXVyNzkwMjQ5NzM@._V1_UX67_CR0,0,67,98_AL_.jpg</t>
  </si>
  <si>
    <t>https://m.media-amazon.com/images/M/MV5BMjlmZmI5MDctNDE2YS00YWE0LWE5ZWItZDBhYWQ0NTcxNWRhXkEyXkFqcGdeQXVyMTMxODk2OTU@._V1_UX67_CR0,0,67,98_AL_.jpg</t>
  </si>
  <si>
    <t>https://m.media-amazon.com/images/M/MV5BZjhkMDM4MWItZTVjOC00ZDRhLThmYTAtM2I5NzBmNmNlMzI1XkEyXkFqcGdeQXVyNDYyMDk5MTU@._V1_UX67_CR0,0,67,98_AL_.jpg</t>
  </si>
  <si>
    <t>https://m.media-amazon.com/images/M/MV5BMTUxMzQyNjA5MF5BMl5BanBnXkFtZTYwOTU2NTY3._V1_UX67_CR0,0,67,98_AL_.jpg</t>
  </si>
  <si>
    <t>https://m.media-amazon.com/images/M/MV5BYmJmM2Q4NmMtYThmNC00ZjRlLWEyZmItZTIwOTBlZDQ3NTQ1XkEyXkFqcGdeQXVyMTQxNzMzNDI@._V1_UX67_CR0,0,67,98_AL_.jpg</t>
  </si>
  <si>
    <t>https://m.media-amazon.com/images/M/MV5BOTUwODM5MTctZjczMi00OTk4LTg3NWUtNmVhMTAzNTNjYjcyXkEyXkFqcGdeQXVyNjU0OTQ0OTY@._V1_UX67_CR0,0,67,98_AL_.jpg</t>
  </si>
  <si>
    <t>https://m.media-amazon.com/images/M/MV5BNjNhZTk0ZmEtNjJhMi00YzFlLWE1MmEtYzM1M2ZmMGMwMTU4XkEyXkFqcGdeQXVyNjU0OTQ0OTY@._V1_UX67_CR0,0,67,98_AL_.jpg</t>
  </si>
  <si>
    <t>https://m.media-amazon.com/images/M/MV5BNzVlY2MwMjktM2E4OS00Y2Y3LWE3ZjctYzhkZGM3YzA1ZWM2XkEyXkFqcGdeQXVyNzkwMjQ5NzM@._V1_UX67_CR0,0,67,98_AL_.jpg</t>
  </si>
  <si>
    <t>https://m.media-amazon.com/images/M/MV5BYjBmYTQ1NjItZWU5MS00YjI0LTg2OTYtYmFkN2JkMmNiNWVkXkEyXkFqcGdeQXVyMTMxMTY0OTQ@._V1_UY98_CR2,0,67,98_AL_.jpg</t>
  </si>
  <si>
    <t>https://m.media-amazon.com/images/M/MV5BOWE4ZDdhNmMtNzE5ZC00NzExLTlhNGMtY2ZhYjYzODEzODA1XkEyXkFqcGdeQXVyNTAyODkwOQ@@._V1_UY98_CR1,0,67,98_AL_.jpg</t>
  </si>
  <si>
    <t>https://m.media-amazon.com/images/M/MV5BZjc4NDZhZWMtNGEzYS00ZWU2LThlM2ItNTA0YzQ0OTExMTE2XkEyXkFqcGdeQXVyNjUwMzI2NzU@._V1_UY98_CR0,0,67,98_AL_.jpg</t>
  </si>
  <si>
    <t>https://m.media-amazon.com/images/M/MV5BNGVjNWI4ZGUtNzE0MS00YTJmLWE0ZDctN2ZiYTk2YmI3NTYyXkEyXkFqcGdeQXVyMTkxNjUyNQ@@._V1_UX67_CR0,0,67,98_AL_.jpg</t>
  </si>
  <si>
    <t>https://m.media-amazon.com/images/M/MV5BOTA5NDZlZGUtMjAxOS00YTRkLTkwYmMtYWQ0NWEwZDZiNjEzXkEyXkFqcGdeQXVyMTMxODk2OTU@._V1_UX67_CR0,0,67,98_AL_.jpg</t>
  </si>
  <si>
    <t>https://m.media-amazon.com/images/M/MV5BMTYxNDA3MDQwNl5BMl5BanBnXkFtZTcwNTU4Mzc1Nw@@._V1_UX67_CR0,0,67,98_AL_.jpg</t>
  </si>
  <si>
    <t>https://m.media-amazon.com/images/M/MV5BMjA4NDI0MTIxNF5BMl5BanBnXkFtZTYwNTM0MzY2._V1_UX67_CR0,0,67,98_AL_.jpg</t>
  </si>
  <si>
    <t>https://m.media-amazon.com/images/M/MV5BMTI1MTY2OTIxNV5BMl5BanBnXkFtZTYwNjQ4NjY3._V1_UX67_CR0,0,67,98_AL_.jpg</t>
  </si>
  <si>
    <t>https://m.media-amazon.com/images/M/MV5BOWRiZDIxZjktMTA1NC00MDQ2LWEzMjUtMTliZmY3NjQ3ODJiXkEyXkFqcGdeQXVyNjU0OTQ0OTY@._V1_UY98_CR2,0,67,98_AL_.jpg</t>
  </si>
  <si>
    <t>https://m.media-amazon.com/images/M/MV5BMDliMmNhNDEtODUyOS00MjNlLTgxODEtN2U3NzIxMGVkZTA1L2ltYWdlXkEyXkFqcGdeQXVyNjU0OTQ0OTY@._V1_UX67_CR0,0,67,98_AL_.jpg</t>
  </si>
  <si>
    <t>https://m.media-amazon.com/images/M/MV5BZjA0MTM4MTQtNzY5MC00NzY3LWI1ZTgtYzcxMjkyMzU4MDZiXkEyXkFqcGdeQXVyNDYyMDk5MTU@._V1_UX67_CR0,0,67,98_AL_.jpg</t>
  </si>
  <si>
    <t>https://m.media-amazon.com/images/M/MV5BYTViNjMyNmUtNDFkNC00ZDRlLThmMDUtZDU2YWE4NGI2ZjVmXkEyXkFqcGdeQXVyNjU0OTQ0OTY@._V1_UX67_CR0,0,67,98_AL_.jpg</t>
  </si>
  <si>
    <t>https://m.media-amazon.com/images/M/MV5BODllNWE0MmEtYjUwZi00ZjY3LThmNmQtZjZlMjI2YTZjYmQ0XkEyXkFqcGdeQXVyNTc1NTQxODI@._V1_UX67_CR0,0,67,98_AL_.jpg</t>
  </si>
  <si>
    <t>https://m.media-amazon.com/images/M/MV5BYTYxNGMyZTYtMjE3MS00MzNjLWFjNmYtMDk3N2FmM2JiM2M1XkEyXkFqcGdeQXVyNjY5NDU4NzI@._V1_UX67_CR0,0,67,98_AL_.jpg</t>
  </si>
  <si>
    <t>https://m.media-amazon.com/images/M/MV5BMGU2NzRmZjUtOGUxYS00ZjdjLWEwZWItY2NlM2JhNjkxNTFmXkEyXkFqcGdeQXVyNjU0OTQ0OTY@._V1_UX67_CR0,0,67,98_AL_.jpg</t>
  </si>
  <si>
    <t>https://m.media-amazon.com/images/M/MV5BM2FhYjEyYmYtMDI1Yy00YTdlLWI2NWQtYmEzNzAxOGY1NjY2XkEyXkFqcGdeQXVyNTA3NTIyNDg@._V1_UX67_CR0,0,67,98_AL_.jpg</t>
  </si>
  <si>
    <t>https://m.media-amazon.com/images/M/MV5BZmY2NjUzNDQtNTgxNC00M2Q4LTljOWQtMjNjNDBjNWUxNmJlXkEyXkFqcGdeQXVyNTA4NzY1MzY@._V1_UX67_CR0,0,67,98_AL_.jpg</t>
  </si>
  <si>
    <t>https://m.media-amazon.com/images/M/MV5BZmU0M2Y1OGUtZjIxNi00ZjBkLTg1MjgtOWIyNThiZWIwYjRiXkEyXkFqcGdeQXVyMTQxNzMzNDI@._V1_UX67_CR0,0,67,98_AL_.jpg</t>
  </si>
  <si>
    <t>https://m.media-amazon.com/images/M/MV5BZGI5MjBmYzYtMzJhZi00NGI1LTk3MzItYjBjMzcxM2U3MDdiXkEyXkFqcGdeQXVyNzkwMjQ5NzM@._V1_UX67_CR0,0,67,98_AL_.jpg</t>
  </si>
  <si>
    <t>https://m.media-amazon.com/images/M/MV5BNTQwNDM1YzItNDAxZC00NWY2LTk0M2UtNDIwNWI5OGUyNWUxXkEyXkFqcGdeQXVyNzkwMjQ5NzM@._V1_UX67_CR0,0,67,98_AL_.jpg</t>
  </si>
  <si>
    <t>https://m.media-amazon.com/images/M/MV5BY2IzZGY2YmEtYzljNS00NTM5LTgwMzUtMzM1NjQ4NGI0OTk0XkEyXkFqcGdeQXVyNDYyMDk5MTU@._V1_UX67_CR0,0,67,98_AL_.jpg</t>
  </si>
  <si>
    <t>https://m.media-amazon.com/images/M/MV5BYjJiZjMzYzktNjU0NS00OTkxLWEwYzItYzdhYWJjN2QzMTRlL2ltYWdlL2ltYWdlXkEyXkFqcGdeQXVyNjU0OTQ0OTY@._V1_UX67_CR0,0,67,98_AL_.jpg</t>
  </si>
  <si>
    <t>https://m.media-amazon.com/images/M/MV5BY2I4MmM1N2EtM2YzOS00OWUzLTkzYzctNDc5NDg2N2IyODJmXkEyXkFqcGdeQXVyNzkwMjQ5NzM@._V1_UX67_CR0,0,67,98_AL_.jpg</t>
  </si>
  <si>
    <t>https://m.media-amazon.com/images/M/MV5BMmExNzU2ZWMtYzUwYi00YmM2LTkxZTQtNmVhNjY0NTMyMWI2XkEyXkFqcGdeQXVyMTMxODk2OTU@._V1_UX67_CR0,0,67,98_AL_.jpg</t>
  </si>
  <si>
    <t>https://m.media-amazon.com/images/M/MV5BNWJhMDlmZGUtYzcxNS00NDRiLWIwNjktNDY1Mjg3ZjBkYzY0XkEyXkFqcGdeQXVyMTU4MjUwMjI@._V1_UY98_CR2,0,67,98_AL_.jpg</t>
  </si>
  <si>
    <t>https://m.media-amazon.com/images/M/MV5BY2FiMTFmMzMtZDI2ZC00NDQyLWExYTUtOWNmZWM1ZDg5YjVjXkEyXkFqcGdeQXVyODIwMDI1NjM@._V1_UX67_CR0,0,67,98_AL_.jpg</t>
  </si>
  <si>
    <t>https://m.media-amazon.com/images/M/MV5BODRmZDVmNzUtZDA4ZC00NjhkLWI2M2UtN2M0ZDIzNDcxYThjL2ltYWdlXkEyXkFqcGdeQXVyNTk0MzMzODA@._V1_UX67_CR0,0,67,98_AL_.jpg</t>
  </si>
  <si>
    <t>https://m.media-amazon.com/images/M/MV5BMTQ4MzQzMzM2Nl5BMl5BanBnXkFtZTgwMTQ1NzU3MDI@._V1_UY98_CR1,0,67,98_AL_.jpg</t>
  </si>
  <si>
    <t>https://m.media-amazon.com/images/M/MV5BMjMwNDkxMTgzOF5BMl5BanBnXkFtZTgwNTkwNTQ3NjM@._V1_UX67_CR0,0,67,98_AL_.jpg</t>
  </si>
  <si>
    <t>https://m.media-amazon.com/images/M/MV5BMTc5MDE2ODcwNV5BMl5BanBnXkFtZTgwMzI2NzQ2NzM@._V1_UX67_CR0,0,67,98_AL_.jpg</t>
  </si>
  <si>
    <t>https://m.media-amazon.com/images/M/MV5BMjMxNjY2MDU1OV5BMl5BanBnXkFtZTgwNzY1MTUwNTM@._V1_UX67_CR0,0,67,98_AL_.jpg</t>
  </si>
  <si>
    <t>https://m.media-amazon.com/images/M/MV5BYjQ5NjM0Y2YtNjZkNC00ZDhkLWJjMWItN2QyNzFkMDE3ZjAxXkEyXkFqcGdeQXVyODIxMzk5NjA@._V1_UY98_CR1,0,67,98_AL_.jpg</t>
  </si>
  <si>
    <t>https://m.media-amazon.com/images/M/MV5BMjIyNTQ5NjQ1OV5BMl5BanBnXkFtZTcwODg1MDU4OA@@._V1_UX67_CR0,0,67,98_AL_.jpg</t>
  </si>
  <si>
    <t>https://m.media-amazon.com/images/M/MV5BMTk4ODQzNDY3Ml5BMl5BanBnXkFtZTcwODA0NTM4Nw@@._V1_UX67_CR0,0,67,98_AL_.jpg</t>
  </si>
  <si>
    <t>https://m.media-amazon.com/images/M/MV5BNTkyOGVjMGEtNmQzZi00NzFlLTlhOWQtODYyMDc2ZGJmYzFhXkEyXkFqcGdeQXVyNjU0OTQ0OTY@._V1_UY98_CR0,0,67,98_AL_.jpg</t>
  </si>
  <si>
    <t>https://m.media-amazon.com/images/M/MV5BMDhjZWViN2MtNzgxOS00NmI4LThiZDQtZDI3MzM4MDE4NTc0XkEyXkFqcGdeQXVyMTMxODk2OTU@._V1_UY98_CR1,0,67,98_AL_.jpg</t>
  </si>
  <si>
    <t>https://m.media-amazon.com/images/M/MV5BMjExMTg5OTU0NF5BMl5BanBnXkFtZTcwMjMxMzMzMw@@._V1_UX67_CR0,0,67,98_AL_.jpg</t>
  </si>
  <si>
    <t>https://m.media-amazon.com/images/M/MV5BOThkM2EzYmMtNDE3NS00NjlhLTg4YzktYTdhNzgyOWY3ZDYzXkEyXkFqcGdeQXVyNzQzNzQxNzI@._V1_UY98_CR1,0,67,98_AL_.jpg</t>
  </si>
  <si>
    <t>https://m.media-amazon.com/images/M/MV5BMTI3NTQyMzU5M15BMl5BanBnXkFtZTcwMTM2MjgyMQ@@._V1_UX67_CR0,0,67,98_AL_.jpg</t>
  </si>
  <si>
    <t>https://m.media-amazon.com/images/M/MV5BZTcyNjk1MjgtOWI3Mi00YzQwLWI5MTktMzY4ZmI2NDAyNzYzXkEyXkFqcGdeQXVyNjU0OTQ0OTY@._V1_UX67_CR0,0,67,98_AL_.jpg</t>
  </si>
  <si>
    <t>https://m.media-amazon.com/images/M/MV5BNGIzY2IzODQtNThmMi00ZDE4LWI5YzAtNzNlZTM1ZjYyYjUyXkEyXkFqcGdeQXVyODEzNjM5OTQ@._V1_UX67_CR0,0,67,98_AL_.jpg</t>
  </si>
  <si>
    <t>https://m.media-amazon.com/images/M/MV5BMGFkNWI4MTMtNGQ0OC00MWVmLTk3MTktOGYxN2Y2YWVkZWE2XkEyXkFqcGdeQXVyNjU0OTQ0OTY@._V1_UX67_CR0,0,67,98_AL_.jpg</t>
  </si>
  <si>
    <t>https://m.media-amazon.com/images/M/MV5BMjA0ODEzMTc1Nl5BMl5BanBnXkFtZTcwODM2MjAxNA@@._V1_UX67_CR0,0,67,98_AL_.jpg</t>
  </si>
  <si>
    <t>https://m.media-amazon.com/images/M/MV5BZWFlYmY2MGEtZjVkYS00YzU4LTg0YjQtYzY1ZGE3NTA5NGQxXkEyXkFqcGdeQXVyMTQxNzMzNDI@._V1_UX67_CR0,0,67,98_AL_.jpg</t>
  </si>
  <si>
    <t>https://m.media-amazon.com/images/M/MV5BMDdhODg0MjYtYzBiOS00ZmI5LWEwZGYtZDEyNDU4MmQyNzFkXkEyXkFqcGdeQXVyNzkwMjQ5NzM@._V1_UX67_CR0,0,67,98_AL_.jpg</t>
  </si>
  <si>
    <t>https://m.media-amazon.com/images/M/MV5BMmQ2MmU3NzktZjAxOC00ZDZhLTk4YzEtMDMyMzcxY2IwMDAyXkEyXkFqcGdeQXVyNzkwMjQ5NzM@._V1_UX67_CR0,0,67,98_AL_.jpg</t>
  </si>
  <si>
    <t>https://m.media-amazon.com/images/M/MV5BYmYzNmM2MDctZGY3Yi00NjRiLWIxZjctYjgzYTcxYTNhYTMyXkEyXkFqcGdeQXVyMjUxMTY3ODM@._V1_UY98_CR1,0,67,98_AL_.jpg</t>
  </si>
  <si>
    <t>https://m.media-amazon.com/images/M/MV5BOTI4NTNhZDMtMWNkZi00MTRmLWJmZDQtMmJkMGVmZTEzODlhXkEyXkFqcGdeQXVyNjc1NTYyMjg@._V1_UX67_CR0,0,67,98_AL_.jpg</t>
  </si>
  <si>
    <t>https://m.media-amazon.com/images/M/MV5BZWI3ZTMxNjctMjdlNS00NmUwLWFiM2YtZDUyY2I3N2MxYTE0XkEyXkFqcGdeQXVyNzkwMjQ5NzM@._V1_UX67_CR0,0,67,98_AL_.jpg</t>
  </si>
  <si>
    <t>https://m.media-amazon.com/images/M/MV5BNDQwODU5OWYtNDcyNi00MDQ1LThiOGMtZDkwNWJiM2Y3MDg0XkEyXkFqcGdeQXVyMDI2NDg0NQ@@._V1_UX67_CR0,0,67,98_AL_.jpg</t>
  </si>
  <si>
    <t>https://m.media-amazon.com/images/M/MV5BNjViMmRkOTEtM2ViOS00ODg0LWJhYWEtNTBlOGQxNDczOGY3XkEyXkFqcGdeQXVyMDI2NDg0NQ@@._V1_UY98_CR2,0,67,98_AL_.jpg</t>
  </si>
  <si>
    <t>https://m.media-amazon.com/images/M/MV5BNGUxYWM3M2MtMGM3Mi00ZmRiLWE0NGQtZjE5ODI2OTJhNTU0XkEyXkFqcGdeQXVyMTQxNzMzNDI@._V1_UX67_CR0,0,67,98_AL_.jpg</t>
  </si>
  <si>
    <t>https://m.media-amazon.com/images/M/MV5BMTU0NTkyNzYwMF5BMl5BanBnXkFtZTgwMDU0NDk5MTI@._V1_UX67_CR0,0,67,98_AL_.jpg</t>
  </si>
  <si>
    <t>https://m.media-amazon.com/images/M/MV5BMmExYWJjNTktNGUyZS00ODhmLTkxYzAtNWIzOGEyMGNiMmUwXkEyXkFqcGdeQXVyNjU0OTQ0OTY@._V1_UX67_CR0,0,67,98_AL_.jpg</t>
  </si>
  <si>
    <t>https://m.media-amazon.com/images/M/MV5BOTdmNTFjNDEtNzg0My00ZjkxLTg1ZDAtZTdkMDc2ZmFiNWQ1XkEyXkFqcGdeQXVyNTAzNzgwNTg@._V1_UX67_CR0,0,67,98_AL_.jpg</t>
  </si>
  <si>
    <t>https://m.media-amazon.com/images/M/MV5BYmQxNmU4ZjgtYzE5Mi00ZDlhLTlhOTctMzJkNjk2ZGUyZGEwXkEyXkFqcGdeQXVyMzgxMDA0Nzk@._V1_UY98_CR1,0,67,98_AL_.jpg</t>
  </si>
  <si>
    <t>https://m.media-amazon.com/images/M/MV5BZWZhMjhhZmYtOTIzOC00MGYzLWI1OGYtM2ZkN2IxNTI4ZWI3XkEyXkFqcGdeQXVyNDAzNDk0MTQ@._V1_UY98_CR0,0,67,98_AL_.jpg</t>
  </si>
  <si>
    <t>https://m.media-amazon.com/images/M/MV5BYmY3MzYwMGUtOWMxYS00OGVhLWFjNmUtYzlkNGVmY2ZkMjA3XkEyXkFqcGdeQXVyMTExNDQ2MTI@._V1_UY98_CR4,0,67,98_AL_.jpg</t>
  </si>
  <si>
    <t>https://m.media-amazon.com/images/M/MV5BMTg2NDg3ODg4NF5BMl5BanBnXkFtZTcwNzk3NTc3Nw@@._V1_UY98_CR1,0,67,98_AL_.jpg</t>
  </si>
  <si>
    <t>https://m.media-amazon.com/images/M/MV5BN2JmMjViMjMtZTM5Mi00ZGZkLTk5YzctZDg5MjFjZDE4NjNkXkEyXkFqcGdeQXVyMTMxODk2OTU@._V1_UX67_CR0,0,67,98_AL_.jpg</t>
  </si>
  <si>
    <t>https://m.media-amazon.com/images/M/MV5BMWE3MGYzZjktY2Q5Mi00Y2NiLWIyYWUtMmIyNzA3YmZlMGFhXkEyXkFqcGdeQXVyMTMxODk2OTU@._V1_UX67_CR0,0,67,98_AL_.jpg</t>
  </si>
  <si>
    <t>https://m.media-amazon.com/images/M/MV5BOGE3N2QxN2YtM2ZlNS00MWIyLWE1NDAtYWFlN2FiYjY1MjczXkEyXkFqcGdeQXVyOTUwNzc0ODc@._V1_UY98_CR1,0,67,98_AL_.jpg</t>
  </si>
  <si>
    <t>https://m.media-amazon.com/images/M/MV5BNjAzMzEwYzctNjc1MC00Nzg5LWFmMGItMTgzYmMyNTY2OTQ4XkEyXkFqcGdeQXVyNjU0OTQ0OTY@._V1_UY98_CR0,0,67,98_AL_.jpg</t>
  </si>
  <si>
    <t>https://m.media-amazon.com/images/M/MV5BOTJiNDEzOWYtMTVjOC00ZjlmLWE0NGMtZmE1OWVmZDQ2OWJhXkEyXkFqcGdeQXVyNTIzOTk5ODM@._V1_UX67_CR0,0,67,98_AL_.jpg</t>
  </si>
  <si>
    <t>https://m.media-amazon.com/images/M/MV5BMTY4NzcwODg3Nl5BMl5BanBnXkFtZTcwNTEwOTMyMw@@._V1_UX67_CR0,0,67,98_AL_.jpg</t>
  </si>
  <si>
    <t>https://m.media-amazon.com/images/M/MV5BNDg4NjM1YjMtYmNhZC00MjM0LWFiZmYtNGY1YjA3MzZmODc5XkEyXkFqcGdeQXVyNDk3NzU2MTQ@._V1_UX67_CR0,0,67,98_AL_.jpg</t>
  </si>
  <si>
    <t>https://m.media-amazon.com/images/M/MV5BMTA2NDYxOGYtYjU1Mi00Y2QzLTgxMTQtMWI1MGI0ZGQ5MmU4XkEyXkFqcGdeQXVyNDk3NzU2MTQ@._V1_UY98_CR0,0,67,98_AL_.jpg</t>
  </si>
  <si>
    <t>https://m.media-amazon.com/images/M/MV5BOTdiNzJlOWUtNWMwNS00NmFlLWI0YTEtZmI3YjIzZWUyY2Y3XkEyXkFqcGdeQXVyNjU0OTQ0OTY@._V1_UX67_CR0,0,67,98_AL_.jpg</t>
  </si>
  <si>
    <t>https://m.media-amazon.com/images/M/MV5BNTBmZWJkNjctNDhiNC00MGE2LWEwOTctZTk5OGVhMWMyNmVhXkEyXkFqcGdeQXVyMTMxODk2OTU@._V1_UX67_CR0,0,67,98_AL_.jpg</t>
  </si>
  <si>
    <t>https://m.media-amazon.com/images/M/MV5BOTI0MzcxMTYtZDVkMy00NjY1LTgyMTYtZmUxN2M3NmQ2NWJhXkEyXkFqcGdeQXVyMTQxNzMzNDI@._V1_UX67_CR0,0,67,98_AL_.jpg</t>
  </si>
  <si>
    <t>https://m.media-amazon.com/images/M/MV5BZTYwZWQ4ZTQtZWU0MS00N2YwLWEzMDItZWFkZWY0MWVjODVhXkEyXkFqcGdeQXVyNjU0OTQ0OTY@._V1_UX67_CR0,0,67,98_AL_.jpg</t>
  </si>
  <si>
    <t>https://m.media-amazon.com/images/M/MV5BMDU2ZWJlMjktMTRhMy00ZTA5LWEzNDgtYmNmZTEwZTViZWJkXkEyXkFqcGdeQXVyNDQ2OTk4MzI@._V1_UX67_CR0,0,67,98_AL_.jpg</t>
  </si>
  <si>
    <t>https://m.media-amazon.com/images/M/MV5BMzkzMmU0YTYtOWM3My00YzBmLWI0YzctOGYyNTkwMWE5MTJkXkEyXkFqcGdeQXVyNzkwMjQ5NzM@._V1_UX67_CR0,0,67,98_AL_.jpg</t>
  </si>
  <si>
    <t>https://m.media-amazon.com/images/M/MV5BZmExNmEwYWItYmQzOS00YjA5LTk2MjktZjEyZDE1Y2QxNjA1XkEyXkFqcGdeQXVyMTQxNzMzNDI@._V1_UX67_CR0,0,67,98_AL_.jpg</t>
  </si>
  <si>
    <t>https://m.media-amazon.com/images/M/MV5BNzkxODk0NjEtYjc4Mi00ZDI0LTgyYjEtYzc1NDkxY2YzYTgyXkEyXkFqcGdeQXVyNzkwMjQ5NzM@._V1_UX67_CR0,0,67,98_AL_.jpg</t>
  </si>
  <si>
    <t>https://m.media-amazon.com/images/M/MV5BODM4Njg0NTAtYjI5Ny00ZjAxLTkwNmItZTMxMWU5M2U3M2RjXkEyXkFqcGdeQXVyNzkwMjQ5NzM@._V1_UX67_CR0,0,67,98_AL_.jpg</t>
  </si>
  <si>
    <t>https://m.media-amazon.com/images/M/MV5BZGU2OGY5ZTYtMWNhYy00NjZiLWI0NjUtZmNhY2JhNDRmODU3XkEyXkFqcGdeQXVyNzkwMjQ5NzM@._V1_UX67_CR0,0,67,98_AL_.jpg</t>
  </si>
  <si>
    <t>https://m.media-amazon.com/images/M/MV5BNWJlNzUzNGMtYTAwMS00ZjI2LWFmNWQtODcxNWUxODA5YmU1XkEyXkFqcGdeQXVyNTIzOTk5ODM@._V1_UX67_CR0,0,67,98_AL_.jpg</t>
  </si>
  <si>
    <t>https://m.media-amazon.com/images/M/MV5BNjdjNGQ4NDEtNTEwYS00MTgxLTliYzQtYzE2ZDRiZjFhZmNlXkEyXkFqcGdeQXVyNjU0OTQ0OTY@._V1_UX67_CR0,0,67,98_AL_.jpg</t>
  </si>
  <si>
    <t>https://m.media-amazon.com/images/M/MV5BOWZlMjFiYzgtMTUzNC00Y2IzLTk1NTMtZmNhMTczNTk0ODk1XkEyXkFqcGdeQXVyNTAyODkwOQ@@._V1_UX67_CR0,0,67,98_AL_.jpg</t>
  </si>
  <si>
    <t>https://m.media-amazon.com/images/M/MV5BOGZhZDIzNWMtNjkxMS00MDQ1LThkMTYtZWQzYWU3MWMxMGU5XkEyXkFqcGdeQXVyNjc1NTYyMjg@._V1_UX67_CR0,0,67,98_AL_.jpg</t>
  </si>
  <si>
    <t>https://m.media-amazon.com/images/M/MV5BM2M1MmVhNDgtNmI0YS00ZDNmLTkyNjctNTJiYTQ2N2NmYzc2XkEyXkFqcGdeQXVyNzkwMjQ5NzM@._V1_UX67_CR0,0,67,98_AL_.jpg</t>
  </si>
  <si>
    <t>https://m.media-amazon.com/images/M/MV5BNGU3NjQ4YTMtZGJjOS00YTQ3LThmNmItMTI5MDE2ODI3NzY3XkEyXkFqcGdeQXVyMjUzOTY1NTc@._V1_UX67_CR0,0,67,98_AL_.jpg</t>
  </si>
  <si>
    <t>https://m.media-amazon.com/images/M/MV5BMTY3MjM1Mzc4N15BMl5BanBnXkFtZTgwODM0NzAxMDE@._V1_UX67_CR0,0,67,98_AL_.jpg</t>
  </si>
  <si>
    <t>https://m.media-amazon.com/images/M/MV5BMmNlYzRiNDctZWNhMi00MzI4LThkZTctMTUzMmZkMmFmNThmXkEyXkFqcGdeQXVyNzkwMjQ5NzM@._V1_UX67_CR0,0,67,98_AL_.jpg</t>
  </si>
  <si>
    <t>https://m.media-amazon.com/images/M/MV5BNWM1NmYyM2ItMTFhNy00NDU0LThlYWUtYjQyYTJmOTY0ZmM0XkEyXkFqcGdeQXVyNjU0OTQ0OTY@._V1_UX67_CR0,0,67,98_AL_.jpg</t>
  </si>
  <si>
    <t>https://m.media-amazon.com/images/M/MV5BYWY5ZjhjNGYtZmI2Ny00ODM0LWFkNzgtZmI1YzA2N2MxMzA0XkEyXkFqcGdeQXVyNjUwNzk3NDc@._V1_UY98_CR0,0,67,98_AL_.jpg</t>
  </si>
  <si>
    <t>https://m.media-amazon.com/images/M/MV5BNzkwODFjNzItMmMwNi00MTU5LWE2MzktM2M4ZDczZGM1MmViXkEyXkFqcGdeQXVyNDY2MTk1ODk@._V1_UX67_CR0,0,67,98_AL_.jpg</t>
  </si>
  <si>
    <t>https://m.media-amazon.com/images/M/MV5BZDA3NDExMTUtMDlhOC00MmQ5LWExZGUtYmI1NGVlZWI4OWNiXkEyXkFqcGdeQXVyNjc1NTYyMjg@._V1_UX67_CR0,0,67,98_AL_.jpg</t>
  </si>
  <si>
    <t>https://m.media-amazon.com/images/M/MV5BYTE4ODEwZDUtNDFjOC00NjAxLWEzYTQtYTI1NGVmZmFlNjdiL2ltYWdlL2ltYWdlXkEyXkFqcGdeQXVyNjc1NTYyMjg@._V1_UX67_CR0,0,67,98_AL_.jpg</t>
  </si>
  <si>
    <t>https://m.media-amazon.com/images/M/MV5BZDRjNGViMjQtOThlMi00MTA3LThkYzQtNzJkYjBkMGE0YzE1XkEyXkFqcGdeQXVyNDYyMDk5MTU@._V1_UY98_CR0,0,67,98_AL_.jpg</t>
  </si>
  <si>
    <t>https://m.media-amazon.com/images/M/MV5BZmM0NGY3Y2MtMTA1YS00YmQzLTk2YTctYWFhMDkzMDRjZWQzXkEyXkFqcGdeQXVyNTA4NzY1MzY@._V1_UX67_CR0,0,67,98_AL_.jpg</t>
  </si>
  <si>
    <t>https://m.media-amazon.com/images/M/MV5BNmI1ODdjODctMDlmMC00ZWViLWI5MzYtYzRhNDdjYmM3MzFjXkEyXkFqcGdeQXVyMTMxODk2OTU@._V1_UY98_CR0,0,67,98_AL_.jpg</t>
  </si>
  <si>
    <t>https://m.media-amazon.com/images/M/MV5BOTdlNjgyZGUtOTczYi00MDdhLTljZmMtYTEwZmRiOWFkYjRhXkEyXkFqcGdeQXVyNDY2MTk1ODk@._V1_UX67_CR0,0,67,98_AL_.jpg</t>
  </si>
  <si>
    <t>https://m.media-amazon.com/images/M/MV5BYjBiOTYxZWItMzdiZi00NjlkLWIzZTYtYmFhZjhiMTljOTdkXkEyXkFqcGdeQXVyNzkwMjQ5NzM@._V1_UX67_CR0,0,67,98_AL_.jpg</t>
  </si>
  <si>
    <t>https://m.media-amazon.com/images/M/MV5BODA4ODk3OTEzMF5BMl5BanBnXkFtZTgwMTQ2ODMwMzE@._V1_UX67_CR0,0,67,98_AL_.jpg</t>
  </si>
  <si>
    <t>https://m.media-amazon.com/images/M/MV5BMTg5YWIyMWUtZDY5My00Zjc1LTljOTctYmI0MWRmY2M2NmRkXkEyXkFqcGdeQXVyMTMxODk2OTU@._V1_UX67_CR0,0,67,98_AL_.jpg</t>
  </si>
  <si>
    <t>https://m.media-amazon.com/images/M/MV5BZjhhMThhNDItNTY2MC00MmU1LTliNDEtNDdhZjdlNTY5ZDQ1XkEyXkFqcGdeQXVyNjc1NTYyMjg@._V1_UX67_CR0,0,67,98_AL_.jpg</t>
  </si>
  <si>
    <t>https://m.media-amazon.com/images/M/MV5BYjg2ZDI2YTYtN2EwYi00YWI5LTgyMWQtMWFkYmE3NmJkOGVhXkEyXkFqcGdeQXVyODE5NzE3OTE@._V1_UY98_CR0,0,67,98_AL_.jpg</t>
  </si>
  <si>
    <t>https://m.media-amazon.com/images/M/MV5BMWU4ZjNlNTQtOGE2MS00NDI0LWFlYjMtMmY3ZWVkMjJkNGRmXkEyXkFqcGdeQXVyNjE1OTQ0NjA@._V1_UY98_CR0,0,67,98_AL_.jpg</t>
  </si>
  <si>
    <t>https://m.media-amazon.com/images/M/MV5BZDNlNzBjMGUtYTA0Yy00OTI2LWJmZjMtODliYmUyYTI0OGFmXkEyXkFqcGdeQXVyODIwMDI1NjM@._V1_UX67_CR0,0,67,98_AL_.jpg</t>
  </si>
  <si>
    <t>https://m.media-amazon.com/images/M/MV5BYzIzYmJlYTYtNGNiYy00N2EwLTk4ZjItMGYyZTJiOTVkM2RlXkEyXkFqcGdeQXVyODY1NDk1NjE@._V1_UX67_CR0,0,67,98_AL_.jpg</t>
  </si>
  <si>
    <t>https://m.media-amazon.com/images/M/MV5BMjI0ODcxNzM1N15BMl5BanBnXkFtZTgwMzIwMTEwNDI@._V1_UX67_CR0,0,67,98_AL_.jpg</t>
  </si>
  <si>
    <t>https://m.media-amazon.com/images/M/MV5BMTYzODg0Mjc4M15BMl5BanBnXkFtZTgwNzY4Mzc3NjE@._V1_UY98_CR2,0,67,98_AL_.jpg</t>
  </si>
  <si>
    <t>https://m.media-amazon.com/images/M/MV5BOGNlNmRkMjctNDgxMC00NzFhLWIzY2YtZDk3ZDE0NWZhZDBlXkEyXkFqcGdeQXVyODIwMDI1NjM@._V1_UX67_CR0,0,67,98_AL_.jpg</t>
  </si>
  <si>
    <t>https://m.media-amazon.com/images/M/MV5BMWYwOThjM2ItZGYxNy00NTQwLWFlZWEtM2MzM2Q5MmY3NDU5XkEyXkFqcGdeQXVyMTkxNjUyNQ@@._V1_UX67_CR0,0,67,98_AL_.jpg</t>
  </si>
  <si>
    <t>https://m.media-amazon.com/images/M/MV5BYmJhZmJlYTItZmZlNy00MGY0LTg0ZGMtNWFkYWU5NTA1YTNhXkEyXkFqcGdeQXVyODE5NzE3OTE@._V1_UY98_CR0,0,67,98_AL_.jpg</t>
  </si>
  <si>
    <t>https://m.media-amazon.com/images/M/MV5BNWYyOWRlOWItZWM5MS00ZjJkLWI0MTUtYTE3NTI5MDAwYjgyXkEyXkFqcGdeQXVyODE5NzE3OTE@._V1_UY98_CR0,0,67,98_AL_.jpg</t>
  </si>
  <si>
    <t>https://m.media-amazon.com/images/M/MV5BMTgwNzA3MDQzOV5BMl5BanBnXkFtZTgwNTE5MDE5NDE@._V1_UX67_CR0,0,67,98_AL_.jpg</t>
  </si>
  <si>
    <t>https://m.media-amazon.com/images/M/MV5BMTY1Nzg4MjcwN15BMl5BanBnXkFtZTcwOTc1NTk1OQ@@._V1_UY98_CR0,0,67,98_AL_.jpg</t>
  </si>
  <si>
    <t>https://m.media-amazon.com/images/M/MV5BMTc5NjY4MjUwNF5BMl5BanBnXkFtZTgwODM3NzM5MzE@._V1_UX67_CR0,0,67,98_AL_.jpg</t>
  </si>
  <si>
    <t>https://m.media-amazon.com/images/M/MV5BNzgxMzExMzUwNV5BMl5BanBnXkFtZTcwMDc2MjUwNA@@._V1_UY98_CR0,0,67,98_AL_.jpg</t>
  </si>
  <si>
    <t>https://m.media-amazon.com/images/M/MV5BNTgwODM5OTMzN15BMl5BanBnXkFtZTcwMTA3NzI1Nw@@._V1_UY98_CR0,0,67,98_AL_.jpg</t>
  </si>
  <si>
    <t>https://m.media-amazon.com/images/M/MV5BY2FhZGI5M2QtZWFiZS00NjkwLWE4NWQtMzg3ZDZjNjdkYTJiXkEyXkFqcGdeQXVyMTMxODk2OTU@._V1_UX67_CR0,0,67,98_AL_.jpg</t>
  </si>
  <si>
    <t>https://m.media-amazon.com/images/M/MV5BMTk4ODk5MTMyNV5BMl5BanBnXkFtZTcwMDMyNTg0Ng@@._V1_UX67_CR0,0,67,98_AL_.jpg</t>
  </si>
  <si>
    <t>https://m.media-amazon.com/images/M/MV5BYzhiNDkyNzktNTZmYS00ZTBkLTk2MDAtM2U0YjU1MzgxZjgzXkEyXkFqcGdeQXVyMTMxODk2OTU@._V1_UX67_CR0,0,67,98_AL_.jpg</t>
  </si>
  <si>
    <t>https://m.media-amazon.com/images/M/MV5BMTk3NDE2NzI4NF5BMl5BanBnXkFtZTgwNzE1MzEyMTE@._V1_UX67_CR0,0,67,98_AL_.jpg</t>
  </si>
  <si>
    <t>https://m.media-amazon.com/images/M/MV5BMjIxMjgxNTk0MF5BMl5BanBnXkFtZTgwNjIyOTg2MDE@._V1_UX67_CR0,0,67,98_AL_.jpg</t>
  </si>
  <si>
    <t>https://m.media-amazon.com/images/M/MV5BMTUzODMyNzk4NV5BMl5BanBnXkFtZTgwNTk1NTYyNTM@._V1_UY98_CR3,0,67,98_AL_.jpg</t>
  </si>
  <si>
    <t>https://m.media-amazon.com/images/M/MV5BMjAxODQ4MDU5NV5BMl5BanBnXkFtZTcwMDU4MjU1MQ@@._V1_UX67_CR0,0,67,98_AL_.jpg</t>
  </si>
  <si>
    <t>https://m.media-amazon.com/images/M/MV5BMTU3ODg2NjQ5NF5BMl5BanBnXkFtZTcwMDEwODgzMQ@@._V1_UX67_CR0,0,67,98_AL_.jpg</t>
  </si>
  <si>
    <t>https://m.media-amazon.com/images/M/MV5BMTgxOTY4Mjc0MF5BMl5BanBnXkFtZTcwNTA4MDQyMw@@._V1_UY98_CR1,0,67,98_AL_.jpg</t>
  </si>
  <si>
    <t>https://m.media-amazon.com/images/M/MV5BOTI5ODc3NzExNV5BMl5BanBnXkFtZTcwNzYxNzQzMw@@._V1_UX67_CR0,0,67,98_AL_.jpg</t>
  </si>
  <si>
    <t>https://m.media-amazon.com/images/M/MV5BYThmZDA0YmQtMWJhNy00MDQwLTk0Y2YtMDhmZTE5ZjhlNjliXkEyXkFqcGdeQXVyODE5NzE3OTE@._V1_UY98_CR1,0,67,98_AL_.jpg</t>
  </si>
  <si>
    <t>https://m.media-amazon.com/images/M/MV5BNTI5MmE5M2UtZjIzYS00M2JjLWIwNDItYTY2ZWNiODBmYTBiXkEyXkFqcGdeQXVyNjQ2MjQ5NzM@._V1_UY98_CR0,0,67,98_AL_.jpg</t>
  </si>
  <si>
    <t>https://m.media-amazon.com/images/M/MV5BOTY4YjI2N2MtYmFlMC00ZjcyLTg3YjEtMDQyM2ZjYzQ5YWFkXkEyXkFqcGdeQXVyMTQxNzMzNDI@._V1_UX67_CR0,0,67,98_AL_.jpg</t>
  </si>
  <si>
    <t>https://m.media-amazon.com/images/M/MV5BYzExOTcwNjYtZTljMC00YTQ2LWI2YjYtNWFlYzQ0YTJhNzJmXkEyXkFqcGdeQXVyNjQ2MjQ5NzM@._V1_UY98_CR0,0,67,98_AL_.jpg</t>
  </si>
  <si>
    <t>https://m.media-amazon.com/images/M/MV5BMTU0NTU5NTAyMl5BMl5BanBnXkFtZTYwNzYwMDg2._V1_UX67_CR0,0,67,98_AL_.jpg</t>
  </si>
  <si>
    <t>https://m.media-amazon.com/images/M/MV5BNmM4YTFmMmItMGE3Yy00MmRkLTlmZGEtMzZlOTQzYjk3MzA2XkEyXkFqcGdeQXVyMTMxODk2OTU@._V1_UX67_CR0,0,67,98_AL_.jpg</t>
  </si>
  <si>
    <t>https://m.media-amazon.com/images/M/MV5BMzcwYWFkYzktZjAzNC00OGY1LWI4YTgtNzc5MzVjMDVmNjY0XkEyXkFqcGdeQXVyMTQxNzMzNDI@._V1_UX67_CR0,0,67,98_AL_.jpg</t>
  </si>
  <si>
    <t>https://m.media-amazon.com/images/M/MV5BMGMzZjY2ZWQtZjQxYS00NWY3LThhNjItNWQzNTkzOTllODljXkEyXkFqcGdeQXVyNjY1MTg4Mzc@._V1_UY98_CR1,0,67,98_AL_.jpg</t>
  </si>
  <si>
    <t>https://m.media-amazon.com/images/M/MV5BMTAyN2JmZmEtNjAyMy00NzYwLThmY2MtYWQ3OGNhNjExMmM4XkEyXkFqcGdeQXVyNDk3NzU2MTQ@._V1_UX67_CR0,0,67,98_AL_.jpg</t>
  </si>
  <si>
    <t>https://m.media-amazon.com/images/M/MV5BMDQ2YzEyZGItYWRhOS00MjBmLTkzMDUtMTdjYzkyMmQxZTJlXkEyXkFqcGdeQXVyNjU0OTQ0OTY@._V1_UX67_CR0,0,67,98_AL_.jpg</t>
  </si>
  <si>
    <t>https://m.media-amazon.com/images/M/MV5BOGQ4ZjFmYjktOGNkNS00OWYyLWIyZjgtMGJjM2U1ZTA0ZTlhXkEyXkFqcGdeQXVyNTA4NzY1MzY@._V1_UY98_CR1,0,67,98_AL_.jpg</t>
  </si>
  <si>
    <t>https://m.media-amazon.com/images/M/MV5BNGMwNzUwNjYtZWM5NS00YzMyLWI4NjAtNjM0ZDBiMzE1YWExXkEyXkFqcGdeQXVyNDk3NzU2MTQ@._V1_UX67_CR0,0,67,98_AL_.jpg</t>
  </si>
  <si>
    <t>https://m.media-amazon.com/images/M/MV5BMTcxOWYzNDYtYmM4YS00N2NkLTk0NTAtNjg1ODgwZjAxYzI3XkEyXkFqcGdeQXVyNTA4NzY1MzY@._V1_UX67_CR0,0,67,98_AL_.jpg</t>
  </si>
  <si>
    <t>https://m.media-amazon.com/images/M/MV5BZTIwYzRjMGYtZWQ0Ni00NDZhLThhZDYtOGViZGJiZTkwMzk2XkEyXkFqcGdeQXVyODE5NzE3OTE@._V1_UY98_CR3,0,67,98_AL_.jpg</t>
  </si>
  <si>
    <t>https://m.media-amazon.com/images/M/MV5BODM3YWY4NmQtN2Y3Ni00OTg0LWFhZGQtZWE3ZWY4MTJlOWU4XkEyXkFqcGdeQXVyNjU0OTQ0OTY@._V1_UX67_CR0,0,67,98_AL_.jpg</t>
  </si>
  <si>
    <t>https://m.media-amazon.com/images/M/MV5BMjNkMzc2N2QtNjVlNS00ZTk5LTg0MTgtODY2MDAwNTMwZjBjXkEyXkFqcGdeQXVyNDk3NzU2MTQ@._V1_UX67_CR0,0,67,98_AL_.jpg</t>
  </si>
  <si>
    <t>https://m.media-amazon.com/images/M/MV5BODI2ZjVlMGQtMWE5ZS00MjJiLWIyMWYtMGU5NmIxNDc0OTMyXkEyXkFqcGdeQXVyMTQ3Njg3MQ@@._V1_UX67_CR0,0,67,98_AL_.jpg</t>
  </si>
  <si>
    <t>https://m.media-amazon.com/images/M/MV5BYzJjMTYyMjQtZDI0My00ZjE2LTkyNGYtOTllNGQxNDMyZjE0XkEyXkFqcGdeQXVyMTMxODk2OTU@._V1_UY98_CR1,0,67,98_AL_.jpg</t>
  </si>
  <si>
    <t>https://m.media-amazon.com/images/M/MV5BZjRlNDUxZjAtOGQ4OC00OTNlLTgxNmQtYTBmMDgwZmNmNjkxXkEyXkFqcGdeQXVyNzkwMjQ5NzM@._V1_UX67_CR0,0,67,98_AL_.jpg</t>
  </si>
  <si>
    <t>https://m.media-amazon.com/images/M/MV5BZDBjZTM4ZmEtOTA5ZC00NTQzLTkyNzYtMmUxNGU2YjI5YjU5L2ltYWdlXkEyXkFqcGdeQXVyNTAyODkwOQ@@._V1_UY98_CR1,0,67,98_AL_.jpg</t>
  </si>
  <si>
    <t>https://m.media-amazon.com/images/M/MV5BYjRmODkzNDItMTNhNi00YjJlLTg0ZjAtODlhZTM0YzgzYThlXkEyXkFqcGdeQXVyNzQ1ODk3MTQ@._V1_UX67_CR0,0,67,98_AL_.jpg</t>
  </si>
  <si>
    <t>https://m.media-amazon.com/images/M/MV5BMDgwODNmMGItMDcwYi00OWZjLTgyZjAtMGYwMmI4N2Q0NmJmXkEyXkFqcGdeQXVyNzY1MTU0Njk@._V1_UY98_CR1,0,67,98_AL_.jpg</t>
  </si>
  <si>
    <t>https://m.media-amazon.com/images/M/MV5BNGIyMWRlYTctMWNlMi00ZGIzLThjOTgtZjQzZjRjNmRhMDdlXkEyXkFqcGdeQXVyMTAwMzUyOTc@._V1_UX67_CR0,0,67,98_AL_.jpg</t>
  </si>
  <si>
    <t>https://m.media-amazon.com/images/M/MV5BMjk3YjJmYTctMTAzZC00MzE4LWFlZGMtNDM5OTMyMDEzZWIxXkEyXkFqcGdeQXVyNTI4MjkwNjA@._V1_UX67_CR0,0,67,98_AL_.jpg</t>
  </si>
  <si>
    <t>https://m.media-amazon.com/images/M/MV5BOGZiM2IwODktNTdiMC00MGU1LWEyZTYtOTk4NTkwYmJkNmI1L2ltYWdlL2ltYWdlXkEyXkFqcGdeQXVyNjU0OTQ0OTY@._V1_UY98_CR2,0,67,98_AL_.jpg</t>
  </si>
  <si>
    <t>https://m.media-amazon.com/images/M/MV5BN2IyNTE4YzUtZWU0Mi00MGIwLTgyMmQtMzQ4YzQxYWNlYWE2XkEyXkFqcGdeQXVyNjU0OTQ0OTY@._V1_UX67_CR0,0,67,98_AL_.jpg</t>
  </si>
  <si>
    <t>https://m.media-amazon.com/images/M/MV5BNzA2NmYxMWUtNzBlMC00MWM2LTkwNmQtYTFlZjQwODNhOWE0XkEyXkFqcGdeQXVyNTIzOTk5ODM@._V1_UX67_CR0,0,67,98_AL_.jpg</t>
  </si>
  <si>
    <t>https://m.media-amazon.com/images/M/MV5BNmVmYzcwNzMtMWM1NS00MWIyLThlMDEtYzUwZDgzODE1NmE2XkEyXkFqcGdeQXVyNzkwMjQ5NzM@._V1_UX67_CR0,0,67,98_AL_.jpg</t>
  </si>
  <si>
    <t>https://m.media-amazon.com/images/M/MV5BZThiZjAzZjgtNDU3MC00YThhLThjYWUtZGRkYjc2ZWZlOTVjXkEyXkFqcGdeQXVyNTA4NzY1MzY@._V1_UX67_CR0,0,67,98_AL_.jpg</t>
  </si>
  <si>
    <t>https://m.media-amazon.com/images/M/MV5BNDc2ODQ5NTE2MV5BMl5BanBnXkFtZTcwODExMjUyNA@@._V1_UX67_CR0,0,67,98_AL_.jpg</t>
  </si>
  <si>
    <t>https://m.media-amazon.com/images/M/MV5BNzAyOGIxYjAtMGY2NC00ZTgyLWIwMWEtYzY0OWQ4NDFjOTc5XkEyXkFqcGdeQXVyNjU0OTQ0OTY@._V1_UX67_CR0,0,67,98_AL_.jpg</t>
  </si>
  <si>
    <t>https://m.media-amazon.com/images/M/MV5BZjJhNTBmNTgtMDViOC00NDY2LWE4N2ItMDJiM2ZiYmQzYzliXkEyXkFqcGdeQXVyMzg1ODEwNQ@@._V1_UY98_CR0,0,67,98_AL_.jpg</t>
  </si>
  <si>
    <t>https://m.media-amazon.com/images/M/MV5BM2I1ZWU4YjMtYzU0My00YmMzLWFmNTAtZDJhZGYwMmI3YWQ5XkEyXkFqcGdeQXVyNjU0OTQ0OTY@._V1_UX67_CR0,0,67,98_AL_.jpg</t>
  </si>
  <si>
    <t>https://m.media-amazon.com/images/M/MV5BNjZmZGRiMDgtNDkwNi00OTZhLWFhZmMtYTdkYjgyNThhOWY3XkEyXkFqcGdeQXVyMTA1NTM1NDI2._V1_UX67_CR0,0,67,98_AL_.jpg</t>
  </si>
  <si>
    <t>https://m.media-amazon.com/images/M/MV5BOWIwODIxYWItZDI4MS00YzhhLWE3MmYtMzlhZDIwOTMzZmE5L2ltYWdlXkEyXkFqcGdeQXVyNjc1NTYyMjg@._V1_UX67_CR0,0,67,98_AL_.jpg</t>
  </si>
  <si>
    <t>https://m.media-amazon.com/images/M/MV5BYWQ4ZTRiODktNjAzZC00Nzg1LTk1YWQtNDFmNDI0NmZiNGIwXkEyXkFqcGdeQXVyNzkwMjQ5NzM@._V1_UY98_CR0,0,67,98_AL_.jpg</t>
  </si>
  <si>
    <t>https://m.media-amazon.com/images/M/MV5BMjEzMzA4NDE2OF5BMl5BanBnXkFtZTcwNTc5MDI2NQ@@._V1_UX67_CR0,0,67,98_AL_.jpg</t>
  </si>
  <si>
    <t>https://m.media-amazon.com/images/M/MV5BMTY2MTAzODI5NV5BMl5BanBnXkFtZTgwMjM4NzQ0MjE@._V1_UX67_CR0,0,67,98_AL_.jpg</t>
  </si>
  <si>
    <t>https://m.media-amazon.com/images/M/MV5BOTJlZWMxYzEtMjlkMS00ODE0LThlM2ItMDI3NGQ2YjhmMzkxXkEyXkFqcGdeQXVyMDI2NDg0NQ@@._V1_UX67_CR0,0,67,98_AL_.jpg</t>
  </si>
  <si>
    <t>https://m.media-amazon.com/images/M/MV5BYTIwNDcyMjktMTczMy00NDM5LTlhNDEtMmE3NGVjOTM2YjQ3XkEyXkFqcGdeQXVyNjc0MzMzNjA@._V1_UX67_CR0,0,67,98_AL_.jpg</t>
  </si>
  <si>
    <t>https://m.media-amazon.com/images/M/MV5BZjEyOTE4MzMtNmMzMy00Mzc3LWJlOTQtOGJiNDE0ZmJiOTU4L2ltYWdlXkEyXkFqcGdeQXVyNTAyODkwOQ@@._V1_UY98_CR2,0,67,98_AL_.jpg</t>
  </si>
  <si>
    <t>https://m.media-amazon.com/images/M/MV5BZWFhOGU5NDctY2Q3YS00Y2VlLWI1NzEtZmIwY2ZiZjY4OTA2XkEyXkFqcGdeQXVyMDI2NDg0NQ@@._V1_UX67_CR0,0,67,98_AL_.jpg</t>
  </si>
  <si>
    <t>https://m.media-amazon.com/images/M/MV5BNjgwNjkwOWYtYmM3My00NzI1LTk5OGItYWY0OTMyZTY4OTg2XkEyXkFqcGdeQXVyODk4OTc3MTY@._V1_UX67_CR0,0,67,98_AL_.jpg</t>
  </si>
  <si>
    <t>https://m.media-amazon.com/images/M/MV5BNGI1MTI1YTQtY2QwYi00YzUzLTg3NWYtNzExZDlhOTZmZWU0XkEyXkFqcGdeQXVyMDkwNTkwNg@@._V1_UY98_CR3,0,67,98_AL_.jpg</t>
  </si>
  <si>
    <t>https://m.media-amazon.com/images/M/MV5BZGRkOGMxYTUtZTBhYS00NzI3LWEzMDQtOWRhMmNjNjJjMzM4XkEyXkFqcGdeQXVyMTMxODk2OTU@._V1_UY98_CR0,0,67,98_AL_.jpg</t>
  </si>
  <si>
    <t>https://m.media-amazon.com/images/M/MV5BMDk0YzAwYjktMWFiZi00Y2FmLWJmMmMtMzUyZDZmMmU5MjkzXkEyXkFqcGdeQXVyMTMxODk2OTU@._V1_UY98_CR1,0,67,98_AL_.jpg</t>
  </si>
  <si>
    <t>https://m.media-amazon.com/images/M/MV5BNDJhYTk2MTctZmVmOS00OTViLTgxNjQtMzQxOTRiMDdmNGRjXkEyXkFqcGdeQXVyMTMxODk2OTU@._V1_UY98_CR0,0,67,98_AL_.jpg</t>
  </si>
  <si>
    <t>https://m.media-amazon.com/images/M/MV5BMGI3YWFmNDQtNjc0Ny00ZDBjLThlNjYtZTc1ZTk5MzU2YTVjXkEyXkFqcGdeQXVyNzA4ODc3ODU@._V1_UY98_CR1,0,67,98_AL_.jpg</t>
  </si>
  <si>
    <t>https://m.media-amazon.com/images/M/MV5BMjA1NTEwMDMxMF5BMl5BanBnXkFtZTgwODkzMzI0MjE@._V1_UY98_CR0,0,67,98_AL_.jpg</t>
  </si>
  <si>
    <t>https://m.media-amazon.com/images/M/MV5BYzc5MTU4N2EtYTkyMi00NjdhLTg3NWEtMTY4OTEyMzJhZTAzXkEyXkFqcGdeQXVyNjc1NTYyMjg@._V1_UX67_CR0,0,67,98_AL_.jpg</t>
  </si>
  <si>
    <t>https://m.media-amazon.com/images/M/MV5BMjE4NzgzNzEwMl5BMl5BanBnXkFtZTgwMTMzMDE0NjE@._V1_UX67_CR0,0,67,98_AL_.jpg</t>
  </si>
  <si>
    <t>https://m.media-amazon.com/images/M/MV5BNGQzY2Y0MTgtMDA4OC00NjM3LWI0ZGQtNTJlM2UxZDQxZjI0XkEyXkFqcGdeQXVyNDUzOTQ5MjY@._V1_UY98_CR1,0,67,98_AL_.jpg</t>
  </si>
  <si>
    <t>https://m.media-amazon.com/images/M/MV5BZGE1MDg5M2MtNTkyZS00MTY5LTg1YzUtZTlhZmM1Y2EwNmFmXkEyXkFqcGdeQXVyNjA3OTI0MDc@._V1_UX67_CR0,0,67,98_AL_.jpg</t>
  </si>
  <si>
    <t>https://m.media-amazon.com/images/M/MV5BYzE2MjEwMTQtOTQ2Mi00ZWExLTkyMjUtNmJjMjBlYWFjZDdlXkEyXkFqcGdeQXVyMTI3ODAyMzE2._V1_UY98_CR0,0,67,98_AL_.jpg</t>
  </si>
  <si>
    <t>https://m.media-amazon.com/images/M/MV5BMTYzOTE2NjkxN15BMl5BanBnXkFtZTgwMDgzMTg0MzE@._V1_UY98_CR0,0,67,98_AL_.jpg</t>
  </si>
  <si>
    <t>https://m.media-amazon.com/images/M/MV5BMGNhYjUwNmYtNDQxNi00NDdmLTljMDAtZWM1NDQyZTk3ZDYwXkEyXkFqcGdeQXVyODE5NzE3OTE@._V1_UY98_CR0,0,67,98_AL_.jpg</t>
  </si>
  <si>
    <t>https://m.media-amazon.com/images/M/MV5BMzM5NjUxOTEyMl5BMl5BanBnXkFtZTgwNjEyMDM0MDE@._V1_UX67_CR0,0,67,98_AL_.jpg</t>
  </si>
  <si>
    <t>https://m.media-amazon.com/images/M/MV5BMTk0MDQ3MzAzOV5BMl5BanBnXkFtZTgwNzU1NzE3MjE@._V1_UX67_CR0,0,67,98_AL_.jpg</t>
  </si>
  <si>
    <t>https://m.media-amazon.com/images/M/MV5BYzQxNDZhNDUtNDUwOC00NjQyLTg2OWUtZWVlYThjYjYyMTc2XkEyXkFqcGdeQXVyNTAyODkwOQ@@._V1_UY98_CR1,0,67,98_AL_.jpg</t>
  </si>
  <si>
    <t>https://m.media-amazon.com/images/M/MV5BMjQ1NjM3MTUxNV5BMl5BanBnXkFtZTgwMDc5MTY5OTE@._V1_UX67_CR0,0,67,98_AL_.jpg</t>
  </si>
  <si>
    <t>https://m.media-amazon.com/images/M/MV5BOTgxMDQwMDk0OF5BMl5BanBnXkFtZTgwNjU5OTg2NDE@._V1_UX67_CR0,0,67,98_AL_.jpg</t>
  </si>
  <si>
    <t>https://m.media-amazon.com/images/M/MV5BMTQzMTEyODY2Ml5BMl5BanBnXkFtZTgwMjA0MDUyMjE@._V1_UY98_CR0,0,67,98_AL_.jpg</t>
  </si>
  <si>
    <t>https://m.media-amazon.com/images/M/MV5BMjExMTEzODkyN15BMl5BanBnXkFtZTcwNTU4NTc4OQ@@._V1_UX67_CR0,0,67,98_AL_.jpg</t>
  </si>
  <si>
    <t>https://m.media-amazon.com/images/M/MV5BOWEwODJmZDItYTNmZC00OGM4LThlNDktOTQzZjIzMGQxODA4XkEyXkFqcGdeQXVyNjU0OTQ0OTY@._V1_UX67_CR0,0,67,98_AL_.jpg</t>
  </si>
  <si>
    <t>https://m.media-amazon.com/images/M/MV5BM2UwMDVmMDItM2I2Yi00NGZmLTk4ZTUtY2JjNTQ3OGQ5ZjM2XkEyXkFqcGdeQXVyMTA1OTYzOTUx._V1_UX67_CR0,0,67,98_AL_.jpg</t>
  </si>
  <si>
    <t>https://m.media-amazon.com/images/M/MV5BMjIyOTM5OTIzNV5BMl5BanBnXkFtZTgwMDkzODE2NjE@._V1_UX67_CR0,0,67,98_AL_.jpg</t>
  </si>
  <si>
    <t>https://m.media-amazon.com/images/M/MV5BMTQ2MDMwNjEwNV5BMl5BanBnXkFtZTgwOTkxMzI0MzE@._V1_UY98_CR0,0,67,98_AL_.jpg</t>
  </si>
  <si>
    <t>https://m.media-amazon.com/images/M/MV5BMTQ1NDI0NzkyOF5BMl5BanBnXkFtZTcwNzAyNzE2Nw@@._V1_UY98_CR0,0,67,98_AL_.jpg</t>
  </si>
  <si>
    <t>https://m.media-amazon.com/images/M/MV5BZGFmMjM5OWMtZTRiNC00ODhlLThlYTItYTcyZDMyYmMyYjFjXkEyXkFqcGdeQXVyNDUzOTQ5MjY@._V1_UY98_CR0,0,67,98_AL_.jpg</t>
  </si>
  <si>
    <t>https://m.media-amazon.com/images/M/MV5BMTg0NTIzMjQ1NV5BMl5BanBnXkFtZTcwNDc3MzM5OQ@@._V1_UX67_CR0,0,67,98_AL_.jpg</t>
  </si>
  <si>
    <t>https://m.media-amazon.com/images/M/MV5BN2EwM2I5OWMtMGQyMi00Zjg1LWJkNTctZTdjYTA4OGUwZjMyXkEyXkFqcGdeQXVyMTMxODk2OTU@._V1_UX67_CR0,0,67,98_AL_.jpg</t>
  </si>
  <si>
    <t>https://m.media-amazon.com/images/M/MV5BOTcwMzdiMWItMjZlOS00MzAzLTg5OTItNTA4OGYyMjBhMmRiXkEyXkFqcGdeQXVyODE5NzE3OTE@._V1_UY98_CR1,0,67,98_AL_.jpg</t>
  </si>
  <si>
    <t>https://m.media-amazon.com/images/M/MV5BMTc5NTk2OTU1Nl5BMl5BanBnXkFtZTcwMDc3NjAwMg@@._V1_UX67_CR0,0,67,98_AL_.jpg</t>
  </si>
  <si>
    <t>https://m.media-amazon.com/images/M/MV5BMGVmMWNiMDktYjQ0Mi00MWIxLTk0N2UtN2ZlYTdkN2IzNDNlXkEyXkFqcGdeQXVyODE5NzE3OTE@._V1_UX67_CR0,0,67,98_AL_.jpg</t>
  </si>
  <si>
    <t>https://m.media-amazon.com/images/M/MV5BMTUzOTcwOTA2NV5BMl5BanBnXkFtZTcwNDczMzczMg@@._V1_UY98_CR0,0,67,98_AL_.jpg</t>
  </si>
  <si>
    <t>https://m.media-amazon.com/images/M/MV5BNzE4NDg5OWMtMzg3NC00ZDRjLTllMDMtZTRjNWZmNjBmMGZlXkEyXkFqcGdeQXVyMTMxODk2OTU@._V1_UY98_CR1,0,67,98_AL_.jpg</t>
  </si>
  <si>
    <t>https://m.media-amazon.com/images/M/MV5BMDgzYjQwMDMtNGUzYi00MTRmLWIyMGMtNjE1OGZkNzY2YWIzL2ltYWdlXkEyXkFqcGdeQXVyNjU0OTQ0OTY@._V1_UY98_CR1,0,67,98_AL_.jpg</t>
  </si>
  <si>
    <t>https://m.media-amazon.com/images/M/MV5BMjA5NDQyMjc2NF5BMl5BanBnXkFtZTcwMjg5ODcyMw@@._V1_UX67_CR0,0,67,98_AL_.jpg</t>
  </si>
  <si>
    <t>https://m.media-amazon.com/images/M/MV5BMTAwNDEyODU1MjheQTJeQWpwZ15BbWU2MDc3NDQwNw@@._V1_UX67_CR0,0,67,98_AL_.jpg</t>
  </si>
  <si>
    <t>https://m.media-amazon.com/images/M/MV5BMjA5Njk3MjM4OV5BMl5BanBnXkFtZTcwMTc5MTE1MQ@@._V1_UX67_CR0,0,67,98_AL_.jpg</t>
  </si>
  <si>
    <t>https://m.media-amazon.com/images/M/MV5BN2ZmMDMwODgtMzA5MS00MGU0LWEyYTgtYzQ5MmQzMzU2NTVkXkEyXkFqcGdeQXVyODE5NzE3OTE@._V1_UY98_CR0,0,67,98_AL_.jpg</t>
  </si>
  <si>
    <t>https://m.media-amazon.com/images/M/MV5BMTkxNzA1NDQxOV5BMl5BanBnXkFtZTcwNTkyMTIzMw@@._V1_UX67_CR0,0,67,98_AL_.jpg</t>
  </si>
  <si>
    <t>https://m.media-amazon.com/images/M/MV5BZGJjYmIzZmQtNWE4Yy00ZGVmLWJkZGEtMzUzNmQ4ZWFlMjRhXkEyXkFqcGdeQXVyMTMxODk2OTU@._V1_UX67_CR0,0,67,98_AL_.jpg</t>
  </si>
  <si>
    <t>https://m.media-amazon.com/images/M/MV5BNjAxZTEzNzQtYjdlNy00ZTJmLTkwZDUtOTAwNTM3YjI2MWUyL2ltYWdlXkEyXkFqcGdeQXVyNTAyODkwOQ@@._V1_UX67_CR0,0,67,98_AL_.jpg</t>
  </si>
  <si>
    <t>https://m.media-amazon.com/images/M/MV5BMTQ1MjAwNTM5Ml5BMl5BanBnXkFtZTYwNDM0MTc3._V1_UX67_CR0,0,67,98_AL_.jpg</t>
  </si>
  <si>
    <t>https://m.media-amazon.com/images/M/MV5BMzQ4MTBlYTQtMzJkYS00OGNjLTk1MWYtNzQ0OTQ0OWEyOWU1XkEyXkFqcGdeQXVyNDgyODgxNjE@._V1_UY98_CR1,0,67,98_AL_.jpg</t>
  </si>
  <si>
    <t>https://m.media-amazon.com/images/M/MV5BOGViNTg4YTktYTQ2Ni00MTU0LTk2NWUtMTI4OTc1YTM0NzQ2XkEyXkFqcGdeQXVyMDM2NDM2MQ@@._V1_UX67_CR0,0,67,98_AL_.jpg</t>
  </si>
  <si>
    <t>https://m.media-amazon.com/images/M/MV5BMjRjMTYwMTYtMmRkNi00MmVkLWE0MjQtNmM3YjI0NWFhZDNmXkEyXkFqcGdeQXVyODE5NzE3OTE@._V1_UX67_CR0,0,67,98_AL_.jpg</t>
  </si>
  <si>
    <t>https://m.media-amazon.com/images/M/MV5BNzM3NDFhYTAtYmU5Mi00NGRmLTljYjgtMDkyODQ4MjNkMGY2XkEyXkFqcGdeQXVyNzkwMjQ5NzM@._V1_UX67_CR0,0,67,98_AL_.jpg</t>
  </si>
  <si>
    <t>https://m.media-amazon.com/images/M/MV5BZTAzNWZlNmUtZDEzYi00ZjA5LWIwYjEtZGM1NWE1MjE4YWRhXkEyXkFqcGdeQXVyNjU0OTQ0OTY@._V1_UX67_CR0,0,67,98_AL_.jpg</t>
  </si>
  <si>
    <t>https://m.media-amazon.com/images/M/MV5BMTY5MzYzNjc5NV5BMl5BanBnXkFtZTYwNTUyNTc2._V1_UX67_CR0,0,67,98_AL_.jpg</t>
  </si>
  <si>
    <t>https://m.media-amazon.com/images/M/MV5BMjQxMWJhMzMtMzllZi00NzMwLTllYjktNTcwZmU4ZmU3NTA0XkEyXkFqcGdeQXVyMTAzMDM4MjM0._V1_UY98_CR3,0,67,98_AL_.jpg</t>
  </si>
  <si>
    <t>https://m.media-amazon.com/images/M/MV5BMTY1NTI0ODUyOF5BMl5BanBnXkFtZTgwNTEyNjQ0MDE@._V1_UX67_CR0,0,67,98_AL_.jpg</t>
  </si>
  <si>
    <t>https://m.media-amazon.com/images/M/MV5BZjJhMThkNTQtNjkxNy00MDdjLTg4MWQtMTI2MmQ3MDVmODUzXkEyXkFqcGdeQXVyMTAwOTA3NzY3._V1_UY98_CR1,0,67,98_AL_.jpg</t>
  </si>
  <si>
    <t>https://m.media-amazon.com/images/M/MV5BNDYxNWUzZmYtOGQxMC00MTdkLTkxOTctYzkyOGIwNWQxZjhmXkEyXkFqcGdeQXVyNjU0OTQ0OTY@._V1_UX67_CR0,0,67,98_AL_.jpg</t>
  </si>
  <si>
    <t>https://m.media-amazon.com/images/M/MV5BMWM4NTFhYjctNzUyNi00NGMwLTk3NTYtMDIyNTZmMzRlYmQyXkEyXkFqcGdeQXVyMTAwMzUyOTc@._V1_UX67_CR0,0,67,98_AL_.jpg</t>
  </si>
  <si>
    <t>https://m.media-amazon.com/images/M/MV5BMzIwOTdmNjQtOWQ1ZS00ZWQ4LWIxYTMtOWFkM2NjODJiMGY4L2ltYWdlL2ltYWdlXkEyXkFqcGdeQXVyNTI4MjkwNjA@._V1_UX67_CR0,0,67,98_AL_.jpg</t>
  </si>
  <si>
    <t>https://m.media-amazon.com/images/M/MV5BMDIzODcyY2EtMmY2MC00ZWVlLTgwMzAtMjQwOWUyNmJjNTYyXkEyXkFqcGdeQXVyNDk3NzU2MTQ@._V1_UX67_CR0,0,67,98_AL_.jpg</t>
  </si>
  <si>
    <t>https://m.media-amazon.com/images/M/MV5BMmExZTZhN2QtMzg5Mi00Y2M5LTlmMWYtNTUzMzUwMGM2OGQ3XkEyXkFqcGdeQXVyNTA4NzY1MzY@._V1_UX67_CR0,0,67,98_AL_.jpg</t>
  </si>
  <si>
    <t>https://m.media-amazon.com/images/M/MV5BMTQ0NjUzMDMyOF5BMl5BanBnXkFtZTgwODA1OTU0MDE@._V1_UX67_CR0,0,67,98_AL_.jpg</t>
  </si>
  <si>
    <t>https://m.media-amazon.com/images/M/MV5BYjZjODRlMjQtMjJlYy00ZDBjLTkyYTQtZGQxZTk5NzJhYmNmXkEyXkFqcGdeQXVyMTQxNzMzNDI@._V1_UY98_CR1,0,67,98_AL_.jpg</t>
  </si>
  <si>
    <t>https://m.media-amazon.com/images/M/MV5BMzA5Zjc3ZTMtMmU5YS00YTMwLWI4MWUtYTU0YTVmNjVmODZhXkEyXkFqcGdeQXVyNjU0OTQ0OTY@._V1_UX67_CR0,0,67,98_AL_.jpg</t>
  </si>
  <si>
    <t>https://m.media-amazon.com/images/M/MV5BNDJiZDgyZjctYmRjMS00ZjdkLTkwMTEtNGU1NDg3NDQ0Yzk1XkEyXkFqcGdeQXVyNzkwMjQ5NzM@._V1_UX67_CR0,0,67,98_AL_.jpg</t>
  </si>
  <si>
    <t>https://m.media-amazon.com/images/M/MV5BNzI4YTVmMWEtMWQ3MS00OGE1LWE5YjMtNjc4NWJmYjRmZTQyXkEyXkFqcGdeQXVyNTA4NzY1MzY@._V1_UY98_CR0,0,67,98_AL_.jpg</t>
  </si>
  <si>
    <t>https://m.media-amazon.com/images/M/MV5BNDNiOTA5YjktY2Q0Ni00ODgzLWE5MWItNGExOWRlYjY2MjBlXkEyXkFqcGdeQXVyNjQ2MjQ5NzM@._V1_UY98_CR1,0,67,98_AL_.jpg</t>
  </si>
  <si>
    <t>https://m.media-amazon.com/images/M/MV5BYmNjYzRlM2YtZTZjZC00ODVmLTljZWMtODg1YmYyNDBiNzU3XkEyXkFqcGdeQXVyNTkzNDQ4ODc@._V1_UY98_CR3,0,67,98_AL_.jpg</t>
  </si>
  <si>
    <t>https://m.media-amazon.com/images/M/MV5BZDdiZTAwYzAtMDI3Ni00OTRjLTkzN2UtMGE3MDMyZmU4NTU4XkEyXkFqcGdeQXVyNjU0OTQ0OTY@._V1_UX67_CR0,0,67,98_AL_.jpg</t>
  </si>
  <si>
    <t>https://m.media-amazon.com/images/M/MV5BYTg1MmNiMjItMmY4Yy00ZDQ3LThjMzYtZGQ0ZTQzNTdkMGQ1L2ltYWdlL2ltYWdlXkEyXkFqcGdeQXVyMTQxNzMzNDI@._V1_UX67_CR0,0,67,98_AL_.jpg</t>
  </si>
  <si>
    <t>https://m.media-amazon.com/images/M/MV5BMGQ5MzljNzYtMDM1My00NmI0LThlYzQtMTg0ZmQ0MTk1YjkxXkEyXkFqcGdeQXVyNTAyODkwOQ@@._V1_UY98_CR1,0,67,98_AL_.jpg</t>
  </si>
  <si>
    <t>https://m.media-amazon.com/images/M/MV5BMjM2MDgxMDg0Nl5BMl5BanBnXkFtZTgwNTM2OTM5NDE@._V1_UX67_CR0,0,67,98_AL_.jpg</t>
  </si>
  <si>
    <t>https://m.media-amazon.com/images/M/MV5BMmYyOTgwYWItYmU3Ny00M2E2LTk0NWMtMDVlNmQ0MWZiMTMxXkEyXkFqcGdeQXVyNzkwMjQ5NzM@._V1_UX67_CR0,0,67,98_AL_.jpg</t>
  </si>
  <si>
    <t>https://m.media-amazon.com/images/M/MV5BYmFhZmM3Y2MtNDA1Ny00NjkzLWJkM2EtYWU1ZjEwYmNjZDQ0XkEyXkFqcGdeQXVyMTMxMTY0OTQ@._V1_UX67_CR0,0,67,98_AL_.jpg</t>
  </si>
  <si>
    <t>https://m.media-amazon.com/images/M/MV5BMjEzNjY5NDcwNV5BMl5BanBnXkFtZTcwNzEwMzg4NA@@._V1_UX67_CR0,0,67,98_AL_.jpg</t>
  </si>
  <si>
    <t>https://m.media-amazon.com/images/M/MV5BOGYwYWNjMzgtNGU4ZC00NWQ2LWEwZjUtMzE1Zjc3NjY3YTU1XkEyXkFqcGdeQXVyMTQxNzMzNDI@._V1_UX67_CR0,0,67,98_AL_.jpg</t>
  </si>
  <si>
    <t>https://m.media-amazon.com/images/M/MV5BODJmY2Y2OGQtMDg2My00N2Q3LWJmZTUtYTc2ODBjZDVlNDlhXkEyXkFqcGdeQXVyMTQxNzMzNDI@._V1_UX67_CR0,0,67,98_AL_.jpg</t>
  </si>
  <si>
    <t>https://m.media-amazon.com/images/M/MV5BMzRjZjdlMjQtODVkYS00N2YzLWJlYWYtMGVlN2E5MWEwMWQzXkEyXkFqcGdeQXVyMTQxNzMzNDI@._V1_UX67_CR0,0,67,98_AL_.jpg</t>
  </si>
  <si>
    <t>https://m.media-amazon.com/images/M/MV5BM2RjMmU3ZWItYzBlMy00ZmJkLWE5YzgtNTVkODdhOWM3NGZhXkEyXkFqcGdeQXVyNDA5Mjg5MjA@._V1_UX67_CR0,0,67,98_AL_.jpg</t>
  </si>
  <si>
    <t>https://m.media-amazon.com/images/M/MV5BZWFkN2ZhODAtYTNkZS00Y2NjLWIzNDYtNzJjNDNlMzAyNTIyXkEyXkFqcGdeQXVyODEzNjM5OTQ@._V1_UY98_CR1,0,67,98_AL_.jpg</t>
  </si>
  <si>
    <t>https://m.media-amazon.com/images/M/MV5BNGViZWZmM2EtNGYzZi00ZDAyLTk3ODMtNzIyZTBjN2Y1NmM1XkEyXkFqcGdeQXVyNTAyODkwOQ@@._V1_UX67_CR0,0,67,98_AL_.jpg</t>
  </si>
  <si>
    <t>https://m.media-amazon.com/images/M/MV5BZDhlZTYxOTYtYTk3Ny00ZDljLTk3ZmItZTcxZWU5YTIyYmFkXkEyXkFqcGdeQXVyMTQxNzMzNDI@._V1_UX67_CR0,0,67,98_AL_.jpg</t>
  </si>
  <si>
    <t>https://m.media-amazon.com/images/M/MV5BYjIzNTYxMTctZjAwNS00YzI3LWExMGMtMGQxNGM5ZTc1NzhlXkEyXkFqcGdeQXVyMTQxNzMzNDI@._V1_UX67_CR0,0,67,98_AL_.jpg</t>
  </si>
  <si>
    <t>https://m.media-amazon.com/images/M/MV5BZmQzMDE5ZWQtOTU3ZS00ZjdhLWI0OTctZDNkODk4YThmOTRhL2ltYWdlXkEyXkFqcGdeQXVyNjc1NTYyMjg@._V1_UX67_CR0,0,67,98_AL_.jpg</t>
  </si>
  <si>
    <t>https://m.media-amazon.com/images/M/MV5BNzQzMzJhZTEtOWM4NS00MTdhLTg0YjgtMjM4MDRkZjUwZDBlXkEyXkFqcGdeQXVyNjU0OTQ0OTY@._V1_UX67_CR0,0,67,98_AL_.jpg</t>
  </si>
  <si>
    <t>https://m.media-amazon.com/images/M/MV5BMDVjNjIwOGItNDE3Ny00OThjLWE0NzQtZTU3YjMzZTZjMzhkXkEyXkFqcGdeQXVyMTQxNzMzNDI@._V1_UX67_CR0,0,67,98_AL_.jpg</t>
  </si>
  <si>
    <t>https://m.media-amazon.com/images/M/MV5BMzAwNjU1OTktYjY3Mi00NDY5LWFlZWUtZjhjNGE0OTkwZDkwXkEyXkFqcGdeQXVyMTQxNzMzNDI@._V1_UX67_CR0,0,67,98_AL_.jpg</t>
  </si>
  <si>
    <t>https://m.media-amazon.com/images/M/MV5BNDhmNTA0ZDMtYjhkNS00NzEzLWIzYTItOGNkMTVmYjE2YmI3XkEyXkFqcGdeQXVyNzkwMjQ5NzM@._V1_UX67_CR0,0,67,98_AL_.jpg</t>
  </si>
  <si>
    <t>https://m.media-amazon.com/images/M/MV5BMTY5MDMzODUyOF5BMl5BanBnXkFtZTcwMTQ3NTMyNA@@._V1_UX67_CR0,0,67,98_AL_.jpg</t>
  </si>
  <si>
    <t>https://m.media-amazon.com/images/M/MV5BZGNjYjM2MzItZGQzZi00NmY3LTgxOGUtMTQ2MWQxNWQ2MmMwXkEyXkFqcGdeQXVyNzM0MTUwNTY@._V1_UX67_CR0,0,67,98_AL_.jpg</t>
  </si>
  <si>
    <t>https://m.media-amazon.com/images/M/MV5BNmY0MWY2NDctZDdmMi00MjA1LTk0ZTQtZDMyZTQ1NTNlYzVjXkEyXkFqcGdeQXVyMjUzOTY1NTc@._V1_UX67_CR0,0,67,98_AL_.jpg</t>
  </si>
  <si>
    <t>https://m.media-amazon.com/images/M/MV5BMTg1MDg3OTk3M15BMl5BanBnXkFtZTgwMDEzMzE5MTE@._V1_UY98_CR0,0,67,98_AL_.jpg</t>
  </si>
  <si>
    <t>https://m.media-amazon.com/images/M/MV5BOGMwYmY5ZmEtMzY1Yi00OWJiLTk1Y2MtMzI2MjBhYmZkNTQ0XkEyXkFqcGdeQXVyNzkwMjQ5NzM@._V1_UX67_CR0,0,67,98_AL_.jpg</t>
  </si>
  <si>
    <t>https://m.media-amazon.com/images/M/MV5BOWVmYzQwY2MtOTBjNi00MDNhLWI5OGMtN2RiMDYxODI3MjU5XkEyXkFqcGdeQXVyMjUzOTY1NTc@._V1_UX67_CR0,0,67,98_AL_.jpg</t>
  </si>
  <si>
    <t>https://m.media-amazon.com/images/M/MV5BMTg3NzYzOTEtNmE2Ni00M2EyLWJhMjctNjMyMTk4ZTViOGUzXkEyXkFqcGdeQXVyNzQxNDExNTU@._V1_UY98_CR0,0,67,98_AL_.jpg</t>
  </si>
  <si>
    <t>https://m.media-amazon.com/images/M/MV5BZmY4Yjc0OWQtZDRhMy00ODc2LWI2NGYtMWFlODYyN2VlNDQyXkEyXkFqcGdeQXVyNjU0OTQ0OTY@._V1_UY98_CR1,0,67,98_AL_.jpg</t>
  </si>
  <si>
    <t>https://m.media-amazon.com/images/M/MV5BMWFjZjRiM2QtZmRkOC00MDUxLTlhYmQtYmY5ZTNiMTI5Nzc2L2ltYWdlXkEyXkFqcGdeQXVyNTAyODkwOQ@@._V1_UX67_CR0,0,67,98_AL_.jpg</t>
  </si>
  <si>
    <t>https://m.media-amazon.com/images/M/MV5BOWFlNzZhYmYtYTI5YS00MDQyLWIyNTUtNTRjMWUwNTEzNjA0XkEyXkFqcGdeQXVyNjUwNzk3NDc@._V1_UX67_CR0,0,67,98_AL_.jpg</t>
  </si>
  <si>
    <t>https://m.media-amazon.com/images/M/MV5BMTM0YzExY2EtMjUyZi00ZmIwLWFkYTktNjY5NmVkYTdkMjI5XkEyXkFqcGdeQXVyNzQxNDExNTU@._V1_UY98_CR0,0,67,98_AL_.jpg</t>
  </si>
  <si>
    <t>https://m.media-amazon.com/images/M/MV5BNjM2MjMwNzUzN15BMl5BanBnXkFtZTgwMjEzMzE5MTE@._V1_UY98_CR2,0,67,98_AL_.jpg</t>
  </si>
  <si>
    <t>https://m.media-amazon.com/images/M/MV5BZWEzMGY4OTQtYTdmMy00M2QwLTliYTQtYWUzYzc3OTA5YzIwXkEyXkFqcGdeQXVyNjc1NTYyMjg@._V1_UY98_CR1,0,67,98_AL_.jpg</t>
  </si>
  <si>
    <t>https://m.media-amazon.com/images/M/MV5BZTg3M2ExY2EtZmI5Yy00YWM1LTg4NzItZWEzZTgxNzE2MjhhXkEyXkFqcGdeQXVyNDE5MTU2MDE@._V1_UX67_CR0,0,67,98_AL_.jpg</t>
  </si>
  <si>
    <t>https://m.media-amazon.com/images/M/MV5BZmI0M2VmNTgtMWVhYS00Zjg1LTk1YTYtNmJmMjRkZmMwYTc2XkEyXkFqcGdeQXVyNTA4NzY1MzY@._V1_UX67_CR0,0,67,98_AL_.jpg</t>
  </si>
  <si>
    <t>https://m.media-amazon.com/images/M/MV5BZmY3MDlmODctYTY3Yi00NzYyLWIxNTUtYjVlZWZjMmMwZTBkXkEyXkFqcGdeQXVyMzAxNjg3MjQ@._V1_UX67_CR0,0,67,98_AL_.jpg</t>
  </si>
  <si>
    <t>https://m.media-amazon.com/images/M/MV5BMGEyNzhkYzktMGMyZS00YzRiLWJlYjktZjJkOTU5ZDY0ZGI4XkEyXkFqcGdeQXVyNjUwNzk3NDc@._V1_UX67_CR0,0,67,98_AL_.jpg</t>
  </si>
  <si>
    <t>https://m.media-amazon.com/images/M/MV5BYTYzYzBhYjQtNDQxYS00MmUwLTkyZjgtZWVkOWFjNzE5OTI2XkEyXkFqcGdeQXVyNjMxMjkwMjI@._V1_UX67_CR0,0,67,98_AL_.jpg</t>
  </si>
  <si>
    <t>https://m.media-amazon.com/images/M/MV5BZjgyMzZkMGUtNTBhZC00OTkzLWI4ZmMtYzcwMzc5MjQ0YTM3XkEyXkFqcGdeQXVyMTMxMTY0OTQ@._V1_UY98_CR3,0,67,98_AL_.jpg</t>
  </si>
  <si>
    <t>https://m.media-amazon.com/images/M/MV5BMGQ5ODNkNWYtYTgxZS00YjJkLThhODAtYzUwNGNiYjRmNjdkXkEyXkFqcGdeQXVyMTg2NTc4MzA@._V1_UY98_CR4,0,67,98_AL_.jpg</t>
  </si>
  <si>
    <t>https://m.media-amazon.com/images/M/MV5BYTQ4MjA4NmYtYjRhNi00MTEwLTg0NjgtNjk3ODJlZGU4NjRkL2ltYWdlL2ltYWdlXkEyXkFqcGdeQXVyNjU0OTQ0OTY@._V1_UY98_CR3,0,67,98_AL_.jpg</t>
  </si>
  <si>
    <t>https://m.media-amazon.com/images/M/MV5BNjgxY2JiZDYtZmMwOC00ZmJjLWJmODUtMTNmNWNmYWI5ODkwL2ltYWdlL2ltYWdlXkEyXkFqcGdeQXVyNjc1NTYyMjg@._V1_UX67_CR0,0,67,98_AL_.jpg</t>
  </si>
  <si>
    <t>https://m.media-amazon.com/images/M/MV5BYjJkN2Y5MTktZDRhOS00NTUwLWFiMzEtMTVlNWU4ODM0Y2E5XkEyXkFqcGdeQXVyNjc1NTYyMjg@._V1_UY98_CR1,0,67,98_AL_.jpg</t>
  </si>
  <si>
    <t>https://m.media-amazon.com/images/M/MV5BOTdhNmUxZmQtNmMwNC00MzE3LWE1MTUtZDgxZTYwYjEzZjcwXkEyXkFqcGdeQXVyNTA1NjYyMDk@._V1_UY98_CR0,0,67,98_AL_.jpg</t>
  </si>
  <si>
    <t>https://m.media-amazon.com/images/M/MV5BNGYxZjA2M2ItYTRmNS00NzRmLWJkYzgtYTdiNGFlZDI5ZjNmXkEyXkFqcGdeQXVyNDE5MTU2MDE@._V1_UY98_CR0,0,67,98_AL_.jpg</t>
  </si>
  <si>
    <t>https://m.media-amazon.com/images/M/MV5BMGVhNjhjODktODgxYS00MDdhLTlkZjktYTkyNzQxMTU0ZDYxXkEyXkFqcGdeQXVyNzkwMjQ5NzM@._V1_UX67_CR0,0,67,98_AL_.jpg</t>
  </si>
  <si>
    <t>https://m.media-amazon.com/images/M/MV5BY2I0MWFiZDMtNWQyYy00Njk5LTk3MDktZjZjNTNmZmVkYjkxXkEyXkFqcGdeQXVyNjc1NTYyMjg@._V1_UX67_CR0,0,67,98_AL_.jpg</t>
  </si>
  <si>
    <t>https://m.media-amazon.com/images/M/MV5BZDdkNzMwZmUtY2Q5MS00ZmM2LWJhYjItYTBjMWY0MGM4MDRjXkEyXkFqcGdeQXVyNTA4NzY1MzY@._V1_UY98_CR0,0,67,98_AL_.jpg</t>
  </si>
  <si>
    <t>https://m.media-amazon.com/images/M/MV5BNDUzZjlhZTYtN2E5MS00ODQ3LWI1ZjgtNzdiZmI0NTZiZTljXkEyXkFqcGdeQXVyMjI4MjA5MzA@._V1_UX67_CR0,0,67,98_AL_.jpg</t>
  </si>
  <si>
    <t>https://m.media-amazon.com/images/M/MV5BZmI5NTA3MjItYzdhMi00MWMxLTg3OWMtYWQyYjg5MTFmM2U0L2ltYWdlL2ltYWdlXkEyXkFqcGdeQXVyNjc1NTYyMjg@._V1_UX67_CR0,0,67,98_AL_.jpg</t>
  </si>
  <si>
    <t>https://m.media-amazon.com/images/M/MV5BYjE2OTdhMWUtOGJlMy00ZDViLWIzZjgtYjZkZGZmMDZjYmEyXkEyXkFqcGdeQXVyNzkwMjQ5NzM@._V1_UX67_CR0,0,67,98_AL_.jpg</t>
  </si>
  <si>
    <t>https://m.media-amazon.com/images/M/MV5BOWRmNGEwZjUtZjEwNS00OGZmLThhMmEtZTJlMTU5MGQ3ZWUwXkEyXkFqcGdeQXVyNjc1NTYyMjg@._V1_UX67_CR0,0,67,98_AL_.jpg</t>
  </si>
  <si>
    <t>https://m.media-amazon.com/images/M/MV5BNzc1MTcyNTQ5N15BMl5BanBnXkFtZTgwMzgwMDI0MjE@._V1_UX67_CR0,0,67,98_AL_.jpg</t>
  </si>
  <si>
    <t>https://m.media-amazon.com/images/M/MV5BYTcxYWExOTMtMWFmYy00ZjgzLWI0YjktNWEzYzJkZTg0NDdmL2ltYWdlXkEyXkFqcGdeQXVyNjc1NTYyMjg@._V1_UY98_CR0,0,67,98_AL_.jpg</t>
  </si>
  <si>
    <t>https://m.media-amazon.com/images/M/MV5BZTYwYjYxYzgtMDE1Ni00NzU4LWJlMTEtODQ5YmJmMGJhZjI5L2ltYWdlXkEyXkFqcGdeQXVyMDI2NDg0NQ@@._V1_UX67_CR0,0,67,98_AL_.jpg</t>
  </si>
  <si>
    <t>https://m.media-amazon.com/images/M/MV5BYjUyZWZkM2UtMzYxYy00ZmQ3LWFmZTQtOGE2YjBkNjA3YWZlXkEyXkFqcGdeQXVyNzkwMjQ5NzM@._V1_UX67_CR0,0,67,98_AL_.jpg</t>
  </si>
  <si>
    <t>https://m.media-amazon.com/images/M/MV5BMTg3MTI5NTk0N15BMl5BanBnXkFtZTgwMjU1MDM5MTE@._V1_UY98_CR2,0,67,98_AL_.jpg</t>
  </si>
  <si>
    <t>https://m.media-amazon.com/images/M/MV5BYzJmMWE5NjAtNWMyZS00NmFiLWIwMDgtZDE2NzczYWFhNzIzXkEyXkFqcGdeQXVyNjc1NTYyMjg@._V1_UX67_CR0,0,67,98_AL_.jpg</t>
  </si>
  <si>
    <t>https://m.media-amazon.com/images/M/MV5BNjBjNDJiYTUtOWY0OS00OGVmLTg2YzctMTE0NzVhODM1ZWJmXkEyXkFqcGdeQXVyNjU0OTQ0OTY@._V1_UX67_CR0,0,67,98_AL_.jpg</t>
  </si>
  <si>
    <t>https://m.media-amazon.com/images/M/MV5BM2QwYWQ0MWMtNzcwOC00N2Q2LWE1MDEtZmQxZjhiM2U1YzFhXkEyXkFqcGdeQXVyMTQxNzMzNDI@._V1_UX67_CR0,0,67,98_AL_.jpg</t>
  </si>
  <si>
    <t>https://m.media-amazon.com/images/M/MV5BNDVkYmYwM2ItNzRiMy00NWQ4LTlhMjMtNDI1ZDYyOGVmMzJjXkEyXkFqcGdeQXVyNTgzMzU5MDI@._V1_UX67_CR0,0,67,98_AL_.jpg</t>
  </si>
  <si>
    <t>https://m.media-amazon.com/images/M/MV5BYmRiMDFlYjYtOTMwYy00OGY2LWE0Y2QtYzQxOGNhZmUwNTIxXkEyXkFqcGdeQXVyNzkwMjQ5NzM@._V1_UX67_CR0,0,67,98_AL_.jpg</t>
  </si>
  <si>
    <t>https://m.media-amazon.com/images/M/MV5BNWJiNGJiMTEtMGM3OC00ZWNlLTgwZTgtMzdhNTRiZjk5MTQ1XkEyXkFqcGdeQXVyMTMxODk2OTU@._V1_UY98_CR1,0,67,98_AL_.jpg</t>
  </si>
  <si>
    <t>https://m.media-amazon.com/images/M/MV5BNjZlMDdmN2YtYThmZi00NGQzLTk0ZTQtNTUyZDFmODExOGNiXkEyXkFqcGdeQXVyODE5NzE3OTE@._V1_UY98_CR0,0,67,98_AL_.jpg</t>
  </si>
  <si>
    <t>https://m.media-amazon.com/images/M/MV5BNjJkYTc5N2UtMGRlMC00M2FmLTk0ZWMtOTYxNDUwNjI2YzljXkEyXkFqcGdeQXVyNDg4NjY5OTQ@._V1_UX67_CR0,0,67,98_AL_.jpg</t>
  </si>
  <si>
    <t>https://m.media-amazon.com/images/M/MV5BMGE1ZTkyOTMtMTdiZS00YzI2LTlmYWQtOTE5YWY0NWVlNjlmXkEyXkFqcGdeQXVyNjQ3ODkxMjE@._V1_UY98_CR0,0,67,98_AL_.jpg</t>
  </si>
  <si>
    <t>https://m.media-amazon.com/images/M/MV5BMjE1NjQ5ODc2NV5BMl5BanBnXkFtZTgwOTM5ODIxNjE@._V1_UY98_CR0,0,67,98_AL_.jpg</t>
  </si>
  <si>
    <t>https://m.media-amazon.com/images/M/MV5BYTdhNjBjZDctYTlkYy00ZGIxLWFjYTktODk5ZjNlMzI4NjI3XkEyXkFqcGdeQXVyMjY1MjkzMjE@._V1_UY98_CR0,0,67,98_AL_.jpg</t>
  </si>
  <si>
    <t>https://m.media-amazon.com/images/M/MV5BMzUzNDM2NzM2MV5BMl5BanBnXkFtZTgwNTM3NTg4OTE@._V1_UX67_CR0,0,67,98_AL_.jpg</t>
  </si>
  <si>
    <t>https://m.media-amazon.com/images/M/MV5BMjA3NjkzNjg2MF5BMl5BanBnXkFtZTgwMDkyMzgzMDI@._V1_UX67_CR0,0,67,98_AL_.jpg</t>
  </si>
  <si>
    <t>https://m.media-amazon.com/images/M/MV5BMTc2MTQ3MDA1Nl5BMl5BanBnXkFtZTgwODA3OTI4NjE@._V1_UX67_CR0,0,67,98_AL_.jpg</t>
  </si>
  <si>
    <t>https://m.media-amazon.com/images/M/MV5BOTMyMjEyNzIzMV5BMl5BanBnXkFtZTgwNzIyNjU0NzE@._V1_UX67_CR0,0,67,98_AL_.jpg</t>
  </si>
  <si>
    <t>https://m.media-amazon.com/images/M/MV5BYWVlMjVhZWYtNWViNC00ODFkLTk1MmItYjU1MDY5ZDdhMTU3XkEyXkFqcGdeQXVyODIwMDI1NjM@._V1_UX67_CR0,0,67,98_AL_.jpg</t>
  </si>
  <si>
    <t>https://m.media-amazon.com/images/M/MV5BNThmMWMyMWMtOWRiNy00MGY0LTg1OTUtNjYzODg2MjdlZGU5XkEyXkFqcGdeQXVyMTMxODk2OTU@._V1_UY98_CR1,0,67,98_AL_.jpg</t>
  </si>
  <si>
    <t>https://m.media-amazon.com/images/M/MV5BYjFhOWY0OTgtNDkzMC00YWJkLTk1NGEtYWUxNjhmMmQ5ZjYyXkEyXkFqcGdeQXVyMjMxOTE0ODA@._V1_UX67_CR0,0,67,98_AL_.jpg</t>
  </si>
  <si>
    <t>https://m.media-amazon.com/images/M/MV5BZDkzMTQ1YTMtMWY4Ny00MzExLTkzYzEtNzZhOTczNzU2NTU1XkEyXkFqcGdeQXVyODY3NjMyMDU@._V1_UY98_CR4,0,67,98_AL_.jpg</t>
  </si>
  <si>
    <t>https://m.media-amazon.com/images/M/MV5BMTQ1NDI5MjMzNF5BMl5BanBnXkFtZTcwMTc0MDQwOQ@@._V1_UY98_CR0,0,67,98_AL_.jpg</t>
  </si>
  <si>
    <t>https://m.media-amazon.com/images/M/MV5BMTEwNjE2OTM4NDZeQTJeQWpwZ15BbWU3MDE2MTE4OTk@._V1_UX67_CR0,0,67,98_AL_.jpg</t>
  </si>
  <si>
    <t>https://m.media-amazon.com/images/M/MV5BMTg5MTE2NjA4OV5BMl5BanBnXkFtZTgwMTUyMjczMTE@._V1_UX67_CR0,0,67,98_AL_.jpg</t>
  </si>
  <si>
    <t>https://m.media-amazon.com/images/M/MV5BOTgwMzFiMWYtZDhlNS00ODNkLWJiODAtZDVhNzgyNzJhYjQ4L2ltYWdlXkEyXkFqcGdeQXVyNzEzOTYxNTQ@._V1_UX67_CR0,0,67,98_AL_.jpg</t>
  </si>
  <si>
    <t>https://m.media-amazon.com/images/M/MV5BMTAwMjU5OTgxNjZeQTJeQWpwZ15BbWU4MDUxNDYxODEx._V1_UX67_CR0,0,67,98_AL_.jpg</t>
  </si>
  <si>
    <t>https://m.media-amazon.com/images/M/MV5BNzA1Njg4NzYxOV5BMl5BanBnXkFtZTgwODk5NjU3MzI@._V1_UX67_CR0,0,67,98_AL_.jpg</t>
  </si>
  <si>
    <t>https://m.media-amazon.com/images/M/MV5BMjA1Nzk0OTM2OF5BMl5BanBnXkFtZTgwNjU2NjEwMDE@._V1_UX67_CR0,0,67,98_AL_.jpg</t>
  </si>
  <si>
    <t>https://m.media-amazon.com/images/M/MV5BMTA2NDc3Njg5NDVeQTJeQWpwZ15BbWU4MDc1NDcxNTUz._V1_UX67_CR0,0,67,98_AL_.jpg</t>
  </si>
  <si>
    <t>https://m.media-amazon.com/images/M/MV5BMDE5OWMzM2QtOTU2ZS00NzAyLWI2MDEtOTRlYjIxZGM0OWRjXkEyXkFqcGdeQXVyODE5NzE3OTE@._V1_UX67_CR0,0,67,98_AL_.jpg</t>
  </si>
  <si>
    <t>https://m.media-amazon.com/images/M/MV5BZThjMmQ5YjktMTUyMC00MjljLWJmMTAtOWIzNDIzY2VhNzQ0XkEyXkFqcGdeQXVyMTAyNjg4NjE0._V1_UX67_CR0,0,67,98_AL_.jpg</t>
  </si>
  <si>
    <t>https://m.media-amazon.com/images/M/MV5BMjEzMzMxOTUyNV5BMl5BanBnXkFtZTcwNjI3MDc5Ng@@._V1_UX67_CR0,0,67,98_AL_.jpg</t>
  </si>
  <si>
    <t>https://m.media-amazon.com/images/M/MV5BMzU5MjEwMTg2Nl5BMl5BanBnXkFtZTcwNzM3MTYxNA@@._V1_UY98_CR0,0,67,98_AL_.jpg</t>
  </si>
  <si>
    <t>https://m.media-amazon.com/images/M/MV5BMTM5OTMyMjIxOV5BMl5BanBnXkFtZTcwNzU4MjIwNQ@@._V1_UX67_CR0,0,67,98_AL_.jpg</t>
  </si>
  <si>
    <t>https://m.media-amazon.com/images/M/MV5BYzE5MjY1ZDgtMTkyNC00MTMyLThhMjAtZGI5OTE1NzFlZGJjXkEyXkFqcGdeQXVyNjU0OTQ0OTY@._V1_UX67_CR0,0,67,98_AL_.jpg</t>
  </si>
  <si>
    <t>https://m.media-amazon.com/images/M/MV5BMTQ0MzQxODQ0MV5BMl5BanBnXkFtZTgwNTQ0NzY4NDE@._V1_UX67_CR0,0,67,98_AL_.jpg</t>
  </si>
  <si>
    <t>https://m.media-amazon.com/images/M/MV5BYjU1NjczNzYtYmFjOC00NzkxLTg4YTUtNGYzMTk3NTU0ZDE3XkEyXkFqcGdeQXVyNDUzOTQ5MjY@._V1_UY98_CR0,0,67,98_AL_.jpg</t>
  </si>
  <si>
    <t>https://m.media-amazon.com/images/M/MV5BNTFmMjM3M2UtOTIyZC00Zjk3LTkzODUtYTdhNGRmNzFhYzcyXkEyXkFqcGdeQXVyMTMxODk2OTU@._V1_UX67_CR0,0,67,98_AL_.jpg</t>
  </si>
  <si>
    <t>https://m.media-amazon.com/images/M/MV5BMTUyMTA4NDYzMV5BMl5BanBnXkFtZTcwMjk5MzcxMw@@._V1_UX67_CR0,0,67,98_AL_.jpg</t>
  </si>
  <si>
    <t>https://m.media-amazon.com/images/M/MV5BMjE2NjEyMDg0M15BMl5BanBnXkFtZTcwODYyODg5Mg@@._V1_UY98_CR0,0,67,98_AL_.jpg</t>
  </si>
  <si>
    <t>https://m.media-amazon.com/images/M/MV5BZmNjZWI3NzktYWI1Mi00OTAyLWJkNTYtMzUwYTFlZDA0Y2UwXkEyXkFqcGdeQXVyNjU0OTQ0OTY@._V1_UX67_CR0,0,67,98_AL_.jpg</t>
  </si>
  <si>
    <t>https://m.media-amazon.com/images/M/MV5BNzY2NzI4OTE5MF5BMl5BanBnXkFtZTcwMjMyNDY4Mw@@._V1_UX67_CR0,0,67,98_AL_.jpg</t>
  </si>
  <si>
    <t>https://m.media-amazon.com/images/M/MV5BYmI1ODU5ZjMtNWUyNC00YzllLThjNzktODE1M2E4OTVmY2E5XkEyXkFqcGdeQXVyMTExNzQzMDE0._V1_UY98_CR1,0,67,98_AL_.jpg</t>
  </si>
  <si>
    <t>https://m.media-amazon.com/images/M/MV5BNDYxNjQyMjAtNTdiOS00NGYwLWFmNTAtNThmYjU5ZGI2YTI1XkEyXkFqcGdeQXVyMTMxODk2OTU@._V1_UX67_CR0,0,67,98_AL_.jpg</t>
  </si>
  <si>
    <t>https://m.media-amazon.com/images/M/MV5BMGRkZThmYzEtYjQxZC00OWEzLThjYjAtYzFkMjY0NGZkZWI4XkEyXkFqcGdeQXVyNTAyODkwOQ@@._V1_UX67_CR0,0,67,98_AL_.jpg</t>
  </si>
  <si>
    <t>https://m.media-amazon.com/images/M/MV5BMTYwMTA4MzgyNF5BMl5BanBnXkFtZTgwMjEyMjE0MDE@._V1_UX67_CR0,0,67,98_AL_.jpg</t>
  </si>
  <si>
    <t>https://m.media-amazon.com/images/M/MV5BMTQ5NjQ0NDI3NF5BMl5BanBnXkFtZTcwNDI0MjEzMw@@._V1_UX67_CR0,0,67,98_AL_.jpg</t>
  </si>
  <si>
    <t>https://m.media-amazon.com/images/M/MV5BZDMxOGZhNWYtMzRlYy00Mzk5LWJjMjEtNmQ4NDU4M2QxM2UzXkEyXkFqcGdeQXVyNTA4NzY1MzY@._V1_UX67_CR0,0,67,98_AL_.jpg</t>
  </si>
  <si>
    <t>https://m.media-amazon.com/images/M/MV5BNGNiNmU2YTMtZmU4OS00MjM0LTlmYWUtMjVlYjAzYjE2N2RjXkEyXkFqcGdeQXVyNDk3NzU2MTQ@._V1_UX67_CR0,0,67,98_AL_.jpg</t>
  </si>
  <si>
    <t>https://m.media-amazon.com/images/M/MV5BMTM1ODIwNzM5OV5BMl5BanBnXkFtZTcwNjk5MDkyMQ@@._V1_UX67_CR0,0,67,98_AL_.jpg</t>
  </si>
  <si>
    <t>https://m.media-amazon.com/images/M/MV5BODZmYjMwNzEtNzVhNC00ZTRmLTk2M2UtNzE1MTQ2ZDAxNjc2XkEyXkFqcGdeQXVyMTQxNzMzNDI@._V1_UX67_CR0,0,67,98_AL_.jpg</t>
  </si>
  <si>
    <t>https://m.media-amazon.com/images/M/MV5BMTc3MjkzMDkxN15BMl5BanBnXkFtZTcwODAyMTU1MQ@@._V1_UX67_CR0,0,67,98_AL_.jpg</t>
  </si>
  <si>
    <t>https://m.media-amazon.com/images/M/MV5BMjE0MTY2MDI3NV5BMl5BanBnXkFtZTcwNTc1MzEzMQ@@._V1_UY98_CR2,0,67,98_AL_.jpg</t>
  </si>
  <si>
    <t>https://m.media-amazon.com/images/M/MV5BMTMzODU0NTkxMF5BMl5BanBnXkFtZTcwMjQ4MzMzMw@@._V1_UX67_CR0,0,67,98_AL_.jpg</t>
  </si>
  <si>
    <t>https://m.media-amazon.com/images/M/MV5BMDI5ZWJhOWItYTlhOC00YWNhLTlkNzctNDU5YTI1M2E1MWZhXkEyXkFqcGdeQXVyNTIzOTk5ODM@._V1_UX67_CR0,0,67,98_AL_.jpg</t>
  </si>
  <si>
    <t>https://m.media-amazon.com/images/M/MV5BNmFiYmJmN2QtNWQwMi00MzliLThiOWMtZjQxNGRhZTQ1MjgyXkEyXkFqcGdeQXVyNzQ1ODk3MTQ@._V1_UX67_CR0,0,67,98_AL_.jpg</t>
  </si>
  <si>
    <t>https://m.media-amazon.com/images/M/MV5BYmViZTY1OWEtMTQxMy00OGQ5LTgzZjAtYTQzOTYxNjliYTI4XkEyXkFqcGdeQXVyNjkxOTM4ODY@._V1_UY98_CR1,0,67,98_AL_.jpg</t>
  </si>
  <si>
    <t>https://m.media-amazon.com/images/M/MV5BZGYxOTRlM2MtNWRjZS00NDk2LWExM2EtMDFiYTgyMGJkZGYyXkEyXkFqcGdeQXVyMTA1NTM1NDI2._V1_UY98_CR1,0,67,98_AL_.jpg</t>
  </si>
  <si>
    <t>https://m.media-amazon.com/images/M/MV5BMjE0NDk2NjgwMV5BMl5BanBnXkFtZTYwMTgyMzA3._V1_UX67_CR0,0,67,98_AL_.jpg</t>
  </si>
  <si>
    <t>https://m.media-amazon.com/images/M/MV5BODEyYmQxZjUtZGQ0NS00ZTAwLTkwOGQtNGY2NzEwMWE0MDc3XkEyXkFqcGdeQXVyMTQxNzMzNDI@._V1_UX67_CR0,0,67,98_AL_.jpg</t>
  </si>
  <si>
    <t>https://m.media-amazon.com/images/M/MV5BYmVjNDIxODAtNWZiZi00ZDBlLWJmOTUtNDNjMGExNTViMzE1XkEyXkFqcGdeQXVyNTE0MDc0NTM@._V1_UX67_CR0,0,67,98_AL_.jpg</t>
  </si>
  <si>
    <t>https://m.media-amazon.com/images/M/MV5BM2U0NTcxOTktN2MwZS00N2Q2LWJlYWItMTg0NWIyMDIxNzU5L2ltYWdlXkEyXkFqcGdeQXVyNTAyODkwOQ@@._V1_UY98_CR1,0,67,98_AL_.jpg</t>
  </si>
  <si>
    <t>https://m.media-amazon.com/images/M/MV5BNGYyZGM5MGMtYTY2Ni00M2Y1LWIzNjQtYWUzM2VlNGVhMDNhXkEyXkFqcGdeQXVyMTMxODk2OTU@._V1_UX67_CR0,0,67,98_AL_.jpg</t>
  </si>
  <si>
    <t>https://m.media-amazon.com/images/M/MV5BMmU3NzIyODctYjVhOC00NzBmLTlhNWItMzBlODEwZTlmMjUzXkEyXkFqcGdeQXVyNTIzOTk5ODM@._V1_UX67_CR0,0,67,98_AL_.jpg</t>
  </si>
  <si>
    <t>https://m.media-amazon.com/images/M/MV5BMTY5OTU0OTc2NV5BMl5BanBnXkFtZTcwMzU4MDcyMQ@@._V1_UX67_CR0,0,67,98_AL_.jpg</t>
  </si>
  <si>
    <t>https://m.media-amazon.com/images/M/MV5BMjM2NTYxMTE3OV5BMl5BanBnXkFtZTgwNDgwNjgwMzE@._V1_UY98_CR3,0,67,98_AL_.jpg</t>
  </si>
  <si>
    <t>https://m.media-amazon.com/images/M/MV5BMTkwNTg2MTI1NF5BMl5BanBnXkFtZTcwMDM1MzUyMQ@@._V1_UX67_CR0,0,67,98_AL_.jpg</t>
  </si>
  <si>
    <t>https://m.media-amazon.com/images/M/MV5BMjA2MzM4NjkyMF5BMl5BanBnXkFtZTYwMTQ2ODc5._V1_UY98_CR2,0,67,98_AL_.jpg</t>
  </si>
  <si>
    <t>https://m.media-amazon.com/images/M/MV5BZjZlZDlkYTktMmU1My00ZDBiLWFlNjEtYTBhNjVhOTM4ZjJjXkEyXkFqcGdeQXVyMTMxODk2OTU@._V1_UX67_CR0,0,67,98_AL_.jpg</t>
  </si>
  <si>
    <t>https://m.media-amazon.com/images/M/MV5BZjk3YThkNDktNjZjMS00MTBiLTllNTAtYzkzMTU0N2QwYjJjXkEyXkFqcGdeQXVyMTMxODk2OTU@._V1_UX67_CR0,0,67,98_AL_.jpg</t>
  </si>
  <si>
    <t>https://m.media-amazon.com/images/M/MV5BNDVkYWMxNWEtNjc2MC00OGI5LWI3NmUtYWUwNDQyOTc3YmY5XkEyXkFqcGdeQXVyMTQxNzMzNDI@._V1_UX67_CR0,0,67,98_AL_.jpg</t>
  </si>
  <si>
    <t>https://m.media-amazon.com/images/M/MV5BNmE1MDk4OWEtYjk1NS00MWU2LTk5ZWItYjZhYmRkODRjMDc0XkEyXkFqcGdeQXVyNjE5MjUyOTM@._V1_UX67_CR0,0,67,98_AL_.jpg</t>
  </si>
  <si>
    <t>https://m.media-amazon.com/images/M/MV5BMmMzOWNhNTYtYmY0My00OGJiLWIzNDUtZWRhNGY0NWFjNzFmXkEyXkFqcGdeQXVyNjUxMDQ0MTg@._V1_UX67_CR0,0,67,98_AL_.jpg</t>
  </si>
  <si>
    <t>https://m.media-amazon.com/images/M/MV5BYTg3Yjc4N2QtZDdlNC00NmU2LWFiYjktYjI3NTMwMjk4M2FmXkEyXkFqcGdeQXVyMjgyNjk3MzE@._V1_UY98_CR4,0,67,98_AL_.jpg</t>
  </si>
  <si>
    <t>https://m.media-amazon.com/images/M/MV5BMjE3ZDA5ZmUtYTk1ZS00NmZmLWJhNTItYjIwZjUwN2RjNzIyXkEyXkFqcGdeQXVyMTkzODUwNzk@._V1_UX67_CR0,0,67,98_AL_.jpg</t>
  </si>
  <si>
    <t>https://m.media-amazon.com/images/M/MV5BMjIxNDU2Njk0OV5BMl5BanBnXkFtZTgwODc3Njc3NjE@._V1_UX67_CR0,0,67,98_AL_.jpg</t>
  </si>
  <si>
    <t>https://m.media-amazon.com/images/M/MV5BMTk2MjcxNjMzN15BMl5BanBnXkFtZTgwMTE3OTEwNjE@._V1_UY98_CR3,0,67,98_AL_.jpg</t>
  </si>
  <si>
    <t>https://m.media-amazon.com/images/M/MV5BNGY5NWIxMjAtODBjNC00MmZhLTk1ZTAtNGRhYThlOTNjMTQwXkEyXkFqcGdeQXVyNTc1NTQxODI@._V1_UX67_CR0,0,67,98_AL_.jpg</t>
  </si>
  <si>
    <t>https://m.media-amazon.com/images/M/MV5BY2QzMTIxNjItNGQyNy00MjQzLWJiYTItMzIyZjdkYjYyYjRlXkEyXkFqcGdeQXVyMTAwMzUyOTc@._V1_UX67_CR0,0,67,98_AL_.jpg</t>
  </si>
  <si>
    <t>https://m.media-amazon.com/images/M/MV5BN2Y2OWU4MWMtNmIyMy00YzMyLWI0Y2ItMTcyZDc3MTdmZDU4XkEyXkFqcGdeQXVyMTQxNzMzNDI@._V1_UX67_CR0,0,67,98_AL_.jpg</t>
  </si>
  <si>
    <t>https://m.media-amazon.com/images/M/MV5BYWRiYjQyOGItNzQ1Mi00MGI1LWE3NjItNTg1ZDQwNjUwNDM2XkEyXkFqcGdeQXVyNTAyODkwOQ@@._V1_UX67_CR0,0,67,98_AL_.jpg</t>
  </si>
  <si>
    <t>https://m.media-amazon.com/images/M/MV5BNWE4OTNiM2ItMjY4Ni00ZTViLWFiZmEtZGEyNGY2ZmNlMzIyXkEyXkFqcGdeQXVyMDU5NDcxNw@@._V1_UX67_CR0,0,67,98_AL_.jpg</t>
  </si>
  <si>
    <t>https://m.media-amazon.com/images/M/MV5BZWIxNzM5YzQtY2FmMS00Yjc3LWI1ZjUtNGVjMjMzZTIxZTIxXkEyXkFqcGdeQXVyNjU0OTQ0OTY@._V1_UX67_CR0,0,67,98_AL_.jpg</t>
  </si>
  <si>
    <t>https://m.media-amazon.com/images/M/MV5BNzZmMjAxNjQtZjQzOS00NjU4LWI0NDktZjlkZTgwNjVmNzU3XkEyXkFqcGdeQXVyNTI4MjkwNjA@._V1_UX67_CR0,0,67,98_AL_.jpg</t>
  </si>
  <si>
    <t>https://m.media-amazon.com/images/M/MV5BZTM3ZjA3NTctZThkYy00ODYyLTk2ZjItZmE0MmZlMTk3YjQwXkEyXkFqcGdeQXVyNTA4NzY1MzY@._V1_UX67_CR0,0,67,98_AL_.jpg</t>
  </si>
  <si>
    <t>https://m.media-amazon.com/images/M/MV5BY2Q2NDI1MjUtM2Q5ZS00MTFlLWJiYWEtNTZmNjQ3OGJkZDgxXkEyXkFqcGdeQXVyNTI4MjkwNjA@._V1_UX67_CR0,0,67,98_AL_.jpg</t>
  </si>
  <si>
    <t>https://m.media-amazon.com/images/M/MV5BYjYyODExMDctZjgwYy00ZjQwLWI4OWYtOGFlYjA4ZjEzNmY1XkEyXkFqcGdeQXVyNTAyODkwOQ@@._V1_UX67_CR0,0,67,98_AL_.jpg</t>
  </si>
  <si>
    <t>https://m.media-amazon.com/images/M/MV5BMzE5MDM1NDktY2I0OC00YWI5LTk2NzUtYjczNDczOWQxYjM0XkEyXkFqcGdeQXVyMTQxNzMzNDI@._V1_UX67_CR0,0,67,98_AL_.jpg</t>
  </si>
  <si>
    <t>https://m.media-amazon.com/images/M/MV5BMTY3OTI5NDczN15BMl5BanBnXkFtZTcwNDA0NDY3Mw@@._V1_UX67_CR0,0,67,98_AL_.jpg</t>
  </si>
  <si>
    <t>https://m.media-amazon.com/images/M/MV5BODA2MjU1NTI1MV5BMl5BanBnXkFtZTgwOTU4ODIwMjE@._V1_UX67_CR0,0,67,98_AL_.jpg</t>
  </si>
  <si>
    <t>https://m.media-amazon.com/images/M/MV5BMzVjNzI4NzYtMjE4NS00M2IzLWFkOWMtOTYwMWUzN2ZlNGVjL2ltYWdlL2ltYWdlXkEyXkFqcGdeQXVyMTQxNzMzNDI@._V1_UX67_CR0,0,67,98_AL_.jpg</t>
  </si>
  <si>
    <t>https://m.media-amazon.com/images/M/MV5BM2ZiZTk1ODgtMTZkNS00NTYxLWIxZTUtNWExZGYwZTRjODViXkEyXkFqcGdeQXVyMTE2MzA3MDM@._V1_UX67_CR0,0,67,98_AL_.jpg</t>
  </si>
  <si>
    <t>https://m.media-amazon.com/images/M/MV5BMGM4M2Q5N2MtNThkZS00NTc1LTk1NTItNWEyZjJjNDRmNDk5XkEyXkFqcGdeQXVyMjA0MDQ0Mjc@._V1_UX67_CR0,0,67,98_AL_.jpg</t>
  </si>
  <si>
    <t>https://m.media-amazon.com/images/M/MV5BMzMxZjUzOGQtOTFlOS00MzliLWJhNTUtOTgyNzYzMWQ2YzhmXkEyXkFqcGdeQXVyNjQ2MjQ5NzM@._V1_UY98_CR0,0,67,98_AL_.jpg</t>
  </si>
  <si>
    <t>https://m.media-amazon.com/images/M/MV5BZmYxOTA5YTEtNDY3Ni00YTE5LWE1MTgtYjc4ZWUxNWY3ZTkxXkEyXkFqcGdeQXVyNjQ2MjQ5NzM@._V1_UX67_CR0,0,67,98_AL_.jpg</t>
  </si>
  <si>
    <t>https://m.media-amazon.com/images/M/MV5BNTg0NmI1ZGQtZTUxNC00NTgxLThjMDUtZmRlYmEzM2MwOWYwXkEyXkFqcGdeQXVyMzM4MjM0Nzg@._V1_UY98_CR1,0,67,98_AL_.jpg</t>
  </si>
  <si>
    <t>https://m.media-amazon.com/images/M/MV5BYTViNzMxZjEtZGEwNy00MDNiLWIzNGQtZDY2MjQ1OWViZjFmXkEyXkFqcGdeQXVyNzkwMjQ5NzM@._V1_UX67_CR0,0,67,98_AL_.jpg</t>
  </si>
  <si>
    <t>https://m.media-amazon.com/images/M/MV5BMzJiZDRmOWUtYjE2MS00Mjc1LTg1ZDYtNTQxYWJkZTg1OTM4XkEyXkFqcGdeQXVyNjUwNzk3NDc@._V1_UX67_CR0,0,67,98_AL_.jpg</t>
  </si>
  <si>
    <t>https://m.media-amazon.com/images/M/MV5BMzFhNWVmNWItNGM5OC00NjZhLTk3YTQtMjE1ODUyOThlMjNmL2ltYWdlXkEyXkFqcGdeQXVyNTAyODkwOQ@@._V1_UX67_CR0,0,67,98_AL_.jpg</t>
  </si>
  <si>
    <t>https://m.media-amazon.com/images/M/MV5BNjAzNzJjYzQtMGFmNS00ZjAzLTkwMjgtMWIzYzFkMzM4Njg3XkEyXkFqcGdeQXVyMTY5Nzc4MDY@._V1_UX67_CR0,0,67,98_AL_.jpg</t>
  </si>
  <si>
    <t>https://m.media-amazon.com/images/M/MV5BZDg1OGQ4YzgtM2Y2NS00NjA3LWFjYTctMDRlMDI3NWE1OTUyXkEyXkFqcGdeQXVyMjUzOTY1NTc@._V1_UX67_CR0,0,67,98_AL_.jpg</t>
  </si>
  <si>
    <t>https://m.media-amazon.com/images/M/MV5BMmVmODY1MzEtYTMwZC00MzNhLWFkNDMtZjAwM2EwODUxZTA5XkEyXkFqcGdeQXVyNTAyODkwOQ@@._V1_UX67_CR0,0,67,98_AL_.jpg</t>
  </si>
  <si>
    <t>https://m.media-amazon.com/images/M/MV5BODExZmE2ZWItYTIzOC00MzI1LTgyNTktMDBhNmFhY2Y4OTQ3XkEyXkFqcGdeQXVyNjU0OTQ0OTY@._V1_UX67_CR0,0,67,98_AL_.jpg</t>
  </si>
  <si>
    <t>https://m.media-amazon.com/images/M/MV5BMTEwNjg2MjM2ODFeQTJeQWpwZ15BbWU4MDQ1MDU5OTEx._V1_UX67_CR0,0,67,98_AL_.jpg</t>
  </si>
  <si>
    <t>https://m.media-amazon.com/images/M/MV5BZGRjZjQ0NzAtYmZlNS00Zjc1LTk1YWItMDY5YzQxMzA4MTAzXkEyXkFqcGdeQXVyMjI4MjA5MzA@._V1_UX67_CR0,0,67,98_AL_.jpg</t>
  </si>
  <si>
    <t>https://m.media-amazon.com/images/M/MV5BYjhmMGMxZDYtMTkyNy00YWVmLTgyYmUtYTU3ZjcwNTBjN2I1XkEyXkFqcGdeQXVyNzkwMjQ5NzM@._V1_UX67_CR0,0,67,98_AL_.jpg</t>
  </si>
  <si>
    <t>https://m.media-amazon.com/images/M/MV5BM2EzZmFmMmItODY3Zi00NjdjLWE0MTYtZWQ3MGIyM2M4YjZhXkEyXkFqcGdeQXVyMzg2MzE2OTE@._V1_UX67_CR0,0,67,98_AL_.jpg</t>
  </si>
  <si>
    <t>https://m.media-amazon.com/images/M/MV5BNmVjNzZkZjQtYmM5ZC00M2I0LWJhNzktNDk3MGU1NWMxMjFjXkEyXkFqcGdeQXVyNjc1NTYyMjg@._V1_UX67_CR0,0,67,98_AL_.jpg</t>
  </si>
  <si>
    <t>https://m.media-amazon.com/images/M/MV5BMWMxNDYzNmUtYjFmNC00MGM2LWFmNzMtODhlMGNkNDg5MjE5XkEyXkFqcGdeQXVyNjE5MjUyOTM@._V1_UX67_CR0,0,67,98_AL_.jpg</t>
  </si>
  <si>
    <t>https://m.media-amazon.com/images/M/MV5BODFlYzU4YTItN2EwYi00ODI3LTkwNTQtMDdkNjM3YjMyMTgyXkEyXkFqcGdeQXVyNjc1NTYyMjg@._V1_UY98_CR0,0,67,98_AL_.jpg</t>
  </si>
  <si>
    <t>https://m.media-amazon.com/images/M/MV5BMTkyMTM2NDk5Nl5BMl5BanBnXkFtZTgwNzY1NzEyMDE@._V1_UX67_CR0,0,67,98_AL_.jpg</t>
  </si>
  <si>
    <t>https://m.media-amazon.com/images/M/MV5BZmEwZGU2NzctYzlmNi00MGJkLWE3N2MtYjBlN2ZhMGJkZTZiXkEyXkFqcGdeQXVyMTQxNzMzNDI@._V1_UX67_CR0,0,67,98_AL_.jpg</t>
  </si>
  <si>
    <t>https://m.media-amazon.com/images/M/MV5BMTg0NjUwMzg5NF5BMl5BanBnXkFtZTgwNDQ0NjcwMTE@._V1_UX67_CR0,0,67,98_AL_.jpg</t>
  </si>
  <si>
    <t>https://m.media-amazon.com/images/M/MV5BMTQ0ODc4MDk4Nl5BMl5BanBnXkFtZTcwMTEzNzgzNA@@._V1_UX67_CR0,0,67,98_AL_.jpg</t>
  </si>
  <si>
    <t>https://m.media-amazon.com/images/M/MV5BMjQ5ODI1MjQtMDc0Zi00OGQ1LWE2NTYtMTg1YTkxM2E5NzFkXkEyXkFqcGdeQXVyNTA4NzY1MzY@._V1_UX67_CR0,0,67,98_AL_.jpg</t>
  </si>
  <si>
    <t>https://m.media-amazon.com/images/M/MV5BODIxNjhkYjEtYzUyMi00YTNjLWE1YjktNjAyY2I2MWNkNmNmL2ltYWdlL2ltYWdlXkEyXkFqcGdeQXVyMTQxNzMzNDI@._V1_UY98_CR1,0,67,98_AL_.jpg</t>
  </si>
  <si>
    <t>https://m.media-amazon.com/images/M/MV5BNzdmZTk4MTktZmExNi00OWEwLTgxZDctNTE4NWMwNjc1Nzg2XkEyXkFqcGdeQXVyNjc1NTYyMjg@._V1_UX67_CR0,0,67,98_AL_.jpg</t>
  </si>
  <si>
    <t>https://m.media-amazon.com/images/M/MV5BYjA1MGVlMGItNzgxMC00OWY4LWI4YjEtNTNmYWIzMGUxOGQzXkEyXkFqcGdeQXVyNjc1NTYyMjg@._V1_UY98_CR0,0,67,98_AL_.jpg</t>
  </si>
  <si>
    <t>https://m.media-amazon.com/images/M/MV5BMTQ4MTA0NjEzMF5BMl5BanBnXkFtZTgwMDg4NDYxMzE@._V1_UY98_CR2,0,67,98_AL_.jpg</t>
  </si>
  <si>
    <t>https://m.media-amazon.com/images/M/MV5BNjMyZmI5NmItY2JlMi00NzU3LWI5ZGItZjhkOTE0YjEyN2Q4XkEyXkFqcGdeQXVyNDkzNTM2ODg@._V1_UX67_CR0,0,67,98_AL_.jpg</t>
  </si>
  <si>
    <t>https://m.media-amazon.com/images/M/MV5BNjhjODI2NTItMGE1ZS00NThiLWE1MmYtOWE3YzcyNzY1MTJlXkEyXkFqcGdeQXVyNTc1NTQxODI@._V1_UX67_CR0,0,67,98_AL_.jpg</t>
  </si>
  <si>
    <t>https://m.media-amazon.com/images/M/MV5BODQ0NzY5NGEtYTc5NC00Yjg4LTg4Y2QtZjE2MTkyYTNmNmU2L2ltYWdlL2ltYWdlXkEyXkFqcGdeQXVyNjc1NTYyMjg@._V1_UY98_CR1,0,67,98_AL_.jpg</t>
  </si>
  <si>
    <t>https://m.media-amazon.com/images/M/MV5BZDVhMTk1NjUtYjc0OS00OTE1LTk1NTYtYWMzMDI5OTlmYzU2XkEyXkFqcGdeQXVyNjc1NTYyMjg@._V1_UX67_CR0,0,67,98_AL_.jpg</t>
  </si>
  <si>
    <t>https://m.media-amazon.com/images/M/MV5BMzM0MzE2ZTAtZTBjZS00MTk5LTg5OTEtNjNmYmQ5NzU2OTUyXkEyXkFqcGdeQXVyNDY2MTk1ODk@._V1_UX67_CR0,0,67,98_AL_.jpg</t>
  </si>
  <si>
    <t>https://m.media-amazon.com/images/M/MV5BOTA1MjA3M2EtMmJjZS00OWViLTkwMTEtM2E5ZDk0NTAyNGJiXkEyXkFqcGdeQXVyNzkwMjQ5NzM@._V1_UX67_CR0,0,67,98_AL_.jpg</t>
  </si>
  <si>
    <t>https://m.media-amazon.com/images/M/MV5BMzFhNTMwNDMtZjY3Yy00NzY3LWI1ZWQtZTQxMWJmODVhZWFkXkEyXkFqcGdeQXVyNjQzNDI3NzY@._V1_UX67_CR0,0,67,98_AL_.jpg</t>
  </si>
  <si>
    <t>https://m.media-amazon.com/images/M/MV5BMjE5NTU3YWYtOWIxNi00YWZhLTg2NzktYzVjZWY5MDQ4NzVlXkEyXkFqcGdeQXVyNjc1NTYyMjg@._V1_UX67_CR0,0,67,98_AL_.jpg</t>
  </si>
  <si>
    <t>https://m.media-amazon.com/images/M/MV5BMDE5ZjAwY2YtOWM5Yi00ZWNlLWE5ODQtYjA4NzA1NGFkZDU5XkEyXkFqcGdeQXVyNjc1NTYyMjg@._V1_UX67_CR0,0,67,98_AL_.jpg</t>
  </si>
  <si>
    <t>https://m.media-amazon.com/images/M/MV5BYTNjN2M2MzYtZGEwMi00Mzc5LWEwYTMtODM1ZmRiZjFiNTU0L2ltYWdlL2ltYWdlXkEyXkFqcGdeQXVyNjc1NTYyMjg@._V1_UX67_CR0,0,67,98_AL_.jpg</t>
  </si>
  <si>
    <t>https://m.media-amazon.com/images/M/MV5BYjUyOGMyMTQtYTM5Yy00MjFiLTk2OGItMWYwMDc2YmM1YzhiXkEyXkFqcGdeQXVyMjA0MzYwMDY@._V1_UY98_CR2,0,67,98_AL_.jpg</t>
  </si>
  <si>
    <t>https://m.media-amazon.com/images/M/MV5BMGJmNmU5OTAtOTQyYy00MmM3LTk4MzUtMGFiZDYzODdmMmU4XkEyXkFqcGdeQXVyNjU0OTQ0OTY@._V1_UY98_CR3,0,67,98_AL_.jpg</t>
  </si>
  <si>
    <t>https://m.media-amazon.com/images/M/MV5BNDMyNGU0NjUtNTIxMC00ZmU2LWE0ZGItZTdkNGVlODI2ZDcyL2ltYWdlXkEyXkFqcGdeQXVyNjc1NTYyMjg@._V1_UX67_CR0,0,67,98_AL_.jpg</t>
  </si>
  <si>
    <t>https://m.media-amazon.com/images/M/MV5BMTE2MDM4MTMtZmNkZC00Y2QyLWE0YjUtMTAxZGJmODMxMDM0XkEyXkFqcGdeQXVyNjc1NTYyMjg@._V1_UX67_CR0,0,67,98_AL_.jpg</t>
  </si>
  <si>
    <t>https://m.media-amazon.com/images/M/MV5BNzk2M2Y3MzYtNGMzMi00Y2FjLTkwODQtNmExYWU3ZWY3NzExXkEyXkFqcGdeQXVyNTA4NzY1MzY@._V1_UX67_CR0,0,67,98_AL_.jpg</t>
  </si>
  <si>
    <t>https://m.media-amazon.com/images/M/MV5BNjRmZjcwZTQtYWY0ZS00ODAwLTg4YTktZDhlZDMwMTM1MGFkXkEyXkFqcGdeQXVyNjc1NTYyMjg@._V1_UX67_CR0,0,67,98_AL_.jpg</t>
  </si>
  <si>
    <t>https://m.media-amazon.com/images/M/MV5BZjc1Yzc0ZmItMzU1OS00OWVlLThmYTctMWNlYmFlMjkxMzc0XkEyXkFqcGdeQXVyNTA1NjYyMDk@._V1_UY98_CR32,0,67,98_AL_.jpg</t>
  </si>
  <si>
    <t>https://m.media-amazon.com/images/M/MV5BYWFjMDNlYzItY2VlMS00ZTRkLWJjYTEtYjI5NmFlMGE3MzQ2XkEyXkFqcGdeQXVyNjc1NTYyMjg@._V1_UX67_CR0,0,67,98_AL_.jpg</t>
  </si>
  <si>
    <t>https://m.media-amazon.com/images/M/MV5BMDE0MjYxYmMtM2VhMC00MjhiLTg5NjItMDkzZGM5MGVlYjMxL2ltYWdlL2ltYWdlXkEyXkFqcGdeQXVyNjc1NTYyMjg@._V1_UX67_CR0,0,67,98_AL_.jpg</t>
  </si>
  <si>
    <t>https://m.media-amazon.com/images/M/MV5BYWQ0MGNjOTYtMWJlNi00YWMxLWFmMzktYjAyNTVkY2U1NWNhL2ltYWdlL2ltYWdlXkEyXkFqcGdeQXVyNjc1NTYyMjg@._V1_UX67_CR0,0,67,98_AL_.jpg</t>
  </si>
  <si>
    <t>https://m.media-amazon.com/images/M/MV5BYjkxOGM5OTktNTRmZi00MjhlLWE2MDktNzY3NjY3NmRjNDUyXkEyXkFqcGdeQXVyNDY2MTk1ODk@._V1_UX67_CR0,0,67,98_AL_.jpg</t>
  </si>
  <si>
    <t>https://m.media-amazon.com/images/M/MV5BY2RmNTRjYzctODI4Ni00MzQyLWEyNTAtNjU0N2JkMTNhNjJkXkEyXkFqcGdeQXVyNjU0OTQ0OTY@._V1_UX67_CR0,0,67,98_AL_.jpg</t>
  </si>
  <si>
    <t>https://m.media-amazon.com/images/M/MV5BZDVlNTBjMjctNjAzNS00ZGJhLTg2NzMtNzIwYTIzYTBiMDkyXkEyXkFqcGdeQXVyNTA4NzY1MzY@._V1_UX67_CR0,0,67,98_AL_.jpg</t>
  </si>
  <si>
    <t>https://m.media-amazon.com/images/M/MV5BZjIwNGM1ZTUtOThjYS00NDdiLTk2ZDYtNGY5YjJkNzliM2JjL2ltYWdlL2ltYWdlXkEyXkFqcGdeQXVyMDI2NDg0NQ@@._V1_UX67_CR0,0,67,98_AL_.jpg</t>
  </si>
  <si>
    <t>https://m.media-amazon.com/images/M/MV5BNzJiOGI2MjctYjUyMS00ZjkzLWE2ZmUtOTg4NTZkOTNhZDc1L2ltYWdlXkEyXkFqcGdeQXVyNjc1NTYyMjg@._V1_UX67_CR0,0,67,98_AL_.jpg</t>
  </si>
  <si>
    <t>https://m.media-amazon.com/images/M/MV5BNjUyMTc4MDExMV5BMl5BanBnXkFtZTgwNDg0NDIwMjE@._V1_UX67_CR0,0,67,98_AL_.jpg</t>
  </si>
  <si>
    <t>https://m.media-amazon.com/images/M/MV5BYTE4NjYxMGEtZmQxZi00YWVmLWJjZTctYTJmNDFmZGEwNDVhXkEyXkFqcGdeQXVyNzkwMjQ5NzM@._V1_UY98_CR2,0,67,98_AL_.jpg</t>
  </si>
  <si>
    <t>https://m.media-amazon.com/images/M/MV5BYmFlOWMwMjAtMDMyMC00N2JjLTllODUtZjY3YWU3NGRkM2I2L2ltYWdlXkEyXkFqcGdeQXVyMjUxODE0MDY@._V1_UX67_CR0,0,67,98_AL_.jpg</t>
  </si>
  <si>
    <t>https://m.media-amazon.com/images/M/MV5BMzg2MWQ4MDEtOGZlNi00MTg0LWIwMjQtYWY5NTQwYmUzMWNmXkEyXkFqcGdeQXVyMzg2MzE2OTE@._V1_UX67_CR0,0,67,98_AL_.jpg</t>
  </si>
  <si>
    <t>https://m.media-amazon.com/images/M/MV5BMTEyMTQzMjQ0MTJeQTJeQWpwZ15BbWU4MDcyMjg4OTEx._V1_UY98_CR1,0,67,98_AL_.jpg</t>
  </si>
  <si>
    <t>https://m.media-amazon.com/images/M/MV5BMGUwZjliMTAtNzAxZi00MWNiLWE2NzgtZGUxMGQxZjhhNDRiXkEyXkFqcGdeQXVyNjU1NzU3MzE@._V1_UX67_CR0,0,67,98_AL_.jpg</t>
  </si>
  <si>
    <t>https://m.media-amazon.com/images/M/MV5BNmI0MTliMTAtMmJhNC00NTJmLTllMzQtMDI3NzA1ODMyZWI1XkEyXkFqcGdeQXVyODE5NzE3OTE@._V1_UY98_CR5,0,67,98_AL_.jpg</t>
  </si>
  <si>
    <t>https://m.media-amazon.com/images/M/MV5BYWZmOTY0MDAtMGRlMS00YjFlLWFkZTUtYmJhYWNlN2JjMmZkXkEyXkFqcGdeQXVyODAzODU1NDQ@._V1_UX67_CR0,0,67,98_AL_.jpg</t>
  </si>
  <si>
    <t>https://m.media-amazon.com/images/M/MV5BZGVmY2RjNDgtMTc3Yy00YmY0LTgwODItYzBjNWJhNTRlYjdkXkEyXkFqcGdeQXVyMjM4NTM5NDY@._V1_UX67_CR0,0,67,98_AL_.jpg</t>
  </si>
  <si>
    <t>https://m.media-amazon.com/images/M/MV5BNDk3NTEwNjc0MV5BMl5BanBnXkFtZTgwNzYxNTMwMzI@._V1_UX67_CR0,0,67,98_AL_.jpg</t>
  </si>
  <si>
    <t>https://m.media-amazon.com/images/M/MV5BMTQ4NTMzMTk4NV5BMl5BanBnXkFtZTgwNTU5MjE4MDI@._V1_UX67_CR0,0,67,98_AL_.jpg</t>
  </si>
  <si>
    <t>https://m.media-amazon.com/images/M/MV5BZDQwOWQ2NmUtZThjZi00MGM0LTkzNDctMzcyMjcyOGI1OGRkXkEyXkFqcGdeQXVyMTA3MDk2NDg2._V1_UX67_CR0,0,67,98_AL_.jpg</t>
  </si>
  <si>
    <t>https://m.media-amazon.com/images/M/MV5BMjI1MDQ2MDg5Ml5BMl5BanBnXkFtZTgwMjc2NjM5ODE@._V1_UX67_CR0,0,67,98_AL_.jpg</t>
  </si>
  <si>
    <t>https://m.media-amazon.com/images/M/MV5BMjE5OTM0OTY5NF5BMl5BanBnXkFtZTgwMDcxOTQ3ODE@._V1_UX67_CR0,0,67,98_AL_.jpg</t>
  </si>
  <si>
    <t>https://m.media-amazon.com/images/M/MV5BMjEzODA3MDcxMl5BMl5BanBnXkFtZTgwODgxNDk3NzE@._V1_UX67_CR0,0,67,98_AL_.jpg</t>
  </si>
  <si>
    <t>https://m.media-amazon.com/images/M/MV5BMjMyNDkzMzI1OF5BMl5BanBnXkFtZTgwODcxODg5MjI@._V1_UX67_CR0,0,67,98_AL_.jpg</t>
  </si>
  <si>
    <t>https://m.media-amazon.com/images/M/MV5BN2U1YzdhYWMtZWUzMi00OWI1LWFkM2ItNWVjM2YxMGQ2MmNhXkEyXkFqcGdeQXVyNjU0OTQ0OTY@._V1_UY98_CR0,0,67,98_AL_.jpg</t>
  </si>
  <si>
    <t>https://m.media-amazon.com/images/M/MV5BZjU0Yzk2MzEtMjAzYy00MzY0LTg2YmItM2RkNzdkY2ZhN2JkXkEyXkFqcGdeQXVyNDg4NjY5OTQ@._V1_UX67_CR0,0,67,98_AL_.jpg</t>
  </si>
  <si>
    <t>https://m.media-amazon.com/images/M/MV5BMTExMzU0ODcxNDheQTJeQWpwZ15BbWU4MDE1OTI4MzAy._V1_UX67_CR0,0,67,98_AL_.jpg</t>
  </si>
  <si>
    <t>https://m.media-amazon.com/images/M/MV5BOTAzODEzNDAzMl5BMl5BanBnXkFtZTgwMDU1MTgzNzE@._V1_UX67_CR0,0,67,98_AL_.jpg</t>
  </si>
  <si>
    <t>https://m.media-amazon.com/images/M/MV5BMjA5NzgxODE2NF5BMl5BanBnXkFtZTcwNTI1NTI0OQ@@._V1_UX67_CR0,0,67,98_AL_.jpg</t>
  </si>
  <si>
    <t>https://m.media-amazon.com/images/M/MV5BZGIzNWYzN2YtMjcwYS00YjQ3LWI2NjMtOTNiYTUyYjE2MGNkXkEyXkFqcGdeQXVyMTQxNzMzNDI@._V1_UX67_CR0,0,67,98_AL_.jpg</t>
  </si>
  <si>
    <t>https://m.media-amazon.com/images/M/MV5BYTRkMDRiYmEtNGM4YS00NzM3LWI4MTMtYzk1MmVjMjM3ODg1XkEyXkFqcGdeQXVyMjgyNjk3MzE@._V1_UY98_CR1,0,67,98_AL_.jpg</t>
  </si>
  <si>
    <t>https://m.media-amazon.com/images/M/MV5BMDUyZWU5N2UtOWFlMy00MTI0LTk0ZDYtMzFhNjljODBhZDA5XkEyXkFqcGdeQXVyNzA4ODc3ODU@._V1_UY98_CR1,0,67,98_AL_.jpg</t>
  </si>
  <si>
    <t>https://m.media-amazon.com/images/M/MV5BMTc5OTk4MTM3M15BMl5BanBnXkFtZTgwODcxNjg3MDE@._V1_UX67_CR0,0,67,98_AL_.jpg</t>
  </si>
  <si>
    <t>https://m.media-amazon.com/images/M/MV5BMTk1NTc3NDc4MF5BMl5BanBnXkFtZTcwNjYwNDk0OA@@._V1_UX67_CR0,0,67,98_AL_.jpg</t>
  </si>
  <si>
    <t>https://m.media-amazon.com/images/M/MV5BMGUyM2ZiZmUtMWY0OC00NTQ4LThkOGUtNjY2NjkzMDJiMWMwXkEyXkFqcGdeQXVyMzY0MTE3NzU@._V1_UX67_CR0,0,67,98_AL_.jpg</t>
  </si>
  <si>
    <t>https://m.media-amazon.com/images/M/MV5BMTUyMjQ1MTY5OV5BMl5BanBnXkFtZTcwNzY5NjExMw@@._V1_UY98_CR1,0,67,98_AL_.jpg</t>
  </si>
  <si>
    <t>https://m.media-amazon.com/images/M/MV5BMTgzODgyNTQwOV5BMl5BanBnXkFtZTcwNzc0NTc0Mg@@._V1_UX67_CR0,0,67,98_AL_.jpg</t>
  </si>
  <si>
    <t>https://m.media-amazon.com/images/M/MV5BOWM4NTY2NTMtZDZlZS00NTgyLWEzZDMtODE3ZGI1MzI3ZmU5XkEyXkFqcGdeQXVyNzI1NzMxNzM@._V1_UY98_CR1,0,67,98_AL_.jpg</t>
  </si>
  <si>
    <t>https://m.media-amazon.com/images/M/MV5BYmQ5MzFjYWMtMTMwNC00ZGU5LWI3YTQtYzhkMGExNGFlY2Q0XkEyXkFqcGdeQXVyNTIzOTk5ODM@._V1_UX67_CR0,0,67,98_AL_.jpg</t>
  </si>
  <si>
    <t>https://m.media-amazon.com/images/M/MV5BMTc5MjYyOTg4MF5BMl5BanBnXkFtZTcwNDc2MzQwMg@@._V1_UX67_CR0,0,67,98_AL_.jpg</t>
  </si>
  <si>
    <t>https://m.media-amazon.com/images/M/MV5BYmIzYmY4MGItM2I4YS00OWZhLWFmMzQtYzI2MWY1MmM3NGU1XkEyXkFqcGdeQXVyNjQ2MjQ5NzM@._V1_UY98_CR0,0,67,98_AL_.jpg</t>
  </si>
  <si>
    <t>https://m.media-amazon.com/images/M/MV5BMTYzNDc2MDc0N15BMl5BanBnXkFtZTgwOTcwMDQ5MTE@._V1_UX67_CR0,0,67,98_AL_.jpg</t>
  </si>
  <si>
    <t>https://m.media-amazon.com/images/M/MV5BYzU1YWUzNjYtNmVhZi00ODUyLTg4M2ItMTFlMmU1Mzc5OTE5XkEyXkFqcGdeQXVyMTMxODk2OTU@._V1_UY98_CR1,0,67,98_AL_.jpg</t>
  </si>
  <si>
    <t>https://m.media-amazon.com/images/M/MV5BMjE5NDQ5OTE4Ml5BMl5BanBnXkFtZTcwOTE3NDIzMw@@._V1_UX67_CR0,0,67,98_AL_.jpg</t>
  </si>
  <si>
    <t>https://m.media-amazon.com/images/M/MV5BMTUwOGFiM2QtOWMxYS00MjU2LThmZDMtZDM2MWMzNzllNjdhXkEyXkFqcGdeQXVyMTMxODk2OTU@._V1_UX67_CR0,0,67,98_AL_.jpg</t>
  </si>
  <si>
    <t>https://m.media-amazon.com/images/M/MV5BMzQ5NGQwOTUtNWJlZi00ZTFiLWI0ZTEtOGU3MTA2ZGU5OWZiXkEyXkFqcGdeQXVyMTczNjQwOTY@._V1_UX67_CR0,0,67,98_AL_.jpg</t>
  </si>
  <si>
    <t>https://m.media-amazon.com/images/M/MV5BMjE0NzgwODI4M15BMl5BanBnXkFtZTcwNjg3OTA0MQ@@._V1_UX67_CR0,0,67,98_AL_.jpg</t>
  </si>
  <si>
    <t>https://m.media-amazon.com/images/M/MV5BMjAzODUwMjM1M15BMl5BanBnXkFtZTcwNjU2MjU2MQ@@._V1_UX67_CR0,0,67,98_AL_.jpg</t>
  </si>
  <si>
    <t>https://m.media-amazon.com/images/M/MV5BNTg2OTY2ODg5OF5BMl5BanBnXkFtZTcwODM5MTYxOA@@._V1_UX67_CR0,0,67,98_AL_.jpg</t>
  </si>
  <si>
    <t>https://m.media-amazon.com/images/M/MV5BOGUwYTU4NGEtNDM4MS00NDRjLTkwNmQtOTkwMWMyMjhmMjdlXkEyXkFqcGdeQXVyMTMxODk2OTU@._V1_UX67_CR0,0,67,98_AL_.jpg</t>
  </si>
  <si>
    <t>https://m.media-amazon.com/images/M/MV5BMTU3MDc2MjUwMV5BMl5BanBnXkFtZTcwNzQyMDAzMQ@@._V1_UY98_CR0,0,67,98_AL_.jpg</t>
  </si>
  <si>
    <t>https://m.media-amazon.com/images/M/MV5BOGY1M2MwOTEtZDIyNi00YjNlLWExYmEtNzBjOGI3N2QzNTg5XkEyXkFqcGdeQXVyMTMxODk2OTU@._V1_UX67_CR0,0,67,98_AL_.jpg</t>
  </si>
  <si>
    <t>https://m.media-amazon.com/images/M/MV5BMTczNTI2ODUwOF5BMl5BanBnXkFtZTcwMTU0NTIzMw@@._V1_UX67_CR0,0,67,98_AL_.jpg</t>
  </si>
  <si>
    <t>https://m.media-amazon.com/images/M/MV5BMTg5Mjk2NDMtZTk0Ny00YTQ0LWIzYWEtMWI5MGQ0Mjg1OTNkXkEyXkFqcGdeQXVyNzkwMjQ5NzM@._V1_UX67_CR0,0,67,98_AL_.jpg</t>
  </si>
  <si>
    <t>https://m.media-amazon.com/images/M/MV5BODBiNzYxNzYtMjkyMi00MjUyLWJkM2YtZjNkMDhhYmEwMTRiL2ltYWdlXkEyXkFqcGdeQXVyNTAyODkwOQ@@._V1_UY98_CR1,0,67,98_AL_.jpg</t>
  </si>
  <si>
    <t>https://m.media-amazon.com/images/M/MV5BMTIzNDUyMjA4MV5BMl5BanBnXkFtZTYwNDc4ODM3._V1_UX67_CR0,0,67,98_AL_.jpg</t>
  </si>
  <si>
    <t>https://m.media-amazon.com/images/M/MV5BMTY4NTIwODg0N15BMl5BanBnXkFtZTcwOTc0MjEzMw@@._V1_UX67_CR0,0,67,98_AL_.jpg</t>
  </si>
  <si>
    <t>https://m.media-amazon.com/images/M/MV5BMWQ2MjQ0OTctMWE1OC00NjZjLTk3ZDAtNTk3NTZiYWMxYTlmXkEyXkFqcGdeQXVyMTQxNzMzNDI@._V1_UX67_CR0,0,67,98_AL_.jpg</t>
  </si>
  <si>
    <t>https://m.media-amazon.com/images/M/MV5BYmVmMGQ3NzEtM2FiNi00YThhLWFkZjYtM2Y0MjZjNGE4NzM0XkEyXkFqcGdeQXVyODc0OTEyNDU@._V1_UY98_CR1,0,67,98_AL_.jpg</t>
  </si>
  <si>
    <t>https://m.media-amazon.com/images/M/MV5BMGFkNjNmZWMtNDdiOS00ZWM3LWE1ZTMtZDU3MGQyMzIyNzZhXkEyXkFqcGdeQXVyMTMxODk2OTU@._V1_UX67_CR0,0,67,98_AL_.jpg</t>
  </si>
  <si>
    <t>https://m.media-amazon.com/images/M/MV5BMjYzYWM4YTItZjJiMC00OTM5LTg3NDgtOGQ2Njk2ZWNhN2QwXkEyXkFqcGdeQXVyMzM4MjM0Nzg@._V1_UY98_CR0,0,67,98_AL_.jpg</t>
  </si>
  <si>
    <t>https://m.media-amazon.com/images/M/MV5BM2JkNGU0ZGMtZjVjNS00NjgyLWEyOWYtZmRmZGQyN2IxZjA2XkEyXkFqcGdeQXVyNTIzOTk5ODM@._V1_UX67_CR0,0,67,98_AL_.jpg</t>
  </si>
  <si>
    <t>https://m.media-amazon.com/images/M/MV5BMTYxMDdlYjItMDVkYy00MjYzLThhMTYtYjIzZjZiODk1ZWRmXkEyXkFqcGdeQXVyNDk3NzU2MTQ@._V1_UX67_CR0,0,67,98_AL_.jpg</t>
  </si>
  <si>
    <t>https://m.media-amazon.com/images/M/MV5BMTQ5NTI2NTI4NF5BMl5BanBnXkFtZTcwNjk2NDA2OQ@@._V1_UX67_CR0,0,67,98_AL_.jpg</t>
  </si>
  <si>
    <t>https://m.media-amazon.com/images/M/MV5BMzY1ZjMwMGEtYTY1ZS00ZDllLTk0ZmUtYzA3ZTA4NmYwNGNkXkEyXkFqcGdeQXVyNDk3NzU2MTQ@._V1_UX67_CR0,0,67,98_AL_.jpg</t>
  </si>
  <si>
    <t>https://m.media-amazon.com/images/M/MV5BYjBhZmViNTItMGExMy00MGNmLTkwZDItMDVlMTQ4ODVkYTMwXkEyXkFqcGdeQXVyNzM0MTUwNTY@._V1_UY98_CR1,0,67,98_AL_.jpg</t>
  </si>
  <si>
    <t>https://m.media-amazon.com/images/M/MV5BMWM5ZDcxMTYtNTEyNS00MDRkLWI3YTItNThmMGExMWY4NDIwXkEyXkFqcGdeQXVyNjUwNzk3NDc@._V1_UX67_CR0,0,67,98_AL_.jpg</t>
  </si>
  <si>
    <t>https://m.media-amazon.com/images/M/MV5BY2E2YWYxY2QtZmJmZi00MjJlLWFiYWItZTk5Y2IyMWQ1ZThhXkEyXkFqcGdeQXVyMTMxODk2OTU@._V1_UX67_CR0,0,67,98_AL_.jpg</t>
  </si>
  <si>
    <t>https://m.media-amazon.com/images/M/MV5BZDg0MWNmNjktMGEwZC00ZDlmLWI1MTUtMDBmNjQzMWM2NjBjXkEyXkFqcGdeQXVyMTMxODk2OTU@._V1_UX67_CR0,0,67,98_AL_.jpg</t>
  </si>
  <si>
    <t>https://m.media-amazon.com/images/M/MV5BYTY4MTdjZDMtOTBiMC00MDEwLThhMjUtMjlhMjdlYTBmMzk3XkEyXkFqcGdeQXVyNjMwMjk0MTQ@._V1_UY98_CR1,0,67,98_AL_.jpg</t>
  </si>
  <si>
    <t>https://m.media-amazon.com/images/M/MV5BMDViNjFjOWMtZGZhMi00NmIyLThmYzktODA4MzJhZDZhMDc5XkEyXkFqcGdeQXVyNzkwMjQ5NzM@._V1_UY98_CR1,0,67,98_AL_.jpg</t>
  </si>
  <si>
    <t>https://m.media-amazon.com/images/M/MV5BMjg5OGU4OGYtNTZmNy00MjQ1LWIzYzgtMTllMGY2NzlkNzYwXkEyXkFqcGdeQXVyMTI3ODAyMzE2._V1_UY98_CR2,0,67,98_AL_.jpg</t>
  </si>
  <si>
    <t>https://m.media-amazon.com/images/M/MV5BOTMyZGI4N2YtMzdkNi00MDZmLTg4NmItMzg0ODY5NjdhZjYwL2ltYWdlL2ltYWdlXkEyXkFqcGdeQXVyMzM4MjM0Nzg@._V1_UY98_CR1,0,67,98_AL_.jpg</t>
  </si>
  <si>
    <t>https://m.media-amazon.com/images/M/MV5BN2I2N2Q1YmMtMzZkMC00Y2JjLWJmOWUtNjc2OTM2ZTk1MjUyXkEyXkFqcGdeQXVyNzkwMjQ5NzM@._V1_UX67_CR0,0,67,98_AL_.jpg</t>
  </si>
  <si>
    <t>https://m.media-amazon.com/images/M/MV5BNDUxN2I5NDUtZjdlMC00NjlmLTg0OTQtNjk0NjAxZjFmZTUzXkEyXkFqcGdeQXVyMTQxNzMzNDI@._V1_UX67_CR0,0,67,98_AL_.jpg</t>
  </si>
  <si>
    <t>https://m.media-amazon.com/images/M/MV5BYjdkNzA4MzYtZThhOS00ZDgzLTlmMDItNmY1ZjI5YjkzZTE1XkEyXkFqcGdeQXVyMTQxNzMzNDI@._V1_UX67_CR0,0,67,98_AL_.jpg</t>
  </si>
  <si>
    <t>https://m.media-amazon.com/images/M/MV5BYWY3N2EyOWYtNDVhZi00MWRkLTg2OTUtODNkNDQ5ZTIwMGJkXkEyXkFqcGdeQXVyMTMxODk2OTU@._V1_UX67_CR0,0,67,98_AL_.jpg</t>
  </si>
  <si>
    <t>https://m.media-amazon.com/images/M/MV5BYTVjYWJmMWQtYWU4Ni00MWY3LWI2YmMtNTI5MDE0MWVmMmEzL2ltYWdlXkEyXkFqcGdeQXVyMTQxNzMzNDI@._V1_UX67_CR0,0,67,98_AL_.jpg</t>
  </si>
  <si>
    <t>https://m.media-amazon.com/images/M/MV5BMWZiNWUwYjMtM2Y1Yi00MTZmLWEwYzctNjVmYWM0OTFlZDFhXkEyXkFqcGdeQXVyMTMxODk2OTU@._V1_UX67_CR0,0,67,98_AL_.jpg</t>
  </si>
  <si>
    <t>https://m.media-amazon.com/images/M/MV5BMzIwM2IwYTItYmM4Zi00OWMzLTkwNjAtYWRmYWNmY2RhMDk0XkEyXkFqcGdeQXVyNjU0OTQ0OTY@._V1_UX67_CR0,0,67,98_AL_.jpg</t>
  </si>
  <si>
    <t>https://m.media-amazon.com/images/M/MV5BMTQ2MTIzMzg5Nl5BMl5BanBnXkFtZTgwOTc5NDI1MDE@._V1_UX67_CR0,0,67,98_AL_.jpg</t>
  </si>
  <si>
    <t>https://m.media-amazon.com/images/M/MV5BOWMyNjE0MzEtMzVjNy00NjIxLTg0ZjMtMWJhNGI1YmVjYTczL2ltYWdlXkEyXkFqcGdeQXVyNzc5MjA3OA@@._V1_UX67_CR0,0,67,98_AL_.jpg</t>
  </si>
  <si>
    <t>https://m.media-amazon.com/images/M/MV5BYTdlMDExOGUtN2I3MS00MjY5LWE1NTAtYzc3MzIxN2M3OWY1XkEyXkFqcGdeQXVyNzkwMjQ5NzM@._V1_UX67_CR0,0,67,98_AL_.jpg</t>
  </si>
  <si>
    <t>https://m.media-amazon.com/images/M/MV5BMzdmY2I3MmEtOGFiZi00MTg1LWIxY2QtNWUwM2NmNWNlY2U5XkEyXkFqcGdeQXVyNDk3NzU2MTQ@._V1_UX67_CR0,0,67,98_AL_.jpg</t>
  </si>
  <si>
    <t>https://m.media-amazon.com/images/M/MV5BZWE4N2JkNDUtZDU4MC00ZjNhLTlkMjYtOTNkMjZhMDAwMDMyXkEyXkFqcGdeQXVyMTA0MjU0Ng@@._V1_UX67_CR0,0,67,98_AL_.jpg</t>
  </si>
  <si>
    <t>https://m.media-amazon.com/images/M/MV5BMzc1YTIyNjctYzhlNy00ZmYzLWI2ZWQtMzk4MmQwYzA0NGQ1XkEyXkFqcGdeQXVyMTQxNzMzNDI@._V1_UX67_CR0,0,67,98_AL_.jpg</t>
  </si>
  <si>
    <t>https://m.media-amazon.com/images/M/MV5BOWI2YWQxM2MtY2U4Yi00YjgzLTgwNzktN2ExNTgzNTIzMmUzXkEyXkFqcGdeQXVyMTAwMzUyOTc@._V1_UX67_CR0,0,67,98_AL_.jpg</t>
  </si>
  <si>
    <t>https://m.media-amazon.com/images/M/MV5BN2IzM2I5NTQtMTIyMy00YWM2LWI1OGMtNjI0MWIyNDZkZGFkXkEyXkFqcGdeQXVyMTQxNzMzNDI@._V1_UX67_CR0,0,67,98_AL_.jpg</t>
  </si>
  <si>
    <t>https://m.media-amazon.com/images/M/MV5BZDI2OTg2NDQtMzc0MC00MjRiLWI1NzAtMjY2ZDMwMmUyNzBiXkEyXkFqcGdeQXVyNzM0MTUwNTY@._V1_UX67_CR0,0,67,98_AL_.jpg</t>
  </si>
  <si>
    <t>https://m.media-amazon.com/images/M/MV5BYzQ5NjJiYWQtYjAzMC00NGU0LWFlMDYtNGFiYjFlMWI1NWM0XkEyXkFqcGdeQXVyODQ0OTczOQ@@._V1_UY98_CR4,0,67,98_AL_.jpg</t>
  </si>
  <si>
    <t>https://m.media-amazon.com/images/M/MV5BMjRkY2VhYzMtZWQyNS00OTY2LWE5NTAtYjlhNmQyYzE5MmUxXkEyXkFqcGdeQXVyMTQxNzMzNDI@._V1_UX67_CR0,0,67,98_AL_.jpg</t>
  </si>
  <si>
    <t>https://m.media-amazon.com/images/M/MV5BY2M5Mzg3NjctZTlkNy00MTU0LWFlYTQtY2E2Y2M4NjNiNzllXkEyXkFqcGdeQXVyMTAwMzUyOTc@._V1_UX67_CR0,0,67,98_AL_.jpg</t>
  </si>
  <si>
    <t>https://m.media-amazon.com/images/M/MV5BMmNhZmJhMmYtNjlkMC00MjhjLTk1NzMtMTNlMzYzNjZlMjNiXkEyXkFqcGdeQXVyMTQxNzMzNDI@._V1_UX67_CR0,0,67,98_AL_.jpg</t>
  </si>
  <si>
    <t>https://m.media-amazon.com/images/M/MV5BNGUyYTZmOWItMDJhMi00N2IxLWIyNDMtNjUxM2ZiYmU5YWU1XkEyXkFqcGdeQXVyNjc1NTYyMjg@._V1_UX67_CR0,0,67,98_AL_.jpg</t>
  </si>
  <si>
    <t>https://m.media-amazon.com/images/M/MV5BMzRmN2E1ZDUtZDc2ZC00ZmI3LTkwOTctNzE2ZDIzMGJiMTYzXkEyXkFqcGdeQXVyMTQxNzMzNDI@._V1_UX67_CR0,0,67,98_AL_.jpg</t>
  </si>
  <si>
    <t>https://m.media-amazon.com/images/M/MV5BMTkzNzYyMzA5N15BMl5BanBnXkFtZTgwODcwODQ3MDI@._V1_UX67_CR0,0,67,98_AL_.jpg</t>
  </si>
  <si>
    <t>https://m.media-amazon.com/images/M/MV5BZjZhZTZkNWItZGE1My00MTRkLWI2ZDktMWZkZTIxZWYxOTgzXkEyXkFqcGdeQXVyNDY2MTk1ODk@._V1_UX67_CR0,0,67,98_AL_.jpg</t>
  </si>
  <si>
    <t>https://m.media-amazon.com/images/M/MV5BMTA0Y2UyMDUtZGZiOS00ZmVkLTg3NmItODQyNTY1ZjU1MWE4L2ltYWdlL2ltYWdlXkEyXkFqcGdeQXVyNjc1NTYyMjg@._V1_UX67_CR0,0,67,98_AL_.jpg</t>
  </si>
  <si>
    <t>https://m.media-amazon.com/images/M/MV5BOTY0ZTA1ZjUtN2MyNi00ZGRmLWExYmMtOTkyNzI1NGQ2Y2RlXkEyXkFqcGdeQXVyNjc1NTYyMjg@._V1_UX67_CR0,0,67,98_AL_.jpg</t>
  </si>
  <si>
    <t>https://m.media-amazon.com/images/M/MV5BMjc4MTUxN2UtMmU1NC00MjQyLTk3YTYtZTQ0YzEzZDc0Njc0XkEyXkFqcGdeQXVyNjU0OTQ0OTY@._V1_UX67_CR0,0,67,98_AL_.jpg</t>
  </si>
  <si>
    <t>https://m.media-amazon.com/images/M/MV5BZDFlODBmZTYtMWU4MS00MzY4LWFmYzYtYzAzZmU1MGUzMDE5XkEyXkFqcGdeQXVyNTc1NDM0NDU@._V1_UY98_CR1,0,67,98_AL_.jpg</t>
  </si>
  <si>
    <t>https://m.media-amazon.com/images/M/MV5BMzY2NTA1MzUwN15BMl5BanBnXkFtZTgwOTc4NTU4MjE@._V1_UX67_CR0,0,67,98_AL_.jpg</t>
  </si>
  <si>
    <t>https://m.media-amazon.com/images/M/MV5BODcxYjUxZDgtYTQ5Zi00YmQ1LWJmZmItODZkOTYyNDhiNWM3XkEyXkFqcGdeQXVyNjc1NTYyMjg@._V1_UX67_CR0,0,67,98_AL_.jpg</t>
  </si>
  <si>
    <t>https://m.media-amazon.com/images/M/MV5BYWQ3YWJiMDEtMDBhNS00YjY1LTkzNmEtY2U4Njg4MjQ3YWE3XkEyXkFqcGdeQXVyNzkwMjQ5NzM@._V1_UX67_CR0,0,67,98_AL_.jpg</t>
  </si>
  <si>
    <t>https://m.media-amazon.com/images/M/MV5BMzE1MzdjNmUtOWU5MS00OTgwLWIzYjYtYTYwYTM0NDkyOTU1XkEyXkFqcGdeQXVyMTY5Nzc4MDY@._V1_UX67_CR0,0,67,98_AL_.jpg</t>
  </si>
  <si>
    <t>https://m.media-amazon.com/images/M/MV5BOWIzZGUxZmItOThkMS00Y2QxLTg0MTYtMDdhMjRlNTNlYTI3L2ltYWdlXkEyXkFqcGdeQXVyNjc1NTYyMjg@._V1_UX67_CR0,0,67,98_AL_.jpg</t>
  </si>
  <si>
    <t>https://m.media-amazon.com/images/M/MV5BNzkwNjk4ODgtYjRmMi00ODdhLWIyNjUtNWQyMjg2N2E2NjlhXkEyXkFqcGdeQXVyNjE5MjUyOTM@._V1_UX67_CR0,0,67,98_AL_.jpg</t>
  </si>
  <si>
    <t>https://m.media-amazon.com/images/M/MV5BMzg2YTFkNjgtM2ZkNS00MWVkLWIwMTEtZTgzMDM2MmUxNDE2XkEyXkFqcGdeQXVyMjI4MjA5MzA@._V1_UX67_CR0,0,67,98_AL_.jpg</t>
  </si>
  <si>
    <t>https://m.media-amazon.com/images/M/MV5BNjRkOGEwYTUtY2E5Yy00ODg4LTk2ZWItY2IyMzUxOGVhMTM1XkEyXkFqcGdeQXVyNDk0MDg4NDk@._V1_UX67_CR0,0,67,98_AL_.jpg</t>
  </si>
  <si>
    <t>https://m.media-amazon.com/images/M/MV5BYTc1NGViOTMtNjZhNS00OGY2LWI4MmItOWQwNTY4MDMzNWI3L2ltYWdlXkEyXkFqcGdeQXVyNjc1NTYyMjg@._V1_UX67_CR0,0,67,98_AL_.jpg</t>
  </si>
  <si>
    <t>https://m.media-amazon.com/images/M/MV5BMjdiM2IyZmQtODJiYy00NDNkLTllYmItMmFjMDNiYTQyOGVkXkEyXkFqcGdeQXVyNDY2MTk1ODk@._V1_UX67_CR0,0,67,98_AL_.jpg</t>
  </si>
  <si>
    <t>https://m.media-amazon.com/images/M/MV5BMTk4NDQ0NjgyNF5BMl5BanBnXkFtZTgwMTE3NTkxMTE@._V1_UX67_CR0,0,67,98_AL_.jpg</t>
  </si>
  <si>
    <t>https://m.media-amazon.com/images/M/MV5BYjQ4ZDA4NGMtMTkwYi00NThiLThhZDUtZTEzNTAxOWYyY2E4XkEyXkFqcGdeQXVyMjUxODE0MDY@._V1_UX67_CR0,0,67,98_AL_.jpg</t>
  </si>
  <si>
    <t>https://m.media-amazon.com/images/M/MV5BZDVmZTZkYjMtNmViZC00ODEzLTgwNDAtNmQ3OGQwOWY5YjFmXkEyXkFqcGdeQXVyNDY2MTk1ODk@._V1_UX67_CR0,0,67,98_AL_.jpg</t>
  </si>
  <si>
    <t>https://m.media-amazon.com/images/M/MV5BYjZjOTU3MTMtYTM5YS00YjZmLThmNmMtODcwOTM1NmRiMWM2XkEyXkFqcGdeQXVyNjc1NTYyMjg@._V1_UX67_CR0,0,67,98_AL_.jpg</t>
  </si>
  <si>
    <t>https://m.media-amazon.com/images/M/MV5BYTJmNmQxNGItNDNlMC00MDU3LWFhNzMtZDQ2NDY0ZTVkNjE3XkEyXkFqcGdeQXVyMDI2NDg0NQ@@._V1_UX67_CR0,0,67,98_AL_.jpg</t>
  </si>
  <si>
    <t>https://m.media-amazon.com/images/M/MV5BZTY3YjYxZGQtMTM2YS00ZmYwLWFlM2QtOWFlMTU1NTAyZDQ2XkEyXkFqcGdeQXVyNTgyNTA4MjM@._V1_UX67_CR0,0,67,98_AL_.jpg</t>
  </si>
  <si>
    <t>https://m.media-amazon.com/images/M/MV5BMjMyYjgyOTQtZDVlZS00NTQ0LWJiNDItNGRlZmM3Yzc0N2Y0XkEyXkFqcGdeQXVyNTA4NzY1MzY@._V1_UX67_CR0,0,67,98_AL_.jpg</t>
  </si>
  <si>
    <t>https://m.media-amazon.com/images/M/MV5BMTAxYjEyMTctZTg3Ni00MGZmLWIxMmMtOGM2NTFiY2U3MmExXkEyXkFqcGdeQXVyNzkwMjQ5NzM@._V1_UX67_CR0,0,67,98_AL_.jpg</t>
  </si>
  <si>
    <t>https://m.media-amazon.com/images/M/MV5BMTlkMmVmYjktYTc2NC00ZGZjLWEyOWUtMjc2MDMwMjQwOTA5XkEyXkFqcGdeQXVyNTI4MzE4MDU@._V1_UX67_CR0,0,67,98_AL_.jpg</t>
  </si>
  <si>
    <t>https://m.media-amazon.com/images/M/MV5BZmVhN2JlYjEtZWFkOS00YzE0LThiNDMtMGI3NDA1MTk2ZDQ2XkEyXkFqcGdeQXVyODE5NzE3OTE@._V1_UY98_CR0,0,67,98_AL_.jpg</t>
  </si>
  <si>
    <t>https://m.media-amazon.com/images/M/MV5BNjcyYjg0M2ItMzMyZS00NmM1LTlhZDMtN2MxN2RhNWY4YTkwXkEyXkFqcGdeQXVyNjY1MTg4Mzc@._V1_UX67_CR0,0,67,98_AL_.jpg</t>
  </si>
  <si>
    <t>https://m.media-amazon.com/images/M/MV5BMTBkMjMyN2UtNzVjNi00Y2ZiLTk2MDYtN2Y0MjgzYjAxNzE4XkEyXkFqcGdeQXVyNjkxOTM4ODY@._V1_UY98_CR1,0,67,98_AL_.jpg</t>
  </si>
  <si>
    <t>https://m.media-amazon.com/images/M/MV5BN2YyZjQ0NTEtNzU5MS00NGZkLTg0MTEtYzJmMWY3MWRhZjM2XkEyXkFqcGdeQXVyMDA4NzMyOA@@._V1_UX67_CR0,0,67,98_AL_.jpg</t>
  </si>
  <si>
    <t>https://m.media-amazon.com/images/M/MV5BNDQzZmQ5MjItYmJlNy00MGI2LWExMDQtMjBiNjNmMzc5NTk1XkEyXkFqcGdeQXVyNjY1OTY4MTk@._V1_UY98_CR1,0,67,98_AL_.jpg</t>
  </si>
  <si>
    <t>https://m.media-amazon.com/images/M/MV5BMzg2Mzg4YmUtNDdkNy00NWY1LWE3NmEtZWMwNGNlMzE5YzU3XkEyXkFqcGdeQXVyMjA5MTIzMjQ@._V1_UX67_CR0,0,67,98_AL_.jpg</t>
  </si>
  <si>
    <t>https://m.media-amazon.com/images/M/MV5BMmYwNWZlNzEtNjE4Zi00NzQ4LWI2YmUtOWZhNzZhZDYyNmVmXkEyXkFqcGdeQXVyNzYzODM3Mzg@._V1_UX67_CR0,0,67,98_AL_.jpg</t>
  </si>
  <si>
    <t>https://m.media-amazon.com/images/M/MV5BY2YxNjQxYWYtYzNkMi00YTgyLWIwZTMtYzgyYjZlZmYzZTA0XkEyXkFqcGdeQXVyMTA4NjE0NjEy._V1_UX67_CR0,0,67,98_AL_.jpg</t>
  </si>
  <si>
    <t>https://m.media-amazon.com/images/M/MV5BMjA2Mzg2NDMzNl5BMl5BanBnXkFtZTgwMjcwODUzOTE@._V1_UX67_CR0,0,67,98_AL_.jpg</t>
  </si>
  <si>
    <t>https://m.media-amazon.com/images/M/MV5BZjAzZjZiMmQtMDZmOC00NjVmLTkyNTItOGI2Mzg4NTBhZTA1XkEyXkFqcGdeQXVyODE5NzE3OTE@._V1_UY98_CR0,0,67,98_AL_.jpg</t>
  </si>
  <si>
    <t>https://m.media-amazon.com/images/M/MV5BMTYxMjk0NDg4Ml5BMl5BanBnXkFtZTgwODcyNjA5OTE@._V1_UX67_CR0,0,67,98_AL_.jpg</t>
  </si>
  <si>
    <t>https://m.media-amazon.com/images/M/MV5BMjA0MzQzNjM1Ml5BMl5BanBnXkFtZTgwNjM5MjU5NjE@._V1_UX67_CR0,0,67,98_AL_.jpg</t>
  </si>
  <si>
    <t>https://m.media-amazon.com/images/M/MV5BMjEwMzMxODIzOV5BMl5BanBnXkFtZTgwNzg3OTAzMDI@._V1_UX67_CR0,0,67,98_AL_.jpg</t>
  </si>
  <si>
    <t>https://m.media-amazon.com/images/M/MV5BMjQ0MTgyNjAxMV5BMl5BanBnXkFtZTgwNjUzMDkyODE@._V1_UX67_CR0,0,67,98_AL_.jpg</t>
  </si>
  <si>
    <t>https://m.media-amazon.com/images/M/MV5BMjA1MTc1NTg5NV5BMl5BanBnXkFtZTgwOTM2MDEzNzE@._V1_UX67_CR0,0,67,98_AL_.jpg</t>
  </si>
  <si>
    <t>https://m.media-amazon.com/images/M/MV5BY2QzYTQyYzItMzAwYi00YjZlLThjNTUtNzMyMDdkYzJiNWM4XkEyXkFqcGdeQXVyMTkxNjUyNQ@@._V1_UX67_CR0,0,67,98_AL_.jpg</t>
  </si>
  <si>
    <t>https://m.media-amazon.com/images/M/MV5BMTU3NjE2NjgwN15BMl5BanBnXkFtZTgwNDYzMzEwMzI@._V1_UX67_CR0,0,67,98_AL_.jpg</t>
  </si>
  <si>
    <t>https://m.media-amazon.com/images/M/MV5BMTU2OTcyOTE3MF5BMl5BanBnXkFtZTgwNTg5Mjc1MjE@._V1_UX67_CR0,0,67,98_AL_.jpg</t>
  </si>
  <si>
    <t>https://m.media-amazon.com/images/M/MV5BMTcxNTgzNDg1N15BMl5BanBnXkFtZTgwNjg4MzI1MDE@._V1_UX67_CR0,0,67,98_AL_.jpg</t>
  </si>
  <si>
    <t>https://m.media-amazon.com/images/M/MV5BNjg5NmI3NmUtZDQ2Mi00ZTI0LWE0YzAtOGRhOWJmNDJkOWNkXkEyXkFqcGdeQXVyMzIzNDU1NTY@._V1_UY98_CR0,0,67,98_AL_.jpg</t>
  </si>
  <si>
    <t>https://m.media-amazon.com/images/M/MV5BMTUwMzc1NjIzMV5BMl5BanBnXkFtZTgwODUyMTIxMTE@._V1_UX67_CR0,0,67,98_AL_.jpg</t>
  </si>
  <si>
    <t>https://m.media-amazon.com/images/M/MV5BYWNlODE1ZTEtOTQ5MS00N2QwLTllNjItZDQ2Y2UzMmU5YmI2XkEyXkFqcGdeQXVyODE5NzE3OTE@._V1_UY98_CR3,0,67,98_AL_.jpg</t>
  </si>
  <si>
    <t>https://m.media-amazon.com/images/M/MV5BMDliOTIzNmUtOTllOC00NDU3LWFiNjYtMGM0NDc1YTMxNjYxXkEyXkFqcGdeQXVyNTM3NzExMDQ@._V1_UY98_CR1,0,67,98_AL_.jpg</t>
  </si>
  <si>
    <t>https://m.media-amazon.com/images/M/MV5BMTA1ODUzMDA3NzFeQTJeQWpwZ15BbWU3MDgxMTYxNTk@._V1_UX67_CR0,0,67,98_AL_.jpg</t>
  </si>
  <si>
    <t>https://m.media-amazon.com/images/M/MV5BMjQ5YWVmYmYtOWFiZC00NGMxLWEwODctZDM2MWI4YWViN2E5XkEyXkFqcGdeQXVyNjQ2MjQ5NzM@._V1_UY98_CR0,0,67,98_AL_.jpg</t>
  </si>
  <si>
    <t>https://m.media-amazon.com/images/M/MV5BMTU4NDg0MzkzNV5BMl5BanBnXkFtZTgwODA3Mzc1MDE@._V1_UX67_CR0,0,67,98_AL_.jpg</t>
  </si>
  <si>
    <t>https://m.media-amazon.com/images/M/MV5BMTYzMDM4NzkxOV5BMl5BanBnXkFtZTgwNzM1Mzg2NzM@._V1_UX67_CR0,0,67,98_AL_.jpg</t>
  </si>
  <si>
    <t>https://m.media-amazon.com/images/M/MV5BMTQ4MzQ3NjA0N15BMl5BanBnXkFtZTgwODQyNjQ4MDE@._V1_UX67_CR0,0,67,98_AL_.jpg</t>
  </si>
  <si>
    <t>https://m.media-amazon.com/images/M/MV5BMzllMWI1ZDQtMmFhNS00NzJkLThmMTMtNzFmMmMyYjU3ZGVjXkEyXkFqcGdeQXVyMDI2NDg0NQ@@._V1_UY98_CR1,0,67,98_AL_.jpg</t>
  </si>
  <si>
    <t>https://m.media-amazon.com/images/M/MV5BMzMwMTAwODczN15BMl5BanBnXkFtZTgwMDk2NDA4MTE@._V1_UX67_CR0,0,67,98_AL_.jpg</t>
  </si>
  <si>
    <t>https://m.media-amazon.com/images/M/MV5BNDc4MThhN2EtZjMzNC00ZDJmLThiZTgtNThlY2UxZWMzNjdkXkEyXkFqcGdeQXVyNDk3NzU2MTQ@._V1_UX67_CR0,0,67,98_AL_.jpg</t>
  </si>
  <si>
    <t>https://m.media-amazon.com/images/M/MV5BYzM2OGQ2NzUtNzlmYi00ZDg4LWExODgtMDVmOTU2Yzg2N2U5XkEyXkFqcGdeQXVyMTMxODk2OTU@._V1_UY98_CR0,0,67,98_AL_.jpg</t>
  </si>
  <si>
    <t>https://m.media-amazon.com/images/M/MV5BZjRmNjc5MTYtYjc3My00ZjNiLTg4YjUtMTQ0ZTFkZmMxMDUzXkEyXkFqcGdeQXVyNDY5MTUyNjU@._V1_UY98_CR3,0,67,98_AL_.jpg</t>
  </si>
  <si>
    <t>https://m.media-amazon.com/images/M/MV5BMTczNDk4NTQ0OV5BMl5BanBnXkFtZTcwNDAxMDgxNw@@._V1_UX67_CR0,0,67,98_AL_.jpg</t>
  </si>
  <si>
    <t>https://m.media-amazon.com/images/M/MV5BODhiZWRhMjctNDUyMS00NmUwLTgwYmItMjJhOWNkZWQ3ZTQxXkEyXkFqcGdeQXVyMTMxODk2OTU@._V1_UX67_CR0,0,67,98_AL_.jpg</t>
  </si>
  <si>
    <t>https://m.media-amazon.com/images/M/MV5BMTgzMTkxNjAxNV5BMl5BanBnXkFtZTgwMDU3MDE0MjE@._V1_UY98_CR0,0,67,98_AL_.jpg</t>
  </si>
  <si>
    <t>https://m.media-amazon.com/images/M/MV5BMTA5MzkyMzIxNjJeQTJeQWpwZ15BbWU4MDU0MDk0OTUx._V1_UX67_CR0,0,67,98_AL_.jpg</t>
  </si>
  <si>
    <t>https://m.media-amazon.com/images/M/MV5BMTQzMTg0NDA1M15BMl5BanBnXkFtZTgwODUzMTE0MjE@._V1_UY98_CR0,0,67,98_AL_.jpg</t>
  </si>
  <si>
    <t>https://m.media-amazon.com/images/M/MV5BY2ViOTU5MDQtZTRiZi00YjViLWFiY2ItOTRhNWYyN2ZiMzUyXkEyXkFqcGdeQXVyNTAyODkwOQ@@._V1_UY98_CR1,0,67,98_AL_.jpg</t>
  </si>
  <si>
    <t>https://m.media-amazon.com/images/M/MV5BMzU0NDY0NDEzNV5BMl5BanBnXkFtZTgwOTIxNDU1MDE@._V1_UX67_CR0,0,67,98_AL_.jpg</t>
  </si>
  <si>
    <t>https://m.media-amazon.com/images/M/MV5BMTQ2OTYyNzUxOF5BMl5BanBnXkFtZTcwMzUwMDY4Mg@@._V1_UX67_CR0,0,67,98_AL_.jpg</t>
  </si>
  <si>
    <t>https://m.media-amazon.com/images/M/MV5BMTc2Mjc0MDg3MV5BMl5BanBnXkFtZTcwMjUzMDkxMw@@._V1_UX67_CR0,0,67,98_AL_.jpg</t>
  </si>
  <si>
    <t>https://m.media-amazon.com/images/M/MV5BYjYzOGE1MjUtODgyMy00ZDAxLTljYTgtNzk0Njg2YWQwMTZhXkEyXkFqcGdeQXVyMDM2NDM2MQ@@._V1_UX67_CR0,0,67,98_AL_.jpg</t>
  </si>
  <si>
    <t>https://m.media-amazon.com/images/M/MV5BOTNjM2Y2ZjgtMDc5NS00MDQ1LTgyNGYtYzYwMTAyNWQwYTMyXkEyXkFqcGdeQXVyMjE4NzUxNDA@._V1_UX67_CR0,0,67,98_AL_.jpg</t>
  </si>
  <si>
    <t>https://m.media-amazon.com/images/M/MV5BMTM0ODk3MjM1MV5BMl5BanBnXkFtZTcwNzc1MDIwNA@@._V1_UX67_CR0,0,67,98_AL_.jpg</t>
  </si>
  <si>
    <t>https://m.media-amazon.com/images/M/MV5BMTM4NzQ0OTYyOF5BMl5BanBnXkFtZTcwMDkyNjQyMg@@._V1_UX67_CR0,0,67,98_AL_.jpg</t>
  </si>
  <si>
    <t>https://m.media-amazon.com/images/M/MV5BMTMzMTc3MjA5NF5BMl5BanBnXkFtZTcwOTk3MDE5MQ@@._V1_UX67_CR0,0,67,98_AL_.jpg</t>
  </si>
  <si>
    <t>https://m.media-amazon.com/images/M/MV5BYWUxZjJkMDktZmMxMS00Mzg3LTk4MDItN2IwODlmN2E0MTM0XkEyXkFqcGdeQXVyMTMxODk2OTU@._V1_UX67_CR0,0,67,98_AL_.jpg</t>
  </si>
  <si>
    <t>https://m.media-amazon.com/images/M/MV5BMTcwNTE4MTUxMl5BMl5BanBnXkFtZTcwMDIyODM4OA@@._V1_UX67_CR0,0,67,98_AL_.jpg</t>
  </si>
  <si>
    <t>https://m.media-amazon.com/images/M/MV5BMzgxMzYyNzAyOF5BMl5BanBnXkFtZTcwODY5MjY3MQ@@._V1_UY98_CR1,0,67,98_AL_.jpg</t>
  </si>
  <si>
    <t>https://m.media-amazon.com/images/M/MV5BMGRiYjE0YzItMzk3Zi00ZmYwLWJjNDktYTAwYjIwMjIxYzM3XkEyXkFqcGdeQXVyMTMxODk2OTU@._V1_UX67_CR0,0,67,98_AL_.jpg</t>
  </si>
  <si>
    <t>https://m.media-amazon.com/images/M/MV5BZjY5ZjQyMjMtMmEwOC00Nzc2LTllYTItMmU2MzJjNTg1NjY0XkEyXkFqcGdeQXVyNjQ1MTMzMDQ@._V1_UX67_CR0,0,67,98_AL_.jpg</t>
  </si>
  <si>
    <t>https://m.media-amazon.com/images/M/MV5BMjFmZGI2YTEtYmJhMS00YTE5LWJjNjAtNDI5OGY5ZDhmNTRlXkEyXkFqcGdeQXVyODAwMTU1MTE@._V1_UX67_CR0,0,67,98_AL_.jpg</t>
  </si>
  <si>
    <t>https://m.media-amazon.com/images/M/MV5BMTYwOTEwNjAzMl5BMl5BanBnXkFtZTcwODc5MTUwMw@@._V1_UX67_CR0,0,67,98_AL_.jpg</t>
  </si>
  <si>
    <t>https://m.media-amazon.com/images/M/MV5BMTg4ODkzMDQ3Nl5BMl5BanBnXkFtZTgwNTEwMTkxMDE@._V1_UX67_CR0,0,67,98_AL_.jpg</t>
  </si>
  <si>
    <t>https://m.media-amazon.com/images/M/MV5BMzhmNGMzMDMtZDM0Yi00MmVmLWExYjAtZDhjZjcxZDM0MzJhXkEyXkFqcGdeQXVyNjU0OTQ0OTY@._V1_UX67_CR0,0,67,98_AL_.jpg</t>
  </si>
  <si>
    <t>https://m.media-amazon.com/images/M/MV5BMTgzNTgzODU0NV5BMl5BanBnXkFtZTcwMjEyMjMzMQ@@._V1_UX67_CR0,0,67,98_AL_.jpg</t>
  </si>
  <si>
    <t>https://m.media-amazon.com/images/M/MV5BMzg4MDJhMDMtYmJiMS00ZDZmLThmZWUtYTMwZDM1YTc5MWE2XkEyXkFqcGdeQXVyNjU0OTQ0OTY@._V1_UX67_CR0,0,67,98_AL_.jpg</t>
  </si>
  <si>
    <t>https://m.media-amazon.com/images/M/MV5BNjQ0NTY2ODY2M15BMl5BanBnXkFtZTgwMjE4MzkxMDE@._V1_UX67_CR0,0,67,98_AL_.jpg</t>
  </si>
  <si>
    <t>https://m.media-amazon.com/images/M/MV5BY2VlOTc4ZjctYjVlMS00NDYwLWEwZjctZmYzZmVkNGU5NjNjXkEyXkFqcGdeQXVyODE5NzE3OTE@._V1_UY98_CR2,0,67,98_AL_.jpg</t>
  </si>
  <si>
    <t>https://m.media-amazon.com/images/M/MV5BMTU4NTc5NjM5M15BMl5BanBnXkFtZTgwODEyMTE0MDE@._V1_UY98_CR1,0,67,98_AL_.jpg</t>
  </si>
  <si>
    <t>https://m.media-amazon.com/images/M/MV5BMTA1NDQ3NTcyOTNeQTJeQWpwZ15BbWU3MDA0MzA4MzE@._V1_UX67_CR0,0,67,98_AL_.jpg</t>
  </si>
  <si>
    <t>https://m.media-amazon.com/images/M/MV5BMjE1MjA0MDA3MV5BMl5BanBnXkFtZTcwOTU0MjMzMQ@@._V1_UY98_CR1,0,67,98_AL_.jpg</t>
  </si>
  <si>
    <t>https://m.media-amazon.com/images/M/MV5BNWY2ODRkZDYtMjllYi00Y2EyLWFhYjktMTQ5OGNkY2ViYmY2XkEyXkFqcGdeQXVyNjUxMDQ0MTg@._V1_UY98_CR1,0,67,98_AL_.jpg</t>
  </si>
  <si>
    <t>https://m.media-amazon.com/images/M/MV5BOWE2MDAwZjEtODEyOS00ZjYyLTgzNDUtYmNiY2VmNWRiMTQxXkEyXkFqcGdeQXVyNTIzOTk5ODM@._V1_UX67_CR0,0,67,98_AL_.jpg</t>
  </si>
  <si>
    <t>https://m.media-amazon.com/images/M/MV5BMjIyOTU3MjUxOF5BMl5BanBnXkFtZTcwMTQ0NjYzMw@@._V1_UX67_CR0,0,67,98_AL_.jpg</t>
  </si>
  <si>
    <t>https://m.media-amazon.com/images/M/MV5BMzYwODUxNjkyMF5BMl5BanBnXkFtZTcwODUzNjQyMQ@@._V1_UY98_CR0,0,67,98_AL_.jpg</t>
  </si>
  <si>
    <t>https://m.media-amazon.com/images/M/MV5BMTk3OTM5Njg5M15BMl5BanBnXkFtZTYwMzA0ODI3._V1_UX67_CR0,0,67,98_AL_.jpg</t>
  </si>
  <si>
    <t>https://m.media-amazon.com/images/M/MV5BOTNmZTgyMzAtMTUwZC00NjAwLTk4MjktODllYTY5YTUwN2YwXkEyXkFqcGdeQXVyMTQxNzMzNDI@._V1_UX67_CR0,0,67,98_AL_.jpg</t>
  </si>
  <si>
    <t>https://m.media-amazon.com/images/M/MV5BM2YwNTQwM2ItZTA2Ni00NGY1LThjY2QtNzgyZTBhMTM0MWI4XkEyXkFqcGdeQXVyNzQxNDExNTU@._V1_UY98_CR0,0,67,98_AL_.jpg</t>
  </si>
  <si>
    <t>https://m.media-amazon.com/images/M/MV5BNGRiOTIwNTAtYWM2Yy00Yzc4LTkyZjEtNTM3NTIyZTNhMzg1XkEyXkFqcGdeQXVyODIyOTEyMzY@._V1_UY98_CR1,0,67,98_AL_.jpg</t>
  </si>
  <si>
    <t>https://m.media-amazon.com/images/M/MV5BMTI1NDA4NTMyN15BMl5BanBnXkFtZTYwNTA2ODc5._V1_UY98_CR1,0,67,98_AL_.jpg</t>
  </si>
  <si>
    <t>https://m.media-amazon.com/images/M/MV5BMDM0ZWRjZDgtZWI0MS00ZTIzLTg4MWYtZjU5MDEyMDU0ODBjXkEyXkFqcGdeQXVyMTQxNzMzNDI@._V1_UX67_CR0,0,67,98_AL_.jpg</t>
  </si>
  <si>
    <t>https://m.media-amazon.com/images/M/MV5BMWM0ZjY5ZjctODNkZi00Nzk0LWE1ODUtNGM4ZDUyMzUwMGYwXkEyXkFqcGdeQXVyMTQxNzMzNDI@._V1_UX67_CR0,0,67,98_AL_.jpg</t>
  </si>
  <si>
    <t>https://m.media-amazon.com/images/M/MV5BYThkMzgxNjEtMzFiOC00MTI0LWI5MDItNDVmYjA4NzY5MDQ2L2ltYWdlL2ltYWdlXkEyXkFqcGdeQXVyMTQxNzMzNDI@._V1_UX67_CR0,0,67,98_AL_.jpg</t>
  </si>
  <si>
    <t>https://m.media-amazon.com/images/M/MV5BNDdhMzMxOTctNDMyNS00NTZmLTljNWEtNTc4MDBmZTYxY2NmXkEyXkFqcGdeQXVyNjU0OTQ0OTY@._V1_UX67_CR0,0,67,98_AL_.jpg</t>
  </si>
  <si>
    <t>https://m.media-amazon.com/images/M/MV5BZTk2ZTMzMmUtZjUyNi00YzMyLWE3NTAtNDNjNzU3MGQ1YTFjXkEyXkFqcGdeQXVyMTA0MjU0Ng@@._V1_UY98_CR3,0,67,98_AL_.jpg</t>
  </si>
  <si>
    <t>https://m.media-amazon.com/images/M/MV5BN2Y5ZTU4YjctMDRmMC00MTg4LWE1M2MtMjk4MzVmOTE4YjkzXkEyXkFqcGdeQXVyNTc1NTQxODI@._V1_UX67_CR0,0,67,98_AL_.jpg</t>
  </si>
  <si>
    <t>https://m.media-amazon.com/images/M/MV5BYzVmMTdjOTYtOTJkYS00ZTg2LWExNTgtNzA1N2Y0MDgwYWFhXkEyXkFqcGdeQXVyMTQxNzMzNDI@._V1_UX67_CR0,0,67,98_AL_.jpg</t>
  </si>
  <si>
    <t>https://m.media-amazon.com/images/M/MV5BODg0YjAzNDQtOGFkMi00Yzk2LTg1NzYtYTNjY2UwZTM2ZDdkL2ltYWdlXkEyXkFqcGdeQXVyMTQxNzMzNDI@._V1_UY98_CR0,0,67,98_AL_.jpg</t>
  </si>
  <si>
    <t>https://m.media-amazon.com/images/M/MV5BZmIzMjE0M2YtNzliZi00YWNmLTgyNDItZDhjNWVhY2Q2ODk0XkEyXkFqcGdeQXVyNTAyODkwOQ@@._V1_UX67_CR0,0,67,98_AL_.jpg</t>
  </si>
  <si>
    <t>https://m.media-amazon.com/images/M/MV5BOGZhM2FhNTItODAzNi00YjA0LWEyN2UtNjJlYWQzYzU1MDg5L2ltYWdlL2ltYWdlXkEyXkFqcGdeQXVyMTQxNzMzNDI@._V1_UX67_CR0,0,67,98_AL_.jpg</t>
  </si>
  <si>
    <t>https://m.media-amazon.com/images/M/MV5BMDdmZGU3NDQtY2E5My00ZTliLWIzOTUtMTY4ZGI1YjdiNjk3XkEyXkFqcGdeQXVyNTA4NzY1MzY@._V1_UX67_CR0,0,67,98_AL_.jpg</t>
  </si>
  <si>
    <t>https://m.media-amazon.com/images/M/MV5BODk4MzE5NjgtN2ZhOS00YTdkLTg0YzktMmE1MTkxZmMyMWI2L2ltYWdlXkEyXkFqcGdeQXVyNTAyODkwOQ@@._V1_UX67_CR0,0,67,98_AL_.jpg</t>
  </si>
  <si>
    <t>https://m.media-amazon.com/images/M/MV5BODI3ZTc5NjktOGMyOC00NjYzLTgwZDYtYmQ4NDc1MmJjMjRlXkEyXkFqcGdeQXVyMTQxNzMzNDI@._V1_UX67_CR0,0,67,98_AL_.jpg</t>
  </si>
  <si>
    <t>https://m.media-amazon.com/images/M/MV5BZGVmMDNmYmEtNGQ2Mi00Y2ZhLThhZTYtYjE5YmQzMjZiZGMxXkEyXkFqcGdeQXVyNDk3NzU2MTQ@._V1_UY98_CR1,0,67,98_AL_.jpg</t>
  </si>
  <si>
    <t>https://m.media-amazon.com/images/M/MV5BNDYwZTU2MzktNWYxMS00NTYzLTgzOWEtMTRiYjc5NGY2Nzg1XkEyXkFqcGdeQXVyMTQxNzMzNDI@._V1_UX67_CR0,0,67,98_AL_.jpg</t>
  </si>
  <si>
    <t>https://m.media-amazon.com/images/M/MV5BNTA5ZjdjNWUtZGUwNy00N2RhLWJiZmItYzFhYjU1NmYxNjY4XkEyXkFqcGdeQXVyMTQxNzMzNDI@._V1_UX67_CR0,0,67,98_AL_.jpg</t>
  </si>
  <si>
    <t>https://m.media-amazon.com/images/M/MV5BY2EyZDlhNjItODYzNi00Mzc3LWJjOWUtMTViODU5MTExZWMyL2ltYWdlXkEyXkFqcGdeQXVyMTQxNzMzNDI@._V1_UX67_CR0,0,67,98_AL_.jpg</t>
  </si>
  <si>
    <t>https://m.media-amazon.com/images/M/MV5BODRkYzA4MGItODE2MC00ZjkwLWI2NDEtYzU1NzFiZGU1YzA0XkEyXkFqcGdeQXVyNTAyODkwOQ@@._V1_UX67_CR0,0,67,98_AL_.jpg</t>
  </si>
  <si>
    <t>https://m.media-amazon.com/images/M/MV5BODllYjM1ODItYjBmOC00MzkwLWJmM2YtMjMyZDU3MGJhNjc4L2ltYWdlL2ltYWdlXkEyXkFqcGdeQXVyMTQxNzMzNDI@._V1_UX67_CR0,0,67,98_AL_.jpg</t>
  </si>
  <si>
    <t>https://m.media-amazon.com/images/M/MV5BNDYwOThlMDAtYWUwMS00MjY5LTliMGUtZWFiYTA5MjYwZDAyXkEyXkFqcGdeQXVyNjY1NTQ0NDg@._V1_UX67_CR0,0,67,98_AL_.jpg</t>
  </si>
  <si>
    <t>https://m.media-amazon.com/images/M/MV5BMjA3Y2I4NjAtMDQyZS00ZGJhLWEwMzgtODBiNzE5Zjc1Nzk1L2ltYWdlXkEyXkFqcGdeQXVyNTc2MDU0NDE@._V1_UX67_CR0,0,67,98_AL_.jpg</t>
  </si>
  <si>
    <t>https://m.media-amazon.com/images/M/MV5BYmFmOGZjYTItYjY1ZS00OWRiLTk0NDgtMjQ5MzBkYWE2YWE0XkEyXkFqcGdeQXVyNjU0OTQ0OTY@._V1_UX67_CR0,0,67,98_AL_.jpg</t>
  </si>
  <si>
    <t>https://m.media-amazon.com/images/M/MV5BMTczOTczNjE3Ml5BMl5BanBnXkFtZTgwODEzMzg5MTI@._V1_UX67_CR0,0,67,98_AL_.jpg</t>
  </si>
  <si>
    <t>https://m.media-amazon.com/images/M/MV5BYTRiMWM3MGItNjAxZC00M2E3LThhODgtM2QwOGNmZGU4OWZhXkEyXkFqcGdeQXVyNjExODE1MDc@._V1_UX67_CR0,0,67,98_AL_.jpg</t>
  </si>
  <si>
    <t>https://m.media-amazon.com/images/M/MV5BOTIzZGU4ZWMtYmNjMy00NzU0LTljMGYtZmVkMDYwN2U2MzYwL2ltYWdlXkEyXkFqcGdeQXVyNTAyODkwOQ@@._V1_UX67_CR0,0,67,98_AL_.jpg</t>
  </si>
  <si>
    <t>https://m.media-amazon.com/images/M/MV5BOGNmMjBmZWEtOWYwZC00NGIzLTg0YWItMzkzMWMwOTU4YTViXkEyXkFqcGdeQXVyNzc5MjA3OA@@._V1_UX67_CR0,0,67,98_AL_.jpg</t>
  </si>
  <si>
    <t>https://m.media-amazon.com/images/M/MV5BYmE0ZGRiMDgtOTU0ZS00YWUwLTk5YWQtMzhiZGVhNzViMGZiXkEyXkFqcGdeQXVyMTMxODk2OTU@._V1_UX67_CR0,0,67,98_AL_.jpg</t>
  </si>
  <si>
    <t>https://m.media-amazon.com/images/M/MV5BZmRjNDI5NTgtOTIwMC00MzJhLWI4ZTYtMmU0ZTE3ZmRkZDNhXkEyXkFqcGdeQXVyMTQxNzMzNDI@._V1_UX67_CR0,0,67,98_AL_.jpg</t>
  </si>
  <si>
    <t>https://m.media-amazon.com/images/M/MV5BNzY0ODQ3MTMxN15BMl5BanBnXkFtZTgwMDkwNTg4NjE@._V1_UX67_CR0,0,67,98_AL_.jpg</t>
  </si>
  <si>
    <t>https://m.media-amazon.com/images/M/MV5BMjI5NjEzMDYyMl5BMl5BanBnXkFtZTgwNjgwNTg4NjE@._V1_UY98_CR3,0,67,98_AL_.jpg</t>
  </si>
  <si>
    <t>https://m.media-amazon.com/images/M/MV5BOTc0ODM1Njk1NF5BMl5BanBnXkFtZTcwMDI5OTEyNw@@._V1_UY98_CR1,0,67,98_AL_.jpg</t>
  </si>
  <si>
    <t>https://m.media-amazon.com/images/M/MV5BODhlNjA5MDEtZDVhNS00ZmM3LTg1YzAtZGRjNjhjNTAzNzVkXkEyXkFqcGdeQXVyNjUwMzI2NzU@._V1_UY98_CR0,0,67,98_AL_.jpg</t>
  </si>
  <si>
    <t>https://m.media-amazon.com/images/M/MV5BMDQyMDVhZjItMGI0Mi00MDQ1LTk3NmQtZmRjZGQ5ZTQ2ZDU5XkEyXkFqcGdeQXVyNTAyODkwOQ@@._V1_UX67_CR0,0,67,98_AL_.jpg</t>
  </si>
  <si>
    <t>https://m.media-amazon.com/images/M/MV5BZTMxMGM5MjItNDJhNy00MWI2LWJlZWMtOWFhMjI5ZTQwMWM3XkEyXkFqcGdeQXVyMTQxNzMzNDI@._V1_UX67_CR0,0,67,98_AL_.jpg</t>
  </si>
  <si>
    <t>https://m.media-amazon.com/images/M/MV5BZTFjNjU4OTktYzljMS00MmFlLWI3NGEtNjNhMTYwYzUyZDgyL2ltYWdlL2ltYWdlXkEyXkFqcGdeQXVyNjU0OTQ0OTY@._V1_UX67_CR0,0,67,98_AL_.jpg</t>
  </si>
  <si>
    <t>https://m.media-amazon.com/images/M/MV5BY2QwYmFmZTEtNzY2Mi00ZWMyLWEwY2YtMGIyNGZjMWExOWEyXkEyXkFqcGdeQXVyNjUwNzk3NDc@._V1_UX67_CR0,0,67,98_AL_.jpg</t>
  </si>
  <si>
    <t>https://m.media-amazon.com/images/M/MV5BMWY3ODZlOGMtNzJmOS00ZTNjLWI3ZWEtZTJhZTk5NDZjYWRjXkEyXkFqcGdeQXVyNjU0OTQ0OTY@._V1_UX67_CR0,0,67,98_AL_.jpg</t>
  </si>
  <si>
    <t>https://m.media-amazon.com/images/M/MV5BMDA0NjZhZWUtNmI2NC00MmFjLTgwZDYtYzVjZmNhMDVmOTBkXkEyXkFqcGdeQXVyMTQxNzMzNDI@._V1_UX67_CR0,0,67,98_AL_.jpg</t>
  </si>
  <si>
    <t>https://m.media-amazon.com/images/M/MV5BM2ZmNDJiZTUtYjg5Zi00M2I3LTliZjAtNzQ4NTlkYTAzYTAxXkEyXkFqcGdeQXVyNTkyMDc0MjI@._V1_UX67_CR0,0,67,98_AL_.jpg</t>
  </si>
  <si>
    <t>https://m.media-amazon.com/images/M/MV5BODRlMjRkZGEtZWM2Zi00ZjYxLWE0MWUtMmM1YWM2NzZlOTE1XkEyXkFqcGdeQXVyMTQxNzMzNDI@._V1_UX67_CR0,0,67,98_AL_.jpg</t>
  </si>
  <si>
    <t>https://m.media-amazon.com/images/M/MV5BZDRkOWQ5NGUtYTVmOS00ZjNhLWEwODgtOGI2MmUxNTBkMjU0XkEyXkFqcGdeQXVyMjUzOTY1NTc@._V1_UX67_CR0,0,67,98_AL_.jpg</t>
  </si>
  <si>
    <t>https://m.media-amazon.com/images/M/MV5BOTM5N2ZmZTMtNjlmOS00YzlkLTk3YjEtNTU1ZmQ5OTdhODZhXkEyXkFqcGdeQXVyMTQxNzMzNDI@._V1_UX67_CR0,0,67,98_AL_.jpg</t>
  </si>
  <si>
    <t>https://m.media-amazon.com/images/M/MV5BMGI0NzI5YjAtNTg0MS00NDA2LWE5ZWItODRmOTAxOTAxYjg2L2ltYWdlL2ltYWdlXkEyXkFqcGdeQXVyNTI4MjkwNjA@._V1_UX67_CR0,0,67,98_AL_.jpg</t>
  </si>
  <si>
    <t>https://m.media-amazon.com/images/M/MV5BMTkxMjYyNzgwMl5BMl5BanBnXkFtZTgwMTE3MjYyMTE@._V1_UX67_CR0,0,67,98_AL_.jpg</t>
  </si>
  <si>
    <t>https://m.media-amazon.com/images/M/MV5BOTUwMDA3MTYtZjhjMi00ODFmLTg5ZTAtYzgwN2NlODgzMmUwXkEyXkFqcGdeQXVyNjc1NTYyMjg@._V1_UX67_CR0,0,67,98_AL_.jpg</t>
  </si>
  <si>
    <t>https://m.media-amazon.com/images/M/MV5BMTViNjlkYjgtMmE3Zi00ZGVkLTkyMjMtNzc3YzAwNzNiODQ1XkEyXkFqcGdeQXVyMjA0MzYwMDY@._V1_UX67_CR0,0,67,98_AL_.jpg</t>
  </si>
  <si>
    <t>https://m.media-amazon.com/images/M/MV5BMTQ2ODFlMDAtNzdhOC00ZDYzLWE3YTMtNDU4ZGFmZmJmYTczXkEyXkFqcGdeQXVyMTQxNzMzNDI@._V1_UX67_CR0,0,67,98_AL_.jpg</t>
  </si>
  <si>
    <t>https://m.media-amazon.com/images/M/MV5BNDM3YjNlYmMtOGY3NS00MmRjLWIyY2UtNDA0MWM3OTNlZTY2XkEyXkFqcGdeQXVyMTQxNzMzNDI@._V1_UX67_CR0,0,67,98_AL_.jpg</t>
  </si>
  <si>
    <t>https://m.media-amazon.com/images/M/MV5BZjMyZmU4OGYtNjBiYS00YTIxLWJjMDUtZjczZmQwMTM4YjQxXkEyXkFqcGdeQXVyNTI4MjkwNjA@._V1_UX67_CR0,0,67,98_AL_.jpg</t>
  </si>
  <si>
    <t>https://m.media-amazon.com/images/M/MV5BMjIxNDYxMTk2MF5BMl5BanBnXkFtZTgwMjQxNjU3MTE@._V1_UY98_CR0,0,67,98_AL_.jpg</t>
  </si>
  <si>
    <t>https://m.media-amazon.com/images/M/MV5BZWQzYjBjZmQtZDFiOS00ZDQ1LWI4MDAtMDk1NGE1NDBhYjNhL2ltYWdlXkEyXkFqcGdeQXVyNjc1NTYyMjg@._V1_UX67_CR0,0,67,98_AL_.jpg</t>
  </si>
  <si>
    <t>https://m.media-amazon.com/images/M/MV5BNzZlMThlYzktMDlmZC00YTI1LThlNzktZWU0MTY4ODc2ZWY4XkEyXkFqcGdeQXVyNTA1NjYyMDk@._V1_UX67_CR0,0,67,98_AL_.jpg</t>
  </si>
  <si>
    <t>https://m.media-amazon.com/images/M/MV5BYjhhMDFlZDctYzg1Mi00ZmZiLTgyNTgtM2NkMjRkNzYwZmQ0XkEyXkFqcGdeQXVyMTMxODk2OTU@._V1_UX67_CR0,0,67,98_AL_.jpg</t>
  </si>
  <si>
    <t>https://m.media-amazon.com/images/M/MV5BNjZmMWE4NzgtZjc5OS00NTBmLThlY2MtM2MzNTA5NTZiNTFjXkEyXkFqcGdeQXVyNjc1NTYyMjg@._V1_UY98_CR0,0,67,98_AL_.jpg</t>
  </si>
  <si>
    <t>https://m.media-amazon.com/images/M/MV5BMDcxNjhiOTEtMzQ0YS00OTBhLTkxM2QtN2UyZDMzNzIzNWFlXkEyXkFqcGdeQXVyMTQxNzMzNDI@._V1_UY98_CR1,0,67,98_AL_.jpg</t>
  </si>
  <si>
    <t>https://m.media-amazon.com/images/M/MV5BNTEyMzc0Mjk5MV5BMl5BanBnXkFtZTgwMjI2NDIwMTE@._V1_UX67_CR0,0,67,98_AL_.jpg</t>
  </si>
  <si>
    <t>https://m.media-amazon.com/images/M/MV5BZTllNDU0ZTItYTYxMC00OTI4LThlNDAtZjNiNzdhMWZiYjNmXkEyXkFqcGdeQXVyNzY1NDgwNjQ@._V1_UX67_CR0,0,67,98_AL_.jpg</t>
  </si>
  <si>
    <t>https://m.media-amazon.com/images/M/MV5BNTgwZmIzMmYtZjE3Yy00NzgzLTgxNmUtNjlmZDlkMzlhOTJkXkEyXkFqcGdeQXVyNjUwNzk3NDc@._V1_UX67_CR0,0,67,98_AL_.jpg</t>
  </si>
  <si>
    <t>https://m.media-amazon.com/images/M/MV5BMTQyNTAzOTI3NF5BMl5BanBnXkFtZTcwNTM0Mjg0Mg@@._V1_UX67_CR0,0,67,98_AL_.jpg</t>
  </si>
  <si>
    <t>https://m.media-amazon.com/images/M/MV5BZTVmMTk2NjUtNjVjNC00OTcwLWE4OWEtNzA4Mjk1ZmIwNDExXkEyXkFqcGdeQXVyNjUwNzk3NDc@._V1_UX67_CR0,0,67,98_AL_.jpg</t>
  </si>
  <si>
    <t>https://m.media-amazon.com/images/M/MV5BOTViZmMwOGEtYzc4Yy00ZGQ1LWFkZDQtMDljNGZlMjAxMjhiXkEyXkFqcGdeQXVyNzM0MTUwNTY@._V1_UX67_CR0,0,67,98_AL_.jpg</t>
  </si>
  <si>
    <t>https://m.media-amazon.com/images/M/MV5BNGM0ZTU3NmItZmRmMy00YWNjLWEzMWItYzg3MzcwZmM5NjdiXkEyXkFqcGdeQXVyNDYyMDk5MTU@._V1_UY98_CR2,0,67,98_AL_.jpg</t>
  </si>
  <si>
    <t>https://m.media-amazon.com/images/M/MV5BNmJkODczNjItNDI5Yy00MGI1LTkyOWItZDNmNjM4ZGI1ZDVlL2ltYWdlL2ltYWdlXkEyXkFqcGdeQXVyMDI2NDg0NQ@@._V1_UX67_CR0,0,67,98_AL_.jpg</t>
  </si>
  <si>
    <t>https://m.media-amazon.com/images/M/MV5BZTM1ZjQ2YTktNDM2MS00NGY2LTkzNzItZTU4ODg1ODNkMWYxL2ltYWdlXkEyXkFqcGdeQXVyNjc1NTYyMjg@._V1_UX67_CR0,0,67,98_AL_.jpg</t>
  </si>
  <si>
    <t>https://m.media-amazon.com/images/M/MV5BZTM1MTRiNDctMTFiMC00NGM1LTkyMWQtNTY1M2JjZDczOWQ3XkEyXkFqcGdeQXVyMDI3OTIzOA@@._V1_UY98_CR3,0,67,98_AL_.jpg</t>
  </si>
  <si>
    <t>https://m.media-amazon.com/images/M/MV5BNGQyNjBjNTUtNTM1OS00YzcyLWFhNTgtNTU0MDg3NzBlMDQzXkEyXkFqcGdeQXVyNjc1NTYyMjg@._V1_UY98_CR0,0,67,98_AL_.jpg</t>
  </si>
  <si>
    <t>https://m.media-amazon.com/images/M/MV5BNzk5MDk2MjktY2I3NS00ODZkLTk3OTktY2Q3ZDE2MmQ2M2ZmXkEyXkFqcGdeQXVyNjc1NTYyMjg@._V1_UY98_CR2,0,67,98_AL_.jpg</t>
  </si>
  <si>
    <t>https://m.media-amazon.com/images/M/MV5BNzNiOGJhMDUtZjNjMC00YmE5LTk3NjQtNGM4ZjAzOGJjZmRlXkEyXkFqcGdeQXVyNjc1NTYyMjg@._V1_UX67_CR0,0,67,98_AL_.jpg</t>
  </si>
  <si>
    <t>https://m.media-amazon.com/images/M/MV5BODI3YzNiZTUtYjEyZS00ODkwLWE2ZDUtNGJmMTNiYTc4ZTM4XkEyXkFqcGdeQXVyMDI2NDg0NQ@@._V1_UX67_CR0,0,67,98_AL_.jpg</t>
  </si>
  <si>
    <t>https://m.media-amazon.com/images/M/MV5BZGU2YmU0MWMtMzg5My00ZmY2LTljMDItMTg2YTI5Y2U2OTE3XkEyXkFqcGdeQXVyMjUxODE0MDY@._V1_UY98_CR0,0,67,98_AL_.jpg</t>
  </si>
  <si>
    <t>https://m.media-amazon.com/images/M/MV5BM2I1YWM4NTYtYjA0Ny00ZDEwLTg3NTgtNzBjMzZhZTk1YTA1XkEyXkFqcGdeQXVyMTY5Nzc4MDY@._V1_UX67_CR0,0,67,98_AL_.jpg</t>
  </si>
  <si>
    <t>https://m.media-amazon.com/images/M/MV5BOGQ4NDUyNWQtZTEyOC00OTMzLWFhYjAtNDNmYmQ2MWQyMTRmXkEyXkFqcGdeQXVyNTA4NzY1MzY@._V1_UX67_CR0,0,67,98_AL_.jpg</t>
  </si>
  <si>
    <t>https://m.media-amazon.com/images/M/MV5BNjk3YzFjYTktOGY0ZS00Y2EwLTk2NTctYTI1Nzc2OWNiN2I4XkEyXkFqcGdeQXVyNzM0MTUwNTY@._V1_UX67_CR0,0,67,98_AL_.jpg</t>
  </si>
  <si>
    <t>https://m.media-amazon.com/images/M/MV5BMmVkOTRiYmItZjE4NS00MWNjLWE0ZmMtYzg5YzFjMjMyY2RkXkEyXkFqcGdeQXVyNjc1NTYyMjg@._V1_UX67_CR0,0,67,98_AL_.jpg</t>
  </si>
  <si>
    <t>https://m.media-amazon.com/images/M/MV5BOTUzMzAzMzEzNV5BMl5BanBnXkFtZTgwOTg1NTAwMjE@._V1_UX67_CR0,0,67,98_AL_.jpg</t>
  </si>
  <si>
    <t>https://m.media-amazon.com/images/M/MV5BYmYxZGU2NWYtNzQxZS00NmEyLWIzN2YtMDk5MWM0ODc5ZTE4XkEyXkFqcGdeQXVyNTA4NzY1MzY@._V1_UX67_CR0,0,67,98_AL_.jpg</t>
  </si>
  <si>
    <t>https://m.media-amazon.com/images/M/MV5BYmMxZTU2ZDUtM2Y1MS00ZWFmLWJlN2UtNzI0OTJiOTYzMTk3XkEyXkFqcGdeQXVyMjUxODE0MDY@._V1_UX67_CR0,0,67,98_AL_.jpg</t>
  </si>
  <si>
    <t>https://m.media-amazon.com/images/M/MV5BMTQ0Njc1MjM0OF5BMl5BanBnXkFtZTgwNTY2NTUyMjE@._V1_UX67_CR0,0,67,98_AL_.jpg</t>
  </si>
  <si>
    <t>https://m.media-amazon.com/images/M/MV5BMTU0OTc3ODk4Ml5BMl5BanBnXkFtZTgwMzM4NzI5NjM@._V1_UX67_CR0,0,67,98_AL_.jpg</t>
  </si>
  <si>
    <t>https://m.media-amazon.com/images/M/MV5BNjRhYzk2NDAtYzA1Mi00MmNmLWE1ZjQtMDBhZmUyMTdjZjBiXkEyXkFqcGdeQXVyNjk1Njg5NTA@._V1_UX67_CR0,0,67,98_AL_.jpg</t>
  </si>
  <si>
    <t>https://m.media-amazon.com/images/M/MV5BNjk1Njk3YjctMmMyYS00Y2I4LThhMzktN2U0MTMyZTFlYWQ5XkEyXkFqcGdeQXVyODM2ODEzMDA@._V1_UY98_CR15,0,67,98_AL_.jpg</t>
  </si>
  <si>
    <t>https://m.media-amazon.com/images/M/MV5BMTUyMjU1OTUwM15BMl5BanBnXkFtZTgwMDg1NDQ2MjI@._V1_UX67_CR0,0,67,98_AL_.jpg</t>
  </si>
  <si>
    <t>https://m.media-amazon.com/images/M/MV5BMjUxMDQwNjcyNl5BMl5BanBnXkFtZTgwNzcwMzc0MTI@._V1_UX67_CR0,0,67,98_AL_.jpg</t>
  </si>
  <si>
    <t>https://m.media-amazon.com/images/M/MV5BNjRlZmM0ODktY2RjNS00ZDdjLWJhZGYtNDljNWZkMGM5MTg0XkEyXkFqcGdeQXVyNjAwMjI5MDk@._V1_UX67_CR0,0,67,98_AL_.jpg</t>
  </si>
  <si>
    <t>https://m.media-amazon.com/images/M/MV5BMjE0NDUyOTc2MV5BMl5BanBnXkFtZTgwODk2NzU3OTE@._V1_UX67_CR0,0,67,98_AL_.jpg</t>
  </si>
  <si>
    <t>https://m.media-amazon.com/images/M/MV5BMjAwNDA5NzEwM15BMl5BanBnXkFtZTgwMTA1MDUyNDE@._V1_UX67_CR0,0,67,98_AL_.jpg</t>
  </si>
  <si>
    <t>https://m.media-amazon.com/images/M/MV5BZTlmYTJmMWEtNDRhNy00ODc1LTg2OTMtMjk2ODJhNTA4YTE1XkEyXkFqcGdeQXVyMTMxODk2OTU@._V1_UY98_CR0,0,67,98_AL_.jpg</t>
  </si>
  <si>
    <t>https://m.media-amazon.com/images/M/MV5BMTAwMTU4MDA3NDNeQTJeQWpwZ15BbWU4MDk4NTMxNTIx._V1_UX67_CR0,0,67,98_AL_.jpg</t>
  </si>
  <si>
    <t>https://m.media-amazon.com/images/M/MV5BYTM3ZTllNzItNTNmOS00NzJiLTg1MWMtMjMxNDc0NmJhODU5XkEyXkFqcGdeQXVyODE5NzE3OTE@._V1_UX67_CR0,0,67,98_AL_.jpg</t>
  </si>
  <si>
    <t>https://m.media-amazon.com/images/M/MV5BNTVkMTFiZWItOTFkOC00YTc3LWFhYzQtZTg3NzAxZjJlNTAyXkEyXkFqcGdeQXVyODE5NzE3OTE@._V1_UX67_CR0,0,67,98_AL_.jpg</t>
  </si>
  <si>
    <t>https://m.media-amazon.com/images/M/MV5BNTA1NzUzNjY4MV5BMl5BanBnXkFtZTgwNDU0MDI0NTE@._V1_UX67_CR0,0,67,98_AL_.jpg</t>
  </si>
  <si>
    <t>https://m.media-amazon.com/images/M/MV5BODAzNDMxMzAxOV5BMl5BanBnXkFtZTgwMDMxMjA4MjE@._V1_UX67_CR0,0,67,98_AL_.jpg</t>
  </si>
  <si>
    <t>https://m.media-amazon.com/images/M/MV5BMTQ5NTg5ODk4OV5BMl5BanBnXkFtZTgwODc4MTMzMDE@._V1_UX67_CR0,0,67,98_AL_.jpg</t>
  </si>
  <si>
    <t>https://m.media-amazon.com/images/M/MV5BMTgwNTAwMjEzMF5BMl5BanBnXkFtZTcwNzMzODY4OA@@._V1_UY98_CR3,0,67,98_AL_.jpg</t>
  </si>
  <si>
    <t>https://m.media-amazon.com/images/M/MV5BMTQzMzg2Nzg2MF5BMl5BanBnXkFtZTgwNjUzNzIzMDE@._V1_UX67_CR0,0,67,98_AL_.jpg</t>
  </si>
  <si>
    <t>https://m.media-amazon.com/images/M/MV5BMzA2NDkwODAwM15BMl5BanBnXkFtZTgwODk5MTgzMTE@._V1_UY98_CR0,0,67,98_AL_.jpg</t>
  </si>
  <si>
    <t>https://m.media-amazon.com/images/M/MV5BOTc3NzAxMjg4M15BMl5BanBnXkFtZTcwMDc2ODQwNw@@._V1_UY98_CR3,0,67,98_AL_.jpg</t>
  </si>
  <si>
    <t>https://m.media-amazon.com/images/M/MV5BOGQzODdlMDktNzU4ZC00N2M3LWFkYTAtYTM1NTE0ZWI5YTg4XkEyXkFqcGdeQXVyMTA1NTM1NDI2._V1_UX67_CR0,0,67,98_AL_.jpg</t>
  </si>
  <si>
    <t>https://m.media-amazon.com/images/M/MV5BNzMxNTExOTkyMF5BMl5BanBnXkFtZTcwMzEyNDc0OA@@._V1_UX67_CR0,0,67,98_AL_.jpg</t>
  </si>
  <si>
    <t>https://m.media-amazon.com/images/M/MV5BNjg0OTM5OTQyNV5BMl5BanBnXkFtZTgwNDg5NDQ0NTE@._V1_UY98_CR2,0,67,98_AL_.jpg</t>
  </si>
  <si>
    <t>https://m.media-amazon.com/images/M/MV5BMTM3NzQzMDA5Ml5BMl5BanBnXkFtZTcwODA5NTcyNw@@._V1_UY98_CR0,0,67,98_AL_.jpg</t>
  </si>
  <si>
    <t>https://m.media-amazon.com/images/M/MV5BMTM4NjY1MDQwMl5BMl5BanBnXkFtZTcwNTI3Njg3NA@@._V1_UX67_CR0,0,67,98_AL_.jpg</t>
  </si>
  <si>
    <t>https://m.media-amazon.com/images/M/MV5BMTg4MDk1ODExN15BMl5BanBnXkFtZTgwNzIyNjg3MDE@._V1_UX67_CR0,0,67,98_AL_.jpg</t>
  </si>
  <si>
    <t>https://m.media-amazon.com/images/M/MV5BNjE5MzYwMzYxMF5BMl5BanBnXkFtZTcwOTk4MTk0OQ@@._V1_UX67_CR0,0,67,98_AL_.jpg</t>
  </si>
  <si>
    <t>https://m.media-amazon.com/images/M/MV5BMTk2NzczOTgxNF5BMl5BanBnXkFtZTcwODQ5ODczOQ@@._V1_UX67_CR0,0,67,98_AL_.jpg</t>
  </si>
  <si>
    <t>https://m.media-amazon.com/images/M/MV5BMTYwMzMzMDI0NF5BMl5BanBnXkFtZTgwNDQ3NjI3NjE@._V1_UX67_CR0,0,67,98_AL_.jpg</t>
  </si>
  <si>
    <t>https://m.media-amazon.com/images/M/MV5BOGUyZDUxZjEtMmIzMC00MzlmLTg4MGItZWJmMzBhZjE0Mjc1XkEyXkFqcGdeQXVyMTMxODk2OTU@._V1_UX67_CR0,0,67,98_AL_.jpg</t>
  </si>
  <si>
    <t>https://m.media-amazon.com/images/M/MV5BMTg5OTMxNzk4Nl5BMl5BanBnXkFtZTcwOTk1MjAwNQ@@._V1_UX67_CR0,0,67,98_AL_.jpg</t>
  </si>
  <si>
    <t>https://m.media-amazon.com/images/M/MV5BNGQwZjg5YmYtY2VkNC00NzliLTljYTctNzI5NmU3MjE2ODQzXkEyXkFqcGdeQXVyNzkwMjQ5NzM@._V1_UX67_CR0,0,67,98_AL_.jpg</t>
  </si>
  <si>
    <t>https://m.media-amazon.com/images/M/MV5BMWZiNjE2OWItMTkwNy00ZWQzLWI0NTgtMWE0NjNiYTljN2Q1XkEyXkFqcGdeQXVyNzAwMjYxMzA@._V1_UX67_CR0,0,67,98_AL_.jpg</t>
  </si>
  <si>
    <t>https://m.media-amazon.com/images/M/MV5BMTM2MTI5NzA3MF5BMl5BanBnXkFtZTcwODExNTc0OA@@._V1_UX67_CR0,0,67,98_AL_.jpg</t>
  </si>
  <si>
    <t>https://m.media-amazon.com/images/M/MV5BNzljNjY3MDYtYzc0Ni00YjU0LWIyNDUtNTE0ZDRiMGExMjZlXkEyXkFqcGdeQXVyMTMxODk2OTU@._V1_UX67_CR0,0,67,98_AL_.jpg</t>
  </si>
  <si>
    <t>https://m.media-amazon.com/images/M/MV5BMTk5MjM4OTU1OV5BMl5BanBnXkFtZTcwODkzNDIzMw@@._V1_UX67_CR0,0,67,98_AL_.jpg</t>
  </si>
  <si>
    <t>https://m.media-amazon.com/images/M/MV5BMTQ2OTE1Mjk0N15BMl5BanBnXkFtZTcwODE3MDAwNA@@._V1_UX67_CR0,0,67,98_AL_.jpg</t>
  </si>
  <si>
    <t>https://m.media-amazon.com/images/M/MV5BOTc3YmM3N2QtODZkMC00ZDE5LThjMTQtYTljN2Y1YTYwYWJkXkEyXkFqcGdeQXVyODEzNjM5OTQ@._V1_UX67_CR0,0,67,98_AL_.jpg</t>
  </si>
  <si>
    <t>https://m.media-amazon.com/images/M/MV5BOTY4NTU2NTU4NF5BMl5BanBnXkFtZTcwNjE0OTc5MQ@@._V1_UX67_CR0,0,67,98_AL_.jpg</t>
  </si>
  <si>
    <t>https://m.media-amazon.com/images/M/MV5BNDliMTMxOWEtODM3Yi00N2QwLTg4YTAtNTE5YzBlNTA2NjhlXkEyXkFqcGdeQXVyNjE5MjUyOTM@._V1_UX67_CR0,0,67,98_AL_.jpg</t>
  </si>
  <si>
    <t>https://m.media-amazon.com/images/M/MV5BOTA1Mzg3NjIxNV5BMl5BanBnXkFtZTcwNzU2NTc5MQ@@._V1_UX67_CR0,0,67,98_AL_.jpg</t>
  </si>
  <si>
    <t>https://m.media-amazon.com/images/M/MV5BMTU2NjQ1Nzc4MF5BMl5BanBnXkFtZTcwNTM0NDk1Mw@@._V1_UX67_CR0,0,67,98_AL_.jpg</t>
  </si>
  <si>
    <t>https://m.media-amazon.com/images/M/MV5BMzA4ZGM1NjYtMjcxYS00MTdiLWJmNzEtMTUzODY0NDQ0YzUzXkEyXkFqcGdeQXVyMzYwMjQ3OTI@._V1_UY98_CR1,0,67,98_AL_.jpg</t>
  </si>
  <si>
    <t>https://m.media-amazon.com/images/M/MV5BZDNlNjEzMzQtZDM0MS00YzhiLTk0MGUtYTdmNDZiZGVjNTk0L2ltYWdlXkEyXkFqcGdeQXVyNTAyODkwOQ@@._V1_UY98_CR1,0,67,98_AL_.jpg</t>
  </si>
  <si>
    <t>https://m.media-amazon.com/images/M/MV5BMmE3OWZhZDYtOTBjMi00NDIwLTg1NWMtMjg0NjJmZWM4MjliL2ltYWdlXkEyXkFqcGdeQXVyNTAyODkwOQ@@._V1_UX67_CR0,0,67,98_AL_.jpg</t>
  </si>
  <si>
    <t>https://m.media-amazon.com/images/M/MV5BMTUxNzc0OTIxMV5BMl5BanBnXkFtZTgwNDI3NzU2NDE@._V1_UX67_CR0,0,67,98_AL_.jpg</t>
  </si>
  <si>
    <t>https://m.media-amazon.com/images/M/MV5BMjIxODEyOTQ5Ml5BMl5BanBnXkFtZTcwNjE3NzI5Mw@@._V1_UY98_CR1,0,67,98_AL_.jpg</t>
  </si>
  <si>
    <t>https://m.media-amazon.com/images/M/MV5BMjM1NTkxNjkzMl5BMl5BanBnXkFtZTgwNDgwMDAxMzE@._V1_UY98_CR1,0,67,98_AL_.jpg</t>
  </si>
  <si>
    <t>https://m.media-amazon.com/images/M/MV5BN2UwNDc5NmEtNjVjZS00OTI5LWE5YjctMWM3ZjBiZGYwMGI2XkEyXkFqcGdeQXVyNzkwMjQ5NzM@._V1_UX67_CR0,0,67,98_AL_.jpg</t>
  </si>
  <si>
    <t>https://m.media-amazon.com/images/M/MV5BZjczMWI1YWMtYTZjOS00ZDc5LWE2MWItMTY3ZGUxNzFkNjJmL2ltYWdlXkEyXkFqcGdeQXVyNjU0OTQ0OTY@._V1_UX67_CR0,0,67,98_AL_.jpg</t>
  </si>
  <si>
    <t>https://m.media-amazon.com/images/M/MV5BMTQyODczNjU3NF5BMl5BanBnXkFtZTcwNjQ0NDIzMQ@@._V1_UX67_CR0,0,67,98_AL_.jpg</t>
  </si>
  <si>
    <t>https://m.media-amazon.com/images/M/MV5BNTEzOTYwMTcxN15BMl5BanBnXkFtZTcwNTgyNjI1MQ@@._V1_UX67_CR0,0,67,98_AL_.jpg</t>
  </si>
  <si>
    <t>https://m.media-amazon.com/images/M/MV5BMTAxNDYxMjg0MjNeQTJeQWpwZ15BbWU3MDcyNTk2OTM@._V1_UX67_CR0,0,67,98_AL_.jpg</t>
  </si>
  <si>
    <t>https://m.media-amazon.com/images/M/MV5BODFlNTI0ZWQtOTcxNC00OTc0LTkwZDUtMmNkM2I1ZWFlYzZkXkEyXkFqcGdeQXVyNTIzOTk5ODM@._V1_UY98_CR2,0,67,98_AL_.jpg</t>
  </si>
  <si>
    <t>https://m.media-amazon.com/images/M/MV5BMTY5NTAzNTc1NF5BMl5BanBnXkFtZTYwNDY4MDc3._V1_UX67_CR0,0,67,98_AL_.jpg</t>
  </si>
  <si>
    <t>https://m.media-amazon.com/images/M/MV5BODE0NTcxNTQzNF5BMl5BanBnXkFtZTcwMzczOTIzMw@@._V1_UX67_CR0,0,67,98_AL_.jpg</t>
  </si>
  <si>
    <t>https://m.media-amazon.com/images/M/MV5BOTk1OTA1MjIyNV5BMl5BanBnXkFtZTcwODQxMTkyMQ@@._V1_UX67_CR0,0,67,98_AL_.jpg</t>
  </si>
  <si>
    <t>https://m.media-amazon.com/images/M/MV5BMjZiOTNlMzYtZWYwZS00YWJjLTk5NDgtODkwNjRhMDI0MjhjXkEyXkFqcGdeQXVyMjgyNjk3MzE@._V1_UY98_CR1,0,67,98_AL_.jpg</t>
  </si>
  <si>
    <t>https://m.media-amazon.com/images/M/MV5BYTIyMDFmMmItMWQzYy00MjBiLTg2M2UtM2JiNDRhOWE4NjBhXkEyXkFqcGdeQXVyNjU0OTQ0OTY@._V1_UX67_CR0,0,67,98_AL_.jpg</t>
  </si>
  <si>
    <t>https://m.media-amazon.com/images/M/MV5BNjk1NzBlY2YtNjJmNi00YTVmLWI2OTgtNDUxNDE5NjUzZmE0XkEyXkFqcGdeQXVyNTc1NTQxODI@._V1_UX67_CR0,0,67,98_AL_.jpg</t>
  </si>
  <si>
    <t>https://m.media-amazon.com/images/M/MV5BMTQxNDQwNjQzOV5BMl5BanBnXkFtZTcwNTQxNDYyMQ@@._V1_UX67_CR0,0,67,98_AL_.jpg</t>
  </si>
  <si>
    <t>https://m.media-amazon.com/images/M/MV5BMTI2NDI5ODk4N15BMl5BanBnXkFtZTYwMTI3NTE3._V1_UX67_CR0,0,67,98_AL_.jpg</t>
  </si>
  <si>
    <t>https://m.media-amazon.com/images/M/MV5BMTI1NDMyMjExOF5BMl5BanBnXkFtZTcwOTc4MjQzMQ@@._V1_UX67_CR0,0,67,98_AL_.jpg</t>
  </si>
  <si>
    <t>https://m.media-amazon.com/images/M/MV5BODFlMmEwMDgtYjhmZi00ZTE5LTk2NWQtMWE1Y2M0NjkzOGYxXkEyXkFqcGdeQXVyNjU0OTQ0OTY@._V1_UX67_CR0,0,67,98_AL_.jpg</t>
  </si>
  <si>
    <t>https://m.media-amazon.com/images/M/MV5BMzQxNjM5NzkxNV5BMl5BanBnXkFtZTcwMzg5NDMwMg@@._V1_UX67_CR0,0,67,98_AL_.jpg</t>
  </si>
  <si>
    <t>https://m.media-amazon.com/images/M/MV5BMzkyNzQ1Mzc0NV5BMl5BanBnXkFtZTcwODg3MzUzMw@@._V1_UX67_CR0,0,67,98_AL_.jpg</t>
  </si>
  <si>
    <t>https://m.media-amazon.com/images/M/MV5BMTI2NzU1NTc1NF5BMl5BanBnXkFtZTcwOTQ1MjAwMQ@@._V1_UX67_CR0,0,67,98_AL_.jpg</t>
  </si>
  <si>
    <t>https://m.media-amazon.com/images/M/MV5BMTI0MTg4NzI3M15BMl5BanBnXkFtZTcwOTE0MTUyMQ@@._V1_UY98_CR0,0,67,98_AL_.jpg</t>
  </si>
  <si>
    <t>https://m.media-amazon.com/images/M/MV5BOGY1YmUzN2MtNDQ3NC00Nzc4LWI5M2EtYzUwMGQ4NWM4NjE1XkEyXkFqcGdeQXVyMTQxNzMzNDI@._V1_UY98_CR0,0,67,98_AL_.jpg</t>
  </si>
  <si>
    <t>https://m.media-amazon.com/images/M/MV5BYzEyNzc0NjctZjJiZC00MWI1LWJlOTMtYWZkZDAzNzQ0ZDNkXkEyXkFqcGdeQXVyMTQxNzMzNDI@._V1_UX67_CR0,0,67,98_AL_.jpg</t>
  </si>
  <si>
    <t>https://m.media-amazon.com/images/M/MV5BZjIwZWU0ZDItNzBlNS00MDIwLWFlZjctZTJjODdjZWYxNzczL2ltYWdlXkEyXkFqcGdeQXVyMTMxODk2OTU@._V1_UX67_CR0,0,67,98_AL_.jpg</t>
  </si>
  <si>
    <t>https://m.media-amazon.com/images/M/MV5BYWMwMzQxZjQtODM1YS00YmFiLTk1YjQtNzNiYWY1MDE4NTdiXkEyXkFqcGdeQXVyNDYyMDk5MTU@._V1_UX67_CR0,0,67,98_AL_.jpg</t>
  </si>
  <si>
    <t>https://m.media-amazon.com/images/M/MV5BNjcxMmQ0MmItYTkzYy00MmUyLTlhOTQtMmJmNjE3MDMwYjdlXkEyXkFqcGdeQXVyNzkwMjQ5NzM@._V1_UX67_CR0,0,67,98_AL_.jpg</t>
  </si>
  <si>
    <t>https://m.media-amazon.com/images/M/MV5BNThiMDc1YjUtYmE3Zi00MTM1LTkzM2MtNjdlNzQ4ZDlmYjRmXkEyXkFqcGdeQXVyMTQxNzMzNDI@._V1_UY98_CR1,0,67,98_AL_.jpg</t>
  </si>
  <si>
    <t>https://m.media-amazon.com/images/M/MV5BNGY3NWYwNzctNWU5Yi00ZjljLTgyNDgtZjNhZjRlNjc0ZTU1XkEyXkFqcGdeQXVyMTQxNzMzNDI@._V1_UX67_CR0,0,67,98_AL_.jpg</t>
  </si>
  <si>
    <t>https://m.media-amazon.com/images/M/MV5BZGY5NWUyNDUtZWJhZi00ZjMxLWFmMjMtYmJhZjVkZGZhNWQ4XkEyXkFqcGdeQXVyMTQxNzMzNDI@._V1_UX67_CR0,0,67,98_AL_.jpg</t>
  </si>
  <si>
    <t>https://m.media-amazon.com/images/M/MV5BYzVmYzVkMmUtOGRhMi00MTNmLThlMmUtZTljYjlkMjNkMjJkXkEyXkFqcGdeQXVyNDk3NzU2MTQ@._V1_UX67_CR0,0,67,98_AL_.jpg</t>
  </si>
  <si>
    <t>https://m.media-amazon.com/images/M/MV5BNTIyNThlMjMtMzUyMi00YmEyLTljMmYtMWRhN2Q3ZTllZjA4XkEyXkFqcGdeQXVyMzM4MjM0Nzg@._V1_UY98_CR1,0,67,98_AL_.jpg</t>
  </si>
  <si>
    <t>https://m.media-amazon.com/images/M/MV5BMjZkOTdmMWItOTkyNy00MDdjLTlhNTQtYzU3MzdhZjA0ZDEyXkEyXkFqcGdeQXVyMTMxODk2OTU@._V1_UX67_CR0,0,67,98_AL_.jpg</t>
  </si>
  <si>
    <t>https://m.media-amazon.com/images/M/MV5BZDYwYzlhOTAtNDAwMC00ZTBhLWI4M2QtMTA1NmJhYTdiNTkxXkEyXkFqcGdeQXVyNTM0NTU5Mg@@._V1_UX67_CR0,0,67,98_AL_.jpg</t>
  </si>
  <si>
    <t>https://m.media-amazon.com/images/M/MV5BOGE0ZWI0YzAtY2NkZi00YjkyLWIzYWEtNTJmMzJjODllNjdjXkEyXkFqcGdeQXVyMTQxNzMzNDI@._V1_UX67_CR0,0,67,98_AL_.jpg</t>
  </si>
  <si>
    <t>https://m.media-amazon.com/images/M/MV5BOTA5MzQ3MzI1NV5BMl5BanBnXkFtZTgwNTcxNTYxMTE@._V1_UX67_CR0,0,67,98_AL_.jpg</t>
  </si>
  <si>
    <t>https://m.media-amazon.com/images/M/MV5BM2FlNzE0ZmUtMmVkZS00MWQ3LWE4OWQtYjQwZjdhNzRmNWE2XkEyXkFqcGdeQXVyMTAwMzUyOTc@._V1_UX67_CR0,0,67,98_AL_.jpg</t>
  </si>
  <si>
    <t>https://m.media-amazon.com/images/M/MV5BMDZkMTUxYWEtMDY5NS00ZTA5LTg3MTItNTlkZWE1YWRjYjMwL2ltYWdlL2ltYWdlXkEyXkFqcGdeQXVyMTQxNzMzNDI@._V1_UX67_CR0,0,67,98_AL_.jpg</t>
  </si>
  <si>
    <t>https://m.media-amazon.com/images/M/MV5BMjE2OTc3OTk2M15BMl5BanBnXkFtZTgwMjg2NjIyMDE@._V1_UX67_CR0,0,67,98_AL_.jpg</t>
  </si>
  <si>
    <t>https://m.media-amazon.com/images/M/MV5BYjA2MTA1MjUtYmUyNy00NGZiLTk2NTAtMDk3N2M3YmMwOTc1XkEyXkFqcGdeQXVyMjA0MzYwMDY@._V1_UY98_CR0,0,67,98_AL_.jpg</t>
  </si>
  <si>
    <t>https://m.media-amazon.com/images/M/MV5BYmUxY2MyOTQtYjRlMi00ZWEwLTkzODctZDMxNDcyNTFhYjNjXkEyXkFqcGdeQXVyNDk3NzU2MTQ@._V1_UY98_CR1,0,67,98_AL_.jpg</t>
  </si>
  <si>
    <t>https://m.media-amazon.com/images/M/MV5BNWMxZTgzMWEtMTU0Zi00NDc5LWFkZjctMzUxNDIyNzZiMmNjXkEyXkFqcGdeQXVyMTQxNzMzNDI@._V1_UX67_CR0,0,67,98_AL_.jpg</t>
  </si>
  <si>
    <t>https://m.media-amazon.com/images/M/MV5BZWFjYmZmZGQtYzg4YS00ZGE5LTgwYzAtZmQwZjQ2NDliMGVmXkEyXkFqcGdeQXVyNTUyMzE4Mzg@._V1_UY98_CR0,0,67,98_AL_.jpg</t>
  </si>
  <si>
    <t>https://m.media-amazon.com/images/M/MV5BZjFkOWM5NDUtODYwOS00ZDg0LWFkZGUtYzBkYzNjZjU3ODE3XkEyXkFqcGdeQXVyNzQzNzQxNzI@._V1_UX67_CR0,0,67,98_AL_.jpg</t>
  </si>
  <si>
    <t>https://m.media-amazon.com/images/M/MV5BYzMzMDZkYWEtODIzNS00YjI3LTkxNTktOWEyZGM3ZWI2MWM4XkEyXkFqcGdeQXVyNzkwMjQ5NzM@._V1_UX67_CR0,0,67,98_AL_.jpg</t>
  </si>
  <si>
    <t>https://m.media-amazon.com/images/M/MV5BMTQzMzcxMzUyMl5BMl5BanBnXkFtZTgwNDI1MjgxMTE@._V1_UX67_CR0,0,67,98_AL_.jpg</t>
  </si>
  <si>
    <t>https://m.media-amazon.com/images/M/MV5BZTM2NWI2OGYtYWNhMi00ZTlmLTg2ZTAtMmI5NWRjODA5YTE1XkEyXkFqcGdeQXVyODE2OTYwNTg@._V1_UX67_CR0,0,67,98_AL_.jpg</t>
  </si>
  <si>
    <t>https://m.media-amazon.com/images/M/MV5BM2U5OWM5NWQtZDYwZS00NmI3LTk4NDktNzcwZjYzNmEzYWU1XkEyXkFqcGdeQXVyNjMwMjk0MTQ@._V1_UY98_CR0,0,67,98_AL_.jpg</t>
  </si>
  <si>
    <t>https://m.media-amazon.com/images/M/MV5BZDQzMGE5ODYtZDdiNC00MzZjLTg2NjAtZTk0ODlkYmY4MTQzXkEyXkFqcGdeQXVyMTQxNzMzNDI@._V1_UX67_CR0,0,67,98_AL_.jpg</t>
  </si>
  <si>
    <t>https://m.media-amazon.com/images/M/MV5BZjM4NWRhYTQtYTJlNC00ZmMyLWEzNTAtZDA2MjJjYTQ5ZTVmXkEyXkFqcGdeQXVyMTQxNzMzNDI@._V1_UX67_CR0,0,67,98_AL_.jpg</t>
  </si>
  <si>
    <t>https://m.media-amazon.com/images/M/MV5BZmVhNWIzOTMtYmVlZC00ZDVmLWIyODEtODEzOTAxYjAwMzVlXkEyXkFqcGdeQXVyMzIwNDY4NDI@._V1_UY98_CR1,0,67,98_AL_.jpg</t>
  </si>
  <si>
    <t>https://m.media-amazon.com/images/M/MV5BNzE1Njk0NmItNDhlMC00ZmFlLWI4ZTUtYTY4ZjgzNjkyMTU1XkEyXkFqcGdeQXVyMTQxNzMzNDI@._V1_UX67_CR0,0,67,98_AL_.jpg</t>
  </si>
  <si>
    <t>https://m.media-amazon.com/images/M/MV5BZWY0ODc2NDktYmYxNS00MGZiLTk5YjktZjgwZWFhNDQ0MzNhXkEyXkFqcGdeQXVyNTI4MjkwNjA@._V1_UX67_CR0,0,67,98_AL_.jpg</t>
  </si>
  <si>
    <t>https://m.media-amazon.com/images/M/MV5BNDE0MWE1ZTMtOWFkMS00YjdiLTkwZTItMDljYjY3MjM0NTk5XkEyXkFqcGdeQXVyNDYyMDk5MTU@._V1_UX67_CR0,0,67,98_AL_.jpg</t>
  </si>
  <si>
    <t>https://m.media-amazon.com/images/M/MV5BN2Y0NWRkNWItZWEwNi00MDNlLWJmZDYtNTkwYzI5Nzg4MjVjXkEyXkFqcGdeQXVyMTMxODk2OTU@._V1_UX67_CR0,0,67,98_AL_.jpg</t>
  </si>
  <si>
    <t>https://m.media-amazon.com/images/M/MV5BZDkzOTFmMTUtMmI2OS00MDE4LTg5YTUtODMwNDMzNmI5OGYwL2ltYWdlXkEyXkFqcGdeQXVyMTQxNzMzNDI@._V1_UY98_CR3,0,67,98_AL_.jpg</t>
  </si>
  <si>
    <t>https://m.media-amazon.com/images/M/MV5BZDNiYmRkNDYtOWU1NC00NmMxLWFkNmUtMGI5NTJjOTJmYTM5XkEyXkFqcGdeQXVyNzQ1ODk3MTQ@._V1_UX67_CR0,0,67,98_AL_.jpg</t>
  </si>
  <si>
    <t>https://m.media-amazon.com/images/M/MV5BZjVkYmFkZWQtZmNjYy00NmFhLTliMWYtNThlOTUxNjg5ODdhXkEyXkFqcGdeQXVyMTMxODk2OTU@._V1_UY98_CR4,0,67,98_AL_.jpg</t>
  </si>
  <si>
    <t>https://m.media-amazon.com/images/M/MV5BNTYzN2MxODMtMDBhOC00Y2M0LTgzMTItMzQ4NDIyYWIwMDEzL2ltYWdlL2ltYWdlXkEyXkFqcGdeQXVyNTc1NTQxODI@._V1_UX67_CR0,0,67,98_AL_.jpg</t>
  </si>
  <si>
    <t>https://m.media-amazon.com/images/M/MV5BMmRlZDQ1MmUtMzE2Yi00YTkxLTk1MGMtYmIyYWQwODcxYzRlXkEyXkFqcGdeQXVyNTI4MjkwNjA@._V1_UX67_CR0,0,67,98_AL_.jpg</t>
  </si>
  <si>
    <t>https://m.media-amazon.com/images/M/MV5BOWQ1ZWE0MTQtMmEwOS00YjA3LTgyZTAtNjY5ODEyZTJjNDI2XkEyXkFqcGdeQXVyNjE5MjUyOTM@._V1_UX67_CR0,0,67,98_AL_.jpg</t>
  </si>
  <si>
    <t>https://m.media-amazon.com/images/M/MV5BMTgxMDMxMTctNDY0Zi00ZmNlLWFlYmQtODA2YjY4MDk4MjU1XkEyXkFqcGdeQXVyNTc1NTQxODI@._V1_UX67_CR0,0,67,98_AL_.jpg</t>
  </si>
  <si>
    <t>https://m.media-amazon.com/images/M/MV5BMTY2Njk3MTAzM15BMl5BanBnXkFtZTgwMTY5Mzk4NjE@._V1_UX67_CR0,0,67,98_AL_.jpg</t>
  </si>
  <si>
    <t>https://m.media-amazon.com/images/M/MV5BMDhiOTM2OTctODk3Ny00NWI4LThhZDgtNGQ4NjRiYjFkZGQzXkEyXkFqcGdeQXVyMTA0MjU0Ng@@._V1_UX67_CR0,0,67,98_AL_.jpg</t>
  </si>
  <si>
    <t>https://m.media-amazon.com/images/M/MV5BNDcwMTYzMjctN2M2Yy00ZDcxLWJhNTEtMGNhYzEwYzc2NDE4XkEyXkFqcGdeQXVyNTI4MjkwNjA@._V1_UY98_CR0,0,67,98_AL_.jpg</t>
  </si>
  <si>
    <t>https://m.media-amazon.com/images/M/MV5BYjE3ODY5OWEtZmE0Mi00MjUxLTg5MmUtZmFkMzM1N2VjMmU5XkEyXkFqcGdeQXVyNTI4MjkwNjA@._V1_UX67_CR0,0,67,98_AL_.jpg</t>
  </si>
  <si>
    <t>https://m.media-amazon.com/images/M/MV5BZTk0NDU4YmItOTk0ZS00ODc2LTkwNGItNWI5MDJkNTJiYWMxXkEyXkFqcGdeQXVyNjUwNzk3NDc@._V1_UX67_CR0,0,67,98_AL_.jpg</t>
  </si>
  <si>
    <t>https://m.media-amazon.com/images/M/MV5BMmQwNzczZDItNmI0OS00MjRmLTliYWItZWIyMjk1MTU4ZTQ4L2ltYWdlXkEyXkFqcGdeQXVyNTAyODkwOQ@@._V1_UX67_CR0,0,67,98_AL_.jpg</t>
  </si>
  <si>
    <t>https://m.media-amazon.com/images/M/MV5BZjEyZTdhNDMtMWFkMS00ZmRjLWEyNmEtZDU3MWFkNDEzMDYwXkEyXkFqcGdeQXVyNjc1NTYyMjg@._V1_UX67_CR0,0,67,98_AL_.jpg</t>
  </si>
  <si>
    <t>https://m.media-amazon.com/images/M/MV5BMzExOTczNTgtN2Q1Yy00MmI1LWE0NjgtNmIwMzdmZGNlODU1XkEyXkFqcGdeQXVyNDkzNTM2ODg@._V1_UX67_CR0,0,67,98_AL_.jpg</t>
  </si>
  <si>
    <t>https://m.media-amazon.com/images/M/MV5BY2E1YWRlNzAtYzAwYy00MDg5LTlmYTUtYjdlZDI0NzFkNjNlL2ltYWdlL2ltYWdlXkEyXkFqcGdeQXVyNjQ2MjQ5NzM@._V1_UX67_CR0,0,67,98_AL_.jpg</t>
  </si>
  <si>
    <t>https://m.media-amazon.com/images/M/MV5BMTUxMjEzMzI2MV5BMl5BanBnXkFtZTgwNTU3ODAxMDE@._V1_UX67_CR0,0,67,98_AL_.jpg</t>
  </si>
  <si>
    <t>https://m.media-amazon.com/images/M/MV5BMGUwMjM0MTEtOGY2NS00MjJmLWEyMDAtYmNkMWJjOWJlNGM0XkEyXkFqcGdeQXVyMTQxNzMzNDI@._V1_UX67_CR0,0,67,98_AL_.jpg</t>
  </si>
  <si>
    <t>https://m.media-amazon.com/images/M/MV5BMTU5MzMwMzAzM15BMl5BanBnXkFtZTcwNjYyMjA0Mg@@._V1_UX67_CR0,0,67,98_AL_.jpg</t>
  </si>
  <si>
    <t>https://m.media-amazon.com/images/M/MV5BMzcyYWE5YmQtNDE1Yi00ZjlmLWFlZTAtMzRjODBiYjM3OTA3XkEyXkFqcGdeQXVyMTQxNzMzNDI@._V1_UX67_CR0,0,67,98_AL_.jpg</t>
  </si>
  <si>
    <t>https://m.media-amazon.com/images/M/MV5BODBmOWU2YWMtZGUzZi00YzRhLWJjNDAtYTUwNWVkNDcyZmU5XkEyXkFqcGdeQXVyNDk3NzU2MTQ@._V1_UX67_CR0,0,67,98_AL_.jpg</t>
  </si>
  <si>
    <t>https://m.media-amazon.com/images/M/MV5BNWU3MDFkYWQtMWQ5YS00YTcwLThmNDItODY4OWE2ZTdhZmIwXkEyXkFqcGdeQXVyMjUzOTY1NTc@._V1_UX67_CR0,0,67,98_AL_.jpg</t>
  </si>
  <si>
    <t>https://m.media-amazon.com/images/M/MV5BZjA3YjdhMWEtYjc2Ni00YzVlLWI0MTUtMGZmNTJjNmU0Yzk2XkEyXkFqcGdeQXVyNzkwMjQ5NzM@._V1_UX67_CR0,0,67,98_AL_.jpg</t>
  </si>
  <si>
    <t>https://m.media-amazon.com/images/M/MV5BYzYyNjg3OTctNzA2ZS00NjkzLWE4MmYtZDAzZWQ0NzkyMTJhXkEyXkFqcGdeQXVyMTMxODk2OTU@._V1_UX67_CR0,0,67,98_AL_.jpg</t>
  </si>
  <si>
    <t>https://m.media-amazon.com/images/M/MV5BNzk1OGU2NmMtNTdhZC00NjdlLWE5YTMtZTQ0MGExZTQzOGQyXkEyXkFqcGdeQXVyMTQxNzMzNDI@._V1_UX67_CR0,0,67,98_AL_.jpg</t>
  </si>
  <si>
    <t>https://m.media-amazon.com/images/M/MV5BYmVhMDQ1YWUtYjgxOS00NzYyLWI0ZGItNTg3ZjM0MmQ4NmIwXkEyXkFqcGdeQXVyMjQzMzQzODY@._V1_UY98_CR3,0,67,98_AL_.jpg</t>
  </si>
  <si>
    <t>https://m.media-amazon.com/images/M/MV5BMTYxMDk1NTA5NF5BMl5BanBnXkFtZTcwNDkzNzA2NA@@._V1_UX67_CR0,0,67,98_AL_.jpg</t>
  </si>
  <si>
    <t>https://m.media-amazon.com/images/M/MV5BMjE1NDY0NDk3Ml5BMl5BanBnXkFtZTcwMTAzMTM3NA@@._V1_UX67_CR0,0,67,98_AL_.jpg</t>
  </si>
  <si>
    <t>https://m.media-amazon.com/images/M/MV5BZGZmMWE1MDYtNzAyNC00MDMzLTgzZjQtNTQ5NjYzN2E4MzkzXkEyXkFqcGdeQXVyNDk3NzU2MTQ@._V1_UX67_CR0,0,67,98_AL_.jpg</t>
  </si>
  <si>
    <t>https://m.media-amazon.com/images/M/MV5BYTU4ZTI0NzAtYzMwNi00YmMxLThmZWItNTY5NzgyMDAwYWVhXkEyXkFqcGdeQXVyNjUwNzk3NDc@._V1_UX67_CR0,0,67,98_AL_.jpg</t>
  </si>
  <si>
    <t>https://m.media-amazon.com/images/M/MV5BNGZiMTkyNzQtMDdmZi00ZDNkLWE4YTAtZGNlNTIzYzQyMGM2XkEyXkFqcGdeQXVyNjc1NTYyMjg@._V1_UX67_CR0,0,67,98_AL_.jpg</t>
  </si>
  <si>
    <t>https://m.media-amazon.com/images/M/MV5BZjBhYzU3NWItOWZjMy00NjI5LWFmYmItZmIyOWFlMDIxMWNiXkEyXkFqcGdeQXVyMTQxNzMzNDI@._V1_UX67_CR0,0,67,98_AL_.jpg</t>
  </si>
  <si>
    <t>https://m.media-amazon.com/images/M/MV5BOTZhY2E3NmItMGIwNi00OTA2LThkYmEtODFiZTM0NGI0ZWU5XkEyXkFqcGdeQXVyNTc1NTQxODI@._V1_UY98_CR1,0,67,98_AL_.jpg</t>
  </si>
  <si>
    <t>https://m.media-amazon.com/images/M/MV5BMzdhMTM2YTItOWU2YS00MTM0LTgyNDYtMDM1OWM3NzkzNTM2XkEyXkFqcGdeQXVyNjc1NTYyMjg@._V1_UX67_CR0,0,67,98_AL_.jpg</t>
  </si>
  <si>
    <t>https://m.media-amazon.com/images/M/MV5BNGE3ZWZiNzktMDIyOC00ZmVhLThjZTktZjQ5NjI4NGVhMDBlXkEyXkFqcGdeQXVyMjI4MjA5MzA@._V1_UX67_CR0,0,67,98_AL_.jpg</t>
  </si>
  <si>
    <t>https://m.media-amazon.com/images/M/MV5BZDVhNzQxZDEtMzcyZC00ZDg1LWFkZDctOWYxZTY0ZmYzYjc2XkEyXkFqcGdeQXVyMjA0MDQ0Mjc@._V1_UX67_CR0,0,67,98_AL_.jpg</t>
  </si>
  <si>
    <t>https://m.media-amazon.com/images/M/MV5BM2Y1ZTI0NzktYzU3MS00YmE1LThkY2EtMDc0NGYxNTNlZDA5XkEyXkFqcGdeQXVyNTAyODkwOQ@@._V1_UX67_CR0,0,67,98_AL_.jpg</t>
  </si>
  <si>
    <t>https://m.media-amazon.com/images/M/MV5BZjNkNGJjYWEtM2IyNi00ZjM5LWFlYjYtYjQ4NTU5MGFlMTI2XkEyXkFqcGdeQXVyMTMxMTY0OTQ@._V1_UY98_CR3,0,67,98_AL_.jpg</t>
  </si>
  <si>
    <t>https://m.media-amazon.com/images/M/MV5BMTRjOTA1NzctNzFmMy00ZjcwLWExYjgtYWQyZDM5ZWY1Y2JlXkEyXkFqcGdeQXVyMDI2NDg0NQ@@._V1_UX67_CR0,0,67,98_AL_.jpg</t>
  </si>
  <si>
    <t>https://m.media-amazon.com/images/M/MV5BZTU5ZThjNzAtNjc4NC00OTViLWIxYTYtODFmMTk5Y2NjZjZiL2ltYWdlL2ltYWdlXkEyXkFqcGdeQXVyNjc1NTYyMjg@._V1_UX67_CR0,0,67,98_AL_.jpg</t>
  </si>
  <si>
    <t>https://m.media-amazon.com/images/M/MV5BYzdlYmQ3MWMtMDY3My00MzVmLTg0YmMtYjRlZDUzNjBlMmE0L2ltYWdlL2ltYWdlXkEyXkFqcGdeQXVyNjc1NTYyMjg@._V1_UX67_CR0,0,67,98_AL_.jpg</t>
  </si>
  <si>
    <t>https://m.media-amazon.com/images/M/MV5BMTQ2MzE0OTU3NV5BMl5BanBnXkFtZTcwNjQxNTgzNA@@._V1_UX67_CR0,0,67,98_AL_.jpg</t>
  </si>
  <si>
    <t>https://m.media-amazon.com/images/M/MV5BMTAxNDA1ODc5MDleQTJeQWpwZ15BbWU4MDg2MDA4OTEx._V1_UX67_CR0,0,67,98_AL_.jpg</t>
  </si>
  <si>
    <t>https://m.media-amazon.com/images/M/MV5BOWNlMTJmMWUtYjk0MC00M2U4LWI1ODItZDgxNDZiODFmNjc5XkEyXkFqcGdeQXVyMTAwMzUyOTc@._V1_UX67_CR0,0,67,98_AL_.jpg</t>
  </si>
  <si>
    <t>https://m.media-amazon.com/images/M/MV5BZjM3ZTAzZDYtZmFjZS00YmQ1LWJlOWEtN2I4MDRmYzY5YmRlL2ltYWdlXkEyXkFqcGdeQXVyMjgyNjk3MzE@._V1_UX67_CR0,0,67,98_AL_.jpg</t>
  </si>
  <si>
    <t>https://m.media-amazon.com/images/M/MV5BMzYyNzU0MTM1OF5BMl5BanBnXkFtZTcwMzE1ODE1NA@@._V1_UX67_CR0,0,67,98_AL_.jpg</t>
  </si>
  <si>
    <t>https://m.media-amazon.com/images/M/MV5BNzBiMWRhNzQtMjZhZS00NzFmLWE5YWMtOWY4NzIxMjYzZTEyXkEyXkFqcGdeQXVyMzg2MzE2OTE@._V1_UY98_CR3,0,67,98_AL_.jpg</t>
  </si>
  <si>
    <t>https://m.media-amazon.com/images/M/MV5BYTExYjM3MDYtMzg4MC00MjU4LTljZjAtYzdlMTFmYTJmYTE4XkEyXkFqcGdeQXVyNTAyODkwOQ@@._V1_UX67_CR0,0,67,98_AL_.jpg</t>
  </si>
  <si>
    <t>https://m.media-amazon.com/images/M/MV5BMTg2ODcxOTU1OV5BMl5BanBnXkFtZTgwNzA3ODI1MDE@._V1_UX67_CR0,0,67,98_AL_.jpg</t>
  </si>
  <si>
    <t>https://m.media-amazon.com/images/M/MV5BYTVlM2JmOGQtNWEwYy00NDQzLWIyZmEtOGZhMzgxZGRjZDA0XkEyXkFqcGdeQXVyMDI2NDg0NQ@@._V1_UX67_CR0,0,67,98_AL_.jpg</t>
  </si>
  <si>
    <t>https://m.media-amazon.com/images/M/MV5BYmFlNTA1NWItODQxNC00YjFmLWE3ZWYtMzg3YTkwYmMxMjY2XkEyXkFqcGdeQXVyMTMxMTY0OTQ@._V1_UX67_CR0,0,67,98_AL_.jpg</t>
  </si>
  <si>
    <t>https://m.media-amazon.com/images/M/MV5BMWM1ZDhlM2MtNDNmMi00MDk4LTg5MjgtODE4ODk1MjYxOTIwXkEyXkFqcGdeQXVyNjc0MzMzNjA@._V1_UX67_CR0,0,67,98_AL_.jpg</t>
  </si>
  <si>
    <t>https://m.media-amazon.com/images/M/MV5BMTU5NTBmYTAtOTgyYi00NGM0LWE0ODctZjNiYWM5MmIxYzE4XkEyXkFqcGdeQXVyNTAyODkwOQ@@._V1_UX67_CR0,0,67,98_AL_.jpg</t>
  </si>
  <si>
    <t>https://m.media-amazon.com/images/M/MV5BYzM3YjE2NGMtODY3Zi00NTY0LWE4Y2EtMTE5YzNmM2U1NTg2XkEyXkFqcGdeQXVyMTY5Nzc4MDY@._V1_UX67_CR0,0,67,98_AL_.jpg</t>
  </si>
  <si>
    <t>https://m.media-amazon.com/images/M/MV5BYWUxMzViZTUtNTYxNy00YjY4LWJmMjYtMzNlOThjNjhiZmZkXkEyXkFqcGdeQXVyMDI2NDg0NQ@@._V1_UX67_CR0,0,67,98_AL_.jpg</t>
  </si>
  <si>
    <t>https://m.media-amazon.com/images/M/MV5BMjAxMTI1Njk3OF5BMl5BanBnXkFtZTgwNjkzODk4NTE@._V1_UX67_CR0,0,67,98_AL_.jpg</t>
  </si>
  <si>
    <t>https://m.media-amazon.com/images/M/MV5BYjllMmE0Y2YtYWIwZi00OWY1LWJhNWItYzM2MmNiYmFiZmRmXkEyXkFqcGdeQXVyNjc1NTYyMjg@._V1_UX67_CR0,0,67,98_AL_.jpg</t>
  </si>
  <si>
    <t>https://m.media-amazon.com/images/M/MV5BODQ0M2Y5M2QtZGIwMC00MzJjLThlMzYtNmE3ZTMzZTYzOGEwXkEyXkFqcGdeQXVyMTkxNjUyNQ@@._V1_UX67_CR0,0,67,98_AL_.jpg</t>
  </si>
  <si>
    <t>https://m.media-amazon.com/images/M/MV5BMjIwOTA3NDI3MF5BMl5BanBnXkFtZTgwNzIzMzA5NTM@._V1_UX67_CR0,0,67,98_AL_.jpg</t>
  </si>
  <si>
    <t>https://m.media-amazon.com/images/M/MV5BOTg4ZTNkZmUtMzNlZi00YmFjLTk1MmUtNWQwNTM0YjcyNTNkXkEyXkFqcGdeQXVyNjg2NjQwMDQ@._V1_UX67_CR0,0,67,98_AL_.jpg</t>
  </si>
  <si>
    <t>https://m.media-amazon.com/images/M/MV5BNzk2NmU3NmEtMTVhNS00NzJhLWE1M2ItMThjZjI5NWM3YmFmXkEyXkFqcGdeQXVyMjA1MzUyODk@._V1_UY98_CR1,0,67,98_AL_.jpg</t>
  </si>
  <si>
    <t>https://m.media-amazon.com/images/M/MV5BMjg4ZmY1MmItMjFjOS00ZTg2LWJjNDYtNDM2YmM2NzhiNmZhXkEyXkFqcGdeQXVyNTAzMTY4MDA@._V1_UX67_CR0,0,67,98_AL_.jpg</t>
  </si>
  <si>
    <t>https://m.media-amazon.com/images/M/MV5BYmM4YzA5NjUtZGEyOS00YzllLWJmM2UtZjhhNmJhM2E1NjUxXkEyXkFqcGdeQXVyMTkxNjUyNQ@@._V1_UX67_CR0,0,67,98_AL_.jpg</t>
  </si>
  <si>
    <t>https://m.media-amazon.com/images/M/MV5BMjQ2NDU3NDE0M15BMl5BanBnXkFtZTgwMjA3OTg0MDI@._V1_UX67_CR0,0,67,98_AL_.jpg</t>
  </si>
  <si>
    <t>https://m.media-amazon.com/images/M/MV5BOWVmZGQ0MGYtMDI1Yy00MDkxLWJiYjQtMmZjZmQ0NDFmMDRhXkEyXkFqcGdeQXVyNjg3MDMxNzU@._V1_UX67_CR0,0,67,98_AL_.jpg</t>
  </si>
  <si>
    <t>https://m.media-amazon.com/images/M/MV5BMTc5NzQzNjk2NF5BMl5BanBnXkFtZTgwODU0MjI5NjE@._V1_UY98_CR0,0,67,98_AL_.jpg</t>
  </si>
  <si>
    <t>https://m.media-amazon.com/images/M/MV5BMTkwODUzODA0OV5BMl5BanBnXkFtZTgwMTA3ODkxNzE@._V1_UY98_CR0,0,67,98_AL_.jpg</t>
  </si>
  <si>
    <t>https://m.media-amazon.com/images/M/MV5BNjM0NTc0NzItM2FlYS00YzEwLWE0YmUtNTA2ZWIzODc2OTgxXkEyXkFqcGdeQXVyNTgwNzIyNzg@._V1_UX67_CR0,0,67,98_AL_.jpg</t>
  </si>
  <si>
    <t>https://m.media-amazon.com/images/M/MV5BMjM3MjQ1MzkxNl5BMl5BanBnXkFtZTgwODk1ODgyMjI@._V1_UX67_CR0,0,67,98_AL_.jpg</t>
  </si>
  <si>
    <t>https://m.media-amazon.com/images/M/MV5BYWFlOWI3YTMtYTk3NS00YWQ2LTlmYTMtZjk0ZDk4Y2NjODI0XkEyXkFqcGdeQXVyNTQxNTQ4Mg@@._V1_UX67_CR0,0,67,98_AL_.jpg</t>
  </si>
  <si>
    <t>https://m.media-amazon.com/images/M/MV5BMjIxOTI0MjU5NV5BMl5BanBnXkFtZTgwNzM4OTk4NTE@._V1_UX67_CR0,0,67,98_AL_.jpg</t>
  </si>
  <si>
    <t>https://m.media-amazon.com/images/M/MV5BMTEzNzY0OTg0NTdeQTJeQWpwZ15BbWU4MDU3OTg3MjUz._V1_UX67_CR0,0,67,98_AL_.jpg</t>
  </si>
  <si>
    <t>https://m.media-amazon.com/images/M/MV5BMjI4MzU5NTExNF5BMl5BanBnXkFtZTgwNzY1MTEwMDI@._V1_UX67_CR0,0,67,98_AL_.jpg</t>
  </si>
  <si>
    <t>https://m.media-amazon.com/images/M/MV5BMjA5NjM3NTk1M15BMl5BanBnXkFtZTgwMzg1MzU2NjE@._V1_UX67_CR0,0,67,98_AL_.jpg</t>
  </si>
  <si>
    <t>https://m.media-amazon.com/images/M/MV5BNmZkYjQzY2QtNjdkNC00YjkzLTk5NjUtY2MyNDNiYTBhN2M2XkEyXkFqcGdeQXVyMjMwNDgzNjc@._V1_UX67_CR0,0,67,98_AL_.jpg</t>
  </si>
  <si>
    <t>https://m.media-amazon.com/images/M/MV5BYTYxZjQ2YTktNmVkMC00ZTY4LThkZmItMDc4MTJiYjVhZjM0L2ltYWdlXkEyXkFqcGdeQXVyMjgyNjk3MzE@._V1_UY98_CR1,0,67,98_AL_.jpg</t>
  </si>
  <si>
    <t>https://m.media-amazon.com/images/M/MV5BMTg4NDA1OTA5NF5BMl5BanBnXkFtZTgwMDQ2MDM5ODE@._V1_UX67_CR0,0,67,98_AL_.jpg</t>
  </si>
  <si>
    <t>https://m.media-amazon.com/images/M/MV5BMjA5ODgyNzcxMV5BMl5BanBnXkFtZTgwMzkzOTYzMDE@._V1_UX67_CR0,0,67,98_AL_.jpg</t>
  </si>
  <si>
    <t>https://m.media-amazon.com/images/M/MV5BMTgwODk3NDc1N15BMl5BanBnXkFtZTgwNTc1NjQwMjE@._V1_UX67_CR0,0,67,98_AL_.jpg</t>
  </si>
  <si>
    <t>https://m.media-amazon.com/images/M/MV5BNGMxZjFkN2EtMDRiMS00ZTBjLWI0M2MtZWUyYjFhZGViZDJlXkEyXkFqcGdeQXVyMTMxODk2OTU@._V1_UX67_CR0,0,67,98_AL_.jpg</t>
  </si>
  <si>
    <t>https://m.media-amazon.com/images/M/MV5BZGIxODNjM2YtZjA5Mi00MjA5LTk2YjItODE0OWI5NThjNTBmXkEyXkFqcGdeQXVyNzQ1ODk3MTQ@._V1_UX67_CR0,0,67,98_AL_.jpg</t>
  </si>
  <si>
    <t>https://m.media-amazon.com/images/M/MV5BMjMxNjU0ODU5Ml5BMl5BanBnXkFtZTcwNjI4MzAyOA@@._V1_UX67_CR0,0,67,98_AL_.jpg</t>
  </si>
  <si>
    <t>https://m.media-amazon.com/images/M/MV5BZDY3ZGI0ZDAtMThlNy00MzAxLTg4YjAtNjkwYTkxNmQ4MjdlXkEyXkFqcGdeQXVyMTMxODk2OTU@._V1_UX67_CR0,0,67,98_AL_.jpg</t>
  </si>
  <si>
    <t>https://m.media-amazon.com/images/M/MV5BNmE5ZmE3OGItNTdlNC00YmMxLWEzNjctYzAwOGQ5ODg0OTI0XkEyXkFqcGdeQXVyMTMxODk2OTU@._V1_UX67_CR0,0,67,98_AL_.jpg</t>
  </si>
  <si>
    <t>https://m.media-amazon.com/images/M/MV5BODhkZDIzNjgtOTA5ZS00MmMzLWFkNjYtM2Y2MzFjN2FkNjAzL2ltYWdlXkEyXkFqcGdeQXVyNTAyODkwOQ@@._V1_UY98_CR1,0,67,98_AL_.jpg</t>
  </si>
  <si>
    <t>https://m.media-amazon.com/images/M/MV5BNDY2OTE5MzE0Nl5BMl5BanBnXkFtZTcwNDAyOTc2NA@@._V1_UX67_CR0,0,67,98_AL_.jpg</t>
  </si>
  <si>
    <t>https://m.media-amazon.com/images/M/MV5BMTY3NjY0MTQ0Nl5BMl5BanBnXkFtZTcwMzQ2MTc0Mw@@._V1_UX67_CR0,0,67,98_AL_.jpg</t>
  </si>
  <si>
    <t>https://m.media-amazon.com/images/M/MV5BNjg3ODQyNTIyN15BMl5BanBnXkFtZTcwMjUzNzM5NQ@@._V1_UX67_CR0,0,67,98_AL_.jpg</t>
  </si>
  <si>
    <t>https://m.media-amazon.com/images/M/MV5BMTMzNzEzMDYxM15BMl5BanBnXkFtZTcwMTc0NTMxMw@@._V1_UX67_CR0,0,67,98_AL_.jpg</t>
  </si>
  <si>
    <t>https://m.media-amazon.com/images/M/MV5BMjI2ODE4ODAtMDA3MS00ODNkLTg4N2EtOGU0YjZmNGY4NjZlXkEyXkFqcGdeQXVyMTY5MDE5NA@@._V1_UY98_CR0,0,67,98_AL_.jpg</t>
  </si>
  <si>
    <t>https://m.media-amazon.com/images/M/MV5BMjAxOTU3Mzc1M15BMl5BanBnXkFtZTcwMzk1ODUzNg@@._V1_UX67_CR0,0,67,98_AL_.jpg</t>
  </si>
  <si>
    <t>https://m.media-amazon.com/images/M/MV5BYmFmNjY5NDYtZjlhNi00YjQ5LTgzNzctNWRiNWUzNmIyNjc4XkEyXkFqcGdeQXVyMTMxODk2OTU@._V1_UY98_CR0,0,67,98_AL_.jpg</t>
  </si>
  <si>
    <t>https://m.media-amazon.com/images/M/MV5BMTU5MDg0NTQ1N15BMl5BanBnXkFtZTcwMjA4Mjg3Mg@@._V1_UY98_CR1,0,67,98_AL_.jpg</t>
  </si>
  <si>
    <t>https://m.media-amazon.com/images/M/MV5BMzc0ZmUyZjAtZThkMi00ZDY5LTg5YjctYmUwM2FiYjMyMDI5XkEyXkFqcGdeQXVyMTMxODk2OTU@._V1_UX67_CR0,0,67,98_AL_.jpg</t>
  </si>
  <si>
    <t>https://m.media-amazon.com/images/M/MV5BMTg0NjEwNjUxM15BMl5BanBnXkFtZTcwMzk0MjQ5Mg@@._V1_UX67_CR0,0,67,98_AL_.jpg</t>
  </si>
  <si>
    <t>https://m.media-amazon.com/images/M/MV5BMjEzOTE3ODM3OF5BMl5BanBnXkFtZTcwMzYyODI4Mg@@._V1_UX67_CR0,0,67,98_AL_.jpg</t>
  </si>
  <si>
    <t>https://m.media-amazon.com/images/M/MV5BMTIzNTg3NzkzNV5BMl5BanBnXkFtZTcwNzMwMjU2MQ@@._V1_UX67_CR0,0,67,98_AL_.jpg</t>
  </si>
  <si>
    <t>https://m.media-amazon.com/images/M/MV5BMTU0NzY0MTY5OF5BMl5BanBnXkFtZTcwODY3MDEwMg@@._V1_UY98_CR3,0,67,98_AL_.jpg</t>
  </si>
  <si>
    <t>https://m.media-amazon.com/images/M/MV5BMTcwMzU0OTY3NF5BMl5BanBnXkFtZTYwNzkwNjg2._V1_UX67_CR0,0,67,98_AL_.jpg</t>
  </si>
  <si>
    <t>https://m.media-amazon.com/images/M/MV5BMjkyMTE1OTYwNF5BMl5BanBnXkFtZTcwMDIxODYzMw@@._V1_UX67_CR0,0,67,98_AL_.jpg</t>
  </si>
  <si>
    <t>https://m.media-amazon.com/images/M/MV5BMjEzMjEzNTIzOF5BMl5BanBnXkFtZTcwMTg2MjAyMw@@._V1_UY98_CR0,0,67,98_AL_.jpg</t>
  </si>
  <si>
    <t>https://m.media-amazon.com/images/M/MV5BYjc4MjA2ZDgtOGY3YS00NDYzLTlmNTEtYWMxMzcwZjgzYWNjXkEyXkFqcGdeQXVyMTQxNzMzNDI@._V1_UX67_CR0,0,67,98_AL_.jpg</t>
  </si>
  <si>
    <t>https://m.media-amazon.com/images/M/MV5BYmM2NDNiNGItMTRhMi00ZDA2LTgzOWMtZTE2ZjFhMDQ2M2U5XkEyXkFqcGdeQXVyNTAyODkwOQ@@._V1_UX67_CR0,0,67,98_AL_.jpg</t>
  </si>
  <si>
    <t>https://m.media-amazon.com/images/M/MV5BOTBmZDZkNWYtODIzYi00N2Y4LWFjMmMtNmM1OGYyNGVhYzUzXkEyXkFqcGdeQXVyNTAyODkwOQ@@._V1_UX67_CR0,0,67,98_AL_.jpg</t>
  </si>
  <si>
    <t>https://m.media-amazon.com/images/M/MV5BMTI5MjA2Mzk2M15BMl5BanBnXkFtZTcwODY1MDUzMQ@@._V1_UX67_CR0,0,67,98_AL_.jpg</t>
  </si>
  <si>
    <t>https://m.media-amazon.com/images/M/MV5BY2VkMzZlZDAtNTkzNS00MDIzLWFmOTctMWQwZjQ1OWJiYzQ1XkEyXkFqcGdeQXVyNTIzOTk5ODM@._V1_UY98_CR1,0,67,98_AL_.jpg</t>
  </si>
  <si>
    <t>https://m.media-amazon.com/images/M/MV5BMTI5Mzk1MDc2M15BMl5BanBnXkFtZTcwMjIzMDA0MQ@@._V1_UX67_CR0,0,67,98_AL_.jpg</t>
  </si>
  <si>
    <t>https://m.media-amazon.com/images/M/MV5BNzU3NDg4NTAyNV5BMl5BanBnXkFtZTcwOTg2ODg1Mg@@._V1_UX67_CR0,0,67,98_AL_.jpg</t>
  </si>
  <si>
    <t>https://m.media-amazon.com/images/M/MV5BNWMxYTZlOTUtZDExMi00YzZmLTkwYTMtZmM2MmRjZmQ3OGY4XkEyXkFqcGdeQXVyMTAwMzUyMzUy._V1_UX67_CR0,0,67,98_AL_.jpg</t>
  </si>
  <si>
    <t>https://m.media-amazon.com/images/M/MV5BMjRjOTMwMDEtNTY4NS00OWRjLWI4ZWItZDgwYmZhMzlkYzgxXkEyXkFqcGdeQXVyODIxOTg5MTc@._V1_UY98_CR1,0,67,98_AL_.jpg</t>
  </si>
  <si>
    <t>https://m.media-amazon.com/images/M/MV5BY2IzNGNiODgtOWYzOS00OTI0LTgxZTUtOTA5OTQ5YmI3NGUzXkEyXkFqcGdeQXVyNjU0OTQ0OTY@._V1_UX67_CR0,0,67,98_AL_.jpg</t>
  </si>
  <si>
    <t>https://m.media-amazon.com/images/M/MV5BMTYzZWE3MDAtZjZkMi00MzhlLTlhZDUtNmI2Zjg3OWVlZWI0XkEyXkFqcGdeQXVyNDk3NzU2MTQ@._V1_UX67_CR0,0,67,98_AL_.jpg</t>
  </si>
  <si>
    <t>https://m.media-amazon.com/images/M/MV5BMzQ2ZTBhNmEtZDBmYi00ODU0LTgzZmQtNmMxM2M4NzM1ZjE4XkEyXkFqcGdeQXVyNjE5MjUyOTM@._V1_UX67_CR0,0,67,98_AL_.jpg</t>
  </si>
  <si>
    <t>https://m.media-amazon.com/images/M/MV5BMjA0MjIyOTI3MF5BMl5BanBnXkFtZTcwODM5NTY5MQ@@._V1_UX67_CR0,0,67,98_AL_.jpg</t>
  </si>
  <si>
    <t>https://m.media-amazon.com/images/M/MV5BMTgxMjQ4NzE5OF5BMl5BanBnXkFtZTcwNzkwOTkyMQ@@._V1_UX67_CR0,0,67,98_AL_.jpg</t>
  </si>
  <si>
    <t>https://m.media-amazon.com/images/M/MV5BNjIwOGJhY2QtMTA5Yi00MDhlLWE5OTgtYmIzZDNlM2UwZjMyXkEyXkFqcGdeQXVyNTA4NzY1MzY@._V1_UX67_CR0,0,67,98_AL_.jpg</t>
  </si>
  <si>
    <t>https://m.media-amazon.com/images/M/MV5BZWI4ZTgwMzktNjk3Yy00OTlhLTg3YTAtMTA1MWVlMWJiOTRiXkEyXkFqcGdeQXVyMTAwMzUyOTc@._V1_UX67_CR0,0,67,98_AL_.jpg</t>
  </si>
  <si>
    <t>https://m.media-amazon.com/images/M/MV5BMTUzNDgyMzg3Ml5BMl5BanBnXkFtZTcwMzIxNTAwMQ@@._V1_UX67_CR0,0,67,98_AL_.jpg</t>
  </si>
  <si>
    <t>https://m.media-amazon.com/images/M/MV5BMjA4MjI2OTM5N15BMl5BanBnXkFtZTcwNDA1NjUzMw@@._V1_UX67_CR0,0,67,98_AL_.jpg</t>
  </si>
  <si>
    <t>https://m.media-amazon.com/images/M/MV5BYmNlNDVjMWUtZDZjNS00YTBmLWE3NGUtNDcxMzE0YTQ2ODMxXkEyXkFqcGdeQXVyMTMxODk2OTU@._V1_UX67_CR0,0,67,98_AL_.jpg</t>
  </si>
  <si>
    <t>https://m.media-amazon.com/images/M/MV5BMTMxNzYzNzUzMV5BMl5BanBnXkFtZTYwNjcwMjE3._V1_UX67_CR0,0,67,98_AL_.jpg</t>
  </si>
  <si>
    <t>https://m.media-amazon.com/images/M/MV5BNmE0YjdlYTktMTU4Ni00Mjk2LWI3NWMtM2RjNmFiOTk4YjYxL2ltYWdlXkEyXkFqcGdeQXVyNTAyODkwOQ@@._V1_UY98_CR1,0,67,98_AL_.jpg</t>
  </si>
  <si>
    <t>https://m.media-amazon.com/images/M/MV5BODNiZmY2MWUtMjFhMy00ZmM2LTg2MjYtNWY1OTY5NGU2MjdjL2ltYWdlXkEyXkFqcGdeQXVyNTAyODkwOQ@@._V1_UY98_CR0,0,67,98_AL_.jpg</t>
  </si>
  <si>
    <t>https://m.media-amazon.com/images/M/MV5BYTFkM2ViMmQtZmI5NS00MjQ2LWEyN2EtMTI1ZmNlZDU3MTZjXkEyXkFqcGdeQXVyNjU0OTQ0OTY@._V1_UX67_CR0,0,67,98_AL_.jpg</t>
  </si>
  <si>
    <t>https://m.media-amazon.com/images/M/MV5BMDc2MGYwYzAtNzE2Yi00YmU3LTkxMDUtODk2YjhiNDM5NDIyXkEyXkFqcGdeQXVyMTEwNDU1MzEy._V1_UX67_CR0,0,67,98_AL_.jpg</t>
  </si>
  <si>
    <t>https://m.media-amazon.com/images/M/MV5BYmUzODQ5MGItZTZlNy00MDBhLWIxMmItMjg4Y2QyNDFlMWQ2XkEyXkFqcGdeQXVyMTMxODk2OTU@._V1_UX67_CR0,0,67,98_AL_.jpg</t>
  </si>
  <si>
    <t>https://m.media-amazon.com/images/M/MV5BNDhjMzc3ZTgtY2Y4MC00Y2U3LWFiMDctZGM3MmM4N2YzNDQ5XkEyXkFqcGdeQXVyMTQxNzMzNDI@._V1_UX67_CR0,0,67,98_AL_.jpg</t>
  </si>
  <si>
    <t>https://m.media-amazon.com/images/M/MV5BNjQ3NWNlNmQtMTE5ZS00MDdmLTlkZjUtZTBlM2UxMGFiMTU3XkEyXkFqcGdeQXVyNjUwNzk3NDc@._V1_UX67_CR0,0,67,98_AL_.jpg</t>
  </si>
  <si>
    <t>https://m.media-amazon.com/images/M/MV5BMTAxMDE4Mzc3ODNeQTJeQWpwZ15BbWU4MDY2Mjg4MDcx._V1_UX67_CR0,0,67,98_AL_.jpg</t>
  </si>
  <si>
    <t>https://m.media-amazon.com/images/M/MV5BYjg5ZDkzZWEtZDQ2ZC00Y2ViLThhMzYtMmIxZDYzYTY2Y2Y2XkEyXkFqcGdeQXVyODAwMTU1MTE@._V1_UY98_CR1,0,67,98_AL_.jpg</t>
  </si>
  <si>
    <t>https://m.media-amazon.com/images/M/MV5BYWFlY2E3ODQtZWNiNi00ZGU4LTkzNWEtZTQ2ZTViMWRhYjIzL2ltYWdlXkEyXkFqcGdeQXVyNTAyODkwOQ@@._V1_UX67_CR0,0,67,98_AL_.jpg</t>
  </si>
  <si>
    <t>https://m.media-amazon.com/images/M/MV5BZTI3YzZjZjEtMDdjOC00OWVjLTk0YmYtYzI2MGMwZjFiMzBlXkEyXkFqcGdeQXVyMTQxNzMzNDI@._V1_UX67_CR0,0,67,98_AL_.jpg</t>
  </si>
  <si>
    <t>https://m.media-amazon.com/images/M/MV5BMTA3OTYxMzg0MDFeQTJeQWpwZ15BbWU4MDY1MjY0MTEx._V1_UX67_CR0,0,67,98_AL_.jpg</t>
  </si>
  <si>
    <t>https://m.media-amazon.com/images/M/MV5BZTM2ZGJmNjQtN2UyOS00NjcxLWFjMDktMDE2NzMyNTZlZTBiXkEyXkFqcGdeQXVyNzkwMjQ5NzM@._V1_UX67_CR0,0,67,98_AL_.jpg</t>
  </si>
  <si>
    <t>https://m.media-amazon.com/images/M/MV5BMmU5ZjFmYjQtYmNjZC00Yjk4LWI1ZTQtZDJiMjM0YjQyNDU0L2ltYWdlL2ltYWdlXkEyXkFqcGdeQXVyMTQxNzMzNDI@._V1_UX67_CR0,0,67,98_AL_.jpg</t>
  </si>
  <si>
    <t>https://m.media-amazon.com/images/M/MV5BYjEzMTM2NjAtNWFmZC00MTVlLTgyMmQtMGQyNTFjZDk5N2NmXkEyXkFqcGdeQXVyNzQ1ODk3MTQ@._V1_UX67_CR0,0,67,98_AL_.jpg</t>
  </si>
  <si>
    <t>https://m.media-amazon.com/images/M/MV5BODkxNGQ1NWYtNzg0Ny00Yjg3LThmZTItMjE2YjhmZTQ0ODY5XkEyXkFqcGdeQXVyMTQxNzMzNDI@._V1_UX67_CR0,0,67,98_AL_.jpg</t>
  </si>
  <si>
    <t>https://m.media-amazon.com/images/M/MV5BNjA2ZDY3ZjYtZmNiMC00MDU5LTgxMWEtNzk1YmI3NzdkMTU0XkEyXkFqcGdeQXVyNjQyMjcwNDM@._V1_UX67_CR0,0,67,98_AL_.jpg</t>
  </si>
  <si>
    <t>https://m.media-amazon.com/images/M/MV5BMTkyNTAzZDYtNWUzYi00ODVjLTliZjYtNjc2YzJmODZhNTg3XkEyXkFqcGdeQXVyNjUxMDQ0MTg@._V1_UY98_CR6,0,67,98_AL_.jpg</t>
  </si>
  <si>
    <t>https://m.media-amazon.com/images/M/MV5BMGExOGExM2UtNWM5ZS00OWEzLTllNzYtM2NlMTJlYjBlZTJkXkEyXkFqcGdeQXVyMTQxNzMzNDI@._V1_UX67_CR0,0,67,98_AL_.jpg</t>
  </si>
  <si>
    <t>https://m.media-amazon.com/images/M/MV5BMzk1MmI4NzAtOGRiNS00YjY1LTllNmEtZDhiZDM4MjU2NTMxXkEyXkFqcGdeQXVyNjc3MjQzNTI@._V1_UY98_CR1,0,67,98_AL_.jpg</t>
  </si>
  <si>
    <t>https://m.media-amazon.com/images/M/MV5BYWUxOWY4NDctMDFmMS00ZTQwLWExMGEtODg0ZWNhOTE5NzZmXkEyXkFqcGdeQXVyMTQxNzMzNDI@._V1_UY98_CR0,0,67,98_AL_.jpg</t>
  </si>
  <si>
    <t>https://m.media-amazon.com/images/M/MV5BNzk1MjU3MDQyMl5BMl5BanBnXkFtZTcwNjc1OTM2MQ@@._V1_UX67_CR0,0,67,98_AL_.jpg</t>
  </si>
  <si>
    <t>https://m.media-amazon.com/images/M/MV5BZjI0ZWFiMmQtMjRlZi00ZmFhLWI4NmYtMjQ5YmY0MzIyMzRiXkEyXkFqcGdeQXVyMTQxNzMzNDI@._V1_UX67_CR0,0,67,98_AL_.jpg</t>
  </si>
  <si>
    <t>https://m.media-amazon.com/images/M/MV5BYTJlZmQ1OTAtODQzZi00NGIzLWI1MmEtZGE4NjFlOWRhODIyXkEyXkFqcGdeQXVyNTc1NTQxODI@._V1_UY98_CR0,0,67,98_AL_.jpg</t>
  </si>
  <si>
    <t>https://m.media-amazon.com/images/M/MV5BNmRiZDZkN2EtNWI5ZS00ZDg3LTgyNDItMWI5NjVlNmE5ODJiXkEyXkFqcGdeQXVyMjQwMjk0NjI@._V1_UX67_CR0,0,67,98_AL_.jpg</t>
  </si>
  <si>
    <t>https://m.media-amazon.com/images/M/MV5BNjEzYjJmNzgtNDkwNy00MTQ4LTlmMWMtNzA4YjE2NjI0ZDg4XkEyXkFqcGdeQXVyNjU0OTQ0OTY@._V1_UX67_CR0,0,67,98_AL_.jpg</t>
  </si>
  <si>
    <t>https://m.media-amazon.com/images/M/MV5BNTliYTI1YTctMTE0Mi00NDM0LThjZDgtYmY3NGNiODBjZjAwXkEyXkFqcGdeQXVyMTAwMzUyOTc@._V1_UX67_CR0,0,67,98_AL_.jpg</t>
  </si>
  <si>
    <t>https://m.media-amazon.com/images/M/MV5BYjcxMzM3OWMtNmM3Yy00YzBkLTkxMmQtMDk4MmM3Y2Y4MDliL2ltYWdlXkEyXkFqcGdeQXVyMTQxNzMzNDI@._V1_UX67_CR0,0,67,98_AL_.jpg</t>
  </si>
  <si>
    <t>https://m.media-amazon.com/images/M/MV5BMTM5MDY5MDQyOV5BMl5BanBnXkFtZTgwMzM3NzMxMDE@._V1_UX67_CR0,0,67,98_AL_.jpg</t>
  </si>
  <si>
    <t>https://m.media-amazon.com/images/M/MV5BMTQxNDYzMTg1M15BMl5BanBnXkFtZTgwNzk4MDgxMTE@._V1_UX67_CR0,0,67,98_AL_.jpg</t>
  </si>
  <si>
    <t>https://m.media-amazon.com/images/M/MV5BMTY5NjI2MjQxMl5BMl5BanBnXkFtZTgwMDA2MzM2NzE@._V1_UY98_CR0,0,67,98_AL_.jpg</t>
  </si>
  <si>
    <t>https://m.media-amazon.com/images/M/MV5BNjg5ZDM0MTEtYTZmNC00NDJiLWI5MTktYzk4N2QxY2IxZTc2L2ltYWdlXkEyXkFqcGdeQXVyNTAyODkwOQ@@._V1_UY98_CR3,0,67,98_AL_.jpg</t>
  </si>
  <si>
    <t>https://m.media-amazon.com/images/M/MV5BMzFkM2YwOTQtYzk2Mi00N2VlLWE3NTItN2YwNDg1YmY0ZDNmXkEyXkFqcGdeQXVyMTMxODk2OTU@._V1_UX67_CR0,0,67,98_AL_.jpg</t>
  </si>
  <si>
    <t>https://m.media-amazon.com/images/M/MV5BNWFlYWY2YjYtNjdhNi00MzVlLTg2MTMtMWExNzg4NmM5NmEzXkEyXkFqcGdeQXVyMDk5Mzc5MQ@@._V1_UX67_CR0,0,67,98_AL_.jpg</t>
  </si>
  <si>
    <t>https://m.media-amazon.com/images/M/MV5BMjE0ODEwNjM2NF5BMl5BanBnXkFtZTcwMjU2Mzg3NA@@._V1_UX67_CR0,0,67,98_AL_.jpg</t>
  </si>
  <si>
    <t>https://m.media-amazon.com/images/M/MV5BN2JlZTBhYTEtZDE3OC00NTA3LTk5NTQtNjg5M2RjODllM2M0XkEyXkFqcGdeQXVyNjk1Njg5NTA@._V1_UX67_CR0,0,67,98_AL_.jpg</t>
  </si>
  <si>
    <t>https://m.media-amazon.com/images/M/MV5BODk1ZWM4ZjItMjFhZi00MDMxLTgxNmYtODFhNWZlZTkwM2UwXkEyXkFqcGdeQXVyMTQxNzMzNDI@._V1_UX67_CR0,0,67,98_AL_.jpg</t>
  </si>
  <si>
    <t>https://m.media-amazon.com/images/M/MV5BM2I1ZWNkYjEtYWY3ZS00MmMwLWI5OTEtNWNkZjNiYjIwNzY0XkEyXkFqcGdeQXVyNTI4MjkwNjA@._V1_UX67_CR0,0,67,98_AL_.jpg</t>
  </si>
  <si>
    <t>https://m.media-amazon.com/images/M/MV5BZTllNWNlZjctMWQwMS00ZDc3LTg5ZjMtNzhmNzhjMmVhYTFlXkEyXkFqcGdeQXVyNTc1NTQxODI@._V1_UX67_CR0,0,67,98_AL_.jpg</t>
  </si>
  <si>
    <t>https://m.media-amazon.com/images/M/MV5BZmI5YzM1MjItMzFmNy00NGFkLThlMDUtZjZmYTZkM2QxMjU3XkEyXkFqcGdeQXVyNzkwMjQ5NzM@._V1_UX67_CR0,0,67,98_AL_.jpg</t>
  </si>
  <si>
    <t>https://m.media-amazon.com/images/M/MV5BNWQ4MGZlZmYtZjY0MS00N2JhLWE0NmMtOTMwMTk4NDQ4NjE2XkEyXkFqcGdeQXVyNTI4MjkwNjA@._V1_UX67_CR0,0,67,98_AL_.jpg</t>
  </si>
  <si>
    <t>https://m.media-amazon.com/images/M/MV5BN2VlNjNhZWQtMTY2OC00Y2E1LWJkNGUtMDU4M2ViNzliMGYwXkEyXkFqcGdeQXVyNTAyODkwOQ@@._V1_UX67_CR0,0,67,98_AL_.jpg</t>
  </si>
  <si>
    <t>https://m.media-amazon.com/images/M/MV5BYTU2MWRiMTMtYzAzZi00NGYzLTlkMDEtNWQ3MzZlNTJlNzZkL2ltYWdlL2ltYWdlXkEyXkFqcGdeQXVyNjc1NTYyMjg@._V1_UX67_CR0,0,67,98_AL_.jpg</t>
  </si>
  <si>
    <t>https://m.media-amazon.com/images/M/MV5BMGQ0OGM5YjItYzYyMi00NmVmLWI3ODMtMTY2NGRkZmI5MWU2XkEyXkFqcGdeQXVyMzI0NDc4ODY@._V1_UX67_CR0,0,67,98_AL_.jpg</t>
  </si>
  <si>
    <t>https://m.media-amazon.com/images/M/MV5BNDQ3MzNjMDItZjE0ZS00ZTYxLTgxNTAtM2I4YjZjNWFjYjJlL2ltYWdlXkEyXkFqcGdeQXVyNTAyODkwOQ@@._V1_UX67_CR0,0,67,98_AL_.jpg</t>
  </si>
  <si>
    <t>https://m.media-amazon.com/images/M/MV5BMzZiODUwNzktNzBiZi00MDc4LThkMGMtZmE3MTE0M2E1MTM3L2ltYWdlXkEyXkFqcGdeQXVyNTAyODkwOQ@@._V1_UX67_CR0,0,67,98_AL_.jpg</t>
  </si>
  <si>
    <t>https://m.media-amazon.com/images/M/MV5BNDU1MjQ0YWMtMWQ2MS00NTdmLTg1MGItNDA5NTNkNTRhOTIyXkEyXkFqcGdeQXVyNTIzOTk5ODM@._V1_UX67_CR0,0,67,98_AL_.jpg</t>
  </si>
  <si>
    <t>https://m.media-amazon.com/images/M/MV5BMjM1NjE5NjQxN15BMl5BanBnXkFtZTgwMjYzMzQxMDE@._V1_UX67_CR0,0,67,98_AL_.jpg</t>
  </si>
  <si>
    <t>https://m.media-amazon.com/images/M/MV5BYzZhODNiOWYtMmNkNS00OTFhLTkzYzktYTQ4ZmNmZWMyN2ZiL2ltYWdlL2ltYWdlXkEyXkFqcGdeQXVyNjc1NTYyMjg@._V1_UX67_CR0,0,67,98_AL_.jpg</t>
  </si>
  <si>
    <t>https://m.media-amazon.com/images/M/MV5BYjRmY2VjN2ItMzBmYy00YTRjLWFiMTgtNGZhNWJjMjk3YjZjXkEyXkFqcGdeQXVyNjc1NTYyMjg@._V1_UX67_CR0,0,67,98_AL_.jpg</t>
  </si>
  <si>
    <t>https://m.media-amazon.com/images/M/MV5BMzAyNDUwYzUtN2NlMC00ODliLWExMjgtMGMzNmYzZmUwYTg1XkEyXkFqcGdeQXVyNjc1NTYyMjg@._V1_UX67_CR0,0,67,98_AL_.jpg</t>
  </si>
  <si>
    <t>https://m.media-amazon.com/images/M/MV5BMjAwMTExODExNl5BMl5BanBnXkFtZTgwMjM2MDgyMTE@._V1_UX67_CR0,0,67,98_AL_.jpg</t>
  </si>
  <si>
    <t>https://m.media-amazon.com/images/M/MV5BYTE4YWU0NjAtMjNiYi00MTNiLTgwYzctZjk0YjY5NGVhNWQwXkEyXkFqcGdeQXVyMTY5Nzc4MDY@._V1_UY98_CR0,0,67,98_AL_.jpg</t>
  </si>
  <si>
    <t>https://m.media-amazon.com/images/M/MV5BZjQyMGUwNzAtNTc2MC00Y2FjLThlM2ItZGRjNzM0OWVmZGYyXkEyXkFqcGdeQXVyNjc1NTYyMjg@._V1_UX67_CR0,0,67,98_AL_.jpg</t>
  </si>
  <si>
    <t>https://m.media-amazon.com/images/M/MV5BNGEwMTRmZTQtMDY4Ni00MTliLTk5ZmMtOWMxYWMyMTllMDg0L2ltYWdlL2ltYWdlXkEyXkFqcGdeQXVyNjc1NTYyMjg@._V1_UX67_CR0,0,67,98_AL_.jpg</t>
  </si>
  <si>
    <t>https://m.media-amazon.com/images/M/MV5BODk3YjdjZTItOGVhYi00Mjc2LTgzMDAtMThmYTVkNTBlMWVkXkEyXkFqcGdeQXVyNDY2MTk1ODk@._V1_UX67_CR0,0,67,98_AL_.jpg</t>
  </si>
  <si>
    <t>https://m.media-amazon.com/images/M/MV5BM2U3YzkxNGMtYWE0YS00ODk0LTk1ZGEtNjk3ZTE0MTk4MzJjXkEyXkFqcGdeQXVyNDk0MDg4NDk@._V1_UX67_CR0,0,67,98_AL_.jpg</t>
  </si>
  <si>
    <t>https://m.media-amazon.com/images/M/MV5BZTBmMjUyMjItYTM4ZS00MjAwLWEyOGYtYjMyZTUxN2I3OTMxXkEyXkFqcGdeQXVyNjc1NTYyMjg@._V1_UX67_CR0,0,67,98_AL_.jpg</t>
  </si>
  <si>
    <t>https://m.media-amazon.com/images/M/MV5BMTY5ODAzMTcwOF5BMl5BanBnXkFtZTcwMzYxNDYyNA@@._V1_UX67_CR0,0,67,98_AL_.jpg</t>
  </si>
  <si>
    <t>Age_Apropriate</t>
  </si>
  <si>
    <t>Runtime_value</t>
  </si>
  <si>
    <t>Runtime_desc</t>
  </si>
  <si>
    <t>Overview_pt</t>
  </si>
  <si>
    <t>Poster_link</t>
  </si>
  <si>
    <t>Current_Year</t>
  </si>
  <si>
    <t>Genre Number</t>
  </si>
  <si>
    <t>Crime</t>
  </si>
  <si>
    <t>Action</t>
  </si>
  <si>
    <t>Adventure</t>
  </si>
  <si>
    <t>Biography</t>
  </si>
  <si>
    <t>History</t>
  </si>
  <si>
    <t>Sci-Fi</t>
  </si>
  <si>
    <t>Romance</t>
  </si>
  <si>
    <t>Fantasy</t>
  </si>
  <si>
    <t>Animation</t>
  </si>
  <si>
    <t>Family</t>
  </si>
  <si>
    <t>War</t>
  </si>
  <si>
    <t>Mystery</t>
  </si>
  <si>
    <t>Music</t>
  </si>
  <si>
    <t>Musical</t>
  </si>
  <si>
    <t>Film-Noir</t>
  </si>
  <si>
    <t>Sport</t>
  </si>
  <si>
    <t>Star</t>
  </si>
  <si>
    <t>Star_n</t>
  </si>
  <si>
    <t>Release_Year</t>
  </si>
  <si>
    <t>Estrela 1</t>
  </si>
  <si>
    <t>Estrela 2</t>
  </si>
  <si>
    <t>Estrela 3</t>
  </si>
  <si>
    <t>Estrela 4</t>
  </si>
  <si>
    <t>Reference_Year</t>
  </si>
  <si>
    <t>Taxa de correção</t>
  </si>
  <si>
    <t>Inflation_Adj_Gross</t>
  </si>
  <si>
    <t>Gross_regex_extract_last</t>
  </si>
  <si>
    <t>Gross_regex_add_zeros</t>
  </si>
  <si>
    <t>Gross_final_number</t>
  </si>
  <si>
    <t>Transform</t>
  </si>
  <si>
    <t>Star_Number</t>
  </si>
  <si>
    <t>Age Apropriate</t>
  </si>
  <si>
    <t>NC-17</t>
  </si>
  <si>
    <t>TV-G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</si>
</sst>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00"/>
  </numFmts>
  <fonts count="7">
    <font>
      <sz val="10.0"/>
      <color rgb="FF000000"/>
      <name val="Arial"/>
      <scheme val="minor"/>
    </font>
    <font>
      <color theme="1"/>
      <name val="Arial"/>
      <scheme val="minor"/>
    </font>
    <font>
      <u/>
      <color rgb="FF0000FF"/>
    </font>
    <font>
      <u/>
      <color rgb="FF0000FF"/>
    </font>
    <font>
      <u/>
      <color theme="1"/>
    </font>
    <font>
      <b/>
      <color theme="1"/>
      <name val="Arial"/>
      <scheme val="minor"/>
    </font>
    <font>
      <color theme="1"/>
      <name val="Inherit"/>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2" numFmtId="0" xfId="0" applyFont="1"/>
    <xf borderId="0" fillId="0" fontId="3" numFmtId="0" xfId="0" applyAlignment="1" applyFont="1">
      <alignment readingOrder="0"/>
    </xf>
    <xf borderId="0" fillId="0" fontId="1" numFmtId="0" xfId="0" applyFont="1"/>
    <xf borderId="0" fillId="0" fontId="1" numFmtId="3" xfId="0" applyAlignment="1" applyFont="1" applyNumberFormat="1">
      <alignment horizontal="right"/>
    </xf>
    <xf borderId="0" fillId="0" fontId="4" numFmtId="0" xfId="0" applyFont="1"/>
    <xf borderId="0" fillId="0" fontId="1" numFmtId="1" xfId="0" applyFont="1" applyNumberFormat="1"/>
    <xf borderId="0" fillId="0" fontId="5" numFmtId="0" xfId="0" applyAlignment="1" applyFont="1">
      <alignment readingOrder="0"/>
    </xf>
    <xf borderId="0" fillId="0" fontId="5" numFmtId="0" xfId="0" applyAlignment="1" applyFont="1">
      <alignment readingOrder="0"/>
    </xf>
    <xf borderId="0" fillId="0" fontId="1" numFmtId="0" xfId="0" applyAlignment="1" applyFont="1">
      <alignment readingOrder="0"/>
    </xf>
    <xf borderId="0" fillId="0" fontId="1" numFmtId="164" xfId="0" applyFont="1" applyNumberFormat="1"/>
    <xf borderId="0" fillId="0" fontId="6" numFmtId="0" xfId="0" applyAlignment="1" applyFont="1">
      <alignment horizontal="left"/>
    </xf>
    <xf borderId="0" fillId="0" fontId="6" numFmtId="3" xfId="0" applyAlignment="1" applyFont="1" applyNumberFormat="1">
      <alignment horizontal="right"/>
    </xf>
    <xf borderId="0" fillId="0" fontId="1"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m.media-amazon.com/images/M/MV5BMjEzMzA4NDE2OF5BMl5BanBnXkFtZTcwNTc5MDI2NQ@@._V1_UX67_CR0,0,67,98_AL_.jpg" TargetMode="External"/><Relationship Id="rId194" Type="http://schemas.openxmlformats.org/officeDocument/2006/relationships/hyperlink" Target="https://m.media-amazon.com/images/M/MV5BZjEyOTE4MzMtNmMzMy00Mzc3LWJlOTQtOGJiNDE0ZmJiOTU4L2ltYWdlXkEyXkFqcGdeQXVyNTAyODkwOQ@@._V1_UY98_CR2,0,67,98_AL_.jpg" TargetMode="External"/><Relationship Id="rId193" Type="http://schemas.openxmlformats.org/officeDocument/2006/relationships/hyperlink" Target="https://m.media-amazon.com/images/M/MV5BYTIwNDcyMjktMTczMy00NDM5LTlhNDEtMmE3NGVjOTM2YjQ3XkEyXkFqcGdeQXVyNjc0MzMzNjA@._V1_UX67_CR0,0,67,98_AL_.jpg" TargetMode="External"/><Relationship Id="rId192" Type="http://schemas.openxmlformats.org/officeDocument/2006/relationships/hyperlink" Target="https://m.media-amazon.com/images/M/MV5BOTJlZWMxYzEtMjlkMS00ODE0LThlM2ItMDI3NGQ2YjhmMzkxXkEyXkFqcGdeQXVyMDI2NDg0NQ@@._V1_UX67_CR0,0,67,98_AL_.jpg" TargetMode="External"/><Relationship Id="rId191" Type="http://schemas.openxmlformats.org/officeDocument/2006/relationships/hyperlink" Target="https://m.media-amazon.com/images/M/MV5BMTY2MTAzODI5NV5BMl5BanBnXkFtZTgwMjM4NzQ0MjE@._V1_UX67_CR0,0,67,98_AL_.jpg" TargetMode="External"/><Relationship Id="rId187" Type="http://schemas.openxmlformats.org/officeDocument/2006/relationships/hyperlink" Target="https://m.media-amazon.com/images/M/MV5BNjZmZGRiMDgtNDkwNi00OTZhLWFhZmMtYTdkYjgyNThhOWY3XkEyXkFqcGdeQXVyMTA1NTM1NDI2._V1_UX67_CR0,0,67,98_AL_.jpg" TargetMode="External"/><Relationship Id="rId186" Type="http://schemas.openxmlformats.org/officeDocument/2006/relationships/hyperlink" Target="https://m.media-amazon.com/images/M/MV5BM2I1ZWU4YjMtYzU0My00YmMzLWFmNTAtZDJhZGYwMmI3YWQ5XkEyXkFqcGdeQXVyNjU0OTQ0OTY@._V1_UX67_CR0,0,67,98_AL_.jpg" TargetMode="External"/><Relationship Id="rId185" Type="http://schemas.openxmlformats.org/officeDocument/2006/relationships/hyperlink" Target="https://m.media-amazon.com/images/M/MV5BZjJhNTBmNTgtMDViOC00NDY2LWE4N2ItMDJiM2ZiYmQzYzliXkEyXkFqcGdeQXVyMzg1ODEwNQ@@._V1_UY98_CR0,0,67,98_AL_.jpg" TargetMode="External"/><Relationship Id="rId184" Type="http://schemas.openxmlformats.org/officeDocument/2006/relationships/hyperlink" Target="https://m.media-amazon.com/images/M/MV5BNzAyOGIxYjAtMGY2NC00ZTgyLWIwMWEtYzY0OWQ4NDFjOTc5XkEyXkFqcGdeQXVyNjU0OTQ0OTY@._V1_UX67_CR0,0,67,98_AL_.jpg" TargetMode="External"/><Relationship Id="rId189" Type="http://schemas.openxmlformats.org/officeDocument/2006/relationships/hyperlink" Target="https://m.media-amazon.com/images/M/MV5BYWQ4ZTRiODktNjAzZC00Nzg1LTk1YWQtNDFmNDI0NmZiNGIwXkEyXkFqcGdeQXVyNzkwMjQ5NzM@._V1_UY98_CR0,0,67,98_AL_.jpg" TargetMode="External"/><Relationship Id="rId188" Type="http://schemas.openxmlformats.org/officeDocument/2006/relationships/hyperlink" Target="https://m.media-amazon.com/images/M/MV5BOWIwODIxYWItZDI4MS00YzhhLWE3MmYtMzlhZDIwOTMzZmE5L2ltYWdlXkEyXkFqcGdeQXVyNjc1NTYyMjg@._V1_UX67_CR0,0,67,98_AL_.jpg" TargetMode="External"/><Relationship Id="rId183" Type="http://schemas.openxmlformats.org/officeDocument/2006/relationships/hyperlink" Target="https://m.media-amazon.com/images/M/MV5BNDc2ODQ5NTE2MV5BMl5BanBnXkFtZTcwODExMjUyNA@@._V1_UX67_CR0,0,67,98_AL_.jpg" TargetMode="External"/><Relationship Id="rId182" Type="http://schemas.openxmlformats.org/officeDocument/2006/relationships/hyperlink" Target="https://m.media-amazon.com/images/M/MV5BZThiZjAzZjgtNDU3MC00YThhLThjYWUtZGRkYjc2ZWZlOTVjXkEyXkFqcGdeQXVyNTA4NzY1MzY@._V1_UX67_CR0,0,67,98_AL_.jpg" TargetMode="External"/><Relationship Id="rId181" Type="http://schemas.openxmlformats.org/officeDocument/2006/relationships/hyperlink" Target="https://m.media-amazon.com/images/M/MV5BNmVmYzcwNzMtMWM1NS00MWIyLThlMDEtYzUwZDgzODE1NmE2XkEyXkFqcGdeQXVyNzkwMjQ5NzM@._V1_UX67_CR0,0,67,98_AL_.jpg" TargetMode="External"/><Relationship Id="rId180" Type="http://schemas.openxmlformats.org/officeDocument/2006/relationships/hyperlink" Target="https://m.media-amazon.com/images/M/MV5BNzA2NmYxMWUtNzBlMC00MWM2LTkwNmQtYTFlZjQwODNhOWE0XkEyXkFqcGdeQXVyNTIzOTk5ODM@._V1_UX67_CR0,0,67,98_AL_.jpg" TargetMode="External"/><Relationship Id="rId176" Type="http://schemas.openxmlformats.org/officeDocument/2006/relationships/hyperlink" Target="https://m.media-amazon.com/images/M/MV5BNGIyMWRlYTctMWNlMi00ZGIzLThjOTgtZjQzZjRjNmRhMDdlXkEyXkFqcGdeQXVyMTAwMzUyOTc@._V1_UX67_CR0,0,67,98_AL_.jpg" TargetMode="External"/><Relationship Id="rId175" Type="http://schemas.openxmlformats.org/officeDocument/2006/relationships/hyperlink" Target="https://m.media-amazon.com/images/M/MV5BMDgwODNmMGItMDcwYi00OWZjLTgyZjAtMGYwMmI4N2Q0NmJmXkEyXkFqcGdeQXVyNzY1MTU0Njk@._V1_UY98_CR1,0,67,98_AL_.jpg" TargetMode="External"/><Relationship Id="rId174" Type="http://schemas.openxmlformats.org/officeDocument/2006/relationships/hyperlink" Target="https://m.media-amazon.com/images/M/MV5BYjRmODkzNDItMTNhNi00YjJlLTg0ZjAtODlhZTM0YzgzYThlXkEyXkFqcGdeQXVyNzQ1ODk3MTQ@._V1_UX67_CR0,0,67,98_AL_.jpg" TargetMode="External"/><Relationship Id="rId173" Type="http://schemas.openxmlformats.org/officeDocument/2006/relationships/hyperlink" Target="https://m.media-amazon.com/images/M/MV5BZDBjZTM4ZmEtOTA5ZC00NTQzLTkyNzYtMmUxNGU2YjI5YjU5L2ltYWdlXkEyXkFqcGdeQXVyNTAyODkwOQ@@._V1_UY98_CR1,0,67,98_AL_.jpg" TargetMode="External"/><Relationship Id="rId179" Type="http://schemas.openxmlformats.org/officeDocument/2006/relationships/hyperlink" Target="https://m.media-amazon.com/images/M/MV5BN2IyNTE4YzUtZWU0Mi00MGIwLTgyMmQtMzQ4YzQxYWNlYWE2XkEyXkFqcGdeQXVyNjU0OTQ0OTY@._V1_UX67_CR0,0,67,98_AL_.jpg" TargetMode="External"/><Relationship Id="rId178" Type="http://schemas.openxmlformats.org/officeDocument/2006/relationships/hyperlink" Target="https://m.media-amazon.com/images/M/MV5BOGZiM2IwODktNTdiMC00MGU1LWEyZTYtOTk4NTkwYmJkNmI1L2ltYWdlL2ltYWdlXkEyXkFqcGdeQXVyNjU0OTQ0OTY@._V1_UY98_CR2,0,67,98_AL_.jpg" TargetMode="External"/><Relationship Id="rId177" Type="http://schemas.openxmlformats.org/officeDocument/2006/relationships/hyperlink" Target="https://m.media-amazon.com/images/M/MV5BMjk3YjJmYTctMTAzZC00MzE4LWFlZGMtNDM5OTMyMDEzZWIxXkEyXkFqcGdeQXVyNTI4MjkwNjA@._V1_UX67_CR0,0,67,98_AL_.jpg" TargetMode="External"/><Relationship Id="rId198" Type="http://schemas.openxmlformats.org/officeDocument/2006/relationships/hyperlink" Target="https://m.media-amazon.com/images/M/MV5BZGRkOGMxYTUtZTBhYS00NzI3LWEzMDQtOWRhMmNjNjJjMzM4XkEyXkFqcGdeQXVyMTMxODk2OTU@._V1_UY98_CR0,0,67,98_AL_.jpg" TargetMode="External"/><Relationship Id="rId197" Type="http://schemas.openxmlformats.org/officeDocument/2006/relationships/hyperlink" Target="https://m.media-amazon.com/images/M/MV5BNGI1MTI1YTQtY2QwYi00YzUzLTg3NWYtNzExZDlhOTZmZWU0XkEyXkFqcGdeQXVyMDkwNTkwNg@@._V1_UY98_CR3,0,67,98_AL_.jpg" TargetMode="External"/><Relationship Id="rId196" Type="http://schemas.openxmlformats.org/officeDocument/2006/relationships/hyperlink" Target="https://m.media-amazon.com/images/M/MV5BNjgwNjkwOWYtYmM3My00NzI1LTk5OGItYWY0OTMyZTY4OTg2XkEyXkFqcGdeQXVyODk4OTc3MTY@._V1_UX67_CR0,0,67,98_AL_.jpg" TargetMode="External"/><Relationship Id="rId195" Type="http://schemas.openxmlformats.org/officeDocument/2006/relationships/hyperlink" Target="https://m.media-amazon.com/images/M/MV5BZWFhOGU5NDctY2Q3YS00Y2VlLWI1NzEtZmIwY2ZiZjY4OTA2XkEyXkFqcGdeQXVyMDI2NDg0NQ@@._V1_UX67_CR0,0,67,98_AL_.jpg" TargetMode="External"/><Relationship Id="rId199" Type="http://schemas.openxmlformats.org/officeDocument/2006/relationships/hyperlink" Target="https://m.media-amazon.com/images/M/MV5BMDk0YzAwYjktMWFiZi00Y2FmLWJmMmMtMzUyZDZmMmU5MjkzXkEyXkFqcGdeQXVyMTMxODk2OTU@._V1_UY98_CR1,0,67,98_AL_.jpg" TargetMode="External"/><Relationship Id="rId150" Type="http://schemas.openxmlformats.org/officeDocument/2006/relationships/hyperlink" Target="https://m.media-amazon.com/images/M/MV5BMjAxODQ4MDU5NV5BMl5BanBnXkFtZTcwMDU4MjU1MQ@@._V1_UX67_CR0,0,67,98_AL_.jpg" TargetMode="External"/><Relationship Id="rId392" Type="http://schemas.openxmlformats.org/officeDocument/2006/relationships/hyperlink" Target="https://m.media-amazon.com/images/M/MV5BNGY5NWIxMjAtODBjNC00MmZhLTk1ZTAtNGRhYThlOTNjMTQwXkEyXkFqcGdeQXVyNTc1NTQxODI@._V1_UX67_CR0,0,67,98_AL_.jpg" TargetMode="External"/><Relationship Id="rId391" Type="http://schemas.openxmlformats.org/officeDocument/2006/relationships/hyperlink" Target="https://m.media-amazon.com/images/M/MV5BMTk2MjcxNjMzN15BMl5BanBnXkFtZTgwMTE3OTEwNjE@._V1_UY98_CR3,0,67,98_AL_.jpg" TargetMode="External"/><Relationship Id="rId390" Type="http://schemas.openxmlformats.org/officeDocument/2006/relationships/hyperlink" Target="https://m.media-amazon.com/images/M/MV5BMjIxNDU2Njk0OV5BMl5BanBnXkFtZTgwODc3Njc3NjE@._V1_UX67_CR0,0,67,98_AL_.jpg" TargetMode="External"/><Relationship Id="rId1" Type="http://schemas.openxmlformats.org/officeDocument/2006/relationships/hyperlink" Target="https://m.media-amazon.com/images/M/MV5BMDFkYTc0MGEtZmNhMC00ZDIzLWFmNTEtODM1ZmRlYWMwMWFmXkEyXkFqcGdeQXVyMTMxODk2OTU@._V1_UX67_CR0,0,67,98_AL_.jpg" TargetMode="External"/><Relationship Id="rId2" Type="http://schemas.openxmlformats.org/officeDocument/2006/relationships/hyperlink" Target="https://m.media-amazon.com/images/M/MV5BM2MyNjYxNmUtYTAwNi00MTYxLWJmNWYtYzZlODY3ZTk3OTFlXkEyXkFqcGdeQXVyNzkwMjQ5NzM@._V1_UY98_CR1,0,67,98_AL_.jpg" TargetMode="External"/><Relationship Id="rId3" Type="http://schemas.openxmlformats.org/officeDocument/2006/relationships/hyperlink" Target="https://m.media-amazon.com/images/M/MV5BMTMxNTMwODM0NF5BMl5BanBnXkFtZTcwODAyMTk2Mw@@._V1_UX67_CR0,0,67,98_AL_.jpg" TargetMode="External"/><Relationship Id="rId149" Type="http://schemas.openxmlformats.org/officeDocument/2006/relationships/hyperlink" Target="https://m.media-amazon.com/images/M/MV5BMTUzODMyNzk4NV5BMl5BanBnXkFtZTgwNTk1NTYyNTM@._V1_UY98_CR3,0,67,98_AL_.jpg" TargetMode="External"/><Relationship Id="rId4" Type="http://schemas.openxmlformats.org/officeDocument/2006/relationships/hyperlink" Target="https://m.media-amazon.com/images/M/MV5BMWMwMGQzZTItY2JlNC00OWZiLWIyMDctNDk2ZDQ2YjRjMWQ0XkEyXkFqcGdeQXVyNzkwMjQ5NzM@._V1_UY98_CR1,0,67,98_AL_.jpg" TargetMode="External"/><Relationship Id="rId148" Type="http://schemas.openxmlformats.org/officeDocument/2006/relationships/hyperlink" Target="https://m.media-amazon.com/images/M/MV5BMjIxMjgxNTk0MF5BMl5BanBnXkFtZTgwNjIyOTg2MDE@._V1_UX67_CR0,0,67,98_AL_.jpg" TargetMode="External"/><Relationship Id="rId9" Type="http://schemas.openxmlformats.org/officeDocument/2006/relationships/hyperlink" Target="https://m.media-amazon.com/images/M/MV5BMjAxMzY3NjcxNF5BMl5BanBnXkFtZTcwNTI5OTM0Mw@@._V1_UX67_CR0,0,67,98_AL_.jpg" TargetMode="External"/><Relationship Id="rId143" Type="http://schemas.openxmlformats.org/officeDocument/2006/relationships/hyperlink" Target="https://m.media-amazon.com/images/M/MV5BNTgwODM5OTMzN15BMl5BanBnXkFtZTcwMTA3NzI1Nw@@._V1_UY98_CR0,0,67,98_AL_.jpg" TargetMode="External"/><Relationship Id="rId385" Type="http://schemas.openxmlformats.org/officeDocument/2006/relationships/hyperlink" Target="https://m.media-amazon.com/images/M/MV5BNDVkYWMxNWEtNjc2MC00OGI5LWI3NmUtYWUwNDQyOTc3YmY5XkEyXkFqcGdeQXVyMTQxNzMzNDI@._V1_UX67_CR0,0,67,98_AL_.jpg" TargetMode="External"/><Relationship Id="rId142" Type="http://schemas.openxmlformats.org/officeDocument/2006/relationships/hyperlink" Target="https://m.media-amazon.com/images/M/MV5BNzgxMzExMzUwNV5BMl5BanBnXkFtZTcwMDc2MjUwNA@@._V1_UY98_CR0,0,67,98_AL_.jpg" TargetMode="External"/><Relationship Id="rId384" Type="http://schemas.openxmlformats.org/officeDocument/2006/relationships/hyperlink" Target="https://m.media-amazon.com/images/M/MV5BZjk3YThkNDktNjZjMS00MTBiLTllNTAtYzkzMTU0N2QwYjJjXkEyXkFqcGdeQXVyMTMxODk2OTU@._V1_UX67_CR0,0,67,98_AL_.jpg" TargetMode="External"/><Relationship Id="rId141" Type="http://schemas.openxmlformats.org/officeDocument/2006/relationships/hyperlink" Target="https://m.media-amazon.com/images/M/MV5BMTc5NjY4MjUwNF5BMl5BanBnXkFtZTgwODM3NzM5MzE@._V1_UX67_CR0,0,67,98_AL_.jpg" TargetMode="External"/><Relationship Id="rId383" Type="http://schemas.openxmlformats.org/officeDocument/2006/relationships/hyperlink" Target="https://m.media-amazon.com/images/M/MV5BZjZlZDlkYTktMmU1My00ZDBiLWFlNjEtYTBhNjVhOTM4ZjJjXkEyXkFqcGdeQXVyMTMxODk2OTU@._V1_UX67_CR0,0,67,98_AL_.jpg" TargetMode="External"/><Relationship Id="rId140" Type="http://schemas.openxmlformats.org/officeDocument/2006/relationships/hyperlink" Target="https://m.media-amazon.com/images/M/MV5BMTY1Nzg4MjcwN15BMl5BanBnXkFtZTcwOTc1NTk1OQ@@._V1_UY98_CR0,0,67,98_AL_.jpg" TargetMode="External"/><Relationship Id="rId382" Type="http://schemas.openxmlformats.org/officeDocument/2006/relationships/hyperlink" Target="https://m.media-amazon.com/images/M/MV5BMjA2MzM4NjkyMF5BMl5BanBnXkFtZTYwMTQ2ODc5._V1_UY98_CR2,0,67,98_AL_.jpg" TargetMode="External"/><Relationship Id="rId5" Type="http://schemas.openxmlformats.org/officeDocument/2006/relationships/hyperlink" Target="https://m.media-amazon.com/images/M/MV5BMWU4N2FjNzYtNTVkNC00NzQ0LTg0MjAtYTJlMjFhNGUxZDFmXkEyXkFqcGdeQXVyNjc1NTYyMjg@._V1_UX67_CR0,0,67,98_AL_.jpg" TargetMode="External"/><Relationship Id="rId147" Type="http://schemas.openxmlformats.org/officeDocument/2006/relationships/hyperlink" Target="https://m.media-amazon.com/images/M/MV5BMTk3NDE2NzI4NF5BMl5BanBnXkFtZTgwNzE1MzEyMTE@._V1_UX67_CR0,0,67,98_AL_.jpg" TargetMode="External"/><Relationship Id="rId389" Type="http://schemas.openxmlformats.org/officeDocument/2006/relationships/hyperlink" Target="https://m.media-amazon.com/images/M/MV5BMjE3ZDA5ZmUtYTk1ZS00NmZmLWJhNTItYjIwZjUwN2RjNzIyXkEyXkFqcGdeQXVyMTkzODUwNzk@._V1_UX67_CR0,0,67,98_AL_.jpg" TargetMode="External"/><Relationship Id="rId6" Type="http://schemas.openxmlformats.org/officeDocument/2006/relationships/hyperlink" Target="https://m.media-amazon.com/images/M/MV5BNzA5ZDNlZWMtM2NhNS00NDJjLTk4NDItYTRmY2EwMWZlMTY3XkEyXkFqcGdeQXVyNzkwMjQ5NzM@._V1_UX67_CR0,0,67,98_AL_.jpg" TargetMode="External"/><Relationship Id="rId146" Type="http://schemas.openxmlformats.org/officeDocument/2006/relationships/hyperlink" Target="https://m.media-amazon.com/images/M/MV5BYzhiNDkyNzktNTZmYS00ZTBkLTk2MDAtM2U0YjU1MzgxZjgzXkEyXkFqcGdeQXVyMTMxODk2OTU@._V1_UX67_CR0,0,67,98_AL_.jpg" TargetMode="External"/><Relationship Id="rId388" Type="http://schemas.openxmlformats.org/officeDocument/2006/relationships/hyperlink" Target="https://m.media-amazon.com/images/M/MV5BYTg3Yjc4N2QtZDdlNC00NmU2LWFiYjktYjI3NTMwMjk4M2FmXkEyXkFqcGdeQXVyMjgyNjk3MzE@._V1_UY98_CR4,0,67,98_AL_.jpg" TargetMode="External"/><Relationship Id="rId7" Type="http://schemas.openxmlformats.org/officeDocument/2006/relationships/hyperlink" Target="https://m.media-amazon.com/images/M/MV5BNGNhMDIzZTUtNTBlZi00MTRlLWFjM2ItYzViMjE3YzI5MjljXkEyXkFqcGdeQXVyNzkwMjQ5NzM@._V1_UY98_CR0,0,67,98_AL_.jpg" TargetMode="External"/><Relationship Id="rId145" Type="http://schemas.openxmlformats.org/officeDocument/2006/relationships/hyperlink" Target="https://m.media-amazon.com/images/M/MV5BMTk4ODk5MTMyNV5BMl5BanBnXkFtZTcwMDMyNTg0Ng@@._V1_UX67_CR0,0,67,98_AL_.jpg" TargetMode="External"/><Relationship Id="rId387" Type="http://schemas.openxmlformats.org/officeDocument/2006/relationships/hyperlink" Target="https://m.media-amazon.com/images/M/MV5BMmMzOWNhNTYtYmY0My00OGJiLWIzNDUtZWRhNGY0NWFjNzFmXkEyXkFqcGdeQXVyNjUxMDQ0MTg@._V1_UX67_CR0,0,67,98_AL_.jpg" TargetMode="External"/><Relationship Id="rId8" Type="http://schemas.openxmlformats.org/officeDocument/2006/relationships/hyperlink" Target="https://m.media-amazon.com/images/M/MV5BNDE4OTMxMTctNmRhYy00NWE2LTg3YzItYTk3M2UwOTU5Njg4XkEyXkFqcGdeQXVyNjU0OTQ0OTY@._V1_UX67_CR0,0,67,98_AL_.jpg" TargetMode="External"/><Relationship Id="rId144" Type="http://schemas.openxmlformats.org/officeDocument/2006/relationships/hyperlink" Target="https://m.media-amazon.com/images/M/MV5BY2FhZGI5M2QtZWFiZS00NjkwLWE4NWQtMzg3ZDZjNjdkYTJiXkEyXkFqcGdeQXVyMTMxODk2OTU@._V1_UX67_CR0,0,67,98_AL_.jpg" TargetMode="External"/><Relationship Id="rId386" Type="http://schemas.openxmlformats.org/officeDocument/2006/relationships/hyperlink" Target="https://m.media-amazon.com/images/M/MV5BNmE1MDk4OWEtYjk1NS00MWU2LTk5ZWItYjZhYmRkODRjMDc0XkEyXkFqcGdeQXVyNjE5MjUyOTM@._V1_UX67_CR0,0,67,98_AL_.jpg" TargetMode="External"/><Relationship Id="rId381" Type="http://schemas.openxmlformats.org/officeDocument/2006/relationships/hyperlink" Target="https://m.media-amazon.com/images/M/MV5BMTkwNTg2MTI1NF5BMl5BanBnXkFtZTcwMDM1MzUyMQ@@._V1_UX67_CR0,0,67,98_AL_.jpg" TargetMode="External"/><Relationship Id="rId380" Type="http://schemas.openxmlformats.org/officeDocument/2006/relationships/hyperlink" Target="https://m.media-amazon.com/images/M/MV5BMjM2NTYxMTE3OV5BMl5BanBnXkFtZTgwNDgwNjgwMzE@._V1_UY98_CR3,0,67,98_AL_.jpg" TargetMode="External"/><Relationship Id="rId139" Type="http://schemas.openxmlformats.org/officeDocument/2006/relationships/hyperlink" Target="https://m.media-amazon.com/images/M/MV5BMTgwNzA3MDQzOV5BMl5BanBnXkFtZTgwNTE5MDE5NDE@._V1_UX67_CR0,0,67,98_AL_.jpg" TargetMode="External"/><Relationship Id="rId138" Type="http://schemas.openxmlformats.org/officeDocument/2006/relationships/hyperlink" Target="https://m.media-amazon.com/images/M/MV5BNWYyOWRlOWItZWM5MS00ZjJkLWI0MTUtYTE3NTI5MDAwYjgyXkEyXkFqcGdeQXVyODE5NzE3OTE@._V1_UY98_CR0,0,67,98_AL_.jpg" TargetMode="External"/><Relationship Id="rId137" Type="http://schemas.openxmlformats.org/officeDocument/2006/relationships/hyperlink" Target="https://m.media-amazon.com/images/M/MV5BYmJhZmJlYTItZmZlNy00MGY0LTg0ZGMtNWFkYWU5NTA1YTNhXkEyXkFqcGdeQXVyODE5NzE3OTE@._V1_UY98_CR0,0,67,98_AL_.jpg" TargetMode="External"/><Relationship Id="rId379" Type="http://schemas.openxmlformats.org/officeDocument/2006/relationships/hyperlink" Target="https://m.media-amazon.com/images/M/MV5BMTY5OTU0OTc2NV5BMl5BanBnXkFtZTcwMzU4MDcyMQ@@._V1_UX67_CR0,0,67,98_AL_.jpg" TargetMode="External"/><Relationship Id="rId132" Type="http://schemas.openxmlformats.org/officeDocument/2006/relationships/hyperlink" Target="https://m.media-amazon.com/images/M/MV5BYzIzYmJlYTYtNGNiYy00N2EwLTk4ZjItMGYyZTJiOTVkM2RlXkEyXkFqcGdeQXVyODY1NDk1NjE@._V1_UX67_CR0,0,67,98_AL_.jpg" TargetMode="External"/><Relationship Id="rId374" Type="http://schemas.openxmlformats.org/officeDocument/2006/relationships/hyperlink" Target="https://m.media-amazon.com/images/M/MV5BODEyYmQxZjUtZGQ0NS00ZTAwLTkwOGQtNGY2NzEwMWE0MDc3XkEyXkFqcGdeQXVyMTQxNzMzNDI@._V1_UX67_CR0,0,67,98_AL_.jpg" TargetMode="External"/><Relationship Id="rId131" Type="http://schemas.openxmlformats.org/officeDocument/2006/relationships/hyperlink" Target="https://m.media-amazon.com/images/M/MV5BZDNlNzBjMGUtYTA0Yy00OTI2LWJmZjMtODliYmUyYTI0OGFmXkEyXkFqcGdeQXVyODIwMDI1NjM@._V1_UX67_CR0,0,67,98_AL_.jpg" TargetMode="External"/><Relationship Id="rId373" Type="http://schemas.openxmlformats.org/officeDocument/2006/relationships/hyperlink" Target="https://m.media-amazon.com/images/M/MV5BMjE0NDk2NjgwMV5BMl5BanBnXkFtZTYwMTgyMzA3._V1_UX67_CR0,0,67,98_AL_.jpg" TargetMode="External"/><Relationship Id="rId130" Type="http://schemas.openxmlformats.org/officeDocument/2006/relationships/hyperlink" Target="https://m.media-amazon.com/images/M/MV5BMWU4ZjNlNTQtOGE2MS00NDI0LWFlYjMtMmY3ZWVkMjJkNGRmXkEyXkFqcGdeQXVyNjE1OTQ0NjA@._V1_UY98_CR0,0,67,98_AL_.jpg" TargetMode="External"/><Relationship Id="rId372" Type="http://schemas.openxmlformats.org/officeDocument/2006/relationships/hyperlink" Target="https://m.media-amazon.com/images/M/MV5BZGYxOTRlM2MtNWRjZS00NDk2LWExM2EtMDFiYTgyMGJkZGYyXkEyXkFqcGdeQXVyMTA1NTM1NDI2._V1_UY98_CR1,0,67,98_AL_.jpg" TargetMode="External"/><Relationship Id="rId371" Type="http://schemas.openxmlformats.org/officeDocument/2006/relationships/hyperlink" Target="https://m.media-amazon.com/images/M/MV5BYmViZTY1OWEtMTQxMy00OGQ5LTgzZjAtYTQzOTYxNjliYTI4XkEyXkFqcGdeQXVyNjkxOTM4ODY@._V1_UY98_CR1,0,67,98_AL_.jpg" TargetMode="External"/><Relationship Id="rId136" Type="http://schemas.openxmlformats.org/officeDocument/2006/relationships/hyperlink" Target="https://m.media-amazon.com/images/M/MV5BMWYwOThjM2ItZGYxNy00NTQwLWFlZWEtM2MzM2Q5MmY3NDU5XkEyXkFqcGdeQXVyMTkxNjUyNQ@@._V1_UX67_CR0,0,67,98_AL_.jpg" TargetMode="External"/><Relationship Id="rId378" Type="http://schemas.openxmlformats.org/officeDocument/2006/relationships/hyperlink" Target="https://m.media-amazon.com/images/M/MV5BMmU3NzIyODctYjVhOC00NzBmLTlhNWItMzBlODEwZTlmMjUzXkEyXkFqcGdeQXVyNTIzOTk5ODM@._V1_UX67_CR0,0,67,98_AL_.jpg" TargetMode="External"/><Relationship Id="rId135" Type="http://schemas.openxmlformats.org/officeDocument/2006/relationships/hyperlink" Target="https://m.media-amazon.com/images/M/MV5BOGNlNmRkMjctNDgxMC00NzFhLWIzY2YtZDk3ZDE0NWZhZDBlXkEyXkFqcGdeQXVyODIwMDI1NjM@._V1_UX67_CR0,0,67,98_AL_.jpg" TargetMode="External"/><Relationship Id="rId377" Type="http://schemas.openxmlformats.org/officeDocument/2006/relationships/hyperlink" Target="https://m.media-amazon.com/images/M/MV5BNGYyZGM5MGMtYTY2Ni00M2Y1LWIzNjQtYWUzM2VlNGVhMDNhXkEyXkFqcGdeQXVyMTMxODk2OTU@._V1_UX67_CR0,0,67,98_AL_.jpg" TargetMode="External"/><Relationship Id="rId134" Type="http://schemas.openxmlformats.org/officeDocument/2006/relationships/hyperlink" Target="https://m.media-amazon.com/images/M/MV5BMTYzODg0Mjc4M15BMl5BanBnXkFtZTgwNzY4Mzc3NjE@._V1_UY98_CR2,0,67,98_AL_.jpg" TargetMode="External"/><Relationship Id="rId376" Type="http://schemas.openxmlformats.org/officeDocument/2006/relationships/hyperlink" Target="https://m.media-amazon.com/images/M/MV5BM2U0NTcxOTktN2MwZS00N2Q2LWJlYWItMTg0NWIyMDIxNzU5L2ltYWdlXkEyXkFqcGdeQXVyNTAyODkwOQ@@._V1_UY98_CR1,0,67,98_AL_.jpg" TargetMode="External"/><Relationship Id="rId133" Type="http://schemas.openxmlformats.org/officeDocument/2006/relationships/hyperlink" Target="https://m.media-amazon.com/images/M/MV5BMjI0ODcxNzM1N15BMl5BanBnXkFtZTgwMzIwMTEwNDI@._V1_UX67_CR0,0,67,98_AL_.jpg" TargetMode="External"/><Relationship Id="rId375" Type="http://schemas.openxmlformats.org/officeDocument/2006/relationships/hyperlink" Target="https://m.media-amazon.com/images/M/MV5BYmVjNDIxODAtNWZiZi00ZDBlLWJmOTUtNDNjMGExNTViMzE1XkEyXkFqcGdeQXVyNTE0MDc0NTM@._V1_UX67_CR0,0,67,98_AL_.jpg" TargetMode="External"/><Relationship Id="rId172" Type="http://schemas.openxmlformats.org/officeDocument/2006/relationships/hyperlink" Target="https://m.media-amazon.com/images/M/MV5BZjRlNDUxZjAtOGQ4OC00OTNlLTgxNmQtYTBmMDgwZmNmNjkxXkEyXkFqcGdeQXVyNzkwMjQ5NzM@._V1_UX67_CR0,0,67,98_AL_.jpg" TargetMode="External"/><Relationship Id="rId171" Type="http://schemas.openxmlformats.org/officeDocument/2006/relationships/hyperlink" Target="https://m.media-amazon.com/images/M/MV5BYzJjMTYyMjQtZDI0My00ZjE2LTkyNGYtOTllNGQxNDMyZjE0XkEyXkFqcGdeQXVyMTMxODk2OTU@._V1_UY98_CR1,0,67,98_AL_.jpg" TargetMode="External"/><Relationship Id="rId170" Type="http://schemas.openxmlformats.org/officeDocument/2006/relationships/hyperlink" Target="https://m.media-amazon.com/images/M/MV5BODI2ZjVlMGQtMWE5ZS00MjJiLWIyMWYtMGU5NmIxNDc0OTMyXkEyXkFqcGdeQXVyMTQ3Njg3MQ@@._V1_UX67_CR0,0,67,98_AL_.jpg" TargetMode="External"/><Relationship Id="rId165" Type="http://schemas.openxmlformats.org/officeDocument/2006/relationships/hyperlink" Target="https://m.media-amazon.com/images/M/MV5BNGMwNzUwNjYtZWM5NS00YzMyLWI4NjAtNjM0ZDBiMzE1YWExXkEyXkFqcGdeQXVyNDk3NzU2MTQ@._V1_UX67_CR0,0,67,98_AL_.jpg" TargetMode="External"/><Relationship Id="rId164" Type="http://schemas.openxmlformats.org/officeDocument/2006/relationships/hyperlink" Target="https://m.media-amazon.com/images/M/MV5BOGQ4ZjFmYjktOGNkNS00OWYyLWIyZjgtMGJjM2U1ZTA0ZTlhXkEyXkFqcGdeQXVyNTA4NzY1MzY@._V1_UY98_CR1,0,67,98_AL_.jpg" TargetMode="External"/><Relationship Id="rId163" Type="http://schemas.openxmlformats.org/officeDocument/2006/relationships/hyperlink" Target="https://m.media-amazon.com/images/M/MV5BMDQ2YzEyZGItYWRhOS00MjBmLTkzMDUtMTdjYzkyMmQxZTJlXkEyXkFqcGdeQXVyNjU0OTQ0OTY@._V1_UX67_CR0,0,67,98_AL_.jpg" TargetMode="External"/><Relationship Id="rId162" Type="http://schemas.openxmlformats.org/officeDocument/2006/relationships/hyperlink" Target="https://m.media-amazon.com/images/M/MV5BMTAyN2JmZmEtNjAyMy00NzYwLThmY2MtYWQ3OGNhNjExMmM4XkEyXkFqcGdeQXVyNDk3NzU2MTQ@._V1_UX67_CR0,0,67,98_AL_.jpg" TargetMode="External"/><Relationship Id="rId169" Type="http://schemas.openxmlformats.org/officeDocument/2006/relationships/hyperlink" Target="https://m.media-amazon.com/images/M/MV5BMjNkMzc2N2QtNjVlNS00ZTk5LTg0MTgtODY2MDAwNTMwZjBjXkEyXkFqcGdeQXVyNDk3NzU2MTQ@._V1_UX67_CR0,0,67,98_AL_.jpg" TargetMode="External"/><Relationship Id="rId168" Type="http://schemas.openxmlformats.org/officeDocument/2006/relationships/hyperlink" Target="https://m.media-amazon.com/images/M/MV5BODM3YWY4NmQtN2Y3Ni00OTg0LWFhZGQtZWE3ZWY4MTJlOWU4XkEyXkFqcGdeQXVyNjU0OTQ0OTY@._V1_UX67_CR0,0,67,98_AL_.jpg" TargetMode="External"/><Relationship Id="rId167" Type="http://schemas.openxmlformats.org/officeDocument/2006/relationships/hyperlink" Target="https://m.media-amazon.com/images/M/MV5BZTIwYzRjMGYtZWQ0Ni00NDZhLThhZDYtOGViZGJiZTkwMzk2XkEyXkFqcGdeQXVyODE5NzE3OTE@._V1_UY98_CR3,0,67,98_AL_.jpg" TargetMode="External"/><Relationship Id="rId166" Type="http://schemas.openxmlformats.org/officeDocument/2006/relationships/hyperlink" Target="https://m.media-amazon.com/images/M/MV5BMTcxOWYzNDYtYmM4YS00N2NkLTk0NTAtNjg1ODgwZjAxYzI3XkEyXkFqcGdeQXVyNTA4NzY1MzY@._V1_UX67_CR0,0,67,98_AL_.jpg" TargetMode="External"/><Relationship Id="rId161" Type="http://schemas.openxmlformats.org/officeDocument/2006/relationships/hyperlink" Target="https://m.media-amazon.com/images/M/MV5BMGMzZjY2ZWQtZjQxYS00NWY3LThhNjItNWQzNTkzOTllODljXkEyXkFqcGdeQXVyNjY1MTg4Mzc@._V1_UY98_CR1,0,67,98_AL_.jpg" TargetMode="External"/><Relationship Id="rId160" Type="http://schemas.openxmlformats.org/officeDocument/2006/relationships/hyperlink" Target="https://m.media-amazon.com/images/M/MV5BMzcwYWFkYzktZjAzNC00OGY1LWI4YTgtNzc5MzVjMDVmNjY0XkEyXkFqcGdeQXVyMTQxNzMzNDI@._V1_UX67_CR0,0,67,98_AL_.jpg" TargetMode="External"/><Relationship Id="rId159" Type="http://schemas.openxmlformats.org/officeDocument/2006/relationships/hyperlink" Target="https://m.media-amazon.com/images/M/MV5BNmM4YTFmMmItMGE3Yy00MmRkLTlmZGEtMzZlOTQzYjk3MzA2XkEyXkFqcGdeQXVyMTMxODk2OTU@._V1_UX67_CR0,0,67,98_AL_.jpg" TargetMode="External"/><Relationship Id="rId154" Type="http://schemas.openxmlformats.org/officeDocument/2006/relationships/hyperlink" Target="https://m.media-amazon.com/images/M/MV5BYThmZDA0YmQtMWJhNy00MDQwLTk0Y2YtMDhmZTE5ZjhlNjliXkEyXkFqcGdeQXVyODE5NzE3OTE@._V1_UY98_CR1,0,67,98_AL_.jpg" TargetMode="External"/><Relationship Id="rId396" Type="http://schemas.openxmlformats.org/officeDocument/2006/relationships/hyperlink" Target="https://m.media-amazon.com/images/M/MV5BNWE4OTNiM2ItMjY4Ni00ZTViLWFiZmEtZGEyNGY2ZmNlMzIyXkEyXkFqcGdeQXVyMDU5NDcxNw@@._V1_UX67_CR0,0,67,98_AL_.jpg" TargetMode="External"/><Relationship Id="rId153" Type="http://schemas.openxmlformats.org/officeDocument/2006/relationships/hyperlink" Target="https://m.media-amazon.com/images/M/MV5BOTI5ODc3NzExNV5BMl5BanBnXkFtZTcwNzYxNzQzMw@@._V1_UX67_CR0,0,67,98_AL_.jpg" TargetMode="External"/><Relationship Id="rId395" Type="http://schemas.openxmlformats.org/officeDocument/2006/relationships/hyperlink" Target="https://m.media-amazon.com/images/M/MV5BYWRiYjQyOGItNzQ1Mi00MGI1LWE3NjItNTg1ZDQwNjUwNDM2XkEyXkFqcGdeQXVyNTAyODkwOQ@@._V1_UX67_CR0,0,67,98_AL_.jpg" TargetMode="External"/><Relationship Id="rId152" Type="http://schemas.openxmlformats.org/officeDocument/2006/relationships/hyperlink" Target="https://m.media-amazon.com/images/M/MV5BMTgxOTY4Mjc0MF5BMl5BanBnXkFtZTcwNTA4MDQyMw@@._V1_UY98_CR1,0,67,98_AL_.jpg" TargetMode="External"/><Relationship Id="rId394" Type="http://schemas.openxmlformats.org/officeDocument/2006/relationships/hyperlink" Target="https://m.media-amazon.com/images/M/MV5BN2Y2OWU4MWMtNmIyMy00YzMyLWI0Y2ItMTcyZDc3MTdmZDU4XkEyXkFqcGdeQXVyMTQxNzMzNDI@._V1_UX67_CR0,0,67,98_AL_.jpg" TargetMode="External"/><Relationship Id="rId151" Type="http://schemas.openxmlformats.org/officeDocument/2006/relationships/hyperlink" Target="https://m.media-amazon.com/images/M/MV5BMTU3ODg2NjQ5NF5BMl5BanBnXkFtZTcwMDEwODgzMQ@@._V1_UX67_CR0,0,67,98_AL_.jpg" TargetMode="External"/><Relationship Id="rId393" Type="http://schemas.openxmlformats.org/officeDocument/2006/relationships/hyperlink" Target="https://m.media-amazon.com/images/M/MV5BY2QzMTIxNjItNGQyNy00MjQzLWJiYTItMzIyZjdkYjYyYjRlXkEyXkFqcGdeQXVyMTAwMzUyOTc@._V1_UX67_CR0,0,67,98_AL_.jpg" TargetMode="External"/><Relationship Id="rId158" Type="http://schemas.openxmlformats.org/officeDocument/2006/relationships/hyperlink" Target="https://m.media-amazon.com/images/M/MV5BMTU0NTU5NTAyMl5BMl5BanBnXkFtZTYwNzYwMDg2._V1_UX67_CR0,0,67,98_AL_.jpg" TargetMode="External"/><Relationship Id="rId157" Type="http://schemas.openxmlformats.org/officeDocument/2006/relationships/hyperlink" Target="https://m.media-amazon.com/images/M/MV5BYzExOTcwNjYtZTljMC00YTQ2LWI2YjYtNWFlYzQ0YTJhNzJmXkEyXkFqcGdeQXVyNjQ2MjQ5NzM@._V1_UY98_CR0,0,67,98_AL_.jpg" TargetMode="External"/><Relationship Id="rId399" Type="http://schemas.openxmlformats.org/officeDocument/2006/relationships/hyperlink" Target="https://m.media-amazon.com/images/M/MV5BZTM3ZjA3NTctZThkYy00ODYyLTk2ZjItZmE0MmZlMTk3YjQwXkEyXkFqcGdeQXVyNTA4NzY1MzY@._V1_UX67_CR0,0,67,98_AL_.jpg" TargetMode="External"/><Relationship Id="rId156" Type="http://schemas.openxmlformats.org/officeDocument/2006/relationships/hyperlink" Target="https://m.media-amazon.com/images/M/MV5BOTY4YjI2N2MtYmFlMC00ZjcyLTg3YjEtMDQyM2ZjYzQ5YWFkXkEyXkFqcGdeQXVyMTQxNzMzNDI@._V1_UX67_CR0,0,67,98_AL_.jpg" TargetMode="External"/><Relationship Id="rId398" Type="http://schemas.openxmlformats.org/officeDocument/2006/relationships/hyperlink" Target="https://m.media-amazon.com/images/M/MV5BNzZmMjAxNjQtZjQzOS00NjU4LWI0NDktZjlkZTgwNjVmNzU3XkEyXkFqcGdeQXVyNTI4MjkwNjA@._V1_UX67_CR0,0,67,98_AL_.jpg" TargetMode="External"/><Relationship Id="rId155" Type="http://schemas.openxmlformats.org/officeDocument/2006/relationships/hyperlink" Target="https://m.media-amazon.com/images/M/MV5BNTI5MmE5M2UtZjIzYS00M2JjLWIwNDItYTY2ZWNiODBmYTBiXkEyXkFqcGdeQXVyNjQ2MjQ5NzM@._V1_UY98_CR0,0,67,98_AL_.jpg" TargetMode="External"/><Relationship Id="rId397" Type="http://schemas.openxmlformats.org/officeDocument/2006/relationships/hyperlink" Target="https://m.media-amazon.com/images/M/MV5BZWIxNzM5YzQtY2FmMS00Yjc3LWI1ZjUtNGVjMjMzZTIxZTIxXkEyXkFqcGdeQXVyNjU0OTQ0OTY@._V1_UX67_CR0,0,67,98_AL_.jpg" TargetMode="External"/><Relationship Id="rId808" Type="http://schemas.openxmlformats.org/officeDocument/2006/relationships/hyperlink" Target="https://m.media-amazon.com/images/M/MV5BZWFjYmZmZGQtYzg4YS00ZGE5LTgwYzAtZmQwZjQ2NDliMGVmXkEyXkFqcGdeQXVyNTUyMzE4Mzg@._V1_UY98_CR0,0,67,98_AL_.jpg" TargetMode="External"/><Relationship Id="rId807" Type="http://schemas.openxmlformats.org/officeDocument/2006/relationships/hyperlink" Target="https://m.media-amazon.com/images/M/MV5BNWMxZTgzMWEtMTU0Zi00NDc5LWFkZjctMzUxNDIyNzZiMmNjXkEyXkFqcGdeQXVyMTQxNzMzNDI@._V1_UX67_CR0,0,67,98_AL_.jpg" TargetMode="External"/><Relationship Id="rId806" Type="http://schemas.openxmlformats.org/officeDocument/2006/relationships/hyperlink" Target="https://m.media-amazon.com/images/M/MV5BYmUxY2MyOTQtYjRlMi00ZWEwLTkzODctZDMxNDcyNTFhYjNjXkEyXkFqcGdeQXVyNDk3NzU2MTQ@._V1_UY98_CR1,0,67,98_AL_.jpg" TargetMode="External"/><Relationship Id="rId805" Type="http://schemas.openxmlformats.org/officeDocument/2006/relationships/hyperlink" Target="https://m.media-amazon.com/images/M/MV5BYjA2MTA1MjUtYmUyNy00NGZiLTk2NTAtMDk3N2M3YmMwOTc1XkEyXkFqcGdeQXVyMjA0MzYwMDY@._V1_UY98_CR0,0,67,98_AL_.jpg" TargetMode="External"/><Relationship Id="rId809" Type="http://schemas.openxmlformats.org/officeDocument/2006/relationships/hyperlink" Target="https://m.media-amazon.com/images/M/MV5BZjFkOWM5NDUtODYwOS00ZDg0LWFkZGUtYzBkYzNjZjU3ODE3XkEyXkFqcGdeQXVyNzQzNzQxNzI@._V1_UX67_CR0,0,67,98_AL_.jpg" TargetMode="External"/><Relationship Id="rId800" Type="http://schemas.openxmlformats.org/officeDocument/2006/relationships/hyperlink" Target="https://m.media-amazon.com/images/M/MV5BOGE0ZWI0YzAtY2NkZi00YjkyLWIzYWEtNTJmMzJjODllNjdjXkEyXkFqcGdeQXVyMTQxNzMzNDI@._V1_UX67_CR0,0,67,98_AL_.jpg" TargetMode="External"/><Relationship Id="rId804" Type="http://schemas.openxmlformats.org/officeDocument/2006/relationships/hyperlink" Target="https://m.media-amazon.com/images/M/MV5BMjE2OTc3OTk2M15BMl5BanBnXkFtZTgwMjg2NjIyMDE@._V1_UX67_CR0,0,67,98_AL_.jpg" TargetMode="External"/><Relationship Id="rId803" Type="http://schemas.openxmlformats.org/officeDocument/2006/relationships/hyperlink" Target="https://m.media-amazon.com/images/M/MV5BMDZkMTUxYWEtMDY5NS00ZTA5LTg3MTItNTlkZWE1YWRjYjMwL2ltYWdlL2ltYWdlXkEyXkFqcGdeQXVyMTQxNzMzNDI@._V1_UX67_CR0,0,67,98_AL_.jpg" TargetMode="External"/><Relationship Id="rId802" Type="http://schemas.openxmlformats.org/officeDocument/2006/relationships/hyperlink" Target="https://m.media-amazon.com/images/M/MV5BM2FlNzE0ZmUtMmVkZS00MWQ3LWE4OWQtYjQwZjdhNzRmNWE2XkEyXkFqcGdeQXVyMTAwMzUyOTc@._V1_UX67_CR0,0,67,98_AL_.jpg" TargetMode="External"/><Relationship Id="rId801" Type="http://schemas.openxmlformats.org/officeDocument/2006/relationships/hyperlink" Target="https://m.media-amazon.com/images/M/MV5BOTA5MzQ3MzI1NV5BMl5BanBnXkFtZTgwNTcxNTYxMTE@._V1_UX67_CR0,0,67,98_AL_.jpg" TargetMode="External"/><Relationship Id="rId40" Type="http://schemas.openxmlformats.org/officeDocument/2006/relationships/hyperlink" Target="https://m.media-amazon.com/images/M/MV5BMDliMmNhNDEtODUyOS00MjNlLTgxODEtN2U3NzIxMGVkZTA1L2ltYWdlXkEyXkFqcGdeQXVyNjU0OTQ0OTY@._V1_UX67_CR0,0,67,98_AL_.jpg" TargetMode="External"/><Relationship Id="rId42" Type="http://schemas.openxmlformats.org/officeDocument/2006/relationships/hyperlink" Target="https://m.media-amazon.com/images/M/MV5BYTViNjMyNmUtNDFkNC00ZDRlLThmMDUtZDU2YWE4NGI2ZjVmXkEyXkFqcGdeQXVyNjU0OTQ0OTY@._V1_UX67_CR0,0,67,98_AL_.jpg" TargetMode="External"/><Relationship Id="rId41" Type="http://schemas.openxmlformats.org/officeDocument/2006/relationships/hyperlink" Target="https://m.media-amazon.com/images/M/MV5BZjA0MTM4MTQtNzY5MC00NzY3LWI1ZTgtYzcxMjkyMzU4MDZiXkEyXkFqcGdeQXVyNDYyMDk5MTU@._V1_UX67_CR0,0,67,98_AL_.jpg" TargetMode="External"/><Relationship Id="rId44" Type="http://schemas.openxmlformats.org/officeDocument/2006/relationships/hyperlink" Target="https://m.media-amazon.com/images/M/MV5BYTYxNGMyZTYtMjE3MS00MzNjLWFjNmYtMDk3N2FmM2JiM2M1XkEyXkFqcGdeQXVyNjY5NDU4NzI@._V1_UX67_CR0,0,67,98_AL_.jpg" TargetMode="External"/><Relationship Id="rId43" Type="http://schemas.openxmlformats.org/officeDocument/2006/relationships/hyperlink" Target="https://m.media-amazon.com/images/M/MV5BODllNWE0MmEtYjUwZi00ZjY3LThmNmQtZjZlMjI2YTZjYmQ0XkEyXkFqcGdeQXVyNTc1NTQxODI@._V1_UX67_CR0,0,67,98_AL_.jpg" TargetMode="External"/><Relationship Id="rId46" Type="http://schemas.openxmlformats.org/officeDocument/2006/relationships/hyperlink" Target="https://m.media-amazon.com/images/M/MV5BM2FhYjEyYmYtMDI1Yy00YTdlLWI2NWQtYmEzNzAxOGY1NjY2XkEyXkFqcGdeQXVyNTA3NTIyNDg@._V1_UX67_CR0,0,67,98_AL_.jpg" TargetMode="External"/><Relationship Id="rId45" Type="http://schemas.openxmlformats.org/officeDocument/2006/relationships/hyperlink" Target="https://m.media-amazon.com/images/M/MV5BMGU2NzRmZjUtOGUxYS00ZjdjLWEwZWItY2NlM2JhNjkxNTFmXkEyXkFqcGdeQXVyNjU0OTQ0OTY@._V1_UX67_CR0,0,67,98_AL_.jpg" TargetMode="External"/><Relationship Id="rId509" Type="http://schemas.openxmlformats.org/officeDocument/2006/relationships/hyperlink" Target="https://m.media-amazon.com/images/M/MV5BYmVmMGQ3NzEtM2FiNi00YThhLWFkZjYtM2Y0MjZjNGE4NzM0XkEyXkFqcGdeQXVyODc0OTEyNDU@._V1_UY98_CR1,0,67,98_AL_.jpg" TargetMode="External"/><Relationship Id="rId508" Type="http://schemas.openxmlformats.org/officeDocument/2006/relationships/hyperlink" Target="https://m.media-amazon.com/images/M/MV5BMWQ2MjQ0OTctMWE1OC00NjZjLTk3ZDAtNTk3NTZiYWMxYTlmXkEyXkFqcGdeQXVyMTQxNzMzNDI@._V1_UX67_CR0,0,67,98_AL_.jpg" TargetMode="External"/><Relationship Id="rId503" Type="http://schemas.openxmlformats.org/officeDocument/2006/relationships/hyperlink" Target="https://m.media-amazon.com/images/M/MV5BMTczNTI2ODUwOF5BMl5BanBnXkFtZTcwMTU0NTIzMw@@._V1_UX67_CR0,0,67,98_AL_.jpg" TargetMode="External"/><Relationship Id="rId745" Type="http://schemas.openxmlformats.org/officeDocument/2006/relationships/hyperlink" Target="https://m.media-amazon.com/images/M/MV5BMTg4MDk1ODExN15BMl5BanBnXkFtZTgwNzIyNjg3MDE@._V1_UX67_CR0,0,67,98_AL_.jpg" TargetMode="External"/><Relationship Id="rId987" Type="http://schemas.openxmlformats.org/officeDocument/2006/relationships/hyperlink" Target="https://m.media-amazon.com/images/M/MV5BMzZiODUwNzktNzBiZi00MDc4LThkMGMtZmE3MTE0M2E1MTM3L2ltYWdlXkEyXkFqcGdeQXVyNTAyODkwOQ@@._V1_UX67_CR0,0,67,98_AL_.jpg" TargetMode="External"/><Relationship Id="rId502" Type="http://schemas.openxmlformats.org/officeDocument/2006/relationships/hyperlink" Target="https://m.media-amazon.com/images/M/MV5BOGY1M2MwOTEtZDIyNi00YjNlLWExYmEtNzBjOGI3N2QzNTg5XkEyXkFqcGdeQXVyMTMxODk2OTU@._V1_UX67_CR0,0,67,98_AL_.jpg" TargetMode="External"/><Relationship Id="rId744" Type="http://schemas.openxmlformats.org/officeDocument/2006/relationships/hyperlink" Target="https://m.media-amazon.com/images/M/MV5BMTM4NjY1MDQwMl5BMl5BanBnXkFtZTcwNTI3Njg3NA@@._V1_UX67_CR0,0,67,98_AL_.jpg" TargetMode="External"/><Relationship Id="rId986" Type="http://schemas.openxmlformats.org/officeDocument/2006/relationships/hyperlink" Target="https://m.media-amazon.com/images/M/MV5BNDQ3MzNjMDItZjE0ZS00ZTYxLTgxNTAtM2I4YjZjNWFjYjJlL2ltYWdlXkEyXkFqcGdeQXVyNTAyODkwOQ@@._V1_UX67_CR0,0,67,98_AL_.jpg" TargetMode="External"/><Relationship Id="rId501" Type="http://schemas.openxmlformats.org/officeDocument/2006/relationships/hyperlink" Target="https://m.media-amazon.com/images/M/MV5BMTU3MDc2MjUwMV5BMl5BanBnXkFtZTcwNzQyMDAzMQ@@._V1_UY98_CR0,0,67,98_AL_.jpg" TargetMode="External"/><Relationship Id="rId743" Type="http://schemas.openxmlformats.org/officeDocument/2006/relationships/hyperlink" Target="https://m.media-amazon.com/images/M/MV5BMTM3NzQzMDA5Ml5BMl5BanBnXkFtZTcwODA5NTcyNw@@._V1_UY98_CR0,0,67,98_AL_.jpg" TargetMode="External"/><Relationship Id="rId985" Type="http://schemas.openxmlformats.org/officeDocument/2006/relationships/hyperlink" Target="https://m.media-amazon.com/images/M/MV5BMGQ0OGM5YjItYzYyMi00NmVmLWI3ODMtMTY2NGRkZmI5MWU2XkEyXkFqcGdeQXVyMzI0NDc4ODY@._V1_UX67_CR0,0,67,98_AL_.jpg" TargetMode="External"/><Relationship Id="rId500" Type="http://schemas.openxmlformats.org/officeDocument/2006/relationships/hyperlink" Target="https://m.media-amazon.com/images/M/MV5BOGUwYTU4NGEtNDM4MS00NDRjLTkwNmQtOTkwMWMyMjhmMjdlXkEyXkFqcGdeQXVyMTMxODk2OTU@._V1_UX67_CR0,0,67,98_AL_.jpg" TargetMode="External"/><Relationship Id="rId742" Type="http://schemas.openxmlformats.org/officeDocument/2006/relationships/hyperlink" Target="https://m.media-amazon.com/images/M/MV5BNjg0OTM5OTQyNV5BMl5BanBnXkFtZTgwNDg5NDQ0NTE@._V1_UY98_CR2,0,67,98_AL_.jpg" TargetMode="External"/><Relationship Id="rId984" Type="http://schemas.openxmlformats.org/officeDocument/2006/relationships/hyperlink" Target="https://m.media-amazon.com/images/M/MV5BYTU2MWRiMTMtYzAzZi00NGYzLTlkMDEtNWQ3MzZlNTJlNzZkL2ltYWdlL2ltYWdlXkEyXkFqcGdeQXVyNjc1NTYyMjg@._V1_UX67_CR0,0,67,98_AL_.jpg" TargetMode="External"/><Relationship Id="rId507" Type="http://schemas.openxmlformats.org/officeDocument/2006/relationships/hyperlink" Target="https://m.media-amazon.com/images/M/MV5BMTY4NTIwODg0N15BMl5BanBnXkFtZTcwOTc0MjEzMw@@._V1_UX67_CR0,0,67,98_AL_.jpg" TargetMode="External"/><Relationship Id="rId749" Type="http://schemas.openxmlformats.org/officeDocument/2006/relationships/hyperlink" Target="https://m.media-amazon.com/images/M/MV5BOGUyZDUxZjEtMmIzMC00MzlmLTg4MGItZWJmMzBhZjE0Mjc1XkEyXkFqcGdeQXVyMTMxODk2OTU@._V1_UX67_CR0,0,67,98_AL_.jpg" TargetMode="External"/><Relationship Id="rId506" Type="http://schemas.openxmlformats.org/officeDocument/2006/relationships/hyperlink" Target="https://m.media-amazon.com/images/M/MV5BMTIzNDUyMjA4MV5BMl5BanBnXkFtZTYwNDc4ODM3._V1_UX67_CR0,0,67,98_AL_.jpg" TargetMode="External"/><Relationship Id="rId748" Type="http://schemas.openxmlformats.org/officeDocument/2006/relationships/hyperlink" Target="https://m.media-amazon.com/images/M/MV5BMTYwMzMzMDI0NF5BMl5BanBnXkFtZTgwNDQ3NjI3NjE@._V1_UX67_CR0,0,67,98_AL_.jpg" TargetMode="External"/><Relationship Id="rId505" Type="http://schemas.openxmlformats.org/officeDocument/2006/relationships/hyperlink" Target="https://m.media-amazon.com/images/M/MV5BODBiNzYxNzYtMjkyMi00MjUyLWJkM2YtZjNkMDhhYmEwMTRiL2ltYWdlXkEyXkFqcGdeQXVyNTAyODkwOQ@@._V1_UY98_CR1,0,67,98_AL_.jpg" TargetMode="External"/><Relationship Id="rId747" Type="http://schemas.openxmlformats.org/officeDocument/2006/relationships/hyperlink" Target="https://m.media-amazon.com/images/M/MV5BMTk2NzczOTgxNF5BMl5BanBnXkFtZTcwODQ5ODczOQ@@._V1_UX67_CR0,0,67,98_AL_.jpg" TargetMode="External"/><Relationship Id="rId989" Type="http://schemas.openxmlformats.org/officeDocument/2006/relationships/hyperlink" Target="https://m.media-amazon.com/images/M/MV5BMjM1NjE5NjQxN15BMl5BanBnXkFtZTgwMjYzMzQxMDE@._V1_UX67_CR0,0,67,98_AL_.jpg" TargetMode="External"/><Relationship Id="rId504" Type="http://schemas.openxmlformats.org/officeDocument/2006/relationships/hyperlink" Target="https://m.media-amazon.com/images/M/MV5BMTg5Mjk2NDMtZTk0Ny00YTQ0LWIzYWEtMWI5MGQ0Mjg1OTNkXkEyXkFqcGdeQXVyNzkwMjQ5NzM@._V1_UX67_CR0,0,67,98_AL_.jpg" TargetMode="External"/><Relationship Id="rId746" Type="http://schemas.openxmlformats.org/officeDocument/2006/relationships/hyperlink" Target="https://m.media-amazon.com/images/M/MV5BNjE5MzYwMzYxMF5BMl5BanBnXkFtZTcwOTk4MTk0OQ@@._V1_UX67_CR0,0,67,98_AL_.jpg" TargetMode="External"/><Relationship Id="rId988" Type="http://schemas.openxmlformats.org/officeDocument/2006/relationships/hyperlink" Target="https://m.media-amazon.com/images/M/MV5BNDU1MjQ0YWMtMWQ2MS00NTdmLTg1MGItNDA5NTNkNTRhOTIyXkEyXkFqcGdeQXVyNTIzOTk5ODM@._V1_UX67_CR0,0,67,98_AL_.jpg" TargetMode="External"/><Relationship Id="rId48" Type="http://schemas.openxmlformats.org/officeDocument/2006/relationships/hyperlink" Target="https://m.media-amazon.com/images/M/MV5BZmU0M2Y1OGUtZjIxNi00ZjBkLTg1MjgtOWIyNThiZWIwYjRiXkEyXkFqcGdeQXVyMTQxNzMzNDI@._V1_UX67_CR0,0,67,98_AL_.jpg" TargetMode="External"/><Relationship Id="rId47" Type="http://schemas.openxmlformats.org/officeDocument/2006/relationships/hyperlink" Target="https://m.media-amazon.com/images/M/MV5BZmY2NjUzNDQtNTgxNC00M2Q4LTljOWQtMjNjNDBjNWUxNmJlXkEyXkFqcGdeQXVyNTA4NzY1MzY@._V1_UX67_CR0,0,67,98_AL_.jpg" TargetMode="External"/><Relationship Id="rId49" Type="http://schemas.openxmlformats.org/officeDocument/2006/relationships/hyperlink" Target="https://m.media-amazon.com/images/M/MV5BZGI5MjBmYzYtMzJhZi00NGI1LTk3MzItYjBjMzcxM2U3MDdiXkEyXkFqcGdeQXVyNzkwMjQ5NzM@._V1_UX67_CR0,0,67,98_AL_.jpg" TargetMode="External"/><Relationship Id="rId741" Type="http://schemas.openxmlformats.org/officeDocument/2006/relationships/hyperlink" Target="https://m.media-amazon.com/images/M/MV5BNzMxNTExOTkyMF5BMl5BanBnXkFtZTcwMzEyNDc0OA@@._V1_UX67_CR0,0,67,98_AL_.jpg" TargetMode="External"/><Relationship Id="rId983" Type="http://schemas.openxmlformats.org/officeDocument/2006/relationships/hyperlink" Target="https://m.media-amazon.com/images/M/MV5BN2VlNjNhZWQtMTY2OC00Y2E1LWJkNGUtMDU4M2ViNzliMGYwXkEyXkFqcGdeQXVyNTAyODkwOQ@@._V1_UX67_CR0,0,67,98_AL_.jpg" TargetMode="External"/><Relationship Id="rId740" Type="http://schemas.openxmlformats.org/officeDocument/2006/relationships/hyperlink" Target="https://m.media-amazon.com/images/M/MV5BOGQzODdlMDktNzU4ZC00N2M3LWFkYTAtYTM1NTE0ZWI5YTg4XkEyXkFqcGdeQXVyMTA1NTM1NDI2._V1_UX67_CR0,0,67,98_AL_.jpg" TargetMode="External"/><Relationship Id="rId982" Type="http://schemas.openxmlformats.org/officeDocument/2006/relationships/hyperlink" Target="https://m.media-amazon.com/images/M/MV5BNWQ4MGZlZmYtZjY0MS00N2JhLWE0NmMtOTMwMTk4NDQ4NjE2XkEyXkFqcGdeQXVyNTI4MjkwNjA@._V1_UX67_CR0,0,67,98_AL_.jpg" TargetMode="External"/><Relationship Id="rId981" Type="http://schemas.openxmlformats.org/officeDocument/2006/relationships/hyperlink" Target="https://m.media-amazon.com/images/M/MV5BZmI5YzM1MjItMzFmNy00NGFkLThlMDUtZjZmYTZkM2QxMjU3XkEyXkFqcGdeQXVyNzkwMjQ5NzM@._V1_UX67_CR0,0,67,98_AL_.jpg" TargetMode="External"/><Relationship Id="rId980" Type="http://schemas.openxmlformats.org/officeDocument/2006/relationships/hyperlink" Target="https://m.media-amazon.com/images/M/MV5BZTllNWNlZjctMWQwMS00ZDc3LTg5ZjMtNzhmNzhjMmVhYTFlXkEyXkFqcGdeQXVyNTc1NTQxODI@._V1_UX67_CR0,0,67,98_AL_.jpg" TargetMode="External"/><Relationship Id="rId31" Type="http://schemas.openxmlformats.org/officeDocument/2006/relationships/hyperlink" Target="https://m.media-amazon.com/images/M/MV5BYjBmYTQ1NjItZWU5MS00YjI0LTg2OTYtYmFkN2JkMmNiNWVkXkEyXkFqcGdeQXVyMTMxMTY0OTQ@._V1_UY98_CR2,0,67,98_AL_.jpg" TargetMode="External"/><Relationship Id="rId30" Type="http://schemas.openxmlformats.org/officeDocument/2006/relationships/hyperlink" Target="https://m.media-amazon.com/images/M/MV5BNzVlY2MwMjktM2E4OS00Y2Y3LWE3ZjctYzhkZGM3YzA1ZWM2XkEyXkFqcGdeQXVyNzkwMjQ5NzM@._V1_UX67_CR0,0,67,98_AL_.jpg" TargetMode="External"/><Relationship Id="rId33" Type="http://schemas.openxmlformats.org/officeDocument/2006/relationships/hyperlink" Target="https://m.media-amazon.com/images/M/MV5BZjc4NDZhZWMtNGEzYS00ZWU2LThlM2ItNTA0YzQ0OTExMTE2XkEyXkFqcGdeQXVyNjUwMzI2NzU@._V1_UY98_CR0,0,67,98_AL_.jpg" TargetMode="External"/><Relationship Id="rId32" Type="http://schemas.openxmlformats.org/officeDocument/2006/relationships/hyperlink" Target="https://m.media-amazon.com/images/M/MV5BOWE4ZDdhNmMtNzE5ZC00NzExLTlhNGMtY2ZhYjYzODEzODA1XkEyXkFqcGdeQXVyNTAyODkwOQ@@._V1_UY98_CR1,0,67,98_AL_.jpg" TargetMode="External"/><Relationship Id="rId35" Type="http://schemas.openxmlformats.org/officeDocument/2006/relationships/hyperlink" Target="https://m.media-amazon.com/images/M/MV5BOTA5NDZlZGUtMjAxOS00YTRkLTkwYmMtYWQ0NWEwZDZiNjEzXkEyXkFqcGdeQXVyMTMxODk2OTU@._V1_UX67_CR0,0,67,98_AL_.jpg" TargetMode="External"/><Relationship Id="rId34" Type="http://schemas.openxmlformats.org/officeDocument/2006/relationships/hyperlink" Target="https://m.media-amazon.com/images/M/MV5BNGVjNWI4ZGUtNzE0MS00YTJmLWE0ZDctN2ZiYTk2YmI3NTYyXkEyXkFqcGdeQXVyMTkxNjUyNQ@@._V1_UX67_CR0,0,67,98_AL_.jpg" TargetMode="External"/><Relationship Id="rId739" Type="http://schemas.openxmlformats.org/officeDocument/2006/relationships/hyperlink" Target="https://m.media-amazon.com/images/M/MV5BOTc3NzAxMjg4M15BMl5BanBnXkFtZTcwMDc2ODQwNw@@._V1_UY98_CR3,0,67,98_AL_.jpg" TargetMode="External"/><Relationship Id="rId734" Type="http://schemas.openxmlformats.org/officeDocument/2006/relationships/hyperlink" Target="https://m.media-amazon.com/images/M/MV5BODAzNDMxMzAxOV5BMl5BanBnXkFtZTgwMDMxMjA4MjE@._V1_UX67_CR0,0,67,98_AL_.jpg" TargetMode="External"/><Relationship Id="rId976" Type="http://schemas.openxmlformats.org/officeDocument/2006/relationships/hyperlink" Target="https://m.media-amazon.com/images/M/MV5BMjE0ODEwNjM2NF5BMl5BanBnXkFtZTcwMjU2Mzg3NA@@._V1_UX67_CR0,0,67,98_AL_.jpg" TargetMode="External"/><Relationship Id="rId733" Type="http://schemas.openxmlformats.org/officeDocument/2006/relationships/hyperlink" Target="https://m.media-amazon.com/images/M/MV5BNTA1NzUzNjY4MV5BMl5BanBnXkFtZTgwNDU0MDI0NTE@._V1_UX67_CR0,0,67,98_AL_.jpg" TargetMode="External"/><Relationship Id="rId975" Type="http://schemas.openxmlformats.org/officeDocument/2006/relationships/hyperlink" Target="https://m.media-amazon.com/images/M/MV5BNWFlYWY2YjYtNjdhNi00MzVlLTg2MTMtMWExNzg4NmM5NmEzXkEyXkFqcGdeQXVyMDk5Mzc5MQ@@._V1_UX67_CR0,0,67,98_AL_.jpg" TargetMode="External"/><Relationship Id="rId732" Type="http://schemas.openxmlformats.org/officeDocument/2006/relationships/hyperlink" Target="https://m.media-amazon.com/images/M/MV5BNTVkMTFiZWItOTFkOC00YTc3LWFhYzQtZTg3NzAxZjJlNTAyXkEyXkFqcGdeQXVyODE5NzE3OTE@._V1_UX67_CR0,0,67,98_AL_.jpg" TargetMode="External"/><Relationship Id="rId974" Type="http://schemas.openxmlformats.org/officeDocument/2006/relationships/hyperlink" Target="https://m.media-amazon.com/images/M/MV5BMzFkM2YwOTQtYzk2Mi00N2VlLWE3NTItN2YwNDg1YmY0ZDNmXkEyXkFqcGdeQXVyMTMxODk2OTU@._V1_UX67_CR0,0,67,98_AL_.jpg" TargetMode="External"/><Relationship Id="rId731" Type="http://schemas.openxmlformats.org/officeDocument/2006/relationships/hyperlink" Target="https://m.media-amazon.com/images/M/MV5BYTM3ZTllNzItNTNmOS00NzJiLTg1MWMtMjMxNDc0NmJhODU5XkEyXkFqcGdeQXVyODE5NzE3OTE@._V1_UX67_CR0,0,67,98_AL_.jpg" TargetMode="External"/><Relationship Id="rId973" Type="http://schemas.openxmlformats.org/officeDocument/2006/relationships/hyperlink" Target="https://m.media-amazon.com/images/M/MV5BNjg5ZDM0MTEtYTZmNC00NDJiLWI5MTktYzk4N2QxY2IxZTc2L2ltYWdlXkEyXkFqcGdeQXVyNTAyODkwOQ@@._V1_UY98_CR3,0,67,98_AL_.jpg" TargetMode="External"/><Relationship Id="rId738" Type="http://schemas.openxmlformats.org/officeDocument/2006/relationships/hyperlink" Target="https://m.media-amazon.com/images/M/MV5BMzA2NDkwODAwM15BMl5BanBnXkFtZTgwODk5MTgzMTE@._V1_UY98_CR0,0,67,98_AL_.jpg" TargetMode="External"/><Relationship Id="rId737" Type="http://schemas.openxmlformats.org/officeDocument/2006/relationships/hyperlink" Target="https://m.media-amazon.com/images/M/MV5BMTQzMzg2Nzg2MF5BMl5BanBnXkFtZTgwNjUzNzIzMDE@._V1_UX67_CR0,0,67,98_AL_.jpg" TargetMode="External"/><Relationship Id="rId979" Type="http://schemas.openxmlformats.org/officeDocument/2006/relationships/hyperlink" Target="https://m.media-amazon.com/images/M/MV5BM2I1ZWNkYjEtYWY3ZS00MmMwLWI5OTEtNWNkZjNiYjIwNzY0XkEyXkFqcGdeQXVyNTI4MjkwNjA@._V1_UX67_CR0,0,67,98_AL_.jpg" TargetMode="External"/><Relationship Id="rId736" Type="http://schemas.openxmlformats.org/officeDocument/2006/relationships/hyperlink" Target="https://m.media-amazon.com/images/M/MV5BMTgwNTAwMjEzMF5BMl5BanBnXkFtZTcwNzMzODY4OA@@._V1_UY98_CR3,0,67,98_AL_.jpg" TargetMode="External"/><Relationship Id="rId978" Type="http://schemas.openxmlformats.org/officeDocument/2006/relationships/hyperlink" Target="https://m.media-amazon.com/images/M/MV5BODk1ZWM4ZjItMjFhZi00MDMxLTgxNmYtODFhNWZlZTkwM2UwXkEyXkFqcGdeQXVyMTQxNzMzNDI@._V1_UX67_CR0,0,67,98_AL_.jpg" TargetMode="External"/><Relationship Id="rId735" Type="http://schemas.openxmlformats.org/officeDocument/2006/relationships/hyperlink" Target="https://m.media-amazon.com/images/M/MV5BMTQ5NTg5ODk4OV5BMl5BanBnXkFtZTgwODc4MTMzMDE@._V1_UX67_CR0,0,67,98_AL_.jpg" TargetMode="External"/><Relationship Id="rId977" Type="http://schemas.openxmlformats.org/officeDocument/2006/relationships/hyperlink" Target="https://m.media-amazon.com/images/M/MV5BN2JlZTBhYTEtZDE3OC00NTA3LTk5NTQtNjg5M2RjODllM2M0XkEyXkFqcGdeQXVyNjk1Njg5NTA@._V1_UX67_CR0,0,67,98_AL_.jpg" TargetMode="External"/><Relationship Id="rId37" Type="http://schemas.openxmlformats.org/officeDocument/2006/relationships/hyperlink" Target="https://m.media-amazon.com/images/M/MV5BMjA4NDI0MTIxNF5BMl5BanBnXkFtZTYwNTM0MzY2._V1_UX67_CR0,0,67,98_AL_.jpg" TargetMode="External"/><Relationship Id="rId36" Type="http://schemas.openxmlformats.org/officeDocument/2006/relationships/hyperlink" Target="https://m.media-amazon.com/images/M/MV5BMTYxNDA3MDQwNl5BMl5BanBnXkFtZTcwNTU4Mzc1Nw@@._V1_UX67_CR0,0,67,98_AL_.jpg" TargetMode="External"/><Relationship Id="rId39" Type="http://schemas.openxmlformats.org/officeDocument/2006/relationships/hyperlink" Target="https://m.media-amazon.com/images/M/MV5BOWRiZDIxZjktMTA1NC00MDQ2LWEzMjUtMTliZmY3NjQ3ODJiXkEyXkFqcGdeQXVyNjU0OTQ0OTY@._V1_UY98_CR2,0,67,98_AL_.jpg" TargetMode="External"/><Relationship Id="rId38" Type="http://schemas.openxmlformats.org/officeDocument/2006/relationships/hyperlink" Target="https://m.media-amazon.com/images/M/MV5BMTI1MTY2OTIxNV5BMl5BanBnXkFtZTYwNjQ4NjY3._V1_UX67_CR0,0,67,98_AL_.jpg" TargetMode="External"/><Relationship Id="rId730" Type="http://schemas.openxmlformats.org/officeDocument/2006/relationships/hyperlink" Target="https://m.media-amazon.com/images/M/MV5BMTAwMTU4MDA3NDNeQTJeQWpwZ15BbWU4MDk4NTMxNTIx._V1_UX67_CR0,0,67,98_AL_.jpg" TargetMode="External"/><Relationship Id="rId972" Type="http://schemas.openxmlformats.org/officeDocument/2006/relationships/hyperlink" Target="https://m.media-amazon.com/images/M/MV5BMTY5NjI2MjQxMl5BMl5BanBnXkFtZTgwMDA2MzM2NzE@._V1_UY98_CR0,0,67,98_AL_.jpg" TargetMode="External"/><Relationship Id="rId971" Type="http://schemas.openxmlformats.org/officeDocument/2006/relationships/hyperlink" Target="https://m.media-amazon.com/images/M/MV5BMTQxNDYzMTg1M15BMl5BanBnXkFtZTgwNzk4MDgxMTE@._V1_UX67_CR0,0,67,98_AL_.jpg" TargetMode="External"/><Relationship Id="rId970" Type="http://schemas.openxmlformats.org/officeDocument/2006/relationships/hyperlink" Target="https://m.media-amazon.com/images/M/MV5BMTM5MDY5MDQyOV5BMl5BanBnXkFtZTgwMzM3NzMxMDE@._V1_UX67_CR0,0,67,98_AL_.jpg" TargetMode="External"/><Relationship Id="rId20" Type="http://schemas.openxmlformats.org/officeDocument/2006/relationships/hyperlink" Target="https://m.media-amazon.com/images/M/MV5BYWZjMjk3ZTItODQ2ZC00NTY5LWE0ZDYtZTI3MjcwN2Q5NTVkXkEyXkFqcGdeQXVyODk4OTc3MTY@._V1_UX67_CR0,0,67,98_AL_.jpg" TargetMode="External"/><Relationship Id="rId22" Type="http://schemas.openxmlformats.org/officeDocument/2006/relationships/hyperlink" Target="https://m.media-amazon.com/images/M/MV5BZjdkOTU3MDktN2IxOS00OGEyLWFmMjktY2FiMmZkNWIyODZiXkEyXkFqcGdeQXVyMTMxODk2OTU@._V1_UX67_CR0,0,67,98_AL_.jpg" TargetMode="External"/><Relationship Id="rId21" Type="http://schemas.openxmlformats.org/officeDocument/2006/relationships/hyperlink" Target="https://m.media-amazon.com/images/M/MV5BOTc2ZTlmYmItMDBhYS00YmMzLWI4ZjAtMTI5YTBjOTFiMGEwXkEyXkFqcGdeQXVyODE5NzE3OTE@._V1_UY98_CR0,0,67,98_AL_.jpg" TargetMode="External"/><Relationship Id="rId24" Type="http://schemas.openxmlformats.org/officeDocument/2006/relationships/hyperlink" Target="https://m.media-amazon.com/images/M/MV5BMjlmZmI5MDctNDE2YS00YWE0LWE5ZWItZDBhYWQ0NTcxNWRhXkEyXkFqcGdeQXVyMTMxODk2OTU@._V1_UX67_CR0,0,67,98_AL_.jpg" TargetMode="External"/><Relationship Id="rId23" Type="http://schemas.openxmlformats.org/officeDocument/2006/relationships/hyperlink" Target="https://m.media-amazon.com/images/M/MV5BOTMwYjc5ZmItYTFjZC00ZGQ3LTlkNTMtMjZiNTZlMWQzNzI5XkEyXkFqcGdeQXVyNzkwMjQ5NzM@._V1_UX67_CR0,0,67,98_AL_.jpg" TargetMode="External"/><Relationship Id="rId525" Type="http://schemas.openxmlformats.org/officeDocument/2006/relationships/hyperlink" Target="https://m.media-amazon.com/images/M/MV5BNDUxN2I5NDUtZjdlMC00NjlmLTg0OTQtNjk0NjAxZjFmZTUzXkEyXkFqcGdeQXVyMTQxNzMzNDI@._V1_UX67_CR0,0,67,98_AL_.jpg" TargetMode="External"/><Relationship Id="rId767" Type="http://schemas.openxmlformats.org/officeDocument/2006/relationships/hyperlink" Target="https://m.media-amazon.com/images/M/MV5BMjM1NTkxNjkzMl5BMl5BanBnXkFtZTgwNDgwMDAxMzE@._V1_UY98_CR1,0,67,98_AL_.jpg" TargetMode="External"/><Relationship Id="rId524" Type="http://schemas.openxmlformats.org/officeDocument/2006/relationships/hyperlink" Target="https://m.media-amazon.com/images/M/MV5BN2I2N2Q1YmMtMzZkMC00Y2JjLWJmOWUtNjc2OTM2ZTk1MjUyXkEyXkFqcGdeQXVyNzkwMjQ5NzM@._V1_UX67_CR0,0,67,98_AL_.jpg" TargetMode="External"/><Relationship Id="rId766" Type="http://schemas.openxmlformats.org/officeDocument/2006/relationships/hyperlink" Target="https://m.media-amazon.com/images/M/MV5BMjIxODEyOTQ5Ml5BMl5BanBnXkFtZTcwNjE3NzI5Mw@@._V1_UY98_CR1,0,67,98_AL_.jpg" TargetMode="External"/><Relationship Id="rId523" Type="http://schemas.openxmlformats.org/officeDocument/2006/relationships/hyperlink" Target="https://m.media-amazon.com/images/M/MV5BOTMyZGI4N2YtMzdkNi00MDZmLTg4NmItMzg0ODY5NjdhZjYwL2ltYWdlL2ltYWdlXkEyXkFqcGdeQXVyMzM4MjM0Nzg@._V1_UY98_CR1,0,67,98_AL_.jpg" TargetMode="External"/><Relationship Id="rId765" Type="http://schemas.openxmlformats.org/officeDocument/2006/relationships/hyperlink" Target="https://m.media-amazon.com/images/M/MV5BMTUxNzc0OTIxMV5BMl5BanBnXkFtZTgwNDI3NzU2NDE@._V1_UX67_CR0,0,67,98_AL_.jpg" TargetMode="External"/><Relationship Id="rId522" Type="http://schemas.openxmlformats.org/officeDocument/2006/relationships/hyperlink" Target="https://m.media-amazon.com/images/M/MV5BMjg5OGU4OGYtNTZmNy00MjQ1LWIzYzgtMTllMGY2NzlkNzYwXkEyXkFqcGdeQXVyMTI3ODAyMzE2._V1_UY98_CR2,0,67,98_AL_.jpg" TargetMode="External"/><Relationship Id="rId764" Type="http://schemas.openxmlformats.org/officeDocument/2006/relationships/hyperlink" Target="https://m.media-amazon.com/images/M/MV5BMmE3OWZhZDYtOTBjMi00NDIwLTg1NWMtMjg0NjJmZWM4MjliL2ltYWdlXkEyXkFqcGdeQXVyNTAyODkwOQ@@._V1_UX67_CR0,0,67,98_AL_.jpg" TargetMode="External"/><Relationship Id="rId529" Type="http://schemas.openxmlformats.org/officeDocument/2006/relationships/hyperlink" Target="https://m.media-amazon.com/images/M/MV5BMWZiNWUwYjMtM2Y1Yi00MTZmLWEwYzctNjVmYWM0OTFlZDFhXkEyXkFqcGdeQXVyMTMxODk2OTU@._V1_UX67_CR0,0,67,98_AL_.jpg" TargetMode="External"/><Relationship Id="rId528" Type="http://schemas.openxmlformats.org/officeDocument/2006/relationships/hyperlink" Target="https://m.media-amazon.com/images/M/MV5BYTVjYWJmMWQtYWU4Ni00MWY3LWI2YmMtNTI5MDE0MWVmMmEzL2ltYWdlXkEyXkFqcGdeQXVyMTQxNzMzNDI@._V1_UX67_CR0,0,67,98_AL_.jpg" TargetMode="External"/><Relationship Id="rId527" Type="http://schemas.openxmlformats.org/officeDocument/2006/relationships/hyperlink" Target="https://m.media-amazon.com/images/M/MV5BYWY3N2EyOWYtNDVhZi00MWRkLTg2OTUtODNkNDQ5ZTIwMGJkXkEyXkFqcGdeQXVyMTMxODk2OTU@._V1_UX67_CR0,0,67,98_AL_.jpg" TargetMode="External"/><Relationship Id="rId769" Type="http://schemas.openxmlformats.org/officeDocument/2006/relationships/hyperlink" Target="https://m.media-amazon.com/images/M/MV5BZjczMWI1YWMtYTZjOS00ZDc5LWE2MWItMTY3ZGUxNzFkNjJmL2ltYWdlXkEyXkFqcGdeQXVyNjU0OTQ0OTY@._V1_UX67_CR0,0,67,98_AL_.jpg" TargetMode="External"/><Relationship Id="rId526" Type="http://schemas.openxmlformats.org/officeDocument/2006/relationships/hyperlink" Target="https://m.media-amazon.com/images/M/MV5BYjdkNzA4MzYtZThhOS00ZDgzLTlmMDItNmY1ZjI5YjkzZTE1XkEyXkFqcGdeQXVyMTQxNzMzNDI@._V1_UX67_CR0,0,67,98_AL_.jpg" TargetMode="External"/><Relationship Id="rId768" Type="http://schemas.openxmlformats.org/officeDocument/2006/relationships/hyperlink" Target="https://m.media-amazon.com/images/M/MV5BN2UwNDc5NmEtNjVjZS00OTI5LWE5YjctMWM3ZjBiZGYwMGI2XkEyXkFqcGdeQXVyNzkwMjQ5NzM@._V1_UX67_CR0,0,67,98_AL_.jpg" TargetMode="External"/><Relationship Id="rId26" Type="http://schemas.openxmlformats.org/officeDocument/2006/relationships/hyperlink" Target="https://m.media-amazon.com/images/M/MV5BMTUxMzQyNjA5MF5BMl5BanBnXkFtZTYwOTU2NTY3._V1_UX67_CR0,0,67,98_AL_.jpg" TargetMode="External"/><Relationship Id="rId25" Type="http://schemas.openxmlformats.org/officeDocument/2006/relationships/hyperlink" Target="https://m.media-amazon.com/images/M/MV5BZjhkMDM4MWItZTVjOC00ZDRhLThmYTAtM2I5NzBmNmNlMzI1XkEyXkFqcGdeQXVyNDYyMDk5MTU@._V1_UX67_CR0,0,67,98_AL_.jpg" TargetMode="External"/><Relationship Id="rId28" Type="http://schemas.openxmlformats.org/officeDocument/2006/relationships/hyperlink" Target="https://m.media-amazon.com/images/M/MV5BOTUwODM5MTctZjczMi00OTk4LTg3NWUtNmVhMTAzNTNjYjcyXkEyXkFqcGdeQXVyNjU0OTQ0OTY@._V1_UX67_CR0,0,67,98_AL_.jpg" TargetMode="External"/><Relationship Id="rId27" Type="http://schemas.openxmlformats.org/officeDocument/2006/relationships/hyperlink" Target="https://m.media-amazon.com/images/M/MV5BYmJmM2Q4NmMtYThmNC00ZjRlLWEyZmItZTIwOTBlZDQ3NTQ1XkEyXkFqcGdeQXVyMTQxNzMzNDI@._V1_UX67_CR0,0,67,98_AL_.jpg" TargetMode="External"/><Relationship Id="rId521" Type="http://schemas.openxmlformats.org/officeDocument/2006/relationships/hyperlink" Target="https://m.media-amazon.com/images/M/MV5BMDViNjFjOWMtZGZhMi00NmIyLThmYzktODA4MzJhZDZhMDc5XkEyXkFqcGdeQXVyNzkwMjQ5NzM@._V1_UY98_CR1,0,67,98_AL_.jpg" TargetMode="External"/><Relationship Id="rId763" Type="http://schemas.openxmlformats.org/officeDocument/2006/relationships/hyperlink" Target="https://m.media-amazon.com/images/M/MV5BZDNlNjEzMzQtZDM0MS00YzhiLTk0MGUtYTdmNDZiZGVjNTk0L2ltYWdlXkEyXkFqcGdeQXVyNTAyODkwOQ@@._V1_UY98_CR1,0,67,98_AL_.jpg" TargetMode="External"/><Relationship Id="rId29" Type="http://schemas.openxmlformats.org/officeDocument/2006/relationships/hyperlink" Target="https://m.media-amazon.com/images/M/MV5BNjNhZTk0ZmEtNjJhMi00YzFlLWE1MmEtYzM1M2ZmMGMwMTU4XkEyXkFqcGdeQXVyNjU0OTQ0OTY@._V1_UX67_CR0,0,67,98_AL_.jpg" TargetMode="External"/><Relationship Id="rId520" Type="http://schemas.openxmlformats.org/officeDocument/2006/relationships/hyperlink" Target="https://m.media-amazon.com/images/M/MV5BYTY4MTdjZDMtOTBiMC00MDEwLThhMjUtMjlhMjdlYTBmMzk3XkEyXkFqcGdeQXVyNjMwMjk0MTQ@._V1_UY98_CR1,0,67,98_AL_.jpg" TargetMode="External"/><Relationship Id="rId762" Type="http://schemas.openxmlformats.org/officeDocument/2006/relationships/hyperlink" Target="https://m.media-amazon.com/images/M/MV5BMzA4ZGM1NjYtMjcxYS00MTdiLWJmNzEtMTUzODY0NDQ0YzUzXkEyXkFqcGdeQXVyMzYwMjQ3OTI@._V1_UY98_CR1,0,67,98_AL_.jpg" TargetMode="External"/><Relationship Id="rId761" Type="http://schemas.openxmlformats.org/officeDocument/2006/relationships/hyperlink" Target="https://m.media-amazon.com/images/M/MV5BMTU2NjQ1Nzc4MF5BMl5BanBnXkFtZTcwNTM0NDk1Mw@@._V1_UX67_CR0,0,67,98_AL_.jpg" TargetMode="External"/><Relationship Id="rId760" Type="http://schemas.openxmlformats.org/officeDocument/2006/relationships/hyperlink" Target="https://m.media-amazon.com/images/M/MV5BOTA1Mzg3NjIxNV5BMl5BanBnXkFtZTcwNzU2NTc5MQ@@._V1_UX67_CR0,0,67,98_AL_.jpg" TargetMode="External"/><Relationship Id="rId11" Type="http://schemas.openxmlformats.org/officeDocument/2006/relationships/hyperlink" Target="https://m.media-amazon.com/images/M/MV5BN2EyZjM3NzUtNWUzMi00MTgxLWI0NTctMzY4M2VlOTdjZWRiXkEyXkFqcGdeQXVyNDUzOTQ5MjY@._V1_UX67_CR0,0,67,98_AL_.jpg" TargetMode="External"/><Relationship Id="rId10" Type="http://schemas.openxmlformats.org/officeDocument/2006/relationships/hyperlink" Target="https://m.media-amazon.com/images/M/MV5BMmEzNTkxYjQtZTc0MC00YTVjLTg5ZTEtZWMwOWVlYzY0NWIwXkEyXkFqcGdeQXVyNzkwMjQ5NzM@._V1_UX67_CR0,0,67,98_AL_.jpg" TargetMode="External"/><Relationship Id="rId13" Type="http://schemas.openxmlformats.org/officeDocument/2006/relationships/hyperlink" Target="https://m.media-amazon.com/images/M/MV5BOTQ5NDI3MTI4MF5BMl5BanBnXkFtZTgwNDQ4ODE5MDE@._V1_UX67_CR0,0,67,98_AL_.jpg" TargetMode="External"/><Relationship Id="rId12" Type="http://schemas.openxmlformats.org/officeDocument/2006/relationships/hyperlink" Target="https://m.media-amazon.com/images/M/MV5BNWIwODRlZTUtY2U3ZS00Yzg1LWJhNzYtMmZiYmEyNmU1NjMzXkEyXkFqcGdeQXVyMTQxNzMzNDI@._V1_UY98_CR0,0,67,98_AL_.jpg" TargetMode="External"/><Relationship Id="rId519" Type="http://schemas.openxmlformats.org/officeDocument/2006/relationships/hyperlink" Target="https://m.media-amazon.com/images/M/MV5BZDg0MWNmNjktMGEwZC00ZDlmLWI1MTUtMDBmNjQzMWM2NjBjXkEyXkFqcGdeQXVyMTMxODk2OTU@._V1_UX67_CR0,0,67,98_AL_.jpg" TargetMode="External"/><Relationship Id="rId514" Type="http://schemas.openxmlformats.org/officeDocument/2006/relationships/hyperlink" Target="https://m.media-amazon.com/images/M/MV5BMTQ5NTI2NTI4NF5BMl5BanBnXkFtZTcwNjk2NDA2OQ@@._V1_UX67_CR0,0,67,98_AL_.jpg" TargetMode="External"/><Relationship Id="rId756" Type="http://schemas.openxmlformats.org/officeDocument/2006/relationships/hyperlink" Target="https://m.media-amazon.com/images/M/MV5BMTQ2OTE1Mjk0N15BMl5BanBnXkFtZTcwODE3MDAwNA@@._V1_UX67_CR0,0,67,98_AL_.jpg" TargetMode="External"/><Relationship Id="rId998" Type="http://schemas.openxmlformats.org/officeDocument/2006/relationships/hyperlink" Target="https://m.media-amazon.com/images/M/MV5BM2U3YzkxNGMtYWE0YS00ODk0LTk1ZGEtNjk3ZTE0MTk4MzJjXkEyXkFqcGdeQXVyNDk0MDg4NDk@._V1_UX67_CR0,0,67,98_AL_.jpg" TargetMode="External"/><Relationship Id="rId513" Type="http://schemas.openxmlformats.org/officeDocument/2006/relationships/hyperlink" Target="https://m.media-amazon.com/images/M/MV5BMTYxMDdlYjItMDVkYy00MjYzLThhMTYtYjIzZjZiODk1ZWRmXkEyXkFqcGdeQXVyNDk3NzU2MTQ@._V1_UX67_CR0,0,67,98_AL_.jpg" TargetMode="External"/><Relationship Id="rId755" Type="http://schemas.openxmlformats.org/officeDocument/2006/relationships/hyperlink" Target="https://m.media-amazon.com/images/M/MV5BMTk5MjM4OTU1OV5BMl5BanBnXkFtZTcwODkzNDIzMw@@._V1_UX67_CR0,0,67,98_AL_.jpg" TargetMode="External"/><Relationship Id="rId997" Type="http://schemas.openxmlformats.org/officeDocument/2006/relationships/hyperlink" Target="https://m.media-amazon.com/images/M/MV5BODk3YjdjZTItOGVhYi00Mjc2LTgzMDAtMThmYTVkNTBlMWVkXkEyXkFqcGdeQXVyNDY2MTk1ODk@._V1_UX67_CR0,0,67,98_AL_.jpg" TargetMode="External"/><Relationship Id="rId512" Type="http://schemas.openxmlformats.org/officeDocument/2006/relationships/hyperlink" Target="https://m.media-amazon.com/images/M/MV5BM2JkNGU0ZGMtZjVjNS00NjgyLWEyOWYtZmRmZGQyN2IxZjA2XkEyXkFqcGdeQXVyNTIzOTk5ODM@._V1_UX67_CR0,0,67,98_AL_.jpg" TargetMode="External"/><Relationship Id="rId754" Type="http://schemas.openxmlformats.org/officeDocument/2006/relationships/hyperlink" Target="https://m.media-amazon.com/images/M/MV5BNzljNjY3MDYtYzc0Ni00YjU0LWIyNDUtNTE0ZDRiMGExMjZlXkEyXkFqcGdeQXVyMTMxODk2OTU@._V1_UX67_CR0,0,67,98_AL_.jpg" TargetMode="External"/><Relationship Id="rId996" Type="http://schemas.openxmlformats.org/officeDocument/2006/relationships/hyperlink" Target="https://m.media-amazon.com/images/M/MV5BNGEwMTRmZTQtMDY4Ni00MTliLTk5ZmMtOWMxYWMyMTllMDg0L2ltYWdlL2ltYWdlXkEyXkFqcGdeQXVyNjc1NTYyMjg@._V1_UX67_CR0,0,67,98_AL_.jpg" TargetMode="External"/><Relationship Id="rId511" Type="http://schemas.openxmlformats.org/officeDocument/2006/relationships/hyperlink" Target="https://m.media-amazon.com/images/M/MV5BMjYzYWM4YTItZjJiMC00OTM5LTg3NDgtOGQ2Njk2ZWNhN2QwXkEyXkFqcGdeQXVyMzM4MjM0Nzg@._V1_UY98_CR0,0,67,98_AL_.jpg" TargetMode="External"/><Relationship Id="rId753" Type="http://schemas.openxmlformats.org/officeDocument/2006/relationships/hyperlink" Target="https://m.media-amazon.com/images/M/MV5BMTM2MTI5NzA3MF5BMl5BanBnXkFtZTcwODExNTc0OA@@._V1_UX67_CR0,0,67,98_AL_.jpg" TargetMode="External"/><Relationship Id="rId995" Type="http://schemas.openxmlformats.org/officeDocument/2006/relationships/hyperlink" Target="https://m.media-amazon.com/images/M/MV5BZjQyMGUwNzAtNTc2MC00Y2FjLThlM2ItZGRjNzM0OWVmZGYyXkEyXkFqcGdeQXVyNjc1NTYyMjg@._V1_UX67_CR0,0,67,98_AL_.jpg" TargetMode="External"/><Relationship Id="rId518" Type="http://schemas.openxmlformats.org/officeDocument/2006/relationships/hyperlink" Target="https://m.media-amazon.com/images/M/MV5BY2E2YWYxY2QtZmJmZi00MjJlLWFiYWItZTk5Y2IyMWQ1ZThhXkEyXkFqcGdeQXVyMTMxODk2OTU@._V1_UX67_CR0,0,67,98_AL_.jpg" TargetMode="External"/><Relationship Id="rId517" Type="http://schemas.openxmlformats.org/officeDocument/2006/relationships/hyperlink" Target="https://m.media-amazon.com/images/M/MV5BMWM5ZDcxMTYtNTEyNS00MDRkLWI3YTItNThmMGExMWY4NDIwXkEyXkFqcGdeQXVyNjUwNzk3NDc@._V1_UX67_CR0,0,67,98_AL_.jpg" TargetMode="External"/><Relationship Id="rId759" Type="http://schemas.openxmlformats.org/officeDocument/2006/relationships/hyperlink" Target="https://m.media-amazon.com/images/M/MV5BNDliMTMxOWEtODM3Yi00N2QwLTg4YTAtNTE5YzBlNTA2NjhlXkEyXkFqcGdeQXVyNjE5MjUyOTM@._V1_UX67_CR0,0,67,98_AL_.jpg" TargetMode="External"/><Relationship Id="rId516" Type="http://schemas.openxmlformats.org/officeDocument/2006/relationships/hyperlink" Target="https://m.media-amazon.com/images/M/MV5BYjBhZmViNTItMGExMy00MGNmLTkwZDItMDVlMTQ4ODVkYTMwXkEyXkFqcGdeQXVyNzM0MTUwNTY@._V1_UY98_CR1,0,67,98_AL_.jpg" TargetMode="External"/><Relationship Id="rId758" Type="http://schemas.openxmlformats.org/officeDocument/2006/relationships/hyperlink" Target="https://m.media-amazon.com/images/M/MV5BOTY4NTU2NTU4NF5BMl5BanBnXkFtZTcwNjE0OTc5MQ@@._V1_UX67_CR0,0,67,98_AL_.jpg" TargetMode="External"/><Relationship Id="rId515" Type="http://schemas.openxmlformats.org/officeDocument/2006/relationships/hyperlink" Target="https://m.media-amazon.com/images/M/MV5BMzY1ZjMwMGEtYTY1ZS00ZDllLTk0ZmUtYzA3ZTA4NmYwNGNkXkEyXkFqcGdeQXVyNDk3NzU2MTQ@._V1_UX67_CR0,0,67,98_AL_.jpg" TargetMode="External"/><Relationship Id="rId757" Type="http://schemas.openxmlformats.org/officeDocument/2006/relationships/hyperlink" Target="https://m.media-amazon.com/images/M/MV5BOTc3YmM3N2QtODZkMC00ZDE5LThjMTQtYTljN2Y1YTYwYWJkXkEyXkFqcGdeQXVyODEzNjM5OTQ@._V1_UX67_CR0,0,67,98_AL_.jpg" TargetMode="External"/><Relationship Id="rId999" Type="http://schemas.openxmlformats.org/officeDocument/2006/relationships/hyperlink" Target="https://m.media-amazon.com/images/M/MV5BZTBmMjUyMjItYTM4ZS00MjAwLWEyOGYtYjMyZTUxN2I3OTMxXkEyXkFqcGdeQXVyNjc1NTYyMjg@._V1_UX67_CR0,0,67,98_AL_.jpg" TargetMode="External"/><Relationship Id="rId15" Type="http://schemas.openxmlformats.org/officeDocument/2006/relationships/hyperlink" Target="https://m.media-amazon.com/images/M/MV5BNzQzOTk3OTAtNDQ0Zi00ZTVkLWI0MTEtMDllZjNkYzNjNTc4L2ltYWdlXkEyXkFqcGdeQXVyNjU0OTQ0OTY@._V1_UX67_CR0,0,67,98_AL_.jpg" TargetMode="External"/><Relationship Id="rId990" Type="http://schemas.openxmlformats.org/officeDocument/2006/relationships/hyperlink" Target="https://m.media-amazon.com/images/M/MV5BYzZhODNiOWYtMmNkNS00OTFhLTkzYzktYTQ4ZmNmZWMyN2ZiL2ltYWdlL2ltYWdlXkEyXkFqcGdeQXVyNjc1NTYyMjg@._V1_UX67_CR0,0,67,98_AL_.jpg" TargetMode="External"/><Relationship Id="rId14" Type="http://schemas.openxmlformats.org/officeDocument/2006/relationships/hyperlink" Target="https://m.media-amazon.com/images/M/MV5BZGMxZTdjZmYtMmE2Ni00ZTdkLWI5NTgtNjlmMjBiNzU2MmI5XkEyXkFqcGdeQXVyNjU0OTQ0OTY@._V1_UX67_CR0,0,67,98_AL_.jpg" TargetMode="External"/><Relationship Id="rId17" Type="http://schemas.openxmlformats.org/officeDocument/2006/relationships/hyperlink" Target="https://m.media-amazon.com/images/M/MV5BYmU1NDRjNDgtMzhiMi00NjZmLTg5NGItZDNiZjU5NTU4OTE0XkEyXkFqcGdeQXVyNzkwMjQ5NzM@._V1_UX67_CR0,0,67,98_AL_.jpg" TargetMode="External"/><Relationship Id="rId16" Type="http://schemas.openxmlformats.org/officeDocument/2006/relationships/hyperlink" Target="https://m.media-amazon.com/images/M/MV5BY2NkZjEzMDgtN2RjYy00YzM1LWI4ZmQtMjIwYjFjNmI3ZGEwXkEyXkFqcGdeQXVyNzkwMjQ5NzM@._V1_UX67_CR0,0,67,98_AL_.jpg" TargetMode="External"/><Relationship Id="rId19" Type="http://schemas.openxmlformats.org/officeDocument/2006/relationships/hyperlink" Target="https://m.media-amazon.com/images/M/MV5BNjViNWRjYWEtZTI0NC00N2E3LTk0NGQtMjY4NTM3OGNkZjY0XkEyXkFqcGdeQXVyMjUxMTY3ODM@._V1_UX67_CR0,0,67,98_AL_.jpg" TargetMode="External"/><Relationship Id="rId510" Type="http://schemas.openxmlformats.org/officeDocument/2006/relationships/hyperlink" Target="https://m.media-amazon.com/images/M/MV5BMGFkNjNmZWMtNDdiOS00ZWM3LWE1ZTMtZDU3MGQyMzIyNzZhXkEyXkFqcGdeQXVyMTMxODk2OTU@._V1_UX67_CR0,0,67,98_AL_.jpg" TargetMode="External"/><Relationship Id="rId752" Type="http://schemas.openxmlformats.org/officeDocument/2006/relationships/hyperlink" Target="https://m.media-amazon.com/images/M/MV5BMWZiNjE2OWItMTkwNy00ZWQzLWI0NTgtMWE0NjNiYTljN2Q1XkEyXkFqcGdeQXVyNzAwMjYxMzA@._V1_UX67_CR0,0,67,98_AL_.jpg" TargetMode="External"/><Relationship Id="rId994" Type="http://schemas.openxmlformats.org/officeDocument/2006/relationships/hyperlink" Target="https://m.media-amazon.com/images/M/MV5BYTE4YWU0NjAtMjNiYi00MTNiLTgwYzctZjk0YjY5NGVhNWQwXkEyXkFqcGdeQXVyMTY5Nzc4MDY@._V1_UY98_CR0,0,67,98_AL_.jpg" TargetMode="External"/><Relationship Id="rId18" Type="http://schemas.openxmlformats.org/officeDocument/2006/relationships/hyperlink" Target="https://m.media-amazon.com/images/M/MV5BZjA0OWVhOTAtYWQxNi00YzNhLWI4ZjYtNjFjZTEyYjJlNDVlL2ltYWdlL2ltYWdlXkEyXkFqcGdeQXVyMTQxNzMzNDI@._V1_UX67_CR0,0,67,98_AL_.jpg" TargetMode="External"/><Relationship Id="rId751" Type="http://schemas.openxmlformats.org/officeDocument/2006/relationships/hyperlink" Target="https://m.media-amazon.com/images/M/MV5BNGQwZjg5YmYtY2VkNC00NzliLTljYTctNzI5NmU3MjE2ODQzXkEyXkFqcGdeQXVyNzkwMjQ5NzM@._V1_UX67_CR0,0,67,98_AL_.jpg" TargetMode="External"/><Relationship Id="rId993" Type="http://schemas.openxmlformats.org/officeDocument/2006/relationships/hyperlink" Target="https://m.media-amazon.com/images/M/MV5BMjAwMTExODExNl5BMl5BanBnXkFtZTgwMjM2MDgyMTE@._V1_UX67_CR0,0,67,98_AL_.jpg" TargetMode="External"/><Relationship Id="rId750" Type="http://schemas.openxmlformats.org/officeDocument/2006/relationships/hyperlink" Target="https://m.media-amazon.com/images/M/MV5BMTg5OTMxNzk4Nl5BMl5BanBnXkFtZTcwOTk1MjAwNQ@@._V1_UX67_CR0,0,67,98_AL_.jpg" TargetMode="External"/><Relationship Id="rId992" Type="http://schemas.openxmlformats.org/officeDocument/2006/relationships/hyperlink" Target="https://m.media-amazon.com/images/M/MV5BMzAyNDUwYzUtN2NlMC00ODliLWExMjgtMGMzNmYzZmUwYTg1XkEyXkFqcGdeQXVyNjc1NTYyMjg@._V1_UX67_CR0,0,67,98_AL_.jpg" TargetMode="External"/><Relationship Id="rId991" Type="http://schemas.openxmlformats.org/officeDocument/2006/relationships/hyperlink" Target="https://m.media-amazon.com/images/M/MV5BYjRmY2VjN2ItMzBmYy00YTRjLWFiMTgtNGZhNWJjMjk3YjZjXkEyXkFqcGdeQXVyNjc1NTYyMjg@._V1_UX67_CR0,0,67,98_AL_.jpg" TargetMode="External"/><Relationship Id="rId84" Type="http://schemas.openxmlformats.org/officeDocument/2006/relationships/hyperlink" Target="https://m.media-amazon.com/images/M/MV5BMmExYWJjNTktNGUyZS00ODhmLTkxYzAtNWIzOGEyMGNiMmUwXkEyXkFqcGdeQXVyNjU0OTQ0OTY@._V1_UX67_CR0,0,67,98_AL_.jpg" TargetMode="External"/><Relationship Id="rId83" Type="http://schemas.openxmlformats.org/officeDocument/2006/relationships/hyperlink" Target="https://m.media-amazon.com/images/M/MV5BMTU0NTkyNzYwMF5BMl5BanBnXkFtZTgwMDU0NDk5MTI@._V1_UX67_CR0,0,67,98_AL_.jpg" TargetMode="External"/><Relationship Id="rId86" Type="http://schemas.openxmlformats.org/officeDocument/2006/relationships/hyperlink" Target="https://m.media-amazon.com/images/M/MV5BYmQxNmU4ZjgtYzE5Mi00ZDlhLTlhOTctMzJkNjk2ZGUyZGEwXkEyXkFqcGdeQXVyMzgxMDA0Nzk@._V1_UY98_CR1,0,67,98_AL_.jpg" TargetMode="External"/><Relationship Id="rId85" Type="http://schemas.openxmlformats.org/officeDocument/2006/relationships/hyperlink" Target="https://m.media-amazon.com/images/M/MV5BOTdmNTFjNDEtNzg0My00ZjkxLTg1ZDAtZTdkMDc2ZmFiNWQ1XkEyXkFqcGdeQXVyNTAzNzgwNTg@._V1_UX67_CR0,0,67,98_AL_.jpg" TargetMode="External"/><Relationship Id="rId88" Type="http://schemas.openxmlformats.org/officeDocument/2006/relationships/hyperlink" Target="https://m.media-amazon.com/images/M/MV5BYmY3MzYwMGUtOWMxYS00OGVhLWFjNmUtYzlkNGVmY2ZkMjA3XkEyXkFqcGdeQXVyMTExNDQ2MTI@._V1_UY98_CR4,0,67,98_AL_.jpg" TargetMode="External"/><Relationship Id="rId87" Type="http://schemas.openxmlformats.org/officeDocument/2006/relationships/hyperlink" Target="https://m.media-amazon.com/images/M/MV5BZWZhMjhhZmYtOTIzOC00MGYzLWI1OGYtM2ZkN2IxNTI4ZWI3XkEyXkFqcGdeQXVyNDAzNDk0MTQ@._V1_UY98_CR0,0,67,98_AL_.jpg" TargetMode="External"/><Relationship Id="rId89" Type="http://schemas.openxmlformats.org/officeDocument/2006/relationships/hyperlink" Target="https://m.media-amazon.com/images/M/MV5BMTg2NDg3ODg4NF5BMl5BanBnXkFtZTcwNzk3NTc3Nw@@._V1_UY98_CR1,0,67,98_AL_.jpg" TargetMode="External"/><Relationship Id="rId709" Type="http://schemas.openxmlformats.org/officeDocument/2006/relationships/hyperlink" Target="https://m.media-amazon.com/images/M/MV5BNzk5MDk2MjktY2I3NS00ODZkLTk3OTktY2Q3ZDE2MmQ2M2ZmXkEyXkFqcGdeQXVyNjc1NTYyMjg@._V1_UY98_CR2,0,67,98_AL_.jpg" TargetMode="External"/><Relationship Id="rId708" Type="http://schemas.openxmlformats.org/officeDocument/2006/relationships/hyperlink" Target="https://m.media-amazon.com/images/M/MV5BNGQyNjBjNTUtNTM1OS00YzcyLWFhNTgtNTU0MDg3NzBlMDQzXkEyXkFqcGdeQXVyNjc1NTYyMjg@._V1_UY98_CR0,0,67,98_AL_.jpg" TargetMode="External"/><Relationship Id="rId707" Type="http://schemas.openxmlformats.org/officeDocument/2006/relationships/hyperlink" Target="https://m.media-amazon.com/images/M/MV5BZTM1MTRiNDctMTFiMC00NGM1LTkyMWQtNTY1M2JjZDczOWQ3XkEyXkFqcGdeQXVyMDI3OTIzOA@@._V1_UY98_CR3,0,67,98_AL_.jpg" TargetMode="External"/><Relationship Id="rId949" Type="http://schemas.openxmlformats.org/officeDocument/2006/relationships/hyperlink" Target="https://m.media-amazon.com/images/M/MV5BMTAxMDE4Mzc3ODNeQTJeQWpwZ15BbWU4MDY2Mjg4MDcx._V1_UX67_CR0,0,67,98_AL_.jpg" TargetMode="External"/><Relationship Id="rId706" Type="http://schemas.openxmlformats.org/officeDocument/2006/relationships/hyperlink" Target="https://m.media-amazon.com/images/M/MV5BZTM1ZjQ2YTktNDM2MS00NGY2LTkzNzItZTU4ODg1ODNkMWYxL2ltYWdlXkEyXkFqcGdeQXVyNjc1NTYyMjg@._V1_UX67_CR0,0,67,98_AL_.jpg" TargetMode="External"/><Relationship Id="rId948" Type="http://schemas.openxmlformats.org/officeDocument/2006/relationships/hyperlink" Target="https://m.media-amazon.com/images/M/MV5BNjQ3NWNlNmQtMTE5ZS00MDdmLTlkZjUtZTBlM2UxMGFiMTU3XkEyXkFqcGdeQXVyNjUwNzk3NDc@._V1_UX67_CR0,0,67,98_AL_.jpg" TargetMode="External"/><Relationship Id="rId80" Type="http://schemas.openxmlformats.org/officeDocument/2006/relationships/hyperlink" Target="https://m.media-amazon.com/images/M/MV5BNDQwODU5OWYtNDcyNi00MDQ1LThiOGMtZDkwNWJiM2Y3MDg0XkEyXkFqcGdeQXVyMDI2NDg0NQ@@._V1_UX67_CR0,0,67,98_AL_.jpg" TargetMode="External"/><Relationship Id="rId82" Type="http://schemas.openxmlformats.org/officeDocument/2006/relationships/hyperlink" Target="https://m.media-amazon.com/images/M/MV5BNGUxYWM3M2MtMGM3Mi00ZmRiLWE0NGQtZjE5ODI2OTJhNTU0XkEyXkFqcGdeQXVyMTQxNzMzNDI@._V1_UX67_CR0,0,67,98_AL_.jpg" TargetMode="External"/><Relationship Id="rId81" Type="http://schemas.openxmlformats.org/officeDocument/2006/relationships/hyperlink" Target="https://m.media-amazon.com/images/M/MV5BNjViMmRkOTEtM2ViOS00ODg0LWJhYWEtNTBlOGQxNDczOGY3XkEyXkFqcGdeQXVyMDI2NDg0NQ@@._V1_UY98_CR2,0,67,98_AL_.jpg" TargetMode="External"/><Relationship Id="rId701" Type="http://schemas.openxmlformats.org/officeDocument/2006/relationships/hyperlink" Target="https://m.media-amazon.com/images/M/MV5BMTQyNTAzOTI3NF5BMl5BanBnXkFtZTcwNTM0Mjg0Mg@@._V1_UX67_CR0,0,67,98_AL_.jpg" TargetMode="External"/><Relationship Id="rId943" Type="http://schemas.openxmlformats.org/officeDocument/2006/relationships/hyperlink" Target="https://m.media-amazon.com/images/M/MV5BODNiZmY2MWUtMjFhMy00ZmM2LTg2MjYtNWY1OTY5NGU2MjdjL2ltYWdlXkEyXkFqcGdeQXVyNTAyODkwOQ@@._V1_UY98_CR0,0,67,98_AL_.jpg" TargetMode="External"/><Relationship Id="rId700" Type="http://schemas.openxmlformats.org/officeDocument/2006/relationships/hyperlink" Target="https://m.media-amazon.com/images/M/MV5BNTgwZmIzMmYtZjE3Yy00NzgzLTgxNmUtNjlmZDlkMzlhOTJkXkEyXkFqcGdeQXVyNjUwNzk3NDc@._V1_UX67_CR0,0,67,98_AL_.jpg" TargetMode="External"/><Relationship Id="rId942" Type="http://schemas.openxmlformats.org/officeDocument/2006/relationships/hyperlink" Target="https://m.media-amazon.com/images/M/MV5BNmE0YjdlYTktMTU4Ni00Mjk2LWI3NWMtM2RjNmFiOTk4YjYxL2ltYWdlXkEyXkFqcGdeQXVyNTAyODkwOQ@@._V1_UY98_CR1,0,67,98_AL_.jpg" TargetMode="External"/><Relationship Id="rId941" Type="http://schemas.openxmlformats.org/officeDocument/2006/relationships/hyperlink" Target="https://m.media-amazon.com/images/M/MV5BMTMxNzYzNzUzMV5BMl5BanBnXkFtZTYwNjcwMjE3._V1_UX67_CR0,0,67,98_AL_.jpg" TargetMode="External"/><Relationship Id="rId940" Type="http://schemas.openxmlformats.org/officeDocument/2006/relationships/hyperlink" Target="https://m.media-amazon.com/images/M/MV5BYmNlNDVjMWUtZDZjNS00YTBmLWE3NGUtNDcxMzE0YTQ2ODMxXkEyXkFqcGdeQXVyMTMxODk2OTU@._V1_UX67_CR0,0,67,98_AL_.jpg" TargetMode="External"/><Relationship Id="rId705" Type="http://schemas.openxmlformats.org/officeDocument/2006/relationships/hyperlink" Target="https://m.media-amazon.com/images/M/MV5BNmJkODczNjItNDI5Yy00MGI1LTkyOWItZDNmNjM4ZGI1ZDVlL2ltYWdlL2ltYWdlXkEyXkFqcGdeQXVyMDI2NDg0NQ@@._V1_UX67_CR0,0,67,98_AL_.jpg" TargetMode="External"/><Relationship Id="rId947" Type="http://schemas.openxmlformats.org/officeDocument/2006/relationships/hyperlink" Target="https://m.media-amazon.com/images/M/MV5BNDhjMzc3ZTgtY2Y4MC00Y2U3LWFiMDctZGM3MmM4N2YzNDQ5XkEyXkFqcGdeQXVyMTQxNzMzNDI@._V1_UX67_CR0,0,67,98_AL_.jpg" TargetMode="External"/><Relationship Id="rId704" Type="http://schemas.openxmlformats.org/officeDocument/2006/relationships/hyperlink" Target="https://m.media-amazon.com/images/M/MV5BNGM0ZTU3NmItZmRmMy00YWNjLWEzMWItYzg3MzcwZmM5NjdiXkEyXkFqcGdeQXVyNDYyMDk5MTU@._V1_UY98_CR2,0,67,98_AL_.jpg" TargetMode="External"/><Relationship Id="rId946" Type="http://schemas.openxmlformats.org/officeDocument/2006/relationships/hyperlink" Target="https://m.media-amazon.com/images/M/MV5BYmUzODQ5MGItZTZlNy00MDBhLWIxMmItMjg4Y2QyNDFlMWQ2XkEyXkFqcGdeQXVyMTMxODk2OTU@._V1_UX67_CR0,0,67,98_AL_.jpg" TargetMode="External"/><Relationship Id="rId703" Type="http://schemas.openxmlformats.org/officeDocument/2006/relationships/hyperlink" Target="https://m.media-amazon.com/images/M/MV5BOTViZmMwOGEtYzc4Yy00ZGQ1LWFkZDQtMDljNGZlMjAxMjhiXkEyXkFqcGdeQXVyNzM0MTUwNTY@._V1_UX67_CR0,0,67,98_AL_.jpg" TargetMode="External"/><Relationship Id="rId945" Type="http://schemas.openxmlformats.org/officeDocument/2006/relationships/hyperlink" Target="https://m.media-amazon.com/images/M/MV5BMDc2MGYwYzAtNzE2Yi00YmU3LTkxMDUtODk2YjhiNDM5NDIyXkEyXkFqcGdeQXVyMTEwNDU1MzEy._V1_UX67_CR0,0,67,98_AL_.jpg" TargetMode="External"/><Relationship Id="rId702" Type="http://schemas.openxmlformats.org/officeDocument/2006/relationships/hyperlink" Target="https://m.media-amazon.com/images/M/MV5BZTVmMTk2NjUtNjVjNC00OTcwLWE4OWEtNzA4Mjk1ZmIwNDExXkEyXkFqcGdeQXVyNjUwNzk3NDc@._V1_UX67_CR0,0,67,98_AL_.jpg" TargetMode="External"/><Relationship Id="rId944" Type="http://schemas.openxmlformats.org/officeDocument/2006/relationships/hyperlink" Target="https://m.media-amazon.com/images/M/MV5BYTFkM2ViMmQtZmI5NS00MjQ2LWEyN2EtMTI1ZmNlZDU3MTZjXkEyXkFqcGdeQXVyNjU0OTQ0OTY@._V1_UX67_CR0,0,67,98_AL_.jpg" TargetMode="External"/><Relationship Id="rId73" Type="http://schemas.openxmlformats.org/officeDocument/2006/relationships/hyperlink" Target="https://m.media-amazon.com/images/M/MV5BMjA0ODEzMTc1Nl5BMl5BanBnXkFtZTcwODM2MjAxNA@@._V1_UX67_CR0,0,67,98_AL_.jpg" TargetMode="External"/><Relationship Id="rId72" Type="http://schemas.openxmlformats.org/officeDocument/2006/relationships/hyperlink" Target="https://m.media-amazon.com/images/M/MV5BMGFkNWI4MTMtNGQ0OC00MWVmLTk3MTktOGYxN2Y2YWVkZWE2XkEyXkFqcGdeQXVyNjU0OTQ0OTY@._V1_UX67_CR0,0,67,98_AL_.jpg" TargetMode="External"/><Relationship Id="rId75" Type="http://schemas.openxmlformats.org/officeDocument/2006/relationships/hyperlink" Target="https://m.media-amazon.com/images/M/MV5BMDdhODg0MjYtYzBiOS00ZmI5LWEwZGYtZDEyNDU4MmQyNzFkXkEyXkFqcGdeQXVyNzkwMjQ5NzM@._V1_UX67_CR0,0,67,98_AL_.jpg" TargetMode="External"/><Relationship Id="rId74" Type="http://schemas.openxmlformats.org/officeDocument/2006/relationships/hyperlink" Target="https://m.media-amazon.com/images/M/MV5BZWFlYmY2MGEtZjVkYS00YzU4LTg0YjQtYzY1ZGE3NTA5NGQxXkEyXkFqcGdeQXVyMTQxNzMzNDI@._V1_UX67_CR0,0,67,98_AL_.jpg" TargetMode="External"/><Relationship Id="rId77" Type="http://schemas.openxmlformats.org/officeDocument/2006/relationships/hyperlink" Target="https://m.media-amazon.com/images/M/MV5BYmYzNmM2MDctZGY3Yi00NjRiLWIxZjctYjgzYTcxYTNhYTMyXkEyXkFqcGdeQXVyMjUxMTY3ODM@._V1_UY98_CR1,0,67,98_AL_.jpg" TargetMode="External"/><Relationship Id="rId76" Type="http://schemas.openxmlformats.org/officeDocument/2006/relationships/hyperlink" Target="https://m.media-amazon.com/images/M/MV5BMmQ2MmU3NzktZjAxOC00ZDZhLTk4YzEtMDMyMzcxY2IwMDAyXkEyXkFqcGdeQXVyNzkwMjQ5NzM@._V1_UX67_CR0,0,67,98_AL_.jpg" TargetMode="External"/><Relationship Id="rId79" Type="http://schemas.openxmlformats.org/officeDocument/2006/relationships/hyperlink" Target="https://m.media-amazon.com/images/M/MV5BZWI3ZTMxNjctMjdlNS00NmUwLWFiM2YtZDUyY2I3N2MxYTE0XkEyXkFqcGdeQXVyNzkwMjQ5NzM@._V1_UX67_CR0,0,67,98_AL_.jpg" TargetMode="External"/><Relationship Id="rId78" Type="http://schemas.openxmlformats.org/officeDocument/2006/relationships/hyperlink" Target="https://m.media-amazon.com/images/M/MV5BOTI4NTNhZDMtMWNkZi00MTRmLWJmZDQtMmJkMGVmZTEzODlhXkEyXkFqcGdeQXVyNjc1NTYyMjg@._V1_UX67_CR0,0,67,98_AL_.jpg" TargetMode="External"/><Relationship Id="rId939" Type="http://schemas.openxmlformats.org/officeDocument/2006/relationships/hyperlink" Target="https://m.media-amazon.com/images/M/MV5BMjA4MjI2OTM5N15BMl5BanBnXkFtZTcwNDA1NjUzMw@@._V1_UX67_CR0,0,67,98_AL_.jpg" TargetMode="External"/><Relationship Id="rId938" Type="http://schemas.openxmlformats.org/officeDocument/2006/relationships/hyperlink" Target="https://m.media-amazon.com/images/M/MV5BMTUzNDgyMzg3Ml5BMl5BanBnXkFtZTcwMzIxNTAwMQ@@._V1_UX67_CR0,0,67,98_AL_.jpg" TargetMode="External"/><Relationship Id="rId937" Type="http://schemas.openxmlformats.org/officeDocument/2006/relationships/hyperlink" Target="https://m.media-amazon.com/images/M/MV5BZWI4ZTgwMzktNjk3Yy00OTlhLTg3YTAtMTA1MWVlMWJiOTRiXkEyXkFqcGdeQXVyMTAwMzUyOTc@._V1_UX67_CR0,0,67,98_AL_.jpg" TargetMode="External"/><Relationship Id="rId71" Type="http://schemas.openxmlformats.org/officeDocument/2006/relationships/hyperlink" Target="https://m.media-amazon.com/images/M/MV5BNGIzY2IzODQtNThmMi00ZDE4LWI5YzAtNzNlZTM1ZjYyYjUyXkEyXkFqcGdeQXVyODEzNjM5OTQ@._V1_UX67_CR0,0,67,98_AL_.jpg" TargetMode="External"/><Relationship Id="rId70" Type="http://schemas.openxmlformats.org/officeDocument/2006/relationships/hyperlink" Target="https://m.media-amazon.com/images/M/MV5BZTcyNjk1MjgtOWI3Mi00YzQwLWI5MTktMzY4ZmI2NDAyNzYzXkEyXkFqcGdeQXVyNjU0OTQ0OTY@._V1_UX67_CR0,0,67,98_AL_.jpg" TargetMode="External"/><Relationship Id="rId932" Type="http://schemas.openxmlformats.org/officeDocument/2006/relationships/hyperlink" Target="https://m.media-amazon.com/images/M/MV5BMTYzZWE3MDAtZjZkMi00MzhlLTlhZDUtNmI2Zjg3OWVlZWI0XkEyXkFqcGdeQXVyNDk3NzU2MTQ@._V1_UX67_CR0,0,67,98_AL_.jpg" TargetMode="External"/><Relationship Id="rId931" Type="http://schemas.openxmlformats.org/officeDocument/2006/relationships/hyperlink" Target="https://m.media-amazon.com/images/M/MV5BY2IzNGNiODgtOWYzOS00OTI0LTgxZTUtOTA5OTQ5YmI3NGUzXkEyXkFqcGdeQXVyNjU0OTQ0OTY@._V1_UX67_CR0,0,67,98_AL_.jpg" TargetMode="External"/><Relationship Id="rId930" Type="http://schemas.openxmlformats.org/officeDocument/2006/relationships/hyperlink" Target="https://m.media-amazon.com/images/M/MV5BMjRjOTMwMDEtNTY4NS00OWRjLWI4ZWItZDgwYmZhMzlkYzgxXkEyXkFqcGdeQXVyODIxOTg5MTc@._V1_UY98_CR1,0,67,98_AL_.jpg" TargetMode="External"/><Relationship Id="rId936" Type="http://schemas.openxmlformats.org/officeDocument/2006/relationships/hyperlink" Target="https://m.media-amazon.com/images/M/MV5BNjIwOGJhY2QtMTA5Yi00MDhlLWE5OTgtYmIzZDNlM2UwZjMyXkEyXkFqcGdeQXVyNTA4NzY1MzY@._V1_UX67_CR0,0,67,98_AL_.jpg" TargetMode="External"/><Relationship Id="rId935" Type="http://schemas.openxmlformats.org/officeDocument/2006/relationships/hyperlink" Target="https://m.media-amazon.com/images/M/MV5BMTgxMjQ4NzE5OF5BMl5BanBnXkFtZTcwNzkwOTkyMQ@@._V1_UX67_CR0,0,67,98_AL_.jpg" TargetMode="External"/><Relationship Id="rId934" Type="http://schemas.openxmlformats.org/officeDocument/2006/relationships/hyperlink" Target="https://m.media-amazon.com/images/M/MV5BMjA0MjIyOTI3MF5BMl5BanBnXkFtZTcwODM5NTY5MQ@@._V1_UX67_CR0,0,67,98_AL_.jpg" TargetMode="External"/><Relationship Id="rId933" Type="http://schemas.openxmlformats.org/officeDocument/2006/relationships/hyperlink" Target="https://m.media-amazon.com/images/M/MV5BMzQ2ZTBhNmEtZDBmYi00ODU0LTgzZmQtNmMxM2M4NzM1ZjE4XkEyXkFqcGdeQXVyNjE5MjUyOTM@._V1_UX67_CR0,0,67,98_AL_.jpg" TargetMode="External"/><Relationship Id="rId62" Type="http://schemas.openxmlformats.org/officeDocument/2006/relationships/hyperlink" Target="https://m.media-amazon.com/images/M/MV5BYjQ5NjM0Y2YtNjZkNC00ZDhkLWJjMWItN2QyNzFkMDE3ZjAxXkEyXkFqcGdeQXVyODIxMzk5NjA@._V1_UY98_CR1,0,67,98_AL_.jpg" TargetMode="External"/><Relationship Id="rId61" Type="http://schemas.openxmlformats.org/officeDocument/2006/relationships/hyperlink" Target="https://m.media-amazon.com/images/M/MV5BMjMxNjY2MDU1OV5BMl5BanBnXkFtZTgwNzY1MTUwNTM@._V1_UX67_CR0,0,67,98_AL_.jpg" TargetMode="External"/><Relationship Id="rId64" Type="http://schemas.openxmlformats.org/officeDocument/2006/relationships/hyperlink" Target="https://m.media-amazon.com/images/M/MV5BMTk4ODQzNDY3Ml5BMl5BanBnXkFtZTcwODA0NTM4Nw@@._V1_UX67_CR0,0,67,98_AL_.jpg" TargetMode="External"/><Relationship Id="rId63" Type="http://schemas.openxmlformats.org/officeDocument/2006/relationships/hyperlink" Target="https://m.media-amazon.com/images/M/MV5BMjIyNTQ5NjQ1OV5BMl5BanBnXkFtZTcwODg1MDU4OA@@._V1_UX67_CR0,0,67,98_AL_.jpg" TargetMode="External"/><Relationship Id="rId66" Type="http://schemas.openxmlformats.org/officeDocument/2006/relationships/hyperlink" Target="https://m.media-amazon.com/images/M/MV5BMDhjZWViN2MtNzgxOS00NmI4LThiZDQtZDI3MzM4MDE4NTc0XkEyXkFqcGdeQXVyMTMxODk2OTU@._V1_UY98_CR1,0,67,98_AL_.jpg" TargetMode="External"/><Relationship Id="rId65" Type="http://schemas.openxmlformats.org/officeDocument/2006/relationships/hyperlink" Target="https://m.media-amazon.com/images/M/MV5BNTkyOGVjMGEtNmQzZi00NzFlLTlhOWQtODYyMDc2ZGJmYzFhXkEyXkFqcGdeQXVyNjU0OTQ0OTY@._V1_UY98_CR0,0,67,98_AL_.jpg" TargetMode="External"/><Relationship Id="rId68" Type="http://schemas.openxmlformats.org/officeDocument/2006/relationships/hyperlink" Target="https://m.media-amazon.com/images/M/MV5BOThkM2EzYmMtNDE3NS00NjlhLTg4YzktYTdhNzgyOWY3ZDYzXkEyXkFqcGdeQXVyNzQzNzQxNzI@._V1_UY98_CR1,0,67,98_AL_.jpg" TargetMode="External"/><Relationship Id="rId67" Type="http://schemas.openxmlformats.org/officeDocument/2006/relationships/hyperlink" Target="https://m.media-amazon.com/images/M/MV5BMjExMTg5OTU0NF5BMl5BanBnXkFtZTcwMjMxMzMzMw@@._V1_UX67_CR0,0,67,98_AL_.jpg" TargetMode="External"/><Relationship Id="rId729" Type="http://schemas.openxmlformats.org/officeDocument/2006/relationships/hyperlink" Target="https://m.media-amazon.com/images/M/MV5BZTlmYTJmMWEtNDRhNy00ODc1LTg2OTMtMjk2ODJhNTA4YTE1XkEyXkFqcGdeQXVyMTMxODk2OTU@._V1_UY98_CR0,0,67,98_AL_.jpg" TargetMode="External"/><Relationship Id="rId728" Type="http://schemas.openxmlformats.org/officeDocument/2006/relationships/hyperlink" Target="https://m.media-amazon.com/images/M/MV5BMjAwNDA5NzEwM15BMl5BanBnXkFtZTgwMTA1MDUyNDE@._V1_UX67_CR0,0,67,98_AL_.jpg" TargetMode="External"/><Relationship Id="rId60" Type="http://schemas.openxmlformats.org/officeDocument/2006/relationships/hyperlink" Target="https://m.media-amazon.com/images/M/MV5BMTc5MDE2ODcwNV5BMl5BanBnXkFtZTgwMzI2NzQ2NzM@._V1_UX67_CR0,0,67,98_AL_.jpg" TargetMode="External"/><Relationship Id="rId723" Type="http://schemas.openxmlformats.org/officeDocument/2006/relationships/hyperlink" Target="https://m.media-amazon.com/images/M/MV5BNjk1Njk3YjctMmMyYS00Y2I4LThhMzktN2U0MTMyZTFlYWQ5XkEyXkFqcGdeQXVyODM2ODEzMDA@._V1_UY98_CR15,0,67,98_AL_.jpg" TargetMode="External"/><Relationship Id="rId965" Type="http://schemas.openxmlformats.org/officeDocument/2006/relationships/hyperlink" Target="https://m.media-amazon.com/images/M/MV5BYTJlZmQ1OTAtODQzZi00NGIzLWI1MmEtZGE4NjFlOWRhODIyXkEyXkFqcGdeQXVyNTc1NTQxODI@._V1_UY98_CR0,0,67,98_AL_.jpg" TargetMode="External"/><Relationship Id="rId722" Type="http://schemas.openxmlformats.org/officeDocument/2006/relationships/hyperlink" Target="https://m.media-amazon.com/images/M/MV5BNjRhYzk2NDAtYzA1Mi00MmNmLWE1ZjQtMDBhZmUyMTdjZjBiXkEyXkFqcGdeQXVyNjk1Njg5NTA@._V1_UX67_CR0,0,67,98_AL_.jpg" TargetMode="External"/><Relationship Id="rId964" Type="http://schemas.openxmlformats.org/officeDocument/2006/relationships/hyperlink" Target="https://m.media-amazon.com/images/M/MV5BZjI0ZWFiMmQtMjRlZi00ZmFhLWI4NmYtMjQ5YmY0MzIyMzRiXkEyXkFqcGdeQXVyMTQxNzMzNDI@._V1_UX67_CR0,0,67,98_AL_.jpg" TargetMode="External"/><Relationship Id="rId721" Type="http://schemas.openxmlformats.org/officeDocument/2006/relationships/hyperlink" Target="https://m.media-amazon.com/images/M/MV5BMTU0OTc3ODk4Ml5BMl5BanBnXkFtZTgwMzM4NzI5NjM@._V1_UX67_CR0,0,67,98_AL_.jpg" TargetMode="External"/><Relationship Id="rId963" Type="http://schemas.openxmlformats.org/officeDocument/2006/relationships/hyperlink" Target="https://m.media-amazon.com/images/M/MV5BNzk1MjU3MDQyMl5BMl5BanBnXkFtZTcwNjc1OTM2MQ@@._V1_UX67_CR0,0,67,98_AL_.jpg" TargetMode="External"/><Relationship Id="rId720" Type="http://schemas.openxmlformats.org/officeDocument/2006/relationships/hyperlink" Target="https://m.media-amazon.com/images/M/MV5BMTQ0Njc1MjM0OF5BMl5BanBnXkFtZTgwNTY2NTUyMjE@._V1_UX67_CR0,0,67,98_AL_.jpg" TargetMode="External"/><Relationship Id="rId962" Type="http://schemas.openxmlformats.org/officeDocument/2006/relationships/hyperlink" Target="https://m.media-amazon.com/images/M/MV5BYWUxOWY4NDctMDFmMS00ZTQwLWExMGEtODg0ZWNhOTE5NzZmXkEyXkFqcGdeQXVyMTQxNzMzNDI@._V1_UY98_CR0,0,67,98_AL_.jpg" TargetMode="External"/><Relationship Id="rId727" Type="http://schemas.openxmlformats.org/officeDocument/2006/relationships/hyperlink" Target="https://m.media-amazon.com/images/M/MV5BMjE0NDUyOTc2MV5BMl5BanBnXkFtZTgwODk2NzU3OTE@._V1_UX67_CR0,0,67,98_AL_.jpg" TargetMode="External"/><Relationship Id="rId969" Type="http://schemas.openxmlformats.org/officeDocument/2006/relationships/hyperlink" Target="https://m.media-amazon.com/images/M/MV5BYjcxMzM3OWMtNmM3Yy00YzBkLTkxMmQtMDk4MmM3Y2Y4MDliL2ltYWdlXkEyXkFqcGdeQXVyMTQxNzMzNDI@._V1_UX67_CR0,0,67,98_AL_.jpg" TargetMode="External"/><Relationship Id="rId726" Type="http://schemas.openxmlformats.org/officeDocument/2006/relationships/hyperlink" Target="https://m.media-amazon.com/images/M/MV5BNjRlZmM0ODktY2RjNS00ZDdjLWJhZGYtNDljNWZkMGM5MTg0XkEyXkFqcGdeQXVyNjAwMjI5MDk@._V1_UX67_CR0,0,67,98_AL_.jpg" TargetMode="External"/><Relationship Id="rId968" Type="http://schemas.openxmlformats.org/officeDocument/2006/relationships/hyperlink" Target="https://m.media-amazon.com/images/M/MV5BNTliYTI1YTctMTE0Mi00NDM0LThjZDgtYmY3NGNiODBjZjAwXkEyXkFqcGdeQXVyMTAwMzUyOTc@._V1_UX67_CR0,0,67,98_AL_.jpg" TargetMode="External"/><Relationship Id="rId725" Type="http://schemas.openxmlformats.org/officeDocument/2006/relationships/hyperlink" Target="https://m.media-amazon.com/images/M/MV5BMjUxMDQwNjcyNl5BMl5BanBnXkFtZTgwNzcwMzc0MTI@._V1_UX67_CR0,0,67,98_AL_.jpg" TargetMode="External"/><Relationship Id="rId967" Type="http://schemas.openxmlformats.org/officeDocument/2006/relationships/hyperlink" Target="https://m.media-amazon.com/images/M/MV5BNjEzYjJmNzgtNDkwNy00MTQ4LTlmMWMtNzA4YjE2NjI0ZDg4XkEyXkFqcGdeQXVyNjU0OTQ0OTY@._V1_UX67_CR0,0,67,98_AL_.jpg" TargetMode="External"/><Relationship Id="rId724" Type="http://schemas.openxmlformats.org/officeDocument/2006/relationships/hyperlink" Target="https://m.media-amazon.com/images/M/MV5BMTUyMjU1OTUwM15BMl5BanBnXkFtZTgwMDg1NDQ2MjI@._V1_UX67_CR0,0,67,98_AL_.jpg" TargetMode="External"/><Relationship Id="rId966" Type="http://schemas.openxmlformats.org/officeDocument/2006/relationships/hyperlink" Target="https://m.media-amazon.com/images/M/MV5BNmRiZDZkN2EtNWI5ZS00ZDg3LTgyNDItMWI5NjVlNmE5ODJiXkEyXkFqcGdeQXVyMjQwMjk0NjI@._V1_UX67_CR0,0,67,98_AL_.jpg" TargetMode="External"/><Relationship Id="rId69" Type="http://schemas.openxmlformats.org/officeDocument/2006/relationships/hyperlink" Target="https://m.media-amazon.com/images/M/MV5BMTI3NTQyMzU5M15BMl5BanBnXkFtZTcwMTM2MjgyMQ@@._V1_UX67_CR0,0,67,98_AL_.jpg" TargetMode="External"/><Relationship Id="rId961" Type="http://schemas.openxmlformats.org/officeDocument/2006/relationships/hyperlink" Target="https://m.media-amazon.com/images/M/MV5BMzk1MmI4NzAtOGRiNS00YjY1LTllNmEtZDhiZDM4MjU2NTMxXkEyXkFqcGdeQXVyNjc3MjQzNTI@._V1_UY98_CR1,0,67,98_AL_.jpg" TargetMode="External"/><Relationship Id="rId960" Type="http://schemas.openxmlformats.org/officeDocument/2006/relationships/hyperlink" Target="https://m.media-amazon.com/images/M/MV5BMGExOGExM2UtNWM5ZS00OWEzLTllNzYtM2NlMTJlYjBlZTJkXkEyXkFqcGdeQXVyMTQxNzMzNDI@._V1_UX67_CR0,0,67,98_AL_.jpg" TargetMode="External"/><Relationship Id="rId51" Type="http://schemas.openxmlformats.org/officeDocument/2006/relationships/hyperlink" Target="https://m.media-amazon.com/images/M/MV5BY2IzZGY2YmEtYzljNS00NTM5LTgwMzUtMzM1NjQ4NGI0OTk0XkEyXkFqcGdeQXVyNDYyMDk5MTU@._V1_UX67_CR0,0,67,98_AL_.jpg" TargetMode="External"/><Relationship Id="rId50" Type="http://schemas.openxmlformats.org/officeDocument/2006/relationships/hyperlink" Target="https://m.media-amazon.com/images/M/MV5BNTQwNDM1YzItNDAxZC00NWY2LTk0M2UtNDIwNWI5OGUyNWUxXkEyXkFqcGdeQXVyNzkwMjQ5NzM@._V1_UX67_CR0,0,67,98_AL_.jpg" TargetMode="External"/><Relationship Id="rId53" Type="http://schemas.openxmlformats.org/officeDocument/2006/relationships/hyperlink" Target="https://m.media-amazon.com/images/M/MV5BY2I4MmM1N2EtM2YzOS00OWUzLTkzYzctNDc5NDg2N2IyODJmXkEyXkFqcGdeQXVyNzkwMjQ5NzM@._V1_UX67_CR0,0,67,98_AL_.jpg" TargetMode="External"/><Relationship Id="rId52" Type="http://schemas.openxmlformats.org/officeDocument/2006/relationships/hyperlink" Target="https://m.media-amazon.com/images/M/MV5BYjJiZjMzYzktNjU0NS00OTkxLWEwYzItYzdhYWJjN2QzMTRlL2ltYWdlL2ltYWdlXkEyXkFqcGdeQXVyNjU0OTQ0OTY@._V1_UX67_CR0,0,67,98_AL_.jpg" TargetMode="External"/><Relationship Id="rId55" Type="http://schemas.openxmlformats.org/officeDocument/2006/relationships/hyperlink" Target="https://m.media-amazon.com/images/M/MV5BNWJhMDlmZGUtYzcxNS00NDRiLWIwNjktNDY1Mjg3ZjBkYzY0XkEyXkFqcGdeQXVyMTU4MjUwMjI@._V1_UY98_CR2,0,67,98_AL_.jpg" TargetMode="External"/><Relationship Id="rId54" Type="http://schemas.openxmlformats.org/officeDocument/2006/relationships/hyperlink" Target="https://m.media-amazon.com/images/M/MV5BMmExNzU2ZWMtYzUwYi00YmM2LTkxZTQtNmVhNjY0NTMyMWI2XkEyXkFqcGdeQXVyMTMxODk2OTU@._V1_UX67_CR0,0,67,98_AL_.jpg" TargetMode="External"/><Relationship Id="rId57" Type="http://schemas.openxmlformats.org/officeDocument/2006/relationships/hyperlink" Target="https://m.media-amazon.com/images/M/MV5BODRmZDVmNzUtZDA4ZC00NjhkLWI2M2UtN2M0ZDIzNDcxYThjL2ltYWdlXkEyXkFqcGdeQXVyNTk0MzMzODA@._V1_UX67_CR0,0,67,98_AL_.jpg" TargetMode="External"/><Relationship Id="rId56" Type="http://schemas.openxmlformats.org/officeDocument/2006/relationships/hyperlink" Target="https://m.media-amazon.com/images/M/MV5BY2FiMTFmMzMtZDI2ZC00NDQyLWExYTUtOWNmZWM1ZDg5YjVjXkEyXkFqcGdeQXVyODIwMDI1NjM@._V1_UX67_CR0,0,67,98_AL_.jpg" TargetMode="External"/><Relationship Id="rId719" Type="http://schemas.openxmlformats.org/officeDocument/2006/relationships/hyperlink" Target="https://m.media-amazon.com/images/M/MV5BYmMxZTU2ZDUtM2Y1MS00ZWFmLWJlN2UtNzI0OTJiOTYzMTk3XkEyXkFqcGdeQXVyMjUxODE0MDY@._V1_UX67_CR0,0,67,98_AL_.jpg" TargetMode="External"/><Relationship Id="rId718" Type="http://schemas.openxmlformats.org/officeDocument/2006/relationships/hyperlink" Target="https://m.media-amazon.com/images/M/MV5BYmYxZGU2NWYtNzQxZS00NmEyLWIzN2YtMDk5MWM0ODc5ZTE4XkEyXkFqcGdeQXVyNTA4NzY1MzY@._V1_UX67_CR0,0,67,98_AL_.jpg" TargetMode="External"/><Relationship Id="rId717" Type="http://schemas.openxmlformats.org/officeDocument/2006/relationships/hyperlink" Target="https://m.media-amazon.com/images/M/MV5BOTUzMzAzMzEzNV5BMl5BanBnXkFtZTgwOTg1NTAwMjE@._V1_UX67_CR0,0,67,98_AL_.jpg" TargetMode="External"/><Relationship Id="rId959" Type="http://schemas.openxmlformats.org/officeDocument/2006/relationships/hyperlink" Target="https://m.media-amazon.com/images/M/MV5BMTkyNTAzZDYtNWUzYi00ODVjLTliZjYtNjc2YzJmODZhNTg3XkEyXkFqcGdeQXVyNjUxMDQ0MTg@._V1_UY98_CR6,0,67,98_AL_.jpg" TargetMode="External"/><Relationship Id="rId712" Type="http://schemas.openxmlformats.org/officeDocument/2006/relationships/hyperlink" Target="https://m.media-amazon.com/images/M/MV5BZGU2YmU0MWMtMzg5My00ZmY2LTljMDItMTg2YTI5Y2U2OTE3XkEyXkFqcGdeQXVyMjUxODE0MDY@._V1_UY98_CR0,0,67,98_AL_.jpg" TargetMode="External"/><Relationship Id="rId954" Type="http://schemas.openxmlformats.org/officeDocument/2006/relationships/hyperlink" Target="https://m.media-amazon.com/images/M/MV5BZTM2ZGJmNjQtN2UyOS00NjcxLWFjMDktMDE2NzMyNTZlZTBiXkEyXkFqcGdeQXVyNzkwMjQ5NzM@._V1_UX67_CR0,0,67,98_AL_.jpg" TargetMode="External"/><Relationship Id="rId711" Type="http://schemas.openxmlformats.org/officeDocument/2006/relationships/hyperlink" Target="https://m.media-amazon.com/images/M/MV5BODI3YzNiZTUtYjEyZS00ODkwLWE2ZDUtNGJmMTNiYTc4ZTM4XkEyXkFqcGdeQXVyMDI2NDg0NQ@@._V1_UX67_CR0,0,67,98_AL_.jpg" TargetMode="External"/><Relationship Id="rId953" Type="http://schemas.openxmlformats.org/officeDocument/2006/relationships/hyperlink" Target="https://m.media-amazon.com/images/M/MV5BMTA3OTYxMzg0MDFeQTJeQWpwZ15BbWU4MDY1MjY0MTEx._V1_UX67_CR0,0,67,98_AL_.jpg" TargetMode="External"/><Relationship Id="rId710" Type="http://schemas.openxmlformats.org/officeDocument/2006/relationships/hyperlink" Target="https://m.media-amazon.com/images/M/MV5BNzNiOGJhMDUtZjNjMC00YmE5LTk3NjQtNGM4ZjAzOGJjZmRlXkEyXkFqcGdeQXVyNjc1NTYyMjg@._V1_UX67_CR0,0,67,98_AL_.jpg" TargetMode="External"/><Relationship Id="rId952" Type="http://schemas.openxmlformats.org/officeDocument/2006/relationships/hyperlink" Target="https://m.media-amazon.com/images/M/MV5BZTI3YzZjZjEtMDdjOC00OWVjLTk0YmYtYzI2MGMwZjFiMzBlXkEyXkFqcGdeQXVyMTQxNzMzNDI@._V1_UX67_CR0,0,67,98_AL_.jpg" TargetMode="External"/><Relationship Id="rId951" Type="http://schemas.openxmlformats.org/officeDocument/2006/relationships/hyperlink" Target="https://m.media-amazon.com/images/M/MV5BYWFlY2E3ODQtZWNiNi00ZGU4LTkzNWEtZTQ2ZTViMWRhYjIzL2ltYWdlXkEyXkFqcGdeQXVyNTAyODkwOQ@@._V1_UX67_CR0,0,67,98_AL_.jpg" TargetMode="External"/><Relationship Id="rId716" Type="http://schemas.openxmlformats.org/officeDocument/2006/relationships/hyperlink" Target="https://m.media-amazon.com/images/M/MV5BMmVkOTRiYmItZjE4NS00MWNjLWE0ZmMtYzg5YzFjMjMyY2RkXkEyXkFqcGdeQXVyNjc1NTYyMjg@._V1_UX67_CR0,0,67,98_AL_.jpg" TargetMode="External"/><Relationship Id="rId958" Type="http://schemas.openxmlformats.org/officeDocument/2006/relationships/hyperlink" Target="https://m.media-amazon.com/images/M/MV5BNjA2ZDY3ZjYtZmNiMC00MDU5LTgxMWEtNzk1YmI3NzdkMTU0XkEyXkFqcGdeQXVyNjQyMjcwNDM@._V1_UX67_CR0,0,67,98_AL_.jpg" TargetMode="External"/><Relationship Id="rId715" Type="http://schemas.openxmlformats.org/officeDocument/2006/relationships/hyperlink" Target="https://m.media-amazon.com/images/M/MV5BNjk3YzFjYTktOGY0ZS00Y2EwLTk2NTctYTI1Nzc2OWNiN2I4XkEyXkFqcGdeQXVyNzM0MTUwNTY@._V1_UX67_CR0,0,67,98_AL_.jpg" TargetMode="External"/><Relationship Id="rId957" Type="http://schemas.openxmlformats.org/officeDocument/2006/relationships/hyperlink" Target="https://m.media-amazon.com/images/M/MV5BODkxNGQ1NWYtNzg0Ny00Yjg3LThmZTItMjE2YjhmZTQ0ODY5XkEyXkFqcGdeQXVyMTQxNzMzNDI@._V1_UX67_CR0,0,67,98_AL_.jpg" TargetMode="External"/><Relationship Id="rId714" Type="http://schemas.openxmlformats.org/officeDocument/2006/relationships/hyperlink" Target="https://m.media-amazon.com/images/M/MV5BOGQ4NDUyNWQtZTEyOC00OTMzLWFhYjAtNDNmYmQ2MWQyMTRmXkEyXkFqcGdeQXVyNTA4NzY1MzY@._V1_UX67_CR0,0,67,98_AL_.jpg" TargetMode="External"/><Relationship Id="rId956" Type="http://schemas.openxmlformats.org/officeDocument/2006/relationships/hyperlink" Target="https://m.media-amazon.com/images/M/MV5BYjEzMTM2NjAtNWFmZC00MTVlLTgyMmQtMGQyNTFjZDk5N2NmXkEyXkFqcGdeQXVyNzQ1ODk3MTQ@._V1_UX67_CR0,0,67,98_AL_.jpg" TargetMode="External"/><Relationship Id="rId713" Type="http://schemas.openxmlformats.org/officeDocument/2006/relationships/hyperlink" Target="https://m.media-amazon.com/images/M/MV5BM2I1YWM4NTYtYjA0Ny00ZDEwLTg3NTgtNzBjMzZhZTk1YTA1XkEyXkFqcGdeQXVyMTY5Nzc4MDY@._V1_UX67_CR0,0,67,98_AL_.jpg" TargetMode="External"/><Relationship Id="rId955" Type="http://schemas.openxmlformats.org/officeDocument/2006/relationships/hyperlink" Target="https://m.media-amazon.com/images/M/MV5BMmU5ZjFmYjQtYmNjZC00Yjk4LWI1ZTQtZDJiMjM0YjQyNDU0L2ltYWdlL2ltYWdlXkEyXkFqcGdeQXVyMTQxNzMzNDI@._V1_UX67_CR0,0,67,98_AL_.jpg" TargetMode="External"/><Relationship Id="rId59" Type="http://schemas.openxmlformats.org/officeDocument/2006/relationships/hyperlink" Target="https://m.media-amazon.com/images/M/MV5BMjMwNDkxMTgzOF5BMl5BanBnXkFtZTgwNTkwNTQ3NjM@._V1_UX67_CR0,0,67,98_AL_.jpg" TargetMode="External"/><Relationship Id="rId58" Type="http://schemas.openxmlformats.org/officeDocument/2006/relationships/hyperlink" Target="https://m.media-amazon.com/images/M/MV5BMTQ4MzQzMzM2Nl5BMl5BanBnXkFtZTgwMTQ1NzU3MDI@._V1_UY98_CR1,0,67,98_AL_.jpg" TargetMode="External"/><Relationship Id="rId950" Type="http://schemas.openxmlformats.org/officeDocument/2006/relationships/hyperlink" Target="https://m.media-amazon.com/images/M/MV5BYjg5ZDkzZWEtZDQ2ZC00Y2ViLThhMzYtMmIxZDYzYTY2Y2Y2XkEyXkFqcGdeQXVyODAwMTU1MTE@._V1_UY98_CR1,0,67,98_AL_.jpg" TargetMode="External"/><Relationship Id="rId590" Type="http://schemas.openxmlformats.org/officeDocument/2006/relationships/hyperlink" Target="https://m.media-amazon.com/images/M/MV5BNjg5NmI3NmUtZDQ2Mi00ZTI0LWE0YzAtOGRhOWJmNDJkOWNkXkEyXkFqcGdeQXVyMzIzNDU1NTY@._V1_UY98_CR0,0,67,98_AL_.jpg" TargetMode="External"/><Relationship Id="rId107" Type="http://schemas.openxmlformats.org/officeDocument/2006/relationships/hyperlink" Target="https://m.media-amazon.com/images/M/MV5BZGU2OGY5ZTYtMWNhYy00NjZiLWI0NjUtZmNhY2JhNDRmODU3XkEyXkFqcGdeQXVyNzkwMjQ5NzM@._V1_UX67_CR0,0,67,98_AL_.jpg" TargetMode="External"/><Relationship Id="rId349" Type="http://schemas.openxmlformats.org/officeDocument/2006/relationships/hyperlink" Target="https://m.media-amazon.com/images/M/MV5BYzE5MjY1ZDgtMTkyNC00MTMyLThhMjAtZGI5OTE1NzFlZGJjXkEyXkFqcGdeQXVyNjU0OTQ0OTY@._V1_UX67_CR0,0,67,98_AL_.jpg" TargetMode="External"/><Relationship Id="rId106" Type="http://schemas.openxmlformats.org/officeDocument/2006/relationships/hyperlink" Target="https://m.media-amazon.com/images/M/MV5BODM4Njg0NTAtYjI5Ny00ZjAxLTkwNmItZTMxMWU5M2U3M2RjXkEyXkFqcGdeQXVyNzkwMjQ5NzM@._V1_UX67_CR0,0,67,98_AL_.jpg" TargetMode="External"/><Relationship Id="rId348" Type="http://schemas.openxmlformats.org/officeDocument/2006/relationships/hyperlink" Target="https://m.media-amazon.com/images/M/MV5BMTM5OTMyMjIxOV5BMl5BanBnXkFtZTcwNzU4MjIwNQ@@._V1_UX67_CR0,0,67,98_AL_.jpg" TargetMode="External"/><Relationship Id="rId105" Type="http://schemas.openxmlformats.org/officeDocument/2006/relationships/hyperlink" Target="https://m.media-amazon.com/images/M/MV5BNzkxODk0NjEtYjc4Mi00ZDI0LTgyYjEtYzc1NDkxY2YzYTgyXkEyXkFqcGdeQXVyNzkwMjQ5NzM@._V1_UX67_CR0,0,67,98_AL_.jpg" TargetMode="External"/><Relationship Id="rId347" Type="http://schemas.openxmlformats.org/officeDocument/2006/relationships/hyperlink" Target="https://m.media-amazon.com/images/M/MV5BMzU5MjEwMTg2Nl5BMl5BanBnXkFtZTcwNzM3MTYxNA@@._V1_UY98_CR0,0,67,98_AL_.jpg" TargetMode="External"/><Relationship Id="rId589" Type="http://schemas.openxmlformats.org/officeDocument/2006/relationships/hyperlink" Target="https://m.media-amazon.com/images/M/MV5BMTcxNTgzNDg1N15BMl5BanBnXkFtZTgwNjg4MzI1MDE@._V1_UX67_CR0,0,67,98_AL_.jpg" TargetMode="External"/><Relationship Id="rId104" Type="http://schemas.openxmlformats.org/officeDocument/2006/relationships/hyperlink" Target="https://m.media-amazon.com/images/M/MV5BZmExNmEwYWItYmQzOS00YjA5LTk2MjktZjEyZDE1Y2QxNjA1XkEyXkFqcGdeQXVyMTQxNzMzNDI@._V1_UX67_CR0,0,67,98_AL_.jpg" TargetMode="External"/><Relationship Id="rId346" Type="http://schemas.openxmlformats.org/officeDocument/2006/relationships/hyperlink" Target="https://m.media-amazon.com/images/M/MV5BMjEzMzMxOTUyNV5BMl5BanBnXkFtZTcwNjI3MDc5Ng@@._V1_UX67_CR0,0,67,98_AL_.jpg" TargetMode="External"/><Relationship Id="rId588" Type="http://schemas.openxmlformats.org/officeDocument/2006/relationships/hyperlink" Target="https://m.media-amazon.com/images/M/MV5BMTU2OTcyOTE3MF5BMl5BanBnXkFtZTgwNTg5Mjc1MjE@._V1_UX67_CR0,0,67,98_AL_.jpg" TargetMode="External"/><Relationship Id="rId109" Type="http://schemas.openxmlformats.org/officeDocument/2006/relationships/hyperlink" Target="https://m.media-amazon.com/images/M/MV5BNjdjNGQ4NDEtNTEwYS00MTgxLTliYzQtYzE2ZDRiZjFhZmNlXkEyXkFqcGdeQXVyNjU0OTQ0OTY@._V1_UX67_CR0,0,67,98_AL_.jpg" TargetMode="External"/><Relationship Id="rId108" Type="http://schemas.openxmlformats.org/officeDocument/2006/relationships/hyperlink" Target="https://m.media-amazon.com/images/M/MV5BNWJlNzUzNGMtYTAwMS00ZjI2LWFmNWQtODcxNWUxODA5YmU1XkEyXkFqcGdeQXVyNTIzOTk5ODM@._V1_UX67_CR0,0,67,98_AL_.jpg" TargetMode="External"/><Relationship Id="rId341" Type="http://schemas.openxmlformats.org/officeDocument/2006/relationships/hyperlink" Target="https://m.media-amazon.com/images/M/MV5BNzA1Njg4NzYxOV5BMl5BanBnXkFtZTgwODk5NjU3MzI@._V1_UX67_CR0,0,67,98_AL_.jpg" TargetMode="External"/><Relationship Id="rId583" Type="http://schemas.openxmlformats.org/officeDocument/2006/relationships/hyperlink" Target="https://m.media-amazon.com/images/M/MV5BMjEwMzMxODIzOV5BMl5BanBnXkFtZTgwNzg3OTAzMDI@._V1_UX67_CR0,0,67,98_AL_.jpg" TargetMode="External"/><Relationship Id="rId340" Type="http://schemas.openxmlformats.org/officeDocument/2006/relationships/hyperlink" Target="https://m.media-amazon.com/images/M/MV5BMTAwMjU5OTgxNjZeQTJeQWpwZ15BbWU4MDUxNDYxODEx._V1_UX67_CR0,0,67,98_AL_.jpg" TargetMode="External"/><Relationship Id="rId582" Type="http://schemas.openxmlformats.org/officeDocument/2006/relationships/hyperlink" Target="https://m.media-amazon.com/images/M/MV5BMjA0MzQzNjM1Ml5BMl5BanBnXkFtZTgwNjM5MjU5NjE@._V1_UX67_CR0,0,67,98_AL_.jpg" TargetMode="External"/><Relationship Id="rId581" Type="http://schemas.openxmlformats.org/officeDocument/2006/relationships/hyperlink" Target="https://m.media-amazon.com/images/M/MV5BMTYxMjk0NDg4Ml5BMl5BanBnXkFtZTgwODcyNjA5OTE@._V1_UX67_CR0,0,67,98_AL_.jpg" TargetMode="External"/><Relationship Id="rId580" Type="http://schemas.openxmlformats.org/officeDocument/2006/relationships/hyperlink" Target="https://m.media-amazon.com/images/M/MV5BZjAzZjZiMmQtMDZmOC00NjVmLTkyNTItOGI2Mzg4NTBhZTA1XkEyXkFqcGdeQXVyODE5NzE3OTE@._V1_UY98_CR0,0,67,98_AL_.jpg" TargetMode="External"/><Relationship Id="rId103" Type="http://schemas.openxmlformats.org/officeDocument/2006/relationships/hyperlink" Target="https://m.media-amazon.com/images/M/MV5BMzkzMmU0YTYtOWM3My00YzBmLWI0YzctOGYyNTkwMWE5MTJkXkEyXkFqcGdeQXVyNzkwMjQ5NzM@._V1_UX67_CR0,0,67,98_AL_.jpg" TargetMode="External"/><Relationship Id="rId345" Type="http://schemas.openxmlformats.org/officeDocument/2006/relationships/hyperlink" Target="https://m.media-amazon.com/images/M/MV5BZThjMmQ5YjktMTUyMC00MjljLWJmMTAtOWIzNDIzY2VhNzQ0XkEyXkFqcGdeQXVyMTAyNjg4NjE0._V1_UX67_CR0,0,67,98_AL_.jpg" TargetMode="External"/><Relationship Id="rId587" Type="http://schemas.openxmlformats.org/officeDocument/2006/relationships/hyperlink" Target="https://m.media-amazon.com/images/M/MV5BMTU3NjE2NjgwN15BMl5BanBnXkFtZTgwNDYzMzEwMzI@._V1_UX67_CR0,0,67,98_AL_.jpg" TargetMode="External"/><Relationship Id="rId102" Type="http://schemas.openxmlformats.org/officeDocument/2006/relationships/hyperlink" Target="https://m.media-amazon.com/images/M/MV5BMDU2ZWJlMjktMTRhMy00ZTA5LWEzNDgtYmNmZTEwZTViZWJkXkEyXkFqcGdeQXVyNDQ2OTk4MzI@._V1_UX67_CR0,0,67,98_AL_.jpg" TargetMode="External"/><Relationship Id="rId344" Type="http://schemas.openxmlformats.org/officeDocument/2006/relationships/hyperlink" Target="https://m.media-amazon.com/images/M/MV5BMDE5OWMzM2QtOTU2ZS00NzAyLWI2MDEtOTRlYjIxZGM0OWRjXkEyXkFqcGdeQXVyODE5NzE3OTE@._V1_UX67_CR0,0,67,98_AL_.jpg" TargetMode="External"/><Relationship Id="rId586" Type="http://schemas.openxmlformats.org/officeDocument/2006/relationships/hyperlink" Target="https://m.media-amazon.com/images/M/MV5BY2QzYTQyYzItMzAwYi00YjZlLThjNTUtNzMyMDdkYzJiNWM4XkEyXkFqcGdeQXVyMTkxNjUyNQ@@._V1_UX67_CR0,0,67,98_AL_.jpg" TargetMode="External"/><Relationship Id="rId101" Type="http://schemas.openxmlformats.org/officeDocument/2006/relationships/hyperlink" Target="https://m.media-amazon.com/images/M/MV5BZTYwZWQ4ZTQtZWU0MS00N2YwLWEzMDItZWFkZWY0MWVjODVhXkEyXkFqcGdeQXVyNjU0OTQ0OTY@._V1_UX67_CR0,0,67,98_AL_.jpg" TargetMode="External"/><Relationship Id="rId343" Type="http://schemas.openxmlformats.org/officeDocument/2006/relationships/hyperlink" Target="https://m.media-amazon.com/images/M/MV5BMTA2NDc3Njg5NDVeQTJeQWpwZ15BbWU4MDc1NDcxNTUz._V1_UX67_CR0,0,67,98_AL_.jpg" TargetMode="External"/><Relationship Id="rId585" Type="http://schemas.openxmlformats.org/officeDocument/2006/relationships/hyperlink" Target="https://m.media-amazon.com/images/M/MV5BMjA1MTc1NTg5NV5BMl5BanBnXkFtZTgwOTM2MDEzNzE@._V1_UX67_CR0,0,67,98_AL_.jpg" TargetMode="External"/><Relationship Id="rId100" Type="http://schemas.openxmlformats.org/officeDocument/2006/relationships/hyperlink" Target="https://m.media-amazon.com/images/M/MV5BOTI0MzcxMTYtZDVkMy00NjY1LTgyMTYtZmUxN2M3NmQ2NWJhXkEyXkFqcGdeQXVyMTQxNzMzNDI@._V1_UX67_CR0,0,67,98_AL_.jpg" TargetMode="External"/><Relationship Id="rId342" Type="http://schemas.openxmlformats.org/officeDocument/2006/relationships/hyperlink" Target="https://m.media-amazon.com/images/M/MV5BMjA1Nzk0OTM2OF5BMl5BanBnXkFtZTgwNjU2NjEwMDE@._V1_UX67_CR0,0,67,98_AL_.jpg" TargetMode="External"/><Relationship Id="rId584" Type="http://schemas.openxmlformats.org/officeDocument/2006/relationships/hyperlink" Target="https://m.media-amazon.com/images/M/MV5BMjQ0MTgyNjAxMV5BMl5BanBnXkFtZTgwNjUzMDkyODE@._V1_UX67_CR0,0,67,98_AL_.jpg" TargetMode="External"/><Relationship Id="rId338" Type="http://schemas.openxmlformats.org/officeDocument/2006/relationships/hyperlink" Target="https://m.media-amazon.com/images/M/MV5BMTg5MTE2NjA4OV5BMl5BanBnXkFtZTgwMTUyMjczMTE@._V1_UX67_CR0,0,67,98_AL_.jpg" TargetMode="External"/><Relationship Id="rId337" Type="http://schemas.openxmlformats.org/officeDocument/2006/relationships/hyperlink" Target="https://m.media-amazon.com/images/M/MV5BMTEwNjE2OTM4NDZeQTJeQWpwZ15BbWU3MDE2MTE4OTk@._V1_UX67_CR0,0,67,98_AL_.jpg" TargetMode="External"/><Relationship Id="rId579" Type="http://schemas.openxmlformats.org/officeDocument/2006/relationships/hyperlink" Target="https://m.media-amazon.com/images/M/MV5BMjA2Mzg2NDMzNl5BMl5BanBnXkFtZTgwMjcwODUzOTE@._V1_UX67_CR0,0,67,98_AL_.jpg" TargetMode="External"/><Relationship Id="rId336" Type="http://schemas.openxmlformats.org/officeDocument/2006/relationships/hyperlink" Target="https://m.media-amazon.com/images/M/MV5BMTQ1NDI5MjMzNF5BMl5BanBnXkFtZTcwMTc0MDQwOQ@@._V1_UY98_CR0,0,67,98_AL_.jpg" TargetMode="External"/><Relationship Id="rId578" Type="http://schemas.openxmlformats.org/officeDocument/2006/relationships/hyperlink" Target="https://m.media-amazon.com/images/M/MV5BY2YxNjQxYWYtYzNkMi00YTgyLWIwZTMtYzgyYjZlZmYzZTA0XkEyXkFqcGdeQXVyMTA4NjE0NjEy._V1_UX67_CR0,0,67,98_AL_.jpg" TargetMode="External"/><Relationship Id="rId335" Type="http://schemas.openxmlformats.org/officeDocument/2006/relationships/hyperlink" Target="https://m.media-amazon.com/images/M/MV5BZDkzMTQ1YTMtMWY4Ny00MzExLTkzYzEtNzZhOTczNzU2NTU1XkEyXkFqcGdeQXVyODY3NjMyMDU@._V1_UY98_CR4,0,67,98_AL_.jpg" TargetMode="External"/><Relationship Id="rId577" Type="http://schemas.openxmlformats.org/officeDocument/2006/relationships/hyperlink" Target="https://m.media-amazon.com/images/M/MV5BMmYwNWZlNzEtNjE4Zi00NzQ4LWI2YmUtOWZhNzZhZDYyNmVmXkEyXkFqcGdeQXVyNzYzODM3Mzg@._V1_UX67_CR0,0,67,98_AL_.jpg" TargetMode="External"/><Relationship Id="rId339" Type="http://schemas.openxmlformats.org/officeDocument/2006/relationships/hyperlink" Target="https://m.media-amazon.com/images/M/MV5BOTgwMzFiMWYtZDhlNS00ODNkLWJiODAtZDVhNzgyNzJhYjQ4L2ltYWdlXkEyXkFqcGdeQXVyNzEzOTYxNTQ@._V1_UX67_CR0,0,67,98_AL_.jpg" TargetMode="External"/><Relationship Id="rId330" Type="http://schemas.openxmlformats.org/officeDocument/2006/relationships/hyperlink" Target="https://m.media-amazon.com/images/M/MV5BMTc2MTQ3MDA1Nl5BMl5BanBnXkFtZTgwODA3OTI4NjE@._V1_UX67_CR0,0,67,98_AL_.jpg" TargetMode="External"/><Relationship Id="rId572" Type="http://schemas.openxmlformats.org/officeDocument/2006/relationships/hyperlink" Target="https://m.media-amazon.com/images/M/MV5BNjcyYjg0M2ItMzMyZS00NmM1LTlhZDMtN2MxN2RhNWY4YTkwXkEyXkFqcGdeQXVyNjY1MTg4Mzc@._V1_UX67_CR0,0,67,98_AL_.jpg" TargetMode="External"/><Relationship Id="rId571" Type="http://schemas.openxmlformats.org/officeDocument/2006/relationships/hyperlink" Target="https://m.media-amazon.com/images/M/MV5BZmVhN2JlYjEtZWFkOS00YzE0LThiNDMtMGI3NDA1MTk2ZDQ2XkEyXkFqcGdeQXVyODE5NzE3OTE@._V1_UY98_CR0,0,67,98_AL_.jpg" TargetMode="External"/><Relationship Id="rId570" Type="http://schemas.openxmlformats.org/officeDocument/2006/relationships/hyperlink" Target="https://m.media-amazon.com/images/M/MV5BMTlkMmVmYjktYTc2NC00ZGZjLWEyOWUtMjc2MDMwMjQwOTA5XkEyXkFqcGdeQXVyNTI4MzE4MDU@._V1_UX67_CR0,0,67,98_AL_.jpg" TargetMode="External"/><Relationship Id="rId334" Type="http://schemas.openxmlformats.org/officeDocument/2006/relationships/hyperlink" Target="https://m.media-amazon.com/images/M/MV5BYjFhOWY0OTgtNDkzMC00YWJkLTk1NGEtYWUxNjhmMmQ5ZjYyXkEyXkFqcGdeQXVyMjMxOTE0ODA@._V1_UX67_CR0,0,67,98_AL_.jpg" TargetMode="External"/><Relationship Id="rId576" Type="http://schemas.openxmlformats.org/officeDocument/2006/relationships/hyperlink" Target="https://m.media-amazon.com/images/M/MV5BMzg2Mzg4YmUtNDdkNy00NWY1LWE3NmEtZWMwNGNlMzE5YzU3XkEyXkFqcGdeQXVyMjA5MTIzMjQ@._V1_UX67_CR0,0,67,98_AL_.jpg" TargetMode="External"/><Relationship Id="rId333" Type="http://schemas.openxmlformats.org/officeDocument/2006/relationships/hyperlink" Target="https://m.media-amazon.com/images/M/MV5BNThmMWMyMWMtOWRiNy00MGY0LTg1OTUtNjYzODg2MjdlZGU5XkEyXkFqcGdeQXVyMTMxODk2OTU@._V1_UY98_CR1,0,67,98_AL_.jpg" TargetMode="External"/><Relationship Id="rId575" Type="http://schemas.openxmlformats.org/officeDocument/2006/relationships/hyperlink" Target="https://m.media-amazon.com/images/M/MV5BNDQzZmQ5MjItYmJlNy00MGI2LWExMDQtMjBiNjNmMzc5NTk1XkEyXkFqcGdeQXVyNjY1OTY4MTk@._V1_UY98_CR1,0,67,98_AL_.jpg" TargetMode="External"/><Relationship Id="rId332" Type="http://schemas.openxmlformats.org/officeDocument/2006/relationships/hyperlink" Target="https://m.media-amazon.com/images/M/MV5BYWVlMjVhZWYtNWViNC00ODFkLTk1MmItYjU1MDY5ZDdhMTU3XkEyXkFqcGdeQXVyODIwMDI1NjM@._V1_UX67_CR0,0,67,98_AL_.jpg" TargetMode="External"/><Relationship Id="rId574" Type="http://schemas.openxmlformats.org/officeDocument/2006/relationships/hyperlink" Target="https://m.media-amazon.com/images/M/MV5BN2YyZjQ0NTEtNzU5MS00NGZkLTg0MTEtYzJmMWY3MWRhZjM2XkEyXkFqcGdeQXVyMDA4NzMyOA@@._V1_UX67_CR0,0,67,98_AL_.jpg" TargetMode="External"/><Relationship Id="rId331" Type="http://schemas.openxmlformats.org/officeDocument/2006/relationships/hyperlink" Target="https://m.media-amazon.com/images/M/MV5BOTMyMjEyNzIzMV5BMl5BanBnXkFtZTgwNzIyNjU0NzE@._V1_UX67_CR0,0,67,98_AL_.jpg" TargetMode="External"/><Relationship Id="rId573" Type="http://schemas.openxmlformats.org/officeDocument/2006/relationships/hyperlink" Target="https://m.media-amazon.com/images/M/MV5BMTBkMjMyN2UtNzVjNi00Y2ZiLTk2MDYtN2Y0MjgzYjAxNzE4XkEyXkFqcGdeQXVyNjkxOTM4ODY@._V1_UY98_CR1,0,67,98_AL_.jpg" TargetMode="External"/><Relationship Id="rId370" Type="http://schemas.openxmlformats.org/officeDocument/2006/relationships/hyperlink" Target="https://m.media-amazon.com/images/M/MV5BNmFiYmJmN2QtNWQwMi00MzliLThiOWMtZjQxNGRhZTQ1MjgyXkEyXkFqcGdeQXVyNzQ1ODk3MTQ@._V1_UX67_CR0,0,67,98_AL_.jpg" TargetMode="External"/><Relationship Id="rId129" Type="http://schemas.openxmlformats.org/officeDocument/2006/relationships/hyperlink" Target="https://m.media-amazon.com/images/M/MV5BYjg2ZDI2YTYtN2EwYi00YWI5LTgyMWQtMWFkYmE3NmJkOGVhXkEyXkFqcGdeQXVyODE5NzE3OTE@._V1_UY98_CR0,0,67,98_AL_.jpg" TargetMode="External"/><Relationship Id="rId128" Type="http://schemas.openxmlformats.org/officeDocument/2006/relationships/hyperlink" Target="https://m.media-amazon.com/images/M/MV5BZjhhMThhNDItNTY2MC00MmU1LTliNDEtNDdhZjdlNTY5ZDQ1XkEyXkFqcGdeQXVyNjc1NTYyMjg@._V1_UX67_CR0,0,67,98_AL_.jpg" TargetMode="External"/><Relationship Id="rId127" Type="http://schemas.openxmlformats.org/officeDocument/2006/relationships/hyperlink" Target="https://m.media-amazon.com/images/M/MV5BMTg5YWIyMWUtZDY5My00Zjc1LTljOTctYmI0MWRmY2M2NmRkXkEyXkFqcGdeQXVyMTMxODk2OTU@._V1_UX67_CR0,0,67,98_AL_.jpg" TargetMode="External"/><Relationship Id="rId369" Type="http://schemas.openxmlformats.org/officeDocument/2006/relationships/hyperlink" Target="https://m.media-amazon.com/images/M/MV5BMDI5ZWJhOWItYTlhOC00YWNhLTlkNzctNDU5YTI1M2E1MWZhXkEyXkFqcGdeQXVyNTIzOTk5ODM@._V1_UX67_CR0,0,67,98_AL_.jpg" TargetMode="External"/><Relationship Id="rId126" Type="http://schemas.openxmlformats.org/officeDocument/2006/relationships/hyperlink" Target="https://m.media-amazon.com/images/M/MV5BODA4ODk3OTEzMF5BMl5BanBnXkFtZTgwMTQ2ODMwMzE@._V1_UX67_CR0,0,67,98_AL_.jpg" TargetMode="External"/><Relationship Id="rId368" Type="http://schemas.openxmlformats.org/officeDocument/2006/relationships/hyperlink" Target="https://m.media-amazon.com/images/M/MV5BMTMzODU0NTkxMF5BMl5BanBnXkFtZTcwMjQ4MzMzMw@@._V1_UX67_CR0,0,67,98_AL_.jpg" TargetMode="External"/><Relationship Id="rId121" Type="http://schemas.openxmlformats.org/officeDocument/2006/relationships/hyperlink" Target="https://m.media-amazon.com/images/M/MV5BZDRjNGViMjQtOThlMi00MTA3LThkYzQtNzJkYjBkMGE0YzE1XkEyXkFqcGdeQXVyNDYyMDk5MTU@._V1_UY98_CR0,0,67,98_AL_.jpg" TargetMode="External"/><Relationship Id="rId363" Type="http://schemas.openxmlformats.org/officeDocument/2006/relationships/hyperlink" Target="https://m.media-amazon.com/images/M/MV5BNGNiNmU2YTMtZmU4OS00MjM0LTlmYWUtMjVlYjAzYjE2N2RjXkEyXkFqcGdeQXVyNDk3NzU2MTQ@._V1_UX67_CR0,0,67,98_AL_.jpg" TargetMode="External"/><Relationship Id="rId120" Type="http://schemas.openxmlformats.org/officeDocument/2006/relationships/hyperlink" Target="https://m.media-amazon.com/images/M/MV5BYTE4ODEwZDUtNDFjOC00NjAxLWEzYTQtYTI1NGVmZmFlNjdiL2ltYWdlL2ltYWdlXkEyXkFqcGdeQXVyNjc1NTYyMjg@._V1_UX67_CR0,0,67,98_AL_.jpg" TargetMode="External"/><Relationship Id="rId362" Type="http://schemas.openxmlformats.org/officeDocument/2006/relationships/hyperlink" Target="https://m.media-amazon.com/images/M/MV5BZDMxOGZhNWYtMzRlYy00Mzk5LWJjMjEtNmQ4NDU4M2QxM2UzXkEyXkFqcGdeQXVyNTA4NzY1MzY@._V1_UX67_CR0,0,67,98_AL_.jpg" TargetMode="External"/><Relationship Id="rId361" Type="http://schemas.openxmlformats.org/officeDocument/2006/relationships/hyperlink" Target="https://m.media-amazon.com/images/M/MV5BMTQ5NjQ0NDI3NF5BMl5BanBnXkFtZTcwNDI0MjEzMw@@._V1_UX67_CR0,0,67,98_AL_.jpg" TargetMode="External"/><Relationship Id="rId360" Type="http://schemas.openxmlformats.org/officeDocument/2006/relationships/hyperlink" Target="https://m.media-amazon.com/images/M/MV5BMTYwMTA4MzgyNF5BMl5BanBnXkFtZTgwMjEyMjE0MDE@._V1_UX67_CR0,0,67,98_AL_.jpg" TargetMode="External"/><Relationship Id="rId125" Type="http://schemas.openxmlformats.org/officeDocument/2006/relationships/hyperlink" Target="https://m.media-amazon.com/images/M/MV5BYjBiOTYxZWItMzdiZi00NjlkLWIzZTYtYmFhZjhiMTljOTdkXkEyXkFqcGdeQXVyNzkwMjQ5NzM@._V1_UX67_CR0,0,67,98_AL_.jpg" TargetMode="External"/><Relationship Id="rId367" Type="http://schemas.openxmlformats.org/officeDocument/2006/relationships/hyperlink" Target="https://m.media-amazon.com/images/M/MV5BMjE0MTY2MDI3NV5BMl5BanBnXkFtZTcwNTc1MzEzMQ@@._V1_UY98_CR2,0,67,98_AL_.jpg" TargetMode="External"/><Relationship Id="rId124" Type="http://schemas.openxmlformats.org/officeDocument/2006/relationships/hyperlink" Target="https://m.media-amazon.com/images/M/MV5BOTdlNjgyZGUtOTczYi00MDdhLTljZmMtYTEwZmRiOWFkYjRhXkEyXkFqcGdeQXVyNDY2MTk1ODk@._V1_UX67_CR0,0,67,98_AL_.jpg" TargetMode="External"/><Relationship Id="rId366" Type="http://schemas.openxmlformats.org/officeDocument/2006/relationships/hyperlink" Target="https://m.media-amazon.com/images/M/MV5BMTc3MjkzMDkxN15BMl5BanBnXkFtZTcwODAyMTU1MQ@@._V1_UX67_CR0,0,67,98_AL_.jpg" TargetMode="External"/><Relationship Id="rId123" Type="http://schemas.openxmlformats.org/officeDocument/2006/relationships/hyperlink" Target="https://m.media-amazon.com/images/M/MV5BNmI1ODdjODctMDlmMC00ZWViLWI5MzYtYzRhNDdjYmM3MzFjXkEyXkFqcGdeQXVyMTMxODk2OTU@._V1_UY98_CR0,0,67,98_AL_.jpg" TargetMode="External"/><Relationship Id="rId365" Type="http://schemas.openxmlformats.org/officeDocument/2006/relationships/hyperlink" Target="https://m.media-amazon.com/images/M/MV5BODZmYjMwNzEtNzVhNC00ZTRmLTk2M2UtNzE1MTQ2ZDAxNjc2XkEyXkFqcGdeQXVyMTQxNzMzNDI@._V1_UX67_CR0,0,67,98_AL_.jpg" TargetMode="External"/><Relationship Id="rId122" Type="http://schemas.openxmlformats.org/officeDocument/2006/relationships/hyperlink" Target="https://m.media-amazon.com/images/M/MV5BZmM0NGY3Y2MtMTA1YS00YmQzLTk2YTctYWFhMDkzMDRjZWQzXkEyXkFqcGdeQXVyNTA4NzY1MzY@._V1_UX67_CR0,0,67,98_AL_.jpg" TargetMode="External"/><Relationship Id="rId364" Type="http://schemas.openxmlformats.org/officeDocument/2006/relationships/hyperlink" Target="https://m.media-amazon.com/images/M/MV5BMTM1ODIwNzM5OV5BMl5BanBnXkFtZTcwNjk5MDkyMQ@@._V1_UX67_CR0,0,67,98_AL_.jpg" TargetMode="External"/><Relationship Id="rId95" Type="http://schemas.openxmlformats.org/officeDocument/2006/relationships/hyperlink" Target="https://m.media-amazon.com/images/M/MV5BMTY4NzcwODg3Nl5BMl5BanBnXkFtZTcwNTEwOTMyMw@@._V1_UX67_CR0,0,67,98_AL_.jpg" TargetMode="External"/><Relationship Id="rId94" Type="http://schemas.openxmlformats.org/officeDocument/2006/relationships/hyperlink" Target="https://m.media-amazon.com/images/M/MV5BOTJiNDEzOWYtMTVjOC00ZjlmLWE0NGMtZmE1OWVmZDQ2OWJhXkEyXkFqcGdeQXVyNTIzOTk5ODM@._V1_UX67_CR0,0,67,98_AL_.jpg" TargetMode="External"/><Relationship Id="rId97" Type="http://schemas.openxmlformats.org/officeDocument/2006/relationships/hyperlink" Target="https://m.media-amazon.com/images/M/MV5BMTA2NDYxOGYtYjU1Mi00Y2QzLTgxMTQtMWI1MGI0ZGQ5MmU4XkEyXkFqcGdeQXVyNDk3NzU2MTQ@._V1_UY98_CR0,0,67,98_AL_.jpg" TargetMode="External"/><Relationship Id="rId96" Type="http://schemas.openxmlformats.org/officeDocument/2006/relationships/hyperlink" Target="https://m.media-amazon.com/images/M/MV5BNDg4NjM1YjMtYmNhZC00MjM0LWFiZmYtNGY1YjA3MzZmODc5XkEyXkFqcGdeQXVyNDk3NzU2MTQ@._V1_UX67_CR0,0,67,98_AL_.jpg" TargetMode="External"/><Relationship Id="rId99" Type="http://schemas.openxmlformats.org/officeDocument/2006/relationships/hyperlink" Target="https://m.media-amazon.com/images/M/MV5BNTBmZWJkNjctNDhiNC00MGE2LWEwOTctZTk5OGVhMWMyNmVhXkEyXkFqcGdeQXVyMTMxODk2OTU@._V1_UX67_CR0,0,67,98_AL_.jpg" TargetMode="External"/><Relationship Id="rId98" Type="http://schemas.openxmlformats.org/officeDocument/2006/relationships/hyperlink" Target="https://m.media-amazon.com/images/M/MV5BOTdiNzJlOWUtNWMwNS00NmFlLWI0YTEtZmI3YjIzZWUyY2Y3XkEyXkFqcGdeQXVyNjU0OTQ0OTY@._V1_UX67_CR0,0,67,98_AL_.jpg" TargetMode="External"/><Relationship Id="rId91" Type="http://schemas.openxmlformats.org/officeDocument/2006/relationships/hyperlink" Target="https://m.media-amazon.com/images/M/MV5BMWE3MGYzZjktY2Q5Mi00Y2NiLWIyYWUtMmIyNzA3YmZlMGFhXkEyXkFqcGdeQXVyMTMxODk2OTU@._V1_UX67_CR0,0,67,98_AL_.jpg" TargetMode="External"/><Relationship Id="rId90" Type="http://schemas.openxmlformats.org/officeDocument/2006/relationships/hyperlink" Target="https://m.media-amazon.com/images/M/MV5BN2JmMjViMjMtZTM5Mi00ZGZkLTk5YzctZDg5MjFjZDE4NjNkXkEyXkFqcGdeQXVyMTMxODk2OTU@._V1_UX67_CR0,0,67,98_AL_.jpg" TargetMode="External"/><Relationship Id="rId93" Type="http://schemas.openxmlformats.org/officeDocument/2006/relationships/hyperlink" Target="https://m.media-amazon.com/images/M/MV5BNjAzMzEwYzctNjc1MC00Nzg5LWFmMGItMTgzYmMyNTY2OTQ4XkEyXkFqcGdeQXVyNjU0OTQ0OTY@._V1_UY98_CR0,0,67,98_AL_.jpg" TargetMode="External"/><Relationship Id="rId92" Type="http://schemas.openxmlformats.org/officeDocument/2006/relationships/hyperlink" Target="https://m.media-amazon.com/images/M/MV5BOGE3N2QxN2YtM2ZlNS00MWIyLWE1NDAtYWFlN2FiYjY1MjczXkEyXkFqcGdeQXVyOTUwNzc0ODc@._V1_UY98_CR1,0,67,98_AL_.jpg" TargetMode="External"/><Relationship Id="rId118" Type="http://schemas.openxmlformats.org/officeDocument/2006/relationships/hyperlink" Target="https://m.media-amazon.com/images/M/MV5BNzkwODFjNzItMmMwNi00MTU5LWE2MzktM2M4ZDczZGM1MmViXkEyXkFqcGdeQXVyNDY2MTk1ODk@._V1_UX67_CR0,0,67,98_AL_.jpg" TargetMode="External"/><Relationship Id="rId117" Type="http://schemas.openxmlformats.org/officeDocument/2006/relationships/hyperlink" Target="https://m.media-amazon.com/images/M/MV5BYWY5ZjhjNGYtZmI2Ny00ODM0LWFkNzgtZmI1YzA2N2MxMzA0XkEyXkFqcGdeQXVyNjUwNzk3NDc@._V1_UY98_CR0,0,67,98_AL_.jpg" TargetMode="External"/><Relationship Id="rId359" Type="http://schemas.openxmlformats.org/officeDocument/2006/relationships/hyperlink" Target="https://m.media-amazon.com/images/M/MV5BMGRkZThmYzEtYjQxZC00OWEzLThjYjAtYzFkMjY0NGZkZWI4XkEyXkFqcGdeQXVyNTAyODkwOQ@@._V1_UX67_CR0,0,67,98_AL_.jpg" TargetMode="External"/><Relationship Id="rId116" Type="http://schemas.openxmlformats.org/officeDocument/2006/relationships/hyperlink" Target="https://m.media-amazon.com/images/M/MV5BNWM1NmYyM2ItMTFhNy00NDU0LThlYWUtYjQyYTJmOTY0ZmM0XkEyXkFqcGdeQXVyNjU0OTQ0OTY@._V1_UX67_CR0,0,67,98_AL_.jpg" TargetMode="External"/><Relationship Id="rId358" Type="http://schemas.openxmlformats.org/officeDocument/2006/relationships/hyperlink" Target="https://m.media-amazon.com/images/M/MV5BNDYxNjQyMjAtNTdiOS00NGYwLWFmNTAtNThmYjU5ZGI2YTI1XkEyXkFqcGdeQXVyMTMxODk2OTU@._V1_UX67_CR0,0,67,98_AL_.jpg" TargetMode="External"/><Relationship Id="rId115" Type="http://schemas.openxmlformats.org/officeDocument/2006/relationships/hyperlink" Target="https://m.media-amazon.com/images/M/MV5BMmNlYzRiNDctZWNhMi00MzI4LThkZTctMTUzMmZkMmFmNThmXkEyXkFqcGdeQXVyNzkwMjQ5NzM@._V1_UX67_CR0,0,67,98_AL_.jpg" TargetMode="External"/><Relationship Id="rId357" Type="http://schemas.openxmlformats.org/officeDocument/2006/relationships/hyperlink" Target="https://m.media-amazon.com/images/M/MV5BYmI1ODU5ZjMtNWUyNC00YzllLThjNzktODE1M2E4OTVmY2E5XkEyXkFqcGdeQXVyMTExNzQzMDE0._V1_UY98_CR1,0,67,98_AL_.jpg" TargetMode="External"/><Relationship Id="rId599" Type="http://schemas.openxmlformats.org/officeDocument/2006/relationships/hyperlink" Target="https://m.media-amazon.com/images/M/MV5BMzllMWI1ZDQtMmFhNS00NzJkLThmMTMtNzFmMmMyYjU3ZGVjXkEyXkFqcGdeQXVyMDI2NDg0NQ@@._V1_UY98_CR1,0,67,98_AL_.jpg" TargetMode="External"/><Relationship Id="rId119" Type="http://schemas.openxmlformats.org/officeDocument/2006/relationships/hyperlink" Target="https://m.media-amazon.com/images/M/MV5BZDA3NDExMTUtMDlhOC00MmQ5LWExZGUtYmI1NGVlZWI4OWNiXkEyXkFqcGdeQXVyNjc1NTYyMjg@._V1_UX67_CR0,0,67,98_AL_.jpg" TargetMode="External"/><Relationship Id="rId110" Type="http://schemas.openxmlformats.org/officeDocument/2006/relationships/hyperlink" Target="https://m.media-amazon.com/images/M/MV5BOWZlMjFiYzgtMTUzNC00Y2IzLTk1NTMtZmNhMTczNTk0ODk1XkEyXkFqcGdeQXVyNTAyODkwOQ@@._V1_UX67_CR0,0,67,98_AL_.jpg" TargetMode="External"/><Relationship Id="rId352" Type="http://schemas.openxmlformats.org/officeDocument/2006/relationships/hyperlink" Target="https://m.media-amazon.com/images/M/MV5BNTFmMjM3M2UtOTIyZC00Zjk3LTkzODUtYTdhNGRmNzFhYzcyXkEyXkFqcGdeQXVyMTMxODk2OTU@._V1_UX67_CR0,0,67,98_AL_.jpg" TargetMode="External"/><Relationship Id="rId594" Type="http://schemas.openxmlformats.org/officeDocument/2006/relationships/hyperlink" Target="https://m.media-amazon.com/images/M/MV5BMTA1ODUzMDA3NzFeQTJeQWpwZ15BbWU3MDgxMTYxNTk@._V1_UX67_CR0,0,67,98_AL_.jpg" TargetMode="External"/><Relationship Id="rId351" Type="http://schemas.openxmlformats.org/officeDocument/2006/relationships/hyperlink" Target="https://m.media-amazon.com/images/M/MV5BYjU1NjczNzYtYmFjOC00NzkxLTg4YTUtNGYzMTk3NTU0ZDE3XkEyXkFqcGdeQXVyNDUzOTQ5MjY@._V1_UY98_CR0,0,67,98_AL_.jpg" TargetMode="External"/><Relationship Id="rId593" Type="http://schemas.openxmlformats.org/officeDocument/2006/relationships/hyperlink" Target="https://m.media-amazon.com/images/M/MV5BMDliOTIzNmUtOTllOC00NDU3LWFiNjYtMGM0NDc1YTMxNjYxXkEyXkFqcGdeQXVyNTM3NzExMDQ@._V1_UY98_CR1,0,67,98_AL_.jpg" TargetMode="External"/><Relationship Id="rId350" Type="http://schemas.openxmlformats.org/officeDocument/2006/relationships/hyperlink" Target="https://m.media-amazon.com/images/M/MV5BMTQ0MzQxODQ0MV5BMl5BanBnXkFtZTgwNTQ0NzY4NDE@._V1_UX67_CR0,0,67,98_AL_.jpg" TargetMode="External"/><Relationship Id="rId592" Type="http://schemas.openxmlformats.org/officeDocument/2006/relationships/hyperlink" Target="https://m.media-amazon.com/images/M/MV5BYWNlODE1ZTEtOTQ5MS00N2QwLTllNjItZDQ2Y2UzMmU5YmI2XkEyXkFqcGdeQXVyODE5NzE3OTE@._V1_UY98_CR3,0,67,98_AL_.jpg" TargetMode="External"/><Relationship Id="rId591" Type="http://schemas.openxmlformats.org/officeDocument/2006/relationships/hyperlink" Target="https://m.media-amazon.com/images/M/MV5BMTUwMzc1NjIzMV5BMl5BanBnXkFtZTgwODUyMTIxMTE@._V1_UX67_CR0,0,67,98_AL_.jpg" TargetMode="External"/><Relationship Id="rId114" Type="http://schemas.openxmlformats.org/officeDocument/2006/relationships/hyperlink" Target="https://m.media-amazon.com/images/M/MV5BMTY3MjM1Mzc4N15BMl5BanBnXkFtZTgwODM0NzAxMDE@._V1_UX67_CR0,0,67,98_AL_.jpg" TargetMode="External"/><Relationship Id="rId356" Type="http://schemas.openxmlformats.org/officeDocument/2006/relationships/hyperlink" Target="https://m.media-amazon.com/images/M/MV5BNzY2NzI4OTE5MF5BMl5BanBnXkFtZTcwMjMyNDY4Mw@@._V1_UX67_CR0,0,67,98_AL_.jpg" TargetMode="External"/><Relationship Id="rId598" Type="http://schemas.openxmlformats.org/officeDocument/2006/relationships/hyperlink" Target="https://m.media-amazon.com/images/M/MV5BMTQ4MzQ3NjA0N15BMl5BanBnXkFtZTgwODQyNjQ4MDE@._V1_UX67_CR0,0,67,98_AL_.jpg" TargetMode="External"/><Relationship Id="rId113" Type="http://schemas.openxmlformats.org/officeDocument/2006/relationships/hyperlink" Target="https://m.media-amazon.com/images/M/MV5BNGU3NjQ4YTMtZGJjOS00YTQ3LThmNmItMTI5MDE2ODI3NzY3XkEyXkFqcGdeQXVyMjUzOTY1NTc@._V1_UX67_CR0,0,67,98_AL_.jpg" TargetMode="External"/><Relationship Id="rId355" Type="http://schemas.openxmlformats.org/officeDocument/2006/relationships/hyperlink" Target="https://m.media-amazon.com/images/M/MV5BZmNjZWI3NzktYWI1Mi00OTAyLWJkNTYtMzUwYTFlZDA0Y2UwXkEyXkFqcGdeQXVyNjU0OTQ0OTY@._V1_UX67_CR0,0,67,98_AL_.jpg" TargetMode="External"/><Relationship Id="rId597" Type="http://schemas.openxmlformats.org/officeDocument/2006/relationships/hyperlink" Target="https://m.media-amazon.com/images/M/MV5BMTYzMDM4NzkxOV5BMl5BanBnXkFtZTgwNzM1Mzg2NzM@._V1_UX67_CR0,0,67,98_AL_.jpg" TargetMode="External"/><Relationship Id="rId112" Type="http://schemas.openxmlformats.org/officeDocument/2006/relationships/hyperlink" Target="https://m.media-amazon.com/images/M/MV5BM2M1MmVhNDgtNmI0YS00ZDNmLTkyNjctNTJiYTQ2N2NmYzc2XkEyXkFqcGdeQXVyNzkwMjQ5NzM@._V1_UX67_CR0,0,67,98_AL_.jpg" TargetMode="External"/><Relationship Id="rId354" Type="http://schemas.openxmlformats.org/officeDocument/2006/relationships/hyperlink" Target="https://m.media-amazon.com/images/M/MV5BMjE2NjEyMDg0M15BMl5BanBnXkFtZTcwODYyODg5Mg@@._V1_UY98_CR0,0,67,98_AL_.jpg" TargetMode="External"/><Relationship Id="rId596" Type="http://schemas.openxmlformats.org/officeDocument/2006/relationships/hyperlink" Target="https://m.media-amazon.com/images/M/MV5BMTU4NDg0MzkzNV5BMl5BanBnXkFtZTgwODA3Mzc1MDE@._V1_UX67_CR0,0,67,98_AL_.jpg" TargetMode="External"/><Relationship Id="rId111" Type="http://schemas.openxmlformats.org/officeDocument/2006/relationships/hyperlink" Target="https://m.media-amazon.com/images/M/MV5BOGZhZDIzNWMtNjkxMS00MDQ1LThkMTYtZWQzYWU3MWMxMGU5XkEyXkFqcGdeQXVyNjc1NTYyMjg@._V1_UX67_CR0,0,67,98_AL_.jpg" TargetMode="External"/><Relationship Id="rId353" Type="http://schemas.openxmlformats.org/officeDocument/2006/relationships/hyperlink" Target="https://m.media-amazon.com/images/M/MV5BMTUyMTA4NDYzMV5BMl5BanBnXkFtZTcwMjk5MzcxMw@@._V1_UX67_CR0,0,67,98_AL_.jpg" TargetMode="External"/><Relationship Id="rId595" Type="http://schemas.openxmlformats.org/officeDocument/2006/relationships/hyperlink" Target="https://m.media-amazon.com/images/M/MV5BMjQ5YWVmYmYtOWFiZC00NGMxLWEwODctZDM2MWI4YWViN2E5XkEyXkFqcGdeQXVyNjQ2MjQ5NzM@._V1_UY98_CR0,0,67,98_AL_.jpg" TargetMode="External"/><Relationship Id="rId305" Type="http://schemas.openxmlformats.org/officeDocument/2006/relationships/hyperlink" Target="https://m.media-amazon.com/images/M/MV5BMGVhNjhjODktODgxYS00MDdhLTlkZjktYTkyNzQxMTU0ZDYxXkEyXkFqcGdeQXVyNzkwMjQ5NzM@._V1_UX67_CR0,0,67,98_AL_.jpg" TargetMode="External"/><Relationship Id="rId547" Type="http://schemas.openxmlformats.org/officeDocument/2006/relationships/hyperlink" Target="https://m.media-amazon.com/images/M/MV5BZjZhZTZkNWItZGE1My00MTRkLWI2ZDktMWZkZTIxZWYxOTgzXkEyXkFqcGdeQXVyNDY2MTk1ODk@._V1_UX67_CR0,0,67,98_AL_.jpg" TargetMode="External"/><Relationship Id="rId789" Type="http://schemas.openxmlformats.org/officeDocument/2006/relationships/hyperlink" Target="https://m.media-amazon.com/images/M/MV5BYzEyNzc0NjctZjJiZC00MWI1LWJlOTMtYWZkZDAzNzQ0ZDNkXkEyXkFqcGdeQXVyMTQxNzMzNDI@._V1_UX67_CR0,0,67,98_AL_.jpg" TargetMode="External"/><Relationship Id="rId304" Type="http://schemas.openxmlformats.org/officeDocument/2006/relationships/hyperlink" Target="https://m.media-amazon.com/images/M/MV5BNGYxZjA2M2ItYTRmNS00NzRmLWJkYzgtYTdiNGFlZDI5ZjNmXkEyXkFqcGdeQXVyNDE5MTU2MDE@._V1_UY98_CR0,0,67,98_AL_.jpg" TargetMode="External"/><Relationship Id="rId546" Type="http://schemas.openxmlformats.org/officeDocument/2006/relationships/hyperlink" Target="https://m.media-amazon.com/images/M/MV5BMTkzNzYyMzA5N15BMl5BanBnXkFtZTgwODcwODQ3MDI@._V1_UX67_CR0,0,67,98_AL_.jpg" TargetMode="External"/><Relationship Id="rId788" Type="http://schemas.openxmlformats.org/officeDocument/2006/relationships/hyperlink" Target="https://m.media-amazon.com/images/M/MV5BOGY1YmUzN2MtNDQ3NC00Nzc4LWI5M2EtYzUwMGQ4NWM4NjE1XkEyXkFqcGdeQXVyMTQxNzMzNDI@._V1_UY98_CR0,0,67,98_AL_.jpg" TargetMode="External"/><Relationship Id="rId303" Type="http://schemas.openxmlformats.org/officeDocument/2006/relationships/hyperlink" Target="https://m.media-amazon.com/images/M/MV5BOTdhNmUxZmQtNmMwNC00MzE3LWE1MTUtZDgxZTYwYjEzZjcwXkEyXkFqcGdeQXVyNTA1NjYyMDk@._V1_UY98_CR0,0,67,98_AL_.jpg" TargetMode="External"/><Relationship Id="rId545" Type="http://schemas.openxmlformats.org/officeDocument/2006/relationships/hyperlink" Target="https://m.media-amazon.com/images/M/MV5BMzRmN2E1ZDUtZDc2ZC00ZmI3LTkwOTctNzE2ZDIzMGJiMTYzXkEyXkFqcGdeQXVyMTQxNzMzNDI@._V1_UX67_CR0,0,67,98_AL_.jpg" TargetMode="External"/><Relationship Id="rId787" Type="http://schemas.openxmlformats.org/officeDocument/2006/relationships/hyperlink" Target="https://m.media-amazon.com/images/M/MV5BMTI0MTg4NzI3M15BMl5BanBnXkFtZTcwOTE0MTUyMQ@@._V1_UY98_CR0,0,67,98_AL_.jpg" TargetMode="External"/><Relationship Id="rId302" Type="http://schemas.openxmlformats.org/officeDocument/2006/relationships/hyperlink" Target="https://m.media-amazon.com/images/M/MV5BYjJkN2Y5MTktZDRhOS00NTUwLWFiMzEtMTVlNWU4ODM0Y2E5XkEyXkFqcGdeQXVyNjc1NTYyMjg@._V1_UY98_CR1,0,67,98_AL_.jpg" TargetMode="External"/><Relationship Id="rId544" Type="http://schemas.openxmlformats.org/officeDocument/2006/relationships/hyperlink" Target="https://m.media-amazon.com/images/M/MV5BNGUyYTZmOWItMDJhMi00N2IxLWIyNDMtNjUxM2ZiYmU5YWU1XkEyXkFqcGdeQXVyNjc1NTYyMjg@._V1_UX67_CR0,0,67,98_AL_.jpg" TargetMode="External"/><Relationship Id="rId786" Type="http://schemas.openxmlformats.org/officeDocument/2006/relationships/hyperlink" Target="https://m.media-amazon.com/images/M/MV5BMTI2NzU1NTc1NF5BMl5BanBnXkFtZTcwOTQ1MjAwMQ@@._V1_UX67_CR0,0,67,98_AL_.jpg" TargetMode="External"/><Relationship Id="rId309" Type="http://schemas.openxmlformats.org/officeDocument/2006/relationships/hyperlink" Target="https://m.media-amazon.com/images/M/MV5BZmI5NTA3MjItYzdhMi00MWMxLTg3OWMtYWQyYjg5MTFmM2U0L2ltYWdlL2ltYWdlXkEyXkFqcGdeQXVyNjc1NTYyMjg@._V1_UX67_CR0,0,67,98_AL_.jpg" TargetMode="External"/><Relationship Id="rId308" Type="http://schemas.openxmlformats.org/officeDocument/2006/relationships/hyperlink" Target="https://m.media-amazon.com/images/M/MV5BNDUzZjlhZTYtN2E5MS00ODQ3LWI1ZjgtNzdiZmI0NTZiZTljXkEyXkFqcGdeQXVyMjI4MjA5MzA@._V1_UX67_CR0,0,67,98_AL_.jpg" TargetMode="External"/><Relationship Id="rId307" Type="http://schemas.openxmlformats.org/officeDocument/2006/relationships/hyperlink" Target="https://m.media-amazon.com/images/M/MV5BZDdkNzMwZmUtY2Q5MS00ZmM2LWJhYjItYTBjMWY0MGM4MDRjXkEyXkFqcGdeQXVyNTA4NzY1MzY@._V1_UY98_CR0,0,67,98_AL_.jpg" TargetMode="External"/><Relationship Id="rId549" Type="http://schemas.openxmlformats.org/officeDocument/2006/relationships/hyperlink" Target="https://m.media-amazon.com/images/M/MV5BOTY0ZTA1ZjUtN2MyNi00ZGRmLWExYmMtOTkyNzI1NGQ2Y2RlXkEyXkFqcGdeQXVyNjc1NTYyMjg@._V1_UX67_CR0,0,67,98_AL_.jpg" TargetMode="External"/><Relationship Id="rId306" Type="http://schemas.openxmlformats.org/officeDocument/2006/relationships/hyperlink" Target="https://m.media-amazon.com/images/M/MV5BY2I0MWFiZDMtNWQyYy00Njk5LTk3MDktZjZjNTNmZmVkYjkxXkEyXkFqcGdeQXVyNjc1NTYyMjg@._V1_UX67_CR0,0,67,98_AL_.jpg" TargetMode="External"/><Relationship Id="rId548" Type="http://schemas.openxmlformats.org/officeDocument/2006/relationships/hyperlink" Target="https://m.media-amazon.com/images/M/MV5BMTA0Y2UyMDUtZGZiOS00ZmVkLTg3NmItODQyNTY1ZjU1MWE4L2ltYWdlL2ltYWdlXkEyXkFqcGdeQXVyNjc1NTYyMjg@._V1_UX67_CR0,0,67,98_AL_.jpg" TargetMode="External"/><Relationship Id="rId781" Type="http://schemas.openxmlformats.org/officeDocument/2006/relationships/hyperlink" Target="https://m.media-amazon.com/images/M/MV5BMTI2NDI5ODk4N15BMl5BanBnXkFtZTYwMTI3NTE3._V1_UX67_CR0,0,67,98_AL_.jpg" TargetMode="External"/><Relationship Id="rId780" Type="http://schemas.openxmlformats.org/officeDocument/2006/relationships/hyperlink" Target="https://m.media-amazon.com/images/M/MV5BMTQxNDQwNjQzOV5BMl5BanBnXkFtZTcwNTQxNDYyMQ@@._V1_UX67_CR0,0,67,98_AL_.jpg" TargetMode="External"/><Relationship Id="rId301" Type="http://schemas.openxmlformats.org/officeDocument/2006/relationships/hyperlink" Target="https://m.media-amazon.com/images/M/MV5BNjgxY2JiZDYtZmMwOC00ZmJjLWJmODUtMTNmNWNmYWI5ODkwL2ltYWdlL2ltYWdlXkEyXkFqcGdeQXVyNjc1NTYyMjg@._V1_UX67_CR0,0,67,98_AL_.jpg" TargetMode="External"/><Relationship Id="rId543" Type="http://schemas.openxmlformats.org/officeDocument/2006/relationships/hyperlink" Target="https://m.media-amazon.com/images/M/MV5BMmNhZmJhMmYtNjlkMC00MjhjLTk1NzMtMTNlMzYzNjZlMjNiXkEyXkFqcGdeQXVyMTQxNzMzNDI@._V1_UX67_CR0,0,67,98_AL_.jpg" TargetMode="External"/><Relationship Id="rId785" Type="http://schemas.openxmlformats.org/officeDocument/2006/relationships/hyperlink" Target="https://m.media-amazon.com/images/M/MV5BMzkyNzQ1Mzc0NV5BMl5BanBnXkFtZTcwODg3MzUzMw@@._V1_UX67_CR0,0,67,98_AL_.jpg" TargetMode="External"/><Relationship Id="rId300" Type="http://schemas.openxmlformats.org/officeDocument/2006/relationships/hyperlink" Target="https://m.media-amazon.com/images/M/MV5BYTQ4MjA4NmYtYjRhNi00MTEwLTg0NjgtNjk3ODJlZGU4NjRkL2ltYWdlL2ltYWdlXkEyXkFqcGdeQXVyNjU0OTQ0OTY@._V1_UY98_CR3,0,67,98_AL_.jpg" TargetMode="External"/><Relationship Id="rId542" Type="http://schemas.openxmlformats.org/officeDocument/2006/relationships/hyperlink" Target="https://m.media-amazon.com/images/M/MV5BY2M5Mzg3NjctZTlkNy00MTU0LWFlYTQtY2E2Y2M4NjNiNzllXkEyXkFqcGdeQXVyMTAwMzUyOTc@._V1_UX67_CR0,0,67,98_AL_.jpg" TargetMode="External"/><Relationship Id="rId784" Type="http://schemas.openxmlformats.org/officeDocument/2006/relationships/hyperlink" Target="https://m.media-amazon.com/images/M/MV5BMzQxNjM5NzkxNV5BMl5BanBnXkFtZTcwMzg5NDMwMg@@._V1_UX67_CR0,0,67,98_AL_.jpg" TargetMode="External"/><Relationship Id="rId541" Type="http://schemas.openxmlformats.org/officeDocument/2006/relationships/hyperlink" Target="https://m.media-amazon.com/images/M/MV5BMjRkY2VhYzMtZWQyNS00OTY2LWE5NTAtYjlhNmQyYzE5MmUxXkEyXkFqcGdeQXVyMTQxNzMzNDI@._V1_UX67_CR0,0,67,98_AL_.jpg" TargetMode="External"/><Relationship Id="rId783" Type="http://schemas.openxmlformats.org/officeDocument/2006/relationships/hyperlink" Target="https://m.media-amazon.com/images/M/MV5BODFlMmEwMDgtYjhmZi00ZTE5LTk2NWQtMWE1Y2M0NjkzOGYxXkEyXkFqcGdeQXVyNjU0OTQ0OTY@._V1_UX67_CR0,0,67,98_AL_.jpg" TargetMode="External"/><Relationship Id="rId540" Type="http://schemas.openxmlformats.org/officeDocument/2006/relationships/hyperlink" Target="https://m.media-amazon.com/images/M/MV5BYzQ5NjJiYWQtYjAzMC00NGU0LWFlMDYtNGFiYjFlMWI1NWM0XkEyXkFqcGdeQXVyODQ0OTczOQ@@._V1_UY98_CR4,0,67,98_AL_.jpg" TargetMode="External"/><Relationship Id="rId782" Type="http://schemas.openxmlformats.org/officeDocument/2006/relationships/hyperlink" Target="https://m.media-amazon.com/images/M/MV5BMTI1NDMyMjExOF5BMl5BanBnXkFtZTcwOTc4MjQzMQ@@._V1_UX67_CR0,0,67,98_AL_.jpg" TargetMode="External"/><Relationship Id="rId536" Type="http://schemas.openxmlformats.org/officeDocument/2006/relationships/hyperlink" Target="https://m.media-amazon.com/images/M/MV5BMzc1YTIyNjctYzhlNy00ZmYzLWI2ZWQtMzk4MmQwYzA0NGQ1XkEyXkFqcGdeQXVyMTQxNzMzNDI@._V1_UX67_CR0,0,67,98_AL_.jpg" TargetMode="External"/><Relationship Id="rId778" Type="http://schemas.openxmlformats.org/officeDocument/2006/relationships/hyperlink" Target="https://m.media-amazon.com/images/M/MV5BYTIyMDFmMmItMWQzYy00MjBiLTg2M2UtM2JiNDRhOWE4NjBhXkEyXkFqcGdeQXVyNjU0OTQ0OTY@._V1_UX67_CR0,0,67,98_AL_.jpg" TargetMode="External"/><Relationship Id="rId535" Type="http://schemas.openxmlformats.org/officeDocument/2006/relationships/hyperlink" Target="https://m.media-amazon.com/images/M/MV5BZWE4N2JkNDUtZDU4MC00ZjNhLTlkMjYtOTNkMjZhMDAwMDMyXkEyXkFqcGdeQXVyMTA0MjU0Ng@@._V1_UX67_CR0,0,67,98_AL_.jpg" TargetMode="External"/><Relationship Id="rId777" Type="http://schemas.openxmlformats.org/officeDocument/2006/relationships/hyperlink" Target="https://m.media-amazon.com/images/M/MV5BMjZiOTNlMzYtZWYwZS00YWJjLTk5NDgtODkwNjRhMDI0MjhjXkEyXkFqcGdeQXVyMjgyNjk3MzE@._V1_UY98_CR1,0,67,98_AL_.jpg" TargetMode="External"/><Relationship Id="rId534" Type="http://schemas.openxmlformats.org/officeDocument/2006/relationships/hyperlink" Target="https://m.media-amazon.com/images/M/MV5BMzdmY2I3MmEtOGFiZi00MTg1LWIxY2QtNWUwM2NmNWNlY2U5XkEyXkFqcGdeQXVyNDk3NzU2MTQ@._V1_UX67_CR0,0,67,98_AL_.jpg" TargetMode="External"/><Relationship Id="rId776" Type="http://schemas.openxmlformats.org/officeDocument/2006/relationships/hyperlink" Target="https://m.media-amazon.com/images/M/MV5BOTk1OTA1MjIyNV5BMl5BanBnXkFtZTcwODQxMTkyMQ@@._V1_UX67_CR0,0,67,98_AL_.jpg" TargetMode="External"/><Relationship Id="rId533" Type="http://schemas.openxmlformats.org/officeDocument/2006/relationships/hyperlink" Target="https://m.media-amazon.com/images/M/MV5BYTdlMDExOGUtN2I3MS00MjY5LWE1NTAtYzc3MzIxN2M3OWY1XkEyXkFqcGdeQXVyNzkwMjQ5NzM@._V1_UX67_CR0,0,67,98_AL_.jpg" TargetMode="External"/><Relationship Id="rId775" Type="http://schemas.openxmlformats.org/officeDocument/2006/relationships/hyperlink" Target="https://m.media-amazon.com/images/M/MV5BODE0NTcxNTQzNF5BMl5BanBnXkFtZTcwMzczOTIzMw@@._V1_UX67_CR0,0,67,98_AL_.jpg" TargetMode="External"/><Relationship Id="rId539" Type="http://schemas.openxmlformats.org/officeDocument/2006/relationships/hyperlink" Target="https://m.media-amazon.com/images/M/MV5BZDI2OTg2NDQtMzc0MC00MjRiLWI1NzAtMjY2ZDMwMmUyNzBiXkEyXkFqcGdeQXVyNzM0MTUwNTY@._V1_UX67_CR0,0,67,98_AL_.jpg" TargetMode="External"/><Relationship Id="rId538" Type="http://schemas.openxmlformats.org/officeDocument/2006/relationships/hyperlink" Target="https://m.media-amazon.com/images/M/MV5BN2IzM2I5NTQtMTIyMy00YWM2LWI1OGMtNjI0MWIyNDZkZGFkXkEyXkFqcGdeQXVyMTQxNzMzNDI@._V1_UX67_CR0,0,67,98_AL_.jpg" TargetMode="External"/><Relationship Id="rId537" Type="http://schemas.openxmlformats.org/officeDocument/2006/relationships/hyperlink" Target="https://m.media-amazon.com/images/M/MV5BOWI2YWQxM2MtY2U4Yi00YjgzLTgwNzktN2ExNTgzNTIzMmUzXkEyXkFqcGdeQXVyMTAwMzUyOTc@._V1_UX67_CR0,0,67,98_AL_.jpg" TargetMode="External"/><Relationship Id="rId779" Type="http://schemas.openxmlformats.org/officeDocument/2006/relationships/hyperlink" Target="https://m.media-amazon.com/images/M/MV5BNjk1NzBlY2YtNjJmNi00YTVmLWI2OTgtNDUxNDE5NjUzZmE0XkEyXkFqcGdeQXVyNTc1NTQxODI@._V1_UX67_CR0,0,67,98_AL_.jpg" TargetMode="External"/><Relationship Id="rId770" Type="http://schemas.openxmlformats.org/officeDocument/2006/relationships/hyperlink" Target="https://m.media-amazon.com/images/M/MV5BMTQyODczNjU3NF5BMl5BanBnXkFtZTcwNjQ0NDIzMQ@@._V1_UX67_CR0,0,67,98_AL_.jpg" TargetMode="External"/><Relationship Id="rId532" Type="http://schemas.openxmlformats.org/officeDocument/2006/relationships/hyperlink" Target="https://m.media-amazon.com/images/M/MV5BOWMyNjE0MzEtMzVjNy00NjIxLTg0ZjMtMWJhNGI1YmVjYTczL2ltYWdlXkEyXkFqcGdeQXVyNzc5MjA3OA@@._V1_UX67_CR0,0,67,98_AL_.jpg" TargetMode="External"/><Relationship Id="rId774" Type="http://schemas.openxmlformats.org/officeDocument/2006/relationships/hyperlink" Target="https://m.media-amazon.com/images/M/MV5BMTY5NTAzNTc1NF5BMl5BanBnXkFtZTYwNDY4MDc3._V1_UX67_CR0,0,67,98_AL_.jpg" TargetMode="External"/><Relationship Id="rId531" Type="http://schemas.openxmlformats.org/officeDocument/2006/relationships/hyperlink" Target="https://m.media-amazon.com/images/M/MV5BMTQ2MTIzMzg5Nl5BMl5BanBnXkFtZTgwOTc5NDI1MDE@._V1_UX67_CR0,0,67,98_AL_.jpg" TargetMode="External"/><Relationship Id="rId773" Type="http://schemas.openxmlformats.org/officeDocument/2006/relationships/hyperlink" Target="https://m.media-amazon.com/images/M/MV5BODFlNTI0ZWQtOTcxNC00OTc0LTkwZDUtMmNkM2I1ZWFlYzZkXkEyXkFqcGdeQXVyNTIzOTk5ODM@._V1_UY98_CR2,0,67,98_AL_.jpg" TargetMode="External"/><Relationship Id="rId530" Type="http://schemas.openxmlformats.org/officeDocument/2006/relationships/hyperlink" Target="https://m.media-amazon.com/images/M/MV5BMzIwM2IwYTItYmM4Zi00OWMzLTkwNjAtYWRmYWNmY2RhMDk0XkEyXkFqcGdeQXVyNjU0OTQ0OTY@._V1_UX67_CR0,0,67,98_AL_.jpg" TargetMode="External"/><Relationship Id="rId772" Type="http://schemas.openxmlformats.org/officeDocument/2006/relationships/hyperlink" Target="https://m.media-amazon.com/images/M/MV5BMTAxNDYxMjg0MjNeQTJeQWpwZ15BbWU3MDcyNTk2OTM@._V1_UX67_CR0,0,67,98_AL_.jpg" TargetMode="External"/><Relationship Id="rId771" Type="http://schemas.openxmlformats.org/officeDocument/2006/relationships/hyperlink" Target="https://m.media-amazon.com/images/M/MV5BNTEzOTYwMTcxN15BMl5BanBnXkFtZTcwNTgyNjI1MQ@@._V1_UX67_CR0,0,67,98_AL_.jpg" TargetMode="External"/><Relationship Id="rId327" Type="http://schemas.openxmlformats.org/officeDocument/2006/relationships/hyperlink" Target="https://m.media-amazon.com/images/M/MV5BYTdhNjBjZDctYTlkYy00ZGIxLWFjYTktODk5ZjNlMzI4NjI3XkEyXkFqcGdeQXVyMjY1MjkzMjE@._V1_UY98_CR0,0,67,98_AL_.jpg" TargetMode="External"/><Relationship Id="rId569" Type="http://schemas.openxmlformats.org/officeDocument/2006/relationships/hyperlink" Target="https://m.media-amazon.com/images/M/MV5BMTAxYjEyMTctZTg3Ni00MGZmLWIxMmMtOGM2NTFiY2U3MmExXkEyXkFqcGdeQXVyNzkwMjQ5NzM@._V1_UX67_CR0,0,67,98_AL_.jpg" TargetMode="External"/><Relationship Id="rId326" Type="http://schemas.openxmlformats.org/officeDocument/2006/relationships/hyperlink" Target="https://m.media-amazon.com/images/M/MV5BMjE1NjQ5ODc2NV5BMl5BanBnXkFtZTgwOTM5ODIxNjE@._V1_UY98_CR0,0,67,98_AL_.jpg" TargetMode="External"/><Relationship Id="rId568" Type="http://schemas.openxmlformats.org/officeDocument/2006/relationships/hyperlink" Target="https://m.media-amazon.com/images/M/MV5BMjMyYjgyOTQtZDVlZS00NTQ0LWJiNDItNGRlZmM3Yzc0N2Y0XkEyXkFqcGdeQXVyNTA4NzY1MzY@._V1_UX67_CR0,0,67,98_AL_.jpg" TargetMode="External"/><Relationship Id="rId325" Type="http://schemas.openxmlformats.org/officeDocument/2006/relationships/hyperlink" Target="https://m.media-amazon.com/images/M/MV5BMGE1ZTkyOTMtMTdiZS00YzI2LTlmYWQtOTE5YWY0NWVlNjlmXkEyXkFqcGdeQXVyNjQ3ODkxMjE@._V1_UY98_CR0,0,67,98_AL_.jpg" TargetMode="External"/><Relationship Id="rId567" Type="http://schemas.openxmlformats.org/officeDocument/2006/relationships/hyperlink" Target="https://m.media-amazon.com/images/M/MV5BZTY3YjYxZGQtMTM2YS00ZmYwLWFlM2QtOWFlMTU1NTAyZDQ2XkEyXkFqcGdeQXVyNTgyNTA4MjM@._V1_UX67_CR0,0,67,98_AL_.jpg" TargetMode="External"/><Relationship Id="rId324" Type="http://schemas.openxmlformats.org/officeDocument/2006/relationships/hyperlink" Target="https://m.media-amazon.com/images/M/MV5BNjJkYTc5N2UtMGRlMC00M2FmLTk0ZWMtOTYxNDUwNjI2YzljXkEyXkFqcGdeQXVyNDg4NjY5OTQ@._V1_UX67_CR0,0,67,98_AL_.jpg" TargetMode="External"/><Relationship Id="rId566" Type="http://schemas.openxmlformats.org/officeDocument/2006/relationships/hyperlink" Target="https://m.media-amazon.com/images/M/MV5BYTJmNmQxNGItNDNlMC00MDU3LWFhNzMtZDQ2NDY0ZTVkNjE3XkEyXkFqcGdeQXVyMDI2NDg0NQ@@._V1_UX67_CR0,0,67,98_AL_.jpg" TargetMode="External"/><Relationship Id="rId329" Type="http://schemas.openxmlformats.org/officeDocument/2006/relationships/hyperlink" Target="https://m.media-amazon.com/images/M/MV5BMjA3NjkzNjg2MF5BMl5BanBnXkFtZTgwMDkyMzgzMDI@._V1_UX67_CR0,0,67,98_AL_.jpg" TargetMode="External"/><Relationship Id="rId328" Type="http://schemas.openxmlformats.org/officeDocument/2006/relationships/hyperlink" Target="https://m.media-amazon.com/images/M/MV5BMzUzNDM2NzM2MV5BMl5BanBnXkFtZTgwNTM3NTg4OTE@._V1_UX67_CR0,0,67,98_AL_.jpg" TargetMode="External"/><Relationship Id="rId561" Type="http://schemas.openxmlformats.org/officeDocument/2006/relationships/hyperlink" Target="https://m.media-amazon.com/images/M/MV5BMjdiM2IyZmQtODJiYy00NDNkLTllYmItMmFjMDNiYTQyOGVkXkEyXkFqcGdeQXVyNDY2MTk1ODk@._V1_UX67_CR0,0,67,98_AL_.jpg" TargetMode="External"/><Relationship Id="rId560" Type="http://schemas.openxmlformats.org/officeDocument/2006/relationships/hyperlink" Target="https://m.media-amazon.com/images/M/MV5BYTc1NGViOTMtNjZhNS00OGY2LWI4MmItOWQwNTY4MDMzNWI3L2ltYWdlXkEyXkFqcGdeQXVyNjc1NTYyMjg@._V1_UX67_CR0,0,67,98_AL_.jpg" TargetMode="External"/><Relationship Id="rId323" Type="http://schemas.openxmlformats.org/officeDocument/2006/relationships/hyperlink" Target="https://m.media-amazon.com/images/M/MV5BNjZlMDdmN2YtYThmZi00NGQzLTk0ZTQtNTUyZDFmODExOGNiXkEyXkFqcGdeQXVyODE5NzE3OTE@._V1_UY98_CR0,0,67,98_AL_.jpg" TargetMode="External"/><Relationship Id="rId565" Type="http://schemas.openxmlformats.org/officeDocument/2006/relationships/hyperlink" Target="https://m.media-amazon.com/images/M/MV5BYjZjOTU3MTMtYTM5YS00YjZmLThmNmMtODcwOTM1NmRiMWM2XkEyXkFqcGdeQXVyNjc1NTYyMjg@._V1_UX67_CR0,0,67,98_AL_.jpg" TargetMode="External"/><Relationship Id="rId322" Type="http://schemas.openxmlformats.org/officeDocument/2006/relationships/hyperlink" Target="https://m.media-amazon.com/images/M/MV5BNWJiNGJiMTEtMGM3OC00ZWNlLTgwZTgtMzdhNTRiZjk5MTQ1XkEyXkFqcGdeQXVyMTMxODk2OTU@._V1_UY98_CR1,0,67,98_AL_.jpg" TargetMode="External"/><Relationship Id="rId564" Type="http://schemas.openxmlformats.org/officeDocument/2006/relationships/hyperlink" Target="https://m.media-amazon.com/images/M/MV5BZDVmZTZkYjMtNmViZC00ODEzLTgwNDAtNmQ3OGQwOWY5YjFmXkEyXkFqcGdeQXVyNDY2MTk1ODk@._V1_UX67_CR0,0,67,98_AL_.jpg" TargetMode="External"/><Relationship Id="rId321" Type="http://schemas.openxmlformats.org/officeDocument/2006/relationships/hyperlink" Target="https://m.media-amazon.com/images/M/MV5BYmRiMDFlYjYtOTMwYy00OGY2LWE0Y2QtYzQxOGNhZmUwNTIxXkEyXkFqcGdeQXVyNzkwMjQ5NzM@._V1_UX67_CR0,0,67,98_AL_.jpg" TargetMode="External"/><Relationship Id="rId563" Type="http://schemas.openxmlformats.org/officeDocument/2006/relationships/hyperlink" Target="https://m.media-amazon.com/images/M/MV5BYjQ4ZDA4NGMtMTkwYi00NThiLThhZDUtZTEzNTAxOWYyY2E4XkEyXkFqcGdeQXVyMjUxODE0MDY@._V1_UX67_CR0,0,67,98_AL_.jpg" TargetMode="External"/><Relationship Id="rId320" Type="http://schemas.openxmlformats.org/officeDocument/2006/relationships/hyperlink" Target="https://m.media-amazon.com/images/M/MV5BNDVkYmYwM2ItNzRiMy00NWQ4LTlhMjMtNDI1ZDYyOGVmMzJjXkEyXkFqcGdeQXVyNTgzMzU5MDI@._V1_UX67_CR0,0,67,98_AL_.jpg" TargetMode="External"/><Relationship Id="rId562" Type="http://schemas.openxmlformats.org/officeDocument/2006/relationships/hyperlink" Target="https://m.media-amazon.com/images/M/MV5BMTk4NDQ0NjgyNF5BMl5BanBnXkFtZTgwMTE3NTkxMTE@._V1_UX67_CR0,0,67,98_AL_.jpg" TargetMode="External"/><Relationship Id="rId316" Type="http://schemas.openxmlformats.org/officeDocument/2006/relationships/hyperlink" Target="https://m.media-amazon.com/images/M/MV5BMTg3MTI5NTk0N15BMl5BanBnXkFtZTgwMjU1MDM5MTE@._V1_UY98_CR2,0,67,98_AL_.jpg" TargetMode="External"/><Relationship Id="rId558" Type="http://schemas.openxmlformats.org/officeDocument/2006/relationships/hyperlink" Target="https://m.media-amazon.com/images/M/MV5BMzg2YTFkNjgtM2ZkNS00MWVkLWIwMTEtZTgzMDM2MmUxNDE2XkEyXkFqcGdeQXVyMjI4MjA5MzA@._V1_UX67_CR0,0,67,98_AL_.jpg" TargetMode="External"/><Relationship Id="rId315" Type="http://schemas.openxmlformats.org/officeDocument/2006/relationships/hyperlink" Target="https://m.media-amazon.com/images/M/MV5BYjUyZWZkM2UtMzYxYy00ZmQ3LWFmZTQtOGE2YjBkNjA3YWZlXkEyXkFqcGdeQXVyNzkwMjQ5NzM@._V1_UX67_CR0,0,67,98_AL_.jpg" TargetMode="External"/><Relationship Id="rId557" Type="http://schemas.openxmlformats.org/officeDocument/2006/relationships/hyperlink" Target="https://m.media-amazon.com/images/M/MV5BNzkwNjk4ODgtYjRmMi00ODdhLWIyNjUtNWQyMjg2N2E2NjlhXkEyXkFqcGdeQXVyNjE5MjUyOTM@._V1_UX67_CR0,0,67,98_AL_.jpg" TargetMode="External"/><Relationship Id="rId799" Type="http://schemas.openxmlformats.org/officeDocument/2006/relationships/hyperlink" Target="https://m.media-amazon.com/images/M/MV5BZDYwYzlhOTAtNDAwMC00ZTBhLWI4M2QtMTA1NmJhYTdiNTkxXkEyXkFqcGdeQXVyNTM0NTU5Mg@@._V1_UX67_CR0,0,67,98_AL_.jpg" TargetMode="External"/><Relationship Id="rId314" Type="http://schemas.openxmlformats.org/officeDocument/2006/relationships/hyperlink" Target="https://m.media-amazon.com/images/M/MV5BZTYwYjYxYzgtMDE1Ni00NzU4LWJlMTEtODQ5YmJmMGJhZjI5L2ltYWdlXkEyXkFqcGdeQXVyMDI2NDg0NQ@@._V1_UX67_CR0,0,67,98_AL_.jpg" TargetMode="External"/><Relationship Id="rId556" Type="http://schemas.openxmlformats.org/officeDocument/2006/relationships/hyperlink" Target="https://m.media-amazon.com/images/M/MV5BOWIzZGUxZmItOThkMS00Y2QxLTg0MTYtMDdhMjRlNTNlYTI3L2ltYWdlXkEyXkFqcGdeQXVyNjc1NTYyMjg@._V1_UX67_CR0,0,67,98_AL_.jpg" TargetMode="External"/><Relationship Id="rId798" Type="http://schemas.openxmlformats.org/officeDocument/2006/relationships/hyperlink" Target="https://m.media-amazon.com/images/M/MV5BMjZkOTdmMWItOTkyNy00MDdjLTlhNTQtYzU3MzdhZjA0ZDEyXkEyXkFqcGdeQXVyMTMxODk2OTU@._V1_UX67_CR0,0,67,98_AL_.jpg" TargetMode="External"/><Relationship Id="rId313" Type="http://schemas.openxmlformats.org/officeDocument/2006/relationships/hyperlink" Target="https://m.media-amazon.com/images/M/MV5BYTcxYWExOTMtMWFmYy00ZjgzLWI0YjktNWEzYzJkZTg0NDdmL2ltYWdlXkEyXkFqcGdeQXVyNjc1NTYyMjg@._V1_UY98_CR0,0,67,98_AL_.jpg" TargetMode="External"/><Relationship Id="rId555" Type="http://schemas.openxmlformats.org/officeDocument/2006/relationships/hyperlink" Target="https://m.media-amazon.com/images/M/MV5BMzE1MzdjNmUtOWU5MS00OTgwLWIzYjYtYTYwYTM0NDkyOTU1XkEyXkFqcGdeQXVyMTY5Nzc4MDY@._V1_UX67_CR0,0,67,98_AL_.jpg" TargetMode="External"/><Relationship Id="rId797" Type="http://schemas.openxmlformats.org/officeDocument/2006/relationships/hyperlink" Target="https://m.media-amazon.com/images/M/MV5BNTIyNThlMjMtMzUyMi00YmEyLTljMmYtMWRhN2Q3ZTllZjA4XkEyXkFqcGdeQXVyMzM4MjM0Nzg@._V1_UY98_CR1,0,67,98_AL_.jpg" TargetMode="External"/><Relationship Id="rId319" Type="http://schemas.openxmlformats.org/officeDocument/2006/relationships/hyperlink" Target="https://m.media-amazon.com/images/M/MV5BM2QwYWQ0MWMtNzcwOC00N2Q2LWE1MDEtZmQxZjhiM2U1YzFhXkEyXkFqcGdeQXVyMTQxNzMzNDI@._V1_UX67_CR0,0,67,98_AL_.jpg" TargetMode="External"/><Relationship Id="rId318" Type="http://schemas.openxmlformats.org/officeDocument/2006/relationships/hyperlink" Target="https://m.media-amazon.com/images/M/MV5BNjBjNDJiYTUtOWY0OS00OGVmLTg2YzctMTE0NzVhODM1ZWJmXkEyXkFqcGdeQXVyNjU0OTQ0OTY@._V1_UX67_CR0,0,67,98_AL_.jpg" TargetMode="External"/><Relationship Id="rId317" Type="http://schemas.openxmlformats.org/officeDocument/2006/relationships/hyperlink" Target="https://m.media-amazon.com/images/M/MV5BYzJmMWE5NjAtNWMyZS00NmFiLWIwMDgtZDE2NzczYWFhNzIzXkEyXkFqcGdeQXVyNjc1NTYyMjg@._V1_UX67_CR0,0,67,98_AL_.jpg" TargetMode="External"/><Relationship Id="rId559" Type="http://schemas.openxmlformats.org/officeDocument/2006/relationships/hyperlink" Target="https://m.media-amazon.com/images/M/MV5BNjRkOGEwYTUtY2E5Yy00ODg4LTk2ZWItY2IyMzUxOGVhMTM1XkEyXkFqcGdeQXVyNDk0MDg4NDk@._V1_UX67_CR0,0,67,98_AL_.jpg" TargetMode="External"/><Relationship Id="rId550" Type="http://schemas.openxmlformats.org/officeDocument/2006/relationships/hyperlink" Target="https://m.media-amazon.com/images/M/MV5BMjc4MTUxN2UtMmU1NC00MjQyLTk3YTYtZTQ0YzEzZDc0Njc0XkEyXkFqcGdeQXVyNjU0OTQ0OTY@._V1_UX67_CR0,0,67,98_AL_.jpg" TargetMode="External"/><Relationship Id="rId792" Type="http://schemas.openxmlformats.org/officeDocument/2006/relationships/hyperlink" Target="https://m.media-amazon.com/images/M/MV5BNjcxMmQ0MmItYTkzYy00MmUyLTlhOTQtMmJmNjE3MDMwYjdlXkEyXkFqcGdeQXVyNzkwMjQ5NzM@._V1_UX67_CR0,0,67,98_AL_.jpg" TargetMode="External"/><Relationship Id="rId791" Type="http://schemas.openxmlformats.org/officeDocument/2006/relationships/hyperlink" Target="https://m.media-amazon.com/images/M/MV5BYWMwMzQxZjQtODM1YS00YmFiLTk1YjQtNzNiYWY1MDE4NTdiXkEyXkFqcGdeQXVyNDYyMDk5MTU@._V1_UX67_CR0,0,67,98_AL_.jpg" TargetMode="External"/><Relationship Id="rId790" Type="http://schemas.openxmlformats.org/officeDocument/2006/relationships/hyperlink" Target="https://m.media-amazon.com/images/M/MV5BZjIwZWU0ZDItNzBlNS00MDIwLWFlZjctZTJjODdjZWYxNzczL2ltYWdlXkEyXkFqcGdeQXVyMTMxODk2OTU@._V1_UX67_CR0,0,67,98_AL_.jpg" TargetMode="External"/><Relationship Id="rId312" Type="http://schemas.openxmlformats.org/officeDocument/2006/relationships/hyperlink" Target="https://m.media-amazon.com/images/M/MV5BNzc1MTcyNTQ5N15BMl5BanBnXkFtZTgwMzgwMDI0MjE@._V1_UX67_CR0,0,67,98_AL_.jpg" TargetMode="External"/><Relationship Id="rId554" Type="http://schemas.openxmlformats.org/officeDocument/2006/relationships/hyperlink" Target="https://m.media-amazon.com/images/M/MV5BYWQ3YWJiMDEtMDBhNS00YjY1LTkzNmEtY2U4Njg4MjQ3YWE3XkEyXkFqcGdeQXVyNzkwMjQ5NzM@._V1_UX67_CR0,0,67,98_AL_.jpg" TargetMode="External"/><Relationship Id="rId796" Type="http://schemas.openxmlformats.org/officeDocument/2006/relationships/hyperlink" Target="https://m.media-amazon.com/images/M/MV5BYzVmYzVkMmUtOGRhMi00MTNmLThlMmUtZTljYjlkMjNkMjJkXkEyXkFqcGdeQXVyNDk3NzU2MTQ@._V1_UX67_CR0,0,67,98_AL_.jpg" TargetMode="External"/><Relationship Id="rId311" Type="http://schemas.openxmlformats.org/officeDocument/2006/relationships/hyperlink" Target="https://m.media-amazon.com/images/M/MV5BOWRmNGEwZjUtZjEwNS00OGZmLThhMmEtZTJlMTU5MGQ3ZWUwXkEyXkFqcGdeQXVyNjc1NTYyMjg@._V1_UX67_CR0,0,67,98_AL_.jpg" TargetMode="External"/><Relationship Id="rId553" Type="http://schemas.openxmlformats.org/officeDocument/2006/relationships/hyperlink" Target="https://m.media-amazon.com/images/M/MV5BODcxYjUxZDgtYTQ5Zi00YmQ1LWJmZmItODZkOTYyNDhiNWM3XkEyXkFqcGdeQXVyNjc1NTYyMjg@._V1_UX67_CR0,0,67,98_AL_.jpg" TargetMode="External"/><Relationship Id="rId795" Type="http://schemas.openxmlformats.org/officeDocument/2006/relationships/hyperlink" Target="https://m.media-amazon.com/images/M/MV5BZGY5NWUyNDUtZWJhZi00ZjMxLWFmMjMtYmJhZjVkZGZhNWQ4XkEyXkFqcGdeQXVyMTQxNzMzNDI@._V1_UX67_CR0,0,67,98_AL_.jpg" TargetMode="External"/><Relationship Id="rId310" Type="http://schemas.openxmlformats.org/officeDocument/2006/relationships/hyperlink" Target="https://m.media-amazon.com/images/M/MV5BYjE2OTdhMWUtOGJlMy00ZDViLWIzZjgtYjZkZGZmMDZjYmEyXkEyXkFqcGdeQXVyNzkwMjQ5NzM@._V1_UX67_CR0,0,67,98_AL_.jpg" TargetMode="External"/><Relationship Id="rId552" Type="http://schemas.openxmlformats.org/officeDocument/2006/relationships/hyperlink" Target="https://m.media-amazon.com/images/M/MV5BMzY2NTA1MzUwN15BMl5BanBnXkFtZTgwOTc4NTU4MjE@._V1_UX67_CR0,0,67,98_AL_.jpg" TargetMode="External"/><Relationship Id="rId794" Type="http://schemas.openxmlformats.org/officeDocument/2006/relationships/hyperlink" Target="https://m.media-amazon.com/images/M/MV5BNGY3NWYwNzctNWU5Yi00ZjljLTgyNDgtZjNhZjRlNjc0ZTU1XkEyXkFqcGdeQXVyMTQxNzMzNDI@._V1_UX67_CR0,0,67,98_AL_.jpg" TargetMode="External"/><Relationship Id="rId551" Type="http://schemas.openxmlformats.org/officeDocument/2006/relationships/hyperlink" Target="https://m.media-amazon.com/images/M/MV5BZDFlODBmZTYtMWU4MS00MzY4LWFmYzYtYzAzZmU1MGUzMDE5XkEyXkFqcGdeQXVyNTc1NDM0NDU@._V1_UY98_CR1,0,67,98_AL_.jpg" TargetMode="External"/><Relationship Id="rId793" Type="http://schemas.openxmlformats.org/officeDocument/2006/relationships/hyperlink" Target="https://m.media-amazon.com/images/M/MV5BNThiMDc1YjUtYmE3Zi00MTM1LTkzM2MtNjdlNzQ4ZDlmYjRmXkEyXkFqcGdeQXVyMTQxNzMzNDI@._V1_UY98_CR1,0,67,98_AL_.jpg" TargetMode="External"/><Relationship Id="rId297" Type="http://schemas.openxmlformats.org/officeDocument/2006/relationships/hyperlink" Target="https://m.media-amazon.com/images/M/MV5BYTYzYzBhYjQtNDQxYS00MmUwLTkyZjgtZWVkOWFjNzE5OTI2XkEyXkFqcGdeQXVyNjMxMjkwMjI@._V1_UX67_CR0,0,67,98_AL_.jpg" TargetMode="External"/><Relationship Id="rId296" Type="http://schemas.openxmlformats.org/officeDocument/2006/relationships/hyperlink" Target="https://m.media-amazon.com/images/M/MV5BMGEyNzhkYzktMGMyZS00YzRiLWJlYjktZjJkOTU5ZDY0ZGI4XkEyXkFqcGdeQXVyNjUwNzk3NDc@._V1_UX67_CR0,0,67,98_AL_.jpg" TargetMode="External"/><Relationship Id="rId295" Type="http://schemas.openxmlformats.org/officeDocument/2006/relationships/hyperlink" Target="https://m.media-amazon.com/images/M/MV5BZmY3MDlmODctYTY3Yi00NzYyLWIxNTUtYjVlZWZjMmMwZTBkXkEyXkFqcGdeQXVyMzAxNjg3MjQ@._V1_UX67_CR0,0,67,98_AL_.jpg" TargetMode="External"/><Relationship Id="rId294" Type="http://schemas.openxmlformats.org/officeDocument/2006/relationships/hyperlink" Target="https://m.media-amazon.com/images/M/MV5BZmI0M2VmNTgtMWVhYS00Zjg1LTk1YTYtNmJmMjRkZmMwYTc2XkEyXkFqcGdeQXVyNTA4NzY1MzY@._V1_UX67_CR0,0,67,98_AL_.jpg" TargetMode="External"/><Relationship Id="rId299" Type="http://schemas.openxmlformats.org/officeDocument/2006/relationships/hyperlink" Target="https://m.media-amazon.com/images/M/MV5BMGQ5ODNkNWYtYTgxZS00YjJkLThhODAtYzUwNGNiYjRmNjdkXkEyXkFqcGdeQXVyMTg2NTc4MzA@._V1_UY98_CR4,0,67,98_AL_.jpg" TargetMode="External"/><Relationship Id="rId298" Type="http://schemas.openxmlformats.org/officeDocument/2006/relationships/hyperlink" Target="https://m.media-amazon.com/images/M/MV5BZjgyMzZkMGUtNTBhZC00OTkzLWI4ZmMtYzcwMzc5MjQ0YTM3XkEyXkFqcGdeQXVyMTMxMTY0OTQ@._V1_UY98_CR3,0,67,98_AL_.jpg" TargetMode="External"/><Relationship Id="rId271" Type="http://schemas.openxmlformats.org/officeDocument/2006/relationships/hyperlink" Target="https://m.media-amazon.com/images/M/MV5BZWFkN2ZhODAtYTNkZS00Y2NjLWIzNDYtNzJjNDNlMzAyNTIyXkEyXkFqcGdeQXVyODEzNjM5OTQ@._V1_UY98_CR1,0,67,98_AL_.jpg" TargetMode="External"/><Relationship Id="rId270" Type="http://schemas.openxmlformats.org/officeDocument/2006/relationships/hyperlink" Target="https://m.media-amazon.com/images/M/MV5BM2RjMmU3ZWItYzBlMy00ZmJkLWE5YzgtNTVkODdhOWM3NGZhXkEyXkFqcGdeQXVyNDA5Mjg5MjA@._V1_UX67_CR0,0,67,98_AL_.jpg" TargetMode="External"/><Relationship Id="rId269" Type="http://schemas.openxmlformats.org/officeDocument/2006/relationships/hyperlink" Target="https://m.media-amazon.com/images/M/MV5BMzRjZjdlMjQtODVkYS00N2YzLWJlYWYtMGVlN2E5MWEwMWQzXkEyXkFqcGdeQXVyMTQxNzMzNDI@._V1_UX67_CR0,0,67,98_AL_.jpg" TargetMode="External"/><Relationship Id="rId264" Type="http://schemas.openxmlformats.org/officeDocument/2006/relationships/hyperlink" Target="https://m.media-amazon.com/images/M/MV5BMmYyOTgwYWItYmU3Ny00M2E2LTk0NWMtMDVlNmQ0MWZiMTMxXkEyXkFqcGdeQXVyNzkwMjQ5NzM@._V1_UX67_CR0,0,67,98_AL_.jpg" TargetMode="External"/><Relationship Id="rId263" Type="http://schemas.openxmlformats.org/officeDocument/2006/relationships/hyperlink" Target="https://m.media-amazon.com/images/M/MV5BMjM2MDgxMDg0Nl5BMl5BanBnXkFtZTgwNTM2OTM5NDE@._V1_UX67_CR0,0,67,98_AL_.jpg" TargetMode="External"/><Relationship Id="rId262" Type="http://schemas.openxmlformats.org/officeDocument/2006/relationships/hyperlink" Target="https://m.media-amazon.com/images/M/MV5BMGQ5MzljNzYtMDM1My00NmI0LThlYzQtMTg0ZmQ0MTk1YjkxXkEyXkFqcGdeQXVyNTAyODkwOQ@@._V1_UY98_CR1,0,67,98_AL_.jpg" TargetMode="External"/><Relationship Id="rId261" Type="http://schemas.openxmlformats.org/officeDocument/2006/relationships/hyperlink" Target="https://m.media-amazon.com/images/M/MV5BYTg1MmNiMjItMmY4Yy00ZDQ3LThjMzYtZGQ0ZTQzNTdkMGQ1L2ltYWdlL2ltYWdlXkEyXkFqcGdeQXVyMTQxNzMzNDI@._V1_UX67_CR0,0,67,98_AL_.jpg" TargetMode="External"/><Relationship Id="rId268" Type="http://schemas.openxmlformats.org/officeDocument/2006/relationships/hyperlink" Target="https://m.media-amazon.com/images/M/MV5BODJmY2Y2OGQtMDg2My00N2Q3LWJmZTUtYTc2ODBjZDVlNDlhXkEyXkFqcGdeQXVyMTQxNzMzNDI@._V1_UX67_CR0,0,67,98_AL_.jpg" TargetMode="External"/><Relationship Id="rId267" Type="http://schemas.openxmlformats.org/officeDocument/2006/relationships/hyperlink" Target="https://m.media-amazon.com/images/M/MV5BOGYwYWNjMzgtNGU4ZC00NWQ2LWEwZjUtMzE1Zjc3NjY3YTU1XkEyXkFqcGdeQXVyMTQxNzMzNDI@._V1_UX67_CR0,0,67,98_AL_.jpg" TargetMode="External"/><Relationship Id="rId266" Type="http://schemas.openxmlformats.org/officeDocument/2006/relationships/hyperlink" Target="https://m.media-amazon.com/images/M/MV5BMjEzNjY5NDcwNV5BMl5BanBnXkFtZTcwNzEwMzg4NA@@._V1_UX67_CR0,0,67,98_AL_.jpg" TargetMode="External"/><Relationship Id="rId265" Type="http://schemas.openxmlformats.org/officeDocument/2006/relationships/hyperlink" Target="https://m.media-amazon.com/images/M/MV5BYmFhZmM3Y2MtNDA1Ny00NjkzLWJkM2EtYWU1ZjEwYmNjZDQ0XkEyXkFqcGdeQXVyMTMxMTY0OTQ@._V1_UX67_CR0,0,67,98_AL_.jpg" TargetMode="External"/><Relationship Id="rId260" Type="http://schemas.openxmlformats.org/officeDocument/2006/relationships/hyperlink" Target="https://m.media-amazon.com/images/M/MV5BZDdiZTAwYzAtMDI3Ni00OTRjLTkzN2UtMGE3MDMyZmU4NTU4XkEyXkFqcGdeQXVyNjU0OTQ0OTY@._V1_UX67_CR0,0,67,98_AL_.jpg" TargetMode="External"/><Relationship Id="rId259" Type="http://schemas.openxmlformats.org/officeDocument/2006/relationships/hyperlink" Target="https://m.media-amazon.com/images/M/MV5BYmNjYzRlM2YtZTZjZC00ODVmLTljZWMtODg1YmYyNDBiNzU3XkEyXkFqcGdeQXVyNTkzNDQ4ODc@._V1_UY98_CR3,0,67,98_AL_.jpg" TargetMode="External"/><Relationship Id="rId258" Type="http://schemas.openxmlformats.org/officeDocument/2006/relationships/hyperlink" Target="https://m.media-amazon.com/images/M/MV5BNDNiOTA5YjktY2Q0Ni00ODgzLWE5MWItNGExOWRlYjY2MjBlXkEyXkFqcGdeQXVyNjQ2MjQ5NzM@._V1_UY98_CR1,0,67,98_AL_.jpg" TargetMode="External"/><Relationship Id="rId253" Type="http://schemas.openxmlformats.org/officeDocument/2006/relationships/hyperlink" Target="https://m.media-amazon.com/images/M/MV5BMTQ0NjUzMDMyOF5BMl5BanBnXkFtZTgwODA1OTU0MDE@._V1_UX67_CR0,0,67,98_AL_.jpg" TargetMode="External"/><Relationship Id="rId495" Type="http://schemas.openxmlformats.org/officeDocument/2006/relationships/hyperlink" Target="https://m.media-amazon.com/images/M/MV5BMTUwOGFiM2QtOWMxYS00MjU2LThmZDMtZDM2MWMzNzllNjdhXkEyXkFqcGdeQXVyMTMxODk2OTU@._V1_UX67_CR0,0,67,98_AL_.jpg" TargetMode="External"/><Relationship Id="rId252" Type="http://schemas.openxmlformats.org/officeDocument/2006/relationships/hyperlink" Target="https://m.media-amazon.com/images/M/MV5BMmExZTZhN2QtMzg5Mi00Y2M5LTlmMWYtNTUzMzUwMGM2OGQ3XkEyXkFqcGdeQXVyNTA4NzY1MzY@._V1_UX67_CR0,0,67,98_AL_.jpg" TargetMode="External"/><Relationship Id="rId494" Type="http://schemas.openxmlformats.org/officeDocument/2006/relationships/hyperlink" Target="https://m.media-amazon.com/images/M/MV5BMjE5NDQ5OTE4Ml5BMl5BanBnXkFtZTcwOTE3NDIzMw@@._V1_UX67_CR0,0,67,98_AL_.jpg" TargetMode="External"/><Relationship Id="rId251" Type="http://schemas.openxmlformats.org/officeDocument/2006/relationships/hyperlink" Target="https://m.media-amazon.com/images/M/MV5BMDIzODcyY2EtMmY2MC00ZWVlLTgwMzAtMjQwOWUyNmJjNTYyXkEyXkFqcGdeQXVyNDk3NzU2MTQ@._V1_UX67_CR0,0,67,98_AL_.jpg" TargetMode="External"/><Relationship Id="rId493" Type="http://schemas.openxmlformats.org/officeDocument/2006/relationships/hyperlink" Target="https://m.media-amazon.com/images/M/MV5BYzU1YWUzNjYtNmVhZi00ODUyLTg4M2ItMTFlMmU1Mzc5OTE5XkEyXkFqcGdeQXVyMTMxODk2OTU@._V1_UY98_CR1,0,67,98_AL_.jpg" TargetMode="External"/><Relationship Id="rId250" Type="http://schemas.openxmlformats.org/officeDocument/2006/relationships/hyperlink" Target="https://m.media-amazon.com/images/M/MV5BMzIwOTdmNjQtOWQ1ZS00ZWQ4LWIxYTMtOWFkM2NjODJiMGY4L2ltYWdlL2ltYWdlXkEyXkFqcGdeQXVyNTI4MjkwNjA@._V1_UX67_CR0,0,67,98_AL_.jpg" TargetMode="External"/><Relationship Id="rId492" Type="http://schemas.openxmlformats.org/officeDocument/2006/relationships/hyperlink" Target="https://m.media-amazon.com/images/M/MV5BMTYzNDc2MDc0N15BMl5BanBnXkFtZTgwOTcwMDQ5MTE@._V1_UX67_CR0,0,67,98_AL_.jpg" TargetMode="External"/><Relationship Id="rId257" Type="http://schemas.openxmlformats.org/officeDocument/2006/relationships/hyperlink" Target="https://m.media-amazon.com/images/M/MV5BNzI4YTVmMWEtMWQ3MS00OGE1LWE5YjMtNjc4NWJmYjRmZTQyXkEyXkFqcGdeQXVyNTA4NzY1MzY@._V1_UY98_CR0,0,67,98_AL_.jpg" TargetMode="External"/><Relationship Id="rId499" Type="http://schemas.openxmlformats.org/officeDocument/2006/relationships/hyperlink" Target="https://m.media-amazon.com/images/M/MV5BNTg2OTY2ODg5OF5BMl5BanBnXkFtZTcwODM5MTYxOA@@._V1_UX67_CR0,0,67,98_AL_.jpg" TargetMode="External"/><Relationship Id="rId256" Type="http://schemas.openxmlformats.org/officeDocument/2006/relationships/hyperlink" Target="https://m.media-amazon.com/images/M/MV5BNDJiZDgyZjctYmRjMS00ZjdkLTkwMTEtNGU1NDg3NDQ0Yzk1XkEyXkFqcGdeQXVyNzkwMjQ5NzM@._V1_UX67_CR0,0,67,98_AL_.jpg" TargetMode="External"/><Relationship Id="rId498" Type="http://schemas.openxmlformats.org/officeDocument/2006/relationships/hyperlink" Target="https://m.media-amazon.com/images/M/MV5BMjAzODUwMjM1M15BMl5BanBnXkFtZTcwNjU2MjU2MQ@@._V1_UX67_CR0,0,67,98_AL_.jpg" TargetMode="External"/><Relationship Id="rId255" Type="http://schemas.openxmlformats.org/officeDocument/2006/relationships/hyperlink" Target="https://m.media-amazon.com/images/M/MV5BMzA5Zjc3ZTMtMmU5YS00YTMwLWI4MWUtYTU0YTVmNjVmODZhXkEyXkFqcGdeQXVyNjU0OTQ0OTY@._V1_UX67_CR0,0,67,98_AL_.jpg" TargetMode="External"/><Relationship Id="rId497" Type="http://schemas.openxmlformats.org/officeDocument/2006/relationships/hyperlink" Target="https://m.media-amazon.com/images/M/MV5BMjE0NzgwODI4M15BMl5BanBnXkFtZTcwNjg3OTA0MQ@@._V1_UX67_CR0,0,67,98_AL_.jpg" TargetMode="External"/><Relationship Id="rId254" Type="http://schemas.openxmlformats.org/officeDocument/2006/relationships/hyperlink" Target="https://m.media-amazon.com/images/M/MV5BYjZjODRlMjQtMjJlYy00ZDBjLTkyYTQtZGQxZTk5NzJhYmNmXkEyXkFqcGdeQXVyMTQxNzMzNDI@._V1_UY98_CR1,0,67,98_AL_.jpg" TargetMode="External"/><Relationship Id="rId496" Type="http://schemas.openxmlformats.org/officeDocument/2006/relationships/hyperlink" Target="https://m.media-amazon.com/images/M/MV5BMzQ5NGQwOTUtNWJlZi00ZTFiLWI0ZTEtOGU3MTA2ZGU5OWZiXkEyXkFqcGdeQXVyMTczNjQwOTY@._V1_UX67_CR0,0,67,98_AL_.jpg" TargetMode="External"/><Relationship Id="rId293" Type="http://schemas.openxmlformats.org/officeDocument/2006/relationships/hyperlink" Target="https://m.media-amazon.com/images/M/MV5BZTg3M2ExY2EtZmI5Yy00YWM1LTg4NzItZWEzZTgxNzE2MjhhXkEyXkFqcGdeQXVyNDE5MTU2MDE@._V1_UX67_CR0,0,67,98_AL_.jpg" TargetMode="External"/><Relationship Id="rId292" Type="http://schemas.openxmlformats.org/officeDocument/2006/relationships/hyperlink" Target="https://m.media-amazon.com/images/M/MV5BZWEzMGY4OTQtYTdmMy00M2QwLTliYTQtYWUzYzc3OTA5YzIwXkEyXkFqcGdeQXVyNjc1NTYyMjg@._V1_UY98_CR1,0,67,98_AL_.jpg" TargetMode="External"/><Relationship Id="rId291" Type="http://schemas.openxmlformats.org/officeDocument/2006/relationships/hyperlink" Target="https://m.media-amazon.com/images/M/MV5BNjM2MjMwNzUzN15BMl5BanBnXkFtZTgwMjEzMzE5MTE@._V1_UY98_CR2,0,67,98_AL_.jpg" TargetMode="External"/><Relationship Id="rId290" Type="http://schemas.openxmlformats.org/officeDocument/2006/relationships/hyperlink" Target="https://m.media-amazon.com/images/M/MV5BMTM0YzExY2EtMjUyZi00ZmIwLWFkYTktNjY5NmVkYTdkMjI5XkEyXkFqcGdeQXVyNzQxNDExNTU@._V1_UY98_CR0,0,67,98_AL_.jpg" TargetMode="External"/><Relationship Id="rId286" Type="http://schemas.openxmlformats.org/officeDocument/2006/relationships/hyperlink" Target="https://m.media-amazon.com/images/M/MV5BMTg3NzYzOTEtNmE2Ni00M2EyLWJhMjctNjMyMTk4ZTViOGUzXkEyXkFqcGdeQXVyNzQxNDExNTU@._V1_UY98_CR0,0,67,98_AL_.jpg" TargetMode="External"/><Relationship Id="rId285" Type="http://schemas.openxmlformats.org/officeDocument/2006/relationships/hyperlink" Target="https://m.media-amazon.com/images/M/MV5BOWVmYzQwY2MtOTBjNi00MDNhLWI5OGMtN2RiMDYxODI3MjU5XkEyXkFqcGdeQXVyMjUzOTY1NTc@._V1_UX67_CR0,0,67,98_AL_.jpg" TargetMode="External"/><Relationship Id="rId284" Type="http://schemas.openxmlformats.org/officeDocument/2006/relationships/hyperlink" Target="https://m.media-amazon.com/images/M/MV5BOGMwYmY5ZmEtMzY1Yi00OWJiLTk1Y2MtMzI2MjBhYmZkNTQ0XkEyXkFqcGdeQXVyNzkwMjQ5NzM@._V1_UX67_CR0,0,67,98_AL_.jpg" TargetMode="External"/><Relationship Id="rId283" Type="http://schemas.openxmlformats.org/officeDocument/2006/relationships/hyperlink" Target="https://m.media-amazon.com/images/M/MV5BMTg1MDg3OTk3M15BMl5BanBnXkFtZTgwMDEzMzE5MTE@._V1_UY98_CR0,0,67,98_AL_.jpg" TargetMode="External"/><Relationship Id="rId289" Type="http://schemas.openxmlformats.org/officeDocument/2006/relationships/hyperlink" Target="https://m.media-amazon.com/images/M/MV5BOWFlNzZhYmYtYTI5YS00MDQyLWIyNTUtNTRjMWUwNTEzNjA0XkEyXkFqcGdeQXVyNjUwNzk3NDc@._V1_UX67_CR0,0,67,98_AL_.jpg" TargetMode="External"/><Relationship Id="rId288" Type="http://schemas.openxmlformats.org/officeDocument/2006/relationships/hyperlink" Target="https://m.media-amazon.com/images/M/MV5BMWFjZjRiM2QtZmRkOC00MDUxLTlhYmQtYmY5ZTNiMTI5Nzc2L2ltYWdlXkEyXkFqcGdeQXVyNTAyODkwOQ@@._V1_UX67_CR0,0,67,98_AL_.jpg" TargetMode="External"/><Relationship Id="rId287" Type="http://schemas.openxmlformats.org/officeDocument/2006/relationships/hyperlink" Target="https://m.media-amazon.com/images/M/MV5BZmY4Yjc0OWQtZDRhMy00ODc2LWI2NGYtMWFlODYyN2VlNDQyXkEyXkFqcGdeQXVyNjU0OTQ0OTY@._V1_UY98_CR1,0,67,98_AL_.jpg" TargetMode="External"/><Relationship Id="rId282" Type="http://schemas.openxmlformats.org/officeDocument/2006/relationships/hyperlink" Target="https://m.media-amazon.com/images/M/MV5BNmY0MWY2NDctZDdmMi00MjA1LTk0ZTQtZDMyZTQ1NTNlYzVjXkEyXkFqcGdeQXVyMjUzOTY1NTc@._V1_UX67_CR0,0,67,98_AL_.jpg" TargetMode="External"/><Relationship Id="rId281" Type="http://schemas.openxmlformats.org/officeDocument/2006/relationships/hyperlink" Target="https://m.media-amazon.com/images/M/MV5BZGNjYjM2MzItZGQzZi00NmY3LTgxOGUtMTQ2MWQxNWQ2MmMwXkEyXkFqcGdeQXVyNzM0MTUwNTY@._V1_UX67_CR0,0,67,98_AL_.jpg" TargetMode="External"/><Relationship Id="rId280" Type="http://schemas.openxmlformats.org/officeDocument/2006/relationships/hyperlink" Target="https://m.media-amazon.com/images/M/MV5BMTY5MDMzODUyOF5BMl5BanBnXkFtZTcwMTQ3NTMyNA@@._V1_UX67_CR0,0,67,98_AL_.jpg" TargetMode="External"/><Relationship Id="rId275" Type="http://schemas.openxmlformats.org/officeDocument/2006/relationships/hyperlink" Target="https://m.media-amazon.com/images/M/MV5BZmQzMDE5ZWQtOTU3ZS00ZjdhLWI0OTctZDNkODk4YThmOTRhL2ltYWdlXkEyXkFqcGdeQXVyNjc1NTYyMjg@._V1_UX67_CR0,0,67,98_AL_.jpg" TargetMode="External"/><Relationship Id="rId274" Type="http://schemas.openxmlformats.org/officeDocument/2006/relationships/hyperlink" Target="https://m.media-amazon.com/images/M/MV5BYjIzNTYxMTctZjAwNS00YzI3LWExMGMtMGQxNGM5ZTc1NzhlXkEyXkFqcGdeQXVyMTQxNzMzNDI@._V1_UX67_CR0,0,67,98_AL_.jpg" TargetMode="External"/><Relationship Id="rId273" Type="http://schemas.openxmlformats.org/officeDocument/2006/relationships/hyperlink" Target="https://m.media-amazon.com/images/M/MV5BZDhlZTYxOTYtYTk3Ny00ZDljLTk3ZmItZTcxZWU5YTIyYmFkXkEyXkFqcGdeQXVyMTQxNzMzNDI@._V1_UX67_CR0,0,67,98_AL_.jpg" TargetMode="External"/><Relationship Id="rId272" Type="http://schemas.openxmlformats.org/officeDocument/2006/relationships/hyperlink" Target="https://m.media-amazon.com/images/M/MV5BNGViZWZmM2EtNGYzZi00ZDAyLTk3ODMtNzIyZTBjN2Y1NmM1XkEyXkFqcGdeQXVyNTAyODkwOQ@@._V1_UX67_CR0,0,67,98_AL_.jpg" TargetMode="External"/><Relationship Id="rId279" Type="http://schemas.openxmlformats.org/officeDocument/2006/relationships/hyperlink" Target="https://m.media-amazon.com/images/M/MV5BNDhmNTA0ZDMtYjhkNS00NzEzLWIzYTItOGNkMTVmYjE2YmI3XkEyXkFqcGdeQXVyNzkwMjQ5NzM@._V1_UX67_CR0,0,67,98_AL_.jpg" TargetMode="External"/><Relationship Id="rId278" Type="http://schemas.openxmlformats.org/officeDocument/2006/relationships/hyperlink" Target="https://m.media-amazon.com/images/M/MV5BMzAwNjU1OTktYjY3Mi00NDY5LWFlZWUtZjhjNGE0OTkwZDkwXkEyXkFqcGdeQXVyMTQxNzMzNDI@._V1_UX67_CR0,0,67,98_AL_.jpg" TargetMode="External"/><Relationship Id="rId277" Type="http://schemas.openxmlformats.org/officeDocument/2006/relationships/hyperlink" Target="https://m.media-amazon.com/images/M/MV5BMDVjNjIwOGItNDE3Ny00OThjLWE0NzQtZTU3YjMzZTZjMzhkXkEyXkFqcGdeQXVyMTQxNzMzNDI@._V1_UX67_CR0,0,67,98_AL_.jpg" TargetMode="External"/><Relationship Id="rId276" Type="http://schemas.openxmlformats.org/officeDocument/2006/relationships/hyperlink" Target="https://m.media-amazon.com/images/M/MV5BNzQzMzJhZTEtOWM4NS00MTdhLTg0YjgtMjM4MDRkZjUwZDBlXkEyXkFqcGdeQXVyNjU0OTQ0OTY@._V1_UX67_CR0,0,67,98_AL_.jpg" TargetMode="External"/><Relationship Id="rId907" Type="http://schemas.openxmlformats.org/officeDocument/2006/relationships/hyperlink" Target="https://m.media-amazon.com/images/M/MV5BMTY3NjY0MTQ0Nl5BMl5BanBnXkFtZTcwMzQ2MTc0Mw@@._V1_UX67_CR0,0,67,98_AL_.jpg" TargetMode="External"/><Relationship Id="rId906" Type="http://schemas.openxmlformats.org/officeDocument/2006/relationships/hyperlink" Target="https://m.media-amazon.com/images/M/MV5BNDY2OTE5MzE0Nl5BMl5BanBnXkFtZTcwNDAyOTc2NA@@._V1_UX67_CR0,0,67,98_AL_.jpg" TargetMode="External"/><Relationship Id="rId905" Type="http://schemas.openxmlformats.org/officeDocument/2006/relationships/hyperlink" Target="https://m.media-amazon.com/images/M/MV5BODhkZDIzNjgtOTA5ZS00MmMzLWFkNjYtM2Y2MzFjN2FkNjAzL2ltYWdlXkEyXkFqcGdeQXVyNTAyODkwOQ@@._V1_UY98_CR1,0,67,98_AL_.jpg" TargetMode="External"/><Relationship Id="rId904" Type="http://schemas.openxmlformats.org/officeDocument/2006/relationships/hyperlink" Target="https://m.media-amazon.com/images/M/MV5BNmE5ZmE3OGItNTdlNC00YmMxLWEzNjctYzAwOGQ5ODg0OTI0XkEyXkFqcGdeQXVyMTMxODk2OTU@._V1_UX67_CR0,0,67,98_AL_.jpg" TargetMode="External"/><Relationship Id="rId909" Type="http://schemas.openxmlformats.org/officeDocument/2006/relationships/hyperlink" Target="https://m.media-amazon.com/images/M/MV5BMTMzNzEzMDYxM15BMl5BanBnXkFtZTcwMTc0NTMxMw@@._V1_UX67_CR0,0,67,98_AL_.jpg" TargetMode="External"/><Relationship Id="rId908" Type="http://schemas.openxmlformats.org/officeDocument/2006/relationships/hyperlink" Target="https://m.media-amazon.com/images/M/MV5BNjg3ODQyNTIyN15BMl5BanBnXkFtZTcwMjUzNzM5NQ@@._V1_UX67_CR0,0,67,98_AL_.jpg" TargetMode="External"/><Relationship Id="rId903" Type="http://schemas.openxmlformats.org/officeDocument/2006/relationships/hyperlink" Target="https://m.media-amazon.com/images/M/MV5BZDY3ZGI0ZDAtMThlNy00MzAxLTg4YjAtNjkwYTkxNmQ4MjdlXkEyXkFqcGdeQXVyMTMxODk2OTU@._V1_UX67_CR0,0,67,98_AL_.jpg" TargetMode="External"/><Relationship Id="rId902" Type="http://schemas.openxmlformats.org/officeDocument/2006/relationships/hyperlink" Target="https://m.media-amazon.com/images/M/MV5BMjMxNjU0ODU5Ml5BMl5BanBnXkFtZTcwNjI4MzAyOA@@._V1_UX67_CR0,0,67,98_AL_.jpg" TargetMode="External"/><Relationship Id="rId901" Type="http://schemas.openxmlformats.org/officeDocument/2006/relationships/hyperlink" Target="https://m.media-amazon.com/images/M/MV5BZGIxODNjM2YtZjA5Mi00MjA5LTk2YjItODE0OWI5NThjNTBmXkEyXkFqcGdeQXVyNzQ1ODk3MTQ@._V1_UX67_CR0,0,67,98_AL_.jpg" TargetMode="External"/><Relationship Id="rId900" Type="http://schemas.openxmlformats.org/officeDocument/2006/relationships/hyperlink" Target="https://m.media-amazon.com/images/M/MV5BNGMxZjFkN2EtMDRiMS00ZTBjLWI0M2MtZWUyYjFhZGViZDJlXkEyXkFqcGdeQXVyMTMxODk2OTU@._V1_UX67_CR0,0,67,98_AL_.jpg" TargetMode="External"/><Relationship Id="rId929" Type="http://schemas.openxmlformats.org/officeDocument/2006/relationships/hyperlink" Target="https://m.media-amazon.com/images/M/MV5BNWMxYTZlOTUtZDExMi00YzZmLTkwYTMtZmM2MmRjZmQ3OGY4XkEyXkFqcGdeQXVyMTAwMzUyMzUy._V1_UX67_CR0,0,67,98_AL_.jpg" TargetMode="External"/><Relationship Id="rId928" Type="http://schemas.openxmlformats.org/officeDocument/2006/relationships/hyperlink" Target="https://m.media-amazon.com/images/M/MV5BNzU3NDg4NTAyNV5BMl5BanBnXkFtZTcwOTg2ODg1Mg@@._V1_UX67_CR0,0,67,98_AL_.jpg" TargetMode="External"/><Relationship Id="rId927" Type="http://schemas.openxmlformats.org/officeDocument/2006/relationships/hyperlink" Target="https://m.media-amazon.com/images/M/MV5BMTI5Mzk1MDc2M15BMl5BanBnXkFtZTcwMjIzMDA0MQ@@._V1_UX67_CR0,0,67,98_AL_.jpg" TargetMode="External"/><Relationship Id="rId926" Type="http://schemas.openxmlformats.org/officeDocument/2006/relationships/hyperlink" Target="https://m.media-amazon.com/images/M/MV5BY2VkMzZlZDAtNTkzNS00MDIzLWFmOTctMWQwZjQ1OWJiYzQ1XkEyXkFqcGdeQXVyNTIzOTk5ODM@._V1_UY98_CR1,0,67,98_AL_.jpg" TargetMode="External"/><Relationship Id="rId921" Type="http://schemas.openxmlformats.org/officeDocument/2006/relationships/hyperlink" Target="https://m.media-amazon.com/images/M/MV5BMjEzMjEzNTIzOF5BMl5BanBnXkFtZTcwMTg2MjAyMw@@._V1_UY98_CR0,0,67,98_AL_.jpg" TargetMode="External"/><Relationship Id="rId920" Type="http://schemas.openxmlformats.org/officeDocument/2006/relationships/hyperlink" Target="https://m.media-amazon.com/images/M/MV5BMjkyMTE1OTYwNF5BMl5BanBnXkFtZTcwMDIxODYzMw@@._V1_UX67_CR0,0,67,98_AL_.jpg" TargetMode="External"/><Relationship Id="rId925" Type="http://schemas.openxmlformats.org/officeDocument/2006/relationships/hyperlink" Target="https://m.media-amazon.com/images/M/MV5BMTI5MjA2Mzk2M15BMl5BanBnXkFtZTcwODY1MDUzMQ@@._V1_UX67_CR0,0,67,98_AL_.jpg" TargetMode="External"/><Relationship Id="rId924" Type="http://schemas.openxmlformats.org/officeDocument/2006/relationships/hyperlink" Target="https://m.media-amazon.com/images/M/MV5BOTBmZDZkNWYtODIzYi00N2Y4LWFjMmMtNmM1OGYyNGVhYzUzXkEyXkFqcGdeQXVyNTAyODkwOQ@@._V1_UX67_CR0,0,67,98_AL_.jpg" TargetMode="External"/><Relationship Id="rId923" Type="http://schemas.openxmlformats.org/officeDocument/2006/relationships/hyperlink" Target="https://m.media-amazon.com/images/M/MV5BYmM2NDNiNGItMTRhMi00ZDA2LTgzOWMtZTE2ZjFhMDQ2M2U5XkEyXkFqcGdeQXVyNTAyODkwOQ@@._V1_UX67_CR0,0,67,98_AL_.jpg" TargetMode="External"/><Relationship Id="rId922" Type="http://schemas.openxmlformats.org/officeDocument/2006/relationships/hyperlink" Target="https://m.media-amazon.com/images/M/MV5BYjc4MjA2ZDgtOGY3YS00NDYzLTlmNTEtYWMxMzcwZjgzYWNjXkEyXkFqcGdeQXVyMTQxNzMzNDI@._V1_UX67_CR0,0,67,98_AL_.jpg" TargetMode="External"/><Relationship Id="rId918" Type="http://schemas.openxmlformats.org/officeDocument/2006/relationships/hyperlink" Target="https://m.media-amazon.com/images/M/MV5BMTU0NzY0MTY5OF5BMl5BanBnXkFtZTcwODY3MDEwMg@@._V1_UY98_CR3,0,67,98_AL_.jpg" TargetMode="External"/><Relationship Id="rId917" Type="http://schemas.openxmlformats.org/officeDocument/2006/relationships/hyperlink" Target="https://m.media-amazon.com/images/M/MV5BMTIzNTg3NzkzNV5BMl5BanBnXkFtZTcwNzMwMjU2MQ@@._V1_UX67_CR0,0,67,98_AL_.jpg" TargetMode="External"/><Relationship Id="rId916" Type="http://schemas.openxmlformats.org/officeDocument/2006/relationships/hyperlink" Target="https://m.media-amazon.com/images/M/MV5BMjEzOTE3ODM3OF5BMl5BanBnXkFtZTcwMzYyODI4Mg@@._V1_UX67_CR0,0,67,98_AL_.jpg" TargetMode="External"/><Relationship Id="rId915" Type="http://schemas.openxmlformats.org/officeDocument/2006/relationships/hyperlink" Target="https://m.media-amazon.com/images/M/MV5BMTg0NjEwNjUxM15BMl5BanBnXkFtZTcwMzk0MjQ5Mg@@._V1_UX67_CR0,0,67,98_AL_.jpg" TargetMode="External"/><Relationship Id="rId919" Type="http://schemas.openxmlformats.org/officeDocument/2006/relationships/hyperlink" Target="https://m.media-amazon.com/images/M/MV5BMTcwMzU0OTY3NF5BMl5BanBnXkFtZTYwNzkwNjg2._V1_UX67_CR0,0,67,98_AL_.jpg" TargetMode="External"/><Relationship Id="rId910" Type="http://schemas.openxmlformats.org/officeDocument/2006/relationships/hyperlink" Target="https://m.media-amazon.com/images/M/MV5BMjI2ODE4ODAtMDA3MS00ODNkLTg4N2EtOGU0YjZmNGY4NjZlXkEyXkFqcGdeQXVyMTY5MDE5NA@@._V1_UY98_CR0,0,67,98_AL_.jpg" TargetMode="External"/><Relationship Id="rId914" Type="http://schemas.openxmlformats.org/officeDocument/2006/relationships/hyperlink" Target="https://m.media-amazon.com/images/M/MV5BMzc0ZmUyZjAtZThkMi00ZDY5LTg5YjctYmUwM2FiYjMyMDI5XkEyXkFqcGdeQXVyMTMxODk2OTU@._V1_UX67_CR0,0,67,98_AL_.jpg" TargetMode="External"/><Relationship Id="rId913" Type="http://schemas.openxmlformats.org/officeDocument/2006/relationships/hyperlink" Target="https://m.media-amazon.com/images/M/MV5BMTU5MDg0NTQ1N15BMl5BanBnXkFtZTcwMjA4Mjg3Mg@@._V1_UY98_CR1,0,67,98_AL_.jpg" TargetMode="External"/><Relationship Id="rId912" Type="http://schemas.openxmlformats.org/officeDocument/2006/relationships/hyperlink" Target="https://m.media-amazon.com/images/M/MV5BYmFmNjY5NDYtZjlhNi00YjQ5LTgzNzctNWRiNWUzNmIyNjc4XkEyXkFqcGdeQXVyMTMxODk2OTU@._V1_UY98_CR0,0,67,98_AL_.jpg" TargetMode="External"/><Relationship Id="rId911" Type="http://schemas.openxmlformats.org/officeDocument/2006/relationships/hyperlink" Target="https://m.media-amazon.com/images/M/MV5BMjAxOTU3Mzc1M15BMl5BanBnXkFtZTcwMzk1ODUzNg@@._V1_UX67_CR0,0,67,98_AL_.jpg" TargetMode="External"/><Relationship Id="rId629" Type="http://schemas.openxmlformats.org/officeDocument/2006/relationships/hyperlink" Target="https://m.media-amazon.com/images/M/MV5BNjQ0NTY2ODY2M15BMl5BanBnXkFtZTgwMjE4MzkxMDE@._V1_UX67_CR0,0,67,98_AL_.jpg" TargetMode="External"/><Relationship Id="rId624" Type="http://schemas.openxmlformats.org/officeDocument/2006/relationships/hyperlink" Target="https://m.media-amazon.com/images/M/MV5BMTYwOTEwNjAzMl5BMl5BanBnXkFtZTcwODc5MTUwMw@@._V1_UX67_CR0,0,67,98_AL_.jpg" TargetMode="External"/><Relationship Id="rId866" Type="http://schemas.openxmlformats.org/officeDocument/2006/relationships/hyperlink" Target="https://m.media-amazon.com/images/M/MV5BMzYyNzU0MTM1OF5BMl5BanBnXkFtZTcwMzE1ODE1NA@@._V1_UX67_CR0,0,67,98_AL_.jpg" TargetMode="External"/><Relationship Id="rId623" Type="http://schemas.openxmlformats.org/officeDocument/2006/relationships/hyperlink" Target="https://m.media-amazon.com/images/M/MV5BMjFmZGI2YTEtYmJhMS00YTE5LWJjNjAtNDI5OGY5ZDhmNTRlXkEyXkFqcGdeQXVyODAwMTU1MTE@._V1_UX67_CR0,0,67,98_AL_.jpg" TargetMode="External"/><Relationship Id="rId865" Type="http://schemas.openxmlformats.org/officeDocument/2006/relationships/hyperlink" Target="https://m.media-amazon.com/images/M/MV5BZjM3ZTAzZDYtZmFjZS00YmQ1LWJlOWEtN2I4MDRmYzY5YmRlL2ltYWdlXkEyXkFqcGdeQXVyMjgyNjk3MzE@._V1_UX67_CR0,0,67,98_AL_.jpg" TargetMode="External"/><Relationship Id="rId622" Type="http://schemas.openxmlformats.org/officeDocument/2006/relationships/hyperlink" Target="https://m.media-amazon.com/images/M/MV5BZjY5ZjQyMjMtMmEwOC00Nzc2LTllYTItMmU2MzJjNTg1NjY0XkEyXkFqcGdeQXVyNjQ1MTMzMDQ@._V1_UX67_CR0,0,67,98_AL_.jpg" TargetMode="External"/><Relationship Id="rId864" Type="http://schemas.openxmlformats.org/officeDocument/2006/relationships/hyperlink" Target="https://m.media-amazon.com/images/M/MV5BOWNlMTJmMWUtYjk0MC00M2U4LWI1ODItZDgxNDZiODFmNjc5XkEyXkFqcGdeQXVyMTAwMzUyOTc@._V1_UX67_CR0,0,67,98_AL_.jpg" TargetMode="External"/><Relationship Id="rId621" Type="http://schemas.openxmlformats.org/officeDocument/2006/relationships/hyperlink" Target="https://m.media-amazon.com/images/M/MV5BMGRiYjE0YzItMzk3Zi00ZmYwLWJjNDktYTAwYjIwMjIxYzM3XkEyXkFqcGdeQXVyMTMxODk2OTU@._V1_UX67_CR0,0,67,98_AL_.jpg" TargetMode="External"/><Relationship Id="rId863" Type="http://schemas.openxmlformats.org/officeDocument/2006/relationships/hyperlink" Target="https://m.media-amazon.com/images/M/MV5BMTAxNDA1ODc5MDleQTJeQWpwZ15BbWU4MDg2MDA4OTEx._V1_UX67_CR0,0,67,98_AL_.jpg" TargetMode="External"/><Relationship Id="rId628" Type="http://schemas.openxmlformats.org/officeDocument/2006/relationships/hyperlink" Target="https://m.media-amazon.com/images/M/MV5BMzg4MDJhMDMtYmJiMS00ZDZmLThmZWUtYTMwZDM1YTc5MWE2XkEyXkFqcGdeQXVyNjU0OTQ0OTY@._V1_UX67_CR0,0,67,98_AL_.jpg" TargetMode="External"/><Relationship Id="rId627" Type="http://schemas.openxmlformats.org/officeDocument/2006/relationships/hyperlink" Target="https://m.media-amazon.com/images/M/MV5BMTgzNTgzODU0NV5BMl5BanBnXkFtZTcwMjEyMjMzMQ@@._V1_UX67_CR0,0,67,98_AL_.jpg" TargetMode="External"/><Relationship Id="rId869" Type="http://schemas.openxmlformats.org/officeDocument/2006/relationships/hyperlink" Target="https://m.media-amazon.com/images/M/MV5BMTg2ODcxOTU1OV5BMl5BanBnXkFtZTgwNzA3ODI1MDE@._V1_UX67_CR0,0,67,98_AL_.jpg" TargetMode="External"/><Relationship Id="rId626" Type="http://schemas.openxmlformats.org/officeDocument/2006/relationships/hyperlink" Target="https://m.media-amazon.com/images/M/MV5BMzhmNGMzMDMtZDM0Yi00MmVmLWExYjAtZDhjZjcxZDM0MzJhXkEyXkFqcGdeQXVyNjU0OTQ0OTY@._V1_UX67_CR0,0,67,98_AL_.jpg" TargetMode="External"/><Relationship Id="rId868" Type="http://schemas.openxmlformats.org/officeDocument/2006/relationships/hyperlink" Target="https://m.media-amazon.com/images/M/MV5BYTExYjM3MDYtMzg4MC00MjU4LTljZjAtYzdlMTFmYTJmYTE4XkEyXkFqcGdeQXVyNTAyODkwOQ@@._V1_UX67_CR0,0,67,98_AL_.jpg" TargetMode="External"/><Relationship Id="rId625" Type="http://schemas.openxmlformats.org/officeDocument/2006/relationships/hyperlink" Target="https://m.media-amazon.com/images/M/MV5BMTg4ODkzMDQ3Nl5BMl5BanBnXkFtZTgwNTEwMTkxMDE@._V1_UX67_CR0,0,67,98_AL_.jpg" TargetMode="External"/><Relationship Id="rId867" Type="http://schemas.openxmlformats.org/officeDocument/2006/relationships/hyperlink" Target="https://m.media-amazon.com/images/M/MV5BNzBiMWRhNzQtMjZhZS00NzFmLWE5YWMtOWY4NzIxMjYzZTEyXkEyXkFqcGdeQXVyMzg2MzE2OTE@._V1_UY98_CR3,0,67,98_AL_.jpg" TargetMode="External"/><Relationship Id="rId620" Type="http://schemas.openxmlformats.org/officeDocument/2006/relationships/hyperlink" Target="https://m.media-amazon.com/images/M/MV5BMzgxMzYyNzAyOF5BMl5BanBnXkFtZTcwODY5MjY3MQ@@._V1_UY98_CR1,0,67,98_AL_.jpg" TargetMode="External"/><Relationship Id="rId862" Type="http://schemas.openxmlformats.org/officeDocument/2006/relationships/hyperlink" Target="https://m.media-amazon.com/images/M/MV5BMTQ2MzE0OTU3NV5BMl5BanBnXkFtZTcwNjQxNTgzNA@@._V1_UX67_CR0,0,67,98_AL_.jpg" TargetMode="External"/><Relationship Id="rId861" Type="http://schemas.openxmlformats.org/officeDocument/2006/relationships/hyperlink" Target="https://m.media-amazon.com/images/M/MV5BYzdlYmQ3MWMtMDY3My00MzVmLTg0YmMtYjRlZDUzNjBlMmE0L2ltYWdlL2ltYWdlXkEyXkFqcGdeQXVyNjc1NTYyMjg@._V1_UX67_CR0,0,67,98_AL_.jpg" TargetMode="External"/><Relationship Id="rId860" Type="http://schemas.openxmlformats.org/officeDocument/2006/relationships/hyperlink" Target="https://m.media-amazon.com/images/M/MV5BZTU5ZThjNzAtNjc4NC00OTViLWIxYTYtODFmMTk5Y2NjZjZiL2ltYWdlL2ltYWdlXkEyXkFqcGdeQXVyNjc1NTYyMjg@._V1_UX67_CR0,0,67,98_AL_.jpg" TargetMode="External"/><Relationship Id="rId619" Type="http://schemas.openxmlformats.org/officeDocument/2006/relationships/hyperlink" Target="https://m.media-amazon.com/images/M/MV5BMTcwNTE4MTUxMl5BMl5BanBnXkFtZTcwMDIyODM4OA@@._V1_UX67_CR0,0,67,98_AL_.jpg" TargetMode="External"/><Relationship Id="rId618" Type="http://schemas.openxmlformats.org/officeDocument/2006/relationships/hyperlink" Target="https://m.media-amazon.com/images/M/MV5BYWUxZjJkMDktZmMxMS00Mzg3LTk4MDItN2IwODlmN2E0MTM0XkEyXkFqcGdeQXVyMTMxODk2OTU@._V1_UX67_CR0,0,67,98_AL_.jpg" TargetMode="External"/><Relationship Id="rId613" Type="http://schemas.openxmlformats.org/officeDocument/2006/relationships/hyperlink" Target="https://m.media-amazon.com/images/M/MV5BYjYzOGE1MjUtODgyMy00ZDAxLTljYTgtNzk0Njg2YWQwMTZhXkEyXkFqcGdeQXVyMDM2NDM2MQ@@._V1_UX67_CR0,0,67,98_AL_.jpg" TargetMode="External"/><Relationship Id="rId855" Type="http://schemas.openxmlformats.org/officeDocument/2006/relationships/hyperlink" Target="https://m.media-amazon.com/images/M/MV5BNGE3ZWZiNzktMDIyOC00ZmVhLThjZTktZjQ5NjI4NGVhMDBlXkEyXkFqcGdeQXVyMjI4MjA5MzA@._V1_UX67_CR0,0,67,98_AL_.jpg" TargetMode="External"/><Relationship Id="rId612" Type="http://schemas.openxmlformats.org/officeDocument/2006/relationships/hyperlink" Target="https://m.media-amazon.com/images/M/MV5BMTc2Mjc0MDg3MV5BMl5BanBnXkFtZTcwMjUzMDkxMw@@._V1_UX67_CR0,0,67,98_AL_.jpg" TargetMode="External"/><Relationship Id="rId854" Type="http://schemas.openxmlformats.org/officeDocument/2006/relationships/hyperlink" Target="https://m.media-amazon.com/images/M/MV5BMzdhMTM2YTItOWU2YS00MTM0LTgyNDYtMDM1OWM3NzkzNTM2XkEyXkFqcGdeQXVyNjc1NTYyMjg@._V1_UX67_CR0,0,67,98_AL_.jpg" TargetMode="External"/><Relationship Id="rId611" Type="http://schemas.openxmlformats.org/officeDocument/2006/relationships/hyperlink" Target="https://m.media-amazon.com/images/M/MV5BMTQ2OTYyNzUxOF5BMl5BanBnXkFtZTcwMzUwMDY4Mg@@._V1_UX67_CR0,0,67,98_AL_.jpg" TargetMode="External"/><Relationship Id="rId853" Type="http://schemas.openxmlformats.org/officeDocument/2006/relationships/hyperlink" Target="https://m.media-amazon.com/images/M/MV5BOTZhY2E3NmItMGIwNi00OTA2LThkYmEtODFiZTM0NGI0ZWU5XkEyXkFqcGdeQXVyNTc1NTQxODI@._V1_UY98_CR1,0,67,98_AL_.jpg" TargetMode="External"/><Relationship Id="rId610" Type="http://schemas.openxmlformats.org/officeDocument/2006/relationships/hyperlink" Target="https://m.media-amazon.com/images/M/MV5BMzU0NDY0NDEzNV5BMl5BanBnXkFtZTgwOTIxNDU1MDE@._V1_UX67_CR0,0,67,98_AL_.jpg" TargetMode="External"/><Relationship Id="rId852" Type="http://schemas.openxmlformats.org/officeDocument/2006/relationships/hyperlink" Target="https://m.media-amazon.com/images/M/MV5BZjBhYzU3NWItOWZjMy00NjI5LWFmYmItZmIyOWFlMDIxMWNiXkEyXkFqcGdeQXVyMTQxNzMzNDI@._V1_UX67_CR0,0,67,98_AL_.jpg" TargetMode="External"/><Relationship Id="rId617" Type="http://schemas.openxmlformats.org/officeDocument/2006/relationships/hyperlink" Target="https://m.media-amazon.com/images/M/MV5BMTMzMTc3MjA5NF5BMl5BanBnXkFtZTcwOTk3MDE5MQ@@._V1_UX67_CR0,0,67,98_AL_.jpg" TargetMode="External"/><Relationship Id="rId859" Type="http://schemas.openxmlformats.org/officeDocument/2006/relationships/hyperlink" Target="https://m.media-amazon.com/images/M/MV5BMTRjOTA1NzctNzFmMy00ZjcwLWExYjgtYWQyZDM5ZWY1Y2JlXkEyXkFqcGdeQXVyMDI2NDg0NQ@@._V1_UX67_CR0,0,67,98_AL_.jpg" TargetMode="External"/><Relationship Id="rId616" Type="http://schemas.openxmlformats.org/officeDocument/2006/relationships/hyperlink" Target="https://m.media-amazon.com/images/M/MV5BMTM4NzQ0OTYyOF5BMl5BanBnXkFtZTcwMDkyNjQyMg@@._V1_UX67_CR0,0,67,98_AL_.jpg" TargetMode="External"/><Relationship Id="rId858" Type="http://schemas.openxmlformats.org/officeDocument/2006/relationships/hyperlink" Target="https://m.media-amazon.com/images/M/MV5BZjNkNGJjYWEtM2IyNi00ZjM5LWFlYjYtYjQ4NTU5MGFlMTI2XkEyXkFqcGdeQXVyMTMxMTY0OTQ@._V1_UY98_CR3,0,67,98_AL_.jpg" TargetMode="External"/><Relationship Id="rId615" Type="http://schemas.openxmlformats.org/officeDocument/2006/relationships/hyperlink" Target="https://m.media-amazon.com/images/M/MV5BMTM0ODk3MjM1MV5BMl5BanBnXkFtZTcwNzc1MDIwNA@@._V1_UX67_CR0,0,67,98_AL_.jpg" TargetMode="External"/><Relationship Id="rId857" Type="http://schemas.openxmlformats.org/officeDocument/2006/relationships/hyperlink" Target="https://m.media-amazon.com/images/M/MV5BM2Y1ZTI0NzktYzU3MS00YmE1LThkY2EtMDc0NGYxNTNlZDA5XkEyXkFqcGdeQXVyNTAyODkwOQ@@._V1_UX67_CR0,0,67,98_AL_.jpg" TargetMode="External"/><Relationship Id="rId614" Type="http://schemas.openxmlformats.org/officeDocument/2006/relationships/hyperlink" Target="https://m.media-amazon.com/images/M/MV5BOTNjM2Y2ZjgtMDc5NS00MDQ1LTgyNGYtYzYwMTAyNWQwYTMyXkEyXkFqcGdeQXVyMjE4NzUxNDA@._V1_UX67_CR0,0,67,98_AL_.jpg" TargetMode="External"/><Relationship Id="rId856" Type="http://schemas.openxmlformats.org/officeDocument/2006/relationships/hyperlink" Target="https://m.media-amazon.com/images/M/MV5BZDVhNzQxZDEtMzcyZC00ZDg1LWFkZDctOWYxZTY0ZmYzYjc2XkEyXkFqcGdeQXVyMjA0MDQ0Mjc@._V1_UX67_CR0,0,67,98_AL_.jpg" TargetMode="External"/><Relationship Id="rId851" Type="http://schemas.openxmlformats.org/officeDocument/2006/relationships/hyperlink" Target="https://m.media-amazon.com/images/M/MV5BNGZiMTkyNzQtMDdmZi00ZDNkLWE4YTAtZGNlNTIzYzQyMGM2XkEyXkFqcGdeQXVyNjc1NTYyMjg@._V1_UX67_CR0,0,67,98_AL_.jpg" TargetMode="External"/><Relationship Id="rId850" Type="http://schemas.openxmlformats.org/officeDocument/2006/relationships/hyperlink" Target="https://m.media-amazon.com/images/M/MV5BYTU4ZTI0NzAtYzMwNi00YmMxLThmZWItNTY5NzgyMDAwYWVhXkEyXkFqcGdeQXVyNjUwNzk3NDc@._V1_UX67_CR0,0,67,98_AL_.jpg" TargetMode="External"/><Relationship Id="rId409" Type="http://schemas.openxmlformats.org/officeDocument/2006/relationships/hyperlink" Target="https://m.media-amazon.com/images/M/MV5BZmYxOTA5YTEtNDY3Ni00YTE5LWE1MTgtYjc4ZWUxNWY3ZTkxXkEyXkFqcGdeQXVyNjQ2MjQ5NzM@._V1_UX67_CR0,0,67,98_AL_.jpg" TargetMode="External"/><Relationship Id="rId404" Type="http://schemas.openxmlformats.org/officeDocument/2006/relationships/hyperlink" Target="https://m.media-amazon.com/images/M/MV5BODA2MjU1NTI1MV5BMl5BanBnXkFtZTgwOTU4ODIwMjE@._V1_UX67_CR0,0,67,98_AL_.jpg" TargetMode="External"/><Relationship Id="rId646" Type="http://schemas.openxmlformats.org/officeDocument/2006/relationships/hyperlink" Target="https://m.media-amazon.com/images/M/MV5BNDdhMzMxOTctNDMyNS00NTZmLTljNWEtNTc4MDBmZTYxY2NmXkEyXkFqcGdeQXVyNjU0OTQ0OTY@._V1_UX67_CR0,0,67,98_AL_.jpg" TargetMode="External"/><Relationship Id="rId888" Type="http://schemas.openxmlformats.org/officeDocument/2006/relationships/hyperlink" Target="https://m.media-amazon.com/images/M/MV5BNjM0NTc0NzItM2FlYS00YzEwLWE0YmUtNTA2ZWIzODc2OTgxXkEyXkFqcGdeQXVyNTgwNzIyNzg@._V1_UX67_CR0,0,67,98_AL_.jpg" TargetMode="External"/><Relationship Id="rId403" Type="http://schemas.openxmlformats.org/officeDocument/2006/relationships/hyperlink" Target="https://m.media-amazon.com/images/M/MV5BMTY3OTI5NDczN15BMl5BanBnXkFtZTcwNDA0NDY3Mw@@._V1_UX67_CR0,0,67,98_AL_.jpg" TargetMode="External"/><Relationship Id="rId645" Type="http://schemas.openxmlformats.org/officeDocument/2006/relationships/hyperlink" Target="https://m.media-amazon.com/images/M/MV5BYThkMzgxNjEtMzFiOC00MTI0LWI5MDItNDVmYjA4NzY5MDQ2L2ltYWdlL2ltYWdlXkEyXkFqcGdeQXVyMTQxNzMzNDI@._V1_UX67_CR0,0,67,98_AL_.jpg" TargetMode="External"/><Relationship Id="rId887" Type="http://schemas.openxmlformats.org/officeDocument/2006/relationships/hyperlink" Target="https://m.media-amazon.com/images/M/MV5BMTkwODUzODA0OV5BMl5BanBnXkFtZTgwMTA3ODkxNzE@._V1_UY98_CR0,0,67,98_AL_.jpg" TargetMode="External"/><Relationship Id="rId402" Type="http://schemas.openxmlformats.org/officeDocument/2006/relationships/hyperlink" Target="https://m.media-amazon.com/images/M/MV5BMzE5MDM1NDktY2I0OC00YWI5LTk2NzUtYjczNDczOWQxYjM0XkEyXkFqcGdeQXVyMTQxNzMzNDI@._V1_UX67_CR0,0,67,98_AL_.jpg" TargetMode="External"/><Relationship Id="rId644" Type="http://schemas.openxmlformats.org/officeDocument/2006/relationships/hyperlink" Target="https://m.media-amazon.com/images/M/MV5BMWM0ZjY5ZjctODNkZi00Nzk0LWE1ODUtNGM4ZDUyMzUwMGYwXkEyXkFqcGdeQXVyMTQxNzMzNDI@._V1_UX67_CR0,0,67,98_AL_.jpg" TargetMode="External"/><Relationship Id="rId886" Type="http://schemas.openxmlformats.org/officeDocument/2006/relationships/hyperlink" Target="https://m.media-amazon.com/images/M/MV5BMTc5NzQzNjk2NF5BMl5BanBnXkFtZTgwODU0MjI5NjE@._V1_UY98_CR0,0,67,98_AL_.jpg" TargetMode="External"/><Relationship Id="rId401" Type="http://schemas.openxmlformats.org/officeDocument/2006/relationships/hyperlink" Target="https://m.media-amazon.com/images/M/MV5BYjYyODExMDctZjgwYy00ZjQwLWI4OWYtOGFlYjA4ZjEzNmY1XkEyXkFqcGdeQXVyNTAyODkwOQ@@._V1_UX67_CR0,0,67,98_AL_.jpg" TargetMode="External"/><Relationship Id="rId643" Type="http://schemas.openxmlformats.org/officeDocument/2006/relationships/hyperlink" Target="https://m.media-amazon.com/images/M/MV5BMDM0ZWRjZDgtZWI0MS00ZTIzLTg4MWYtZjU5MDEyMDU0ODBjXkEyXkFqcGdeQXVyMTQxNzMzNDI@._V1_UX67_CR0,0,67,98_AL_.jpg" TargetMode="External"/><Relationship Id="rId885" Type="http://schemas.openxmlformats.org/officeDocument/2006/relationships/hyperlink" Target="https://m.media-amazon.com/images/M/MV5BOWVmZGQ0MGYtMDI1Yy00MDkxLWJiYjQtMmZjZmQ0NDFmMDRhXkEyXkFqcGdeQXVyNjg3MDMxNzU@._V1_UX67_CR0,0,67,98_AL_.jpg" TargetMode="External"/><Relationship Id="rId408" Type="http://schemas.openxmlformats.org/officeDocument/2006/relationships/hyperlink" Target="https://m.media-amazon.com/images/M/MV5BMzMxZjUzOGQtOTFlOS00MzliLWJhNTUtOTgyNzYzMWQ2YzhmXkEyXkFqcGdeQXVyNjQ2MjQ5NzM@._V1_UY98_CR0,0,67,98_AL_.jpg" TargetMode="External"/><Relationship Id="rId407" Type="http://schemas.openxmlformats.org/officeDocument/2006/relationships/hyperlink" Target="https://m.media-amazon.com/images/M/MV5BMGM4M2Q5N2MtNThkZS00NTc1LTk1NTItNWEyZjJjNDRmNDk5XkEyXkFqcGdeQXVyMjA0MDQ0Mjc@._V1_UX67_CR0,0,67,98_AL_.jpg" TargetMode="External"/><Relationship Id="rId649" Type="http://schemas.openxmlformats.org/officeDocument/2006/relationships/hyperlink" Target="https://m.media-amazon.com/images/M/MV5BYzVmMTdjOTYtOTJkYS00ZTg2LWExNTgtNzA1N2Y0MDgwYWFhXkEyXkFqcGdeQXVyMTQxNzMzNDI@._V1_UX67_CR0,0,67,98_AL_.jpg" TargetMode="External"/><Relationship Id="rId406" Type="http://schemas.openxmlformats.org/officeDocument/2006/relationships/hyperlink" Target="https://m.media-amazon.com/images/M/MV5BM2ZiZTk1ODgtMTZkNS00NTYxLWIxZTUtNWExZGYwZTRjODViXkEyXkFqcGdeQXVyMTE2MzA3MDM@._V1_UX67_CR0,0,67,98_AL_.jpg" TargetMode="External"/><Relationship Id="rId648" Type="http://schemas.openxmlformats.org/officeDocument/2006/relationships/hyperlink" Target="https://m.media-amazon.com/images/M/MV5BN2Y5ZTU4YjctMDRmMC00MTg4LWE1M2MtMjk4MzVmOTE4YjkzXkEyXkFqcGdeQXVyNTc1NTQxODI@._V1_UX67_CR0,0,67,98_AL_.jpg" TargetMode="External"/><Relationship Id="rId405" Type="http://schemas.openxmlformats.org/officeDocument/2006/relationships/hyperlink" Target="https://m.media-amazon.com/images/M/MV5BMzVjNzI4NzYtMjE4NS00M2IzLWFkOWMtOTYwMWUzN2ZlNGVjL2ltYWdlL2ltYWdlXkEyXkFqcGdeQXVyMTQxNzMzNDI@._V1_UX67_CR0,0,67,98_AL_.jpg" TargetMode="External"/><Relationship Id="rId647" Type="http://schemas.openxmlformats.org/officeDocument/2006/relationships/hyperlink" Target="https://m.media-amazon.com/images/M/MV5BZTk2ZTMzMmUtZjUyNi00YzMyLWE3NTAtNDNjNzU3MGQ1YTFjXkEyXkFqcGdeQXVyMTA0MjU0Ng@@._V1_UY98_CR3,0,67,98_AL_.jpg" TargetMode="External"/><Relationship Id="rId889" Type="http://schemas.openxmlformats.org/officeDocument/2006/relationships/hyperlink" Target="https://m.media-amazon.com/images/M/MV5BMjM3MjQ1MzkxNl5BMl5BanBnXkFtZTgwODk1ODgyMjI@._V1_UX67_CR0,0,67,98_AL_.jpg" TargetMode="External"/><Relationship Id="rId880" Type="http://schemas.openxmlformats.org/officeDocument/2006/relationships/hyperlink" Target="https://m.media-amazon.com/images/M/MV5BOTg4ZTNkZmUtMzNlZi00YmFjLTk1MmUtNWQwNTM0YjcyNTNkXkEyXkFqcGdeQXVyNjg2NjQwMDQ@._V1_UX67_CR0,0,67,98_AL_.jpg" TargetMode="External"/><Relationship Id="rId400" Type="http://schemas.openxmlformats.org/officeDocument/2006/relationships/hyperlink" Target="https://m.media-amazon.com/images/M/MV5BY2Q2NDI1MjUtM2Q5ZS00MTFlLWJiYWEtNTZmNjQ3OGJkZDgxXkEyXkFqcGdeQXVyNTI4MjkwNjA@._V1_UX67_CR0,0,67,98_AL_.jpg" TargetMode="External"/><Relationship Id="rId642" Type="http://schemas.openxmlformats.org/officeDocument/2006/relationships/hyperlink" Target="https://m.media-amazon.com/images/M/MV5BMTI1NDA4NTMyN15BMl5BanBnXkFtZTYwNTA2ODc5._V1_UY98_CR1,0,67,98_AL_.jpg" TargetMode="External"/><Relationship Id="rId884" Type="http://schemas.openxmlformats.org/officeDocument/2006/relationships/hyperlink" Target="https://m.media-amazon.com/images/M/MV5BMjQ2NDU3NDE0M15BMl5BanBnXkFtZTgwMjA3OTg0MDI@._V1_UX67_CR0,0,67,98_AL_.jpg" TargetMode="External"/><Relationship Id="rId641" Type="http://schemas.openxmlformats.org/officeDocument/2006/relationships/hyperlink" Target="https://m.media-amazon.com/images/M/MV5BNGRiOTIwNTAtYWM2Yy00Yzc4LTkyZjEtNTM3NTIyZTNhMzg1XkEyXkFqcGdeQXVyODIyOTEyMzY@._V1_UY98_CR1,0,67,98_AL_.jpg" TargetMode="External"/><Relationship Id="rId883" Type="http://schemas.openxmlformats.org/officeDocument/2006/relationships/hyperlink" Target="https://m.media-amazon.com/images/M/MV5BYmM4YzA5NjUtZGEyOS00YzllLWJmM2UtZjhhNmJhM2E1NjUxXkEyXkFqcGdeQXVyMTkxNjUyNQ@@._V1_UX67_CR0,0,67,98_AL_.jpg" TargetMode="External"/><Relationship Id="rId640" Type="http://schemas.openxmlformats.org/officeDocument/2006/relationships/hyperlink" Target="https://m.media-amazon.com/images/M/MV5BM2YwNTQwM2ItZTA2Ni00NGY1LThjY2QtNzgyZTBhMTM0MWI4XkEyXkFqcGdeQXVyNzQxNDExNTU@._V1_UY98_CR0,0,67,98_AL_.jpg" TargetMode="External"/><Relationship Id="rId882" Type="http://schemas.openxmlformats.org/officeDocument/2006/relationships/hyperlink" Target="https://m.media-amazon.com/images/M/MV5BMjg4ZmY1MmItMjFjOS00ZTg2LWJjNDYtNDM2YmM2NzhiNmZhXkEyXkFqcGdeQXVyNTAzMTY4MDA@._V1_UX67_CR0,0,67,98_AL_.jpg" TargetMode="External"/><Relationship Id="rId881" Type="http://schemas.openxmlformats.org/officeDocument/2006/relationships/hyperlink" Target="https://m.media-amazon.com/images/M/MV5BNzk2NmU3NmEtMTVhNS00NzJhLWE1M2ItMThjZjI5NWM3YmFmXkEyXkFqcGdeQXVyMjA1MzUyODk@._V1_UY98_CR1,0,67,98_AL_.jpg" TargetMode="External"/><Relationship Id="rId635" Type="http://schemas.openxmlformats.org/officeDocument/2006/relationships/hyperlink" Target="https://m.media-amazon.com/images/M/MV5BOWE2MDAwZjEtODEyOS00ZjYyLTgzNDUtYmNiY2VmNWRiMTQxXkEyXkFqcGdeQXVyNTIzOTk5ODM@._V1_UX67_CR0,0,67,98_AL_.jpg" TargetMode="External"/><Relationship Id="rId877" Type="http://schemas.openxmlformats.org/officeDocument/2006/relationships/hyperlink" Target="https://m.media-amazon.com/images/M/MV5BYjllMmE0Y2YtYWIwZi00OWY1LWJhNWItYzM2MmNiYmFiZmRmXkEyXkFqcGdeQXVyNjc1NTYyMjg@._V1_UX67_CR0,0,67,98_AL_.jpg" TargetMode="External"/><Relationship Id="rId634" Type="http://schemas.openxmlformats.org/officeDocument/2006/relationships/hyperlink" Target="https://m.media-amazon.com/images/M/MV5BNWY2ODRkZDYtMjllYi00Y2EyLWFhYjktMTQ5OGNkY2ViYmY2XkEyXkFqcGdeQXVyNjUxMDQ0MTg@._V1_UY98_CR1,0,67,98_AL_.jpg" TargetMode="External"/><Relationship Id="rId876" Type="http://schemas.openxmlformats.org/officeDocument/2006/relationships/hyperlink" Target="https://m.media-amazon.com/images/M/MV5BMjAxMTI1Njk3OF5BMl5BanBnXkFtZTgwNjkzODk4NTE@._V1_UX67_CR0,0,67,98_AL_.jpg" TargetMode="External"/><Relationship Id="rId633" Type="http://schemas.openxmlformats.org/officeDocument/2006/relationships/hyperlink" Target="https://m.media-amazon.com/images/M/MV5BMjE1MjA0MDA3MV5BMl5BanBnXkFtZTcwOTU0MjMzMQ@@._V1_UY98_CR1,0,67,98_AL_.jpg" TargetMode="External"/><Relationship Id="rId875" Type="http://schemas.openxmlformats.org/officeDocument/2006/relationships/hyperlink" Target="https://m.media-amazon.com/images/M/MV5BYWUxMzViZTUtNTYxNy00YjY4LWJmMjYtMzNlOThjNjhiZmZkXkEyXkFqcGdeQXVyMDI2NDg0NQ@@._V1_UX67_CR0,0,67,98_AL_.jpg" TargetMode="External"/><Relationship Id="rId632" Type="http://schemas.openxmlformats.org/officeDocument/2006/relationships/hyperlink" Target="https://m.media-amazon.com/images/M/MV5BMTA1NDQ3NTcyOTNeQTJeQWpwZ15BbWU3MDA0MzA4MzE@._V1_UX67_CR0,0,67,98_AL_.jpg" TargetMode="External"/><Relationship Id="rId874" Type="http://schemas.openxmlformats.org/officeDocument/2006/relationships/hyperlink" Target="https://m.media-amazon.com/images/M/MV5BYzM3YjE2NGMtODY3Zi00NTY0LWE4Y2EtMTE5YzNmM2U1NTg2XkEyXkFqcGdeQXVyMTY5Nzc4MDY@._V1_UX67_CR0,0,67,98_AL_.jpg" TargetMode="External"/><Relationship Id="rId639" Type="http://schemas.openxmlformats.org/officeDocument/2006/relationships/hyperlink" Target="https://m.media-amazon.com/images/M/MV5BOTNmZTgyMzAtMTUwZC00NjAwLTk4MjktODllYTY5YTUwN2YwXkEyXkFqcGdeQXVyMTQxNzMzNDI@._V1_UX67_CR0,0,67,98_AL_.jpg" TargetMode="External"/><Relationship Id="rId638" Type="http://schemas.openxmlformats.org/officeDocument/2006/relationships/hyperlink" Target="https://m.media-amazon.com/images/M/MV5BMTk3OTM5Njg5M15BMl5BanBnXkFtZTYwMzA0ODI3._V1_UX67_CR0,0,67,98_AL_.jpg" TargetMode="External"/><Relationship Id="rId637" Type="http://schemas.openxmlformats.org/officeDocument/2006/relationships/hyperlink" Target="https://m.media-amazon.com/images/M/MV5BMzYwODUxNjkyMF5BMl5BanBnXkFtZTcwODUzNjQyMQ@@._V1_UY98_CR0,0,67,98_AL_.jpg" TargetMode="External"/><Relationship Id="rId879" Type="http://schemas.openxmlformats.org/officeDocument/2006/relationships/hyperlink" Target="https://m.media-amazon.com/images/M/MV5BMjIwOTA3NDI3MF5BMl5BanBnXkFtZTgwNzIzMzA5NTM@._V1_UX67_CR0,0,67,98_AL_.jpg" TargetMode="External"/><Relationship Id="rId636" Type="http://schemas.openxmlformats.org/officeDocument/2006/relationships/hyperlink" Target="https://m.media-amazon.com/images/M/MV5BMjIyOTU3MjUxOF5BMl5BanBnXkFtZTcwMTQ0NjYzMw@@._V1_UX67_CR0,0,67,98_AL_.jpg" TargetMode="External"/><Relationship Id="rId878" Type="http://schemas.openxmlformats.org/officeDocument/2006/relationships/hyperlink" Target="https://m.media-amazon.com/images/M/MV5BODQ0M2Y5M2QtZGIwMC00MzJjLThlMzYtNmE3ZTMzZTYzOGEwXkEyXkFqcGdeQXVyMTkxNjUyNQ@@._V1_UX67_CR0,0,67,98_AL_.jpg" TargetMode="External"/><Relationship Id="rId631" Type="http://schemas.openxmlformats.org/officeDocument/2006/relationships/hyperlink" Target="https://m.media-amazon.com/images/M/MV5BMTU4NTc5NjM5M15BMl5BanBnXkFtZTgwODEyMTE0MDE@._V1_UY98_CR1,0,67,98_AL_.jpg" TargetMode="External"/><Relationship Id="rId873" Type="http://schemas.openxmlformats.org/officeDocument/2006/relationships/hyperlink" Target="https://m.media-amazon.com/images/M/MV5BMTU5NTBmYTAtOTgyYi00NGM0LWE0ODctZjNiYWM5MmIxYzE4XkEyXkFqcGdeQXVyNTAyODkwOQ@@._V1_UX67_CR0,0,67,98_AL_.jpg" TargetMode="External"/><Relationship Id="rId630" Type="http://schemas.openxmlformats.org/officeDocument/2006/relationships/hyperlink" Target="https://m.media-amazon.com/images/M/MV5BY2VlOTc4ZjctYjVlMS00NDYwLWEwZjctZmYzZmVkNGU5NjNjXkEyXkFqcGdeQXVyODE5NzE3OTE@._V1_UY98_CR2,0,67,98_AL_.jpg" TargetMode="External"/><Relationship Id="rId872" Type="http://schemas.openxmlformats.org/officeDocument/2006/relationships/hyperlink" Target="https://m.media-amazon.com/images/M/MV5BMWM1ZDhlM2MtNDNmMi00MDk4LTg5MjgtODE4ODk1MjYxOTIwXkEyXkFqcGdeQXVyNjc0MzMzNjA@._V1_UX67_CR0,0,67,98_AL_.jpg" TargetMode="External"/><Relationship Id="rId871" Type="http://schemas.openxmlformats.org/officeDocument/2006/relationships/hyperlink" Target="https://m.media-amazon.com/images/M/MV5BYmFlNTA1NWItODQxNC00YjFmLWE3ZWYtMzg3YTkwYmMxMjY2XkEyXkFqcGdeQXVyMTMxMTY0OTQ@._V1_UX67_CR0,0,67,98_AL_.jpg" TargetMode="External"/><Relationship Id="rId870" Type="http://schemas.openxmlformats.org/officeDocument/2006/relationships/hyperlink" Target="https://m.media-amazon.com/images/M/MV5BYTVlM2JmOGQtNWEwYy00NDQzLWIyZmEtOGZhMzgxZGRjZDA0XkEyXkFqcGdeQXVyMDI2NDg0NQ@@._V1_UX67_CR0,0,67,98_AL_.jpg" TargetMode="External"/><Relationship Id="rId829" Type="http://schemas.openxmlformats.org/officeDocument/2006/relationships/hyperlink" Target="https://m.media-amazon.com/images/M/MV5BMDhiOTM2OTctODk3Ny00NWI4LThhZDgtNGQ4NjRiYjFkZGQzXkEyXkFqcGdeQXVyMTA0MjU0Ng@@._V1_UX67_CR0,0,67,98_AL_.jpg" TargetMode="External"/><Relationship Id="rId828" Type="http://schemas.openxmlformats.org/officeDocument/2006/relationships/hyperlink" Target="https://m.media-amazon.com/images/M/MV5BMTY2Njk3MTAzM15BMl5BanBnXkFtZTgwMTY5Mzk4NjE@._V1_UX67_CR0,0,67,98_AL_.jpg" TargetMode="External"/><Relationship Id="rId827" Type="http://schemas.openxmlformats.org/officeDocument/2006/relationships/hyperlink" Target="https://m.media-amazon.com/images/M/MV5BMTgxMDMxMTctNDY0Zi00ZmNlLWFlYmQtODA2YjY4MDk4MjU1XkEyXkFqcGdeQXVyNTc1NTQxODI@._V1_UX67_CR0,0,67,98_AL_.jpg" TargetMode="External"/><Relationship Id="rId822" Type="http://schemas.openxmlformats.org/officeDocument/2006/relationships/hyperlink" Target="https://m.media-amazon.com/images/M/MV5BZDNiYmRkNDYtOWU1NC00NmMxLWFkNmUtMGI5NTJjOTJmYTM5XkEyXkFqcGdeQXVyNzQ1ODk3MTQ@._V1_UX67_CR0,0,67,98_AL_.jpg" TargetMode="External"/><Relationship Id="rId821" Type="http://schemas.openxmlformats.org/officeDocument/2006/relationships/hyperlink" Target="https://m.media-amazon.com/images/M/MV5BZDkzOTFmMTUtMmI2OS00MDE4LTg5YTUtODMwNDMzNmI5OGYwL2ltYWdlXkEyXkFqcGdeQXVyMTQxNzMzNDI@._V1_UY98_CR3,0,67,98_AL_.jpg" TargetMode="External"/><Relationship Id="rId820" Type="http://schemas.openxmlformats.org/officeDocument/2006/relationships/hyperlink" Target="https://m.media-amazon.com/images/M/MV5BN2Y0NWRkNWItZWEwNi00MDNlLWJmZDYtNTkwYzI5Nzg4MjVjXkEyXkFqcGdeQXVyMTMxODk2OTU@._V1_UX67_CR0,0,67,98_AL_.jpg" TargetMode="External"/><Relationship Id="rId826" Type="http://schemas.openxmlformats.org/officeDocument/2006/relationships/hyperlink" Target="https://m.media-amazon.com/images/M/MV5BOWQ1ZWE0MTQtMmEwOS00YjA3LTgyZTAtNjY5ODEyZTJjNDI2XkEyXkFqcGdeQXVyNjE5MjUyOTM@._V1_UX67_CR0,0,67,98_AL_.jpg" TargetMode="External"/><Relationship Id="rId825" Type="http://schemas.openxmlformats.org/officeDocument/2006/relationships/hyperlink" Target="https://m.media-amazon.com/images/M/MV5BMmRlZDQ1MmUtMzE2Yi00YTkxLTk1MGMtYmIyYWQwODcxYzRlXkEyXkFqcGdeQXVyNTI4MjkwNjA@._V1_UX67_CR0,0,67,98_AL_.jpg" TargetMode="External"/><Relationship Id="rId824" Type="http://schemas.openxmlformats.org/officeDocument/2006/relationships/hyperlink" Target="https://m.media-amazon.com/images/M/MV5BNTYzN2MxODMtMDBhOC00Y2M0LTgzMTItMzQ4NDIyYWIwMDEzL2ltYWdlL2ltYWdlXkEyXkFqcGdeQXVyNTc1NTQxODI@._V1_UX67_CR0,0,67,98_AL_.jpg" TargetMode="External"/><Relationship Id="rId823" Type="http://schemas.openxmlformats.org/officeDocument/2006/relationships/hyperlink" Target="https://m.media-amazon.com/images/M/MV5BZjVkYmFkZWQtZmNjYy00NmFhLTliMWYtNThlOTUxNjg5ODdhXkEyXkFqcGdeQXVyMTMxODk2OTU@._V1_UY98_CR4,0,67,98_AL_.jpg" TargetMode="External"/><Relationship Id="rId819" Type="http://schemas.openxmlformats.org/officeDocument/2006/relationships/hyperlink" Target="https://m.media-amazon.com/images/M/MV5BNDE0MWE1ZTMtOWFkMS00YjdiLTkwZTItMDljYjY3MjM0NTk5XkEyXkFqcGdeQXVyNDYyMDk5MTU@._V1_UX67_CR0,0,67,98_AL_.jpg" TargetMode="External"/><Relationship Id="rId818" Type="http://schemas.openxmlformats.org/officeDocument/2006/relationships/hyperlink" Target="https://m.media-amazon.com/images/M/MV5BZWY0ODc2NDktYmYxNS00MGZiLTk5YjktZjgwZWFhNDQ0MzNhXkEyXkFqcGdeQXVyNTI4MjkwNjA@._V1_UX67_CR0,0,67,98_AL_.jpg" TargetMode="External"/><Relationship Id="rId817" Type="http://schemas.openxmlformats.org/officeDocument/2006/relationships/hyperlink" Target="https://m.media-amazon.com/images/M/MV5BNzE1Njk0NmItNDhlMC00ZmFlLWI4ZTUtYTY4ZjgzNjkyMTU1XkEyXkFqcGdeQXVyMTQxNzMzNDI@._V1_UX67_CR0,0,67,98_AL_.jpg" TargetMode="External"/><Relationship Id="rId816" Type="http://schemas.openxmlformats.org/officeDocument/2006/relationships/hyperlink" Target="https://m.media-amazon.com/images/M/MV5BZmVhNWIzOTMtYmVlZC00ZDVmLWIyODEtODEzOTAxYjAwMzVlXkEyXkFqcGdeQXVyMzIwNDY4NDI@._V1_UY98_CR1,0,67,98_AL_.jpg" TargetMode="External"/><Relationship Id="rId811" Type="http://schemas.openxmlformats.org/officeDocument/2006/relationships/hyperlink" Target="https://m.media-amazon.com/images/M/MV5BMTQzMzcxMzUyMl5BMl5BanBnXkFtZTgwNDI1MjgxMTE@._V1_UX67_CR0,0,67,98_AL_.jpg" TargetMode="External"/><Relationship Id="rId810" Type="http://schemas.openxmlformats.org/officeDocument/2006/relationships/hyperlink" Target="https://m.media-amazon.com/images/M/MV5BYzMzMDZkYWEtODIzNS00YjI3LTkxNTktOWEyZGM3ZWI2MWM4XkEyXkFqcGdeQXVyNzkwMjQ5NzM@._V1_UX67_CR0,0,67,98_AL_.jpg" TargetMode="External"/><Relationship Id="rId815" Type="http://schemas.openxmlformats.org/officeDocument/2006/relationships/hyperlink" Target="https://m.media-amazon.com/images/M/MV5BZjM4NWRhYTQtYTJlNC00ZmMyLWEzNTAtZDA2MjJjYTQ5ZTVmXkEyXkFqcGdeQXVyMTQxNzMzNDI@._V1_UX67_CR0,0,67,98_AL_.jpg" TargetMode="External"/><Relationship Id="rId814" Type="http://schemas.openxmlformats.org/officeDocument/2006/relationships/hyperlink" Target="https://m.media-amazon.com/images/M/MV5BZDQzMGE5ODYtZDdiNC00MzZjLTg2NjAtZTk0ODlkYmY4MTQzXkEyXkFqcGdeQXVyMTQxNzMzNDI@._V1_UX67_CR0,0,67,98_AL_.jpg" TargetMode="External"/><Relationship Id="rId813" Type="http://schemas.openxmlformats.org/officeDocument/2006/relationships/hyperlink" Target="https://m.media-amazon.com/images/M/MV5BM2U5OWM5NWQtZDYwZS00NmI3LTk4NDktNzcwZjYzNmEzYWU1XkEyXkFqcGdeQXVyNjMwMjk0MTQ@._V1_UY98_CR0,0,67,98_AL_.jpg" TargetMode="External"/><Relationship Id="rId812" Type="http://schemas.openxmlformats.org/officeDocument/2006/relationships/hyperlink" Target="https://m.media-amazon.com/images/M/MV5BZTM2NWI2OGYtYWNhMi00ZTlmLTg2ZTAtMmI5NWRjODA5YTE1XkEyXkFqcGdeQXVyODE2OTYwNTg@._V1_UX67_CR0,0,67,98_AL_.jpg" TargetMode="External"/><Relationship Id="rId609" Type="http://schemas.openxmlformats.org/officeDocument/2006/relationships/hyperlink" Target="https://m.media-amazon.com/images/M/MV5BY2ViOTU5MDQtZTRiZi00YjViLWFiY2ItOTRhNWYyN2ZiMzUyXkEyXkFqcGdeQXVyNTAyODkwOQ@@._V1_UY98_CR1,0,67,98_AL_.jpg" TargetMode="External"/><Relationship Id="rId608" Type="http://schemas.openxmlformats.org/officeDocument/2006/relationships/hyperlink" Target="https://m.media-amazon.com/images/M/MV5BMTQzMTg0NDA1M15BMl5BanBnXkFtZTgwODUzMTE0MjE@._V1_UY98_CR0,0,67,98_AL_.jpg" TargetMode="External"/><Relationship Id="rId607" Type="http://schemas.openxmlformats.org/officeDocument/2006/relationships/hyperlink" Target="https://m.media-amazon.com/images/M/MV5BMTA5MzkyMzIxNjJeQTJeQWpwZ15BbWU4MDU0MDk0OTUx._V1_UX67_CR0,0,67,98_AL_.jpg" TargetMode="External"/><Relationship Id="rId849" Type="http://schemas.openxmlformats.org/officeDocument/2006/relationships/hyperlink" Target="https://m.media-amazon.com/images/M/MV5BZGZmMWE1MDYtNzAyNC00MDMzLTgzZjQtNTQ5NjYzN2E4MzkzXkEyXkFqcGdeQXVyNDk3NzU2MTQ@._V1_UX67_CR0,0,67,98_AL_.jpg" TargetMode="External"/><Relationship Id="rId602" Type="http://schemas.openxmlformats.org/officeDocument/2006/relationships/hyperlink" Target="https://m.media-amazon.com/images/M/MV5BYzM2OGQ2NzUtNzlmYi00ZDg4LWExODgtMDVmOTU2Yzg2N2U5XkEyXkFqcGdeQXVyMTMxODk2OTU@._V1_UY98_CR0,0,67,98_AL_.jpg" TargetMode="External"/><Relationship Id="rId844" Type="http://schemas.openxmlformats.org/officeDocument/2006/relationships/hyperlink" Target="https://m.media-amazon.com/images/M/MV5BYzYyNjg3OTctNzA2ZS00NjkzLWE4MmYtZDAzZWQ0NzkyMTJhXkEyXkFqcGdeQXVyMTMxODk2OTU@._V1_UX67_CR0,0,67,98_AL_.jpg" TargetMode="External"/><Relationship Id="rId601" Type="http://schemas.openxmlformats.org/officeDocument/2006/relationships/hyperlink" Target="https://m.media-amazon.com/images/M/MV5BNDc4MThhN2EtZjMzNC00ZDJmLThiZTgtNThlY2UxZWMzNjdkXkEyXkFqcGdeQXVyNDk3NzU2MTQ@._V1_UX67_CR0,0,67,98_AL_.jpg" TargetMode="External"/><Relationship Id="rId843" Type="http://schemas.openxmlformats.org/officeDocument/2006/relationships/hyperlink" Target="https://m.media-amazon.com/images/M/MV5BZjA3YjdhMWEtYjc2Ni00YzVlLWI0MTUtMGZmNTJjNmU0Yzk2XkEyXkFqcGdeQXVyNzkwMjQ5NzM@._V1_UX67_CR0,0,67,98_AL_.jpg" TargetMode="External"/><Relationship Id="rId600" Type="http://schemas.openxmlformats.org/officeDocument/2006/relationships/hyperlink" Target="https://m.media-amazon.com/images/M/MV5BMzMwMTAwODczN15BMl5BanBnXkFtZTgwMDk2NDA4MTE@._V1_UX67_CR0,0,67,98_AL_.jpg" TargetMode="External"/><Relationship Id="rId842" Type="http://schemas.openxmlformats.org/officeDocument/2006/relationships/hyperlink" Target="https://m.media-amazon.com/images/M/MV5BNWU3MDFkYWQtMWQ5YS00YTcwLThmNDItODY4OWE2ZTdhZmIwXkEyXkFqcGdeQXVyMjUzOTY1NTc@._V1_UX67_CR0,0,67,98_AL_.jpg" TargetMode="External"/><Relationship Id="rId841" Type="http://schemas.openxmlformats.org/officeDocument/2006/relationships/hyperlink" Target="https://m.media-amazon.com/images/M/MV5BODBmOWU2YWMtZGUzZi00YzRhLWJjNDAtYTUwNWVkNDcyZmU5XkEyXkFqcGdeQXVyNDk3NzU2MTQ@._V1_UX67_CR0,0,67,98_AL_.jpg" TargetMode="External"/><Relationship Id="rId606" Type="http://schemas.openxmlformats.org/officeDocument/2006/relationships/hyperlink" Target="https://m.media-amazon.com/images/M/MV5BMTgzMTkxNjAxNV5BMl5BanBnXkFtZTgwMDU3MDE0MjE@._V1_UY98_CR0,0,67,98_AL_.jpg" TargetMode="External"/><Relationship Id="rId848" Type="http://schemas.openxmlformats.org/officeDocument/2006/relationships/hyperlink" Target="https://m.media-amazon.com/images/M/MV5BMjE1NDY0NDk3Ml5BMl5BanBnXkFtZTcwMTAzMTM3NA@@._V1_UX67_CR0,0,67,98_AL_.jpg" TargetMode="External"/><Relationship Id="rId605" Type="http://schemas.openxmlformats.org/officeDocument/2006/relationships/hyperlink" Target="https://m.media-amazon.com/images/M/MV5BODhiZWRhMjctNDUyMS00NmUwLTgwYmItMjJhOWNkZWQ3ZTQxXkEyXkFqcGdeQXVyMTMxODk2OTU@._V1_UX67_CR0,0,67,98_AL_.jpg" TargetMode="External"/><Relationship Id="rId847" Type="http://schemas.openxmlformats.org/officeDocument/2006/relationships/hyperlink" Target="https://m.media-amazon.com/images/M/MV5BMTYxMDk1NTA5NF5BMl5BanBnXkFtZTcwNDkzNzA2NA@@._V1_UX67_CR0,0,67,98_AL_.jpg" TargetMode="External"/><Relationship Id="rId604" Type="http://schemas.openxmlformats.org/officeDocument/2006/relationships/hyperlink" Target="https://m.media-amazon.com/images/M/MV5BMTczNDk4NTQ0OV5BMl5BanBnXkFtZTcwNDAxMDgxNw@@._V1_UX67_CR0,0,67,98_AL_.jpg" TargetMode="External"/><Relationship Id="rId846" Type="http://schemas.openxmlformats.org/officeDocument/2006/relationships/hyperlink" Target="https://m.media-amazon.com/images/M/MV5BYmVhMDQ1YWUtYjgxOS00NzYyLWI0ZGItNTg3ZjM0MmQ4NmIwXkEyXkFqcGdeQXVyMjQzMzQzODY@._V1_UY98_CR3,0,67,98_AL_.jpg" TargetMode="External"/><Relationship Id="rId603" Type="http://schemas.openxmlformats.org/officeDocument/2006/relationships/hyperlink" Target="https://m.media-amazon.com/images/M/MV5BZjRmNjc5MTYtYjc3My00ZjNiLTg4YjUtMTQ0ZTFkZmMxMDUzXkEyXkFqcGdeQXVyNDY5MTUyNjU@._V1_UY98_CR3,0,67,98_AL_.jpg" TargetMode="External"/><Relationship Id="rId845" Type="http://schemas.openxmlformats.org/officeDocument/2006/relationships/hyperlink" Target="https://m.media-amazon.com/images/M/MV5BNzk1OGU2NmMtNTdhZC00NjdlLWE5YTMtZTQ0MGExZTQzOGQyXkEyXkFqcGdeQXVyMTQxNzMzNDI@._V1_UX67_CR0,0,67,98_AL_.jpg" TargetMode="External"/><Relationship Id="rId840" Type="http://schemas.openxmlformats.org/officeDocument/2006/relationships/hyperlink" Target="https://m.media-amazon.com/images/M/MV5BMzcyYWE5YmQtNDE1Yi00ZjlmLWFlZTAtMzRjODBiYjM3OTA3XkEyXkFqcGdeQXVyMTQxNzMzNDI@._V1_UX67_CR0,0,67,98_AL_.jpg" TargetMode="External"/><Relationship Id="rId839" Type="http://schemas.openxmlformats.org/officeDocument/2006/relationships/hyperlink" Target="https://m.media-amazon.com/images/M/MV5BMTU5MzMwMzAzM15BMl5BanBnXkFtZTcwNjYyMjA0Mg@@._V1_UX67_CR0,0,67,98_AL_.jpg" TargetMode="External"/><Relationship Id="rId838" Type="http://schemas.openxmlformats.org/officeDocument/2006/relationships/hyperlink" Target="https://m.media-amazon.com/images/M/MV5BMGUwMjM0MTEtOGY2NS00MjJmLWEyMDAtYmNkMWJjOWJlNGM0XkEyXkFqcGdeQXVyMTQxNzMzNDI@._V1_UX67_CR0,0,67,98_AL_.jpg" TargetMode="External"/><Relationship Id="rId833" Type="http://schemas.openxmlformats.org/officeDocument/2006/relationships/hyperlink" Target="https://m.media-amazon.com/images/M/MV5BMmQwNzczZDItNmI0OS00MjRmLTliYWItZWIyMjk1MTU4ZTQ4L2ltYWdlXkEyXkFqcGdeQXVyNTAyODkwOQ@@._V1_UX67_CR0,0,67,98_AL_.jpg" TargetMode="External"/><Relationship Id="rId832" Type="http://schemas.openxmlformats.org/officeDocument/2006/relationships/hyperlink" Target="https://m.media-amazon.com/images/M/MV5BZTk0NDU4YmItOTk0ZS00ODc2LTkwNGItNWI5MDJkNTJiYWMxXkEyXkFqcGdeQXVyNjUwNzk3NDc@._V1_UX67_CR0,0,67,98_AL_.jpg" TargetMode="External"/><Relationship Id="rId831" Type="http://schemas.openxmlformats.org/officeDocument/2006/relationships/hyperlink" Target="https://m.media-amazon.com/images/M/MV5BYjE3ODY5OWEtZmE0Mi00MjUxLTg5MmUtZmFkMzM1N2VjMmU5XkEyXkFqcGdeQXVyNTI4MjkwNjA@._V1_UX67_CR0,0,67,98_AL_.jpg" TargetMode="External"/><Relationship Id="rId830" Type="http://schemas.openxmlformats.org/officeDocument/2006/relationships/hyperlink" Target="https://m.media-amazon.com/images/M/MV5BNDcwMTYzMjctN2M2Yy00ZDcxLWJhNTEtMGNhYzEwYzc2NDE4XkEyXkFqcGdeQXVyNTI4MjkwNjA@._V1_UY98_CR0,0,67,98_AL_.jpg" TargetMode="External"/><Relationship Id="rId837" Type="http://schemas.openxmlformats.org/officeDocument/2006/relationships/hyperlink" Target="https://m.media-amazon.com/images/M/MV5BMTUxMjEzMzI2MV5BMl5BanBnXkFtZTgwNTU3ODAxMDE@._V1_UX67_CR0,0,67,98_AL_.jpg" TargetMode="External"/><Relationship Id="rId836" Type="http://schemas.openxmlformats.org/officeDocument/2006/relationships/hyperlink" Target="https://m.media-amazon.com/images/M/MV5BY2E1YWRlNzAtYzAwYy00MDg5LTlmYTUtYjdlZDI0NzFkNjNlL2ltYWdlL2ltYWdlXkEyXkFqcGdeQXVyNjQ2MjQ5NzM@._V1_UX67_CR0,0,67,98_AL_.jpg" TargetMode="External"/><Relationship Id="rId835" Type="http://schemas.openxmlformats.org/officeDocument/2006/relationships/hyperlink" Target="https://m.media-amazon.com/images/M/MV5BMzExOTczNTgtN2Q1Yy00MmI1LWE0NjgtNmIwMzdmZGNlODU1XkEyXkFqcGdeQXVyNDkzNTM2ODg@._V1_UX67_CR0,0,67,98_AL_.jpg" TargetMode="External"/><Relationship Id="rId834" Type="http://schemas.openxmlformats.org/officeDocument/2006/relationships/hyperlink" Target="https://m.media-amazon.com/images/M/MV5BZjEyZTdhNDMtMWFkMS00ZmRjLWEyNmEtZDU3MWFkNDEzMDYwXkEyXkFqcGdeQXVyNjc1NTYyMjg@._V1_UX67_CR0,0,67,98_AL_.jpg" TargetMode="External"/><Relationship Id="rId228" Type="http://schemas.openxmlformats.org/officeDocument/2006/relationships/hyperlink" Target="https://m.media-amazon.com/images/M/MV5BMTUzOTcwOTA2NV5BMl5BanBnXkFtZTcwNDczMzczMg@@._V1_UY98_CR0,0,67,98_AL_.jpg" TargetMode="External"/><Relationship Id="rId227" Type="http://schemas.openxmlformats.org/officeDocument/2006/relationships/hyperlink" Target="https://m.media-amazon.com/images/M/MV5BMGVmMWNiMDktYjQ0Mi00MWIxLTk0N2UtN2ZlYTdkN2IzNDNlXkEyXkFqcGdeQXVyODE5NzE3OTE@._V1_UX67_CR0,0,67,98_AL_.jpg" TargetMode="External"/><Relationship Id="rId469" Type="http://schemas.openxmlformats.org/officeDocument/2006/relationships/hyperlink" Target="https://m.media-amazon.com/images/M/MV5BMTQ4NTMzMTk4NV5BMl5BanBnXkFtZTgwNTU5MjE4MDI@._V1_UX67_CR0,0,67,98_AL_.jpg" TargetMode="External"/><Relationship Id="rId226" Type="http://schemas.openxmlformats.org/officeDocument/2006/relationships/hyperlink" Target="https://m.media-amazon.com/images/M/MV5BMTc5NTk2OTU1Nl5BMl5BanBnXkFtZTcwMDc3NjAwMg@@._V1_UX67_CR0,0,67,98_AL_.jpg" TargetMode="External"/><Relationship Id="rId468" Type="http://schemas.openxmlformats.org/officeDocument/2006/relationships/hyperlink" Target="https://m.media-amazon.com/images/M/MV5BNDk3NTEwNjc0MV5BMl5BanBnXkFtZTgwNzYxNTMwMzI@._V1_UX67_CR0,0,67,98_AL_.jpg" TargetMode="External"/><Relationship Id="rId225" Type="http://schemas.openxmlformats.org/officeDocument/2006/relationships/hyperlink" Target="https://m.media-amazon.com/images/M/MV5BOTcwMzdiMWItMjZlOS00MzAzLTg5OTItNTA4OGYyMjBhMmRiXkEyXkFqcGdeQXVyODE5NzE3OTE@._V1_UY98_CR1,0,67,98_AL_.jpg" TargetMode="External"/><Relationship Id="rId467" Type="http://schemas.openxmlformats.org/officeDocument/2006/relationships/hyperlink" Target="https://m.media-amazon.com/images/M/MV5BZGVmY2RjNDgtMTc3Yy00YmY0LTgwODItYzBjNWJhNTRlYjdkXkEyXkFqcGdeQXVyMjM4NTM5NDY@._V1_UX67_CR0,0,67,98_AL_.jpg" TargetMode="External"/><Relationship Id="rId229" Type="http://schemas.openxmlformats.org/officeDocument/2006/relationships/hyperlink" Target="https://m.media-amazon.com/images/M/MV5BNzE4NDg5OWMtMzg3NC00ZDRjLTllMDMtZTRjNWZmNjBmMGZlXkEyXkFqcGdeQXVyMTMxODk2OTU@._V1_UY98_CR1,0,67,98_AL_.jpg" TargetMode="External"/><Relationship Id="rId220" Type="http://schemas.openxmlformats.org/officeDocument/2006/relationships/hyperlink" Target="https://m.media-amazon.com/images/M/MV5BMTQ2MDMwNjEwNV5BMl5BanBnXkFtZTgwOTkxMzI0MzE@._V1_UY98_CR0,0,67,98_AL_.jpg" TargetMode="External"/><Relationship Id="rId462" Type="http://schemas.openxmlformats.org/officeDocument/2006/relationships/hyperlink" Target="https://m.media-amazon.com/images/M/MV5BMzg2MWQ4MDEtOGZlNi00MTg0LWIwMjQtYWY5NTQwYmUzMWNmXkEyXkFqcGdeQXVyMzg2MzE2OTE@._V1_UX67_CR0,0,67,98_AL_.jpg" TargetMode="External"/><Relationship Id="rId461" Type="http://schemas.openxmlformats.org/officeDocument/2006/relationships/hyperlink" Target="https://m.media-amazon.com/images/M/MV5BYmFlOWMwMjAtMDMyMC00N2JjLTllODUtZjY3YWU3NGRkM2I2L2ltYWdlXkEyXkFqcGdeQXVyMjUxODE0MDY@._V1_UX67_CR0,0,67,98_AL_.jpg" TargetMode="External"/><Relationship Id="rId460" Type="http://schemas.openxmlformats.org/officeDocument/2006/relationships/hyperlink" Target="https://m.media-amazon.com/images/M/MV5BYTE4NjYxMGEtZmQxZi00YWVmLWJjZTctYTJmNDFmZGEwNDVhXkEyXkFqcGdeQXVyNzkwMjQ5NzM@._V1_UY98_CR2,0,67,98_AL_.jpg" TargetMode="External"/><Relationship Id="rId224" Type="http://schemas.openxmlformats.org/officeDocument/2006/relationships/hyperlink" Target="https://m.media-amazon.com/images/M/MV5BN2EwM2I5OWMtMGQyMi00Zjg1LWJkNTctZTdjYTA4OGUwZjMyXkEyXkFqcGdeQXVyMTMxODk2OTU@._V1_UX67_CR0,0,67,98_AL_.jpg" TargetMode="External"/><Relationship Id="rId466" Type="http://schemas.openxmlformats.org/officeDocument/2006/relationships/hyperlink" Target="https://m.media-amazon.com/images/M/MV5BYWZmOTY0MDAtMGRlMS00YjFlLWFkZTUtYmJhYWNlN2JjMmZkXkEyXkFqcGdeQXVyODAzODU1NDQ@._V1_UX67_CR0,0,67,98_AL_.jpg" TargetMode="External"/><Relationship Id="rId223" Type="http://schemas.openxmlformats.org/officeDocument/2006/relationships/hyperlink" Target="https://m.media-amazon.com/images/M/MV5BMTg0NTIzMjQ1NV5BMl5BanBnXkFtZTcwNDc3MzM5OQ@@._V1_UX67_CR0,0,67,98_AL_.jpg" TargetMode="External"/><Relationship Id="rId465" Type="http://schemas.openxmlformats.org/officeDocument/2006/relationships/hyperlink" Target="https://m.media-amazon.com/images/M/MV5BNmI0MTliMTAtMmJhNC00NTJmLTllMzQtMDI3NzA1ODMyZWI1XkEyXkFqcGdeQXVyODE5NzE3OTE@._V1_UY98_CR5,0,67,98_AL_.jpg" TargetMode="External"/><Relationship Id="rId222" Type="http://schemas.openxmlformats.org/officeDocument/2006/relationships/hyperlink" Target="https://m.media-amazon.com/images/M/MV5BZGFmMjM5OWMtZTRiNC00ODhlLThlYTItYTcyZDMyYmMyYjFjXkEyXkFqcGdeQXVyNDUzOTQ5MjY@._V1_UY98_CR0,0,67,98_AL_.jpg" TargetMode="External"/><Relationship Id="rId464" Type="http://schemas.openxmlformats.org/officeDocument/2006/relationships/hyperlink" Target="https://m.media-amazon.com/images/M/MV5BMGUwZjliMTAtNzAxZi00MWNiLWE2NzgtZGUxMGQxZjhhNDRiXkEyXkFqcGdeQXVyNjU1NzU3MzE@._V1_UX67_CR0,0,67,98_AL_.jpg" TargetMode="External"/><Relationship Id="rId221" Type="http://schemas.openxmlformats.org/officeDocument/2006/relationships/hyperlink" Target="https://m.media-amazon.com/images/M/MV5BMTQ1NDI0NzkyOF5BMl5BanBnXkFtZTcwNzAyNzE2Nw@@._V1_UY98_CR0,0,67,98_AL_.jpg" TargetMode="External"/><Relationship Id="rId463" Type="http://schemas.openxmlformats.org/officeDocument/2006/relationships/hyperlink" Target="https://m.media-amazon.com/images/M/MV5BMTEyMTQzMjQ0MTJeQTJeQWpwZ15BbWU4MDcyMjg4OTEx._V1_UY98_CR1,0,67,98_AL_.jpg" TargetMode="External"/><Relationship Id="rId217" Type="http://schemas.openxmlformats.org/officeDocument/2006/relationships/hyperlink" Target="https://m.media-amazon.com/images/M/MV5BOWEwODJmZDItYTNmZC00OGM4LThlNDktOTQzZjIzMGQxODA4XkEyXkFqcGdeQXVyNjU0OTQ0OTY@._V1_UX67_CR0,0,67,98_AL_.jpg" TargetMode="External"/><Relationship Id="rId459" Type="http://schemas.openxmlformats.org/officeDocument/2006/relationships/hyperlink" Target="https://m.media-amazon.com/images/M/MV5BNjUyMTc4MDExMV5BMl5BanBnXkFtZTgwNDg0NDIwMjE@._V1_UX67_CR0,0,67,98_AL_.jpg" TargetMode="External"/><Relationship Id="rId216" Type="http://schemas.openxmlformats.org/officeDocument/2006/relationships/hyperlink" Target="https://m.media-amazon.com/images/M/MV5BMjExMTEzODkyN15BMl5BanBnXkFtZTcwNTU4NTc4OQ@@._V1_UX67_CR0,0,67,98_AL_.jpg" TargetMode="External"/><Relationship Id="rId458" Type="http://schemas.openxmlformats.org/officeDocument/2006/relationships/hyperlink" Target="https://m.media-amazon.com/images/M/MV5BNzJiOGI2MjctYjUyMS00ZjkzLWE2ZmUtOTg4NTZkOTNhZDc1L2ltYWdlXkEyXkFqcGdeQXVyNjc1NTYyMjg@._V1_UX67_CR0,0,67,98_AL_.jpg" TargetMode="External"/><Relationship Id="rId215" Type="http://schemas.openxmlformats.org/officeDocument/2006/relationships/hyperlink" Target="https://m.media-amazon.com/images/M/MV5BMTQzMTEyODY2Ml5BMl5BanBnXkFtZTgwMjA0MDUyMjE@._V1_UY98_CR0,0,67,98_AL_.jpg" TargetMode="External"/><Relationship Id="rId457" Type="http://schemas.openxmlformats.org/officeDocument/2006/relationships/hyperlink" Target="https://m.media-amazon.com/images/M/MV5BZjIwNGM1ZTUtOThjYS00NDdiLTk2ZDYtNGY5YjJkNzliM2JjL2ltYWdlL2ltYWdlXkEyXkFqcGdeQXVyMDI2NDg0NQ@@._V1_UX67_CR0,0,67,98_AL_.jpg" TargetMode="External"/><Relationship Id="rId699" Type="http://schemas.openxmlformats.org/officeDocument/2006/relationships/hyperlink" Target="https://m.media-amazon.com/images/M/MV5BZTllNDU0ZTItYTYxMC00OTI4LThlNDAtZjNiNzdhMWZiYjNmXkEyXkFqcGdeQXVyNzY1NDgwNjQ@._V1_UX67_CR0,0,67,98_AL_.jpg" TargetMode="External"/><Relationship Id="rId214" Type="http://schemas.openxmlformats.org/officeDocument/2006/relationships/hyperlink" Target="https://m.media-amazon.com/images/M/MV5BOTgxMDQwMDk0OF5BMl5BanBnXkFtZTgwNjU5OTg2NDE@._V1_UX67_CR0,0,67,98_AL_.jpg" TargetMode="External"/><Relationship Id="rId456" Type="http://schemas.openxmlformats.org/officeDocument/2006/relationships/hyperlink" Target="https://m.media-amazon.com/images/M/MV5BZDVlNTBjMjctNjAzNS00ZGJhLTg2NzMtNzIwYTIzYTBiMDkyXkEyXkFqcGdeQXVyNTA4NzY1MzY@._V1_UX67_CR0,0,67,98_AL_.jpg" TargetMode="External"/><Relationship Id="rId698" Type="http://schemas.openxmlformats.org/officeDocument/2006/relationships/hyperlink" Target="https://m.media-amazon.com/images/M/MV5BNTEyMzc0Mjk5MV5BMl5BanBnXkFtZTgwMjI2NDIwMTE@._V1_UX67_CR0,0,67,98_AL_.jpg" TargetMode="External"/><Relationship Id="rId219" Type="http://schemas.openxmlformats.org/officeDocument/2006/relationships/hyperlink" Target="https://m.media-amazon.com/images/M/MV5BMjIyOTM5OTIzNV5BMl5BanBnXkFtZTgwMDkzODE2NjE@._V1_UX67_CR0,0,67,98_AL_.jpg" TargetMode="External"/><Relationship Id="rId218" Type="http://schemas.openxmlformats.org/officeDocument/2006/relationships/hyperlink" Target="https://m.media-amazon.com/images/M/MV5BM2UwMDVmMDItM2I2Yi00NGZmLTk4ZTUtY2JjNTQ3OGQ5ZjM2XkEyXkFqcGdeQXVyMTA1OTYzOTUx._V1_UX67_CR0,0,67,98_AL_.jpg" TargetMode="External"/><Relationship Id="rId451" Type="http://schemas.openxmlformats.org/officeDocument/2006/relationships/hyperlink" Target="https://m.media-amazon.com/images/M/MV5BYWFjMDNlYzItY2VlMS00ZTRkLWJjYTEtYjI5NmFlMGE3MzQ2XkEyXkFqcGdeQXVyNjc1NTYyMjg@._V1_UX67_CR0,0,67,98_AL_.jpg" TargetMode="External"/><Relationship Id="rId693" Type="http://schemas.openxmlformats.org/officeDocument/2006/relationships/hyperlink" Target="https://m.media-amazon.com/images/M/MV5BZWQzYjBjZmQtZDFiOS00ZDQ1LWI4MDAtMDk1NGE1NDBhYjNhL2ltYWdlXkEyXkFqcGdeQXVyNjc1NTYyMjg@._V1_UX67_CR0,0,67,98_AL_.jpg" TargetMode="External"/><Relationship Id="rId450" Type="http://schemas.openxmlformats.org/officeDocument/2006/relationships/hyperlink" Target="https://m.media-amazon.com/images/M/MV5BZjc1Yzc0ZmItMzU1OS00OWVlLThmYTctMWNlYmFlMjkxMzc0XkEyXkFqcGdeQXVyNTA1NjYyMDk@._V1_UY98_CR32,0,67,98_AL_.jpg" TargetMode="External"/><Relationship Id="rId692" Type="http://schemas.openxmlformats.org/officeDocument/2006/relationships/hyperlink" Target="https://m.media-amazon.com/images/M/MV5BMjIxNDYxMTk2MF5BMl5BanBnXkFtZTgwMjQxNjU3MTE@._V1_UY98_CR0,0,67,98_AL_.jpg" TargetMode="External"/><Relationship Id="rId691" Type="http://schemas.openxmlformats.org/officeDocument/2006/relationships/hyperlink" Target="https://m.media-amazon.com/images/M/MV5BZjMyZmU4OGYtNjBiYS00YTIxLWJjMDUtZjczZmQwMTM4YjQxXkEyXkFqcGdeQXVyNTI4MjkwNjA@._V1_UX67_CR0,0,67,98_AL_.jpg" TargetMode="External"/><Relationship Id="rId690" Type="http://schemas.openxmlformats.org/officeDocument/2006/relationships/hyperlink" Target="https://m.media-amazon.com/images/M/MV5BNDM3YjNlYmMtOGY3NS00MmRjLWIyY2UtNDA0MWM3OTNlZTY2XkEyXkFqcGdeQXVyMTQxNzMzNDI@._V1_UX67_CR0,0,67,98_AL_.jpg" TargetMode="External"/><Relationship Id="rId213" Type="http://schemas.openxmlformats.org/officeDocument/2006/relationships/hyperlink" Target="https://m.media-amazon.com/images/M/MV5BMjQ1NjM3MTUxNV5BMl5BanBnXkFtZTgwMDc5MTY5OTE@._V1_UX67_CR0,0,67,98_AL_.jpg" TargetMode="External"/><Relationship Id="rId455" Type="http://schemas.openxmlformats.org/officeDocument/2006/relationships/hyperlink" Target="https://m.media-amazon.com/images/M/MV5BY2RmNTRjYzctODI4Ni00MzQyLWEyNTAtNjU0N2JkMTNhNjJkXkEyXkFqcGdeQXVyNjU0OTQ0OTY@._V1_UX67_CR0,0,67,98_AL_.jpg" TargetMode="External"/><Relationship Id="rId697" Type="http://schemas.openxmlformats.org/officeDocument/2006/relationships/hyperlink" Target="https://m.media-amazon.com/images/M/MV5BMDcxNjhiOTEtMzQ0YS00OTBhLTkxM2QtN2UyZDMzNzIzNWFlXkEyXkFqcGdeQXVyMTQxNzMzNDI@._V1_UY98_CR1,0,67,98_AL_.jpg" TargetMode="External"/><Relationship Id="rId212" Type="http://schemas.openxmlformats.org/officeDocument/2006/relationships/hyperlink" Target="https://m.media-amazon.com/images/M/MV5BYzQxNDZhNDUtNDUwOC00NjQyLTg2OWUtZWVlYThjYjYyMTc2XkEyXkFqcGdeQXVyNTAyODkwOQ@@._V1_UY98_CR1,0,67,98_AL_.jpg" TargetMode="External"/><Relationship Id="rId454" Type="http://schemas.openxmlformats.org/officeDocument/2006/relationships/hyperlink" Target="https://m.media-amazon.com/images/M/MV5BYjkxOGM5OTktNTRmZi00MjhlLWE2MDktNzY3NjY3NmRjNDUyXkEyXkFqcGdeQXVyNDY2MTk1ODk@._V1_UX67_CR0,0,67,98_AL_.jpg" TargetMode="External"/><Relationship Id="rId696" Type="http://schemas.openxmlformats.org/officeDocument/2006/relationships/hyperlink" Target="https://m.media-amazon.com/images/M/MV5BNjZmMWE4NzgtZjc5OS00NTBmLThlY2MtM2MzNTA5NTZiNTFjXkEyXkFqcGdeQXVyNjc1NTYyMjg@._V1_UY98_CR0,0,67,98_AL_.jpg" TargetMode="External"/><Relationship Id="rId211" Type="http://schemas.openxmlformats.org/officeDocument/2006/relationships/hyperlink" Target="https://m.media-amazon.com/images/M/MV5BMTk0MDQ3MzAzOV5BMl5BanBnXkFtZTgwNzU1NzE3MjE@._V1_UX67_CR0,0,67,98_AL_.jpg" TargetMode="External"/><Relationship Id="rId453" Type="http://schemas.openxmlformats.org/officeDocument/2006/relationships/hyperlink" Target="https://m.media-amazon.com/images/M/MV5BYWQ0MGNjOTYtMWJlNi00YWMxLWFmMzktYjAyNTVkY2U1NWNhL2ltYWdlL2ltYWdlXkEyXkFqcGdeQXVyNjc1NTYyMjg@._V1_UX67_CR0,0,67,98_AL_.jpg" TargetMode="External"/><Relationship Id="rId695" Type="http://schemas.openxmlformats.org/officeDocument/2006/relationships/hyperlink" Target="https://m.media-amazon.com/images/M/MV5BYjhhMDFlZDctYzg1Mi00ZmZiLTgyNTgtM2NkMjRkNzYwZmQ0XkEyXkFqcGdeQXVyMTMxODk2OTU@._V1_UX67_CR0,0,67,98_AL_.jpg" TargetMode="External"/><Relationship Id="rId210" Type="http://schemas.openxmlformats.org/officeDocument/2006/relationships/hyperlink" Target="https://m.media-amazon.com/images/M/MV5BMzM5NjUxOTEyMl5BMl5BanBnXkFtZTgwNjEyMDM0MDE@._V1_UX67_CR0,0,67,98_AL_.jpg" TargetMode="External"/><Relationship Id="rId452" Type="http://schemas.openxmlformats.org/officeDocument/2006/relationships/hyperlink" Target="https://m.media-amazon.com/images/M/MV5BMDE0MjYxYmMtM2VhMC00MjhiLTg5NjItMDkzZGM5MGVlYjMxL2ltYWdlL2ltYWdlXkEyXkFqcGdeQXVyNjc1NTYyMjg@._V1_UX67_CR0,0,67,98_AL_.jpg" TargetMode="External"/><Relationship Id="rId694" Type="http://schemas.openxmlformats.org/officeDocument/2006/relationships/hyperlink" Target="https://m.media-amazon.com/images/M/MV5BNzZlMThlYzktMDlmZC00YTI1LThlNzktZWU0MTY4ODc2ZWY4XkEyXkFqcGdeQXVyNTA1NjYyMDk@._V1_UX67_CR0,0,67,98_AL_.jpg" TargetMode="External"/><Relationship Id="rId491" Type="http://schemas.openxmlformats.org/officeDocument/2006/relationships/hyperlink" Target="https://m.media-amazon.com/images/M/MV5BYmIzYmY4MGItM2I4YS00OWZhLWFmMzQtYzI2MWY1MmM3NGU1XkEyXkFqcGdeQXVyNjQ2MjQ5NzM@._V1_UY98_CR0,0,67,98_AL_.jpg" TargetMode="External"/><Relationship Id="rId490" Type="http://schemas.openxmlformats.org/officeDocument/2006/relationships/hyperlink" Target="https://m.media-amazon.com/images/M/MV5BMTc5MjYyOTg4MF5BMl5BanBnXkFtZTcwNDc2MzQwMg@@._V1_UX67_CR0,0,67,98_AL_.jpg" TargetMode="External"/><Relationship Id="rId249" Type="http://schemas.openxmlformats.org/officeDocument/2006/relationships/hyperlink" Target="https://m.media-amazon.com/images/M/MV5BMWM4NTFhYjctNzUyNi00NGMwLTk3NTYtMDIyNTZmMzRlYmQyXkEyXkFqcGdeQXVyMTAwMzUyOTc@._V1_UX67_CR0,0,67,98_AL_.jpg" TargetMode="External"/><Relationship Id="rId248" Type="http://schemas.openxmlformats.org/officeDocument/2006/relationships/hyperlink" Target="https://m.media-amazon.com/images/M/MV5BNDYxNWUzZmYtOGQxMC00MTdkLTkxOTctYzkyOGIwNWQxZjhmXkEyXkFqcGdeQXVyNjU0OTQ0OTY@._V1_UX67_CR0,0,67,98_AL_.jpg" TargetMode="External"/><Relationship Id="rId247" Type="http://schemas.openxmlformats.org/officeDocument/2006/relationships/hyperlink" Target="https://m.media-amazon.com/images/M/MV5BZjJhMThkNTQtNjkxNy00MDdjLTg4MWQtMTI2MmQ3MDVmODUzXkEyXkFqcGdeQXVyMTAwOTA3NzY3._V1_UY98_CR1,0,67,98_AL_.jpg" TargetMode="External"/><Relationship Id="rId489" Type="http://schemas.openxmlformats.org/officeDocument/2006/relationships/hyperlink" Target="https://m.media-amazon.com/images/M/MV5BYmQ5MzFjYWMtMTMwNC00ZGU5LWI3YTQtYzhkMGExNGFlY2Q0XkEyXkFqcGdeQXVyNTIzOTk5ODM@._V1_UX67_CR0,0,67,98_AL_.jpg" TargetMode="External"/><Relationship Id="rId242" Type="http://schemas.openxmlformats.org/officeDocument/2006/relationships/hyperlink" Target="https://m.media-amazon.com/images/M/MV5BNzM3NDFhYTAtYmU5Mi00NGRmLTljYjgtMDkyODQ4MjNkMGY2XkEyXkFqcGdeQXVyNzkwMjQ5NzM@._V1_UX67_CR0,0,67,98_AL_.jpg" TargetMode="External"/><Relationship Id="rId484" Type="http://schemas.openxmlformats.org/officeDocument/2006/relationships/hyperlink" Target="https://m.media-amazon.com/images/M/MV5BMTk1NTc3NDc4MF5BMl5BanBnXkFtZTcwNjYwNDk0OA@@._V1_UX67_CR0,0,67,98_AL_.jpg" TargetMode="External"/><Relationship Id="rId241" Type="http://schemas.openxmlformats.org/officeDocument/2006/relationships/hyperlink" Target="https://m.media-amazon.com/images/M/MV5BMjRjMTYwMTYtMmRkNi00MmVkLWE0MjQtNmM3YjI0NWFhZDNmXkEyXkFqcGdeQXVyODE5NzE3OTE@._V1_UX67_CR0,0,67,98_AL_.jpg" TargetMode="External"/><Relationship Id="rId483" Type="http://schemas.openxmlformats.org/officeDocument/2006/relationships/hyperlink" Target="https://m.media-amazon.com/images/M/MV5BMTc5OTk4MTM3M15BMl5BanBnXkFtZTgwODcxNjg3MDE@._V1_UX67_CR0,0,67,98_AL_.jpg" TargetMode="External"/><Relationship Id="rId240" Type="http://schemas.openxmlformats.org/officeDocument/2006/relationships/hyperlink" Target="https://m.media-amazon.com/images/M/MV5BOGViNTg4YTktYTQ2Ni00MTU0LTk2NWUtMTI4OTc1YTM0NzQ2XkEyXkFqcGdeQXVyMDM2NDM2MQ@@._V1_UX67_CR0,0,67,98_AL_.jpg" TargetMode="External"/><Relationship Id="rId482" Type="http://schemas.openxmlformats.org/officeDocument/2006/relationships/hyperlink" Target="https://m.media-amazon.com/images/M/MV5BMDUyZWU5N2UtOWFlMy00MTI0LTk0ZDYtMzFhNjljODBhZDA5XkEyXkFqcGdeQXVyNzA4ODc3ODU@._V1_UY98_CR1,0,67,98_AL_.jpg" TargetMode="External"/><Relationship Id="rId481" Type="http://schemas.openxmlformats.org/officeDocument/2006/relationships/hyperlink" Target="https://m.media-amazon.com/images/M/MV5BYTRkMDRiYmEtNGM4YS00NzM3LWI4MTMtYzk1MmVjMjM3ODg1XkEyXkFqcGdeQXVyMjgyNjk3MzE@._V1_UY98_CR1,0,67,98_AL_.jpg" TargetMode="External"/><Relationship Id="rId246" Type="http://schemas.openxmlformats.org/officeDocument/2006/relationships/hyperlink" Target="https://m.media-amazon.com/images/M/MV5BMTY1NTI0ODUyOF5BMl5BanBnXkFtZTgwNTEyNjQ0MDE@._V1_UX67_CR0,0,67,98_AL_.jpg" TargetMode="External"/><Relationship Id="rId488" Type="http://schemas.openxmlformats.org/officeDocument/2006/relationships/hyperlink" Target="https://m.media-amazon.com/images/M/MV5BOWM4NTY2NTMtZDZlZS00NTgyLWEzZDMtODE3ZGI1MzI3ZmU5XkEyXkFqcGdeQXVyNzI1NzMxNzM@._V1_UY98_CR1,0,67,98_AL_.jpg" TargetMode="External"/><Relationship Id="rId245" Type="http://schemas.openxmlformats.org/officeDocument/2006/relationships/hyperlink" Target="https://m.media-amazon.com/images/M/MV5BMjQxMWJhMzMtMzllZi00NzMwLTllYjktNTcwZmU4ZmU3NTA0XkEyXkFqcGdeQXVyMTAzMDM4MjM0._V1_UY98_CR3,0,67,98_AL_.jpg" TargetMode="External"/><Relationship Id="rId487" Type="http://schemas.openxmlformats.org/officeDocument/2006/relationships/hyperlink" Target="https://m.media-amazon.com/images/M/MV5BMTgzODgyNTQwOV5BMl5BanBnXkFtZTcwNzc0NTc0Mg@@._V1_UX67_CR0,0,67,98_AL_.jpg" TargetMode="External"/><Relationship Id="rId244" Type="http://schemas.openxmlformats.org/officeDocument/2006/relationships/hyperlink" Target="https://m.media-amazon.com/images/M/MV5BMTY5MzYzNjc5NV5BMl5BanBnXkFtZTYwNTUyNTc2._V1_UX67_CR0,0,67,98_AL_.jpg" TargetMode="External"/><Relationship Id="rId486" Type="http://schemas.openxmlformats.org/officeDocument/2006/relationships/hyperlink" Target="https://m.media-amazon.com/images/M/MV5BMTUyMjQ1MTY5OV5BMl5BanBnXkFtZTcwNzY5NjExMw@@._V1_UY98_CR1,0,67,98_AL_.jpg" TargetMode="External"/><Relationship Id="rId243" Type="http://schemas.openxmlformats.org/officeDocument/2006/relationships/hyperlink" Target="https://m.media-amazon.com/images/M/MV5BZTAzNWZlNmUtZDEzYi00ZjA5LWIwYjEtZGM1NWE1MjE4YWRhXkEyXkFqcGdeQXVyNjU0OTQ0OTY@._V1_UX67_CR0,0,67,98_AL_.jpg" TargetMode="External"/><Relationship Id="rId485" Type="http://schemas.openxmlformats.org/officeDocument/2006/relationships/hyperlink" Target="https://m.media-amazon.com/images/M/MV5BMGUyM2ZiZmUtMWY0OC00NTQ4LThkOGUtNjY2NjkzMDJiMWMwXkEyXkFqcGdeQXVyMzY0MTE3NzU@._V1_UX67_CR0,0,67,98_AL_.jpg" TargetMode="External"/><Relationship Id="rId480" Type="http://schemas.openxmlformats.org/officeDocument/2006/relationships/hyperlink" Target="https://m.media-amazon.com/images/M/MV5BZGIzNWYzN2YtMjcwYS00YjQ3LWI2NjMtOTNiYTUyYjE2MGNkXkEyXkFqcGdeQXVyMTQxNzMzNDI@._V1_UX67_CR0,0,67,98_AL_.jpg" TargetMode="External"/><Relationship Id="rId239" Type="http://schemas.openxmlformats.org/officeDocument/2006/relationships/hyperlink" Target="https://m.media-amazon.com/images/M/MV5BMzQ4MTBlYTQtMzJkYS00OGNjLTk1MWYtNzQ0OTQ0OWEyOWU1XkEyXkFqcGdeQXVyNDgyODgxNjE@._V1_UY98_CR1,0,67,98_AL_.jpg" TargetMode="External"/><Relationship Id="rId238" Type="http://schemas.openxmlformats.org/officeDocument/2006/relationships/hyperlink" Target="https://m.media-amazon.com/images/M/MV5BMTQ1MjAwNTM5Ml5BMl5BanBnXkFtZTYwNDM0MTc3._V1_UX67_CR0,0,67,98_AL_.jpg" TargetMode="External"/><Relationship Id="rId237" Type="http://schemas.openxmlformats.org/officeDocument/2006/relationships/hyperlink" Target="https://m.media-amazon.com/images/M/MV5BNjAxZTEzNzQtYjdlNy00ZTJmLTkwZDUtOTAwNTM3YjI2MWUyL2ltYWdlXkEyXkFqcGdeQXVyNTAyODkwOQ@@._V1_UX67_CR0,0,67,98_AL_.jpg" TargetMode="External"/><Relationship Id="rId479" Type="http://schemas.openxmlformats.org/officeDocument/2006/relationships/hyperlink" Target="https://m.media-amazon.com/images/M/MV5BMjA5NzgxODE2NF5BMl5BanBnXkFtZTcwNTI1NTI0OQ@@._V1_UX67_CR0,0,67,98_AL_.jpg" TargetMode="External"/><Relationship Id="rId236" Type="http://schemas.openxmlformats.org/officeDocument/2006/relationships/hyperlink" Target="https://m.media-amazon.com/images/M/MV5BZGJjYmIzZmQtNWE4Yy00ZGVmLWJkZGEtMzUzNmQ4ZWFlMjRhXkEyXkFqcGdeQXVyMTMxODk2OTU@._V1_UX67_CR0,0,67,98_AL_.jpg" TargetMode="External"/><Relationship Id="rId478" Type="http://schemas.openxmlformats.org/officeDocument/2006/relationships/hyperlink" Target="https://m.media-amazon.com/images/M/MV5BOTAzODEzNDAzMl5BMl5BanBnXkFtZTgwMDU1MTgzNzE@._V1_UX67_CR0,0,67,98_AL_.jpg" TargetMode="External"/><Relationship Id="rId231" Type="http://schemas.openxmlformats.org/officeDocument/2006/relationships/hyperlink" Target="https://m.media-amazon.com/images/M/MV5BMjA5NDQyMjc2NF5BMl5BanBnXkFtZTcwMjg5ODcyMw@@._V1_UX67_CR0,0,67,98_AL_.jpg" TargetMode="External"/><Relationship Id="rId473" Type="http://schemas.openxmlformats.org/officeDocument/2006/relationships/hyperlink" Target="https://m.media-amazon.com/images/M/MV5BMjEzODA3MDcxMl5BMl5BanBnXkFtZTgwODgxNDk3NzE@._V1_UX67_CR0,0,67,98_AL_.jpg" TargetMode="External"/><Relationship Id="rId230" Type="http://schemas.openxmlformats.org/officeDocument/2006/relationships/hyperlink" Target="https://m.media-amazon.com/images/M/MV5BMDgzYjQwMDMtNGUzYi00MTRmLWIyMGMtNjE1OGZkNzY2YWIzL2ltYWdlXkEyXkFqcGdeQXVyNjU0OTQ0OTY@._V1_UY98_CR1,0,67,98_AL_.jpg" TargetMode="External"/><Relationship Id="rId472" Type="http://schemas.openxmlformats.org/officeDocument/2006/relationships/hyperlink" Target="https://m.media-amazon.com/images/M/MV5BMjE5OTM0OTY5NF5BMl5BanBnXkFtZTgwMDcxOTQ3ODE@._V1_UX67_CR0,0,67,98_AL_.jpg" TargetMode="External"/><Relationship Id="rId471" Type="http://schemas.openxmlformats.org/officeDocument/2006/relationships/hyperlink" Target="https://m.media-amazon.com/images/M/MV5BMjI1MDQ2MDg5Ml5BMl5BanBnXkFtZTgwMjc2NjM5ODE@._V1_UX67_CR0,0,67,98_AL_.jpg" TargetMode="External"/><Relationship Id="rId470" Type="http://schemas.openxmlformats.org/officeDocument/2006/relationships/hyperlink" Target="https://m.media-amazon.com/images/M/MV5BZDQwOWQ2NmUtZThjZi00MGM0LTkzNDctMzcyMjcyOGI1OGRkXkEyXkFqcGdeQXVyMTA3MDk2NDg2._V1_UX67_CR0,0,67,98_AL_.jpg" TargetMode="External"/><Relationship Id="rId235" Type="http://schemas.openxmlformats.org/officeDocument/2006/relationships/hyperlink" Target="https://m.media-amazon.com/images/M/MV5BMTkxNzA1NDQxOV5BMl5BanBnXkFtZTcwNTkyMTIzMw@@._V1_UX67_CR0,0,67,98_AL_.jpg" TargetMode="External"/><Relationship Id="rId477" Type="http://schemas.openxmlformats.org/officeDocument/2006/relationships/hyperlink" Target="https://m.media-amazon.com/images/M/MV5BMTExMzU0ODcxNDheQTJeQWpwZ15BbWU4MDE1OTI4MzAy._V1_UX67_CR0,0,67,98_AL_.jpg" TargetMode="External"/><Relationship Id="rId234" Type="http://schemas.openxmlformats.org/officeDocument/2006/relationships/hyperlink" Target="https://m.media-amazon.com/images/M/MV5BN2ZmMDMwODgtMzA5MS00MGU0LWEyYTgtYzQ5MmQzMzU2NTVkXkEyXkFqcGdeQXVyODE5NzE3OTE@._V1_UY98_CR0,0,67,98_AL_.jpg" TargetMode="External"/><Relationship Id="rId476" Type="http://schemas.openxmlformats.org/officeDocument/2006/relationships/hyperlink" Target="https://m.media-amazon.com/images/M/MV5BZjU0Yzk2MzEtMjAzYy00MzY0LTg2YmItM2RkNzdkY2ZhN2JkXkEyXkFqcGdeQXVyNDg4NjY5OTQ@._V1_UX67_CR0,0,67,98_AL_.jpg" TargetMode="External"/><Relationship Id="rId233" Type="http://schemas.openxmlformats.org/officeDocument/2006/relationships/hyperlink" Target="https://m.media-amazon.com/images/M/MV5BMjA5Njk3MjM4OV5BMl5BanBnXkFtZTcwMTc5MTE1MQ@@._V1_UX67_CR0,0,67,98_AL_.jpg" TargetMode="External"/><Relationship Id="rId475" Type="http://schemas.openxmlformats.org/officeDocument/2006/relationships/hyperlink" Target="https://m.media-amazon.com/images/M/MV5BN2U1YzdhYWMtZWUzMi00OWI1LWFkM2ItNWVjM2YxMGQ2MmNhXkEyXkFqcGdeQXVyNjU0OTQ0OTY@._V1_UY98_CR0,0,67,98_AL_.jpg" TargetMode="External"/><Relationship Id="rId232" Type="http://schemas.openxmlformats.org/officeDocument/2006/relationships/hyperlink" Target="https://m.media-amazon.com/images/M/MV5BMTAwNDEyODU1MjheQTJeQWpwZ15BbWU2MDc3NDQwNw@@._V1_UX67_CR0,0,67,98_AL_.jpg" TargetMode="External"/><Relationship Id="rId474" Type="http://schemas.openxmlformats.org/officeDocument/2006/relationships/hyperlink" Target="https://m.media-amazon.com/images/M/MV5BMjMyNDkzMzI1OF5BMl5BanBnXkFtZTgwODcxODg5MjI@._V1_UX67_CR0,0,67,98_AL_.jpg" TargetMode="External"/><Relationship Id="rId426" Type="http://schemas.openxmlformats.org/officeDocument/2006/relationships/hyperlink" Target="https://m.media-amazon.com/images/M/MV5BZmEwZGU2NzctYzlmNi00MGJkLWE3N2MtYjBlN2ZhMGJkZTZiXkEyXkFqcGdeQXVyMTQxNzMzNDI@._V1_UX67_CR0,0,67,98_AL_.jpg" TargetMode="External"/><Relationship Id="rId668" Type="http://schemas.openxmlformats.org/officeDocument/2006/relationships/hyperlink" Target="https://m.media-amazon.com/images/M/MV5BOGNmMjBmZWEtOWYwZC00NGIzLTg0YWItMzkzMWMwOTU4YTViXkEyXkFqcGdeQXVyNzc5MjA3OA@@._V1_UX67_CR0,0,67,98_AL_.jpg" TargetMode="External"/><Relationship Id="rId425" Type="http://schemas.openxmlformats.org/officeDocument/2006/relationships/hyperlink" Target="https://m.media-amazon.com/images/M/MV5BMTkyMTM2NDk5Nl5BMl5BanBnXkFtZTgwNzY1NzEyMDE@._V1_UX67_CR0,0,67,98_AL_.jpg" TargetMode="External"/><Relationship Id="rId667" Type="http://schemas.openxmlformats.org/officeDocument/2006/relationships/hyperlink" Target="https://m.media-amazon.com/images/M/MV5BOTIzZGU4ZWMtYmNjMy00NzU0LTljMGYtZmVkMDYwN2U2MzYwL2ltYWdlXkEyXkFqcGdeQXVyNTAyODkwOQ@@._V1_UX67_CR0,0,67,98_AL_.jpg" TargetMode="External"/><Relationship Id="rId424" Type="http://schemas.openxmlformats.org/officeDocument/2006/relationships/hyperlink" Target="https://m.media-amazon.com/images/M/MV5BODFlYzU4YTItN2EwYi00ODI3LTkwNTQtMDdkNjM3YjMyMTgyXkEyXkFqcGdeQXVyNjc1NTYyMjg@._V1_UY98_CR0,0,67,98_AL_.jpg" TargetMode="External"/><Relationship Id="rId666" Type="http://schemas.openxmlformats.org/officeDocument/2006/relationships/hyperlink" Target="https://m.media-amazon.com/images/M/MV5BYTRiMWM3MGItNjAxZC00M2E3LThhODgtM2QwOGNmZGU4OWZhXkEyXkFqcGdeQXVyNjExODE1MDc@._V1_UX67_CR0,0,67,98_AL_.jpg" TargetMode="External"/><Relationship Id="rId423" Type="http://schemas.openxmlformats.org/officeDocument/2006/relationships/hyperlink" Target="https://m.media-amazon.com/images/M/MV5BMWMxNDYzNmUtYjFmNC00MGM2LWFmNzMtODhlMGNkNDg5MjE5XkEyXkFqcGdeQXVyNjE5MjUyOTM@._V1_UX67_CR0,0,67,98_AL_.jpg" TargetMode="External"/><Relationship Id="rId665" Type="http://schemas.openxmlformats.org/officeDocument/2006/relationships/hyperlink" Target="https://m.media-amazon.com/images/M/MV5BMTczOTczNjE3Ml5BMl5BanBnXkFtZTgwODEzMzg5MTI@._V1_UX67_CR0,0,67,98_AL_.jpg" TargetMode="External"/><Relationship Id="rId429" Type="http://schemas.openxmlformats.org/officeDocument/2006/relationships/hyperlink" Target="https://m.media-amazon.com/images/M/MV5BMjQ5ODI1MjQtMDc0Zi00OGQ1LWE2NTYtMTg1YTkxM2E5NzFkXkEyXkFqcGdeQXVyNTA4NzY1MzY@._V1_UX67_CR0,0,67,98_AL_.jpg" TargetMode="External"/><Relationship Id="rId428" Type="http://schemas.openxmlformats.org/officeDocument/2006/relationships/hyperlink" Target="https://m.media-amazon.com/images/M/MV5BMTQ0ODc4MDk4Nl5BMl5BanBnXkFtZTcwMTEzNzgzNA@@._V1_UX67_CR0,0,67,98_AL_.jpg" TargetMode="External"/><Relationship Id="rId427" Type="http://schemas.openxmlformats.org/officeDocument/2006/relationships/hyperlink" Target="https://m.media-amazon.com/images/M/MV5BMTg0NjUwMzg5NF5BMl5BanBnXkFtZTgwNDQ0NjcwMTE@._V1_UX67_CR0,0,67,98_AL_.jpg" TargetMode="External"/><Relationship Id="rId669" Type="http://schemas.openxmlformats.org/officeDocument/2006/relationships/hyperlink" Target="https://m.media-amazon.com/images/M/MV5BYmE0ZGRiMDgtOTU0ZS00YWUwLTk5YWQtMzhiZGVhNzViMGZiXkEyXkFqcGdeQXVyMTMxODk2OTU@._V1_UX67_CR0,0,67,98_AL_.jpg" TargetMode="External"/><Relationship Id="rId660" Type="http://schemas.openxmlformats.org/officeDocument/2006/relationships/hyperlink" Target="https://m.media-amazon.com/images/M/MV5BODRkYzA4MGItODE2MC00ZjkwLWI2NDEtYzU1NzFiZGU1YzA0XkEyXkFqcGdeQXVyNTAyODkwOQ@@._V1_UX67_CR0,0,67,98_AL_.jpg" TargetMode="External"/><Relationship Id="rId422" Type="http://schemas.openxmlformats.org/officeDocument/2006/relationships/hyperlink" Target="https://m.media-amazon.com/images/M/MV5BNmVjNzZkZjQtYmM5ZC00M2I0LWJhNzktNDk3MGU1NWMxMjFjXkEyXkFqcGdeQXVyNjc1NTYyMjg@._V1_UX67_CR0,0,67,98_AL_.jpg" TargetMode="External"/><Relationship Id="rId664" Type="http://schemas.openxmlformats.org/officeDocument/2006/relationships/hyperlink" Target="https://m.media-amazon.com/images/M/MV5BYmFmOGZjYTItYjY1ZS00OWRiLTk0NDgtMjQ5MzBkYWE2YWE0XkEyXkFqcGdeQXVyNjU0OTQ0OTY@._V1_UX67_CR0,0,67,98_AL_.jpg" TargetMode="External"/><Relationship Id="rId421" Type="http://schemas.openxmlformats.org/officeDocument/2006/relationships/hyperlink" Target="https://m.media-amazon.com/images/M/MV5BM2EzZmFmMmItODY3Zi00NjdjLWE0MTYtZWQ3MGIyM2M4YjZhXkEyXkFqcGdeQXVyMzg2MzE2OTE@._V1_UX67_CR0,0,67,98_AL_.jpg" TargetMode="External"/><Relationship Id="rId663" Type="http://schemas.openxmlformats.org/officeDocument/2006/relationships/hyperlink" Target="https://m.media-amazon.com/images/M/MV5BMjA3Y2I4NjAtMDQyZS00ZGJhLWEwMzgtODBiNzE5Zjc1Nzk1L2ltYWdlXkEyXkFqcGdeQXVyNTc2MDU0NDE@._V1_UX67_CR0,0,67,98_AL_.jpg" TargetMode="External"/><Relationship Id="rId420" Type="http://schemas.openxmlformats.org/officeDocument/2006/relationships/hyperlink" Target="https://m.media-amazon.com/images/M/MV5BYjhmMGMxZDYtMTkyNy00YWVmLTgyYmUtYTU3ZjcwNTBjN2I1XkEyXkFqcGdeQXVyNzkwMjQ5NzM@._V1_UX67_CR0,0,67,98_AL_.jpg" TargetMode="External"/><Relationship Id="rId662" Type="http://schemas.openxmlformats.org/officeDocument/2006/relationships/hyperlink" Target="https://m.media-amazon.com/images/M/MV5BNDYwOThlMDAtYWUwMS00MjY5LTliMGUtZWFiYTA5MjYwZDAyXkEyXkFqcGdeQXVyNjY1NTQ0NDg@._V1_UX67_CR0,0,67,98_AL_.jpg" TargetMode="External"/><Relationship Id="rId661" Type="http://schemas.openxmlformats.org/officeDocument/2006/relationships/hyperlink" Target="https://m.media-amazon.com/images/M/MV5BODllYjM1ODItYjBmOC00MzkwLWJmM2YtMjMyZDU3MGJhNjc4L2ltYWdlL2ltYWdlXkEyXkFqcGdeQXVyMTQxNzMzNDI@._V1_UX67_CR0,0,67,98_AL_.jpg" TargetMode="External"/><Relationship Id="rId415" Type="http://schemas.openxmlformats.org/officeDocument/2006/relationships/hyperlink" Target="https://m.media-amazon.com/images/M/MV5BZDg1OGQ4YzgtM2Y2NS00NjA3LWFjYTctMDRlMDI3NWE1OTUyXkEyXkFqcGdeQXVyMjUzOTY1NTc@._V1_UX67_CR0,0,67,98_AL_.jpg" TargetMode="External"/><Relationship Id="rId657" Type="http://schemas.openxmlformats.org/officeDocument/2006/relationships/hyperlink" Target="https://m.media-amazon.com/images/M/MV5BNDYwZTU2MzktNWYxMS00NTYzLTgzOWEtMTRiYjc5NGY2Nzg1XkEyXkFqcGdeQXVyMTQxNzMzNDI@._V1_UX67_CR0,0,67,98_AL_.jpg" TargetMode="External"/><Relationship Id="rId899" Type="http://schemas.openxmlformats.org/officeDocument/2006/relationships/hyperlink" Target="https://m.media-amazon.com/images/M/MV5BMTgwODk3NDc1N15BMl5BanBnXkFtZTgwNTc1NjQwMjE@._V1_UX67_CR0,0,67,98_AL_.jpg" TargetMode="External"/><Relationship Id="rId414" Type="http://schemas.openxmlformats.org/officeDocument/2006/relationships/hyperlink" Target="https://m.media-amazon.com/images/M/MV5BNjAzNzJjYzQtMGFmNS00ZjAzLTkwMjgtMWIzYzFkMzM4Njg3XkEyXkFqcGdeQXVyMTY5Nzc4MDY@._V1_UX67_CR0,0,67,98_AL_.jpg" TargetMode="External"/><Relationship Id="rId656" Type="http://schemas.openxmlformats.org/officeDocument/2006/relationships/hyperlink" Target="https://m.media-amazon.com/images/M/MV5BZGVmMDNmYmEtNGQ2Mi00Y2ZhLThhZTYtYjE5YmQzMjZiZGMxXkEyXkFqcGdeQXVyNDk3NzU2MTQ@._V1_UY98_CR1,0,67,98_AL_.jpg" TargetMode="External"/><Relationship Id="rId898" Type="http://schemas.openxmlformats.org/officeDocument/2006/relationships/hyperlink" Target="https://m.media-amazon.com/images/M/MV5BMjA5ODgyNzcxMV5BMl5BanBnXkFtZTgwMzkzOTYzMDE@._V1_UX67_CR0,0,67,98_AL_.jpg" TargetMode="External"/><Relationship Id="rId413" Type="http://schemas.openxmlformats.org/officeDocument/2006/relationships/hyperlink" Target="https://m.media-amazon.com/images/M/MV5BMzFhNWVmNWItNGM5OC00NjZhLTk3YTQtMjE1ODUyOThlMjNmL2ltYWdlXkEyXkFqcGdeQXVyNTAyODkwOQ@@._V1_UX67_CR0,0,67,98_AL_.jpg" TargetMode="External"/><Relationship Id="rId655" Type="http://schemas.openxmlformats.org/officeDocument/2006/relationships/hyperlink" Target="https://m.media-amazon.com/images/M/MV5BODI3ZTc5NjktOGMyOC00NjYzLTgwZDYtYmQ4NDc1MmJjMjRlXkEyXkFqcGdeQXVyMTQxNzMzNDI@._V1_UX67_CR0,0,67,98_AL_.jpg" TargetMode="External"/><Relationship Id="rId897" Type="http://schemas.openxmlformats.org/officeDocument/2006/relationships/hyperlink" Target="https://m.media-amazon.com/images/M/MV5BMTg4NDA1OTA5NF5BMl5BanBnXkFtZTgwMDQ2MDM5ODE@._V1_UX67_CR0,0,67,98_AL_.jpg" TargetMode="External"/><Relationship Id="rId412" Type="http://schemas.openxmlformats.org/officeDocument/2006/relationships/hyperlink" Target="https://m.media-amazon.com/images/M/MV5BMzJiZDRmOWUtYjE2MS00Mjc1LTg1ZDYtNTQxYWJkZTg1OTM4XkEyXkFqcGdeQXVyNjUwNzk3NDc@._V1_UX67_CR0,0,67,98_AL_.jpg" TargetMode="External"/><Relationship Id="rId654" Type="http://schemas.openxmlformats.org/officeDocument/2006/relationships/hyperlink" Target="https://m.media-amazon.com/images/M/MV5BODk4MzE5NjgtN2ZhOS00YTdkLTg0YzktMmE1MTkxZmMyMWI2L2ltYWdlXkEyXkFqcGdeQXVyNTAyODkwOQ@@._V1_UX67_CR0,0,67,98_AL_.jpg" TargetMode="External"/><Relationship Id="rId896" Type="http://schemas.openxmlformats.org/officeDocument/2006/relationships/hyperlink" Target="https://m.media-amazon.com/images/M/MV5BYTYxZjQ2YTktNmVkMC00ZTY4LThkZmItMDc4MTJiYjVhZjM0L2ltYWdlXkEyXkFqcGdeQXVyMjgyNjk3MzE@._V1_UY98_CR1,0,67,98_AL_.jpg" TargetMode="External"/><Relationship Id="rId419" Type="http://schemas.openxmlformats.org/officeDocument/2006/relationships/hyperlink" Target="https://m.media-amazon.com/images/M/MV5BZGRjZjQ0NzAtYmZlNS00Zjc1LTk1YWItMDY5YzQxMzA4MTAzXkEyXkFqcGdeQXVyMjI4MjA5MzA@._V1_UX67_CR0,0,67,98_AL_.jpg" TargetMode="External"/><Relationship Id="rId418" Type="http://schemas.openxmlformats.org/officeDocument/2006/relationships/hyperlink" Target="https://m.media-amazon.com/images/M/MV5BMTEwNjg2MjM2ODFeQTJeQWpwZ15BbWU4MDQ1MDU5OTEx._V1_UX67_CR0,0,67,98_AL_.jpg" TargetMode="External"/><Relationship Id="rId417" Type="http://schemas.openxmlformats.org/officeDocument/2006/relationships/hyperlink" Target="https://m.media-amazon.com/images/M/MV5BODExZmE2ZWItYTIzOC00MzI1LTgyNTktMDBhNmFhY2Y4OTQ3XkEyXkFqcGdeQXVyNjU0OTQ0OTY@._V1_UX67_CR0,0,67,98_AL_.jpg" TargetMode="External"/><Relationship Id="rId659" Type="http://schemas.openxmlformats.org/officeDocument/2006/relationships/hyperlink" Target="https://m.media-amazon.com/images/M/MV5BY2EyZDlhNjItODYzNi00Mzc3LWJjOWUtMTViODU5MTExZWMyL2ltYWdlXkEyXkFqcGdeQXVyMTQxNzMzNDI@._V1_UX67_CR0,0,67,98_AL_.jpg" TargetMode="External"/><Relationship Id="rId416" Type="http://schemas.openxmlformats.org/officeDocument/2006/relationships/hyperlink" Target="https://m.media-amazon.com/images/M/MV5BMmVmODY1MzEtYTMwZC00MzNhLWFkNDMtZjAwM2EwODUxZTA5XkEyXkFqcGdeQXVyNTAyODkwOQ@@._V1_UX67_CR0,0,67,98_AL_.jpg" TargetMode="External"/><Relationship Id="rId658" Type="http://schemas.openxmlformats.org/officeDocument/2006/relationships/hyperlink" Target="https://m.media-amazon.com/images/M/MV5BNTA5ZjdjNWUtZGUwNy00N2RhLWJiZmItYzFhYjU1NmYxNjY4XkEyXkFqcGdeQXVyMTQxNzMzNDI@._V1_UX67_CR0,0,67,98_AL_.jpg" TargetMode="External"/><Relationship Id="rId891" Type="http://schemas.openxmlformats.org/officeDocument/2006/relationships/hyperlink" Target="https://m.media-amazon.com/images/M/MV5BMjIxOTI0MjU5NV5BMl5BanBnXkFtZTgwNzM4OTk4NTE@._V1_UX67_CR0,0,67,98_AL_.jpg" TargetMode="External"/><Relationship Id="rId890" Type="http://schemas.openxmlformats.org/officeDocument/2006/relationships/hyperlink" Target="https://m.media-amazon.com/images/M/MV5BYWFlOWI3YTMtYTk3NS00YWQ2LTlmYTMtZjk0ZDk4Y2NjODI0XkEyXkFqcGdeQXVyNTQxNTQ4Mg@@._V1_UX67_CR0,0,67,98_AL_.jpg" TargetMode="External"/><Relationship Id="rId411" Type="http://schemas.openxmlformats.org/officeDocument/2006/relationships/hyperlink" Target="https://m.media-amazon.com/images/M/MV5BYTViNzMxZjEtZGEwNy00MDNiLWIzNGQtZDY2MjQ1OWViZjFmXkEyXkFqcGdeQXVyNzkwMjQ5NzM@._V1_UX67_CR0,0,67,98_AL_.jpg" TargetMode="External"/><Relationship Id="rId653" Type="http://schemas.openxmlformats.org/officeDocument/2006/relationships/hyperlink" Target="https://m.media-amazon.com/images/M/MV5BMDdmZGU3NDQtY2E5My00ZTliLWIzOTUtMTY4ZGI1YjdiNjk3XkEyXkFqcGdeQXVyNTA4NzY1MzY@._V1_UX67_CR0,0,67,98_AL_.jpg" TargetMode="External"/><Relationship Id="rId895" Type="http://schemas.openxmlformats.org/officeDocument/2006/relationships/hyperlink" Target="https://m.media-amazon.com/images/M/MV5BNmZkYjQzY2QtNjdkNC00YjkzLTk5NjUtY2MyNDNiYTBhN2M2XkEyXkFqcGdeQXVyMjMwNDgzNjc@._V1_UX67_CR0,0,67,98_AL_.jpg" TargetMode="External"/><Relationship Id="rId1000" Type="http://schemas.openxmlformats.org/officeDocument/2006/relationships/hyperlink" Target="https://m.media-amazon.com/images/M/MV5BMTY5ODAzMTcwOF5BMl5BanBnXkFtZTcwMzYxNDYyNA@@._V1_UX67_CR0,0,67,98_AL_.jpg" TargetMode="External"/><Relationship Id="rId410" Type="http://schemas.openxmlformats.org/officeDocument/2006/relationships/hyperlink" Target="https://m.media-amazon.com/images/M/MV5BNTg0NmI1ZGQtZTUxNC00NTgxLThjMDUtZmRlYmEzM2MwOWYwXkEyXkFqcGdeQXVyMzM4MjM0Nzg@._V1_UY98_CR1,0,67,98_AL_.jpg" TargetMode="External"/><Relationship Id="rId652" Type="http://schemas.openxmlformats.org/officeDocument/2006/relationships/hyperlink" Target="https://m.media-amazon.com/images/M/MV5BOGZhM2FhNTItODAzNi00YjA0LWEyN2UtNjJlYWQzYzU1MDg5L2ltYWdlL2ltYWdlXkEyXkFqcGdeQXVyMTQxNzMzNDI@._V1_UX67_CR0,0,67,98_AL_.jpg" TargetMode="External"/><Relationship Id="rId894" Type="http://schemas.openxmlformats.org/officeDocument/2006/relationships/hyperlink" Target="https://m.media-amazon.com/images/M/MV5BMjA5NjM3NTk1M15BMl5BanBnXkFtZTgwMzg1MzU2NjE@._V1_UX67_CR0,0,67,98_AL_.jpg" TargetMode="External"/><Relationship Id="rId1001" Type="http://schemas.openxmlformats.org/officeDocument/2006/relationships/drawing" Target="../drawings/drawing2.xml"/><Relationship Id="rId651" Type="http://schemas.openxmlformats.org/officeDocument/2006/relationships/hyperlink" Target="https://m.media-amazon.com/images/M/MV5BZmIzMjE0M2YtNzliZi00YWNmLTgyNDItZDhjNWVhY2Q2ODk0XkEyXkFqcGdeQXVyNTAyODkwOQ@@._V1_UX67_CR0,0,67,98_AL_.jpg" TargetMode="External"/><Relationship Id="rId893" Type="http://schemas.openxmlformats.org/officeDocument/2006/relationships/hyperlink" Target="https://m.media-amazon.com/images/M/MV5BMjI4MzU5NTExNF5BMl5BanBnXkFtZTgwNzY1MTEwMDI@._V1_UX67_CR0,0,67,98_AL_.jpg" TargetMode="External"/><Relationship Id="rId650" Type="http://schemas.openxmlformats.org/officeDocument/2006/relationships/hyperlink" Target="https://m.media-amazon.com/images/M/MV5BODg0YjAzNDQtOGFkMi00Yzk2LTg1NzYtYTNjY2UwZTM2ZDdkL2ltYWdlXkEyXkFqcGdeQXVyMTQxNzMzNDI@._V1_UY98_CR0,0,67,98_AL_.jpg" TargetMode="External"/><Relationship Id="rId892" Type="http://schemas.openxmlformats.org/officeDocument/2006/relationships/hyperlink" Target="https://m.media-amazon.com/images/M/MV5BMTEzNzY0OTg0NTdeQTJeQWpwZ15BbWU4MDU3OTg3MjUz._V1_UX67_CR0,0,67,98_AL_.jpg" TargetMode="External"/><Relationship Id="rId206" Type="http://schemas.openxmlformats.org/officeDocument/2006/relationships/hyperlink" Target="https://m.media-amazon.com/images/M/MV5BZGE1MDg5M2MtNTkyZS00MTY5LTg1YzUtZTlhZmM1Y2EwNmFmXkEyXkFqcGdeQXVyNjA3OTI0MDc@._V1_UX67_CR0,0,67,98_AL_.jpg" TargetMode="External"/><Relationship Id="rId448" Type="http://schemas.openxmlformats.org/officeDocument/2006/relationships/hyperlink" Target="https://m.media-amazon.com/images/M/MV5BNzk2M2Y3MzYtNGMzMi00Y2FjLTkwODQtNmExYWU3ZWY3NzExXkEyXkFqcGdeQXVyNTA4NzY1MzY@._V1_UX67_CR0,0,67,98_AL_.jpg" TargetMode="External"/><Relationship Id="rId205" Type="http://schemas.openxmlformats.org/officeDocument/2006/relationships/hyperlink" Target="https://m.media-amazon.com/images/M/MV5BNGQzY2Y0MTgtMDA4OC00NjM3LWI0ZGQtNTJlM2UxZDQxZjI0XkEyXkFqcGdeQXVyNDUzOTQ5MjY@._V1_UY98_CR1,0,67,98_AL_.jpg" TargetMode="External"/><Relationship Id="rId447" Type="http://schemas.openxmlformats.org/officeDocument/2006/relationships/hyperlink" Target="https://m.media-amazon.com/images/M/MV5BMTE2MDM4MTMtZmNkZC00Y2QyLWE0YjUtMTAxZGJmODMxMDM0XkEyXkFqcGdeQXVyNjc1NTYyMjg@._V1_UX67_CR0,0,67,98_AL_.jpg" TargetMode="External"/><Relationship Id="rId689" Type="http://schemas.openxmlformats.org/officeDocument/2006/relationships/hyperlink" Target="https://m.media-amazon.com/images/M/MV5BMTQ2ODFlMDAtNzdhOC00ZDYzLWE3YTMtNDU4ZGFmZmJmYTczXkEyXkFqcGdeQXVyMTQxNzMzNDI@._V1_UX67_CR0,0,67,98_AL_.jpg" TargetMode="External"/><Relationship Id="rId204" Type="http://schemas.openxmlformats.org/officeDocument/2006/relationships/hyperlink" Target="https://m.media-amazon.com/images/M/MV5BMjE4NzgzNzEwMl5BMl5BanBnXkFtZTgwMTMzMDE0NjE@._V1_UX67_CR0,0,67,98_AL_.jpg" TargetMode="External"/><Relationship Id="rId446" Type="http://schemas.openxmlformats.org/officeDocument/2006/relationships/hyperlink" Target="https://m.media-amazon.com/images/M/MV5BNDMyNGU0NjUtNTIxMC00ZmU2LWE0ZGItZTdkNGVlODI2ZDcyL2ltYWdlXkEyXkFqcGdeQXVyNjc1NTYyMjg@._V1_UX67_CR0,0,67,98_AL_.jpg" TargetMode="External"/><Relationship Id="rId688" Type="http://schemas.openxmlformats.org/officeDocument/2006/relationships/hyperlink" Target="https://m.media-amazon.com/images/M/MV5BMTViNjlkYjgtMmE3Zi00ZGVkLTkyMjMtNzc3YzAwNzNiODQ1XkEyXkFqcGdeQXVyMjA0MzYwMDY@._V1_UX67_CR0,0,67,98_AL_.jpg" TargetMode="External"/><Relationship Id="rId203" Type="http://schemas.openxmlformats.org/officeDocument/2006/relationships/hyperlink" Target="https://m.media-amazon.com/images/M/MV5BYzc5MTU4N2EtYTkyMi00NjdhLTg3NWEtMTY4OTEyMzJhZTAzXkEyXkFqcGdeQXVyNjc1NTYyMjg@._V1_UX67_CR0,0,67,98_AL_.jpg" TargetMode="External"/><Relationship Id="rId445" Type="http://schemas.openxmlformats.org/officeDocument/2006/relationships/hyperlink" Target="https://m.media-amazon.com/images/M/MV5BMGJmNmU5OTAtOTQyYy00MmM3LTk4MzUtMGFiZDYzODdmMmU4XkEyXkFqcGdeQXVyNjU0OTQ0OTY@._V1_UY98_CR3,0,67,98_AL_.jpg" TargetMode="External"/><Relationship Id="rId687" Type="http://schemas.openxmlformats.org/officeDocument/2006/relationships/hyperlink" Target="https://m.media-amazon.com/images/M/MV5BOTUwMDA3MTYtZjhjMi00ODFmLTg5ZTAtYzgwN2NlODgzMmUwXkEyXkFqcGdeQXVyNjc1NTYyMjg@._V1_UX67_CR0,0,67,98_AL_.jpg" TargetMode="External"/><Relationship Id="rId209" Type="http://schemas.openxmlformats.org/officeDocument/2006/relationships/hyperlink" Target="https://m.media-amazon.com/images/M/MV5BMGNhYjUwNmYtNDQxNi00NDdmLTljMDAtZWM1NDQyZTk3ZDYwXkEyXkFqcGdeQXVyODE5NzE3OTE@._V1_UY98_CR0,0,67,98_AL_.jpg" TargetMode="External"/><Relationship Id="rId208" Type="http://schemas.openxmlformats.org/officeDocument/2006/relationships/hyperlink" Target="https://m.media-amazon.com/images/M/MV5BMTYzOTE2NjkxN15BMl5BanBnXkFtZTgwMDgzMTg0MzE@._V1_UY98_CR0,0,67,98_AL_.jpg" TargetMode="External"/><Relationship Id="rId207" Type="http://schemas.openxmlformats.org/officeDocument/2006/relationships/hyperlink" Target="https://m.media-amazon.com/images/M/MV5BYzE2MjEwMTQtOTQ2Mi00ZWExLTkyMjUtNmJjMjBlYWFjZDdlXkEyXkFqcGdeQXVyMTI3ODAyMzE2._V1_UY98_CR0,0,67,98_AL_.jpg" TargetMode="External"/><Relationship Id="rId449" Type="http://schemas.openxmlformats.org/officeDocument/2006/relationships/hyperlink" Target="https://m.media-amazon.com/images/M/MV5BNjRmZjcwZTQtYWY0ZS00ODAwLTg4YTktZDhlZDMwMTM1MGFkXkEyXkFqcGdeQXVyNjc1NTYyMjg@._V1_UX67_CR0,0,67,98_AL_.jpg" TargetMode="External"/><Relationship Id="rId440" Type="http://schemas.openxmlformats.org/officeDocument/2006/relationships/hyperlink" Target="https://m.media-amazon.com/images/M/MV5BMzFhNTMwNDMtZjY3Yy00NzY3LWI1ZWQtZTQxMWJmODVhZWFkXkEyXkFqcGdeQXVyNjQzNDI3NzY@._V1_UX67_CR0,0,67,98_AL_.jpg" TargetMode="External"/><Relationship Id="rId682" Type="http://schemas.openxmlformats.org/officeDocument/2006/relationships/hyperlink" Target="https://m.media-amazon.com/images/M/MV5BODRlMjRkZGEtZWM2Zi00ZjYxLWE0MWUtMmM1YWM2NzZlOTE1XkEyXkFqcGdeQXVyMTQxNzMzNDI@._V1_UX67_CR0,0,67,98_AL_.jpg" TargetMode="External"/><Relationship Id="rId681" Type="http://schemas.openxmlformats.org/officeDocument/2006/relationships/hyperlink" Target="https://m.media-amazon.com/images/M/MV5BM2ZmNDJiZTUtYjg5Zi00M2I3LTliZjAtNzQ4NTlkYTAzYTAxXkEyXkFqcGdeQXVyNTkyMDc0MjI@._V1_UX67_CR0,0,67,98_AL_.jpg" TargetMode="External"/><Relationship Id="rId680" Type="http://schemas.openxmlformats.org/officeDocument/2006/relationships/hyperlink" Target="https://m.media-amazon.com/images/M/MV5BMDA0NjZhZWUtNmI2NC00MmFjLTgwZDYtYzVjZmNhMDVmOTBkXkEyXkFqcGdeQXVyMTQxNzMzNDI@._V1_UX67_CR0,0,67,98_AL_.jpg" TargetMode="External"/><Relationship Id="rId202" Type="http://schemas.openxmlformats.org/officeDocument/2006/relationships/hyperlink" Target="https://m.media-amazon.com/images/M/MV5BMjA1NTEwMDMxMF5BMl5BanBnXkFtZTgwODkzMzI0MjE@._V1_UY98_CR0,0,67,98_AL_.jpg" TargetMode="External"/><Relationship Id="rId444" Type="http://schemas.openxmlformats.org/officeDocument/2006/relationships/hyperlink" Target="https://m.media-amazon.com/images/M/MV5BYjUyOGMyMTQtYTM5Yy00MjFiLTk2OGItMWYwMDc2YmM1YzhiXkEyXkFqcGdeQXVyMjA0MzYwMDY@._V1_UY98_CR2,0,67,98_AL_.jpg" TargetMode="External"/><Relationship Id="rId686" Type="http://schemas.openxmlformats.org/officeDocument/2006/relationships/hyperlink" Target="https://m.media-amazon.com/images/M/MV5BMTkxMjYyNzgwMl5BMl5BanBnXkFtZTgwMTE3MjYyMTE@._V1_UX67_CR0,0,67,98_AL_.jpg" TargetMode="External"/><Relationship Id="rId201" Type="http://schemas.openxmlformats.org/officeDocument/2006/relationships/hyperlink" Target="https://m.media-amazon.com/images/M/MV5BMGI3YWFmNDQtNjc0Ny00ZDBjLThlNjYtZTc1ZTk5MzU2YTVjXkEyXkFqcGdeQXVyNzA4ODc3ODU@._V1_UY98_CR1,0,67,98_AL_.jpg" TargetMode="External"/><Relationship Id="rId443" Type="http://schemas.openxmlformats.org/officeDocument/2006/relationships/hyperlink" Target="https://m.media-amazon.com/images/M/MV5BYTNjN2M2MzYtZGEwMi00Mzc5LWEwYTMtODM1ZmRiZjFiNTU0L2ltYWdlL2ltYWdlXkEyXkFqcGdeQXVyNjc1NTYyMjg@._V1_UX67_CR0,0,67,98_AL_.jpg" TargetMode="External"/><Relationship Id="rId685" Type="http://schemas.openxmlformats.org/officeDocument/2006/relationships/hyperlink" Target="https://m.media-amazon.com/images/M/MV5BMGI0NzI5YjAtNTg0MS00NDA2LWE5ZWItODRmOTAxOTAxYjg2L2ltYWdlL2ltYWdlXkEyXkFqcGdeQXVyNTI4MjkwNjA@._V1_UX67_CR0,0,67,98_AL_.jpg" TargetMode="External"/><Relationship Id="rId200" Type="http://schemas.openxmlformats.org/officeDocument/2006/relationships/hyperlink" Target="https://m.media-amazon.com/images/M/MV5BNDJhYTk2MTctZmVmOS00OTViLTgxNjQtMzQxOTRiMDdmNGRjXkEyXkFqcGdeQXVyMTMxODk2OTU@._V1_UY98_CR0,0,67,98_AL_.jpg" TargetMode="External"/><Relationship Id="rId442" Type="http://schemas.openxmlformats.org/officeDocument/2006/relationships/hyperlink" Target="https://m.media-amazon.com/images/M/MV5BMDE5ZjAwY2YtOWM5Yi00ZWNlLWE5ODQtYjA4NzA1NGFkZDU5XkEyXkFqcGdeQXVyNjc1NTYyMjg@._V1_UX67_CR0,0,67,98_AL_.jpg" TargetMode="External"/><Relationship Id="rId684" Type="http://schemas.openxmlformats.org/officeDocument/2006/relationships/hyperlink" Target="https://m.media-amazon.com/images/M/MV5BOTM5N2ZmZTMtNjlmOS00YzlkLTk3YjEtNTU1ZmQ5OTdhODZhXkEyXkFqcGdeQXVyMTQxNzMzNDI@._V1_UX67_CR0,0,67,98_AL_.jpg" TargetMode="External"/><Relationship Id="rId441" Type="http://schemas.openxmlformats.org/officeDocument/2006/relationships/hyperlink" Target="https://m.media-amazon.com/images/M/MV5BMjE5NTU3YWYtOWIxNi00YWZhLTg2NzktYzVjZWY5MDQ4NzVlXkEyXkFqcGdeQXVyNjc1NTYyMjg@._V1_UX67_CR0,0,67,98_AL_.jpg" TargetMode="External"/><Relationship Id="rId683" Type="http://schemas.openxmlformats.org/officeDocument/2006/relationships/hyperlink" Target="https://m.media-amazon.com/images/M/MV5BZDRkOWQ5NGUtYTVmOS00ZjNhLWEwODgtOGI2MmUxNTBkMjU0XkEyXkFqcGdeQXVyMjUzOTY1NTc@._V1_UX67_CR0,0,67,98_AL_.jpg" TargetMode="External"/><Relationship Id="rId437" Type="http://schemas.openxmlformats.org/officeDocument/2006/relationships/hyperlink" Target="https://m.media-amazon.com/images/M/MV5BZDVhMTk1NjUtYjc0OS00OTE1LTk1NTYtYWMzMDI5OTlmYzU2XkEyXkFqcGdeQXVyNjc1NTYyMjg@._V1_UX67_CR0,0,67,98_AL_.jpg" TargetMode="External"/><Relationship Id="rId679" Type="http://schemas.openxmlformats.org/officeDocument/2006/relationships/hyperlink" Target="https://m.media-amazon.com/images/M/MV5BMWY3ODZlOGMtNzJmOS00ZTNjLWI3ZWEtZTJhZTk5NDZjYWRjXkEyXkFqcGdeQXVyNjU0OTQ0OTY@._V1_UX67_CR0,0,67,98_AL_.jpg" TargetMode="External"/><Relationship Id="rId436" Type="http://schemas.openxmlformats.org/officeDocument/2006/relationships/hyperlink" Target="https://m.media-amazon.com/images/M/MV5BODQ0NzY5NGEtYTc5NC00Yjg4LTg4Y2QtZjE2MTkyYTNmNmU2L2ltYWdlL2ltYWdlXkEyXkFqcGdeQXVyNjc1NTYyMjg@._V1_UY98_CR1,0,67,98_AL_.jpg" TargetMode="External"/><Relationship Id="rId678" Type="http://schemas.openxmlformats.org/officeDocument/2006/relationships/hyperlink" Target="https://m.media-amazon.com/images/M/MV5BY2QwYmFmZTEtNzY2Mi00ZWMyLWEwY2YtMGIyNGZjMWExOWEyXkEyXkFqcGdeQXVyNjUwNzk3NDc@._V1_UX67_CR0,0,67,98_AL_.jpg" TargetMode="External"/><Relationship Id="rId435" Type="http://schemas.openxmlformats.org/officeDocument/2006/relationships/hyperlink" Target="https://m.media-amazon.com/images/M/MV5BNjhjODI2NTItMGE1ZS00NThiLWE1MmYtOWE3YzcyNzY1MTJlXkEyXkFqcGdeQXVyNTc1NTQxODI@._V1_UX67_CR0,0,67,98_AL_.jpg" TargetMode="External"/><Relationship Id="rId677" Type="http://schemas.openxmlformats.org/officeDocument/2006/relationships/hyperlink" Target="https://m.media-amazon.com/images/M/MV5BZTFjNjU4OTktYzljMS00MmFlLWI3NGEtNjNhMTYwYzUyZDgyL2ltYWdlL2ltYWdlXkEyXkFqcGdeQXVyNjU0OTQ0OTY@._V1_UX67_CR0,0,67,98_AL_.jpg" TargetMode="External"/><Relationship Id="rId434" Type="http://schemas.openxmlformats.org/officeDocument/2006/relationships/hyperlink" Target="https://m.media-amazon.com/images/M/MV5BNjMyZmI5NmItY2JlMi00NzU3LWI5ZGItZjhkOTE0YjEyN2Q4XkEyXkFqcGdeQXVyNDkzNTM2ODg@._V1_UX67_CR0,0,67,98_AL_.jpg" TargetMode="External"/><Relationship Id="rId676" Type="http://schemas.openxmlformats.org/officeDocument/2006/relationships/hyperlink" Target="https://m.media-amazon.com/images/M/MV5BZTMxMGM5MjItNDJhNy00MWI2LWJlZWMtOWFhMjI5ZTQwMWM3XkEyXkFqcGdeQXVyMTQxNzMzNDI@._V1_UX67_CR0,0,67,98_AL_.jpg" TargetMode="External"/><Relationship Id="rId439" Type="http://schemas.openxmlformats.org/officeDocument/2006/relationships/hyperlink" Target="https://m.media-amazon.com/images/M/MV5BOTA1MjA3M2EtMmJjZS00OWViLTkwMTEtM2E5ZDk0NTAyNGJiXkEyXkFqcGdeQXVyNzkwMjQ5NzM@._V1_UX67_CR0,0,67,98_AL_.jpg" TargetMode="External"/><Relationship Id="rId438" Type="http://schemas.openxmlformats.org/officeDocument/2006/relationships/hyperlink" Target="https://m.media-amazon.com/images/M/MV5BMzM0MzE2ZTAtZTBjZS00MTk5LTg5OTEtNjNmYmQ5NzU2OTUyXkEyXkFqcGdeQXVyNDY2MTk1ODk@._V1_UX67_CR0,0,67,98_AL_.jpg" TargetMode="External"/><Relationship Id="rId671" Type="http://schemas.openxmlformats.org/officeDocument/2006/relationships/hyperlink" Target="https://m.media-amazon.com/images/M/MV5BNzY0ODQ3MTMxN15BMl5BanBnXkFtZTgwMDkwNTg4NjE@._V1_UX67_CR0,0,67,98_AL_.jpg" TargetMode="External"/><Relationship Id="rId670" Type="http://schemas.openxmlformats.org/officeDocument/2006/relationships/hyperlink" Target="https://m.media-amazon.com/images/M/MV5BZmRjNDI5NTgtOTIwMC00MzJhLWI4ZTYtMmU0ZTE3ZmRkZDNhXkEyXkFqcGdeQXVyMTQxNzMzNDI@._V1_UX67_CR0,0,67,98_AL_.jpg" TargetMode="External"/><Relationship Id="rId433" Type="http://schemas.openxmlformats.org/officeDocument/2006/relationships/hyperlink" Target="https://m.media-amazon.com/images/M/MV5BMTQ4MTA0NjEzMF5BMl5BanBnXkFtZTgwMDg4NDYxMzE@._V1_UY98_CR2,0,67,98_AL_.jpg" TargetMode="External"/><Relationship Id="rId675" Type="http://schemas.openxmlformats.org/officeDocument/2006/relationships/hyperlink" Target="https://m.media-amazon.com/images/M/MV5BMDQyMDVhZjItMGI0Mi00MDQ1LTk3NmQtZmRjZGQ5ZTQ2ZDU5XkEyXkFqcGdeQXVyNTAyODkwOQ@@._V1_UX67_CR0,0,67,98_AL_.jpg" TargetMode="External"/><Relationship Id="rId432" Type="http://schemas.openxmlformats.org/officeDocument/2006/relationships/hyperlink" Target="https://m.media-amazon.com/images/M/MV5BYjA1MGVlMGItNzgxMC00OWY4LWI4YjEtNTNmYWIzMGUxOGQzXkEyXkFqcGdeQXVyNjc1NTYyMjg@._V1_UY98_CR0,0,67,98_AL_.jpg" TargetMode="External"/><Relationship Id="rId674" Type="http://schemas.openxmlformats.org/officeDocument/2006/relationships/hyperlink" Target="https://m.media-amazon.com/images/M/MV5BODhlNjA5MDEtZDVhNS00ZmM3LTg1YzAtZGRjNjhjNTAzNzVkXkEyXkFqcGdeQXVyNjUwMzI2NzU@._V1_UY98_CR0,0,67,98_AL_.jpg" TargetMode="External"/><Relationship Id="rId431" Type="http://schemas.openxmlformats.org/officeDocument/2006/relationships/hyperlink" Target="https://m.media-amazon.com/images/M/MV5BNzdmZTk4MTktZmExNi00OWEwLTgxZDctNTE4NWMwNjc1Nzg2XkEyXkFqcGdeQXVyNjc1NTYyMjg@._V1_UX67_CR0,0,67,98_AL_.jpg" TargetMode="External"/><Relationship Id="rId673" Type="http://schemas.openxmlformats.org/officeDocument/2006/relationships/hyperlink" Target="https://m.media-amazon.com/images/M/MV5BOTc0ODM1Njk1NF5BMl5BanBnXkFtZTcwMDI5OTEyNw@@._V1_UY98_CR1,0,67,98_AL_.jpg" TargetMode="External"/><Relationship Id="rId430" Type="http://schemas.openxmlformats.org/officeDocument/2006/relationships/hyperlink" Target="https://m.media-amazon.com/images/M/MV5BODIxNjhkYjEtYzUyMi00YTNjLWE1YjktNjAyY2I2MWNkNmNmL2ltYWdlL2ltYWdlXkEyXkFqcGdeQXVyMTQxNzMzNDI@._V1_UY98_CR1,0,67,98_AL_.jpg" TargetMode="External"/><Relationship Id="rId672" Type="http://schemas.openxmlformats.org/officeDocument/2006/relationships/hyperlink" Target="https://m.media-amazon.com/images/M/MV5BMjI5NjEzMDYyMl5BMl5BanBnXkFtZTgwNjgwNTg4NjE@._V1_UY98_CR3,0,67,98_AL_.jp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1.0</v>
      </c>
      <c r="B2" s="1" t="s">
        <v>17</v>
      </c>
      <c r="C2" s="2">
        <v>2.8341469E7</v>
      </c>
      <c r="D2" s="1">
        <v>1994.0</v>
      </c>
      <c r="E2" s="1" t="s">
        <v>18</v>
      </c>
      <c r="F2" s="1" t="s">
        <v>19</v>
      </c>
      <c r="G2" s="1" t="s">
        <v>20</v>
      </c>
      <c r="H2" s="1">
        <v>9.3</v>
      </c>
      <c r="I2" s="1" t="s">
        <v>21</v>
      </c>
      <c r="J2" s="1">
        <v>80.0</v>
      </c>
      <c r="K2" s="1" t="s">
        <v>22</v>
      </c>
      <c r="L2" s="1" t="s">
        <v>23</v>
      </c>
      <c r="M2" s="1" t="s">
        <v>24</v>
      </c>
      <c r="N2" s="1" t="s">
        <v>25</v>
      </c>
      <c r="O2" s="1" t="s">
        <v>26</v>
      </c>
      <c r="P2" s="1">
        <v>2343110.0</v>
      </c>
      <c r="Q2" s="3" t="str">
        <f>VLOOKUP(A2,Posters!A2:B1001,2)</f>
        <v>https://m.media-amazon.com/images/M/MV5BMDFkYTc0MGEtZmNhMC00ZDIzLWFmNTEtODM1ZmRlYWMwMWFmXkEyXkFqcGdeQXVyMTMxODk2OTU@._V1_UX67_CR0,0,67,98_AL_.jpg</v>
      </c>
    </row>
    <row r="3">
      <c r="A3" s="1">
        <v>2.0</v>
      </c>
      <c r="B3" s="1" t="s">
        <v>27</v>
      </c>
      <c r="C3" s="2">
        <v>1.34966411E8</v>
      </c>
      <c r="D3" s="1">
        <v>1972.0</v>
      </c>
      <c r="E3" s="1" t="s">
        <v>18</v>
      </c>
      <c r="F3" s="1" t="s">
        <v>28</v>
      </c>
      <c r="G3" s="1" t="s">
        <v>29</v>
      </c>
      <c r="H3" s="1">
        <v>9.2</v>
      </c>
      <c r="I3" s="1" t="s">
        <v>30</v>
      </c>
      <c r="J3" s="1">
        <v>100.0</v>
      </c>
      <c r="K3" s="1" t="s">
        <v>31</v>
      </c>
      <c r="L3" s="1" t="s">
        <v>32</v>
      </c>
      <c r="M3" s="1" t="s">
        <v>33</v>
      </c>
      <c r="N3" s="1" t="s">
        <v>34</v>
      </c>
      <c r="O3" s="1" t="s">
        <v>35</v>
      </c>
      <c r="P3" s="1">
        <v>1620367.0</v>
      </c>
      <c r="Q3" s="3" t="str">
        <f>VLOOKUP(A3,Posters!A3:B1002,2)</f>
        <v>https://m.media-amazon.com/images/M/MV5BM2MyNjYxNmUtYTAwNi00MTYxLWJmNWYtYzZlODY3ZTk3OTFlXkEyXkFqcGdeQXVyNzkwMjQ5NzM@._V1_UY98_CR1,0,67,98_AL_.jpg</v>
      </c>
    </row>
    <row r="4">
      <c r="A4" s="1">
        <v>3.0</v>
      </c>
      <c r="B4" s="1" t="s">
        <v>36</v>
      </c>
      <c r="C4" s="2">
        <v>5.34858444E8</v>
      </c>
      <c r="D4" s="1">
        <v>2008.0</v>
      </c>
      <c r="E4" s="1" t="s">
        <v>37</v>
      </c>
      <c r="F4" s="1" t="s">
        <v>38</v>
      </c>
      <c r="G4" s="1" t="s">
        <v>39</v>
      </c>
      <c r="H4" s="1">
        <v>9.0</v>
      </c>
      <c r="I4" s="1" t="s">
        <v>40</v>
      </c>
      <c r="J4" s="1">
        <v>84.0</v>
      </c>
      <c r="K4" s="1" t="s">
        <v>41</v>
      </c>
      <c r="L4" s="1" t="s">
        <v>42</v>
      </c>
      <c r="M4" s="1" t="s">
        <v>43</v>
      </c>
      <c r="N4" s="1" t="s">
        <v>44</v>
      </c>
      <c r="O4" s="1" t="s">
        <v>45</v>
      </c>
      <c r="P4" s="1">
        <v>2303232.0</v>
      </c>
      <c r="Q4" s="3" t="str">
        <f>VLOOKUP(A4,Posters!A4:B1003,2)</f>
        <v>https://m.media-amazon.com/images/M/MV5BMTMxNTMwODM0NF5BMl5BanBnXkFtZTcwODAyMTk2Mw@@._V1_UX67_CR0,0,67,98_AL_.jpg</v>
      </c>
    </row>
    <row r="5">
      <c r="A5" s="1">
        <v>4.0</v>
      </c>
      <c r="B5" s="1" t="s">
        <v>46</v>
      </c>
      <c r="C5" s="2">
        <v>5.73E7</v>
      </c>
      <c r="D5" s="1">
        <v>1974.0</v>
      </c>
      <c r="E5" s="1" t="s">
        <v>18</v>
      </c>
      <c r="F5" s="1" t="s">
        <v>47</v>
      </c>
      <c r="G5" s="1" t="s">
        <v>29</v>
      </c>
      <c r="H5" s="1">
        <v>9.0</v>
      </c>
      <c r="I5" s="1" t="s">
        <v>48</v>
      </c>
      <c r="J5" s="1">
        <v>90.0</v>
      </c>
      <c r="K5" s="1" t="s">
        <v>31</v>
      </c>
      <c r="L5" s="1" t="s">
        <v>33</v>
      </c>
      <c r="M5" s="1" t="s">
        <v>49</v>
      </c>
      <c r="N5" s="1" t="s">
        <v>50</v>
      </c>
      <c r="O5" s="1" t="s">
        <v>35</v>
      </c>
      <c r="P5" s="1">
        <v>1129952.0</v>
      </c>
      <c r="Q5" s="3" t="str">
        <f>VLOOKUP(A5,Posters!A5:B1004,2)</f>
        <v>https://m.media-amazon.com/images/M/MV5BMWMwMGQzZTItY2JlNC00OWZiLWIyMDctNDk2ZDQ2YjRjMWQ0XkEyXkFqcGdeQXVyNzkwMjQ5NzM@._V1_UY98_CR1,0,67,98_AL_.jpg</v>
      </c>
    </row>
    <row r="6">
      <c r="A6" s="1">
        <v>5.0</v>
      </c>
      <c r="B6" s="1" t="s">
        <v>51</v>
      </c>
      <c r="C6" s="2">
        <v>4360000.0</v>
      </c>
      <c r="D6" s="1">
        <v>1957.0</v>
      </c>
      <c r="E6" s="1" t="s">
        <v>52</v>
      </c>
      <c r="F6" s="1" t="s">
        <v>53</v>
      </c>
      <c r="G6" s="1" t="s">
        <v>29</v>
      </c>
      <c r="H6" s="1">
        <v>9.0</v>
      </c>
      <c r="I6" s="1" t="s">
        <v>54</v>
      </c>
      <c r="J6" s="1">
        <v>96.0</v>
      </c>
      <c r="K6" s="1" t="s">
        <v>55</v>
      </c>
      <c r="L6" s="1" t="s">
        <v>56</v>
      </c>
      <c r="M6" s="1" t="s">
        <v>57</v>
      </c>
      <c r="N6" s="1" t="s">
        <v>58</v>
      </c>
      <c r="O6" s="1" t="s">
        <v>59</v>
      </c>
      <c r="P6" s="1">
        <v>689845.0</v>
      </c>
      <c r="Q6" s="3" t="str">
        <f>VLOOKUP(A6,Posters!A6:B1005,2)</f>
        <v>https://m.media-amazon.com/images/M/MV5BMWU4N2FjNzYtNTVkNC00NzQ0LTg0MjAtYTJlMjFhNGUxZDFmXkEyXkFqcGdeQXVyNjc1NTYyMjg@._V1_UX67_CR0,0,67,98_AL_.jpg</v>
      </c>
    </row>
    <row r="7">
      <c r="A7" s="1">
        <v>6.0</v>
      </c>
      <c r="B7" s="1" t="s">
        <v>60</v>
      </c>
      <c r="C7" s="2">
        <v>3.77845905E8</v>
      </c>
      <c r="D7" s="1">
        <v>2003.0</v>
      </c>
      <c r="E7" s="1" t="s">
        <v>52</v>
      </c>
      <c r="F7" s="1" t="s">
        <v>61</v>
      </c>
      <c r="G7" s="1" t="s">
        <v>62</v>
      </c>
      <c r="H7" s="1">
        <v>8.9</v>
      </c>
      <c r="I7" s="1" t="s">
        <v>63</v>
      </c>
      <c r="J7" s="1">
        <v>94.0</v>
      </c>
      <c r="K7" s="1" t="s">
        <v>64</v>
      </c>
      <c r="L7" s="1" t="s">
        <v>65</v>
      </c>
      <c r="M7" s="1" t="s">
        <v>66</v>
      </c>
      <c r="N7" s="1" t="s">
        <v>67</v>
      </c>
      <c r="O7" s="1" t="s">
        <v>68</v>
      </c>
      <c r="P7" s="1">
        <v>1642758.0</v>
      </c>
      <c r="Q7" s="3" t="str">
        <f>VLOOKUP(A7,Posters!A7:B1006,2)</f>
        <v>https://m.media-amazon.com/images/M/MV5BNzA5ZDNlZWMtM2NhNS00NDJjLTk4NDItYTRmY2EwMWZlMTY3XkEyXkFqcGdeQXVyNzkwMjQ5NzM@._V1_UX67_CR0,0,67,98_AL_.jpg</v>
      </c>
    </row>
    <row r="8">
      <c r="A8" s="1">
        <v>7.0</v>
      </c>
      <c r="B8" s="1" t="s">
        <v>69</v>
      </c>
      <c r="C8" s="2">
        <v>1.07928762E8</v>
      </c>
      <c r="D8" s="1">
        <v>1994.0</v>
      </c>
      <c r="E8" s="1" t="s">
        <v>18</v>
      </c>
      <c r="F8" s="1" t="s">
        <v>70</v>
      </c>
      <c r="G8" s="1" t="s">
        <v>29</v>
      </c>
      <c r="H8" s="1">
        <v>8.9</v>
      </c>
      <c r="I8" s="1" t="s">
        <v>71</v>
      </c>
      <c r="J8" s="1">
        <v>94.0</v>
      </c>
      <c r="K8" s="1" t="s">
        <v>72</v>
      </c>
      <c r="L8" s="1" t="s">
        <v>73</v>
      </c>
      <c r="M8" s="1" t="s">
        <v>74</v>
      </c>
      <c r="N8" s="1" t="s">
        <v>75</v>
      </c>
      <c r="O8" s="1" t="s">
        <v>76</v>
      </c>
      <c r="P8" s="1">
        <v>1826188.0</v>
      </c>
      <c r="Q8" s="3" t="str">
        <f>VLOOKUP(A8,Posters!A8:B1007,2)</f>
        <v>https://m.media-amazon.com/images/M/MV5BNGNhMDIzZTUtNTBlZi00MTRlLWFjM2ItYzViMjE3YzI5MjljXkEyXkFqcGdeQXVyNzkwMjQ5NzM@._V1_UY98_CR0,0,67,98_AL_.jpg</v>
      </c>
    </row>
    <row r="9">
      <c r="A9" s="1">
        <v>8.0</v>
      </c>
      <c r="B9" s="1" t="s">
        <v>77</v>
      </c>
      <c r="C9" s="2">
        <v>9.6898818E7</v>
      </c>
      <c r="D9" s="1">
        <v>1993.0</v>
      </c>
      <c r="E9" s="1" t="s">
        <v>18</v>
      </c>
      <c r="F9" s="1" t="s">
        <v>78</v>
      </c>
      <c r="G9" s="1" t="s">
        <v>79</v>
      </c>
      <c r="H9" s="1">
        <v>8.9</v>
      </c>
      <c r="I9" s="1" t="s">
        <v>80</v>
      </c>
      <c r="J9" s="1">
        <v>94.0</v>
      </c>
      <c r="K9" s="1" t="s">
        <v>81</v>
      </c>
      <c r="L9" s="1" t="s">
        <v>82</v>
      </c>
      <c r="M9" s="1" t="s">
        <v>83</v>
      </c>
      <c r="N9" s="1" t="s">
        <v>84</v>
      </c>
      <c r="O9" s="1" t="s">
        <v>85</v>
      </c>
      <c r="P9" s="1">
        <v>1213505.0</v>
      </c>
      <c r="Q9" s="3" t="str">
        <f>VLOOKUP(A9,Posters!A9:B1008,2)</f>
        <v>https://m.media-amazon.com/images/M/MV5BNDE4OTMxMTctNmRhYy00NWE2LTg3YzItYTk3M2UwOTU5Njg4XkEyXkFqcGdeQXVyNjU0OTQ0OTY@._V1_UX67_CR0,0,67,98_AL_.jpg</v>
      </c>
    </row>
    <row r="10">
      <c r="A10" s="1">
        <v>9.0</v>
      </c>
      <c r="B10" s="1" t="s">
        <v>86</v>
      </c>
      <c r="C10" s="2">
        <v>2.92576195E8</v>
      </c>
      <c r="D10" s="1">
        <v>2010.0</v>
      </c>
      <c r="E10" s="1" t="s">
        <v>37</v>
      </c>
      <c r="F10" s="1" t="s">
        <v>87</v>
      </c>
      <c r="G10" s="1" t="s">
        <v>88</v>
      </c>
      <c r="H10" s="1">
        <v>8.8</v>
      </c>
      <c r="I10" s="1" t="s">
        <v>89</v>
      </c>
      <c r="J10" s="1">
        <v>74.0</v>
      </c>
      <c r="K10" s="1" t="s">
        <v>41</v>
      </c>
      <c r="L10" s="1" t="s">
        <v>90</v>
      </c>
      <c r="M10" s="1" t="s">
        <v>91</v>
      </c>
      <c r="N10" s="1" t="s">
        <v>92</v>
      </c>
      <c r="O10" s="1" t="s">
        <v>93</v>
      </c>
      <c r="P10" s="1">
        <v>2067042.0</v>
      </c>
      <c r="Q10" s="3" t="str">
        <f>VLOOKUP(A10,Posters!A10:B1009,2)</f>
        <v>https://m.media-amazon.com/images/M/MV5BMjAxMzY3NjcxNF5BMl5BanBnXkFtZTcwNTI5OTM0Mw@@._V1_UX67_CR0,0,67,98_AL_.jpg</v>
      </c>
    </row>
    <row r="11">
      <c r="A11" s="1">
        <v>10.0</v>
      </c>
      <c r="B11" s="1" t="s">
        <v>94</v>
      </c>
      <c r="C11" s="2">
        <v>3.7030102E7</v>
      </c>
      <c r="D11" s="1">
        <v>1999.0</v>
      </c>
      <c r="E11" s="1" t="s">
        <v>18</v>
      </c>
      <c r="F11" s="1" t="s">
        <v>95</v>
      </c>
      <c r="G11" s="1" t="s">
        <v>20</v>
      </c>
      <c r="H11" s="1">
        <v>8.8</v>
      </c>
      <c r="I11" s="1" t="s">
        <v>96</v>
      </c>
      <c r="J11" s="1">
        <v>66.0</v>
      </c>
      <c r="K11" s="1" t="s">
        <v>97</v>
      </c>
      <c r="L11" s="1" t="s">
        <v>98</v>
      </c>
      <c r="M11" s="1" t="s">
        <v>99</v>
      </c>
      <c r="N11" s="1" t="s">
        <v>100</v>
      </c>
      <c r="O11" s="1" t="s">
        <v>101</v>
      </c>
      <c r="P11" s="1">
        <v>1854740.0</v>
      </c>
      <c r="Q11" s="3" t="str">
        <f>VLOOKUP(A11,Posters!A11:B1010,2)</f>
        <v>https://m.media-amazon.com/images/M/MV5BMmEzNTkxYjQtZTc0MC00YTVjLTg5ZTEtZWMwOWVlYzY0NWIwXkEyXkFqcGdeQXVyNzkwMjQ5NzM@._V1_UX67_CR0,0,67,98_AL_.jpg</v>
      </c>
    </row>
    <row r="12">
      <c r="A12" s="1">
        <v>11.0</v>
      </c>
      <c r="B12" s="1" t="s">
        <v>102</v>
      </c>
      <c r="C12" s="2">
        <v>3.1554475E8</v>
      </c>
      <c r="D12" s="1">
        <v>2001.0</v>
      </c>
      <c r="E12" s="1" t="s">
        <v>52</v>
      </c>
      <c r="F12" s="1" t="s">
        <v>103</v>
      </c>
      <c r="G12" s="1" t="s">
        <v>62</v>
      </c>
      <c r="H12" s="1">
        <v>8.8</v>
      </c>
      <c r="I12" s="1" t="s">
        <v>104</v>
      </c>
      <c r="J12" s="1">
        <v>92.0</v>
      </c>
      <c r="K12" s="1" t="s">
        <v>64</v>
      </c>
      <c r="L12" s="1" t="s">
        <v>65</v>
      </c>
      <c r="M12" s="1" t="s">
        <v>67</v>
      </c>
      <c r="N12" s="1" t="s">
        <v>68</v>
      </c>
      <c r="O12" s="1" t="s">
        <v>105</v>
      </c>
      <c r="P12" s="1">
        <v>1661481.0</v>
      </c>
      <c r="Q12" s="3" t="str">
        <f>VLOOKUP(A12,Posters!A12:B1011,2)</f>
        <v>https://m.media-amazon.com/images/M/MV5BN2EyZjM3NzUtNWUzMi00MTgxLWI0NTctMzY4M2VlOTdjZWRiXkEyXkFqcGdeQXVyNDUzOTQ5MjY@._V1_UX67_CR0,0,67,98_AL_.jpg</v>
      </c>
    </row>
    <row r="13">
      <c r="A13" s="1">
        <v>12.0</v>
      </c>
      <c r="B13" s="1" t="s">
        <v>106</v>
      </c>
      <c r="C13" s="2">
        <v>3.30252182E8</v>
      </c>
      <c r="D13" s="1">
        <v>1994.0</v>
      </c>
      <c r="E13" s="1" t="s">
        <v>37</v>
      </c>
      <c r="F13" s="1" t="s">
        <v>19</v>
      </c>
      <c r="G13" s="1" t="s">
        <v>107</v>
      </c>
      <c r="H13" s="1">
        <v>8.8</v>
      </c>
      <c r="I13" s="1" t="s">
        <v>108</v>
      </c>
      <c r="J13" s="1">
        <v>82.0</v>
      </c>
      <c r="K13" s="1" t="s">
        <v>109</v>
      </c>
      <c r="L13" s="1" t="s">
        <v>110</v>
      </c>
      <c r="M13" s="1" t="s">
        <v>111</v>
      </c>
      <c r="N13" s="1" t="s">
        <v>112</v>
      </c>
      <c r="O13" s="1" t="s">
        <v>113</v>
      </c>
      <c r="P13" s="1">
        <v>1809221.0</v>
      </c>
      <c r="Q13" s="3" t="str">
        <f>VLOOKUP(A13,Posters!A13:B1012,2)</f>
        <v>https://m.media-amazon.com/images/M/MV5BNWIwODRlZTUtY2U3ZS00Yzg1LWJhNzYtMmZiYmEyNmU1NjMzXkEyXkFqcGdeQXVyMTQxNzMzNDI@._V1_UY98_CR0,0,67,98_AL_.jpg</v>
      </c>
    </row>
    <row r="14">
      <c r="A14" s="1">
        <v>13.0</v>
      </c>
      <c r="B14" s="1" t="s">
        <v>114</v>
      </c>
      <c r="C14" s="2">
        <v>6100000.0</v>
      </c>
      <c r="D14" s="1">
        <v>1966.0</v>
      </c>
      <c r="E14" s="1" t="s">
        <v>18</v>
      </c>
      <c r="F14" s="1" t="s">
        <v>115</v>
      </c>
      <c r="G14" s="1" t="s">
        <v>116</v>
      </c>
      <c r="H14" s="1">
        <v>8.8</v>
      </c>
      <c r="I14" s="1" t="s">
        <v>117</v>
      </c>
      <c r="J14" s="1">
        <v>90.0</v>
      </c>
      <c r="K14" s="1" t="s">
        <v>118</v>
      </c>
      <c r="L14" s="1" t="s">
        <v>119</v>
      </c>
      <c r="M14" s="1" t="s">
        <v>120</v>
      </c>
      <c r="N14" s="1" t="s">
        <v>121</v>
      </c>
      <c r="O14" s="1" t="s">
        <v>122</v>
      </c>
      <c r="P14" s="1">
        <v>688390.0</v>
      </c>
      <c r="Q14" s="3" t="str">
        <f>VLOOKUP(A14,Posters!A14:B1013,2)</f>
        <v>https://m.media-amazon.com/images/M/MV5BOTQ5NDI3MTI4MF5BMl5BanBnXkFtZTgwNDQ4ODE5MDE@._V1_UX67_CR0,0,67,98_AL_.jpg</v>
      </c>
    </row>
    <row r="15">
      <c r="A15" s="1">
        <v>14.0</v>
      </c>
      <c r="B15" s="1" t="s">
        <v>123</v>
      </c>
      <c r="C15" s="2">
        <v>3.42551365E8</v>
      </c>
      <c r="D15" s="1">
        <v>2002.0</v>
      </c>
      <c r="E15" s="1" t="s">
        <v>37</v>
      </c>
      <c r="F15" s="1" t="s">
        <v>124</v>
      </c>
      <c r="G15" s="1" t="s">
        <v>62</v>
      </c>
      <c r="H15" s="1">
        <v>8.7</v>
      </c>
      <c r="I15" s="1" t="s">
        <v>125</v>
      </c>
      <c r="J15" s="1">
        <v>87.0</v>
      </c>
      <c r="K15" s="1" t="s">
        <v>64</v>
      </c>
      <c r="L15" s="1" t="s">
        <v>65</v>
      </c>
      <c r="M15" s="1" t="s">
        <v>67</v>
      </c>
      <c r="N15" s="1" t="s">
        <v>66</v>
      </c>
      <c r="O15" s="1" t="s">
        <v>68</v>
      </c>
      <c r="P15" s="1">
        <v>1485555.0</v>
      </c>
      <c r="Q15" s="3" t="str">
        <f>VLOOKUP(A15,Posters!A15:B1014,2)</f>
        <v>https://m.media-amazon.com/images/M/MV5BZGMxZTdjZmYtMmE2Ni00ZTdkLWI5NTgtNjlmMjBiNzU2MmI5XkEyXkFqcGdeQXVyNjU0OTQ0OTY@._V1_UX67_CR0,0,67,98_AL_.jpg</v>
      </c>
    </row>
    <row r="16">
      <c r="A16" s="1">
        <v>15.0</v>
      </c>
      <c r="B16" s="1" t="s">
        <v>126</v>
      </c>
      <c r="C16" s="2">
        <v>1.7147993E8</v>
      </c>
      <c r="D16" s="1">
        <v>1999.0</v>
      </c>
      <c r="E16" s="1" t="s">
        <v>18</v>
      </c>
      <c r="F16" s="1" t="s">
        <v>127</v>
      </c>
      <c r="G16" s="1" t="s">
        <v>128</v>
      </c>
      <c r="H16" s="1">
        <v>8.7</v>
      </c>
      <c r="I16" s="1" t="s">
        <v>129</v>
      </c>
      <c r="J16" s="1">
        <v>73.0</v>
      </c>
      <c r="K16" s="1" t="s">
        <v>130</v>
      </c>
      <c r="L16" s="1" t="s">
        <v>131</v>
      </c>
      <c r="M16" s="1" t="s">
        <v>132</v>
      </c>
      <c r="N16" s="1" t="s">
        <v>133</v>
      </c>
      <c r="O16" s="1" t="s">
        <v>134</v>
      </c>
      <c r="P16" s="1">
        <v>1676426.0</v>
      </c>
      <c r="Q16" s="3" t="str">
        <f>VLOOKUP(A16,Posters!A16:B1015,2)</f>
        <v>https://m.media-amazon.com/images/M/MV5BNzQzOTk3OTAtNDQ0Zi00ZTVkLWI0MTEtMDllZjNkYzNjNTc4L2ltYWdlXkEyXkFqcGdeQXVyNjU0OTQ0OTY@._V1_UX67_CR0,0,67,98_AL_.jpg</v>
      </c>
    </row>
    <row r="17">
      <c r="A17" s="1">
        <v>16.0</v>
      </c>
      <c r="B17" s="1" t="s">
        <v>135</v>
      </c>
      <c r="C17" s="2">
        <v>4.6836394E7</v>
      </c>
      <c r="D17" s="1">
        <v>1990.0</v>
      </c>
      <c r="E17" s="1" t="s">
        <v>18</v>
      </c>
      <c r="F17" s="1" t="s">
        <v>136</v>
      </c>
      <c r="G17" s="1" t="s">
        <v>137</v>
      </c>
      <c r="H17" s="1">
        <v>8.7</v>
      </c>
      <c r="I17" s="1" t="s">
        <v>138</v>
      </c>
      <c r="J17" s="1">
        <v>90.0</v>
      </c>
      <c r="K17" s="1" t="s">
        <v>139</v>
      </c>
      <c r="L17" s="1" t="s">
        <v>49</v>
      </c>
      <c r="M17" s="1" t="s">
        <v>140</v>
      </c>
      <c r="N17" s="1" t="s">
        <v>141</v>
      </c>
      <c r="O17" s="1" t="s">
        <v>142</v>
      </c>
      <c r="P17" s="1">
        <v>1020727.0</v>
      </c>
      <c r="Q17" s="3" t="str">
        <f>VLOOKUP(A17,Posters!A17:B1016,2)</f>
        <v>https://m.media-amazon.com/images/M/MV5BY2NkZjEzMDgtN2RjYy00YzM1LWI4ZmQtMjIwYjFjNmI3ZGEwXkEyXkFqcGdeQXVyNzkwMjQ5NzM@._V1_UX67_CR0,0,67,98_AL_.jpg</v>
      </c>
    </row>
    <row r="18">
      <c r="A18" s="1">
        <v>17.0</v>
      </c>
      <c r="B18" s="1" t="s">
        <v>143</v>
      </c>
      <c r="C18" s="2">
        <v>2.90475067E8</v>
      </c>
      <c r="D18" s="1">
        <v>1980.0</v>
      </c>
      <c r="E18" s="1" t="s">
        <v>37</v>
      </c>
      <c r="F18" s="1" t="s">
        <v>144</v>
      </c>
      <c r="G18" s="1" t="s">
        <v>145</v>
      </c>
      <c r="H18" s="1">
        <v>8.7</v>
      </c>
      <c r="I18" s="1" t="s">
        <v>146</v>
      </c>
      <c r="J18" s="1">
        <v>82.0</v>
      </c>
      <c r="K18" s="1" t="s">
        <v>147</v>
      </c>
      <c r="L18" s="1" t="s">
        <v>148</v>
      </c>
      <c r="M18" s="1" t="s">
        <v>149</v>
      </c>
      <c r="N18" s="1" t="s">
        <v>150</v>
      </c>
      <c r="O18" s="1" t="s">
        <v>151</v>
      </c>
      <c r="P18" s="1">
        <v>1159315.0</v>
      </c>
      <c r="Q18" s="3" t="str">
        <f>VLOOKUP(A18,Posters!A18:B1017,2)</f>
        <v>https://m.media-amazon.com/images/M/MV5BYmU1NDRjNDgtMzhiMi00NjZmLTg5NGItZDNiZjU5NTU4OTE0XkEyXkFqcGdeQXVyNzkwMjQ5NzM@._V1_UX67_CR0,0,67,98_AL_.jpg</v>
      </c>
    </row>
    <row r="19">
      <c r="A19" s="1">
        <v>18.0</v>
      </c>
      <c r="B19" s="1" t="s">
        <v>152</v>
      </c>
      <c r="C19" s="2">
        <v>1.12E8</v>
      </c>
      <c r="D19" s="1">
        <v>1975.0</v>
      </c>
      <c r="E19" s="1" t="s">
        <v>18</v>
      </c>
      <c r="F19" s="1" t="s">
        <v>153</v>
      </c>
      <c r="G19" s="1" t="s">
        <v>20</v>
      </c>
      <c r="H19" s="1">
        <v>8.7</v>
      </c>
      <c r="I19" s="1" t="s">
        <v>154</v>
      </c>
      <c r="J19" s="1">
        <v>83.0</v>
      </c>
      <c r="K19" s="1" t="s">
        <v>155</v>
      </c>
      <c r="L19" s="1" t="s">
        <v>156</v>
      </c>
      <c r="M19" s="1" t="s">
        <v>157</v>
      </c>
      <c r="N19" s="1" t="s">
        <v>158</v>
      </c>
      <c r="O19" s="1" t="s">
        <v>159</v>
      </c>
      <c r="P19" s="1">
        <v>918088.0</v>
      </c>
      <c r="Q19" s="3" t="str">
        <f>VLOOKUP(A19,Posters!A19:B1018,2)</f>
        <v>https://m.media-amazon.com/images/M/MV5BZjA0OWVhOTAtYWQxNi00YzNhLWI4ZjYtNjFjZTEyYjJlNDVlL2ltYWdlL2ltYWdlXkEyXkFqcGdeQXVyMTQxNzMzNDI@._V1_UX67_CR0,0,67,98_AL_.jpg</v>
      </c>
    </row>
    <row r="20">
      <c r="A20" s="1">
        <v>19.0</v>
      </c>
      <c r="B20" s="1" t="s">
        <v>160</v>
      </c>
      <c r="D20" s="1">
        <v>2020.0</v>
      </c>
      <c r="E20" s="1" t="s">
        <v>161</v>
      </c>
      <c r="F20" s="1" t="s">
        <v>162</v>
      </c>
      <c r="G20" s="1" t="s">
        <v>79</v>
      </c>
      <c r="H20" s="1">
        <v>8.6</v>
      </c>
      <c r="I20" s="1" t="s">
        <v>163</v>
      </c>
      <c r="J20" s="1">
        <v>90.0</v>
      </c>
      <c r="K20" s="1" t="s">
        <v>164</v>
      </c>
      <c r="L20" s="1" t="s">
        <v>165</v>
      </c>
      <c r="M20" s="1" t="s">
        <v>166</v>
      </c>
      <c r="N20" s="1" t="s">
        <v>167</v>
      </c>
      <c r="O20" s="1" t="s">
        <v>168</v>
      </c>
      <c r="P20" s="1">
        <v>55291.0</v>
      </c>
      <c r="Q20" s="3" t="str">
        <f>VLOOKUP(A20,Posters!A20:B1019,2)</f>
        <v>https://m.media-amazon.com/images/M/MV5BNjViNWRjYWEtZTI0NC00N2E3LTk0NGQtMjY4NTM3OGNkZjY0XkEyXkFqcGdeQXVyMjUxMTY3ODM@._V1_UX67_CR0,0,67,98_AL_.jpg</v>
      </c>
    </row>
    <row r="21">
      <c r="A21" s="1">
        <v>20.0</v>
      </c>
      <c r="B21" s="1" t="s">
        <v>169</v>
      </c>
      <c r="C21" s="2">
        <v>5.3367844E7</v>
      </c>
      <c r="D21" s="1">
        <v>2019.0</v>
      </c>
      <c r="E21" s="1" t="s">
        <v>18</v>
      </c>
      <c r="F21" s="1" t="s">
        <v>170</v>
      </c>
      <c r="G21" s="1" t="s">
        <v>171</v>
      </c>
      <c r="H21" s="1">
        <v>8.6</v>
      </c>
      <c r="I21" s="1" t="s">
        <v>172</v>
      </c>
      <c r="J21" s="1">
        <v>96.0</v>
      </c>
      <c r="K21" s="1" t="s">
        <v>173</v>
      </c>
      <c r="L21" s="1" t="s">
        <v>174</v>
      </c>
      <c r="M21" s="1" t="s">
        <v>175</v>
      </c>
      <c r="N21" s="1" t="s">
        <v>176</v>
      </c>
      <c r="O21" s="1" t="s">
        <v>177</v>
      </c>
      <c r="P21" s="1">
        <v>552778.0</v>
      </c>
      <c r="Q21" s="3" t="str">
        <f>VLOOKUP(A21,Posters!A21:B1020,2)</f>
        <v>https://m.media-amazon.com/images/M/MV5BYWZjMjk3ZTItODQ2ZC00NTY5LWE0ZDYtZTI3MjcwN2Q5NTVkXkEyXkFqcGdeQXVyODk4OTc3MTY@._V1_UX67_CR0,0,67,98_AL_.jpg</v>
      </c>
    </row>
    <row r="22">
      <c r="A22" s="1">
        <v>21.0</v>
      </c>
      <c r="B22" s="1" t="s">
        <v>178</v>
      </c>
      <c r="C22" s="2">
        <v>2024032.0</v>
      </c>
      <c r="D22" s="1">
        <v>2020.0</v>
      </c>
      <c r="E22" s="1" t="s">
        <v>52</v>
      </c>
      <c r="F22" s="1" t="s">
        <v>179</v>
      </c>
      <c r="G22" s="1" t="s">
        <v>20</v>
      </c>
      <c r="H22" s="1">
        <v>8.6</v>
      </c>
      <c r="I22" s="1" t="s">
        <v>180</v>
      </c>
      <c r="K22" s="1" t="s">
        <v>181</v>
      </c>
      <c r="L22" s="1" t="s">
        <v>182</v>
      </c>
      <c r="M22" s="1" t="s">
        <v>183</v>
      </c>
      <c r="N22" s="1" t="s">
        <v>184</v>
      </c>
      <c r="O22" s="1" t="s">
        <v>185</v>
      </c>
      <c r="P22" s="1">
        <v>54995.0</v>
      </c>
      <c r="Q22" s="3" t="str">
        <f>VLOOKUP(A22,Posters!A22:B1021,2)</f>
        <v>https://m.media-amazon.com/images/M/MV5BOTc2ZTlmYmItMDBhYS00YmMzLWI4ZjAtMTI5YTBjOTFiMGEwXkEyXkFqcGdeQXVyODE5NzE3OTE@._V1_UY98_CR0,0,67,98_AL_.jpg</v>
      </c>
    </row>
    <row r="23">
      <c r="A23" s="1">
        <v>22.0</v>
      </c>
      <c r="B23" s="1" t="s">
        <v>186</v>
      </c>
      <c r="C23" s="2">
        <v>1.88020017E8</v>
      </c>
      <c r="D23" s="1">
        <v>2014.0</v>
      </c>
      <c r="E23" s="1" t="s">
        <v>37</v>
      </c>
      <c r="F23" s="1" t="s">
        <v>187</v>
      </c>
      <c r="G23" s="1" t="s">
        <v>188</v>
      </c>
      <c r="H23" s="1">
        <v>8.6</v>
      </c>
      <c r="I23" s="1" t="s">
        <v>189</v>
      </c>
      <c r="J23" s="1">
        <v>74.0</v>
      </c>
      <c r="K23" s="1" t="s">
        <v>41</v>
      </c>
      <c r="L23" s="1" t="s">
        <v>190</v>
      </c>
      <c r="M23" s="1" t="s">
        <v>191</v>
      </c>
      <c r="N23" s="1" t="s">
        <v>192</v>
      </c>
      <c r="O23" s="1" t="s">
        <v>193</v>
      </c>
      <c r="P23" s="1">
        <v>1512360.0</v>
      </c>
      <c r="Q23" s="3" t="str">
        <f>VLOOKUP(A23,Posters!A23:B1022,2)</f>
        <v>https://m.media-amazon.com/images/M/MV5BZjdkOTU3MDktN2IxOS00OGEyLWFmMjktY2FiMmZkNWIyODZiXkEyXkFqcGdeQXVyMTMxODk2OTU@._V1_UX67_CR0,0,67,98_AL_.jpg</v>
      </c>
    </row>
    <row r="24">
      <c r="A24" s="1">
        <v>23.0</v>
      </c>
      <c r="B24" s="1" t="s">
        <v>194</v>
      </c>
      <c r="C24" s="2">
        <v>7563397.0</v>
      </c>
      <c r="D24" s="1">
        <v>2002.0</v>
      </c>
      <c r="E24" s="1" t="s">
        <v>18</v>
      </c>
      <c r="F24" s="1" t="s">
        <v>195</v>
      </c>
      <c r="G24" s="1" t="s">
        <v>29</v>
      </c>
      <c r="H24" s="1">
        <v>8.6</v>
      </c>
      <c r="I24" s="1" t="s">
        <v>196</v>
      </c>
      <c r="J24" s="1">
        <v>79.0</v>
      </c>
      <c r="K24" s="1" t="s">
        <v>197</v>
      </c>
      <c r="L24" s="1" t="s">
        <v>198</v>
      </c>
      <c r="M24" s="1" t="s">
        <v>199</v>
      </c>
      <c r="N24" s="1" t="s">
        <v>200</v>
      </c>
      <c r="O24" s="1" t="s">
        <v>201</v>
      </c>
      <c r="P24" s="1">
        <v>699256.0</v>
      </c>
      <c r="Q24" s="3" t="str">
        <f>VLOOKUP(A24,Posters!A24:B1023,2)</f>
        <v>https://m.media-amazon.com/images/M/MV5BOTMwYjc5ZmItYTFjZC00ZGQ3LTlkNTMtMjZiNTZlMWQzNzI5XkEyXkFqcGdeQXVyNzkwMjQ5NzM@._V1_UX67_CR0,0,67,98_AL_.jpg</v>
      </c>
    </row>
    <row r="25">
      <c r="A25" s="1">
        <v>24.0</v>
      </c>
      <c r="B25" s="1" t="s">
        <v>202</v>
      </c>
      <c r="C25" s="2">
        <v>1.0055859E7</v>
      </c>
      <c r="D25" s="1">
        <v>2001.0</v>
      </c>
      <c r="E25" s="1" t="s">
        <v>52</v>
      </c>
      <c r="F25" s="1" t="s">
        <v>203</v>
      </c>
      <c r="G25" s="1" t="s">
        <v>204</v>
      </c>
      <c r="H25" s="1">
        <v>8.6</v>
      </c>
      <c r="I25" s="1" t="s">
        <v>205</v>
      </c>
      <c r="J25" s="1">
        <v>96.0</v>
      </c>
      <c r="K25" s="1" t="s">
        <v>206</v>
      </c>
      <c r="L25" s="1" t="s">
        <v>207</v>
      </c>
      <c r="M25" s="1" t="s">
        <v>208</v>
      </c>
      <c r="N25" s="1" t="s">
        <v>209</v>
      </c>
      <c r="O25" s="1" t="s">
        <v>210</v>
      </c>
      <c r="P25" s="1">
        <v>651376.0</v>
      </c>
      <c r="Q25" s="3" t="str">
        <f>VLOOKUP(A25,Posters!A25:B1024,2)</f>
        <v>https://m.media-amazon.com/images/M/MV5BMjlmZmI5MDctNDE2YS00YWE0LWE5ZWItZDBhYWQ0NTcxNWRhXkEyXkFqcGdeQXVyMTMxODk2OTU@._V1_UX67_CR0,0,67,98_AL_.jpg</v>
      </c>
    </row>
    <row r="26">
      <c r="A26" s="1">
        <v>25.0</v>
      </c>
      <c r="B26" s="1" t="s">
        <v>211</v>
      </c>
      <c r="C26" s="2">
        <v>2.16540909E8</v>
      </c>
      <c r="D26" s="1">
        <v>1998.0</v>
      </c>
      <c r="E26" s="1" t="s">
        <v>212</v>
      </c>
      <c r="F26" s="1" t="s">
        <v>187</v>
      </c>
      <c r="G26" s="1" t="s">
        <v>213</v>
      </c>
      <c r="H26" s="1">
        <v>8.6</v>
      </c>
      <c r="I26" s="1" t="s">
        <v>214</v>
      </c>
      <c r="J26" s="1">
        <v>91.0</v>
      </c>
      <c r="K26" s="1" t="s">
        <v>81</v>
      </c>
      <c r="L26" s="1" t="s">
        <v>110</v>
      </c>
      <c r="M26" s="1" t="s">
        <v>215</v>
      </c>
      <c r="N26" s="1" t="s">
        <v>216</v>
      </c>
      <c r="O26" s="1" t="s">
        <v>217</v>
      </c>
      <c r="P26" s="1">
        <v>1235804.0</v>
      </c>
      <c r="Q26" s="3" t="str">
        <f>VLOOKUP(A26,Posters!A26:B1025,2)</f>
        <v>https://m.media-amazon.com/images/M/MV5BZjhkMDM4MWItZTVjOC00ZDRhLThmYTAtM2I5NzBmNmNlMzI1XkEyXkFqcGdeQXVyNDYyMDk5MTU@._V1_UX67_CR0,0,67,98_AL_.jpg</v>
      </c>
    </row>
    <row r="27">
      <c r="A27" s="1">
        <v>26.0</v>
      </c>
      <c r="B27" s="1" t="s">
        <v>218</v>
      </c>
      <c r="C27" s="2">
        <v>1.36801374E8</v>
      </c>
      <c r="D27" s="1">
        <v>1999.0</v>
      </c>
      <c r="E27" s="1" t="s">
        <v>18</v>
      </c>
      <c r="F27" s="1" t="s">
        <v>219</v>
      </c>
      <c r="G27" s="1" t="s">
        <v>220</v>
      </c>
      <c r="H27" s="1">
        <v>8.6</v>
      </c>
      <c r="I27" s="1" t="s">
        <v>221</v>
      </c>
      <c r="J27" s="1">
        <v>61.0</v>
      </c>
      <c r="K27" s="1" t="s">
        <v>22</v>
      </c>
      <c r="L27" s="1" t="s">
        <v>110</v>
      </c>
      <c r="M27" s="1" t="s">
        <v>222</v>
      </c>
      <c r="N27" s="1" t="s">
        <v>223</v>
      </c>
      <c r="O27" s="1" t="s">
        <v>224</v>
      </c>
      <c r="P27" s="1">
        <v>1147794.0</v>
      </c>
      <c r="Q27" s="3" t="str">
        <f>VLOOKUP(A27,Posters!A27:B1026,2)</f>
        <v>https://m.media-amazon.com/images/M/MV5BMTUxMzQyNjA5MF5BMl5BanBnXkFtZTYwOTU2NTY3._V1_UX67_CR0,0,67,98_AL_.jpg</v>
      </c>
    </row>
    <row r="28">
      <c r="A28" s="1">
        <v>27.0</v>
      </c>
      <c r="B28" s="1" t="s">
        <v>225</v>
      </c>
      <c r="C28" s="2">
        <v>5.7598247E7</v>
      </c>
      <c r="D28" s="1">
        <v>1997.0</v>
      </c>
      <c r="E28" s="1" t="s">
        <v>52</v>
      </c>
      <c r="F28" s="1" t="s">
        <v>226</v>
      </c>
      <c r="G28" s="1" t="s">
        <v>227</v>
      </c>
      <c r="H28" s="1">
        <v>8.6</v>
      </c>
      <c r="I28" s="1" t="s">
        <v>228</v>
      </c>
      <c r="J28" s="1">
        <v>59.0</v>
      </c>
      <c r="K28" s="1" t="s">
        <v>229</v>
      </c>
      <c r="L28" s="1" t="s">
        <v>229</v>
      </c>
      <c r="M28" s="1" t="s">
        <v>230</v>
      </c>
      <c r="N28" s="1" t="s">
        <v>231</v>
      </c>
      <c r="O28" s="1" t="s">
        <v>232</v>
      </c>
      <c r="P28" s="1">
        <v>623629.0</v>
      </c>
      <c r="Q28" s="3" t="str">
        <f>VLOOKUP(A28,Posters!A28:B1027,2)</f>
        <v>https://m.media-amazon.com/images/M/MV5BYmJmM2Q4NmMtYThmNC00ZjRlLWEyZmItZTIwOTBlZDQ3NTQ1XkEyXkFqcGdeQXVyMTQxNzMzNDI@._V1_UX67_CR0,0,67,98_AL_.jpg</v>
      </c>
    </row>
    <row r="29">
      <c r="A29" s="1">
        <v>28.0</v>
      </c>
      <c r="B29" s="1" t="s">
        <v>233</v>
      </c>
      <c r="C29" s="2">
        <v>1.00125643E8</v>
      </c>
      <c r="D29" s="1">
        <v>1995.0</v>
      </c>
      <c r="E29" s="1" t="s">
        <v>18</v>
      </c>
      <c r="F29" s="1" t="s">
        <v>234</v>
      </c>
      <c r="G29" s="1" t="s">
        <v>235</v>
      </c>
      <c r="H29" s="1">
        <v>8.6</v>
      </c>
      <c r="I29" s="1" t="s">
        <v>236</v>
      </c>
      <c r="J29" s="1">
        <v>65.0</v>
      </c>
      <c r="K29" s="1" t="s">
        <v>97</v>
      </c>
      <c r="L29" s="1" t="s">
        <v>24</v>
      </c>
      <c r="M29" s="1" t="s">
        <v>98</v>
      </c>
      <c r="N29" s="1" t="s">
        <v>237</v>
      </c>
      <c r="O29" s="1" t="s">
        <v>238</v>
      </c>
      <c r="P29" s="1">
        <v>1445096.0</v>
      </c>
      <c r="Q29" s="3" t="str">
        <f>VLOOKUP(A29,Posters!A29:B1028,2)</f>
        <v>https://m.media-amazon.com/images/M/MV5BOTUwODM5MTctZjczMi00OTk4LTg3NWUtNmVhMTAzNTNjYjcyXkEyXkFqcGdeQXVyNjU0OTQ0OTY@._V1_UX67_CR0,0,67,98_AL_.jpg</v>
      </c>
    </row>
    <row r="30">
      <c r="A30" s="1">
        <v>29.0</v>
      </c>
      <c r="B30" s="1" t="s">
        <v>239</v>
      </c>
      <c r="C30" s="2">
        <v>1.30742922E8</v>
      </c>
      <c r="D30" s="1">
        <v>1991.0</v>
      </c>
      <c r="E30" s="1" t="s">
        <v>18</v>
      </c>
      <c r="F30" s="1" t="s">
        <v>240</v>
      </c>
      <c r="G30" s="1" t="s">
        <v>241</v>
      </c>
      <c r="H30" s="1">
        <v>8.6</v>
      </c>
      <c r="I30" s="1" t="s">
        <v>242</v>
      </c>
      <c r="J30" s="1">
        <v>85.0</v>
      </c>
      <c r="K30" s="1" t="s">
        <v>243</v>
      </c>
      <c r="L30" s="1" t="s">
        <v>244</v>
      </c>
      <c r="M30" s="1" t="s">
        <v>245</v>
      </c>
      <c r="N30" s="1" t="s">
        <v>246</v>
      </c>
      <c r="O30" s="1" t="s">
        <v>247</v>
      </c>
      <c r="P30" s="1">
        <v>1270197.0</v>
      </c>
      <c r="Q30" s="3" t="str">
        <f>VLOOKUP(A30,Posters!A30:B1029,2)</f>
        <v>https://m.media-amazon.com/images/M/MV5BNjNhZTk0ZmEtNjJhMi00YzFlLWE1MmEtYzM1M2ZmMGMwMTU4XkEyXkFqcGdeQXVyNjU0OTQ0OTY@._V1_UX67_CR0,0,67,98_AL_.jpg</v>
      </c>
    </row>
    <row r="31">
      <c r="A31" s="1">
        <v>30.0</v>
      </c>
      <c r="B31" s="1" t="s">
        <v>248</v>
      </c>
      <c r="C31" s="2">
        <v>3.2274014E8</v>
      </c>
      <c r="D31" s="1">
        <v>1977.0</v>
      </c>
      <c r="E31" s="1" t="s">
        <v>37</v>
      </c>
      <c r="F31" s="1" t="s">
        <v>249</v>
      </c>
      <c r="G31" s="1" t="s">
        <v>145</v>
      </c>
      <c r="H31" s="1">
        <v>8.6</v>
      </c>
      <c r="I31" s="1" t="s">
        <v>250</v>
      </c>
      <c r="J31" s="1">
        <v>90.0</v>
      </c>
      <c r="K31" s="1" t="s">
        <v>251</v>
      </c>
      <c r="L31" s="1" t="s">
        <v>148</v>
      </c>
      <c r="M31" s="1" t="s">
        <v>149</v>
      </c>
      <c r="N31" s="1" t="s">
        <v>150</v>
      </c>
      <c r="O31" s="1" t="s">
        <v>252</v>
      </c>
      <c r="P31" s="1">
        <v>1231473.0</v>
      </c>
      <c r="Q31" s="3" t="str">
        <f>VLOOKUP(A31,Posters!A31:B1030,2)</f>
        <v>https://m.media-amazon.com/images/M/MV5BNzVlY2MwMjktM2E4OS00Y2Y3LWE3ZjctYzhkZGM3YzA1ZWM2XkEyXkFqcGdeQXVyNzkwMjQ5NzM@._V1_UX67_CR0,0,67,98_AL_.jpg</v>
      </c>
    </row>
    <row r="32">
      <c r="A32" s="1">
        <v>31.0</v>
      </c>
      <c r="B32" s="1" t="s">
        <v>253</v>
      </c>
      <c r="C32" s="2">
        <v>15222.0</v>
      </c>
      <c r="D32" s="1">
        <v>1962.0</v>
      </c>
      <c r="E32" s="1">
        <v>16.0</v>
      </c>
      <c r="F32" s="1" t="s">
        <v>153</v>
      </c>
      <c r="G32" s="1" t="s">
        <v>254</v>
      </c>
      <c r="H32" s="1">
        <v>8.6</v>
      </c>
      <c r="I32" s="1" t="s">
        <v>255</v>
      </c>
      <c r="J32" s="1">
        <v>85.0</v>
      </c>
      <c r="K32" s="1" t="s">
        <v>256</v>
      </c>
      <c r="L32" s="1" t="s">
        <v>257</v>
      </c>
      <c r="M32" s="1" t="s">
        <v>258</v>
      </c>
      <c r="N32" s="1" t="s">
        <v>259</v>
      </c>
      <c r="O32" s="1" t="s">
        <v>260</v>
      </c>
      <c r="P32" s="1">
        <v>42004.0</v>
      </c>
      <c r="Q32" s="3" t="str">
        <f>VLOOKUP(A32,Posters!A32:B1031,2)</f>
        <v>https://m.media-amazon.com/images/M/MV5BYjBmYTQ1NjItZWU5MS00YjI0LTg2OTYtYmFkN2JkMmNiNWVkXkEyXkFqcGdeQXVyMTMxMTY0OTQ@._V1_UY98_CR2,0,67,98_AL_.jpg</v>
      </c>
    </row>
    <row r="33">
      <c r="A33" s="1">
        <v>32.0</v>
      </c>
      <c r="B33" s="1" t="s">
        <v>261</v>
      </c>
      <c r="C33" s="2">
        <v>269061.0</v>
      </c>
      <c r="D33" s="1">
        <v>1954.0</v>
      </c>
      <c r="E33" s="1" t="s">
        <v>52</v>
      </c>
      <c r="F33" s="1" t="s">
        <v>262</v>
      </c>
      <c r="G33" s="1" t="s">
        <v>62</v>
      </c>
      <c r="H33" s="1">
        <v>8.6</v>
      </c>
      <c r="I33" s="1" t="s">
        <v>263</v>
      </c>
      <c r="J33" s="1">
        <v>98.0</v>
      </c>
      <c r="K33" s="1" t="s">
        <v>264</v>
      </c>
      <c r="L33" s="1" t="s">
        <v>265</v>
      </c>
      <c r="M33" s="1" t="s">
        <v>266</v>
      </c>
      <c r="N33" s="1" t="s">
        <v>267</v>
      </c>
      <c r="O33" s="1" t="s">
        <v>268</v>
      </c>
      <c r="P33" s="1">
        <v>315744.0</v>
      </c>
      <c r="Q33" s="3" t="str">
        <f>VLOOKUP(A33,Posters!A33:B1032,2)</f>
        <v>https://m.media-amazon.com/images/M/MV5BOWE4ZDdhNmMtNzE5ZC00NzExLTlhNGMtY2ZhYjYzODEzODA1XkEyXkFqcGdeQXVyNTAyODkwOQ@@._V1_UY98_CR1,0,67,98_AL_.jpg</v>
      </c>
    </row>
    <row r="34">
      <c r="A34" s="1">
        <v>33.0</v>
      </c>
      <c r="B34" s="1" t="s">
        <v>269</v>
      </c>
      <c r="C34" s="2">
        <v>44000.0</v>
      </c>
      <c r="D34" s="1">
        <v>1946.0</v>
      </c>
      <c r="E34" s="1" t="s">
        <v>270</v>
      </c>
      <c r="F34" s="1" t="s">
        <v>195</v>
      </c>
      <c r="G34" s="1" t="s">
        <v>271</v>
      </c>
      <c r="H34" s="1">
        <v>8.6</v>
      </c>
      <c r="I34" s="1" t="s">
        <v>272</v>
      </c>
      <c r="J34" s="1">
        <v>89.0</v>
      </c>
      <c r="K34" s="1" t="s">
        <v>273</v>
      </c>
      <c r="L34" s="1" t="s">
        <v>274</v>
      </c>
      <c r="M34" s="1" t="s">
        <v>275</v>
      </c>
      <c r="N34" s="1" t="s">
        <v>276</v>
      </c>
      <c r="O34" s="1" t="s">
        <v>277</v>
      </c>
      <c r="P34" s="1">
        <v>405801.0</v>
      </c>
      <c r="Q34" s="3" t="str">
        <f>VLOOKUP(A34,Posters!A34:B1033,2)</f>
        <v>https://m.media-amazon.com/images/M/MV5BZjc4NDZhZWMtNGEzYS00ZWU2LThlM2ItNTA0YzQ0OTExMTE2XkEyXkFqcGdeQXVyNjUwMzI2NzU@._V1_UY98_CR0,0,67,98_AL_.jpg</v>
      </c>
    </row>
    <row r="35">
      <c r="A35" s="1">
        <v>34.0</v>
      </c>
      <c r="B35" s="1" t="s">
        <v>278</v>
      </c>
      <c r="C35" s="2">
        <v>3.35451311E8</v>
      </c>
      <c r="D35" s="1">
        <v>2019.0</v>
      </c>
      <c r="E35" s="1" t="s">
        <v>18</v>
      </c>
      <c r="F35" s="1" t="s">
        <v>279</v>
      </c>
      <c r="G35" s="1" t="s">
        <v>241</v>
      </c>
      <c r="H35" s="1">
        <v>8.5</v>
      </c>
      <c r="I35" s="1" t="s">
        <v>280</v>
      </c>
      <c r="J35" s="1">
        <v>59.0</v>
      </c>
      <c r="K35" s="1" t="s">
        <v>281</v>
      </c>
      <c r="L35" s="1" t="s">
        <v>282</v>
      </c>
      <c r="M35" s="1" t="s">
        <v>49</v>
      </c>
      <c r="N35" s="1" t="s">
        <v>283</v>
      </c>
      <c r="O35" s="1" t="s">
        <v>284</v>
      </c>
      <c r="P35" s="1">
        <v>939252.0</v>
      </c>
      <c r="Q35" s="3" t="str">
        <f>VLOOKUP(A35,Posters!A35:B1034,2)</f>
        <v>https://m.media-amazon.com/images/M/MV5BNGVjNWI4ZGUtNzE0MS00YTJmLWE0ZDctN2ZiYTk2YmI3NTYyXkEyXkFqcGdeQXVyMTkxNjUyNQ@@._V1_UX67_CR0,0,67,98_AL_.jpg</v>
      </c>
    </row>
    <row r="36">
      <c r="A36" s="1">
        <v>35.0</v>
      </c>
      <c r="B36" s="1" t="s">
        <v>285</v>
      </c>
      <c r="C36" s="2">
        <v>1.3092E7</v>
      </c>
      <c r="D36" s="1">
        <v>2014.0</v>
      </c>
      <c r="E36" s="1" t="s">
        <v>18</v>
      </c>
      <c r="F36" s="1" t="s">
        <v>286</v>
      </c>
      <c r="G36" s="1" t="s">
        <v>287</v>
      </c>
      <c r="H36" s="1">
        <v>8.5</v>
      </c>
      <c r="I36" s="1" t="s">
        <v>288</v>
      </c>
      <c r="J36" s="1">
        <v>88.0</v>
      </c>
      <c r="K36" s="1" t="s">
        <v>289</v>
      </c>
      <c r="L36" s="1" t="s">
        <v>290</v>
      </c>
      <c r="M36" s="1" t="s">
        <v>291</v>
      </c>
      <c r="N36" s="1" t="s">
        <v>292</v>
      </c>
      <c r="O36" s="1" t="s">
        <v>293</v>
      </c>
      <c r="P36" s="1">
        <v>717585.0</v>
      </c>
      <c r="Q36" s="3" t="str">
        <f>VLOOKUP(A36,Posters!A36:B1035,2)</f>
        <v>https://m.media-amazon.com/images/M/MV5BOTA5NDZlZGUtMjAxOS00YTRkLTkwYmMtYWQ0NWEwZDZiNjEzXkEyXkFqcGdeQXVyMTMxODk2OTU@._V1_UX67_CR0,0,67,98_AL_.jpg</v>
      </c>
    </row>
    <row r="37">
      <c r="A37" s="1">
        <v>36.0</v>
      </c>
      <c r="B37" s="1" t="s">
        <v>294</v>
      </c>
      <c r="C37" s="2">
        <v>1.3182281E7</v>
      </c>
      <c r="D37" s="1">
        <v>2011.0</v>
      </c>
      <c r="E37" s="1" t="s">
        <v>37</v>
      </c>
      <c r="F37" s="1" t="s">
        <v>295</v>
      </c>
      <c r="G37" s="1" t="s">
        <v>296</v>
      </c>
      <c r="H37" s="1">
        <v>8.5</v>
      </c>
      <c r="I37" s="1" t="s">
        <v>297</v>
      </c>
      <c r="J37" s="1">
        <v>57.0</v>
      </c>
      <c r="K37" s="1" t="s">
        <v>298</v>
      </c>
      <c r="L37" s="1" t="s">
        <v>299</v>
      </c>
      <c r="M37" s="1" t="s">
        <v>300</v>
      </c>
      <c r="N37" s="1" t="s">
        <v>301</v>
      </c>
      <c r="O37" s="1" t="s">
        <v>302</v>
      </c>
      <c r="P37" s="1">
        <v>760360.0</v>
      </c>
      <c r="Q37" s="3" t="str">
        <f>VLOOKUP(A37,Posters!A37:B1036,2)</f>
        <v>https://m.media-amazon.com/images/M/MV5BMTYxNDA3MDQwNl5BMl5BanBnXkFtZTcwNTU4Mzc1Nw@@._V1_UX67_CR0,0,67,98_AL_.jpg</v>
      </c>
    </row>
    <row r="38">
      <c r="A38" s="1">
        <v>37.0</v>
      </c>
      <c r="B38" s="1" t="s">
        <v>303</v>
      </c>
      <c r="C38" s="2">
        <v>5.3089891E7</v>
      </c>
      <c r="D38" s="1">
        <v>2006.0</v>
      </c>
      <c r="E38" s="1" t="s">
        <v>52</v>
      </c>
      <c r="F38" s="1" t="s">
        <v>195</v>
      </c>
      <c r="G38" s="1" t="s">
        <v>304</v>
      </c>
      <c r="H38" s="1">
        <v>8.5</v>
      </c>
      <c r="I38" s="1" t="s">
        <v>305</v>
      </c>
      <c r="J38" s="1">
        <v>66.0</v>
      </c>
      <c r="K38" s="1" t="s">
        <v>41</v>
      </c>
      <c r="L38" s="1" t="s">
        <v>42</v>
      </c>
      <c r="M38" s="1" t="s">
        <v>306</v>
      </c>
      <c r="N38" s="1" t="s">
        <v>307</v>
      </c>
      <c r="O38" s="1" t="s">
        <v>45</v>
      </c>
      <c r="P38" s="1">
        <v>1190259.0</v>
      </c>
      <c r="Q38" s="3" t="str">
        <f>VLOOKUP(A38,Posters!A38:B1037,2)</f>
        <v>https://m.media-amazon.com/images/M/MV5BMjA4NDI0MTIxNF5BMl5BanBnXkFtZTYwNTM0MzY2._V1_UX67_CR0,0,67,98_AL_.jpg</v>
      </c>
    </row>
    <row r="39">
      <c r="A39" s="1">
        <v>38.0</v>
      </c>
      <c r="B39" s="1" t="s">
        <v>308</v>
      </c>
      <c r="C39" s="2">
        <v>1.32384315E8</v>
      </c>
      <c r="D39" s="1">
        <v>2006.0</v>
      </c>
      <c r="E39" s="1" t="s">
        <v>18</v>
      </c>
      <c r="F39" s="1" t="s">
        <v>309</v>
      </c>
      <c r="G39" s="1" t="s">
        <v>241</v>
      </c>
      <c r="H39" s="1">
        <v>8.5</v>
      </c>
      <c r="I39" s="1" t="s">
        <v>310</v>
      </c>
      <c r="J39" s="1">
        <v>85.0</v>
      </c>
      <c r="K39" s="1" t="s">
        <v>139</v>
      </c>
      <c r="L39" s="1" t="s">
        <v>90</v>
      </c>
      <c r="M39" s="1" t="s">
        <v>215</v>
      </c>
      <c r="N39" s="1" t="s">
        <v>156</v>
      </c>
      <c r="O39" s="1" t="s">
        <v>311</v>
      </c>
      <c r="P39" s="1">
        <v>1189773.0</v>
      </c>
      <c r="Q39" s="3" t="str">
        <f>VLOOKUP(A39,Posters!A39:B1038,2)</f>
        <v>https://m.media-amazon.com/images/M/MV5BMTI1MTY2OTIxNV5BMl5BanBnXkFtZTYwNjQ4NjY3._V1_UX67_CR0,0,67,98_AL_.jpg</v>
      </c>
    </row>
    <row r="40">
      <c r="A40" s="1">
        <v>39.0</v>
      </c>
      <c r="B40" s="1" t="s">
        <v>312</v>
      </c>
      <c r="C40" s="2">
        <v>3.2572577E7</v>
      </c>
      <c r="D40" s="1">
        <v>2002.0</v>
      </c>
      <c r="E40" s="1" t="s">
        <v>212</v>
      </c>
      <c r="F40" s="1" t="s">
        <v>313</v>
      </c>
      <c r="G40" s="1" t="s">
        <v>314</v>
      </c>
      <c r="H40" s="1">
        <v>8.5</v>
      </c>
      <c r="I40" s="1" t="s">
        <v>315</v>
      </c>
      <c r="J40" s="1">
        <v>85.0</v>
      </c>
      <c r="K40" s="1" t="s">
        <v>316</v>
      </c>
      <c r="L40" s="1" t="s">
        <v>317</v>
      </c>
      <c r="M40" s="1" t="s">
        <v>318</v>
      </c>
      <c r="N40" s="1" t="s">
        <v>319</v>
      </c>
      <c r="O40" s="1" t="s">
        <v>320</v>
      </c>
      <c r="P40" s="1">
        <v>729603.0</v>
      </c>
      <c r="Q40" s="3" t="str">
        <f>VLOOKUP(A40,Posters!A40:B1039,2)</f>
        <v>https://m.media-amazon.com/images/M/MV5BOWRiZDIxZjktMTA1NC00MDQ2LWEzMjUtMTliZmY3NjQ3ODJiXkEyXkFqcGdeQXVyNjU0OTQ0OTY@._V1_UY98_CR2,0,67,98_AL_.jpg</v>
      </c>
    </row>
    <row r="41">
      <c r="A41" s="1">
        <v>40.0</v>
      </c>
      <c r="B41" s="1" t="s">
        <v>321</v>
      </c>
      <c r="C41" s="2">
        <v>1.87705427E8</v>
      </c>
      <c r="D41" s="1">
        <v>2000.0</v>
      </c>
      <c r="E41" s="1" t="s">
        <v>37</v>
      </c>
      <c r="F41" s="1" t="s">
        <v>322</v>
      </c>
      <c r="G41" s="1" t="s">
        <v>62</v>
      </c>
      <c r="H41" s="1">
        <v>8.5</v>
      </c>
      <c r="I41" s="1" t="s">
        <v>323</v>
      </c>
      <c r="J41" s="1">
        <v>67.0</v>
      </c>
      <c r="K41" s="1" t="s">
        <v>324</v>
      </c>
      <c r="L41" s="1" t="s">
        <v>325</v>
      </c>
      <c r="M41" s="1" t="s">
        <v>282</v>
      </c>
      <c r="N41" s="1" t="s">
        <v>326</v>
      </c>
      <c r="O41" s="1" t="s">
        <v>327</v>
      </c>
      <c r="P41" s="1">
        <v>1341460.0</v>
      </c>
      <c r="Q41" s="3" t="str">
        <f>VLOOKUP(A41,Posters!A41:B1040,2)</f>
        <v>https://m.media-amazon.com/images/M/MV5BMDliMmNhNDEtODUyOS00MjNlLTgxODEtN2U3NzIxMGVkZTA1L2ltYWdlXkEyXkFqcGdeQXVyNjU0OTQ0OTY@._V1_UX67_CR0,0,67,98_AL_.jpg</v>
      </c>
    </row>
    <row r="42">
      <c r="A42" s="1">
        <v>41.0</v>
      </c>
      <c r="B42" s="1" t="s">
        <v>328</v>
      </c>
      <c r="C42" s="2">
        <v>6719864.0</v>
      </c>
      <c r="D42" s="1">
        <v>1998.0</v>
      </c>
      <c r="E42" s="1" t="s">
        <v>212</v>
      </c>
      <c r="F42" s="1" t="s">
        <v>329</v>
      </c>
      <c r="G42" s="1" t="s">
        <v>20</v>
      </c>
      <c r="H42" s="1">
        <v>8.5</v>
      </c>
      <c r="I42" s="1" t="s">
        <v>330</v>
      </c>
      <c r="J42" s="1">
        <v>62.0</v>
      </c>
      <c r="K42" s="1" t="s">
        <v>331</v>
      </c>
      <c r="L42" s="1" t="s">
        <v>99</v>
      </c>
      <c r="M42" s="1" t="s">
        <v>332</v>
      </c>
      <c r="N42" s="1" t="s">
        <v>333</v>
      </c>
      <c r="O42" s="1" t="s">
        <v>334</v>
      </c>
      <c r="P42" s="1">
        <v>1034705.0</v>
      </c>
      <c r="Q42" s="3" t="str">
        <f>VLOOKUP(A42,Posters!A42:B1041,2)</f>
        <v>https://m.media-amazon.com/images/M/MV5BZjA0MTM4MTQtNzY5MC00NzY3LWI1ZTgtYzcxMjkyMzU4MDZiXkEyXkFqcGdeQXVyNDYyMDk5MTU@._V1_UX67_CR0,0,67,98_AL_.jpg</v>
      </c>
    </row>
    <row r="43">
      <c r="A43" s="1">
        <v>42.0</v>
      </c>
      <c r="B43" s="1" t="s">
        <v>335</v>
      </c>
      <c r="C43" s="2">
        <v>2.3341568E7</v>
      </c>
      <c r="D43" s="1">
        <v>1995.0</v>
      </c>
      <c r="E43" s="1" t="s">
        <v>18</v>
      </c>
      <c r="F43" s="1" t="s">
        <v>286</v>
      </c>
      <c r="G43" s="1" t="s">
        <v>336</v>
      </c>
      <c r="H43" s="1">
        <v>8.5</v>
      </c>
      <c r="I43" s="1" t="s">
        <v>337</v>
      </c>
      <c r="J43" s="1">
        <v>77.0</v>
      </c>
      <c r="K43" s="1" t="s">
        <v>338</v>
      </c>
      <c r="L43" s="1" t="s">
        <v>237</v>
      </c>
      <c r="M43" s="1" t="s">
        <v>339</v>
      </c>
      <c r="N43" s="1" t="s">
        <v>340</v>
      </c>
      <c r="O43" s="1" t="s">
        <v>341</v>
      </c>
      <c r="P43" s="1">
        <v>991208.0</v>
      </c>
      <c r="Q43" s="3" t="str">
        <f>VLOOKUP(A43,Posters!A43:B1042,2)</f>
        <v>https://m.media-amazon.com/images/M/MV5BYTViNjMyNmUtNDFkNC00ZDRlLThmMDUtZDU2YWE4NGI2ZjVmXkEyXkFqcGdeQXVyNjU0OTQ0OTY@._V1_UX67_CR0,0,67,98_AL_.jpg</v>
      </c>
    </row>
    <row r="44">
      <c r="A44" s="1">
        <v>43.0</v>
      </c>
      <c r="B44" s="1" t="s">
        <v>342</v>
      </c>
      <c r="C44" s="2">
        <v>1.9501238E7</v>
      </c>
      <c r="D44" s="1">
        <v>1994.0</v>
      </c>
      <c r="E44" s="1" t="s">
        <v>18</v>
      </c>
      <c r="F44" s="1" t="s">
        <v>343</v>
      </c>
      <c r="G44" s="1" t="s">
        <v>39</v>
      </c>
      <c r="H44" s="1">
        <v>8.5</v>
      </c>
      <c r="I44" s="1" t="s">
        <v>344</v>
      </c>
      <c r="J44" s="1">
        <v>64.0</v>
      </c>
      <c r="K44" s="1" t="s">
        <v>345</v>
      </c>
      <c r="L44" s="1" t="s">
        <v>346</v>
      </c>
      <c r="M44" s="1" t="s">
        <v>347</v>
      </c>
      <c r="N44" s="1" t="s">
        <v>348</v>
      </c>
      <c r="O44" s="1" t="s">
        <v>349</v>
      </c>
      <c r="P44" s="1">
        <v>1035236.0</v>
      </c>
      <c r="Q44" s="3" t="str">
        <f>VLOOKUP(A44,Posters!A44:B1043,2)</f>
        <v>https://m.media-amazon.com/images/M/MV5BODllNWE0MmEtYjUwZi00ZjY3LThmNmQtZjZlMjI2YTZjYmQ0XkEyXkFqcGdeQXVyNTc1NTQxODI@._V1_UX67_CR0,0,67,98_AL_.jpg</v>
      </c>
    </row>
    <row r="45">
      <c r="A45" s="1">
        <v>44.0</v>
      </c>
      <c r="B45" s="1" t="s">
        <v>350</v>
      </c>
      <c r="C45" s="2">
        <v>4.22783777E8</v>
      </c>
      <c r="D45" s="1">
        <v>1994.0</v>
      </c>
      <c r="E45" s="1" t="s">
        <v>52</v>
      </c>
      <c r="F45" s="1" t="s">
        <v>351</v>
      </c>
      <c r="G45" s="1" t="s">
        <v>352</v>
      </c>
      <c r="H45" s="1">
        <v>8.5</v>
      </c>
      <c r="I45" s="1" t="s">
        <v>353</v>
      </c>
      <c r="J45" s="1">
        <v>88.0</v>
      </c>
      <c r="K45" s="1" t="s">
        <v>354</v>
      </c>
      <c r="L45" s="1" t="s">
        <v>355</v>
      </c>
      <c r="M45" s="1" t="s">
        <v>356</v>
      </c>
      <c r="N45" s="1" t="s">
        <v>357</v>
      </c>
      <c r="O45" s="1" t="s">
        <v>358</v>
      </c>
      <c r="P45" s="1">
        <v>942045.0</v>
      </c>
      <c r="Q45" s="3" t="str">
        <f>VLOOKUP(A45,Posters!A45:B1044,2)</f>
        <v>https://m.media-amazon.com/images/M/MV5BYTYxNGMyZTYtMjE3MS00MzNjLWFjNmYtMDk3N2FmM2JiM2M1XkEyXkFqcGdeQXVyNjY5NDU4NzI@._V1_UX67_CR0,0,67,98_AL_.jpg</v>
      </c>
    </row>
    <row r="46">
      <c r="A46" s="1">
        <v>45.0</v>
      </c>
      <c r="B46" s="1" t="s">
        <v>359</v>
      </c>
      <c r="C46" s="2">
        <v>2.0484335E8</v>
      </c>
      <c r="D46" s="1">
        <v>1991.0</v>
      </c>
      <c r="E46" s="1" t="s">
        <v>52</v>
      </c>
      <c r="F46" s="1" t="s">
        <v>360</v>
      </c>
      <c r="G46" s="1" t="s">
        <v>128</v>
      </c>
      <c r="H46" s="1">
        <v>8.5</v>
      </c>
      <c r="I46" s="1" t="s">
        <v>361</v>
      </c>
      <c r="J46" s="1">
        <v>75.0</v>
      </c>
      <c r="K46" s="1" t="s">
        <v>362</v>
      </c>
      <c r="L46" s="1" t="s">
        <v>363</v>
      </c>
      <c r="M46" s="1" t="s">
        <v>364</v>
      </c>
      <c r="N46" s="1" t="s">
        <v>332</v>
      </c>
      <c r="O46" s="1" t="s">
        <v>365</v>
      </c>
      <c r="P46" s="1">
        <v>995506.0</v>
      </c>
      <c r="Q46" s="3" t="str">
        <f>VLOOKUP(A46,Posters!A46:B1045,2)</f>
        <v>https://m.media-amazon.com/images/M/MV5BMGU2NzRmZjUtOGUxYS00ZjdjLWEwZWItY2NlM2JhNjkxNTFmXkEyXkFqcGdeQXVyNjU0OTQ0OTY@._V1_UX67_CR0,0,67,98_AL_.jpg</v>
      </c>
    </row>
    <row r="47">
      <c r="A47" s="1">
        <v>46.0</v>
      </c>
      <c r="B47" s="1" t="s">
        <v>366</v>
      </c>
      <c r="C47" s="2">
        <v>1.1990401E7</v>
      </c>
      <c r="D47" s="1">
        <v>1988.0</v>
      </c>
      <c r="E47" s="1" t="s">
        <v>52</v>
      </c>
      <c r="F47" s="1" t="s">
        <v>322</v>
      </c>
      <c r="G47" s="1" t="s">
        <v>107</v>
      </c>
      <c r="H47" s="1">
        <v>8.5</v>
      </c>
      <c r="I47" s="1" t="s">
        <v>367</v>
      </c>
      <c r="J47" s="1">
        <v>80.0</v>
      </c>
      <c r="K47" s="1" t="s">
        <v>368</v>
      </c>
      <c r="L47" s="1" t="s">
        <v>369</v>
      </c>
      <c r="M47" s="1" t="s">
        <v>370</v>
      </c>
      <c r="N47" s="1" t="s">
        <v>371</v>
      </c>
      <c r="O47" s="1" t="s">
        <v>372</v>
      </c>
      <c r="P47" s="1">
        <v>230763.0</v>
      </c>
      <c r="Q47" s="3" t="str">
        <f>VLOOKUP(A47,Posters!A47:B1046,2)</f>
        <v>https://m.media-amazon.com/images/M/MV5BM2FhYjEyYmYtMDI1Yy00YTdlLWI2NWQtYmEzNzAxOGY1NjY2XkEyXkFqcGdeQXVyNTA3NTIyNDg@._V1_UX67_CR0,0,67,98_AL_.jpg</v>
      </c>
    </row>
    <row r="48">
      <c r="A48" s="1">
        <v>47.0</v>
      </c>
      <c r="B48" s="1" t="s">
        <v>373</v>
      </c>
      <c r="C48" s="2">
        <v>516962.0</v>
      </c>
      <c r="D48" s="1">
        <v>1988.0</v>
      </c>
      <c r="E48" s="1" t="s">
        <v>52</v>
      </c>
      <c r="F48" s="1" t="s">
        <v>374</v>
      </c>
      <c r="G48" s="1" t="s">
        <v>375</v>
      </c>
      <c r="H48" s="1">
        <v>8.5</v>
      </c>
      <c r="I48" s="1" t="s">
        <v>376</v>
      </c>
      <c r="J48" s="1">
        <v>94.0</v>
      </c>
      <c r="K48" s="1" t="s">
        <v>377</v>
      </c>
      <c r="L48" s="1" t="s">
        <v>378</v>
      </c>
      <c r="M48" s="1" t="s">
        <v>379</v>
      </c>
      <c r="N48" s="1" t="s">
        <v>380</v>
      </c>
      <c r="O48" s="1" t="s">
        <v>381</v>
      </c>
      <c r="P48" s="1">
        <v>235231.0</v>
      </c>
      <c r="Q48" s="3" t="str">
        <f>VLOOKUP(A48,Posters!A48:B1047,2)</f>
        <v>https://m.media-amazon.com/images/M/MV5BZmY2NjUzNDQtNTgxNC00M2Q4LTljOWQtMjNjNDBjNWUxNmJlXkEyXkFqcGdeQXVyNTA4NzY1MzY@._V1_UX67_CR0,0,67,98_AL_.jpg</v>
      </c>
    </row>
    <row r="49">
      <c r="A49" s="1">
        <v>48.0</v>
      </c>
      <c r="B49" s="1" t="s">
        <v>382</v>
      </c>
      <c r="C49" s="2">
        <v>2.10609762E8</v>
      </c>
      <c r="D49" s="1">
        <v>1985.0</v>
      </c>
      <c r="E49" s="1" t="s">
        <v>52</v>
      </c>
      <c r="F49" s="1" t="s">
        <v>226</v>
      </c>
      <c r="G49" s="1" t="s">
        <v>383</v>
      </c>
      <c r="H49" s="1">
        <v>8.5</v>
      </c>
      <c r="I49" s="1" t="s">
        <v>384</v>
      </c>
      <c r="J49" s="1">
        <v>87.0</v>
      </c>
      <c r="K49" s="1" t="s">
        <v>109</v>
      </c>
      <c r="L49" s="1" t="s">
        <v>385</v>
      </c>
      <c r="M49" s="1" t="s">
        <v>386</v>
      </c>
      <c r="N49" s="1" t="s">
        <v>387</v>
      </c>
      <c r="O49" s="1" t="s">
        <v>388</v>
      </c>
      <c r="P49" s="1">
        <v>1058081.0</v>
      </c>
      <c r="Q49" s="3" t="str">
        <f>VLOOKUP(A49,Posters!A49:B1048,2)</f>
        <v>https://m.media-amazon.com/images/M/MV5BZmU0M2Y1OGUtZjIxNi00ZjBkLTg1MjgtOWIyNThiZWIwYjRiXkEyXkFqcGdeQXVyMTQxNzMzNDI@._V1_UX67_CR0,0,67,98_AL_.jpg</v>
      </c>
    </row>
    <row r="50">
      <c r="A50" s="1">
        <v>49.0</v>
      </c>
      <c r="B50" s="1" t="s">
        <v>389</v>
      </c>
      <c r="C50" s="2">
        <v>5321508.0</v>
      </c>
      <c r="D50" s="1">
        <v>1968.0</v>
      </c>
      <c r="E50" s="1" t="s">
        <v>52</v>
      </c>
      <c r="F50" s="1" t="s">
        <v>390</v>
      </c>
      <c r="G50" s="1" t="s">
        <v>116</v>
      </c>
      <c r="H50" s="1">
        <v>8.5</v>
      </c>
      <c r="I50" s="1" t="s">
        <v>391</v>
      </c>
      <c r="J50" s="1">
        <v>80.0</v>
      </c>
      <c r="K50" s="1" t="s">
        <v>118</v>
      </c>
      <c r="L50" s="1" t="s">
        <v>56</v>
      </c>
      <c r="M50" s="1" t="s">
        <v>392</v>
      </c>
      <c r="N50" s="1" t="s">
        <v>393</v>
      </c>
      <c r="O50" s="1" t="s">
        <v>394</v>
      </c>
      <c r="P50" s="1">
        <v>302844.0</v>
      </c>
      <c r="Q50" s="3" t="str">
        <f>VLOOKUP(A50,Posters!A50:B1049,2)</f>
        <v>https://m.media-amazon.com/images/M/MV5BZGI5MjBmYzYtMzJhZi00NGI1LTk3MzItYjBjMzcxM2U3MDdiXkEyXkFqcGdeQXVyNzkwMjQ5NzM@._V1_UX67_CR0,0,67,98_AL_.jpg</v>
      </c>
    </row>
    <row r="51">
      <c r="A51" s="1">
        <v>50.0</v>
      </c>
      <c r="B51" s="1" t="s">
        <v>395</v>
      </c>
      <c r="C51" s="2">
        <v>3.2E7</v>
      </c>
      <c r="D51" s="1">
        <v>1960.0</v>
      </c>
      <c r="E51" s="1" t="s">
        <v>18</v>
      </c>
      <c r="F51" s="1" t="s">
        <v>396</v>
      </c>
      <c r="G51" s="1" t="s">
        <v>397</v>
      </c>
      <c r="H51" s="1">
        <v>8.5</v>
      </c>
      <c r="I51" s="1" t="s">
        <v>398</v>
      </c>
      <c r="J51" s="1">
        <v>97.0</v>
      </c>
      <c r="K51" s="1" t="s">
        <v>399</v>
      </c>
      <c r="L51" s="1" t="s">
        <v>400</v>
      </c>
      <c r="M51" s="1" t="s">
        <v>401</v>
      </c>
      <c r="N51" s="1" t="s">
        <v>402</v>
      </c>
      <c r="O51" s="1" t="s">
        <v>403</v>
      </c>
      <c r="P51" s="1">
        <v>604211.0</v>
      </c>
      <c r="Q51" s="3" t="str">
        <f>VLOOKUP(A51,Posters!A51:B1050,2)</f>
        <v>https://m.media-amazon.com/images/M/MV5BNTQwNDM1YzItNDAxZC00NWY2LTk0M2UtNDIwNWI5OGUyNWUxXkEyXkFqcGdeQXVyNzkwMjQ5NzM@._V1_UX67_CR0,0,67,98_AL_.jpg</v>
      </c>
    </row>
    <row r="52">
      <c r="A52" s="1">
        <v>51.0</v>
      </c>
      <c r="B52" s="1" t="s">
        <v>404</v>
      </c>
      <c r="C52" s="2">
        <v>1024560.0</v>
      </c>
      <c r="D52" s="1">
        <v>1942.0</v>
      </c>
      <c r="E52" s="1" t="s">
        <v>52</v>
      </c>
      <c r="F52" s="1" t="s">
        <v>405</v>
      </c>
      <c r="G52" s="1" t="s">
        <v>406</v>
      </c>
      <c r="H52" s="1">
        <v>8.5</v>
      </c>
      <c r="I52" s="1" t="s">
        <v>407</v>
      </c>
      <c r="J52" s="1">
        <v>100.0</v>
      </c>
      <c r="K52" s="1" t="s">
        <v>408</v>
      </c>
      <c r="L52" s="1" t="s">
        <v>409</v>
      </c>
      <c r="M52" s="1" t="s">
        <v>410</v>
      </c>
      <c r="N52" s="1" t="s">
        <v>411</v>
      </c>
      <c r="O52" s="1" t="s">
        <v>412</v>
      </c>
      <c r="P52" s="1">
        <v>522093.0</v>
      </c>
      <c r="Q52" s="3" t="str">
        <f>VLOOKUP(A52,Posters!A52:B1051,2)</f>
        <v>https://m.media-amazon.com/images/M/MV5BY2IzZGY2YmEtYzljNS00NTM5LTgwMzUtMzM1NjQ4NGI0OTk0XkEyXkFqcGdeQXVyNDYyMDk5MTU@._V1_UX67_CR0,0,67,98_AL_.jpg</v>
      </c>
    </row>
    <row r="53">
      <c r="A53" s="1">
        <v>52.0</v>
      </c>
      <c r="B53" s="1" t="s">
        <v>413</v>
      </c>
      <c r="C53" s="2">
        <v>163245.0</v>
      </c>
      <c r="D53" s="1">
        <v>1936.0</v>
      </c>
      <c r="E53" s="1" t="s">
        <v>414</v>
      </c>
      <c r="F53" s="1" t="s">
        <v>415</v>
      </c>
      <c r="G53" s="1" t="s">
        <v>416</v>
      </c>
      <c r="H53" s="1">
        <v>8.5</v>
      </c>
      <c r="I53" s="1" t="s">
        <v>417</v>
      </c>
      <c r="J53" s="1">
        <v>96.0</v>
      </c>
      <c r="K53" s="1" t="s">
        <v>418</v>
      </c>
      <c r="L53" s="1" t="s">
        <v>418</v>
      </c>
      <c r="M53" s="1" t="s">
        <v>419</v>
      </c>
      <c r="N53" s="1" t="s">
        <v>420</v>
      </c>
      <c r="O53" s="1" t="s">
        <v>421</v>
      </c>
      <c r="P53" s="1">
        <v>217881.0</v>
      </c>
      <c r="Q53" s="3" t="str">
        <f>VLOOKUP(A53,Posters!A53:B1052,2)</f>
        <v>https://m.media-amazon.com/images/M/MV5BYjJiZjMzYzktNjU0NS00OTkxLWEwYzItYzdhYWJjN2QzMTRlL2ltYWdlL2ltYWdlXkEyXkFqcGdeQXVyNjU0OTQ0OTY@._V1_UX67_CR0,0,67,98_AL_.jpg</v>
      </c>
    </row>
    <row r="54">
      <c r="A54" s="1">
        <v>53.0</v>
      </c>
      <c r="B54" s="1" t="s">
        <v>422</v>
      </c>
      <c r="C54" s="2">
        <v>47017.0</v>
      </c>
      <c r="D54" s="1">
        <v>1931.0</v>
      </c>
      <c r="E54" s="1" t="s">
        <v>414</v>
      </c>
      <c r="F54" s="1" t="s">
        <v>415</v>
      </c>
      <c r="G54" s="1" t="s">
        <v>227</v>
      </c>
      <c r="H54" s="1">
        <v>8.5</v>
      </c>
      <c r="I54" s="1" t="s">
        <v>423</v>
      </c>
      <c r="J54" s="1">
        <v>99.0</v>
      </c>
      <c r="K54" s="1" t="s">
        <v>418</v>
      </c>
      <c r="L54" s="1" t="s">
        <v>418</v>
      </c>
      <c r="M54" s="1" t="s">
        <v>424</v>
      </c>
      <c r="N54" s="1" t="s">
        <v>425</v>
      </c>
      <c r="O54" s="1" t="s">
        <v>426</v>
      </c>
      <c r="P54" s="1">
        <v>167839.0</v>
      </c>
      <c r="Q54" s="3" t="str">
        <f>VLOOKUP(A54,Posters!A54:B1053,2)</f>
        <v>https://m.media-amazon.com/images/M/MV5BY2I4MmM1N2EtM2YzOS00OWUzLTkzYzctNDc5NDg2N2IyODJmXkEyXkFqcGdeQXVyNzkwMjQ5NzM@._V1_UX67_CR0,0,67,98_AL_.jpg</v>
      </c>
    </row>
    <row r="55">
      <c r="A55" s="1">
        <v>54.0</v>
      </c>
      <c r="B55" s="1" t="s">
        <v>427</v>
      </c>
      <c r="C55" s="2">
        <v>1661096.0</v>
      </c>
      <c r="D55" s="1">
        <v>2018.0</v>
      </c>
      <c r="E55" s="1" t="s">
        <v>18</v>
      </c>
      <c r="F55" s="1" t="s">
        <v>428</v>
      </c>
      <c r="G55" s="1" t="s">
        <v>20</v>
      </c>
      <c r="H55" s="1">
        <v>8.4</v>
      </c>
      <c r="I55" s="1" t="s">
        <v>429</v>
      </c>
      <c r="J55" s="1">
        <v>75.0</v>
      </c>
      <c r="K55" s="1" t="s">
        <v>430</v>
      </c>
      <c r="L55" s="1" t="s">
        <v>431</v>
      </c>
      <c r="M55" s="1" t="s">
        <v>432</v>
      </c>
      <c r="N55" s="1" t="s">
        <v>433</v>
      </c>
      <c r="O55" s="1" t="s">
        <v>434</v>
      </c>
      <c r="P55" s="1">
        <v>62635.0</v>
      </c>
      <c r="Q55" s="3" t="str">
        <f>VLOOKUP(A55,Posters!A55:B1054,2)</f>
        <v>https://m.media-amazon.com/images/M/MV5BMmExNzU2ZWMtYzUwYi00YmM2LTkxZTQtNmVhNjY0NTMyMWI2XkEyXkFqcGdeQXVyMTMxODk2OTU@._V1_UX67_CR0,0,67,98_AL_.jpg</v>
      </c>
    </row>
    <row r="56">
      <c r="A56" s="1">
        <v>55.0</v>
      </c>
      <c r="B56" s="1" t="s">
        <v>435</v>
      </c>
      <c r="C56" s="2">
        <v>946947.0</v>
      </c>
      <c r="D56" s="1">
        <v>2017.0</v>
      </c>
      <c r="E56" s="1" t="s">
        <v>270</v>
      </c>
      <c r="F56" s="1" t="s">
        <v>203</v>
      </c>
      <c r="G56" s="1" t="s">
        <v>79</v>
      </c>
      <c r="H56" s="1">
        <v>8.4</v>
      </c>
      <c r="I56" s="1" t="s">
        <v>436</v>
      </c>
      <c r="K56" s="1" t="s">
        <v>437</v>
      </c>
      <c r="L56" s="1" t="s">
        <v>438</v>
      </c>
      <c r="M56" s="1" t="s">
        <v>439</v>
      </c>
      <c r="N56" s="1" t="s">
        <v>440</v>
      </c>
      <c r="O56" s="1" t="s">
        <v>441</v>
      </c>
      <c r="P56" s="1">
        <v>34112.0</v>
      </c>
      <c r="Q56" s="3" t="str">
        <f>VLOOKUP(A56,Posters!A56:B1055,2)</f>
        <v>https://m.media-amazon.com/images/M/MV5BNWJhMDlmZGUtYzcxNS00NDRiLWIwNjktNDY1Mjg3ZjBkYzY0XkEyXkFqcGdeQXVyMTU4MjUwMjI@._V1_UY98_CR2,0,67,98_AL_.jpg</v>
      </c>
    </row>
    <row r="57">
      <c r="A57" s="1">
        <v>56.0</v>
      </c>
      <c r="B57" s="1" t="s">
        <v>442</v>
      </c>
      <c r="C57" s="2">
        <v>546792.0</v>
      </c>
      <c r="D57" s="1">
        <v>2017.0</v>
      </c>
      <c r="E57" s="1" t="s">
        <v>37</v>
      </c>
      <c r="F57" s="1" t="s">
        <v>443</v>
      </c>
      <c r="G57" s="1" t="s">
        <v>39</v>
      </c>
      <c r="H57" s="1">
        <v>8.4</v>
      </c>
      <c r="I57" s="1" t="s">
        <v>444</v>
      </c>
      <c r="K57" s="1" t="s">
        <v>445</v>
      </c>
      <c r="L57" s="1" t="s">
        <v>446</v>
      </c>
      <c r="M57" s="1" t="s">
        <v>183</v>
      </c>
      <c r="N57" s="1" t="s">
        <v>447</v>
      </c>
      <c r="O57" s="1" t="s">
        <v>448</v>
      </c>
      <c r="P57" s="1">
        <v>28401.0</v>
      </c>
      <c r="Q57" s="3" t="str">
        <f>VLOOKUP(A57,Posters!A57:B1056,2)</f>
        <v>https://m.media-amazon.com/images/M/MV5BY2FiMTFmMzMtZDI2ZC00NDQyLWExYTUtOWNmZWM1ZDg5YjVjXkEyXkFqcGdeQXVyODIwMDI1NjM@._V1_UX67_CR0,0,67,98_AL_.jpg</v>
      </c>
    </row>
    <row r="58">
      <c r="A58" s="1">
        <v>57.0</v>
      </c>
      <c r="B58" s="1" t="s">
        <v>449</v>
      </c>
      <c r="C58" s="2">
        <v>5017246.0</v>
      </c>
      <c r="D58" s="1">
        <v>2016.0</v>
      </c>
      <c r="E58" s="1" t="s">
        <v>52</v>
      </c>
      <c r="F58" s="1" t="s">
        <v>286</v>
      </c>
      <c r="G58" s="1" t="s">
        <v>450</v>
      </c>
      <c r="H58" s="1">
        <v>8.4</v>
      </c>
      <c r="I58" s="1" t="s">
        <v>451</v>
      </c>
      <c r="J58" s="1">
        <v>79.0</v>
      </c>
      <c r="K58" s="1" t="s">
        <v>452</v>
      </c>
      <c r="L58" s="1" t="s">
        <v>453</v>
      </c>
      <c r="M58" s="1" t="s">
        <v>454</v>
      </c>
      <c r="N58" s="1" t="s">
        <v>455</v>
      </c>
      <c r="O58" s="1" t="s">
        <v>456</v>
      </c>
      <c r="P58" s="1">
        <v>194838.0</v>
      </c>
      <c r="Q58" s="3" t="str">
        <f>VLOOKUP(A58,Posters!A58:B1057,2)</f>
        <v>https://m.media-amazon.com/images/M/MV5BODRmZDVmNzUtZDA4ZC00NjhkLWI2M2UtN2M0ZDIzNDcxYThjL2ltYWdlXkEyXkFqcGdeQXVyNTk0MzMzODA@._V1_UX67_CR0,0,67,98_AL_.jpg</v>
      </c>
    </row>
    <row r="59">
      <c r="A59" s="1">
        <v>58.0</v>
      </c>
      <c r="B59" s="1" t="s">
        <v>457</v>
      </c>
      <c r="C59" s="2">
        <v>1.2391761E7</v>
      </c>
      <c r="D59" s="1">
        <v>2016.0</v>
      </c>
      <c r="E59" s="1" t="s">
        <v>52</v>
      </c>
      <c r="F59" s="1" t="s">
        <v>115</v>
      </c>
      <c r="G59" s="1" t="s">
        <v>458</v>
      </c>
      <c r="H59" s="1">
        <v>8.4</v>
      </c>
      <c r="I59" s="1" t="s">
        <v>459</v>
      </c>
      <c r="K59" s="1" t="s">
        <v>460</v>
      </c>
      <c r="L59" s="1" t="s">
        <v>461</v>
      </c>
      <c r="M59" s="1" t="s">
        <v>462</v>
      </c>
      <c r="N59" s="1" t="s">
        <v>463</v>
      </c>
      <c r="O59" s="1" t="s">
        <v>464</v>
      </c>
      <c r="P59" s="1">
        <v>156479.0</v>
      </c>
      <c r="Q59" s="3" t="str">
        <f>VLOOKUP(A59,Posters!A59:B1058,2)</f>
        <v>https://m.media-amazon.com/images/M/MV5BMTQ4MzQzMzM2Nl5BMl5BanBnXkFtZTgwMTQ1NzU3MDI@._V1_UY98_CR1,0,67,98_AL_.jpg</v>
      </c>
    </row>
    <row r="60">
      <c r="A60" s="1">
        <v>59.0</v>
      </c>
      <c r="B60" s="1" t="s">
        <v>465</v>
      </c>
      <c r="C60" s="2">
        <v>1.9024131E8</v>
      </c>
      <c r="D60" s="1">
        <v>2018.0</v>
      </c>
      <c r="E60" s="1" t="s">
        <v>52</v>
      </c>
      <c r="F60" s="1" t="s">
        <v>466</v>
      </c>
      <c r="G60" s="1" t="s">
        <v>467</v>
      </c>
      <c r="H60" s="1">
        <v>8.4</v>
      </c>
      <c r="I60" s="1" t="s">
        <v>468</v>
      </c>
      <c r="J60" s="1">
        <v>87.0</v>
      </c>
      <c r="K60" s="1" t="s">
        <v>469</v>
      </c>
      <c r="L60" s="1" t="s">
        <v>470</v>
      </c>
      <c r="M60" s="1" t="s">
        <v>471</v>
      </c>
      <c r="N60" s="1" t="s">
        <v>472</v>
      </c>
      <c r="O60" s="1" t="s">
        <v>473</v>
      </c>
      <c r="P60" s="1">
        <v>375110.0</v>
      </c>
      <c r="Q60" s="3" t="str">
        <f>VLOOKUP(A60,Posters!A60:B1059,2)</f>
        <v>https://m.media-amazon.com/images/M/MV5BMjMwNDkxMTgzOF5BMl5BanBnXkFtZTgwNTkwNTQ3NjM@._V1_UX67_CR0,0,67,98_AL_.jpg</v>
      </c>
    </row>
    <row r="61">
      <c r="A61" s="1">
        <v>60.0</v>
      </c>
      <c r="B61" s="1" t="s">
        <v>474</v>
      </c>
      <c r="C61" s="2">
        <v>8.58373E8</v>
      </c>
      <c r="D61" s="1">
        <v>2019.0</v>
      </c>
      <c r="E61" s="1" t="s">
        <v>37</v>
      </c>
      <c r="F61" s="1" t="s">
        <v>475</v>
      </c>
      <c r="G61" s="1" t="s">
        <v>62</v>
      </c>
      <c r="H61" s="1">
        <v>8.4</v>
      </c>
      <c r="I61" s="1" t="s">
        <v>476</v>
      </c>
      <c r="J61" s="1">
        <v>78.0</v>
      </c>
      <c r="K61" s="1" t="s">
        <v>477</v>
      </c>
      <c r="L61" s="1" t="s">
        <v>478</v>
      </c>
      <c r="M61" s="1" t="s">
        <v>479</v>
      </c>
      <c r="N61" s="1" t="s">
        <v>480</v>
      </c>
      <c r="O61" s="1" t="s">
        <v>481</v>
      </c>
      <c r="P61" s="1">
        <v>809955.0</v>
      </c>
      <c r="Q61" s="3" t="str">
        <f>VLOOKUP(A61,Posters!A61:B1060,2)</f>
        <v>https://m.media-amazon.com/images/M/MV5BMTc5MDE2ODcwNV5BMl5BanBnXkFtZTgwMzI2NzQ2NzM@._V1_UX67_CR0,0,67,98_AL_.jpg</v>
      </c>
    </row>
    <row r="62">
      <c r="A62" s="1">
        <v>61.0</v>
      </c>
      <c r="B62" s="1" t="s">
        <v>482</v>
      </c>
      <c r="C62" s="2">
        <v>6.78815482E8</v>
      </c>
      <c r="D62" s="1">
        <v>2018.0</v>
      </c>
      <c r="E62" s="1" t="s">
        <v>37</v>
      </c>
      <c r="F62" s="1" t="s">
        <v>483</v>
      </c>
      <c r="G62" s="1" t="s">
        <v>88</v>
      </c>
      <c r="H62" s="1">
        <v>8.4</v>
      </c>
      <c r="I62" s="1" t="s">
        <v>484</v>
      </c>
      <c r="J62" s="1">
        <v>68.0</v>
      </c>
      <c r="K62" s="1" t="s">
        <v>477</v>
      </c>
      <c r="L62" s="1" t="s">
        <v>478</v>
      </c>
      <c r="M62" s="1" t="s">
        <v>479</v>
      </c>
      <c r="N62" s="1" t="s">
        <v>485</v>
      </c>
      <c r="O62" s="1" t="s">
        <v>481</v>
      </c>
      <c r="P62" s="1">
        <v>834477.0</v>
      </c>
      <c r="Q62" s="3" t="str">
        <f>VLOOKUP(A62,Posters!A62:B1061,2)</f>
        <v>https://m.media-amazon.com/images/M/MV5BMjMxNjY2MDU1OV5BMl5BanBnXkFtZTgwNzY1MTUwNTM@._V1_UX67_CR0,0,67,98_AL_.jpg</v>
      </c>
    </row>
    <row r="63">
      <c r="A63" s="1">
        <v>62.0</v>
      </c>
      <c r="B63" s="1" t="s">
        <v>486</v>
      </c>
      <c r="C63" s="2">
        <v>2.09726015E8</v>
      </c>
      <c r="D63" s="1">
        <v>2017.0</v>
      </c>
      <c r="E63" s="1" t="s">
        <v>52</v>
      </c>
      <c r="F63" s="1" t="s">
        <v>487</v>
      </c>
      <c r="G63" s="1" t="s">
        <v>204</v>
      </c>
      <c r="H63" s="1">
        <v>8.4</v>
      </c>
      <c r="I63" s="1" t="s">
        <v>488</v>
      </c>
      <c r="J63" s="1">
        <v>81.0</v>
      </c>
      <c r="K63" s="1" t="s">
        <v>489</v>
      </c>
      <c r="L63" s="1" t="s">
        <v>490</v>
      </c>
      <c r="M63" s="1" t="s">
        <v>491</v>
      </c>
      <c r="N63" s="1" t="s">
        <v>492</v>
      </c>
      <c r="O63" s="1" t="s">
        <v>493</v>
      </c>
      <c r="P63" s="1">
        <v>384171.0</v>
      </c>
      <c r="Q63" s="3" t="str">
        <f>VLOOKUP(A63,Posters!A63:B1062,2)</f>
        <v>https://m.media-amazon.com/images/M/MV5BYjQ5NjM0Y2YtNjZkNC00ZDhkLWJjMWItN2QyNzFkMDE3ZjAxXkEyXkFqcGdeQXVyODIxMzk5NjA@._V1_UY98_CR1,0,67,98_AL_.jpg</v>
      </c>
    </row>
    <row r="64">
      <c r="A64" s="1">
        <v>63.0</v>
      </c>
      <c r="B64" s="1" t="s">
        <v>494</v>
      </c>
      <c r="C64" s="2">
        <v>1.62805434E8</v>
      </c>
      <c r="D64" s="1">
        <v>2012.0</v>
      </c>
      <c r="E64" s="1" t="s">
        <v>18</v>
      </c>
      <c r="F64" s="1" t="s">
        <v>390</v>
      </c>
      <c r="G64" s="1" t="s">
        <v>495</v>
      </c>
      <c r="H64" s="1">
        <v>8.4</v>
      </c>
      <c r="I64" s="1" t="s">
        <v>496</v>
      </c>
      <c r="J64" s="1">
        <v>81.0</v>
      </c>
      <c r="K64" s="1" t="s">
        <v>72</v>
      </c>
      <c r="L64" s="1" t="s">
        <v>497</v>
      </c>
      <c r="M64" s="1" t="s">
        <v>498</v>
      </c>
      <c r="N64" s="1" t="s">
        <v>90</v>
      </c>
      <c r="O64" s="1" t="s">
        <v>499</v>
      </c>
      <c r="P64" s="1">
        <v>1357682.0</v>
      </c>
      <c r="Q64" s="3" t="str">
        <f>VLOOKUP(A64,Posters!A64:B1063,2)</f>
        <v>https://m.media-amazon.com/images/M/MV5BMjIyNTQ5NjQ1OV5BMl5BanBnXkFtZTcwODg1MDU4OA@@._V1_UX67_CR0,0,67,98_AL_.jpg</v>
      </c>
    </row>
    <row r="65">
      <c r="A65" s="1">
        <v>64.0</v>
      </c>
      <c r="B65" s="1" t="s">
        <v>500</v>
      </c>
      <c r="C65" s="2">
        <v>4.48139099E8</v>
      </c>
      <c r="D65" s="1">
        <v>2012.0</v>
      </c>
      <c r="E65" s="1" t="s">
        <v>37</v>
      </c>
      <c r="F65" s="1" t="s">
        <v>501</v>
      </c>
      <c r="G65" s="1" t="s">
        <v>502</v>
      </c>
      <c r="H65" s="1">
        <v>8.4</v>
      </c>
      <c r="I65" s="1" t="s">
        <v>503</v>
      </c>
      <c r="J65" s="1">
        <v>78.0</v>
      </c>
      <c r="K65" s="1" t="s">
        <v>41</v>
      </c>
      <c r="L65" s="1" t="s">
        <v>42</v>
      </c>
      <c r="M65" s="1" t="s">
        <v>504</v>
      </c>
      <c r="N65" s="1" t="s">
        <v>191</v>
      </c>
      <c r="O65" s="1" t="s">
        <v>347</v>
      </c>
      <c r="P65" s="1">
        <v>1516346.0</v>
      </c>
      <c r="Q65" s="3" t="str">
        <f>VLOOKUP(A65,Posters!A65:B1064,2)</f>
        <v>https://m.media-amazon.com/images/M/MV5BMTk4ODQzNDY3Ml5BMl5BanBnXkFtZTcwODA0NTM4Nw@@._V1_UX67_CR0,0,67,98_AL_.jpg</v>
      </c>
    </row>
    <row r="66">
      <c r="A66" s="1">
        <v>65.0</v>
      </c>
      <c r="B66" s="1" t="s">
        <v>505</v>
      </c>
      <c r="C66" s="2">
        <v>6532908.0</v>
      </c>
      <c r="D66" s="1">
        <v>2009.0</v>
      </c>
      <c r="E66" s="1" t="s">
        <v>37</v>
      </c>
      <c r="F66" s="1" t="s">
        <v>506</v>
      </c>
      <c r="G66" s="1" t="s">
        <v>507</v>
      </c>
      <c r="H66" s="1">
        <v>8.4</v>
      </c>
      <c r="I66" s="1" t="s">
        <v>508</v>
      </c>
      <c r="J66" s="1">
        <v>67.0</v>
      </c>
      <c r="K66" s="1" t="s">
        <v>509</v>
      </c>
      <c r="L66" s="1" t="s">
        <v>461</v>
      </c>
      <c r="M66" s="1" t="s">
        <v>183</v>
      </c>
      <c r="N66" s="1" t="s">
        <v>510</v>
      </c>
      <c r="O66" s="1" t="s">
        <v>511</v>
      </c>
      <c r="P66" s="1">
        <v>344445.0</v>
      </c>
      <c r="Q66" s="3" t="str">
        <f>VLOOKUP(A66,Posters!A66:B1065,2)</f>
        <v>https://m.media-amazon.com/images/M/MV5BNTkyOGVjMGEtNmQzZi00NzFlLTlhOWQtODYyMDc2ZGJmYzFhXkEyXkFqcGdeQXVyNjU0OTQ0OTY@._V1_UY98_CR0,0,67,98_AL_.jpg</v>
      </c>
    </row>
    <row r="67">
      <c r="A67" s="1">
        <v>66.0</v>
      </c>
      <c r="B67" s="1" t="s">
        <v>512</v>
      </c>
      <c r="C67" s="2">
        <v>1223869.0</v>
      </c>
      <c r="D67" s="1">
        <v>2007.0</v>
      </c>
      <c r="E67" s="1" t="s">
        <v>52</v>
      </c>
      <c r="F67" s="1" t="s">
        <v>390</v>
      </c>
      <c r="G67" s="1" t="s">
        <v>513</v>
      </c>
      <c r="H67" s="1">
        <v>8.4</v>
      </c>
      <c r="I67" s="1" t="s">
        <v>514</v>
      </c>
      <c r="K67" s="1" t="s">
        <v>461</v>
      </c>
      <c r="L67" s="1" t="s">
        <v>515</v>
      </c>
      <c r="M67" s="1" t="s">
        <v>516</v>
      </c>
      <c r="N67" s="1" t="s">
        <v>461</v>
      </c>
      <c r="O67" s="1" t="s">
        <v>517</v>
      </c>
      <c r="P67" s="1">
        <v>168895.0</v>
      </c>
      <c r="Q67" s="3" t="str">
        <f>VLOOKUP(A67,Posters!A67:B1066,2)</f>
        <v>https://m.media-amazon.com/images/M/MV5BMDhjZWViN2MtNzgxOS00NmI4LThiZDQtZDI3MzM4MDE4NTc0XkEyXkFqcGdeQXVyMTMxODk2OTU@._V1_UY98_CR1,0,67,98_AL_.jpg</v>
      </c>
    </row>
    <row r="68">
      <c r="A68" s="1">
        <v>67.0</v>
      </c>
      <c r="B68" s="1" t="s">
        <v>518</v>
      </c>
      <c r="C68" s="2">
        <v>2.23808164E8</v>
      </c>
      <c r="D68" s="1">
        <v>2008.0</v>
      </c>
      <c r="E68" s="1" t="s">
        <v>52</v>
      </c>
      <c r="F68" s="1" t="s">
        <v>519</v>
      </c>
      <c r="G68" s="1" t="s">
        <v>204</v>
      </c>
      <c r="H68" s="1">
        <v>8.4</v>
      </c>
      <c r="I68" s="1" t="s">
        <v>520</v>
      </c>
      <c r="J68" s="1">
        <v>95.0</v>
      </c>
      <c r="K68" s="1" t="s">
        <v>521</v>
      </c>
      <c r="L68" s="1" t="s">
        <v>522</v>
      </c>
      <c r="M68" s="1" t="s">
        <v>523</v>
      </c>
      <c r="N68" s="1" t="s">
        <v>524</v>
      </c>
      <c r="O68" s="1" t="s">
        <v>525</v>
      </c>
      <c r="P68" s="1">
        <v>999790.0</v>
      </c>
      <c r="Q68" s="3" t="str">
        <f>VLOOKUP(A68,Posters!A68:B1067,2)</f>
        <v>https://m.media-amazon.com/images/M/MV5BMjExMTg5OTU0NF5BMl5BanBnXkFtZTcwMjMxMzMzMw@@._V1_UX67_CR0,0,67,98_AL_.jpg</v>
      </c>
    </row>
    <row r="69">
      <c r="A69" s="1">
        <v>68.0</v>
      </c>
      <c r="B69" s="1" t="s">
        <v>526</v>
      </c>
      <c r="C69" s="2">
        <v>1.1286112E7</v>
      </c>
      <c r="D69" s="1">
        <v>2006.0</v>
      </c>
      <c r="E69" s="1" t="s">
        <v>18</v>
      </c>
      <c r="F69" s="1" t="s">
        <v>360</v>
      </c>
      <c r="G69" s="1" t="s">
        <v>527</v>
      </c>
      <c r="H69" s="1">
        <v>8.4</v>
      </c>
      <c r="I69" s="1" t="s">
        <v>528</v>
      </c>
      <c r="J69" s="1">
        <v>89.0</v>
      </c>
      <c r="K69" s="1" t="s">
        <v>529</v>
      </c>
      <c r="L69" s="1" t="s">
        <v>530</v>
      </c>
      <c r="M69" s="1" t="s">
        <v>531</v>
      </c>
      <c r="N69" s="1" t="s">
        <v>532</v>
      </c>
      <c r="O69" s="1" t="s">
        <v>533</v>
      </c>
      <c r="P69" s="1">
        <v>358685.0</v>
      </c>
      <c r="Q69" s="3" t="str">
        <f>VLOOKUP(A69,Posters!A69:B1068,2)</f>
        <v>https://m.media-amazon.com/images/M/MV5BOThkM2EzYmMtNDE3NS00NjlhLTg4YzktYTdhNzgyOWY3ZDYzXkEyXkFqcGdeQXVyNzQzNzQxNzI@._V1_UY98_CR1,0,67,98_AL_.jpg</v>
      </c>
    </row>
    <row r="70">
      <c r="A70" s="1">
        <v>69.0</v>
      </c>
      <c r="B70" s="1" t="s">
        <v>534</v>
      </c>
      <c r="C70" s="2">
        <v>707481.0</v>
      </c>
      <c r="D70" s="1">
        <v>2003.0</v>
      </c>
      <c r="E70" s="1" t="s">
        <v>18</v>
      </c>
      <c r="F70" s="1" t="s">
        <v>535</v>
      </c>
      <c r="G70" s="1" t="s">
        <v>254</v>
      </c>
      <c r="H70" s="1">
        <v>8.4</v>
      </c>
      <c r="I70" s="1" t="s">
        <v>536</v>
      </c>
      <c r="J70" s="1">
        <v>77.0</v>
      </c>
      <c r="K70" s="1" t="s">
        <v>537</v>
      </c>
      <c r="L70" s="1" t="s">
        <v>538</v>
      </c>
      <c r="M70" s="1" t="s">
        <v>539</v>
      </c>
      <c r="N70" s="1" t="s">
        <v>540</v>
      </c>
      <c r="O70" s="1" t="s">
        <v>541</v>
      </c>
      <c r="P70" s="1">
        <v>515451.0</v>
      </c>
      <c r="Q70" s="3" t="str">
        <f>VLOOKUP(A70,Posters!A70:B1069,2)</f>
        <v>https://m.media-amazon.com/images/M/MV5BMTI3NTQyMzU5M15BMl5BanBnXkFtZTcwMTM2MjgyMQ@@._V1_UX67_CR0,0,67,98_AL_.jpg</v>
      </c>
    </row>
    <row r="71">
      <c r="A71" s="1">
        <v>70.0</v>
      </c>
      <c r="B71" s="1" t="s">
        <v>542</v>
      </c>
      <c r="C71" s="2">
        <v>2.5544867E7</v>
      </c>
      <c r="D71" s="1">
        <v>2000.0</v>
      </c>
      <c r="E71" s="1" t="s">
        <v>37</v>
      </c>
      <c r="F71" s="1" t="s">
        <v>543</v>
      </c>
      <c r="G71" s="1" t="s">
        <v>544</v>
      </c>
      <c r="H71" s="1">
        <v>8.4</v>
      </c>
      <c r="I71" s="1" t="s">
        <v>545</v>
      </c>
      <c r="J71" s="1">
        <v>80.0</v>
      </c>
      <c r="K71" s="1" t="s">
        <v>41</v>
      </c>
      <c r="L71" s="1" t="s">
        <v>546</v>
      </c>
      <c r="M71" s="1" t="s">
        <v>134</v>
      </c>
      <c r="N71" s="1" t="s">
        <v>547</v>
      </c>
      <c r="O71" s="1" t="s">
        <v>548</v>
      </c>
      <c r="P71" s="1">
        <v>1125712.0</v>
      </c>
      <c r="Q71" s="3" t="str">
        <f>VLOOKUP(A71,Posters!A71:B1070,2)</f>
        <v>https://m.media-amazon.com/images/M/MV5BZTcyNjk1MjgtOWI3Mi00YzQwLWI5MTktMzY4ZmI2NDAyNzYzXkEyXkFqcGdeQXVyNjU0OTQ0OTY@._V1_UX67_CR0,0,67,98_AL_.jpg</v>
      </c>
    </row>
    <row r="72">
      <c r="A72" s="1">
        <v>71.0</v>
      </c>
      <c r="B72" s="1" t="s">
        <v>549</v>
      </c>
      <c r="C72" s="2">
        <v>2375308.0</v>
      </c>
      <c r="D72" s="1">
        <v>1997.0</v>
      </c>
      <c r="E72" s="1" t="s">
        <v>52</v>
      </c>
      <c r="F72" s="1" t="s">
        <v>550</v>
      </c>
      <c r="G72" s="1" t="s">
        <v>467</v>
      </c>
      <c r="H72" s="1">
        <v>8.4</v>
      </c>
      <c r="I72" s="1" t="s">
        <v>551</v>
      </c>
      <c r="J72" s="1">
        <v>76.0</v>
      </c>
      <c r="K72" s="1" t="s">
        <v>206</v>
      </c>
      <c r="L72" s="1" t="s">
        <v>552</v>
      </c>
      <c r="M72" s="1" t="s">
        <v>553</v>
      </c>
      <c r="N72" s="1" t="s">
        <v>554</v>
      </c>
      <c r="O72" s="1" t="s">
        <v>555</v>
      </c>
      <c r="P72" s="1">
        <v>343171.0</v>
      </c>
      <c r="Q72" s="3" t="str">
        <f>VLOOKUP(A72,Posters!A72:B1071,2)</f>
        <v>https://m.media-amazon.com/images/M/MV5BNGIzY2IzODQtNThmMi00ZDE4LWI5YzAtNzNlZTM1ZjYyYjUyXkEyXkFqcGdeQXVyODEzNjM5OTQ@._V1_UX67_CR0,0,67,98_AL_.jpg</v>
      </c>
    </row>
    <row r="73">
      <c r="A73" s="1">
        <v>72.0</v>
      </c>
      <c r="B73" s="1" t="s">
        <v>556</v>
      </c>
      <c r="C73" s="2">
        <v>5321508.0</v>
      </c>
      <c r="D73" s="1">
        <v>1984.0</v>
      </c>
      <c r="E73" s="1" t="s">
        <v>18</v>
      </c>
      <c r="F73" s="1" t="s">
        <v>557</v>
      </c>
      <c r="G73" s="1" t="s">
        <v>29</v>
      </c>
      <c r="H73" s="1">
        <v>8.4</v>
      </c>
      <c r="I73" s="1" t="s">
        <v>558</v>
      </c>
      <c r="K73" s="1" t="s">
        <v>118</v>
      </c>
      <c r="L73" s="1" t="s">
        <v>49</v>
      </c>
      <c r="M73" s="1" t="s">
        <v>559</v>
      </c>
      <c r="N73" s="1" t="s">
        <v>560</v>
      </c>
      <c r="O73" s="1" t="s">
        <v>561</v>
      </c>
      <c r="P73" s="1">
        <v>311365.0</v>
      </c>
      <c r="Q73" s="3" t="str">
        <f>VLOOKUP(A73,Posters!A73:B1072,2)</f>
        <v>https://m.media-amazon.com/images/M/MV5BMGFkNWI4MTMtNGQ0OC00MWVmLTk3MTktOGYxN2Y2YWVkZWE2XkEyXkFqcGdeQXVyNjU0OTQ0OTY@._V1_UX67_CR0,0,67,98_AL_.jpg</v>
      </c>
    </row>
    <row r="74">
      <c r="A74" s="1">
        <v>73.0</v>
      </c>
      <c r="B74" s="1" t="s">
        <v>562</v>
      </c>
      <c r="C74" s="2">
        <v>2.48159971E8</v>
      </c>
      <c r="D74" s="1">
        <v>1981.0</v>
      </c>
      <c r="E74" s="1" t="s">
        <v>18</v>
      </c>
      <c r="F74" s="1" t="s">
        <v>563</v>
      </c>
      <c r="G74" s="1" t="s">
        <v>502</v>
      </c>
      <c r="H74" s="1">
        <v>8.4</v>
      </c>
      <c r="I74" s="1" t="s">
        <v>564</v>
      </c>
      <c r="J74" s="1">
        <v>85.0</v>
      </c>
      <c r="K74" s="1" t="s">
        <v>81</v>
      </c>
      <c r="L74" s="1" t="s">
        <v>149</v>
      </c>
      <c r="M74" s="1" t="s">
        <v>565</v>
      </c>
      <c r="N74" s="1" t="s">
        <v>566</v>
      </c>
      <c r="O74" s="1" t="s">
        <v>567</v>
      </c>
      <c r="P74" s="1">
        <v>884112.0</v>
      </c>
      <c r="Q74" s="3" t="str">
        <f>VLOOKUP(A74,Posters!A74:B1073,2)</f>
        <v>https://m.media-amazon.com/images/M/MV5BMjA0ODEzMTc1Nl5BMl5BanBnXkFtZTcwODM2MjAxNA@@._V1_UX67_CR0,0,67,98_AL_.jpg</v>
      </c>
    </row>
    <row r="75">
      <c r="A75" s="1">
        <v>74.0</v>
      </c>
      <c r="B75" s="1" t="s">
        <v>568</v>
      </c>
      <c r="C75" s="2">
        <v>4.4017374E7</v>
      </c>
      <c r="D75" s="1">
        <v>1980.0</v>
      </c>
      <c r="E75" s="1" t="s">
        <v>18</v>
      </c>
      <c r="F75" s="1" t="s">
        <v>136</v>
      </c>
      <c r="G75" s="1" t="s">
        <v>569</v>
      </c>
      <c r="H75" s="1">
        <v>8.4</v>
      </c>
      <c r="I75" s="1" t="s">
        <v>570</v>
      </c>
      <c r="J75" s="1">
        <v>66.0</v>
      </c>
      <c r="K75" s="1" t="s">
        <v>571</v>
      </c>
      <c r="L75" s="1" t="s">
        <v>156</v>
      </c>
      <c r="M75" s="1" t="s">
        <v>572</v>
      </c>
      <c r="N75" s="1" t="s">
        <v>573</v>
      </c>
      <c r="O75" s="1" t="s">
        <v>574</v>
      </c>
      <c r="P75" s="1">
        <v>898237.0</v>
      </c>
      <c r="Q75" s="3" t="str">
        <f>VLOOKUP(A75,Posters!A75:B1074,2)</f>
        <v>https://m.media-amazon.com/images/M/MV5BZWFlYmY2MGEtZjVkYS00YzU4LTg0YjQtYzY1ZGE3NTA5NGQxXkEyXkFqcGdeQXVyMTQxNzMzNDI@._V1_UX67_CR0,0,67,98_AL_.jpg</v>
      </c>
    </row>
    <row r="76">
      <c r="A76" s="1">
        <v>75.0</v>
      </c>
      <c r="B76" s="1" t="s">
        <v>575</v>
      </c>
      <c r="C76" s="2">
        <v>8.3471511E7</v>
      </c>
      <c r="D76" s="1">
        <v>1979.0</v>
      </c>
      <c r="E76" s="1" t="s">
        <v>212</v>
      </c>
      <c r="F76" s="1" t="s">
        <v>443</v>
      </c>
      <c r="G76" s="1" t="s">
        <v>576</v>
      </c>
      <c r="H76" s="1">
        <v>8.4</v>
      </c>
      <c r="I76" s="1" t="s">
        <v>577</v>
      </c>
      <c r="J76" s="1">
        <v>94.0</v>
      </c>
      <c r="K76" s="1" t="s">
        <v>31</v>
      </c>
      <c r="L76" s="1" t="s">
        <v>578</v>
      </c>
      <c r="M76" s="1" t="s">
        <v>32</v>
      </c>
      <c r="N76" s="1" t="s">
        <v>50</v>
      </c>
      <c r="O76" s="1" t="s">
        <v>579</v>
      </c>
      <c r="P76" s="1">
        <v>606398.0</v>
      </c>
      <c r="Q76" s="3" t="str">
        <f>VLOOKUP(A76,Posters!A76:B1075,2)</f>
        <v>https://m.media-amazon.com/images/M/MV5BMDdhODg0MjYtYzBiOS00ZmI5LWEwZGYtZDEyNDU4MmQyNzFkXkEyXkFqcGdeQXVyNzkwMjQ5NzM@._V1_UX67_CR0,0,67,98_AL_.jpg</v>
      </c>
    </row>
    <row r="77">
      <c r="A77" s="1">
        <v>76.0</v>
      </c>
      <c r="B77" s="1" t="s">
        <v>580</v>
      </c>
      <c r="C77" s="2">
        <v>7.89E7</v>
      </c>
      <c r="D77" s="1">
        <v>1979.0</v>
      </c>
      <c r="E77" s="1" t="s">
        <v>212</v>
      </c>
      <c r="F77" s="1" t="s">
        <v>466</v>
      </c>
      <c r="G77" s="1" t="s">
        <v>581</v>
      </c>
      <c r="H77" s="1">
        <v>8.4</v>
      </c>
      <c r="I77" s="1" t="s">
        <v>582</v>
      </c>
      <c r="J77" s="1">
        <v>89.0</v>
      </c>
      <c r="K77" s="1" t="s">
        <v>324</v>
      </c>
      <c r="L77" s="1" t="s">
        <v>583</v>
      </c>
      <c r="M77" s="1" t="s">
        <v>584</v>
      </c>
      <c r="N77" s="1" t="s">
        <v>585</v>
      </c>
      <c r="O77" s="1" t="s">
        <v>586</v>
      </c>
      <c r="P77" s="1">
        <v>787806.0</v>
      </c>
      <c r="Q77" s="3" t="str">
        <f>VLOOKUP(A77,Posters!A77:B1076,2)</f>
        <v>https://m.media-amazon.com/images/M/MV5BMmQ2MmU3NzktZjAxOC00ZDZhLTk4YzEtMDMyMzcxY2IwMDAyXkEyXkFqcGdeQXVyNzkwMjQ5NzM@._V1_UX67_CR0,0,67,98_AL_.jpg</v>
      </c>
    </row>
    <row r="78">
      <c r="A78" s="1">
        <v>77.0</v>
      </c>
      <c r="B78" s="1" t="s">
        <v>587</v>
      </c>
      <c r="C78" s="2">
        <v>3000000.0</v>
      </c>
      <c r="D78" s="1">
        <v>1971.0</v>
      </c>
      <c r="E78" s="1" t="s">
        <v>52</v>
      </c>
      <c r="F78" s="1" t="s">
        <v>279</v>
      </c>
      <c r="G78" s="1" t="s">
        <v>588</v>
      </c>
      <c r="H78" s="1">
        <v>8.4</v>
      </c>
      <c r="I78" s="1" t="s">
        <v>589</v>
      </c>
      <c r="K78" s="1" t="s">
        <v>590</v>
      </c>
      <c r="L78" s="1" t="s">
        <v>591</v>
      </c>
      <c r="M78" s="1" t="s">
        <v>592</v>
      </c>
      <c r="N78" s="1" t="s">
        <v>593</v>
      </c>
      <c r="O78" s="1" t="s">
        <v>594</v>
      </c>
      <c r="P78" s="1">
        <v>30273.0</v>
      </c>
      <c r="Q78" s="3" t="str">
        <f>VLOOKUP(A78,Posters!A78:B1077,2)</f>
        <v>https://m.media-amazon.com/images/M/MV5BYmYzNmM2MDctZGY3Yi00NjRiLWIxZjctYjgzYTcxYTNhYTMyXkEyXkFqcGdeQXVyMjUxMTY3ODM@._V1_UY98_CR1,0,67,98_AL_.jpg</v>
      </c>
    </row>
    <row r="79">
      <c r="A79" s="1">
        <v>78.0</v>
      </c>
      <c r="B79" s="1" t="s">
        <v>595</v>
      </c>
      <c r="C79" s="2">
        <v>46808.0</v>
      </c>
      <c r="D79" s="1">
        <v>1963.0</v>
      </c>
      <c r="E79" s="1" t="s">
        <v>18</v>
      </c>
      <c r="F79" s="1" t="s">
        <v>596</v>
      </c>
      <c r="G79" s="1" t="s">
        <v>235</v>
      </c>
      <c r="H79" s="1">
        <v>8.4</v>
      </c>
      <c r="I79" s="1" t="s">
        <v>597</v>
      </c>
      <c r="K79" s="1" t="s">
        <v>264</v>
      </c>
      <c r="L79" s="1" t="s">
        <v>265</v>
      </c>
      <c r="M79" s="1" t="s">
        <v>598</v>
      </c>
      <c r="N79" s="1" t="s">
        <v>257</v>
      </c>
      <c r="O79" s="1" t="s">
        <v>599</v>
      </c>
      <c r="P79" s="1">
        <v>34357.0</v>
      </c>
      <c r="Q79" s="3" t="str">
        <f>VLOOKUP(A79,Posters!A79:B1078,2)</f>
        <v>https://m.media-amazon.com/images/M/MV5BOTI4NTNhZDMtMWNkZi00MTRmLWJmZDQtMmJkMGVmZTEzODlhXkEyXkFqcGdeQXVyNjc1NTYyMjg@._V1_UX67_CR0,0,67,98_AL_.jpg</v>
      </c>
    </row>
    <row r="80">
      <c r="A80" s="1">
        <v>79.0</v>
      </c>
      <c r="B80" s="1" t="s">
        <v>600</v>
      </c>
      <c r="C80" s="2">
        <v>275902.0</v>
      </c>
      <c r="D80" s="1">
        <v>1964.0</v>
      </c>
      <c r="E80" s="1" t="s">
        <v>18</v>
      </c>
      <c r="F80" s="1" t="s">
        <v>601</v>
      </c>
      <c r="G80" s="1" t="s">
        <v>602</v>
      </c>
      <c r="H80" s="1">
        <v>8.4</v>
      </c>
      <c r="I80" s="1" t="s">
        <v>603</v>
      </c>
      <c r="J80" s="1">
        <v>97.0</v>
      </c>
      <c r="K80" s="1" t="s">
        <v>571</v>
      </c>
      <c r="L80" s="1" t="s">
        <v>604</v>
      </c>
      <c r="M80" s="1" t="s">
        <v>605</v>
      </c>
      <c r="N80" s="1" t="s">
        <v>606</v>
      </c>
      <c r="O80" s="1" t="s">
        <v>607</v>
      </c>
      <c r="P80" s="1">
        <v>450474.0</v>
      </c>
      <c r="Q80" s="3" t="str">
        <f>VLOOKUP(A80,Posters!A80:B1079,2)</f>
        <v>https://m.media-amazon.com/images/M/MV5BZWI3ZTMxNjctMjdlNS00NmUwLWFiM2YtZDUyY2I3N2MxYTE0XkEyXkFqcGdeQXVyNzkwMjQ5NzM@._V1_UX67_CR0,0,67,98_AL_.jpg</v>
      </c>
    </row>
    <row r="81">
      <c r="A81" s="1">
        <v>80.0</v>
      </c>
      <c r="B81" s="1" t="s">
        <v>608</v>
      </c>
      <c r="C81" s="2">
        <v>8175000.0</v>
      </c>
      <c r="D81" s="1">
        <v>1957.0</v>
      </c>
      <c r="E81" s="1" t="s">
        <v>52</v>
      </c>
      <c r="F81" s="1" t="s">
        <v>226</v>
      </c>
      <c r="G81" s="1" t="s">
        <v>235</v>
      </c>
      <c r="H81" s="1">
        <v>8.4</v>
      </c>
      <c r="I81" s="1" t="s">
        <v>609</v>
      </c>
      <c r="K81" s="1" t="s">
        <v>610</v>
      </c>
      <c r="L81" s="1" t="s">
        <v>611</v>
      </c>
      <c r="M81" s="1" t="s">
        <v>612</v>
      </c>
      <c r="N81" s="1" t="s">
        <v>613</v>
      </c>
      <c r="O81" s="1" t="s">
        <v>614</v>
      </c>
      <c r="P81" s="1">
        <v>108862.0</v>
      </c>
      <c r="Q81" s="3" t="str">
        <f>VLOOKUP(A81,Posters!A81:B1080,2)</f>
        <v>https://m.media-amazon.com/images/M/MV5BNDQwODU5OWYtNDcyNi00MDQ1LThiOGMtZDkwNWJiM2Y3MDg0XkEyXkFqcGdeQXVyMDI2NDg0NQ@@._V1_UX67_CR0,0,67,98_AL_.jpg</v>
      </c>
    </row>
    <row r="82">
      <c r="A82" s="1">
        <v>81.0</v>
      </c>
      <c r="B82" s="1" t="s">
        <v>615</v>
      </c>
      <c r="C82" s="2">
        <v>5252.0</v>
      </c>
      <c r="D82" s="1">
        <v>1957.0</v>
      </c>
      <c r="E82" s="1" t="s">
        <v>18</v>
      </c>
      <c r="F82" s="1" t="s">
        <v>351</v>
      </c>
      <c r="G82" s="1" t="s">
        <v>213</v>
      </c>
      <c r="H82" s="1">
        <v>8.4</v>
      </c>
      <c r="I82" s="1" t="s">
        <v>616</v>
      </c>
      <c r="J82" s="1">
        <v>90.0</v>
      </c>
      <c r="K82" s="1" t="s">
        <v>571</v>
      </c>
      <c r="L82" s="1" t="s">
        <v>617</v>
      </c>
      <c r="M82" s="1" t="s">
        <v>618</v>
      </c>
      <c r="N82" s="1" t="s">
        <v>619</v>
      </c>
      <c r="O82" s="1" t="s">
        <v>620</v>
      </c>
      <c r="P82" s="1">
        <v>178092.0</v>
      </c>
      <c r="Q82" s="3" t="str">
        <f>VLOOKUP(A82,Posters!A82:B1081,2)</f>
        <v>https://m.media-amazon.com/images/M/MV5BNjViMmRkOTEtM2ViOS00ODg0LWJhYWEtNTBlOGQxNDczOGY3XkEyXkFqcGdeQXVyMDI2NDg0NQ@@._V1_UY98_CR2,0,67,98_AL_.jpg</v>
      </c>
    </row>
    <row r="83">
      <c r="A83" s="1">
        <v>82.0</v>
      </c>
      <c r="B83" s="1" t="s">
        <v>621</v>
      </c>
      <c r="C83" s="2">
        <v>3.6764313E7</v>
      </c>
      <c r="D83" s="1">
        <v>1954.0</v>
      </c>
      <c r="E83" s="1" t="s">
        <v>52</v>
      </c>
      <c r="F83" s="1" t="s">
        <v>295</v>
      </c>
      <c r="G83" s="1" t="s">
        <v>544</v>
      </c>
      <c r="H83" s="1">
        <v>8.4</v>
      </c>
      <c r="I83" s="1" t="s">
        <v>622</v>
      </c>
      <c r="J83" s="1">
        <v>100.0</v>
      </c>
      <c r="K83" s="1" t="s">
        <v>399</v>
      </c>
      <c r="L83" s="1" t="s">
        <v>274</v>
      </c>
      <c r="M83" s="1" t="s">
        <v>623</v>
      </c>
      <c r="N83" s="1" t="s">
        <v>624</v>
      </c>
      <c r="O83" s="1" t="s">
        <v>625</v>
      </c>
      <c r="P83" s="1">
        <v>444074.0</v>
      </c>
      <c r="Q83" s="3" t="str">
        <f>VLOOKUP(A83,Posters!A83:B1082,2)</f>
        <v>https://m.media-amazon.com/images/M/MV5BNGUxYWM3M2MtMGM3Mi00ZmRiLWE0NGQtZjE5ODI2OTJhNTU0XkEyXkFqcGdeQXVyMTQxNzMzNDI@._V1_UX67_CR0,0,67,98_AL_.jpg</v>
      </c>
    </row>
    <row r="84">
      <c r="A84" s="1">
        <v>83.0</v>
      </c>
      <c r="B84" s="1" t="s">
        <v>626</v>
      </c>
      <c r="C84" s="2">
        <v>299645.0</v>
      </c>
      <c r="D84" s="1">
        <v>1950.0</v>
      </c>
      <c r="E84" s="1" t="s">
        <v>627</v>
      </c>
      <c r="F84" s="1" t="s">
        <v>343</v>
      </c>
      <c r="G84" s="1" t="s">
        <v>628</v>
      </c>
      <c r="H84" s="1">
        <v>8.4</v>
      </c>
      <c r="I84" s="1" t="s">
        <v>629</v>
      </c>
      <c r="K84" s="1" t="s">
        <v>610</v>
      </c>
      <c r="L84" s="1" t="s">
        <v>630</v>
      </c>
      <c r="M84" s="1" t="s">
        <v>631</v>
      </c>
      <c r="N84" s="1" t="s">
        <v>632</v>
      </c>
      <c r="O84" s="1" t="s">
        <v>633</v>
      </c>
      <c r="P84" s="1">
        <v>201632.0</v>
      </c>
      <c r="Q84" s="3" t="str">
        <f>VLOOKUP(A84,Posters!A84:B1083,2)</f>
        <v>https://m.media-amazon.com/images/M/MV5BMTU0NTkyNzYwMF5BMl5BanBnXkFtZTgwMDU0NDk5MTI@._V1_UX67_CR0,0,67,98_AL_.jpg</v>
      </c>
    </row>
    <row r="85">
      <c r="A85" s="1">
        <v>84.0</v>
      </c>
      <c r="B85" s="1" t="s">
        <v>634</v>
      </c>
      <c r="C85" s="2">
        <v>288475.0</v>
      </c>
      <c r="D85" s="1">
        <v>1940.0</v>
      </c>
      <c r="E85" s="1" t="s">
        <v>627</v>
      </c>
      <c r="F85" s="1" t="s">
        <v>203</v>
      </c>
      <c r="G85" s="1" t="s">
        <v>635</v>
      </c>
      <c r="H85" s="1">
        <v>8.4</v>
      </c>
      <c r="I85" s="1" t="s">
        <v>636</v>
      </c>
      <c r="K85" s="1" t="s">
        <v>418</v>
      </c>
      <c r="L85" s="1" t="s">
        <v>418</v>
      </c>
      <c r="M85" s="1" t="s">
        <v>419</v>
      </c>
      <c r="N85" s="1" t="s">
        <v>637</v>
      </c>
      <c r="O85" s="1" t="s">
        <v>638</v>
      </c>
      <c r="P85" s="1">
        <v>203150.0</v>
      </c>
      <c r="Q85" s="3" t="str">
        <f>VLOOKUP(A85,Posters!A85:B1084,2)</f>
        <v>https://m.media-amazon.com/images/M/MV5BMmExYWJjNTktNGUyZS00ODhmLTkxYzAtNWIzOGEyMGNiMmUwXkEyXkFqcGdeQXVyNjU0OTQ0OTY@._V1_UX67_CR0,0,67,98_AL_.jpg</v>
      </c>
    </row>
    <row r="86">
      <c r="A86" s="1">
        <v>85.0</v>
      </c>
      <c r="B86" s="1">
        <v>1917.0</v>
      </c>
      <c r="C86" s="2">
        <v>1.59227644E8</v>
      </c>
      <c r="D86" s="1">
        <v>2019.0</v>
      </c>
      <c r="E86" s="1" t="s">
        <v>212</v>
      </c>
      <c r="F86" s="1" t="s">
        <v>329</v>
      </c>
      <c r="G86" s="1" t="s">
        <v>639</v>
      </c>
      <c r="H86" s="1">
        <v>8.3</v>
      </c>
      <c r="I86" s="1" t="s">
        <v>640</v>
      </c>
      <c r="J86" s="1">
        <v>78.0</v>
      </c>
      <c r="K86" s="1" t="s">
        <v>641</v>
      </c>
      <c r="L86" s="1" t="s">
        <v>642</v>
      </c>
      <c r="M86" s="1" t="s">
        <v>643</v>
      </c>
      <c r="N86" s="1" t="s">
        <v>644</v>
      </c>
      <c r="O86" s="1" t="s">
        <v>645</v>
      </c>
      <c r="P86" s="1">
        <v>425844.0</v>
      </c>
      <c r="Q86" s="3" t="str">
        <f>VLOOKUP(A86,Posters!A86:B1085,2)</f>
        <v>https://m.media-amazon.com/images/M/MV5BOTdmNTFjNDEtNzg0My00ZjkxLTg1ZDAtZTdkMDc2ZmFiNWQ1XkEyXkFqcGdeQXVyNTAzNzgwNTg@._V1_UX67_CR0,0,67,98_AL_.jpg</v>
      </c>
    </row>
    <row r="87">
      <c r="A87" s="1">
        <v>86.0</v>
      </c>
      <c r="B87" s="1" t="s">
        <v>646</v>
      </c>
      <c r="C87" s="2">
        <v>1691980.0</v>
      </c>
      <c r="D87" s="1">
        <v>2018.0</v>
      </c>
      <c r="E87" s="1" t="s">
        <v>18</v>
      </c>
      <c r="F87" s="1" t="s">
        <v>647</v>
      </c>
      <c r="G87" s="1" t="s">
        <v>648</v>
      </c>
      <c r="H87" s="1">
        <v>8.3</v>
      </c>
      <c r="I87" s="1" t="s">
        <v>649</v>
      </c>
      <c r="K87" s="1" t="s">
        <v>650</v>
      </c>
      <c r="L87" s="1" t="s">
        <v>651</v>
      </c>
      <c r="M87" s="1" t="s">
        <v>652</v>
      </c>
      <c r="N87" s="1" t="s">
        <v>653</v>
      </c>
      <c r="O87" s="1" t="s">
        <v>654</v>
      </c>
      <c r="P87" s="1">
        <v>27793.0</v>
      </c>
      <c r="Q87" s="3" t="str">
        <f>VLOOKUP(A87,Posters!A87:B1086,2)</f>
        <v>https://m.media-amazon.com/images/M/MV5BYmQxNmU4ZjgtYzE5Mi00ZDlhLTlhOTctMzJkNjk2ZGUyZGEwXkEyXkFqcGdeQXVyMzgxMDA0Nzk@._V1_UY98_CR1,0,67,98_AL_.jpg</v>
      </c>
    </row>
    <row r="88">
      <c r="A88" s="1">
        <v>87.0</v>
      </c>
      <c r="B88" s="1" t="s">
        <v>655</v>
      </c>
      <c r="C88" s="2">
        <v>1373943.0</v>
      </c>
      <c r="D88" s="1">
        <v>2018.0</v>
      </c>
      <c r="E88" s="1" t="s">
        <v>37</v>
      </c>
      <c r="F88" s="1" t="s">
        <v>95</v>
      </c>
      <c r="G88" s="1" t="s">
        <v>656</v>
      </c>
      <c r="H88" s="1">
        <v>8.3</v>
      </c>
      <c r="I88" s="1" t="s">
        <v>657</v>
      </c>
      <c r="K88" s="1" t="s">
        <v>658</v>
      </c>
      <c r="L88" s="1" t="s">
        <v>659</v>
      </c>
      <c r="M88" s="1" t="s">
        <v>660</v>
      </c>
      <c r="N88" s="1" t="s">
        <v>661</v>
      </c>
      <c r="O88" s="1" t="s">
        <v>662</v>
      </c>
      <c r="P88" s="1">
        <v>71875.0</v>
      </c>
      <c r="Q88" s="3" t="str">
        <f>VLOOKUP(A88,Posters!A88:B1087,2)</f>
        <v>https://m.media-amazon.com/images/M/MV5BZWZhMjhhZmYtOTIzOC00MGYzLWI1OGYtM2ZkN2IxNTI4ZWI3XkEyXkFqcGdeQXVyNDAzNDk0MTQ@._V1_UY98_CR0,0,67,98_AL_.jpg</v>
      </c>
    </row>
    <row r="89">
      <c r="A89" s="1">
        <v>88.0</v>
      </c>
      <c r="B89" s="1" t="s">
        <v>663</v>
      </c>
      <c r="C89" s="2">
        <v>3841.0</v>
      </c>
      <c r="D89" s="1">
        <v>2013.0</v>
      </c>
      <c r="E89" s="1" t="s">
        <v>52</v>
      </c>
      <c r="F89" s="1" t="s">
        <v>162</v>
      </c>
      <c r="G89" s="1" t="s">
        <v>241</v>
      </c>
      <c r="H89" s="1">
        <v>8.3</v>
      </c>
      <c r="I89" s="1" t="s">
        <v>664</v>
      </c>
      <c r="K89" s="1" t="s">
        <v>665</v>
      </c>
      <c r="L89" s="1" t="s">
        <v>666</v>
      </c>
      <c r="M89" s="1" t="s">
        <v>667</v>
      </c>
      <c r="N89" s="1" t="s">
        <v>668</v>
      </c>
      <c r="O89" s="1" t="s">
        <v>669</v>
      </c>
      <c r="P89" s="1">
        <v>30722.0</v>
      </c>
      <c r="Q89" s="3" t="str">
        <f>VLOOKUP(A89,Posters!A89:B1088,2)</f>
        <v>https://m.media-amazon.com/images/M/MV5BYmY3MzYwMGUtOWMxYS00OGVhLWFjNmUtYzlkNGVmY2ZkMjA3XkEyXkFqcGdeQXVyMTExNDQ2MTI@._V1_UY98_CR4,0,67,98_AL_.jpg</v>
      </c>
    </row>
    <row r="90">
      <c r="A90" s="1">
        <v>89.0</v>
      </c>
      <c r="B90" s="1" t="s">
        <v>670</v>
      </c>
      <c r="C90" s="2">
        <v>687185.0</v>
      </c>
      <c r="D90" s="1">
        <v>2012.0</v>
      </c>
      <c r="E90" s="1" t="s">
        <v>212</v>
      </c>
      <c r="F90" s="1" t="s">
        <v>563</v>
      </c>
      <c r="G90" s="1" t="s">
        <v>20</v>
      </c>
      <c r="H90" s="1">
        <v>8.3</v>
      </c>
      <c r="I90" s="1" t="s">
        <v>671</v>
      </c>
      <c r="J90" s="1">
        <v>77.0</v>
      </c>
      <c r="K90" s="1" t="s">
        <v>672</v>
      </c>
      <c r="L90" s="1" t="s">
        <v>673</v>
      </c>
      <c r="M90" s="1" t="s">
        <v>674</v>
      </c>
      <c r="N90" s="1" t="s">
        <v>675</v>
      </c>
      <c r="O90" s="1" t="s">
        <v>676</v>
      </c>
      <c r="P90" s="1">
        <v>281623.0</v>
      </c>
      <c r="Q90" s="3" t="str">
        <f>VLOOKUP(A90,Posters!A90:B1089,2)</f>
        <v>https://m.media-amazon.com/images/M/MV5BMTg2NDg3ODg4NF5BMl5BanBnXkFtZTcwNzk3NTc3Nw@@._V1_UY98_CR1,0,67,98_AL_.jpg</v>
      </c>
    </row>
    <row r="91">
      <c r="A91" s="1">
        <v>90.0</v>
      </c>
      <c r="B91" s="1" t="s">
        <v>677</v>
      </c>
      <c r="C91" s="2">
        <v>7098492.0</v>
      </c>
      <c r="D91" s="1">
        <v>2011.0</v>
      </c>
      <c r="E91" s="1" t="s">
        <v>161</v>
      </c>
      <c r="F91" s="1" t="s">
        <v>678</v>
      </c>
      <c r="G91" s="1" t="s">
        <v>20</v>
      </c>
      <c r="H91" s="1">
        <v>8.3</v>
      </c>
      <c r="I91" s="1" t="s">
        <v>679</v>
      </c>
      <c r="J91" s="1">
        <v>95.0</v>
      </c>
      <c r="K91" s="1" t="s">
        <v>680</v>
      </c>
      <c r="L91" s="1" t="s">
        <v>681</v>
      </c>
      <c r="M91" s="1" t="s">
        <v>682</v>
      </c>
      <c r="N91" s="1" t="s">
        <v>683</v>
      </c>
      <c r="O91" s="1" t="s">
        <v>684</v>
      </c>
      <c r="P91" s="1">
        <v>220002.0</v>
      </c>
      <c r="Q91" s="3" t="str">
        <f>VLOOKUP(A91,Posters!A91:B1090,2)</f>
        <v>https://m.media-amazon.com/images/M/MV5BN2JmMjViMjMtZTM5Mi00ZGZkLTk5YzctZDg5MjFjZDE4NjNkXkEyXkFqcGdeQXVyMTMxODk2OTU@._V1_UX67_CR0,0,67,98_AL_.jpg</v>
      </c>
    </row>
    <row r="92">
      <c r="A92" s="1">
        <v>91.0</v>
      </c>
      <c r="B92" s="1" t="s">
        <v>685</v>
      </c>
      <c r="C92" s="2">
        <v>6857096.0</v>
      </c>
      <c r="D92" s="1">
        <v>2010.0</v>
      </c>
      <c r="E92" s="1" t="s">
        <v>212</v>
      </c>
      <c r="F92" s="1" t="s">
        <v>686</v>
      </c>
      <c r="G92" s="1" t="s">
        <v>576</v>
      </c>
      <c r="H92" s="1">
        <v>8.3</v>
      </c>
      <c r="I92" s="1" t="s">
        <v>687</v>
      </c>
      <c r="J92" s="1">
        <v>80.0</v>
      </c>
      <c r="K92" s="1" t="s">
        <v>688</v>
      </c>
      <c r="L92" s="1" t="s">
        <v>689</v>
      </c>
      <c r="M92" s="1" t="s">
        <v>690</v>
      </c>
      <c r="N92" s="1" t="s">
        <v>691</v>
      </c>
      <c r="O92" s="1" t="s">
        <v>692</v>
      </c>
      <c r="P92" s="1">
        <v>150023.0</v>
      </c>
      <c r="Q92" s="3" t="str">
        <f>VLOOKUP(A92,Posters!A92:B1091,2)</f>
        <v>https://m.media-amazon.com/images/M/MV5BMWE3MGYzZjktY2Q5Mi00Y2NiLWIyYWUtMmIyNzA3YmZlMGFhXkEyXkFqcGdeQXVyMTMxODk2OTU@._V1_UX67_CR0,0,67,98_AL_.jpg</v>
      </c>
    </row>
    <row r="93">
      <c r="A93" s="1">
        <v>92.0</v>
      </c>
      <c r="B93" s="1" t="s">
        <v>693</v>
      </c>
      <c r="C93" s="2">
        <v>1.716366E7</v>
      </c>
      <c r="D93" s="1">
        <v>2019.0</v>
      </c>
      <c r="E93" s="1" t="s">
        <v>694</v>
      </c>
      <c r="F93" s="1" t="s">
        <v>170</v>
      </c>
      <c r="G93" s="1" t="s">
        <v>20</v>
      </c>
      <c r="H93" s="1">
        <v>8.3</v>
      </c>
      <c r="I93" s="1" t="s">
        <v>695</v>
      </c>
      <c r="K93" s="1" t="s">
        <v>696</v>
      </c>
      <c r="L93" s="1" t="s">
        <v>697</v>
      </c>
      <c r="M93" s="1" t="s">
        <v>698</v>
      </c>
      <c r="N93" s="1" t="s">
        <v>699</v>
      </c>
      <c r="O93" s="1" t="s">
        <v>700</v>
      </c>
      <c r="P93" s="1">
        <v>33935.0</v>
      </c>
      <c r="Q93" s="3" t="str">
        <f>VLOOKUP(A93,Posters!A93:B1092,2)</f>
        <v>https://m.media-amazon.com/images/M/MV5BOGE3N2QxN2YtM2ZlNS00MWIyLWE1NDAtYWFlN2FiYjY1MjczXkEyXkFqcGdeQXVyOTUwNzc0ODc@._V1_UY98_CR1,0,67,98_AL_.jpg</v>
      </c>
    </row>
    <row r="94">
      <c r="A94" s="1">
        <v>93.0</v>
      </c>
      <c r="B94" s="1" t="s">
        <v>701</v>
      </c>
      <c r="C94" s="2">
        <v>1.8612999E7</v>
      </c>
      <c r="D94" s="1">
        <v>2005.0</v>
      </c>
      <c r="E94" s="1" t="s">
        <v>270</v>
      </c>
      <c r="F94" s="1" t="s">
        <v>295</v>
      </c>
      <c r="G94" s="1" t="s">
        <v>513</v>
      </c>
      <c r="H94" s="1">
        <v>8.3</v>
      </c>
      <c r="I94" s="1" t="s">
        <v>702</v>
      </c>
      <c r="K94" s="1" t="s">
        <v>703</v>
      </c>
      <c r="L94" s="1" t="s">
        <v>439</v>
      </c>
      <c r="M94" s="1" t="s">
        <v>704</v>
      </c>
      <c r="N94" s="1" t="s">
        <v>705</v>
      </c>
      <c r="O94" s="1" t="s">
        <v>706</v>
      </c>
      <c r="P94" s="1">
        <v>78925.0</v>
      </c>
      <c r="Q94" s="3" t="str">
        <f>VLOOKUP(A94,Posters!A94:B1093,2)</f>
        <v>https://m.media-amazon.com/images/M/MV5BNjAzMzEwYzctNjc1MC00Nzg5LWFmMGItMTgzYmMyNTY2OTQ4XkEyXkFqcGdeQXVyNjU0OTQ0OTY@._V1_UY98_CR0,0,67,98_AL_.jpg</v>
      </c>
    </row>
    <row r="95">
      <c r="A95" s="1">
        <v>94.0</v>
      </c>
      <c r="B95" s="1" t="s">
        <v>707</v>
      </c>
      <c r="C95" s="2">
        <v>1.20540719E8</v>
      </c>
      <c r="D95" s="1">
        <v>2009.0</v>
      </c>
      <c r="E95" s="1" t="s">
        <v>18</v>
      </c>
      <c r="F95" s="1" t="s">
        <v>179</v>
      </c>
      <c r="G95" s="1" t="s">
        <v>708</v>
      </c>
      <c r="H95" s="1">
        <v>8.3</v>
      </c>
      <c r="I95" s="1" t="s">
        <v>709</v>
      </c>
      <c r="J95" s="1">
        <v>69.0</v>
      </c>
      <c r="K95" s="1" t="s">
        <v>72</v>
      </c>
      <c r="L95" s="1" t="s">
        <v>98</v>
      </c>
      <c r="M95" s="1" t="s">
        <v>710</v>
      </c>
      <c r="N95" s="1" t="s">
        <v>711</v>
      </c>
      <c r="O95" s="1" t="s">
        <v>712</v>
      </c>
      <c r="P95" s="1">
        <v>1267869.0</v>
      </c>
      <c r="Q95" s="3" t="str">
        <f>VLOOKUP(A95,Posters!A95:B1094,2)</f>
        <v>https://m.media-amazon.com/images/M/MV5BOTJiNDEzOWYtMTVjOC00ZjlmLWE0NGMtZmE1OWVmZDQ2OWJhXkEyXkFqcGdeQXVyNTIzOTk5ODM@._V1_UX67_CR0,0,67,98_AL_.jpg</v>
      </c>
    </row>
    <row r="96">
      <c r="A96" s="1">
        <v>95.0</v>
      </c>
      <c r="B96" s="1" t="s">
        <v>713</v>
      </c>
      <c r="C96" s="2">
        <v>3.4400301E7</v>
      </c>
      <c r="D96" s="1">
        <v>2004.0</v>
      </c>
      <c r="E96" s="1" t="s">
        <v>37</v>
      </c>
      <c r="F96" s="1" t="s">
        <v>714</v>
      </c>
      <c r="G96" s="1" t="s">
        <v>715</v>
      </c>
      <c r="H96" s="1">
        <v>8.3</v>
      </c>
      <c r="I96" s="1" t="s">
        <v>716</v>
      </c>
      <c r="J96" s="1">
        <v>89.0</v>
      </c>
      <c r="K96" s="1" t="s">
        <v>717</v>
      </c>
      <c r="L96" s="1" t="s">
        <v>718</v>
      </c>
      <c r="M96" s="1" t="s">
        <v>719</v>
      </c>
      <c r="N96" s="1" t="s">
        <v>720</v>
      </c>
      <c r="O96" s="1" t="s">
        <v>721</v>
      </c>
      <c r="P96" s="1">
        <v>911664.0</v>
      </c>
      <c r="Q96" s="3" t="str">
        <f>VLOOKUP(A96,Posters!A96:B1095,2)</f>
        <v>https://m.media-amazon.com/images/M/MV5BMTY4NzcwODg3Nl5BMl5BanBnXkFtZTcwNTEwOTMyMw@@._V1_UX67_CR0,0,67,98_AL_.jpg</v>
      </c>
    </row>
    <row r="97">
      <c r="A97" s="1">
        <v>96.0</v>
      </c>
      <c r="B97" s="1" t="s">
        <v>722</v>
      </c>
      <c r="C97" s="2">
        <v>3.3225499E7</v>
      </c>
      <c r="D97" s="1">
        <v>2001.0</v>
      </c>
      <c r="E97" s="1" t="s">
        <v>52</v>
      </c>
      <c r="F97" s="1" t="s">
        <v>279</v>
      </c>
      <c r="G97" s="1" t="s">
        <v>723</v>
      </c>
      <c r="H97" s="1">
        <v>8.3</v>
      </c>
      <c r="I97" s="1" t="s">
        <v>724</v>
      </c>
      <c r="J97" s="1">
        <v>69.0</v>
      </c>
      <c r="K97" s="1" t="s">
        <v>725</v>
      </c>
      <c r="L97" s="1" t="s">
        <v>726</v>
      </c>
      <c r="M97" s="1" t="s">
        <v>727</v>
      </c>
      <c r="N97" s="1" t="s">
        <v>728</v>
      </c>
      <c r="O97" s="1" t="s">
        <v>729</v>
      </c>
      <c r="P97" s="1">
        <v>703810.0</v>
      </c>
      <c r="Q97" s="3" t="str">
        <f>VLOOKUP(A97,Posters!A97:B1096,2)</f>
        <v>https://m.media-amazon.com/images/M/MV5BNDg4NjM1YjMtYmNhZC00MjM0LWFiZmYtNGY1YjA3MzZmODc5XkEyXkFqcGdeQXVyNDk3NzU2MTQ@._V1_UX67_CR0,0,67,98_AL_.jpg</v>
      </c>
    </row>
    <row r="98">
      <c r="A98" s="1">
        <v>97.0</v>
      </c>
      <c r="B98" s="1" t="s">
        <v>730</v>
      </c>
      <c r="C98" s="2">
        <v>3.0328156E7</v>
      </c>
      <c r="D98" s="1">
        <v>2000.0</v>
      </c>
      <c r="E98" s="1" t="s">
        <v>37</v>
      </c>
      <c r="F98" s="1" t="s">
        <v>647</v>
      </c>
      <c r="G98" s="1" t="s">
        <v>731</v>
      </c>
      <c r="H98" s="1">
        <v>8.3</v>
      </c>
      <c r="I98" s="1" t="s">
        <v>732</v>
      </c>
      <c r="J98" s="1">
        <v>55.0</v>
      </c>
      <c r="K98" s="1" t="s">
        <v>733</v>
      </c>
      <c r="L98" s="1" t="s">
        <v>734</v>
      </c>
      <c r="M98" s="1" t="s">
        <v>98</v>
      </c>
      <c r="N98" s="1" t="s">
        <v>735</v>
      </c>
      <c r="O98" s="1" t="s">
        <v>736</v>
      </c>
      <c r="P98" s="1">
        <v>782001.0</v>
      </c>
      <c r="Q98" s="3" t="str">
        <f>VLOOKUP(A98,Posters!A98:B1097,2)</f>
        <v>https://m.media-amazon.com/images/M/MV5BMTA2NDYxOGYtYjU1Mi00Y2QzLTgxMTQtMWI1MGI0ZGQ5MmU4XkEyXkFqcGdeQXVyNDk3NzU2MTQ@._V1_UY98_CR0,0,67,98_AL_.jpg</v>
      </c>
    </row>
    <row r="99">
      <c r="A99" s="1">
        <v>98.0</v>
      </c>
      <c r="B99" s="1" t="s">
        <v>737</v>
      </c>
      <c r="C99" s="2">
        <v>3635482.0</v>
      </c>
      <c r="D99" s="1">
        <v>2000.0</v>
      </c>
      <c r="E99" s="1" t="s">
        <v>18</v>
      </c>
      <c r="F99" s="1" t="s">
        <v>405</v>
      </c>
      <c r="G99" s="1" t="s">
        <v>20</v>
      </c>
      <c r="H99" s="1">
        <v>8.3</v>
      </c>
      <c r="I99" s="1" t="s">
        <v>738</v>
      </c>
      <c r="J99" s="1">
        <v>68.0</v>
      </c>
      <c r="K99" s="1" t="s">
        <v>739</v>
      </c>
      <c r="L99" s="1" t="s">
        <v>740</v>
      </c>
      <c r="M99" s="1" t="s">
        <v>741</v>
      </c>
      <c r="N99" s="1" t="s">
        <v>742</v>
      </c>
      <c r="O99" s="1" t="s">
        <v>743</v>
      </c>
      <c r="P99" s="1">
        <v>766870.0</v>
      </c>
      <c r="Q99" s="3" t="str">
        <f>VLOOKUP(A99,Posters!A99:B1098,2)</f>
        <v>https://m.media-amazon.com/images/M/MV5BOTdiNzJlOWUtNWMwNS00NmFlLWI0YTEtZmI3YjIzZWUyY2Y3XkEyXkFqcGdeQXVyNjU0OTQ0OTY@._V1_UX67_CR0,0,67,98_AL_.jpg</v>
      </c>
    </row>
    <row r="100">
      <c r="A100" s="1">
        <v>99.0</v>
      </c>
      <c r="B100" s="1" t="s">
        <v>744</v>
      </c>
      <c r="C100" s="2">
        <v>1.30096601E8</v>
      </c>
      <c r="D100" s="1">
        <v>1999.0</v>
      </c>
      <c r="E100" s="1" t="s">
        <v>37</v>
      </c>
      <c r="F100" s="1" t="s">
        <v>279</v>
      </c>
      <c r="G100" s="1" t="s">
        <v>20</v>
      </c>
      <c r="H100" s="1">
        <v>8.3</v>
      </c>
      <c r="I100" s="1" t="s">
        <v>745</v>
      </c>
      <c r="J100" s="1">
        <v>84.0</v>
      </c>
      <c r="K100" s="1" t="s">
        <v>641</v>
      </c>
      <c r="L100" s="1" t="s">
        <v>237</v>
      </c>
      <c r="M100" s="1" t="s">
        <v>746</v>
      </c>
      <c r="N100" s="1" t="s">
        <v>747</v>
      </c>
      <c r="O100" s="1" t="s">
        <v>748</v>
      </c>
      <c r="P100" s="1">
        <v>1069738.0</v>
      </c>
      <c r="Q100" s="3" t="str">
        <f>VLOOKUP(A100,Posters!A100:B1099,2)</f>
        <v>https://m.media-amazon.com/images/M/MV5BNTBmZWJkNjctNDhiNC00MGE2LWEwOTctZTk5OGVhMWMyNmVhXkEyXkFqcGdeQXVyMTMxODk2OTU@._V1_UX67_CR0,0,67,98_AL_.jpg</v>
      </c>
    </row>
    <row r="101">
      <c r="A101" s="1">
        <v>100.0</v>
      </c>
      <c r="B101" s="1" t="s">
        <v>749</v>
      </c>
      <c r="C101" s="2">
        <v>1.38433435E8</v>
      </c>
      <c r="D101" s="1">
        <v>1997.0</v>
      </c>
      <c r="E101" s="1" t="s">
        <v>52</v>
      </c>
      <c r="F101" s="1" t="s">
        <v>428</v>
      </c>
      <c r="G101" s="1" t="s">
        <v>107</v>
      </c>
      <c r="H101" s="1">
        <v>8.3</v>
      </c>
      <c r="I101" s="1" t="s">
        <v>750</v>
      </c>
      <c r="J101" s="1">
        <v>70.0</v>
      </c>
      <c r="K101" s="1" t="s">
        <v>751</v>
      </c>
      <c r="L101" s="1" t="s">
        <v>752</v>
      </c>
      <c r="M101" s="1" t="s">
        <v>215</v>
      </c>
      <c r="N101" s="1" t="s">
        <v>753</v>
      </c>
      <c r="O101" s="1" t="s">
        <v>754</v>
      </c>
      <c r="P101" s="1">
        <v>861606.0</v>
      </c>
      <c r="Q101" s="3" t="str">
        <f>VLOOKUP(A101,Posters!A101:B1100,2)</f>
        <v>https://m.media-amazon.com/images/M/MV5BOTI0MzcxMTYtZDVkMy00NjY1LTgyMTYtZmUxN2M3NmQ2NWJhXkEyXkFqcGdeQXVyMTQxNzMzNDI@._V1_UX67_CR0,0,67,98_AL_.jpg</v>
      </c>
    </row>
    <row r="102">
      <c r="A102" s="1">
        <v>101.0</v>
      </c>
      <c r="B102" s="1" t="s">
        <v>755</v>
      </c>
      <c r="C102" s="2">
        <v>933933.0</v>
      </c>
      <c r="D102" s="1">
        <v>1997.0</v>
      </c>
      <c r="E102" s="1" t="s">
        <v>270</v>
      </c>
      <c r="F102" s="1" t="s">
        <v>374</v>
      </c>
      <c r="G102" s="1" t="s">
        <v>756</v>
      </c>
      <c r="H102" s="1">
        <v>8.3</v>
      </c>
      <c r="I102" s="1" t="s">
        <v>757</v>
      </c>
      <c r="J102" s="1">
        <v>77.0</v>
      </c>
      <c r="K102" s="1" t="s">
        <v>758</v>
      </c>
      <c r="L102" s="1" t="s">
        <v>759</v>
      </c>
      <c r="M102" s="1" t="s">
        <v>760</v>
      </c>
      <c r="N102" s="1" t="s">
        <v>761</v>
      </c>
      <c r="O102" s="1" t="s">
        <v>762</v>
      </c>
      <c r="P102" s="1">
        <v>65341.0</v>
      </c>
      <c r="Q102" s="3" t="str">
        <f>VLOOKUP(A102,Posters!A102:B1101,2)</f>
        <v>https://m.media-amazon.com/images/M/MV5BZTYwZWQ4ZTQtZWU0MS00N2YwLWEzMDItZWFkZWY0MWVjODVhXkEyXkFqcGdeQXVyNjU0OTQ0OTY@._V1_UX67_CR0,0,67,98_AL_.jpg</v>
      </c>
    </row>
    <row r="103">
      <c r="A103" s="1">
        <v>102.0</v>
      </c>
      <c r="B103" s="1" t="s">
        <v>763</v>
      </c>
      <c r="C103" s="2">
        <v>1.91796233E8</v>
      </c>
      <c r="D103" s="1">
        <v>1995.0</v>
      </c>
      <c r="E103" s="1" t="s">
        <v>52</v>
      </c>
      <c r="F103" s="1" t="s">
        <v>764</v>
      </c>
      <c r="G103" s="1" t="s">
        <v>765</v>
      </c>
      <c r="H103" s="1">
        <v>8.3</v>
      </c>
      <c r="I103" s="1" t="s">
        <v>766</v>
      </c>
      <c r="J103" s="1">
        <v>95.0</v>
      </c>
      <c r="K103" s="1" t="s">
        <v>767</v>
      </c>
      <c r="L103" s="1" t="s">
        <v>110</v>
      </c>
      <c r="M103" s="1" t="s">
        <v>768</v>
      </c>
      <c r="N103" s="1" t="s">
        <v>769</v>
      </c>
      <c r="O103" s="1" t="s">
        <v>770</v>
      </c>
      <c r="P103" s="1">
        <v>887429.0</v>
      </c>
      <c r="Q103" s="3" t="str">
        <f>VLOOKUP(A103,Posters!A103:B1102,2)</f>
        <v>https://m.media-amazon.com/images/M/MV5BMDU2ZWJlMjktMTRhMy00ZTA5LWEzNDgtYmNmZTEwZTViZWJkXkEyXkFqcGdeQXVyNDQ2OTk4MzI@._V1_UX67_CR0,0,67,98_AL_.jpg</v>
      </c>
    </row>
    <row r="104">
      <c r="A104" s="1">
        <v>103.0</v>
      </c>
      <c r="B104" s="1" t="s">
        <v>771</v>
      </c>
      <c r="C104" s="2">
        <v>7.56E7</v>
      </c>
      <c r="D104" s="1">
        <v>1995.0</v>
      </c>
      <c r="E104" s="1" t="s">
        <v>18</v>
      </c>
      <c r="F104" s="1" t="s">
        <v>103</v>
      </c>
      <c r="G104" s="1" t="s">
        <v>79</v>
      </c>
      <c r="H104" s="1">
        <v>8.3</v>
      </c>
      <c r="I104" s="1" t="s">
        <v>772</v>
      </c>
      <c r="J104" s="1">
        <v>68.0</v>
      </c>
      <c r="K104" s="1" t="s">
        <v>773</v>
      </c>
      <c r="L104" s="1" t="s">
        <v>773</v>
      </c>
      <c r="M104" s="1" t="s">
        <v>774</v>
      </c>
      <c r="N104" s="1" t="s">
        <v>775</v>
      </c>
      <c r="O104" s="1" t="s">
        <v>776</v>
      </c>
      <c r="P104" s="1">
        <v>959181.0</v>
      </c>
      <c r="Q104" s="3" t="str">
        <f>VLOOKUP(A104,Posters!A104:B1103,2)</f>
        <v>https://m.media-amazon.com/images/M/MV5BMzkzMmU0YTYtOWM3My00YzBmLWI0YzctOGYyNTkwMWE5MTJkXkEyXkFqcGdeQXVyNzkwMjQ5NzM@._V1_UX67_CR0,0,67,98_AL_.jpg</v>
      </c>
    </row>
    <row r="105">
      <c r="A105" s="1">
        <v>104.0</v>
      </c>
      <c r="B105" s="1" t="s">
        <v>777</v>
      </c>
      <c r="C105" s="2">
        <v>2832029.0</v>
      </c>
      <c r="D105" s="1">
        <v>1992.0</v>
      </c>
      <c r="E105" s="1" t="s">
        <v>212</v>
      </c>
      <c r="F105" s="1" t="s">
        <v>778</v>
      </c>
      <c r="G105" s="1" t="s">
        <v>241</v>
      </c>
      <c r="H105" s="1">
        <v>8.3</v>
      </c>
      <c r="I105" s="1" t="s">
        <v>779</v>
      </c>
      <c r="J105" s="1">
        <v>79.0</v>
      </c>
      <c r="K105" s="1" t="s">
        <v>72</v>
      </c>
      <c r="L105" s="1" t="s">
        <v>780</v>
      </c>
      <c r="M105" s="1" t="s">
        <v>781</v>
      </c>
      <c r="N105" s="1" t="s">
        <v>782</v>
      </c>
      <c r="O105" s="1" t="s">
        <v>783</v>
      </c>
      <c r="P105" s="1">
        <v>918562.0</v>
      </c>
      <c r="Q105" s="3" t="str">
        <f>VLOOKUP(A105,Posters!A105:B1104,2)</f>
        <v>https://m.media-amazon.com/images/M/MV5BZmExNmEwYWItYmQzOS00YjA5LTk2MjktZjEyZDE1Y2QxNjA1XkEyXkFqcGdeQXVyMTQxNzMzNDI@._V1_UX67_CR0,0,67,98_AL_.jpg</v>
      </c>
    </row>
    <row r="106">
      <c r="A106" s="1">
        <v>105.0</v>
      </c>
      <c r="B106" s="1" t="s">
        <v>784</v>
      </c>
      <c r="C106" s="2">
        <v>4.6357676E7</v>
      </c>
      <c r="D106" s="1">
        <v>1987.0</v>
      </c>
      <c r="E106" s="1" t="s">
        <v>37</v>
      </c>
      <c r="F106" s="1" t="s">
        <v>226</v>
      </c>
      <c r="G106" s="1" t="s">
        <v>213</v>
      </c>
      <c r="H106" s="1">
        <v>8.3</v>
      </c>
      <c r="I106" s="1" t="s">
        <v>785</v>
      </c>
      <c r="J106" s="1">
        <v>76.0</v>
      </c>
      <c r="K106" s="1" t="s">
        <v>571</v>
      </c>
      <c r="L106" s="1" t="s">
        <v>786</v>
      </c>
      <c r="M106" s="1" t="s">
        <v>787</v>
      </c>
      <c r="N106" s="1" t="s">
        <v>788</v>
      </c>
      <c r="O106" s="1" t="s">
        <v>789</v>
      </c>
      <c r="P106" s="1">
        <v>675146.0</v>
      </c>
      <c r="Q106" s="3" t="str">
        <f>VLOOKUP(A106,Posters!A106:B1105,2)</f>
        <v>https://m.media-amazon.com/images/M/MV5BNzkxODk0NjEtYjc4Mi00ZDI0LTgyYjEtYzc1NDkxY2YzYTgyXkEyXkFqcGdeQXVyNzkwMjQ5NzM@._V1_UX67_CR0,0,67,98_AL_.jpg</v>
      </c>
    </row>
    <row r="107">
      <c r="A107" s="1">
        <v>106.0</v>
      </c>
      <c r="B107" s="1" t="s">
        <v>790</v>
      </c>
      <c r="C107" s="2">
        <v>71909.0</v>
      </c>
      <c r="D107" s="1">
        <v>1985.0</v>
      </c>
      <c r="E107" s="1" t="s">
        <v>18</v>
      </c>
      <c r="F107" s="1" t="s">
        <v>19</v>
      </c>
      <c r="G107" s="1" t="s">
        <v>639</v>
      </c>
      <c r="H107" s="1">
        <v>8.3</v>
      </c>
      <c r="I107" s="1" t="s">
        <v>791</v>
      </c>
      <c r="K107" s="1" t="s">
        <v>792</v>
      </c>
      <c r="L107" s="1" t="s">
        <v>793</v>
      </c>
      <c r="M107" s="1" t="s">
        <v>794</v>
      </c>
      <c r="N107" s="1" t="s">
        <v>795</v>
      </c>
      <c r="O107" s="1" t="s">
        <v>796</v>
      </c>
      <c r="P107" s="1">
        <v>59056.0</v>
      </c>
      <c r="Q107" s="3" t="str">
        <f>VLOOKUP(A107,Posters!A107:B1106,2)</f>
        <v>https://m.media-amazon.com/images/M/MV5BODM4Njg0NTAtYjI5Ny00ZjAxLTkwNmItZTMxMWU5M2U3M2RjXkEyXkFqcGdeQXVyNzkwMjQ5NzM@._V1_UX67_CR0,0,67,98_AL_.jpg</v>
      </c>
    </row>
    <row r="108">
      <c r="A108" s="1">
        <v>107.0</v>
      </c>
      <c r="B108" s="1" t="s">
        <v>797</v>
      </c>
      <c r="C108" s="2">
        <v>8.5160248E7</v>
      </c>
      <c r="D108" s="1">
        <v>1986.0</v>
      </c>
      <c r="E108" s="1" t="s">
        <v>52</v>
      </c>
      <c r="F108" s="1" t="s">
        <v>360</v>
      </c>
      <c r="G108" s="1" t="s">
        <v>88</v>
      </c>
      <c r="H108" s="1">
        <v>8.3</v>
      </c>
      <c r="I108" s="1" t="s">
        <v>798</v>
      </c>
      <c r="J108" s="1">
        <v>84.0</v>
      </c>
      <c r="K108" s="1" t="s">
        <v>362</v>
      </c>
      <c r="L108" s="1" t="s">
        <v>583</v>
      </c>
      <c r="M108" s="1" t="s">
        <v>799</v>
      </c>
      <c r="N108" s="1" t="s">
        <v>800</v>
      </c>
      <c r="O108" s="1" t="s">
        <v>293</v>
      </c>
      <c r="P108" s="1">
        <v>652719.0</v>
      </c>
      <c r="Q108" s="3" t="str">
        <f>VLOOKUP(A108,Posters!A108:B1107,2)</f>
        <v>https://m.media-amazon.com/images/M/MV5BZGU2OGY5ZTYtMWNhYy00NjZiLWI0NjUtZmNhY2JhNDRmODU3XkEyXkFqcGdeQXVyNzkwMjQ5NzM@._V1_UX67_CR0,0,67,98_AL_.jpg</v>
      </c>
    </row>
    <row r="109">
      <c r="A109" s="1">
        <v>108.0</v>
      </c>
      <c r="B109" s="1" t="s">
        <v>801</v>
      </c>
      <c r="C109" s="2">
        <v>5.1973029E7</v>
      </c>
      <c r="D109" s="1">
        <v>1984.0</v>
      </c>
      <c r="E109" s="1" t="s">
        <v>212</v>
      </c>
      <c r="F109" s="1" t="s">
        <v>162</v>
      </c>
      <c r="G109" s="1" t="s">
        <v>79</v>
      </c>
      <c r="H109" s="1">
        <v>8.3</v>
      </c>
      <c r="I109" s="1" t="s">
        <v>802</v>
      </c>
      <c r="J109" s="1">
        <v>88.0</v>
      </c>
      <c r="K109" s="1" t="s">
        <v>155</v>
      </c>
      <c r="L109" s="1" t="s">
        <v>803</v>
      </c>
      <c r="M109" s="1" t="s">
        <v>804</v>
      </c>
      <c r="N109" s="1" t="s">
        <v>805</v>
      </c>
      <c r="O109" s="1" t="s">
        <v>806</v>
      </c>
      <c r="P109" s="1">
        <v>369007.0</v>
      </c>
      <c r="Q109" s="3" t="str">
        <f>VLOOKUP(A109,Posters!A109:B1108,2)</f>
        <v>https://m.media-amazon.com/images/M/MV5BNWJlNzUzNGMtYTAwMS00ZjI2LWFmNWQtODcxNWUxODA5YmU1XkEyXkFqcGdeQXVyNTIzOTk5ODM@._V1_UX67_CR0,0,67,98_AL_.jpg</v>
      </c>
    </row>
    <row r="110">
      <c r="A110" s="1">
        <v>109.0</v>
      </c>
      <c r="B110" s="1" t="s">
        <v>807</v>
      </c>
      <c r="C110" s="2">
        <v>4.5598982E7</v>
      </c>
      <c r="D110" s="1">
        <v>1983.0</v>
      </c>
      <c r="E110" s="1" t="s">
        <v>18</v>
      </c>
      <c r="F110" s="1" t="s">
        <v>506</v>
      </c>
      <c r="G110" s="1" t="s">
        <v>29</v>
      </c>
      <c r="H110" s="1">
        <v>8.3</v>
      </c>
      <c r="I110" s="1" t="s">
        <v>808</v>
      </c>
      <c r="J110" s="1">
        <v>65.0</v>
      </c>
      <c r="K110" s="1" t="s">
        <v>809</v>
      </c>
      <c r="L110" s="1" t="s">
        <v>33</v>
      </c>
      <c r="M110" s="1" t="s">
        <v>810</v>
      </c>
      <c r="N110" s="1" t="s">
        <v>811</v>
      </c>
      <c r="O110" s="1" t="s">
        <v>812</v>
      </c>
      <c r="P110" s="1">
        <v>740911.0</v>
      </c>
      <c r="Q110" s="3" t="str">
        <f>VLOOKUP(A110,Posters!A110:B1109,2)</f>
        <v>https://m.media-amazon.com/images/M/MV5BNjdjNGQ4NDEtNTEwYS00MTgxLTliYzQtYzE2ZDRiZjFhZmNlXkEyXkFqcGdeQXVyNjU0OTQ0OTY@._V1_UX67_CR0,0,67,98_AL_.jpg</v>
      </c>
    </row>
    <row r="111">
      <c r="A111" s="1">
        <v>110.0</v>
      </c>
      <c r="B111" s="1" t="s">
        <v>813</v>
      </c>
      <c r="C111" s="2">
        <v>3.09125409E8</v>
      </c>
      <c r="D111" s="1">
        <v>1983.0</v>
      </c>
      <c r="E111" s="1" t="s">
        <v>52</v>
      </c>
      <c r="F111" s="1" t="s">
        <v>686</v>
      </c>
      <c r="G111" s="1" t="s">
        <v>145</v>
      </c>
      <c r="H111" s="1">
        <v>8.3</v>
      </c>
      <c r="I111" s="1" t="s">
        <v>814</v>
      </c>
      <c r="J111" s="1">
        <v>58.0</v>
      </c>
      <c r="K111" s="1" t="s">
        <v>815</v>
      </c>
      <c r="L111" s="1" t="s">
        <v>148</v>
      </c>
      <c r="M111" s="1" t="s">
        <v>149</v>
      </c>
      <c r="N111" s="1" t="s">
        <v>150</v>
      </c>
      <c r="O111" s="1" t="s">
        <v>151</v>
      </c>
      <c r="P111" s="1">
        <v>950470.0</v>
      </c>
      <c r="Q111" s="3" t="str">
        <f>VLOOKUP(A111,Posters!A111:B1110,2)</f>
        <v>https://m.media-amazon.com/images/M/MV5BOWZlMjFiYzgtMTUzNC00Y2IzLTk1NTMtZmNhMTczNTk0ODk1XkEyXkFqcGdeQXVyNTAyODkwOQ@@._V1_UX67_CR0,0,67,98_AL_.jpg</v>
      </c>
    </row>
    <row r="112">
      <c r="A112" s="1">
        <v>111.0</v>
      </c>
      <c r="B112" s="1" t="s">
        <v>816</v>
      </c>
      <c r="C112" s="2">
        <v>1.1487676E7</v>
      </c>
      <c r="D112" s="1">
        <v>1981.0</v>
      </c>
      <c r="E112" s="1" t="s">
        <v>212</v>
      </c>
      <c r="F112" s="1" t="s">
        <v>483</v>
      </c>
      <c r="G112" s="1" t="s">
        <v>817</v>
      </c>
      <c r="H112" s="1">
        <v>8.3</v>
      </c>
      <c r="I112" s="1" t="s">
        <v>818</v>
      </c>
      <c r="J112" s="1">
        <v>86.0</v>
      </c>
      <c r="K112" s="1" t="s">
        <v>819</v>
      </c>
      <c r="L112" s="1" t="s">
        <v>820</v>
      </c>
      <c r="M112" s="1" t="s">
        <v>821</v>
      </c>
      <c r="N112" s="1" t="s">
        <v>822</v>
      </c>
      <c r="O112" s="1" t="s">
        <v>823</v>
      </c>
      <c r="P112" s="1">
        <v>231855.0</v>
      </c>
      <c r="Q112" s="3" t="str">
        <f>VLOOKUP(A112,Posters!A112:B1111,2)</f>
        <v>https://m.media-amazon.com/images/M/MV5BOGZhZDIzNWMtNjkxMS00MDQ1LThkMTYtZWQzYWU3MWMxMGU5XkEyXkFqcGdeQXVyNjc1NTYyMjg@._V1_UX67_CR0,0,67,98_AL_.jpg</v>
      </c>
    </row>
    <row r="113">
      <c r="A113" s="1">
        <v>112.0</v>
      </c>
      <c r="B113" s="1" t="s">
        <v>824</v>
      </c>
      <c r="C113" s="2">
        <v>2.8262574E7</v>
      </c>
      <c r="D113" s="1">
        <v>1976.0</v>
      </c>
      <c r="E113" s="1" t="s">
        <v>18</v>
      </c>
      <c r="F113" s="1" t="s">
        <v>825</v>
      </c>
      <c r="G113" s="1" t="s">
        <v>29</v>
      </c>
      <c r="H113" s="1">
        <v>8.3</v>
      </c>
      <c r="I113" s="1" t="s">
        <v>826</v>
      </c>
      <c r="J113" s="1">
        <v>94.0</v>
      </c>
      <c r="K113" s="1" t="s">
        <v>139</v>
      </c>
      <c r="L113" s="1" t="s">
        <v>49</v>
      </c>
      <c r="M113" s="1" t="s">
        <v>244</v>
      </c>
      <c r="N113" s="1" t="s">
        <v>827</v>
      </c>
      <c r="O113" s="1" t="s">
        <v>828</v>
      </c>
      <c r="P113" s="1">
        <v>724636.0</v>
      </c>
      <c r="Q113" s="3" t="str">
        <f>VLOOKUP(A113,Posters!A113:B1112,2)</f>
        <v>https://m.media-amazon.com/images/M/MV5BM2M1MmVhNDgtNmI0YS00ZDNmLTkyNjctNTJiYTQ2N2NmYzc2XkEyXkFqcGdeQXVyNzkwMjQ5NzM@._V1_UX67_CR0,0,67,98_AL_.jpg</v>
      </c>
    </row>
    <row r="114">
      <c r="A114" s="1">
        <v>113.0</v>
      </c>
      <c r="B114" s="1" t="s">
        <v>829</v>
      </c>
      <c r="C114" s="2">
        <v>1.596E8</v>
      </c>
      <c r="D114" s="1">
        <v>1973.0</v>
      </c>
      <c r="E114" s="1" t="s">
        <v>52</v>
      </c>
      <c r="F114" s="1" t="s">
        <v>830</v>
      </c>
      <c r="G114" s="1" t="s">
        <v>831</v>
      </c>
      <c r="H114" s="1">
        <v>8.3</v>
      </c>
      <c r="I114" s="1" t="s">
        <v>832</v>
      </c>
      <c r="J114" s="1">
        <v>83.0</v>
      </c>
      <c r="K114" s="1" t="s">
        <v>833</v>
      </c>
      <c r="L114" s="1" t="s">
        <v>834</v>
      </c>
      <c r="M114" s="1" t="s">
        <v>835</v>
      </c>
      <c r="N114" s="1" t="s">
        <v>836</v>
      </c>
      <c r="O114" s="1" t="s">
        <v>837</v>
      </c>
      <c r="P114" s="1">
        <v>241513.0</v>
      </c>
      <c r="Q114" s="3" t="str">
        <f>VLOOKUP(A114,Posters!A114:B1113,2)</f>
        <v>https://m.media-amazon.com/images/M/MV5BNGU3NjQ4YTMtZGJjOS00YTQ3LThmNmItMTI5MDE2ODI3NzY3XkEyXkFqcGdeQXVyMjUzOTY1NTc@._V1_UX67_CR0,0,67,98_AL_.jpg</v>
      </c>
    </row>
    <row r="115">
      <c r="A115" s="1">
        <v>114.0</v>
      </c>
      <c r="B115" s="1" t="s">
        <v>838</v>
      </c>
      <c r="C115" s="2">
        <v>6207725.0</v>
      </c>
      <c r="D115" s="1">
        <v>1971.0</v>
      </c>
      <c r="E115" s="1" t="s">
        <v>18</v>
      </c>
      <c r="F115" s="1" t="s">
        <v>127</v>
      </c>
      <c r="G115" s="1" t="s">
        <v>839</v>
      </c>
      <c r="H115" s="1">
        <v>8.3</v>
      </c>
      <c r="I115" s="1" t="s">
        <v>840</v>
      </c>
      <c r="J115" s="1">
        <v>77.0</v>
      </c>
      <c r="K115" s="1" t="s">
        <v>571</v>
      </c>
      <c r="L115" s="1" t="s">
        <v>841</v>
      </c>
      <c r="M115" s="1" t="s">
        <v>842</v>
      </c>
      <c r="N115" s="1" t="s">
        <v>843</v>
      </c>
      <c r="O115" s="1" t="s">
        <v>844</v>
      </c>
      <c r="P115" s="1">
        <v>757904.0</v>
      </c>
      <c r="Q115" s="3" t="str">
        <f>VLOOKUP(A115,Posters!A115:B1114,2)</f>
        <v>https://m.media-amazon.com/images/M/MV5BMTY3MjM1Mzc4N15BMl5BanBnXkFtZTgwODM0NzAxMDE@._V1_UX67_CR0,0,67,98_AL_.jpg</v>
      </c>
    </row>
    <row r="116">
      <c r="A116" s="1">
        <v>115.0</v>
      </c>
      <c r="B116" s="1" t="s">
        <v>845</v>
      </c>
      <c r="C116" s="2">
        <v>5.6954992E7</v>
      </c>
      <c r="D116" s="1">
        <v>1968.0</v>
      </c>
      <c r="E116" s="1" t="s">
        <v>52</v>
      </c>
      <c r="F116" s="1" t="s">
        <v>483</v>
      </c>
      <c r="G116" s="1" t="s">
        <v>846</v>
      </c>
      <c r="H116" s="1">
        <v>8.3</v>
      </c>
      <c r="I116" s="1" t="s">
        <v>847</v>
      </c>
      <c r="J116" s="1">
        <v>84.0</v>
      </c>
      <c r="K116" s="1" t="s">
        <v>571</v>
      </c>
      <c r="L116" s="1" t="s">
        <v>848</v>
      </c>
      <c r="M116" s="1" t="s">
        <v>849</v>
      </c>
      <c r="N116" s="1" t="s">
        <v>850</v>
      </c>
      <c r="O116" s="1" t="s">
        <v>851</v>
      </c>
      <c r="P116" s="1">
        <v>603517.0</v>
      </c>
      <c r="Q116" s="3" t="str">
        <f>VLOOKUP(A116,Posters!A116:B1115,2)</f>
        <v>https://m.media-amazon.com/images/M/MV5BMmNlYzRiNDctZWNhMi00MzI4LThkZTctMTUzMmZkMmFmNThmXkEyXkFqcGdeQXVyNzkwMjQ5NzM@._V1_UX67_CR0,0,67,98_AL_.jpg</v>
      </c>
    </row>
    <row r="117">
      <c r="A117" s="1">
        <v>116.0</v>
      </c>
      <c r="B117" s="1" t="s">
        <v>852</v>
      </c>
      <c r="C117" s="2">
        <v>1.5E7</v>
      </c>
      <c r="D117" s="1">
        <v>1965.0</v>
      </c>
      <c r="E117" s="1" t="s">
        <v>52</v>
      </c>
      <c r="F117" s="1" t="s">
        <v>170</v>
      </c>
      <c r="G117" s="1" t="s">
        <v>116</v>
      </c>
      <c r="H117" s="1">
        <v>8.3</v>
      </c>
      <c r="I117" s="1" t="s">
        <v>853</v>
      </c>
      <c r="J117" s="1">
        <v>74.0</v>
      </c>
      <c r="K117" s="1" t="s">
        <v>118</v>
      </c>
      <c r="L117" s="1" t="s">
        <v>119</v>
      </c>
      <c r="M117" s="1" t="s">
        <v>121</v>
      </c>
      <c r="N117" s="1" t="s">
        <v>854</v>
      </c>
      <c r="O117" s="1" t="s">
        <v>855</v>
      </c>
      <c r="P117" s="1">
        <v>232772.0</v>
      </c>
      <c r="Q117" s="3" t="str">
        <f>VLOOKUP(A117,Posters!A117:B1116,2)</f>
        <v>https://m.media-amazon.com/images/M/MV5BNWM1NmYyM2ItMTFhNy00NDU0LThlYWUtYjQyYTJmOTY0ZmM0XkEyXkFqcGdeQXVyNjU0OTQ0OTY@._V1_UX67_CR0,0,67,98_AL_.jpg</v>
      </c>
    </row>
    <row r="118">
      <c r="A118" s="1">
        <v>117.0</v>
      </c>
      <c r="B118" s="1" t="s">
        <v>856</v>
      </c>
      <c r="C118" s="2">
        <v>4.4824144E7</v>
      </c>
      <c r="D118" s="1">
        <v>1962.0</v>
      </c>
      <c r="E118" s="1" t="s">
        <v>52</v>
      </c>
      <c r="F118" s="1" t="s">
        <v>857</v>
      </c>
      <c r="G118" s="1" t="s">
        <v>858</v>
      </c>
      <c r="H118" s="1">
        <v>8.3</v>
      </c>
      <c r="I118" s="1" t="s">
        <v>859</v>
      </c>
      <c r="J118" s="1">
        <v>100.0</v>
      </c>
      <c r="K118" s="1" t="s">
        <v>860</v>
      </c>
      <c r="L118" s="1" t="s">
        <v>861</v>
      </c>
      <c r="M118" s="1" t="s">
        <v>252</v>
      </c>
      <c r="N118" s="1" t="s">
        <v>862</v>
      </c>
      <c r="O118" s="1" t="s">
        <v>863</v>
      </c>
      <c r="P118" s="1">
        <v>268085.0</v>
      </c>
      <c r="Q118" s="3" t="str">
        <f>VLOOKUP(A118,Posters!A118:B1117,2)</f>
        <v>https://m.media-amazon.com/images/M/MV5BYWY5ZjhjNGYtZmI2Ny00ODM0LWFkNzgtZmI1YzA2N2MxMzA0XkEyXkFqcGdeQXVyNjUwNzk3NDc@._V1_UY98_CR0,0,67,98_AL_.jpg</v>
      </c>
    </row>
    <row r="119">
      <c r="A119" s="1">
        <v>118.0</v>
      </c>
      <c r="B119" s="1" t="s">
        <v>864</v>
      </c>
      <c r="C119" s="2">
        <v>1.86E7</v>
      </c>
      <c r="D119" s="1">
        <v>1960.0</v>
      </c>
      <c r="E119" s="1" t="s">
        <v>52</v>
      </c>
      <c r="F119" s="1" t="s">
        <v>203</v>
      </c>
      <c r="G119" s="1" t="s">
        <v>227</v>
      </c>
      <c r="H119" s="1">
        <v>8.3</v>
      </c>
      <c r="I119" s="1" t="s">
        <v>865</v>
      </c>
      <c r="J119" s="1">
        <v>94.0</v>
      </c>
      <c r="K119" s="1" t="s">
        <v>610</v>
      </c>
      <c r="L119" s="1" t="s">
        <v>866</v>
      </c>
      <c r="M119" s="1" t="s">
        <v>867</v>
      </c>
      <c r="N119" s="1" t="s">
        <v>868</v>
      </c>
      <c r="O119" s="1" t="s">
        <v>869</v>
      </c>
      <c r="P119" s="1">
        <v>164363.0</v>
      </c>
      <c r="Q119" s="3" t="str">
        <f>VLOOKUP(A119,Posters!A119:B1118,2)</f>
        <v>https://m.media-amazon.com/images/M/MV5BNzkwODFjNzItMmMwNi00MTU5LWE2MzktM2M4ZDczZGM1MmViXkEyXkFqcGdeQXVyNDY2MTk1ODk@._V1_UX67_CR0,0,67,98_AL_.jpg</v>
      </c>
    </row>
    <row r="120">
      <c r="A120" s="1">
        <v>119.0</v>
      </c>
      <c r="B120" s="1" t="s">
        <v>870</v>
      </c>
      <c r="C120" s="2">
        <v>1.3275E7</v>
      </c>
      <c r="D120" s="1">
        <v>1959.0</v>
      </c>
      <c r="E120" s="1" t="s">
        <v>52</v>
      </c>
      <c r="F120" s="1" t="s">
        <v>127</v>
      </c>
      <c r="G120" s="1" t="s">
        <v>871</v>
      </c>
      <c r="H120" s="1">
        <v>8.3</v>
      </c>
      <c r="I120" s="1" t="s">
        <v>872</v>
      </c>
      <c r="J120" s="1">
        <v>98.0</v>
      </c>
      <c r="K120" s="1" t="s">
        <v>399</v>
      </c>
      <c r="L120" s="1" t="s">
        <v>873</v>
      </c>
      <c r="M120" s="1" t="s">
        <v>874</v>
      </c>
      <c r="N120" s="1" t="s">
        <v>875</v>
      </c>
      <c r="O120" s="1" t="s">
        <v>876</v>
      </c>
      <c r="P120" s="1">
        <v>299198.0</v>
      </c>
      <c r="Q120" s="3" t="str">
        <f>VLOOKUP(A120,Posters!A120:B1119,2)</f>
        <v>https://m.media-amazon.com/images/M/MV5BZDA3NDExMTUtMDlhOC00MmQ5LWExZGUtYmI1NGVlZWI4OWNiXkEyXkFqcGdeQXVyNjc1NTYyMjg@._V1_UX67_CR0,0,67,98_AL_.jpg</v>
      </c>
    </row>
    <row r="121">
      <c r="A121" s="1">
        <v>120.0</v>
      </c>
      <c r="B121" s="1" t="s">
        <v>877</v>
      </c>
      <c r="C121" s="2">
        <v>3200000.0</v>
      </c>
      <c r="D121" s="1">
        <v>1958.0</v>
      </c>
      <c r="E121" s="1" t="s">
        <v>18</v>
      </c>
      <c r="F121" s="1" t="s">
        <v>878</v>
      </c>
      <c r="G121" s="1" t="s">
        <v>879</v>
      </c>
      <c r="H121" s="1">
        <v>8.3</v>
      </c>
      <c r="I121" s="1" t="s">
        <v>880</v>
      </c>
      <c r="J121" s="1">
        <v>100.0</v>
      </c>
      <c r="K121" s="1" t="s">
        <v>399</v>
      </c>
      <c r="L121" s="1" t="s">
        <v>274</v>
      </c>
      <c r="M121" s="1" t="s">
        <v>881</v>
      </c>
      <c r="N121" s="1" t="s">
        <v>882</v>
      </c>
      <c r="O121" s="1" t="s">
        <v>883</v>
      </c>
      <c r="P121" s="1">
        <v>364368.0</v>
      </c>
      <c r="Q121" s="3" t="str">
        <f>VLOOKUP(A121,Posters!A121:B1120,2)</f>
        <v>https://m.media-amazon.com/images/M/MV5BYTE4ODEwZDUtNDFjOC00NjAxLWEzYTQtYTI1NGVmZmFlNjdiL2ltYWdlL2ltYWdlXkEyXkFqcGdeQXVyNjc1NTYyMjg@._V1_UX67_CR0,0,67,98_AL_.jpg</v>
      </c>
    </row>
    <row r="122">
      <c r="A122" s="1">
        <v>121.0</v>
      </c>
      <c r="B122" s="1" t="s">
        <v>884</v>
      </c>
      <c r="C122" s="2">
        <v>8819028.0</v>
      </c>
      <c r="D122" s="1">
        <v>1952.0</v>
      </c>
      <c r="E122" s="1" t="s">
        <v>414</v>
      </c>
      <c r="F122" s="1" t="s">
        <v>885</v>
      </c>
      <c r="G122" s="1" t="s">
        <v>886</v>
      </c>
      <c r="H122" s="1">
        <v>8.3</v>
      </c>
      <c r="I122" s="1" t="s">
        <v>887</v>
      </c>
      <c r="J122" s="1">
        <v>99.0</v>
      </c>
      <c r="K122" s="1" t="s">
        <v>888</v>
      </c>
      <c r="L122" s="1" t="s">
        <v>889</v>
      </c>
      <c r="M122" s="1" t="s">
        <v>889</v>
      </c>
      <c r="N122" s="1" t="s">
        <v>890</v>
      </c>
      <c r="O122" s="1" t="s">
        <v>891</v>
      </c>
      <c r="P122" s="1">
        <v>218957.0</v>
      </c>
      <c r="Q122" s="3" t="str">
        <f>VLOOKUP(A122,Posters!A122:B1121,2)</f>
        <v>https://m.media-amazon.com/images/M/MV5BZDRjNGViMjQtOThlMi00MTA3LThkYzQtNzJkYjBkMGE0YzE1XkEyXkFqcGdeQXVyNDYyMDk5MTU@._V1_UY98_CR0,0,67,98_AL_.jpg</v>
      </c>
    </row>
    <row r="123">
      <c r="A123" s="1">
        <v>122.0</v>
      </c>
      <c r="B123" s="1" t="s">
        <v>892</v>
      </c>
      <c r="C123" s="1" t="s">
        <v>893</v>
      </c>
      <c r="D123" s="1">
        <v>1952.0</v>
      </c>
      <c r="E123" s="1" t="s">
        <v>270</v>
      </c>
      <c r="F123" s="1" t="s">
        <v>596</v>
      </c>
      <c r="G123" s="1" t="s">
        <v>20</v>
      </c>
      <c r="H123" s="1">
        <v>8.3</v>
      </c>
      <c r="I123" s="1" t="s">
        <v>894</v>
      </c>
      <c r="K123" s="1" t="s">
        <v>264</v>
      </c>
      <c r="L123" s="1" t="s">
        <v>266</v>
      </c>
      <c r="M123" s="1" t="s">
        <v>895</v>
      </c>
      <c r="N123" s="1" t="s">
        <v>896</v>
      </c>
      <c r="O123" s="1" t="s">
        <v>897</v>
      </c>
      <c r="P123" s="1">
        <v>68463.0</v>
      </c>
      <c r="Q123" s="3" t="str">
        <f>VLOOKUP(A123,Posters!A123:B1122,2)</f>
        <v>https://m.media-amazon.com/images/M/MV5BZmM0NGY3Y2MtMTA1YS00YmQzLTk2YTctYWFhMDkzMDRjZWQzXkEyXkFqcGdeQXVyNTA4NzY1MzY@._V1_UX67_CR0,0,67,98_AL_.jpg</v>
      </c>
    </row>
    <row r="124">
      <c r="A124" s="1">
        <v>123.0</v>
      </c>
      <c r="B124" s="1" t="s">
        <v>898</v>
      </c>
      <c r="C124" s="1" t="s">
        <v>899</v>
      </c>
      <c r="D124" s="1">
        <v>1948.0</v>
      </c>
      <c r="E124" s="1">
        <v>10.0</v>
      </c>
      <c r="F124" s="1" t="s">
        <v>374</v>
      </c>
      <c r="G124" s="1" t="s">
        <v>20</v>
      </c>
      <c r="H124" s="1">
        <v>8.3</v>
      </c>
      <c r="I124" s="1" t="s">
        <v>900</v>
      </c>
      <c r="K124" s="1" t="s">
        <v>901</v>
      </c>
      <c r="L124" s="1" t="s">
        <v>902</v>
      </c>
      <c r="M124" s="1" t="s">
        <v>903</v>
      </c>
      <c r="N124" s="1" t="s">
        <v>904</v>
      </c>
      <c r="O124" s="1" t="s">
        <v>905</v>
      </c>
      <c r="P124" s="1">
        <v>146427.0</v>
      </c>
      <c r="Q124" s="3" t="str">
        <f>VLOOKUP(A124,Posters!A124:B1123,2)</f>
        <v>https://m.media-amazon.com/images/M/MV5BNmI1ODdjODctMDlmMC00ZWViLWI5MzYtYzRhNDdjYmM3MzFjXkEyXkFqcGdeQXVyMTMxODk2OTU@._V1_UY98_CR0,0,67,98_AL_.jpg</v>
      </c>
    </row>
    <row r="125">
      <c r="A125" s="1">
        <v>124.0</v>
      </c>
      <c r="B125" s="1" t="s">
        <v>906</v>
      </c>
      <c r="C125" s="2">
        <v>5720000.0</v>
      </c>
      <c r="D125" s="1">
        <v>1944.0</v>
      </c>
      <c r="E125" s="1" t="s">
        <v>627</v>
      </c>
      <c r="F125" s="1" t="s">
        <v>907</v>
      </c>
      <c r="G125" s="1" t="s">
        <v>908</v>
      </c>
      <c r="H125" s="1">
        <v>8.3</v>
      </c>
      <c r="I125" s="1" t="s">
        <v>909</v>
      </c>
      <c r="J125" s="1">
        <v>95.0</v>
      </c>
      <c r="K125" s="1" t="s">
        <v>610</v>
      </c>
      <c r="L125" s="1" t="s">
        <v>868</v>
      </c>
      <c r="M125" s="1" t="s">
        <v>910</v>
      </c>
      <c r="N125" s="1" t="s">
        <v>911</v>
      </c>
      <c r="O125" s="1" t="s">
        <v>912</v>
      </c>
      <c r="P125" s="1">
        <v>143525.0</v>
      </c>
      <c r="Q125" s="3" t="str">
        <f>VLOOKUP(A125,Posters!A125:B1124,2)</f>
        <v>https://m.media-amazon.com/images/M/MV5BOTdlNjgyZGUtOTczYi00MDdhLTljZmMtYTEwZmRiOWFkYjRhXkEyXkFqcGdeQXVyNDY2MTk1ODk@._V1_UX67_CR0,0,67,98_AL_.jpg</v>
      </c>
    </row>
    <row r="126">
      <c r="A126" s="1">
        <v>125.0</v>
      </c>
      <c r="B126" s="1" t="s">
        <v>913</v>
      </c>
      <c r="C126" s="2">
        <v>1585634.0</v>
      </c>
      <c r="D126" s="1">
        <v>1941.0</v>
      </c>
      <c r="E126" s="1" t="s">
        <v>37</v>
      </c>
      <c r="F126" s="1" t="s">
        <v>329</v>
      </c>
      <c r="G126" s="1" t="s">
        <v>914</v>
      </c>
      <c r="H126" s="1">
        <v>8.3</v>
      </c>
      <c r="I126" s="1" t="s">
        <v>915</v>
      </c>
      <c r="J126" s="1">
        <v>100.0</v>
      </c>
      <c r="K126" s="1" t="s">
        <v>916</v>
      </c>
      <c r="L126" s="1" t="s">
        <v>916</v>
      </c>
      <c r="M126" s="1" t="s">
        <v>917</v>
      </c>
      <c r="N126" s="1" t="s">
        <v>918</v>
      </c>
      <c r="O126" s="1" t="s">
        <v>919</v>
      </c>
      <c r="P126" s="1">
        <v>403351.0</v>
      </c>
      <c r="Q126" s="3" t="str">
        <f>VLOOKUP(A126,Posters!A126:B1125,2)</f>
        <v>https://m.media-amazon.com/images/M/MV5BYjBiOTYxZWItMzdiZi00NjlkLWIzZTYtYmFhZjhiMTljOTdkXkEyXkFqcGdeQXVyNzkwMjQ5NzM@._V1_UX67_CR0,0,67,98_AL_.jpg</v>
      </c>
    </row>
    <row r="127">
      <c r="A127" s="1">
        <v>126.0</v>
      </c>
      <c r="B127" s="1" t="s">
        <v>920</v>
      </c>
      <c r="C127" s="2">
        <v>28877.0</v>
      </c>
      <c r="D127" s="1">
        <v>1931.0</v>
      </c>
      <c r="E127" s="1" t="s">
        <v>627</v>
      </c>
      <c r="F127" s="1" t="s">
        <v>466</v>
      </c>
      <c r="G127" s="1" t="s">
        <v>336</v>
      </c>
      <c r="H127" s="1">
        <v>8.3</v>
      </c>
      <c r="I127" s="1" t="s">
        <v>921</v>
      </c>
      <c r="K127" s="1" t="s">
        <v>922</v>
      </c>
      <c r="L127" s="1" t="s">
        <v>923</v>
      </c>
      <c r="M127" s="1" t="s">
        <v>924</v>
      </c>
      <c r="N127" s="1" t="s">
        <v>925</v>
      </c>
      <c r="O127" s="1" t="s">
        <v>926</v>
      </c>
      <c r="P127" s="1">
        <v>143434.0</v>
      </c>
      <c r="Q127" s="3" t="str">
        <f>VLOOKUP(A127,Posters!A127:B1126,2)</f>
        <v>https://m.media-amazon.com/images/M/MV5BODA4ODk3OTEzMF5BMl5BanBnXkFtZTgwMTQ2ODMwMzE@._V1_UX67_CR0,0,67,98_AL_.jpg</v>
      </c>
    </row>
    <row r="128">
      <c r="A128" s="1">
        <v>127.0</v>
      </c>
      <c r="B128" s="1" t="s">
        <v>927</v>
      </c>
      <c r="C128" s="2">
        <v>1236166.0</v>
      </c>
      <c r="D128" s="1">
        <v>1927.0</v>
      </c>
      <c r="E128" s="1">
        <v>16.0</v>
      </c>
      <c r="F128" s="1" t="s">
        <v>179</v>
      </c>
      <c r="G128" s="1" t="s">
        <v>928</v>
      </c>
      <c r="H128" s="1">
        <v>8.3</v>
      </c>
      <c r="I128" s="1" t="s">
        <v>929</v>
      </c>
      <c r="J128" s="1">
        <v>98.0</v>
      </c>
      <c r="K128" s="1" t="s">
        <v>922</v>
      </c>
      <c r="L128" s="1" t="s">
        <v>930</v>
      </c>
      <c r="M128" s="1" t="s">
        <v>931</v>
      </c>
      <c r="N128" s="1" t="s">
        <v>932</v>
      </c>
      <c r="O128" s="1" t="s">
        <v>933</v>
      </c>
      <c r="P128" s="1">
        <v>159992.0</v>
      </c>
      <c r="Q128" s="3" t="str">
        <f>VLOOKUP(A128,Posters!A128:B1127,2)</f>
        <v>https://m.media-amazon.com/images/M/MV5BMTg5YWIyMWUtZDY5My00Zjc1LTljOTctYmI0MWRmY2M2NmRkXkEyXkFqcGdeQXVyMTMxODk2OTU@._V1_UX67_CR0,0,67,98_AL_.jpg</v>
      </c>
    </row>
    <row r="129">
      <c r="A129" s="1">
        <v>128.0</v>
      </c>
      <c r="B129" s="1" t="s">
        <v>934</v>
      </c>
      <c r="C129" s="2">
        <v>5450000.0</v>
      </c>
      <c r="D129" s="1">
        <v>1921.0</v>
      </c>
      <c r="E129" s="1" t="s">
        <v>627</v>
      </c>
      <c r="F129" s="1" t="s">
        <v>935</v>
      </c>
      <c r="G129" s="1" t="s">
        <v>416</v>
      </c>
      <c r="H129" s="1">
        <v>8.3</v>
      </c>
      <c r="I129" s="1" t="s">
        <v>936</v>
      </c>
      <c r="K129" s="1" t="s">
        <v>418</v>
      </c>
      <c r="L129" s="1" t="s">
        <v>418</v>
      </c>
      <c r="M129" s="1" t="s">
        <v>937</v>
      </c>
      <c r="N129" s="1" t="s">
        <v>938</v>
      </c>
      <c r="O129" s="1" t="s">
        <v>939</v>
      </c>
      <c r="P129" s="1">
        <v>113314.0</v>
      </c>
      <c r="Q129" s="3" t="str">
        <f>VLOOKUP(A129,Posters!A129:B1128,2)</f>
        <v>https://m.media-amazon.com/images/M/MV5BZjhhMThhNDItNTY2MC00MmU1LTliNDEtNDdhZjdlNTY5ZDQ1XkEyXkFqcGdeQXVyNjc1NTYyMjg@._V1_UX67_CR0,0,67,98_AL_.jpg</v>
      </c>
    </row>
    <row r="130">
      <c r="A130" s="1">
        <v>129.0</v>
      </c>
      <c r="B130" s="1" t="s">
        <v>940</v>
      </c>
      <c r="C130" s="2">
        <v>898575.0</v>
      </c>
      <c r="D130" s="1">
        <v>2019.0</v>
      </c>
      <c r="E130" s="1" t="s">
        <v>37</v>
      </c>
      <c r="F130" s="1" t="s">
        <v>596</v>
      </c>
      <c r="G130" s="1" t="s">
        <v>507</v>
      </c>
      <c r="H130" s="1">
        <v>8.2</v>
      </c>
      <c r="I130" s="1" t="s">
        <v>941</v>
      </c>
      <c r="K130" s="1" t="s">
        <v>460</v>
      </c>
      <c r="L130" s="1" t="s">
        <v>942</v>
      </c>
      <c r="M130" s="1" t="s">
        <v>943</v>
      </c>
      <c r="N130" s="1" t="s">
        <v>944</v>
      </c>
      <c r="O130" s="1" t="s">
        <v>945</v>
      </c>
      <c r="P130" s="1">
        <v>33893.0</v>
      </c>
      <c r="Q130" s="3" t="str">
        <f>VLOOKUP(A130,Posters!A130:B1129,2)</f>
        <v>https://m.media-amazon.com/images/M/MV5BYjg2ZDI2YTYtN2EwYi00YWI5LTgyMWQtMWFkYmE3NmJkOGVhXkEyXkFqcGdeQXVyODE5NzE3OTE@._V1_UY98_CR0,0,67,98_AL_.jpg</v>
      </c>
    </row>
    <row r="131">
      <c r="A131" s="1">
        <v>130.0</v>
      </c>
      <c r="B131" s="1" t="s">
        <v>946</v>
      </c>
      <c r="C131" s="2">
        <v>4186168.0</v>
      </c>
      <c r="D131" s="1">
        <v>2018.0</v>
      </c>
      <c r="E131" s="1" t="s">
        <v>37</v>
      </c>
      <c r="F131" s="1" t="s">
        <v>947</v>
      </c>
      <c r="G131" s="1" t="s">
        <v>948</v>
      </c>
      <c r="H131" s="1">
        <v>8.2</v>
      </c>
      <c r="I131" s="1" t="s">
        <v>949</v>
      </c>
      <c r="K131" s="1" t="s">
        <v>950</v>
      </c>
      <c r="L131" s="1" t="s">
        <v>951</v>
      </c>
      <c r="M131" s="1" t="s">
        <v>184</v>
      </c>
      <c r="N131" s="1" t="s">
        <v>952</v>
      </c>
      <c r="O131" s="1" t="s">
        <v>953</v>
      </c>
      <c r="P131" s="1">
        <v>43444.0</v>
      </c>
      <c r="Q131" s="3" t="str">
        <f>VLOOKUP(A131,Posters!A131:B1130,2)</f>
        <v>https://m.media-amazon.com/images/M/MV5BMWU4ZjNlNTQtOGE2MS00NDI0LWFlYjMtMmY3ZWVkMjJkNGRmXkEyXkFqcGdeQXVyNjE1OTQ0NjA@._V1_UY98_CR0,0,67,98_AL_.jpg</v>
      </c>
    </row>
    <row r="132">
      <c r="A132" s="1">
        <v>131.0</v>
      </c>
      <c r="B132" s="1" t="s">
        <v>954</v>
      </c>
      <c r="C132" s="2">
        <v>6421597.0</v>
      </c>
      <c r="D132" s="1">
        <v>2018.0</v>
      </c>
      <c r="E132" s="1" t="s">
        <v>37</v>
      </c>
      <c r="F132" s="1" t="s">
        <v>955</v>
      </c>
      <c r="G132" s="1" t="s">
        <v>956</v>
      </c>
      <c r="H132" s="1">
        <v>8.2</v>
      </c>
      <c r="I132" s="1" t="s">
        <v>957</v>
      </c>
      <c r="K132" s="1" t="s">
        <v>958</v>
      </c>
      <c r="L132" s="1" t="s">
        <v>959</v>
      </c>
      <c r="M132" s="1" t="s">
        <v>960</v>
      </c>
      <c r="N132" s="1" t="s">
        <v>961</v>
      </c>
      <c r="O132" s="1" t="s">
        <v>962</v>
      </c>
      <c r="P132" s="1">
        <v>36680.0</v>
      </c>
      <c r="Q132" s="3" t="str">
        <f>VLOOKUP(A132,Posters!A132:B1131,2)</f>
        <v>https://m.media-amazon.com/images/M/MV5BZDNlNzBjMGUtYTA0Yy00OTI2LWJmZjMtODliYmUyYTI0OGFmXkEyXkFqcGdeQXVyODIwMDI1NjM@._V1_UX67_CR0,0,67,98_AL_.jpg</v>
      </c>
    </row>
    <row r="133">
      <c r="A133" s="1">
        <v>132.0</v>
      </c>
      <c r="B133" s="1" t="s">
        <v>963</v>
      </c>
      <c r="C133" s="2">
        <v>8.5080171E7</v>
      </c>
      <c r="D133" s="1">
        <v>2018.0</v>
      </c>
      <c r="E133" s="1" t="s">
        <v>37</v>
      </c>
      <c r="F133" s="1" t="s">
        <v>195</v>
      </c>
      <c r="G133" s="1" t="s">
        <v>296</v>
      </c>
      <c r="H133" s="1">
        <v>8.2</v>
      </c>
      <c r="I133" s="1" t="s">
        <v>964</v>
      </c>
      <c r="J133" s="1">
        <v>69.0</v>
      </c>
      <c r="K133" s="1" t="s">
        <v>965</v>
      </c>
      <c r="L133" s="1" t="s">
        <v>66</v>
      </c>
      <c r="M133" s="1" t="s">
        <v>966</v>
      </c>
      <c r="N133" s="1" t="s">
        <v>967</v>
      </c>
      <c r="O133" s="1" t="s">
        <v>968</v>
      </c>
      <c r="P133" s="1">
        <v>377884.0</v>
      </c>
      <c r="Q133" s="3" t="str">
        <f>VLOOKUP(A133,Posters!A133:B1132,2)</f>
        <v>https://m.media-amazon.com/images/M/MV5BYzIzYmJlYTYtNGNiYy00N2EwLTk4ZjItMGYyZTJiOTVkM2RlXkEyXkFqcGdeQXVyODY1NDk1NjE@._V1_UX67_CR0,0,67,98_AL_.jpg</v>
      </c>
    </row>
    <row r="134">
      <c r="A134" s="1">
        <v>133.0</v>
      </c>
      <c r="B134" s="1" t="s">
        <v>969</v>
      </c>
      <c r="C134" s="2">
        <v>5.451374E7</v>
      </c>
      <c r="D134" s="1">
        <v>2017.0</v>
      </c>
      <c r="E134" s="1" t="s">
        <v>18</v>
      </c>
      <c r="F134" s="1" t="s">
        <v>563</v>
      </c>
      <c r="G134" s="1" t="s">
        <v>831</v>
      </c>
      <c r="H134" s="1">
        <v>8.2</v>
      </c>
      <c r="I134" s="1" t="s">
        <v>970</v>
      </c>
      <c r="J134" s="1">
        <v>88.0</v>
      </c>
      <c r="K134" s="1" t="s">
        <v>971</v>
      </c>
      <c r="L134" s="1" t="s">
        <v>972</v>
      </c>
      <c r="M134" s="1" t="s">
        <v>973</v>
      </c>
      <c r="N134" s="1" t="s">
        <v>974</v>
      </c>
      <c r="O134" s="1" t="s">
        <v>975</v>
      </c>
      <c r="P134" s="1">
        <v>432610.0</v>
      </c>
      <c r="Q134" s="3" t="str">
        <f>VLOOKUP(A134,Posters!A134:B1133,2)</f>
        <v>https://m.media-amazon.com/images/M/MV5BMjI0ODcxNzM1N15BMl5BanBnXkFtZTgwMzIwMTEwNDI@._V1_UX67_CR0,0,67,98_AL_.jpg</v>
      </c>
    </row>
    <row r="135">
      <c r="A135" s="1">
        <v>134.0</v>
      </c>
      <c r="B135" s="1" t="s">
        <v>976</v>
      </c>
      <c r="C135" s="1" t="s">
        <v>977</v>
      </c>
      <c r="D135" s="1">
        <v>2015.0</v>
      </c>
      <c r="E135" s="1" t="s">
        <v>37</v>
      </c>
      <c r="F135" s="1" t="s">
        <v>170</v>
      </c>
      <c r="G135" s="1" t="s">
        <v>235</v>
      </c>
      <c r="H135" s="1">
        <v>8.2</v>
      </c>
      <c r="I135" s="1" t="s">
        <v>978</v>
      </c>
      <c r="K135" s="1" t="s">
        <v>979</v>
      </c>
      <c r="L135" s="1" t="s">
        <v>980</v>
      </c>
      <c r="M135" s="1" t="s">
        <v>981</v>
      </c>
      <c r="N135" s="1" t="s">
        <v>982</v>
      </c>
      <c r="O135" s="1" t="s">
        <v>653</v>
      </c>
      <c r="P135" s="1">
        <v>31142.0</v>
      </c>
      <c r="Q135" s="3" t="str">
        <f>VLOOKUP(A135,Posters!A135:B1134,2)</f>
        <v>https://m.media-amazon.com/images/M/MV5BMTYzODg0Mjc4M15BMl5BanBnXkFtZTgwNzY4Mzc3NjE@._V1_UY98_CR2,0,67,98_AL_.jpg</v>
      </c>
    </row>
    <row r="136">
      <c r="A136" s="1">
        <v>135.0</v>
      </c>
      <c r="B136" s="1" t="s">
        <v>983</v>
      </c>
      <c r="C136" s="2">
        <v>2.0186659E7</v>
      </c>
      <c r="D136" s="1">
        <v>2017.0</v>
      </c>
      <c r="E136" s="1" t="s">
        <v>37</v>
      </c>
      <c r="F136" s="1" t="s">
        <v>984</v>
      </c>
      <c r="G136" s="1" t="s">
        <v>956</v>
      </c>
      <c r="H136" s="1">
        <v>8.2</v>
      </c>
      <c r="I136" s="1" t="s">
        <v>985</v>
      </c>
      <c r="K136" s="1" t="s">
        <v>986</v>
      </c>
      <c r="L136" s="1" t="s">
        <v>987</v>
      </c>
      <c r="M136" s="1" t="s">
        <v>988</v>
      </c>
      <c r="N136" s="1" t="s">
        <v>989</v>
      </c>
      <c r="O136" s="1" t="s">
        <v>990</v>
      </c>
      <c r="P136" s="1">
        <v>75348.0</v>
      </c>
      <c r="Q136" s="3" t="str">
        <f>VLOOKUP(A136,Posters!A136:B1135,2)</f>
        <v>https://m.media-amazon.com/images/M/MV5BOGNlNmRkMjctNDgxMC00NzFhLWIzY2YtZDk3ZDE0NWZhZDBlXkEyXkFqcGdeQXVyODIwMDI1NjM@._V1_UX67_CR0,0,67,98_AL_.jpg</v>
      </c>
    </row>
    <row r="137">
      <c r="A137" s="1">
        <v>136.0</v>
      </c>
      <c r="B137" s="1" t="s">
        <v>991</v>
      </c>
      <c r="C137" s="2">
        <v>4.0E7</v>
      </c>
      <c r="D137" s="1">
        <v>2019.0</v>
      </c>
      <c r="E137" s="1" t="s">
        <v>270</v>
      </c>
      <c r="F137" s="1" t="s">
        <v>53</v>
      </c>
      <c r="G137" s="1" t="s">
        <v>765</v>
      </c>
      <c r="H137" s="1">
        <v>8.2</v>
      </c>
      <c r="I137" s="1" t="s">
        <v>992</v>
      </c>
      <c r="J137" s="1">
        <v>65.0</v>
      </c>
      <c r="K137" s="1" t="s">
        <v>993</v>
      </c>
      <c r="L137" s="1" t="s">
        <v>994</v>
      </c>
      <c r="M137" s="1" t="s">
        <v>995</v>
      </c>
      <c r="N137" s="1" t="s">
        <v>291</v>
      </c>
      <c r="O137" s="1" t="s">
        <v>996</v>
      </c>
      <c r="P137" s="1">
        <v>104761.0</v>
      </c>
      <c r="Q137" s="3" t="str">
        <f>VLOOKUP(A137,Posters!A137:B1136,2)</f>
        <v>https://m.media-amazon.com/images/M/MV5BMWYwOThjM2ItZGYxNy00NTQwLWFlZWEtM2MzM2Q5MmY3NDU5XkEyXkFqcGdeQXVyMTkxNjUyNQ@@._V1_UX67_CR0,0,67,98_AL_.jpg</v>
      </c>
    </row>
    <row r="138">
      <c r="A138" s="1">
        <v>137.0</v>
      </c>
      <c r="B138" s="1" t="s">
        <v>663</v>
      </c>
      <c r="C138" s="2">
        <v>739478.0</v>
      </c>
      <c r="D138" s="1">
        <v>2015.0</v>
      </c>
      <c r="E138" s="1" t="s">
        <v>37</v>
      </c>
      <c r="F138" s="1" t="s">
        <v>997</v>
      </c>
      <c r="G138" s="1" t="s">
        <v>235</v>
      </c>
      <c r="H138" s="1">
        <v>8.2</v>
      </c>
      <c r="I138" s="1" t="s">
        <v>998</v>
      </c>
      <c r="K138" s="1" t="s">
        <v>999</v>
      </c>
      <c r="L138" s="1" t="s">
        <v>1000</v>
      </c>
      <c r="M138" s="1" t="s">
        <v>1001</v>
      </c>
      <c r="N138" s="1" t="s">
        <v>660</v>
      </c>
      <c r="O138" s="1" t="s">
        <v>1002</v>
      </c>
      <c r="P138" s="1">
        <v>70367.0</v>
      </c>
      <c r="Q138" s="3" t="str">
        <f>VLOOKUP(A138,Posters!A138:B1137,2)</f>
        <v>https://m.media-amazon.com/images/M/MV5BYmJhZmJlYTItZmZlNy00MGY0LTg0ZGMtNWFkYWU5NTA1YTNhXkEyXkFqcGdeQXVyODE5NzE3OTE@._V1_UY98_CR0,0,67,98_AL_.jpg</v>
      </c>
    </row>
    <row r="139">
      <c r="A139" s="1">
        <v>138.0</v>
      </c>
      <c r="B139" s="1" t="s">
        <v>1003</v>
      </c>
      <c r="C139" s="2">
        <v>1429534.0</v>
      </c>
      <c r="D139" s="1">
        <v>2013.0</v>
      </c>
      <c r="E139" s="1" t="s">
        <v>37</v>
      </c>
      <c r="F139" s="1" t="s">
        <v>136</v>
      </c>
      <c r="G139" s="1" t="s">
        <v>1004</v>
      </c>
      <c r="H139" s="1">
        <v>8.2</v>
      </c>
      <c r="I139" s="1" t="s">
        <v>1005</v>
      </c>
      <c r="K139" s="1" t="s">
        <v>1006</v>
      </c>
      <c r="L139" s="1" t="s">
        <v>1007</v>
      </c>
      <c r="M139" s="1" t="s">
        <v>1008</v>
      </c>
      <c r="N139" s="1" t="s">
        <v>1009</v>
      </c>
      <c r="O139" s="1" t="s">
        <v>1010</v>
      </c>
      <c r="P139" s="1">
        <v>60701.0</v>
      </c>
      <c r="Q139" s="3" t="str">
        <f>VLOOKUP(A139,Posters!A139:B1138,2)</f>
        <v>https://m.media-amazon.com/images/M/MV5BNWYyOWRlOWItZWM5MS00ZjJkLWI0MTUtYTE3NTI5MDAwYjgyXkEyXkFqcGdeQXVyODE5NzE3OTE@._V1_UY98_CR0,0,67,98_AL_.jpg</v>
      </c>
    </row>
    <row r="140">
      <c r="A140" s="1">
        <v>139.0</v>
      </c>
      <c r="B140" s="1" t="s">
        <v>1011</v>
      </c>
      <c r="C140" s="2">
        <v>144501.0</v>
      </c>
      <c r="D140" s="1">
        <v>2013.0</v>
      </c>
      <c r="E140" s="1">
        <v>16.0</v>
      </c>
      <c r="F140" s="1" t="s">
        <v>415</v>
      </c>
      <c r="G140" s="1" t="s">
        <v>213</v>
      </c>
      <c r="H140" s="1">
        <v>8.2</v>
      </c>
      <c r="I140" s="1" t="s">
        <v>1012</v>
      </c>
      <c r="J140" s="1">
        <v>73.0</v>
      </c>
      <c r="K140" s="1" t="s">
        <v>1013</v>
      </c>
      <c r="L140" s="1" t="s">
        <v>1014</v>
      </c>
      <c r="M140" s="1" t="s">
        <v>1015</v>
      </c>
      <c r="N140" s="1" t="s">
        <v>1016</v>
      </c>
      <c r="O140" s="1" t="s">
        <v>1017</v>
      </c>
      <c r="P140" s="1">
        <v>40382.0</v>
      </c>
      <c r="Q140" s="3" t="str">
        <f>VLOOKUP(A140,Posters!A140:B1139,2)</f>
        <v>https://m.media-amazon.com/images/M/MV5BMTgwNzA3MDQzOV5BMl5BanBnXkFtZTgwNTE5MDE5NDE@._V1_UX67_CR0,0,67,98_AL_.jpg</v>
      </c>
    </row>
    <row r="141">
      <c r="A141" s="1">
        <v>140.0</v>
      </c>
      <c r="B141" s="1" t="s">
        <v>1018</v>
      </c>
      <c r="C141" s="2">
        <v>1626289.0</v>
      </c>
      <c r="D141" s="1">
        <v>2013.0</v>
      </c>
      <c r="E141" s="1" t="s">
        <v>52</v>
      </c>
      <c r="F141" s="1" t="s">
        <v>1019</v>
      </c>
      <c r="G141" s="1" t="s">
        <v>1020</v>
      </c>
      <c r="H141" s="1">
        <v>8.2</v>
      </c>
      <c r="I141" s="1" t="s">
        <v>1021</v>
      </c>
      <c r="K141" s="1" t="s">
        <v>1022</v>
      </c>
      <c r="L141" s="1" t="s">
        <v>1023</v>
      </c>
      <c r="M141" s="1" t="s">
        <v>1024</v>
      </c>
      <c r="N141" s="1" t="s">
        <v>1025</v>
      </c>
      <c r="O141" s="1" t="s">
        <v>1026</v>
      </c>
      <c r="P141" s="1">
        <v>61137.0</v>
      </c>
      <c r="Q141" s="3" t="str">
        <f>VLOOKUP(A141,Posters!A141:B1140,2)</f>
        <v>https://m.media-amazon.com/images/M/MV5BMTY1Nzg4MjcwN15BMl5BanBnXkFtZTcwOTc1NTk1OQ@@._V1_UY98_CR0,0,67,98_AL_.jpg</v>
      </c>
    </row>
    <row r="142">
      <c r="A142" s="1">
        <v>141.0</v>
      </c>
      <c r="B142" s="1" t="s">
        <v>1027</v>
      </c>
      <c r="C142" s="2">
        <v>4384642.0</v>
      </c>
      <c r="D142" s="1">
        <v>2012.0</v>
      </c>
      <c r="E142" s="1" t="s">
        <v>18</v>
      </c>
      <c r="F142" s="1" t="s">
        <v>1028</v>
      </c>
      <c r="G142" s="1" t="s">
        <v>1029</v>
      </c>
      <c r="H142" s="1">
        <v>8.2</v>
      </c>
      <c r="I142" s="1" t="s">
        <v>1030</v>
      </c>
      <c r="J142" s="1">
        <v>89.0</v>
      </c>
      <c r="K142" s="1" t="s">
        <v>1031</v>
      </c>
      <c r="L142" s="1" t="s">
        <v>1032</v>
      </c>
      <c r="M142" s="1" t="s">
        <v>1033</v>
      </c>
      <c r="N142" s="1" t="s">
        <v>1034</v>
      </c>
      <c r="O142" s="1" t="s">
        <v>1035</v>
      </c>
      <c r="P142" s="1">
        <v>82365.0</v>
      </c>
      <c r="Q142" s="3" t="str">
        <f>VLOOKUP(A142,Posters!A142:B1141,2)</f>
        <v>https://m.media-amazon.com/images/M/MV5BMTc5NjY4MjUwNF5BMl5BanBnXkFtZTgwODM3NzM5MzE@._V1_UX67_CR0,0,67,98_AL_.jpg</v>
      </c>
    </row>
    <row r="143">
      <c r="A143" s="1">
        <v>142.0</v>
      </c>
      <c r="B143" s="1" t="s">
        <v>1036</v>
      </c>
      <c r="C143" s="2">
        <v>7461.0</v>
      </c>
      <c r="D143" s="1">
        <v>2010.0</v>
      </c>
      <c r="E143" s="1" t="s">
        <v>37</v>
      </c>
      <c r="F143" s="1" t="s">
        <v>550</v>
      </c>
      <c r="G143" s="1" t="s">
        <v>20</v>
      </c>
      <c r="H143" s="1">
        <v>8.2</v>
      </c>
      <c r="I143" s="1" t="s">
        <v>1037</v>
      </c>
      <c r="K143" s="1" t="s">
        <v>1038</v>
      </c>
      <c r="L143" s="1" t="s">
        <v>1039</v>
      </c>
      <c r="M143" s="1" t="s">
        <v>1040</v>
      </c>
      <c r="N143" s="1" t="s">
        <v>1041</v>
      </c>
      <c r="O143" s="1" t="s">
        <v>1042</v>
      </c>
      <c r="P143" s="1">
        <v>42341.0</v>
      </c>
      <c r="Q143" s="3" t="str">
        <f>VLOOKUP(A143,Posters!A143:B1142,2)</f>
        <v>https://m.media-amazon.com/images/M/MV5BNzgxMzExMzUwNV5BMl5BanBnXkFtZTcwMDc2MjUwNA@@._V1_UY98_CR0,0,67,98_AL_.jpg</v>
      </c>
    </row>
    <row r="144">
      <c r="A144" s="1">
        <v>143.0</v>
      </c>
      <c r="B144" s="1" t="s">
        <v>1043</v>
      </c>
      <c r="C144" s="2">
        <v>39567.0</v>
      </c>
      <c r="D144" s="1">
        <v>2012.0</v>
      </c>
      <c r="E144" s="1" t="s">
        <v>37</v>
      </c>
      <c r="F144" s="1" t="s">
        <v>1044</v>
      </c>
      <c r="G144" s="1" t="s">
        <v>1045</v>
      </c>
      <c r="H144" s="1">
        <v>8.2</v>
      </c>
      <c r="I144" s="1" t="s">
        <v>1046</v>
      </c>
      <c r="K144" s="1" t="s">
        <v>1035</v>
      </c>
      <c r="L144" s="1" t="s">
        <v>980</v>
      </c>
      <c r="M144" s="1" t="s">
        <v>1047</v>
      </c>
      <c r="N144" s="1" t="s">
        <v>1048</v>
      </c>
      <c r="O144" s="1" t="s">
        <v>1049</v>
      </c>
      <c r="P144" s="1">
        <v>33237.0</v>
      </c>
      <c r="Q144" s="3" t="str">
        <f>VLOOKUP(A144,Posters!A144:B1143,2)</f>
        <v>https://m.media-amazon.com/images/M/MV5BNTgwODM5OTMzN15BMl5BanBnXkFtZTcwMTA3NzI1Nw@@._V1_UY98_CR0,0,67,98_AL_.jpg</v>
      </c>
    </row>
    <row r="145">
      <c r="A145" s="1">
        <v>144.0</v>
      </c>
      <c r="B145" s="1" t="s">
        <v>1050</v>
      </c>
      <c r="C145" s="2">
        <v>6391436.0</v>
      </c>
      <c r="D145" s="1">
        <v>2009.0</v>
      </c>
      <c r="E145" s="1" t="s">
        <v>212</v>
      </c>
      <c r="F145" s="1" t="s">
        <v>830</v>
      </c>
      <c r="G145" s="1" t="s">
        <v>1051</v>
      </c>
      <c r="H145" s="1">
        <v>8.2</v>
      </c>
      <c r="I145" s="1" t="s">
        <v>1052</v>
      </c>
      <c r="J145" s="1">
        <v>80.0</v>
      </c>
      <c r="K145" s="1" t="s">
        <v>1053</v>
      </c>
      <c r="L145" s="1" t="s">
        <v>1054</v>
      </c>
      <c r="M145" s="1" t="s">
        <v>1055</v>
      </c>
      <c r="N145" s="1" t="s">
        <v>1056</v>
      </c>
      <c r="O145" s="1" t="s">
        <v>1057</v>
      </c>
      <c r="P145" s="1">
        <v>193217.0</v>
      </c>
      <c r="Q145" s="3" t="str">
        <f>VLOOKUP(A145,Posters!A145:B1144,2)</f>
        <v>https://m.media-amazon.com/images/M/MV5BY2FhZGI5M2QtZWFiZS00NjkwLWE4NWQtMzg3ZDZjNjdkYTJiXkEyXkFqcGdeQXVyMTMxODk2OTU@._V1_UX67_CR0,0,67,98_AL_.jpg</v>
      </c>
    </row>
    <row r="146">
      <c r="A146" s="1">
        <v>145.0</v>
      </c>
      <c r="B146" s="1" t="s">
        <v>1058</v>
      </c>
      <c r="C146" s="2">
        <v>1.3657115E7</v>
      </c>
      <c r="D146" s="1">
        <v>2011.0</v>
      </c>
      <c r="E146" s="1" t="s">
        <v>37</v>
      </c>
      <c r="F146" s="1" t="s">
        <v>1059</v>
      </c>
      <c r="G146" s="1" t="s">
        <v>1060</v>
      </c>
      <c r="H146" s="1">
        <v>8.2</v>
      </c>
      <c r="I146" s="1" t="s">
        <v>1061</v>
      </c>
      <c r="J146" s="1">
        <v>71.0</v>
      </c>
      <c r="K146" s="1" t="s">
        <v>1062</v>
      </c>
      <c r="L146" s="1" t="s">
        <v>504</v>
      </c>
      <c r="M146" s="1" t="s">
        <v>1063</v>
      </c>
      <c r="N146" s="1" t="s">
        <v>1064</v>
      </c>
      <c r="O146" s="1" t="s">
        <v>1065</v>
      </c>
      <c r="P146" s="1">
        <v>435950.0</v>
      </c>
      <c r="Q146" s="3" t="str">
        <f>VLOOKUP(A146,Posters!A146:B1145,2)</f>
        <v>https://m.media-amazon.com/images/M/MV5BMTk4ODk5MTMyNV5BMl5BanBnXkFtZTcwMDMyNTg0Ng@@._V1_UX67_CR0,0,67,98_AL_.jpg</v>
      </c>
    </row>
    <row r="147">
      <c r="A147" s="1">
        <v>146.0</v>
      </c>
      <c r="B147" s="1" t="s">
        <v>1066</v>
      </c>
      <c r="C147" s="2">
        <v>1.28012934E8</v>
      </c>
      <c r="D147" s="1">
        <v>2010.0</v>
      </c>
      <c r="E147" s="1" t="s">
        <v>18</v>
      </c>
      <c r="F147" s="1" t="s">
        <v>947</v>
      </c>
      <c r="G147" s="1" t="s">
        <v>544</v>
      </c>
      <c r="H147" s="1">
        <v>8.2</v>
      </c>
      <c r="I147" s="1" t="s">
        <v>1067</v>
      </c>
      <c r="J147" s="1">
        <v>63.0</v>
      </c>
      <c r="K147" s="1" t="s">
        <v>139</v>
      </c>
      <c r="L147" s="1" t="s">
        <v>90</v>
      </c>
      <c r="M147" s="1" t="s">
        <v>1068</v>
      </c>
      <c r="N147" s="1" t="s">
        <v>481</v>
      </c>
      <c r="O147" s="1" t="s">
        <v>84</v>
      </c>
      <c r="P147" s="1">
        <v>1129894.0</v>
      </c>
      <c r="Q147" s="3" t="str">
        <f>VLOOKUP(A147,Posters!A147:B1146,2)</f>
        <v>https://m.media-amazon.com/images/M/MV5BYzhiNDkyNzktNTZmYS00ZTBkLTk2MDAtM2U0YjU1MzgxZjgzXkEyXkFqcGdeQXVyMTMxODk2OTU@._V1_UX67_CR0,0,67,98_AL_.jpg</v>
      </c>
    </row>
    <row r="148">
      <c r="A148" s="1">
        <v>147.0</v>
      </c>
      <c r="B148" s="1" t="s">
        <v>1069</v>
      </c>
      <c r="C148" s="2">
        <v>2.93004164E8</v>
      </c>
      <c r="D148" s="1">
        <v>2009.0</v>
      </c>
      <c r="E148" s="1" t="s">
        <v>52</v>
      </c>
      <c r="F148" s="1" t="s">
        <v>53</v>
      </c>
      <c r="G148" s="1" t="s">
        <v>765</v>
      </c>
      <c r="H148" s="1">
        <v>8.2</v>
      </c>
      <c r="I148" s="1" t="s">
        <v>1070</v>
      </c>
      <c r="J148" s="1">
        <v>88.0</v>
      </c>
      <c r="K148" s="1" t="s">
        <v>1071</v>
      </c>
      <c r="L148" s="1" t="s">
        <v>1072</v>
      </c>
      <c r="M148" s="1" t="s">
        <v>1073</v>
      </c>
      <c r="N148" s="1" t="s">
        <v>1074</v>
      </c>
      <c r="O148" s="1" t="s">
        <v>1075</v>
      </c>
      <c r="P148" s="1">
        <v>935507.0</v>
      </c>
      <c r="Q148" s="3" t="str">
        <f>VLOOKUP(A148,Posters!A148:B1147,2)</f>
        <v>https://m.media-amazon.com/images/M/MV5BMTk3NDE2NzI4NF5BMl5BanBnXkFtZTgwNzE1MzEyMTE@._V1_UX67_CR0,0,67,98_AL_.jpg</v>
      </c>
    </row>
    <row r="149">
      <c r="A149" s="1">
        <v>148.0</v>
      </c>
      <c r="B149" s="1" t="s">
        <v>1076</v>
      </c>
      <c r="C149" s="2">
        <v>1.16900694E8</v>
      </c>
      <c r="D149" s="1">
        <v>2013.0</v>
      </c>
      <c r="E149" s="1" t="s">
        <v>18</v>
      </c>
      <c r="F149" s="1" t="s">
        <v>1077</v>
      </c>
      <c r="G149" s="1" t="s">
        <v>137</v>
      </c>
      <c r="H149" s="1">
        <v>8.2</v>
      </c>
      <c r="I149" s="1" t="s">
        <v>1078</v>
      </c>
      <c r="J149" s="1">
        <v>75.0</v>
      </c>
      <c r="K149" s="1" t="s">
        <v>139</v>
      </c>
      <c r="L149" s="1" t="s">
        <v>90</v>
      </c>
      <c r="M149" s="1" t="s">
        <v>1079</v>
      </c>
      <c r="N149" s="1" t="s">
        <v>1080</v>
      </c>
      <c r="O149" s="1" t="s">
        <v>190</v>
      </c>
      <c r="P149" s="1">
        <v>1187498.0</v>
      </c>
      <c r="Q149" s="3" t="str">
        <f>VLOOKUP(A149,Posters!A149:B1148,2)</f>
        <v>https://m.media-amazon.com/images/M/MV5BMjIxMjgxNTk0MF5BMl5BanBnXkFtZTgwNjIyOTg2MDE@._V1_UX67_CR0,0,67,98_AL_.jpg</v>
      </c>
    </row>
    <row r="150">
      <c r="A150" s="1">
        <v>149.0</v>
      </c>
      <c r="B150" s="1" t="s">
        <v>1081</v>
      </c>
      <c r="C150" s="2">
        <v>1113541.0</v>
      </c>
      <c r="D150" s="1">
        <v>2007.0</v>
      </c>
      <c r="E150" s="1" t="s">
        <v>52</v>
      </c>
      <c r="F150" s="1" t="s">
        <v>179</v>
      </c>
      <c r="G150" s="1" t="s">
        <v>756</v>
      </c>
      <c r="H150" s="1">
        <v>8.2</v>
      </c>
      <c r="I150" s="1" t="s">
        <v>1082</v>
      </c>
      <c r="J150" s="1">
        <v>68.0</v>
      </c>
      <c r="K150" s="1" t="s">
        <v>1083</v>
      </c>
      <c r="L150" s="1" t="s">
        <v>1084</v>
      </c>
      <c r="M150" s="1" t="s">
        <v>1085</v>
      </c>
      <c r="N150" s="1" t="s">
        <v>1086</v>
      </c>
      <c r="O150" s="1" t="s">
        <v>1087</v>
      </c>
      <c r="P150" s="1">
        <v>74129.0</v>
      </c>
      <c r="Q150" s="3" t="str">
        <f>VLOOKUP(A150,Posters!A150:B1149,2)</f>
        <v>https://m.media-amazon.com/images/M/MV5BMTUzODMyNzk4NV5BMl5BanBnXkFtZTgwNTk1NTYyNTM@._V1_UY98_CR3,0,67,98_AL_.jpg</v>
      </c>
    </row>
    <row r="151">
      <c r="A151" s="1">
        <v>150.0</v>
      </c>
      <c r="B151" s="1" t="s">
        <v>1088</v>
      </c>
      <c r="C151" s="2">
        <v>4.0222514E7</v>
      </c>
      <c r="D151" s="1">
        <v>2007.0</v>
      </c>
      <c r="E151" s="1" t="s">
        <v>18</v>
      </c>
      <c r="F151" s="1" t="s">
        <v>1089</v>
      </c>
      <c r="G151" s="1" t="s">
        <v>20</v>
      </c>
      <c r="H151" s="1">
        <v>8.2</v>
      </c>
      <c r="I151" s="1" t="s">
        <v>1090</v>
      </c>
      <c r="J151" s="1">
        <v>93.0</v>
      </c>
      <c r="K151" s="1" t="s">
        <v>1091</v>
      </c>
      <c r="L151" s="1" t="s">
        <v>1092</v>
      </c>
      <c r="M151" s="1" t="s">
        <v>1093</v>
      </c>
      <c r="N151" s="1" t="s">
        <v>1094</v>
      </c>
      <c r="O151" s="1" t="s">
        <v>1095</v>
      </c>
      <c r="P151" s="1">
        <v>517359.0</v>
      </c>
      <c r="Q151" s="3" t="str">
        <f>VLOOKUP(A151,Posters!A151:B1150,2)</f>
        <v>https://m.media-amazon.com/images/M/MV5BMjAxODQ4MDU5NV5BMl5BanBnXkFtZTcwMDU4MjU1MQ@@._V1_UX67_CR0,0,67,98_AL_.jpg</v>
      </c>
    </row>
    <row r="152">
      <c r="A152" s="1">
        <v>151.0</v>
      </c>
      <c r="B152" s="1" t="s">
        <v>1096</v>
      </c>
      <c r="C152" s="2">
        <v>3.7634615E7</v>
      </c>
      <c r="D152" s="1">
        <v>2006.0</v>
      </c>
      <c r="E152" s="1" t="s">
        <v>37</v>
      </c>
      <c r="F152" s="1" t="s">
        <v>240</v>
      </c>
      <c r="G152" s="1" t="s">
        <v>1097</v>
      </c>
      <c r="H152" s="1">
        <v>8.2</v>
      </c>
      <c r="I152" s="1" t="s">
        <v>1098</v>
      </c>
      <c r="J152" s="1">
        <v>98.0</v>
      </c>
      <c r="K152" s="1" t="s">
        <v>1099</v>
      </c>
      <c r="L152" s="1" t="s">
        <v>1100</v>
      </c>
      <c r="M152" s="1" t="s">
        <v>1101</v>
      </c>
      <c r="N152" s="1" t="s">
        <v>1102</v>
      </c>
      <c r="O152" s="1" t="s">
        <v>1103</v>
      </c>
      <c r="P152" s="1">
        <v>618623.0</v>
      </c>
      <c r="Q152" s="3" t="str">
        <f>VLOOKUP(A152,Posters!A152:B1151,2)</f>
        <v>https://m.media-amazon.com/images/M/MV5BMTU3ODg2NjQ5NF5BMl5BanBnXkFtZTcwMDEwODgzMQ@@._V1_UX67_CR0,0,67,98_AL_.jpg</v>
      </c>
    </row>
    <row r="153">
      <c r="A153" s="1">
        <v>152.0</v>
      </c>
      <c r="B153" s="1" t="s">
        <v>1104</v>
      </c>
      <c r="C153" s="2">
        <v>4.1500488E8</v>
      </c>
      <c r="D153" s="1">
        <v>2010.0</v>
      </c>
      <c r="E153" s="1" t="s">
        <v>52</v>
      </c>
      <c r="F153" s="1" t="s">
        <v>885</v>
      </c>
      <c r="G153" s="1" t="s">
        <v>765</v>
      </c>
      <c r="H153" s="1">
        <v>8.2</v>
      </c>
      <c r="I153" s="1" t="s">
        <v>1105</v>
      </c>
      <c r="J153" s="1">
        <v>92.0</v>
      </c>
      <c r="K153" s="1" t="s">
        <v>489</v>
      </c>
      <c r="L153" s="1" t="s">
        <v>110</v>
      </c>
      <c r="M153" s="1" t="s">
        <v>768</v>
      </c>
      <c r="N153" s="1" t="s">
        <v>1106</v>
      </c>
      <c r="O153" s="1" t="s">
        <v>1107</v>
      </c>
      <c r="P153" s="1">
        <v>757032.0</v>
      </c>
      <c r="Q153" s="3" t="str">
        <f>VLOOKUP(A153,Posters!A153:B1152,2)</f>
        <v>https://m.media-amazon.com/images/M/MV5BMTgxOTY4Mjc0MF5BMl5BanBnXkFtZTcwNTA4MDQyMw@@._V1_UY98_CR1,0,67,98_AL_.jpg</v>
      </c>
    </row>
    <row r="154">
      <c r="A154" s="1">
        <v>153.0</v>
      </c>
      <c r="B154" s="1" t="s">
        <v>1108</v>
      </c>
      <c r="C154" s="2">
        <v>7.0511035E7</v>
      </c>
      <c r="D154" s="1">
        <v>2005.0</v>
      </c>
      <c r="E154" s="1" t="s">
        <v>18</v>
      </c>
      <c r="F154" s="1" t="s">
        <v>170</v>
      </c>
      <c r="G154" s="1" t="s">
        <v>1109</v>
      </c>
      <c r="H154" s="1">
        <v>8.2</v>
      </c>
      <c r="I154" s="1" t="s">
        <v>1110</v>
      </c>
      <c r="J154" s="1">
        <v>62.0</v>
      </c>
      <c r="K154" s="1" t="s">
        <v>1111</v>
      </c>
      <c r="L154" s="1" t="s">
        <v>1112</v>
      </c>
      <c r="M154" s="1" t="s">
        <v>348</v>
      </c>
      <c r="N154" s="1" t="s">
        <v>1113</v>
      </c>
      <c r="O154" s="1" t="s">
        <v>1114</v>
      </c>
      <c r="P154" s="1">
        <v>1032749.0</v>
      </c>
      <c r="Q154" s="3" t="str">
        <f>VLOOKUP(A154,Posters!A154:B1153,2)</f>
        <v>https://m.media-amazon.com/images/M/MV5BOTI5ODc3NzExNV5BMl5BanBnXkFtZTcwNzYxNzQzMw@@._V1_UX67_CR0,0,67,98_AL_.jpg</v>
      </c>
    </row>
    <row r="155">
      <c r="A155" s="1">
        <v>154.0</v>
      </c>
      <c r="B155" s="1" t="s">
        <v>1115</v>
      </c>
      <c r="C155" s="2">
        <v>2197331.0</v>
      </c>
      <c r="D155" s="1">
        <v>2006.0</v>
      </c>
      <c r="E155" s="1" t="s">
        <v>37</v>
      </c>
      <c r="F155" s="1" t="s">
        <v>984</v>
      </c>
      <c r="G155" s="1" t="s">
        <v>831</v>
      </c>
      <c r="H155" s="1">
        <v>8.2</v>
      </c>
      <c r="I155" s="1" t="s">
        <v>1116</v>
      </c>
      <c r="K155" s="1" t="s">
        <v>1022</v>
      </c>
      <c r="L155" s="1" t="s">
        <v>461</v>
      </c>
      <c r="M155" s="1" t="s">
        <v>1117</v>
      </c>
      <c r="N155" s="1" t="s">
        <v>1118</v>
      </c>
      <c r="O155" s="1" t="s">
        <v>511</v>
      </c>
      <c r="P155" s="1">
        <v>111937.0</v>
      </c>
      <c r="Q155" s="3" t="str">
        <f>VLOOKUP(A155,Posters!A155:B1154,2)</f>
        <v>https://m.media-amazon.com/images/M/MV5BYThmZDA0YmQtMWJhNy00MDQwLTk0Y2YtMDhmZTE5ZjhlNjliXkEyXkFqcGdeQXVyODE5NzE3OTE@._V1_UY98_CR1,0,67,98_AL_.jpg</v>
      </c>
    </row>
    <row r="156">
      <c r="A156" s="1">
        <v>155.0</v>
      </c>
      <c r="B156" s="1" t="s">
        <v>1119</v>
      </c>
      <c r="C156" s="2">
        <v>733094.0</v>
      </c>
      <c r="D156" s="1">
        <v>2005.0</v>
      </c>
      <c r="E156" s="1" t="s">
        <v>52</v>
      </c>
      <c r="F156" s="1" t="s">
        <v>279</v>
      </c>
      <c r="G156" s="1" t="s">
        <v>20</v>
      </c>
      <c r="H156" s="1">
        <v>8.2</v>
      </c>
      <c r="I156" s="1" t="s">
        <v>1120</v>
      </c>
      <c r="K156" s="1" t="s">
        <v>1121</v>
      </c>
      <c r="L156" s="1" t="s">
        <v>592</v>
      </c>
      <c r="M156" s="1" t="s">
        <v>1122</v>
      </c>
      <c r="N156" s="1" t="s">
        <v>1123</v>
      </c>
      <c r="O156" s="1" t="s">
        <v>1124</v>
      </c>
      <c r="P156" s="1">
        <v>33354.0</v>
      </c>
      <c r="Q156" s="3" t="str">
        <f>VLOOKUP(A156,Posters!A156:B1155,2)</f>
        <v>https://m.media-amazon.com/images/M/MV5BNTI5MmE5M2UtZjIzYS00M2JjLWIwNDItYTY2ZWNiODBmYTBiXkEyXkFqcGdeQXVyNjQ2MjQ5NzM@._V1_UY98_CR0,0,67,98_AL_.jpg</v>
      </c>
    </row>
    <row r="157">
      <c r="A157" s="1">
        <v>156.0</v>
      </c>
      <c r="B157" s="1" t="s">
        <v>1125</v>
      </c>
      <c r="C157" s="2">
        <v>2.06852432E8</v>
      </c>
      <c r="D157" s="1">
        <v>2005.0</v>
      </c>
      <c r="E157" s="1" t="s">
        <v>37</v>
      </c>
      <c r="F157" s="1" t="s">
        <v>1059</v>
      </c>
      <c r="G157" s="1" t="s">
        <v>502</v>
      </c>
      <c r="H157" s="1">
        <v>8.2</v>
      </c>
      <c r="I157" s="1" t="s">
        <v>1126</v>
      </c>
      <c r="J157" s="1">
        <v>70.0</v>
      </c>
      <c r="K157" s="1" t="s">
        <v>41</v>
      </c>
      <c r="L157" s="1" t="s">
        <v>42</v>
      </c>
      <c r="M157" s="1" t="s">
        <v>45</v>
      </c>
      <c r="N157" s="1" t="s">
        <v>93</v>
      </c>
      <c r="O157" s="1" t="s">
        <v>82</v>
      </c>
      <c r="P157" s="1">
        <v>1308302.0</v>
      </c>
      <c r="Q157" s="3" t="str">
        <f>VLOOKUP(A157,Posters!A157:B1156,2)</f>
        <v>https://m.media-amazon.com/images/M/MV5BOTY4YjI2N2MtYmFlMC00ZjcyLTg3YjEtMDQyM2ZjYzQ5YWFkXkEyXkFqcGdeQXVyMTQxNzMzNDI@._V1_UX67_CR0,0,67,98_AL_.jpg</v>
      </c>
    </row>
    <row r="158">
      <c r="A158" s="1">
        <v>157.0</v>
      </c>
      <c r="B158" s="1" t="s">
        <v>1127</v>
      </c>
      <c r="C158" s="2">
        <v>1223240.0</v>
      </c>
      <c r="D158" s="1">
        <v>2004.0</v>
      </c>
      <c r="E158" s="1" t="s">
        <v>52</v>
      </c>
      <c r="F158" s="1" t="s">
        <v>1128</v>
      </c>
      <c r="G158" s="1" t="s">
        <v>20</v>
      </c>
      <c r="H158" s="1">
        <v>8.2</v>
      </c>
      <c r="I158" s="1" t="s">
        <v>1129</v>
      </c>
      <c r="K158" s="1" t="s">
        <v>1130</v>
      </c>
      <c r="L158" s="1" t="s">
        <v>1084</v>
      </c>
      <c r="M158" s="1" t="s">
        <v>1131</v>
      </c>
      <c r="N158" s="1" t="s">
        <v>1132</v>
      </c>
      <c r="O158" s="1" t="s">
        <v>1133</v>
      </c>
      <c r="P158" s="1">
        <v>83005.0</v>
      </c>
      <c r="Q158" s="3" t="str">
        <f>VLOOKUP(A158,Posters!A158:B1157,2)</f>
        <v>https://m.media-amazon.com/images/M/MV5BYzExOTcwNjYtZTljMC00YTQ2LWI2YjYtNWFlYzQ0YTJhNzJmXkEyXkFqcGdeQXVyNjQ2MjQ5NzM@._V1_UY98_CR0,0,67,98_AL_.jpg</v>
      </c>
    </row>
    <row r="159">
      <c r="A159" s="1">
        <v>158.0</v>
      </c>
      <c r="B159" s="1" t="s">
        <v>1134</v>
      </c>
      <c r="C159" s="2">
        <v>5509040.0</v>
      </c>
      <c r="D159" s="1">
        <v>2004.0</v>
      </c>
      <c r="E159" s="1" t="s">
        <v>212</v>
      </c>
      <c r="F159" s="1" t="s">
        <v>955</v>
      </c>
      <c r="G159" s="1" t="s">
        <v>79</v>
      </c>
      <c r="H159" s="1">
        <v>8.2</v>
      </c>
      <c r="I159" s="1" t="s">
        <v>1135</v>
      </c>
      <c r="J159" s="1">
        <v>82.0</v>
      </c>
      <c r="K159" s="1" t="s">
        <v>1136</v>
      </c>
      <c r="L159" s="1" t="s">
        <v>1137</v>
      </c>
      <c r="M159" s="1" t="s">
        <v>1138</v>
      </c>
      <c r="N159" s="1" t="s">
        <v>1139</v>
      </c>
      <c r="O159" s="1" t="s">
        <v>1140</v>
      </c>
      <c r="P159" s="1">
        <v>331308.0</v>
      </c>
      <c r="Q159" s="3" t="str">
        <f>VLOOKUP(A159,Posters!A159:B1158,2)</f>
        <v>https://m.media-amazon.com/images/M/MV5BMTU0NTU5NTAyMl5BMl5BanBnXkFtZTYwNzYwMDg2._V1_UX67_CR0,0,67,98_AL_.jpg</v>
      </c>
    </row>
    <row r="160">
      <c r="A160" s="1">
        <v>159.0</v>
      </c>
      <c r="B160" s="1" t="s">
        <v>1141</v>
      </c>
      <c r="C160" s="2">
        <v>4711096.0</v>
      </c>
      <c r="D160" s="1">
        <v>2004.0</v>
      </c>
      <c r="E160" s="1" t="s">
        <v>52</v>
      </c>
      <c r="F160" s="1" t="s">
        <v>329</v>
      </c>
      <c r="G160" s="1" t="s">
        <v>204</v>
      </c>
      <c r="H160" s="1">
        <v>8.2</v>
      </c>
      <c r="I160" s="1" t="s">
        <v>1142</v>
      </c>
      <c r="J160" s="1">
        <v>80.0</v>
      </c>
      <c r="K160" s="1" t="s">
        <v>206</v>
      </c>
      <c r="L160" s="1" t="s">
        <v>1143</v>
      </c>
      <c r="M160" s="1" t="s">
        <v>1144</v>
      </c>
      <c r="N160" s="1" t="s">
        <v>1145</v>
      </c>
      <c r="O160" s="1" t="s">
        <v>1146</v>
      </c>
      <c r="P160" s="1">
        <v>333915.0</v>
      </c>
      <c r="Q160" s="3" t="str">
        <f>VLOOKUP(A160,Posters!A160:B1159,2)</f>
        <v>https://m.media-amazon.com/images/M/MV5BNmM4YTFmMmItMGE3Yy00MmRkLTlmZGEtMzZlOTQzYjk3MzA2XkEyXkFqcGdeQXVyMTMxODk2OTU@._V1_UX67_CR0,0,67,98_AL_.jpg</v>
      </c>
    </row>
    <row r="161">
      <c r="A161" s="1">
        <v>160.0</v>
      </c>
      <c r="B161" s="1" t="s">
        <v>1147</v>
      </c>
      <c r="C161" s="2">
        <v>1.70742341E8</v>
      </c>
      <c r="D161" s="1">
        <v>2001.0</v>
      </c>
      <c r="E161" s="1" t="s">
        <v>37</v>
      </c>
      <c r="F161" s="1" t="s">
        <v>1044</v>
      </c>
      <c r="G161" s="1" t="s">
        <v>1148</v>
      </c>
      <c r="H161" s="1">
        <v>8.2</v>
      </c>
      <c r="I161" s="1" t="s">
        <v>1149</v>
      </c>
      <c r="J161" s="1">
        <v>72.0</v>
      </c>
      <c r="K161" s="1" t="s">
        <v>1150</v>
      </c>
      <c r="L161" s="1" t="s">
        <v>325</v>
      </c>
      <c r="M161" s="1" t="s">
        <v>1151</v>
      </c>
      <c r="N161" s="1" t="s">
        <v>742</v>
      </c>
      <c r="O161" s="1" t="s">
        <v>1152</v>
      </c>
      <c r="P161" s="1">
        <v>848920.0</v>
      </c>
      <c r="Q161" s="3" t="str">
        <f>VLOOKUP(A161,Posters!A161:B1160,2)</f>
        <v>https://m.media-amazon.com/images/M/MV5BMzcwYWFkYzktZjAzNC00OGY1LWI4YTgtNzc5MzVjMDVmNjY0XkEyXkFqcGdeQXVyMTQxNzMzNDI@._V1_UX67_CR0,0,67,98_AL_.jpg</v>
      </c>
    </row>
    <row r="162">
      <c r="A162" s="1">
        <v>161.0</v>
      </c>
      <c r="B162" s="1" t="s">
        <v>1153</v>
      </c>
      <c r="D162" s="1">
        <v>2000.0</v>
      </c>
      <c r="E162" s="1" t="s">
        <v>52</v>
      </c>
      <c r="F162" s="1" t="s">
        <v>955</v>
      </c>
      <c r="G162" s="1" t="s">
        <v>1029</v>
      </c>
      <c r="H162" s="1">
        <v>8.2</v>
      </c>
      <c r="I162" s="1" t="s">
        <v>1154</v>
      </c>
      <c r="K162" s="1" t="s">
        <v>1155</v>
      </c>
      <c r="L162" s="1" t="s">
        <v>1156</v>
      </c>
      <c r="M162" s="1" t="s">
        <v>1157</v>
      </c>
      <c r="N162" s="1" t="s">
        <v>184</v>
      </c>
      <c r="O162" s="1" t="s">
        <v>660</v>
      </c>
      <c r="P162" s="1">
        <v>57057.0</v>
      </c>
      <c r="Q162" s="3" t="str">
        <f>VLOOKUP(A162,Posters!A162:B1161,2)</f>
        <v>https://m.media-amazon.com/images/M/MV5BMGMzZjY2ZWQtZjQxYS00NWY3LThhNjItNWQzNTkzOTllODljXkEyXkFqcGdeQXVyNjY1MTg4Mzc@._V1_UY98_CR1,0,67,98_AL_.jpg</v>
      </c>
    </row>
    <row r="163">
      <c r="A163" s="1">
        <v>162.0</v>
      </c>
      <c r="B163" s="1" t="s">
        <v>1158</v>
      </c>
      <c r="C163" s="2">
        <v>3897569.0</v>
      </c>
      <c r="D163" s="1">
        <v>1998.0</v>
      </c>
      <c r="E163" s="1" t="s">
        <v>18</v>
      </c>
      <c r="F163" s="1" t="s">
        <v>907</v>
      </c>
      <c r="G163" s="1" t="s">
        <v>1029</v>
      </c>
      <c r="H163" s="1">
        <v>8.2</v>
      </c>
      <c r="I163" s="1" t="s">
        <v>1159</v>
      </c>
      <c r="J163" s="1">
        <v>66.0</v>
      </c>
      <c r="K163" s="1" t="s">
        <v>733</v>
      </c>
      <c r="L163" s="1" t="s">
        <v>1160</v>
      </c>
      <c r="M163" s="1" t="s">
        <v>1161</v>
      </c>
      <c r="N163" s="1" t="s">
        <v>1162</v>
      </c>
      <c r="O163" s="1" t="s">
        <v>734</v>
      </c>
      <c r="P163" s="1">
        <v>535216.0</v>
      </c>
      <c r="Q163" s="3" t="str">
        <f>VLOOKUP(A163,Posters!A163:B1162,2)</f>
        <v>https://m.media-amazon.com/images/M/MV5BMTAyN2JmZmEtNjAyMy00NzYwLThmY2MtYWQ3OGNhNjExMmM4XkEyXkFqcGdeQXVyNDk3NzU2MTQ@._V1_UX67_CR0,0,67,98_AL_.jpg</v>
      </c>
    </row>
    <row r="164">
      <c r="A164" s="1">
        <v>163.0</v>
      </c>
      <c r="B164" s="1" t="s">
        <v>1163</v>
      </c>
      <c r="C164" s="2">
        <v>6.461694E7</v>
      </c>
      <c r="D164" s="1">
        <v>1997.0</v>
      </c>
      <c r="E164" s="1" t="s">
        <v>18</v>
      </c>
      <c r="F164" s="1" t="s">
        <v>947</v>
      </c>
      <c r="G164" s="1" t="s">
        <v>235</v>
      </c>
      <c r="H164" s="1">
        <v>8.2</v>
      </c>
      <c r="I164" s="1" t="s">
        <v>1164</v>
      </c>
      <c r="J164" s="1">
        <v>90.0</v>
      </c>
      <c r="K164" s="1" t="s">
        <v>1165</v>
      </c>
      <c r="L164" s="1" t="s">
        <v>237</v>
      </c>
      <c r="M164" s="1" t="s">
        <v>325</v>
      </c>
      <c r="N164" s="1" t="s">
        <v>546</v>
      </c>
      <c r="O164" s="1" t="s">
        <v>1166</v>
      </c>
      <c r="P164" s="1">
        <v>531967.0</v>
      </c>
      <c r="Q164" s="3" t="str">
        <f>VLOOKUP(A164,Posters!A164:B1163,2)</f>
        <v>https://m.media-amazon.com/images/M/MV5BMDQ2YzEyZGItYWRhOS00MjBmLTkzMDUtMTdjYzkyMmQxZTJlXkEyXkFqcGdeQXVyNjU0OTQ0OTY@._V1_UX67_CR0,0,67,98_AL_.jpg</v>
      </c>
    </row>
    <row r="165">
      <c r="A165" s="1">
        <v>164.0</v>
      </c>
      <c r="B165" s="1" t="s">
        <v>1167</v>
      </c>
      <c r="C165" s="2">
        <v>1200000.0</v>
      </c>
      <c r="D165" s="1">
        <v>1996.0</v>
      </c>
      <c r="E165" s="1">
        <v>12.0</v>
      </c>
      <c r="F165" s="1" t="s">
        <v>878</v>
      </c>
      <c r="G165" s="1" t="s">
        <v>241</v>
      </c>
      <c r="H165" s="1">
        <v>8.2</v>
      </c>
      <c r="I165" s="1" t="s">
        <v>1168</v>
      </c>
      <c r="K165" s="1" t="s">
        <v>1169</v>
      </c>
      <c r="L165" s="1" t="s">
        <v>1170</v>
      </c>
      <c r="M165" s="1" t="s">
        <v>1171</v>
      </c>
      <c r="N165" s="1" t="s">
        <v>1172</v>
      </c>
      <c r="O165" s="1" t="s">
        <v>1173</v>
      </c>
      <c r="P165" s="1">
        <v>64118.0</v>
      </c>
      <c r="Q165" s="3" t="str">
        <f>VLOOKUP(A165,Posters!A165:B1164,2)</f>
        <v>https://m.media-amazon.com/images/M/MV5BOGQ4ZjFmYjktOGNkNS00OWYyLWIyZjgtMGJjM2U1ZTA0ZTlhXkEyXkFqcGdeQXVyNTA4NzY1MzY@._V1_UY98_CR1,0,67,98_AL_.jpg</v>
      </c>
    </row>
    <row r="166">
      <c r="A166" s="1">
        <v>165.0</v>
      </c>
      <c r="B166" s="1" t="s">
        <v>1174</v>
      </c>
      <c r="C166" s="2">
        <v>6.7436818E7</v>
      </c>
      <c r="D166" s="1">
        <v>1995.0</v>
      </c>
      <c r="E166" s="1" t="s">
        <v>18</v>
      </c>
      <c r="F166" s="1" t="s">
        <v>506</v>
      </c>
      <c r="G166" s="1" t="s">
        <v>241</v>
      </c>
      <c r="H166" s="1">
        <v>8.2</v>
      </c>
      <c r="I166" s="1" t="s">
        <v>1175</v>
      </c>
      <c r="J166" s="1">
        <v>76.0</v>
      </c>
      <c r="K166" s="1" t="s">
        <v>1176</v>
      </c>
      <c r="L166" s="1" t="s">
        <v>33</v>
      </c>
      <c r="M166" s="1" t="s">
        <v>49</v>
      </c>
      <c r="N166" s="1" t="s">
        <v>1177</v>
      </c>
      <c r="O166" s="1" t="s">
        <v>1178</v>
      </c>
      <c r="P166" s="1">
        <v>577113.0</v>
      </c>
      <c r="Q166" s="3" t="str">
        <f>VLOOKUP(A166,Posters!A166:B1165,2)</f>
        <v>https://m.media-amazon.com/images/M/MV5BNGMwNzUwNjYtZWM5NS00YzMyLWI4NjAtNjM0ZDBiMzE1YWExXkEyXkFqcGdeQXVyNDk3NzU2MTQ@._V1_UX67_CR0,0,67,98_AL_.jpg</v>
      </c>
    </row>
    <row r="167">
      <c r="A167" s="1">
        <v>166.0</v>
      </c>
      <c r="B167" s="1" t="s">
        <v>1179</v>
      </c>
      <c r="C167" s="2">
        <v>4.24383E7</v>
      </c>
      <c r="D167" s="1">
        <v>1995.0</v>
      </c>
      <c r="E167" s="1" t="s">
        <v>18</v>
      </c>
      <c r="F167" s="1" t="s">
        <v>103</v>
      </c>
      <c r="G167" s="1" t="s">
        <v>29</v>
      </c>
      <c r="H167" s="1">
        <v>8.2</v>
      </c>
      <c r="I167" s="1" t="s">
        <v>1180</v>
      </c>
      <c r="J167" s="1">
        <v>73.0</v>
      </c>
      <c r="K167" s="1" t="s">
        <v>139</v>
      </c>
      <c r="L167" s="1" t="s">
        <v>49</v>
      </c>
      <c r="M167" s="1" t="s">
        <v>1181</v>
      </c>
      <c r="N167" s="1" t="s">
        <v>141</v>
      </c>
      <c r="O167" s="1" t="s">
        <v>559</v>
      </c>
      <c r="P167" s="1">
        <v>466276.0</v>
      </c>
      <c r="Q167" s="3" t="str">
        <f>VLOOKUP(A167,Posters!A167:B1166,2)</f>
        <v>https://m.media-amazon.com/images/M/MV5BMTcxOWYzNDYtYmM4YS00N2NkLTk0NTAtNjg1ODgwZjAxYzI3XkEyXkFqcGdeQXVyNTA4NzY1MzY@._V1_UX67_CR0,0,67,98_AL_.jpg</v>
      </c>
    </row>
    <row r="168">
      <c r="A168" s="1">
        <v>167.0</v>
      </c>
      <c r="B168" s="1" t="s">
        <v>1182</v>
      </c>
      <c r="D168" s="1">
        <v>1994.0</v>
      </c>
      <c r="E168" s="1" t="s">
        <v>52</v>
      </c>
      <c r="F168" s="1" t="s">
        <v>162</v>
      </c>
      <c r="G168" s="1" t="s">
        <v>1183</v>
      </c>
      <c r="H168" s="1">
        <v>8.2</v>
      </c>
      <c r="I168" s="1" t="s">
        <v>1184</v>
      </c>
      <c r="K168" s="1" t="s">
        <v>1185</v>
      </c>
      <c r="L168" s="1" t="s">
        <v>461</v>
      </c>
      <c r="M168" s="1" t="s">
        <v>1186</v>
      </c>
      <c r="N168" s="1" t="s">
        <v>1187</v>
      </c>
      <c r="O168" s="1" t="s">
        <v>1188</v>
      </c>
      <c r="P168" s="1">
        <v>49300.0</v>
      </c>
      <c r="Q168" s="3" t="str">
        <f>VLOOKUP(A168,Posters!A168:B1167,2)</f>
        <v>https://m.media-amazon.com/images/M/MV5BZTIwYzRjMGYtZWQ0Ni00NDZhLThhZDYtOGViZGJiZTkwMzk2XkEyXkFqcGdeQXVyODE5NzE3OTE@._V1_UY98_CR3,0,67,98_AL_.jpg</v>
      </c>
    </row>
    <row r="169">
      <c r="A169" s="1">
        <v>168.0</v>
      </c>
      <c r="B169" s="1" t="s">
        <v>1189</v>
      </c>
      <c r="C169" s="2">
        <v>1.01157447E8</v>
      </c>
      <c r="D169" s="1">
        <v>1992.0</v>
      </c>
      <c r="E169" s="1" t="s">
        <v>18</v>
      </c>
      <c r="F169" s="1" t="s">
        <v>195</v>
      </c>
      <c r="G169" s="1" t="s">
        <v>495</v>
      </c>
      <c r="H169" s="1">
        <v>8.2</v>
      </c>
      <c r="I169" s="1" t="s">
        <v>1190</v>
      </c>
      <c r="J169" s="1">
        <v>85.0</v>
      </c>
      <c r="K169" s="1" t="s">
        <v>119</v>
      </c>
      <c r="L169" s="1" t="s">
        <v>119</v>
      </c>
      <c r="M169" s="1" t="s">
        <v>1191</v>
      </c>
      <c r="N169" s="1" t="s">
        <v>24</v>
      </c>
      <c r="O169" s="1" t="s">
        <v>1192</v>
      </c>
      <c r="P169" s="1">
        <v>375935.0</v>
      </c>
      <c r="Q169" s="3" t="str">
        <f>VLOOKUP(A169,Posters!A169:B1168,2)</f>
        <v>https://m.media-amazon.com/images/M/MV5BODM3YWY4NmQtN2Y3Ni00OTg0LWFhZGQtZWE3ZWY4MTJlOWU4XkEyXkFqcGdeQXVyNjU0OTQ0OTY@._V1_UX67_CR0,0,67,98_AL_.jpg</v>
      </c>
    </row>
    <row r="170">
      <c r="A170" s="1">
        <v>169.0</v>
      </c>
      <c r="B170" s="1" t="s">
        <v>1193</v>
      </c>
      <c r="C170" s="2">
        <v>1.97171806E8</v>
      </c>
      <c r="D170" s="1">
        <v>1989.0</v>
      </c>
      <c r="E170" s="1" t="s">
        <v>52</v>
      </c>
      <c r="F170" s="1" t="s">
        <v>234</v>
      </c>
      <c r="G170" s="1" t="s">
        <v>502</v>
      </c>
      <c r="H170" s="1">
        <v>8.2</v>
      </c>
      <c r="I170" s="1" t="s">
        <v>1194</v>
      </c>
      <c r="J170" s="1">
        <v>65.0</v>
      </c>
      <c r="K170" s="1" t="s">
        <v>81</v>
      </c>
      <c r="L170" s="1" t="s">
        <v>149</v>
      </c>
      <c r="M170" s="1" t="s">
        <v>1195</v>
      </c>
      <c r="N170" s="1" t="s">
        <v>1196</v>
      </c>
      <c r="O170" s="1" t="s">
        <v>1197</v>
      </c>
      <c r="P170" s="1">
        <v>692366.0</v>
      </c>
      <c r="Q170" s="3" t="str">
        <f>VLOOKUP(A170,Posters!A170:B1169,2)</f>
        <v>https://m.media-amazon.com/images/M/MV5BMjNkMzc2N2QtNjVlNS00ZTk5LTg0MTgtODY2MDAwNTMwZjBjXkEyXkFqcGdeQXVyNDk3NzU2MTQ@._V1_UX67_CR0,0,67,98_AL_.jpg</v>
      </c>
    </row>
    <row r="171">
      <c r="A171" s="1">
        <v>170.0</v>
      </c>
      <c r="B171" s="1" t="s">
        <v>1198</v>
      </c>
      <c r="C171" s="2">
        <v>280015.0</v>
      </c>
      <c r="D171" s="1">
        <v>1988.0</v>
      </c>
      <c r="E171" s="1" t="s">
        <v>212</v>
      </c>
      <c r="F171" s="1" t="s">
        <v>19</v>
      </c>
      <c r="G171" s="1" t="s">
        <v>831</v>
      </c>
      <c r="H171" s="1">
        <v>8.2</v>
      </c>
      <c r="I171" s="1" t="s">
        <v>1199</v>
      </c>
      <c r="K171" s="1" t="s">
        <v>1200</v>
      </c>
      <c r="L171" s="1" t="s">
        <v>1201</v>
      </c>
      <c r="M171" s="1" t="s">
        <v>1202</v>
      </c>
      <c r="N171" s="1" t="s">
        <v>1203</v>
      </c>
      <c r="O171" s="1" t="s">
        <v>1204</v>
      </c>
      <c r="P171" s="1">
        <v>26402.0</v>
      </c>
      <c r="Q171" s="3" t="str">
        <f>VLOOKUP(A171,Posters!A171:B1170,2)</f>
        <v>https://m.media-amazon.com/images/M/MV5BODI2ZjVlMGQtMWE5ZS00MjJiLWIyMWYtMGU5NmIxNDc0OTMyXkEyXkFqcGdeQXVyMTQ3Njg3MQ@@._V1_UX67_CR0,0,67,98_AL_.jpg</v>
      </c>
    </row>
    <row r="172">
      <c r="A172" s="1">
        <v>171.0</v>
      </c>
      <c r="B172" s="1" t="s">
        <v>1205</v>
      </c>
      <c r="C172" s="2">
        <v>1105564.0</v>
      </c>
      <c r="D172" s="1">
        <v>1988.0</v>
      </c>
      <c r="E172" s="1" t="s">
        <v>52</v>
      </c>
      <c r="F172" s="1" t="s">
        <v>1206</v>
      </c>
      <c r="G172" s="1" t="s">
        <v>1207</v>
      </c>
      <c r="H172" s="1">
        <v>8.2</v>
      </c>
      <c r="I172" s="1" t="s">
        <v>1208</v>
      </c>
      <c r="J172" s="1">
        <v>86.0</v>
      </c>
      <c r="K172" s="1" t="s">
        <v>206</v>
      </c>
      <c r="L172" s="1" t="s">
        <v>1209</v>
      </c>
      <c r="M172" s="1" t="s">
        <v>1210</v>
      </c>
      <c r="N172" s="1" t="s">
        <v>1211</v>
      </c>
      <c r="O172" s="1" t="s">
        <v>1212</v>
      </c>
      <c r="P172" s="1">
        <v>291180.0</v>
      </c>
      <c r="Q172" s="3" t="str">
        <f>VLOOKUP(A172,Posters!A172:B1171,2)</f>
        <v>https://m.media-amazon.com/images/M/MV5BYzJjMTYyMjQtZDI0My00ZjE2LTkyNGYtOTllNGQxNDMyZjE0XkEyXkFqcGdeQXVyMTMxODk2OTU@._V1_UY98_CR1,0,67,98_AL_.jpg</v>
      </c>
    </row>
    <row r="173">
      <c r="A173" s="1">
        <v>172.0</v>
      </c>
      <c r="B173" s="1" t="s">
        <v>1213</v>
      </c>
      <c r="C173" s="2">
        <v>8.3008852E7</v>
      </c>
      <c r="D173" s="1">
        <v>1988.0</v>
      </c>
      <c r="E173" s="1" t="s">
        <v>18</v>
      </c>
      <c r="F173" s="1" t="s">
        <v>170</v>
      </c>
      <c r="G173" s="1" t="s">
        <v>1214</v>
      </c>
      <c r="H173" s="1">
        <v>8.2</v>
      </c>
      <c r="I173" s="1" t="s">
        <v>1215</v>
      </c>
      <c r="J173" s="1">
        <v>72.0</v>
      </c>
      <c r="K173" s="1" t="s">
        <v>1216</v>
      </c>
      <c r="L173" s="1" t="s">
        <v>76</v>
      </c>
      <c r="M173" s="1" t="s">
        <v>1217</v>
      </c>
      <c r="N173" s="1" t="s">
        <v>1218</v>
      </c>
      <c r="O173" s="1" t="s">
        <v>1219</v>
      </c>
      <c r="P173" s="1">
        <v>793164.0</v>
      </c>
      <c r="Q173" s="3" t="str">
        <f>VLOOKUP(A173,Posters!A173:B1172,2)</f>
        <v>https://m.media-amazon.com/images/M/MV5BZjRlNDUxZjAtOGQ4OC00OTNlLTgxNmQtYTBmMDgwZmNmNjkxXkEyXkFqcGdeQXVyNzkwMjQ5NzM@._V1_UX67_CR0,0,67,98_AL_.jpg</v>
      </c>
    </row>
    <row r="174">
      <c r="A174" s="1">
        <v>173.0</v>
      </c>
      <c r="B174" s="1" t="s">
        <v>1220</v>
      </c>
      <c r="C174" s="2">
        <v>4135750.0</v>
      </c>
      <c r="D174" s="1">
        <v>1985.0</v>
      </c>
      <c r="E174" s="1" t="s">
        <v>52</v>
      </c>
      <c r="F174" s="1" t="s">
        <v>1221</v>
      </c>
      <c r="G174" s="1" t="s">
        <v>948</v>
      </c>
      <c r="H174" s="1">
        <v>8.2</v>
      </c>
      <c r="I174" s="1" t="s">
        <v>1222</v>
      </c>
      <c r="J174" s="1">
        <v>96.0</v>
      </c>
      <c r="K174" s="1" t="s">
        <v>264</v>
      </c>
      <c r="L174" s="1" t="s">
        <v>257</v>
      </c>
      <c r="M174" s="1" t="s">
        <v>1223</v>
      </c>
      <c r="N174" s="1" t="s">
        <v>1224</v>
      </c>
      <c r="O174" s="1" t="s">
        <v>1225</v>
      </c>
      <c r="P174" s="1">
        <v>112505.0</v>
      </c>
      <c r="Q174" s="3" t="str">
        <f>VLOOKUP(A174,Posters!A174:B1173,2)</f>
        <v>https://m.media-amazon.com/images/M/MV5BZDBjZTM4ZmEtOTA5ZC00NTQzLTkyNzYtMmUxNGU2YjI5YjU5L2ltYWdlXkEyXkFqcGdeQXVyNTAyODkwOQ@@._V1_UY98_CR1,0,67,98_AL_.jpg</v>
      </c>
    </row>
    <row r="175">
      <c r="A175" s="1">
        <v>174.0</v>
      </c>
      <c r="B175" s="1" t="s">
        <v>1226</v>
      </c>
      <c r="C175" s="2">
        <v>2.3383987E7</v>
      </c>
      <c r="D175" s="1">
        <v>1980.0</v>
      </c>
      <c r="E175" s="1" t="s">
        <v>18</v>
      </c>
      <c r="F175" s="1" t="s">
        <v>830</v>
      </c>
      <c r="G175" s="1" t="s">
        <v>1020</v>
      </c>
      <c r="H175" s="1">
        <v>8.2</v>
      </c>
      <c r="I175" s="1" t="s">
        <v>1227</v>
      </c>
      <c r="J175" s="1">
        <v>89.0</v>
      </c>
      <c r="K175" s="1" t="s">
        <v>139</v>
      </c>
      <c r="L175" s="1" t="s">
        <v>49</v>
      </c>
      <c r="M175" s="1" t="s">
        <v>1228</v>
      </c>
      <c r="N175" s="1" t="s">
        <v>141</v>
      </c>
      <c r="O175" s="1" t="s">
        <v>1229</v>
      </c>
      <c r="P175" s="1">
        <v>321860.0</v>
      </c>
      <c r="Q175" s="3" t="str">
        <f>VLOOKUP(A175,Posters!A175:B1174,2)</f>
        <v>https://m.media-amazon.com/images/M/MV5BYjRmODkzNDItMTNhNi00YjJlLTg0ZjAtODlhZTM0YzgzYThlXkEyXkFqcGdeQXVyNzQ1ODk3MTQ@._V1_UX67_CR0,0,67,98_AL_.jpg</v>
      </c>
    </row>
    <row r="176">
      <c r="A176" s="1">
        <v>175.0</v>
      </c>
      <c r="B176" s="1" t="s">
        <v>1230</v>
      </c>
      <c r="C176" s="2">
        <v>234723.0</v>
      </c>
      <c r="D176" s="1">
        <v>1979.0</v>
      </c>
      <c r="E176" s="1" t="s">
        <v>52</v>
      </c>
      <c r="F176" s="1" t="s">
        <v>1221</v>
      </c>
      <c r="G176" s="1" t="s">
        <v>928</v>
      </c>
      <c r="H176" s="1">
        <v>8.2</v>
      </c>
      <c r="I176" s="1" t="s">
        <v>1231</v>
      </c>
      <c r="K176" s="1" t="s">
        <v>1232</v>
      </c>
      <c r="L176" s="1" t="s">
        <v>1233</v>
      </c>
      <c r="M176" s="1" t="s">
        <v>1234</v>
      </c>
      <c r="N176" s="1" t="s">
        <v>1235</v>
      </c>
      <c r="O176" s="1" t="s">
        <v>1236</v>
      </c>
      <c r="P176" s="1">
        <v>116945.0</v>
      </c>
      <c r="Q176" s="3" t="str">
        <f>VLOOKUP(A176,Posters!A176:B1175,2)</f>
        <v>https://m.media-amazon.com/images/M/MV5BMDgwODNmMGItMDcwYi00OWZjLTgyZjAtMGYwMmI4N2Q0NmJmXkEyXkFqcGdeQXVyNzY1MTU0Njk@._V1_UY98_CR1,0,67,98_AL_.jpg</v>
      </c>
    </row>
    <row r="177">
      <c r="A177" s="1">
        <v>176.0</v>
      </c>
      <c r="B177" s="1" t="s">
        <v>1237</v>
      </c>
      <c r="C177" s="2">
        <v>14338.0</v>
      </c>
      <c r="D177" s="1">
        <v>1978.0</v>
      </c>
      <c r="E177" s="1" t="s">
        <v>52</v>
      </c>
      <c r="F177" s="1" t="s">
        <v>778</v>
      </c>
      <c r="G177" s="1" t="s">
        <v>287</v>
      </c>
      <c r="H177" s="1">
        <v>8.2</v>
      </c>
      <c r="I177" s="1" t="s">
        <v>1238</v>
      </c>
      <c r="K177" s="1" t="s">
        <v>1239</v>
      </c>
      <c r="L177" s="1" t="s">
        <v>410</v>
      </c>
      <c r="M177" s="1" t="s">
        <v>1240</v>
      </c>
      <c r="N177" s="1" t="s">
        <v>1241</v>
      </c>
      <c r="O177" s="1" t="s">
        <v>1242</v>
      </c>
      <c r="P177" s="1">
        <v>26875.0</v>
      </c>
      <c r="Q177" s="3" t="str">
        <f>VLOOKUP(A177,Posters!A177:B1176,2)</f>
        <v>https://m.media-amazon.com/images/M/MV5BNGIyMWRlYTctMWNlMi00ZGIzLThjOTgtZjQzZjRjNmRhMDdlXkEyXkFqcGdeQXVyMTAwMzUyOTc@._V1_UX67_CR0,0,67,98_AL_.jpg</v>
      </c>
    </row>
    <row r="178">
      <c r="A178" s="1">
        <v>177.0</v>
      </c>
      <c r="B178" s="1" t="s">
        <v>1243</v>
      </c>
      <c r="C178" s="2">
        <v>1.0E7</v>
      </c>
      <c r="D178" s="1">
        <v>1976.0</v>
      </c>
      <c r="E178" s="1" t="s">
        <v>270</v>
      </c>
      <c r="F178" s="1" t="s">
        <v>1244</v>
      </c>
      <c r="G178" s="1" t="s">
        <v>79</v>
      </c>
      <c r="H178" s="1">
        <v>8.2</v>
      </c>
      <c r="I178" s="1" t="s">
        <v>1245</v>
      </c>
      <c r="K178" s="1" t="s">
        <v>1246</v>
      </c>
      <c r="L178" s="1" t="s">
        <v>862</v>
      </c>
      <c r="M178" s="1" t="s">
        <v>1247</v>
      </c>
      <c r="N178" s="1" t="s">
        <v>1248</v>
      </c>
      <c r="O178" s="1" t="s">
        <v>1249</v>
      </c>
      <c r="P178" s="1">
        <v>43885.0</v>
      </c>
      <c r="Q178" s="3" t="str">
        <f>VLOOKUP(A178,Posters!A178:B1177,2)</f>
        <v>https://m.media-amazon.com/images/M/MV5BMjk3YjJmYTctMTAzZC00MzE4LWFlZGMtNDM5OTMyMDEzZWIxXkEyXkFqcGdeQXVyNTI4MjkwNjA@._V1_UX67_CR0,0,67,98_AL_.jpg</v>
      </c>
    </row>
    <row r="179">
      <c r="A179" s="1">
        <v>178.0</v>
      </c>
      <c r="B179" s="1" t="s">
        <v>1250</v>
      </c>
      <c r="D179" s="1">
        <v>1975.0</v>
      </c>
      <c r="E179" s="1" t="s">
        <v>52</v>
      </c>
      <c r="F179" s="1" t="s">
        <v>1251</v>
      </c>
      <c r="G179" s="1" t="s">
        <v>1252</v>
      </c>
      <c r="H179" s="1">
        <v>8.2</v>
      </c>
      <c r="I179" s="1" t="s">
        <v>1253</v>
      </c>
      <c r="K179" s="1" t="s">
        <v>1254</v>
      </c>
      <c r="L179" s="1" t="s">
        <v>1255</v>
      </c>
      <c r="M179" s="1" t="s">
        <v>1256</v>
      </c>
      <c r="N179" s="1" t="s">
        <v>592</v>
      </c>
      <c r="O179" s="1" t="s">
        <v>1257</v>
      </c>
      <c r="P179" s="1">
        <v>51284.0</v>
      </c>
      <c r="Q179" s="3" t="str">
        <f>VLOOKUP(A179,Posters!A179:B1178,2)</f>
        <v>https://m.media-amazon.com/images/M/MV5BOGZiM2IwODktNTdiMC00MGU1LWEyZTYtOTk4NTkwYmJkNmI1L2ltYWdlL2ltYWdlXkEyXkFqcGdeQXVyNjU0OTQ0OTY@._V1_UY98_CR2,0,67,98_AL_.jpg</v>
      </c>
    </row>
    <row r="180">
      <c r="A180" s="1">
        <v>179.0</v>
      </c>
      <c r="B180" s="1" t="s">
        <v>1258</v>
      </c>
      <c r="C180" s="2">
        <v>1229197.0</v>
      </c>
      <c r="D180" s="1">
        <v>1975.0</v>
      </c>
      <c r="E180" s="1" t="s">
        <v>270</v>
      </c>
      <c r="F180" s="1" t="s">
        <v>1259</v>
      </c>
      <c r="G180" s="1" t="s">
        <v>1260</v>
      </c>
      <c r="H180" s="1">
        <v>8.2</v>
      </c>
      <c r="I180" s="1" t="s">
        <v>1261</v>
      </c>
      <c r="J180" s="1">
        <v>91.0</v>
      </c>
      <c r="K180" s="1" t="s">
        <v>1262</v>
      </c>
      <c r="L180" s="1" t="s">
        <v>1263</v>
      </c>
      <c r="M180" s="1" t="s">
        <v>1264</v>
      </c>
      <c r="N180" s="1" t="s">
        <v>1265</v>
      </c>
      <c r="O180" s="1" t="s">
        <v>1266</v>
      </c>
      <c r="P180" s="1">
        <v>500875.0</v>
      </c>
      <c r="Q180" s="3" t="str">
        <f>VLOOKUP(A180,Posters!A180:B1179,2)</f>
        <v>https://m.media-amazon.com/images/M/MV5BN2IyNTE4YzUtZWU0Mi00MGIwLTgyMmQtMzQ4YzQxYWNlYWE2XkEyXkFqcGdeQXVyNjU0OTQ0OTY@._V1_UX67_CR0,0,67,98_AL_.jpg</v>
      </c>
    </row>
    <row r="181">
      <c r="A181" s="1">
        <v>180.0</v>
      </c>
      <c r="B181" s="1" t="s">
        <v>1267</v>
      </c>
      <c r="C181" s="2">
        <v>1.21E7</v>
      </c>
      <c r="D181" s="1">
        <v>1963.0</v>
      </c>
      <c r="E181" s="1" t="s">
        <v>52</v>
      </c>
      <c r="F181" s="1" t="s">
        <v>1268</v>
      </c>
      <c r="G181" s="1" t="s">
        <v>1269</v>
      </c>
      <c r="H181" s="1">
        <v>8.2</v>
      </c>
      <c r="I181" s="1" t="s">
        <v>1270</v>
      </c>
      <c r="J181" s="1">
        <v>86.0</v>
      </c>
      <c r="K181" s="1" t="s">
        <v>1271</v>
      </c>
      <c r="L181" s="1" t="s">
        <v>1272</v>
      </c>
      <c r="M181" s="1" t="s">
        <v>1273</v>
      </c>
      <c r="N181" s="1" t="s">
        <v>1274</v>
      </c>
      <c r="O181" s="1" t="s">
        <v>392</v>
      </c>
      <c r="P181" s="1">
        <v>224730.0</v>
      </c>
      <c r="Q181" s="3" t="str">
        <f>VLOOKUP(A181,Posters!A181:B1180,2)</f>
        <v>https://m.media-amazon.com/images/M/MV5BNzA2NmYxMWUtNzBlMC00MWM2LTkwNmQtYTFlZjQwODNhOWE0XkEyXkFqcGdeQXVyNTIzOTk5ODM@._V1_UX67_CR0,0,67,98_AL_.jpg</v>
      </c>
    </row>
    <row r="182">
      <c r="A182" s="1">
        <v>181.0</v>
      </c>
      <c r="B182" s="1" t="s">
        <v>1275</v>
      </c>
      <c r="C182" s="2">
        <v>599146.0</v>
      </c>
      <c r="D182" s="1">
        <v>1962.0</v>
      </c>
      <c r="E182" s="1" t="s">
        <v>52</v>
      </c>
      <c r="F182" s="1" t="s">
        <v>830</v>
      </c>
      <c r="G182" s="1" t="s">
        <v>29</v>
      </c>
      <c r="H182" s="1">
        <v>8.2</v>
      </c>
      <c r="I182" s="1" t="s">
        <v>1276</v>
      </c>
      <c r="J182" s="1">
        <v>88.0</v>
      </c>
      <c r="K182" s="1" t="s">
        <v>1277</v>
      </c>
      <c r="L182" s="1" t="s">
        <v>1278</v>
      </c>
      <c r="M182" s="1" t="s">
        <v>1279</v>
      </c>
      <c r="N182" s="1" t="s">
        <v>1280</v>
      </c>
      <c r="O182" s="1" t="s">
        <v>1281</v>
      </c>
      <c r="P182" s="1">
        <v>293811.0</v>
      </c>
      <c r="Q182" s="3" t="str">
        <f>VLOOKUP(A182,Posters!A182:B1181,2)</f>
        <v>https://m.media-amazon.com/images/M/MV5BNmVmYzcwNzMtMWM1NS00MWIyLThlMDEtYzUwZDgzODE1NmE2XkEyXkFqcGdeQXVyNzkwMjQ5NzM@._V1_UX67_CR0,0,67,98_AL_.jpg</v>
      </c>
    </row>
    <row r="183">
      <c r="A183" s="1">
        <v>182.0</v>
      </c>
      <c r="B183" s="1" t="s">
        <v>1282</v>
      </c>
      <c r="C183" s="2">
        <v>46808.0</v>
      </c>
      <c r="D183" s="1">
        <v>1961.0</v>
      </c>
      <c r="E183" s="1">
        <v>16.0</v>
      </c>
      <c r="F183" s="1" t="s">
        <v>343</v>
      </c>
      <c r="G183" s="1" t="s">
        <v>1283</v>
      </c>
      <c r="H183" s="1">
        <v>8.2</v>
      </c>
      <c r="I183" s="1" t="s">
        <v>1284</v>
      </c>
      <c r="K183" s="1" t="s">
        <v>264</v>
      </c>
      <c r="L183" s="1" t="s">
        <v>265</v>
      </c>
      <c r="M183" s="1" t="s">
        <v>1285</v>
      </c>
      <c r="N183" s="1" t="s">
        <v>257</v>
      </c>
      <c r="O183" s="1" t="s">
        <v>1286</v>
      </c>
      <c r="P183" s="1">
        <v>111244.0</v>
      </c>
      <c r="Q183" s="3" t="str">
        <f>VLOOKUP(A183,Posters!A183:B1182,2)</f>
        <v>https://m.media-amazon.com/images/M/MV5BZThiZjAzZjgtNDU3MC00YThhLThjYWUtZGRkYjc2ZWZlOTVjXkEyXkFqcGdeQXVyNTA4NzY1MzY@._V1_UX67_CR0,0,67,98_AL_.jpg</v>
      </c>
    </row>
    <row r="184">
      <c r="A184" s="1">
        <v>183.0</v>
      </c>
      <c r="B184" s="1" t="s">
        <v>1287</v>
      </c>
      <c r="C184" s="1" t="s">
        <v>1288</v>
      </c>
      <c r="D184" s="1">
        <v>1961.0</v>
      </c>
      <c r="E184" s="1" t="s">
        <v>18</v>
      </c>
      <c r="F184" s="1" t="s">
        <v>124</v>
      </c>
      <c r="G184" s="1" t="s">
        <v>213</v>
      </c>
      <c r="H184" s="1">
        <v>8.2</v>
      </c>
      <c r="I184" s="1" t="s">
        <v>1289</v>
      </c>
      <c r="J184" s="1">
        <v>60.0</v>
      </c>
      <c r="K184" s="1" t="s">
        <v>1290</v>
      </c>
      <c r="L184" s="1" t="s">
        <v>1291</v>
      </c>
      <c r="M184" s="1" t="s">
        <v>1292</v>
      </c>
      <c r="N184" s="1" t="s">
        <v>1293</v>
      </c>
      <c r="O184" s="1" t="s">
        <v>612</v>
      </c>
      <c r="P184" s="1">
        <v>69458.0</v>
      </c>
      <c r="Q184" s="3" t="str">
        <f>VLOOKUP(A184,Posters!A184:B1183,2)</f>
        <v>https://m.media-amazon.com/images/M/MV5BNDc2ODQ5NTE2MV5BMl5BanBnXkFtZTcwODExMjUyNA@@._V1_UX67_CR0,0,67,98_AL_.jpg</v>
      </c>
    </row>
    <row r="185">
      <c r="A185" s="1">
        <v>184.0</v>
      </c>
      <c r="B185" s="1" t="s">
        <v>1294</v>
      </c>
      <c r="C185" s="2">
        <v>2.5E7</v>
      </c>
      <c r="D185" s="1">
        <v>1959.0</v>
      </c>
      <c r="E185" s="1" t="s">
        <v>52</v>
      </c>
      <c r="F185" s="1" t="s">
        <v>249</v>
      </c>
      <c r="G185" s="1" t="s">
        <v>1295</v>
      </c>
      <c r="H185" s="1">
        <v>8.2</v>
      </c>
      <c r="I185" s="1" t="s">
        <v>1296</v>
      </c>
      <c r="J185" s="1">
        <v>98.0</v>
      </c>
      <c r="K185" s="1" t="s">
        <v>610</v>
      </c>
      <c r="L185" s="1" t="s">
        <v>1297</v>
      </c>
      <c r="M185" s="1" t="s">
        <v>1298</v>
      </c>
      <c r="N185" s="1" t="s">
        <v>866</v>
      </c>
      <c r="O185" s="1" t="s">
        <v>1299</v>
      </c>
      <c r="P185" s="1">
        <v>243943.0</v>
      </c>
      <c r="Q185" s="3" t="str">
        <f>VLOOKUP(A185,Posters!A185:B1184,2)</f>
        <v>https://m.media-amazon.com/images/M/MV5BNzAyOGIxYjAtMGY2NC00ZTgyLWIwMWEtYzY0OWQ4NDFjOTc5XkEyXkFqcGdeQXVyNjU0OTQ0OTY@._V1_UX67_CR0,0,67,98_AL_.jpg</v>
      </c>
    </row>
    <row r="186">
      <c r="A186" s="1">
        <v>185.0</v>
      </c>
      <c r="B186" s="1" t="s">
        <v>1300</v>
      </c>
      <c r="C186" s="2">
        <v>14524.0</v>
      </c>
      <c r="D186" s="1">
        <v>1957.0</v>
      </c>
      <c r="E186" s="1" t="s">
        <v>52</v>
      </c>
      <c r="F186" s="1" t="s">
        <v>1259</v>
      </c>
      <c r="G186" s="1" t="s">
        <v>107</v>
      </c>
      <c r="H186" s="1">
        <v>8.2</v>
      </c>
      <c r="I186" s="1" t="s">
        <v>1301</v>
      </c>
      <c r="J186" s="1">
        <v>88.0</v>
      </c>
      <c r="K186" s="1" t="s">
        <v>1239</v>
      </c>
      <c r="L186" s="1" t="s">
        <v>1302</v>
      </c>
      <c r="M186" s="1" t="s">
        <v>1303</v>
      </c>
      <c r="N186" s="1" t="s">
        <v>1304</v>
      </c>
      <c r="O186" s="1" t="s">
        <v>1305</v>
      </c>
      <c r="P186" s="1">
        <v>96381.0</v>
      </c>
      <c r="Q186" s="3" t="str">
        <f>VLOOKUP(A186,Posters!A186:B1185,2)</f>
        <v>https://m.media-amazon.com/images/M/MV5BZjJhNTBmNTgtMDViOC00NDY2LWE4N2ItMDJiM2ZiYmQzYzliXkEyXkFqcGdeQXVyMzg1ODEwNQ@@._V1_UY98_CR0,0,67,98_AL_.jpg</v>
      </c>
    </row>
    <row r="187">
      <c r="A187" s="1">
        <v>186.0</v>
      </c>
      <c r="B187" s="1" t="s">
        <v>1306</v>
      </c>
      <c r="C187" s="2">
        <v>230571.0</v>
      </c>
      <c r="D187" s="1">
        <v>1957.0</v>
      </c>
      <c r="E187" s="1" t="s">
        <v>18</v>
      </c>
      <c r="F187" s="1" t="s">
        <v>53</v>
      </c>
      <c r="G187" s="1" t="s">
        <v>1307</v>
      </c>
      <c r="H187" s="1">
        <v>8.2</v>
      </c>
      <c r="I187" s="1" t="s">
        <v>1308</v>
      </c>
      <c r="J187" s="1">
        <v>88.0</v>
      </c>
      <c r="K187" s="1" t="s">
        <v>1239</v>
      </c>
      <c r="L187" s="1" t="s">
        <v>1309</v>
      </c>
      <c r="M187" s="1" t="s">
        <v>1305</v>
      </c>
      <c r="N187" s="1" t="s">
        <v>1310</v>
      </c>
      <c r="O187" s="1" t="s">
        <v>1311</v>
      </c>
      <c r="P187" s="1">
        <v>164939.0</v>
      </c>
      <c r="Q187" s="3" t="str">
        <f>VLOOKUP(A187,Posters!A187:B1186,2)</f>
        <v>https://m.media-amazon.com/images/M/MV5BM2I1ZWU4YjMtYzU0My00YmMzLWFmNTAtZDJhZGYwMmI3YWQ5XkEyXkFqcGdeQXVyNjU0OTQ0OTY@._V1_UX67_CR0,0,67,98_AL_.jpg</v>
      </c>
    </row>
    <row r="188">
      <c r="A188" s="1">
        <v>187.0</v>
      </c>
      <c r="B188" s="1" t="s">
        <v>1312</v>
      </c>
      <c r="C188" s="2">
        <v>57226.0</v>
      </c>
      <c r="D188" s="1">
        <v>1955.0</v>
      </c>
      <c r="E188" s="1">
        <v>16.0</v>
      </c>
      <c r="F188" s="1" t="s">
        <v>240</v>
      </c>
      <c r="G188" s="1" t="s">
        <v>241</v>
      </c>
      <c r="H188" s="1">
        <v>8.2</v>
      </c>
      <c r="I188" s="1" t="s">
        <v>1313</v>
      </c>
      <c r="J188" s="1">
        <v>97.0</v>
      </c>
      <c r="K188" s="1" t="s">
        <v>1314</v>
      </c>
      <c r="L188" s="1" t="s">
        <v>1315</v>
      </c>
      <c r="M188" s="1" t="s">
        <v>1316</v>
      </c>
      <c r="N188" s="1" t="s">
        <v>1317</v>
      </c>
      <c r="O188" s="1" t="s">
        <v>1318</v>
      </c>
      <c r="P188" s="1">
        <v>28810.0</v>
      </c>
      <c r="Q188" s="3" t="str">
        <f>VLOOKUP(A188,Posters!A188:B1187,2)</f>
        <v>https://m.media-amazon.com/images/M/MV5BNjZmZGRiMDgtNDkwNi00OTZhLWFhZmMtYTdkYjgyNThhOWY3XkEyXkFqcGdeQXVyMTA1NTM1NDI2._V1_UX67_CR0,0,67,98_AL_.jpg</v>
      </c>
    </row>
    <row r="189">
      <c r="A189" s="1">
        <v>188.0</v>
      </c>
      <c r="B189" s="1" t="s">
        <v>1319</v>
      </c>
      <c r="C189" s="2">
        <v>12562.0</v>
      </c>
      <c r="D189" s="1">
        <v>1954.0</v>
      </c>
      <c r="E189" s="1" t="s">
        <v>18</v>
      </c>
      <c r="F189" s="1" t="s">
        <v>487</v>
      </c>
      <c r="G189" s="1" t="s">
        <v>1320</v>
      </c>
      <c r="H189" s="1">
        <v>8.2</v>
      </c>
      <c r="I189" s="1" t="s">
        <v>1321</v>
      </c>
      <c r="J189" s="1">
        <v>75.0</v>
      </c>
      <c r="K189" s="1" t="s">
        <v>399</v>
      </c>
      <c r="L189" s="1" t="s">
        <v>1322</v>
      </c>
      <c r="M189" s="1" t="s">
        <v>623</v>
      </c>
      <c r="N189" s="1" t="s">
        <v>1323</v>
      </c>
      <c r="O189" s="1" t="s">
        <v>1324</v>
      </c>
      <c r="P189" s="1">
        <v>158335.0</v>
      </c>
      <c r="Q189" s="3" t="str">
        <f>VLOOKUP(A189,Posters!A189:B1188,2)</f>
        <v>https://m.media-amazon.com/images/M/MV5BOWIwODIxYWItZDI4MS00YzhhLWE3MmYtMzlhZDIwOTMzZmE5L2ltYWdlXkEyXkFqcGdeQXVyNjc1NTYyMjg@._V1_UX67_CR0,0,67,98_AL_.jpg</v>
      </c>
    </row>
    <row r="190">
      <c r="A190" s="1">
        <v>189.0</v>
      </c>
      <c r="B190" s="1" t="s">
        <v>1325</v>
      </c>
      <c r="C190" s="2">
        <v>40468.0</v>
      </c>
      <c r="D190" s="1">
        <v>1953.0</v>
      </c>
      <c r="E190" s="1" t="s">
        <v>52</v>
      </c>
      <c r="F190" s="1" t="s">
        <v>127</v>
      </c>
      <c r="G190" s="1" t="s">
        <v>20</v>
      </c>
      <c r="H190" s="1">
        <v>8.2</v>
      </c>
      <c r="I190" s="1" t="s">
        <v>1326</v>
      </c>
      <c r="K190" s="1" t="s">
        <v>1327</v>
      </c>
      <c r="L190" s="1" t="s">
        <v>1328</v>
      </c>
      <c r="M190" s="1" t="s">
        <v>1329</v>
      </c>
      <c r="N190" s="1" t="s">
        <v>1330</v>
      </c>
      <c r="O190" s="1" t="s">
        <v>1331</v>
      </c>
      <c r="P190" s="1">
        <v>53153.0</v>
      </c>
      <c r="Q190" s="3" t="str">
        <f>VLOOKUP(A190,Posters!A190:B1189,2)</f>
        <v>https://m.media-amazon.com/images/M/MV5BYWQ4ZTRiODktNjAzZC00Nzg1LTk1YWQtNDFmNDI0NmZiNGIwXkEyXkFqcGdeQXVyNzkwMjQ5NzM@._V1_UY98_CR0,0,67,98_AL_.jpg</v>
      </c>
    </row>
    <row r="191">
      <c r="A191" s="1">
        <v>190.0</v>
      </c>
      <c r="B191" s="1" t="s">
        <v>1332</v>
      </c>
      <c r="C191" s="2">
        <v>96568.0</v>
      </c>
      <c r="D191" s="1">
        <v>1950.0</v>
      </c>
      <c r="E191" s="1">
        <v>14.0</v>
      </c>
      <c r="F191" s="1" t="s">
        <v>351</v>
      </c>
      <c r="G191" s="1" t="s">
        <v>235</v>
      </c>
      <c r="H191" s="1">
        <v>8.2</v>
      </c>
      <c r="I191" s="1" t="s">
        <v>1333</v>
      </c>
      <c r="J191" s="1">
        <v>98.0</v>
      </c>
      <c r="K191" s="1" t="s">
        <v>264</v>
      </c>
      <c r="L191" s="1" t="s">
        <v>265</v>
      </c>
      <c r="M191" s="1" t="s">
        <v>1334</v>
      </c>
      <c r="N191" s="1" t="s">
        <v>1335</v>
      </c>
      <c r="O191" s="1" t="s">
        <v>266</v>
      </c>
      <c r="P191" s="1">
        <v>152572.0</v>
      </c>
      <c r="Q191" s="3" t="str">
        <f>VLOOKUP(A191,Posters!A191:B1190,2)</f>
        <v>https://m.media-amazon.com/images/M/MV5BMjEzMzA4NDE2OF5BMl5BanBnXkFtZTcwNTc5MDI2NQ@@._V1_UX67_CR0,0,67,98_AL_.jpg</v>
      </c>
    </row>
    <row r="192">
      <c r="A192" s="1">
        <v>191.0</v>
      </c>
      <c r="B192" s="1" t="s">
        <v>1336</v>
      </c>
      <c r="C192" s="2">
        <v>10177.0</v>
      </c>
      <c r="D192" s="1">
        <v>1950.0</v>
      </c>
      <c r="E192" s="1" t="s">
        <v>627</v>
      </c>
      <c r="F192" s="1" t="s">
        <v>947</v>
      </c>
      <c r="G192" s="1" t="s">
        <v>20</v>
      </c>
      <c r="H192" s="1">
        <v>8.2</v>
      </c>
      <c r="I192" s="1" t="s">
        <v>1337</v>
      </c>
      <c r="J192" s="1">
        <v>98.0</v>
      </c>
      <c r="K192" s="1" t="s">
        <v>1338</v>
      </c>
      <c r="L192" s="1" t="s">
        <v>1339</v>
      </c>
      <c r="M192" s="1" t="s">
        <v>1340</v>
      </c>
      <c r="N192" s="1" t="s">
        <v>1341</v>
      </c>
      <c r="O192" s="1" t="s">
        <v>1342</v>
      </c>
      <c r="P192" s="1">
        <v>120539.0</v>
      </c>
      <c r="Q192" s="3" t="str">
        <f>VLOOKUP(A192,Posters!A192:B1191,2)</f>
        <v>https://m.media-amazon.com/images/M/MV5BMTY2MTAzODI5NV5BMl5BanBnXkFtZTgwMjM4NzQ0MjE@._V1_UX67_CR0,0,67,98_AL_.jpg</v>
      </c>
    </row>
    <row r="193">
      <c r="A193" s="1">
        <v>192.0</v>
      </c>
      <c r="B193" s="1" t="s">
        <v>1343</v>
      </c>
      <c r="C193" s="2">
        <v>5014000.0</v>
      </c>
      <c r="D193" s="1">
        <v>1948.0</v>
      </c>
      <c r="E193" s="1" t="s">
        <v>627</v>
      </c>
      <c r="F193" s="1" t="s">
        <v>428</v>
      </c>
      <c r="G193" s="1" t="s">
        <v>1344</v>
      </c>
      <c r="H193" s="1">
        <v>8.2</v>
      </c>
      <c r="I193" s="1" t="s">
        <v>1345</v>
      </c>
      <c r="J193" s="1">
        <v>98.0</v>
      </c>
      <c r="K193" s="1" t="s">
        <v>1346</v>
      </c>
      <c r="L193" s="1" t="s">
        <v>409</v>
      </c>
      <c r="M193" s="1" t="s">
        <v>1347</v>
      </c>
      <c r="N193" s="1" t="s">
        <v>1348</v>
      </c>
      <c r="O193" s="1" t="s">
        <v>1349</v>
      </c>
      <c r="P193" s="1">
        <v>114304.0</v>
      </c>
      <c r="Q193" s="3" t="str">
        <f>VLOOKUP(A193,Posters!A193:B1192,2)</f>
        <v>https://m.media-amazon.com/images/M/MV5BOTJlZWMxYzEtMjlkMS00ODE0LThlM2ItMDI3NGQ2YjhmMzkxXkEyXkFqcGdeQXVyMDI2NDg0NQ@@._V1_UX67_CR0,0,67,98_AL_.jpg</v>
      </c>
    </row>
    <row r="194">
      <c r="A194" s="1">
        <v>193.0</v>
      </c>
      <c r="B194" s="1" t="s">
        <v>1350</v>
      </c>
      <c r="C194" s="2">
        <v>4578000.0</v>
      </c>
      <c r="D194" s="1">
        <v>1942.0</v>
      </c>
      <c r="E194" s="1" t="s">
        <v>627</v>
      </c>
      <c r="F194" s="1" t="s">
        <v>778</v>
      </c>
      <c r="G194" s="1" t="s">
        <v>1351</v>
      </c>
      <c r="H194" s="1">
        <v>8.2</v>
      </c>
      <c r="I194" s="1" t="s">
        <v>1352</v>
      </c>
      <c r="J194" s="1">
        <v>86.0</v>
      </c>
      <c r="K194" s="1" t="s">
        <v>1353</v>
      </c>
      <c r="L194" s="1" t="s">
        <v>1354</v>
      </c>
      <c r="M194" s="1" t="s">
        <v>1355</v>
      </c>
      <c r="N194" s="1" t="s">
        <v>1356</v>
      </c>
      <c r="O194" s="1" t="s">
        <v>1357</v>
      </c>
      <c r="P194" s="1">
        <v>29915.0</v>
      </c>
      <c r="Q194" s="3" t="str">
        <f>VLOOKUP(A194,Posters!A194:B1193,2)</f>
        <v>https://m.media-amazon.com/images/M/MV5BYTIwNDcyMjktMTczMy00NDM5LTlhNDEtMmE3NGVjOTM2YjQ3XkEyXkFqcGdeQXVyNjc0MzMzNjA@._V1_UX67_CR0,0,67,98_AL_.jpg</v>
      </c>
    </row>
    <row r="195">
      <c r="A195" s="1">
        <v>194.0</v>
      </c>
      <c r="B195" s="1" t="s">
        <v>1358</v>
      </c>
      <c r="C195" s="2">
        <v>5450000.0</v>
      </c>
      <c r="D195" s="1">
        <v>1925.0</v>
      </c>
      <c r="E195" s="1" t="s">
        <v>627</v>
      </c>
      <c r="F195" s="1" t="s">
        <v>601</v>
      </c>
      <c r="G195" s="1" t="s">
        <v>1004</v>
      </c>
      <c r="H195" s="1">
        <v>8.2</v>
      </c>
      <c r="I195" s="1" t="s">
        <v>1359</v>
      </c>
      <c r="K195" s="1" t="s">
        <v>418</v>
      </c>
      <c r="L195" s="1" t="s">
        <v>418</v>
      </c>
      <c r="M195" s="1" t="s">
        <v>1360</v>
      </c>
      <c r="N195" s="1" t="s">
        <v>1361</v>
      </c>
      <c r="O195" s="1" t="s">
        <v>420</v>
      </c>
      <c r="P195" s="1">
        <v>101053.0</v>
      </c>
      <c r="Q195" s="3" t="str">
        <f>VLOOKUP(A195,Posters!A195:B1194,2)</f>
        <v>https://m.media-amazon.com/images/M/MV5BZjEyOTE4MzMtNmMzMy00Mzc3LWJlOTQtOGJiNDE0ZmJiOTU4L2ltYWdlXkEyXkFqcGdeQXVyNTAyODkwOQ@@._V1_UY98_CR2,0,67,98_AL_.jpg</v>
      </c>
    </row>
    <row r="196">
      <c r="A196" s="1">
        <v>195.0</v>
      </c>
      <c r="B196" s="1" t="s">
        <v>1362</v>
      </c>
      <c r="C196" s="2">
        <v>977375.0</v>
      </c>
      <c r="D196" s="1">
        <v>1924.0</v>
      </c>
      <c r="E196" s="1" t="s">
        <v>627</v>
      </c>
      <c r="F196" s="1" t="s">
        <v>1363</v>
      </c>
      <c r="G196" s="1" t="s">
        <v>1183</v>
      </c>
      <c r="H196" s="1">
        <v>8.2</v>
      </c>
      <c r="I196" s="1" t="s">
        <v>1364</v>
      </c>
      <c r="K196" s="1" t="s">
        <v>1365</v>
      </c>
      <c r="L196" s="1" t="s">
        <v>1365</v>
      </c>
      <c r="M196" s="1" t="s">
        <v>1366</v>
      </c>
      <c r="N196" s="1" t="s">
        <v>1367</v>
      </c>
      <c r="O196" s="1" t="s">
        <v>1368</v>
      </c>
      <c r="P196" s="1">
        <v>41985.0</v>
      </c>
      <c r="Q196" s="3" t="str">
        <f>VLOOKUP(A196,Posters!A196:B1195,2)</f>
        <v>https://m.media-amazon.com/images/M/MV5BZWFhOGU5NDctY2Q3YS00Y2VlLWI1NzEtZmIwY2ZiZjY4OTA2XkEyXkFqcGdeQXVyMDI2NDg0NQ@@._V1_UX67_CR0,0,67,98_AL_.jpg</v>
      </c>
    </row>
    <row r="197">
      <c r="A197" s="1">
        <v>196.0</v>
      </c>
      <c r="B197" s="1" t="s">
        <v>1369</v>
      </c>
      <c r="C197" s="2">
        <v>3759854.0</v>
      </c>
      <c r="D197" s="1">
        <v>2019.0</v>
      </c>
      <c r="E197" s="1" t="s">
        <v>212</v>
      </c>
      <c r="F197" s="1" t="s">
        <v>279</v>
      </c>
      <c r="G197" s="1" t="s">
        <v>107</v>
      </c>
      <c r="H197" s="1">
        <v>8.1</v>
      </c>
      <c r="I197" s="1" t="s">
        <v>1370</v>
      </c>
      <c r="J197" s="1">
        <v>95.0</v>
      </c>
      <c r="K197" s="1" t="s">
        <v>1371</v>
      </c>
      <c r="L197" s="1" t="s">
        <v>1372</v>
      </c>
      <c r="M197" s="1" t="s">
        <v>1373</v>
      </c>
      <c r="N197" s="1" t="s">
        <v>1374</v>
      </c>
      <c r="O197" s="1" t="s">
        <v>1375</v>
      </c>
      <c r="P197" s="1">
        <v>63134.0</v>
      </c>
      <c r="Q197" s="3" t="str">
        <f>VLOOKUP(A197,Posters!A197:B1196,2)</f>
        <v>https://m.media-amazon.com/images/M/MV5BNjgwNjkwOWYtYmM3My00NzI1LTk5OGItYWY0OTMyZTY4OTg2XkEyXkFqcGdeQXVyODk4OTc3MTY@._V1_UX67_CR0,0,67,98_AL_.jpg</v>
      </c>
    </row>
    <row r="198">
      <c r="A198" s="1">
        <v>197.0</v>
      </c>
      <c r="B198" s="1" t="s">
        <v>1376</v>
      </c>
      <c r="C198" s="2">
        <v>1241223.0</v>
      </c>
      <c r="D198" s="1">
        <v>2016.0</v>
      </c>
      <c r="E198" s="1" t="s">
        <v>37</v>
      </c>
      <c r="F198" s="1" t="s">
        <v>127</v>
      </c>
      <c r="G198" s="1" t="s">
        <v>1377</v>
      </c>
      <c r="H198" s="1">
        <v>8.1</v>
      </c>
      <c r="I198" s="1" t="s">
        <v>1378</v>
      </c>
      <c r="K198" s="1" t="s">
        <v>1379</v>
      </c>
      <c r="L198" s="1" t="s">
        <v>1380</v>
      </c>
      <c r="M198" s="1" t="s">
        <v>592</v>
      </c>
      <c r="N198" s="1" t="s">
        <v>1381</v>
      </c>
      <c r="O198" s="1" t="s">
        <v>1382</v>
      </c>
      <c r="P198" s="1">
        <v>39216.0</v>
      </c>
      <c r="Q198" s="3" t="str">
        <f>VLOOKUP(A198,Posters!A198:B1197,2)</f>
        <v>https://m.media-amazon.com/images/M/MV5BNGI1MTI1YTQtY2QwYi00YzUzLTg3NWYtNzExZDlhOTZmZWU0XkEyXkFqcGdeQXVyMDkwNTkwNg@@._V1_UY98_CR3,0,67,98_AL_.jpg</v>
      </c>
    </row>
    <row r="199">
      <c r="A199" s="1">
        <v>198.0</v>
      </c>
      <c r="B199" s="1" t="s">
        <v>1383</v>
      </c>
      <c r="C199" s="2">
        <v>3.0518948E7</v>
      </c>
      <c r="D199" s="1">
        <v>2016.0</v>
      </c>
      <c r="E199" s="1">
        <v>16.0</v>
      </c>
      <c r="F199" s="1" t="s">
        <v>195</v>
      </c>
      <c r="G199" s="1" t="s">
        <v>1384</v>
      </c>
      <c r="H199" s="1">
        <v>8.1</v>
      </c>
      <c r="I199" s="1" t="s">
        <v>1385</v>
      </c>
      <c r="J199" s="1">
        <v>78.0</v>
      </c>
      <c r="K199" s="1" t="s">
        <v>1386</v>
      </c>
      <c r="L199" s="1" t="s">
        <v>209</v>
      </c>
      <c r="M199" s="1" t="s">
        <v>1387</v>
      </c>
      <c r="N199" s="1" t="s">
        <v>456</v>
      </c>
      <c r="O199" s="1" t="s">
        <v>1388</v>
      </c>
      <c r="P199" s="1">
        <v>47708.0</v>
      </c>
      <c r="Q199" s="3" t="str">
        <f>VLOOKUP(A199,Posters!A199:B1198,2)</f>
        <v>https://m.media-amazon.com/images/M/MV5BZGRkOGMxYTUtZTBhYS00NzI3LWEzMDQtOWRhMmNjNjJjMzM4XkEyXkFqcGdeQXVyMTMxODk2OTU@._V1_UY98_CR0,0,67,98_AL_.jpg</v>
      </c>
    </row>
    <row r="200">
      <c r="A200" s="1">
        <v>199.0</v>
      </c>
      <c r="B200" s="1" t="s">
        <v>1389</v>
      </c>
      <c r="D200" s="1">
        <v>2016.0</v>
      </c>
      <c r="E200" s="1" t="s">
        <v>1390</v>
      </c>
      <c r="F200" s="1" t="s">
        <v>286</v>
      </c>
      <c r="G200" s="1" t="s">
        <v>235</v>
      </c>
      <c r="H200" s="1">
        <v>8.1</v>
      </c>
      <c r="I200" s="1" t="s">
        <v>1391</v>
      </c>
      <c r="K200" s="1" t="s">
        <v>1392</v>
      </c>
      <c r="L200" s="1" t="s">
        <v>1393</v>
      </c>
      <c r="M200" s="1" t="s">
        <v>1394</v>
      </c>
      <c r="N200" s="1" t="s">
        <v>1395</v>
      </c>
      <c r="O200" s="1" t="s">
        <v>1396</v>
      </c>
      <c r="P200" s="1">
        <v>141516.0</v>
      </c>
      <c r="Q200" s="3" t="str">
        <f>VLOOKUP(A200,Posters!A200:B1199,2)</f>
        <v>https://m.media-amazon.com/images/M/MV5BMDk0YzAwYjktMWFiZi00Y2FmLWJmMmMtMzUyZDZmMmU5MjkzXkEyXkFqcGdeQXVyMTMxODk2OTU@._V1_UY98_CR1,0,67,98_AL_.jpg</v>
      </c>
    </row>
    <row r="201">
      <c r="A201" s="1">
        <v>200.0</v>
      </c>
      <c r="B201" s="1" t="s">
        <v>1397</v>
      </c>
      <c r="C201" s="2">
        <v>2006788.0</v>
      </c>
      <c r="D201" s="1">
        <v>2016.0</v>
      </c>
      <c r="E201" s="1" t="s">
        <v>18</v>
      </c>
      <c r="F201" s="1" t="s">
        <v>1398</v>
      </c>
      <c r="G201" s="1" t="s">
        <v>1399</v>
      </c>
      <c r="H201" s="1">
        <v>8.1</v>
      </c>
      <c r="I201" s="1" t="s">
        <v>1400</v>
      </c>
      <c r="J201" s="1">
        <v>84.0</v>
      </c>
      <c r="K201" s="1" t="s">
        <v>537</v>
      </c>
      <c r="L201" s="1" t="s">
        <v>1401</v>
      </c>
      <c r="M201" s="1" t="s">
        <v>1402</v>
      </c>
      <c r="N201" s="1" t="s">
        <v>1403</v>
      </c>
      <c r="O201" s="1" t="s">
        <v>1404</v>
      </c>
      <c r="P201" s="1">
        <v>113649.0</v>
      </c>
      <c r="Q201" s="3" t="str">
        <f>VLOOKUP(A201,Posters!A201:B1200,2)</f>
        <v>https://m.media-amazon.com/images/M/MV5BNDJhYTk2MTctZmVmOS00OTViLTgxNjQtMzQxOTRiMDdmNGRjXkEyXkFqcGdeQXVyMTMxODk2OTU@._V1_UY98_CR0,0,67,98_AL_.jpg</v>
      </c>
    </row>
    <row r="202">
      <c r="A202" s="1">
        <v>201.0</v>
      </c>
      <c r="B202" s="1" t="s">
        <v>1405</v>
      </c>
      <c r="C202" s="2">
        <v>3492754.0</v>
      </c>
      <c r="D202" s="1">
        <v>2014.0</v>
      </c>
      <c r="E202" s="1" t="s">
        <v>212</v>
      </c>
      <c r="F202" s="1" t="s">
        <v>95</v>
      </c>
      <c r="G202" s="1" t="s">
        <v>20</v>
      </c>
      <c r="H202" s="1">
        <v>8.1</v>
      </c>
      <c r="I202" s="1" t="s">
        <v>1406</v>
      </c>
      <c r="J202" s="1">
        <v>74.0</v>
      </c>
      <c r="K202" s="1" t="s">
        <v>1407</v>
      </c>
      <c r="L202" s="1" t="s">
        <v>1408</v>
      </c>
      <c r="M202" s="1" t="s">
        <v>1409</v>
      </c>
      <c r="N202" s="1" t="s">
        <v>1410</v>
      </c>
      <c r="O202" s="1" t="s">
        <v>1411</v>
      </c>
      <c r="P202" s="1">
        <v>50700.0</v>
      </c>
      <c r="Q202" s="3" t="str">
        <f>VLOOKUP(A202,Posters!A202:B1201,2)</f>
        <v>https://m.media-amazon.com/images/M/MV5BMGI3YWFmNDQtNjc0Ny00ZDBjLThlNjYtZTc1ZTk5MzU2YTVjXkEyXkFqcGdeQXVyNzA4ODc3ODU@._V1_UY98_CR1,0,67,98_AL_.jpg</v>
      </c>
    </row>
    <row r="203">
      <c r="A203" s="1">
        <v>202.0</v>
      </c>
      <c r="B203" s="1" t="s">
        <v>1412</v>
      </c>
      <c r="C203" s="1" t="s">
        <v>1413</v>
      </c>
      <c r="D203" s="1">
        <v>2014.0</v>
      </c>
      <c r="E203" s="1" t="s">
        <v>37</v>
      </c>
      <c r="F203" s="1" t="s">
        <v>162</v>
      </c>
      <c r="G203" s="1" t="s">
        <v>39</v>
      </c>
      <c r="H203" s="1">
        <v>8.1</v>
      </c>
      <c r="I203" s="1" t="s">
        <v>1414</v>
      </c>
      <c r="K203" s="1" t="s">
        <v>1415</v>
      </c>
      <c r="L203" s="1" t="s">
        <v>1416</v>
      </c>
      <c r="M203" s="1" t="s">
        <v>660</v>
      </c>
      <c r="N203" s="1" t="s">
        <v>943</v>
      </c>
      <c r="O203" s="1" t="s">
        <v>1417</v>
      </c>
      <c r="P203" s="1">
        <v>50445.0</v>
      </c>
      <c r="Q203" s="3" t="str">
        <f>VLOOKUP(A203,Posters!A203:B1202,2)</f>
        <v>https://m.media-amazon.com/images/M/MV5BMjA1NTEwMDMxMF5BMl5BanBnXkFtZTgwODkzMzI0MjE@._V1_UY98_CR0,0,67,98_AL_.jpg</v>
      </c>
    </row>
    <row r="204">
      <c r="A204" s="1">
        <v>203.0</v>
      </c>
      <c r="B204" s="1" t="s">
        <v>1418</v>
      </c>
      <c r="C204" s="2">
        <v>2.26277068E8</v>
      </c>
      <c r="D204" s="1">
        <v>2017.0</v>
      </c>
      <c r="E204" s="1" t="s">
        <v>18</v>
      </c>
      <c r="F204" s="1" t="s">
        <v>360</v>
      </c>
      <c r="G204" s="1" t="s">
        <v>1109</v>
      </c>
      <c r="H204" s="1">
        <v>8.1</v>
      </c>
      <c r="I204" s="1" t="s">
        <v>1419</v>
      </c>
      <c r="J204" s="1">
        <v>77.0</v>
      </c>
      <c r="K204" s="1" t="s">
        <v>1420</v>
      </c>
      <c r="L204" s="1" t="s">
        <v>306</v>
      </c>
      <c r="M204" s="1" t="s">
        <v>1421</v>
      </c>
      <c r="N204" s="1" t="s">
        <v>1422</v>
      </c>
      <c r="O204" s="1" t="s">
        <v>1423</v>
      </c>
      <c r="P204" s="1">
        <v>647884.0</v>
      </c>
      <c r="Q204" s="3" t="str">
        <f>VLOOKUP(A204,Posters!A204:B1203,2)</f>
        <v>https://m.media-amazon.com/images/M/MV5BYzc5MTU4N2EtYTkyMi00NjdhLTg3NWEtMTY4OTEyMzJhZTAzXkEyXkFqcGdeQXVyNjc1NTYyMjg@._V1_UX67_CR0,0,67,98_AL_.jpg</v>
      </c>
    </row>
    <row r="205">
      <c r="A205" s="1">
        <v>204.0</v>
      </c>
      <c r="B205" s="1" t="s">
        <v>1424</v>
      </c>
      <c r="C205" s="2">
        <v>1.4677674E7</v>
      </c>
      <c r="D205" s="1">
        <v>2015.0</v>
      </c>
      <c r="E205" s="1" t="s">
        <v>212</v>
      </c>
      <c r="F205" s="1" t="s">
        <v>240</v>
      </c>
      <c r="G205" s="1" t="s">
        <v>1377</v>
      </c>
      <c r="H205" s="1">
        <v>8.1</v>
      </c>
      <c r="I205" s="1" t="s">
        <v>1425</v>
      </c>
      <c r="J205" s="1">
        <v>86.0</v>
      </c>
      <c r="K205" s="1" t="s">
        <v>1426</v>
      </c>
      <c r="L205" s="1" t="s">
        <v>1427</v>
      </c>
      <c r="M205" s="1" t="s">
        <v>1428</v>
      </c>
      <c r="N205" s="1" t="s">
        <v>1429</v>
      </c>
      <c r="O205" s="1" t="s">
        <v>1430</v>
      </c>
      <c r="P205" s="1">
        <v>371538.0</v>
      </c>
      <c r="Q205" s="3" t="str">
        <f>VLOOKUP(A205,Posters!A205:B1204,2)</f>
        <v>https://m.media-amazon.com/images/M/MV5BMjE4NzgzNzEwMl5BMl5BanBnXkFtZTgwMTMzMDE0NjE@._V1_UX67_CR0,0,67,98_AL_.jpg</v>
      </c>
    </row>
    <row r="206">
      <c r="A206" s="1">
        <v>205.0</v>
      </c>
      <c r="B206" s="1" t="s">
        <v>1431</v>
      </c>
      <c r="C206" s="2">
        <v>3107072.0</v>
      </c>
      <c r="D206" s="1">
        <v>2014.0</v>
      </c>
      <c r="E206" s="1" t="s">
        <v>212</v>
      </c>
      <c r="F206" s="1" t="s">
        <v>279</v>
      </c>
      <c r="G206" s="1" t="s">
        <v>171</v>
      </c>
      <c r="H206" s="1">
        <v>8.1</v>
      </c>
      <c r="I206" s="1" t="s">
        <v>1432</v>
      </c>
      <c r="J206" s="1">
        <v>77.0</v>
      </c>
      <c r="K206" s="1" t="s">
        <v>1433</v>
      </c>
      <c r="L206" s="1" t="s">
        <v>1434</v>
      </c>
      <c r="M206" s="1" t="s">
        <v>1435</v>
      </c>
      <c r="N206" s="1" t="s">
        <v>1436</v>
      </c>
      <c r="O206" s="1" t="s">
        <v>1437</v>
      </c>
      <c r="P206" s="1">
        <v>177059.0</v>
      </c>
      <c r="Q206" s="3" t="str">
        <f>VLOOKUP(A206,Posters!A206:B1205,2)</f>
        <v>https://m.media-amazon.com/images/M/MV5BNGQzY2Y0MTgtMDA4OC00NjM3LWI0ZGQtNTJlM2UxZDQxZjI0XkEyXkFqcGdeQXVyNDUzOTQ5MjY@._V1_UY98_CR1,0,67,98_AL_.jpg</v>
      </c>
    </row>
    <row r="207">
      <c r="A207" s="1">
        <v>206.0</v>
      </c>
      <c r="B207" s="1" t="s">
        <v>1438</v>
      </c>
      <c r="C207" s="2">
        <v>1.20957731E8</v>
      </c>
      <c r="D207" s="1">
        <v>2020.0</v>
      </c>
      <c r="E207" s="1" t="s">
        <v>52</v>
      </c>
      <c r="F207" s="1" t="s">
        <v>1439</v>
      </c>
      <c r="G207" s="1" t="s">
        <v>765</v>
      </c>
      <c r="H207" s="1">
        <v>8.1</v>
      </c>
      <c r="I207" s="1" t="s">
        <v>1440</v>
      </c>
      <c r="J207" s="1">
        <v>83.0</v>
      </c>
      <c r="K207" s="1" t="s">
        <v>1071</v>
      </c>
      <c r="L207" s="1" t="s">
        <v>1441</v>
      </c>
      <c r="M207" s="1" t="s">
        <v>497</v>
      </c>
      <c r="N207" s="1" t="s">
        <v>1442</v>
      </c>
      <c r="O207" s="1" t="s">
        <v>1443</v>
      </c>
      <c r="P207" s="1">
        <v>159171.0</v>
      </c>
      <c r="Q207" s="3" t="str">
        <f>VLOOKUP(A207,Posters!A207:B1206,2)</f>
        <v>https://m.media-amazon.com/images/M/MV5BZGE1MDg5M2MtNTkyZS00MTY5LTg1YzUtZTlhZmM1Y2EwNmFmXkEyXkFqcGdeQXVyNjA3OTI0MDc@._V1_UX67_CR0,0,67,98_AL_.jpg</v>
      </c>
    </row>
    <row r="208">
      <c r="A208" s="1">
        <v>207.0</v>
      </c>
      <c r="B208" s="1" t="s">
        <v>1444</v>
      </c>
      <c r="C208" s="1" t="s">
        <v>1445</v>
      </c>
      <c r="D208" s="1">
        <v>2014.0</v>
      </c>
      <c r="E208" s="1">
        <v>14.0</v>
      </c>
      <c r="F208" s="1" t="s">
        <v>1446</v>
      </c>
      <c r="G208" s="1" t="s">
        <v>20</v>
      </c>
      <c r="H208" s="1">
        <v>8.1</v>
      </c>
      <c r="I208" s="1" t="s">
        <v>1447</v>
      </c>
      <c r="J208" s="1">
        <v>88.0</v>
      </c>
      <c r="K208" s="1" t="s">
        <v>1448</v>
      </c>
      <c r="L208" s="1" t="s">
        <v>1449</v>
      </c>
      <c r="M208" s="1" t="s">
        <v>1450</v>
      </c>
      <c r="N208" s="1" t="s">
        <v>1451</v>
      </c>
      <c r="O208" s="1" t="s">
        <v>1452</v>
      </c>
      <c r="P208" s="1">
        <v>46547.0</v>
      </c>
      <c r="Q208" s="3" t="str">
        <f>VLOOKUP(A208,Posters!A208:B1207,2)</f>
        <v>https://m.media-amazon.com/images/M/MV5BYzE2MjEwMTQtOTQ2Mi00ZWExLTkyMjUtNmJjMjBlYWFjZDdlXkEyXkFqcGdeQXVyMTI3ODAyMzE2._V1_UY98_CR0,0,67,98_AL_.jpg</v>
      </c>
    </row>
    <row r="209">
      <c r="A209" s="1">
        <v>208.0</v>
      </c>
      <c r="B209" s="1" t="s">
        <v>1453</v>
      </c>
      <c r="C209" s="2">
        <v>1.0616104E7</v>
      </c>
      <c r="D209" s="1">
        <v>2014.0</v>
      </c>
      <c r="E209" s="1" t="s">
        <v>37</v>
      </c>
      <c r="F209" s="1" t="s">
        <v>179</v>
      </c>
      <c r="G209" s="1" t="s">
        <v>1454</v>
      </c>
      <c r="H209" s="1">
        <v>8.1</v>
      </c>
      <c r="I209" s="1" t="s">
        <v>1455</v>
      </c>
      <c r="K209" s="1" t="s">
        <v>509</v>
      </c>
      <c r="L209" s="1" t="s">
        <v>461</v>
      </c>
      <c r="M209" s="1" t="s">
        <v>1456</v>
      </c>
      <c r="N209" s="1" t="s">
        <v>1457</v>
      </c>
      <c r="O209" s="1" t="s">
        <v>1458</v>
      </c>
      <c r="P209" s="1">
        <v>163061.0</v>
      </c>
      <c r="Q209" s="3" t="str">
        <f>VLOOKUP(A209,Posters!A209:B1208,2)</f>
        <v>https://m.media-amazon.com/images/M/MV5BMTYzOTE2NjkxN15BMl5BanBnXkFtZTgwMDgzMTg0MzE@._V1_UY98_CR0,0,67,98_AL_.jpg</v>
      </c>
    </row>
    <row r="210">
      <c r="A210" s="1">
        <v>209.0</v>
      </c>
      <c r="B210" s="1" t="s">
        <v>1459</v>
      </c>
      <c r="C210" s="2">
        <v>923221.0</v>
      </c>
      <c r="D210" s="1">
        <v>2012.0</v>
      </c>
      <c r="E210" s="1" t="s">
        <v>52</v>
      </c>
      <c r="F210" s="1" t="s">
        <v>203</v>
      </c>
      <c r="G210" s="1" t="s">
        <v>1460</v>
      </c>
      <c r="H210" s="1">
        <v>8.1</v>
      </c>
      <c r="I210" s="1" t="s">
        <v>1461</v>
      </c>
      <c r="K210" s="1" t="s">
        <v>1462</v>
      </c>
      <c r="L210" s="1" t="s">
        <v>184</v>
      </c>
      <c r="M210" s="1" t="s">
        <v>1156</v>
      </c>
      <c r="N210" s="1" t="s">
        <v>1463</v>
      </c>
      <c r="O210" s="1" t="s">
        <v>1464</v>
      </c>
      <c r="P210" s="1">
        <v>51739.0</v>
      </c>
      <c r="Q210" s="3" t="str">
        <f>VLOOKUP(A210,Posters!A210:B1209,2)</f>
        <v>https://m.media-amazon.com/images/M/MV5BMGNhYjUwNmYtNDQxNi00NDdmLTljMDAtZWM1NDQyZTk3ZDYwXkEyXkFqcGdeQXVyODE5NzE3OTE@._V1_UY98_CR0,0,67,98_AL_.jpg</v>
      </c>
    </row>
    <row r="211">
      <c r="A211" s="1">
        <v>210.0</v>
      </c>
      <c r="B211" s="1" t="s">
        <v>1465</v>
      </c>
      <c r="C211" s="2">
        <v>5.9100318E7</v>
      </c>
      <c r="D211" s="1">
        <v>2014.0</v>
      </c>
      <c r="E211" s="1" t="s">
        <v>37</v>
      </c>
      <c r="F211" s="1" t="s">
        <v>778</v>
      </c>
      <c r="G211" s="1" t="s">
        <v>1466</v>
      </c>
      <c r="H211" s="1">
        <v>8.1</v>
      </c>
      <c r="I211" s="1" t="s">
        <v>1467</v>
      </c>
      <c r="J211" s="1">
        <v>88.0</v>
      </c>
      <c r="K211" s="1" t="s">
        <v>1468</v>
      </c>
      <c r="L211" s="1" t="s">
        <v>83</v>
      </c>
      <c r="M211" s="1" t="s">
        <v>803</v>
      </c>
      <c r="N211" s="1" t="s">
        <v>1469</v>
      </c>
      <c r="O211" s="1" t="s">
        <v>317</v>
      </c>
      <c r="P211" s="1">
        <v>707630.0</v>
      </c>
      <c r="Q211" s="3" t="str">
        <f>VLOOKUP(A211,Posters!A211:B1210,2)</f>
        <v>https://m.media-amazon.com/images/M/MV5BMzM5NjUxOTEyMl5BMl5BanBnXkFtZTgwNjEyMDM0MDE@._V1_UX67_CR0,0,67,98_AL_.jpg</v>
      </c>
    </row>
    <row r="212">
      <c r="A212" s="1">
        <v>211.0</v>
      </c>
      <c r="B212" s="1" t="s">
        <v>1470</v>
      </c>
      <c r="C212" s="2">
        <v>1.67767189E8</v>
      </c>
      <c r="D212" s="1">
        <v>2014.0</v>
      </c>
      <c r="E212" s="1" t="s">
        <v>18</v>
      </c>
      <c r="F212" s="1" t="s">
        <v>483</v>
      </c>
      <c r="G212" s="1" t="s">
        <v>527</v>
      </c>
      <c r="H212" s="1">
        <v>8.1</v>
      </c>
      <c r="I212" s="1" t="s">
        <v>1471</v>
      </c>
      <c r="J212" s="1">
        <v>79.0</v>
      </c>
      <c r="K212" s="1" t="s">
        <v>97</v>
      </c>
      <c r="L212" s="1" t="s">
        <v>753</v>
      </c>
      <c r="M212" s="1" t="s">
        <v>1472</v>
      </c>
      <c r="N212" s="1" t="s">
        <v>1473</v>
      </c>
      <c r="O212" s="1" t="s">
        <v>1474</v>
      </c>
      <c r="P212" s="1">
        <v>859695.0</v>
      </c>
      <c r="Q212" s="3" t="str">
        <f>VLOOKUP(A212,Posters!A212:B1211,2)</f>
        <v>https://m.media-amazon.com/images/M/MV5BMTk0MDQ3MzAzOV5BMl5BanBnXkFtZTgwNzU1NzE3MjE@._V1_UX67_CR0,0,67,98_AL_.jpg</v>
      </c>
    </row>
    <row r="213">
      <c r="A213" s="1">
        <v>212.0</v>
      </c>
      <c r="B213" s="1" t="s">
        <v>1475</v>
      </c>
      <c r="C213" s="2">
        <v>5.5060661E7</v>
      </c>
      <c r="D213" s="1">
        <v>2012.0</v>
      </c>
      <c r="E213" s="1" t="s">
        <v>52</v>
      </c>
      <c r="F213" s="1" t="s">
        <v>466</v>
      </c>
      <c r="G213" s="1" t="s">
        <v>450</v>
      </c>
      <c r="H213" s="1">
        <v>8.1</v>
      </c>
      <c r="I213" s="1" t="s">
        <v>1476</v>
      </c>
      <c r="J213" s="1">
        <v>71.0</v>
      </c>
      <c r="K213" s="1" t="s">
        <v>1477</v>
      </c>
      <c r="L213" s="1" t="s">
        <v>1478</v>
      </c>
      <c r="M213" s="1" t="s">
        <v>1479</v>
      </c>
      <c r="N213" s="1" t="s">
        <v>1480</v>
      </c>
      <c r="O213" s="1" t="s">
        <v>1481</v>
      </c>
      <c r="P213" s="1">
        <v>38803.0</v>
      </c>
      <c r="Q213" s="3" t="str">
        <f>VLOOKUP(A213,Posters!A213:B1212,2)</f>
        <v>https://m.media-amazon.com/images/M/MV5BYzQxNDZhNDUtNDUwOC00NjQyLTg2OWUtZWVlYThjYjYyMTc2XkEyXkFqcGdeQXVyNTAyODkwOQ@@._V1_UY98_CR1,0,67,98_AL_.jpg</v>
      </c>
    </row>
    <row r="214">
      <c r="A214" s="1">
        <v>213.0</v>
      </c>
      <c r="B214" s="1" t="s">
        <v>1482</v>
      </c>
      <c r="C214" s="2">
        <v>6.7209615E7</v>
      </c>
      <c r="D214" s="1">
        <v>2016.0</v>
      </c>
      <c r="E214" s="1" t="s">
        <v>18</v>
      </c>
      <c r="F214" s="1" t="s">
        <v>95</v>
      </c>
      <c r="G214" s="1" t="s">
        <v>79</v>
      </c>
      <c r="H214" s="1">
        <v>8.1</v>
      </c>
      <c r="I214" s="1" t="s">
        <v>1483</v>
      </c>
      <c r="J214" s="1">
        <v>71.0</v>
      </c>
      <c r="K214" s="1" t="s">
        <v>773</v>
      </c>
      <c r="L214" s="1" t="s">
        <v>1484</v>
      </c>
      <c r="M214" s="1" t="s">
        <v>1485</v>
      </c>
      <c r="N214" s="1" t="s">
        <v>1486</v>
      </c>
      <c r="O214" s="1" t="s">
        <v>1487</v>
      </c>
      <c r="P214" s="1">
        <v>435928.0</v>
      </c>
      <c r="Q214" s="3" t="str">
        <f>VLOOKUP(A214,Posters!A214:B1213,2)</f>
        <v>https://m.media-amazon.com/images/M/MV5BMjQ1NjM3MTUxNV5BMl5BanBnXkFtZTgwMDc5MTY5OTE@._V1_UX67_CR0,0,67,98_AL_.jpg</v>
      </c>
    </row>
    <row r="215">
      <c r="A215" s="1">
        <v>214.0</v>
      </c>
      <c r="B215" s="1" t="s">
        <v>1488</v>
      </c>
      <c r="C215" s="2">
        <v>3.56461711E8</v>
      </c>
      <c r="D215" s="1">
        <v>2015.0</v>
      </c>
      <c r="E215" s="1" t="s">
        <v>52</v>
      </c>
      <c r="F215" s="1" t="s">
        <v>601</v>
      </c>
      <c r="G215" s="1" t="s">
        <v>765</v>
      </c>
      <c r="H215" s="1">
        <v>8.1</v>
      </c>
      <c r="I215" s="1" t="s">
        <v>1489</v>
      </c>
      <c r="J215" s="1">
        <v>94.0</v>
      </c>
      <c r="K215" s="1" t="s">
        <v>1071</v>
      </c>
      <c r="L215" s="1" t="s">
        <v>1490</v>
      </c>
      <c r="M215" s="1" t="s">
        <v>1491</v>
      </c>
      <c r="N215" s="1" t="s">
        <v>1492</v>
      </c>
      <c r="O215" s="1" t="s">
        <v>1493</v>
      </c>
      <c r="P215" s="1">
        <v>616228.0</v>
      </c>
      <c r="Q215" s="3" t="str">
        <f>VLOOKUP(A215,Posters!A215:B1214,2)</f>
        <v>https://m.media-amazon.com/images/M/MV5BOTgxMDQwMDk0OF5BMl5BanBnXkFtZTgwNjU5OTg2NDE@._V1_UX67_CR0,0,67,98_AL_.jpg</v>
      </c>
    </row>
    <row r="216">
      <c r="A216" s="1">
        <v>215.0</v>
      </c>
      <c r="B216" s="1" t="s">
        <v>1494</v>
      </c>
      <c r="C216" s="2">
        <v>2804874.0</v>
      </c>
      <c r="D216" s="1">
        <v>2012.0</v>
      </c>
      <c r="E216" s="1" t="s">
        <v>52</v>
      </c>
      <c r="F216" s="1" t="s">
        <v>309</v>
      </c>
      <c r="G216" s="1" t="s">
        <v>227</v>
      </c>
      <c r="H216" s="1">
        <v>8.1</v>
      </c>
      <c r="I216" s="1" t="s">
        <v>1495</v>
      </c>
      <c r="K216" s="1" t="s">
        <v>1496</v>
      </c>
      <c r="L216" s="1" t="s">
        <v>1497</v>
      </c>
      <c r="M216" s="1" t="s">
        <v>1498</v>
      </c>
      <c r="N216" s="1" t="s">
        <v>1499</v>
      </c>
      <c r="O216" s="1" t="s">
        <v>1500</v>
      </c>
      <c r="P216" s="1">
        <v>75721.0</v>
      </c>
      <c r="Q216" s="3" t="str">
        <f>VLOOKUP(A216,Posters!A216:B1215,2)</f>
        <v>https://m.media-amazon.com/images/M/MV5BMTQzMTEyODY2Ml5BMl5BanBnXkFtZTgwMjA0MDUyMjE@._V1_UY98_CR0,0,67,98_AL_.jpg</v>
      </c>
    </row>
    <row r="217">
      <c r="A217" s="1">
        <v>216.0</v>
      </c>
      <c r="B217" s="1" t="s">
        <v>1501</v>
      </c>
      <c r="C217" s="2">
        <v>5.6671993E7</v>
      </c>
      <c r="D217" s="1">
        <v>2013.0</v>
      </c>
      <c r="E217" s="1" t="s">
        <v>18</v>
      </c>
      <c r="F217" s="1" t="s">
        <v>550</v>
      </c>
      <c r="G217" s="1" t="s">
        <v>79</v>
      </c>
      <c r="H217" s="1">
        <v>8.1</v>
      </c>
      <c r="I217" s="1" t="s">
        <v>1502</v>
      </c>
      <c r="J217" s="1">
        <v>96.0</v>
      </c>
      <c r="K217" s="1" t="s">
        <v>1272</v>
      </c>
      <c r="L217" s="1" t="s">
        <v>1503</v>
      </c>
      <c r="M217" s="1" t="s">
        <v>1504</v>
      </c>
      <c r="N217" s="1" t="s">
        <v>1505</v>
      </c>
      <c r="O217" s="1" t="s">
        <v>98</v>
      </c>
      <c r="P217" s="1">
        <v>640533.0</v>
      </c>
      <c r="Q217" s="3" t="str">
        <f>VLOOKUP(A217,Posters!A217:B1216,2)</f>
        <v>https://m.media-amazon.com/images/M/MV5BMjExMTEzODkyN15BMl5BanBnXkFtZTcwNTU4NTc4OQ@@._V1_UX67_CR0,0,67,98_AL_.jpg</v>
      </c>
    </row>
    <row r="218">
      <c r="A218" s="1">
        <v>217.0</v>
      </c>
      <c r="B218" s="1" t="s">
        <v>1506</v>
      </c>
      <c r="C218" s="2">
        <v>2.6947624E7</v>
      </c>
      <c r="D218" s="1">
        <v>2013.0</v>
      </c>
      <c r="E218" s="1" t="s">
        <v>37</v>
      </c>
      <c r="F218" s="1" t="s">
        <v>678</v>
      </c>
      <c r="G218" s="1" t="s">
        <v>458</v>
      </c>
      <c r="H218" s="1">
        <v>8.1</v>
      </c>
      <c r="I218" s="1" t="s">
        <v>1507</v>
      </c>
      <c r="J218" s="1">
        <v>74.0</v>
      </c>
      <c r="K218" s="1" t="s">
        <v>1150</v>
      </c>
      <c r="L218" s="1" t="s">
        <v>1508</v>
      </c>
      <c r="M218" s="1" t="s">
        <v>485</v>
      </c>
      <c r="N218" s="1" t="s">
        <v>1509</v>
      </c>
      <c r="O218" s="1" t="s">
        <v>1138</v>
      </c>
      <c r="P218" s="1">
        <v>432811.0</v>
      </c>
      <c r="Q218" s="3" t="str">
        <f>VLOOKUP(A218,Posters!A218:B1217,2)</f>
        <v>https://m.media-amazon.com/images/M/MV5BOWEwODJmZDItYTNmZC00OGM4LThlNDktOTQzZjIzMGQxODA4XkEyXkFqcGdeQXVyNjU0OTQ0OTY@._V1_UX67_CR0,0,67,98_AL_.jpg</v>
      </c>
    </row>
    <row r="219">
      <c r="A219" s="1">
        <v>218.0</v>
      </c>
      <c r="B219" s="1" t="s">
        <v>1510</v>
      </c>
      <c r="C219" s="2">
        <v>1.17624028E8</v>
      </c>
      <c r="D219" s="1">
        <v>2019.0</v>
      </c>
      <c r="E219" s="1" t="s">
        <v>37</v>
      </c>
      <c r="F219" s="1" t="s">
        <v>38</v>
      </c>
      <c r="G219" s="1" t="s">
        <v>458</v>
      </c>
      <c r="H219" s="1">
        <v>8.1</v>
      </c>
      <c r="I219" s="1" t="s">
        <v>1511</v>
      </c>
      <c r="J219" s="1">
        <v>81.0</v>
      </c>
      <c r="K219" s="1" t="s">
        <v>1420</v>
      </c>
      <c r="L219" s="1" t="s">
        <v>215</v>
      </c>
      <c r="M219" s="1" t="s">
        <v>42</v>
      </c>
      <c r="N219" s="1" t="s">
        <v>1512</v>
      </c>
      <c r="O219" s="1" t="s">
        <v>1513</v>
      </c>
      <c r="P219" s="1">
        <v>291289.0</v>
      </c>
      <c r="Q219" s="3" t="str">
        <f>VLOOKUP(A219,Posters!A219:B1218,2)</f>
        <v>https://m.media-amazon.com/images/M/MV5BM2UwMDVmMDItM2I2Yi00NGZmLTk4ZTUtY2JjNTQ3OGQ5ZjM2XkEyXkFqcGdeQXVyMTA1OTYzOTUx._V1_UX67_CR0,0,67,98_AL_.jpg</v>
      </c>
    </row>
    <row r="220">
      <c r="A220" s="1">
        <v>219.0</v>
      </c>
      <c r="B220" s="1" t="s">
        <v>1514</v>
      </c>
      <c r="C220" s="2">
        <v>4.5055776E7</v>
      </c>
      <c r="D220" s="1">
        <v>2015.0</v>
      </c>
      <c r="E220" s="1" t="s">
        <v>18</v>
      </c>
      <c r="F220" s="1" t="s">
        <v>830</v>
      </c>
      <c r="G220" s="1" t="s">
        <v>137</v>
      </c>
      <c r="H220" s="1">
        <v>8.1</v>
      </c>
      <c r="I220" s="1" t="s">
        <v>1515</v>
      </c>
      <c r="J220" s="1">
        <v>93.0</v>
      </c>
      <c r="K220" s="1" t="s">
        <v>1516</v>
      </c>
      <c r="L220" s="1" t="s">
        <v>481</v>
      </c>
      <c r="M220" s="1" t="s">
        <v>1517</v>
      </c>
      <c r="N220" s="1" t="s">
        <v>1518</v>
      </c>
      <c r="O220" s="1" t="s">
        <v>1519</v>
      </c>
      <c r="P220" s="1">
        <v>420316.0</v>
      </c>
      <c r="Q220" s="3" t="str">
        <f>VLOOKUP(A220,Posters!A220:B1219,2)</f>
        <v>https://m.media-amazon.com/images/M/MV5BMjIyOTM5OTIzNV5BMl5BanBnXkFtZTgwMDkzODE2NjE@._V1_UX67_CR0,0,67,98_AL_.jpg</v>
      </c>
    </row>
    <row r="221">
      <c r="A221" s="1">
        <v>220.0</v>
      </c>
      <c r="B221" s="1" t="s">
        <v>1520</v>
      </c>
      <c r="C221" s="2">
        <v>857524.0</v>
      </c>
      <c r="D221" s="1">
        <v>2014.0</v>
      </c>
      <c r="E221" s="1" t="s">
        <v>270</v>
      </c>
      <c r="F221" s="1" t="s">
        <v>1521</v>
      </c>
      <c r="G221" s="1" t="s">
        <v>352</v>
      </c>
      <c r="H221" s="1">
        <v>8.1</v>
      </c>
      <c r="I221" s="1" t="s">
        <v>1522</v>
      </c>
      <c r="J221" s="1">
        <v>85.0</v>
      </c>
      <c r="K221" s="1" t="s">
        <v>1523</v>
      </c>
      <c r="L221" s="1" t="s">
        <v>1524</v>
      </c>
      <c r="M221" s="1" t="s">
        <v>1525</v>
      </c>
      <c r="N221" s="1" t="s">
        <v>1526</v>
      </c>
      <c r="O221" s="1" t="s">
        <v>1527</v>
      </c>
      <c r="P221" s="1">
        <v>51679.0</v>
      </c>
      <c r="Q221" s="3" t="str">
        <f>VLOOKUP(A221,Posters!A221:B1220,2)</f>
        <v>https://m.media-amazon.com/images/M/MV5BMTQ2MDMwNjEwNV5BMl5BanBnXkFtZTgwOTkxMzI0MzE@._V1_UY98_CR0,0,67,98_AL_.jpg</v>
      </c>
    </row>
    <row r="222">
      <c r="A222" s="1">
        <v>221.0</v>
      </c>
      <c r="B222" s="1" t="s">
        <v>1528</v>
      </c>
      <c r="C222" s="2">
        <v>1035953.0</v>
      </c>
      <c r="D222" s="1">
        <v>2012.0</v>
      </c>
      <c r="E222" s="1" t="s">
        <v>37</v>
      </c>
      <c r="F222" s="1" t="s">
        <v>279</v>
      </c>
      <c r="G222" s="1" t="s">
        <v>544</v>
      </c>
      <c r="H222" s="1">
        <v>8.1</v>
      </c>
      <c r="I222" s="1" t="s">
        <v>1529</v>
      </c>
      <c r="K222" s="1" t="s">
        <v>1530</v>
      </c>
      <c r="L222" s="1" t="s">
        <v>1531</v>
      </c>
      <c r="M222" s="1" t="s">
        <v>1532</v>
      </c>
      <c r="N222" s="1" t="s">
        <v>1533</v>
      </c>
      <c r="O222" s="1" t="s">
        <v>1034</v>
      </c>
      <c r="P222" s="1">
        <v>57806.0</v>
      </c>
      <c r="Q222" s="3" t="str">
        <f>VLOOKUP(A222,Posters!A222:B1221,2)</f>
        <v>https://m.media-amazon.com/images/M/MV5BMTQ1NDI0NzkyOF5BMl5BanBnXkFtZTcwNzAyNzE2Nw@@._V1_UY98_CR0,0,67,98_AL_.jpg</v>
      </c>
    </row>
    <row r="223">
      <c r="A223" s="1">
        <v>222.0</v>
      </c>
      <c r="B223" s="1" t="s">
        <v>1534</v>
      </c>
      <c r="C223" s="2">
        <v>3108485.0</v>
      </c>
      <c r="D223" s="1">
        <v>2011.0</v>
      </c>
      <c r="E223" s="1" t="s">
        <v>52</v>
      </c>
      <c r="F223" s="1" t="s">
        <v>322</v>
      </c>
      <c r="G223" s="1" t="s">
        <v>507</v>
      </c>
      <c r="H223" s="1">
        <v>8.1</v>
      </c>
      <c r="I223" s="1" t="s">
        <v>1535</v>
      </c>
      <c r="K223" s="1" t="s">
        <v>1536</v>
      </c>
      <c r="L223" s="1" t="s">
        <v>1537</v>
      </c>
      <c r="M223" s="1" t="s">
        <v>1023</v>
      </c>
      <c r="N223" s="1" t="s">
        <v>1538</v>
      </c>
      <c r="O223" s="1" t="s">
        <v>1539</v>
      </c>
      <c r="P223" s="1">
        <v>67927.0</v>
      </c>
      <c r="Q223" s="3" t="str">
        <f>VLOOKUP(A223,Posters!A223:B1222,2)</f>
        <v>https://m.media-amazon.com/images/M/MV5BZGFmMjM5OWMtZTRiNC00ODhlLThlYTItYTcyZDMyYmMyYjFjXkEyXkFqcGdeQXVyNDUzOTQ5MjY@._V1_UY98_CR0,0,67,98_AL_.jpg</v>
      </c>
    </row>
    <row r="224">
      <c r="A224" s="1">
        <v>223.0</v>
      </c>
      <c r="B224" s="1" t="s">
        <v>1540</v>
      </c>
      <c r="C224" s="2">
        <v>6.1002302E7</v>
      </c>
      <c r="D224" s="1">
        <v>2013.0</v>
      </c>
      <c r="E224" s="1" t="s">
        <v>18</v>
      </c>
      <c r="F224" s="1" t="s">
        <v>179</v>
      </c>
      <c r="G224" s="1" t="s">
        <v>235</v>
      </c>
      <c r="H224" s="1">
        <v>8.1</v>
      </c>
      <c r="I224" s="1" t="s">
        <v>1541</v>
      </c>
      <c r="J224" s="1">
        <v>70.0</v>
      </c>
      <c r="K224" s="1" t="s">
        <v>688</v>
      </c>
      <c r="L224" s="1" t="s">
        <v>306</v>
      </c>
      <c r="M224" s="1" t="s">
        <v>1542</v>
      </c>
      <c r="N224" s="1" t="s">
        <v>1543</v>
      </c>
      <c r="O224" s="1" t="s">
        <v>1544</v>
      </c>
      <c r="P224" s="1">
        <v>601149.0</v>
      </c>
      <c r="Q224" s="3" t="str">
        <f>VLOOKUP(A224,Posters!A224:B1223,2)</f>
        <v>https://m.media-amazon.com/images/M/MV5BMTg0NTIzMjQ1NV5BMl5BanBnXkFtZTcwNDc3MzM5OQ@@._V1_UX67_CR0,0,67,98_AL_.jpg</v>
      </c>
    </row>
    <row r="225">
      <c r="A225" s="1">
        <v>224.0</v>
      </c>
      <c r="B225" s="1" t="s">
        <v>1545</v>
      </c>
      <c r="C225" s="2">
        <v>1.5405834E8</v>
      </c>
      <c r="D225" s="1">
        <v>2015.0</v>
      </c>
      <c r="E225" s="1" t="s">
        <v>37</v>
      </c>
      <c r="F225" s="1" t="s">
        <v>1546</v>
      </c>
      <c r="G225" s="1" t="s">
        <v>88</v>
      </c>
      <c r="H225" s="1">
        <v>8.1</v>
      </c>
      <c r="I225" s="1" t="s">
        <v>1547</v>
      </c>
      <c r="J225" s="1">
        <v>90.0</v>
      </c>
      <c r="K225" s="1" t="s">
        <v>1548</v>
      </c>
      <c r="L225" s="1" t="s">
        <v>504</v>
      </c>
      <c r="M225" s="1" t="s">
        <v>1549</v>
      </c>
      <c r="N225" s="1" t="s">
        <v>1550</v>
      </c>
      <c r="O225" s="1" t="s">
        <v>1551</v>
      </c>
      <c r="P225" s="1">
        <v>882316.0</v>
      </c>
      <c r="Q225" s="3" t="str">
        <f>VLOOKUP(A225,Posters!A225:B1224,2)</f>
        <v>https://m.media-amazon.com/images/M/MV5BN2EwM2I5OWMtMGQyMi00Zjg1LWJkNTctZTdjYTA4OGUwZjMyXkEyXkFqcGdeQXVyMTMxODk2OTU@._V1_UX67_CR0,0,67,98_AL_.jpg</v>
      </c>
    </row>
    <row r="226">
      <c r="A226" s="1">
        <v>225.0</v>
      </c>
      <c r="B226" s="1" t="s">
        <v>1552</v>
      </c>
      <c r="C226" s="2">
        <v>3256911.0</v>
      </c>
      <c r="D226" s="1">
        <v>2008.0</v>
      </c>
      <c r="E226" s="1" t="s">
        <v>37</v>
      </c>
      <c r="F226" s="1" t="s">
        <v>647</v>
      </c>
      <c r="G226" s="1" t="s">
        <v>39</v>
      </c>
      <c r="H226" s="1">
        <v>8.1</v>
      </c>
      <c r="I226" s="1" t="s">
        <v>1553</v>
      </c>
      <c r="K226" s="1" t="s">
        <v>1554</v>
      </c>
      <c r="L226" s="1" t="s">
        <v>1555</v>
      </c>
      <c r="M226" s="1" t="s">
        <v>1556</v>
      </c>
      <c r="N226" s="1" t="s">
        <v>1557</v>
      </c>
      <c r="O226" s="1" t="s">
        <v>1558</v>
      </c>
      <c r="P226" s="1">
        <v>73891.0</v>
      </c>
      <c r="Q226" s="3" t="str">
        <f>VLOOKUP(A226,Posters!A226:B1225,2)</f>
        <v>https://m.media-amazon.com/images/M/MV5BOTcwMzdiMWItMjZlOS00MzAzLTg5OTItNTA4OGYyMjBhMmRiXkEyXkFqcGdeQXVyODE5NzE3OTE@._V1_UY98_CR1,0,67,98_AL_.jpg</v>
      </c>
    </row>
    <row r="227">
      <c r="A227" s="1">
        <v>226.0</v>
      </c>
      <c r="B227" s="1" t="s">
        <v>1559</v>
      </c>
      <c r="C227" s="2">
        <v>1.48095302E8</v>
      </c>
      <c r="D227" s="1">
        <v>2008.0</v>
      </c>
      <c r="E227" s="1" t="s">
        <v>212</v>
      </c>
      <c r="F227" s="1" t="s">
        <v>226</v>
      </c>
      <c r="G227" s="1" t="s">
        <v>20</v>
      </c>
      <c r="H227" s="1">
        <v>8.1</v>
      </c>
      <c r="I227" s="1" t="s">
        <v>1560</v>
      </c>
      <c r="J227" s="1">
        <v>72.0</v>
      </c>
      <c r="K227" s="1" t="s">
        <v>119</v>
      </c>
      <c r="L227" s="1" t="s">
        <v>119</v>
      </c>
      <c r="M227" s="1" t="s">
        <v>1561</v>
      </c>
      <c r="N227" s="1" t="s">
        <v>1562</v>
      </c>
      <c r="O227" s="1" t="s">
        <v>1563</v>
      </c>
      <c r="P227" s="1">
        <v>720450.0</v>
      </c>
      <c r="Q227" s="3" t="str">
        <f>VLOOKUP(A227,Posters!A227:B1226,2)</f>
        <v>https://m.media-amazon.com/images/M/MV5BMTc5NTk2OTU1Nl5BMl5BanBnXkFtZTcwMDc3NjAwMg@@._V1_UX67_CR0,0,67,98_AL_.jpg</v>
      </c>
    </row>
    <row r="228">
      <c r="A228" s="1">
        <v>227.0</v>
      </c>
      <c r="B228" s="1" t="s">
        <v>1564</v>
      </c>
      <c r="C228" s="2">
        <v>3.81011219E8</v>
      </c>
      <c r="D228" s="1">
        <v>2011.0</v>
      </c>
      <c r="E228" s="1" t="s">
        <v>37</v>
      </c>
      <c r="F228" s="1" t="s">
        <v>195</v>
      </c>
      <c r="G228" s="1" t="s">
        <v>1565</v>
      </c>
      <c r="H228" s="1">
        <v>8.1</v>
      </c>
      <c r="I228" s="1" t="s">
        <v>1566</v>
      </c>
      <c r="J228" s="1">
        <v>85.0</v>
      </c>
      <c r="K228" s="1" t="s">
        <v>1567</v>
      </c>
      <c r="L228" s="1" t="s">
        <v>1568</v>
      </c>
      <c r="M228" s="1" t="s">
        <v>1569</v>
      </c>
      <c r="N228" s="1" t="s">
        <v>1570</v>
      </c>
      <c r="O228" s="1" t="s">
        <v>1571</v>
      </c>
      <c r="P228" s="1">
        <v>764493.0</v>
      </c>
      <c r="Q228" s="3" t="str">
        <f>VLOOKUP(A228,Posters!A228:B1227,2)</f>
        <v>https://m.media-amazon.com/images/M/MV5BMGVmMWNiMDktYjQ0Mi00MWIxLTk0N2UtN2ZlYTdkN2IzNDNlXkEyXkFqcGdeQXVyODE5NzE3OTE@._V1_UX67_CR0,0,67,98_AL_.jpg</v>
      </c>
    </row>
    <row r="229">
      <c r="A229" s="1">
        <v>228.0</v>
      </c>
      <c r="B229" s="1" t="s">
        <v>1572</v>
      </c>
      <c r="C229" s="2">
        <v>1498210.0</v>
      </c>
      <c r="D229" s="1">
        <v>2008.0</v>
      </c>
      <c r="E229" s="1" t="s">
        <v>161</v>
      </c>
      <c r="F229" s="1" t="s">
        <v>195</v>
      </c>
      <c r="G229" s="1" t="s">
        <v>287</v>
      </c>
      <c r="H229" s="1">
        <v>8.1</v>
      </c>
      <c r="I229" s="1" t="s">
        <v>1573</v>
      </c>
      <c r="J229" s="1">
        <v>68.0</v>
      </c>
      <c r="K229" s="1" t="s">
        <v>1574</v>
      </c>
      <c r="L229" s="1" t="s">
        <v>1575</v>
      </c>
      <c r="M229" s="1" t="s">
        <v>1576</v>
      </c>
      <c r="N229" s="1" t="s">
        <v>1577</v>
      </c>
      <c r="O229" s="1" t="s">
        <v>1578</v>
      </c>
      <c r="P229" s="1">
        <v>48582.0</v>
      </c>
      <c r="Q229" s="3" t="str">
        <f>VLOOKUP(A229,Posters!A229:B1228,2)</f>
        <v>https://m.media-amazon.com/images/M/MV5BMTUzOTcwOTA2NV5BMl5BanBnXkFtZTcwNDczMzczMg@@._V1_UY98_CR0,0,67,98_AL_.jpg</v>
      </c>
    </row>
    <row r="230">
      <c r="A230" s="1">
        <v>229.0</v>
      </c>
      <c r="B230" s="1" t="s">
        <v>1579</v>
      </c>
      <c r="C230" s="2">
        <v>4.6749646E7</v>
      </c>
      <c r="D230" s="1">
        <v>2009.0</v>
      </c>
      <c r="E230" s="1" t="s">
        <v>414</v>
      </c>
      <c r="F230" s="1" t="s">
        <v>1521</v>
      </c>
      <c r="G230" s="1" t="s">
        <v>1580</v>
      </c>
      <c r="H230" s="1">
        <v>8.1</v>
      </c>
      <c r="I230" s="1" t="s">
        <v>1581</v>
      </c>
      <c r="K230" s="1" t="s">
        <v>1582</v>
      </c>
      <c r="L230" s="1" t="s">
        <v>1583</v>
      </c>
      <c r="M230" s="1" t="s">
        <v>1584</v>
      </c>
      <c r="N230" s="1" t="s">
        <v>1585</v>
      </c>
      <c r="O230" s="1" t="s">
        <v>1586</v>
      </c>
      <c r="P230" s="1">
        <v>253575.0</v>
      </c>
      <c r="Q230" s="3" t="str">
        <f>VLOOKUP(A230,Posters!A230:B1229,2)</f>
        <v>https://m.media-amazon.com/images/M/MV5BNzE4NDg5OWMtMzg3NC00ZDRjLTllMDMtZTRjNWZmNjBmMGZlXkEyXkFqcGdeQXVyMTMxODk2OTU@._V1_UY98_CR1,0,67,98_AL_.jpg</v>
      </c>
    </row>
    <row r="231">
      <c r="A231" s="1">
        <v>230.0</v>
      </c>
      <c r="B231" s="1" t="s">
        <v>1587</v>
      </c>
      <c r="C231" s="2">
        <v>1740429.0</v>
      </c>
      <c r="D231" s="1">
        <v>2009.0</v>
      </c>
      <c r="E231" s="1">
        <v>12.0</v>
      </c>
      <c r="F231" s="1" t="s">
        <v>1588</v>
      </c>
      <c r="G231" s="1" t="s">
        <v>1589</v>
      </c>
      <c r="H231" s="1">
        <v>8.1</v>
      </c>
      <c r="I231" s="1" t="s">
        <v>1590</v>
      </c>
      <c r="K231" s="1" t="s">
        <v>1591</v>
      </c>
      <c r="L231" s="1" t="s">
        <v>1592</v>
      </c>
      <c r="M231" s="1" t="s">
        <v>1593</v>
      </c>
      <c r="N231" s="1" t="s">
        <v>1594</v>
      </c>
      <c r="O231" s="1" t="s">
        <v>1595</v>
      </c>
      <c r="P231" s="1">
        <v>164462.0</v>
      </c>
      <c r="Q231" s="3" t="str">
        <f>VLOOKUP(A231,Posters!A231:B1230,2)</f>
        <v>https://m.media-amazon.com/images/M/MV5BMDgzYjQwMDMtNGUzYi00MTRmLWIyMGMtNjE1OGZkNzY2YWIzL2ltYWdlXkEyXkFqcGdeQXVyNjU0OTQ0OTY@._V1_UY98_CR1,0,67,98_AL_.jpg</v>
      </c>
    </row>
    <row r="232">
      <c r="A232" s="1">
        <v>231.0</v>
      </c>
      <c r="B232" s="1" t="s">
        <v>1596</v>
      </c>
      <c r="C232" s="2">
        <v>2.17581231E8</v>
      </c>
      <c r="D232" s="1">
        <v>2010.0</v>
      </c>
      <c r="E232" s="1" t="s">
        <v>52</v>
      </c>
      <c r="F232" s="1" t="s">
        <v>519</v>
      </c>
      <c r="G232" s="1" t="s">
        <v>467</v>
      </c>
      <c r="H232" s="1">
        <v>8.1</v>
      </c>
      <c r="I232" s="1" t="s">
        <v>1597</v>
      </c>
      <c r="J232" s="1">
        <v>75.0</v>
      </c>
      <c r="K232" s="1" t="s">
        <v>1598</v>
      </c>
      <c r="L232" s="1" t="s">
        <v>1599</v>
      </c>
      <c r="M232" s="1" t="s">
        <v>1600</v>
      </c>
      <c r="N232" s="1" t="s">
        <v>1601</v>
      </c>
      <c r="O232" s="1" t="s">
        <v>1602</v>
      </c>
      <c r="P232" s="1">
        <v>666773.0</v>
      </c>
      <c r="Q232" s="3" t="str">
        <f>VLOOKUP(A232,Posters!A232:B1231,2)</f>
        <v>https://m.media-amazon.com/images/M/MV5BMjA5NDQyMjc2NF5BMl5BanBnXkFtZTcwMjg5ODcyMw@@._V1_UX67_CR0,0,67,98_AL_.jpg</v>
      </c>
    </row>
    <row r="233">
      <c r="A233" s="1">
        <v>232.0</v>
      </c>
      <c r="B233" s="1" t="s">
        <v>1603</v>
      </c>
      <c r="C233" s="2">
        <v>1.8354356E7</v>
      </c>
      <c r="D233" s="1">
        <v>2007.0</v>
      </c>
      <c r="E233" s="1" t="s">
        <v>212</v>
      </c>
      <c r="F233" s="1" t="s">
        <v>87</v>
      </c>
      <c r="G233" s="1" t="s">
        <v>858</v>
      </c>
      <c r="H233" s="1">
        <v>8.1</v>
      </c>
      <c r="I233" s="1" t="s">
        <v>1604</v>
      </c>
      <c r="J233" s="1">
        <v>73.0</v>
      </c>
      <c r="K233" s="1" t="s">
        <v>1605</v>
      </c>
      <c r="L233" s="1" t="s">
        <v>1606</v>
      </c>
      <c r="M233" s="1" t="s">
        <v>1607</v>
      </c>
      <c r="N233" s="1" t="s">
        <v>1608</v>
      </c>
      <c r="O233" s="1" t="s">
        <v>1609</v>
      </c>
      <c r="P233" s="1">
        <v>572921.0</v>
      </c>
      <c r="Q233" s="3" t="str">
        <f>VLOOKUP(A233,Posters!A233:B1232,2)</f>
        <v>https://m.media-amazon.com/images/M/MV5BMTAwNDEyODU1MjheQTJeQWpwZ15BbWU2MDc3NDQwNw@@._V1_UX67_CR0,0,67,98_AL_.jpg</v>
      </c>
    </row>
    <row r="234">
      <c r="A234" s="1">
        <v>233.0</v>
      </c>
      <c r="B234" s="1" t="s">
        <v>1610</v>
      </c>
      <c r="C234" s="2">
        <v>7.4283625E7</v>
      </c>
      <c r="D234" s="1">
        <v>2007.0</v>
      </c>
      <c r="E234" s="1" t="s">
        <v>212</v>
      </c>
      <c r="F234" s="1" t="s">
        <v>279</v>
      </c>
      <c r="G234" s="1" t="s">
        <v>241</v>
      </c>
      <c r="H234" s="1">
        <v>8.1</v>
      </c>
      <c r="I234" s="1" t="s">
        <v>1611</v>
      </c>
      <c r="J234" s="1">
        <v>91.0</v>
      </c>
      <c r="K234" s="1" t="s">
        <v>1612</v>
      </c>
      <c r="L234" s="1" t="s">
        <v>1613</v>
      </c>
      <c r="M234" s="1" t="s">
        <v>1614</v>
      </c>
      <c r="N234" s="1" t="s">
        <v>1615</v>
      </c>
      <c r="O234" s="1" t="s">
        <v>1616</v>
      </c>
      <c r="P234" s="1">
        <v>856916.0</v>
      </c>
      <c r="Q234" s="3" t="str">
        <f>VLOOKUP(A234,Posters!A234:B1233,2)</f>
        <v>https://m.media-amazon.com/images/M/MV5BMjA5Njk3MjM4OV5BMl5BanBnXkFtZTcwMTc5MTE1MQ@@._V1_UX67_CR0,0,67,98_AL_.jpg</v>
      </c>
    </row>
    <row r="235">
      <c r="A235" s="1">
        <v>234.0</v>
      </c>
      <c r="B235" s="1" t="s">
        <v>1617</v>
      </c>
      <c r="C235" s="2">
        <v>2217561.0</v>
      </c>
      <c r="D235" s="1">
        <v>2006.0</v>
      </c>
      <c r="E235" s="1" t="s">
        <v>52</v>
      </c>
      <c r="F235" s="1" t="s">
        <v>1618</v>
      </c>
      <c r="G235" s="1" t="s">
        <v>227</v>
      </c>
      <c r="H235" s="1">
        <v>8.1</v>
      </c>
      <c r="I235" s="1" t="s">
        <v>1619</v>
      </c>
      <c r="K235" s="1" t="s">
        <v>509</v>
      </c>
      <c r="L235" s="1" t="s">
        <v>1457</v>
      </c>
      <c r="M235" s="1" t="s">
        <v>1620</v>
      </c>
      <c r="N235" s="1" t="s">
        <v>1531</v>
      </c>
      <c r="O235" s="1" t="s">
        <v>1458</v>
      </c>
      <c r="P235" s="1">
        <v>43137.0</v>
      </c>
      <c r="Q235" s="3" t="str">
        <f>VLOOKUP(A235,Posters!A235:B1234,2)</f>
        <v>https://m.media-amazon.com/images/M/MV5BN2ZmMDMwODgtMzA5MS00MGU0LWEyYTgtYzQ5MmQzMzU2NTVkXkEyXkFqcGdeQXVyODE5NzE3OTE@._V1_UY98_CR0,0,67,98_AL_.jpg</v>
      </c>
    </row>
    <row r="236">
      <c r="A236" s="1">
        <v>235.0</v>
      </c>
      <c r="B236" s="1" t="s">
        <v>1621</v>
      </c>
      <c r="C236" s="2">
        <v>1.00492203E8</v>
      </c>
      <c r="D236" s="1">
        <v>2004.0</v>
      </c>
      <c r="E236" s="1" t="s">
        <v>37</v>
      </c>
      <c r="F236" s="1" t="s">
        <v>170</v>
      </c>
      <c r="G236" s="1" t="s">
        <v>1622</v>
      </c>
      <c r="H236" s="1">
        <v>8.1</v>
      </c>
      <c r="I236" s="1" t="s">
        <v>1623</v>
      </c>
      <c r="J236" s="1">
        <v>86.0</v>
      </c>
      <c r="K236" s="1" t="s">
        <v>119</v>
      </c>
      <c r="L236" s="1" t="s">
        <v>1624</v>
      </c>
      <c r="M236" s="1" t="s">
        <v>119</v>
      </c>
      <c r="N236" s="1" t="s">
        <v>24</v>
      </c>
      <c r="O236" s="1" t="s">
        <v>1600</v>
      </c>
      <c r="P236" s="1">
        <v>635975.0</v>
      </c>
      <c r="Q236" s="3" t="str">
        <f>VLOOKUP(A236,Posters!A236:B1235,2)</f>
        <v>https://m.media-amazon.com/images/M/MV5BMTkxNzA1NDQxOV5BMl5BanBnXkFtZTcwNTkyMTIzMw@@._V1_UX67_CR0,0,67,98_AL_.jpg</v>
      </c>
    </row>
    <row r="237">
      <c r="A237" s="1">
        <v>236.0</v>
      </c>
      <c r="B237" s="1" t="s">
        <v>1625</v>
      </c>
      <c r="C237" s="2">
        <v>2.3530892E7</v>
      </c>
      <c r="D237" s="1">
        <v>2004.0</v>
      </c>
      <c r="E237" s="1" t="s">
        <v>161</v>
      </c>
      <c r="F237" s="1" t="s">
        <v>249</v>
      </c>
      <c r="G237" s="1" t="s">
        <v>79</v>
      </c>
      <c r="H237" s="1">
        <v>8.1</v>
      </c>
      <c r="I237" s="1" t="s">
        <v>1626</v>
      </c>
      <c r="J237" s="1">
        <v>79.0</v>
      </c>
      <c r="K237" s="1" t="s">
        <v>1627</v>
      </c>
      <c r="L237" s="1" t="s">
        <v>1628</v>
      </c>
      <c r="M237" s="1" t="s">
        <v>1629</v>
      </c>
      <c r="N237" s="1" t="s">
        <v>282</v>
      </c>
      <c r="O237" s="1" t="s">
        <v>1630</v>
      </c>
      <c r="P237" s="1">
        <v>334320.0</v>
      </c>
      <c r="Q237" s="3" t="str">
        <f>VLOOKUP(A237,Posters!A237:B1236,2)</f>
        <v>https://m.media-amazon.com/images/M/MV5BZGJjYmIzZmQtNWE4Yy00ZGVmLWJkZGEtMzUzNmQ4ZWFlMjRhXkEyXkFqcGdeQXVyMTMxODk2OTU@._V1_UX67_CR0,0,67,98_AL_.jpg</v>
      </c>
    </row>
    <row r="238">
      <c r="A238" s="1">
        <v>237.0</v>
      </c>
      <c r="B238" s="1" t="s">
        <v>1631</v>
      </c>
      <c r="C238" s="2">
        <v>1111061.0</v>
      </c>
      <c r="D238" s="1">
        <v>2004.0</v>
      </c>
      <c r="E238" s="1" t="s">
        <v>212</v>
      </c>
      <c r="F238" s="1" t="s">
        <v>1059</v>
      </c>
      <c r="G238" s="1" t="s">
        <v>948</v>
      </c>
      <c r="H238" s="1">
        <v>8.1</v>
      </c>
      <c r="I238" s="1" t="s">
        <v>1632</v>
      </c>
      <c r="J238" s="1">
        <v>64.0</v>
      </c>
      <c r="K238" s="1" t="s">
        <v>1633</v>
      </c>
      <c r="L238" s="1" t="s">
        <v>1634</v>
      </c>
      <c r="M238" s="1" t="s">
        <v>1635</v>
      </c>
      <c r="N238" s="1" t="s">
        <v>1636</v>
      </c>
      <c r="O238" s="1" t="s">
        <v>1637</v>
      </c>
      <c r="P238" s="1">
        <v>37820.0</v>
      </c>
      <c r="Q238" s="3" t="str">
        <f>VLOOKUP(A238,Posters!A238:B1237,2)</f>
        <v>https://m.media-amazon.com/images/M/MV5BNjAxZTEzNzQtYjdlNy00ZTJmLTkwZDUtOTAwNTM3YjI2MWUyL2ltYWdlXkEyXkFqcGdeQXVyNTAyODkwOQ@@._V1_UX67_CR0,0,67,98_AL_.jpg</v>
      </c>
    </row>
    <row r="239">
      <c r="A239" s="1">
        <v>238.0</v>
      </c>
      <c r="B239" s="1" t="s">
        <v>1638</v>
      </c>
      <c r="C239" s="2">
        <v>5820649.0</v>
      </c>
      <c r="D239" s="1">
        <v>2004.0</v>
      </c>
      <c r="E239" s="1" t="s">
        <v>212</v>
      </c>
      <c r="F239" s="1" t="s">
        <v>1639</v>
      </c>
      <c r="G239" s="1" t="s">
        <v>107</v>
      </c>
      <c r="H239" s="1">
        <v>8.1</v>
      </c>
      <c r="I239" s="1" t="s">
        <v>1640</v>
      </c>
      <c r="J239" s="1">
        <v>90.0</v>
      </c>
      <c r="K239" s="1" t="s">
        <v>1641</v>
      </c>
      <c r="L239" s="1" t="s">
        <v>1642</v>
      </c>
      <c r="M239" s="1" t="s">
        <v>1643</v>
      </c>
      <c r="N239" s="1" t="s">
        <v>1644</v>
      </c>
      <c r="O239" s="1" t="s">
        <v>1645</v>
      </c>
      <c r="P239" s="1">
        <v>236311.0</v>
      </c>
      <c r="Q239" s="3" t="str">
        <f>VLOOKUP(A239,Posters!A239:B1238,2)</f>
        <v>https://m.media-amazon.com/images/M/MV5BMTQ1MjAwNTM5Ml5BMl5BanBnXkFtZTYwNDM0MTc3._V1_UX67_CR0,0,67,98_AL_.jpg</v>
      </c>
    </row>
    <row r="240">
      <c r="A240" s="1">
        <v>239.0</v>
      </c>
      <c r="B240" s="1" t="s">
        <v>1646</v>
      </c>
      <c r="C240" s="2">
        <v>3137716.0</v>
      </c>
      <c r="D240" s="1">
        <v>2003.0</v>
      </c>
      <c r="E240" s="1" t="s">
        <v>52</v>
      </c>
      <c r="F240" s="1" t="s">
        <v>955</v>
      </c>
      <c r="G240" s="1" t="s">
        <v>1454</v>
      </c>
      <c r="H240" s="1">
        <v>8.1</v>
      </c>
      <c r="I240" s="1" t="s">
        <v>1647</v>
      </c>
      <c r="K240" s="1" t="s">
        <v>509</v>
      </c>
      <c r="L240" s="1" t="s">
        <v>1457</v>
      </c>
      <c r="M240" s="1" t="s">
        <v>1620</v>
      </c>
      <c r="N240" s="1" t="s">
        <v>1648</v>
      </c>
      <c r="O240" s="1" t="s">
        <v>1649</v>
      </c>
      <c r="P240" s="1">
        <v>73992.0</v>
      </c>
      <c r="Q240" s="3" t="str">
        <f>VLOOKUP(A240,Posters!A240:B1239,2)</f>
        <v>https://m.media-amazon.com/images/M/MV5BMzQ4MTBlYTQtMzJkYS00OGNjLTk1MWYtNzQ0OTQ0OWEyOWU1XkEyXkFqcGdeQXVyNDgyODgxNjE@._V1_UY98_CR1,0,67,98_AL_.jpg</v>
      </c>
    </row>
    <row r="241">
      <c r="A241" s="1">
        <v>240.0</v>
      </c>
      <c r="B241" s="1" t="s">
        <v>1650</v>
      </c>
      <c r="C241" s="2">
        <v>14131.0</v>
      </c>
      <c r="D241" s="1">
        <v>2003.0</v>
      </c>
      <c r="E241" s="1" t="s">
        <v>37</v>
      </c>
      <c r="F241" s="1" t="s">
        <v>686</v>
      </c>
      <c r="G241" s="1" t="s">
        <v>235</v>
      </c>
      <c r="H241" s="1">
        <v>8.1</v>
      </c>
      <c r="I241" s="1" t="s">
        <v>1651</v>
      </c>
      <c r="J241" s="1">
        <v>82.0</v>
      </c>
      <c r="K241" s="1" t="s">
        <v>173</v>
      </c>
      <c r="L241" s="1" t="s">
        <v>174</v>
      </c>
      <c r="M241" s="1" t="s">
        <v>1652</v>
      </c>
      <c r="N241" s="1" t="s">
        <v>1653</v>
      </c>
      <c r="O241" s="1" t="s">
        <v>1654</v>
      </c>
      <c r="P241" s="1">
        <v>139558.0</v>
      </c>
      <c r="Q241" s="3" t="str">
        <f>VLOOKUP(A241,Posters!A241:B1240,2)</f>
        <v>https://m.media-amazon.com/images/M/MV5BOGViNTg4YTktYTQ2Ni00MTU0LTk2NWUtMTI4OTc1YTM0NzQ2XkEyXkFqcGdeQXVyMDM2NDM2MQ@@._V1_UX67_CR0,0,67,98_AL_.jpg</v>
      </c>
    </row>
    <row r="242">
      <c r="A242" s="1">
        <v>241.0</v>
      </c>
      <c r="B242" s="1" t="s">
        <v>1655</v>
      </c>
      <c r="C242" s="1">
        <v>300.0</v>
      </c>
      <c r="D242" s="1">
        <v>2001.0</v>
      </c>
      <c r="E242" s="1" t="s">
        <v>1656</v>
      </c>
      <c r="F242" s="1" t="s">
        <v>1657</v>
      </c>
      <c r="G242" s="1" t="s">
        <v>227</v>
      </c>
      <c r="H242" s="1">
        <v>8.1</v>
      </c>
      <c r="I242" s="1" t="s">
        <v>1658</v>
      </c>
      <c r="K242" s="1" t="s">
        <v>1023</v>
      </c>
      <c r="L242" s="1" t="s">
        <v>461</v>
      </c>
      <c r="M242" s="1" t="s">
        <v>1659</v>
      </c>
      <c r="N242" s="1" t="s">
        <v>1660</v>
      </c>
      <c r="O242" s="1" t="s">
        <v>1661</v>
      </c>
      <c r="P242" s="1">
        <v>66803.0</v>
      </c>
      <c r="Q242" s="3" t="str">
        <f>VLOOKUP(A242,Posters!A242:B1241,2)</f>
        <v>https://m.media-amazon.com/images/M/MV5BMjRjMTYwMTYtMmRkNi00MmVkLWE0MjQtNmM3YjI0NWFhZDNmXkEyXkFqcGdeQXVyODE5NzE3OTE@._V1_UX67_CR0,0,67,98_AL_.jpg</v>
      </c>
    </row>
    <row r="243">
      <c r="A243" s="1">
        <v>242.0</v>
      </c>
      <c r="B243" s="1" t="s">
        <v>1662</v>
      </c>
      <c r="C243" s="2">
        <v>7.0099045E7</v>
      </c>
      <c r="D243" s="1">
        <v>2003.0</v>
      </c>
      <c r="E243" s="1" t="s">
        <v>212</v>
      </c>
      <c r="F243" s="1" t="s">
        <v>1663</v>
      </c>
      <c r="G243" s="1" t="s">
        <v>39</v>
      </c>
      <c r="H243" s="1">
        <v>8.1</v>
      </c>
      <c r="I243" s="1" t="s">
        <v>1664</v>
      </c>
      <c r="J243" s="1">
        <v>69.0</v>
      </c>
      <c r="K243" s="1" t="s">
        <v>72</v>
      </c>
      <c r="L243" s="1" t="s">
        <v>74</v>
      </c>
      <c r="M243" s="1" t="s">
        <v>1665</v>
      </c>
      <c r="N243" s="1" t="s">
        <v>1666</v>
      </c>
      <c r="O243" s="1" t="s">
        <v>782</v>
      </c>
      <c r="P243" s="1">
        <v>1000639.0</v>
      </c>
      <c r="Q243" s="3" t="str">
        <f>VLOOKUP(A243,Posters!A243:B1242,2)</f>
        <v>https://m.media-amazon.com/images/M/MV5BNzM3NDFhYTAtYmU5Mi00NGRmLTljYjgtMDkyODQ4MjNkMGY2XkEyXkFqcGdeQXVyNzkwMjQ5NzM@._V1_UX67_CR0,0,67,98_AL_.jpg</v>
      </c>
    </row>
    <row r="244">
      <c r="A244" s="1">
        <v>243.0</v>
      </c>
      <c r="B244" s="1" t="s">
        <v>1667</v>
      </c>
      <c r="C244" s="2">
        <v>3.80843261E8</v>
      </c>
      <c r="D244" s="1">
        <v>2003.0</v>
      </c>
      <c r="E244" s="1" t="s">
        <v>52</v>
      </c>
      <c r="F244" s="1" t="s">
        <v>1439</v>
      </c>
      <c r="G244" s="1" t="s">
        <v>765</v>
      </c>
      <c r="H244" s="1">
        <v>8.1</v>
      </c>
      <c r="I244" s="1" t="s">
        <v>1668</v>
      </c>
      <c r="J244" s="1">
        <v>90.0</v>
      </c>
      <c r="K244" s="1" t="s">
        <v>521</v>
      </c>
      <c r="L244" s="1" t="s">
        <v>489</v>
      </c>
      <c r="M244" s="1" t="s">
        <v>828</v>
      </c>
      <c r="N244" s="1" t="s">
        <v>1669</v>
      </c>
      <c r="O244" s="1" t="s">
        <v>1670</v>
      </c>
      <c r="P244" s="1">
        <v>949565.0</v>
      </c>
      <c r="Q244" s="3" t="str">
        <f>VLOOKUP(A244,Posters!A244:B1243,2)</f>
        <v>https://m.media-amazon.com/images/M/MV5BZTAzNWZlNmUtZDEzYi00ZjA5LWIwYjEtZGM1NWE1MjE4YWRhXkEyXkFqcGdeQXVyNjU0OTQ0OTY@._V1_UX67_CR0,0,67,98_AL_.jpg</v>
      </c>
    </row>
    <row r="245">
      <c r="A245" s="1">
        <v>244.0</v>
      </c>
      <c r="B245" s="1" t="s">
        <v>1671</v>
      </c>
      <c r="C245" s="2">
        <v>1.64615351E8</v>
      </c>
      <c r="D245" s="1">
        <v>2002.0</v>
      </c>
      <c r="E245" s="1" t="s">
        <v>18</v>
      </c>
      <c r="F245" s="1" t="s">
        <v>1672</v>
      </c>
      <c r="G245" s="1" t="s">
        <v>137</v>
      </c>
      <c r="H245" s="1">
        <v>8.1</v>
      </c>
      <c r="I245" s="1" t="s">
        <v>1673</v>
      </c>
      <c r="J245" s="1">
        <v>75.0</v>
      </c>
      <c r="K245" s="1" t="s">
        <v>81</v>
      </c>
      <c r="L245" s="1" t="s">
        <v>90</v>
      </c>
      <c r="M245" s="1" t="s">
        <v>110</v>
      </c>
      <c r="N245" s="1" t="s">
        <v>1674</v>
      </c>
      <c r="O245" s="1" t="s">
        <v>578</v>
      </c>
      <c r="P245" s="1">
        <v>832846.0</v>
      </c>
      <c r="Q245" s="3" t="str">
        <f>VLOOKUP(A245,Posters!A245:B1244,2)</f>
        <v>https://m.media-amazon.com/images/M/MV5BMTY5MzYzNjc5NV5BMl5BanBnXkFtZTYwNTUyNTc2._V1_UX67_CR0,0,67,98_AL_.jpg</v>
      </c>
    </row>
    <row r="246">
      <c r="A246" s="1">
        <v>245.0</v>
      </c>
      <c r="B246" s="1" t="s">
        <v>1675</v>
      </c>
      <c r="C246" s="2">
        <v>5383834.0</v>
      </c>
      <c r="D246" s="1">
        <v>2000.0</v>
      </c>
      <c r="E246" s="1" t="s">
        <v>18</v>
      </c>
      <c r="F246" s="1" t="s">
        <v>70</v>
      </c>
      <c r="G246" s="1" t="s">
        <v>1377</v>
      </c>
      <c r="H246" s="1">
        <v>8.1</v>
      </c>
      <c r="I246" s="1" t="s">
        <v>1676</v>
      </c>
      <c r="J246" s="1">
        <v>83.0</v>
      </c>
      <c r="K246" s="1" t="s">
        <v>1677</v>
      </c>
      <c r="L246" s="1" t="s">
        <v>1678</v>
      </c>
      <c r="M246" s="1" t="s">
        <v>492</v>
      </c>
      <c r="N246" s="1" t="s">
        <v>1679</v>
      </c>
      <c r="O246" s="1" t="s">
        <v>1680</v>
      </c>
      <c r="P246" s="1">
        <v>223741.0</v>
      </c>
      <c r="Q246" s="3" t="str">
        <f>VLOOKUP(A246,Posters!A246:B1245,2)</f>
        <v>https://m.media-amazon.com/images/M/MV5BMjQxMWJhMzMtMzllZi00NzMwLTllYjktNTcwZmU4ZmU3NTA0XkEyXkFqcGdeQXVyMTAzMDM4MjM0._V1_UY98_CR3,0,67,98_AL_.jpg</v>
      </c>
    </row>
    <row r="247">
      <c r="A247" s="1">
        <v>246.0</v>
      </c>
      <c r="B247" s="1" t="s">
        <v>1681</v>
      </c>
      <c r="C247" s="2">
        <v>2.89916256E8</v>
      </c>
      <c r="D247" s="1">
        <v>2001.0</v>
      </c>
      <c r="E247" s="1" t="s">
        <v>52</v>
      </c>
      <c r="F247" s="1" t="s">
        <v>1588</v>
      </c>
      <c r="G247" s="1" t="s">
        <v>765</v>
      </c>
      <c r="H247" s="1">
        <v>8.1</v>
      </c>
      <c r="I247" s="1" t="s">
        <v>1682</v>
      </c>
      <c r="J247" s="1">
        <v>79.0</v>
      </c>
      <c r="K247" s="1" t="s">
        <v>1071</v>
      </c>
      <c r="L247" s="1" t="s">
        <v>1683</v>
      </c>
      <c r="M247" s="1" t="s">
        <v>489</v>
      </c>
      <c r="N247" s="1" t="s">
        <v>1684</v>
      </c>
      <c r="O247" s="1" t="s">
        <v>1685</v>
      </c>
      <c r="P247" s="1">
        <v>815505.0</v>
      </c>
      <c r="Q247" s="3" t="str">
        <f>VLOOKUP(A247,Posters!A247:B1246,2)</f>
        <v>https://m.media-amazon.com/images/M/MV5BMTY1NTI0ODUyOF5BMl5BanBnXkFtZTgwNTEyNjQ0MDE@._V1_UX67_CR0,0,67,98_AL_.jpg</v>
      </c>
    </row>
    <row r="248">
      <c r="A248" s="1">
        <v>247.0</v>
      </c>
      <c r="B248" s="1" t="s">
        <v>1686</v>
      </c>
      <c r="D248" s="1">
        <v>1997.0</v>
      </c>
      <c r="E248" s="1" t="s">
        <v>37</v>
      </c>
      <c r="F248" s="1" t="s">
        <v>415</v>
      </c>
      <c r="G248" s="1" t="s">
        <v>1687</v>
      </c>
      <c r="H248" s="1">
        <v>8.1</v>
      </c>
      <c r="I248" s="1" t="s">
        <v>1688</v>
      </c>
      <c r="K248" s="1" t="s">
        <v>1689</v>
      </c>
      <c r="L248" s="1" t="s">
        <v>1690</v>
      </c>
      <c r="M248" s="1" t="s">
        <v>1691</v>
      </c>
      <c r="N248" s="1" t="s">
        <v>1692</v>
      </c>
      <c r="O248" s="1" t="s">
        <v>1693</v>
      </c>
      <c r="P248" s="1">
        <v>38847.0</v>
      </c>
      <c r="Q248" s="3" t="str">
        <f>VLOOKUP(A248,Posters!A248:B1247,2)</f>
        <v>https://m.media-amazon.com/images/M/MV5BZjJhMThkNTQtNjkxNy00MDdjLTg4MWQtMTI2MmQ3MDVmODUzXkEyXkFqcGdeQXVyMTAwOTA3NzY3._V1_UY98_CR1,0,67,98_AL_.jpg</v>
      </c>
    </row>
    <row r="249">
      <c r="A249" s="1">
        <v>248.0</v>
      </c>
      <c r="B249" s="1" t="s">
        <v>1694</v>
      </c>
      <c r="C249" s="2">
        <v>70147.0</v>
      </c>
      <c r="D249" s="1">
        <v>2001.0</v>
      </c>
      <c r="E249" s="1" t="s">
        <v>52</v>
      </c>
      <c r="F249" s="1" t="s">
        <v>1695</v>
      </c>
      <c r="G249" s="1" t="s">
        <v>1696</v>
      </c>
      <c r="H249" s="1">
        <v>8.1</v>
      </c>
      <c r="I249" s="1" t="s">
        <v>1697</v>
      </c>
      <c r="J249" s="1">
        <v>84.0</v>
      </c>
      <c r="K249" s="1" t="s">
        <v>1130</v>
      </c>
      <c r="L249" s="1" t="s">
        <v>461</v>
      </c>
      <c r="M249" s="1" t="s">
        <v>1698</v>
      </c>
      <c r="N249" s="1" t="s">
        <v>1648</v>
      </c>
      <c r="O249" s="1" t="s">
        <v>1699</v>
      </c>
      <c r="P249" s="1">
        <v>105036.0</v>
      </c>
      <c r="Q249" s="3" t="str">
        <f>VLOOKUP(A249,Posters!A249:B1248,2)</f>
        <v>https://m.media-amazon.com/images/M/MV5BNDYxNWUzZmYtOGQxMC00MTdkLTkxOTctYzkyOGIwNWQxZjhmXkEyXkFqcGdeQXVyNjU0OTQ0OTY@._V1_UX67_CR0,0,67,98_AL_.jpg</v>
      </c>
    </row>
    <row r="250">
      <c r="A250" s="1">
        <v>249.0</v>
      </c>
      <c r="B250" s="1" t="s">
        <v>1700</v>
      </c>
      <c r="C250" s="2">
        <v>2.93506292E8</v>
      </c>
      <c r="D250" s="1">
        <v>1999.0</v>
      </c>
      <c r="E250" s="1" t="s">
        <v>18</v>
      </c>
      <c r="F250" s="1" t="s">
        <v>907</v>
      </c>
      <c r="G250" s="1" t="s">
        <v>527</v>
      </c>
      <c r="H250" s="1">
        <v>8.1</v>
      </c>
      <c r="I250" s="1" t="s">
        <v>1701</v>
      </c>
      <c r="J250" s="1">
        <v>64.0</v>
      </c>
      <c r="K250" s="1" t="s">
        <v>1702</v>
      </c>
      <c r="L250" s="1" t="s">
        <v>76</v>
      </c>
      <c r="M250" s="1" t="s">
        <v>1703</v>
      </c>
      <c r="N250" s="1" t="s">
        <v>1592</v>
      </c>
      <c r="O250" s="1" t="s">
        <v>1704</v>
      </c>
      <c r="P250" s="1">
        <v>911573.0</v>
      </c>
      <c r="Q250" s="3" t="str">
        <f>VLOOKUP(A250,Posters!A250:B1249,2)</f>
        <v>https://m.media-amazon.com/images/M/MV5BMWM4NTFhYjctNzUyNi00NGMwLTk3NTYtMDIyNTZmMzRlYmQyXkEyXkFqcGdeQXVyMTAwMzUyOTc@._V1_UX67_CR0,0,67,98_AL_.jpg</v>
      </c>
    </row>
    <row r="251">
      <c r="A251" s="1">
        <v>250.0</v>
      </c>
      <c r="B251" s="1" t="s">
        <v>1705</v>
      </c>
      <c r="C251" s="2">
        <v>259127.0</v>
      </c>
      <c r="D251" s="1">
        <v>1998.0</v>
      </c>
      <c r="E251" s="1" t="s">
        <v>52</v>
      </c>
      <c r="F251" s="1" t="s">
        <v>187</v>
      </c>
      <c r="G251" s="1" t="s">
        <v>1706</v>
      </c>
      <c r="H251" s="1">
        <v>8.1</v>
      </c>
      <c r="I251" s="1" t="s">
        <v>1707</v>
      </c>
      <c r="J251" s="1">
        <v>58.0</v>
      </c>
      <c r="K251" s="1" t="s">
        <v>368</v>
      </c>
      <c r="L251" s="1" t="s">
        <v>781</v>
      </c>
      <c r="M251" s="1" t="s">
        <v>1708</v>
      </c>
      <c r="N251" s="1" t="s">
        <v>1709</v>
      </c>
      <c r="O251" s="1" t="s">
        <v>1710</v>
      </c>
      <c r="P251" s="1">
        <v>59020.0</v>
      </c>
      <c r="Q251" s="3" t="str">
        <f>VLOOKUP(A251,Posters!A251:B1250,2)</f>
        <v>https://m.media-amazon.com/images/M/MV5BMzIwOTdmNjQtOWQ1ZS00ZWQ4LWIxYTMtOWFkM2NjODJiMGY4L2ltYWdlL2ltYWdlXkEyXkFqcGdeQXVyNTI4MjkwNjA@._V1_UX67_CR0,0,67,98_AL_.jpg</v>
      </c>
    </row>
    <row r="252">
      <c r="A252" s="1">
        <v>251.0</v>
      </c>
      <c r="B252" s="1" t="s">
        <v>1711</v>
      </c>
      <c r="C252" s="2">
        <v>1.25618201E8</v>
      </c>
      <c r="D252" s="1">
        <v>1998.0</v>
      </c>
      <c r="E252" s="1" t="s">
        <v>52</v>
      </c>
      <c r="F252" s="1" t="s">
        <v>885</v>
      </c>
      <c r="G252" s="1" t="s">
        <v>507</v>
      </c>
      <c r="H252" s="1">
        <v>8.1</v>
      </c>
      <c r="I252" s="1" t="s">
        <v>1712</v>
      </c>
      <c r="J252" s="1">
        <v>90.0</v>
      </c>
      <c r="K252" s="1" t="s">
        <v>1713</v>
      </c>
      <c r="L252" s="1" t="s">
        <v>718</v>
      </c>
      <c r="M252" s="1" t="s">
        <v>1151</v>
      </c>
      <c r="N252" s="1" t="s">
        <v>1714</v>
      </c>
      <c r="O252" s="1" t="s">
        <v>1715</v>
      </c>
      <c r="P252" s="1">
        <v>939631.0</v>
      </c>
      <c r="Q252" s="3" t="str">
        <f>VLOOKUP(A252,Posters!A252:B1251,2)</f>
        <v>https://m.media-amazon.com/images/M/MV5BMDIzODcyY2EtMmY2MC00ZWVlLTgwMzAtMjQwOWUyNmJjNTYyXkEyXkFqcGdeQXVyNDk3NzU2MTQ@._V1_UX67_CR0,0,67,98_AL_.jpg</v>
      </c>
    </row>
    <row r="253">
      <c r="A253" s="1">
        <v>252.0</v>
      </c>
      <c r="B253" s="1" t="s">
        <v>1716</v>
      </c>
      <c r="C253" s="1" t="s">
        <v>1717</v>
      </c>
      <c r="D253" s="1">
        <v>1998.0</v>
      </c>
      <c r="E253" s="1" t="s">
        <v>212</v>
      </c>
      <c r="F253" s="1" t="s">
        <v>234</v>
      </c>
      <c r="G253" s="1" t="s">
        <v>1718</v>
      </c>
      <c r="H253" s="1">
        <v>8.1</v>
      </c>
      <c r="I253" s="1" t="s">
        <v>1719</v>
      </c>
      <c r="J253" s="1">
        <v>73.0</v>
      </c>
      <c r="K253" s="1" t="s">
        <v>1200</v>
      </c>
      <c r="L253" s="1" t="s">
        <v>1720</v>
      </c>
      <c r="M253" s="1" t="s">
        <v>1721</v>
      </c>
      <c r="N253" s="1" t="s">
        <v>1722</v>
      </c>
      <c r="O253" s="1" t="s">
        <v>1723</v>
      </c>
      <c r="P253" s="1">
        <v>50862.0</v>
      </c>
      <c r="Q253" s="3" t="str">
        <f>VLOOKUP(A253,Posters!A253:B1252,2)</f>
        <v>https://m.media-amazon.com/images/M/MV5BMmExZTZhN2QtMzg5Mi00Y2M5LTlmMWYtNTUzMzUwMGM2OGQ3XkEyXkFqcGdeQXVyNTA4NzY1MzY@._V1_UX67_CR0,0,67,98_AL_.jpg</v>
      </c>
    </row>
    <row r="254">
      <c r="A254" s="1">
        <v>253.0</v>
      </c>
      <c r="B254" s="1" t="s">
        <v>1724</v>
      </c>
      <c r="C254" s="2">
        <v>1.7498804E7</v>
      </c>
      <c r="D254" s="1">
        <v>1998.0</v>
      </c>
      <c r="E254" s="1" t="s">
        <v>212</v>
      </c>
      <c r="F254" s="1" t="s">
        <v>466</v>
      </c>
      <c r="G254" s="1" t="s">
        <v>1725</v>
      </c>
      <c r="H254" s="1">
        <v>8.1</v>
      </c>
      <c r="I254" s="1" t="s">
        <v>1726</v>
      </c>
      <c r="J254" s="1">
        <v>71.0</v>
      </c>
      <c r="K254" s="1" t="s">
        <v>1613</v>
      </c>
      <c r="L254" s="1" t="s">
        <v>1612</v>
      </c>
      <c r="M254" s="1" t="s">
        <v>1727</v>
      </c>
      <c r="N254" s="1" t="s">
        <v>1685</v>
      </c>
      <c r="O254" s="1" t="s">
        <v>1728</v>
      </c>
      <c r="P254" s="1">
        <v>732620.0</v>
      </c>
      <c r="Q254" s="3" t="str">
        <f>VLOOKUP(A254,Posters!A254:B1253,2)</f>
        <v>https://m.media-amazon.com/images/M/MV5BMTQ0NjUzMDMyOF5BMl5BanBnXkFtZTgwODA1OTU0MDE@._V1_UX67_CR0,0,67,98_AL_.jpg</v>
      </c>
    </row>
    <row r="255">
      <c r="A255" s="1">
        <v>254.0</v>
      </c>
      <c r="B255" s="1" t="s">
        <v>1729</v>
      </c>
      <c r="C255" s="2">
        <v>2734044.0</v>
      </c>
      <c r="D255" s="1">
        <v>2000.0</v>
      </c>
      <c r="E255" s="1" t="s">
        <v>52</v>
      </c>
      <c r="F255" s="1" t="s">
        <v>519</v>
      </c>
      <c r="G255" s="1" t="s">
        <v>107</v>
      </c>
      <c r="H255" s="1">
        <v>8.1</v>
      </c>
      <c r="I255" s="1" t="s">
        <v>1730</v>
      </c>
      <c r="J255" s="1">
        <v>85.0</v>
      </c>
      <c r="K255" s="1" t="s">
        <v>1731</v>
      </c>
      <c r="L255" s="1" t="s">
        <v>1732</v>
      </c>
      <c r="M255" s="1" t="s">
        <v>1733</v>
      </c>
      <c r="N255" s="1" t="s">
        <v>1734</v>
      </c>
      <c r="O255" s="1" t="s">
        <v>1735</v>
      </c>
      <c r="P255" s="1">
        <v>124383.0</v>
      </c>
      <c r="Q255" s="3" t="str">
        <f>VLOOKUP(A255,Posters!A255:B1254,2)</f>
        <v>https://m.media-amazon.com/images/M/MV5BYjZjODRlMjQtMjJlYy00ZDBjLTkyYTQtZGQxZTk5NzJhYmNmXkEyXkFqcGdeQXVyMTQxNzMzNDI@._V1_UY98_CR1,0,67,98_AL_.jpg</v>
      </c>
    </row>
    <row r="256">
      <c r="A256" s="1">
        <v>255.0</v>
      </c>
      <c r="B256" s="1" t="s">
        <v>1736</v>
      </c>
      <c r="C256" s="2">
        <v>1.6501785E7</v>
      </c>
      <c r="D256" s="1">
        <v>1996.0</v>
      </c>
      <c r="E256" s="1" t="s">
        <v>18</v>
      </c>
      <c r="F256" s="1" t="s">
        <v>1521</v>
      </c>
      <c r="G256" s="1" t="s">
        <v>20</v>
      </c>
      <c r="H256" s="1">
        <v>8.1</v>
      </c>
      <c r="I256" s="1" t="s">
        <v>1737</v>
      </c>
      <c r="J256" s="1">
        <v>83.0</v>
      </c>
      <c r="K256" s="1" t="s">
        <v>1738</v>
      </c>
      <c r="L256" s="1" t="s">
        <v>1739</v>
      </c>
      <c r="M256" s="1" t="s">
        <v>1740</v>
      </c>
      <c r="N256" s="1" t="s">
        <v>1741</v>
      </c>
      <c r="O256" s="1" t="s">
        <v>1742</v>
      </c>
      <c r="P256" s="1">
        <v>634716.0</v>
      </c>
      <c r="Q256" s="3" t="str">
        <f>VLOOKUP(A256,Posters!A256:B1255,2)</f>
        <v>https://m.media-amazon.com/images/M/MV5BMzA5Zjc3ZTMtMmU5YS00YTMwLWI4MWUtYTU0YTVmNjVmODZhXkEyXkFqcGdeQXVyNjU0OTQ0OTY@._V1_UX67_CR0,0,67,98_AL_.jpg</v>
      </c>
    </row>
    <row r="257">
      <c r="A257" s="1">
        <v>256.0</v>
      </c>
      <c r="B257" s="1" t="s">
        <v>1743</v>
      </c>
      <c r="C257" s="2">
        <v>2.4611975E7</v>
      </c>
      <c r="D257" s="1">
        <v>1996.0</v>
      </c>
      <c r="E257" s="1" t="s">
        <v>18</v>
      </c>
      <c r="F257" s="1" t="s">
        <v>519</v>
      </c>
      <c r="G257" s="1" t="s">
        <v>241</v>
      </c>
      <c r="H257" s="1">
        <v>8.1</v>
      </c>
      <c r="I257" s="1" t="s">
        <v>1744</v>
      </c>
      <c r="J257" s="1">
        <v>85.0</v>
      </c>
      <c r="K257" s="1" t="s">
        <v>1613</v>
      </c>
      <c r="L257" s="1" t="s">
        <v>1612</v>
      </c>
      <c r="M257" s="1" t="s">
        <v>1745</v>
      </c>
      <c r="N257" s="1" t="s">
        <v>972</v>
      </c>
      <c r="O257" s="1" t="s">
        <v>1746</v>
      </c>
      <c r="P257" s="1">
        <v>617444.0</v>
      </c>
      <c r="Q257" s="3" t="str">
        <f>VLOOKUP(A257,Posters!A257:B1256,2)</f>
        <v>https://m.media-amazon.com/images/M/MV5BNDJiZDgyZjctYmRjMS00ZjdkLTkwMTEtNGU1NDg3NDQ0Yzk1XkEyXkFqcGdeQXVyNzkwMjQ5NzM@._V1_UX67_CR0,0,67,98_AL_.jpg</v>
      </c>
    </row>
    <row r="258">
      <c r="A258" s="1">
        <v>257.0</v>
      </c>
      <c r="B258" s="1" t="s">
        <v>1747</v>
      </c>
      <c r="C258" s="2">
        <v>171082.0</v>
      </c>
      <c r="D258" s="1">
        <v>1995.0</v>
      </c>
      <c r="E258" s="1">
        <v>16.0</v>
      </c>
      <c r="F258" s="1" t="s">
        <v>506</v>
      </c>
      <c r="G258" s="1" t="s">
        <v>635</v>
      </c>
      <c r="H258" s="1">
        <v>8.1</v>
      </c>
      <c r="I258" s="1" t="s">
        <v>1748</v>
      </c>
      <c r="K258" s="1" t="s">
        <v>1200</v>
      </c>
      <c r="L258" s="1" t="s">
        <v>1749</v>
      </c>
      <c r="M258" s="1" t="s">
        <v>1750</v>
      </c>
      <c r="N258" s="1" t="s">
        <v>1751</v>
      </c>
      <c r="O258" s="1" t="s">
        <v>1752</v>
      </c>
      <c r="P258" s="1">
        <v>55220.0</v>
      </c>
      <c r="Q258" s="3" t="str">
        <f>VLOOKUP(A258,Posters!A258:B1257,2)</f>
        <v>https://m.media-amazon.com/images/M/MV5BNzI4YTVmMWEtMWQ3MS00OGE1LWE5YjMtNjc4NWJmYjRmZTQyXkEyXkFqcGdeQXVyNTA4NzY1MzY@._V1_UY98_CR0,0,67,98_AL_.jpg</v>
      </c>
    </row>
    <row r="259">
      <c r="A259" s="1">
        <v>258.0</v>
      </c>
      <c r="B259" s="1" t="s">
        <v>1753</v>
      </c>
      <c r="C259" s="2">
        <v>309811.0</v>
      </c>
      <c r="D259" s="1">
        <v>1995.0</v>
      </c>
      <c r="E259" s="1" t="s">
        <v>37</v>
      </c>
      <c r="F259" s="1" t="s">
        <v>519</v>
      </c>
      <c r="G259" s="1" t="s">
        <v>29</v>
      </c>
      <c r="H259" s="1">
        <v>8.1</v>
      </c>
      <c r="I259" s="1" t="s">
        <v>1754</v>
      </c>
      <c r="K259" s="1" t="s">
        <v>727</v>
      </c>
      <c r="L259" s="1" t="s">
        <v>1755</v>
      </c>
      <c r="M259" s="1" t="s">
        <v>1756</v>
      </c>
      <c r="N259" s="1" t="s">
        <v>1757</v>
      </c>
      <c r="O259" s="1" t="s">
        <v>1758</v>
      </c>
      <c r="P259" s="1">
        <v>150345.0</v>
      </c>
      <c r="Q259" s="3" t="str">
        <f>VLOOKUP(A259,Posters!A259:B1258,2)</f>
        <v>https://m.media-amazon.com/images/M/MV5BNDNiOTA5YjktY2Q0Ni00ODgzLWE5MWItNGExOWRlYjY2MjBlXkEyXkFqcGdeQXVyNjQ2MjQ5NzM@._V1_UY98_CR1,0,67,98_AL_.jpg</v>
      </c>
    </row>
    <row r="260">
      <c r="A260" s="1">
        <v>259.0</v>
      </c>
      <c r="B260" s="1" t="s">
        <v>1759</v>
      </c>
      <c r="C260" s="2">
        <v>74965.0</v>
      </c>
      <c r="D260" s="1">
        <v>1995.0</v>
      </c>
      <c r="E260" s="1" t="s">
        <v>52</v>
      </c>
      <c r="F260" s="1" t="s">
        <v>219</v>
      </c>
      <c r="G260" s="1" t="s">
        <v>107</v>
      </c>
      <c r="H260" s="1">
        <v>8.1</v>
      </c>
      <c r="I260" s="1" t="s">
        <v>1760</v>
      </c>
      <c r="K260" s="1" t="s">
        <v>1761</v>
      </c>
      <c r="L260" s="1" t="s">
        <v>1084</v>
      </c>
      <c r="M260" s="1" t="s">
        <v>1762</v>
      </c>
      <c r="N260" s="1" t="s">
        <v>1763</v>
      </c>
      <c r="O260" s="1" t="s">
        <v>1764</v>
      </c>
      <c r="P260" s="1">
        <v>63516.0</v>
      </c>
      <c r="Q260" s="3" t="str">
        <f>VLOOKUP(A260,Posters!A260:B1259,2)</f>
        <v>https://m.media-amazon.com/images/M/MV5BYmNjYzRlM2YtZTZjZC00ODVmLTljZWMtODg1YmYyNDBiNzU3XkEyXkFqcGdeQXVyNTkzNDQ4ODc@._V1_UY98_CR3,0,67,98_AL_.jpg</v>
      </c>
    </row>
    <row r="261">
      <c r="A261" s="1">
        <v>260.0</v>
      </c>
      <c r="B261" s="1" t="s">
        <v>1765</v>
      </c>
      <c r="C261" s="2">
        <v>5535405.0</v>
      </c>
      <c r="D261" s="1">
        <v>1995.0</v>
      </c>
      <c r="E261" s="1" t="s">
        <v>212</v>
      </c>
      <c r="F261" s="1" t="s">
        <v>535</v>
      </c>
      <c r="G261" s="1" t="s">
        <v>107</v>
      </c>
      <c r="H261" s="1">
        <v>8.1</v>
      </c>
      <c r="I261" s="1" t="s">
        <v>1766</v>
      </c>
      <c r="J261" s="1">
        <v>77.0</v>
      </c>
      <c r="K261" s="1" t="s">
        <v>1641</v>
      </c>
      <c r="L261" s="1" t="s">
        <v>1642</v>
      </c>
      <c r="M261" s="1" t="s">
        <v>1643</v>
      </c>
      <c r="N261" s="1" t="s">
        <v>1767</v>
      </c>
      <c r="O261" s="1" t="s">
        <v>1768</v>
      </c>
      <c r="P261" s="1">
        <v>272291.0</v>
      </c>
      <c r="Q261" s="3" t="str">
        <f>VLOOKUP(A261,Posters!A261:B1260,2)</f>
        <v>https://m.media-amazon.com/images/M/MV5BZDdiZTAwYzAtMDI3Ni00OTRjLTkzN2UtMGE3MDMyZmU4NTU4XkEyXkFqcGdeQXVyNjU0OTQ0OTY@._V1_UX67_CR0,0,67,98_AL_.jpg</v>
      </c>
    </row>
    <row r="262">
      <c r="A262" s="1">
        <v>261.0</v>
      </c>
      <c r="B262" s="1" t="s">
        <v>1769</v>
      </c>
      <c r="C262" s="2">
        <v>4043686.0</v>
      </c>
      <c r="D262" s="1">
        <v>1994.0</v>
      </c>
      <c r="E262" s="1" t="s">
        <v>52</v>
      </c>
      <c r="F262" s="1" t="s">
        <v>778</v>
      </c>
      <c r="G262" s="1" t="s">
        <v>1051</v>
      </c>
      <c r="H262" s="1">
        <v>8.1</v>
      </c>
      <c r="I262" s="1" t="s">
        <v>1770</v>
      </c>
      <c r="J262" s="1">
        <v>100.0</v>
      </c>
      <c r="K262" s="1" t="s">
        <v>1771</v>
      </c>
      <c r="L262" s="1" t="s">
        <v>1772</v>
      </c>
      <c r="M262" s="1" t="s">
        <v>1773</v>
      </c>
      <c r="N262" s="1" t="s">
        <v>1774</v>
      </c>
      <c r="O262" s="1" t="s">
        <v>1775</v>
      </c>
      <c r="P262" s="1">
        <v>90729.0</v>
      </c>
      <c r="Q262" s="3" t="str">
        <f>VLOOKUP(A262,Posters!A262:B1261,2)</f>
        <v>https://m.media-amazon.com/images/M/MV5BYTg1MmNiMjItMmY4Yy00ZDQ3LThjMzYtZGQ0ZTQzNTdkMGQ1L2ltYWdlL2ltYWdlXkEyXkFqcGdeQXVyMTQxNzMzNDI@._V1_UX67_CR0,0,67,98_AL_.jpg</v>
      </c>
    </row>
    <row r="263">
      <c r="A263" s="1">
        <v>262.0</v>
      </c>
      <c r="B263" s="1" t="s">
        <v>1776</v>
      </c>
      <c r="C263" s="1" t="s">
        <v>1777</v>
      </c>
      <c r="D263" s="1">
        <v>1994.0</v>
      </c>
      <c r="E263" s="1" t="s">
        <v>52</v>
      </c>
      <c r="F263" s="1" t="s">
        <v>405</v>
      </c>
      <c r="G263" s="1" t="s">
        <v>831</v>
      </c>
      <c r="H263" s="1">
        <v>8.1</v>
      </c>
      <c r="I263" s="1" t="s">
        <v>1778</v>
      </c>
      <c r="J263" s="1">
        <v>77.0</v>
      </c>
      <c r="K263" s="1" t="s">
        <v>1731</v>
      </c>
      <c r="L263" s="1" t="s">
        <v>1779</v>
      </c>
      <c r="M263" s="1" t="s">
        <v>1780</v>
      </c>
      <c r="N263" s="1" t="s">
        <v>1732</v>
      </c>
      <c r="O263" s="1" t="s">
        <v>1781</v>
      </c>
      <c r="P263" s="1">
        <v>63122.0</v>
      </c>
      <c r="Q263" s="3" t="str">
        <f>VLOOKUP(A263,Posters!A263:B1262,2)</f>
        <v>https://m.media-amazon.com/images/M/MV5BMGQ5MzljNzYtMDM1My00NmI0LThlYzQtMTg0ZmQ0MTk1YjkxXkEyXkFqcGdeQXVyNTAyODkwOQ@@._V1_UY98_CR1,0,67,98_AL_.jpg</v>
      </c>
    </row>
    <row r="264">
      <c r="A264" s="1">
        <v>263.0</v>
      </c>
      <c r="B264" s="1" t="s">
        <v>1782</v>
      </c>
      <c r="C264" s="2">
        <v>4.02453882E8</v>
      </c>
      <c r="D264" s="1">
        <v>1993.0</v>
      </c>
      <c r="E264" s="1" t="s">
        <v>37</v>
      </c>
      <c r="F264" s="1" t="s">
        <v>234</v>
      </c>
      <c r="G264" s="1" t="s">
        <v>88</v>
      </c>
      <c r="H264" s="1">
        <v>8.1</v>
      </c>
      <c r="I264" s="1" t="s">
        <v>1783</v>
      </c>
      <c r="J264" s="1">
        <v>68.0</v>
      </c>
      <c r="K264" s="1" t="s">
        <v>81</v>
      </c>
      <c r="L264" s="1" t="s">
        <v>1784</v>
      </c>
      <c r="M264" s="1" t="s">
        <v>1785</v>
      </c>
      <c r="N264" s="1" t="s">
        <v>1786</v>
      </c>
      <c r="O264" s="1" t="s">
        <v>1274</v>
      </c>
      <c r="P264" s="1">
        <v>867615.0</v>
      </c>
      <c r="Q264" s="3" t="str">
        <f>VLOOKUP(A264,Posters!A264:B1263,2)</f>
        <v>https://m.media-amazon.com/images/M/MV5BMjM2MDgxMDg0Nl5BMl5BanBnXkFtZTgwNTM2OTM5NDE@._V1_UX67_CR0,0,67,98_AL_.jpg</v>
      </c>
    </row>
    <row r="265">
      <c r="A265" s="1">
        <v>264.0</v>
      </c>
      <c r="B265" s="1" t="s">
        <v>1787</v>
      </c>
      <c r="C265" s="2">
        <v>2.501041E7</v>
      </c>
      <c r="D265" s="1">
        <v>1993.0</v>
      </c>
      <c r="E265" s="1" t="s">
        <v>37</v>
      </c>
      <c r="F265" s="1" t="s">
        <v>153</v>
      </c>
      <c r="G265" s="1" t="s">
        <v>137</v>
      </c>
      <c r="H265" s="1">
        <v>8.1</v>
      </c>
      <c r="I265" s="1" t="s">
        <v>1788</v>
      </c>
      <c r="J265" s="1">
        <v>84.0</v>
      </c>
      <c r="K265" s="1" t="s">
        <v>1789</v>
      </c>
      <c r="L265" s="1" t="s">
        <v>1092</v>
      </c>
      <c r="M265" s="1" t="s">
        <v>1790</v>
      </c>
      <c r="N265" s="1" t="s">
        <v>1791</v>
      </c>
      <c r="O265" s="1" t="s">
        <v>1792</v>
      </c>
      <c r="P265" s="1">
        <v>156842.0</v>
      </c>
      <c r="Q265" s="3" t="str">
        <f>VLOOKUP(A265,Posters!A265:B1264,2)</f>
        <v>https://m.media-amazon.com/images/M/MV5BMmYyOTgwYWItYmU3Ny00M2E2LTk0NWMtMDVlNmQ0MWZiMTMxXkEyXkFqcGdeQXVyNzkwMjQ5NzM@._V1_UX67_CR0,0,67,98_AL_.jpg</v>
      </c>
    </row>
    <row r="266">
      <c r="A266" s="1">
        <v>265.0</v>
      </c>
      <c r="B266" s="1" t="s">
        <v>1793</v>
      </c>
      <c r="C266" s="2">
        <v>5216888.0</v>
      </c>
      <c r="D266" s="1">
        <v>1993.0</v>
      </c>
      <c r="E266" s="1" t="s">
        <v>212</v>
      </c>
      <c r="F266" s="1" t="s">
        <v>1794</v>
      </c>
      <c r="G266" s="1" t="s">
        <v>1706</v>
      </c>
      <c r="H266" s="1">
        <v>8.1</v>
      </c>
      <c r="I266" s="1" t="s">
        <v>1795</v>
      </c>
      <c r="K266" s="1" t="s">
        <v>1796</v>
      </c>
      <c r="L266" s="1" t="s">
        <v>1797</v>
      </c>
      <c r="M266" s="1" t="s">
        <v>1798</v>
      </c>
      <c r="N266" s="1" t="s">
        <v>1799</v>
      </c>
      <c r="O266" s="1" t="s">
        <v>1800</v>
      </c>
      <c r="P266" s="1">
        <v>25088.0</v>
      </c>
      <c r="Q266" s="3" t="str">
        <f>VLOOKUP(A266,Posters!A266:B1265,2)</f>
        <v>https://m.media-amazon.com/images/M/MV5BYmFhZmM3Y2MtNDA1Ny00NjkzLWJkM2EtYWU1ZjEwYmNjZDQ0XkEyXkFqcGdeQXVyMTMxMTY0OTQ@._V1_UX67_CR0,0,67,98_AL_.jpg</v>
      </c>
    </row>
    <row r="267">
      <c r="A267" s="1">
        <v>266.0</v>
      </c>
      <c r="B267" s="1" t="s">
        <v>1801</v>
      </c>
      <c r="C267" s="2">
        <v>2603061.0</v>
      </c>
      <c r="D267" s="1">
        <v>1991.0</v>
      </c>
      <c r="E267" s="1" t="s">
        <v>270</v>
      </c>
      <c r="F267" s="1" t="s">
        <v>203</v>
      </c>
      <c r="G267" s="1" t="s">
        <v>1802</v>
      </c>
      <c r="H267" s="1">
        <v>8.1</v>
      </c>
      <c r="I267" s="1" t="s">
        <v>1803</v>
      </c>
      <c r="K267" s="1" t="s">
        <v>1804</v>
      </c>
      <c r="L267" s="1" t="s">
        <v>1799</v>
      </c>
      <c r="M267" s="1" t="s">
        <v>1805</v>
      </c>
      <c r="N267" s="1" t="s">
        <v>1806</v>
      </c>
      <c r="O267" s="1" t="s">
        <v>1807</v>
      </c>
      <c r="P267" s="1">
        <v>29662.0</v>
      </c>
      <c r="Q267" s="3" t="str">
        <f>VLOOKUP(A267,Posters!A267:B1266,2)</f>
        <v>https://m.media-amazon.com/images/M/MV5BMjEzNjY5NDcwNV5BMl5BanBnXkFtZTcwNzEwMzg4NA@@._V1_UX67_CR0,0,67,98_AL_.jpg</v>
      </c>
    </row>
    <row r="268">
      <c r="A268" s="1">
        <v>267.0</v>
      </c>
      <c r="B268" s="1" t="s">
        <v>1808</v>
      </c>
      <c r="C268" s="2">
        <v>9.5860116E7</v>
      </c>
      <c r="D268" s="1">
        <v>1989.0</v>
      </c>
      <c r="E268" s="1" t="s">
        <v>52</v>
      </c>
      <c r="F268" s="1" t="s">
        <v>878</v>
      </c>
      <c r="G268" s="1" t="s">
        <v>507</v>
      </c>
      <c r="H268" s="1">
        <v>8.1</v>
      </c>
      <c r="I268" s="1" t="s">
        <v>1809</v>
      </c>
      <c r="J268" s="1">
        <v>79.0</v>
      </c>
      <c r="K268" s="1" t="s">
        <v>1713</v>
      </c>
      <c r="L268" s="1" t="s">
        <v>752</v>
      </c>
      <c r="M268" s="1" t="s">
        <v>1810</v>
      </c>
      <c r="N268" s="1" t="s">
        <v>1642</v>
      </c>
      <c r="O268" s="1" t="s">
        <v>1811</v>
      </c>
      <c r="P268" s="1">
        <v>425457.0</v>
      </c>
      <c r="Q268" s="3" t="str">
        <f>VLOOKUP(A268,Posters!A268:B1267,2)</f>
        <v>https://m.media-amazon.com/images/M/MV5BOGYwYWNjMzgtNGU4ZC00NWQ2LWEwZjUtMzE1Zjc3NjY3YTU1XkEyXkFqcGdeQXVyMTQxNzMzNDI@._V1_UX67_CR0,0,67,98_AL_.jpg</v>
      </c>
    </row>
    <row r="269">
      <c r="A269" s="1">
        <v>268.0</v>
      </c>
      <c r="B269" s="1" t="s">
        <v>1812</v>
      </c>
      <c r="C269" s="2">
        <v>5.2287414E7</v>
      </c>
      <c r="D269" s="1">
        <v>1986.0</v>
      </c>
      <c r="E269" s="1" t="s">
        <v>52</v>
      </c>
      <c r="F269" s="1" t="s">
        <v>374</v>
      </c>
      <c r="G269" s="1" t="s">
        <v>1813</v>
      </c>
      <c r="H269" s="1">
        <v>8.1</v>
      </c>
      <c r="I269" s="1" t="s">
        <v>1814</v>
      </c>
      <c r="J269" s="1">
        <v>75.0</v>
      </c>
      <c r="K269" s="1" t="s">
        <v>1815</v>
      </c>
      <c r="L269" s="1" t="s">
        <v>1816</v>
      </c>
      <c r="M269" s="1" t="s">
        <v>1817</v>
      </c>
      <c r="N269" s="1" t="s">
        <v>1818</v>
      </c>
      <c r="O269" s="1" t="s">
        <v>1819</v>
      </c>
      <c r="P269" s="1">
        <v>363401.0</v>
      </c>
      <c r="Q269" s="3" t="str">
        <f>VLOOKUP(A269,Posters!A269:B1268,2)</f>
        <v>https://m.media-amazon.com/images/M/MV5BODJmY2Y2OGQtMDg2My00N2Q3LWJmZTUtYTc2ODBjZDVlNDlhXkEyXkFqcGdeQXVyMTQxNzMzNDI@._V1_UX67_CR0,0,67,98_AL_.jpg</v>
      </c>
    </row>
    <row r="270">
      <c r="A270" s="1">
        <v>269.0</v>
      </c>
      <c r="B270" s="1" t="s">
        <v>1820</v>
      </c>
      <c r="C270" s="2">
        <v>1.38530565E8</v>
      </c>
      <c r="D270" s="1">
        <v>1986.0</v>
      </c>
      <c r="E270" s="1" t="s">
        <v>18</v>
      </c>
      <c r="F270" s="1" t="s">
        <v>1546</v>
      </c>
      <c r="G270" s="1" t="s">
        <v>213</v>
      </c>
      <c r="H270" s="1">
        <v>8.1</v>
      </c>
      <c r="I270" s="1" t="s">
        <v>1821</v>
      </c>
      <c r="J270" s="1">
        <v>92.0</v>
      </c>
      <c r="K270" s="1" t="s">
        <v>1822</v>
      </c>
      <c r="L270" s="1" t="s">
        <v>1823</v>
      </c>
      <c r="M270" s="1" t="s">
        <v>1824</v>
      </c>
      <c r="N270" s="1" t="s">
        <v>1825</v>
      </c>
      <c r="O270" s="1" t="s">
        <v>1826</v>
      </c>
      <c r="P270" s="1">
        <v>381222.0</v>
      </c>
      <c r="Q270" s="3" t="str">
        <f>VLOOKUP(A270,Posters!A270:B1269,2)</f>
        <v>https://m.media-amazon.com/images/M/MV5BMzRjZjdlMjQtODVkYS00N2YzLWJlYWYtMGVlN2E5MWEwMWQzXkEyXkFqcGdeQXVyMTQxNzMzNDI@._V1_UX67_CR0,0,67,98_AL_.jpg</v>
      </c>
    </row>
    <row r="271">
      <c r="A271" s="1">
        <v>270.0</v>
      </c>
      <c r="B271" s="1" t="s">
        <v>1827</v>
      </c>
      <c r="C271" s="2">
        <v>2181987.0</v>
      </c>
      <c r="D271" s="1">
        <v>1984.0</v>
      </c>
      <c r="E271" s="1" t="s">
        <v>52</v>
      </c>
      <c r="F271" s="1" t="s">
        <v>1398</v>
      </c>
      <c r="G271" s="1" t="s">
        <v>20</v>
      </c>
      <c r="H271" s="1">
        <v>8.1</v>
      </c>
      <c r="I271" s="1" t="s">
        <v>1828</v>
      </c>
      <c r="J271" s="1">
        <v>78.0</v>
      </c>
      <c r="K271" s="1" t="s">
        <v>1829</v>
      </c>
      <c r="L271" s="1" t="s">
        <v>1830</v>
      </c>
      <c r="M271" s="1" t="s">
        <v>1831</v>
      </c>
      <c r="N271" s="1" t="s">
        <v>1832</v>
      </c>
      <c r="O271" s="1" t="s">
        <v>1833</v>
      </c>
      <c r="P271" s="1">
        <v>91188.0</v>
      </c>
      <c r="Q271" s="3" t="str">
        <f>VLOOKUP(A271,Posters!A271:B1270,2)</f>
        <v>https://m.media-amazon.com/images/M/MV5BM2RjMmU3ZWItYzBlMy00ZmJkLWE5YzgtNTVkODdhOWM3NGZhXkEyXkFqcGdeQXVyNDA5Mjg5MjA@._V1_UX67_CR0,0,67,98_AL_.jpg</v>
      </c>
    </row>
    <row r="272">
      <c r="A272" s="1">
        <v>271.0</v>
      </c>
      <c r="B272" s="1" t="s">
        <v>1834</v>
      </c>
      <c r="C272" s="1" t="s">
        <v>1835</v>
      </c>
      <c r="D272" s="1">
        <v>1984.0</v>
      </c>
      <c r="E272" s="1" t="s">
        <v>52</v>
      </c>
      <c r="F272" s="1" t="s">
        <v>466</v>
      </c>
      <c r="G272" s="1" t="s">
        <v>1836</v>
      </c>
      <c r="H272" s="1">
        <v>8.1</v>
      </c>
      <c r="I272" s="1" t="s">
        <v>1837</v>
      </c>
      <c r="J272" s="1">
        <v>86.0</v>
      </c>
      <c r="K272" s="1" t="s">
        <v>206</v>
      </c>
      <c r="L272" s="1" t="s">
        <v>1838</v>
      </c>
      <c r="M272" s="1" t="s">
        <v>1839</v>
      </c>
      <c r="N272" s="1" t="s">
        <v>1840</v>
      </c>
      <c r="O272" s="1" t="s">
        <v>1841</v>
      </c>
      <c r="P272" s="1">
        <v>150924.0</v>
      </c>
      <c r="Q272" s="3" t="str">
        <f>VLOOKUP(A272,Posters!A272:B1271,2)</f>
        <v>https://m.media-amazon.com/images/M/MV5BZWFkN2ZhODAtYTNkZS00Y2NjLWIzNDYtNzJjNDNlMzAyNTIyXkEyXkFqcGdeQXVyODEzNjM5OTQ@._V1_UY98_CR1,0,67,98_AL_.jpg</v>
      </c>
    </row>
    <row r="273">
      <c r="A273" s="1">
        <v>272.0</v>
      </c>
      <c r="B273" s="1" t="s">
        <v>1842</v>
      </c>
      <c r="C273" s="2">
        <v>1.3782838E7</v>
      </c>
      <c r="D273" s="1">
        <v>1982.0</v>
      </c>
      <c r="E273" s="1" t="s">
        <v>18</v>
      </c>
      <c r="F273" s="1" t="s">
        <v>396</v>
      </c>
      <c r="G273" s="1" t="s">
        <v>1843</v>
      </c>
      <c r="H273" s="1">
        <v>8.1</v>
      </c>
      <c r="I273" s="1" t="s">
        <v>1844</v>
      </c>
      <c r="J273" s="1">
        <v>57.0</v>
      </c>
      <c r="K273" s="1" t="s">
        <v>1845</v>
      </c>
      <c r="L273" s="1" t="s">
        <v>1846</v>
      </c>
      <c r="M273" s="1" t="s">
        <v>1847</v>
      </c>
      <c r="N273" s="1" t="s">
        <v>1826</v>
      </c>
      <c r="O273" s="1" t="s">
        <v>1848</v>
      </c>
      <c r="P273" s="1">
        <v>371271.0</v>
      </c>
      <c r="Q273" s="3" t="str">
        <f>VLOOKUP(A273,Posters!A273:B1272,2)</f>
        <v>https://m.media-amazon.com/images/M/MV5BNGViZWZmM2EtNGYzZi00ZDAyLTk3ODMtNzIyZTBjN2Y1NmM1XkEyXkFqcGdeQXVyNTAyODkwOQ@@._V1_UX67_CR0,0,67,98_AL_.jpg</v>
      </c>
    </row>
    <row r="274">
      <c r="A274" s="1">
        <v>273.0</v>
      </c>
      <c r="B274" s="1" t="s">
        <v>1849</v>
      </c>
      <c r="C274" s="2">
        <v>2.2244207E7</v>
      </c>
      <c r="D274" s="1">
        <v>1982.0</v>
      </c>
      <c r="E274" s="1" t="s">
        <v>37</v>
      </c>
      <c r="F274" s="1" t="s">
        <v>601</v>
      </c>
      <c r="G274" s="1" t="s">
        <v>1850</v>
      </c>
      <c r="H274" s="1">
        <v>8.1</v>
      </c>
      <c r="I274" s="1" t="s">
        <v>1851</v>
      </c>
      <c r="J274" s="1">
        <v>47.0</v>
      </c>
      <c r="K274" s="1" t="s">
        <v>1852</v>
      </c>
      <c r="L274" s="1" t="s">
        <v>1853</v>
      </c>
      <c r="M274" s="1" t="s">
        <v>1854</v>
      </c>
      <c r="N274" s="1" t="s">
        <v>1855</v>
      </c>
      <c r="O274" s="1" t="s">
        <v>1856</v>
      </c>
      <c r="P274" s="1">
        <v>76081.0</v>
      </c>
      <c r="Q274" s="3" t="str">
        <f>VLOOKUP(A274,Posters!A274:B1273,2)</f>
        <v>https://m.media-amazon.com/images/M/MV5BZDhlZTYxOTYtYTk3Ny00ZDljLTk3ZmItZTcxZWU5YTIyYmFkXkEyXkFqcGdeQXVyMTQxNzMzNDI@._V1_UX67_CR0,0,67,98_AL_.jpg</v>
      </c>
    </row>
    <row r="275">
      <c r="A275" s="1">
        <v>274.0</v>
      </c>
      <c r="B275" s="1" t="s">
        <v>1857</v>
      </c>
      <c r="C275" s="2">
        <v>2874.0</v>
      </c>
      <c r="D275" s="1">
        <v>1982.0</v>
      </c>
      <c r="E275" s="1" t="s">
        <v>212</v>
      </c>
      <c r="F275" s="1" t="s">
        <v>1089</v>
      </c>
      <c r="G275" s="1" t="s">
        <v>1813</v>
      </c>
      <c r="H275" s="1">
        <v>8.1</v>
      </c>
      <c r="I275" s="1" t="s">
        <v>1858</v>
      </c>
      <c r="K275" s="1" t="s">
        <v>1859</v>
      </c>
      <c r="L275" s="1" t="s">
        <v>1860</v>
      </c>
      <c r="M275" s="1" t="s">
        <v>393</v>
      </c>
      <c r="N275" s="1" t="s">
        <v>1861</v>
      </c>
      <c r="O275" s="1" t="s">
        <v>1862</v>
      </c>
      <c r="P275" s="1">
        <v>31595.0</v>
      </c>
      <c r="Q275" s="3" t="str">
        <f>VLOOKUP(A275,Posters!A275:B1274,2)</f>
        <v>https://m.media-amazon.com/images/M/MV5BYjIzNTYxMTctZjAwNS00YzI3LWExMGMtMGQxNGM5ZTc1NzhlXkEyXkFqcGdeQXVyMTQxNzMzNDI@._V1_UX67_CR0,0,67,98_AL_.jpg</v>
      </c>
    </row>
    <row r="276">
      <c r="A276" s="1">
        <v>275.0</v>
      </c>
      <c r="B276" s="1" t="s">
        <v>1863</v>
      </c>
      <c r="C276" s="2">
        <v>4971340.0</v>
      </c>
      <c r="D276" s="1">
        <v>1982.0</v>
      </c>
      <c r="E276" s="1" t="s">
        <v>18</v>
      </c>
      <c r="F276" s="1" t="s">
        <v>1864</v>
      </c>
      <c r="G276" s="1" t="s">
        <v>20</v>
      </c>
      <c r="H276" s="1">
        <v>8.1</v>
      </c>
      <c r="I276" s="1" t="s">
        <v>1865</v>
      </c>
      <c r="J276" s="1">
        <v>100.0</v>
      </c>
      <c r="K276" s="1" t="s">
        <v>1239</v>
      </c>
      <c r="L276" s="1" t="s">
        <v>1866</v>
      </c>
      <c r="M276" s="1" t="s">
        <v>1867</v>
      </c>
      <c r="N276" s="1" t="s">
        <v>1868</v>
      </c>
      <c r="O276" s="1" t="s">
        <v>1869</v>
      </c>
      <c r="P276" s="1">
        <v>57784.0</v>
      </c>
      <c r="Q276" s="3" t="str">
        <f>VLOOKUP(A276,Posters!A276:B1275,2)</f>
        <v>https://m.media-amazon.com/images/M/MV5BZmQzMDE5ZWQtOTU3ZS00ZjdhLWI0OTctZDNkODk4YThmOTRhL2ltYWdlXkEyXkFqcGdeQXVyNjc1NTYyMjg@._V1_UX67_CR0,0,67,98_AL_.jpg</v>
      </c>
    </row>
    <row r="277">
      <c r="A277" s="1">
        <v>276.0</v>
      </c>
      <c r="B277" s="1" t="s">
        <v>1870</v>
      </c>
      <c r="C277" s="2">
        <v>3.2868943E7</v>
      </c>
      <c r="D277" s="1">
        <v>1982.0</v>
      </c>
      <c r="E277" s="1" t="s">
        <v>37</v>
      </c>
      <c r="F277" s="1" t="s">
        <v>466</v>
      </c>
      <c r="G277" s="1" t="s">
        <v>1871</v>
      </c>
      <c r="H277" s="1">
        <v>8.1</v>
      </c>
      <c r="I277" s="1" t="s">
        <v>1872</v>
      </c>
      <c r="J277" s="1">
        <v>84.0</v>
      </c>
      <c r="K277" s="1" t="s">
        <v>324</v>
      </c>
      <c r="L277" s="1" t="s">
        <v>149</v>
      </c>
      <c r="M277" s="1" t="s">
        <v>1873</v>
      </c>
      <c r="N277" s="1" t="s">
        <v>1874</v>
      </c>
      <c r="O277" s="1" t="s">
        <v>1875</v>
      </c>
      <c r="P277" s="1">
        <v>693827.0</v>
      </c>
      <c r="Q277" s="3" t="str">
        <f>VLOOKUP(A277,Posters!A277:B1276,2)</f>
        <v>https://m.media-amazon.com/images/M/MV5BNzQzMzJhZTEtOWM4NS00MTdhLTg0YjgtMjM4MDRkZjUwZDBlXkEyXkFqcGdeQXVyNjU0OTQ0OTY@._V1_UX67_CR0,0,67,98_AL_.jpg</v>
      </c>
    </row>
    <row r="278">
      <c r="A278" s="1">
        <v>277.0</v>
      </c>
      <c r="B278" s="1" t="s">
        <v>1876</v>
      </c>
      <c r="C278" s="2">
        <v>2.6010864E7</v>
      </c>
      <c r="D278" s="1">
        <v>1980.0</v>
      </c>
      <c r="E278" s="1" t="s">
        <v>37</v>
      </c>
      <c r="F278" s="1" t="s">
        <v>144</v>
      </c>
      <c r="G278" s="1" t="s">
        <v>1148</v>
      </c>
      <c r="H278" s="1">
        <v>8.1</v>
      </c>
      <c r="I278" s="1" t="s">
        <v>1877</v>
      </c>
      <c r="J278" s="1">
        <v>78.0</v>
      </c>
      <c r="K278" s="1" t="s">
        <v>1878</v>
      </c>
      <c r="L278" s="1" t="s">
        <v>245</v>
      </c>
      <c r="M278" s="1" t="s">
        <v>585</v>
      </c>
      <c r="N278" s="1" t="s">
        <v>1879</v>
      </c>
      <c r="O278" s="1" t="s">
        <v>1880</v>
      </c>
      <c r="P278" s="1">
        <v>220078.0</v>
      </c>
      <c r="Q278" s="3" t="str">
        <f>VLOOKUP(A278,Posters!A278:B1277,2)</f>
        <v>https://m.media-amazon.com/images/M/MV5BMDVjNjIwOGItNDE3Ny00OThjLWE0NzQtZTU3YjMzZTZjMzhkXkEyXkFqcGdeQXVyMTQxNzMzNDI@._V1_UX67_CR0,0,67,98_AL_.jpg</v>
      </c>
    </row>
    <row r="279">
      <c r="A279" s="1">
        <v>278.0</v>
      </c>
      <c r="B279" s="1" t="s">
        <v>1881</v>
      </c>
      <c r="C279" s="2">
        <v>2.0045115E7</v>
      </c>
      <c r="D279" s="1">
        <v>1979.0</v>
      </c>
      <c r="E279" s="1" t="s">
        <v>212</v>
      </c>
      <c r="F279" s="1" t="s">
        <v>1882</v>
      </c>
      <c r="G279" s="1" t="s">
        <v>602</v>
      </c>
      <c r="H279" s="1">
        <v>8.1</v>
      </c>
      <c r="I279" s="1" t="s">
        <v>1883</v>
      </c>
      <c r="J279" s="1">
        <v>77.0</v>
      </c>
      <c r="K279" s="1" t="s">
        <v>1263</v>
      </c>
      <c r="L279" s="1" t="s">
        <v>1264</v>
      </c>
      <c r="M279" s="1" t="s">
        <v>1265</v>
      </c>
      <c r="N279" s="1" t="s">
        <v>1884</v>
      </c>
      <c r="O279" s="1" t="s">
        <v>1262</v>
      </c>
      <c r="P279" s="1">
        <v>367250.0</v>
      </c>
      <c r="Q279" s="3" t="str">
        <f>VLOOKUP(A279,Posters!A279:B1278,2)</f>
        <v>https://m.media-amazon.com/images/M/MV5BMzAwNjU1OTktYjY3Mi00NDY5LWFlZWUtZjhjNGE0OTkwZDkwXkEyXkFqcGdeQXVyMTQxNzMzNDI@._V1_UX67_CR0,0,67,98_AL_.jpg</v>
      </c>
    </row>
    <row r="280">
      <c r="A280" s="1">
        <v>279.0</v>
      </c>
      <c r="B280" s="1" t="s">
        <v>1885</v>
      </c>
      <c r="C280" s="2">
        <v>4.8979328E7</v>
      </c>
      <c r="D280" s="1">
        <v>1978.0</v>
      </c>
      <c r="E280" s="1" t="s">
        <v>18</v>
      </c>
      <c r="F280" s="1" t="s">
        <v>1657</v>
      </c>
      <c r="G280" s="1" t="s">
        <v>213</v>
      </c>
      <c r="H280" s="1">
        <v>8.1</v>
      </c>
      <c r="I280" s="1" t="s">
        <v>1886</v>
      </c>
      <c r="J280" s="1">
        <v>86.0</v>
      </c>
      <c r="K280" s="1" t="s">
        <v>1887</v>
      </c>
      <c r="L280" s="1" t="s">
        <v>49</v>
      </c>
      <c r="M280" s="1" t="s">
        <v>1674</v>
      </c>
      <c r="N280" s="1" t="s">
        <v>1888</v>
      </c>
      <c r="O280" s="1" t="s">
        <v>1889</v>
      </c>
      <c r="P280" s="1">
        <v>311361.0</v>
      </c>
      <c r="Q280" s="3" t="str">
        <f>VLOOKUP(A280,Posters!A280:B1279,2)</f>
        <v>https://m.media-amazon.com/images/M/MV5BNDhmNTA0ZDMtYjhkNS00NzEzLWIzYTItOGNkMTVmYjE2YmI3XkEyXkFqcGdeQXVyNzkwMjQ5NzM@._V1_UX67_CR0,0,67,98_AL_.jpg</v>
      </c>
    </row>
    <row r="281">
      <c r="A281" s="1">
        <v>280.0</v>
      </c>
      <c r="B281" s="1" t="s">
        <v>1890</v>
      </c>
      <c r="C281" s="2">
        <v>1.17235247E8</v>
      </c>
      <c r="D281" s="1">
        <v>1976.0</v>
      </c>
      <c r="E281" s="1" t="s">
        <v>52</v>
      </c>
      <c r="F281" s="1" t="s">
        <v>1546</v>
      </c>
      <c r="G281" s="1" t="s">
        <v>1622</v>
      </c>
      <c r="H281" s="1">
        <v>8.1</v>
      </c>
      <c r="I281" s="1" t="s">
        <v>1891</v>
      </c>
      <c r="J281" s="1">
        <v>70.0</v>
      </c>
      <c r="K281" s="1" t="s">
        <v>1892</v>
      </c>
      <c r="L281" s="1" t="s">
        <v>1893</v>
      </c>
      <c r="M281" s="1" t="s">
        <v>1894</v>
      </c>
      <c r="N281" s="1" t="s">
        <v>1895</v>
      </c>
      <c r="O281" s="1" t="s">
        <v>1896</v>
      </c>
      <c r="P281" s="1">
        <v>518546.0</v>
      </c>
      <c r="Q281" s="3" t="str">
        <f>VLOOKUP(A281,Posters!A281:B1280,2)</f>
        <v>https://m.media-amazon.com/images/M/MV5BMTY5MDMzODUyOF5BMl5BanBnXkFtZTcwMTQ3NTMyNA@@._V1_UX67_CR0,0,67,98_AL_.jpg</v>
      </c>
    </row>
    <row r="282">
      <c r="A282" s="1">
        <v>281.0</v>
      </c>
      <c r="B282" s="1" t="s">
        <v>1897</v>
      </c>
      <c r="C282" s="2">
        <v>2.3689877E7</v>
      </c>
      <c r="D282" s="1">
        <v>1976.0</v>
      </c>
      <c r="E282" s="1" t="s">
        <v>37</v>
      </c>
      <c r="F282" s="1" t="s">
        <v>249</v>
      </c>
      <c r="G282" s="1" t="s">
        <v>20</v>
      </c>
      <c r="H282" s="1">
        <v>8.1</v>
      </c>
      <c r="I282" s="1" t="s">
        <v>1898</v>
      </c>
      <c r="J282" s="1">
        <v>83.0</v>
      </c>
      <c r="K282" s="1" t="s">
        <v>55</v>
      </c>
      <c r="L282" s="1" t="s">
        <v>1899</v>
      </c>
      <c r="M282" s="1" t="s">
        <v>630</v>
      </c>
      <c r="N282" s="1" t="s">
        <v>1900</v>
      </c>
      <c r="O282" s="1" t="s">
        <v>50</v>
      </c>
      <c r="P282" s="1">
        <v>144911.0</v>
      </c>
      <c r="Q282" s="3" t="str">
        <f>VLOOKUP(A282,Posters!A282:B1281,2)</f>
        <v>https://m.media-amazon.com/images/M/MV5BZGNjYjM2MzItZGQzZi00NmY3LTgxOGUtMTQ2MWQxNWQ2MmMwXkEyXkFqcGdeQXVyNzM0MTUwNTY@._V1_UX67_CR0,0,67,98_AL_.jpg</v>
      </c>
    </row>
    <row r="283">
      <c r="A283" s="1">
        <v>282.0</v>
      </c>
      <c r="B283" s="1" t="s">
        <v>1901</v>
      </c>
      <c r="C283" s="2">
        <v>198992.0</v>
      </c>
      <c r="D283" s="1">
        <v>1975.0</v>
      </c>
      <c r="E283" s="1" t="s">
        <v>270</v>
      </c>
      <c r="F283" s="1" t="s">
        <v>1902</v>
      </c>
      <c r="G283" s="1" t="s">
        <v>1269</v>
      </c>
      <c r="H283" s="1">
        <v>8.1</v>
      </c>
      <c r="I283" s="1" t="s">
        <v>1903</v>
      </c>
      <c r="J283" s="1">
        <v>89.0</v>
      </c>
      <c r="K283" s="1" t="s">
        <v>571</v>
      </c>
      <c r="L283" s="1" t="s">
        <v>1904</v>
      </c>
      <c r="M283" s="1" t="s">
        <v>1905</v>
      </c>
      <c r="N283" s="1" t="s">
        <v>842</v>
      </c>
      <c r="O283" s="1" t="s">
        <v>1906</v>
      </c>
      <c r="P283" s="1">
        <v>149843.0</v>
      </c>
      <c r="Q283" s="3" t="str">
        <f>VLOOKUP(A283,Posters!A283:B1282,2)</f>
        <v>https://m.media-amazon.com/images/M/MV5BNmY0MWY2NDctZDdmMi00MjA1LTk0ZTQtZDMyZTQ1NTNlYzVjXkEyXkFqcGdeQXVyMjUzOTY1NTc@._V1_UX67_CR0,0,67,98_AL_.jpg</v>
      </c>
    </row>
    <row r="284">
      <c r="A284" s="1">
        <v>283.0</v>
      </c>
      <c r="B284" s="1" t="s">
        <v>1907</v>
      </c>
      <c r="C284" s="2">
        <v>177345.0</v>
      </c>
      <c r="D284" s="1">
        <v>1975.0</v>
      </c>
      <c r="E284" s="1" t="s">
        <v>414</v>
      </c>
      <c r="F284" s="1" t="s">
        <v>907</v>
      </c>
      <c r="G284" s="1" t="s">
        <v>1148</v>
      </c>
      <c r="H284" s="1">
        <v>8.1</v>
      </c>
      <c r="I284" s="1" t="s">
        <v>1908</v>
      </c>
      <c r="K284" s="1" t="s">
        <v>1232</v>
      </c>
      <c r="L284" s="1" t="s">
        <v>1909</v>
      </c>
      <c r="M284" s="1" t="s">
        <v>1910</v>
      </c>
      <c r="N284" s="1" t="s">
        <v>1911</v>
      </c>
      <c r="O284" s="1" t="s">
        <v>1912</v>
      </c>
      <c r="P284" s="1">
        <v>40081.0</v>
      </c>
      <c r="Q284" s="3" t="str">
        <f>VLOOKUP(A284,Posters!A284:B1283,2)</f>
        <v>https://m.media-amazon.com/images/M/MV5BMTg1MDg3OTk3M15BMl5BanBnXkFtZTgwMDEzMzE5MTE@._V1_UY98_CR0,0,67,98_AL_.jpg</v>
      </c>
    </row>
    <row r="285">
      <c r="A285" s="1">
        <v>284.0</v>
      </c>
      <c r="B285" s="1" t="s">
        <v>1913</v>
      </c>
      <c r="C285" s="2">
        <v>2.9E7</v>
      </c>
      <c r="D285" s="1">
        <v>1974.0</v>
      </c>
      <c r="E285" s="1" t="s">
        <v>37</v>
      </c>
      <c r="F285" s="1" t="s">
        <v>195</v>
      </c>
      <c r="G285" s="1" t="s">
        <v>527</v>
      </c>
      <c r="H285" s="1">
        <v>8.1</v>
      </c>
      <c r="I285" s="1" t="s">
        <v>1914</v>
      </c>
      <c r="J285" s="1">
        <v>92.0</v>
      </c>
      <c r="K285" s="1" t="s">
        <v>316</v>
      </c>
      <c r="L285" s="1" t="s">
        <v>156</v>
      </c>
      <c r="M285" s="1" t="s">
        <v>1899</v>
      </c>
      <c r="N285" s="1" t="s">
        <v>1346</v>
      </c>
      <c r="O285" s="1" t="s">
        <v>1915</v>
      </c>
      <c r="P285" s="1">
        <v>294230.0</v>
      </c>
      <c r="Q285" s="3" t="str">
        <f>VLOOKUP(A285,Posters!A285:B1284,2)</f>
        <v>https://m.media-amazon.com/images/M/MV5BOGMwYmY5ZmEtMzY1Yi00OWJiLTk1Y2MtMzI2MjBhYmZkNTQ0XkEyXkFqcGdeQXVyNzkwMjQ5NzM@._V1_UX67_CR0,0,67,98_AL_.jpg</v>
      </c>
    </row>
    <row r="286">
      <c r="A286" s="1">
        <v>285.0</v>
      </c>
      <c r="B286" s="1" t="s">
        <v>1916</v>
      </c>
      <c r="C286" s="2">
        <v>3.0933743E7</v>
      </c>
      <c r="D286" s="1">
        <v>1973.0</v>
      </c>
      <c r="E286" s="1" t="s">
        <v>52</v>
      </c>
      <c r="F286" s="1" t="s">
        <v>405</v>
      </c>
      <c r="G286" s="1" t="s">
        <v>831</v>
      </c>
      <c r="H286" s="1">
        <v>8.1</v>
      </c>
      <c r="I286" s="1" t="s">
        <v>1917</v>
      </c>
      <c r="J286" s="1">
        <v>77.0</v>
      </c>
      <c r="K286" s="1" t="s">
        <v>1918</v>
      </c>
      <c r="L286" s="1" t="s">
        <v>1904</v>
      </c>
      <c r="M286" s="1" t="s">
        <v>1919</v>
      </c>
      <c r="N286" s="1" t="s">
        <v>1920</v>
      </c>
      <c r="O286" s="1" t="s">
        <v>1921</v>
      </c>
      <c r="P286" s="1">
        <v>42285.0</v>
      </c>
      <c r="Q286" s="3" t="str">
        <f>VLOOKUP(A286,Posters!A286:B1285,2)</f>
        <v>https://m.media-amazon.com/images/M/MV5BOWVmYzQwY2MtOTBjNi00MDNhLWI5OGMtN2RiMDYxODI3MjU5XkEyXkFqcGdeQXVyMjUzOTY1NTc@._V1_UX67_CR0,0,67,98_AL_.jpg</v>
      </c>
    </row>
    <row r="287">
      <c r="A287" s="1">
        <v>286.0</v>
      </c>
      <c r="B287" s="1" t="s">
        <v>1922</v>
      </c>
      <c r="C287" s="2">
        <v>1742348.0</v>
      </c>
      <c r="D287" s="1">
        <v>1972.0</v>
      </c>
      <c r="E287" s="1" t="s">
        <v>18</v>
      </c>
      <c r="F287" s="1" t="s">
        <v>1259</v>
      </c>
      <c r="G287" s="1" t="s">
        <v>20</v>
      </c>
      <c r="H287" s="1">
        <v>8.1</v>
      </c>
      <c r="I287" s="1" t="s">
        <v>1923</v>
      </c>
      <c r="K287" s="1" t="s">
        <v>1239</v>
      </c>
      <c r="L287" s="1" t="s">
        <v>1924</v>
      </c>
      <c r="M287" s="1" t="s">
        <v>1240</v>
      </c>
      <c r="N287" s="1" t="s">
        <v>1925</v>
      </c>
      <c r="O287" s="1" t="s">
        <v>1304</v>
      </c>
      <c r="P287" s="1">
        <v>30206.0</v>
      </c>
      <c r="Q287" s="3" t="str">
        <f>VLOOKUP(A287,Posters!A287:B1286,2)</f>
        <v>https://m.media-amazon.com/images/M/MV5BMTg3NzYzOTEtNmE2Ni00M2EyLWJhMjctNjMyMTk4ZTViOGUzXkEyXkFqcGdeQXVyNzQxNDExNTU@._V1_UY98_CR0,0,67,98_AL_.jpg</v>
      </c>
    </row>
    <row r="288">
      <c r="A288" s="1">
        <v>287.0</v>
      </c>
      <c r="B288" s="1" t="s">
        <v>1926</v>
      </c>
      <c r="C288" s="2">
        <v>135289.0</v>
      </c>
      <c r="D288" s="1">
        <v>1972.0</v>
      </c>
      <c r="E288" s="1" t="s">
        <v>270</v>
      </c>
      <c r="F288" s="1" t="s">
        <v>984</v>
      </c>
      <c r="G288" s="1" t="s">
        <v>304</v>
      </c>
      <c r="H288" s="1">
        <v>8.1</v>
      </c>
      <c r="I288" s="1" t="s">
        <v>1927</v>
      </c>
      <c r="J288" s="1">
        <v>90.0</v>
      </c>
      <c r="K288" s="1" t="s">
        <v>1232</v>
      </c>
      <c r="L288" s="1" t="s">
        <v>1928</v>
      </c>
      <c r="M288" s="1" t="s">
        <v>1929</v>
      </c>
      <c r="N288" s="1" t="s">
        <v>1930</v>
      </c>
      <c r="O288" s="1" t="s">
        <v>1931</v>
      </c>
      <c r="P288" s="1">
        <v>81021.0</v>
      </c>
      <c r="Q288" s="3" t="str">
        <f>VLOOKUP(A288,Posters!A288:B1287,2)</f>
        <v>https://m.media-amazon.com/images/M/MV5BZmY4Yjc0OWQtZDRhMy00ODc2LWI2NGYtMWFlODYyN2VlNDQyXkEyXkFqcGdeQXVyNjU0OTQ0OTY@._V1_UY98_CR1,0,67,98_AL_.jpg</v>
      </c>
    </row>
    <row r="289">
      <c r="A289" s="1">
        <v>288.0</v>
      </c>
      <c r="B289" s="1" t="s">
        <v>1932</v>
      </c>
      <c r="C289" s="2">
        <v>39481.0</v>
      </c>
      <c r="D289" s="1">
        <v>1967.0</v>
      </c>
      <c r="E289" s="1" t="s">
        <v>1933</v>
      </c>
      <c r="F289" s="1" t="s">
        <v>487</v>
      </c>
      <c r="G289" s="1" t="s">
        <v>235</v>
      </c>
      <c r="H289" s="1">
        <v>8.1</v>
      </c>
      <c r="I289" s="1" t="s">
        <v>1934</v>
      </c>
      <c r="K289" s="1" t="s">
        <v>1935</v>
      </c>
      <c r="L289" s="1" t="s">
        <v>1936</v>
      </c>
      <c r="M289" s="1" t="s">
        <v>1937</v>
      </c>
      <c r="N289" s="1" t="s">
        <v>1938</v>
      </c>
      <c r="O289" s="1" t="s">
        <v>1939</v>
      </c>
      <c r="P289" s="1">
        <v>45434.0</v>
      </c>
      <c r="Q289" s="3" t="str">
        <f>VLOOKUP(A289,Posters!A289:B1288,2)</f>
        <v>https://m.media-amazon.com/images/M/MV5BMWFjZjRiM2QtZmRkOC00MDUxLTlhYmQtYmY5ZTNiMTI5Nzc2L2ltYWdlXkEyXkFqcGdeQXVyNTAyODkwOQ@@._V1_UX67_CR0,0,67,98_AL_.jpg</v>
      </c>
    </row>
    <row r="290">
      <c r="A290" s="1">
        <v>289.0</v>
      </c>
      <c r="B290" s="1" t="s">
        <v>1940</v>
      </c>
      <c r="C290" s="2">
        <v>1.6217773E7</v>
      </c>
      <c r="D290" s="1">
        <v>1967.0</v>
      </c>
      <c r="E290" s="1" t="s">
        <v>18</v>
      </c>
      <c r="F290" s="1" t="s">
        <v>234</v>
      </c>
      <c r="G290" s="1" t="s">
        <v>29</v>
      </c>
      <c r="H290" s="1">
        <v>8.1</v>
      </c>
      <c r="I290" s="1" t="s">
        <v>1941</v>
      </c>
      <c r="J290" s="1">
        <v>92.0</v>
      </c>
      <c r="K290" s="1" t="s">
        <v>1942</v>
      </c>
      <c r="L290" s="1" t="s">
        <v>834</v>
      </c>
      <c r="M290" s="1" t="s">
        <v>1943</v>
      </c>
      <c r="N290" s="1" t="s">
        <v>1944</v>
      </c>
      <c r="O290" s="1" t="s">
        <v>1945</v>
      </c>
      <c r="P290" s="1">
        <v>161984.0</v>
      </c>
      <c r="Q290" s="3" t="str">
        <f>VLOOKUP(A290,Posters!A290:B1289,2)</f>
        <v>https://m.media-amazon.com/images/M/MV5BOWFlNzZhYmYtYTI5YS00MDQyLWIyNTUtNTRjMWUwNTEzNjA0XkEyXkFqcGdeQXVyNjUwNzk3NDc@._V1_UX67_CR0,0,67,98_AL_.jpg</v>
      </c>
    </row>
    <row r="291">
      <c r="A291" s="1">
        <v>290.0</v>
      </c>
      <c r="B291" s="1" t="s">
        <v>1946</v>
      </c>
      <c r="C291" s="2">
        <v>90556.0</v>
      </c>
      <c r="D291" s="1">
        <v>1966.0</v>
      </c>
      <c r="E291" s="1">
        <v>18.0</v>
      </c>
      <c r="F291" s="1" t="s">
        <v>1947</v>
      </c>
      <c r="G291" s="1" t="s">
        <v>1377</v>
      </c>
      <c r="H291" s="1">
        <v>8.1</v>
      </c>
      <c r="I291" s="1" t="s">
        <v>1948</v>
      </c>
      <c r="J291" s="1">
        <v>86.0</v>
      </c>
      <c r="K291" s="1" t="s">
        <v>1239</v>
      </c>
      <c r="L291" s="1" t="s">
        <v>1303</v>
      </c>
      <c r="M291" s="1" t="s">
        <v>1240</v>
      </c>
      <c r="N291" s="1" t="s">
        <v>1949</v>
      </c>
      <c r="O291" s="1" t="s">
        <v>1305</v>
      </c>
      <c r="P291" s="1">
        <v>103191.0</v>
      </c>
      <c r="Q291" s="3" t="str">
        <f>VLOOKUP(A291,Posters!A291:B1290,2)</f>
        <v>https://m.media-amazon.com/images/M/MV5BMTM0YzExY2EtMjUyZi00ZmIwLWFkYTktNjY5NmVkYTdkMjI5XkEyXkFqcGdeQXVyNzQxNDExNTU@._V1_UY98_CR0,0,67,98_AL_.jpg</v>
      </c>
    </row>
    <row r="292">
      <c r="A292" s="1">
        <v>291.0</v>
      </c>
      <c r="B292" s="1" t="s">
        <v>1950</v>
      </c>
      <c r="C292" s="2">
        <v>102021.0</v>
      </c>
      <c r="D292" s="1">
        <v>1966.0</v>
      </c>
      <c r="E292" s="1" t="s">
        <v>212</v>
      </c>
      <c r="F292" s="1" t="s">
        <v>1951</v>
      </c>
      <c r="G292" s="1" t="s">
        <v>79</v>
      </c>
      <c r="H292" s="1">
        <v>8.1</v>
      </c>
      <c r="I292" s="1" t="s">
        <v>1952</v>
      </c>
      <c r="K292" s="1" t="s">
        <v>1232</v>
      </c>
      <c r="L292" s="1" t="s">
        <v>1235</v>
      </c>
      <c r="M292" s="1" t="s">
        <v>1953</v>
      </c>
      <c r="N292" s="1" t="s">
        <v>1236</v>
      </c>
      <c r="O292" s="1" t="s">
        <v>1954</v>
      </c>
      <c r="P292" s="1">
        <v>46947.0</v>
      </c>
      <c r="Q292" s="3" t="str">
        <f>VLOOKUP(A292,Posters!A292:B1291,2)</f>
        <v>https://m.media-amazon.com/images/M/MV5BNjM2MjMwNzUzN15BMl5BanBnXkFtZTgwMjEzMzE5MTE@._V1_UY98_CR2,0,67,98_AL_.jpg</v>
      </c>
    </row>
    <row r="293">
      <c r="A293" s="1">
        <v>292.0</v>
      </c>
      <c r="B293" s="1" t="s">
        <v>1955</v>
      </c>
      <c r="C293" s="2">
        <v>55908.0</v>
      </c>
      <c r="D293" s="1">
        <v>1966.0</v>
      </c>
      <c r="E293" s="1">
        <v>14.0</v>
      </c>
      <c r="F293" s="1" t="s">
        <v>249</v>
      </c>
      <c r="G293" s="1" t="s">
        <v>213</v>
      </c>
      <c r="H293" s="1">
        <v>8.1</v>
      </c>
      <c r="I293" s="1" t="s">
        <v>1956</v>
      </c>
      <c r="J293" s="1">
        <v>96.0</v>
      </c>
      <c r="K293" s="1" t="s">
        <v>1957</v>
      </c>
      <c r="L293" s="1" t="s">
        <v>1958</v>
      </c>
      <c r="M293" s="1" t="s">
        <v>1959</v>
      </c>
      <c r="N293" s="1" t="s">
        <v>1960</v>
      </c>
      <c r="O293" s="1" t="s">
        <v>1961</v>
      </c>
      <c r="P293" s="1">
        <v>53089.0</v>
      </c>
      <c r="Q293" s="3" t="str">
        <f>VLOOKUP(A293,Posters!A293:B1292,2)</f>
        <v>https://m.media-amazon.com/images/M/MV5BZWEzMGY4OTQtYTdmMy00M2QwLTliYTQtYWUzYzc3OTA5YzIwXkEyXkFqcGdeQXVyNjc1NTYyMjg@._V1_UY98_CR1,0,67,98_AL_.jpg</v>
      </c>
    </row>
    <row r="294">
      <c r="A294" s="1">
        <v>293.0</v>
      </c>
      <c r="B294" s="1" t="s">
        <v>1962</v>
      </c>
      <c r="C294" s="2">
        <v>1843.0</v>
      </c>
      <c r="D294" s="1">
        <v>1962.0</v>
      </c>
      <c r="E294" s="1" t="s">
        <v>1963</v>
      </c>
      <c r="F294" s="1" t="s">
        <v>601</v>
      </c>
      <c r="G294" s="1" t="s">
        <v>1964</v>
      </c>
      <c r="H294" s="1">
        <v>8.1</v>
      </c>
      <c r="I294" s="1" t="s">
        <v>1965</v>
      </c>
      <c r="K294" s="1" t="s">
        <v>1966</v>
      </c>
      <c r="L294" s="1" t="s">
        <v>1967</v>
      </c>
      <c r="M294" s="1" t="s">
        <v>1968</v>
      </c>
      <c r="N294" s="1" t="s">
        <v>1969</v>
      </c>
      <c r="O294" s="1" t="s">
        <v>1970</v>
      </c>
      <c r="P294" s="1">
        <v>29682.0</v>
      </c>
      <c r="Q294" s="3" t="str">
        <f>VLOOKUP(A294,Posters!A294:B1293,2)</f>
        <v>https://m.media-amazon.com/images/M/MV5BZTg3M2ExY2EtZmI5Yy00YWM1LTg4NzItZWEzZTgxNzE2MjhhXkEyXkFqcGdeQXVyNDE5MTU2MDE@._V1_UX67_CR0,0,67,98_AL_.jpg</v>
      </c>
    </row>
    <row r="295">
      <c r="A295" s="1">
        <v>294.0</v>
      </c>
      <c r="B295" s="1" t="s">
        <v>1971</v>
      </c>
      <c r="C295" s="2">
        <v>4050000.0</v>
      </c>
      <c r="D295" s="1">
        <v>1962.0</v>
      </c>
      <c r="E295" s="1" t="s">
        <v>627</v>
      </c>
      <c r="F295" s="1" t="s">
        <v>550</v>
      </c>
      <c r="G295" s="1" t="s">
        <v>1972</v>
      </c>
      <c r="H295" s="1">
        <v>8.1</v>
      </c>
      <c r="I295" s="1" t="s">
        <v>1973</v>
      </c>
      <c r="J295" s="1">
        <v>75.0</v>
      </c>
      <c r="K295" s="1" t="s">
        <v>1974</v>
      </c>
      <c r="L295" s="1" t="s">
        <v>1339</v>
      </c>
      <c r="M295" s="1" t="s">
        <v>1975</v>
      </c>
      <c r="N295" s="1" t="s">
        <v>1976</v>
      </c>
      <c r="O295" s="1" t="s">
        <v>1977</v>
      </c>
      <c r="P295" s="1">
        <v>50058.0</v>
      </c>
      <c r="Q295" s="3" t="str">
        <f>VLOOKUP(A295,Posters!A295:B1294,2)</f>
        <v>https://m.media-amazon.com/images/M/MV5BZmI0M2VmNTgtMWVhYS00Zjg1LTk1YTYtNmJmMjRkZmMwYTc2XkEyXkFqcGdeQXVyNTA4NzY1MzY@._V1_UX67_CR0,0,67,98_AL_.jpg</v>
      </c>
    </row>
    <row r="296">
      <c r="A296" s="1">
        <v>295.0</v>
      </c>
      <c r="B296" s="1" t="s">
        <v>1978</v>
      </c>
      <c r="C296" s="2">
        <v>55528.0</v>
      </c>
      <c r="D296" s="1">
        <v>1962.0</v>
      </c>
      <c r="E296" s="1" t="s">
        <v>52</v>
      </c>
      <c r="F296" s="1" t="s">
        <v>53</v>
      </c>
      <c r="G296" s="1" t="s">
        <v>1029</v>
      </c>
      <c r="H296" s="1">
        <v>8.1</v>
      </c>
      <c r="I296" s="1" t="s">
        <v>1979</v>
      </c>
      <c r="K296" s="1" t="s">
        <v>264</v>
      </c>
      <c r="L296" s="1" t="s">
        <v>265</v>
      </c>
      <c r="M296" s="1" t="s">
        <v>257</v>
      </c>
      <c r="N296" s="1" t="s">
        <v>1980</v>
      </c>
      <c r="O296" s="1" t="s">
        <v>1981</v>
      </c>
      <c r="P296" s="1">
        <v>33044.0</v>
      </c>
      <c r="Q296" s="3" t="str">
        <f>VLOOKUP(A296,Posters!A296:B1295,2)</f>
        <v>https://m.media-amazon.com/images/M/MV5BZmY3MDlmODctYTY3Yi00NzYyLWIxNTUtYjVlZWZjMmMwZTBkXkEyXkFqcGdeQXVyMzAxNjg3MjQ@._V1_UX67_CR0,0,67,98_AL_.jpg</v>
      </c>
    </row>
    <row r="297">
      <c r="A297" s="1">
        <v>296.0</v>
      </c>
      <c r="B297" s="1" t="s">
        <v>1982</v>
      </c>
      <c r="C297" s="2">
        <v>3200000.0</v>
      </c>
      <c r="D297" s="1">
        <v>1962.0</v>
      </c>
      <c r="E297" s="1">
        <v>12.0</v>
      </c>
      <c r="F297" s="1" t="s">
        <v>678</v>
      </c>
      <c r="G297" s="1" t="s">
        <v>495</v>
      </c>
      <c r="H297" s="1">
        <v>8.1</v>
      </c>
      <c r="I297" s="1" t="s">
        <v>1983</v>
      </c>
      <c r="J297" s="1">
        <v>94.0</v>
      </c>
      <c r="K297" s="1" t="s">
        <v>1984</v>
      </c>
      <c r="L297" s="1" t="s">
        <v>274</v>
      </c>
      <c r="M297" s="1" t="s">
        <v>1985</v>
      </c>
      <c r="N297" s="1" t="s">
        <v>402</v>
      </c>
      <c r="O297" s="1" t="s">
        <v>1986</v>
      </c>
      <c r="P297" s="1">
        <v>68827.0</v>
      </c>
      <c r="Q297" s="3" t="str">
        <f>VLOOKUP(A297,Posters!A297:B1296,2)</f>
        <v>https://m.media-amazon.com/images/M/MV5BMGEyNzhkYzktMGMyZS00YzRiLWJlYjktZjJkOTU5ZDY0ZGI4XkEyXkFqcGdeQXVyNjUwNzk3NDc@._V1_UX67_CR0,0,67,98_AL_.jpg</v>
      </c>
    </row>
    <row r="298">
      <c r="A298" s="1">
        <v>297.0</v>
      </c>
      <c r="B298" s="1" t="s">
        <v>1987</v>
      </c>
      <c r="C298" s="2">
        <v>22168.0</v>
      </c>
      <c r="D298" s="1">
        <v>1962.0</v>
      </c>
      <c r="E298" s="1" t="s">
        <v>1963</v>
      </c>
      <c r="F298" s="1" t="s">
        <v>601</v>
      </c>
      <c r="G298" s="1" t="s">
        <v>213</v>
      </c>
      <c r="H298" s="1">
        <v>8.1</v>
      </c>
      <c r="I298" s="1" t="s">
        <v>1988</v>
      </c>
      <c r="K298" s="1" t="s">
        <v>1232</v>
      </c>
      <c r="L298" s="1" t="s">
        <v>1989</v>
      </c>
      <c r="M298" s="1" t="s">
        <v>1990</v>
      </c>
      <c r="N298" s="1" t="s">
        <v>1991</v>
      </c>
      <c r="O298" s="1" t="s">
        <v>1992</v>
      </c>
      <c r="P298" s="1">
        <v>31728.0</v>
      </c>
      <c r="Q298" s="3" t="str">
        <f>VLOOKUP(A298,Posters!A298:B1297,2)</f>
        <v>https://m.media-amazon.com/images/M/MV5BYTYzYzBhYjQtNDQxYS00MmUwLTkyZjgtZWVkOWFjNzE5OTI2XkEyXkFqcGdeQXVyNjMxMjkwMjI@._V1_UX67_CR0,0,67,98_AL_.jpg</v>
      </c>
    </row>
    <row r="299">
      <c r="A299" s="1">
        <v>298.0</v>
      </c>
      <c r="B299" s="1" t="s">
        <v>1993</v>
      </c>
      <c r="C299" s="2">
        <v>1526000.0</v>
      </c>
      <c r="D299" s="1">
        <v>1960.0</v>
      </c>
      <c r="E299" s="1" t="s">
        <v>18</v>
      </c>
      <c r="F299" s="1" t="s">
        <v>374</v>
      </c>
      <c r="G299" s="1" t="s">
        <v>20</v>
      </c>
      <c r="H299" s="1">
        <v>8.1</v>
      </c>
      <c r="I299" s="1" t="s">
        <v>1994</v>
      </c>
      <c r="K299" s="1" t="s">
        <v>1239</v>
      </c>
      <c r="L299" s="1" t="s">
        <v>1309</v>
      </c>
      <c r="M299" s="1" t="s">
        <v>1995</v>
      </c>
      <c r="N299" s="1" t="s">
        <v>1996</v>
      </c>
      <c r="O299" s="1" t="s">
        <v>1997</v>
      </c>
      <c r="P299" s="1">
        <v>26697.0</v>
      </c>
      <c r="Q299" s="3" t="str">
        <f>VLOOKUP(A299,Posters!A299:B1298,2)</f>
        <v>https://m.media-amazon.com/images/M/MV5BZjgyMzZkMGUtNTBhZC00OTkzLWI4ZmMtYzcwMzc5MjQ0YTM3XkEyXkFqcGdeQXVyMTMxMTY0OTQ@._V1_UY98_CR3,0,67,98_AL_.jpg</v>
      </c>
    </row>
    <row r="300">
      <c r="A300" s="1">
        <v>299.0</v>
      </c>
      <c r="B300" s="1" t="s">
        <v>1998</v>
      </c>
      <c r="C300" s="2">
        <v>2000000.0</v>
      </c>
      <c r="D300" s="1">
        <v>1960.0</v>
      </c>
      <c r="E300" s="1" t="s">
        <v>627</v>
      </c>
      <c r="F300" s="1" t="s">
        <v>878</v>
      </c>
      <c r="G300" s="1" t="s">
        <v>79</v>
      </c>
      <c r="H300" s="1">
        <v>8.1</v>
      </c>
      <c r="I300" s="1" t="s">
        <v>1999</v>
      </c>
      <c r="J300" s="1">
        <v>75.0</v>
      </c>
      <c r="K300" s="1" t="s">
        <v>1290</v>
      </c>
      <c r="L300" s="1" t="s">
        <v>1291</v>
      </c>
      <c r="M300" s="1" t="s">
        <v>2000</v>
      </c>
      <c r="N300" s="1" t="s">
        <v>889</v>
      </c>
      <c r="O300" s="1" t="s">
        <v>2001</v>
      </c>
      <c r="P300" s="1">
        <v>27254.0</v>
      </c>
      <c r="Q300" s="3" t="str">
        <f>VLOOKUP(A300,Posters!A300:B1299,2)</f>
        <v>https://m.media-amazon.com/images/M/MV5BMGQ5ODNkNWYtYTgxZS00YjJkLThhODAtYzUwNGNiYjRmNjdkXkEyXkFqcGdeQXVyMTg2NTc4MzA@._V1_UY98_CR4,0,67,98_AL_.jpg</v>
      </c>
    </row>
    <row r="301">
      <c r="A301" s="1">
        <v>300.0</v>
      </c>
      <c r="B301" s="1" t="s">
        <v>2002</v>
      </c>
      <c r="C301" s="2">
        <v>127244.0</v>
      </c>
      <c r="D301" s="1">
        <v>1959.0</v>
      </c>
      <c r="E301" s="1">
        <v>12.0</v>
      </c>
      <c r="F301" s="1" t="s">
        <v>778</v>
      </c>
      <c r="G301" s="1" t="s">
        <v>29</v>
      </c>
      <c r="H301" s="1">
        <v>8.1</v>
      </c>
      <c r="I301" s="1" t="s">
        <v>2003</v>
      </c>
      <c r="K301" s="1" t="s">
        <v>2004</v>
      </c>
      <c r="L301" s="1" t="s">
        <v>2005</v>
      </c>
      <c r="M301" s="1" t="s">
        <v>2006</v>
      </c>
      <c r="N301" s="1" t="s">
        <v>2007</v>
      </c>
      <c r="O301" s="1" t="s">
        <v>2008</v>
      </c>
      <c r="P301" s="1">
        <v>105291.0</v>
      </c>
      <c r="Q301" s="3" t="str">
        <f>VLOOKUP(A301,Posters!A301:B1300,2)</f>
        <v>https://m.media-amazon.com/images/M/MV5BYTQ4MjA4NmYtYjRhNi00MTEwLTg0NjgtNjk3ODJlZGU4NjRkL2ltYWdlL2ltYWdlXkEyXkFqcGdeQXVyNjU0OTQ0OTY@._V1_UY98_CR3,0,67,98_AL_.jpg</v>
      </c>
    </row>
    <row r="302">
      <c r="A302" s="1">
        <v>301.0</v>
      </c>
      <c r="B302" s="1" t="s">
        <v>2009</v>
      </c>
      <c r="C302" s="2">
        <v>7.47E7</v>
      </c>
      <c r="D302" s="1">
        <v>1959.0</v>
      </c>
      <c r="E302" s="1" t="s">
        <v>52</v>
      </c>
      <c r="F302" s="1" t="s">
        <v>2010</v>
      </c>
      <c r="G302" s="1" t="s">
        <v>1269</v>
      </c>
      <c r="H302" s="1">
        <v>8.1</v>
      </c>
      <c r="I302" s="1" t="s">
        <v>2011</v>
      </c>
      <c r="J302" s="1">
        <v>90.0</v>
      </c>
      <c r="K302" s="1" t="s">
        <v>2012</v>
      </c>
      <c r="L302" s="1" t="s">
        <v>2013</v>
      </c>
      <c r="M302" s="1" t="s">
        <v>863</v>
      </c>
      <c r="N302" s="1" t="s">
        <v>2014</v>
      </c>
      <c r="O302" s="1" t="s">
        <v>2015</v>
      </c>
      <c r="P302" s="1">
        <v>219466.0</v>
      </c>
      <c r="Q302" s="3" t="str">
        <f>VLOOKUP(A302,Posters!A302:B1301,2)</f>
        <v>https://m.media-amazon.com/images/M/MV5BNjgxY2JiZDYtZmMwOC00ZmJjLWJmODUtMTNmNWNmYWI5ODkwL2ltYWdlL2ltYWdlXkEyXkFqcGdeQXVyNjc1NTYyMjg@._V1_UX67_CR0,0,67,98_AL_.jpg</v>
      </c>
    </row>
    <row r="303">
      <c r="A303" s="1">
        <v>302.0</v>
      </c>
      <c r="B303" s="1" t="s">
        <v>2016</v>
      </c>
      <c r="C303" s="2">
        <v>46808.0</v>
      </c>
      <c r="D303" s="1">
        <v>1958.0</v>
      </c>
      <c r="E303" s="1">
        <v>14.0</v>
      </c>
      <c r="F303" s="1" t="s">
        <v>95</v>
      </c>
      <c r="G303" s="1" t="s">
        <v>1813</v>
      </c>
      <c r="H303" s="1">
        <v>8.1</v>
      </c>
      <c r="I303" s="1" t="s">
        <v>2017</v>
      </c>
      <c r="K303" s="1" t="s">
        <v>264</v>
      </c>
      <c r="L303" s="1" t="s">
        <v>265</v>
      </c>
      <c r="M303" s="1" t="s">
        <v>2018</v>
      </c>
      <c r="N303" s="1" t="s">
        <v>2019</v>
      </c>
      <c r="O303" s="1" t="s">
        <v>2020</v>
      </c>
      <c r="P303" s="1">
        <v>34797.0</v>
      </c>
      <c r="Q303" s="3" t="str">
        <f>VLOOKUP(A303,Posters!A303:B1302,2)</f>
        <v>https://m.media-amazon.com/images/M/MV5BYjJkN2Y5MTktZDRhOS00NTUwLWFiMzEtMTVlNWU4ODM0Y2E5XkEyXkFqcGdeQXVyNjc1NTYyMjg@._V1_UY98_CR1,0,67,98_AL_.jpg</v>
      </c>
    </row>
    <row r="304">
      <c r="A304" s="1">
        <v>303.0</v>
      </c>
      <c r="B304" s="1" t="s">
        <v>2021</v>
      </c>
      <c r="C304" s="2">
        <v>752045.0</v>
      </c>
      <c r="D304" s="1">
        <v>1957.0</v>
      </c>
      <c r="E304" s="1" t="s">
        <v>270</v>
      </c>
      <c r="F304" s="1" t="s">
        <v>343</v>
      </c>
      <c r="G304" s="1" t="s">
        <v>20</v>
      </c>
      <c r="H304" s="1">
        <v>8.1</v>
      </c>
      <c r="I304" s="1" t="s">
        <v>2022</v>
      </c>
      <c r="K304" s="1" t="s">
        <v>2023</v>
      </c>
      <c r="L304" s="1" t="s">
        <v>2024</v>
      </c>
      <c r="M304" s="1" t="s">
        <v>1937</v>
      </c>
      <c r="N304" s="1" t="s">
        <v>2025</v>
      </c>
      <c r="O304" s="1" t="s">
        <v>2026</v>
      </c>
      <c r="P304" s="1">
        <v>42940.0</v>
      </c>
      <c r="Q304" s="3" t="str">
        <f>VLOOKUP(A304,Posters!A304:B1303,2)</f>
        <v>https://m.media-amazon.com/images/M/MV5BOTdhNmUxZmQtNmMwNC00MzE3LWE1MTUtZDgxZTYwYjEzZjcwXkEyXkFqcGdeQXVyNTA1NjYyMDk@._V1_UY98_CR0,0,67,98_AL_.jpg</v>
      </c>
    </row>
    <row r="305">
      <c r="A305" s="1">
        <v>304.0</v>
      </c>
      <c r="B305" s="1" t="s">
        <v>2027</v>
      </c>
      <c r="C305" s="2">
        <v>46808.0</v>
      </c>
      <c r="D305" s="1">
        <v>1957.0</v>
      </c>
      <c r="E305" s="1">
        <v>12.0</v>
      </c>
      <c r="F305" s="1" t="s">
        <v>343</v>
      </c>
      <c r="G305" s="1" t="s">
        <v>2028</v>
      </c>
      <c r="H305" s="1">
        <v>8.1</v>
      </c>
      <c r="I305" s="1" t="s">
        <v>2029</v>
      </c>
      <c r="K305" s="1" t="s">
        <v>264</v>
      </c>
      <c r="L305" s="1" t="s">
        <v>265</v>
      </c>
      <c r="M305" s="1" t="s">
        <v>2019</v>
      </c>
      <c r="N305" s="1" t="s">
        <v>2030</v>
      </c>
      <c r="O305" s="1" t="s">
        <v>266</v>
      </c>
      <c r="P305" s="1">
        <v>46678.0</v>
      </c>
      <c r="Q305" s="3" t="str">
        <f>VLOOKUP(A305,Posters!A305:B1304,2)</f>
        <v>https://m.media-amazon.com/images/M/MV5BNGYxZjA2M2ItYTRmNS00NzRmLWJkYzgtYTdiNGFlZDI5ZjNmXkEyXkFqcGdeQXVyNDE5MTU2MDE@._V1_UY98_CR0,0,67,98_AL_.jpg</v>
      </c>
    </row>
    <row r="306">
      <c r="A306" s="1">
        <v>305.0</v>
      </c>
      <c r="B306" s="1" t="s">
        <v>2031</v>
      </c>
      <c r="C306" s="2">
        <v>4.4908E7</v>
      </c>
      <c r="D306" s="1">
        <v>1957.0</v>
      </c>
      <c r="E306" s="1" t="s">
        <v>270</v>
      </c>
      <c r="F306" s="1" t="s">
        <v>115</v>
      </c>
      <c r="G306" s="1" t="s">
        <v>708</v>
      </c>
      <c r="H306" s="1">
        <v>8.1</v>
      </c>
      <c r="I306" s="1" t="s">
        <v>2032</v>
      </c>
      <c r="J306" s="1">
        <v>87.0</v>
      </c>
      <c r="K306" s="1" t="s">
        <v>860</v>
      </c>
      <c r="L306" s="1" t="s">
        <v>630</v>
      </c>
      <c r="M306" s="1" t="s">
        <v>252</v>
      </c>
      <c r="N306" s="1" t="s">
        <v>863</v>
      </c>
      <c r="O306" s="1" t="s">
        <v>2033</v>
      </c>
      <c r="P306" s="1">
        <v>203463.0</v>
      </c>
      <c r="Q306" s="3" t="str">
        <f>VLOOKUP(A306,Posters!A306:B1305,2)</f>
        <v>https://m.media-amazon.com/images/M/MV5BMGVhNjhjODktODgxYS00MDdhLTlkZjktYTkyNzQxMTU0ZDYxXkEyXkFqcGdeQXVyNzkwMjQ5NzM@._V1_UX67_CR0,0,67,98_AL_.jpg</v>
      </c>
    </row>
    <row r="307">
      <c r="A307" s="1">
        <v>306.0</v>
      </c>
      <c r="B307" s="1" t="s">
        <v>2034</v>
      </c>
      <c r="C307" s="2">
        <v>9600000.0</v>
      </c>
      <c r="D307" s="1">
        <v>1954.0</v>
      </c>
      <c r="E307" s="1" t="s">
        <v>18</v>
      </c>
      <c r="F307" s="1" t="s">
        <v>714</v>
      </c>
      <c r="G307" s="1" t="s">
        <v>241</v>
      </c>
      <c r="H307" s="1">
        <v>8.1</v>
      </c>
      <c r="I307" s="1" t="s">
        <v>2035</v>
      </c>
      <c r="J307" s="1">
        <v>91.0</v>
      </c>
      <c r="K307" s="1" t="s">
        <v>2036</v>
      </c>
      <c r="L307" s="1" t="s">
        <v>32</v>
      </c>
      <c r="M307" s="1" t="s">
        <v>2037</v>
      </c>
      <c r="N307" s="1" t="s">
        <v>57</v>
      </c>
      <c r="O307" s="1" t="s">
        <v>2038</v>
      </c>
      <c r="P307" s="1">
        <v>142107.0</v>
      </c>
      <c r="Q307" s="3" t="str">
        <f>VLOOKUP(A307,Posters!A307:B1306,2)</f>
        <v>https://m.media-amazon.com/images/M/MV5BY2I0MWFiZDMtNWQyYy00Njk5LTk3MDktZjZjNTNmZmVkYjkxXkEyXkFqcGdeQXVyNjc1NTYyMjg@._V1_UX67_CR0,0,67,98_AL_.jpg</v>
      </c>
    </row>
    <row r="308">
      <c r="A308" s="1">
        <v>307.0</v>
      </c>
      <c r="B308" s="1" t="s">
        <v>2039</v>
      </c>
      <c r="C308" s="2">
        <v>1098.0</v>
      </c>
      <c r="D308" s="1">
        <v>1953.0</v>
      </c>
      <c r="E308" s="1" t="s">
        <v>52</v>
      </c>
      <c r="F308" s="1" t="s">
        <v>686</v>
      </c>
      <c r="G308" s="1" t="s">
        <v>817</v>
      </c>
      <c r="H308" s="1">
        <v>8.1</v>
      </c>
      <c r="I308" s="1" t="s">
        <v>2040</v>
      </c>
      <c r="J308" s="1">
        <v>85.0</v>
      </c>
      <c r="K308" s="1" t="s">
        <v>2041</v>
      </c>
      <c r="L308" s="1" t="s">
        <v>2042</v>
      </c>
      <c r="M308" s="1" t="s">
        <v>2043</v>
      </c>
      <c r="N308" s="1" t="s">
        <v>2044</v>
      </c>
      <c r="O308" s="1" t="s">
        <v>2045</v>
      </c>
      <c r="P308" s="1">
        <v>54588.0</v>
      </c>
      <c r="Q308" s="3" t="str">
        <f>VLOOKUP(A308,Posters!A308:B1307,2)</f>
        <v>https://m.media-amazon.com/images/M/MV5BZDdkNzMwZmUtY2Q5MS00ZmM2LWJhYjItYTBjMWY0MGM4MDRjXkEyXkFqcGdeQXVyNTA4NzY1MzY@._V1_UY98_CR0,0,67,98_AL_.jpg</v>
      </c>
    </row>
    <row r="309">
      <c r="A309" s="1">
        <v>308.0</v>
      </c>
      <c r="B309" s="1" t="s">
        <v>2046</v>
      </c>
      <c r="C309" s="2">
        <v>3969893.0</v>
      </c>
      <c r="D309" s="1">
        <v>1951.0</v>
      </c>
      <c r="E309" s="1" t="s">
        <v>2047</v>
      </c>
      <c r="F309" s="1" t="s">
        <v>1663</v>
      </c>
      <c r="G309" s="1" t="s">
        <v>628</v>
      </c>
      <c r="H309" s="1">
        <v>8.1</v>
      </c>
      <c r="I309" s="1" t="s">
        <v>2048</v>
      </c>
      <c r="J309" s="1">
        <v>72.0</v>
      </c>
      <c r="K309" s="1" t="s">
        <v>610</v>
      </c>
      <c r="L309" s="1" t="s">
        <v>617</v>
      </c>
      <c r="M309" s="1" t="s">
        <v>2049</v>
      </c>
      <c r="N309" s="1" t="s">
        <v>2050</v>
      </c>
      <c r="O309" s="1" t="s">
        <v>2051</v>
      </c>
      <c r="P309" s="1">
        <v>31568.0</v>
      </c>
      <c r="Q309" s="3" t="str">
        <f>VLOOKUP(A309,Posters!A309:B1308,2)</f>
        <v>https://m.media-amazon.com/images/M/MV5BNDUzZjlhZTYtN2E5MS00ODQ3LWI1ZjgtNzdiZmI0NTZiZTljXkEyXkFqcGdeQXVyMjI4MjA5MzA@._V1_UX67_CR0,0,67,98_AL_.jpg</v>
      </c>
    </row>
    <row r="310">
      <c r="A310" s="1">
        <v>309.0</v>
      </c>
      <c r="B310" s="1" t="s">
        <v>2052</v>
      </c>
      <c r="C310" s="2">
        <v>5534.0</v>
      </c>
      <c r="D310" s="1">
        <v>1949.0</v>
      </c>
      <c r="E310" s="1">
        <v>12.0</v>
      </c>
      <c r="F310" s="1" t="s">
        <v>825</v>
      </c>
      <c r="G310" s="1" t="s">
        <v>39</v>
      </c>
      <c r="H310" s="1">
        <v>8.1</v>
      </c>
      <c r="I310" s="1" t="s">
        <v>2053</v>
      </c>
      <c r="K310" s="1" t="s">
        <v>2054</v>
      </c>
      <c r="L310" s="1" t="s">
        <v>2055</v>
      </c>
      <c r="M310" s="1" t="s">
        <v>2056</v>
      </c>
      <c r="N310" s="1" t="s">
        <v>2057</v>
      </c>
      <c r="O310" s="1" t="s">
        <v>2058</v>
      </c>
      <c r="P310" s="1">
        <v>29807.0</v>
      </c>
      <c r="Q310" s="3" t="str">
        <f>VLOOKUP(A310,Posters!A310:B1309,2)</f>
        <v>https://m.media-amazon.com/images/M/MV5BZmI5NTA3MjItYzdhMi00MWMxLTg3OWMtYWQyYjg5MTFmM2U0L2ltYWdlL2ltYWdlXkEyXkFqcGdeQXVyNjc1NTYyMjg@._V1_UX67_CR0,0,67,98_AL_.jpg</v>
      </c>
    </row>
    <row r="311">
      <c r="A311" s="1">
        <v>310.0</v>
      </c>
      <c r="B311" s="1" t="s">
        <v>2059</v>
      </c>
      <c r="C311" s="2">
        <v>449191.0</v>
      </c>
      <c r="D311" s="1">
        <v>1949.0</v>
      </c>
      <c r="E311" s="1" t="s">
        <v>2047</v>
      </c>
      <c r="F311" s="1" t="s">
        <v>647</v>
      </c>
      <c r="G311" s="1" t="s">
        <v>2060</v>
      </c>
      <c r="H311" s="1">
        <v>8.1</v>
      </c>
      <c r="I311" s="1" t="s">
        <v>2061</v>
      </c>
      <c r="J311" s="1">
        <v>97.0</v>
      </c>
      <c r="K311" s="1" t="s">
        <v>2062</v>
      </c>
      <c r="L311" s="1" t="s">
        <v>916</v>
      </c>
      <c r="M311" s="1" t="s">
        <v>917</v>
      </c>
      <c r="N311" s="1" t="s">
        <v>2063</v>
      </c>
      <c r="O311" s="1" t="s">
        <v>2064</v>
      </c>
      <c r="P311" s="1">
        <v>158731.0</v>
      </c>
      <c r="Q311" s="3" t="str">
        <f>VLOOKUP(A311,Posters!A311:B1310,2)</f>
        <v>https://m.media-amazon.com/images/M/MV5BYjE2OTdhMWUtOGJlMy00ZDViLWIzZjgtYjZkZGZmMDZjYmEyXkEyXkFqcGdeQXVyNzkwMjQ5NzM@._V1_UX67_CR0,0,67,98_AL_.jpg</v>
      </c>
    </row>
    <row r="312">
      <c r="A312" s="1">
        <v>311.0</v>
      </c>
      <c r="B312" s="1" t="s">
        <v>2065</v>
      </c>
      <c r="C312" s="2">
        <v>1.09E7</v>
      </c>
      <c r="D312" s="1">
        <v>1948.0</v>
      </c>
      <c r="E312" s="1" t="s">
        <v>2066</v>
      </c>
      <c r="F312" s="1" t="s">
        <v>1044</v>
      </c>
      <c r="G312" s="1" t="s">
        <v>1706</v>
      </c>
      <c r="H312" s="1">
        <v>8.1</v>
      </c>
      <c r="I312" s="1" t="s">
        <v>2067</v>
      </c>
      <c r="K312" s="1" t="s">
        <v>2068</v>
      </c>
      <c r="L312" s="1" t="s">
        <v>2069</v>
      </c>
      <c r="M312" s="1" t="s">
        <v>2070</v>
      </c>
      <c r="N312" s="1" t="s">
        <v>2071</v>
      </c>
      <c r="O312" s="1" t="s">
        <v>2072</v>
      </c>
      <c r="P312" s="1">
        <v>30935.0</v>
      </c>
      <c r="Q312" s="3" t="str">
        <f>VLOOKUP(A312,Posters!A312:B1311,2)</f>
        <v>https://m.media-amazon.com/images/M/MV5BOWRmNGEwZjUtZjEwNS00OGZmLThhMmEtZTJlMTU5MGQ3ZWUwXkEyXkFqcGdeQXVyNjc1NTYyMjg@._V1_UX67_CR0,0,67,98_AL_.jpg</v>
      </c>
    </row>
    <row r="313">
      <c r="A313" s="1">
        <v>312.0</v>
      </c>
      <c r="B313" s="1" t="s">
        <v>2073</v>
      </c>
      <c r="C313" s="1" t="s">
        <v>2074</v>
      </c>
      <c r="D313" s="1">
        <v>1940.0</v>
      </c>
      <c r="E313" s="1" t="s">
        <v>270</v>
      </c>
      <c r="F313" s="1" t="s">
        <v>778</v>
      </c>
      <c r="G313" s="1" t="s">
        <v>227</v>
      </c>
      <c r="H313" s="1">
        <v>8.1</v>
      </c>
      <c r="I313" s="1" t="s">
        <v>2075</v>
      </c>
      <c r="J313" s="1">
        <v>96.0</v>
      </c>
      <c r="K313" s="1" t="s">
        <v>1353</v>
      </c>
      <c r="L313" s="1" t="s">
        <v>2076</v>
      </c>
      <c r="M313" s="1" t="s">
        <v>274</v>
      </c>
      <c r="N313" s="1" t="s">
        <v>2077</v>
      </c>
      <c r="O313" s="1" t="s">
        <v>2078</v>
      </c>
      <c r="P313" s="1">
        <v>28450.0</v>
      </c>
      <c r="Q313" s="3" t="str">
        <f>VLOOKUP(A313,Posters!A313:B1312,2)</f>
        <v>https://m.media-amazon.com/images/M/MV5BNzc1MTcyNTQ5N15BMl5BanBnXkFtZTgwMzgwMDI0MjE@._V1_UX67_CR0,0,67,98_AL_.jpg</v>
      </c>
    </row>
    <row r="314">
      <c r="A314" s="1">
        <v>313.0</v>
      </c>
      <c r="B314" s="1" t="s">
        <v>2079</v>
      </c>
      <c r="C314" s="2">
        <v>4360000.0</v>
      </c>
      <c r="D314" s="1">
        <v>1940.0</v>
      </c>
      <c r="E314" s="1" t="s">
        <v>2047</v>
      </c>
      <c r="F314" s="1" t="s">
        <v>195</v>
      </c>
      <c r="G314" s="1" t="s">
        <v>1051</v>
      </c>
      <c r="H314" s="1">
        <v>8.1</v>
      </c>
      <c r="I314" s="1" t="s">
        <v>2080</v>
      </c>
      <c r="J314" s="1">
        <v>86.0</v>
      </c>
      <c r="K314" s="1" t="s">
        <v>399</v>
      </c>
      <c r="L314" s="1" t="s">
        <v>2081</v>
      </c>
      <c r="M314" s="1" t="s">
        <v>2082</v>
      </c>
      <c r="N314" s="1" t="s">
        <v>1341</v>
      </c>
      <c r="O314" s="1" t="s">
        <v>2083</v>
      </c>
      <c r="P314" s="1">
        <v>123942.0</v>
      </c>
      <c r="Q314" s="3" t="str">
        <f>VLOOKUP(A314,Posters!A314:B1313,2)</f>
        <v>https://m.media-amazon.com/images/M/MV5BYTcxYWExOTMtMWFmYy00ZjgzLWI0YjktNWEzYzJkZTg0NDdmL2ltYWdlXkEyXkFqcGdeQXVyNjc1NTYyMjg@._V1_UY98_CR0,0,67,98_AL_.jpg</v>
      </c>
    </row>
    <row r="315">
      <c r="A315" s="1">
        <v>314.0</v>
      </c>
      <c r="B315" s="1" t="s">
        <v>2084</v>
      </c>
      <c r="C315" s="2">
        <v>9600000.0</v>
      </c>
      <c r="D315" s="1">
        <v>1939.0</v>
      </c>
      <c r="E315" s="1" t="s">
        <v>627</v>
      </c>
      <c r="F315" s="1" t="s">
        <v>830</v>
      </c>
      <c r="G315" s="1" t="s">
        <v>507</v>
      </c>
      <c r="H315" s="1">
        <v>8.1</v>
      </c>
      <c r="I315" s="1" t="s">
        <v>2085</v>
      </c>
      <c r="J315" s="1">
        <v>73.0</v>
      </c>
      <c r="K315" s="1" t="s">
        <v>273</v>
      </c>
      <c r="L315" s="1" t="s">
        <v>274</v>
      </c>
      <c r="M315" s="1" t="s">
        <v>2086</v>
      </c>
      <c r="N315" s="1" t="s">
        <v>412</v>
      </c>
      <c r="O315" s="1" t="s">
        <v>2087</v>
      </c>
      <c r="P315" s="1">
        <v>107017.0</v>
      </c>
      <c r="Q315" s="3" t="str">
        <f>VLOOKUP(A315,Posters!A315:B1314,2)</f>
        <v>https://m.media-amazon.com/images/M/MV5BZTYwYjYxYzgtMDE1Ni00NzU4LWJlMTEtODQ5YmJmMGJhZjI5L2ltYWdlXkEyXkFqcGdeQXVyMDI2NDg0NQ@@._V1_UX67_CR0,0,67,98_AL_.jpg</v>
      </c>
    </row>
    <row r="316">
      <c r="A316" s="1">
        <v>315.0</v>
      </c>
      <c r="B316" s="1" t="s">
        <v>2088</v>
      </c>
      <c r="C316" s="2">
        <v>1.98676459E8</v>
      </c>
      <c r="D316" s="1">
        <v>1939.0</v>
      </c>
      <c r="E316" s="1" t="s">
        <v>52</v>
      </c>
      <c r="F316" s="1" t="s">
        <v>2089</v>
      </c>
      <c r="G316" s="1" t="s">
        <v>1802</v>
      </c>
      <c r="H316" s="1">
        <v>8.1</v>
      </c>
      <c r="I316" s="1" t="s">
        <v>2090</v>
      </c>
      <c r="J316" s="1">
        <v>97.0</v>
      </c>
      <c r="K316" s="1" t="s">
        <v>2091</v>
      </c>
      <c r="L316" s="1" t="s">
        <v>2092</v>
      </c>
      <c r="M316" s="1" t="s">
        <v>2093</v>
      </c>
      <c r="N316" s="1" t="s">
        <v>2094</v>
      </c>
      <c r="O316" s="1" t="s">
        <v>2095</v>
      </c>
      <c r="P316" s="1">
        <v>290074.0</v>
      </c>
      <c r="Q316" s="3" t="str">
        <f>VLOOKUP(A316,Posters!A316:B1315,2)</f>
        <v>https://m.media-amazon.com/images/M/MV5BYjUyZWZkM2UtMzYxYy00ZmQ3LWFmZTQtOGE2YjBkNjA3YWZlXkEyXkFqcGdeQXVyNzkwMjQ5NzM@._V1_UX67_CR0,0,67,98_AL_.jpg</v>
      </c>
    </row>
    <row r="317">
      <c r="A317" s="1">
        <v>316.0</v>
      </c>
      <c r="B317" s="1" t="s">
        <v>2096</v>
      </c>
      <c r="C317" s="2">
        <v>172885.0</v>
      </c>
      <c r="D317" s="1">
        <v>1937.0</v>
      </c>
      <c r="E317" s="1" t="s">
        <v>2097</v>
      </c>
      <c r="F317" s="1" t="s">
        <v>543</v>
      </c>
      <c r="G317" s="1" t="s">
        <v>213</v>
      </c>
      <c r="H317" s="1">
        <v>8.1</v>
      </c>
      <c r="I317" s="1" t="s">
        <v>2098</v>
      </c>
      <c r="K317" s="1" t="s">
        <v>2099</v>
      </c>
      <c r="L317" s="1" t="s">
        <v>2100</v>
      </c>
      <c r="M317" s="1" t="s">
        <v>2101</v>
      </c>
      <c r="N317" s="1" t="s">
        <v>2102</v>
      </c>
      <c r="O317" s="1" t="s">
        <v>632</v>
      </c>
      <c r="P317" s="1">
        <v>33829.0</v>
      </c>
      <c r="Q317" s="3" t="str">
        <f>VLOOKUP(A317,Posters!A317:B1316,2)</f>
        <v>https://m.media-amazon.com/images/M/MV5BMTg3MTI5NTk0N15BMl5BanBnXkFtZTgwMjU1MDM5MTE@._V1_UY98_CR2,0,67,98_AL_.jpg</v>
      </c>
    </row>
    <row r="318">
      <c r="A318" s="1">
        <v>317.0</v>
      </c>
      <c r="B318" s="1" t="s">
        <v>2103</v>
      </c>
      <c r="C318" s="2">
        <v>4360000.0</v>
      </c>
      <c r="D318" s="1">
        <v>1934.0</v>
      </c>
      <c r="E318" s="1" t="s">
        <v>2047</v>
      </c>
      <c r="F318" s="1" t="s">
        <v>487</v>
      </c>
      <c r="G318" s="1" t="s">
        <v>723</v>
      </c>
      <c r="H318" s="1">
        <v>8.1</v>
      </c>
      <c r="I318" s="1" t="s">
        <v>2104</v>
      </c>
      <c r="J318" s="1">
        <v>87.0</v>
      </c>
      <c r="K318" s="1" t="s">
        <v>273</v>
      </c>
      <c r="L318" s="1" t="s">
        <v>2094</v>
      </c>
      <c r="M318" s="1" t="s">
        <v>2105</v>
      </c>
      <c r="N318" s="1" t="s">
        <v>2106</v>
      </c>
      <c r="O318" s="1" t="s">
        <v>2107</v>
      </c>
      <c r="P318" s="1">
        <v>94016.0</v>
      </c>
      <c r="Q318" s="3" t="str">
        <f>VLOOKUP(A318,Posters!A318:B1317,2)</f>
        <v>https://m.media-amazon.com/images/M/MV5BYzJmMWE5NjAtNWMyZS00NmFiLWIwMDgtZDE2NzczYWFhNzIzXkEyXkFqcGdeQXVyNjc1NTYyMjg@._V1_UX67_CR0,0,67,98_AL_.jpg</v>
      </c>
    </row>
    <row r="319">
      <c r="A319" s="1">
        <v>318.0</v>
      </c>
      <c r="B319" s="1" t="s">
        <v>2108</v>
      </c>
      <c r="C319" s="2">
        <v>21877.0</v>
      </c>
      <c r="D319" s="1">
        <v>1928.0</v>
      </c>
      <c r="E319" s="1" t="s">
        <v>627</v>
      </c>
      <c r="F319" s="1" t="s">
        <v>343</v>
      </c>
      <c r="G319" s="1" t="s">
        <v>79</v>
      </c>
      <c r="H319" s="1">
        <v>8.1</v>
      </c>
      <c r="I319" s="1" t="s">
        <v>2109</v>
      </c>
      <c r="K319" s="1" t="s">
        <v>2110</v>
      </c>
      <c r="L319" s="1" t="s">
        <v>2111</v>
      </c>
      <c r="M319" s="1" t="s">
        <v>2112</v>
      </c>
      <c r="N319" s="1" t="s">
        <v>2113</v>
      </c>
      <c r="O319" s="1" t="s">
        <v>2114</v>
      </c>
      <c r="P319" s="1">
        <v>47676.0</v>
      </c>
      <c r="Q319" s="3" t="str">
        <f>VLOOKUP(A319,Posters!A319:B1318,2)</f>
        <v>https://m.media-amazon.com/images/M/MV5BNjBjNDJiYTUtOWY0OS00OGVmLTg2YzctMTE0NzVhODM1ZWJmXkEyXkFqcGdeQXVyNjU0OTQ0OTY@._V1_UX67_CR0,0,67,98_AL_.jpg</v>
      </c>
    </row>
    <row r="320">
      <c r="A320" s="1">
        <v>319.0</v>
      </c>
      <c r="B320" s="1" t="s">
        <v>2115</v>
      </c>
      <c r="C320" s="1" t="s">
        <v>2116</v>
      </c>
      <c r="D320" s="1">
        <v>1928.0</v>
      </c>
      <c r="E320" s="1" t="s">
        <v>627</v>
      </c>
      <c r="F320" s="1" t="s">
        <v>2117</v>
      </c>
      <c r="G320" s="1" t="s">
        <v>723</v>
      </c>
      <c r="H320" s="1">
        <v>8.1</v>
      </c>
      <c r="I320" s="1" t="s">
        <v>2118</v>
      </c>
      <c r="J320" s="1">
        <v>90.0</v>
      </c>
      <c r="K320" s="1" t="s">
        <v>418</v>
      </c>
      <c r="L320" s="1" t="s">
        <v>418</v>
      </c>
      <c r="M320" s="1" t="s">
        <v>2119</v>
      </c>
      <c r="N320" s="1" t="s">
        <v>2120</v>
      </c>
      <c r="O320" s="1" t="s">
        <v>2121</v>
      </c>
      <c r="P320" s="1">
        <v>30205.0</v>
      </c>
      <c r="Q320" s="3" t="str">
        <f>VLOOKUP(A320,Posters!A320:B1319,2)</f>
        <v>https://m.media-amazon.com/images/M/MV5BM2QwYWQ0MWMtNzcwOC00N2Q2LWE1MDEtZmQxZjhiM2U1YzFhXkEyXkFqcGdeQXVyMTQxNzMzNDI@._V1_UX67_CR0,0,67,98_AL_.jpg</v>
      </c>
    </row>
    <row r="321">
      <c r="A321" s="1">
        <v>320.0</v>
      </c>
      <c r="B321" s="1" t="s">
        <v>2122</v>
      </c>
      <c r="C321" s="1" t="s">
        <v>2123</v>
      </c>
      <c r="D321" s="1">
        <v>1927.0</v>
      </c>
      <c r="E321" s="1" t="s">
        <v>627</v>
      </c>
      <c r="F321" s="1" t="s">
        <v>1882</v>
      </c>
      <c r="G321" s="1" t="s">
        <v>107</v>
      </c>
      <c r="H321" s="1">
        <v>8.1</v>
      </c>
      <c r="I321" s="1" t="s">
        <v>2124</v>
      </c>
      <c r="K321" s="1" t="s">
        <v>2125</v>
      </c>
      <c r="L321" s="1" t="s">
        <v>2126</v>
      </c>
      <c r="M321" s="1" t="s">
        <v>2127</v>
      </c>
      <c r="N321" s="1" t="s">
        <v>2128</v>
      </c>
      <c r="O321" s="1" t="s">
        <v>2129</v>
      </c>
      <c r="P321" s="1">
        <v>46865.0</v>
      </c>
      <c r="Q321" s="3" t="str">
        <f>VLOOKUP(A321,Posters!A321:B1320,2)</f>
        <v>https://m.media-amazon.com/images/M/MV5BNDVkYmYwM2ItNzRiMy00NWQ4LTlhMjMtNDI1ZDYyOGVmMzJjXkEyXkFqcGdeQXVyNTgzMzU5MDI@._V1_UX67_CR0,0,67,98_AL_.jpg</v>
      </c>
    </row>
    <row r="322">
      <c r="A322" s="1">
        <v>321.0</v>
      </c>
      <c r="B322" s="1" t="s">
        <v>2130</v>
      </c>
      <c r="C322" s="2">
        <v>1033895.0</v>
      </c>
      <c r="D322" s="1">
        <v>1926.0</v>
      </c>
      <c r="E322" s="1" t="s">
        <v>627</v>
      </c>
      <c r="F322" s="1" t="s">
        <v>2131</v>
      </c>
      <c r="G322" s="1" t="s">
        <v>1252</v>
      </c>
      <c r="H322" s="1">
        <v>8.1</v>
      </c>
      <c r="I322" s="1" t="s">
        <v>2132</v>
      </c>
      <c r="K322" s="1" t="s">
        <v>2133</v>
      </c>
      <c r="L322" s="1" t="s">
        <v>1365</v>
      </c>
      <c r="M322" s="1" t="s">
        <v>1365</v>
      </c>
      <c r="N322" s="1" t="s">
        <v>2134</v>
      </c>
      <c r="O322" s="1" t="s">
        <v>2135</v>
      </c>
      <c r="P322" s="1">
        <v>81156.0</v>
      </c>
      <c r="Q322" s="3" t="str">
        <f>VLOOKUP(A322,Posters!A322:B1321,2)</f>
        <v>https://m.media-amazon.com/images/M/MV5BYmRiMDFlYjYtOTMwYy00OGY2LWE0Y2QtYzQxOGNhZmUwNTIxXkEyXkFqcGdeQXVyNzkwMjQ5NzM@._V1_UX67_CR0,0,67,98_AL_.jpg</v>
      </c>
    </row>
    <row r="323">
      <c r="A323" s="1">
        <v>322.0</v>
      </c>
      <c r="B323" s="1" t="s">
        <v>2136</v>
      </c>
      <c r="C323" s="2">
        <v>8811.0</v>
      </c>
      <c r="D323" s="1">
        <v>1920.0</v>
      </c>
      <c r="E323" s="1">
        <v>12.0</v>
      </c>
      <c r="F323" s="1" t="s">
        <v>2137</v>
      </c>
      <c r="G323" s="1" t="s">
        <v>2138</v>
      </c>
      <c r="H323" s="1">
        <v>8.1</v>
      </c>
      <c r="I323" s="1" t="s">
        <v>2139</v>
      </c>
      <c r="K323" s="1" t="s">
        <v>2140</v>
      </c>
      <c r="L323" s="1" t="s">
        <v>2141</v>
      </c>
      <c r="M323" s="1" t="s">
        <v>2142</v>
      </c>
      <c r="N323" s="1" t="s">
        <v>2143</v>
      </c>
      <c r="O323" s="1" t="s">
        <v>2144</v>
      </c>
      <c r="P323" s="1">
        <v>57428.0</v>
      </c>
      <c r="Q323" s="3" t="str">
        <f>VLOOKUP(A323,Posters!A323:B1322,2)</f>
        <v>https://m.media-amazon.com/images/M/MV5BNWJiNGJiMTEtMGM3OC00ZWNlLTgwZTgtMzdhNTRiZjk5MTQ1XkEyXkFqcGdeQXVyMTMxODk2OTU@._V1_UY98_CR1,0,67,98_AL_.jpg</v>
      </c>
    </row>
    <row r="324">
      <c r="A324" s="1">
        <v>323.0</v>
      </c>
      <c r="B324" s="1" t="s">
        <v>2145</v>
      </c>
      <c r="C324" s="2">
        <v>2.612561E7</v>
      </c>
      <c r="D324" s="1">
        <v>2018.0</v>
      </c>
      <c r="E324" s="1" t="s">
        <v>37</v>
      </c>
      <c r="F324" s="1" t="s">
        <v>144</v>
      </c>
      <c r="G324" s="1" t="s">
        <v>507</v>
      </c>
      <c r="H324" s="1">
        <v>8.0</v>
      </c>
      <c r="I324" s="1" t="s">
        <v>2146</v>
      </c>
      <c r="K324" s="1" t="s">
        <v>2147</v>
      </c>
      <c r="L324" s="1" t="s">
        <v>659</v>
      </c>
      <c r="M324" s="1" t="s">
        <v>2148</v>
      </c>
      <c r="N324" s="1" t="s">
        <v>2149</v>
      </c>
      <c r="O324" s="1" t="s">
        <v>464</v>
      </c>
      <c r="P324" s="1">
        <v>27978.0</v>
      </c>
      <c r="Q324" s="3" t="str">
        <f>VLOOKUP(A324,Posters!A324:B1323,2)</f>
        <v>https://m.media-amazon.com/images/M/MV5BNjZlMDdmN2YtYThmZi00NGQzLTk0ZTQtNTUyZDFmODExOGNiXkEyXkFqcGdeQXVyODE5NzE3OTE@._V1_UY98_CR0,0,67,98_AL_.jpg</v>
      </c>
    </row>
    <row r="325">
      <c r="A325" s="1">
        <v>324.0</v>
      </c>
      <c r="B325" s="1" t="s">
        <v>2150</v>
      </c>
      <c r="D325" s="1">
        <v>2019.0</v>
      </c>
      <c r="E325" s="1" t="s">
        <v>52</v>
      </c>
      <c r="F325" s="1" t="s">
        <v>543</v>
      </c>
      <c r="G325" s="1" t="s">
        <v>858</v>
      </c>
      <c r="H325" s="1">
        <v>8.0</v>
      </c>
      <c r="I325" s="1" t="s">
        <v>2151</v>
      </c>
      <c r="J325" s="1">
        <v>69.0</v>
      </c>
      <c r="K325" s="1" t="s">
        <v>2152</v>
      </c>
      <c r="L325" s="1" t="s">
        <v>1825</v>
      </c>
      <c r="M325" s="1" t="s">
        <v>2153</v>
      </c>
      <c r="N325" s="1" t="s">
        <v>2154</v>
      </c>
      <c r="O325" s="1" t="s">
        <v>2155</v>
      </c>
      <c r="P325" s="1">
        <v>37556.0</v>
      </c>
      <c r="Q325" s="3" t="str">
        <f>VLOOKUP(A325,Posters!A325:B1324,2)</f>
        <v>https://m.media-amazon.com/images/M/MV5BNjJkYTc5N2UtMGRlMC00M2FmLTk0ZWMtOTYxNDUwNjI2YzljXkEyXkFqcGdeQXVyNDg4NjY5OTQ@._V1_UX67_CR0,0,67,98_AL_.jpg</v>
      </c>
    </row>
    <row r="326">
      <c r="A326" s="1">
        <v>325.0</v>
      </c>
      <c r="B326" s="1" t="s">
        <v>2156</v>
      </c>
      <c r="C326" s="2">
        <v>9323484.0</v>
      </c>
      <c r="D326" s="1">
        <v>2016.0</v>
      </c>
      <c r="E326" s="1" t="s">
        <v>37</v>
      </c>
      <c r="F326" s="1" t="s">
        <v>195</v>
      </c>
      <c r="G326" s="1" t="s">
        <v>2028</v>
      </c>
      <c r="H326" s="1">
        <v>8.0</v>
      </c>
      <c r="I326" s="1" t="s">
        <v>2157</v>
      </c>
      <c r="K326" s="1" t="s">
        <v>2158</v>
      </c>
      <c r="L326" s="1" t="s">
        <v>1156</v>
      </c>
      <c r="M326" s="1" t="s">
        <v>2159</v>
      </c>
      <c r="N326" s="1" t="s">
        <v>2160</v>
      </c>
      <c r="O326" s="1" t="s">
        <v>2161</v>
      </c>
      <c r="P326" s="1">
        <v>52897.0</v>
      </c>
      <c r="Q326" s="3" t="str">
        <f>VLOOKUP(A326,Posters!A326:B1325,2)</f>
        <v>https://m.media-amazon.com/images/M/MV5BMGE1ZTkyOTMtMTdiZS00YzI2LTlmYWQtOTE5YWY0NWVlNjlmXkEyXkFqcGdeQXVyNjQ3ODkxMjE@._V1_UY98_CR0,0,67,98_AL_.jpg</v>
      </c>
    </row>
    <row r="327">
      <c r="A327" s="1">
        <v>326.0</v>
      </c>
      <c r="B327" s="1" t="s">
        <v>2162</v>
      </c>
      <c r="C327" s="2">
        <v>8178001.0</v>
      </c>
      <c r="D327" s="1">
        <v>2015.0</v>
      </c>
      <c r="E327" s="1" t="s">
        <v>37</v>
      </c>
      <c r="F327" s="1" t="s">
        <v>997</v>
      </c>
      <c r="G327" s="1" t="s">
        <v>1252</v>
      </c>
      <c r="H327" s="1">
        <v>8.0</v>
      </c>
      <c r="I327" s="1" t="s">
        <v>2163</v>
      </c>
      <c r="K327" s="1" t="s">
        <v>2164</v>
      </c>
      <c r="L327" s="1" t="s">
        <v>1186</v>
      </c>
      <c r="M327" s="1" t="s">
        <v>2165</v>
      </c>
      <c r="N327" s="1" t="s">
        <v>1034</v>
      </c>
      <c r="O327" s="1" t="s">
        <v>2166</v>
      </c>
      <c r="P327" s="1">
        <v>72245.0</v>
      </c>
      <c r="Q327" s="3" t="str">
        <f>VLOOKUP(A327,Posters!A327:B1326,2)</f>
        <v>https://m.media-amazon.com/images/M/MV5BMjE1NjQ5ODc2NV5BMl5BanBnXkFtZTgwOTM5ODIxNjE@._V1_UY98_CR0,0,67,98_AL_.jpg</v>
      </c>
    </row>
    <row r="328">
      <c r="A328" s="1">
        <v>327.0</v>
      </c>
      <c r="B328" s="1" t="s">
        <v>2167</v>
      </c>
      <c r="C328" s="2">
        <v>1.1533057E7</v>
      </c>
      <c r="D328" s="1">
        <v>2015.0</v>
      </c>
      <c r="E328" s="1" t="s">
        <v>37</v>
      </c>
      <c r="F328" s="1" t="s">
        <v>2168</v>
      </c>
      <c r="G328" s="1" t="s">
        <v>2169</v>
      </c>
      <c r="H328" s="1">
        <v>8.0</v>
      </c>
      <c r="I328" s="1" t="s">
        <v>2170</v>
      </c>
      <c r="K328" s="1" t="s">
        <v>1554</v>
      </c>
      <c r="L328" s="1" t="s">
        <v>1156</v>
      </c>
      <c r="M328" s="1" t="s">
        <v>2171</v>
      </c>
      <c r="N328" s="1" t="s">
        <v>988</v>
      </c>
      <c r="O328" s="1" t="s">
        <v>1380</v>
      </c>
      <c r="P328" s="1">
        <v>52848.0</v>
      </c>
      <c r="Q328" s="3" t="str">
        <f>VLOOKUP(A328,Posters!A328:B1327,2)</f>
        <v>https://m.media-amazon.com/images/M/MV5BYTdhNjBjZDctYTlkYy00ZGIxLWFjYTktODk5ZjNlMzI4NjI3XkEyXkFqcGdeQXVyMjY1MjkzMjE@._V1_UY98_CR0,0,67,98_AL_.jpg</v>
      </c>
    </row>
    <row r="329">
      <c r="A329" s="1">
        <v>328.0</v>
      </c>
      <c r="B329" s="1" t="s">
        <v>2172</v>
      </c>
      <c r="C329" s="2">
        <v>1.51101803E8</v>
      </c>
      <c r="D329" s="1">
        <v>2016.0</v>
      </c>
      <c r="E329" s="1" t="s">
        <v>18</v>
      </c>
      <c r="F329" s="1" t="s">
        <v>878</v>
      </c>
      <c r="G329" s="1" t="s">
        <v>2173</v>
      </c>
      <c r="H329" s="1">
        <v>8.0</v>
      </c>
      <c r="I329" s="1" t="s">
        <v>2174</v>
      </c>
      <c r="J329" s="1">
        <v>94.0</v>
      </c>
      <c r="K329" s="1" t="s">
        <v>289</v>
      </c>
      <c r="L329" s="1" t="s">
        <v>2175</v>
      </c>
      <c r="M329" s="1" t="s">
        <v>2176</v>
      </c>
      <c r="N329" s="1" t="s">
        <v>2177</v>
      </c>
      <c r="O329" s="1" t="s">
        <v>291</v>
      </c>
      <c r="P329" s="1">
        <v>505918.0</v>
      </c>
      <c r="Q329" s="3" t="str">
        <f>VLOOKUP(A329,Posters!A329:B1328,2)</f>
        <v>https://m.media-amazon.com/images/M/MV5BMzUzNDM2NzM2MV5BMl5BanBnXkFtZTgwNTM3NTg4OTE@._V1_UX67_CR0,0,67,98_AL_.jpg</v>
      </c>
    </row>
    <row r="330">
      <c r="A330" s="1">
        <v>329.0</v>
      </c>
      <c r="B330" s="1" t="s">
        <v>2178</v>
      </c>
      <c r="C330" s="2">
        <v>5.1739495E7</v>
      </c>
      <c r="D330" s="1">
        <v>2016.0</v>
      </c>
      <c r="E330" s="1" t="s">
        <v>52</v>
      </c>
      <c r="F330" s="1" t="s">
        <v>240</v>
      </c>
      <c r="G330" s="1" t="s">
        <v>1148</v>
      </c>
      <c r="H330" s="1">
        <v>8.0</v>
      </c>
      <c r="I330" s="1" t="s">
        <v>2179</v>
      </c>
      <c r="J330" s="1">
        <v>69.0</v>
      </c>
      <c r="K330" s="1" t="s">
        <v>2180</v>
      </c>
      <c r="L330" s="1" t="s">
        <v>2181</v>
      </c>
      <c r="M330" s="1" t="s">
        <v>2182</v>
      </c>
      <c r="N330" s="1" t="s">
        <v>2183</v>
      </c>
      <c r="O330" s="1" t="s">
        <v>2184</v>
      </c>
      <c r="P330" s="1">
        <v>213970.0</v>
      </c>
      <c r="Q330" s="3" t="str">
        <f>VLOOKUP(A330,Posters!A330:B1329,2)</f>
        <v>https://m.media-amazon.com/images/M/MV5BMjA3NjkzNjg2MF5BMl5BanBnXkFtZTgwMDkyMzgzMDI@._V1_UX67_CR0,0,67,98_AL_.jpg</v>
      </c>
    </row>
    <row r="331">
      <c r="A331" s="1">
        <v>330.0</v>
      </c>
      <c r="B331" s="1" t="s">
        <v>2185</v>
      </c>
      <c r="C331" s="2">
        <v>2.28433663E8</v>
      </c>
      <c r="D331" s="1">
        <v>2015.0</v>
      </c>
      <c r="E331" s="1" t="s">
        <v>37</v>
      </c>
      <c r="F331" s="1" t="s">
        <v>1618</v>
      </c>
      <c r="G331" s="1" t="s">
        <v>188</v>
      </c>
      <c r="H331" s="1">
        <v>8.0</v>
      </c>
      <c r="I331" s="1" t="s">
        <v>2186</v>
      </c>
      <c r="J331" s="1">
        <v>80.0</v>
      </c>
      <c r="K331" s="1" t="s">
        <v>324</v>
      </c>
      <c r="L331" s="1" t="s">
        <v>215</v>
      </c>
      <c r="M331" s="1" t="s">
        <v>192</v>
      </c>
      <c r="N331" s="1" t="s">
        <v>2187</v>
      </c>
      <c r="O331" s="1" t="s">
        <v>2188</v>
      </c>
      <c r="P331" s="1">
        <v>760094.0</v>
      </c>
      <c r="Q331" s="3" t="str">
        <f>VLOOKUP(A331,Posters!A331:B1330,2)</f>
        <v>https://m.media-amazon.com/images/M/MV5BMTc2MTQ3MDA1Nl5BMl5BanBnXkFtZTgwODA3OTI4NjE@._V1_UX67_CR0,0,67,98_AL_.jpg</v>
      </c>
    </row>
    <row r="332">
      <c r="A332" s="1">
        <v>331.0</v>
      </c>
      <c r="B332" s="1" t="s">
        <v>2189</v>
      </c>
      <c r="C332" s="2">
        <v>3.41268248E8</v>
      </c>
      <c r="D332" s="1">
        <v>2016.0</v>
      </c>
      <c r="E332" s="1" t="s">
        <v>52</v>
      </c>
      <c r="F332" s="1" t="s">
        <v>714</v>
      </c>
      <c r="G332" s="1" t="s">
        <v>765</v>
      </c>
      <c r="H332" s="1">
        <v>8.0</v>
      </c>
      <c r="I332" s="1" t="s">
        <v>2190</v>
      </c>
      <c r="J332" s="1">
        <v>78.0</v>
      </c>
      <c r="K332" s="1" t="s">
        <v>2191</v>
      </c>
      <c r="L332" s="1" t="s">
        <v>2192</v>
      </c>
      <c r="M332" s="1" t="s">
        <v>2193</v>
      </c>
      <c r="N332" s="1" t="s">
        <v>2194</v>
      </c>
      <c r="O332" s="1" t="s">
        <v>2195</v>
      </c>
      <c r="P332" s="1">
        <v>434143.0</v>
      </c>
      <c r="Q332" s="3" t="str">
        <f>VLOOKUP(A332,Posters!A332:B1331,2)</f>
        <v>https://m.media-amazon.com/images/M/MV5BOTMyMjEyNzIzMV5BMl5BanBnXkFtZTgwNzIyNjU0NzE@._V1_UX67_CR0,0,67,98_AL_.jpg</v>
      </c>
    </row>
    <row r="333">
      <c r="A333" s="1">
        <v>332.0</v>
      </c>
      <c r="B333" s="1" t="s">
        <v>2196</v>
      </c>
      <c r="C333" s="2">
        <v>6738000.0</v>
      </c>
      <c r="D333" s="1">
        <v>2015.0</v>
      </c>
      <c r="E333" s="1" t="s">
        <v>37</v>
      </c>
      <c r="F333" s="1" t="s">
        <v>2168</v>
      </c>
      <c r="G333" s="1" t="s">
        <v>956</v>
      </c>
      <c r="H333" s="1">
        <v>8.0</v>
      </c>
      <c r="I333" s="1" t="s">
        <v>2197</v>
      </c>
      <c r="K333" s="1" t="s">
        <v>986</v>
      </c>
      <c r="L333" s="1" t="s">
        <v>987</v>
      </c>
      <c r="M333" s="1" t="s">
        <v>988</v>
      </c>
      <c r="N333" s="1" t="s">
        <v>2198</v>
      </c>
      <c r="O333" s="1" t="s">
        <v>2199</v>
      </c>
      <c r="P333" s="1">
        <v>102972.0</v>
      </c>
      <c r="Q333" s="3" t="str">
        <f>VLOOKUP(A333,Posters!A333:B1332,2)</f>
        <v>https://m.media-amazon.com/images/M/MV5BYWVlMjVhZWYtNWViNC00ODFkLTk1MmItYjU1MDY5ZDdhMTU3XkEyXkFqcGdeQXVyODIwMDI1NjM@._V1_UX67_CR0,0,67,98_AL_.jpg</v>
      </c>
    </row>
    <row r="334">
      <c r="A334" s="1">
        <v>333.0</v>
      </c>
      <c r="B334" s="1" t="s">
        <v>2200</v>
      </c>
      <c r="C334" s="2">
        <v>1506975.0</v>
      </c>
      <c r="D334" s="1">
        <v>2013.0</v>
      </c>
      <c r="E334" s="1" t="s">
        <v>52</v>
      </c>
      <c r="F334" s="1" t="s">
        <v>360</v>
      </c>
      <c r="G334" s="1" t="s">
        <v>352</v>
      </c>
      <c r="H334" s="1">
        <v>8.0</v>
      </c>
      <c r="I334" s="1" t="s">
        <v>2201</v>
      </c>
      <c r="J334" s="1">
        <v>89.0</v>
      </c>
      <c r="K334" s="1" t="s">
        <v>377</v>
      </c>
      <c r="L334" s="1" t="s">
        <v>2202</v>
      </c>
      <c r="M334" s="1" t="s">
        <v>34</v>
      </c>
      <c r="N334" s="1" t="s">
        <v>2203</v>
      </c>
      <c r="O334" s="1" t="s">
        <v>2204</v>
      </c>
      <c r="P334" s="1">
        <v>38746.0</v>
      </c>
      <c r="Q334" s="3" t="str">
        <f>VLOOKUP(A334,Posters!A334:B1333,2)</f>
        <v>https://m.media-amazon.com/images/M/MV5BNThmMWMyMWMtOWRiNy00MGY0LTg1OTUtNjYzODg2MjdlZGU5XkEyXkFqcGdeQXVyMTMxODk2OTU@._V1_UY98_CR1,0,67,98_AL_.jpg</v>
      </c>
    </row>
    <row r="335">
      <c r="A335" s="1">
        <v>334.0</v>
      </c>
      <c r="B335" s="1" t="s">
        <v>2205</v>
      </c>
      <c r="C335" s="2">
        <v>1.32422809E8</v>
      </c>
      <c r="D335" s="1">
        <v>2017.0</v>
      </c>
      <c r="E335" s="1" t="s">
        <v>52</v>
      </c>
      <c r="F335" s="1" t="s">
        <v>543</v>
      </c>
      <c r="G335" s="1" t="s">
        <v>513</v>
      </c>
      <c r="H335" s="1">
        <v>8.0</v>
      </c>
      <c r="I335" s="1" t="s">
        <v>2206</v>
      </c>
      <c r="J335" s="1">
        <v>66.0</v>
      </c>
      <c r="K335" s="1" t="s">
        <v>2207</v>
      </c>
      <c r="L335" s="1" t="s">
        <v>1428</v>
      </c>
      <c r="M335" s="1" t="s">
        <v>2208</v>
      </c>
      <c r="N335" s="1" t="s">
        <v>2209</v>
      </c>
      <c r="O335" s="1" t="s">
        <v>2210</v>
      </c>
      <c r="P335" s="1">
        <v>141923.0</v>
      </c>
      <c r="Q335" s="3" t="str">
        <f>VLOOKUP(A335,Posters!A335:B1334,2)</f>
        <v>https://m.media-amazon.com/images/M/MV5BYjFhOWY0OTgtNDkzMC00YWJkLTk1NGEtYWUxNjhmMmQ5ZjYyXkEyXkFqcGdeQXVyMjMxOTE0ODA@._V1_UX67_CR0,0,67,98_AL_.jpg</v>
      </c>
    </row>
    <row r="336">
      <c r="A336" s="1">
        <v>335.0</v>
      </c>
      <c r="B336" s="1" t="s">
        <v>2211</v>
      </c>
      <c r="C336" s="2">
        <v>5566534.0</v>
      </c>
      <c r="D336" s="1">
        <v>2019.0</v>
      </c>
      <c r="E336" s="1" t="s">
        <v>37</v>
      </c>
      <c r="F336" s="1" t="s">
        <v>70</v>
      </c>
      <c r="G336" s="1" t="s">
        <v>1706</v>
      </c>
      <c r="H336" s="1">
        <v>8.0</v>
      </c>
      <c r="I336" s="1" t="s">
        <v>2212</v>
      </c>
      <c r="J336" s="1">
        <v>65.0</v>
      </c>
      <c r="K336" s="1" t="s">
        <v>1536</v>
      </c>
      <c r="L336" s="1" t="s">
        <v>2213</v>
      </c>
      <c r="M336" s="1" t="s">
        <v>2214</v>
      </c>
      <c r="N336" s="1" t="s">
        <v>2215</v>
      </c>
      <c r="O336" s="1" t="s">
        <v>2216</v>
      </c>
      <c r="P336" s="1">
        <v>31886.0</v>
      </c>
      <c r="Q336" s="3" t="str">
        <f>VLOOKUP(A336,Posters!A336:B1335,2)</f>
        <v>https://m.media-amazon.com/images/M/MV5BZDkzMTQ1YTMtMWY4Ny00MzExLTkzYzEtNzZhOTczNzU2NTU1XkEyXkFqcGdeQXVyODY3NjMyMDU@._V1_UY98_CR4,0,67,98_AL_.jpg</v>
      </c>
    </row>
    <row r="337">
      <c r="A337" s="1">
        <v>336.0</v>
      </c>
      <c r="B337" s="1" t="s">
        <v>2217</v>
      </c>
      <c r="C337" s="2">
        <v>1079369.0</v>
      </c>
      <c r="D337" s="1">
        <v>2013.0</v>
      </c>
      <c r="E337" s="1" t="s">
        <v>37</v>
      </c>
      <c r="F337" s="1" t="s">
        <v>1618</v>
      </c>
      <c r="G337" s="1" t="s">
        <v>241</v>
      </c>
      <c r="H337" s="1">
        <v>8.0</v>
      </c>
      <c r="I337" s="1" t="s">
        <v>2218</v>
      </c>
      <c r="K337" s="1" t="s">
        <v>1554</v>
      </c>
      <c r="L337" s="1" t="s">
        <v>1156</v>
      </c>
      <c r="M337" s="1" t="s">
        <v>1555</v>
      </c>
      <c r="N337" s="1" t="s">
        <v>1032</v>
      </c>
      <c r="O337" s="1" t="s">
        <v>1557</v>
      </c>
      <c r="P337" s="1">
        <v>51069.0</v>
      </c>
      <c r="Q337" s="3" t="str">
        <f>VLOOKUP(A337,Posters!A337:B1336,2)</f>
        <v>https://m.media-amazon.com/images/M/MV5BMTQ1NDI5MjMzNF5BMl5BanBnXkFtZTcwMTc0MDQwOQ@@._V1_UY98_CR0,0,67,98_AL_.jpg</v>
      </c>
    </row>
    <row r="338">
      <c r="A338" s="1">
        <v>337.0</v>
      </c>
      <c r="B338" s="1" t="s">
        <v>2219</v>
      </c>
      <c r="C338" s="2">
        <v>1010414.0</v>
      </c>
      <c r="D338" s="1">
        <v>2013.0</v>
      </c>
      <c r="E338" s="1" t="s">
        <v>212</v>
      </c>
      <c r="F338" s="1" t="s">
        <v>53</v>
      </c>
      <c r="G338" s="1" t="s">
        <v>20</v>
      </c>
      <c r="H338" s="1">
        <v>8.0</v>
      </c>
      <c r="I338" s="1" t="s">
        <v>2220</v>
      </c>
      <c r="J338" s="1">
        <v>82.0</v>
      </c>
      <c r="K338" s="1" t="s">
        <v>2221</v>
      </c>
      <c r="L338" s="1" t="s">
        <v>1427</v>
      </c>
      <c r="M338" s="1" t="s">
        <v>2222</v>
      </c>
      <c r="N338" s="1" t="s">
        <v>2223</v>
      </c>
      <c r="O338" s="1" t="s">
        <v>2224</v>
      </c>
      <c r="P338" s="1">
        <v>81770.0</v>
      </c>
      <c r="Q338" s="3" t="str">
        <f>VLOOKUP(A338,Posters!A338:B1337,2)</f>
        <v>https://m.media-amazon.com/images/M/MV5BMTEwNjE2OTM4NDZeQTJeQWpwZ15BbWU3MDE2MTE4OTk@._V1_UX67_CR0,0,67,98_AL_.jpg</v>
      </c>
    </row>
    <row r="339">
      <c r="A339" s="1">
        <v>338.0</v>
      </c>
      <c r="B339" s="1" t="s">
        <v>2225</v>
      </c>
      <c r="C339" s="2">
        <v>2625803.0</v>
      </c>
      <c r="D339" s="1">
        <v>2014.0</v>
      </c>
      <c r="E339" s="1" t="s">
        <v>18</v>
      </c>
      <c r="F339" s="1" t="s">
        <v>313</v>
      </c>
      <c r="G339" s="1" t="s">
        <v>2169</v>
      </c>
      <c r="H339" s="1">
        <v>8.0</v>
      </c>
      <c r="I339" s="1" t="s">
        <v>2226</v>
      </c>
      <c r="J339" s="1">
        <v>71.0</v>
      </c>
      <c r="K339" s="1" t="s">
        <v>2227</v>
      </c>
      <c r="L339" s="1" t="s">
        <v>2228</v>
      </c>
      <c r="M339" s="1" t="s">
        <v>2229</v>
      </c>
      <c r="N339" s="1" t="s">
        <v>2230</v>
      </c>
      <c r="O339" s="1" t="s">
        <v>2231</v>
      </c>
      <c r="P339" s="1">
        <v>114316.0</v>
      </c>
      <c r="Q339" s="3" t="str">
        <f>VLOOKUP(A339,Posters!A339:B1338,2)</f>
        <v>https://m.media-amazon.com/images/M/MV5BMTg5MTE2NjA4OV5BMl5BanBnXkFtZTgwMTUyMjczMTE@._V1_UX67_CR0,0,67,98_AL_.jpg</v>
      </c>
    </row>
    <row r="340">
      <c r="A340" s="1">
        <v>339.0</v>
      </c>
      <c r="B340" s="1" t="s">
        <v>2232</v>
      </c>
      <c r="C340" s="2">
        <v>9.1125683E7</v>
      </c>
      <c r="D340" s="1">
        <v>2014.0</v>
      </c>
      <c r="E340" s="1" t="s">
        <v>37</v>
      </c>
      <c r="F340" s="1" t="s">
        <v>825</v>
      </c>
      <c r="G340" s="1" t="s">
        <v>2233</v>
      </c>
      <c r="H340" s="1">
        <v>8.0</v>
      </c>
      <c r="I340" s="1" t="s">
        <v>2234</v>
      </c>
      <c r="J340" s="1">
        <v>73.0</v>
      </c>
      <c r="K340" s="1" t="s">
        <v>2235</v>
      </c>
      <c r="L340" s="1" t="s">
        <v>2236</v>
      </c>
      <c r="M340" s="1" t="s">
        <v>2237</v>
      </c>
      <c r="N340" s="1" t="s">
        <v>2238</v>
      </c>
      <c r="O340" s="1" t="s">
        <v>2239</v>
      </c>
      <c r="P340" s="1">
        <v>685201.0</v>
      </c>
      <c r="Q340" s="3" t="str">
        <f>VLOOKUP(A340,Posters!A340:B1339,2)</f>
        <v>https://m.media-amazon.com/images/M/MV5BOTgwMzFiMWYtZDhlNS00ODNkLWJiODAtZDVhNzgyNzJhYjQ4L2ltYWdlXkEyXkFqcGdeQXVyNzEzOTYxNTQ@._V1_UX67_CR0,0,67,98_AL_.jpg</v>
      </c>
    </row>
    <row r="341">
      <c r="A341" s="1">
        <v>340.0</v>
      </c>
      <c r="B341" s="1" t="s">
        <v>2240</v>
      </c>
      <c r="C341" s="2">
        <v>3.331766E8</v>
      </c>
      <c r="D341" s="1">
        <v>2014.0</v>
      </c>
      <c r="E341" s="1" t="s">
        <v>37</v>
      </c>
      <c r="F341" s="1" t="s">
        <v>249</v>
      </c>
      <c r="G341" s="1" t="s">
        <v>1252</v>
      </c>
      <c r="H341" s="1">
        <v>8.0</v>
      </c>
      <c r="I341" s="1" t="s">
        <v>2241</v>
      </c>
      <c r="J341" s="1">
        <v>76.0</v>
      </c>
      <c r="K341" s="1" t="s">
        <v>2242</v>
      </c>
      <c r="L341" s="1" t="s">
        <v>2243</v>
      </c>
      <c r="M341" s="1" t="s">
        <v>2244</v>
      </c>
      <c r="N341" s="1" t="s">
        <v>2245</v>
      </c>
      <c r="O341" s="1" t="s">
        <v>2246</v>
      </c>
      <c r="P341" s="1">
        <v>1043455.0</v>
      </c>
      <c r="Q341" s="3" t="str">
        <f>VLOOKUP(A341,Posters!A341:B1340,2)</f>
        <v>https://m.media-amazon.com/images/M/MV5BMTAwMjU5OTgxNjZeQTJeQWpwZ15BbWU4MDUxNDYxODEx._V1_UX67_CR0,0,67,98_AL_.jpg</v>
      </c>
    </row>
    <row r="342">
      <c r="A342" s="1">
        <v>341.0</v>
      </c>
      <c r="B342" s="1" t="s">
        <v>2247</v>
      </c>
      <c r="C342" s="2">
        <v>9.2054159E7</v>
      </c>
      <c r="D342" s="1">
        <v>2017.0</v>
      </c>
      <c r="E342" s="1" t="s">
        <v>37</v>
      </c>
      <c r="F342" s="1" t="s">
        <v>501</v>
      </c>
      <c r="G342" s="1" t="s">
        <v>254</v>
      </c>
      <c r="H342" s="1">
        <v>8.0</v>
      </c>
      <c r="I342" s="1" t="s">
        <v>2248</v>
      </c>
      <c r="J342" s="1">
        <v>81.0</v>
      </c>
      <c r="K342" s="1" t="s">
        <v>688</v>
      </c>
      <c r="L342" s="1" t="s">
        <v>149</v>
      </c>
      <c r="M342" s="1" t="s">
        <v>2175</v>
      </c>
      <c r="N342" s="1" t="s">
        <v>2249</v>
      </c>
      <c r="O342" s="1" t="s">
        <v>2250</v>
      </c>
      <c r="P342" s="1">
        <v>461823.0</v>
      </c>
      <c r="Q342" s="3" t="str">
        <f>VLOOKUP(A342,Posters!A342:B1341,2)</f>
        <v>https://m.media-amazon.com/images/M/MV5BNzA1Njg4NzYxOV5BMl5BanBnXkFtZTgwODk5NjU3MzI@._V1_UX67_CR0,0,67,98_AL_.jpg</v>
      </c>
    </row>
    <row r="343">
      <c r="A343" s="1">
        <v>342.0</v>
      </c>
      <c r="B343" s="1" t="s">
        <v>2251</v>
      </c>
      <c r="C343" s="2">
        <v>2.5568251E7</v>
      </c>
      <c r="D343" s="1">
        <v>2013.0</v>
      </c>
      <c r="E343" s="1" t="s">
        <v>18</v>
      </c>
      <c r="F343" s="1" t="s">
        <v>428</v>
      </c>
      <c r="G343" s="1" t="s">
        <v>715</v>
      </c>
      <c r="H343" s="1">
        <v>8.0</v>
      </c>
      <c r="I343" s="1" t="s">
        <v>2252</v>
      </c>
      <c r="J343" s="1">
        <v>90.0</v>
      </c>
      <c r="K343" s="1" t="s">
        <v>2253</v>
      </c>
      <c r="L343" s="1" t="s">
        <v>282</v>
      </c>
      <c r="M343" s="1" t="s">
        <v>2254</v>
      </c>
      <c r="N343" s="1" t="s">
        <v>307</v>
      </c>
      <c r="O343" s="1" t="s">
        <v>2183</v>
      </c>
      <c r="P343" s="1">
        <v>540772.0</v>
      </c>
      <c r="Q343" s="3" t="str">
        <f>VLOOKUP(A343,Posters!A343:B1342,2)</f>
        <v>https://m.media-amazon.com/images/M/MV5BMjA1Nzk0OTM2OF5BMl5BanBnXkFtZTgwNjU2NjEwMDE@._V1_UX67_CR0,0,67,98_AL_.jpg</v>
      </c>
    </row>
    <row r="344">
      <c r="A344" s="1">
        <v>343.0</v>
      </c>
      <c r="B344" s="1" t="s">
        <v>2255</v>
      </c>
      <c r="C344" s="2">
        <v>2.16428042E8</v>
      </c>
      <c r="D344" s="1">
        <v>2018.0</v>
      </c>
      <c r="E344" s="1" t="s">
        <v>37</v>
      </c>
      <c r="F344" s="1" t="s">
        <v>550</v>
      </c>
      <c r="G344" s="1" t="s">
        <v>314</v>
      </c>
      <c r="H344" s="1">
        <v>8.0</v>
      </c>
      <c r="I344" s="1" t="s">
        <v>2256</v>
      </c>
      <c r="J344" s="1">
        <v>49.0</v>
      </c>
      <c r="K344" s="1" t="s">
        <v>338</v>
      </c>
      <c r="L344" s="1" t="s">
        <v>2257</v>
      </c>
      <c r="M344" s="1" t="s">
        <v>2258</v>
      </c>
      <c r="N344" s="1" t="s">
        <v>2259</v>
      </c>
      <c r="O344" s="1" t="s">
        <v>2260</v>
      </c>
      <c r="P344" s="1">
        <v>450349.0</v>
      </c>
      <c r="Q344" s="3" t="str">
        <f>VLOOKUP(A344,Posters!A344:B1343,2)</f>
        <v>https://m.media-amazon.com/images/M/MV5BMTA2NDc3Njg5NDVeQTJeQWpwZ15BbWU4MDc1NDcxNTUz._V1_UX67_CR0,0,67,98_AL_.jpg</v>
      </c>
    </row>
    <row r="345">
      <c r="A345" s="1">
        <v>344.0</v>
      </c>
      <c r="B345" s="1" t="s">
        <v>2261</v>
      </c>
      <c r="C345" s="2">
        <v>1.83637894E8</v>
      </c>
      <c r="D345" s="1">
        <v>2015.0</v>
      </c>
      <c r="E345" s="1" t="s">
        <v>18</v>
      </c>
      <c r="F345" s="1" t="s">
        <v>955</v>
      </c>
      <c r="G345" s="1" t="s">
        <v>62</v>
      </c>
      <c r="H345" s="1">
        <v>8.0</v>
      </c>
      <c r="I345" s="1" t="s">
        <v>2262</v>
      </c>
      <c r="J345" s="1">
        <v>76.0</v>
      </c>
      <c r="K345" s="1" t="s">
        <v>1677</v>
      </c>
      <c r="L345" s="1" t="s">
        <v>90</v>
      </c>
      <c r="M345" s="1" t="s">
        <v>504</v>
      </c>
      <c r="N345" s="1" t="s">
        <v>2263</v>
      </c>
      <c r="O345" s="1" t="s">
        <v>2264</v>
      </c>
      <c r="P345" s="1">
        <v>705589.0</v>
      </c>
      <c r="Q345" s="3" t="str">
        <f>VLOOKUP(A345,Posters!A345:B1344,2)</f>
        <v>https://m.media-amazon.com/images/M/MV5BMDE5OWMzM2QtOTU2ZS00NzAyLWI2MDEtOTRlYjIxZGM0OWRjXkEyXkFqcGdeQXVyODE5NzE3OTE@._V1_UX67_CR0,0,67,98_AL_.jpg</v>
      </c>
    </row>
    <row r="346">
      <c r="A346" s="1">
        <v>345.0</v>
      </c>
      <c r="B346" s="1" t="s">
        <v>2265</v>
      </c>
      <c r="C346" s="2">
        <v>1.773857E7</v>
      </c>
      <c r="D346" s="1">
        <v>2012.0</v>
      </c>
      <c r="E346" s="1" t="s">
        <v>37</v>
      </c>
      <c r="F346" s="1" t="s">
        <v>885</v>
      </c>
      <c r="G346" s="1" t="s">
        <v>107</v>
      </c>
      <c r="H346" s="1">
        <v>8.0</v>
      </c>
      <c r="I346" s="1" t="s">
        <v>2266</v>
      </c>
      <c r="J346" s="1">
        <v>67.0</v>
      </c>
      <c r="K346" s="1" t="s">
        <v>2207</v>
      </c>
      <c r="L346" s="1" t="s">
        <v>2267</v>
      </c>
      <c r="M346" s="1" t="s">
        <v>1569</v>
      </c>
      <c r="N346" s="1" t="s">
        <v>2268</v>
      </c>
      <c r="O346" s="1" t="s">
        <v>2269</v>
      </c>
      <c r="P346" s="1">
        <v>462252.0</v>
      </c>
      <c r="Q346" s="3" t="str">
        <f>VLOOKUP(A346,Posters!A346:B1345,2)</f>
        <v>https://m.media-amazon.com/images/M/MV5BZThjMmQ5YjktMTUyMC00MjljLWJmMTAtOWIzNDIzY2VhNzQ0XkEyXkFqcGdeQXVyMTAyNjg4NjE0._V1_UX67_CR0,0,67,98_AL_.jpg</v>
      </c>
    </row>
    <row r="347">
      <c r="A347" s="1">
        <v>346.0</v>
      </c>
      <c r="B347" s="1" t="s">
        <v>2270</v>
      </c>
      <c r="C347" s="2">
        <v>100119.0</v>
      </c>
      <c r="D347" s="1">
        <v>2010.0</v>
      </c>
      <c r="E347" s="1">
        <v>16.0</v>
      </c>
      <c r="F347" s="1" t="s">
        <v>563</v>
      </c>
      <c r="G347" s="1" t="s">
        <v>39</v>
      </c>
      <c r="H347" s="1">
        <v>8.0</v>
      </c>
      <c r="I347" s="1" t="s">
        <v>2271</v>
      </c>
      <c r="J347" s="1">
        <v>71.0</v>
      </c>
      <c r="K347" s="1" t="s">
        <v>2272</v>
      </c>
      <c r="L347" s="1" t="s">
        <v>2273</v>
      </c>
      <c r="M347" s="1" t="s">
        <v>2274</v>
      </c>
      <c r="N347" s="1" t="s">
        <v>2275</v>
      </c>
      <c r="O347" s="1" t="s">
        <v>2276</v>
      </c>
      <c r="P347" s="1">
        <v>79200.0</v>
      </c>
      <c r="Q347" s="3" t="str">
        <f>VLOOKUP(A347,Posters!A347:B1346,2)</f>
        <v>https://m.media-amazon.com/images/M/MV5BMjEzMzMxOTUyNV5BMl5BanBnXkFtZTcwNjI3MDc5Ng@@._V1_UX67_CR0,0,67,98_AL_.jpg</v>
      </c>
    </row>
    <row r="348">
      <c r="A348" s="1">
        <v>347.0</v>
      </c>
      <c r="B348" s="1" t="s">
        <v>2277</v>
      </c>
      <c r="C348" s="2">
        <v>1.38797449E8</v>
      </c>
      <c r="D348" s="1">
        <v>2010.0</v>
      </c>
      <c r="E348" s="1" t="s">
        <v>52</v>
      </c>
      <c r="F348" s="1" t="s">
        <v>240</v>
      </c>
      <c r="G348" s="1" t="s">
        <v>79</v>
      </c>
      <c r="H348" s="1">
        <v>8.0</v>
      </c>
      <c r="I348" s="1" t="s">
        <v>2278</v>
      </c>
      <c r="J348" s="1">
        <v>88.0</v>
      </c>
      <c r="K348" s="1" t="s">
        <v>2279</v>
      </c>
      <c r="L348" s="1" t="s">
        <v>645</v>
      </c>
      <c r="M348" s="1" t="s">
        <v>2280</v>
      </c>
      <c r="N348" s="1" t="s">
        <v>2281</v>
      </c>
      <c r="O348" s="1" t="s">
        <v>2282</v>
      </c>
      <c r="P348" s="1">
        <v>639603.0</v>
      </c>
      <c r="Q348" s="3" t="str">
        <f>VLOOKUP(A348,Posters!A348:B1347,2)</f>
        <v>https://m.media-amazon.com/images/M/MV5BMzU5MjEwMTg2Nl5BMl5BanBnXkFtZTcwNzM3MTYxNA@@._V1_UY98_CR0,0,67,98_AL_.jpg</v>
      </c>
    </row>
    <row r="349">
      <c r="A349" s="1">
        <v>348.0</v>
      </c>
      <c r="B349" s="1" t="s">
        <v>2283</v>
      </c>
      <c r="C349" s="2">
        <v>1.69708112E8</v>
      </c>
      <c r="D349" s="1">
        <v>2011.0</v>
      </c>
      <c r="E349" s="1" t="s">
        <v>37</v>
      </c>
      <c r="F349" s="1" t="s">
        <v>136</v>
      </c>
      <c r="G349" s="1" t="s">
        <v>20</v>
      </c>
      <c r="H349" s="1">
        <v>8.0</v>
      </c>
      <c r="I349" s="1" t="s">
        <v>2284</v>
      </c>
      <c r="J349" s="1">
        <v>62.0</v>
      </c>
      <c r="K349" s="1" t="s">
        <v>2285</v>
      </c>
      <c r="L349" s="1" t="s">
        <v>2176</v>
      </c>
      <c r="M349" s="1" t="s">
        <v>1543</v>
      </c>
      <c r="N349" s="1" t="s">
        <v>2286</v>
      </c>
      <c r="O349" s="1" t="s">
        <v>2287</v>
      </c>
      <c r="P349" s="1">
        <v>428521.0</v>
      </c>
      <c r="Q349" s="3" t="str">
        <f>VLOOKUP(A349,Posters!A349:B1348,2)</f>
        <v>https://m.media-amazon.com/images/M/MV5BMTM5OTMyMjIxOV5BMl5BanBnXkFtZTcwNzU4MjIwNQ@@._V1_UX67_CR0,0,67,98_AL_.jpg</v>
      </c>
    </row>
    <row r="350">
      <c r="A350" s="1">
        <v>349.0</v>
      </c>
      <c r="B350" s="1" t="s">
        <v>2288</v>
      </c>
      <c r="C350" s="2">
        <v>3.63070709E8</v>
      </c>
      <c r="D350" s="1">
        <v>2016.0</v>
      </c>
      <c r="E350" s="1" t="s">
        <v>212</v>
      </c>
      <c r="F350" s="1" t="s">
        <v>714</v>
      </c>
      <c r="G350" s="1" t="s">
        <v>1252</v>
      </c>
      <c r="H350" s="1">
        <v>8.0</v>
      </c>
      <c r="I350" s="1" t="s">
        <v>2289</v>
      </c>
      <c r="J350" s="1">
        <v>65.0</v>
      </c>
      <c r="K350" s="1" t="s">
        <v>2290</v>
      </c>
      <c r="L350" s="1" t="s">
        <v>2291</v>
      </c>
      <c r="M350" s="1" t="s">
        <v>2292</v>
      </c>
      <c r="N350" s="1" t="s">
        <v>2293</v>
      </c>
      <c r="O350" s="1" t="s">
        <v>2294</v>
      </c>
      <c r="P350" s="1">
        <v>902669.0</v>
      </c>
      <c r="Q350" s="3" t="str">
        <f>VLOOKUP(A350,Posters!A350:B1349,2)</f>
        <v>https://m.media-amazon.com/images/M/MV5BYzE5MjY1ZDgtMTkyNC00MTMyLThhMjAtZGI5OTE1NzFlZGJjXkEyXkFqcGdeQXVyNjU0OTQ0OTY@._V1_UX67_CR0,0,67,98_AL_.jpg</v>
      </c>
    </row>
    <row r="351">
      <c r="A351" s="1">
        <v>350.0</v>
      </c>
      <c r="B351" s="1" t="s">
        <v>2295</v>
      </c>
      <c r="C351" s="2">
        <v>106662.0</v>
      </c>
      <c r="D351" s="1">
        <v>2009.0</v>
      </c>
      <c r="E351" s="1" t="s">
        <v>2296</v>
      </c>
      <c r="F351" s="1" t="s">
        <v>329</v>
      </c>
      <c r="G351" s="1" t="s">
        <v>914</v>
      </c>
      <c r="H351" s="1">
        <v>8.0</v>
      </c>
      <c r="I351" s="1" t="s">
        <v>2297</v>
      </c>
      <c r="J351" s="1">
        <v>87.0</v>
      </c>
      <c r="K351" s="1" t="s">
        <v>680</v>
      </c>
      <c r="L351" s="1" t="s">
        <v>2298</v>
      </c>
      <c r="M351" s="1" t="s">
        <v>684</v>
      </c>
      <c r="N351" s="1" t="s">
        <v>2299</v>
      </c>
      <c r="O351" s="1" t="s">
        <v>2300</v>
      </c>
      <c r="P351" s="1">
        <v>45803.0</v>
      </c>
      <c r="Q351" s="3" t="str">
        <f>VLOOKUP(A351,Posters!A351:B1350,2)</f>
        <v>https://m.media-amazon.com/images/M/MV5BMTQ0MzQxODQ0MV5BMl5BanBnXkFtZTgwNTQ0NzY4NDE@._V1_UX67_CR0,0,67,98_AL_.jpg</v>
      </c>
    </row>
    <row r="352">
      <c r="A352" s="1">
        <v>351.0</v>
      </c>
      <c r="B352" s="1" t="s">
        <v>2301</v>
      </c>
      <c r="C352" s="1" t="s">
        <v>2302</v>
      </c>
      <c r="D352" s="1">
        <v>2009.0</v>
      </c>
      <c r="E352" s="1" t="s">
        <v>18</v>
      </c>
      <c r="F352" s="1" t="s">
        <v>1618</v>
      </c>
      <c r="G352" s="1" t="s">
        <v>107</v>
      </c>
      <c r="H352" s="1">
        <v>8.0</v>
      </c>
      <c r="I352" s="1" t="s">
        <v>2303</v>
      </c>
      <c r="K352" s="1" t="s">
        <v>1031</v>
      </c>
      <c r="L352" s="1" t="s">
        <v>1538</v>
      </c>
      <c r="M352" s="1" t="s">
        <v>1047</v>
      </c>
      <c r="N352" s="1" t="s">
        <v>2304</v>
      </c>
      <c r="O352" s="1" t="s">
        <v>2305</v>
      </c>
      <c r="P352" s="1">
        <v>28749.0</v>
      </c>
      <c r="Q352" s="3" t="str">
        <f>VLOOKUP(A352,Posters!A352:B1351,2)</f>
        <v>https://m.media-amazon.com/images/M/MV5BYjU1NjczNzYtYmFjOC00NzkxLTg4YTUtNGYzMTk3NTU0ZDE3XkEyXkFqcGdeQXVyNDUzOTQ5MjY@._V1_UY98_CR0,0,67,98_AL_.jpg</v>
      </c>
    </row>
    <row r="353">
      <c r="A353" s="1">
        <v>352.0</v>
      </c>
      <c r="B353" s="1" t="s">
        <v>2306</v>
      </c>
      <c r="C353" s="2">
        <v>2.2108789E7</v>
      </c>
      <c r="D353" s="1">
        <v>2008.0</v>
      </c>
      <c r="E353" s="1" t="s">
        <v>212</v>
      </c>
      <c r="F353" s="1" t="s">
        <v>286</v>
      </c>
      <c r="G353" s="1" t="s">
        <v>458</v>
      </c>
      <c r="H353" s="1">
        <v>8.0</v>
      </c>
      <c r="I353" s="1" t="s">
        <v>2307</v>
      </c>
      <c r="J353" s="1">
        <v>59.0</v>
      </c>
      <c r="K353" s="1" t="s">
        <v>2308</v>
      </c>
      <c r="L353" s="1" t="s">
        <v>2309</v>
      </c>
      <c r="M353" s="1" t="s">
        <v>2310</v>
      </c>
      <c r="N353" s="1" t="s">
        <v>2311</v>
      </c>
      <c r="O353" s="1" t="s">
        <v>2312</v>
      </c>
      <c r="P353" s="1">
        <v>211427.0</v>
      </c>
      <c r="Q353" s="3" t="str">
        <f>VLOOKUP(A353,Posters!A353:B1352,2)</f>
        <v>https://m.media-amazon.com/images/M/MV5BNTFmMjM3M2UtOTIyZC00Zjk3LTkzODUtYTdhNGRmNzFhYzcyXkEyXkFqcGdeQXVyMTMxODk2OTU@._V1_UX67_CR0,0,67,98_AL_.jpg</v>
      </c>
    </row>
    <row r="354">
      <c r="A354" s="1">
        <v>353.0</v>
      </c>
      <c r="B354" s="1" t="s">
        <v>2313</v>
      </c>
      <c r="C354" s="2">
        <v>4018695.0</v>
      </c>
      <c r="D354" s="1">
        <v>2010.0</v>
      </c>
      <c r="E354" s="1" t="s">
        <v>37</v>
      </c>
      <c r="F354" s="1" t="s">
        <v>390</v>
      </c>
      <c r="G354" s="1" t="s">
        <v>20</v>
      </c>
      <c r="H354" s="1">
        <v>8.0</v>
      </c>
      <c r="I354" s="1" t="s">
        <v>2314</v>
      </c>
      <c r="J354" s="1">
        <v>50.0</v>
      </c>
      <c r="K354" s="1" t="s">
        <v>2315</v>
      </c>
      <c r="L354" s="1" t="s">
        <v>1084</v>
      </c>
      <c r="M354" s="1" t="s">
        <v>1762</v>
      </c>
      <c r="N354" s="1" t="s">
        <v>2316</v>
      </c>
      <c r="O354" s="1" t="s">
        <v>2317</v>
      </c>
      <c r="P354" s="1">
        <v>98575.0</v>
      </c>
      <c r="Q354" s="3" t="str">
        <f>VLOOKUP(A354,Posters!A354:B1353,2)</f>
        <v>https://m.media-amazon.com/images/M/MV5BMTUyMTA4NDYzMV5BMl5BanBnXkFtZTcwMjk5MzcxMw@@._V1_UX67_CR0,0,67,98_AL_.jpg</v>
      </c>
    </row>
    <row r="355">
      <c r="A355" s="1">
        <v>354.0</v>
      </c>
      <c r="B355" s="1" t="s">
        <v>2318</v>
      </c>
      <c r="C355" s="2">
        <v>1.5291338E7</v>
      </c>
      <c r="D355" s="1">
        <v>2009.0</v>
      </c>
      <c r="E355" s="1">
        <v>16.0</v>
      </c>
      <c r="F355" s="1" t="s">
        <v>878</v>
      </c>
      <c r="G355" s="1" t="s">
        <v>1283</v>
      </c>
      <c r="H355" s="1">
        <v>8.0</v>
      </c>
      <c r="I355" s="1" t="s">
        <v>2319</v>
      </c>
      <c r="K355" s="1" t="s">
        <v>2320</v>
      </c>
      <c r="L355" s="1" t="s">
        <v>438</v>
      </c>
      <c r="M355" s="1" t="s">
        <v>2321</v>
      </c>
      <c r="N355" s="1" t="s">
        <v>2322</v>
      </c>
      <c r="O355" s="1" t="s">
        <v>2323</v>
      </c>
      <c r="P355" s="1">
        <v>31838.0</v>
      </c>
      <c r="Q355" s="3" t="str">
        <f>VLOOKUP(A355,Posters!A355:B1354,2)</f>
        <v>https://m.media-amazon.com/images/M/MV5BMjE2NjEyMDg0M15BMl5BanBnXkFtZTcwODYyODg5Mg@@._V1_UY98_CR0,0,67,98_AL_.jpg</v>
      </c>
    </row>
    <row r="356">
      <c r="A356" s="1">
        <v>355.0</v>
      </c>
      <c r="B356" s="1" t="s">
        <v>2324</v>
      </c>
      <c r="C356" s="2">
        <v>1.41319928E8</v>
      </c>
      <c r="D356" s="1">
        <v>2008.0</v>
      </c>
      <c r="E356" s="1" t="s">
        <v>37</v>
      </c>
      <c r="F356" s="1" t="s">
        <v>1546</v>
      </c>
      <c r="G356" s="1" t="s">
        <v>107</v>
      </c>
      <c r="H356" s="1">
        <v>8.0</v>
      </c>
      <c r="I356" s="1" t="s">
        <v>2325</v>
      </c>
      <c r="J356" s="1">
        <v>84.0</v>
      </c>
      <c r="K356" s="1" t="s">
        <v>1738</v>
      </c>
      <c r="L356" s="1" t="s">
        <v>2326</v>
      </c>
      <c r="M356" s="1" t="s">
        <v>2181</v>
      </c>
      <c r="N356" s="1" t="s">
        <v>2327</v>
      </c>
      <c r="O356" s="1" t="s">
        <v>1500</v>
      </c>
      <c r="P356" s="1">
        <v>798882.0</v>
      </c>
      <c r="Q356" s="3" t="str">
        <f>VLOOKUP(A356,Posters!A356:B1355,2)</f>
        <v>https://m.media-amazon.com/images/M/MV5BZmNjZWI3NzktYWI1Mi00OTAyLWJkNTYtMzUwYTFlZDA0Y2UwXkEyXkFqcGdeQXVyNjU0OTQ0OTY@._V1_UX67_CR0,0,67,98_AL_.jpg</v>
      </c>
    </row>
    <row r="357">
      <c r="A357" s="1">
        <v>356.0</v>
      </c>
      <c r="B357" s="1" t="s">
        <v>2328</v>
      </c>
      <c r="C357" s="2">
        <v>1.06954678E8</v>
      </c>
      <c r="D357" s="1">
        <v>2010.0</v>
      </c>
      <c r="E357" s="1" t="s">
        <v>18</v>
      </c>
      <c r="F357" s="1" t="s">
        <v>714</v>
      </c>
      <c r="G357" s="1" t="s">
        <v>1377</v>
      </c>
      <c r="H357" s="1">
        <v>8.0</v>
      </c>
      <c r="I357" s="1" t="s">
        <v>2329</v>
      </c>
      <c r="J357" s="1">
        <v>79.0</v>
      </c>
      <c r="K357" s="1" t="s">
        <v>739</v>
      </c>
      <c r="L357" s="1" t="s">
        <v>348</v>
      </c>
      <c r="M357" s="1" t="s">
        <v>2330</v>
      </c>
      <c r="N357" s="1" t="s">
        <v>1755</v>
      </c>
      <c r="O357" s="1" t="s">
        <v>2331</v>
      </c>
      <c r="P357" s="1">
        <v>699673.0</v>
      </c>
      <c r="Q357" s="3" t="str">
        <f>VLOOKUP(A357,Posters!A357:B1356,2)</f>
        <v>https://m.media-amazon.com/images/M/MV5BNzY2NzI4OTE5MF5BMl5BanBnXkFtZTcwMjMyNDY4Mw@@._V1_UX67_CR0,0,67,98_AL_.jpg</v>
      </c>
    </row>
    <row r="358">
      <c r="A358" s="1">
        <v>357.0</v>
      </c>
      <c r="B358" s="1" t="s">
        <v>2332</v>
      </c>
      <c r="C358" s="1" t="s">
        <v>2333</v>
      </c>
      <c r="D358" s="1">
        <v>2007.0</v>
      </c>
      <c r="E358" s="1" t="s">
        <v>212</v>
      </c>
      <c r="F358" s="1" t="s">
        <v>563</v>
      </c>
      <c r="G358" s="1" t="s">
        <v>39</v>
      </c>
      <c r="H358" s="1">
        <v>8.0</v>
      </c>
      <c r="I358" s="1" t="s">
        <v>2334</v>
      </c>
      <c r="J358" s="1">
        <v>33.0</v>
      </c>
      <c r="K358" s="1" t="s">
        <v>2272</v>
      </c>
      <c r="L358" s="1" t="s">
        <v>2273</v>
      </c>
      <c r="M358" s="1" t="s">
        <v>2275</v>
      </c>
      <c r="N358" s="1" t="s">
        <v>2335</v>
      </c>
      <c r="O358" s="1" t="s">
        <v>2276</v>
      </c>
      <c r="P358" s="1">
        <v>98097.0</v>
      </c>
      <c r="Q358" s="3" t="str">
        <f>VLOOKUP(A358,Posters!A358:B1357,2)</f>
        <v>https://m.media-amazon.com/images/M/MV5BYmI1ODU5ZjMtNWUyNC00YzllLThjNzktODE1M2E4OTVmY2E5XkEyXkFqcGdeQXVyMTExNzQzMDE0._V1_UY98_CR1,0,67,98_AL_.jpg</v>
      </c>
    </row>
    <row r="359">
      <c r="A359" s="1">
        <v>358.0</v>
      </c>
      <c r="B359" s="1" t="s">
        <v>2336</v>
      </c>
      <c r="C359" s="2">
        <v>6.23279547E8</v>
      </c>
      <c r="D359" s="1">
        <v>2012.0</v>
      </c>
      <c r="E359" s="1" t="s">
        <v>37</v>
      </c>
      <c r="F359" s="1" t="s">
        <v>596</v>
      </c>
      <c r="G359" s="1" t="s">
        <v>88</v>
      </c>
      <c r="H359" s="1">
        <v>8.0</v>
      </c>
      <c r="I359" s="1" t="s">
        <v>2337</v>
      </c>
      <c r="J359" s="1">
        <v>69.0</v>
      </c>
      <c r="K359" s="1" t="s">
        <v>2338</v>
      </c>
      <c r="L359" s="1" t="s">
        <v>479</v>
      </c>
      <c r="M359" s="1" t="s">
        <v>480</v>
      </c>
      <c r="N359" s="1" t="s">
        <v>307</v>
      </c>
      <c r="O359" s="1" t="s">
        <v>2339</v>
      </c>
      <c r="P359" s="1">
        <v>1260806.0</v>
      </c>
      <c r="Q359" s="3" t="str">
        <f>VLOOKUP(A359,Posters!A359:B1358,2)</f>
        <v>https://m.media-amazon.com/images/M/MV5BNDYxNjQyMjAtNTdiOS00NGYwLWFmNTAtNThmYjU5ZGI2YTI1XkEyXkFqcGdeQXVyMTMxODk2OTU@._V1_UX67_CR0,0,67,98_AL_.jpg</v>
      </c>
    </row>
    <row r="360">
      <c r="A360" s="1">
        <v>359.0</v>
      </c>
      <c r="B360" s="1" t="s">
        <v>2340</v>
      </c>
      <c r="C360" s="2">
        <v>4445756.0</v>
      </c>
      <c r="D360" s="1">
        <v>2007.0</v>
      </c>
      <c r="E360" s="1" t="s">
        <v>161</v>
      </c>
      <c r="F360" s="1" t="s">
        <v>53</v>
      </c>
      <c r="G360" s="1" t="s">
        <v>2341</v>
      </c>
      <c r="H360" s="1">
        <v>8.0</v>
      </c>
      <c r="I360" s="1" t="s">
        <v>2342</v>
      </c>
      <c r="J360" s="1">
        <v>90.0</v>
      </c>
      <c r="K360" s="1" t="s">
        <v>2343</v>
      </c>
      <c r="L360" s="1" t="s">
        <v>2344</v>
      </c>
      <c r="M360" s="1" t="s">
        <v>2345</v>
      </c>
      <c r="N360" s="1" t="s">
        <v>2346</v>
      </c>
      <c r="O360" s="1" t="s">
        <v>2347</v>
      </c>
      <c r="P360" s="1">
        <v>88656.0</v>
      </c>
      <c r="Q360" s="3" t="str">
        <f>VLOOKUP(A360,Posters!A360:B1359,2)</f>
        <v>https://m.media-amazon.com/images/M/MV5BMGRkZThmYzEtYjQxZC00OWEzLThjYjAtYzFkMjY0NGZkZWI4XkEyXkFqcGdeQXVyNTAyODkwOQ@@._V1_UX67_CR0,0,67,98_AL_.jpg</v>
      </c>
    </row>
    <row r="361">
      <c r="A361" s="1">
        <v>360.0</v>
      </c>
      <c r="B361" s="1" t="s">
        <v>2348</v>
      </c>
      <c r="C361" s="2">
        <v>2.7298285E7</v>
      </c>
      <c r="D361" s="1">
        <v>2013.0</v>
      </c>
      <c r="E361" s="1" t="s">
        <v>212</v>
      </c>
      <c r="F361" s="1" t="s">
        <v>466</v>
      </c>
      <c r="G361" s="1" t="s">
        <v>1148</v>
      </c>
      <c r="H361" s="1">
        <v>8.0</v>
      </c>
      <c r="I361" s="1" t="s">
        <v>2349</v>
      </c>
      <c r="J361" s="1">
        <v>80.0</v>
      </c>
      <c r="K361" s="1" t="s">
        <v>2350</v>
      </c>
      <c r="L361" s="1" t="s">
        <v>190</v>
      </c>
      <c r="M361" s="1" t="s">
        <v>2351</v>
      </c>
      <c r="N361" s="1" t="s">
        <v>741</v>
      </c>
      <c r="O361" s="1" t="s">
        <v>2352</v>
      </c>
      <c r="P361" s="1">
        <v>441614.0</v>
      </c>
      <c r="Q361" s="3" t="str">
        <f>VLOOKUP(A361,Posters!A361:B1360,2)</f>
        <v>https://m.media-amazon.com/images/M/MV5BMTYwMTA4MzgyNF5BMl5BanBnXkFtZTgwMjEyMjE0MDE@._V1_UX67_CR0,0,67,98_AL_.jpg</v>
      </c>
    </row>
    <row r="362">
      <c r="A362" s="1">
        <v>361.0</v>
      </c>
      <c r="B362" s="1" t="s">
        <v>2353</v>
      </c>
      <c r="C362" s="2">
        <v>1.63566459E8</v>
      </c>
      <c r="D362" s="1">
        <v>2006.0</v>
      </c>
      <c r="E362" s="1" t="s">
        <v>52</v>
      </c>
      <c r="F362" s="1" t="s">
        <v>466</v>
      </c>
      <c r="G362" s="1" t="s">
        <v>1148</v>
      </c>
      <c r="H362" s="1">
        <v>8.0</v>
      </c>
      <c r="I362" s="1" t="s">
        <v>2354</v>
      </c>
      <c r="J362" s="1">
        <v>64.0</v>
      </c>
      <c r="K362" s="1" t="s">
        <v>2355</v>
      </c>
      <c r="L362" s="1" t="s">
        <v>2356</v>
      </c>
      <c r="M362" s="1" t="s">
        <v>2357</v>
      </c>
      <c r="N362" s="1" t="s">
        <v>2358</v>
      </c>
      <c r="O362" s="1" t="s">
        <v>2359</v>
      </c>
      <c r="P362" s="1">
        <v>448930.0</v>
      </c>
      <c r="Q362" s="3" t="str">
        <f>VLOOKUP(A362,Posters!A362:B1361,2)</f>
        <v>https://m.media-amazon.com/images/M/MV5BMTQ5NjQ0NDI3NF5BMl5BanBnXkFtZTcwNDI0MjEzMw@@._V1_UX67_CR0,0,67,98_AL_.jpg</v>
      </c>
    </row>
    <row r="363">
      <c r="A363" s="1">
        <v>362.0</v>
      </c>
      <c r="B363" s="1" t="s">
        <v>2360</v>
      </c>
      <c r="C363" s="2">
        <v>5.7366262E7</v>
      </c>
      <c r="D363" s="1">
        <v>2006.0</v>
      </c>
      <c r="E363" s="1" t="s">
        <v>18</v>
      </c>
      <c r="F363" s="1" t="s">
        <v>596</v>
      </c>
      <c r="G363" s="1" t="s">
        <v>817</v>
      </c>
      <c r="H363" s="1">
        <v>8.0</v>
      </c>
      <c r="I363" s="1" t="s">
        <v>2361</v>
      </c>
      <c r="J363" s="1">
        <v>64.0</v>
      </c>
      <c r="K363" s="1" t="s">
        <v>2362</v>
      </c>
      <c r="L363" s="1" t="s">
        <v>90</v>
      </c>
      <c r="M363" s="1" t="s">
        <v>2363</v>
      </c>
      <c r="N363" s="1" t="s">
        <v>742</v>
      </c>
      <c r="O363" s="1" t="s">
        <v>2364</v>
      </c>
      <c r="P363" s="1">
        <v>499439.0</v>
      </c>
      <c r="Q363" s="3" t="str">
        <f>VLOOKUP(A363,Posters!A363:B1362,2)</f>
        <v>https://m.media-amazon.com/images/M/MV5BZDMxOGZhNWYtMzRlYy00Mzk5LWJjMjEtNmQ4NDU4M2QxM2UzXkEyXkFqcGdeQXVyNTA4NzY1MzY@._V1_UX67_CR0,0,67,98_AL_.jpg</v>
      </c>
    </row>
    <row r="364">
      <c r="A364" s="1">
        <v>363.0</v>
      </c>
      <c r="B364" s="1" t="s">
        <v>2365</v>
      </c>
      <c r="C364" s="2">
        <v>2.2747107E8</v>
      </c>
      <c r="D364" s="1">
        <v>2007.0</v>
      </c>
      <c r="E364" s="1" t="s">
        <v>37</v>
      </c>
      <c r="F364" s="1" t="s">
        <v>563</v>
      </c>
      <c r="G364" s="1" t="s">
        <v>2366</v>
      </c>
      <c r="H364" s="1">
        <v>8.0</v>
      </c>
      <c r="I364" s="1" t="s">
        <v>2367</v>
      </c>
      <c r="J364" s="1">
        <v>85.0</v>
      </c>
      <c r="K364" s="1" t="s">
        <v>2368</v>
      </c>
      <c r="L364" s="1" t="s">
        <v>215</v>
      </c>
      <c r="M364" s="1" t="s">
        <v>2369</v>
      </c>
      <c r="N364" s="1" t="s">
        <v>1584</v>
      </c>
      <c r="O364" s="1" t="s">
        <v>2370</v>
      </c>
      <c r="P364" s="1">
        <v>604694.0</v>
      </c>
      <c r="Q364" s="3" t="str">
        <f>VLOOKUP(A364,Posters!A364:B1363,2)</f>
        <v>https://m.media-amazon.com/images/M/MV5BNGNiNmU2YTMtZmU4OS00MjM0LTlmYWUtMjVlYjAzYjE2N2RjXkEyXkFqcGdeQXVyNDk3NzU2MTQ@._V1_UX67_CR0,0,67,98_AL_.jpg</v>
      </c>
    </row>
    <row r="365">
      <c r="A365" s="1">
        <v>364.0</v>
      </c>
      <c r="B365" s="1" t="s">
        <v>2371</v>
      </c>
      <c r="C365" s="2">
        <v>238507.0</v>
      </c>
      <c r="D365" s="1">
        <v>2004.0</v>
      </c>
      <c r="E365" s="1" t="s">
        <v>52</v>
      </c>
      <c r="F365" s="1" t="s">
        <v>351</v>
      </c>
      <c r="G365" s="1" t="s">
        <v>2372</v>
      </c>
      <c r="H365" s="1">
        <v>8.0</v>
      </c>
      <c r="I365" s="1" t="s">
        <v>2373</v>
      </c>
      <c r="J365" s="1">
        <v>72.0</v>
      </c>
      <c r="K365" s="1" t="s">
        <v>2374</v>
      </c>
      <c r="L365" s="1" t="s">
        <v>2375</v>
      </c>
      <c r="M365" s="1" t="s">
        <v>2376</v>
      </c>
      <c r="N365" s="1" t="s">
        <v>2377</v>
      </c>
      <c r="O365" s="1" t="s">
        <v>2378</v>
      </c>
      <c r="P365" s="1">
        <v>50610.0</v>
      </c>
      <c r="Q365" s="3" t="str">
        <f>VLOOKUP(A365,Posters!A365:B1364,2)</f>
        <v>https://m.media-amazon.com/images/M/MV5BMTM1ODIwNzM5OV5BMl5BanBnXkFtZTcwNjk5MDkyMQ@@._V1_UX67_CR0,0,67,98_AL_.jpg</v>
      </c>
    </row>
    <row r="366">
      <c r="A366" s="1">
        <v>365.0</v>
      </c>
      <c r="B366" s="1" t="s">
        <v>2379</v>
      </c>
      <c r="C366" s="2">
        <v>7.410382E7</v>
      </c>
      <c r="D366" s="1">
        <v>2005.0</v>
      </c>
      <c r="E366" s="1" t="s">
        <v>18</v>
      </c>
      <c r="F366" s="1" t="s">
        <v>144</v>
      </c>
      <c r="G366" s="1" t="s">
        <v>1320</v>
      </c>
      <c r="H366" s="1">
        <v>8.0</v>
      </c>
      <c r="I366" s="1" t="s">
        <v>2380</v>
      </c>
      <c r="J366" s="1">
        <v>74.0</v>
      </c>
      <c r="K366" s="1" t="s">
        <v>2381</v>
      </c>
      <c r="L366" s="1" t="s">
        <v>72</v>
      </c>
      <c r="M366" s="1" t="s">
        <v>2382</v>
      </c>
      <c r="N366" s="1" t="s">
        <v>2383</v>
      </c>
      <c r="O366" s="1" t="s">
        <v>2384</v>
      </c>
      <c r="P366" s="1">
        <v>738512.0</v>
      </c>
      <c r="Q366" s="3" t="str">
        <f>VLOOKUP(A366,Posters!A366:B1365,2)</f>
        <v>https://m.media-amazon.com/images/M/MV5BODZmYjMwNzEtNzVhNC00ZTRmLTk2M2UtNzE1MTQ2ZDAxNjc2XkEyXkFqcGdeQXVyMTQxNzMzNDI@._V1_UX67_CR0,0,67,98_AL_.jpg</v>
      </c>
    </row>
    <row r="367">
      <c r="A367" s="1">
        <v>366.0</v>
      </c>
      <c r="B367" s="1" t="s">
        <v>2385</v>
      </c>
      <c r="C367" s="2">
        <v>5990075.0</v>
      </c>
      <c r="D367" s="1">
        <v>2007.0</v>
      </c>
      <c r="E367" s="1" t="s">
        <v>161</v>
      </c>
      <c r="F367" s="1" t="s">
        <v>295</v>
      </c>
      <c r="G367" s="1" t="s">
        <v>1148</v>
      </c>
      <c r="H367" s="1">
        <v>8.0</v>
      </c>
      <c r="I367" s="1" t="s">
        <v>2386</v>
      </c>
      <c r="J367" s="1">
        <v>92.0</v>
      </c>
      <c r="K367" s="1" t="s">
        <v>2387</v>
      </c>
      <c r="L367" s="1" t="s">
        <v>2388</v>
      </c>
      <c r="M367" s="1" t="s">
        <v>1469</v>
      </c>
      <c r="N367" s="1" t="s">
        <v>2389</v>
      </c>
      <c r="O367" s="1" t="s">
        <v>2390</v>
      </c>
      <c r="P367" s="1">
        <v>103284.0</v>
      </c>
      <c r="Q367" s="3" t="str">
        <f>VLOOKUP(A367,Posters!A367:B1366,2)</f>
        <v>https://m.media-amazon.com/images/M/MV5BMTc3MjkzMDkxN15BMl5BanBnXkFtZTcwODAyMTU1MQ@@._V1_UX67_CR0,0,67,98_AL_.jpg</v>
      </c>
    </row>
    <row r="368">
      <c r="A368" s="1">
        <v>367.0</v>
      </c>
      <c r="B368" s="1" t="s">
        <v>2391</v>
      </c>
      <c r="C368" s="2">
        <v>2.0839049E7</v>
      </c>
      <c r="D368" s="1">
        <v>2004.0</v>
      </c>
      <c r="E368" s="1">
        <v>16.0</v>
      </c>
      <c r="F368" s="1" t="s">
        <v>234</v>
      </c>
      <c r="G368" s="1" t="s">
        <v>383</v>
      </c>
      <c r="H368" s="1">
        <v>8.0</v>
      </c>
      <c r="I368" s="1" t="s">
        <v>2392</v>
      </c>
      <c r="K368" s="1" t="s">
        <v>2393</v>
      </c>
      <c r="L368" s="1" t="s">
        <v>2394</v>
      </c>
      <c r="M368" s="1" t="s">
        <v>2395</v>
      </c>
      <c r="N368" s="1" t="s">
        <v>2396</v>
      </c>
      <c r="O368" s="1" t="s">
        <v>2397</v>
      </c>
      <c r="P368" s="1">
        <v>56960.0</v>
      </c>
      <c r="Q368" s="3" t="str">
        <f>VLOOKUP(A368,Posters!A368:B1367,2)</f>
        <v>https://m.media-amazon.com/images/M/MV5BMjE0MTY2MDI3NV5BMl5BanBnXkFtZTcwNTc1MzEzMQ@@._V1_UY98_CR2,0,67,98_AL_.jpg</v>
      </c>
    </row>
    <row r="369">
      <c r="A369" s="1">
        <v>368.0</v>
      </c>
      <c r="B369" s="1" t="s">
        <v>2398</v>
      </c>
      <c r="C369" s="2">
        <v>2.06445654E8</v>
      </c>
      <c r="D369" s="1">
        <v>2007.0</v>
      </c>
      <c r="E369" s="1" t="s">
        <v>52</v>
      </c>
      <c r="F369" s="1" t="s">
        <v>1663</v>
      </c>
      <c r="G369" s="1" t="s">
        <v>765</v>
      </c>
      <c r="H369" s="1">
        <v>8.0</v>
      </c>
      <c r="I369" s="1" t="s">
        <v>2399</v>
      </c>
      <c r="J369" s="1">
        <v>96.0</v>
      </c>
      <c r="K369" s="1" t="s">
        <v>2400</v>
      </c>
      <c r="L369" s="1" t="s">
        <v>2401</v>
      </c>
      <c r="M369" s="1" t="s">
        <v>2402</v>
      </c>
      <c r="N369" s="1" t="s">
        <v>2403</v>
      </c>
      <c r="O369" s="1" t="s">
        <v>2404</v>
      </c>
      <c r="P369" s="1">
        <v>641645.0</v>
      </c>
      <c r="Q369" s="3" t="str">
        <f>VLOOKUP(A369,Posters!A369:B1368,2)</f>
        <v>https://m.media-amazon.com/images/M/MV5BMTMzODU0NTkxMF5BMl5BanBnXkFtZTcwMjQ4MzMzMw@@._V1_UX67_CR0,0,67,98_AL_.jpg</v>
      </c>
    </row>
    <row r="370">
      <c r="A370" s="1">
        <v>369.0</v>
      </c>
      <c r="B370" s="1" t="s">
        <v>2405</v>
      </c>
      <c r="C370" s="2">
        <v>1.6744596E8</v>
      </c>
      <c r="D370" s="1">
        <v>2006.0</v>
      </c>
      <c r="E370" s="1" t="s">
        <v>161</v>
      </c>
      <c r="F370" s="1" t="s">
        <v>1618</v>
      </c>
      <c r="G370" s="1" t="s">
        <v>2406</v>
      </c>
      <c r="H370" s="1">
        <v>8.0</v>
      </c>
      <c r="I370" s="1" t="s">
        <v>2407</v>
      </c>
      <c r="J370" s="1">
        <v>80.0</v>
      </c>
      <c r="K370" s="1" t="s">
        <v>2408</v>
      </c>
      <c r="L370" s="1" t="s">
        <v>2409</v>
      </c>
      <c r="M370" s="1" t="s">
        <v>2410</v>
      </c>
      <c r="N370" s="1" t="s">
        <v>2411</v>
      </c>
      <c r="O370" s="1" t="s">
        <v>2412</v>
      </c>
      <c r="P370" s="1">
        <v>582239.0</v>
      </c>
      <c r="Q370" s="3" t="str">
        <f>VLOOKUP(A370,Posters!A370:B1369,2)</f>
        <v>https://m.media-amazon.com/images/M/MV5BMDI5ZWJhOWItYTlhOC00YWNhLTlkNzctNDU5YTI1M2E1MWZhXkEyXkFqcGdeQXVyNTIzOTk5ODM@._V1_UX67_CR0,0,67,98_AL_.jpg</v>
      </c>
    </row>
    <row r="371">
      <c r="A371" s="1">
        <v>370.0</v>
      </c>
      <c r="B371" s="1" t="s">
        <v>2413</v>
      </c>
      <c r="C371" s="2">
        <v>6.6208183E7</v>
      </c>
      <c r="D371" s="1">
        <v>2004.0</v>
      </c>
      <c r="E371" s="1" t="s">
        <v>18</v>
      </c>
      <c r="F371" s="1" t="s">
        <v>360</v>
      </c>
      <c r="G371" s="1" t="s">
        <v>2169</v>
      </c>
      <c r="H371" s="1">
        <v>8.0</v>
      </c>
      <c r="I371" s="1" t="s">
        <v>2414</v>
      </c>
      <c r="J371" s="1">
        <v>83.0</v>
      </c>
      <c r="K371" s="1" t="s">
        <v>72</v>
      </c>
      <c r="L371" s="1" t="s">
        <v>74</v>
      </c>
      <c r="M371" s="1" t="s">
        <v>1665</v>
      </c>
      <c r="N371" s="1" t="s">
        <v>782</v>
      </c>
      <c r="O371" s="1" t="s">
        <v>1666</v>
      </c>
      <c r="P371" s="1">
        <v>683900.0</v>
      </c>
      <c r="Q371" s="3" t="str">
        <f>VLOOKUP(A371,Posters!A371:B1370,2)</f>
        <v>https://m.media-amazon.com/images/M/MV5BNmFiYmJmN2QtNWQwMi00MzliLThiOWMtZjQxNGRhZTQ1MjgyXkEyXkFqcGdeQXVyNzQ1ODk3MTQ@._V1_UX67_CR0,0,67,98_AL_.jpg</v>
      </c>
    </row>
    <row r="372">
      <c r="A372" s="1">
        <v>371.0</v>
      </c>
      <c r="B372" s="1" t="s">
        <v>2415</v>
      </c>
      <c r="C372" s="2">
        <v>502028.0</v>
      </c>
      <c r="D372" s="1">
        <v>2003.0</v>
      </c>
      <c r="E372" s="1">
        <v>16.0</v>
      </c>
      <c r="F372" s="1" t="s">
        <v>343</v>
      </c>
      <c r="G372" s="1" t="s">
        <v>20</v>
      </c>
      <c r="H372" s="1">
        <v>8.0</v>
      </c>
      <c r="I372" s="1" t="s">
        <v>2416</v>
      </c>
      <c r="J372" s="1">
        <v>82.0</v>
      </c>
      <c r="K372" s="1" t="s">
        <v>2417</v>
      </c>
      <c r="L372" s="1" t="s">
        <v>2418</v>
      </c>
      <c r="M372" s="1" t="s">
        <v>2419</v>
      </c>
      <c r="N372" s="1" t="s">
        <v>2420</v>
      </c>
      <c r="O372" s="1" t="s">
        <v>2421</v>
      </c>
      <c r="P372" s="1">
        <v>42399.0</v>
      </c>
      <c r="Q372" s="3" t="str">
        <f>VLOOKUP(A372,Posters!A372:B1371,2)</f>
        <v>https://m.media-amazon.com/images/M/MV5BYmViZTY1OWEtMTQxMy00OGQ5LTgzZjAtYTQzOTYxNjliYTI4XkEyXkFqcGdeQXVyNjkxOTM4ODY@._V1_UY98_CR1,0,67,98_AL_.jpg</v>
      </c>
    </row>
    <row r="373">
      <c r="A373" s="1">
        <v>372.0</v>
      </c>
      <c r="B373" s="1" t="s">
        <v>2422</v>
      </c>
      <c r="C373" s="2">
        <v>2380788.0</v>
      </c>
      <c r="D373" s="1">
        <v>2003.0</v>
      </c>
      <c r="E373" s="1" t="s">
        <v>212</v>
      </c>
      <c r="F373" s="1" t="s">
        <v>885</v>
      </c>
      <c r="G373" s="1" t="s">
        <v>107</v>
      </c>
      <c r="H373" s="1">
        <v>8.0</v>
      </c>
      <c r="I373" s="1" t="s">
        <v>2423</v>
      </c>
      <c r="J373" s="1">
        <v>85.0</v>
      </c>
      <c r="K373" s="1" t="s">
        <v>2374</v>
      </c>
      <c r="L373" s="1" t="s">
        <v>2374</v>
      </c>
      <c r="M373" s="1" t="s">
        <v>2424</v>
      </c>
      <c r="N373" s="1" t="s">
        <v>2425</v>
      </c>
      <c r="O373" s="1" t="s">
        <v>2426</v>
      </c>
      <c r="P373" s="1">
        <v>77520.0</v>
      </c>
      <c r="Q373" s="3" t="str">
        <f>VLOOKUP(A373,Posters!A373:B1372,2)</f>
        <v>https://m.media-amazon.com/images/M/MV5BZGYxOTRlM2MtNWRjZS00NDk2LWExM2EtMDFiYTgyMGJkZGYyXkEyXkFqcGdeQXVyMTA1NTM1NDI2._V1_UY98_CR1,0,67,98_AL_.jpg</v>
      </c>
    </row>
    <row r="374">
      <c r="A374" s="1">
        <v>373.0</v>
      </c>
      <c r="B374" s="1" t="s">
        <v>2427</v>
      </c>
      <c r="C374" s="2">
        <v>2086345.0</v>
      </c>
      <c r="D374" s="1">
        <v>2014.0</v>
      </c>
      <c r="E374" s="1" t="s">
        <v>52</v>
      </c>
      <c r="F374" s="1" t="s">
        <v>428</v>
      </c>
      <c r="G374" s="1" t="s">
        <v>1148</v>
      </c>
      <c r="H374" s="1">
        <v>8.0</v>
      </c>
      <c r="I374" s="1" t="s">
        <v>2428</v>
      </c>
      <c r="J374" s="1">
        <v>74.0</v>
      </c>
      <c r="K374" s="1" t="s">
        <v>2429</v>
      </c>
      <c r="L374" s="1" t="s">
        <v>1615</v>
      </c>
      <c r="M374" s="1" t="s">
        <v>2430</v>
      </c>
      <c r="N374" s="1" t="s">
        <v>2431</v>
      </c>
      <c r="O374" s="1" t="s">
        <v>2432</v>
      </c>
      <c r="P374" s="1">
        <v>77554.0</v>
      </c>
      <c r="Q374" s="3" t="str">
        <f>VLOOKUP(A374,Posters!A374:B1373,2)</f>
        <v>https://m.media-amazon.com/images/M/MV5BMjE0NDk2NjgwMV5BMl5BanBnXkFtZTYwMTgyMzA3._V1_UX67_CR0,0,67,98_AL_.jpg</v>
      </c>
    </row>
    <row r="375">
      <c r="A375" s="1">
        <v>374.0</v>
      </c>
      <c r="B375" s="1" t="s">
        <v>2433</v>
      </c>
      <c r="C375" s="2">
        <v>6.1649911E7</v>
      </c>
      <c r="D375" s="1">
        <v>2005.0</v>
      </c>
      <c r="E375" s="1" t="s">
        <v>37</v>
      </c>
      <c r="F375" s="1" t="s">
        <v>1618</v>
      </c>
      <c r="G375" s="1" t="s">
        <v>79</v>
      </c>
      <c r="H375" s="1">
        <v>8.0</v>
      </c>
      <c r="I375" s="1" t="s">
        <v>2434</v>
      </c>
      <c r="J375" s="1">
        <v>69.0</v>
      </c>
      <c r="K375" s="1" t="s">
        <v>1150</v>
      </c>
      <c r="L375" s="1" t="s">
        <v>325</v>
      </c>
      <c r="M375" s="1" t="s">
        <v>2435</v>
      </c>
      <c r="N375" s="1" t="s">
        <v>2436</v>
      </c>
      <c r="O375" s="1" t="s">
        <v>2437</v>
      </c>
      <c r="P375" s="1">
        <v>176151.0</v>
      </c>
      <c r="Q375" s="3" t="str">
        <f>VLOOKUP(A375,Posters!A375:B1374,2)</f>
        <v>https://m.media-amazon.com/images/M/MV5BODEyYmQxZjUtZGQ0NS00ZTAwLTkwOGQtNGY2NzEwMWE0MDc3XkEyXkFqcGdeQXVyMTQxNzMzNDI@._V1_UX67_CR0,0,67,98_AL_.jpg</v>
      </c>
    </row>
    <row r="376">
      <c r="A376" s="1">
        <v>375.0</v>
      </c>
      <c r="B376" s="1" t="s">
        <v>2438</v>
      </c>
      <c r="C376" s="2">
        <v>1787378.0</v>
      </c>
      <c r="D376" s="1">
        <v>2003.0</v>
      </c>
      <c r="E376" s="1" t="s">
        <v>52</v>
      </c>
      <c r="F376" s="1" t="s">
        <v>1019</v>
      </c>
      <c r="G376" s="1" t="s">
        <v>1454</v>
      </c>
      <c r="H376" s="1">
        <v>8.0</v>
      </c>
      <c r="I376" s="1" t="s">
        <v>2439</v>
      </c>
      <c r="J376" s="1">
        <v>54.0</v>
      </c>
      <c r="K376" s="1" t="s">
        <v>2440</v>
      </c>
      <c r="L376" s="1" t="s">
        <v>1661</v>
      </c>
      <c r="M376" s="1" t="s">
        <v>1084</v>
      </c>
      <c r="N376" s="1" t="s">
        <v>1659</v>
      </c>
      <c r="O376" s="1" t="s">
        <v>2441</v>
      </c>
      <c r="P376" s="1">
        <v>63460.0</v>
      </c>
      <c r="Q376" s="3" t="str">
        <f>VLOOKUP(A376,Posters!A376:B1375,2)</f>
        <v>https://m.media-amazon.com/images/M/MV5BYmVjNDIxODAtNWZiZi00ZDBlLWJmOTUtNDNjMGExNTViMzE1XkEyXkFqcGdeQXVyNTE0MDc0NTM@._V1_UX67_CR0,0,67,98_AL_.jpg</v>
      </c>
    </row>
    <row r="377">
      <c r="A377" s="1">
        <v>376.0</v>
      </c>
      <c r="B377" s="1" t="s">
        <v>2442</v>
      </c>
      <c r="C377" s="2">
        <v>169659.0</v>
      </c>
      <c r="D377" s="1">
        <v>2002.0</v>
      </c>
      <c r="E377" s="1" t="s">
        <v>37</v>
      </c>
      <c r="F377" s="1" t="s">
        <v>535</v>
      </c>
      <c r="G377" s="1" t="s">
        <v>39</v>
      </c>
      <c r="H377" s="1">
        <v>8.0</v>
      </c>
      <c r="I377" s="1" t="s">
        <v>2443</v>
      </c>
      <c r="J377" s="1">
        <v>75.0</v>
      </c>
      <c r="K377" s="1" t="s">
        <v>2444</v>
      </c>
      <c r="L377" s="1" t="s">
        <v>2445</v>
      </c>
      <c r="M377" s="1" t="s">
        <v>2446</v>
      </c>
      <c r="N377" s="1" t="s">
        <v>1732</v>
      </c>
      <c r="O377" s="1" t="s">
        <v>2447</v>
      </c>
      <c r="P377" s="1">
        <v>117857.0</v>
      </c>
      <c r="Q377" s="3" t="str">
        <f>VLOOKUP(A377,Posters!A377:B1376,2)</f>
        <v>https://m.media-amazon.com/images/M/MV5BM2U0NTcxOTktN2MwZS00N2Q2LWJlYWItMTg0NWIyMDIxNzU5L2ltYWdlXkEyXkFqcGdeQXVyNTAyODkwOQ@@._V1_UY98_CR1,0,67,98_AL_.jpg</v>
      </c>
    </row>
    <row r="378">
      <c r="A378" s="1">
        <v>377.0</v>
      </c>
      <c r="B378" s="1" t="s">
        <v>2448</v>
      </c>
      <c r="C378" s="2">
        <v>3.05413918E8</v>
      </c>
      <c r="D378" s="1">
        <v>2003.0</v>
      </c>
      <c r="E378" s="1" t="s">
        <v>37</v>
      </c>
      <c r="F378" s="1" t="s">
        <v>596</v>
      </c>
      <c r="G378" s="1" t="s">
        <v>145</v>
      </c>
      <c r="H378" s="1">
        <v>8.0</v>
      </c>
      <c r="I378" s="1" t="s">
        <v>2449</v>
      </c>
      <c r="J378" s="1">
        <v>63.0</v>
      </c>
      <c r="K378" s="1" t="s">
        <v>2450</v>
      </c>
      <c r="L378" s="1" t="s">
        <v>2451</v>
      </c>
      <c r="M378" s="1" t="s">
        <v>2280</v>
      </c>
      <c r="N378" s="1" t="s">
        <v>68</v>
      </c>
      <c r="O378" s="1" t="s">
        <v>2237</v>
      </c>
      <c r="P378" s="1">
        <v>1015122.0</v>
      </c>
      <c r="Q378" s="3" t="str">
        <f>VLOOKUP(A378,Posters!A378:B1377,2)</f>
        <v>https://m.media-amazon.com/images/M/MV5BNGYyZGM5MGMtYTY2Ni00M2Y1LWIzNjQtYWUzM2VlNGVhMDNhXkEyXkFqcGdeQXVyMTMxODk2OTU@._V1_UX67_CR0,0,67,98_AL_.jpg</v>
      </c>
    </row>
    <row r="379">
      <c r="A379" s="1">
        <v>378.0</v>
      </c>
      <c r="B379" s="1" t="s">
        <v>2452</v>
      </c>
      <c r="C379" s="2">
        <v>6.6257002E7</v>
      </c>
      <c r="D379" s="1">
        <v>2003.0</v>
      </c>
      <c r="E379" s="1" t="s">
        <v>52</v>
      </c>
      <c r="F379" s="1" t="s">
        <v>203</v>
      </c>
      <c r="G379" s="1" t="s">
        <v>1565</v>
      </c>
      <c r="H379" s="1">
        <v>8.0</v>
      </c>
      <c r="I379" s="1" t="s">
        <v>2453</v>
      </c>
      <c r="J379" s="1">
        <v>58.0</v>
      </c>
      <c r="K379" s="1" t="s">
        <v>2454</v>
      </c>
      <c r="L379" s="1" t="s">
        <v>1739</v>
      </c>
      <c r="M379" s="1" t="s">
        <v>2455</v>
      </c>
      <c r="N379" s="1" t="s">
        <v>555</v>
      </c>
      <c r="O379" s="1" t="s">
        <v>2456</v>
      </c>
      <c r="P379" s="1">
        <v>415218.0</v>
      </c>
      <c r="Q379" s="3" t="str">
        <f>VLOOKUP(A379,Posters!A379:B1378,2)</f>
        <v>https://m.media-amazon.com/images/M/MV5BMmU3NzIyODctYjVhOC00NzBmLTlhNWItMzBlODEwZTlmMjUzXkEyXkFqcGdeQXVyNTIzOTk5ODM@._V1_UX67_CR0,0,67,98_AL_.jpg</v>
      </c>
    </row>
    <row r="380">
      <c r="A380" s="1">
        <v>379.0</v>
      </c>
      <c r="B380" s="1" t="s">
        <v>2457</v>
      </c>
      <c r="C380" s="2">
        <v>2.61441092E8</v>
      </c>
      <c r="D380" s="1">
        <v>2004.0</v>
      </c>
      <c r="E380" s="1" t="s">
        <v>52</v>
      </c>
      <c r="F380" s="1" t="s">
        <v>563</v>
      </c>
      <c r="G380" s="1" t="s">
        <v>467</v>
      </c>
      <c r="H380" s="1">
        <v>8.0</v>
      </c>
      <c r="I380" s="1" t="s">
        <v>2458</v>
      </c>
      <c r="J380" s="1">
        <v>90.0</v>
      </c>
      <c r="K380" s="1" t="s">
        <v>2400</v>
      </c>
      <c r="L380" s="1" t="s">
        <v>2459</v>
      </c>
      <c r="M380" s="1" t="s">
        <v>75</v>
      </c>
      <c r="N380" s="1" t="s">
        <v>2460</v>
      </c>
      <c r="O380" s="1" t="s">
        <v>2461</v>
      </c>
      <c r="P380" s="1">
        <v>657047.0</v>
      </c>
      <c r="Q380" s="3" t="str">
        <f>VLOOKUP(A380,Posters!A380:B1379,2)</f>
        <v>https://m.media-amazon.com/images/M/MV5BMTY5OTU0OTc2NV5BMl5BanBnXkFtZTcwMzU4MDcyMQ@@._V1_UX67_CR0,0,67,98_AL_.jpg</v>
      </c>
    </row>
    <row r="381">
      <c r="A381" s="1">
        <v>380.0</v>
      </c>
      <c r="B381" s="1" t="s">
        <v>2462</v>
      </c>
      <c r="C381" s="2">
        <v>365429.0</v>
      </c>
      <c r="D381" s="1">
        <v>2001.0</v>
      </c>
      <c r="E381" s="1" t="s">
        <v>2066</v>
      </c>
      <c r="F381" s="1" t="s">
        <v>360</v>
      </c>
      <c r="G381" s="1" t="s">
        <v>227</v>
      </c>
      <c r="H381" s="1">
        <v>8.0</v>
      </c>
      <c r="I381" s="1" t="s">
        <v>2463</v>
      </c>
      <c r="K381" s="1" t="s">
        <v>2464</v>
      </c>
      <c r="L381" s="1" t="s">
        <v>2465</v>
      </c>
      <c r="M381" s="1" t="s">
        <v>2466</v>
      </c>
      <c r="N381" s="1" t="s">
        <v>2467</v>
      </c>
      <c r="O381" s="1" t="s">
        <v>2468</v>
      </c>
      <c r="P381" s="1">
        <v>45403.0</v>
      </c>
      <c r="Q381" s="3" t="str">
        <f>VLOOKUP(A381,Posters!A381:B1380,2)</f>
        <v>https://m.media-amazon.com/images/M/MV5BMjM2NTYxMTE3OV5BMl5BanBnXkFtZTgwNDgwNjgwMzE@._V1_UY98_CR3,0,67,98_AL_.jpg</v>
      </c>
    </row>
    <row r="382">
      <c r="A382" s="1">
        <v>381.0</v>
      </c>
      <c r="B382" s="1" t="s">
        <v>2469</v>
      </c>
      <c r="C382" s="2">
        <v>1530386.0</v>
      </c>
      <c r="D382" s="1">
        <v>2003.0</v>
      </c>
      <c r="E382" s="1" t="s">
        <v>212</v>
      </c>
      <c r="F382" s="1" t="s">
        <v>103</v>
      </c>
      <c r="G382" s="1" t="s">
        <v>29</v>
      </c>
      <c r="H382" s="1">
        <v>8.0</v>
      </c>
      <c r="I382" s="1" t="s">
        <v>2470</v>
      </c>
      <c r="J382" s="1">
        <v>60.0</v>
      </c>
      <c r="K382" s="1" t="s">
        <v>2471</v>
      </c>
      <c r="L382" s="1" t="s">
        <v>2182</v>
      </c>
      <c r="M382" s="1" t="s">
        <v>2472</v>
      </c>
      <c r="N382" s="1" t="s">
        <v>2473</v>
      </c>
      <c r="O382" s="1" t="s">
        <v>1924</v>
      </c>
      <c r="P382" s="1">
        <v>137963.0</v>
      </c>
      <c r="Q382" s="3" t="str">
        <f>VLOOKUP(A382,Posters!A382:B1381,2)</f>
        <v>https://m.media-amazon.com/images/M/MV5BMTkwNTg2MTI1NF5BMl5BanBnXkFtZTcwMDM1MzUyMQ@@._V1_UX67_CR0,0,67,98_AL_.jpg</v>
      </c>
    </row>
    <row r="383">
      <c r="A383" s="1">
        <v>382.0</v>
      </c>
      <c r="B383" s="1" t="s">
        <v>2474</v>
      </c>
      <c r="C383" s="2">
        <v>968318.0</v>
      </c>
      <c r="D383" s="1">
        <v>2001.0</v>
      </c>
      <c r="E383" s="1" t="s">
        <v>52</v>
      </c>
      <c r="F383" s="1" t="s">
        <v>343</v>
      </c>
      <c r="G383" s="1" t="s">
        <v>507</v>
      </c>
      <c r="H383" s="1">
        <v>8.0</v>
      </c>
      <c r="I383" s="1" t="s">
        <v>2475</v>
      </c>
      <c r="K383" s="1" t="s">
        <v>2476</v>
      </c>
      <c r="L383" s="1" t="s">
        <v>2393</v>
      </c>
      <c r="M383" s="1" t="s">
        <v>2476</v>
      </c>
      <c r="N383" s="1" t="s">
        <v>1451</v>
      </c>
      <c r="O383" s="1" t="s">
        <v>2477</v>
      </c>
      <c r="P383" s="1">
        <v>33592.0</v>
      </c>
      <c r="Q383" s="3" t="str">
        <f>VLOOKUP(A383,Posters!A383:B1382,2)</f>
        <v>https://m.media-amazon.com/images/M/MV5BMjA2MzM4NjkyMF5BMl5BanBnXkFtZTYwMTQ2ODc5._V1_UY98_CR2,0,67,98_AL_.jpg</v>
      </c>
    </row>
    <row r="384">
      <c r="A384" s="1">
        <v>383.0</v>
      </c>
      <c r="B384" s="1" t="s">
        <v>2478</v>
      </c>
      <c r="C384" s="2">
        <v>1480006.0</v>
      </c>
      <c r="D384" s="1">
        <v>2001.0</v>
      </c>
      <c r="E384" s="1" t="s">
        <v>212</v>
      </c>
      <c r="F384" s="1" t="s">
        <v>543</v>
      </c>
      <c r="G384" s="1" t="s">
        <v>304</v>
      </c>
      <c r="H384" s="1">
        <v>8.0</v>
      </c>
      <c r="I384" s="1" t="s">
        <v>2479</v>
      </c>
      <c r="J384" s="1">
        <v>88.0</v>
      </c>
      <c r="K384" s="1" t="s">
        <v>2480</v>
      </c>
      <c r="L384" s="1" t="s">
        <v>1542</v>
      </c>
      <c r="M384" s="1" t="s">
        <v>2481</v>
      </c>
      <c r="N384" s="1" t="s">
        <v>2482</v>
      </c>
      <c r="O384" s="1" t="s">
        <v>2483</v>
      </c>
      <c r="P384" s="1">
        <v>740086.0</v>
      </c>
      <c r="Q384" s="3" t="str">
        <f>VLOOKUP(A384,Posters!A384:B1383,2)</f>
        <v>https://m.media-amazon.com/images/M/MV5BZjZlZDlkYTktMmU1My00ZDBiLWFlNjEtYTBhNjVhOTM4ZjJjXkEyXkFqcGdeQXVyMTMxODk2OTU@._V1_UX67_CR0,0,67,98_AL_.jpg</v>
      </c>
    </row>
    <row r="385">
      <c r="A385" s="1">
        <v>384.0</v>
      </c>
      <c r="B385" s="1" t="s">
        <v>2484</v>
      </c>
      <c r="C385" s="2">
        <v>2.2455976E7</v>
      </c>
      <c r="D385" s="1">
        <v>1999.0</v>
      </c>
      <c r="E385" s="1" t="s">
        <v>212</v>
      </c>
      <c r="F385" s="1" t="s">
        <v>1864</v>
      </c>
      <c r="G385" s="1" t="s">
        <v>20</v>
      </c>
      <c r="H385" s="1">
        <v>8.0</v>
      </c>
      <c r="I385" s="1" t="s">
        <v>2485</v>
      </c>
      <c r="J385" s="1">
        <v>77.0</v>
      </c>
      <c r="K385" s="1" t="s">
        <v>1091</v>
      </c>
      <c r="L385" s="1" t="s">
        <v>2486</v>
      </c>
      <c r="M385" s="1" t="s">
        <v>394</v>
      </c>
      <c r="N385" s="1" t="s">
        <v>1728</v>
      </c>
      <c r="O385" s="1" t="s">
        <v>1593</v>
      </c>
      <c r="P385" s="1">
        <v>289742.0</v>
      </c>
      <c r="Q385" s="3" t="str">
        <f>VLOOKUP(A385,Posters!A385:B1384,2)</f>
        <v>https://m.media-amazon.com/images/M/MV5BZjk3YThkNDktNjZjMS00MTBiLTllNTAtYzkzMTU0N2QwYjJjXkEyXkFqcGdeQXVyMTMxODk2OTU@._V1_UX67_CR0,0,67,98_AL_.jpg</v>
      </c>
    </row>
    <row r="386">
      <c r="A386" s="1">
        <v>385.0</v>
      </c>
      <c r="B386" s="1" t="s">
        <v>2487</v>
      </c>
      <c r="C386" s="2">
        <v>4184036.0</v>
      </c>
      <c r="D386" s="1">
        <v>2000.0</v>
      </c>
      <c r="E386" s="1" t="s">
        <v>52</v>
      </c>
      <c r="F386" s="1" t="s">
        <v>1059</v>
      </c>
      <c r="G386" s="1" t="s">
        <v>2488</v>
      </c>
      <c r="H386" s="1">
        <v>8.0</v>
      </c>
      <c r="I386" s="1" t="s">
        <v>2489</v>
      </c>
      <c r="J386" s="1">
        <v>61.0</v>
      </c>
      <c r="K386" s="1" t="s">
        <v>2471</v>
      </c>
      <c r="L386" s="1" t="s">
        <v>2490</v>
      </c>
      <c r="M386" s="1" t="s">
        <v>2346</v>
      </c>
      <c r="N386" s="1" t="s">
        <v>223</v>
      </c>
      <c r="O386" s="1" t="s">
        <v>2491</v>
      </c>
      <c r="P386" s="1">
        <v>102285.0</v>
      </c>
      <c r="Q386" s="3" t="str">
        <f>VLOOKUP(A386,Posters!A386:B1385,2)</f>
        <v>https://m.media-amazon.com/images/M/MV5BNDVkYWMxNWEtNjc2MC00OGI5LWI3NmUtYWUwNDQyOTc3YmY5XkEyXkFqcGdeQXVyMTQxNzMzNDI@._V1_UX67_CR0,0,67,98_AL_.jpg</v>
      </c>
    </row>
    <row r="387">
      <c r="A387" s="1">
        <v>386.0</v>
      </c>
      <c r="B387" s="1" t="s">
        <v>2492</v>
      </c>
      <c r="C387" s="2">
        <v>6203044.0</v>
      </c>
      <c r="D387" s="1">
        <v>1999.0</v>
      </c>
      <c r="E387" s="1" t="s">
        <v>52</v>
      </c>
      <c r="F387" s="1" t="s">
        <v>295</v>
      </c>
      <c r="G387" s="1" t="s">
        <v>1148</v>
      </c>
      <c r="H387" s="1">
        <v>8.0</v>
      </c>
      <c r="I387" s="1" t="s">
        <v>2493</v>
      </c>
      <c r="J387" s="1">
        <v>86.0</v>
      </c>
      <c r="K387" s="1" t="s">
        <v>1878</v>
      </c>
      <c r="L387" s="1" t="s">
        <v>2494</v>
      </c>
      <c r="M387" s="1" t="s">
        <v>2495</v>
      </c>
      <c r="N387" s="1" t="s">
        <v>2496</v>
      </c>
      <c r="O387" s="1" t="s">
        <v>2497</v>
      </c>
      <c r="P387" s="1">
        <v>82002.0</v>
      </c>
      <c r="Q387" s="3" t="str">
        <f>VLOOKUP(A387,Posters!A387:B1386,2)</f>
        <v>https://m.media-amazon.com/images/M/MV5BNmE1MDk4OWEtYjk1NS00MWU2LTk5ZWItYjZhYmRkODRjMDc0XkEyXkFqcGdeQXVyNjE5MjUyOTM@._V1_UX67_CR0,0,67,98_AL_.jpg</v>
      </c>
    </row>
    <row r="388">
      <c r="A388" s="1">
        <v>387.0</v>
      </c>
      <c r="B388" s="1" t="s">
        <v>2498</v>
      </c>
      <c r="C388" s="2">
        <v>776665.0</v>
      </c>
      <c r="D388" s="1">
        <v>1997.0</v>
      </c>
      <c r="E388" s="1" t="s">
        <v>18</v>
      </c>
      <c r="F388" s="1" t="s">
        <v>764</v>
      </c>
      <c r="G388" s="1" t="s">
        <v>2499</v>
      </c>
      <c r="H388" s="1">
        <v>8.0</v>
      </c>
      <c r="I388" s="1" t="s">
        <v>2500</v>
      </c>
      <c r="K388" s="1" t="s">
        <v>2501</v>
      </c>
      <c r="L388" s="1" t="s">
        <v>2502</v>
      </c>
      <c r="M388" s="1" t="s">
        <v>2503</v>
      </c>
      <c r="N388" s="1" t="s">
        <v>2504</v>
      </c>
      <c r="O388" s="1" t="s">
        <v>2505</v>
      </c>
      <c r="P388" s="1">
        <v>58192.0</v>
      </c>
      <c r="Q388" s="3" t="str">
        <f>VLOOKUP(A388,Posters!A388:B1387,2)</f>
        <v>https://m.media-amazon.com/images/M/MV5BMmMzOWNhNTYtYmY0My00OGJiLWIzNDUtZWRhNGY0NWFjNzFmXkEyXkFqcGdeQXVyNjUxMDQ0MTg@._V1_UX67_CR0,0,67,98_AL_.jpg</v>
      </c>
    </row>
    <row r="389">
      <c r="A389" s="1">
        <v>388.0</v>
      </c>
      <c r="B389" s="1" t="s">
        <v>2506</v>
      </c>
      <c r="C389" s="2">
        <v>1647780.0</v>
      </c>
      <c r="D389" s="1">
        <v>1998.0</v>
      </c>
      <c r="E389" s="1" t="s">
        <v>212</v>
      </c>
      <c r="F389" s="1" t="s">
        <v>487</v>
      </c>
      <c r="G389" s="1" t="s">
        <v>20</v>
      </c>
      <c r="H389" s="1">
        <v>8.0</v>
      </c>
      <c r="I389" s="1" t="s">
        <v>2507</v>
      </c>
      <c r="J389" s="1">
        <v>82.0</v>
      </c>
      <c r="K389" s="1" t="s">
        <v>672</v>
      </c>
      <c r="L389" s="1" t="s">
        <v>2508</v>
      </c>
      <c r="M389" s="1" t="s">
        <v>2509</v>
      </c>
      <c r="N389" s="1" t="s">
        <v>674</v>
      </c>
      <c r="O389" s="1" t="s">
        <v>2510</v>
      </c>
      <c r="P389" s="1">
        <v>78341.0</v>
      </c>
      <c r="Q389" s="3" t="str">
        <f>VLOOKUP(A389,Posters!A389:B1388,2)</f>
        <v>https://m.media-amazon.com/images/M/MV5BYTg3Yjc4N2QtZDdlNC00NmU2LWFiYjktYjI3NTMwMjk4M2FmXkEyXkFqcGdeQXVyMjgyNjk3MzE@._V1_UY98_CR4,0,67,98_AL_.jpg</v>
      </c>
    </row>
    <row r="390">
      <c r="A390" s="1">
        <v>389.0</v>
      </c>
      <c r="B390" s="1" t="s">
        <v>2511</v>
      </c>
      <c r="C390" s="2">
        <v>5595428.0</v>
      </c>
      <c r="D390" s="1">
        <v>1998.0</v>
      </c>
      <c r="E390" s="1" t="s">
        <v>212</v>
      </c>
      <c r="F390" s="1" t="s">
        <v>343</v>
      </c>
      <c r="G390" s="1" t="s">
        <v>20</v>
      </c>
      <c r="H390" s="1">
        <v>8.0</v>
      </c>
      <c r="I390" s="1" t="s">
        <v>2512</v>
      </c>
      <c r="J390" s="1">
        <v>80.0</v>
      </c>
      <c r="K390" s="1" t="s">
        <v>2513</v>
      </c>
      <c r="L390" s="1" t="s">
        <v>2514</v>
      </c>
      <c r="M390" s="1" t="s">
        <v>2515</v>
      </c>
      <c r="N390" s="1" t="s">
        <v>2516</v>
      </c>
      <c r="O390" s="1" t="s">
        <v>2517</v>
      </c>
      <c r="P390" s="1">
        <v>36419.0</v>
      </c>
      <c r="Q390" s="3" t="str">
        <f>VLOOKUP(A390,Posters!A390:B1389,2)</f>
        <v>https://m.media-amazon.com/images/M/MV5BMjE3ZDA5ZmUtYTk1ZS00NmZmLWJhNTItYjIwZjUwN2RjNzIyXkEyXkFqcGdeQXVyMTkzODUwNzk@._V1_UX67_CR0,0,67,98_AL_.jpg</v>
      </c>
    </row>
    <row r="391">
      <c r="A391" s="1">
        <v>390.0</v>
      </c>
      <c r="B391" s="1" t="s">
        <v>2518</v>
      </c>
      <c r="C391" s="2">
        <v>2.3159305E7</v>
      </c>
      <c r="D391" s="1">
        <v>1999.0</v>
      </c>
      <c r="E391" s="1" t="s">
        <v>270</v>
      </c>
      <c r="F391" s="1" t="s">
        <v>1206</v>
      </c>
      <c r="G391" s="1" t="s">
        <v>467</v>
      </c>
      <c r="H391" s="1">
        <v>8.0</v>
      </c>
      <c r="I391" s="1" t="s">
        <v>2519</v>
      </c>
      <c r="J391" s="1">
        <v>85.0</v>
      </c>
      <c r="K391" s="1" t="s">
        <v>2400</v>
      </c>
      <c r="L391" s="1" t="s">
        <v>2520</v>
      </c>
      <c r="M391" s="1" t="s">
        <v>2521</v>
      </c>
      <c r="N391" s="1" t="s">
        <v>2522</v>
      </c>
      <c r="O391" s="1" t="s">
        <v>2244</v>
      </c>
      <c r="P391" s="1">
        <v>172083.0</v>
      </c>
      <c r="Q391" s="3" t="str">
        <f>VLOOKUP(A391,Posters!A391:B1390,2)</f>
        <v>https://m.media-amazon.com/images/M/MV5BMjIxNDU2Njk0OV5BMl5BanBnXkFtZTgwODc3Njc3NjE@._V1_UX67_CR0,0,67,98_AL_.jpg</v>
      </c>
    </row>
    <row r="392">
      <c r="A392" s="1">
        <v>391.0</v>
      </c>
      <c r="B392" s="1" t="s">
        <v>2523</v>
      </c>
      <c r="C392" s="2">
        <v>3296.0</v>
      </c>
      <c r="D392" s="1">
        <v>1997.0</v>
      </c>
      <c r="E392" s="1">
        <v>16.0</v>
      </c>
      <c r="F392" s="1" t="s">
        <v>415</v>
      </c>
      <c r="G392" s="1" t="s">
        <v>2524</v>
      </c>
      <c r="H392" s="1">
        <v>8.0</v>
      </c>
      <c r="I392" s="1" t="s">
        <v>2525</v>
      </c>
      <c r="K392" s="1" t="s">
        <v>2526</v>
      </c>
      <c r="L392" s="1" t="s">
        <v>2527</v>
      </c>
      <c r="M392" s="1" t="s">
        <v>2528</v>
      </c>
      <c r="N392" s="1" t="s">
        <v>2529</v>
      </c>
      <c r="O392" s="1" t="s">
        <v>2530</v>
      </c>
      <c r="P392" s="1">
        <v>27721.0</v>
      </c>
      <c r="Q392" s="3" t="str">
        <f>VLOOKUP(A392,Posters!A392:B1391,2)</f>
        <v>https://m.media-amazon.com/images/M/MV5BMTk2MjcxNjMzN15BMl5BanBnXkFtZTgwMTE3OTEwNjE@._V1_UY98_CR3,0,67,98_AL_.jpg</v>
      </c>
    </row>
    <row r="393">
      <c r="A393" s="1">
        <v>392.0</v>
      </c>
      <c r="B393" s="1" t="s">
        <v>2531</v>
      </c>
      <c r="C393" s="2">
        <v>2.4475416E7</v>
      </c>
      <c r="D393" s="1">
        <v>1996.0</v>
      </c>
      <c r="E393" s="1" t="s">
        <v>212</v>
      </c>
      <c r="F393" s="1" t="s">
        <v>1044</v>
      </c>
      <c r="G393" s="1" t="s">
        <v>20</v>
      </c>
      <c r="H393" s="1">
        <v>8.0</v>
      </c>
      <c r="I393" s="1" t="s">
        <v>2532</v>
      </c>
      <c r="J393" s="1">
        <v>84.0</v>
      </c>
      <c r="K393" s="1" t="s">
        <v>2533</v>
      </c>
      <c r="L393" s="1" t="s">
        <v>2533</v>
      </c>
      <c r="M393" s="1" t="s">
        <v>2534</v>
      </c>
      <c r="N393" s="1" t="s">
        <v>2535</v>
      </c>
      <c r="O393" s="1" t="s">
        <v>2536</v>
      </c>
      <c r="P393" s="1">
        <v>86838.0</v>
      </c>
      <c r="Q393" s="3" t="str">
        <f>VLOOKUP(A393,Posters!A393:B1392,2)</f>
        <v>https://m.media-amazon.com/images/M/MV5BNGY5NWIxMjAtODBjNC00MmZhLTk1ZTAtNGRhYThlOTNjMTQwXkEyXkFqcGdeQXVyNTc1NTQxODI@._V1_UX67_CR0,0,67,98_AL_.jpg</v>
      </c>
    </row>
    <row r="394">
      <c r="A394" s="1">
        <v>393.0</v>
      </c>
      <c r="B394" s="1" t="s">
        <v>2537</v>
      </c>
      <c r="C394" s="2">
        <v>1.3417292E7</v>
      </c>
      <c r="D394" s="1">
        <v>1996.0</v>
      </c>
      <c r="E394" s="1" t="s">
        <v>52</v>
      </c>
      <c r="F394" s="1" t="s">
        <v>127</v>
      </c>
      <c r="G394" s="1" t="s">
        <v>507</v>
      </c>
      <c r="H394" s="1">
        <v>8.0</v>
      </c>
      <c r="I394" s="1" t="s">
        <v>2538</v>
      </c>
      <c r="J394" s="1">
        <v>91.0</v>
      </c>
      <c r="K394" s="1" t="s">
        <v>2539</v>
      </c>
      <c r="L394" s="1" t="s">
        <v>2540</v>
      </c>
      <c r="M394" s="1" t="s">
        <v>2541</v>
      </c>
      <c r="N394" s="1" t="s">
        <v>2542</v>
      </c>
      <c r="O394" s="1" t="s">
        <v>2543</v>
      </c>
      <c r="P394" s="1">
        <v>37564.0</v>
      </c>
      <c r="Q394" s="3" t="str">
        <f>VLOOKUP(A394,Posters!A394:B1393,2)</f>
        <v>https://m.media-amazon.com/images/M/MV5BY2QzMTIxNjItNGQyNy00MjQzLWJiYTItMzIyZjdkYjYyYjRlXkEyXkFqcGdeQXVyMTAwMzUyOTc@._V1_UX67_CR0,0,67,98_AL_.jpg</v>
      </c>
    </row>
    <row r="395">
      <c r="A395" s="1">
        <v>394.0</v>
      </c>
      <c r="B395" s="1" t="s">
        <v>2544</v>
      </c>
      <c r="C395" s="2">
        <v>5.7141459E7</v>
      </c>
      <c r="D395" s="1">
        <v>1995.0</v>
      </c>
      <c r="E395" s="1" t="s">
        <v>18</v>
      </c>
      <c r="F395" s="1" t="s">
        <v>830</v>
      </c>
      <c r="G395" s="1" t="s">
        <v>2545</v>
      </c>
      <c r="H395" s="1">
        <v>8.0</v>
      </c>
      <c r="I395" s="1" t="s">
        <v>2546</v>
      </c>
      <c r="J395" s="1">
        <v>74.0</v>
      </c>
      <c r="K395" s="1" t="s">
        <v>1262</v>
      </c>
      <c r="L395" s="1" t="s">
        <v>76</v>
      </c>
      <c r="M395" s="1" t="s">
        <v>2547</v>
      </c>
      <c r="N395" s="1" t="s">
        <v>98</v>
      </c>
      <c r="O395" s="1" t="s">
        <v>2548</v>
      </c>
      <c r="P395" s="1">
        <v>578443.0</v>
      </c>
      <c r="Q395" s="3" t="str">
        <f>VLOOKUP(A395,Posters!A395:B1394,2)</f>
        <v>https://m.media-amazon.com/images/M/MV5BN2Y2OWU4MWMtNmIyMy00YzMyLWI0Y2ItMTcyZDc3MTdmZDU4XkEyXkFqcGdeQXVyMTQxNzMzNDI@._V1_UX67_CR0,0,67,98_AL_.jpg</v>
      </c>
    </row>
    <row r="396">
      <c r="A396" s="1">
        <v>395.0</v>
      </c>
      <c r="B396" s="1" t="s">
        <v>2549</v>
      </c>
      <c r="C396" s="2">
        <v>515905.0</v>
      </c>
      <c r="D396" s="1">
        <v>1995.0</v>
      </c>
      <c r="E396" s="1" t="s">
        <v>37</v>
      </c>
      <c r="F396" s="1" t="s">
        <v>2550</v>
      </c>
      <c r="G396" s="1" t="s">
        <v>2551</v>
      </c>
      <c r="H396" s="1">
        <v>8.0</v>
      </c>
      <c r="I396" s="1" t="s">
        <v>2552</v>
      </c>
      <c r="J396" s="1">
        <v>76.0</v>
      </c>
      <c r="K396" s="1" t="s">
        <v>2553</v>
      </c>
      <c r="L396" s="1" t="s">
        <v>2554</v>
      </c>
      <c r="M396" s="1" t="s">
        <v>2555</v>
      </c>
      <c r="N396" s="1" t="s">
        <v>2556</v>
      </c>
      <c r="O396" s="1" t="s">
        <v>2557</v>
      </c>
      <c r="P396" s="1">
        <v>129231.0</v>
      </c>
      <c r="Q396" s="3" t="str">
        <f>VLOOKUP(A396,Posters!A396:B1395,2)</f>
        <v>https://m.media-amazon.com/images/M/MV5BYWRiYjQyOGItNzQ1Mi00MGI1LWE3NjItNTg1ZDQwNjUwNDM2XkEyXkFqcGdeQXVyNTAyODkwOQ@@._V1_UX67_CR0,0,67,98_AL_.jpg</v>
      </c>
    </row>
    <row r="397">
      <c r="A397" s="1">
        <v>396.0</v>
      </c>
      <c r="B397" s="1" t="s">
        <v>2558</v>
      </c>
      <c r="C397" s="2">
        <v>7.5082668E7</v>
      </c>
      <c r="D397" s="1">
        <v>1993.0</v>
      </c>
      <c r="E397" s="1" t="s">
        <v>52</v>
      </c>
      <c r="F397" s="1" t="s">
        <v>2137</v>
      </c>
      <c r="G397" s="1" t="s">
        <v>1207</v>
      </c>
      <c r="H397" s="1">
        <v>8.0</v>
      </c>
      <c r="I397" s="1" t="s">
        <v>2559</v>
      </c>
      <c r="J397" s="1">
        <v>82.0</v>
      </c>
      <c r="K397" s="1" t="s">
        <v>2560</v>
      </c>
      <c r="L397" s="1" t="s">
        <v>2561</v>
      </c>
      <c r="M397" s="1" t="s">
        <v>2562</v>
      </c>
      <c r="N397" s="1" t="s">
        <v>2563</v>
      </c>
      <c r="O397" s="1" t="s">
        <v>2564</v>
      </c>
      <c r="P397" s="1">
        <v>300208.0</v>
      </c>
      <c r="Q397" s="3" t="str">
        <f>VLOOKUP(A397,Posters!A397:B1396,2)</f>
        <v>https://m.media-amazon.com/images/M/MV5BNWE4OTNiM2ItMjY4Ni00ZTViLWFiZmEtZGEyNGY2ZmNlMzIyXkEyXkFqcGdeQXVyMDU5NDcxNw@@._V1_UX67_CR0,0,67,98_AL_.jpg</v>
      </c>
    </row>
    <row r="398">
      <c r="A398" s="1">
        <v>397.0</v>
      </c>
      <c r="B398" s="1" t="s">
        <v>2565</v>
      </c>
      <c r="C398" s="2">
        <v>7.0906973E7</v>
      </c>
      <c r="D398" s="1">
        <v>1993.0</v>
      </c>
      <c r="E398" s="1" t="s">
        <v>52</v>
      </c>
      <c r="F398" s="1" t="s">
        <v>535</v>
      </c>
      <c r="G398" s="1" t="s">
        <v>2566</v>
      </c>
      <c r="H398" s="1">
        <v>8.0</v>
      </c>
      <c r="I398" s="1" t="s">
        <v>2567</v>
      </c>
      <c r="J398" s="1">
        <v>72.0</v>
      </c>
      <c r="K398" s="1" t="s">
        <v>2568</v>
      </c>
      <c r="L398" s="1" t="s">
        <v>2569</v>
      </c>
      <c r="M398" s="1" t="s">
        <v>2570</v>
      </c>
      <c r="N398" s="1" t="s">
        <v>2571</v>
      </c>
      <c r="O398" s="1" t="s">
        <v>2572</v>
      </c>
      <c r="P398" s="1">
        <v>577991.0</v>
      </c>
      <c r="Q398" s="3" t="str">
        <f>VLOOKUP(A398,Posters!A398:B1397,2)</f>
        <v>https://m.media-amazon.com/images/M/MV5BZWIxNzM5YzQtY2FmMS00Yjc3LWI1ZjUtNGVjMjMzZTIxZTIxXkEyXkFqcGdeQXVyNjU0OTQ0OTY@._V1_UX67_CR0,0,67,98_AL_.jpg</v>
      </c>
    </row>
    <row r="399">
      <c r="A399" s="1">
        <v>398.0</v>
      </c>
      <c r="B399" s="1" t="s">
        <v>2573</v>
      </c>
      <c r="C399" s="2">
        <v>4496583.0</v>
      </c>
      <c r="D399" s="1">
        <v>1993.0</v>
      </c>
      <c r="E399" s="1" t="s">
        <v>212</v>
      </c>
      <c r="F399" s="1" t="s">
        <v>1077</v>
      </c>
      <c r="G399" s="1" t="s">
        <v>29</v>
      </c>
      <c r="H399" s="1">
        <v>8.0</v>
      </c>
      <c r="I399" s="1" t="s">
        <v>2574</v>
      </c>
      <c r="J399" s="1">
        <v>47.0</v>
      </c>
      <c r="K399" s="1" t="s">
        <v>2575</v>
      </c>
      <c r="L399" s="1" t="s">
        <v>2576</v>
      </c>
      <c r="M399" s="1" t="s">
        <v>2577</v>
      </c>
      <c r="N399" s="1" t="s">
        <v>493</v>
      </c>
      <c r="O399" s="1" t="s">
        <v>2578</v>
      </c>
      <c r="P399" s="1">
        <v>28825.0</v>
      </c>
      <c r="Q399" s="3" t="str">
        <f>VLOOKUP(A399,Posters!A399:B1398,2)</f>
        <v>https://m.media-amazon.com/images/M/MV5BNzZmMjAxNjQtZjQzOS00NjU4LWI0NDktZjlkZTgwNjVmNzU3XkEyXkFqcGdeQXVyNTI4MjkwNjA@._V1_UX67_CR0,0,67,98_AL_.jpg</v>
      </c>
    </row>
    <row r="400">
      <c r="A400" s="1">
        <v>399.0</v>
      </c>
      <c r="B400" s="1" t="s">
        <v>2579</v>
      </c>
      <c r="C400" s="2">
        <v>6.3895607E7</v>
      </c>
      <c r="D400" s="1">
        <v>1992.0</v>
      </c>
      <c r="E400" s="1" t="s">
        <v>37</v>
      </c>
      <c r="F400" s="1" t="s">
        <v>955</v>
      </c>
      <c r="G400" s="1" t="s">
        <v>20</v>
      </c>
      <c r="H400" s="1">
        <v>8.0</v>
      </c>
      <c r="I400" s="1" t="s">
        <v>2580</v>
      </c>
      <c r="J400" s="1">
        <v>59.0</v>
      </c>
      <c r="K400" s="1" t="s">
        <v>2581</v>
      </c>
      <c r="L400" s="1" t="s">
        <v>33</v>
      </c>
      <c r="M400" s="1" t="s">
        <v>2582</v>
      </c>
      <c r="N400" s="1" t="s">
        <v>2583</v>
      </c>
      <c r="O400" s="1" t="s">
        <v>2584</v>
      </c>
      <c r="P400" s="1">
        <v>263918.0</v>
      </c>
      <c r="Q400" s="3" t="str">
        <f>VLOOKUP(A400,Posters!A400:B1399,2)</f>
        <v>https://m.media-amazon.com/images/M/MV5BZTM3ZjA3NTctZThkYy00ODYyLTk2ZjItZmE0MmZlMTk3YjQwXkEyXkFqcGdeQXVyNTA4NzY1MzY@._V1_UX67_CR0,0,67,98_AL_.jpg</v>
      </c>
    </row>
    <row r="401">
      <c r="A401" s="1">
        <v>400.0</v>
      </c>
      <c r="B401" s="1" t="s">
        <v>2585</v>
      </c>
      <c r="C401" s="2">
        <v>2.17350219E8</v>
      </c>
      <c r="D401" s="1">
        <v>1992.0</v>
      </c>
      <c r="E401" s="1" t="s">
        <v>52</v>
      </c>
      <c r="F401" s="1" t="s">
        <v>2586</v>
      </c>
      <c r="G401" s="1" t="s">
        <v>765</v>
      </c>
      <c r="H401" s="1">
        <v>8.0</v>
      </c>
      <c r="I401" s="1" t="s">
        <v>2587</v>
      </c>
      <c r="J401" s="1">
        <v>86.0</v>
      </c>
      <c r="K401" s="1" t="s">
        <v>2588</v>
      </c>
      <c r="L401" s="1" t="s">
        <v>2589</v>
      </c>
      <c r="M401" s="1" t="s">
        <v>2590</v>
      </c>
      <c r="N401" s="1" t="s">
        <v>752</v>
      </c>
      <c r="O401" s="1" t="s">
        <v>2591</v>
      </c>
      <c r="P401" s="1">
        <v>373845.0</v>
      </c>
      <c r="Q401" s="3" t="str">
        <f>VLOOKUP(A401,Posters!A401:B1400,2)</f>
        <v>https://m.media-amazon.com/images/M/MV5BY2Q2NDI1MjUtM2Q5ZS00MTFlLWJiYWEtNTZmNjQ3OGJkZDgxXkEyXkFqcGdeQXVyNTI4MjkwNjA@._V1_UX67_CR0,0,67,98_AL_.jpg</v>
      </c>
    </row>
    <row r="402">
      <c r="A402" s="1">
        <v>401.0</v>
      </c>
      <c r="B402" s="1" t="s">
        <v>2592</v>
      </c>
      <c r="C402" s="2">
        <v>7.0405498E7</v>
      </c>
      <c r="D402" s="1">
        <v>1991.0</v>
      </c>
      <c r="E402" s="1" t="s">
        <v>37</v>
      </c>
      <c r="F402" s="1" t="s">
        <v>219</v>
      </c>
      <c r="G402" s="1" t="s">
        <v>2593</v>
      </c>
      <c r="H402" s="1">
        <v>8.0</v>
      </c>
      <c r="I402" s="1" t="s">
        <v>2594</v>
      </c>
      <c r="J402" s="1">
        <v>72.0</v>
      </c>
      <c r="K402" s="1" t="s">
        <v>1822</v>
      </c>
      <c r="L402" s="1" t="s">
        <v>2595</v>
      </c>
      <c r="M402" s="1" t="s">
        <v>347</v>
      </c>
      <c r="N402" s="1" t="s">
        <v>866</v>
      </c>
      <c r="O402" s="1" t="s">
        <v>2596</v>
      </c>
      <c r="P402" s="1">
        <v>142110.0</v>
      </c>
      <c r="Q402" s="3" t="str">
        <f>VLOOKUP(A402,Posters!A402:B1401,2)</f>
        <v>https://m.media-amazon.com/images/M/MV5BYjYyODExMDctZjgwYy00ZjQwLWI4OWYtOGFlYjA4ZjEzNmY1XkEyXkFqcGdeQXVyNTAyODkwOQ@@._V1_UX67_CR0,0,67,98_AL_.jpg</v>
      </c>
    </row>
    <row r="403">
      <c r="A403" s="1">
        <v>402.0</v>
      </c>
      <c r="B403" s="1" t="s">
        <v>2597</v>
      </c>
      <c r="C403" s="2">
        <v>2.1896762E8</v>
      </c>
      <c r="D403" s="1">
        <v>1991.0</v>
      </c>
      <c r="E403" s="1" t="s">
        <v>414</v>
      </c>
      <c r="F403" s="1" t="s">
        <v>2598</v>
      </c>
      <c r="G403" s="1" t="s">
        <v>1207</v>
      </c>
      <c r="H403" s="1">
        <v>8.0</v>
      </c>
      <c r="I403" s="1" t="s">
        <v>2599</v>
      </c>
      <c r="J403" s="1">
        <v>95.0</v>
      </c>
      <c r="K403" s="1" t="s">
        <v>2600</v>
      </c>
      <c r="L403" s="1" t="s">
        <v>2601</v>
      </c>
      <c r="M403" s="1" t="s">
        <v>2602</v>
      </c>
      <c r="N403" s="1" t="s">
        <v>2603</v>
      </c>
      <c r="O403" s="1" t="s">
        <v>2604</v>
      </c>
      <c r="P403" s="1">
        <v>417178.0</v>
      </c>
      <c r="Q403" s="3" t="str">
        <f>VLOOKUP(A403,Posters!A403:B1402,2)</f>
        <v>https://m.media-amazon.com/images/M/MV5BMzE5MDM1NDktY2I0OC00YWI5LTk2NzUtYjczNDczOWQxYjM0XkEyXkFqcGdeQXVyMTQxNzMzNDI@._V1_UX67_CR0,0,67,98_AL_.jpg</v>
      </c>
    </row>
    <row r="404">
      <c r="A404" s="1">
        <v>403.0</v>
      </c>
      <c r="B404" s="1" t="s">
        <v>2605</v>
      </c>
      <c r="C404" s="2">
        <v>1.84208848E8</v>
      </c>
      <c r="D404" s="1">
        <v>1990.0</v>
      </c>
      <c r="E404" s="1" t="s">
        <v>52</v>
      </c>
      <c r="F404" s="1" t="s">
        <v>475</v>
      </c>
      <c r="G404" s="1" t="s">
        <v>1344</v>
      </c>
      <c r="H404" s="1">
        <v>8.0</v>
      </c>
      <c r="I404" s="1" t="s">
        <v>2606</v>
      </c>
      <c r="J404" s="1">
        <v>72.0</v>
      </c>
      <c r="K404" s="1" t="s">
        <v>2595</v>
      </c>
      <c r="L404" s="1" t="s">
        <v>2595</v>
      </c>
      <c r="M404" s="1" t="s">
        <v>2482</v>
      </c>
      <c r="N404" s="1" t="s">
        <v>2607</v>
      </c>
      <c r="O404" s="1" t="s">
        <v>2608</v>
      </c>
      <c r="P404" s="1">
        <v>240266.0</v>
      </c>
      <c r="Q404" s="3" t="str">
        <f>VLOOKUP(A404,Posters!A404:B1403,2)</f>
        <v>https://m.media-amazon.com/images/M/MV5BMTY3OTI5NDczN15BMl5BanBnXkFtZTcwNDA0NDY3Mw@@._V1_UX67_CR0,0,67,98_AL_.jpg</v>
      </c>
    </row>
    <row r="405">
      <c r="A405" s="1">
        <v>404.0</v>
      </c>
      <c r="B405" s="1" t="s">
        <v>2609</v>
      </c>
      <c r="C405" s="2">
        <v>2.7545445E7</v>
      </c>
      <c r="D405" s="1">
        <v>1989.0</v>
      </c>
      <c r="E405" s="1" t="s">
        <v>212</v>
      </c>
      <c r="F405" s="1" t="s">
        <v>1546</v>
      </c>
      <c r="G405" s="1" t="s">
        <v>507</v>
      </c>
      <c r="H405" s="1">
        <v>8.0</v>
      </c>
      <c r="I405" s="1" t="s">
        <v>2610</v>
      </c>
      <c r="J405" s="1">
        <v>93.0</v>
      </c>
      <c r="K405" s="1" t="s">
        <v>2611</v>
      </c>
      <c r="L405" s="1" t="s">
        <v>349</v>
      </c>
      <c r="M405" s="1" t="s">
        <v>2612</v>
      </c>
      <c r="N405" s="1" t="s">
        <v>2613</v>
      </c>
      <c r="O405" s="1" t="s">
        <v>2614</v>
      </c>
      <c r="P405" s="1">
        <v>89429.0</v>
      </c>
      <c r="Q405" s="3" t="str">
        <f>VLOOKUP(A405,Posters!A405:B1404,2)</f>
        <v>https://m.media-amazon.com/images/M/MV5BODA2MjU1NTI1MV5BMl5BanBnXkFtZTgwOTU4ODIwMjE@._V1_UX67_CR0,0,67,98_AL_.jpg</v>
      </c>
    </row>
    <row r="406">
      <c r="A406" s="1">
        <v>405.0</v>
      </c>
      <c r="B406" s="1" t="s">
        <v>2615</v>
      </c>
      <c r="C406" s="2">
        <v>1.788E8</v>
      </c>
      <c r="D406" s="1">
        <v>1988.0</v>
      </c>
      <c r="E406" s="1" t="s">
        <v>52</v>
      </c>
      <c r="F406" s="1" t="s">
        <v>153</v>
      </c>
      <c r="G406" s="1" t="s">
        <v>20</v>
      </c>
      <c r="H406" s="1">
        <v>8.0</v>
      </c>
      <c r="I406" s="1" t="s">
        <v>2616</v>
      </c>
      <c r="J406" s="1">
        <v>65.0</v>
      </c>
      <c r="K406" s="1" t="s">
        <v>2617</v>
      </c>
      <c r="L406" s="1" t="s">
        <v>2618</v>
      </c>
      <c r="M406" s="1" t="s">
        <v>2486</v>
      </c>
      <c r="N406" s="1" t="s">
        <v>1375</v>
      </c>
      <c r="O406" s="1" t="s">
        <v>2619</v>
      </c>
      <c r="P406" s="1">
        <v>473064.0</v>
      </c>
      <c r="Q406" s="3" t="str">
        <f>VLOOKUP(A406,Posters!A406:B1405,2)</f>
        <v>https://m.media-amazon.com/images/M/MV5BMzVjNzI4NzYtMjE4NS00M2IzLWFkOWMtOTYwMWUzN2ZlNGVjL2ltYWdlL2ltYWdlXkEyXkFqcGdeQXVyMTQxNzMzNDI@._V1_UX67_CR0,0,67,98_AL_.jpg</v>
      </c>
    </row>
    <row r="407">
      <c r="A407" s="1">
        <v>406.0</v>
      </c>
      <c r="B407" s="1" t="s">
        <v>2620</v>
      </c>
      <c r="C407" s="2">
        <v>553171.0</v>
      </c>
      <c r="D407" s="1">
        <v>1988.0</v>
      </c>
      <c r="E407" s="1" t="s">
        <v>37</v>
      </c>
      <c r="F407" s="1" t="s">
        <v>144</v>
      </c>
      <c r="G407" s="1" t="s">
        <v>2621</v>
      </c>
      <c r="H407" s="1">
        <v>8.0</v>
      </c>
      <c r="I407" s="1" t="s">
        <v>2622</v>
      </c>
      <c r="K407" s="1" t="s">
        <v>2623</v>
      </c>
      <c r="L407" s="1" t="s">
        <v>2624</v>
      </c>
      <c r="M407" s="1" t="s">
        <v>2625</v>
      </c>
      <c r="N407" s="1" t="s">
        <v>2626</v>
      </c>
      <c r="O407" s="1" t="s">
        <v>2627</v>
      </c>
      <c r="P407" s="1">
        <v>164918.0</v>
      </c>
      <c r="Q407" s="3" t="str">
        <f>VLOOKUP(A407,Posters!A407:B1406,2)</f>
        <v>https://m.media-amazon.com/images/M/MV5BM2ZiZTk1ODgtMTZkNS00NTYxLWIxZTUtNWExZGYwZTRjODViXkEyXkFqcGdeQXVyMTE2MzA3MDM@._V1_UX67_CR0,0,67,98_AL_.jpg</v>
      </c>
    </row>
    <row r="408">
      <c r="A408" s="1">
        <v>407.0</v>
      </c>
      <c r="B408" s="1" t="s">
        <v>2628</v>
      </c>
      <c r="C408" s="2">
        <v>3.0857814E7</v>
      </c>
      <c r="D408" s="1">
        <v>1987.0</v>
      </c>
      <c r="E408" s="1" t="s">
        <v>52</v>
      </c>
      <c r="F408" s="1" t="s">
        <v>519</v>
      </c>
      <c r="G408" s="1" t="s">
        <v>2629</v>
      </c>
      <c r="H408" s="1">
        <v>8.0</v>
      </c>
      <c r="I408" s="1" t="s">
        <v>2630</v>
      </c>
      <c r="J408" s="1">
        <v>77.0</v>
      </c>
      <c r="K408" s="1" t="s">
        <v>1815</v>
      </c>
      <c r="L408" s="1" t="s">
        <v>2631</v>
      </c>
      <c r="M408" s="1" t="s">
        <v>2632</v>
      </c>
      <c r="N408" s="1" t="s">
        <v>111</v>
      </c>
      <c r="O408" s="1" t="s">
        <v>2562</v>
      </c>
      <c r="P408" s="1">
        <v>393899.0</v>
      </c>
      <c r="Q408" s="3" t="str">
        <f>VLOOKUP(A408,Posters!A408:B1407,2)</f>
        <v>https://m.media-amazon.com/images/M/MV5BMGM4M2Q5N2MtNThkZS00NTc1LTk1NTItNWEyZjJjNDRmNDk5XkEyXkFqcGdeQXVyMjA0MDQ0Mjc@._V1_UX67_CR0,0,67,98_AL_.jpg</v>
      </c>
    </row>
    <row r="409">
      <c r="A409" s="1">
        <v>408.0</v>
      </c>
      <c r="B409" s="1" t="s">
        <v>2633</v>
      </c>
      <c r="C409" s="2">
        <v>3333969.0</v>
      </c>
      <c r="D409" s="1">
        <v>1987.0</v>
      </c>
      <c r="E409" s="1" t="s">
        <v>52</v>
      </c>
      <c r="F409" s="1" t="s">
        <v>878</v>
      </c>
      <c r="G409" s="1" t="s">
        <v>2634</v>
      </c>
      <c r="H409" s="1">
        <v>8.0</v>
      </c>
      <c r="I409" s="1" t="s">
        <v>2635</v>
      </c>
      <c r="J409" s="1">
        <v>79.0</v>
      </c>
      <c r="K409" s="1" t="s">
        <v>1829</v>
      </c>
      <c r="L409" s="1" t="s">
        <v>1137</v>
      </c>
      <c r="M409" s="1" t="s">
        <v>2636</v>
      </c>
      <c r="N409" s="1" t="s">
        <v>2637</v>
      </c>
      <c r="O409" s="1" t="s">
        <v>2638</v>
      </c>
      <c r="P409" s="1">
        <v>64722.0</v>
      </c>
      <c r="Q409" s="3" t="str">
        <f>VLOOKUP(A409,Posters!A409:B1408,2)</f>
        <v>https://m.media-amazon.com/images/M/MV5BMzMxZjUzOGQtOTFlOS00MzliLWJhNTUtOTgyNzYzMWQ2YzhmXkEyXkFqcGdeQXVyNjQ2MjQ5NzM@._V1_UY98_CR0,0,67,98_AL_.jpg</v>
      </c>
    </row>
    <row r="410">
      <c r="A410" s="1">
        <v>409.0</v>
      </c>
      <c r="B410" s="1" t="s">
        <v>2639</v>
      </c>
      <c r="C410" s="2">
        <v>4542825.0</v>
      </c>
      <c r="D410" s="1">
        <v>1987.0</v>
      </c>
      <c r="E410" s="1" t="s">
        <v>52</v>
      </c>
      <c r="F410" s="1" t="s">
        <v>647</v>
      </c>
      <c r="G410" s="1" t="s">
        <v>213</v>
      </c>
      <c r="H410" s="1">
        <v>8.0</v>
      </c>
      <c r="I410" s="1" t="s">
        <v>2640</v>
      </c>
      <c r="J410" s="1">
        <v>88.0</v>
      </c>
      <c r="K410" s="1" t="s">
        <v>2641</v>
      </c>
      <c r="L410" s="1" t="s">
        <v>2642</v>
      </c>
      <c r="M410" s="1" t="s">
        <v>2643</v>
      </c>
      <c r="N410" s="1" t="s">
        <v>2644</v>
      </c>
      <c r="O410" s="1" t="s">
        <v>2645</v>
      </c>
      <c r="P410" s="1">
        <v>31163.0</v>
      </c>
      <c r="Q410" s="3" t="str">
        <f>VLOOKUP(A410,Posters!A410:B1409,2)</f>
        <v>https://m.media-amazon.com/images/M/MV5BZmYxOTA5YTEtNDY3Ni00YTE5LWE1MTgtYjc4ZWUxNWY3ZTkxXkEyXkFqcGdeQXVyNjQ2MjQ5NzM@._V1_UX67_CR0,0,67,98_AL_.jpg</v>
      </c>
    </row>
    <row r="411">
      <c r="A411" s="1">
        <v>410.0</v>
      </c>
      <c r="B411" s="1" t="s">
        <v>2646</v>
      </c>
      <c r="C411" s="2">
        <v>523664.0</v>
      </c>
      <c r="D411" s="1">
        <v>1986.0</v>
      </c>
      <c r="E411" s="1" t="s">
        <v>52</v>
      </c>
      <c r="F411" s="1" t="s">
        <v>203</v>
      </c>
      <c r="G411" s="1" t="s">
        <v>352</v>
      </c>
      <c r="H411" s="1">
        <v>8.0</v>
      </c>
      <c r="I411" s="1" t="s">
        <v>2647</v>
      </c>
      <c r="J411" s="1">
        <v>78.0</v>
      </c>
      <c r="K411" s="1" t="s">
        <v>206</v>
      </c>
      <c r="L411" s="1" t="s">
        <v>2648</v>
      </c>
      <c r="M411" s="1" t="s">
        <v>2649</v>
      </c>
      <c r="N411" s="1" t="s">
        <v>2650</v>
      </c>
      <c r="O411" s="1" t="s">
        <v>2651</v>
      </c>
      <c r="P411" s="1">
        <v>150140.0</v>
      </c>
      <c r="Q411" s="3" t="str">
        <f>VLOOKUP(A411,Posters!A411:B1410,2)</f>
        <v>https://m.media-amazon.com/images/M/MV5BNTg0NmI1ZGQtZTUxNC00NTgxLThjMDUtZmRlYmEzM2MwOWYwXkEyXkFqcGdeQXVyMzM4MjM0Nzg@._V1_UY98_CR1,0,67,98_AL_.jpg</v>
      </c>
    </row>
    <row r="412">
      <c r="A412" s="1">
        <v>411.0</v>
      </c>
      <c r="B412" s="1" t="s">
        <v>2652</v>
      </c>
      <c r="C412" s="2">
        <v>3.84E7</v>
      </c>
      <c r="D412" s="1">
        <v>1984.0</v>
      </c>
      <c r="E412" s="1" t="s">
        <v>37</v>
      </c>
      <c r="F412" s="1" t="s">
        <v>907</v>
      </c>
      <c r="G412" s="1" t="s">
        <v>128</v>
      </c>
      <c r="H412" s="1">
        <v>8.0</v>
      </c>
      <c r="I412" s="1" t="s">
        <v>2653</v>
      </c>
      <c r="J412" s="1">
        <v>84.0</v>
      </c>
      <c r="K412" s="1" t="s">
        <v>362</v>
      </c>
      <c r="L412" s="1" t="s">
        <v>363</v>
      </c>
      <c r="M412" s="1" t="s">
        <v>364</v>
      </c>
      <c r="N412" s="1" t="s">
        <v>799</v>
      </c>
      <c r="O412" s="1" t="s">
        <v>2654</v>
      </c>
      <c r="P412" s="1">
        <v>799795.0</v>
      </c>
      <c r="Q412" s="3" t="str">
        <f>VLOOKUP(A412,Posters!A412:B1411,2)</f>
        <v>https://m.media-amazon.com/images/M/MV5BYTViNzMxZjEtZGEwNy00MDNiLWIzNGQtZDY2MjQ1OWViZjFmXkEyXkFqcGdeQXVyNzkwMjQ5NzM@._V1_UX67_CR0,0,67,98_AL_.jpg</v>
      </c>
    </row>
    <row r="413">
      <c r="A413" s="1">
        <v>412.0</v>
      </c>
      <c r="B413" s="1" t="s">
        <v>2655</v>
      </c>
      <c r="C413" s="2">
        <v>5.2767889E7</v>
      </c>
      <c r="D413" s="1">
        <v>1982.0</v>
      </c>
      <c r="E413" s="1" t="s">
        <v>52</v>
      </c>
      <c r="F413" s="1" t="s">
        <v>2656</v>
      </c>
      <c r="G413" s="1" t="s">
        <v>79</v>
      </c>
      <c r="H413" s="1">
        <v>8.0</v>
      </c>
      <c r="I413" s="1" t="s">
        <v>2657</v>
      </c>
      <c r="J413" s="1">
        <v>79.0</v>
      </c>
      <c r="K413" s="1" t="s">
        <v>1274</v>
      </c>
      <c r="L413" s="1" t="s">
        <v>84</v>
      </c>
      <c r="M413" s="1" t="s">
        <v>1880</v>
      </c>
      <c r="N413" s="1" t="s">
        <v>2658</v>
      </c>
      <c r="O413" s="1" t="s">
        <v>2659</v>
      </c>
      <c r="P413" s="1">
        <v>217664.0</v>
      </c>
      <c r="Q413" s="3" t="str">
        <f>VLOOKUP(A413,Posters!A413:B1412,2)</f>
        <v>https://m.media-amazon.com/images/M/MV5BMzJiZDRmOWUtYjE2MS00Mjc1LTg1ZDYtNTQxYWJkZTg1OTM4XkEyXkFqcGdeQXVyNjUwNzk3NDc@._V1_UX67_CR0,0,67,98_AL_.jpg</v>
      </c>
    </row>
    <row r="414">
      <c r="A414" s="1">
        <v>413.0</v>
      </c>
      <c r="B414" s="1" t="s">
        <v>2660</v>
      </c>
      <c r="C414" s="2">
        <v>4000000.0</v>
      </c>
      <c r="D414" s="1">
        <v>1980.0</v>
      </c>
      <c r="E414" s="1" t="s">
        <v>52</v>
      </c>
      <c r="F414" s="1" t="s">
        <v>1077</v>
      </c>
      <c r="G414" s="1" t="s">
        <v>2661</v>
      </c>
      <c r="H414" s="1">
        <v>8.0</v>
      </c>
      <c r="I414" s="1" t="s">
        <v>2662</v>
      </c>
      <c r="J414" s="1">
        <v>84.0</v>
      </c>
      <c r="K414" s="1" t="s">
        <v>264</v>
      </c>
      <c r="L414" s="1" t="s">
        <v>257</v>
      </c>
      <c r="M414" s="1" t="s">
        <v>1577</v>
      </c>
      <c r="N414" s="1" t="s">
        <v>2663</v>
      </c>
      <c r="O414" s="1" t="s">
        <v>1224</v>
      </c>
      <c r="P414" s="1">
        <v>32195.0</v>
      </c>
      <c r="Q414" s="3" t="str">
        <f>VLOOKUP(A414,Posters!A414:B1413,2)</f>
        <v>https://m.media-amazon.com/images/M/MV5BMzFhNWVmNWItNGM5OC00NjZhLTk3YTQtMjE1ODUyOThlMjNmL2ltYWdlXkEyXkFqcGdeQXVyNTAyODkwOQ@@._V1_UX67_CR0,0,67,98_AL_.jpg</v>
      </c>
    </row>
    <row r="415">
      <c r="A415" s="1">
        <v>414.0</v>
      </c>
      <c r="B415" s="1" t="s">
        <v>2664</v>
      </c>
      <c r="C415" s="2">
        <v>3.0177511E7</v>
      </c>
      <c r="D415" s="1">
        <v>1979.0</v>
      </c>
      <c r="E415" s="1" t="s">
        <v>270</v>
      </c>
      <c r="F415" s="1" t="s">
        <v>195</v>
      </c>
      <c r="G415" s="1" t="s">
        <v>507</v>
      </c>
      <c r="H415" s="1">
        <v>8.0</v>
      </c>
      <c r="I415" s="1" t="s">
        <v>2665</v>
      </c>
      <c r="J415" s="1">
        <v>83.0</v>
      </c>
      <c r="K415" s="1" t="s">
        <v>2666</v>
      </c>
      <c r="L415" s="1" t="s">
        <v>604</v>
      </c>
      <c r="M415" s="1" t="s">
        <v>867</v>
      </c>
      <c r="N415" s="1" t="s">
        <v>2667</v>
      </c>
      <c r="O415" s="1" t="s">
        <v>2668</v>
      </c>
      <c r="P415" s="1">
        <v>65625.0</v>
      </c>
      <c r="Q415" s="3" t="str">
        <f>VLOOKUP(A415,Posters!A415:B1414,2)</f>
        <v>https://m.media-amazon.com/images/M/MV5BNjAzNzJjYzQtMGFmNS00ZjAzLTkwMjgtMWIzYzFkMzM4Njg3XkEyXkFqcGdeQXVyMTY5Nzc4MDY@._V1_UX67_CR0,0,67,98_AL_.jpg</v>
      </c>
    </row>
    <row r="416">
      <c r="A416" s="1">
        <v>415.0</v>
      </c>
      <c r="B416" s="1" t="s">
        <v>2669</v>
      </c>
      <c r="C416" s="2">
        <v>3.92E7</v>
      </c>
      <c r="D416" s="1">
        <v>1977.0</v>
      </c>
      <c r="E416" s="1" t="s">
        <v>18</v>
      </c>
      <c r="F416" s="1" t="s">
        <v>1521</v>
      </c>
      <c r="G416" s="1" t="s">
        <v>723</v>
      </c>
      <c r="H416" s="1">
        <v>8.0</v>
      </c>
      <c r="I416" s="1" t="s">
        <v>2670</v>
      </c>
      <c r="J416" s="1">
        <v>92.0</v>
      </c>
      <c r="K416" s="1" t="s">
        <v>2671</v>
      </c>
      <c r="L416" s="1" t="s">
        <v>2671</v>
      </c>
      <c r="M416" s="1" t="s">
        <v>35</v>
      </c>
      <c r="N416" s="1" t="s">
        <v>2672</v>
      </c>
      <c r="O416" s="1" t="s">
        <v>2673</v>
      </c>
      <c r="P416" s="1">
        <v>251823.0</v>
      </c>
      <c r="Q416" s="3" t="str">
        <f>VLOOKUP(A416,Posters!A416:B1415,2)</f>
        <v>https://m.media-amazon.com/images/M/MV5BZDg1OGQ4YzgtM2Y2NS00NjA3LWFjYTctMDRlMDI3NWE1OTUyXkEyXkFqcGdeQXVyMjUzOTY1NTc@._V1_UX67_CR0,0,67,98_AL_.jpg</v>
      </c>
    </row>
    <row r="417">
      <c r="A417" s="1">
        <v>416.0</v>
      </c>
      <c r="B417" s="1" t="s">
        <v>2674</v>
      </c>
      <c r="C417" s="2">
        <v>2.6E8</v>
      </c>
      <c r="D417" s="1">
        <v>1975.0</v>
      </c>
      <c r="E417" s="1" t="s">
        <v>18</v>
      </c>
      <c r="F417" s="1" t="s">
        <v>144</v>
      </c>
      <c r="G417" s="1" t="s">
        <v>2675</v>
      </c>
      <c r="H417" s="1">
        <v>8.0</v>
      </c>
      <c r="I417" s="1" t="s">
        <v>2676</v>
      </c>
      <c r="J417" s="1">
        <v>87.0</v>
      </c>
      <c r="K417" s="1" t="s">
        <v>81</v>
      </c>
      <c r="L417" s="1" t="s">
        <v>2677</v>
      </c>
      <c r="M417" s="1" t="s">
        <v>836</v>
      </c>
      <c r="N417" s="1" t="s">
        <v>2678</v>
      </c>
      <c r="O417" s="1" t="s">
        <v>2679</v>
      </c>
      <c r="P417" s="1">
        <v>543388.0</v>
      </c>
      <c r="Q417" s="3" t="str">
        <f>VLOOKUP(A417,Posters!A417:B1416,2)</f>
        <v>https://m.media-amazon.com/images/M/MV5BMmVmODY1MzEtYTMwZC00MzNhLWFkNDMtZjAwM2EwODUxZTA5XkEyXkFqcGdeQXVyNTAyODkwOQ@@._V1_UX67_CR0,0,67,98_AL_.jpg</v>
      </c>
    </row>
    <row r="418">
      <c r="A418" s="1">
        <v>417.0</v>
      </c>
      <c r="B418" s="1" t="s">
        <v>2680</v>
      </c>
      <c r="C418" s="2">
        <v>5.0E7</v>
      </c>
      <c r="D418" s="1">
        <v>1975.0</v>
      </c>
      <c r="E418" s="1" t="s">
        <v>52</v>
      </c>
      <c r="F418" s="1" t="s">
        <v>203</v>
      </c>
      <c r="G418" s="1" t="s">
        <v>137</v>
      </c>
      <c r="H418" s="1">
        <v>8.0</v>
      </c>
      <c r="I418" s="1" t="s">
        <v>2681</v>
      </c>
      <c r="J418" s="1">
        <v>86.0</v>
      </c>
      <c r="K418" s="1" t="s">
        <v>55</v>
      </c>
      <c r="L418" s="1" t="s">
        <v>33</v>
      </c>
      <c r="M418" s="1" t="s">
        <v>1888</v>
      </c>
      <c r="N418" s="1" t="s">
        <v>2682</v>
      </c>
      <c r="O418" s="1" t="s">
        <v>2683</v>
      </c>
      <c r="P418" s="1">
        <v>235652.0</v>
      </c>
      <c r="Q418" s="3" t="str">
        <f>VLOOKUP(A418,Posters!A418:B1417,2)</f>
        <v>https://m.media-amazon.com/images/M/MV5BODExZmE2ZWItYTIzOC00MzI1LTgyNTktMDBhNmFhY2Y4OTQ3XkEyXkFqcGdeQXVyNjU0OTQ0OTY@._V1_UX67_CR0,0,67,98_AL_.jpg</v>
      </c>
    </row>
    <row r="419">
      <c r="A419" s="1">
        <v>418.0</v>
      </c>
      <c r="B419" s="1" t="s">
        <v>2684</v>
      </c>
      <c r="C419" s="2">
        <v>8.63E7</v>
      </c>
      <c r="D419" s="1">
        <v>1974.0</v>
      </c>
      <c r="E419" s="1" t="s">
        <v>18</v>
      </c>
      <c r="F419" s="1" t="s">
        <v>286</v>
      </c>
      <c r="G419" s="1" t="s">
        <v>602</v>
      </c>
      <c r="H419" s="1">
        <v>8.0</v>
      </c>
      <c r="I419" s="1" t="s">
        <v>2685</v>
      </c>
      <c r="J419" s="1">
        <v>80.0</v>
      </c>
      <c r="K419" s="1" t="s">
        <v>2686</v>
      </c>
      <c r="L419" s="1" t="s">
        <v>2687</v>
      </c>
      <c r="M419" s="1" t="s">
        <v>1920</v>
      </c>
      <c r="N419" s="1" t="s">
        <v>2688</v>
      </c>
      <c r="O419" s="1" t="s">
        <v>2689</v>
      </c>
      <c r="P419" s="1">
        <v>143359.0</v>
      </c>
      <c r="Q419" s="3" t="str">
        <f>VLOOKUP(A419,Posters!A419:B1418,2)</f>
        <v>https://m.media-amazon.com/images/M/MV5BMTEwNjg2MjM2ODFeQTJeQWpwZ15BbWU4MDQ1MDU5OTEx._V1_UX67_CR0,0,67,98_AL_.jpg</v>
      </c>
    </row>
    <row r="420">
      <c r="A420" s="1">
        <v>419.0</v>
      </c>
      <c r="B420" s="1" t="s">
        <v>2690</v>
      </c>
      <c r="C420" s="2">
        <v>5.3267E7</v>
      </c>
      <c r="D420" s="1">
        <v>1973.0</v>
      </c>
      <c r="E420" s="1" t="s">
        <v>212</v>
      </c>
      <c r="F420" s="1" t="s">
        <v>309</v>
      </c>
      <c r="G420" s="1" t="s">
        <v>137</v>
      </c>
      <c r="H420" s="1">
        <v>8.0</v>
      </c>
      <c r="I420" s="1" t="s">
        <v>2691</v>
      </c>
      <c r="J420" s="1">
        <v>58.0</v>
      </c>
      <c r="K420" s="1" t="s">
        <v>2692</v>
      </c>
      <c r="L420" s="1" t="s">
        <v>1272</v>
      </c>
      <c r="M420" s="1" t="s">
        <v>2618</v>
      </c>
      <c r="N420" s="1" t="s">
        <v>2693</v>
      </c>
      <c r="O420" s="1" t="s">
        <v>2694</v>
      </c>
      <c r="P420" s="1">
        <v>121627.0</v>
      </c>
      <c r="Q420" s="3" t="str">
        <f>VLOOKUP(A420,Posters!A420:B1419,2)</f>
        <v>https://m.media-amazon.com/images/M/MV5BZGRjZjQ0NzAtYmZlNS00Zjc1LTk1YWItMDY5YzQxMzA4MTAzXkEyXkFqcGdeQXVyMjI4MjA5MzA@._V1_UX67_CR0,0,67,98_AL_.jpg</v>
      </c>
    </row>
    <row r="421">
      <c r="A421" s="1">
        <v>420.0</v>
      </c>
      <c r="B421" s="1" t="s">
        <v>2695</v>
      </c>
      <c r="C421" s="2">
        <v>2.32906145E8</v>
      </c>
      <c r="D421" s="1">
        <v>1973.0</v>
      </c>
      <c r="E421" s="1" t="s">
        <v>18</v>
      </c>
      <c r="F421" s="1" t="s">
        <v>279</v>
      </c>
      <c r="G421" s="1" t="s">
        <v>2696</v>
      </c>
      <c r="H421" s="1">
        <v>8.0</v>
      </c>
      <c r="I421" s="1" t="s">
        <v>2697</v>
      </c>
      <c r="J421" s="1">
        <v>81.0</v>
      </c>
      <c r="K421" s="1" t="s">
        <v>2698</v>
      </c>
      <c r="L421" s="1" t="s">
        <v>740</v>
      </c>
      <c r="M421" s="1" t="s">
        <v>1309</v>
      </c>
      <c r="N421" s="1" t="s">
        <v>2699</v>
      </c>
      <c r="O421" s="1" t="s">
        <v>57</v>
      </c>
      <c r="P421" s="1">
        <v>362393.0</v>
      </c>
      <c r="Q421" s="3" t="str">
        <f>VLOOKUP(A421,Posters!A421:B1420,2)</f>
        <v>https://m.media-amazon.com/images/M/MV5BYjhmMGMxZDYtMTkyNy00YWVmLTgyYmUtYTU3ZjcwNTBjN2I1XkEyXkFqcGdeQXVyNzkwMjQ5NzM@._V1_UX67_CR0,0,67,98_AL_.jpg</v>
      </c>
    </row>
    <row r="422">
      <c r="A422" s="1">
        <v>421.0</v>
      </c>
      <c r="B422" s="1" t="s">
        <v>2700</v>
      </c>
      <c r="C422" s="2">
        <v>4081254.0</v>
      </c>
      <c r="D422" s="1">
        <v>1972.0</v>
      </c>
      <c r="E422" s="1" t="s">
        <v>270</v>
      </c>
      <c r="F422" s="1" t="s">
        <v>947</v>
      </c>
      <c r="G422" s="1" t="s">
        <v>544</v>
      </c>
      <c r="H422" s="1">
        <v>8.0</v>
      </c>
      <c r="I422" s="1" t="s">
        <v>2701</v>
      </c>
      <c r="K422" s="1" t="s">
        <v>1338</v>
      </c>
      <c r="L422" s="1" t="s">
        <v>2081</v>
      </c>
      <c r="M422" s="1" t="s">
        <v>45</v>
      </c>
      <c r="N422" s="1" t="s">
        <v>2702</v>
      </c>
      <c r="O422" s="1" t="s">
        <v>2703</v>
      </c>
      <c r="P422" s="1">
        <v>44748.0</v>
      </c>
      <c r="Q422" s="3" t="str">
        <f>VLOOKUP(A422,Posters!A422:B1421,2)</f>
        <v>https://m.media-amazon.com/images/M/MV5BM2EzZmFmMmItODY3Zi00NjdjLWE0MTYtZWQ3MGIyM2M4YjZhXkEyXkFqcGdeQXVyMzg2MzE2OTE@._V1_UX67_CR0,0,67,98_AL_.jpg</v>
      </c>
    </row>
    <row r="423">
      <c r="A423" s="1">
        <v>422.0</v>
      </c>
      <c r="B423" s="1" t="s">
        <v>2704</v>
      </c>
      <c r="C423" s="2">
        <v>2.9133E7</v>
      </c>
      <c r="D423" s="1">
        <v>1971.0</v>
      </c>
      <c r="E423" s="1" t="s">
        <v>212</v>
      </c>
      <c r="F423" s="1" t="s">
        <v>240</v>
      </c>
      <c r="G423" s="1" t="s">
        <v>107</v>
      </c>
      <c r="H423" s="1">
        <v>8.0</v>
      </c>
      <c r="I423" s="1" t="s">
        <v>2705</v>
      </c>
      <c r="J423" s="1">
        <v>93.0</v>
      </c>
      <c r="K423" s="1" t="s">
        <v>1918</v>
      </c>
      <c r="L423" s="1" t="s">
        <v>2706</v>
      </c>
      <c r="M423" s="1" t="s">
        <v>1727</v>
      </c>
      <c r="N423" s="1" t="s">
        <v>827</v>
      </c>
      <c r="O423" s="1" t="s">
        <v>2707</v>
      </c>
      <c r="P423" s="1">
        <v>42456.0</v>
      </c>
      <c r="Q423" s="3" t="str">
        <f>VLOOKUP(A423,Posters!A423:B1422,2)</f>
        <v>https://m.media-amazon.com/images/M/MV5BNmVjNzZkZjQtYmM5ZC00M2I0LWJhNzktNDk3MGU1NWMxMjFjXkEyXkFqcGdeQXVyNjc1NTYyMjg@._V1_UX67_CR0,0,67,98_AL_.jpg</v>
      </c>
    </row>
    <row r="424">
      <c r="A424" s="1">
        <v>423.0</v>
      </c>
      <c r="B424" s="1" t="s">
        <v>2708</v>
      </c>
      <c r="C424" s="2">
        <v>8.05E7</v>
      </c>
      <c r="D424" s="1">
        <v>1971.0</v>
      </c>
      <c r="E424" s="1" t="s">
        <v>414</v>
      </c>
      <c r="F424" s="1" t="s">
        <v>475</v>
      </c>
      <c r="G424" s="1" t="s">
        <v>2709</v>
      </c>
      <c r="H424" s="1">
        <v>8.0</v>
      </c>
      <c r="I424" s="1" t="s">
        <v>2710</v>
      </c>
      <c r="J424" s="1">
        <v>67.0</v>
      </c>
      <c r="K424" s="1" t="s">
        <v>2711</v>
      </c>
      <c r="L424" s="1" t="s">
        <v>2712</v>
      </c>
      <c r="M424" s="1" t="s">
        <v>2713</v>
      </c>
      <c r="N424" s="1" t="s">
        <v>2714</v>
      </c>
      <c r="O424" s="1" t="s">
        <v>2715</v>
      </c>
      <c r="P424" s="1">
        <v>39491.0</v>
      </c>
      <c r="Q424" s="3" t="str">
        <f>VLOOKUP(A424,Posters!A424:B1423,2)</f>
        <v>https://m.media-amazon.com/images/M/MV5BMWMxNDYzNmUtYjFmNC00MGM2LWFmNzMtODhlMGNkNDg5MjE5XkEyXkFqcGdeQXVyNjE5MjUyOTM@._V1_UX67_CR0,0,67,98_AL_.jpg</v>
      </c>
    </row>
    <row r="425">
      <c r="A425" s="1">
        <v>424.0</v>
      </c>
      <c r="B425" s="1" t="s">
        <v>2716</v>
      </c>
      <c r="C425" s="1" t="s">
        <v>2717</v>
      </c>
      <c r="D425" s="1">
        <v>1970.0</v>
      </c>
      <c r="E425" s="1" t="s">
        <v>37</v>
      </c>
      <c r="F425" s="1" t="s">
        <v>543</v>
      </c>
      <c r="G425" s="1" t="s">
        <v>20</v>
      </c>
      <c r="H425" s="1">
        <v>8.0</v>
      </c>
      <c r="I425" s="1" t="s">
        <v>2718</v>
      </c>
      <c r="J425" s="1">
        <v>100.0</v>
      </c>
      <c r="K425" s="1" t="s">
        <v>2719</v>
      </c>
      <c r="L425" s="1" t="s">
        <v>1773</v>
      </c>
      <c r="M425" s="1" t="s">
        <v>2720</v>
      </c>
      <c r="N425" s="1" t="s">
        <v>2721</v>
      </c>
      <c r="O425" s="1" t="s">
        <v>2722</v>
      </c>
      <c r="P425" s="1">
        <v>27067.0</v>
      </c>
      <c r="Q425" s="3" t="str">
        <f>VLOOKUP(A425,Posters!A425:B1424,2)</f>
        <v>https://m.media-amazon.com/images/M/MV5BODFlYzU4YTItN2EwYi00ODI3LTkwNTQtMDdkNjM3YjMyMTgyXkEyXkFqcGdeQXVyNjc1NTYyMjg@._V1_UY98_CR0,0,67,98_AL_.jpg</v>
      </c>
    </row>
    <row r="426">
      <c r="A426" s="1">
        <v>425.0</v>
      </c>
      <c r="B426" s="1" t="s">
        <v>2723</v>
      </c>
      <c r="C426" s="2">
        <v>1.02308889E8</v>
      </c>
      <c r="D426" s="1">
        <v>1969.0</v>
      </c>
      <c r="E426" s="1" t="s">
        <v>270</v>
      </c>
      <c r="F426" s="1" t="s">
        <v>343</v>
      </c>
      <c r="G426" s="1" t="s">
        <v>137</v>
      </c>
      <c r="H426" s="1">
        <v>8.0</v>
      </c>
      <c r="I426" s="1" t="s">
        <v>2724</v>
      </c>
      <c r="J426" s="1">
        <v>66.0</v>
      </c>
      <c r="K426" s="1" t="s">
        <v>833</v>
      </c>
      <c r="L426" s="1" t="s">
        <v>834</v>
      </c>
      <c r="M426" s="1" t="s">
        <v>835</v>
      </c>
      <c r="N426" s="1" t="s">
        <v>2725</v>
      </c>
      <c r="O426" s="1" t="s">
        <v>1944</v>
      </c>
      <c r="P426" s="1">
        <v>201888.0</v>
      </c>
      <c r="Q426" s="3" t="str">
        <f>VLOOKUP(A426,Posters!A426:B1425,2)</f>
        <v>https://m.media-amazon.com/images/M/MV5BMTkyMTM2NDk5Nl5BMl5BanBnXkFtZTgwNzY1NzEyMDE@._V1_UX67_CR0,0,67,98_AL_.jpg</v>
      </c>
    </row>
    <row r="427">
      <c r="A427" s="1">
        <v>426.0</v>
      </c>
      <c r="B427" s="1" t="s">
        <v>2726</v>
      </c>
      <c r="C427" s="2">
        <v>2300000.0</v>
      </c>
      <c r="D427" s="1">
        <v>1968.0</v>
      </c>
      <c r="E427" s="1" t="s">
        <v>18</v>
      </c>
      <c r="F427" s="1" t="s">
        <v>360</v>
      </c>
      <c r="G427" s="1" t="s">
        <v>569</v>
      </c>
      <c r="H427" s="1">
        <v>8.0</v>
      </c>
      <c r="I427" s="1" t="s">
        <v>2727</v>
      </c>
      <c r="J427" s="1">
        <v>96.0</v>
      </c>
      <c r="K427" s="1" t="s">
        <v>316</v>
      </c>
      <c r="L427" s="1" t="s">
        <v>2728</v>
      </c>
      <c r="M427" s="1" t="s">
        <v>2729</v>
      </c>
      <c r="N427" s="1" t="s">
        <v>2730</v>
      </c>
      <c r="O427" s="1" t="s">
        <v>2731</v>
      </c>
      <c r="P427" s="1">
        <v>193674.0</v>
      </c>
      <c r="Q427" s="3" t="str">
        <f>VLOOKUP(A427,Posters!A427:B1426,2)</f>
        <v>https://m.media-amazon.com/images/M/MV5BZmEwZGU2NzctYzlmNi00MGJkLWE3N2MtYjBlN2ZhMGJkZTZiXkEyXkFqcGdeQXVyMTQxNzMzNDI@._V1_UX67_CR0,0,67,98_AL_.jpg</v>
      </c>
    </row>
    <row r="428">
      <c r="A428" s="1">
        <v>427.0</v>
      </c>
      <c r="B428" s="1" t="s">
        <v>2732</v>
      </c>
      <c r="C428" s="2">
        <v>3.3395426E7</v>
      </c>
      <c r="D428" s="1">
        <v>1968.0</v>
      </c>
      <c r="E428" s="1" t="s">
        <v>52</v>
      </c>
      <c r="F428" s="1" t="s">
        <v>295</v>
      </c>
      <c r="G428" s="1" t="s">
        <v>846</v>
      </c>
      <c r="H428" s="1">
        <v>8.0</v>
      </c>
      <c r="I428" s="1" t="s">
        <v>2733</v>
      </c>
      <c r="J428" s="1">
        <v>79.0</v>
      </c>
      <c r="K428" s="1" t="s">
        <v>2692</v>
      </c>
      <c r="L428" s="1" t="s">
        <v>2013</v>
      </c>
      <c r="M428" s="1" t="s">
        <v>2734</v>
      </c>
      <c r="N428" s="1" t="s">
        <v>2735</v>
      </c>
      <c r="O428" s="1" t="s">
        <v>2736</v>
      </c>
      <c r="P428" s="1">
        <v>165167.0</v>
      </c>
      <c r="Q428" s="3" t="str">
        <f>VLOOKUP(A428,Posters!A428:B1427,2)</f>
        <v>https://m.media-amazon.com/images/M/MV5BMTg0NjUwMzg5NF5BMl5BanBnXkFtZTgwNDQ0NjcwMTE@._V1_UX67_CR0,0,67,98_AL_.jpg</v>
      </c>
    </row>
    <row r="429">
      <c r="A429" s="1">
        <v>428.0</v>
      </c>
      <c r="B429" s="1" t="s">
        <v>2737</v>
      </c>
      <c r="C429" s="2">
        <v>1.04945305E8</v>
      </c>
      <c r="D429" s="1">
        <v>1967.0</v>
      </c>
      <c r="E429" s="1" t="s">
        <v>18</v>
      </c>
      <c r="F429" s="1" t="s">
        <v>286</v>
      </c>
      <c r="G429" s="1" t="s">
        <v>227</v>
      </c>
      <c r="H429" s="1">
        <v>8.0</v>
      </c>
      <c r="I429" s="1" t="s">
        <v>2738</v>
      </c>
      <c r="J429" s="1">
        <v>83.0</v>
      </c>
      <c r="K429" s="1" t="s">
        <v>2739</v>
      </c>
      <c r="L429" s="1" t="s">
        <v>2618</v>
      </c>
      <c r="M429" s="1" t="s">
        <v>1879</v>
      </c>
      <c r="N429" s="1" t="s">
        <v>2725</v>
      </c>
      <c r="O429" s="1" t="s">
        <v>2740</v>
      </c>
      <c r="P429" s="1">
        <v>253676.0</v>
      </c>
      <c r="Q429" s="3" t="str">
        <f>VLOOKUP(A429,Posters!A429:B1428,2)</f>
        <v>https://m.media-amazon.com/images/M/MV5BMTQ0ODc4MDk4Nl5BMl5BanBnXkFtZTcwMTEzNzgzNA@@._V1_UX67_CR0,0,67,98_AL_.jpg</v>
      </c>
    </row>
    <row r="430">
      <c r="A430" s="1">
        <v>429.0</v>
      </c>
      <c r="B430" s="1" t="s">
        <v>2741</v>
      </c>
      <c r="C430" s="2">
        <v>2.8E7</v>
      </c>
      <c r="D430" s="1">
        <v>1966.0</v>
      </c>
      <c r="E430" s="1" t="s">
        <v>18</v>
      </c>
      <c r="F430" s="1" t="s">
        <v>686</v>
      </c>
      <c r="G430" s="1" t="s">
        <v>20</v>
      </c>
      <c r="H430" s="1">
        <v>8.0</v>
      </c>
      <c r="I430" s="1" t="s">
        <v>2742</v>
      </c>
      <c r="J430" s="1">
        <v>75.0</v>
      </c>
      <c r="K430" s="1" t="s">
        <v>2739</v>
      </c>
      <c r="L430" s="1" t="s">
        <v>2743</v>
      </c>
      <c r="M430" s="1" t="s">
        <v>2744</v>
      </c>
      <c r="N430" s="1" t="s">
        <v>2745</v>
      </c>
      <c r="O430" s="1" t="s">
        <v>2746</v>
      </c>
      <c r="P430" s="1">
        <v>68926.0</v>
      </c>
      <c r="Q430" s="3" t="str">
        <f>VLOOKUP(A430,Posters!A430:B1429,2)</f>
        <v>https://m.media-amazon.com/images/M/MV5BMjQ5ODI1MjQtMDc0Zi00OGQ1LWE2NTYtMTg1YTkxM2E5NzFkXkEyXkFqcGdeQXVyNTA4NzY1MzY@._V1_UX67_CR0,0,67,98_AL_.jpg</v>
      </c>
    </row>
    <row r="431">
      <c r="A431" s="1">
        <v>430.0</v>
      </c>
      <c r="B431" s="1" t="s">
        <v>2747</v>
      </c>
      <c r="C431" s="2">
        <v>1.63214286E8</v>
      </c>
      <c r="D431" s="1">
        <v>1965.0</v>
      </c>
      <c r="E431" s="1" t="s">
        <v>52</v>
      </c>
      <c r="F431" s="1" t="s">
        <v>1268</v>
      </c>
      <c r="G431" s="1" t="s">
        <v>1580</v>
      </c>
      <c r="H431" s="1">
        <v>8.0</v>
      </c>
      <c r="I431" s="1" t="s">
        <v>2748</v>
      </c>
      <c r="J431" s="1">
        <v>63.0</v>
      </c>
      <c r="K431" s="1" t="s">
        <v>2749</v>
      </c>
      <c r="L431" s="1" t="s">
        <v>2750</v>
      </c>
      <c r="M431" s="1" t="s">
        <v>1152</v>
      </c>
      <c r="N431" s="1" t="s">
        <v>2751</v>
      </c>
      <c r="O431" s="1" t="s">
        <v>2752</v>
      </c>
      <c r="P431" s="1">
        <v>205425.0</v>
      </c>
      <c r="Q431" s="3" t="str">
        <f>VLOOKUP(A431,Posters!A431:B1430,2)</f>
        <v>https://m.media-amazon.com/images/M/MV5BODIxNjhkYjEtYzUyMi00YTNjLWE1YjktNjAyY2I2MWNkNmNmL2ltYWdlL2ltYWdlXkEyXkFqcGdeQXVyMTQxNzMzNDI@._V1_UY98_CR1,0,67,98_AL_.jpg</v>
      </c>
    </row>
    <row r="432">
      <c r="A432" s="1">
        <v>431.0</v>
      </c>
      <c r="B432" s="1" t="s">
        <v>2753</v>
      </c>
      <c r="C432" s="2">
        <v>1.11722E8</v>
      </c>
      <c r="D432" s="1">
        <v>1965.0</v>
      </c>
      <c r="E432" s="1" t="s">
        <v>18</v>
      </c>
      <c r="F432" s="1" t="s">
        <v>2754</v>
      </c>
      <c r="G432" s="1" t="s">
        <v>406</v>
      </c>
      <c r="H432" s="1">
        <v>8.0</v>
      </c>
      <c r="I432" s="1" t="s">
        <v>2755</v>
      </c>
      <c r="J432" s="1">
        <v>69.0</v>
      </c>
      <c r="K432" s="1" t="s">
        <v>860</v>
      </c>
      <c r="L432" s="1" t="s">
        <v>2756</v>
      </c>
      <c r="M432" s="1" t="s">
        <v>2757</v>
      </c>
      <c r="N432" s="1" t="s">
        <v>2758</v>
      </c>
      <c r="O432" s="1" t="s">
        <v>2038</v>
      </c>
      <c r="P432" s="1">
        <v>69903.0</v>
      </c>
      <c r="Q432" s="3" t="str">
        <f>VLOOKUP(A432,Posters!A432:B1431,2)</f>
        <v>https://m.media-amazon.com/images/M/MV5BNzdmZTk4MTktZmExNi00OWEwLTgxZDctNTE4NWMwNjc1Nzg2XkEyXkFqcGdeQXVyNjc1NTYyMjg@._V1_UX67_CR0,0,67,98_AL_.jpg</v>
      </c>
    </row>
    <row r="433">
      <c r="A433" s="1">
        <v>432.0</v>
      </c>
      <c r="B433" s="1" t="s">
        <v>2759</v>
      </c>
      <c r="C433" s="2">
        <v>1.45E7</v>
      </c>
      <c r="D433" s="1">
        <v>1964.0</v>
      </c>
      <c r="E433" s="1" t="s">
        <v>18</v>
      </c>
      <c r="F433" s="1" t="s">
        <v>778</v>
      </c>
      <c r="G433" s="1" t="s">
        <v>2760</v>
      </c>
      <c r="H433" s="1">
        <v>8.0</v>
      </c>
      <c r="I433" s="1" t="s">
        <v>2761</v>
      </c>
      <c r="J433" s="1">
        <v>65.0</v>
      </c>
      <c r="K433" s="1" t="s">
        <v>118</v>
      </c>
      <c r="L433" s="1" t="s">
        <v>119</v>
      </c>
      <c r="M433" s="1" t="s">
        <v>854</v>
      </c>
      <c r="N433" s="1" t="s">
        <v>2762</v>
      </c>
      <c r="O433" s="1" t="s">
        <v>2763</v>
      </c>
      <c r="P433" s="1">
        <v>198219.0</v>
      </c>
      <c r="Q433" s="3" t="str">
        <f>VLOOKUP(A433,Posters!A433:B1432,2)</f>
        <v>https://m.media-amazon.com/images/M/MV5BYjA1MGVlMGItNzgxMC00OWY4LWI4YjEtNTNmYWIzMGUxOGQzXkEyXkFqcGdeQXVyNjc1NTYyMjg@._V1_UY98_CR0,0,67,98_AL_.jpg</v>
      </c>
    </row>
    <row r="434">
      <c r="A434" s="1">
        <v>433.0</v>
      </c>
      <c r="B434" s="1" t="s">
        <v>2764</v>
      </c>
      <c r="C434" s="1" t="s">
        <v>2765</v>
      </c>
      <c r="D434" s="1">
        <v>1963.0</v>
      </c>
      <c r="E434" s="1">
        <v>14.0</v>
      </c>
      <c r="F434" s="1" t="s">
        <v>947</v>
      </c>
      <c r="G434" s="1" t="s">
        <v>20</v>
      </c>
      <c r="H434" s="1">
        <v>8.0</v>
      </c>
      <c r="I434" s="1" t="s">
        <v>2766</v>
      </c>
      <c r="J434" s="1">
        <v>91.0</v>
      </c>
      <c r="K434" s="1" t="s">
        <v>2023</v>
      </c>
      <c r="L434" s="1" t="s">
        <v>2767</v>
      </c>
      <c r="M434" s="1" t="s">
        <v>2768</v>
      </c>
      <c r="N434" s="1" t="s">
        <v>393</v>
      </c>
      <c r="O434" s="1" t="s">
        <v>2769</v>
      </c>
      <c r="P434" s="1">
        <v>108844.0</v>
      </c>
      <c r="Q434" s="3" t="str">
        <f>VLOOKUP(A434,Posters!A434:B1433,2)</f>
        <v>https://m.media-amazon.com/images/M/MV5BMTQ4MTA0NjEzMF5BMl5BanBnXkFtZTgwMDg4NDYxMzE@._V1_UY98_CR2,0,67,98_AL_.jpg</v>
      </c>
    </row>
    <row r="435">
      <c r="A435" s="1">
        <v>434.0</v>
      </c>
      <c r="B435" s="1" t="s">
        <v>2770</v>
      </c>
      <c r="C435" s="2">
        <v>24517.0</v>
      </c>
      <c r="D435" s="1">
        <v>1962.0</v>
      </c>
      <c r="E435" s="1">
        <v>14.0</v>
      </c>
      <c r="F435" s="1" t="s">
        <v>1639</v>
      </c>
      <c r="G435" s="1" t="s">
        <v>20</v>
      </c>
      <c r="H435" s="1">
        <v>8.0</v>
      </c>
      <c r="I435" s="1" t="s">
        <v>2771</v>
      </c>
      <c r="K435" s="1" t="s">
        <v>2772</v>
      </c>
      <c r="L435" s="1" t="s">
        <v>2773</v>
      </c>
      <c r="M435" s="1" t="s">
        <v>2774</v>
      </c>
      <c r="N435" s="1" t="s">
        <v>2775</v>
      </c>
      <c r="O435" s="1" t="s">
        <v>2776</v>
      </c>
      <c r="P435" s="1">
        <v>28057.0</v>
      </c>
      <c r="Q435" s="3" t="str">
        <f>VLOOKUP(A435,Posters!A435:B1434,2)</f>
        <v>https://m.media-amazon.com/images/M/MV5BNjMyZmI5NmItY2JlMi00NzU3LWI5ZGItZjhkOTE0YjEyN2Q4XkEyXkFqcGdeQXVyNDkzNTM2ODg@._V1_UX67_CR0,0,67,98_AL_.jpg</v>
      </c>
    </row>
    <row r="436">
      <c r="A436" s="1">
        <v>435.0</v>
      </c>
      <c r="B436" s="1" t="s">
        <v>2777</v>
      </c>
      <c r="C436" s="2">
        <v>8284000.0</v>
      </c>
      <c r="D436" s="1">
        <v>1961.0</v>
      </c>
      <c r="E436" s="1" t="s">
        <v>18</v>
      </c>
      <c r="F436" s="1" t="s">
        <v>550</v>
      </c>
      <c r="G436" s="1" t="s">
        <v>1622</v>
      </c>
      <c r="H436" s="1">
        <v>8.0</v>
      </c>
      <c r="I436" s="1" t="s">
        <v>2778</v>
      </c>
      <c r="J436" s="1">
        <v>90.0</v>
      </c>
      <c r="K436" s="1" t="s">
        <v>2779</v>
      </c>
      <c r="L436" s="1" t="s">
        <v>834</v>
      </c>
      <c r="M436" s="1" t="s">
        <v>2780</v>
      </c>
      <c r="N436" s="1" t="s">
        <v>2781</v>
      </c>
      <c r="O436" s="1" t="s">
        <v>605</v>
      </c>
      <c r="P436" s="1">
        <v>75067.0</v>
      </c>
      <c r="Q436" s="3" t="str">
        <f>VLOOKUP(A436,Posters!A436:B1435,2)</f>
        <v>https://m.media-amazon.com/images/M/MV5BNjhjODI2NTItMGE1ZS00NThiLWE1MmYtOWE3YzcyNzY1MTJlXkEyXkFqcGdeQXVyNTc1NTQxODI@._V1_UX67_CR0,0,67,98_AL_.jpg</v>
      </c>
    </row>
    <row r="437">
      <c r="A437" s="1">
        <v>436.0</v>
      </c>
      <c r="B437" s="1" t="s">
        <v>2782</v>
      </c>
      <c r="C437" s="2">
        <v>1.9516E7</v>
      </c>
      <c r="D437" s="1">
        <v>1960.0</v>
      </c>
      <c r="E437" s="1" t="s">
        <v>18</v>
      </c>
      <c r="F437" s="1" t="s">
        <v>2783</v>
      </c>
      <c r="G437" s="1" t="s">
        <v>507</v>
      </c>
      <c r="H437" s="1">
        <v>8.0</v>
      </c>
      <c r="I437" s="1" t="s">
        <v>2784</v>
      </c>
      <c r="J437" s="1">
        <v>95.0</v>
      </c>
      <c r="K437" s="1" t="s">
        <v>2023</v>
      </c>
      <c r="L437" s="1" t="s">
        <v>2767</v>
      </c>
      <c r="M437" s="1" t="s">
        <v>2785</v>
      </c>
      <c r="N437" s="1" t="s">
        <v>2768</v>
      </c>
      <c r="O437" s="1" t="s">
        <v>2786</v>
      </c>
      <c r="P437" s="1">
        <v>66621.0</v>
      </c>
      <c r="Q437" s="3" t="str">
        <f>VLOOKUP(A437,Posters!A437:B1436,2)</f>
        <v>https://m.media-amazon.com/images/M/MV5BODQ0NzY5NGEtYTc5NC00Yjg4LTg4Y2QtZjE2MTkyYTNmNmU2L2ltYWdlL2ltYWdlXkEyXkFqcGdeQXVyNjc1NTYyMjg@._V1_UY98_CR1,0,67,98_AL_.jpg</v>
      </c>
    </row>
    <row r="438">
      <c r="A438" s="1">
        <v>437.0</v>
      </c>
      <c r="B438" s="1" t="s">
        <v>2787</v>
      </c>
      <c r="C438" s="2">
        <v>1.2535E7</v>
      </c>
      <c r="D438" s="1">
        <v>1959.0</v>
      </c>
      <c r="E438" s="1" t="s">
        <v>627</v>
      </c>
      <c r="F438" s="1" t="s">
        <v>1672</v>
      </c>
      <c r="G438" s="1" t="s">
        <v>2760</v>
      </c>
      <c r="H438" s="1">
        <v>8.0</v>
      </c>
      <c r="I438" s="1" t="s">
        <v>2788</v>
      </c>
      <c r="J438" s="1">
        <v>93.0</v>
      </c>
      <c r="K438" s="1" t="s">
        <v>2789</v>
      </c>
      <c r="L438" s="1" t="s">
        <v>1985</v>
      </c>
      <c r="M438" s="1" t="s">
        <v>2790</v>
      </c>
      <c r="N438" s="1" t="s">
        <v>2791</v>
      </c>
      <c r="O438" s="1" t="s">
        <v>2792</v>
      </c>
      <c r="P438" s="1">
        <v>56305.0</v>
      </c>
      <c r="Q438" s="3" t="str">
        <f>VLOOKUP(A438,Posters!A438:B1437,2)</f>
        <v>https://m.media-amazon.com/images/M/MV5BZDVhMTk1NjUtYjc0OS00OTE1LTk1NTYtYWMzMDI5OTlmYzU2XkEyXkFqcGdeQXVyNjc1NTYyMjg@._V1_UX67_CR0,0,67,98_AL_.jpg</v>
      </c>
    </row>
    <row r="439">
      <c r="A439" s="1">
        <v>438.0</v>
      </c>
      <c r="B439" s="1" t="s">
        <v>2793</v>
      </c>
      <c r="C439" s="2">
        <v>1.19E7</v>
      </c>
      <c r="D439" s="1">
        <v>1959.0</v>
      </c>
      <c r="E439" s="1">
        <v>12.0</v>
      </c>
      <c r="F439" s="1" t="s">
        <v>115</v>
      </c>
      <c r="G439" s="1" t="s">
        <v>235</v>
      </c>
      <c r="H439" s="1">
        <v>8.0</v>
      </c>
      <c r="I439" s="1" t="s">
        <v>2794</v>
      </c>
      <c r="J439" s="1">
        <v>95.0</v>
      </c>
      <c r="K439" s="1" t="s">
        <v>2795</v>
      </c>
      <c r="L439" s="1" t="s">
        <v>274</v>
      </c>
      <c r="M439" s="1" t="s">
        <v>2796</v>
      </c>
      <c r="N439" s="1" t="s">
        <v>2797</v>
      </c>
      <c r="O439" s="1" t="s">
        <v>2798</v>
      </c>
      <c r="P439" s="1">
        <v>59847.0</v>
      </c>
      <c r="Q439" s="3" t="str">
        <f>VLOOKUP(A439,Posters!A439:B1438,2)</f>
        <v>https://m.media-amazon.com/images/M/MV5BMzM0MzE2ZTAtZTBjZS00MTk5LTg5OTEtNjNmYmQ5NzU2OTUyXkEyXkFqcGdeQXVyNDY2MTk1ODk@._V1_UX67_CR0,0,67,98_AL_.jpg</v>
      </c>
    </row>
    <row r="440">
      <c r="A440" s="1">
        <v>439.0</v>
      </c>
      <c r="B440" s="1" t="s">
        <v>2799</v>
      </c>
      <c r="C440" s="2">
        <v>2237659.0</v>
      </c>
      <c r="D440" s="1">
        <v>1958.0</v>
      </c>
      <c r="E440" s="1" t="s">
        <v>161</v>
      </c>
      <c r="F440" s="1" t="s">
        <v>601</v>
      </c>
      <c r="G440" s="1" t="s">
        <v>908</v>
      </c>
      <c r="H440" s="1">
        <v>8.0</v>
      </c>
      <c r="I440" s="1" t="s">
        <v>2800</v>
      </c>
      <c r="J440" s="1">
        <v>99.0</v>
      </c>
      <c r="K440" s="1" t="s">
        <v>916</v>
      </c>
      <c r="L440" s="1" t="s">
        <v>2013</v>
      </c>
      <c r="M440" s="1" t="s">
        <v>916</v>
      </c>
      <c r="N440" s="1" t="s">
        <v>401</v>
      </c>
      <c r="O440" s="1" t="s">
        <v>2801</v>
      </c>
      <c r="P440" s="1">
        <v>98431.0</v>
      </c>
      <c r="Q440" s="3" t="str">
        <f>VLOOKUP(A440,Posters!A440:B1439,2)</f>
        <v>https://m.media-amazon.com/images/M/MV5BOTA1MjA3M2EtMmJjZS00OWViLTkwMTEtM2E5ZDk0NTAyNGJiXkEyXkFqcGdeQXVyNzkwMjQ5NzM@._V1_UX67_CR0,0,67,98_AL_.jpg</v>
      </c>
    </row>
    <row r="441">
      <c r="A441" s="1">
        <v>440.0</v>
      </c>
      <c r="B441" s="1" t="s">
        <v>2802</v>
      </c>
      <c r="C441" s="2">
        <v>1.7570324E7</v>
      </c>
      <c r="D441" s="1">
        <v>1958.0</v>
      </c>
      <c r="E441" s="1" t="s">
        <v>18</v>
      </c>
      <c r="F441" s="1" t="s">
        <v>714</v>
      </c>
      <c r="G441" s="1" t="s">
        <v>20</v>
      </c>
      <c r="H441" s="1">
        <v>8.0</v>
      </c>
      <c r="I441" s="1" t="s">
        <v>2803</v>
      </c>
      <c r="J441" s="1">
        <v>84.0</v>
      </c>
      <c r="K441" s="1" t="s">
        <v>2804</v>
      </c>
      <c r="L441" s="1" t="s">
        <v>2743</v>
      </c>
      <c r="M441" s="1" t="s">
        <v>834</v>
      </c>
      <c r="N441" s="1" t="s">
        <v>2805</v>
      </c>
      <c r="O441" s="1" t="s">
        <v>2806</v>
      </c>
      <c r="P441" s="1">
        <v>45062.0</v>
      </c>
      <c r="Q441" s="3" t="str">
        <f>VLOOKUP(A441,Posters!A441:B1440,2)</f>
        <v>https://m.media-amazon.com/images/M/MV5BMzFhNTMwNDMtZjY3Yy00NzY3LWI1ZWQtZTQxMWJmODVhZWFkXkEyXkFqcGdeQXVyNjQzNDI3NzY@._V1_UX67_CR0,0,67,98_AL_.jpg</v>
      </c>
    </row>
    <row r="442">
      <c r="A442" s="1">
        <v>441.0</v>
      </c>
      <c r="B442" s="1" t="s">
        <v>2807</v>
      </c>
      <c r="C442" s="2">
        <v>7704.0</v>
      </c>
      <c r="D442" s="1">
        <v>1957.0</v>
      </c>
      <c r="E442" s="1" t="s">
        <v>2047</v>
      </c>
      <c r="F442" s="1" t="s">
        <v>53</v>
      </c>
      <c r="G442" s="1" t="s">
        <v>628</v>
      </c>
      <c r="H442" s="1">
        <v>8.0</v>
      </c>
      <c r="I442" s="1" t="s">
        <v>2808</v>
      </c>
      <c r="J442" s="1">
        <v>100.0</v>
      </c>
      <c r="K442" s="1" t="s">
        <v>2809</v>
      </c>
      <c r="L442" s="1" t="s">
        <v>1292</v>
      </c>
      <c r="M442" s="1" t="s">
        <v>1298</v>
      </c>
      <c r="N442" s="1" t="s">
        <v>2810</v>
      </c>
      <c r="O442" s="1" t="s">
        <v>2811</v>
      </c>
      <c r="P442" s="1">
        <v>28137.0</v>
      </c>
      <c r="Q442" s="3" t="str">
        <f>VLOOKUP(A442,Posters!A442:B1441,2)</f>
        <v>https://m.media-amazon.com/images/M/MV5BMjE5NTU3YWYtOWIxNi00YWZhLTg2NzktYzVjZWY5MDQ4NzVlXkEyXkFqcGdeQXVyNjc1NTYyMjg@._V1_UX67_CR0,0,67,98_AL_.jpg</v>
      </c>
    </row>
    <row r="443">
      <c r="A443" s="1">
        <v>442.0</v>
      </c>
      <c r="B443" s="1" t="s">
        <v>2812</v>
      </c>
      <c r="C443" s="1">
        <v>203.0</v>
      </c>
      <c r="D443" s="1">
        <v>1956.0</v>
      </c>
      <c r="E443" s="1" t="s">
        <v>2047</v>
      </c>
      <c r="F443" s="1" t="s">
        <v>2598</v>
      </c>
      <c r="G443" s="1" t="s">
        <v>908</v>
      </c>
      <c r="H443" s="1">
        <v>8.0</v>
      </c>
      <c r="I443" s="1" t="s">
        <v>2813</v>
      </c>
      <c r="J443" s="1">
        <v>91.0</v>
      </c>
      <c r="K443" s="1" t="s">
        <v>571</v>
      </c>
      <c r="L443" s="1" t="s">
        <v>606</v>
      </c>
      <c r="M443" s="1" t="s">
        <v>2814</v>
      </c>
      <c r="N443" s="1" t="s">
        <v>2815</v>
      </c>
      <c r="O443" s="1" t="s">
        <v>2816</v>
      </c>
      <c r="P443" s="1">
        <v>81702.0</v>
      </c>
      <c r="Q443" s="3" t="str">
        <f>VLOOKUP(A443,Posters!A443:B1442,2)</f>
        <v>https://m.media-amazon.com/images/M/MV5BMDE5ZjAwY2YtOWM5Yi00ZWNlLWE5ODQtYjA4NzA1NGFkZDU5XkEyXkFqcGdeQXVyNjc1NTYyMjg@._V1_UX67_CR0,0,67,98_AL_.jpg</v>
      </c>
    </row>
    <row r="444">
      <c r="A444" s="1">
        <v>443.0</v>
      </c>
      <c r="B444" s="1" t="s">
        <v>2817</v>
      </c>
      <c r="C444" s="1">
        <v>654.0</v>
      </c>
      <c r="D444" s="1">
        <v>1955.0</v>
      </c>
      <c r="E444" s="1">
        <v>14.0</v>
      </c>
      <c r="F444" s="1" t="s">
        <v>1588</v>
      </c>
      <c r="G444" s="1" t="s">
        <v>908</v>
      </c>
      <c r="H444" s="1">
        <v>8.0</v>
      </c>
      <c r="I444" s="1" t="s">
        <v>2818</v>
      </c>
      <c r="J444" s="1">
        <v>99.0</v>
      </c>
      <c r="K444" s="1" t="s">
        <v>613</v>
      </c>
      <c r="L444" s="1" t="s">
        <v>2819</v>
      </c>
      <c r="M444" s="1" t="s">
        <v>2820</v>
      </c>
      <c r="N444" s="1" t="s">
        <v>2821</v>
      </c>
      <c r="O444" s="1" t="s">
        <v>2822</v>
      </c>
      <c r="P444" s="1">
        <v>81980.0</v>
      </c>
      <c r="Q444" s="3" t="str">
        <f>VLOOKUP(A444,Posters!A444:B1443,2)</f>
        <v>https://m.media-amazon.com/images/M/MV5BYTNjN2M2MzYtZGEwMi00Mzc5LWEwYTMtODM1ZmRiZjFiNTU0L2ltYWdlL2ltYWdlXkEyXkFqcGdeQXVyNjc1NTYyMjg@._V1_UX67_CR0,0,67,98_AL_.jpg</v>
      </c>
    </row>
    <row r="445">
      <c r="A445" s="1">
        <v>444.0</v>
      </c>
      <c r="B445" s="1" t="s">
        <v>2823</v>
      </c>
      <c r="C445" s="2">
        <v>17923.0</v>
      </c>
      <c r="D445" s="1">
        <v>1954.0</v>
      </c>
      <c r="E445" s="1">
        <v>14.0</v>
      </c>
      <c r="F445" s="1" t="s">
        <v>714</v>
      </c>
      <c r="G445" s="1" t="s">
        <v>20</v>
      </c>
      <c r="H445" s="1">
        <v>8.0</v>
      </c>
      <c r="I445" s="1" t="s">
        <v>2824</v>
      </c>
      <c r="K445" s="1" t="s">
        <v>2023</v>
      </c>
      <c r="L445" s="1" t="s">
        <v>862</v>
      </c>
      <c r="M445" s="1" t="s">
        <v>2024</v>
      </c>
      <c r="N445" s="1" t="s">
        <v>2825</v>
      </c>
      <c r="O445" s="1" t="s">
        <v>2826</v>
      </c>
      <c r="P445" s="1">
        <v>58314.0</v>
      </c>
      <c r="Q445" s="3" t="str">
        <f>VLOOKUP(A445,Posters!A445:B1444,2)</f>
        <v>https://m.media-amazon.com/images/M/MV5BYjUyOGMyMTQtYTM5Yy00MjFiLTk2OGItMWYwMDc2YmM1YzhiXkEyXkFqcGdeQXVyMjA0MzYwMDY@._V1_UY98_CR2,0,67,98_AL_.jpg</v>
      </c>
    </row>
    <row r="446">
      <c r="A446" s="1">
        <v>445.0</v>
      </c>
      <c r="B446" s="1" t="s">
        <v>2827</v>
      </c>
      <c r="C446" s="2">
        <v>12498.0</v>
      </c>
      <c r="D446" s="1">
        <v>1955.0</v>
      </c>
      <c r="E446" s="1">
        <v>16.0</v>
      </c>
      <c r="F446" s="1" t="s">
        <v>466</v>
      </c>
      <c r="G446" s="1" t="s">
        <v>2828</v>
      </c>
      <c r="H446" s="1">
        <v>8.0</v>
      </c>
      <c r="I446" s="1" t="s">
        <v>2829</v>
      </c>
      <c r="K446" s="1" t="s">
        <v>2041</v>
      </c>
      <c r="L446" s="1" t="s">
        <v>2830</v>
      </c>
      <c r="M446" s="1" t="s">
        <v>2831</v>
      </c>
      <c r="N446" s="1" t="s">
        <v>2832</v>
      </c>
      <c r="O446" s="1" t="s">
        <v>2043</v>
      </c>
      <c r="P446" s="1">
        <v>61503.0</v>
      </c>
      <c r="Q446" s="3" t="str">
        <f>VLOOKUP(A446,Posters!A446:B1445,2)</f>
        <v>https://m.media-amazon.com/images/M/MV5BMGJmNmU5OTAtOTQyYy00MmM3LTk4MzUtMGFiZDYzODdmMmU4XkEyXkFqcGdeQXVyNjU0OTQ0OTY@._V1_UY98_CR3,0,67,98_AL_.jpg</v>
      </c>
    </row>
    <row r="447">
      <c r="A447" s="1">
        <v>446.0</v>
      </c>
      <c r="B447" s="1" t="s">
        <v>2833</v>
      </c>
      <c r="C447" s="2">
        <v>1661530.0</v>
      </c>
      <c r="D447" s="1">
        <v>1953.0</v>
      </c>
      <c r="E447" s="1">
        <v>14.0</v>
      </c>
      <c r="F447" s="1" t="s">
        <v>1546</v>
      </c>
      <c r="G447" s="1" t="s">
        <v>635</v>
      </c>
      <c r="H447" s="1">
        <v>8.0</v>
      </c>
      <c r="I447" s="1" t="s">
        <v>2834</v>
      </c>
      <c r="J447" s="1">
        <v>84.0</v>
      </c>
      <c r="K447" s="1" t="s">
        <v>610</v>
      </c>
      <c r="L447" s="1" t="s">
        <v>630</v>
      </c>
      <c r="M447" s="1" t="s">
        <v>2835</v>
      </c>
      <c r="N447" s="1" t="s">
        <v>2795</v>
      </c>
      <c r="O447" s="1" t="s">
        <v>2836</v>
      </c>
      <c r="P447" s="1">
        <v>51046.0</v>
      </c>
      <c r="Q447" s="3" t="str">
        <f>VLOOKUP(A447,Posters!A447:B1446,2)</f>
        <v>https://m.media-amazon.com/images/M/MV5BNDMyNGU0NjUtNTIxMC00ZmU2LWE0ZGItZTdkNGVlODI2ZDcyL2ltYWdlXkEyXkFqcGdeQXVyNjc1NTYyMjg@._V1_UX67_CR0,0,67,98_AL_.jpg</v>
      </c>
    </row>
    <row r="448">
      <c r="A448" s="1">
        <v>447.0</v>
      </c>
      <c r="B448" s="1" t="s">
        <v>2837</v>
      </c>
      <c r="C448" s="2">
        <v>1500000.0</v>
      </c>
      <c r="D448" s="1">
        <v>1953.0</v>
      </c>
      <c r="E448" s="1" t="s">
        <v>52</v>
      </c>
      <c r="F448" s="1" t="s">
        <v>240</v>
      </c>
      <c r="G448" s="1" t="s">
        <v>723</v>
      </c>
      <c r="H448" s="1">
        <v>8.0</v>
      </c>
      <c r="I448" s="1" t="s">
        <v>2838</v>
      </c>
      <c r="J448" s="1">
        <v>78.0</v>
      </c>
      <c r="K448" s="1" t="s">
        <v>2012</v>
      </c>
      <c r="L448" s="1" t="s">
        <v>1278</v>
      </c>
      <c r="M448" s="1" t="s">
        <v>2839</v>
      </c>
      <c r="N448" s="1" t="s">
        <v>2840</v>
      </c>
      <c r="O448" s="1" t="s">
        <v>2841</v>
      </c>
      <c r="P448" s="1">
        <v>127256.0</v>
      </c>
      <c r="Q448" s="3" t="str">
        <f>VLOOKUP(A448,Posters!A448:B1447,2)</f>
        <v>https://m.media-amazon.com/images/M/MV5BMTE2MDM4MTMtZmNkZC00Y2QyLWE0YjUtMTAxZGJmODMxMDM0XkEyXkFqcGdeQXVyNjc1NTYyMjg@._V1_UX67_CR0,0,67,98_AL_.jpg</v>
      </c>
    </row>
    <row r="449">
      <c r="A449" s="1">
        <v>448.0</v>
      </c>
      <c r="B449" s="1" t="s">
        <v>2842</v>
      </c>
      <c r="C449" s="2">
        <v>8000000.0</v>
      </c>
      <c r="D449" s="1">
        <v>1951.0</v>
      </c>
      <c r="E449" s="1" t="s">
        <v>18</v>
      </c>
      <c r="F449" s="1" t="s">
        <v>279</v>
      </c>
      <c r="G449" s="1" t="s">
        <v>20</v>
      </c>
      <c r="H449" s="1">
        <v>8.0</v>
      </c>
      <c r="I449" s="1" t="s">
        <v>2843</v>
      </c>
      <c r="J449" s="1">
        <v>97.0</v>
      </c>
      <c r="K449" s="1" t="s">
        <v>2036</v>
      </c>
      <c r="L449" s="1" t="s">
        <v>2095</v>
      </c>
      <c r="M449" s="1" t="s">
        <v>32</v>
      </c>
      <c r="N449" s="1" t="s">
        <v>2735</v>
      </c>
      <c r="O449" s="1" t="s">
        <v>2037</v>
      </c>
      <c r="P449" s="1">
        <v>99182.0</v>
      </c>
      <c r="Q449" s="3" t="str">
        <f>VLOOKUP(A449,Posters!A449:B1448,2)</f>
        <v>https://m.media-amazon.com/images/M/MV5BNzk2M2Y3MzYtNGMzMi00Y2FjLTkwODQtNmExYWU3ZWY3NzExXkEyXkFqcGdeQXVyNTA4NzY1MzY@._V1_UX67_CR0,0,67,98_AL_.jpg</v>
      </c>
    </row>
    <row r="450">
      <c r="A450" s="1">
        <v>449.0</v>
      </c>
      <c r="B450" s="1" t="s">
        <v>2844</v>
      </c>
      <c r="C450" s="2">
        <v>21493.0</v>
      </c>
      <c r="D450" s="1">
        <v>1950.0</v>
      </c>
      <c r="E450" s="1">
        <v>14.0</v>
      </c>
      <c r="F450" s="1" t="s">
        <v>1882</v>
      </c>
      <c r="G450" s="1" t="s">
        <v>2845</v>
      </c>
      <c r="H450" s="1">
        <v>8.0</v>
      </c>
      <c r="I450" s="1" t="s">
        <v>2846</v>
      </c>
      <c r="K450" s="1" t="s">
        <v>2847</v>
      </c>
      <c r="L450" s="1" t="s">
        <v>409</v>
      </c>
      <c r="M450" s="1" t="s">
        <v>2848</v>
      </c>
      <c r="N450" s="1" t="s">
        <v>2849</v>
      </c>
      <c r="O450" s="1" t="s">
        <v>2850</v>
      </c>
      <c r="P450" s="1">
        <v>26784.0</v>
      </c>
      <c r="Q450" s="3" t="str">
        <f>VLOOKUP(A450,Posters!A450:B1449,2)</f>
        <v>https://m.media-amazon.com/images/M/MV5BNjRmZjcwZTQtYWY0ZS00ODAwLTg4YTktZDhlZDMwMTM1MGFkXkEyXkFqcGdeQXVyNjc1NTYyMjg@._V1_UX67_CR0,0,67,98_AL_.jpg</v>
      </c>
    </row>
    <row r="451">
      <c r="A451" s="1">
        <v>450.0</v>
      </c>
      <c r="B451" s="1" t="s">
        <v>2851</v>
      </c>
      <c r="C451" s="2">
        <v>145583.0</v>
      </c>
      <c r="D451" s="1">
        <v>1949.0</v>
      </c>
      <c r="E451" s="1" t="s">
        <v>52</v>
      </c>
      <c r="F451" s="1" t="s">
        <v>286</v>
      </c>
      <c r="G451" s="1" t="s">
        <v>731</v>
      </c>
      <c r="H451" s="1">
        <v>8.0</v>
      </c>
      <c r="I451" s="1" t="s">
        <v>2852</v>
      </c>
      <c r="K451" s="1" t="s">
        <v>2853</v>
      </c>
      <c r="L451" s="1" t="s">
        <v>2854</v>
      </c>
      <c r="M451" s="1" t="s">
        <v>252</v>
      </c>
      <c r="N451" s="1" t="s">
        <v>2855</v>
      </c>
      <c r="O451" s="1" t="s">
        <v>2856</v>
      </c>
      <c r="P451" s="1">
        <v>34485.0</v>
      </c>
      <c r="Q451" s="3" t="str">
        <f>VLOOKUP(A451,Posters!A451:B1450,2)</f>
        <v>https://m.media-amazon.com/images/M/MV5BZjc1Yzc0ZmItMzU1OS00OWVlLThmYTctMWNlYmFlMjkxMzc0XkEyXkFqcGdeQXVyNTA1NjYyMDk@._V1_UY98_CR32,0,67,98_AL_.jpg</v>
      </c>
    </row>
    <row r="452">
      <c r="A452" s="1">
        <v>451.0</v>
      </c>
      <c r="B452" s="1" t="s">
        <v>2857</v>
      </c>
      <c r="C452" s="1" t="s">
        <v>2858</v>
      </c>
      <c r="D452" s="1">
        <v>1948.0</v>
      </c>
      <c r="E452" s="1" t="s">
        <v>18</v>
      </c>
      <c r="F452" s="1" t="s">
        <v>1639</v>
      </c>
      <c r="G452" s="1" t="s">
        <v>235</v>
      </c>
      <c r="H452" s="1">
        <v>8.0</v>
      </c>
      <c r="I452" s="1" t="s">
        <v>2859</v>
      </c>
      <c r="J452" s="1">
        <v>73.0</v>
      </c>
      <c r="K452" s="1" t="s">
        <v>399</v>
      </c>
      <c r="L452" s="1" t="s">
        <v>274</v>
      </c>
      <c r="M452" s="1" t="s">
        <v>2860</v>
      </c>
      <c r="N452" s="1" t="s">
        <v>2861</v>
      </c>
      <c r="O452" s="1" t="s">
        <v>2862</v>
      </c>
      <c r="P452" s="1">
        <v>129783.0</v>
      </c>
      <c r="Q452" s="3" t="str">
        <f>VLOOKUP(A452,Posters!A452:B1451,2)</f>
        <v>https://m.media-amazon.com/images/M/MV5BYWFjMDNlYzItY2VlMS00ZTRkLWJjYTEtYjI5NmFlMGE3MzQ2XkEyXkFqcGdeQXVyNjc1NTYyMjg@._V1_UX67_CR0,0,67,98_AL_.jpg</v>
      </c>
    </row>
    <row r="453">
      <c r="A453" s="1">
        <v>452.0</v>
      </c>
      <c r="B453" s="1" t="s">
        <v>2863</v>
      </c>
      <c r="D453" s="1">
        <v>1947.0</v>
      </c>
      <c r="E453" s="1" t="s">
        <v>2066</v>
      </c>
      <c r="F453" s="1" t="s">
        <v>2864</v>
      </c>
      <c r="G453" s="1" t="s">
        <v>908</v>
      </c>
      <c r="H453" s="1">
        <v>8.0</v>
      </c>
      <c r="I453" s="1" t="s">
        <v>2865</v>
      </c>
      <c r="K453" s="1" t="s">
        <v>2866</v>
      </c>
      <c r="L453" s="1" t="s">
        <v>2819</v>
      </c>
      <c r="M453" s="1" t="s">
        <v>2867</v>
      </c>
      <c r="N453" s="1" t="s">
        <v>617</v>
      </c>
      <c r="O453" s="1" t="s">
        <v>2868</v>
      </c>
      <c r="P453" s="1">
        <v>32784.0</v>
      </c>
      <c r="Q453" s="3" t="str">
        <f>VLOOKUP(A453,Posters!A453:B1452,2)</f>
        <v>https://m.media-amazon.com/images/M/MV5BMDE0MjYxYmMtM2VhMC00MjhiLTg5NjItMDkzZGM5MGVlYjMxL2ltYWdlL2ltYWdlXkEyXkFqcGdeQXVyNjc1NTYyMjg@._V1_UX67_CR0,0,67,98_AL_.jpg</v>
      </c>
    </row>
    <row r="454">
      <c r="A454" s="1">
        <v>453.0</v>
      </c>
      <c r="B454" s="1" t="s">
        <v>2869</v>
      </c>
      <c r="C454" s="2">
        <v>107384.0</v>
      </c>
      <c r="D454" s="1">
        <v>1945.0</v>
      </c>
      <c r="E454" s="1" t="s">
        <v>52</v>
      </c>
      <c r="F454" s="1" t="s">
        <v>1206</v>
      </c>
      <c r="G454" s="1" t="s">
        <v>107</v>
      </c>
      <c r="H454" s="1">
        <v>8.0</v>
      </c>
      <c r="I454" s="1" t="s">
        <v>2870</v>
      </c>
      <c r="J454" s="1">
        <v>92.0</v>
      </c>
      <c r="K454" s="1" t="s">
        <v>860</v>
      </c>
      <c r="L454" s="1" t="s">
        <v>2871</v>
      </c>
      <c r="M454" s="1" t="s">
        <v>2064</v>
      </c>
      <c r="N454" s="1" t="s">
        <v>2872</v>
      </c>
      <c r="O454" s="1" t="s">
        <v>2873</v>
      </c>
      <c r="P454" s="1">
        <v>35601.0</v>
      </c>
      <c r="Q454" s="3" t="str">
        <f>VLOOKUP(A454,Posters!A454:B1453,2)</f>
        <v>https://m.media-amazon.com/images/M/MV5BYWQ0MGNjOTYtMWJlNi00YWMxLWFmMzktYjAyNTVkY2U1NWNhL2ltYWdlL2ltYWdlXkEyXkFqcGdeQXVyNjc1NTYyMjg@._V1_UX67_CR0,0,67,98_AL_.jpg</v>
      </c>
    </row>
    <row r="455">
      <c r="A455" s="1">
        <v>454.0</v>
      </c>
      <c r="B455" s="1" t="s">
        <v>2874</v>
      </c>
      <c r="C455" s="2">
        <v>4360000.0</v>
      </c>
      <c r="D455" s="1">
        <v>1944.0</v>
      </c>
      <c r="E455" s="1" t="s">
        <v>627</v>
      </c>
      <c r="F455" s="1" t="s">
        <v>351</v>
      </c>
      <c r="G455" s="1" t="s">
        <v>2845</v>
      </c>
      <c r="H455" s="1">
        <v>8.0</v>
      </c>
      <c r="I455" s="1" t="s">
        <v>2875</v>
      </c>
      <c r="K455" s="1" t="s">
        <v>2795</v>
      </c>
      <c r="L455" s="1" t="s">
        <v>2876</v>
      </c>
      <c r="M455" s="1" t="s">
        <v>2877</v>
      </c>
      <c r="N455" s="1" t="s">
        <v>2878</v>
      </c>
      <c r="O455" s="1" t="s">
        <v>2879</v>
      </c>
      <c r="P455" s="1">
        <v>42725.0</v>
      </c>
      <c r="Q455" s="3" t="str">
        <f>VLOOKUP(A455,Posters!A455:B1454,2)</f>
        <v>https://m.media-amazon.com/images/M/MV5BYjkxOGM5OTktNTRmZi00MjhlLWE2MDktNzY3NjY3NmRjNDUyXkEyXkFqcGdeQXVyNDY2MTk1ODk@._V1_UX67_CR0,0,67,98_AL_.jpg</v>
      </c>
    </row>
    <row r="456">
      <c r="A456" s="1">
        <v>455.0</v>
      </c>
      <c r="B456" s="1" t="s">
        <v>2880</v>
      </c>
      <c r="C456" s="2">
        <v>2.365E7</v>
      </c>
      <c r="D456" s="1">
        <v>1946.0</v>
      </c>
      <c r="E456" s="1" t="s">
        <v>2047</v>
      </c>
      <c r="F456" s="1" t="s">
        <v>506</v>
      </c>
      <c r="G456" s="1" t="s">
        <v>406</v>
      </c>
      <c r="H456" s="1">
        <v>8.0</v>
      </c>
      <c r="I456" s="1" t="s">
        <v>2881</v>
      </c>
      <c r="J456" s="1">
        <v>93.0</v>
      </c>
      <c r="K456" s="1" t="s">
        <v>2012</v>
      </c>
      <c r="L456" s="1" t="s">
        <v>2882</v>
      </c>
      <c r="M456" s="1" t="s">
        <v>2877</v>
      </c>
      <c r="N456" s="1" t="s">
        <v>2000</v>
      </c>
      <c r="O456" s="1" t="s">
        <v>2883</v>
      </c>
      <c r="P456" s="1">
        <v>57259.0</v>
      </c>
      <c r="Q456" s="3" t="str">
        <f>VLOOKUP(A456,Posters!A456:B1455,2)</f>
        <v>https://m.media-amazon.com/images/M/MV5BY2RmNTRjYzctODI4Ni00MzQyLWEyNTAtNjU0N2JkMTNhNjJkXkEyXkFqcGdeQXVyNjU0OTQ0OTY@._V1_UX67_CR0,0,67,98_AL_.jpg</v>
      </c>
    </row>
    <row r="457">
      <c r="A457" s="1">
        <v>456.0</v>
      </c>
      <c r="B457" s="1" t="s">
        <v>2884</v>
      </c>
      <c r="C457" s="2">
        <v>1164000.0</v>
      </c>
      <c r="D457" s="1">
        <v>1942.0</v>
      </c>
      <c r="E457" s="1">
        <v>14.0</v>
      </c>
      <c r="F457" s="1" t="s">
        <v>240</v>
      </c>
      <c r="G457" s="1" t="s">
        <v>2885</v>
      </c>
      <c r="H457" s="1">
        <v>8.0</v>
      </c>
      <c r="I457" s="1" t="s">
        <v>2886</v>
      </c>
      <c r="K457" s="1" t="s">
        <v>273</v>
      </c>
      <c r="L457" s="1" t="s">
        <v>873</v>
      </c>
      <c r="M457" s="1" t="s">
        <v>2887</v>
      </c>
      <c r="N457" s="1" t="s">
        <v>2888</v>
      </c>
      <c r="O457" s="1" t="s">
        <v>2806</v>
      </c>
      <c r="P457" s="1">
        <v>65101.0</v>
      </c>
      <c r="Q457" s="3" t="str">
        <f>VLOOKUP(A457,Posters!A457:B1456,2)</f>
        <v>https://m.media-amazon.com/images/M/MV5BZDVlNTBjMjctNjAzNS00ZGJhLTg2NzMtNzIwYTIzYTBiMDkyXkEyXkFqcGdeQXVyNTA4NzY1MzY@._V1_UX67_CR0,0,67,98_AL_.jpg</v>
      </c>
    </row>
    <row r="458">
      <c r="A458" s="1">
        <v>457.0</v>
      </c>
      <c r="B458" s="1" t="s">
        <v>2889</v>
      </c>
      <c r="C458" s="2">
        <v>2108060.0</v>
      </c>
      <c r="D458" s="1">
        <v>1941.0</v>
      </c>
      <c r="E458" s="1" t="s">
        <v>2890</v>
      </c>
      <c r="F458" s="1" t="s">
        <v>1439</v>
      </c>
      <c r="G458" s="1" t="s">
        <v>2891</v>
      </c>
      <c r="H458" s="1">
        <v>8.0</v>
      </c>
      <c r="I458" s="1" t="s">
        <v>2892</v>
      </c>
      <c r="J458" s="1">
        <v>96.0</v>
      </c>
      <c r="K458" s="1" t="s">
        <v>1346</v>
      </c>
      <c r="L458" s="1" t="s">
        <v>409</v>
      </c>
      <c r="M458" s="1" t="s">
        <v>2893</v>
      </c>
      <c r="N458" s="1" t="s">
        <v>2894</v>
      </c>
      <c r="O458" s="1" t="s">
        <v>923</v>
      </c>
      <c r="P458" s="1">
        <v>148928.0</v>
      </c>
      <c r="Q458" s="3" t="str">
        <f>VLOOKUP(A458,Posters!A458:B1457,2)</f>
        <v>https://m.media-amazon.com/images/M/MV5BZjIwNGM1ZTUtOThjYS00NDdiLTk2ZDYtNGY5YjJkNzliM2JjL2ltYWdlL2ltYWdlXkEyXkFqcGdeQXVyMDI2NDg0NQ@@._V1_UX67_CR0,0,67,98_AL_.jpg</v>
      </c>
    </row>
    <row r="459">
      <c r="A459" s="1">
        <v>458.0</v>
      </c>
      <c r="B459" s="1" t="s">
        <v>2895</v>
      </c>
      <c r="C459" s="1">
        <v>55.0</v>
      </c>
      <c r="D459" s="1">
        <v>1940.0</v>
      </c>
      <c r="E459" s="1" t="s">
        <v>627</v>
      </c>
      <c r="F459" s="1" t="s">
        <v>830</v>
      </c>
      <c r="G459" s="1" t="s">
        <v>2028</v>
      </c>
      <c r="H459" s="1">
        <v>8.0</v>
      </c>
      <c r="I459" s="1" t="s">
        <v>2896</v>
      </c>
      <c r="J459" s="1">
        <v>96.0</v>
      </c>
      <c r="K459" s="1" t="s">
        <v>1984</v>
      </c>
      <c r="L459" s="1" t="s">
        <v>56</v>
      </c>
      <c r="M459" s="1" t="s">
        <v>2897</v>
      </c>
      <c r="N459" s="1" t="s">
        <v>2898</v>
      </c>
      <c r="O459" s="1" t="s">
        <v>2899</v>
      </c>
      <c r="P459" s="1">
        <v>85559.0</v>
      </c>
      <c r="Q459" s="3" t="str">
        <f>VLOOKUP(A459,Posters!A459:B1458,2)</f>
        <v>https://m.media-amazon.com/images/M/MV5BNzJiOGI2MjctYjUyMS00ZjkzLWE2ZmUtOTg4NTZkOTNhZDc1L2ltYWdlXkEyXkFqcGdeQXVyNjc1NTYyMjg@._V1_UX67_CR0,0,67,98_AL_.jpg</v>
      </c>
    </row>
    <row r="460">
      <c r="A460" s="1">
        <v>459.0</v>
      </c>
      <c r="B460" s="1" t="s">
        <v>2900</v>
      </c>
      <c r="C460" s="2">
        <v>2076020.0</v>
      </c>
      <c r="D460" s="1">
        <v>1939.0</v>
      </c>
      <c r="E460" s="1" t="s">
        <v>52</v>
      </c>
      <c r="F460" s="1" t="s">
        <v>405</v>
      </c>
      <c r="G460" s="1" t="s">
        <v>2629</v>
      </c>
      <c r="H460" s="1">
        <v>8.0</v>
      </c>
      <c r="I460" s="1" t="s">
        <v>2901</v>
      </c>
      <c r="J460" s="1">
        <v>92.0</v>
      </c>
      <c r="K460" s="1" t="s">
        <v>2091</v>
      </c>
      <c r="L460" s="1" t="s">
        <v>2092</v>
      </c>
      <c r="M460" s="1" t="s">
        <v>2902</v>
      </c>
      <c r="N460" s="1" t="s">
        <v>2903</v>
      </c>
      <c r="O460" s="1" t="s">
        <v>2904</v>
      </c>
      <c r="P460" s="1">
        <v>371379.0</v>
      </c>
      <c r="Q460" s="3" t="str">
        <f>VLOOKUP(A460,Posters!A460:B1459,2)</f>
        <v>https://m.media-amazon.com/images/M/MV5BNjUyMTc4MDExMV5BMl5BanBnXkFtZTgwNDg0NDIwMjE@._V1_UX67_CR0,0,67,98_AL_.jpg</v>
      </c>
    </row>
    <row r="461">
      <c r="A461" s="1">
        <v>460.0</v>
      </c>
      <c r="B461" s="1" t="s">
        <v>2905</v>
      </c>
      <c r="C461" s="2">
        <v>273641.0</v>
      </c>
      <c r="D461" s="1">
        <v>1939.0</v>
      </c>
      <c r="E461" s="1">
        <v>14.0</v>
      </c>
      <c r="F461" s="1" t="s">
        <v>343</v>
      </c>
      <c r="G461" s="1" t="s">
        <v>507</v>
      </c>
      <c r="H461" s="1">
        <v>8.0</v>
      </c>
      <c r="I461" s="1" t="s">
        <v>2906</v>
      </c>
      <c r="K461" s="1" t="s">
        <v>2099</v>
      </c>
      <c r="L461" s="1" t="s">
        <v>2907</v>
      </c>
      <c r="M461" s="1" t="s">
        <v>2908</v>
      </c>
      <c r="N461" s="1" t="s">
        <v>2909</v>
      </c>
      <c r="O461" s="1" t="s">
        <v>2910</v>
      </c>
      <c r="P461" s="1">
        <v>26725.0</v>
      </c>
      <c r="Q461" s="3" t="str">
        <f>VLOOKUP(A461,Posters!A461:B1460,2)</f>
        <v>https://m.media-amazon.com/images/M/MV5BYTE4NjYxMGEtZmQxZi00YWVmLWJjZTctYTJmNDFmZGEwNDVhXkEyXkFqcGdeQXVyNzkwMjQ5NzM@._V1_UY98_CR2,0,67,98_AL_.jpg</v>
      </c>
    </row>
    <row r="462">
      <c r="A462" s="1">
        <v>461.0</v>
      </c>
      <c r="B462" s="1" t="s">
        <v>2911</v>
      </c>
      <c r="C462" s="2">
        <v>226408.0</v>
      </c>
      <c r="D462" s="1">
        <v>1934.0</v>
      </c>
      <c r="E462" s="1" t="s">
        <v>2296</v>
      </c>
      <c r="F462" s="1" t="s">
        <v>1259</v>
      </c>
      <c r="G462" s="1" t="s">
        <v>2912</v>
      </c>
      <c r="H462" s="1">
        <v>8.0</v>
      </c>
      <c r="I462" s="1" t="s">
        <v>2913</v>
      </c>
      <c r="J462" s="1">
        <v>86.0</v>
      </c>
      <c r="K462" s="1" t="s">
        <v>2914</v>
      </c>
      <c r="L462" s="1" t="s">
        <v>2915</v>
      </c>
      <c r="M462" s="1" t="s">
        <v>2882</v>
      </c>
      <c r="N462" s="1" t="s">
        <v>2916</v>
      </c>
      <c r="O462" s="1" t="s">
        <v>2917</v>
      </c>
      <c r="P462" s="1">
        <v>26642.0</v>
      </c>
      <c r="Q462" s="3" t="str">
        <f>VLOOKUP(A462,Posters!A462:B1461,2)</f>
        <v>https://m.media-amazon.com/images/M/MV5BYmFlOWMwMjAtMDMyMC00N2JjLTllODUtZjY3YWU3NGRkM2I2L2ltYWdlXkEyXkFqcGdeQXVyMjUxODE0MDY@._V1_UX67_CR0,0,67,98_AL_.jpg</v>
      </c>
    </row>
    <row r="463">
      <c r="A463" s="1">
        <v>462.0</v>
      </c>
      <c r="B463" s="1" t="s">
        <v>2918</v>
      </c>
      <c r="C463" s="2">
        <v>3270000.0</v>
      </c>
      <c r="D463" s="1">
        <v>1930.0</v>
      </c>
      <c r="E463" s="1" t="s">
        <v>52</v>
      </c>
      <c r="F463" s="1" t="s">
        <v>38</v>
      </c>
      <c r="G463" s="1" t="s">
        <v>213</v>
      </c>
      <c r="H463" s="1">
        <v>8.0</v>
      </c>
      <c r="I463" s="1" t="s">
        <v>2919</v>
      </c>
      <c r="J463" s="1">
        <v>91.0</v>
      </c>
      <c r="K463" s="1" t="s">
        <v>2920</v>
      </c>
      <c r="L463" s="1" t="s">
        <v>2921</v>
      </c>
      <c r="M463" s="1" t="s">
        <v>2922</v>
      </c>
      <c r="N463" s="1" t="s">
        <v>2923</v>
      </c>
      <c r="O463" s="1" t="s">
        <v>2924</v>
      </c>
      <c r="P463" s="1">
        <v>57318.0</v>
      </c>
      <c r="Q463" s="3" t="str">
        <f>VLOOKUP(A463,Posters!A463:B1462,2)</f>
        <v>https://m.media-amazon.com/images/M/MV5BMzg2MWQ4MDEtOGZlNi00MTg0LWIwMjQtYWY5NTQwYmUzMWNmXkEyXkFqcGdeQXVyMzg2MzE2OTE@._V1_UX67_CR0,0,67,98_AL_.jpg</v>
      </c>
    </row>
    <row r="464">
      <c r="A464" s="1">
        <v>463.0</v>
      </c>
      <c r="B464" s="1" t="s">
        <v>2925</v>
      </c>
      <c r="C464" s="1" t="s">
        <v>2926</v>
      </c>
      <c r="D464" s="1">
        <v>1925.0</v>
      </c>
      <c r="E464" s="1">
        <v>14.0</v>
      </c>
      <c r="F464" s="1" t="s">
        <v>2927</v>
      </c>
      <c r="G464" s="1" t="s">
        <v>2593</v>
      </c>
      <c r="H464" s="1">
        <v>8.0</v>
      </c>
      <c r="I464" s="1" t="s">
        <v>2928</v>
      </c>
      <c r="J464" s="1">
        <v>97.0</v>
      </c>
      <c r="K464" s="1" t="s">
        <v>2929</v>
      </c>
      <c r="L464" s="1" t="s">
        <v>2930</v>
      </c>
      <c r="M464" s="1" t="s">
        <v>2931</v>
      </c>
      <c r="N464" s="1" t="s">
        <v>2932</v>
      </c>
      <c r="O464" s="1" t="s">
        <v>2933</v>
      </c>
      <c r="P464" s="1">
        <v>53054.0</v>
      </c>
      <c r="Q464" s="3" t="str">
        <f>VLOOKUP(A464,Posters!A464:B1463,2)</f>
        <v>https://m.media-amazon.com/images/M/MV5BMTEyMTQzMjQ0MTJeQTJeQWpwZ15BbWU4MDcyMjg4OTEx._V1_UY98_CR1,0,67,98_AL_.jpg</v>
      </c>
    </row>
    <row r="465">
      <c r="A465" s="1">
        <v>464.0</v>
      </c>
      <c r="B465" s="1" t="s">
        <v>2934</v>
      </c>
      <c r="C465" s="2">
        <v>1.65359751E8</v>
      </c>
      <c r="D465" s="1">
        <v>2019.0</v>
      </c>
      <c r="E465" s="1" t="s">
        <v>37</v>
      </c>
      <c r="F465" s="1" t="s">
        <v>195</v>
      </c>
      <c r="G465" s="1" t="s">
        <v>831</v>
      </c>
      <c r="H465" s="1">
        <v>7.9</v>
      </c>
      <c r="I465" s="1" t="s">
        <v>2935</v>
      </c>
      <c r="J465" s="1">
        <v>82.0</v>
      </c>
      <c r="K465" s="1" t="s">
        <v>2936</v>
      </c>
      <c r="L465" s="1" t="s">
        <v>2409</v>
      </c>
      <c r="M465" s="1" t="s">
        <v>480</v>
      </c>
      <c r="N465" s="1" t="s">
        <v>2249</v>
      </c>
      <c r="O465" s="1" t="s">
        <v>2937</v>
      </c>
      <c r="P465" s="1">
        <v>454203.0</v>
      </c>
      <c r="Q465" s="3" t="str">
        <f>VLOOKUP(A465,Posters!A465:B1464,2)</f>
        <v>https://m.media-amazon.com/images/M/MV5BMGUwZjliMTAtNzAxZi00MWNiLWE2NzgtZGUxMGQxZjhhNDRiXkEyXkFqcGdeQXVyNjU1NzU3MzE@._V1_UX67_CR0,0,67,98_AL_.jpg</v>
      </c>
    </row>
    <row r="466">
      <c r="A466" s="1">
        <v>465.0</v>
      </c>
      <c r="B466" s="1" t="s">
        <v>2938</v>
      </c>
      <c r="C466" s="2">
        <v>45171.0</v>
      </c>
      <c r="D466" s="1">
        <v>2020.0</v>
      </c>
      <c r="E466" s="1" t="s">
        <v>37</v>
      </c>
      <c r="F466" s="1" t="s">
        <v>535</v>
      </c>
      <c r="G466" s="1" t="s">
        <v>227</v>
      </c>
      <c r="H466" s="1">
        <v>7.9</v>
      </c>
      <c r="I466" s="1" t="s">
        <v>2939</v>
      </c>
      <c r="K466" s="1" t="s">
        <v>2940</v>
      </c>
      <c r="L466" s="1" t="s">
        <v>942</v>
      </c>
      <c r="M466" s="1" t="s">
        <v>2941</v>
      </c>
      <c r="N466" s="1" t="s">
        <v>2942</v>
      </c>
      <c r="O466" s="1" t="s">
        <v>2943</v>
      </c>
      <c r="P466" s="1">
        <v>111478.0</v>
      </c>
      <c r="Q466" s="3" t="str">
        <f>VLOOKUP(A466,Posters!A466:B1465,2)</f>
        <v>https://m.media-amazon.com/images/M/MV5BNmI0MTliMTAtMmJhNC00NTJmLTllMzQtMDI3NzA1ODMyZWI1XkEyXkFqcGdeQXVyODE5NzE3OTE@._V1_UY98_CR5,0,67,98_AL_.jpg</v>
      </c>
    </row>
    <row r="467">
      <c r="A467" s="1">
        <v>466.0</v>
      </c>
      <c r="B467" s="1" t="s">
        <v>2944</v>
      </c>
      <c r="C467" s="2">
        <v>3313513.0</v>
      </c>
      <c r="D467" s="1">
        <v>2018.0</v>
      </c>
      <c r="E467" s="1" t="s">
        <v>18</v>
      </c>
      <c r="F467" s="1" t="s">
        <v>249</v>
      </c>
      <c r="G467" s="1" t="s">
        <v>29</v>
      </c>
      <c r="H467" s="1">
        <v>7.9</v>
      </c>
      <c r="I467" s="1" t="s">
        <v>2945</v>
      </c>
      <c r="J467" s="1">
        <v>93.0</v>
      </c>
      <c r="K467" s="1" t="s">
        <v>2946</v>
      </c>
      <c r="L467" s="1" t="s">
        <v>2947</v>
      </c>
      <c r="M467" s="1" t="s">
        <v>2948</v>
      </c>
      <c r="N467" s="1" t="s">
        <v>2949</v>
      </c>
      <c r="O467" s="1" t="s">
        <v>2950</v>
      </c>
      <c r="P467" s="1">
        <v>62754.0</v>
      </c>
      <c r="Q467" s="3" t="str">
        <f>VLOOKUP(A467,Posters!A467:B1466,2)</f>
        <v>https://m.media-amazon.com/images/M/MV5BYWZmOTY0MDAtMGRlMS00YjFlLWFkZTUtYmJhYWNlN2JjMmZkXkEyXkFqcGdeQXVyODAzODU1NDQ@._V1_UX67_CR0,0,67,98_AL_.jpg</v>
      </c>
    </row>
    <row r="468">
      <c r="A468" s="1">
        <v>467.0</v>
      </c>
      <c r="B468" s="1" t="s">
        <v>2951</v>
      </c>
      <c r="C468" s="2">
        <v>2000000.0</v>
      </c>
      <c r="D468" s="1">
        <v>2019.0</v>
      </c>
      <c r="E468" s="1" t="s">
        <v>52</v>
      </c>
      <c r="F468" s="1" t="s">
        <v>360</v>
      </c>
      <c r="G468" s="1" t="s">
        <v>227</v>
      </c>
      <c r="H468" s="1">
        <v>7.9</v>
      </c>
      <c r="I468" s="1" t="s">
        <v>2952</v>
      </c>
      <c r="J468" s="1">
        <v>94.0</v>
      </c>
      <c r="K468" s="1" t="s">
        <v>2953</v>
      </c>
      <c r="L468" s="1" t="s">
        <v>2954</v>
      </c>
      <c r="M468" s="1" t="s">
        <v>307</v>
      </c>
      <c r="N468" s="1" t="s">
        <v>2955</v>
      </c>
      <c r="O468" s="1" t="s">
        <v>2956</v>
      </c>
      <c r="P468" s="1">
        <v>246644.0</v>
      </c>
      <c r="Q468" s="3" t="str">
        <f>VLOOKUP(A468,Posters!A468:B1467,2)</f>
        <v>https://m.media-amazon.com/images/M/MV5BZGVmY2RjNDgtMTc3Yy00YmY0LTgwODItYzBjNWJhNTRlYjdkXkEyXkFqcGdeQXVyMjM4NTM5NDY@._V1_UX67_CR0,0,67,98_AL_.jpg</v>
      </c>
    </row>
    <row r="469">
      <c r="A469" s="1">
        <v>468.0</v>
      </c>
      <c r="B469" s="1" t="s">
        <v>2957</v>
      </c>
      <c r="C469" s="2">
        <v>1.8095701E7</v>
      </c>
      <c r="D469" s="1">
        <v>2017.0</v>
      </c>
      <c r="E469" s="1" t="s">
        <v>37</v>
      </c>
      <c r="F469" s="1" t="s">
        <v>170</v>
      </c>
      <c r="G469" s="1" t="s">
        <v>107</v>
      </c>
      <c r="H469" s="1">
        <v>7.9</v>
      </c>
      <c r="I469" s="1" t="s">
        <v>2958</v>
      </c>
      <c r="J469" s="1">
        <v>93.0</v>
      </c>
      <c r="K469" s="1" t="s">
        <v>2959</v>
      </c>
      <c r="L469" s="1" t="s">
        <v>2960</v>
      </c>
      <c r="M469" s="1" t="s">
        <v>2961</v>
      </c>
      <c r="N469" s="1" t="s">
        <v>2962</v>
      </c>
      <c r="O469" s="1" t="s">
        <v>2963</v>
      </c>
      <c r="P469" s="1">
        <v>212651.0</v>
      </c>
      <c r="Q469" s="3" t="str">
        <f>VLOOKUP(A469,Posters!A469:B1468,2)</f>
        <v>https://m.media-amazon.com/images/M/MV5BNDk3NTEwNjc0MV5BMl5BanBnXkFtZTgwNzYxNTMwMzI@._V1_UX67_CR0,0,67,98_AL_.jpg</v>
      </c>
    </row>
    <row r="470">
      <c r="A470" s="1">
        <v>469.0</v>
      </c>
      <c r="B470" s="1" t="s">
        <v>2964</v>
      </c>
      <c r="C470" s="2">
        <v>258168.0</v>
      </c>
      <c r="D470" s="1">
        <v>2016.0</v>
      </c>
      <c r="E470" s="1" t="s">
        <v>37</v>
      </c>
      <c r="F470" s="1" t="s">
        <v>1439</v>
      </c>
      <c r="G470" s="1" t="s">
        <v>20</v>
      </c>
      <c r="H470" s="1">
        <v>7.9</v>
      </c>
      <c r="I470" s="1" t="s">
        <v>2965</v>
      </c>
      <c r="J470" s="1">
        <v>78.0</v>
      </c>
      <c r="K470" s="1" t="s">
        <v>2966</v>
      </c>
      <c r="L470" s="1" t="s">
        <v>2388</v>
      </c>
      <c r="M470" s="1" t="s">
        <v>2967</v>
      </c>
      <c r="N470" s="1" t="s">
        <v>2968</v>
      </c>
      <c r="O470" s="1" t="s">
        <v>2969</v>
      </c>
      <c r="P470" s="1">
        <v>53818.0</v>
      </c>
      <c r="Q470" s="3" t="str">
        <f>VLOOKUP(A470,Posters!A470:B1469,2)</f>
        <v>https://m.media-amazon.com/images/M/MV5BMTQ4NTMzMTk4NV5BMl5BanBnXkFtZTgwNTU5MjE4MDI@._V1_UX67_CR0,0,67,98_AL_.jpg</v>
      </c>
    </row>
    <row r="471">
      <c r="A471" s="1">
        <v>470.0</v>
      </c>
      <c r="B471" s="1" t="s">
        <v>2970</v>
      </c>
      <c r="C471" s="2">
        <v>3.2015231E7</v>
      </c>
      <c r="D471" s="1">
        <v>2018.0</v>
      </c>
      <c r="E471" s="1" t="s">
        <v>52</v>
      </c>
      <c r="F471" s="1" t="s">
        <v>535</v>
      </c>
      <c r="G471" s="1" t="s">
        <v>765</v>
      </c>
      <c r="H471" s="1">
        <v>7.9</v>
      </c>
      <c r="I471" s="1" t="s">
        <v>2971</v>
      </c>
      <c r="J471" s="1">
        <v>82.0</v>
      </c>
      <c r="K471" s="1" t="s">
        <v>1468</v>
      </c>
      <c r="L471" s="1" t="s">
        <v>2972</v>
      </c>
      <c r="M471" s="1" t="s">
        <v>2973</v>
      </c>
      <c r="N471" s="1" t="s">
        <v>99</v>
      </c>
      <c r="O471" s="1" t="s">
        <v>2974</v>
      </c>
      <c r="P471" s="1">
        <v>139114.0</v>
      </c>
      <c r="Q471" s="3" t="str">
        <f>VLOOKUP(A471,Posters!A471:B1470,2)</f>
        <v>https://m.media-amazon.com/images/M/MV5BZDQwOWQ2NmUtZThjZi00MGM0LTkzNDctMzcyMjcyOGI1OGRkXkEyXkFqcGdeQXVyMTA3MDk2NDg2._V1_UX67_CR0,0,67,98_AL_.jpg</v>
      </c>
    </row>
    <row r="472">
      <c r="A472" s="1">
        <v>471.0</v>
      </c>
      <c r="B472" s="1" t="s">
        <v>2975</v>
      </c>
      <c r="C472" s="2">
        <v>5202582.0</v>
      </c>
      <c r="D472" s="1">
        <v>2016.0</v>
      </c>
      <c r="E472" s="1" t="s">
        <v>37</v>
      </c>
      <c r="F472" s="1" t="s">
        <v>535</v>
      </c>
      <c r="G472" s="1" t="s">
        <v>1004</v>
      </c>
      <c r="H472" s="1">
        <v>7.9</v>
      </c>
      <c r="I472" s="1" t="s">
        <v>2976</v>
      </c>
      <c r="J472" s="1">
        <v>81.0</v>
      </c>
      <c r="K472" s="1" t="s">
        <v>2977</v>
      </c>
      <c r="L472" s="1" t="s">
        <v>1784</v>
      </c>
      <c r="M472" s="1" t="s">
        <v>2978</v>
      </c>
      <c r="N472" s="1" t="s">
        <v>2979</v>
      </c>
      <c r="O472" s="1" t="s">
        <v>2980</v>
      </c>
      <c r="P472" s="1">
        <v>111483.0</v>
      </c>
      <c r="Q472" s="3" t="str">
        <f>VLOOKUP(A472,Posters!A472:B1471,2)</f>
        <v>https://m.media-amazon.com/images/M/MV5BMjI1MDQ2MDg5Ml5BMl5BanBnXkFtZTgwMjc2NjM5ODE@._V1_UX67_CR0,0,67,98_AL_.jpg</v>
      </c>
    </row>
    <row r="473">
      <c r="A473" s="1">
        <v>472.0</v>
      </c>
      <c r="B473" s="1" t="s">
        <v>2981</v>
      </c>
      <c r="C473" s="2">
        <v>5875006.0</v>
      </c>
      <c r="D473" s="1">
        <v>2016.0</v>
      </c>
      <c r="E473" s="1" t="s">
        <v>212</v>
      </c>
      <c r="F473" s="1" t="s">
        <v>240</v>
      </c>
      <c r="G473" s="1" t="s">
        <v>507</v>
      </c>
      <c r="H473" s="1">
        <v>7.9</v>
      </c>
      <c r="I473" s="1" t="s">
        <v>2982</v>
      </c>
      <c r="J473" s="1">
        <v>72.0</v>
      </c>
      <c r="K473" s="1" t="s">
        <v>2983</v>
      </c>
      <c r="L473" s="1" t="s">
        <v>66</v>
      </c>
      <c r="M473" s="1" t="s">
        <v>643</v>
      </c>
      <c r="N473" s="1" t="s">
        <v>2984</v>
      </c>
      <c r="O473" s="1" t="s">
        <v>2985</v>
      </c>
      <c r="P473" s="1">
        <v>189400.0</v>
      </c>
      <c r="Q473" s="3" t="str">
        <f>VLOOKUP(A473,Posters!A473:B1472,2)</f>
        <v>https://m.media-amazon.com/images/M/MV5BMjE5OTM0OTY5NF5BMl5BanBnXkFtZTgwMDcxOTQ3ODE@._V1_UX67_CR0,0,67,98_AL_.jpg</v>
      </c>
    </row>
    <row r="474">
      <c r="A474" s="1">
        <v>473.0</v>
      </c>
      <c r="B474" s="1" t="s">
        <v>2986</v>
      </c>
      <c r="C474" s="2">
        <v>3237118.0</v>
      </c>
      <c r="D474" s="1">
        <v>2016.0</v>
      </c>
      <c r="E474" s="1" t="s">
        <v>161</v>
      </c>
      <c r="F474" s="1" t="s">
        <v>286</v>
      </c>
      <c r="G474" s="1" t="s">
        <v>2173</v>
      </c>
      <c r="H474" s="1">
        <v>7.9</v>
      </c>
      <c r="I474" s="1" t="s">
        <v>2987</v>
      </c>
      <c r="J474" s="1">
        <v>79.0</v>
      </c>
      <c r="K474" s="1" t="s">
        <v>2988</v>
      </c>
      <c r="L474" s="1" t="s">
        <v>2989</v>
      </c>
      <c r="M474" s="1" t="s">
        <v>2990</v>
      </c>
      <c r="N474" s="1" t="s">
        <v>2991</v>
      </c>
      <c r="O474" s="1" t="s">
        <v>2992</v>
      </c>
      <c r="P474" s="1">
        <v>85109.0</v>
      </c>
      <c r="Q474" s="3" t="str">
        <f>VLOOKUP(A474,Posters!A474:B1473,2)</f>
        <v>https://m.media-amazon.com/images/M/MV5BMjEzODA3MDcxMl5BMl5BanBnXkFtZTgwODgxNDk3NzE@._V1_UX67_CR0,0,67,98_AL_.jpg</v>
      </c>
    </row>
    <row r="475">
      <c r="A475" s="1">
        <v>474.0</v>
      </c>
      <c r="B475" s="1" t="s">
        <v>2993</v>
      </c>
      <c r="C475" s="2">
        <v>3.15058289E8</v>
      </c>
      <c r="D475" s="1">
        <v>2017.0</v>
      </c>
      <c r="E475" s="1" t="s">
        <v>37</v>
      </c>
      <c r="F475" s="1" t="s">
        <v>195</v>
      </c>
      <c r="G475" s="1" t="s">
        <v>1252</v>
      </c>
      <c r="H475" s="1">
        <v>7.9</v>
      </c>
      <c r="I475" s="1" t="s">
        <v>2994</v>
      </c>
      <c r="J475" s="1">
        <v>74.0</v>
      </c>
      <c r="K475" s="1" t="s">
        <v>2977</v>
      </c>
      <c r="L475" s="1" t="s">
        <v>485</v>
      </c>
      <c r="M475" s="1" t="s">
        <v>2995</v>
      </c>
      <c r="N475" s="1" t="s">
        <v>2996</v>
      </c>
      <c r="O475" s="1" t="s">
        <v>481</v>
      </c>
      <c r="P475" s="1">
        <v>587775.0</v>
      </c>
      <c r="Q475" s="3" t="str">
        <f>VLOOKUP(A475,Posters!A475:B1474,2)</f>
        <v>https://m.media-amazon.com/images/M/MV5BMjMyNDkzMzI1OF5BMl5BanBnXkFtZTgwODcxODg5MjI@._V1_UX67_CR0,0,67,98_AL_.jpg</v>
      </c>
    </row>
    <row r="476">
      <c r="A476" s="1">
        <v>475.0</v>
      </c>
      <c r="B476" s="1" t="s">
        <v>2997</v>
      </c>
      <c r="C476" s="2">
        <v>3.2381218E7</v>
      </c>
      <c r="D476" s="1">
        <v>2014.0</v>
      </c>
      <c r="E476" s="1" t="s">
        <v>18</v>
      </c>
      <c r="F476" s="1" t="s">
        <v>466</v>
      </c>
      <c r="G476" s="1" t="s">
        <v>241</v>
      </c>
      <c r="H476" s="1">
        <v>7.9</v>
      </c>
      <c r="I476" s="1" t="s">
        <v>2998</v>
      </c>
      <c r="J476" s="1">
        <v>76.0</v>
      </c>
      <c r="K476" s="1" t="s">
        <v>2999</v>
      </c>
      <c r="L476" s="1" t="s">
        <v>1542</v>
      </c>
      <c r="M476" s="1" t="s">
        <v>3000</v>
      </c>
      <c r="N476" s="1" t="s">
        <v>3001</v>
      </c>
      <c r="O476" s="1" t="s">
        <v>3002</v>
      </c>
      <c r="P476" s="1">
        <v>466134.0</v>
      </c>
      <c r="Q476" s="3" t="str">
        <f>VLOOKUP(A476,Posters!A476:B1475,2)</f>
        <v>https://m.media-amazon.com/images/M/MV5BN2U1YzdhYWMtZWUzMi00OWI1LWFkM2ItNWVjM2YxMGQ2MmNhXkEyXkFqcGdeQXVyNjU0OTQ0OTY@._V1_UY98_CR0,0,67,98_AL_.jpg</v>
      </c>
    </row>
    <row r="477">
      <c r="A477" s="1">
        <v>476.0</v>
      </c>
      <c r="B477" s="1" t="s">
        <v>3003</v>
      </c>
      <c r="C477" s="2">
        <v>349555.0</v>
      </c>
      <c r="D477" s="1">
        <v>2019.0</v>
      </c>
      <c r="E477" s="1" t="s">
        <v>37</v>
      </c>
      <c r="F477" s="1" t="s">
        <v>714</v>
      </c>
      <c r="G477" s="1" t="s">
        <v>635</v>
      </c>
      <c r="H477" s="1">
        <v>7.9</v>
      </c>
      <c r="I477" s="1" t="s">
        <v>3004</v>
      </c>
      <c r="J477" s="1">
        <v>58.0</v>
      </c>
      <c r="K477" s="1" t="s">
        <v>2977</v>
      </c>
      <c r="L477" s="1" t="s">
        <v>3005</v>
      </c>
      <c r="M477" s="1" t="s">
        <v>3006</v>
      </c>
      <c r="N477" s="1" t="s">
        <v>307</v>
      </c>
      <c r="O477" s="1" t="s">
        <v>2977</v>
      </c>
      <c r="P477" s="1">
        <v>297918.0</v>
      </c>
      <c r="Q477" s="3" t="str">
        <f>VLOOKUP(A477,Posters!A477:B1476,2)</f>
        <v>https://m.media-amazon.com/images/M/MV5BZjU0Yzk2MzEtMjAzYy00MzY0LTg2YmItM2RkNzdkY2ZhN2JkXkEyXkFqcGdeQXVyNDg4NjY5OTQ@._V1_UX67_CR0,0,67,98_AL_.jpg</v>
      </c>
    </row>
    <row r="478">
      <c r="A478" s="1">
        <v>477.0</v>
      </c>
      <c r="B478" s="1" t="s">
        <v>3007</v>
      </c>
      <c r="C478" s="2">
        <v>1.00546139E8</v>
      </c>
      <c r="D478" s="1">
        <v>2016.0</v>
      </c>
      <c r="E478" s="1" t="s">
        <v>37</v>
      </c>
      <c r="F478" s="1" t="s">
        <v>226</v>
      </c>
      <c r="G478" s="1" t="s">
        <v>928</v>
      </c>
      <c r="H478" s="1">
        <v>7.9</v>
      </c>
      <c r="I478" s="1" t="s">
        <v>3008</v>
      </c>
      <c r="J478" s="1">
        <v>81.0</v>
      </c>
      <c r="K478" s="1" t="s">
        <v>688</v>
      </c>
      <c r="L478" s="1" t="s">
        <v>2254</v>
      </c>
      <c r="M478" s="1" t="s">
        <v>2339</v>
      </c>
      <c r="N478" s="1" t="s">
        <v>3009</v>
      </c>
      <c r="O478" s="1" t="s">
        <v>2962</v>
      </c>
      <c r="P478" s="1">
        <v>594181.0</v>
      </c>
      <c r="Q478" s="3" t="str">
        <f>VLOOKUP(A478,Posters!A478:B1477,2)</f>
        <v>https://m.media-amazon.com/images/M/MV5BMTExMzU0ODcxNDheQTJeQWpwZ15BbWU4MDE1OTI4MzAy._V1_UX67_CR0,0,67,98_AL_.jpg</v>
      </c>
    </row>
    <row r="479">
      <c r="A479" s="1">
        <v>478.0</v>
      </c>
      <c r="B479" s="1" t="s">
        <v>3010</v>
      </c>
      <c r="C479" s="2">
        <v>9.36662225E8</v>
      </c>
      <c r="D479" s="1">
        <v>2015.0</v>
      </c>
      <c r="E479" s="1" t="s">
        <v>52</v>
      </c>
      <c r="F479" s="1" t="s">
        <v>947</v>
      </c>
      <c r="G479" s="1" t="s">
        <v>88</v>
      </c>
      <c r="H479" s="1">
        <v>7.9</v>
      </c>
      <c r="I479" s="1" t="s">
        <v>3011</v>
      </c>
      <c r="J479" s="1">
        <v>80.0</v>
      </c>
      <c r="K479" s="1" t="s">
        <v>3012</v>
      </c>
      <c r="L479" s="1" t="s">
        <v>3013</v>
      </c>
      <c r="M479" s="1" t="s">
        <v>3014</v>
      </c>
      <c r="N479" s="1" t="s">
        <v>3015</v>
      </c>
      <c r="O479" s="1" t="s">
        <v>2264</v>
      </c>
      <c r="P479" s="1">
        <v>860823.0</v>
      </c>
      <c r="Q479" s="3" t="str">
        <f>VLOOKUP(A479,Posters!A479:B1478,2)</f>
        <v>https://m.media-amazon.com/images/M/MV5BOTAzODEzNDAzMl5BMl5BanBnXkFtZTgwMDU1MTgzNzE@._V1_UX67_CR0,0,67,98_AL_.jpg</v>
      </c>
    </row>
    <row r="480">
      <c r="A480" s="1">
        <v>479.0</v>
      </c>
      <c r="B480" s="1" t="s">
        <v>3016</v>
      </c>
      <c r="C480" s="2">
        <v>8114627.0</v>
      </c>
      <c r="D480" s="1">
        <v>2013.0</v>
      </c>
      <c r="E480" s="1" t="s">
        <v>212</v>
      </c>
      <c r="F480" s="1" t="s">
        <v>396</v>
      </c>
      <c r="G480" s="1" t="s">
        <v>107</v>
      </c>
      <c r="H480" s="1">
        <v>7.9</v>
      </c>
      <c r="I480" s="1" t="s">
        <v>3017</v>
      </c>
      <c r="J480" s="1">
        <v>94.0</v>
      </c>
      <c r="K480" s="1" t="s">
        <v>1641</v>
      </c>
      <c r="L480" s="1" t="s">
        <v>1642</v>
      </c>
      <c r="M480" s="1" t="s">
        <v>1643</v>
      </c>
      <c r="N480" s="1" t="s">
        <v>3018</v>
      </c>
      <c r="O480" s="1" t="s">
        <v>3019</v>
      </c>
      <c r="P480" s="1">
        <v>141457.0</v>
      </c>
      <c r="Q480" s="3" t="str">
        <f>VLOOKUP(A480,Posters!A480:B1479,2)</f>
        <v>https://m.media-amazon.com/images/M/MV5BMjA5NzgxODE2NF5BMl5BanBnXkFtZTcwNTI1NTI0OQ@@._V1_UX67_CR0,0,67,98_AL_.jpg</v>
      </c>
    </row>
    <row r="481">
      <c r="A481" s="1">
        <v>480.0</v>
      </c>
      <c r="B481" s="1" t="s">
        <v>3020</v>
      </c>
      <c r="C481" s="2">
        <v>2.33921534E8</v>
      </c>
      <c r="D481" s="1">
        <v>2014.0</v>
      </c>
      <c r="E481" s="1" t="s">
        <v>37</v>
      </c>
      <c r="F481" s="1" t="s">
        <v>170</v>
      </c>
      <c r="G481" s="1" t="s">
        <v>88</v>
      </c>
      <c r="H481" s="1">
        <v>7.9</v>
      </c>
      <c r="I481" s="1" t="s">
        <v>3021</v>
      </c>
      <c r="J481" s="1">
        <v>75.0</v>
      </c>
      <c r="K481" s="1" t="s">
        <v>338</v>
      </c>
      <c r="L481" s="1" t="s">
        <v>1421</v>
      </c>
      <c r="M481" s="1" t="s">
        <v>67</v>
      </c>
      <c r="N481" s="1" t="s">
        <v>306</v>
      </c>
      <c r="O481" s="1" t="s">
        <v>3022</v>
      </c>
      <c r="P481" s="1">
        <v>659763.0</v>
      </c>
      <c r="Q481" s="3" t="str">
        <f>VLOOKUP(A481,Posters!A481:B1480,2)</f>
        <v>https://m.media-amazon.com/images/M/MV5BZGIzNWYzN2YtMjcwYS00YjQ3LWI2NjMtOTNiYTUyYjE2MGNkXkEyXkFqcGdeQXVyMTQxNzMzNDI@._V1_UX67_CR0,0,67,98_AL_.jpg</v>
      </c>
    </row>
    <row r="482">
      <c r="A482" s="1">
        <v>481.0</v>
      </c>
      <c r="B482" s="1" t="s">
        <v>3023</v>
      </c>
      <c r="C482" s="1" t="s">
        <v>3024</v>
      </c>
      <c r="D482" s="1">
        <v>2011.0</v>
      </c>
      <c r="E482" s="1">
        <v>16.0</v>
      </c>
      <c r="F482" s="1" t="s">
        <v>3025</v>
      </c>
      <c r="G482" s="1" t="s">
        <v>29</v>
      </c>
      <c r="H482" s="1">
        <v>7.9</v>
      </c>
      <c r="I482" s="1" t="s">
        <v>3026</v>
      </c>
      <c r="J482" s="1">
        <v>82.0</v>
      </c>
      <c r="K482" s="1" t="s">
        <v>1448</v>
      </c>
      <c r="L482" s="1" t="s">
        <v>3027</v>
      </c>
      <c r="M482" s="1" t="s">
        <v>2476</v>
      </c>
      <c r="N482" s="1" t="s">
        <v>3028</v>
      </c>
      <c r="O482" s="1" t="s">
        <v>3029</v>
      </c>
      <c r="P482" s="1">
        <v>41995.0</v>
      </c>
      <c r="Q482" s="3" t="str">
        <f>VLOOKUP(A482,Posters!A482:B1481,2)</f>
        <v>https://m.media-amazon.com/images/M/MV5BYTRkMDRiYmEtNGM4YS00NzM3LWI4MTMtYzk1MmVjMjM3ODg1XkEyXkFqcGdeQXVyMjgyNjk3MzE@._V1_UY98_CR1,0,67,98_AL_.jpg</v>
      </c>
    </row>
    <row r="483">
      <c r="A483" s="1">
        <v>482.0</v>
      </c>
      <c r="B483" s="1" t="s">
        <v>3030</v>
      </c>
      <c r="C483" s="2">
        <v>4.4671682E7</v>
      </c>
      <c r="D483" s="1">
        <v>2011.0</v>
      </c>
      <c r="E483" s="1" t="s">
        <v>52</v>
      </c>
      <c r="F483" s="1" t="s">
        <v>1439</v>
      </c>
      <c r="G483" s="1" t="s">
        <v>227</v>
      </c>
      <c r="H483" s="1">
        <v>7.9</v>
      </c>
      <c r="I483" s="1" t="s">
        <v>3031</v>
      </c>
      <c r="J483" s="1">
        <v>89.0</v>
      </c>
      <c r="K483" s="1" t="s">
        <v>3032</v>
      </c>
      <c r="L483" s="1" t="s">
        <v>3033</v>
      </c>
      <c r="M483" s="1" t="s">
        <v>3034</v>
      </c>
      <c r="N483" s="1" t="s">
        <v>1685</v>
      </c>
      <c r="O483" s="1" t="s">
        <v>3035</v>
      </c>
      <c r="P483" s="1">
        <v>230624.0</v>
      </c>
      <c r="Q483" s="3" t="str">
        <f>VLOOKUP(A483,Posters!A483:B1482,2)</f>
        <v>https://m.media-amazon.com/images/M/MV5BMDUyZWU5N2UtOWFlMy00MTI0LTk0ZDYtMzFhNjljODBhZDA5XkEyXkFqcGdeQXVyNzA4ODc3ODU@._V1_UY98_CR1,0,67,98_AL_.jpg</v>
      </c>
    </row>
    <row r="484">
      <c r="A484" s="1">
        <v>483.0</v>
      </c>
      <c r="B484" s="1" t="s">
        <v>3036</v>
      </c>
      <c r="C484" s="2">
        <v>1.00206256E8</v>
      </c>
      <c r="D484" s="1">
        <v>2014.0</v>
      </c>
      <c r="E484" s="1" t="s">
        <v>37</v>
      </c>
      <c r="F484" s="1" t="s">
        <v>543</v>
      </c>
      <c r="G484" s="1" t="s">
        <v>88</v>
      </c>
      <c r="H484" s="1">
        <v>7.9</v>
      </c>
      <c r="I484" s="1" t="s">
        <v>3037</v>
      </c>
      <c r="J484" s="1">
        <v>71.0</v>
      </c>
      <c r="K484" s="1" t="s">
        <v>3038</v>
      </c>
      <c r="L484" s="1" t="s">
        <v>2486</v>
      </c>
      <c r="M484" s="1" t="s">
        <v>3039</v>
      </c>
      <c r="N484" s="1" t="s">
        <v>3001</v>
      </c>
      <c r="O484" s="1" t="s">
        <v>1525</v>
      </c>
      <c r="P484" s="1">
        <v>600004.0</v>
      </c>
      <c r="Q484" s="3" t="str">
        <f>VLOOKUP(A484,Posters!A484:B1483,2)</f>
        <v>https://m.media-amazon.com/images/M/MV5BMTc5OTk4MTM3M15BMl5BanBnXkFtZTgwODcxNjg3MDE@._V1_UX67_CR0,0,67,98_AL_.jpg</v>
      </c>
    </row>
    <row r="485">
      <c r="A485" s="1">
        <v>484.0</v>
      </c>
      <c r="B485" s="1" t="s">
        <v>3040</v>
      </c>
      <c r="C485" s="2">
        <v>6739492.0</v>
      </c>
      <c r="D485" s="1">
        <v>2012.0</v>
      </c>
      <c r="E485" s="1" t="s">
        <v>37</v>
      </c>
      <c r="F485" s="1" t="s">
        <v>234</v>
      </c>
      <c r="G485" s="1" t="s">
        <v>107</v>
      </c>
      <c r="H485" s="1">
        <v>7.9</v>
      </c>
      <c r="I485" s="1" t="s">
        <v>3041</v>
      </c>
      <c r="J485" s="1">
        <v>94.0</v>
      </c>
      <c r="K485" s="1" t="s">
        <v>3042</v>
      </c>
      <c r="L485" s="1" t="s">
        <v>1773</v>
      </c>
      <c r="M485" s="1" t="s">
        <v>3043</v>
      </c>
      <c r="N485" s="1" t="s">
        <v>3044</v>
      </c>
      <c r="O485" s="1" t="s">
        <v>3045</v>
      </c>
      <c r="P485" s="1">
        <v>93090.0</v>
      </c>
      <c r="Q485" s="3" t="str">
        <f>VLOOKUP(A485,Posters!A485:B1484,2)</f>
        <v>https://m.media-amazon.com/images/M/MV5BMTk1NTc3NDc4MF5BMl5BanBnXkFtZTcwNjYwNDk0OA@@._V1_UX67_CR0,0,67,98_AL_.jpg</v>
      </c>
    </row>
    <row r="486">
      <c r="A486" s="1">
        <v>485.0</v>
      </c>
      <c r="B486" s="1" t="s">
        <v>3046</v>
      </c>
      <c r="C486" s="2">
        <v>7000000.0</v>
      </c>
      <c r="D486" s="1">
        <v>2019.0</v>
      </c>
      <c r="E486" s="1" t="s">
        <v>212</v>
      </c>
      <c r="F486" s="1" t="s">
        <v>3047</v>
      </c>
      <c r="G486" s="1" t="s">
        <v>137</v>
      </c>
      <c r="H486" s="1">
        <v>7.9</v>
      </c>
      <c r="I486" s="1" t="s">
        <v>3048</v>
      </c>
      <c r="J486" s="1">
        <v>94.0</v>
      </c>
      <c r="K486" s="1" t="s">
        <v>139</v>
      </c>
      <c r="L486" s="1" t="s">
        <v>49</v>
      </c>
      <c r="M486" s="1" t="s">
        <v>33</v>
      </c>
      <c r="N486" s="1" t="s">
        <v>141</v>
      </c>
      <c r="O486" s="1" t="s">
        <v>780</v>
      </c>
      <c r="P486" s="1">
        <v>324720.0</v>
      </c>
      <c r="Q486" s="3" t="str">
        <f>VLOOKUP(A486,Posters!A486:B1485,2)</f>
        <v>https://m.media-amazon.com/images/M/MV5BMGUyM2ZiZmUtMWY0OC00NTQ4LThkOGUtNjY2NjkzMDJiMWMwXkEyXkFqcGdeQXVyMzY0MTE3NzU@._V1_UX67_CR0,0,67,98_AL_.jpg</v>
      </c>
    </row>
    <row r="487">
      <c r="A487" s="1">
        <v>486.0</v>
      </c>
      <c r="B487" s="1" t="s">
        <v>3049</v>
      </c>
      <c r="C487" s="2">
        <v>2084637.0</v>
      </c>
      <c r="D487" s="1">
        <v>2009.0</v>
      </c>
      <c r="E487" s="1" t="s">
        <v>18</v>
      </c>
      <c r="F487" s="1" t="s">
        <v>322</v>
      </c>
      <c r="G487" s="1" t="s">
        <v>29</v>
      </c>
      <c r="H487" s="1">
        <v>7.9</v>
      </c>
      <c r="I487" s="1" t="s">
        <v>3050</v>
      </c>
      <c r="J487" s="1">
        <v>90.0</v>
      </c>
      <c r="K487" s="1" t="s">
        <v>3051</v>
      </c>
      <c r="L487" s="1" t="s">
        <v>3052</v>
      </c>
      <c r="M487" s="1" t="s">
        <v>3053</v>
      </c>
      <c r="N487" s="1" t="s">
        <v>3054</v>
      </c>
      <c r="O487" s="1" t="s">
        <v>3055</v>
      </c>
      <c r="P487" s="1">
        <v>93560.0</v>
      </c>
      <c r="Q487" s="3" t="str">
        <f>VLOOKUP(A487,Posters!A487:B1486,2)</f>
        <v>https://m.media-amazon.com/images/M/MV5BMTUyMjQ1MTY5OV5BMl5BanBnXkFtZTcwNzY5NjExMw@@._V1_UY98_CR1,0,67,98_AL_.jpg</v>
      </c>
    </row>
    <row r="488">
      <c r="A488" s="1">
        <v>487.0</v>
      </c>
      <c r="B488" s="1" t="s">
        <v>3056</v>
      </c>
      <c r="C488" s="2">
        <v>5009677.0</v>
      </c>
      <c r="D488" s="1">
        <v>2009.0</v>
      </c>
      <c r="E488" s="1" t="s">
        <v>212</v>
      </c>
      <c r="F488" s="1" t="s">
        <v>2864</v>
      </c>
      <c r="G488" s="1" t="s">
        <v>304</v>
      </c>
      <c r="H488" s="1">
        <v>7.9</v>
      </c>
      <c r="I488" s="1" t="s">
        <v>3057</v>
      </c>
      <c r="J488" s="1">
        <v>67.0</v>
      </c>
      <c r="K488" s="1" t="s">
        <v>3058</v>
      </c>
      <c r="L488" s="1" t="s">
        <v>974</v>
      </c>
      <c r="M488" s="1" t="s">
        <v>237</v>
      </c>
      <c r="N488" s="1" t="s">
        <v>3059</v>
      </c>
      <c r="O488" s="1" t="s">
        <v>3060</v>
      </c>
      <c r="P488" s="1">
        <v>335152.0</v>
      </c>
      <c r="Q488" s="3" t="str">
        <f>VLOOKUP(A488,Posters!A488:B1487,2)</f>
        <v>https://m.media-amazon.com/images/M/MV5BMTgzODgyNTQwOV5BMl5BanBnXkFtZTcwNzc0NTc0Mg@@._V1_UX67_CR0,0,67,98_AL_.jpg</v>
      </c>
    </row>
    <row r="489">
      <c r="A489" s="1">
        <v>488.0</v>
      </c>
      <c r="B489" s="1" t="s">
        <v>3061</v>
      </c>
      <c r="C489" s="2">
        <v>2122065.0</v>
      </c>
      <c r="D489" s="1">
        <v>2008.0</v>
      </c>
      <c r="E489" s="1" t="s">
        <v>212</v>
      </c>
      <c r="F489" s="1" t="s">
        <v>825</v>
      </c>
      <c r="G489" s="1" t="s">
        <v>220</v>
      </c>
      <c r="H489" s="1">
        <v>7.9</v>
      </c>
      <c r="I489" s="1" t="s">
        <v>3062</v>
      </c>
      <c r="J489" s="1">
        <v>82.0</v>
      </c>
      <c r="K489" s="1" t="s">
        <v>3063</v>
      </c>
      <c r="L489" s="1" t="s">
        <v>3064</v>
      </c>
      <c r="M489" s="1" t="s">
        <v>3065</v>
      </c>
      <c r="N489" s="1" t="s">
        <v>3066</v>
      </c>
      <c r="O489" s="1" t="s">
        <v>3067</v>
      </c>
      <c r="P489" s="1">
        <v>205609.0</v>
      </c>
      <c r="Q489" s="3" t="str">
        <f>VLOOKUP(A489,Posters!A489:B1488,2)</f>
        <v>https://m.media-amazon.com/images/M/MV5BOWM4NTY2NTMtZDZlZS00NTgyLWEzZDMtODE3ZGI1MzI3ZmU5XkEyXkFqcGdeQXVyNzI1NzMxNzM@._V1_UY98_CR1,0,67,98_AL_.jpg</v>
      </c>
    </row>
    <row r="490">
      <c r="A490" s="1">
        <v>489.0</v>
      </c>
      <c r="B490" s="1" t="s">
        <v>3068</v>
      </c>
      <c r="C490" s="2">
        <v>1.15646235E8</v>
      </c>
      <c r="D490" s="1">
        <v>2009.0</v>
      </c>
      <c r="E490" s="1" t="s">
        <v>18</v>
      </c>
      <c r="F490" s="1" t="s">
        <v>295</v>
      </c>
      <c r="G490" s="1" t="s">
        <v>1871</v>
      </c>
      <c r="H490" s="1">
        <v>7.9</v>
      </c>
      <c r="I490" s="1" t="s">
        <v>3069</v>
      </c>
      <c r="J490" s="1">
        <v>81.0</v>
      </c>
      <c r="K490" s="1" t="s">
        <v>3070</v>
      </c>
      <c r="L490" s="1" t="s">
        <v>3071</v>
      </c>
      <c r="M490" s="1" t="s">
        <v>3072</v>
      </c>
      <c r="N490" s="1" t="s">
        <v>3073</v>
      </c>
      <c r="O490" s="1" t="s">
        <v>3074</v>
      </c>
      <c r="P490" s="1">
        <v>638202.0</v>
      </c>
      <c r="Q490" s="3" t="str">
        <f>VLOOKUP(A490,Posters!A490:B1489,2)</f>
        <v>https://m.media-amazon.com/images/M/MV5BYmQ5MzFjYWMtMTMwNC00ZGU5LWI3YTQtYzhkMGExNGFlY2Q0XkEyXkFqcGdeQXVyNTIzOTk5ODM@._V1_UX67_CR0,0,67,98_AL_.jpg</v>
      </c>
    </row>
    <row r="491">
      <c r="A491" s="1">
        <v>490.0</v>
      </c>
      <c r="B491" s="1" t="s">
        <v>3075</v>
      </c>
      <c r="C491" s="2">
        <v>2.6236603E7</v>
      </c>
      <c r="D491" s="1">
        <v>2008.0</v>
      </c>
      <c r="E491" s="1" t="s">
        <v>37</v>
      </c>
      <c r="F491" s="1" t="s">
        <v>396</v>
      </c>
      <c r="G491" s="1" t="s">
        <v>1622</v>
      </c>
      <c r="H491" s="1">
        <v>7.9</v>
      </c>
      <c r="I491" s="1" t="s">
        <v>3076</v>
      </c>
      <c r="J491" s="1">
        <v>80.0</v>
      </c>
      <c r="K491" s="1" t="s">
        <v>739</v>
      </c>
      <c r="L491" s="1" t="s">
        <v>2383</v>
      </c>
      <c r="M491" s="1" t="s">
        <v>3077</v>
      </c>
      <c r="N491" s="1" t="s">
        <v>3078</v>
      </c>
      <c r="O491" s="1" t="s">
        <v>3079</v>
      </c>
      <c r="P491" s="1">
        <v>289415.0</v>
      </c>
      <c r="Q491" s="3" t="str">
        <f>VLOOKUP(A491,Posters!A491:B1490,2)</f>
        <v>https://m.media-amazon.com/images/M/MV5BMTc5MjYyOTg4MF5BMl5BanBnXkFtZTcwNDc2MzQwMg@@._V1_UX67_CR0,0,67,98_AL_.jpg</v>
      </c>
    </row>
    <row r="492">
      <c r="A492" s="1">
        <v>491.0</v>
      </c>
      <c r="B492" s="1" t="s">
        <v>3080</v>
      </c>
      <c r="C492" s="1" t="s">
        <v>3081</v>
      </c>
      <c r="D492" s="1">
        <v>2007.0</v>
      </c>
      <c r="E492" s="1" t="s">
        <v>52</v>
      </c>
      <c r="F492" s="1" t="s">
        <v>947</v>
      </c>
      <c r="G492" s="1" t="s">
        <v>227</v>
      </c>
      <c r="H492" s="1">
        <v>7.9</v>
      </c>
      <c r="I492" s="1" t="s">
        <v>3082</v>
      </c>
      <c r="K492" s="1" t="s">
        <v>3083</v>
      </c>
      <c r="L492" s="1" t="s">
        <v>1416</v>
      </c>
      <c r="M492" s="1" t="s">
        <v>2166</v>
      </c>
      <c r="N492" s="1" t="s">
        <v>3084</v>
      </c>
      <c r="O492" s="1" t="s">
        <v>3085</v>
      </c>
      <c r="P492" s="1">
        <v>47720.0</v>
      </c>
      <c r="Q492" s="3" t="str">
        <f>VLOOKUP(A492,Posters!A492:B1491,2)</f>
        <v>https://m.media-amazon.com/images/M/MV5BYmIzYmY4MGItM2I4YS00OWZhLWFmMzQtYzI2MWY1MmM3NGU1XkEyXkFqcGdeQXVyNjQ2MjQ5NzM@._V1_UY98_CR0,0,67,98_AL_.jpg</v>
      </c>
    </row>
    <row r="493">
      <c r="A493" s="1">
        <v>492.0</v>
      </c>
      <c r="B493" s="1" t="s">
        <v>3086</v>
      </c>
      <c r="C493" s="2">
        <v>2.5379975E7</v>
      </c>
      <c r="D493" s="1">
        <v>2014.0</v>
      </c>
      <c r="E493" s="1" t="s">
        <v>18</v>
      </c>
      <c r="F493" s="1" t="s">
        <v>390</v>
      </c>
      <c r="G493" s="1" t="s">
        <v>20</v>
      </c>
      <c r="H493" s="1">
        <v>7.9</v>
      </c>
      <c r="I493" s="1" t="s">
        <v>3087</v>
      </c>
      <c r="J493" s="1">
        <v>100.0</v>
      </c>
      <c r="K493" s="1" t="s">
        <v>1641</v>
      </c>
      <c r="L493" s="1" t="s">
        <v>3088</v>
      </c>
      <c r="M493" s="1" t="s">
        <v>3089</v>
      </c>
      <c r="N493" s="1" t="s">
        <v>1642</v>
      </c>
      <c r="O493" s="1" t="s">
        <v>3090</v>
      </c>
      <c r="P493" s="1">
        <v>335533.0</v>
      </c>
      <c r="Q493" s="3" t="str">
        <f>VLOOKUP(A493,Posters!A493:B1492,2)</f>
        <v>https://m.media-amazon.com/images/M/MV5BMTYzNDc2MDc0N15BMl5BanBnXkFtZTgwOTcwMDQ5MTE@._V1_UX67_CR0,0,67,98_AL_.jpg</v>
      </c>
    </row>
    <row r="494">
      <c r="A494" s="1">
        <v>493.0</v>
      </c>
      <c r="B494" s="1" t="s">
        <v>3091</v>
      </c>
      <c r="C494" s="2">
        <v>1185783.0</v>
      </c>
      <c r="D494" s="1">
        <v>2007.0</v>
      </c>
      <c r="E494" s="1">
        <v>18.0</v>
      </c>
      <c r="F494" s="1" t="s">
        <v>543</v>
      </c>
      <c r="G494" s="1" t="s">
        <v>20</v>
      </c>
      <c r="H494" s="1">
        <v>7.9</v>
      </c>
      <c r="I494" s="1" t="s">
        <v>3092</v>
      </c>
      <c r="J494" s="1">
        <v>97.0</v>
      </c>
      <c r="K494" s="1" t="s">
        <v>3093</v>
      </c>
      <c r="L494" s="1" t="s">
        <v>3094</v>
      </c>
      <c r="M494" s="1" t="s">
        <v>3095</v>
      </c>
      <c r="N494" s="1" t="s">
        <v>3096</v>
      </c>
      <c r="O494" s="1" t="s">
        <v>3097</v>
      </c>
      <c r="P494" s="1">
        <v>56625.0</v>
      </c>
      <c r="Q494" s="3" t="str">
        <f>VLOOKUP(A494,Posters!A494:B1493,2)</f>
        <v>https://m.media-amazon.com/images/M/MV5BYzU1YWUzNjYtNmVhZi00ODUyLTg4M2ItMTFlMmU1Mzc5OTE5XkEyXkFqcGdeQXVyMTMxODk2OTU@._V1_UY98_CR1,0,67,98_AL_.jpg</v>
      </c>
    </row>
    <row r="495">
      <c r="A495" s="1">
        <v>494.0</v>
      </c>
      <c r="B495" s="1" t="s">
        <v>3098</v>
      </c>
      <c r="C495" s="2">
        <v>2.57730019E8</v>
      </c>
      <c r="D495" s="1">
        <v>2009.0</v>
      </c>
      <c r="E495" s="1" t="s">
        <v>37</v>
      </c>
      <c r="F495" s="1" t="s">
        <v>234</v>
      </c>
      <c r="G495" s="1" t="s">
        <v>88</v>
      </c>
      <c r="H495" s="1">
        <v>7.9</v>
      </c>
      <c r="I495" s="1" t="s">
        <v>3099</v>
      </c>
      <c r="J495" s="1">
        <v>82.0</v>
      </c>
      <c r="K495" s="1" t="s">
        <v>3012</v>
      </c>
      <c r="L495" s="1" t="s">
        <v>3100</v>
      </c>
      <c r="M495" s="1" t="s">
        <v>3101</v>
      </c>
      <c r="N495" s="1" t="s">
        <v>3102</v>
      </c>
      <c r="O495" s="1" t="s">
        <v>3103</v>
      </c>
      <c r="P495" s="1">
        <v>577336.0</v>
      </c>
      <c r="Q495" s="3" t="str">
        <f>VLOOKUP(A495,Posters!A495:B1494,2)</f>
        <v>https://m.media-amazon.com/images/M/MV5BMjE5NDQ5OTE4Ml5BMl5BanBnXkFtZTcwOTE3NDIzMw@@._V1_UX67_CR0,0,67,98_AL_.jpg</v>
      </c>
    </row>
    <row r="496">
      <c r="A496" s="1">
        <v>495.0</v>
      </c>
      <c r="B496" s="1" t="s">
        <v>3104</v>
      </c>
      <c r="C496" s="2">
        <v>7757130.0</v>
      </c>
      <c r="D496" s="1">
        <v>2008.0</v>
      </c>
      <c r="E496" s="1" t="s">
        <v>212</v>
      </c>
      <c r="F496" s="1" t="s">
        <v>907</v>
      </c>
      <c r="G496" s="1" t="s">
        <v>831</v>
      </c>
      <c r="H496" s="1">
        <v>7.9</v>
      </c>
      <c r="I496" s="1" t="s">
        <v>3105</v>
      </c>
      <c r="J496" s="1">
        <v>67.0</v>
      </c>
      <c r="K496" s="1" t="s">
        <v>971</v>
      </c>
      <c r="L496" s="1" t="s">
        <v>3106</v>
      </c>
      <c r="M496" s="1" t="s">
        <v>1525</v>
      </c>
      <c r="N496" s="1" t="s">
        <v>1094</v>
      </c>
      <c r="O496" s="1" t="s">
        <v>3107</v>
      </c>
      <c r="P496" s="1">
        <v>390334.0</v>
      </c>
      <c r="Q496" s="3" t="str">
        <f>VLOOKUP(A496,Posters!A496:B1495,2)</f>
        <v>https://m.media-amazon.com/images/M/MV5BMTUwOGFiM2QtOWMxYS00MjU2LThmZDMtZDM2MWMzNzllNjdhXkEyXkFqcGdeQXVyMTMxODk2OTU@._V1_UX67_CR0,0,67,98_AL_.jpg</v>
      </c>
    </row>
    <row r="497">
      <c r="A497" s="1">
        <v>496.0</v>
      </c>
      <c r="B497" s="1" t="s">
        <v>3108</v>
      </c>
      <c r="C497" s="1">
        <v>200.0</v>
      </c>
      <c r="D497" s="1">
        <v>2007.0</v>
      </c>
      <c r="E497" s="1" t="s">
        <v>270</v>
      </c>
      <c r="F497" s="1" t="s">
        <v>415</v>
      </c>
      <c r="G497" s="1" t="s">
        <v>3109</v>
      </c>
      <c r="H497" s="1">
        <v>7.9</v>
      </c>
      <c r="I497" s="1" t="s">
        <v>3110</v>
      </c>
      <c r="K497" s="1" t="s">
        <v>3111</v>
      </c>
      <c r="L497" s="1" t="s">
        <v>3112</v>
      </c>
      <c r="M497" s="1" t="s">
        <v>3113</v>
      </c>
      <c r="N497" s="1" t="s">
        <v>3114</v>
      </c>
      <c r="O497" s="1" t="s">
        <v>3115</v>
      </c>
      <c r="P497" s="1">
        <v>174125.0</v>
      </c>
      <c r="Q497" s="3" t="str">
        <f>VLOOKUP(A497,Posters!A497:B1496,2)</f>
        <v>https://m.media-amazon.com/images/M/MV5BMzQ5NGQwOTUtNWJlZi00ZTFiLWI0ZTEtOGU3MTA2ZGU5OWZiXkEyXkFqcGdeQXVyMTczNjQwOTY@._V1_UX67_CR0,0,67,98_AL_.jpg</v>
      </c>
    </row>
    <row r="498">
      <c r="A498" s="1">
        <v>497.0</v>
      </c>
      <c r="B498" s="1" t="s">
        <v>3116</v>
      </c>
      <c r="C498" s="2">
        <v>1.3756082E7</v>
      </c>
      <c r="D498" s="1">
        <v>2006.0</v>
      </c>
      <c r="E498" s="1" t="s">
        <v>37</v>
      </c>
      <c r="F498" s="1" t="s">
        <v>1672</v>
      </c>
      <c r="G498" s="1" t="s">
        <v>62</v>
      </c>
      <c r="H498" s="1">
        <v>7.9</v>
      </c>
      <c r="I498" s="1" t="s">
        <v>3117</v>
      </c>
      <c r="J498" s="1">
        <v>89.0</v>
      </c>
      <c r="K498" s="1" t="s">
        <v>119</v>
      </c>
      <c r="L498" s="1" t="s">
        <v>93</v>
      </c>
      <c r="M498" s="1" t="s">
        <v>3118</v>
      </c>
      <c r="N498" s="1" t="s">
        <v>3119</v>
      </c>
      <c r="O498" s="1" t="s">
        <v>3120</v>
      </c>
      <c r="P498" s="1">
        <v>154011.0</v>
      </c>
      <c r="Q498" s="3" t="str">
        <f>VLOOKUP(A498,Posters!A498:B1497,2)</f>
        <v>https://m.media-amazon.com/images/M/MV5BMjE0NzgwODI4M15BMl5BanBnXkFtZTcwNjg3OTA0MQ@@._V1_UX67_CR0,0,67,98_AL_.jpg</v>
      </c>
    </row>
    <row r="499">
      <c r="A499" s="1">
        <v>498.0</v>
      </c>
      <c r="B499" s="1" t="s">
        <v>3121</v>
      </c>
      <c r="C499" s="2">
        <v>2280348.0</v>
      </c>
      <c r="D499" s="1">
        <v>2006.0</v>
      </c>
      <c r="E499" s="1" t="s">
        <v>212</v>
      </c>
      <c r="F499" s="1" t="s">
        <v>466</v>
      </c>
      <c r="G499" s="1" t="s">
        <v>1565</v>
      </c>
      <c r="H499" s="1">
        <v>7.9</v>
      </c>
      <c r="I499" s="1" t="s">
        <v>3122</v>
      </c>
      <c r="J499" s="1">
        <v>64.0</v>
      </c>
      <c r="K499" s="1" t="s">
        <v>3123</v>
      </c>
      <c r="L499" s="1" t="s">
        <v>3124</v>
      </c>
      <c r="M499" s="1" t="s">
        <v>3125</v>
      </c>
      <c r="N499" s="1" t="s">
        <v>3126</v>
      </c>
      <c r="O499" s="1" t="s">
        <v>3127</v>
      </c>
      <c r="P499" s="1">
        <v>107290.0</v>
      </c>
      <c r="Q499" s="3" t="str">
        <f>VLOOKUP(A499,Posters!A499:B1498,2)</f>
        <v>https://m.media-amazon.com/images/M/MV5BMjAzODUwMjM1M15BMl5BanBnXkFtZTcwNjU2MjU2MQ@@._V1_UX67_CR0,0,67,98_AL_.jpg</v>
      </c>
    </row>
    <row r="500">
      <c r="A500" s="1">
        <v>499.0</v>
      </c>
      <c r="B500" s="1" t="s">
        <v>3128</v>
      </c>
      <c r="C500" s="2">
        <v>1.24987023E8</v>
      </c>
      <c r="D500" s="1">
        <v>2012.0</v>
      </c>
      <c r="E500" s="1" t="s">
        <v>52</v>
      </c>
      <c r="F500" s="1" t="s">
        <v>234</v>
      </c>
      <c r="G500" s="1" t="s">
        <v>1565</v>
      </c>
      <c r="H500" s="1">
        <v>7.9</v>
      </c>
      <c r="I500" s="1" t="s">
        <v>3129</v>
      </c>
      <c r="J500" s="1">
        <v>79.0</v>
      </c>
      <c r="K500" s="1" t="s">
        <v>3130</v>
      </c>
      <c r="L500" s="1" t="s">
        <v>3131</v>
      </c>
      <c r="M500" s="1" t="s">
        <v>980</v>
      </c>
      <c r="N500" s="1" t="s">
        <v>3132</v>
      </c>
      <c r="O500" s="1" t="s">
        <v>660</v>
      </c>
      <c r="P500" s="1">
        <v>580708.0</v>
      </c>
      <c r="Q500" s="3" t="str">
        <f>VLOOKUP(A500,Posters!A500:B1499,2)</f>
        <v>https://m.media-amazon.com/images/M/MV5BNTg2OTY2ODg5OF5BMl5BanBnXkFtZTcwODM5MTYxOA@@._V1_UX67_CR0,0,67,98_AL_.jpg</v>
      </c>
    </row>
    <row r="501">
      <c r="A501" s="1">
        <v>500.0</v>
      </c>
      <c r="B501" s="1" t="s">
        <v>3133</v>
      </c>
      <c r="C501" s="2">
        <v>2.1002919E7</v>
      </c>
      <c r="D501" s="1">
        <v>2009.0</v>
      </c>
      <c r="E501" s="1" t="s">
        <v>270</v>
      </c>
      <c r="F501" s="1" t="s">
        <v>415</v>
      </c>
      <c r="G501" s="1" t="s">
        <v>765</v>
      </c>
      <c r="H501" s="1">
        <v>7.9</v>
      </c>
      <c r="I501" s="1" t="s">
        <v>3134</v>
      </c>
      <c r="J501" s="1">
        <v>83.0</v>
      </c>
      <c r="K501" s="1" t="s">
        <v>1468</v>
      </c>
      <c r="L501" s="1" t="s">
        <v>3135</v>
      </c>
      <c r="M501" s="1" t="s">
        <v>3136</v>
      </c>
      <c r="N501" s="1" t="s">
        <v>2569</v>
      </c>
      <c r="O501" s="1" t="s">
        <v>995</v>
      </c>
      <c r="P501" s="1">
        <v>199696.0</v>
      </c>
      <c r="Q501" s="3" t="str">
        <f>VLOOKUP(A501,Posters!A501:B1500,2)</f>
        <v>https://m.media-amazon.com/images/M/MV5BOGUwYTU4NGEtNDM4MS00NDRjLTkwNmQtOTkwMWMyMjhmMjdlXkEyXkFqcGdeQXVyMTMxODk2OTU@._V1_UX67_CR0,0,67,98_AL_.jpg</v>
      </c>
    </row>
    <row r="502">
      <c r="A502" s="1">
        <v>501.0</v>
      </c>
      <c r="B502" s="1" t="s">
        <v>3137</v>
      </c>
      <c r="C502" s="2">
        <v>3710169.0</v>
      </c>
      <c r="D502" s="1">
        <v>2005.0</v>
      </c>
      <c r="E502" s="1">
        <v>16.0</v>
      </c>
      <c r="F502" s="1" t="s">
        <v>830</v>
      </c>
      <c r="G502" s="1" t="s">
        <v>507</v>
      </c>
      <c r="H502" s="1">
        <v>7.9</v>
      </c>
      <c r="I502" s="1" t="s">
        <v>3138</v>
      </c>
      <c r="J502" s="1">
        <v>81.0</v>
      </c>
      <c r="K502" s="1" t="s">
        <v>2350</v>
      </c>
      <c r="L502" s="1" t="s">
        <v>3139</v>
      </c>
      <c r="M502" s="1" t="s">
        <v>3140</v>
      </c>
      <c r="N502" s="1" t="s">
        <v>3141</v>
      </c>
      <c r="O502" s="1" t="s">
        <v>3142</v>
      </c>
      <c r="P502" s="1">
        <v>31476.0</v>
      </c>
      <c r="Q502" s="3" t="str">
        <f>VLOOKUP(A502,Posters!A502:B1501,2)</f>
        <v>https://m.media-amazon.com/images/M/MV5BMTU3MDc2MjUwMV5BMl5BanBnXkFtZTcwNzQyMDAzMQ@@._V1_UY98_CR0,0,67,98_AL_.jpg</v>
      </c>
    </row>
    <row r="503">
      <c r="A503" s="1">
        <v>502.0</v>
      </c>
      <c r="B503" s="1" t="s">
        <v>3143</v>
      </c>
      <c r="C503" s="2">
        <v>3635164.0</v>
      </c>
      <c r="D503" s="1">
        <v>2004.0</v>
      </c>
      <c r="E503" s="1" t="s">
        <v>161</v>
      </c>
      <c r="F503" s="1" t="s">
        <v>2864</v>
      </c>
      <c r="G503" s="1" t="s">
        <v>287</v>
      </c>
      <c r="H503" s="1">
        <v>7.9</v>
      </c>
      <c r="I503" s="1" t="s">
        <v>3144</v>
      </c>
      <c r="J503" s="1">
        <v>56.0</v>
      </c>
      <c r="K503" s="1" t="s">
        <v>3145</v>
      </c>
      <c r="L503" s="1" t="s">
        <v>3146</v>
      </c>
      <c r="M503" s="1" t="s">
        <v>3147</v>
      </c>
      <c r="N503" s="1" t="s">
        <v>3148</v>
      </c>
      <c r="O503" s="1" t="s">
        <v>3149</v>
      </c>
      <c r="P503" s="1">
        <v>57430.0</v>
      </c>
      <c r="Q503" s="3" t="str">
        <f>VLOOKUP(A503,Posters!A503:B1502,2)</f>
        <v>https://m.media-amazon.com/images/M/MV5BOGY1M2MwOTEtZDIyNi00YjNlLWExYmEtNzBjOGI3N2QzNTg5XkEyXkFqcGdeQXVyMTMxODk2OTU@._V1_UX67_CR0,0,67,98_AL_.jpg</v>
      </c>
    </row>
    <row r="504">
      <c r="A504" s="1">
        <v>503.0</v>
      </c>
      <c r="B504" s="1" t="s">
        <v>3150</v>
      </c>
      <c r="C504" s="2">
        <v>3.18412101E8</v>
      </c>
      <c r="D504" s="1">
        <v>2008.0</v>
      </c>
      <c r="E504" s="1" t="s">
        <v>37</v>
      </c>
      <c r="F504" s="1" t="s">
        <v>428</v>
      </c>
      <c r="G504" s="1" t="s">
        <v>88</v>
      </c>
      <c r="H504" s="1">
        <v>7.9</v>
      </c>
      <c r="I504" s="1" t="s">
        <v>3151</v>
      </c>
      <c r="J504" s="1">
        <v>79.0</v>
      </c>
      <c r="K504" s="1" t="s">
        <v>3152</v>
      </c>
      <c r="L504" s="1" t="s">
        <v>479</v>
      </c>
      <c r="M504" s="1" t="s">
        <v>3153</v>
      </c>
      <c r="N504" s="1" t="s">
        <v>3154</v>
      </c>
      <c r="O504" s="1" t="s">
        <v>1727</v>
      </c>
      <c r="P504" s="1">
        <v>939644.0</v>
      </c>
      <c r="Q504" s="3" t="str">
        <f>VLOOKUP(A504,Posters!A504:B1503,2)</f>
        <v>https://m.media-amazon.com/images/M/MV5BMTczNTI2ODUwOF5BMl5BanBnXkFtZTcwMTU0NTIzMw@@._V1_UX67_CR0,0,67,98_AL_.jpg</v>
      </c>
    </row>
    <row r="505">
      <c r="A505" s="1">
        <v>504.0</v>
      </c>
      <c r="B505" s="1" t="s">
        <v>3155</v>
      </c>
      <c r="C505" s="2">
        <v>1.3542874E7</v>
      </c>
      <c r="D505" s="1">
        <v>2004.0</v>
      </c>
      <c r="E505" s="1" t="s">
        <v>37</v>
      </c>
      <c r="F505" s="1" t="s">
        <v>778</v>
      </c>
      <c r="G505" s="1" t="s">
        <v>3156</v>
      </c>
      <c r="H505" s="1">
        <v>7.9</v>
      </c>
      <c r="I505" s="1" t="s">
        <v>3157</v>
      </c>
      <c r="J505" s="1">
        <v>76.0</v>
      </c>
      <c r="K505" s="1" t="s">
        <v>3158</v>
      </c>
      <c r="L505" s="1" t="s">
        <v>3102</v>
      </c>
      <c r="M505" s="1" t="s">
        <v>3159</v>
      </c>
      <c r="N505" s="1" t="s">
        <v>3160</v>
      </c>
      <c r="O505" s="1" t="s">
        <v>3161</v>
      </c>
      <c r="P505" s="1">
        <v>512249.0</v>
      </c>
      <c r="Q505" s="3" t="str">
        <f>VLOOKUP(A505,Posters!A505:B1504,2)</f>
        <v>https://m.media-amazon.com/images/M/MV5BMTg5Mjk2NDMtZTk0Ny00YTQ0LWIzYWEtMWI5MGQ0Mjg1OTNkXkEyXkFqcGdeQXVyNzkwMjQ5NzM@._V1_UX67_CR0,0,67,98_AL_.jpg</v>
      </c>
    </row>
    <row r="506">
      <c r="A506" s="1">
        <v>505.0</v>
      </c>
      <c r="B506" s="1" t="s">
        <v>3162</v>
      </c>
      <c r="C506" s="2">
        <v>1.1065801E7</v>
      </c>
      <c r="D506" s="1">
        <v>2004.0</v>
      </c>
      <c r="E506" s="1" t="s">
        <v>212</v>
      </c>
      <c r="F506" s="1" t="s">
        <v>249</v>
      </c>
      <c r="G506" s="1" t="s">
        <v>107</v>
      </c>
      <c r="H506" s="1">
        <v>7.9</v>
      </c>
      <c r="I506" s="1" t="s">
        <v>3163</v>
      </c>
      <c r="J506" s="1">
        <v>78.0</v>
      </c>
      <c r="K506" s="1" t="s">
        <v>3164</v>
      </c>
      <c r="L506" s="1" t="s">
        <v>3165</v>
      </c>
      <c r="M506" s="1" t="s">
        <v>3166</v>
      </c>
      <c r="N506" s="1" t="s">
        <v>3167</v>
      </c>
      <c r="O506" s="1" t="s">
        <v>3168</v>
      </c>
      <c r="P506" s="1">
        <v>51325.0</v>
      </c>
      <c r="Q506" s="3" t="str">
        <f>VLOOKUP(A506,Posters!A506:B1505,2)</f>
        <v>https://m.media-amazon.com/images/M/MV5BODBiNzYxNzYtMjkyMi00MjUyLWJkM2YtZjNkMDhhYmEwMTRiL2ltYWdlXkEyXkFqcGdeQXVyNTAyODkwOQ@@._V1_UY98_CR1,0,67,98_AL_.jpg</v>
      </c>
    </row>
    <row r="507">
      <c r="A507" s="1">
        <v>506.0</v>
      </c>
      <c r="B507" s="1" t="s">
        <v>3169</v>
      </c>
      <c r="C507" s="2">
        <v>9.0135191E7</v>
      </c>
      <c r="D507" s="1">
        <v>2003.0</v>
      </c>
      <c r="E507" s="1" t="s">
        <v>18</v>
      </c>
      <c r="F507" s="1" t="s">
        <v>947</v>
      </c>
      <c r="G507" s="1" t="s">
        <v>235</v>
      </c>
      <c r="H507" s="1">
        <v>7.9</v>
      </c>
      <c r="I507" s="1" t="s">
        <v>3170</v>
      </c>
      <c r="J507" s="1">
        <v>84.0</v>
      </c>
      <c r="K507" s="1" t="s">
        <v>119</v>
      </c>
      <c r="L507" s="1" t="s">
        <v>1605</v>
      </c>
      <c r="M507" s="1" t="s">
        <v>23</v>
      </c>
      <c r="N507" s="1" t="s">
        <v>3171</v>
      </c>
      <c r="O507" s="1" t="s">
        <v>3172</v>
      </c>
      <c r="P507" s="1">
        <v>419420.0</v>
      </c>
      <c r="Q507" s="3" t="str">
        <f>VLOOKUP(A507,Posters!A507:B1506,2)</f>
        <v>https://m.media-amazon.com/images/M/MV5BMTIzNDUyMjA4MV5BMl5BanBnXkFtZTYwNDc4ODM3._V1_UX67_CR0,0,67,98_AL_.jpg</v>
      </c>
    </row>
    <row r="508">
      <c r="A508" s="1">
        <v>507.0</v>
      </c>
      <c r="B508" s="1" t="s">
        <v>3173</v>
      </c>
      <c r="C508" s="2">
        <v>2.49358727E8</v>
      </c>
      <c r="D508" s="1">
        <v>2004.0</v>
      </c>
      <c r="E508" s="1" t="s">
        <v>52</v>
      </c>
      <c r="F508" s="1" t="s">
        <v>19</v>
      </c>
      <c r="G508" s="1" t="s">
        <v>2629</v>
      </c>
      <c r="H508" s="1">
        <v>7.9</v>
      </c>
      <c r="I508" s="1" t="s">
        <v>3174</v>
      </c>
      <c r="J508" s="1">
        <v>82.0</v>
      </c>
      <c r="K508" s="1" t="s">
        <v>3175</v>
      </c>
      <c r="L508" s="1" t="s">
        <v>1568</v>
      </c>
      <c r="M508" s="1" t="s">
        <v>1569</v>
      </c>
      <c r="N508" s="1" t="s">
        <v>1570</v>
      </c>
      <c r="O508" s="1" t="s">
        <v>3176</v>
      </c>
      <c r="P508" s="1">
        <v>552493.0</v>
      </c>
      <c r="Q508" s="3" t="str">
        <f>VLOOKUP(A508,Posters!A508:B1507,2)</f>
        <v>https://m.media-amazon.com/images/M/MV5BMTY4NTIwODg0N15BMl5BanBnXkFtZTcwOTc0MjEzMw@@._V1_UX67_CR0,0,67,98_AL_.jpg</v>
      </c>
    </row>
    <row r="509">
      <c r="A509" s="1">
        <v>508.0</v>
      </c>
      <c r="B509" s="1" t="s">
        <v>3177</v>
      </c>
      <c r="C509" s="2">
        <v>5.3710019E7</v>
      </c>
      <c r="D509" s="1">
        <v>2002.0</v>
      </c>
      <c r="E509" s="1" t="s">
        <v>161</v>
      </c>
      <c r="F509" s="1" t="s">
        <v>1546</v>
      </c>
      <c r="G509" s="1" t="s">
        <v>3178</v>
      </c>
      <c r="H509" s="1">
        <v>7.9</v>
      </c>
      <c r="I509" s="1" t="s">
        <v>3179</v>
      </c>
      <c r="J509" s="1">
        <v>85.0</v>
      </c>
      <c r="K509" s="1" t="s">
        <v>1804</v>
      </c>
      <c r="L509" s="1" t="s">
        <v>3180</v>
      </c>
      <c r="M509" s="1" t="s">
        <v>1732</v>
      </c>
      <c r="N509" s="1" t="s">
        <v>1733</v>
      </c>
      <c r="O509" s="1" t="s">
        <v>3181</v>
      </c>
      <c r="P509" s="1">
        <v>173999.0</v>
      </c>
      <c r="Q509" s="3" t="str">
        <f>VLOOKUP(A509,Posters!A509:B1508,2)</f>
        <v>https://m.media-amazon.com/images/M/MV5BMWQ2MjQ0OTctMWE1OC00NjZjLTk3ZDAtNTk3NTZiYWMxYTlmXkEyXkFqcGdeQXVyMTQxNzMzNDI@._V1_UX67_CR0,0,67,98_AL_.jpg</v>
      </c>
    </row>
    <row r="510">
      <c r="A510" s="1">
        <v>509.0</v>
      </c>
      <c r="B510" s="1" t="s">
        <v>3182</v>
      </c>
      <c r="C510" s="2">
        <v>9284265.0</v>
      </c>
      <c r="D510" s="1">
        <v>2002.0</v>
      </c>
      <c r="E510" s="1" t="s">
        <v>212</v>
      </c>
      <c r="F510" s="1" t="s">
        <v>295</v>
      </c>
      <c r="G510" s="1" t="s">
        <v>1051</v>
      </c>
      <c r="H510" s="1">
        <v>7.9</v>
      </c>
      <c r="I510" s="1" t="s">
        <v>3183</v>
      </c>
      <c r="J510" s="1">
        <v>86.0</v>
      </c>
      <c r="K510" s="1" t="s">
        <v>3184</v>
      </c>
      <c r="L510" s="1" t="s">
        <v>3185</v>
      </c>
      <c r="M510" s="1" t="s">
        <v>3186</v>
      </c>
      <c r="N510" s="1" t="s">
        <v>1434</v>
      </c>
      <c r="O510" s="1" t="s">
        <v>3187</v>
      </c>
      <c r="P510" s="1">
        <v>104691.0</v>
      </c>
      <c r="Q510" s="3" t="str">
        <f>VLOOKUP(A510,Posters!A510:B1509,2)</f>
        <v>https://m.media-amazon.com/images/M/MV5BYmVmMGQ3NzEtM2FiNi00YThhLWFkZjYtM2Y0MjZjNGE4NzM0XkEyXkFqcGdeQXVyODc0OTEyNDU@._V1_UY98_CR1,0,67,98_AL_.jpg</v>
      </c>
    </row>
    <row r="511">
      <c r="A511" s="1">
        <v>510.0</v>
      </c>
      <c r="B511" s="1" t="s">
        <v>3188</v>
      </c>
      <c r="C511" s="2">
        <v>1059830.0</v>
      </c>
      <c r="D511" s="1">
        <v>2001.0</v>
      </c>
      <c r="E511" s="1" t="s">
        <v>212</v>
      </c>
      <c r="F511" s="1" t="s">
        <v>519</v>
      </c>
      <c r="G511" s="1" t="s">
        <v>635</v>
      </c>
      <c r="H511" s="1">
        <v>7.9</v>
      </c>
      <c r="I511" s="1" t="s">
        <v>3189</v>
      </c>
      <c r="J511" s="1">
        <v>84.0</v>
      </c>
      <c r="K511" s="1" t="s">
        <v>3190</v>
      </c>
      <c r="L511" s="1" t="s">
        <v>3191</v>
      </c>
      <c r="M511" s="1" t="s">
        <v>3192</v>
      </c>
      <c r="N511" s="1" t="s">
        <v>3193</v>
      </c>
      <c r="O511" s="1" t="s">
        <v>3194</v>
      </c>
      <c r="P511" s="1">
        <v>44618.0</v>
      </c>
      <c r="Q511" s="3" t="str">
        <f>VLOOKUP(A511,Posters!A511:B1510,2)</f>
        <v>https://m.media-amazon.com/images/M/MV5BMGFkNjNmZWMtNDdiOS00ZWM3LWE1ZTMtZDU3MGQyMzIyNzZhXkEyXkFqcGdeQXVyMTMxODk2OTU@._V1_UX67_CR0,0,67,98_AL_.jpg</v>
      </c>
    </row>
    <row r="512">
      <c r="A512" s="1">
        <v>511.0</v>
      </c>
      <c r="B512" s="1" t="s">
        <v>3195</v>
      </c>
      <c r="C512" s="2">
        <v>1000045.0</v>
      </c>
      <c r="D512" s="1">
        <v>2001.0</v>
      </c>
      <c r="E512" s="1" t="s">
        <v>52</v>
      </c>
      <c r="F512" s="1" t="s">
        <v>563</v>
      </c>
      <c r="G512" s="1" t="s">
        <v>2551</v>
      </c>
      <c r="H512" s="1">
        <v>7.9</v>
      </c>
      <c r="I512" s="1" t="s">
        <v>3196</v>
      </c>
      <c r="J512" s="1">
        <v>61.0</v>
      </c>
      <c r="K512" s="1" t="s">
        <v>3197</v>
      </c>
      <c r="L512" s="1" t="s">
        <v>3198</v>
      </c>
      <c r="M512" s="1" t="s">
        <v>3199</v>
      </c>
      <c r="N512" s="1" t="s">
        <v>3200</v>
      </c>
      <c r="O512" s="1" t="s">
        <v>3201</v>
      </c>
      <c r="P512" s="1">
        <v>42897.0</v>
      </c>
      <c r="Q512" s="3" t="str">
        <f>VLOOKUP(A512,Posters!A512:B1511,2)</f>
        <v>https://m.media-amazon.com/images/M/MV5BMjYzYWM4YTItZjJiMC00OTM5LTg3NDgtOGQ2Njk2ZWNhN2QwXkEyXkFqcGdeQXVyMzM4MjM0Nzg@._V1_UY98_CR0,0,67,98_AL_.jpg</v>
      </c>
    </row>
    <row r="513">
      <c r="A513" s="1">
        <v>512.0</v>
      </c>
      <c r="B513" s="1" t="s">
        <v>3202</v>
      </c>
      <c r="C513" s="2">
        <v>1.21661683E8</v>
      </c>
      <c r="D513" s="1">
        <v>2002.0</v>
      </c>
      <c r="E513" s="1" t="s">
        <v>37</v>
      </c>
      <c r="F513" s="1" t="s">
        <v>329</v>
      </c>
      <c r="G513" s="1" t="s">
        <v>2366</v>
      </c>
      <c r="H513" s="1">
        <v>7.9</v>
      </c>
      <c r="I513" s="1" t="s">
        <v>3203</v>
      </c>
      <c r="J513" s="1">
        <v>68.0</v>
      </c>
      <c r="K513" s="1" t="s">
        <v>3038</v>
      </c>
      <c r="L513" s="1" t="s">
        <v>3204</v>
      </c>
      <c r="M513" s="1" t="s">
        <v>215</v>
      </c>
      <c r="N513" s="1" t="s">
        <v>3205</v>
      </c>
      <c r="O513" s="1" t="s">
        <v>2384</v>
      </c>
      <c r="P513" s="1">
        <v>508771.0</v>
      </c>
      <c r="Q513" s="3" t="str">
        <f>VLOOKUP(A513,Posters!A513:B1512,2)</f>
        <v>https://m.media-amazon.com/images/M/MV5BM2JkNGU0ZGMtZjVjNS00NjgyLWEyOWYtZmRmZGQyN2IxZjA2XkEyXkFqcGdeQXVyNTIzOTk5ODM@._V1_UX67_CR0,0,67,98_AL_.jpg</v>
      </c>
    </row>
    <row r="514">
      <c r="A514" s="1">
        <v>513.0</v>
      </c>
      <c r="B514" s="1" t="s">
        <v>3206</v>
      </c>
      <c r="C514" s="2">
        <v>1221261.0</v>
      </c>
      <c r="D514" s="1">
        <v>2000.0</v>
      </c>
      <c r="E514" s="1" t="s">
        <v>212</v>
      </c>
      <c r="F514" s="1" t="s">
        <v>825</v>
      </c>
      <c r="G514" s="1" t="s">
        <v>241</v>
      </c>
      <c r="H514" s="1">
        <v>7.9</v>
      </c>
      <c r="I514" s="1" t="s">
        <v>3207</v>
      </c>
      <c r="J514" s="1">
        <v>80.0</v>
      </c>
      <c r="K514" s="1" t="s">
        <v>3208</v>
      </c>
      <c r="L514" s="1" t="s">
        <v>1054</v>
      </c>
      <c r="M514" s="1" t="s">
        <v>3209</v>
      </c>
      <c r="N514" s="1" t="s">
        <v>3210</v>
      </c>
      <c r="O514" s="1" t="s">
        <v>3211</v>
      </c>
      <c r="P514" s="1">
        <v>49721.0</v>
      </c>
      <c r="Q514" s="3" t="str">
        <f>VLOOKUP(A514,Posters!A514:B1513,2)</f>
        <v>https://m.media-amazon.com/images/M/MV5BMTYxMDdlYjItMDVkYy00MjYzLThhMTYtYjIzZjZiODk1ZWRmXkEyXkFqcGdeQXVyNDk3NzU2MTQ@._V1_UX67_CR0,0,67,98_AL_.jpg</v>
      </c>
    </row>
    <row r="515">
      <c r="A515" s="1">
        <v>514.0</v>
      </c>
      <c r="B515" s="1" t="s">
        <v>3212</v>
      </c>
      <c r="C515" s="2">
        <v>3.5552383E7</v>
      </c>
      <c r="D515" s="1">
        <v>2006.0</v>
      </c>
      <c r="E515" s="1" t="s">
        <v>18</v>
      </c>
      <c r="F515" s="1" t="s">
        <v>396</v>
      </c>
      <c r="G515" s="1" t="s">
        <v>188</v>
      </c>
      <c r="H515" s="1">
        <v>7.9</v>
      </c>
      <c r="I515" s="1" t="s">
        <v>3213</v>
      </c>
      <c r="J515" s="1">
        <v>84.0</v>
      </c>
      <c r="K515" s="1" t="s">
        <v>3175</v>
      </c>
      <c r="L515" s="1" t="s">
        <v>1728</v>
      </c>
      <c r="M515" s="1" t="s">
        <v>2384</v>
      </c>
      <c r="N515" s="1" t="s">
        <v>1503</v>
      </c>
      <c r="O515" s="1" t="s">
        <v>45</v>
      </c>
      <c r="P515" s="1">
        <v>465113.0</v>
      </c>
      <c r="Q515" s="3" t="str">
        <f>VLOOKUP(A515,Posters!A515:B1514,2)</f>
        <v>https://m.media-amazon.com/images/M/MV5BMTQ5NTI2NTI4NF5BMl5BanBnXkFtZTcwNjk2NDA2OQ@@._V1_UX67_CR0,0,67,98_AL_.jpg</v>
      </c>
    </row>
    <row r="516">
      <c r="A516" s="1">
        <v>515.0</v>
      </c>
      <c r="B516" s="1" t="s">
        <v>3214</v>
      </c>
      <c r="C516" s="2">
        <v>3.253485E7</v>
      </c>
      <c r="D516" s="1">
        <v>2000.0</v>
      </c>
      <c r="E516" s="1" t="s">
        <v>18</v>
      </c>
      <c r="F516" s="1" t="s">
        <v>279</v>
      </c>
      <c r="G516" s="1" t="s">
        <v>1004</v>
      </c>
      <c r="H516" s="1">
        <v>7.9</v>
      </c>
      <c r="I516" s="1" t="s">
        <v>3215</v>
      </c>
      <c r="J516" s="1">
        <v>90.0</v>
      </c>
      <c r="K516" s="1" t="s">
        <v>3216</v>
      </c>
      <c r="L516" s="1" t="s">
        <v>555</v>
      </c>
      <c r="M516" s="1" t="s">
        <v>3217</v>
      </c>
      <c r="N516" s="1" t="s">
        <v>3218</v>
      </c>
      <c r="O516" s="1" t="s">
        <v>972</v>
      </c>
      <c r="P516" s="1">
        <v>252586.0</v>
      </c>
      <c r="Q516" s="3" t="str">
        <f>VLOOKUP(A516,Posters!A516:B1515,2)</f>
        <v>https://m.media-amazon.com/images/M/MV5BMzY1ZjMwMGEtYTY1ZS00ZDllLTk0ZmUtYzA3ZTA4NmYwNGNkXkEyXkFqcGdeQXVyNDk3NzU2MTQ@._V1_UX67_CR0,0,67,98_AL_.jpg</v>
      </c>
    </row>
    <row r="517">
      <c r="A517" s="1">
        <v>516.0</v>
      </c>
      <c r="B517" s="1" t="s">
        <v>3219</v>
      </c>
      <c r="C517" s="2">
        <v>7220243.0</v>
      </c>
      <c r="D517" s="1">
        <v>2001.0</v>
      </c>
      <c r="E517" s="1" t="s">
        <v>212</v>
      </c>
      <c r="F517" s="1" t="s">
        <v>443</v>
      </c>
      <c r="G517" s="1" t="s">
        <v>527</v>
      </c>
      <c r="H517" s="1">
        <v>7.9</v>
      </c>
      <c r="I517" s="1" t="s">
        <v>3220</v>
      </c>
      <c r="J517" s="1">
        <v>85.0</v>
      </c>
      <c r="K517" s="1" t="s">
        <v>1878</v>
      </c>
      <c r="L517" s="1" t="s">
        <v>3221</v>
      </c>
      <c r="M517" s="1" t="s">
        <v>3222</v>
      </c>
      <c r="N517" s="1" t="s">
        <v>3223</v>
      </c>
      <c r="O517" s="1" t="s">
        <v>3224</v>
      </c>
      <c r="P517" s="1">
        <v>322031.0</v>
      </c>
      <c r="Q517" s="3" t="str">
        <f>VLOOKUP(A517,Posters!A517:B1516,2)</f>
        <v>https://m.media-amazon.com/images/M/MV5BYjBhZmViNTItMGExMy00MGNmLTkwZDItMDVlMTQ4ODVkYTMwXkEyXkFqcGdeQXVyNzM0MTUwNTY@._V1_UY98_CR1,0,67,98_AL_.jpg</v>
      </c>
    </row>
    <row r="518">
      <c r="A518" s="1">
        <v>517.0</v>
      </c>
      <c r="B518" s="1" t="s">
        <v>3225</v>
      </c>
      <c r="C518" s="2">
        <v>2.45852179E8</v>
      </c>
      <c r="D518" s="1">
        <v>1999.0</v>
      </c>
      <c r="E518" s="1" t="s">
        <v>52</v>
      </c>
      <c r="F518" s="1" t="s">
        <v>1588</v>
      </c>
      <c r="G518" s="1" t="s">
        <v>765</v>
      </c>
      <c r="H518" s="1">
        <v>7.9</v>
      </c>
      <c r="I518" s="1" t="s">
        <v>3226</v>
      </c>
      <c r="J518" s="1">
        <v>88.0</v>
      </c>
      <c r="K518" s="1" t="s">
        <v>767</v>
      </c>
      <c r="L518" s="1" t="s">
        <v>3227</v>
      </c>
      <c r="M518" s="1" t="s">
        <v>489</v>
      </c>
      <c r="N518" s="1" t="s">
        <v>110</v>
      </c>
      <c r="O518" s="1" t="s">
        <v>768</v>
      </c>
      <c r="P518" s="1">
        <v>527512.0</v>
      </c>
      <c r="Q518" s="3" t="str">
        <f>VLOOKUP(A518,Posters!A518:B1517,2)</f>
        <v>https://m.media-amazon.com/images/M/MV5BMWM5ZDcxMTYtNTEyNS00MDRkLWI3YTItNThmMGExMWY4NDIwXkEyXkFqcGdeQXVyNjUwNzk3NDc@._V1_UX67_CR0,0,67,98_AL_.jpg</v>
      </c>
    </row>
    <row r="519">
      <c r="A519" s="1">
        <v>518.0</v>
      </c>
      <c r="B519" s="1" t="s">
        <v>3228</v>
      </c>
      <c r="C519" s="2">
        <v>2.640064E7</v>
      </c>
      <c r="D519" s="1">
        <v>1997.0</v>
      </c>
      <c r="E519" s="1" t="s">
        <v>212</v>
      </c>
      <c r="F519" s="1" t="s">
        <v>322</v>
      </c>
      <c r="G519" s="1" t="s">
        <v>20</v>
      </c>
      <c r="H519" s="1">
        <v>7.9</v>
      </c>
      <c r="I519" s="1" t="s">
        <v>3229</v>
      </c>
      <c r="J519" s="1">
        <v>85.0</v>
      </c>
      <c r="K519" s="1" t="s">
        <v>1091</v>
      </c>
      <c r="L519" s="1" t="s">
        <v>311</v>
      </c>
      <c r="M519" s="1" t="s">
        <v>1728</v>
      </c>
      <c r="N519" s="1" t="s">
        <v>3230</v>
      </c>
      <c r="O519" s="1" t="s">
        <v>3231</v>
      </c>
      <c r="P519" s="1">
        <v>239473.0</v>
      </c>
      <c r="Q519" s="3" t="str">
        <f>VLOOKUP(A519,Posters!A519:B1518,2)</f>
        <v>https://m.media-amazon.com/images/M/MV5BY2E2YWYxY2QtZmJmZi00MjJlLWFiYWItZTk5Y2IyMWQ1ZThhXkEyXkFqcGdeQXVyMTMxODk2OTU@._V1_UX67_CR0,0,67,98_AL_.jpg</v>
      </c>
    </row>
    <row r="520">
      <c r="A520" s="1">
        <v>519.0</v>
      </c>
      <c r="B520" s="1" t="s">
        <v>3232</v>
      </c>
      <c r="C520" s="2">
        <v>585013.0</v>
      </c>
      <c r="D520" s="1">
        <v>1995.0</v>
      </c>
      <c r="E520" s="1" t="s">
        <v>52</v>
      </c>
      <c r="F520" s="1" t="s">
        <v>1663</v>
      </c>
      <c r="G520" s="1" t="s">
        <v>1384</v>
      </c>
      <c r="H520" s="1">
        <v>7.9</v>
      </c>
      <c r="I520" s="1" t="s">
        <v>3233</v>
      </c>
      <c r="J520" s="1">
        <v>75.0</v>
      </c>
      <c r="K520" s="1" t="s">
        <v>3234</v>
      </c>
      <c r="L520" s="1" t="s">
        <v>3235</v>
      </c>
      <c r="M520" s="1" t="s">
        <v>3236</v>
      </c>
      <c r="N520" s="1" t="s">
        <v>3237</v>
      </c>
      <c r="O520" s="1" t="s">
        <v>3238</v>
      </c>
      <c r="P520" s="1">
        <v>51943.0</v>
      </c>
      <c r="Q520" s="3" t="str">
        <f>VLOOKUP(A520,Posters!A520:B1519,2)</f>
        <v>https://m.media-amazon.com/images/M/MV5BZDg0MWNmNjktMGEwZC00ZDlmLWI1MTUtMDBmNjQzMWM2NjBjXkEyXkFqcGdeQXVyMTMxODk2OTU@._V1_UX67_CR0,0,67,98_AL_.jpg</v>
      </c>
    </row>
    <row r="521">
      <c r="A521" s="1">
        <v>520.0</v>
      </c>
      <c r="B521" s="1" t="s">
        <v>3239</v>
      </c>
      <c r="C521" s="2">
        <v>2201126.0</v>
      </c>
      <c r="D521" s="1">
        <v>1994.0</v>
      </c>
      <c r="E521" s="1" t="s">
        <v>18</v>
      </c>
      <c r="F521" s="1" t="s">
        <v>405</v>
      </c>
      <c r="G521" s="1" t="s">
        <v>29</v>
      </c>
      <c r="H521" s="1">
        <v>7.9</v>
      </c>
      <c r="I521" s="1" t="s">
        <v>3240</v>
      </c>
      <c r="J521" s="1">
        <v>77.0</v>
      </c>
      <c r="K521" s="1" t="s">
        <v>3241</v>
      </c>
      <c r="L521" s="1" t="s">
        <v>3242</v>
      </c>
      <c r="M521" s="1" t="s">
        <v>3243</v>
      </c>
      <c r="N521" s="1" t="s">
        <v>3244</v>
      </c>
      <c r="O521" s="1" t="s">
        <v>3245</v>
      </c>
      <c r="P521" s="1">
        <v>31590.0</v>
      </c>
      <c r="Q521" s="3" t="str">
        <f>VLOOKUP(A521,Posters!A521:B1520,2)</f>
        <v>https://m.media-amazon.com/images/M/MV5BYTY4MTdjZDMtOTBiMC00MDEwLThhMjUtMjlhMjdlYTBmMzk3XkEyXkFqcGdeQXVyNjMwMjk0MTQ@._V1_UY98_CR1,0,67,98_AL_.jpg</v>
      </c>
    </row>
    <row r="522">
      <c r="A522" s="1">
        <v>521.0</v>
      </c>
      <c r="B522" s="1" t="s">
        <v>3246</v>
      </c>
      <c r="C522" s="2">
        <v>1.22815E7</v>
      </c>
      <c r="D522" s="1">
        <v>1993.0</v>
      </c>
      <c r="E522" s="1" t="s">
        <v>212</v>
      </c>
      <c r="F522" s="1" t="s">
        <v>329</v>
      </c>
      <c r="G522" s="1" t="s">
        <v>2372</v>
      </c>
      <c r="H522" s="1">
        <v>7.9</v>
      </c>
      <c r="I522" s="1" t="s">
        <v>3247</v>
      </c>
      <c r="J522" s="1">
        <v>59.0</v>
      </c>
      <c r="K522" s="1" t="s">
        <v>3248</v>
      </c>
      <c r="L522" s="1" t="s">
        <v>3249</v>
      </c>
      <c r="M522" s="1" t="s">
        <v>3089</v>
      </c>
      <c r="N522" s="1" t="s">
        <v>3250</v>
      </c>
      <c r="O522" s="1" t="s">
        <v>1177</v>
      </c>
      <c r="P522" s="1">
        <v>206918.0</v>
      </c>
      <c r="Q522" s="3" t="str">
        <f>VLOOKUP(A522,Posters!A522:B1521,2)</f>
        <v>https://m.media-amazon.com/images/M/MV5BMDViNjFjOWMtZGZhMi00NmIyLThmYzktODA4MzJhZDZhMDc5XkEyXkFqcGdeQXVyNzkwMjQ5NzM@._V1_UY98_CR1,0,67,98_AL_.jpg</v>
      </c>
    </row>
    <row r="523">
      <c r="A523" s="1">
        <v>522.0</v>
      </c>
      <c r="B523" s="1" t="s">
        <v>3251</v>
      </c>
      <c r="C523" s="2">
        <v>1324974.0</v>
      </c>
      <c r="D523" s="1">
        <v>1993.0</v>
      </c>
      <c r="E523" s="1" t="s">
        <v>52</v>
      </c>
      <c r="F523" s="1" t="s">
        <v>1882</v>
      </c>
      <c r="G523" s="1" t="s">
        <v>3252</v>
      </c>
      <c r="H523" s="1">
        <v>7.9</v>
      </c>
      <c r="I523" s="1" t="s">
        <v>3253</v>
      </c>
      <c r="J523" s="1">
        <v>85.0</v>
      </c>
      <c r="K523" s="1" t="s">
        <v>1771</v>
      </c>
      <c r="L523" s="1" t="s">
        <v>3254</v>
      </c>
      <c r="M523" s="1" t="s">
        <v>3255</v>
      </c>
      <c r="N523" s="1" t="s">
        <v>1643</v>
      </c>
      <c r="O523" s="1" t="s">
        <v>3256</v>
      </c>
      <c r="P523" s="1">
        <v>89836.0</v>
      </c>
      <c r="Q523" s="3" t="str">
        <f>VLOOKUP(A523,Posters!A523:B1522,2)</f>
        <v>https://m.media-amazon.com/images/M/MV5BMjg5OGU4OGYtNTZmNy00MjQ1LWIzYzgtMTllMGY2NzlkNzYwXkEyXkFqcGdeQXVyMTI3ODAyMzE2._V1_UY98_CR2,0,67,98_AL_.jpg</v>
      </c>
    </row>
    <row r="524">
      <c r="A524" s="1">
        <v>523.0</v>
      </c>
      <c r="B524" s="1" t="s">
        <v>3257</v>
      </c>
      <c r="C524" s="2">
        <v>1073.0</v>
      </c>
      <c r="D524" s="1">
        <v>1993.0</v>
      </c>
      <c r="E524" s="1" t="s">
        <v>18</v>
      </c>
      <c r="F524" s="1" t="s">
        <v>1882</v>
      </c>
      <c r="G524" s="1" t="s">
        <v>467</v>
      </c>
      <c r="H524" s="1">
        <v>7.9</v>
      </c>
      <c r="I524" s="1" t="s">
        <v>3258</v>
      </c>
      <c r="K524" s="1" t="s">
        <v>3259</v>
      </c>
      <c r="L524" s="1" t="s">
        <v>2557</v>
      </c>
      <c r="M524" s="1" t="s">
        <v>3260</v>
      </c>
      <c r="N524" s="1" t="s">
        <v>3261</v>
      </c>
      <c r="O524" s="1" t="s">
        <v>3262</v>
      </c>
      <c r="P524" s="1">
        <v>34529.0</v>
      </c>
      <c r="Q524" s="3" t="str">
        <f>VLOOKUP(A524,Posters!A524:B1523,2)</f>
        <v>https://m.media-amazon.com/images/M/MV5BOTMyZGI4N2YtMzdkNi00MDZmLTg4NmItMzg0ODY5NjdhZjYwL2ltYWdlL2ltYWdlXkEyXkFqcGdeQXVyMzM4MjM0Nzg@._V1_UY98_CR1,0,67,98_AL_.jpg</v>
      </c>
    </row>
    <row r="525">
      <c r="A525" s="1">
        <v>524.0</v>
      </c>
      <c r="B525" s="1" t="s">
        <v>3263</v>
      </c>
      <c r="C525" s="2">
        <v>3.6948322E7</v>
      </c>
      <c r="D525" s="1">
        <v>1993.0</v>
      </c>
      <c r="E525" s="1" t="s">
        <v>18</v>
      </c>
      <c r="F525" s="1" t="s">
        <v>1618</v>
      </c>
      <c r="G525" s="1" t="s">
        <v>241</v>
      </c>
      <c r="H525" s="1">
        <v>7.9</v>
      </c>
      <c r="I525" s="1" t="s">
        <v>3264</v>
      </c>
      <c r="J525" s="1">
        <v>65.0</v>
      </c>
      <c r="K525" s="1" t="s">
        <v>809</v>
      </c>
      <c r="L525" s="1" t="s">
        <v>33</v>
      </c>
      <c r="M525" s="1" t="s">
        <v>1605</v>
      </c>
      <c r="N525" s="1" t="s">
        <v>3265</v>
      </c>
      <c r="O525" s="1" t="s">
        <v>3266</v>
      </c>
      <c r="P525" s="1">
        <v>201000.0</v>
      </c>
      <c r="Q525" s="3" t="str">
        <f>VLOOKUP(A525,Posters!A525:B1524,2)</f>
        <v>https://m.media-amazon.com/images/M/MV5BN2I2N2Q1YmMtMzZkMC00Y2JjLWJmOWUtNjc2OTM2ZTk1MjUyXkEyXkFqcGdeQXVyNzkwMjQ5NzM@._V1_UX67_CR0,0,67,98_AL_.jpg</v>
      </c>
    </row>
    <row r="526">
      <c r="A526" s="1">
        <v>525.0</v>
      </c>
      <c r="B526" s="1" t="s">
        <v>3267</v>
      </c>
      <c r="C526" s="2">
        <v>5.6362352E7</v>
      </c>
      <c r="D526" s="1">
        <v>1990.0</v>
      </c>
      <c r="E526" s="1" t="s">
        <v>52</v>
      </c>
      <c r="F526" s="1" t="s">
        <v>487</v>
      </c>
      <c r="G526" s="1" t="s">
        <v>2634</v>
      </c>
      <c r="H526" s="1">
        <v>7.9</v>
      </c>
      <c r="I526" s="1" t="s">
        <v>3268</v>
      </c>
      <c r="J526" s="1">
        <v>74.0</v>
      </c>
      <c r="K526" s="1" t="s">
        <v>2454</v>
      </c>
      <c r="L526" s="1" t="s">
        <v>2451</v>
      </c>
      <c r="M526" s="1" t="s">
        <v>2331</v>
      </c>
      <c r="N526" s="1" t="s">
        <v>3269</v>
      </c>
      <c r="O526" s="1" t="s">
        <v>3270</v>
      </c>
      <c r="P526" s="1">
        <v>447368.0</v>
      </c>
      <c r="Q526" s="3" t="str">
        <f>VLOOKUP(A526,Posters!A526:B1525,2)</f>
        <v>https://m.media-amazon.com/images/M/MV5BNDUxN2I5NDUtZjdlMC00NjlmLTg0OTQtNjk0NjAxZjFmZTUzXkEyXkFqcGdeQXVyMTQxNzMzNDI@._V1_UX67_CR0,0,67,98_AL_.jpg</v>
      </c>
    </row>
    <row r="527">
      <c r="A527" s="1">
        <v>526.0</v>
      </c>
      <c r="B527" s="1" t="s">
        <v>3271</v>
      </c>
      <c r="C527" s="2">
        <v>1.4743391E7</v>
      </c>
      <c r="D527" s="1">
        <v>1989.0</v>
      </c>
      <c r="E527" s="1" t="s">
        <v>52</v>
      </c>
      <c r="F527" s="1" t="s">
        <v>885</v>
      </c>
      <c r="G527" s="1" t="s">
        <v>1148</v>
      </c>
      <c r="H527" s="1">
        <v>7.9</v>
      </c>
      <c r="I527" s="1" t="s">
        <v>3272</v>
      </c>
      <c r="J527" s="1">
        <v>97.0</v>
      </c>
      <c r="K527" s="1" t="s">
        <v>1789</v>
      </c>
      <c r="L527" s="1" t="s">
        <v>1092</v>
      </c>
      <c r="M527" s="1" t="s">
        <v>3273</v>
      </c>
      <c r="N527" s="1" t="s">
        <v>3274</v>
      </c>
      <c r="O527" s="1" t="s">
        <v>3275</v>
      </c>
      <c r="P527" s="1">
        <v>68076.0</v>
      </c>
      <c r="Q527" s="3" t="str">
        <f>VLOOKUP(A527,Posters!A527:B1526,2)</f>
        <v>https://m.media-amazon.com/images/M/MV5BYjdkNzA4MzYtZThhOS00ZDgzLTlmMDItNmY1ZjI5YjkzZTE1XkEyXkFqcGdeQXVyMTQxNzMzNDI@._V1_UX67_CR0,0,67,98_AL_.jpg</v>
      </c>
    </row>
    <row r="528">
      <c r="A528" s="1">
        <v>527.0</v>
      </c>
      <c r="B528" s="1" t="s">
        <v>3276</v>
      </c>
      <c r="C528" s="2">
        <v>1.8254702E7</v>
      </c>
      <c r="D528" s="1">
        <v>1989.0</v>
      </c>
      <c r="E528" s="1" t="s">
        <v>161</v>
      </c>
      <c r="F528" s="1" t="s">
        <v>647</v>
      </c>
      <c r="G528" s="1" t="s">
        <v>507</v>
      </c>
      <c r="H528" s="1">
        <v>7.9</v>
      </c>
      <c r="I528" s="1" t="s">
        <v>3277</v>
      </c>
      <c r="J528" s="1">
        <v>77.0</v>
      </c>
      <c r="K528" s="1" t="s">
        <v>2671</v>
      </c>
      <c r="L528" s="1" t="s">
        <v>3278</v>
      </c>
      <c r="M528" s="1" t="s">
        <v>2671</v>
      </c>
      <c r="N528" s="1" t="s">
        <v>3279</v>
      </c>
      <c r="O528" s="1" t="s">
        <v>3280</v>
      </c>
      <c r="P528" s="1">
        <v>54670.0</v>
      </c>
      <c r="Q528" s="3" t="str">
        <f>VLOOKUP(A528,Posters!A528:B1527,2)</f>
        <v>https://m.media-amazon.com/images/M/MV5BYWY3N2EyOWYtNDVhZi00MWRkLTg2OTUtODNkNDQ5ZTIwMGJkXkEyXkFqcGdeQXVyMTMxODk2OTU@._V1_UX67_CR0,0,67,98_AL_.jpg</v>
      </c>
    </row>
    <row r="529">
      <c r="A529" s="1">
        <v>528.0</v>
      </c>
      <c r="B529" s="1" t="s">
        <v>3281</v>
      </c>
      <c r="C529" s="2">
        <v>7.6270454E7</v>
      </c>
      <c r="D529" s="1">
        <v>1987.0</v>
      </c>
      <c r="E529" s="1" t="s">
        <v>18</v>
      </c>
      <c r="F529" s="1" t="s">
        <v>329</v>
      </c>
      <c r="G529" s="1" t="s">
        <v>241</v>
      </c>
      <c r="H529" s="1">
        <v>7.9</v>
      </c>
      <c r="I529" s="1" t="s">
        <v>3282</v>
      </c>
      <c r="J529" s="1">
        <v>79.0</v>
      </c>
      <c r="K529" s="1" t="s">
        <v>809</v>
      </c>
      <c r="L529" s="1" t="s">
        <v>2595</v>
      </c>
      <c r="M529" s="1" t="s">
        <v>1195</v>
      </c>
      <c r="N529" s="1" t="s">
        <v>49</v>
      </c>
      <c r="O529" s="1" t="s">
        <v>3283</v>
      </c>
      <c r="P529" s="1">
        <v>281842.0</v>
      </c>
      <c r="Q529" s="3" t="str">
        <f>VLOOKUP(A529,Posters!A529:B1528,2)</f>
        <v>https://m.media-amazon.com/images/M/MV5BYTVjYWJmMWQtYWU4Ni00MWY3LWI2YmMtNTI5MDE0MWVmMmEzL2ltYWdlXkEyXkFqcGdeQXVyMTQxNzMzNDI@._V1_UX67_CR0,0,67,98_AL_.jpg</v>
      </c>
    </row>
    <row r="530">
      <c r="A530" s="1">
        <v>529.0</v>
      </c>
      <c r="B530" s="1" t="s">
        <v>3284</v>
      </c>
      <c r="C530" s="2">
        <v>4.0084041E7</v>
      </c>
      <c r="D530" s="1">
        <v>1986.0</v>
      </c>
      <c r="E530" s="1" t="s">
        <v>161</v>
      </c>
      <c r="F530" s="1" t="s">
        <v>907</v>
      </c>
      <c r="G530" s="1" t="s">
        <v>507</v>
      </c>
      <c r="H530" s="1">
        <v>7.9</v>
      </c>
      <c r="I530" s="1" t="s">
        <v>3285</v>
      </c>
      <c r="J530" s="1">
        <v>90.0</v>
      </c>
      <c r="K530" s="1" t="s">
        <v>2671</v>
      </c>
      <c r="L530" s="1" t="s">
        <v>2728</v>
      </c>
      <c r="M530" s="1" t="s">
        <v>3269</v>
      </c>
      <c r="N530" s="1" t="s">
        <v>45</v>
      </c>
      <c r="O530" s="1" t="s">
        <v>3286</v>
      </c>
      <c r="P530" s="1">
        <v>67176.0</v>
      </c>
      <c r="Q530" s="3" t="str">
        <f>VLOOKUP(A530,Posters!A530:B1529,2)</f>
        <v>https://m.media-amazon.com/images/M/MV5BMWZiNWUwYjMtM2Y1Yi00MTZmLWEwYzctNjVmYWM0OTFlZDFhXkEyXkFqcGdeQXVyMTMxODk2OTU@._V1_UX67_CR0,0,67,98_AL_.jpg</v>
      </c>
    </row>
    <row r="531">
      <c r="A531" s="1">
        <v>530.0</v>
      </c>
      <c r="B531" s="1" t="s">
        <v>3287</v>
      </c>
      <c r="C531" s="2">
        <v>9929135.0</v>
      </c>
      <c r="D531" s="1">
        <v>1985.0</v>
      </c>
      <c r="E531" s="1" t="s">
        <v>52</v>
      </c>
      <c r="F531" s="1" t="s">
        <v>170</v>
      </c>
      <c r="G531" s="1" t="s">
        <v>928</v>
      </c>
      <c r="H531" s="1">
        <v>7.9</v>
      </c>
      <c r="I531" s="1" t="s">
        <v>3288</v>
      </c>
      <c r="J531" s="1">
        <v>84.0</v>
      </c>
      <c r="K531" s="1" t="s">
        <v>1262</v>
      </c>
      <c r="L531" s="1" t="s">
        <v>3289</v>
      </c>
      <c r="M531" s="1" t="s">
        <v>3290</v>
      </c>
      <c r="N531" s="1" t="s">
        <v>49</v>
      </c>
      <c r="O531" s="1" t="s">
        <v>3291</v>
      </c>
      <c r="P531" s="1">
        <v>187567.0</v>
      </c>
      <c r="Q531" s="3" t="str">
        <f>VLOOKUP(A531,Posters!A531:B1530,2)</f>
        <v>https://m.media-amazon.com/images/M/MV5BMzIwM2IwYTItYmM4Zi00OWMzLTkwNjAtYWRmYWNmY2RhMDk0XkEyXkFqcGdeQXVyNjU0OTQ0OTY@._V1_UX67_CR0,0,67,98_AL_.jpg</v>
      </c>
    </row>
    <row r="532">
      <c r="A532" s="1">
        <v>531.0</v>
      </c>
      <c r="B532" s="1" t="s">
        <v>3292</v>
      </c>
      <c r="C532" s="2">
        <v>188751.0</v>
      </c>
      <c r="D532" s="1">
        <v>1984.0</v>
      </c>
      <c r="E532" s="1" t="s">
        <v>212</v>
      </c>
      <c r="F532" s="1" t="s">
        <v>3293</v>
      </c>
      <c r="G532" s="1" t="s">
        <v>3294</v>
      </c>
      <c r="H532" s="1">
        <v>7.9</v>
      </c>
      <c r="I532" s="1" t="s">
        <v>3295</v>
      </c>
      <c r="J532" s="1">
        <v>92.0</v>
      </c>
      <c r="K532" s="1" t="s">
        <v>1815</v>
      </c>
      <c r="L532" s="1" t="s">
        <v>1815</v>
      </c>
      <c r="M532" s="1" t="s">
        <v>3296</v>
      </c>
      <c r="N532" s="1" t="s">
        <v>3297</v>
      </c>
      <c r="O532" s="1" t="s">
        <v>3298</v>
      </c>
      <c r="P532" s="1">
        <v>128812.0</v>
      </c>
      <c r="Q532" s="3" t="str">
        <f>VLOOKUP(A532,Posters!A532:B1531,2)</f>
        <v>https://m.media-amazon.com/images/M/MV5BMTQ2MTIzMzg5Nl5BMl5BanBnXkFtZTgwOTc5NDI1MDE@._V1_UX67_CR0,0,67,98_AL_.jpg</v>
      </c>
    </row>
    <row r="533">
      <c r="A533" s="1">
        <v>532.0</v>
      </c>
      <c r="B533" s="1" t="s">
        <v>3299</v>
      </c>
      <c r="C533" s="2">
        <v>2.0605209E7</v>
      </c>
      <c r="D533" s="1">
        <v>1983.0</v>
      </c>
      <c r="E533" s="1" t="s">
        <v>52</v>
      </c>
      <c r="F533" s="1" t="s">
        <v>1521</v>
      </c>
      <c r="G533" s="1" t="s">
        <v>3300</v>
      </c>
      <c r="H533" s="1">
        <v>7.9</v>
      </c>
      <c r="I533" s="1" t="s">
        <v>3301</v>
      </c>
      <c r="J533" s="1">
        <v>77.0</v>
      </c>
      <c r="K533" s="1" t="s">
        <v>3302</v>
      </c>
      <c r="L533" s="1" t="s">
        <v>3303</v>
      </c>
      <c r="M533" s="1" t="s">
        <v>3304</v>
      </c>
      <c r="N533" s="1" t="s">
        <v>3305</v>
      </c>
      <c r="O533" s="1" t="s">
        <v>3306</v>
      </c>
      <c r="P533" s="1">
        <v>132947.0</v>
      </c>
      <c r="Q533" s="3" t="str">
        <f>VLOOKUP(A533,Posters!A533:B1532,2)</f>
        <v>https://m.media-amazon.com/images/M/MV5BOWMyNjE0MzEtMzVjNy00NjIxLTg0ZjMtMWJhNGI1YmVjYTczL2ltYWdlXkEyXkFqcGdeQXVyNzc5MjA3OA@@._V1_UX67_CR0,0,67,98_AL_.jpg</v>
      </c>
    </row>
    <row r="534">
      <c r="A534" s="1">
        <v>533.0</v>
      </c>
      <c r="B534" s="1" t="s">
        <v>3307</v>
      </c>
      <c r="C534" s="2">
        <v>5.722989E7</v>
      </c>
      <c r="D534" s="1">
        <v>1980.0</v>
      </c>
      <c r="E534" s="1" t="s">
        <v>52</v>
      </c>
      <c r="F534" s="1" t="s">
        <v>153</v>
      </c>
      <c r="G534" s="1" t="s">
        <v>1252</v>
      </c>
      <c r="H534" s="1">
        <v>7.9</v>
      </c>
      <c r="I534" s="1" t="s">
        <v>3308</v>
      </c>
      <c r="J534" s="1">
        <v>60.0</v>
      </c>
      <c r="K534" s="1" t="s">
        <v>3309</v>
      </c>
      <c r="L534" s="1" t="s">
        <v>3310</v>
      </c>
      <c r="M534" s="1" t="s">
        <v>3311</v>
      </c>
      <c r="N534" s="1" t="s">
        <v>3312</v>
      </c>
      <c r="O534" s="1" t="s">
        <v>3313</v>
      </c>
      <c r="P534" s="1">
        <v>183182.0</v>
      </c>
      <c r="Q534" s="3" t="str">
        <f>VLOOKUP(A534,Posters!A534:B1533,2)</f>
        <v>https://m.media-amazon.com/images/M/MV5BYTdlMDExOGUtN2I3MS00MjY5LWE1NTAtYzc3MzIxN2M3OWY1XkEyXkFqcGdeQXVyNzkwMjQ5NzM@._V1_UX67_CR0,0,67,98_AL_.jpg</v>
      </c>
    </row>
    <row r="535">
      <c r="A535" s="1">
        <v>534.0</v>
      </c>
      <c r="B535" s="1" t="s">
        <v>3314</v>
      </c>
      <c r="C535" s="2">
        <v>4.57E7</v>
      </c>
      <c r="D535" s="1">
        <v>1979.0</v>
      </c>
      <c r="E535" s="1" t="s">
        <v>212</v>
      </c>
      <c r="F535" s="1" t="s">
        <v>53</v>
      </c>
      <c r="G535" s="1" t="s">
        <v>227</v>
      </c>
      <c r="H535" s="1">
        <v>7.9</v>
      </c>
      <c r="I535" s="1" t="s">
        <v>3315</v>
      </c>
      <c r="J535" s="1">
        <v>83.0</v>
      </c>
      <c r="K535" s="1" t="s">
        <v>2671</v>
      </c>
      <c r="L535" s="1" t="s">
        <v>2671</v>
      </c>
      <c r="M535" s="1" t="s">
        <v>35</v>
      </c>
      <c r="N535" s="1" t="s">
        <v>3316</v>
      </c>
      <c r="O535" s="1" t="s">
        <v>3317</v>
      </c>
      <c r="P535" s="1">
        <v>131436.0</v>
      </c>
      <c r="Q535" s="3" t="str">
        <f>VLOOKUP(A535,Posters!A535:B1534,2)</f>
        <v>https://m.media-amazon.com/images/M/MV5BMzdmY2I3MmEtOGFiZi00MTg1LWIxY2QtNWUwM2NmNWNlY2U5XkEyXkFqcGdeQXVyNDk3NzU2MTQ@._V1_UX67_CR0,0,67,98_AL_.jpg</v>
      </c>
    </row>
    <row r="536">
      <c r="A536" s="1">
        <v>535.0</v>
      </c>
      <c r="B536" s="1" t="s">
        <v>3318</v>
      </c>
      <c r="C536" s="2">
        <v>3.7823676E7</v>
      </c>
      <c r="D536" s="1">
        <v>1979.0</v>
      </c>
      <c r="E536" s="1" t="s">
        <v>18</v>
      </c>
      <c r="F536" s="1" t="s">
        <v>678</v>
      </c>
      <c r="G536" s="1" t="s">
        <v>3319</v>
      </c>
      <c r="H536" s="1">
        <v>7.9</v>
      </c>
      <c r="I536" s="1" t="s">
        <v>3320</v>
      </c>
      <c r="J536" s="1">
        <v>72.0</v>
      </c>
      <c r="K536" s="1" t="s">
        <v>3321</v>
      </c>
      <c r="L536" s="1" t="s">
        <v>2677</v>
      </c>
      <c r="M536" s="1" t="s">
        <v>2456</v>
      </c>
      <c r="N536" s="1" t="s">
        <v>3322</v>
      </c>
      <c r="O536" s="1" t="s">
        <v>3323</v>
      </c>
      <c r="P536" s="1">
        <v>28223.0</v>
      </c>
      <c r="Q536" s="3" t="str">
        <f>VLOOKUP(A536,Posters!A536:B1535,2)</f>
        <v>https://m.media-amazon.com/images/M/MV5BZWE4N2JkNDUtZDU4MC00ZjNhLTlkMjYtOTNkMjZhMDAwMDMyXkEyXkFqcGdeQXVyMTA0MjU0Ng@@._V1_UX67_CR0,0,67,98_AL_.jpg</v>
      </c>
    </row>
    <row r="537">
      <c r="A537" s="1">
        <v>536.0</v>
      </c>
      <c r="B537" s="1" t="s">
        <v>3324</v>
      </c>
      <c r="C537" s="2">
        <v>5100000.0</v>
      </c>
      <c r="D537" s="1">
        <v>1978.0</v>
      </c>
      <c r="E537" s="1" t="s">
        <v>18</v>
      </c>
      <c r="F537" s="1" t="s">
        <v>234</v>
      </c>
      <c r="G537" s="1" t="s">
        <v>3325</v>
      </c>
      <c r="H537" s="1">
        <v>7.9</v>
      </c>
      <c r="I537" s="1" t="s">
        <v>3326</v>
      </c>
      <c r="J537" s="1">
        <v>71.0</v>
      </c>
      <c r="K537" s="1" t="s">
        <v>3327</v>
      </c>
      <c r="L537" s="1" t="s">
        <v>3328</v>
      </c>
      <c r="M537" s="1" t="s">
        <v>3329</v>
      </c>
      <c r="N537" s="1" t="s">
        <v>3330</v>
      </c>
      <c r="O537" s="1" t="s">
        <v>3331</v>
      </c>
      <c r="P537" s="1">
        <v>111512.0</v>
      </c>
      <c r="Q537" s="3" t="str">
        <f>VLOOKUP(A537,Posters!A537:B1536,2)</f>
        <v>https://m.media-amazon.com/images/M/MV5BMzc1YTIyNjctYzhlNy00ZmYzLWI2ZWQtMzk4MmQwYzA0NGQ1XkEyXkFqcGdeQXVyMTQxNzMzNDI@._V1_UX67_CR0,0,67,98_AL_.jpg</v>
      </c>
    </row>
    <row r="538">
      <c r="A538" s="1">
        <v>537.0</v>
      </c>
      <c r="B538" s="1" t="s">
        <v>3332</v>
      </c>
      <c r="C538" s="2">
        <v>7.06E7</v>
      </c>
      <c r="D538" s="1">
        <v>1976.0</v>
      </c>
      <c r="E538" s="1" t="s">
        <v>52</v>
      </c>
      <c r="F538" s="1" t="s">
        <v>947</v>
      </c>
      <c r="G538" s="1" t="s">
        <v>79</v>
      </c>
      <c r="H538" s="1">
        <v>7.9</v>
      </c>
      <c r="I538" s="1" t="s">
        <v>3333</v>
      </c>
      <c r="J538" s="1">
        <v>84.0</v>
      </c>
      <c r="K538" s="1" t="s">
        <v>3334</v>
      </c>
      <c r="L538" s="1" t="s">
        <v>2618</v>
      </c>
      <c r="M538" s="1" t="s">
        <v>835</v>
      </c>
      <c r="N538" s="1" t="s">
        <v>2668</v>
      </c>
      <c r="O538" s="1" t="s">
        <v>58</v>
      </c>
      <c r="P538" s="1">
        <v>103031.0</v>
      </c>
      <c r="Q538" s="3" t="str">
        <f>VLOOKUP(A538,Posters!A538:B1537,2)</f>
        <v>https://m.media-amazon.com/images/M/MV5BOWI2YWQxM2MtY2U4Yi00YjgzLTgwNzktN2ExNTgzNTIzMmUzXkEyXkFqcGdeQXVyMTAwMzUyOTc@._V1_UX67_CR0,0,67,98_AL_.jpg</v>
      </c>
    </row>
    <row r="539">
      <c r="A539" s="1">
        <v>538.0</v>
      </c>
      <c r="B539" s="1" t="s">
        <v>3335</v>
      </c>
      <c r="C539" s="2">
        <v>61001.0</v>
      </c>
      <c r="D539" s="1">
        <v>1973.0</v>
      </c>
      <c r="E539" s="1" t="s">
        <v>212</v>
      </c>
      <c r="F539" s="1" t="s">
        <v>825</v>
      </c>
      <c r="G539" s="1" t="s">
        <v>1565</v>
      </c>
      <c r="H539" s="1">
        <v>7.9</v>
      </c>
      <c r="I539" s="1" t="s">
        <v>3336</v>
      </c>
      <c r="J539" s="1">
        <v>76.0</v>
      </c>
      <c r="K539" s="1" t="s">
        <v>3337</v>
      </c>
      <c r="L539" s="1" t="s">
        <v>3337</v>
      </c>
      <c r="M539" s="1" t="s">
        <v>3338</v>
      </c>
      <c r="N539" s="1" t="s">
        <v>3339</v>
      </c>
      <c r="O539" s="1" t="s">
        <v>3340</v>
      </c>
      <c r="P539" s="1">
        <v>37183.0</v>
      </c>
      <c r="Q539" s="3" t="str">
        <f>VLOOKUP(A539,Posters!A539:B1538,2)</f>
        <v>https://m.media-amazon.com/images/M/MV5BN2IzM2I5NTQtMTIyMy00YWM2LWI1OGMtNjI0MWIyNDZkZGFkXkEyXkFqcGdeQXVyMTQxNzMzNDI@._V1_UX67_CR0,0,67,98_AL_.jpg</v>
      </c>
    </row>
    <row r="540">
      <c r="A540" s="1">
        <v>539.0</v>
      </c>
      <c r="B540" s="1" t="s">
        <v>3341</v>
      </c>
      <c r="C540" s="2">
        <v>196609.0</v>
      </c>
      <c r="D540" s="1">
        <v>1973.0</v>
      </c>
      <c r="E540" s="1" t="s">
        <v>212</v>
      </c>
      <c r="F540" s="1" t="s">
        <v>678</v>
      </c>
      <c r="G540" s="1" t="s">
        <v>416</v>
      </c>
      <c r="H540" s="1">
        <v>7.9</v>
      </c>
      <c r="I540" s="1" t="s">
        <v>3342</v>
      </c>
      <c r="K540" s="1" t="s">
        <v>2023</v>
      </c>
      <c r="L540" s="1" t="s">
        <v>3343</v>
      </c>
      <c r="M540" s="1" t="s">
        <v>3344</v>
      </c>
      <c r="N540" s="1" t="s">
        <v>3345</v>
      </c>
      <c r="O540" s="1" t="s">
        <v>3346</v>
      </c>
      <c r="P540" s="1">
        <v>39897.0</v>
      </c>
      <c r="Q540" s="3" t="str">
        <f>VLOOKUP(A540,Posters!A540:B1539,2)</f>
        <v>https://m.media-amazon.com/images/M/MV5BZDI2OTg2NDQtMzc0MC00MjRiLWI1NzAtMjY2ZDMwMmUyNzBiXkEyXkFqcGdeQXVyNzM0MTUwNTY@._V1_UX67_CR0,0,67,98_AL_.jpg</v>
      </c>
    </row>
    <row r="541">
      <c r="A541" s="1">
        <v>540.0</v>
      </c>
      <c r="B541" s="1" t="s">
        <v>3347</v>
      </c>
      <c r="C541" s="2">
        <v>198809.0</v>
      </c>
      <c r="D541" s="1">
        <v>1972.0</v>
      </c>
      <c r="E541" s="1" t="s">
        <v>270</v>
      </c>
      <c r="F541" s="1" t="s">
        <v>405</v>
      </c>
      <c r="G541" s="1" t="s">
        <v>602</v>
      </c>
      <c r="H541" s="1">
        <v>7.9</v>
      </c>
      <c r="I541" s="1" t="s">
        <v>3348</v>
      </c>
      <c r="J541" s="1">
        <v>93.0</v>
      </c>
      <c r="K541" s="1" t="s">
        <v>1966</v>
      </c>
      <c r="L541" s="1" t="s">
        <v>3349</v>
      </c>
      <c r="M541" s="1" t="s">
        <v>3350</v>
      </c>
      <c r="N541" s="1" t="s">
        <v>3351</v>
      </c>
      <c r="O541" s="1" t="s">
        <v>3352</v>
      </c>
      <c r="P541" s="1">
        <v>38737.0</v>
      </c>
      <c r="Q541" s="3" t="str">
        <f>VLOOKUP(A541,Posters!A541:B1540,2)</f>
        <v>https://m.media-amazon.com/images/M/MV5BYzQ5NjJiYWQtYjAzMC00NGU0LWFlMDYtNGFiYjFlMWI1NWM0XkEyXkFqcGdeQXVyODQ0OTczOQ@@._V1_UY98_CR4,0,67,98_AL_.jpg</v>
      </c>
    </row>
    <row r="542">
      <c r="A542" s="1">
        <v>541.0</v>
      </c>
      <c r="B542" s="1" t="s">
        <v>3353</v>
      </c>
      <c r="C542" s="2">
        <v>37041.0</v>
      </c>
      <c r="D542" s="1">
        <v>1972.0</v>
      </c>
      <c r="E542" s="1" t="s">
        <v>270</v>
      </c>
      <c r="F542" s="1" t="s">
        <v>601</v>
      </c>
      <c r="G542" s="1" t="s">
        <v>3354</v>
      </c>
      <c r="H542" s="1">
        <v>7.9</v>
      </c>
      <c r="I542" s="1" t="s">
        <v>3355</v>
      </c>
      <c r="K542" s="1" t="s">
        <v>1859</v>
      </c>
      <c r="L542" s="1" t="s">
        <v>1860</v>
      </c>
      <c r="M542" s="1" t="s">
        <v>3356</v>
      </c>
      <c r="N542" s="1" t="s">
        <v>3357</v>
      </c>
      <c r="O542" s="1" t="s">
        <v>3358</v>
      </c>
      <c r="P542" s="1">
        <v>52397.0</v>
      </c>
      <c r="Q542" s="3" t="str">
        <f>VLOOKUP(A542,Posters!A542:B1541,2)</f>
        <v>https://m.media-amazon.com/images/M/MV5BMjRkY2VhYzMtZWQyNS00OTY2LWE5NTAtYjlhNmQyYzE5MmUxXkEyXkFqcGdeQXVyMTQxNzMzNDI@._V1_UX67_CR0,0,67,98_AL_.jpg</v>
      </c>
    </row>
    <row r="543">
      <c r="A543" s="1">
        <v>542.0</v>
      </c>
      <c r="B543" s="1" t="s">
        <v>3359</v>
      </c>
      <c r="C543" s="2">
        <v>1546.0</v>
      </c>
      <c r="D543" s="1">
        <v>1971.0</v>
      </c>
      <c r="E543" s="1" t="s">
        <v>270</v>
      </c>
      <c r="F543" s="1" t="s">
        <v>1259</v>
      </c>
      <c r="G543" s="1" t="s">
        <v>227</v>
      </c>
      <c r="H543" s="1">
        <v>7.9</v>
      </c>
      <c r="I543" s="1" t="s">
        <v>3360</v>
      </c>
      <c r="J543" s="1">
        <v>62.0</v>
      </c>
      <c r="K543" s="1" t="s">
        <v>2666</v>
      </c>
      <c r="L543" s="1" t="s">
        <v>2730</v>
      </c>
      <c r="M543" s="1" t="s">
        <v>3361</v>
      </c>
      <c r="N543" s="1" t="s">
        <v>3362</v>
      </c>
      <c r="O543" s="1" t="s">
        <v>3363</v>
      </c>
      <c r="P543" s="1">
        <v>70826.0</v>
      </c>
      <c r="Q543" s="3" t="str">
        <f>VLOOKUP(A543,Posters!A543:B1542,2)</f>
        <v>https://m.media-amazon.com/images/M/MV5BY2M5Mzg3NjctZTlkNy00MTU0LWFlYTQtY2E2Y2M4NjNiNzllXkEyXkFqcGdeQXVyMTAwMzUyOTc@._V1_UX67_CR0,0,67,98_AL_.jpg</v>
      </c>
    </row>
    <row r="544">
      <c r="A544" s="1">
        <v>543.0</v>
      </c>
      <c r="B544" s="1" t="s">
        <v>3364</v>
      </c>
      <c r="C544" s="2">
        <v>6.17E7</v>
      </c>
      <c r="D544" s="1">
        <v>1970.0</v>
      </c>
      <c r="E544" s="1" t="s">
        <v>52</v>
      </c>
      <c r="F544" s="1" t="s">
        <v>1268</v>
      </c>
      <c r="G544" s="1" t="s">
        <v>3365</v>
      </c>
      <c r="H544" s="1">
        <v>7.9</v>
      </c>
      <c r="I544" s="1" t="s">
        <v>3366</v>
      </c>
      <c r="J544" s="1">
        <v>91.0</v>
      </c>
      <c r="K544" s="1" t="s">
        <v>2692</v>
      </c>
      <c r="L544" s="1" t="s">
        <v>605</v>
      </c>
      <c r="M544" s="1" t="s">
        <v>2037</v>
      </c>
      <c r="N544" s="1" t="s">
        <v>3367</v>
      </c>
      <c r="O544" s="1" t="s">
        <v>3368</v>
      </c>
      <c r="P544" s="1">
        <v>93741.0</v>
      </c>
      <c r="Q544" s="3" t="str">
        <f>VLOOKUP(A544,Posters!A544:B1543,2)</f>
        <v>https://m.media-amazon.com/images/M/MV5BMmNhZmJhMmYtNjlkMC00MjhjLTk1NzMtMTNlMzYzNjZlMjNiXkEyXkFqcGdeQXVyMTQxNzMzNDI@._V1_UX67_CR0,0,67,98_AL_.jpg</v>
      </c>
    </row>
    <row r="545">
      <c r="A545" s="1">
        <v>544.0</v>
      </c>
      <c r="B545" s="1" t="s">
        <v>3369</v>
      </c>
      <c r="C545" s="2">
        <v>1.2064472E7</v>
      </c>
      <c r="D545" s="1">
        <v>1969.0</v>
      </c>
      <c r="E545" s="1" t="s">
        <v>18</v>
      </c>
      <c r="F545" s="1" t="s">
        <v>1398</v>
      </c>
      <c r="G545" s="1" t="s">
        <v>3370</v>
      </c>
      <c r="H545" s="1">
        <v>7.9</v>
      </c>
      <c r="I545" s="1" t="s">
        <v>3371</v>
      </c>
      <c r="J545" s="1">
        <v>97.0</v>
      </c>
      <c r="K545" s="1" t="s">
        <v>3372</v>
      </c>
      <c r="L545" s="1" t="s">
        <v>630</v>
      </c>
      <c r="M545" s="1" t="s">
        <v>3373</v>
      </c>
      <c r="N545" s="1" t="s">
        <v>3374</v>
      </c>
      <c r="O545" s="1" t="s">
        <v>2057</v>
      </c>
      <c r="P545" s="1">
        <v>77401.0</v>
      </c>
      <c r="Q545" s="3" t="str">
        <f>VLOOKUP(A545,Posters!A545:B1544,2)</f>
        <v>https://m.media-amazon.com/images/M/MV5BNGUyYTZmOWItMDJhMi00N2IxLWIyNDMtNjUxM2ZiYmU5YWU1XkEyXkFqcGdeQXVyNjc1NTYyMjg@._V1_UX67_CR0,0,67,98_AL_.jpg</v>
      </c>
    </row>
    <row r="546">
      <c r="A546" s="1">
        <v>545.0</v>
      </c>
      <c r="B546" s="1" t="s">
        <v>3375</v>
      </c>
      <c r="C546" s="2">
        <v>89029.0</v>
      </c>
      <c r="D546" s="1">
        <v>1968.0</v>
      </c>
      <c r="E546" s="1" t="s">
        <v>694</v>
      </c>
      <c r="F546" s="1" t="s">
        <v>53</v>
      </c>
      <c r="G546" s="1" t="s">
        <v>3376</v>
      </c>
      <c r="H546" s="1">
        <v>7.9</v>
      </c>
      <c r="I546" s="1" t="s">
        <v>3377</v>
      </c>
      <c r="J546" s="1">
        <v>89.0</v>
      </c>
      <c r="K546" s="1" t="s">
        <v>3327</v>
      </c>
      <c r="L546" s="1" t="s">
        <v>3378</v>
      </c>
      <c r="M546" s="1" t="s">
        <v>3379</v>
      </c>
      <c r="N546" s="1" t="s">
        <v>3380</v>
      </c>
      <c r="O546" s="1" t="s">
        <v>3381</v>
      </c>
      <c r="P546" s="1">
        <v>116557.0</v>
      </c>
      <c r="Q546" s="3" t="str">
        <f>VLOOKUP(A546,Posters!A546:B1545,2)</f>
        <v>https://m.media-amazon.com/images/M/MV5BMzRmN2E1ZDUtZDc2ZC00ZmI3LTkwOTctNzE2ZDIzMGJiMTYzXkEyXkFqcGdeQXVyMTQxNzMzNDI@._V1_UX67_CR0,0,67,98_AL_.jpg</v>
      </c>
    </row>
    <row r="547">
      <c r="A547" s="1">
        <v>546.0</v>
      </c>
      <c r="B547" s="1" t="s">
        <v>3382</v>
      </c>
      <c r="C547" s="2">
        <v>2.2276975E7</v>
      </c>
      <c r="D547" s="1">
        <v>1968.0</v>
      </c>
      <c r="E547" s="1" t="s">
        <v>270</v>
      </c>
      <c r="F547" s="1" t="s">
        <v>550</v>
      </c>
      <c r="G547" s="1" t="s">
        <v>79</v>
      </c>
      <c r="H547" s="1">
        <v>7.9</v>
      </c>
      <c r="I547" s="1" t="s">
        <v>3383</v>
      </c>
      <c r="K547" s="1" t="s">
        <v>3384</v>
      </c>
      <c r="L547" s="1" t="s">
        <v>861</v>
      </c>
      <c r="M547" s="1" t="s">
        <v>3385</v>
      </c>
      <c r="N547" s="1" t="s">
        <v>245</v>
      </c>
      <c r="O547" s="1" t="s">
        <v>3386</v>
      </c>
      <c r="P547" s="1">
        <v>29003.0</v>
      </c>
      <c r="Q547" s="3" t="str">
        <f>VLOOKUP(A547,Posters!A547:B1546,2)</f>
        <v>https://m.media-amazon.com/images/M/MV5BMTkzNzYyMzA5N15BMl5BanBnXkFtZTgwODcwODQ3MDI@._V1_UX67_CR0,0,67,98_AL_.jpg</v>
      </c>
    </row>
    <row r="548">
      <c r="A548" s="1">
        <v>547.0</v>
      </c>
      <c r="B548" s="1" t="s">
        <v>3387</v>
      </c>
      <c r="C548" s="2">
        <v>2.4379978E7</v>
      </c>
      <c r="D548" s="1">
        <v>1967.0</v>
      </c>
      <c r="E548" s="1" t="s">
        <v>52</v>
      </c>
      <c r="F548" s="1" t="s">
        <v>343</v>
      </c>
      <c r="G548" s="1" t="s">
        <v>235</v>
      </c>
      <c r="H548" s="1">
        <v>7.9</v>
      </c>
      <c r="I548" s="1" t="s">
        <v>3388</v>
      </c>
      <c r="J548" s="1">
        <v>75.0</v>
      </c>
      <c r="K548" s="1" t="s">
        <v>2711</v>
      </c>
      <c r="L548" s="1" t="s">
        <v>3389</v>
      </c>
      <c r="M548" s="1" t="s">
        <v>2038</v>
      </c>
      <c r="N548" s="1" t="s">
        <v>3390</v>
      </c>
      <c r="O548" s="1" t="s">
        <v>3391</v>
      </c>
      <c r="P548" s="1">
        <v>67804.0</v>
      </c>
      <c r="Q548" s="3" t="str">
        <f>VLOOKUP(A548,Posters!A548:B1547,2)</f>
        <v>https://m.media-amazon.com/images/M/MV5BZjZhZTZkNWItZGE1My00MTRkLWI2ZDktMWZkZTIxZWYxOTgzXkEyXkFqcGdeQXVyNDY2MTk1ODk@._V1_UX67_CR0,0,67,98_AL_.jpg</v>
      </c>
    </row>
    <row r="549">
      <c r="A549" s="1">
        <v>548.0</v>
      </c>
      <c r="B549" s="1" t="s">
        <v>3392</v>
      </c>
      <c r="C549" s="2">
        <v>1.3474588E7</v>
      </c>
      <c r="D549" s="1">
        <v>1963.0</v>
      </c>
      <c r="E549" s="1" t="s">
        <v>52</v>
      </c>
      <c r="F549" s="1" t="s">
        <v>543</v>
      </c>
      <c r="G549" s="1" t="s">
        <v>3393</v>
      </c>
      <c r="H549" s="1">
        <v>7.9</v>
      </c>
      <c r="I549" s="1" t="s">
        <v>3394</v>
      </c>
      <c r="J549" s="1">
        <v>83.0</v>
      </c>
      <c r="K549" s="1" t="s">
        <v>888</v>
      </c>
      <c r="L549" s="1" t="s">
        <v>873</v>
      </c>
      <c r="M549" s="1" t="s">
        <v>2839</v>
      </c>
      <c r="N549" s="1" t="s">
        <v>2596</v>
      </c>
      <c r="O549" s="1" t="s">
        <v>3395</v>
      </c>
      <c r="P549" s="1">
        <v>68689.0</v>
      </c>
      <c r="Q549" s="3" t="str">
        <f>VLOOKUP(A549,Posters!A549:B1548,2)</f>
        <v>https://m.media-amazon.com/images/M/MV5BMTA0Y2UyMDUtZGZiOS00ZmVkLTg3NmItODQyNTY1ZjU1MWE4L2ltYWdlL2ltYWdlXkEyXkFqcGdeQXVyNjc1NTYyMjg@._V1_UX67_CR0,0,67,98_AL_.jpg</v>
      </c>
    </row>
    <row r="550">
      <c r="A550" s="1">
        <v>549.0</v>
      </c>
      <c r="B550" s="1" t="s">
        <v>3396</v>
      </c>
      <c r="C550" s="2">
        <v>6.595563E7</v>
      </c>
      <c r="D550" s="1">
        <v>1962.0</v>
      </c>
      <c r="E550" s="1" t="s">
        <v>161</v>
      </c>
      <c r="F550" s="1" t="s">
        <v>428</v>
      </c>
      <c r="G550" s="1" t="s">
        <v>1377</v>
      </c>
      <c r="H550" s="1">
        <v>7.9</v>
      </c>
      <c r="I550" s="1" t="s">
        <v>3397</v>
      </c>
      <c r="J550" s="1">
        <v>94.0</v>
      </c>
      <c r="K550" s="1" t="s">
        <v>3398</v>
      </c>
      <c r="L550" s="1" t="s">
        <v>3399</v>
      </c>
      <c r="M550" s="1" t="s">
        <v>3400</v>
      </c>
      <c r="N550" s="1" t="s">
        <v>401</v>
      </c>
      <c r="O550" s="1" t="s">
        <v>3401</v>
      </c>
      <c r="P550" s="1">
        <v>71122.0</v>
      </c>
      <c r="Q550" s="3" t="str">
        <f>VLOOKUP(A550,Posters!A550:B1549,2)</f>
        <v>https://m.media-amazon.com/images/M/MV5BOTY0ZTA1ZjUtN2MyNi00ZGRmLWExYmMtOTkyNzI1NGQ2Y2RlXkEyXkFqcGdeQXVyNjc1NTYyMjg@._V1_UX67_CR0,0,67,98_AL_.jpg</v>
      </c>
    </row>
    <row r="551">
      <c r="A551" s="1">
        <v>550.0</v>
      </c>
      <c r="B551" s="1" t="s">
        <v>3402</v>
      </c>
      <c r="C551" s="2">
        <v>3.0E7</v>
      </c>
      <c r="D551" s="1">
        <v>1960.0</v>
      </c>
      <c r="E551" s="1" t="s">
        <v>18</v>
      </c>
      <c r="F551" s="1" t="s">
        <v>2754</v>
      </c>
      <c r="G551" s="1" t="s">
        <v>858</v>
      </c>
      <c r="H551" s="1">
        <v>7.9</v>
      </c>
      <c r="I551" s="1" t="s">
        <v>3403</v>
      </c>
      <c r="J551" s="1">
        <v>87.0</v>
      </c>
      <c r="K551" s="1" t="s">
        <v>571</v>
      </c>
      <c r="L551" s="1" t="s">
        <v>617</v>
      </c>
      <c r="M551" s="1" t="s">
        <v>2081</v>
      </c>
      <c r="N551" s="1" t="s">
        <v>3404</v>
      </c>
      <c r="O551" s="1" t="s">
        <v>613</v>
      </c>
      <c r="P551" s="1">
        <v>124339.0</v>
      </c>
      <c r="Q551" s="3" t="str">
        <f>VLOOKUP(A551,Posters!A551:B1550,2)</f>
        <v>https://m.media-amazon.com/images/M/MV5BMjc4MTUxN2UtMmU1NC00MjQyLTk3YTYtZTQ0YzEzZDc0Njc0XkEyXkFqcGdeQXVyNjU0OTQ0OTY@._V1_UX67_CR0,0,67,98_AL_.jpg</v>
      </c>
    </row>
    <row r="552">
      <c r="A552" s="1">
        <v>551.0</v>
      </c>
      <c r="B552" s="1" t="s">
        <v>3405</v>
      </c>
      <c r="C552" s="2">
        <v>2606.0</v>
      </c>
      <c r="D552" s="1">
        <v>1960.0</v>
      </c>
      <c r="E552" s="1" t="s">
        <v>52</v>
      </c>
      <c r="F552" s="1" t="s">
        <v>1618</v>
      </c>
      <c r="G552" s="1" t="s">
        <v>914</v>
      </c>
      <c r="H552" s="1">
        <v>7.9</v>
      </c>
      <c r="I552" s="1" t="s">
        <v>3406</v>
      </c>
      <c r="K552" s="1" t="s">
        <v>3407</v>
      </c>
      <c r="L552" s="1" t="s">
        <v>3408</v>
      </c>
      <c r="M552" s="1" t="s">
        <v>3409</v>
      </c>
      <c r="N552" s="1" t="s">
        <v>3410</v>
      </c>
      <c r="O552" s="1" t="s">
        <v>3411</v>
      </c>
      <c r="P552" s="1">
        <v>26542.0</v>
      </c>
      <c r="Q552" s="3" t="str">
        <f>VLOOKUP(A552,Posters!A552:B1551,2)</f>
        <v>https://m.media-amazon.com/images/M/MV5BZDFlODBmZTYtMWU4MS00MzY4LWFmYzYtYzAzZmU1MGUzMDE5XkEyXkFqcGdeQXVyNTc1NDM0NDU@._V1_UY98_CR1,0,67,98_AL_.jpg</v>
      </c>
    </row>
    <row r="553">
      <c r="A553" s="1">
        <v>552.0</v>
      </c>
      <c r="B553" s="1" t="s">
        <v>3412</v>
      </c>
      <c r="C553" s="1" t="s">
        <v>3413</v>
      </c>
      <c r="D553" s="1">
        <v>1959.0</v>
      </c>
      <c r="E553" s="1" t="s">
        <v>2066</v>
      </c>
      <c r="F553" s="1" t="s">
        <v>2586</v>
      </c>
      <c r="G553" s="1" t="s">
        <v>107</v>
      </c>
      <c r="H553" s="1">
        <v>7.9</v>
      </c>
      <c r="I553" s="1" t="s">
        <v>3414</v>
      </c>
      <c r="K553" s="1" t="s">
        <v>3415</v>
      </c>
      <c r="L553" s="1" t="s">
        <v>3043</v>
      </c>
      <c r="M553" s="1" t="s">
        <v>3416</v>
      </c>
      <c r="N553" s="1" t="s">
        <v>3417</v>
      </c>
      <c r="O553" s="1" t="s">
        <v>3418</v>
      </c>
      <c r="P553" s="1">
        <v>28421.0</v>
      </c>
      <c r="Q553" s="3" t="str">
        <f>VLOOKUP(A553,Posters!A553:B1552,2)</f>
        <v>https://m.media-amazon.com/images/M/MV5BMzY2NTA1MzUwN15BMl5BanBnXkFtZTgwOTc4NTU4MjE@._V1_UX67_CR0,0,67,98_AL_.jpg</v>
      </c>
    </row>
    <row r="554">
      <c r="A554" s="1">
        <v>553.0</v>
      </c>
      <c r="B554" s="1" t="s">
        <v>3419</v>
      </c>
      <c r="C554" s="2">
        <v>9.374E7</v>
      </c>
      <c r="D554" s="1">
        <v>1956.0</v>
      </c>
      <c r="E554" s="1" t="s">
        <v>52</v>
      </c>
      <c r="F554" s="1" t="s">
        <v>3420</v>
      </c>
      <c r="G554" s="1" t="s">
        <v>1813</v>
      </c>
      <c r="H554" s="1">
        <v>7.9</v>
      </c>
      <c r="I554" s="1" t="s">
        <v>3421</v>
      </c>
      <c r="K554" s="1" t="s">
        <v>3422</v>
      </c>
      <c r="L554" s="1" t="s">
        <v>2013</v>
      </c>
      <c r="M554" s="1" t="s">
        <v>3423</v>
      </c>
      <c r="N554" s="1" t="s">
        <v>1340</v>
      </c>
      <c r="O554" s="1" t="s">
        <v>911</v>
      </c>
      <c r="P554" s="1">
        <v>63560.0</v>
      </c>
      <c r="Q554" s="3" t="str">
        <f>VLOOKUP(A554,Posters!A554:B1553,2)</f>
        <v>https://m.media-amazon.com/images/M/MV5BODcxYjUxZDgtYTQ5Zi00YmQ1LWJmZmItODZkOTYyNDhiNWM3XkEyXkFqcGdeQXVyNjc1NTYyMjg@._V1_UX67_CR0,0,67,98_AL_.jpg</v>
      </c>
    </row>
    <row r="555">
      <c r="A555" s="1">
        <v>554.0</v>
      </c>
      <c r="B555" s="1" t="s">
        <v>3424</v>
      </c>
      <c r="C555" s="2">
        <v>3750000.0</v>
      </c>
      <c r="D555" s="1">
        <v>1956.0</v>
      </c>
      <c r="E555" s="1" t="s">
        <v>627</v>
      </c>
      <c r="F555" s="1" t="s">
        <v>329</v>
      </c>
      <c r="G555" s="1" t="s">
        <v>1344</v>
      </c>
      <c r="H555" s="1">
        <v>7.9</v>
      </c>
      <c r="I555" s="1" t="s">
        <v>3425</v>
      </c>
      <c r="J555" s="1">
        <v>94.0</v>
      </c>
      <c r="K555" s="1" t="s">
        <v>1984</v>
      </c>
      <c r="L555" s="1" t="s">
        <v>1985</v>
      </c>
      <c r="M555" s="1" t="s">
        <v>3426</v>
      </c>
      <c r="N555" s="1" t="s">
        <v>402</v>
      </c>
      <c r="O555" s="1" t="s">
        <v>3427</v>
      </c>
      <c r="P555" s="1">
        <v>80316.0</v>
      </c>
      <c r="Q555" s="3" t="str">
        <f>VLOOKUP(A555,Posters!A555:B1554,2)</f>
        <v>https://m.media-amazon.com/images/M/MV5BYWQ3YWJiMDEtMDBhNS00YjY1LTkzNmEtY2U4Njg4MjQ3YWE3XkEyXkFqcGdeQXVyNzkwMjQ5NzM@._V1_UX67_CR0,0,67,98_AL_.jpg</v>
      </c>
    </row>
    <row r="556">
      <c r="A556" s="1">
        <v>555.0</v>
      </c>
      <c r="B556" s="1" t="s">
        <v>3428</v>
      </c>
      <c r="C556" s="2">
        <v>24079.0</v>
      </c>
      <c r="D556" s="1">
        <v>1955.0</v>
      </c>
      <c r="E556" s="1" t="s">
        <v>52</v>
      </c>
      <c r="F556" s="1" t="s">
        <v>240</v>
      </c>
      <c r="G556" s="1" t="s">
        <v>20</v>
      </c>
      <c r="H556" s="1">
        <v>7.9</v>
      </c>
      <c r="I556" s="1" t="s">
        <v>3429</v>
      </c>
      <c r="J556" s="1">
        <v>72.0</v>
      </c>
      <c r="K556" s="1" t="s">
        <v>2036</v>
      </c>
      <c r="L556" s="1" t="s">
        <v>3430</v>
      </c>
      <c r="M556" s="1" t="s">
        <v>2888</v>
      </c>
      <c r="N556" s="1" t="s">
        <v>3431</v>
      </c>
      <c r="O556" s="1" t="s">
        <v>2805</v>
      </c>
      <c r="P556" s="1">
        <v>40313.0</v>
      </c>
      <c r="Q556" s="3" t="str">
        <f>VLOOKUP(A556,Posters!A556:B1555,2)</f>
        <v>https://m.media-amazon.com/images/M/MV5BMzE1MzdjNmUtOWU5MS00OTgwLWIzYjYtYTYwYTM0NDkyOTU1XkEyXkFqcGdeQXVyMTY5Nzc4MDY@._V1_UX67_CR0,0,67,98_AL_.jpg</v>
      </c>
    </row>
    <row r="557">
      <c r="A557" s="1">
        <v>556.0</v>
      </c>
      <c r="B557" s="1" t="s">
        <v>3432</v>
      </c>
      <c r="C557" s="2">
        <v>9450000.0</v>
      </c>
      <c r="D557" s="1">
        <v>1952.0</v>
      </c>
      <c r="E557" s="1" t="s">
        <v>270</v>
      </c>
      <c r="F557" s="1" t="s">
        <v>1947</v>
      </c>
      <c r="G557" s="1" t="s">
        <v>3433</v>
      </c>
      <c r="H557" s="1">
        <v>7.9</v>
      </c>
      <c r="I557" s="1" t="s">
        <v>3434</v>
      </c>
      <c r="J557" s="1">
        <v>89.0</v>
      </c>
      <c r="K557" s="1" t="s">
        <v>3435</v>
      </c>
      <c r="L557" s="1" t="s">
        <v>3436</v>
      </c>
      <c r="M557" s="1" t="s">
        <v>623</v>
      </c>
      <c r="N557" s="1" t="s">
        <v>277</v>
      </c>
      <c r="O557" s="1" t="s">
        <v>3437</v>
      </c>
      <c r="P557" s="1">
        <v>97222.0</v>
      </c>
      <c r="Q557" s="3" t="str">
        <f>VLOOKUP(A557,Posters!A557:B1556,2)</f>
        <v>https://m.media-amazon.com/images/M/MV5BOWIzZGUxZmItOThkMS00Y2QxLTg0MTYtMDdhMjRlNTNlYTI3L2ltYWdlXkEyXkFqcGdeQXVyNjc1NTYyMjg@._V1_UX67_CR0,0,67,98_AL_.jpg</v>
      </c>
    </row>
    <row r="558">
      <c r="A558" s="1">
        <v>557.0</v>
      </c>
      <c r="B558" s="1" t="s">
        <v>3438</v>
      </c>
      <c r="C558" s="2">
        <v>7630000.0</v>
      </c>
      <c r="D558" s="1">
        <v>1951.0</v>
      </c>
      <c r="E558" s="1" t="s">
        <v>18</v>
      </c>
      <c r="F558" s="1" t="s">
        <v>535</v>
      </c>
      <c r="G558" s="1" t="s">
        <v>3439</v>
      </c>
      <c r="H558" s="1">
        <v>7.9</v>
      </c>
      <c r="I558" s="1" t="s">
        <v>3440</v>
      </c>
      <c r="J558" s="1">
        <v>88.0</v>
      </c>
      <c r="K558" s="1" t="s">
        <v>399</v>
      </c>
      <c r="L558" s="1" t="s">
        <v>2861</v>
      </c>
      <c r="M558" s="1" t="s">
        <v>3441</v>
      </c>
      <c r="N558" s="1" t="s">
        <v>3442</v>
      </c>
      <c r="O558" s="1" t="s">
        <v>3443</v>
      </c>
      <c r="P558" s="1">
        <v>123341.0</v>
      </c>
      <c r="Q558" s="3" t="str">
        <f>VLOOKUP(A558,Posters!A558:B1557,2)</f>
        <v>https://m.media-amazon.com/images/M/MV5BNzkwNjk4ODgtYjRmMi00ODdhLWIyNjUtNWQyMjg2N2E2NjlhXkEyXkFqcGdeQXVyNjE5MjUyOTM@._V1_UX67_CR0,0,67,98_AL_.jpg</v>
      </c>
    </row>
    <row r="559">
      <c r="A559" s="1">
        <v>558.0</v>
      </c>
      <c r="B559" s="1" t="s">
        <v>3444</v>
      </c>
      <c r="D559" s="1">
        <v>1950.0</v>
      </c>
      <c r="E559" s="1" t="s">
        <v>2047</v>
      </c>
      <c r="F559" s="1" t="s">
        <v>647</v>
      </c>
      <c r="G559" s="1" t="s">
        <v>1460</v>
      </c>
      <c r="H559" s="1">
        <v>7.9</v>
      </c>
      <c r="I559" s="1" t="s">
        <v>3445</v>
      </c>
      <c r="K559" s="1" t="s">
        <v>3446</v>
      </c>
      <c r="L559" s="1" t="s">
        <v>274</v>
      </c>
      <c r="M559" s="1" t="s">
        <v>3447</v>
      </c>
      <c r="N559" s="1" t="s">
        <v>3448</v>
      </c>
      <c r="O559" s="1" t="s">
        <v>3449</v>
      </c>
      <c r="P559" s="1">
        <v>52573.0</v>
      </c>
      <c r="Q559" s="3" t="str">
        <f>VLOOKUP(A559,Posters!A559:B1558,2)</f>
        <v>https://m.media-amazon.com/images/M/MV5BMzg2YTFkNjgtM2ZkNS00MWVkLWIwMTEtZTgzMDM2MmUxNDE2XkEyXkFqcGdeQXVyMjI4MjA5MzA@._V1_UX67_CR0,0,67,98_AL_.jpg</v>
      </c>
    </row>
    <row r="560">
      <c r="A560" s="1">
        <v>559.0</v>
      </c>
      <c r="B560" s="1" t="s">
        <v>3450</v>
      </c>
      <c r="C560" s="2">
        <v>2650000.0</v>
      </c>
      <c r="D560" s="1">
        <v>1947.0</v>
      </c>
      <c r="E560" s="1" t="s">
        <v>270</v>
      </c>
      <c r="F560" s="1" t="s">
        <v>53</v>
      </c>
      <c r="G560" s="1" t="s">
        <v>416</v>
      </c>
      <c r="H560" s="1">
        <v>7.9</v>
      </c>
      <c r="I560" s="1" t="s">
        <v>3451</v>
      </c>
      <c r="J560" s="1">
        <v>88.0</v>
      </c>
      <c r="K560" s="1" t="s">
        <v>3452</v>
      </c>
      <c r="L560" s="1" t="s">
        <v>3453</v>
      </c>
      <c r="M560" s="1" t="s">
        <v>3454</v>
      </c>
      <c r="N560" s="1" t="s">
        <v>3455</v>
      </c>
      <c r="O560" s="1" t="s">
        <v>3456</v>
      </c>
      <c r="P560" s="1">
        <v>41625.0</v>
      </c>
      <c r="Q560" s="3" t="str">
        <f>VLOOKUP(A560,Posters!A560:B1559,2)</f>
        <v>https://m.media-amazon.com/images/M/MV5BNjRkOGEwYTUtY2E5Yy00ODg4LTk2ZWItY2IyMzUxOGVhMTM1XkEyXkFqcGdeQXVyNDk0MDg4NDk@._V1_UX67_CR0,0,67,98_AL_.jpg</v>
      </c>
    </row>
    <row r="561">
      <c r="A561" s="1">
        <v>560.0</v>
      </c>
      <c r="B561" s="1" t="s">
        <v>3457</v>
      </c>
      <c r="C561" s="2">
        <v>1.0464E7</v>
      </c>
      <c r="D561" s="1">
        <v>1946.0</v>
      </c>
      <c r="E561" s="1" t="s">
        <v>52</v>
      </c>
      <c r="F561" s="1" t="s">
        <v>405</v>
      </c>
      <c r="G561" s="1" t="s">
        <v>3458</v>
      </c>
      <c r="H561" s="1">
        <v>7.9</v>
      </c>
      <c r="I561" s="1" t="s">
        <v>3459</v>
      </c>
      <c r="J561" s="1">
        <v>100.0</v>
      </c>
      <c r="K561" s="1" t="s">
        <v>399</v>
      </c>
      <c r="L561" s="1" t="s">
        <v>873</v>
      </c>
      <c r="M561" s="1" t="s">
        <v>410</v>
      </c>
      <c r="N561" s="1" t="s">
        <v>412</v>
      </c>
      <c r="O561" s="1" t="s">
        <v>3460</v>
      </c>
      <c r="P561" s="1">
        <v>92306.0</v>
      </c>
      <c r="Q561" s="3" t="str">
        <f>VLOOKUP(A561,Posters!A561:B1560,2)</f>
        <v>https://m.media-amazon.com/images/M/MV5BYTc1NGViOTMtNjZhNS00OGY2LWI4MmItOWQwNTY4MDMzNWI3L2ltYWdlXkEyXkFqcGdeQXVyNjc1NTYyMjg@._V1_UX67_CR0,0,67,98_AL_.jpg</v>
      </c>
    </row>
    <row r="562">
      <c r="A562" s="1">
        <v>561.0</v>
      </c>
      <c r="B562" s="1" t="s">
        <v>3461</v>
      </c>
      <c r="C562" s="2">
        <v>6540000.0</v>
      </c>
      <c r="D562" s="1">
        <v>1946.0</v>
      </c>
      <c r="E562" s="1" t="s">
        <v>627</v>
      </c>
      <c r="F562" s="1" t="s">
        <v>825</v>
      </c>
      <c r="G562" s="1" t="s">
        <v>3462</v>
      </c>
      <c r="H562" s="1">
        <v>7.9</v>
      </c>
      <c r="I562" s="1" t="s">
        <v>3463</v>
      </c>
      <c r="K562" s="1" t="s">
        <v>2789</v>
      </c>
      <c r="L562" s="1" t="s">
        <v>409</v>
      </c>
      <c r="M562" s="1" t="s">
        <v>2473</v>
      </c>
      <c r="N562" s="1" t="s">
        <v>3464</v>
      </c>
      <c r="O562" s="1" t="s">
        <v>3465</v>
      </c>
      <c r="P562" s="1">
        <v>78796.0</v>
      </c>
      <c r="Q562" s="3" t="str">
        <f>VLOOKUP(A562,Posters!A562:B1561,2)</f>
        <v>https://m.media-amazon.com/images/M/MV5BMjdiM2IyZmQtODJiYy00NDNkLTllYmItMmFjMDNiYTQyOGVkXkEyXkFqcGdeQXVyNDY2MTk1ODk@._V1_UX67_CR0,0,67,98_AL_.jpg</v>
      </c>
    </row>
    <row r="563">
      <c r="A563" s="1">
        <v>562.0</v>
      </c>
      <c r="B563" s="1" t="s">
        <v>3466</v>
      </c>
      <c r="C563" s="2">
        <v>9460000.0</v>
      </c>
      <c r="D563" s="1">
        <v>1945.0</v>
      </c>
      <c r="E563" s="1" t="s">
        <v>627</v>
      </c>
      <c r="F563" s="1" t="s">
        <v>535</v>
      </c>
      <c r="G563" s="1" t="s">
        <v>628</v>
      </c>
      <c r="H563" s="1">
        <v>7.9</v>
      </c>
      <c r="I563" s="1" t="s">
        <v>3467</v>
      </c>
      <c r="K563" s="1" t="s">
        <v>610</v>
      </c>
      <c r="L563" s="1" t="s">
        <v>1322</v>
      </c>
      <c r="M563" s="1" t="s">
        <v>3468</v>
      </c>
      <c r="N563" s="1" t="s">
        <v>3469</v>
      </c>
      <c r="O563" s="1" t="s">
        <v>3470</v>
      </c>
      <c r="P563" s="1">
        <v>33549.0</v>
      </c>
      <c r="Q563" s="3" t="str">
        <f>VLOOKUP(A563,Posters!A563:B1562,2)</f>
        <v>https://m.media-amazon.com/images/M/MV5BMTk4NDQ0NjgyNF5BMl5BanBnXkFtZTgwMTE3NTkxMTE@._V1_UX67_CR0,0,67,98_AL_.jpg</v>
      </c>
    </row>
    <row r="564">
      <c r="A564" s="1">
        <v>563.0</v>
      </c>
      <c r="B564" s="1" t="s">
        <v>3471</v>
      </c>
      <c r="C564" s="2">
        <v>411663.0</v>
      </c>
      <c r="D564" s="1">
        <v>1940.0</v>
      </c>
      <c r="E564" s="1" t="s">
        <v>270</v>
      </c>
      <c r="F564" s="1" t="s">
        <v>295</v>
      </c>
      <c r="G564" s="1" t="s">
        <v>723</v>
      </c>
      <c r="H564" s="1">
        <v>7.9</v>
      </c>
      <c r="I564" s="1" t="s">
        <v>3472</v>
      </c>
      <c r="J564" s="1">
        <v>96.0</v>
      </c>
      <c r="K564" s="1" t="s">
        <v>2092</v>
      </c>
      <c r="L564" s="1" t="s">
        <v>873</v>
      </c>
      <c r="M564" s="1" t="s">
        <v>3385</v>
      </c>
      <c r="N564" s="1" t="s">
        <v>274</v>
      </c>
      <c r="O564" s="1" t="s">
        <v>3473</v>
      </c>
      <c r="P564" s="1">
        <v>63550.0</v>
      </c>
      <c r="Q564" s="3" t="str">
        <f>VLOOKUP(A564,Posters!A564:B1563,2)</f>
        <v>https://m.media-amazon.com/images/M/MV5BYjQ4ZDA4NGMtMTkwYi00NThiLThhZDUtZTEzNTAxOWYyY2E4XkEyXkFqcGdeQXVyMjUxODE0MDY@._V1_UX67_CR0,0,67,98_AL_.jpg</v>
      </c>
    </row>
    <row r="565">
      <c r="A565" s="1">
        <v>564.0</v>
      </c>
      <c r="B565" s="1" t="s">
        <v>3474</v>
      </c>
      <c r="C565" s="1">
        <v>296.0</v>
      </c>
      <c r="D565" s="1">
        <v>1940.0</v>
      </c>
      <c r="E565" s="1" t="s">
        <v>627</v>
      </c>
      <c r="F565" s="1" t="s">
        <v>1588</v>
      </c>
      <c r="G565" s="1" t="s">
        <v>227</v>
      </c>
      <c r="H565" s="1">
        <v>7.9</v>
      </c>
      <c r="I565" s="1" t="s">
        <v>3475</v>
      </c>
      <c r="K565" s="1" t="s">
        <v>2789</v>
      </c>
      <c r="L565" s="1" t="s">
        <v>873</v>
      </c>
      <c r="M565" s="1" t="s">
        <v>3476</v>
      </c>
      <c r="N565" s="1" t="s">
        <v>3477</v>
      </c>
      <c r="O565" s="1" t="s">
        <v>3456</v>
      </c>
      <c r="P565" s="1">
        <v>53667.0</v>
      </c>
      <c r="Q565" s="3" t="str">
        <f>VLOOKUP(A565,Posters!A565:B1564,2)</f>
        <v>https://m.media-amazon.com/images/M/MV5BZDVmZTZkYjMtNmViZC00ODEzLTgwNDAtNmQ3OGQwOWY5YjFmXkEyXkFqcGdeQXVyNDY2MTk1ODk@._V1_UX67_CR0,0,67,98_AL_.jpg</v>
      </c>
    </row>
    <row r="566">
      <c r="A566" s="1">
        <v>565.0</v>
      </c>
      <c r="B566" s="1" t="s">
        <v>3478</v>
      </c>
      <c r="C566" s="2">
        <v>3981000.0</v>
      </c>
      <c r="D566" s="1">
        <v>1938.0</v>
      </c>
      <c r="E566" s="1" t="s">
        <v>270</v>
      </c>
      <c r="F566" s="1" t="s">
        <v>405</v>
      </c>
      <c r="G566" s="1" t="s">
        <v>3479</v>
      </c>
      <c r="H566" s="1">
        <v>7.9</v>
      </c>
      <c r="I566" s="1" t="s">
        <v>3480</v>
      </c>
      <c r="J566" s="1">
        <v>97.0</v>
      </c>
      <c r="K566" s="1" t="s">
        <v>408</v>
      </c>
      <c r="L566" s="1" t="s">
        <v>3481</v>
      </c>
      <c r="M566" s="1" t="s">
        <v>3482</v>
      </c>
      <c r="N566" s="1" t="s">
        <v>3483</v>
      </c>
      <c r="O566" s="1" t="s">
        <v>3484</v>
      </c>
      <c r="P566" s="1">
        <v>47175.0</v>
      </c>
      <c r="Q566" s="3" t="str">
        <f>VLOOKUP(A566,Posters!A566:B1565,2)</f>
        <v>https://m.media-amazon.com/images/M/MV5BYjZjOTU3MTMtYTM5YS00YjZmLThmNmMtODcwOTM1NmRiMWM2XkEyXkFqcGdeQXVyNjc1NTYyMjg@._V1_UX67_CR0,0,67,98_AL_.jpg</v>
      </c>
    </row>
    <row r="567">
      <c r="A567" s="1">
        <v>566.0</v>
      </c>
      <c r="B567" s="1" t="s">
        <v>3485</v>
      </c>
      <c r="C567" s="2">
        <v>2537520.0</v>
      </c>
      <c r="D567" s="1">
        <v>1935.0</v>
      </c>
      <c r="E567" s="1" t="s">
        <v>627</v>
      </c>
      <c r="F567" s="1" t="s">
        <v>53</v>
      </c>
      <c r="G567" s="1" t="s">
        <v>3486</v>
      </c>
      <c r="H567" s="1">
        <v>7.9</v>
      </c>
      <c r="I567" s="1" t="s">
        <v>3487</v>
      </c>
      <c r="K567" s="1" t="s">
        <v>2093</v>
      </c>
      <c r="L567" s="1" t="s">
        <v>3488</v>
      </c>
      <c r="M567" s="1" t="s">
        <v>3489</v>
      </c>
      <c r="N567" s="1" t="s">
        <v>3490</v>
      </c>
      <c r="O567" s="1" t="s">
        <v>3491</v>
      </c>
      <c r="P567" s="1">
        <v>30580.0</v>
      </c>
      <c r="Q567" s="3" t="str">
        <f>VLOOKUP(A567,Posters!A567:B1566,2)</f>
        <v>https://m.media-amazon.com/images/M/MV5BYTJmNmQxNGItNDNlMC00MDU3LWFhNzMtZDQ2NDY0ZTVkNjE3XkEyXkFqcGdeQXVyMDI2NDg0NQ@@._V1_UX67_CR0,0,67,98_AL_.jpg</v>
      </c>
    </row>
    <row r="568">
      <c r="A568" s="1">
        <v>567.0</v>
      </c>
      <c r="B568" s="1" t="s">
        <v>3492</v>
      </c>
      <c r="C568" s="2">
        <v>1.0E7</v>
      </c>
      <c r="D568" s="1">
        <v>1933.0</v>
      </c>
      <c r="E568" s="1" t="s">
        <v>627</v>
      </c>
      <c r="F568" s="1" t="s">
        <v>1439</v>
      </c>
      <c r="G568" s="1" t="s">
        <v>3493</v>
      </c>
      <c r="H568" s="1">
        <v>7.9</v>
      </c>
      <c r="I568" s="1" t="s">
        <v>3494</v>
      </c>
      <c r="J568" s="1">
        <v>90.0</v>
      </c>
      <c r="K568" s="1" t="s">
        <v>3495</v>
      </c>
      <c r="L568" s="1" t="s">
        <v>3496</v>
      </c>
      <c r="M568" s="1" t="s">
        <v>3497</v>
      </c>
      <c r="N568" s="1" t="s">
        <v>3498</v>
      </c>
      <c r="O568" s="1" t="s">
        <v>3499</v>
      </c>
      <c r="P568" s="1">
        <v>78991.0</v>
      </c>
      <c r="Q568" s="3" t="str">
        <f>VLOOKUP(A568,Posters!A568:B1567,2)</f>
        <v>https://m.media-amazon.com/images/M/MV5BZTY3YjYxZGQtMTM2YS00ZmYwLWFlM2QtOWFlMTU1NTAyZDQ2XkEyXkFqcGdeQXVyNTgyNTA4MjM@._V1_UX67_CR0,0,67,98_AL_.jpg</v>
      </c>
    </row>
    <row r="569">
      <c r="A569" s="1">
        <v>568.0</v>
      </c>
      <c r="B569" s="1" t="s">
        <v>3500</v>
      </c>
      <c r="C569" s="2">
        <v>4072.0</v>
      </c>
      <c r="D569" s="1">
        <v>1932.0</v>
      </c>
      <c r="E569" s="1" t="s">
        <v>694</v>
      </c>
      <c r="F569" s="1" t="s">
        <v>3501</v>
      </c>
      <c r="G569" s="1" t="s">
        <v>569</v>
      </c>
      <c r="H569" s="1">
        <v>7.9</v>
      </c>
      <c r="I569" s="1" t="s">
        <v>3502</v>
      </c>
      <c r="J569" s="1">
        <v>80.0</v>
      </c>
      <c r="K569" s="1" t="s">
        <v>3503</v>
      </c>
      <c r="L569" s="1" t="s">
        <v>3447</v>
      </c>
      <c r="M569" s="1" t="s">
        <v>3504</v>
      </c>
      <c r="N569" s="1" t="s">
        <v>3505</v>
      </c>
      <c r="O569" s="1" t="s">
        <v>3506</v>
      </c>
      <c r="P569" s="1">
        <v>42117.0</v>
      </c>
      <c r="Q569" s="3" t="str">
        <f>VLOOKUP(A569,Posters!A569:B1568,2)</f>
        <v>https://m.media-amazon.com/images/M/MV5BMjMyYjgyOTQtZDVlZS00NTQ0LWJiNDItNGRlZmM3Yzc0N2Y0XkEyXkFqcGdeQXVyNTA4NzY1MzY@._V1_UX67_CR0,0,67,98_AL_.jpg</v>
      </c>
    </row>
    <row r="570">
      <c r="A570" s="1">
        <v>569.0</v>
      </c>
      <c r="B570" s="1" t="s">
        <v>3507</v>
      </c>
      <c r="C570" s="2">
        <v>19054.0</v>
      </c>
      <c r="D570" s="1">
        <v>1922.0</v>
      </c>
      <c r="E570" s="1" t="s">
        <v>270</v>
      </c>
      <c r="F570" s="1" t="s">
        <v>1882</v>
      </c>
      <c r="G570" s="1" t="s">
        <v>3508</v>
      </c>
      <c r="H570" s="1">
        <v>7.9</v>
      </c>
      <c r="I570" s="1" t="s">
        <v>3509</v>
      </c>
      <c r="K570" s="1" t="s">
        <v>2125</v>
      </c>
      <c r="L570" s="1" t="s">
        <v>3510</v>
      </c>
      <c r="M570" s="1" t="s">
        <v>3511</v>
      </c>
      <c r="N570" s="1" t="s">
        <v>3512</v>
      </c>
      <c r="O570" s="1" t="s">
        <v>3513</v>
      </c>
      <c r="P570" s="1">
        <v>88794.0</v>
      </c>
      <c r="Q570" s="3" t="str">
        <f>VLOOKUP(A570,Posters!A570:B1569,2)</f>
        <v>https://m.media-amazon.com/images/M/MV5BMTAxYjEyMTctZTg3Ni00MGZmLWIxMmMtOGM2NTFiY2U3MmExXkEyXkFqcGdeQXVyNzkwMjQ5NzM@._V1_UX67_CR0,0,67,98_AL_.jpg</v>
      </c>
    </row>
    <row r="571">
      <c r="A571" s="1">
        <v>570.0</v>
      </c>
      <c r="B571" s="1" t="s">
        <v>3514</v>
      </c>
      <c r="C571" s="2">
        <v>3.6471795E7</v>
      </c>
      <c r="D571" s="1">
        <v>2019.0</v>
      </c>
      <c r="E571" s="1" t="s">
        <v>18</v>
      </c>
      <c r="F571" s="1" t="s">
        <v>543</v>
      </c>
      <c r="G571" s="1" t="s">
        <v>1029</v>
      </c>
      <c r="H571" s="1">
        <v>7.8</v>
      </c>
      <c r="I571" s="1" t="s">
        <v>3515</v>
      </c>
      <c r="J571" s="1">
        <v>51.0</v>
      </c>
      <c r="K571" s="1" t="s">
        <v>733</v>
      </c>
      <c r="L571" s="1" t="s">
        <v>190</v>
      </c>
      <c r="M571" s="1" t="s">
        <v>3516</v>
      </c>
      <c r="N571" s="1" t="s">
        <v>3517</v>
      </c>
      <c r="O571" s="1" t="s">
        <v>3518</v>
      </c>
      <c r="P571" s="1">
        <v>237392.0</v>
      </c>
      <c r="Q571" s="3" t="str">
        <f>VLOOKUP(A571,Posters!A571:B1570,2)</f>
        <v>https://m.media-amazon.com/images/M/MV5BMTlkMmVmYjktYTc2NC00ZGZjLWEyOWUtMjc2MDMwMjQwOTA5XkEyXkFqcGdeQXVyNTI4MzE4MDU@._V1_UX67_CR0,0,67,98_AL_.jpg</v>
      </c>
    </row>
    <row r="572">
      <c r="A572" s="1">
        <v>571.0</v>
      </c>
      <c r="B572" s="1" t="s">
        <v>3519</v>
      </c>
      <c r="C572" s="2">
        <v>1812763.0</v>
      </c>
      <c r="D572" s="1">
        <v>2018.0</v>
      </c>
      <c r="E572" s="1" t="s">
        <v>37</v>
      </c>
      <c r="F572" s="1" t="s">
        <v>947</v>
      </c>
      <c r="G572" s="1" t="s">
        <v>1283</v>
      </c>
      <c r="H572" s="1">
        <v>7.8</v>
      </c>
      <c r="I572" s="1" t="s">
        <v>3520</v>
      </c>
      <c r="K572" s="1" t="s">
        <v>979</v>
      </c>
      <c r="L572" s="1" t="s">
        <v>3521</v>
      </c>
      <c r="M572" s="1" t="s">
        <v>951</v>
      </c>
      <c r="N572" s="1" t="s">
        <v>3522</v>
      </c>
      <c r="O572" s="1" t="s">
        <v>3523</v>
      </c>
      <c r="P572" s="1">
        <v>25344.0</v>
      </c>
      <c r="Q572" s="3" t="str">
        <f>VLOOKUP(A572,Posters!A572:B1571,2)</f>
        <v>https://m.media-amazon.com/images/M/MV5BZmVhN2JlYjEtZWFkOS00YzE0LThiNDMtMGI3NDA1MTk2ZDQ2XkEyXkFqcGdeQXVyODE5NzE3OTE@._V1_UY98_CR0,0,67,98_AL_.jpg</v>
      </c>
    </row>
    <row r="573">
      <c r="A573" s="1">
        <v>572.0</v>
      </c>
      <c r="B573" s="1" t="s">
        <v>3524</v>
      </c>
      <c r="C573" s="1" t="s">
        <v>3525</v>
      </c>
      <c r="D573" s="1">
        <v>2019.0</v>
      </c>
      <c r="E573" s="1" t="s">
        <v>212</v>
      </c>
      <c r="F573" s="1" t="s">
        <v>1546</v>
      </c>
      <c r="G573" s="1" t="s">
        <v>287</v>
      </c>
      <c r="H573" s="1">
        <v>7.8</v>
      </c>
      <c r="I573" s="1" t="s">
        <v>3526</v>
      </c>
      <c r="J573" s="1">
        <v>81.0</v>
      </c>
      <c r="K573" s="1" t="s">
        <v>3527</v>
      </c>
      <c r="L573" s="1" t="s">
        <v>3002</v>
      </c>
      <c r="M573" s="1" t="s">
        <v>3528</v>
      </c>
      <c r="N573" s="1" t="s">
        <v>3529</v>
      </c>
      <c r="O573" s="1" t="s">
        <v>3530</v>
      </c>
      <c r="P573" s="1">
        <v>27187.0</v>
      </c>
      <c r="Q573" s="3" t="str">
        <f>VLOOKUP(A573,Posters!A573:B1572,2)</f>
        <v>https://m.media-amazon.com/images/M/MV5BNjcyYjg0M2ItMzMyZS00NmM1LTlhZDMtN2MxN2RhNWY4YTkwXkEyXkFqcGdeQXVyNjY1MTg4Mzc@._V1_UX67_CR0,0,67,98_AL_.jpg</v>
      </c>
    </row>
    <row r="574">
      <c r="A574" s="1">
        <v>573.0</v>
      </c>
      <c r="B574" s="1" t="s">
        <v>3531</v>
      </c>
      <c r="C574" s="2">
        <v>2402067.0</v>
      </c>
      <c r="D574" s="1">
        <v>2016.0</v>
      </c>
      <c r="E574" s="1" t="s">
        <v>37</v>
      </c>
      <c r="F574" s="1" t="s">
        <v>144</v>
      </c>
      <c r="G574" s="1" t="s">
        <v>20</v>
      </c>
      <c r="H574" s="1">
        <v>7.8</v>
      </c>
      <c r="I574" s="1" t="s">
        <v>3532</v>
      </c>
      <c r="J574" s="1">
        <v>85.0</v>
      </c>
      <c r="K574" s="1" t="s">
        <v>680</v>
      </c>
      <c r="L574" s="1" t="s">
        <v>684</v>
      </c>
      <c r="M574" s="1" t="s">
        <v>2299</v>
      </c>
      <c r="N574" s="1" t="s">
        <v>3533</v>
      </c>
      <c r="O574" s="1" t="s">
        <v>3534</v>
      </c>
      <c r="P574" s="1">
        <v>51240.0</v>
      </c>
      <c r="Q574" s="3" t="str">
        <f>VLOOKUP(A574,Posters!A574:B1573,2)</f>
        <v>https://m.media-amazon.com/images/M/MV5BMTBkMjMyN2UtNzVjNi00Y2ZiLTk2MDYtN2Y0MjgzYjAxNzE4XkEyXkFqcGdeQXVyNjkxOTM4ODY@._V1_UY98_CR1,0,67,98_AL_.jpg</v>
      </c>
    </row>
    <row r="575">
      <c r="A575" s="1">
        <v>574.0</v>
      </c>
      <c r="B575" s="1" t="s">
        <v>3535</v>
      </c>
      <c r="C575" s="2">
        <v>1.88373161E8</v>
      </c>
      <c r="D575" s="1">
        <v>2017.0</v>
      </c>
      <c r="E575" s="1" t="s">
        <v>37</v>
      </c>
      <c r="F575" s="1" t="s">
        <v>286</v>
      </c>
      <c r="G575" s="1" t="s">
        <v>3536</v>
      </c>
      <c r="H575" s="1">
        <v>7.8</v>
      </c>
      <c r="I575" s="1" t="s">
        <v>3537</v>
      </c>
      <c r="J575" s="1">
        <v>94.0</v>
      </c>
      <c r="K575" s="1" t="s">
        <v>41</v>
      </c>
      <c r="L575" s="1" t="s">
        <v>3538</v>
      </c>
      <c r="M575" s="1" t="s">
        <v>3539</v>
      </c>
      <c r="N575" s="1" t="s">
        <v>3540</v>
      </c>
      <c r="O575" s="1" t="s">
        <v>504</v>
      </c>
      <c r="P575" s="1">
        <v>555092.0</v>
      </c>
      <c r="Q575" s="3" t="str">
        <f>VLOOKUP(A575,Posters!A575:B1574,2)</f>
        <v>https://m.media-amazon.com/images/M/MV5BN2YyZjQ0NTEtNzU5MS00NGZkLTg0MTEtYzJmMWY3MWRhZjM2XkEyXkFqcGdeQXVyMDA4NzMyOA@@._V1_UX67_CR0,0,67,98_AL_.jpg</v>
      </c>
    </row>
    <row r="576">
      <c r="A576" s="1">
        <v>575.0</v>
      </c>
      <c r="B576" s="1" t="s">
        <v>3541</v>
      </c>
      <c r="C576" s="2">
        <v>3.1640626E7</v>
      </c>
      <c r="D576" s="1">
        <v>2016.0</v>
      </c>
      <c r="E576" s="1" t="s">
        <v>3542</v>
      </c>
      <c r="F576" s="1" t="s">
        <v>53</v>
      </c>
      <c r="G576" s="1" t="s">
        <v>507</v>
      </c>
      <c r="H576" s="1">
        <v>7.8</v>
      </c>
      <c r="I576" s="1" t="s">
        <v>3543</v>
      </c>
      <c r="K576" s="1" t="s">
        <v>3544</v>
      </c>
      <c r="L576" s="1" t="s">
        <v>3545</v>
      </c>
      <c r="M576" s="1" t="s">
        <v>3546</v>
      </c>
      <c r="N576" s="1" t="s">
        <v>3547</v>
      </c>
      <c r="O576" s="1" t="s">
        <v>3548</v>
      </c>
      <c r="P576" s="1">
        <v>57168.0</v>
      </c>
      <c r="Q576" s="3" t="str">
        <f>VLOOKUP(A576,Posters!A576:B1575,2)</f>
        <v>https://m.media-amazon.com/images/M/MV5BNDQzZmQ5MjItYmJlNy00MGI2LWExMDQtMjBiNjNmMzc5NTk1XkEyXkFqcGdeQXVyNjY1OTY4MTk@._V1_UY98_CR1,0,67,98_AL_.jpg</v>
      </c>
    </row>
    <row r="577">
      <c r="A577" s="1">
        <v>576.0</v>
      </c>
      <c r="B577" s="1" t="s">
        <v>3549</v>
      </c>
      <c r="C577" s="2">
        <v>1.69607287E8</v>
      </c>
      <c r="D577" s="1">
        <v>2016.0</v>
      </c>
      <c r="E577" s="1" t="s">
        <v>37</v>
      </c>
      <c r="F577" s="1" t="s">
        <v>234</v>
      </c>
      <c r="G577" s="1" t="s">
        <v>79</v>
      </c>
      <c r="H577" s="1">
        <v>7.8</v>
      </c>
      <c r="I577" s="1" t="s">
        <v>3550</v>
      </c>
      <c r="J577" s="1">
        <v>74.0</v>
      </c>
      <c r="K577" s="1" t="s">
        <v>3551</v>
      </c>
      <c r="L577" s="1" t="s">
        <v>3552</v>
      </c>
      <c r="M577" s="1" t="s">
        <v>2286</v>
      </c>
      <c r="N577" s="1" t="s">
        <v>3553</v>
      </c>
      <c r="O577" s="1" t="s">
        <v>2595</v>
      </c>
      <c r="P577" s="1">
        <v>200876.0</v>
      </c>
      <c r="Q577" s="3" t="str">
        <f>VLOOKUP(A577,Posters!A577:B1576,2)</f>
        <v>https://m.media-amazon.com/images/M/MV5BMzg2Mzg4YmUtNDdkNy00NWY1LWE3NmEtZWMwNGNlMzE5YzU3XkEyXkFqcGdeQXVyMjA5MTIzMjQ@._V1_UX67_CR0,0,67,98_AL_.jpg</v>
      </c>
    </row>
    <row r="578">
      <c r="A578" s="1">
        <v>577.0</v>
      </c>
      <c r="B578" s="1" t="s">
        <v>3554</v>
      </c>
      <c r="C578" s="2">
        <v>4.0442052E7</v>
      </c>
      <c r="D578" s="1">
        <v>2017.0</v>
      </c>
      <c r="E578" s="1" t="s">
        <v>52</v>
      </c>
      <c r="F578" s="1" t="s">
        <v>885</v>
      </c>
      <c r="G578" s="1" t="s">
        <v>3555</v>
      </c>
      <c r="H578" s="1">
        <v>7.8</v>
      </c>
      <c r="I578" s="1" t="s">
        <v>3556</v>
      </c>
      <c r="J578" s="1">
        <v>88.0</v>
      </c>
      <c r="K578" s="1" t="s">
        <v>3557</v>
      </c>
      <c r="L578" s="1" t="s">
        <v>3558</v>
      </c>
      <c r="M578" s="1" t="s">
        <v>3559</v>
      </c>
      <c r="N578" s="1" t="s">
        <v>3560</v>
      </c>
      <c r="O578" s="1" t="s">
        <v>3561</v>
      </c>
      <c r="P578" s="1">
        <v>61594.0</v>
      </c>
      <c r="Q578" s="3" t="str">
        <f>VLOOKUP(A578,Posters!A578:B1577,2)</f>
        <v>https://m.media-amazon.com/images/M/MV5BMmYwNWZlNzEtNjE4Zi00NzQ4LWI2YmUtOWZhNzZhZDYyNmVmXkEyXkFqcGdeQXVyNzYzODM3Mzg@._V1_UX67_CR0,0,67,98_AL_.jpg</v>
      </c>
    </row>
    <row r="579">
      <c r="A579" s="1">
        <v>578.0</v>
      </c>
      <c r="B579" s="1" t="s">
        <v>3562</v>
      </c>
      <c r="C579" s="2">
        <v>359891.0</v>
      </c>
      <c r="D579" s="1">
        <v>2016.0</v>
      </c>
      <c r="E579" s="1" t="s">
        <v>18</v>
      </c>
      <c r="F579" s="1" t="s">
        <v>87</v>
      </c>
      <c r="G579" s="1" t="s">
        <v>39</v>
      </c>
      <c r="H579" s="1">
        <v>7.8</v>
      </c>
      <c r="I579" s="1" t="s">
        <v>3563</v>
      </c>
      <c r="K579" s="1" t="s">
        <v>3564</v>
      </c>
      <c r="L579" s="1" t="s">
        <v>1416</v>
      </c>
      <c r="M579" s="1" t="s">
        <v>3521</v>
      </c>
      <c r="N579" s="1" t="s">
        <v>2166</v>
      </c>
      <c r="O579" s="1" t="s">
        <v>3565</v>
      </c>
      <c r="P579" s="1">
        <v>27175.0</v>
      </c>
      <c r="Q579" s="3" t="str">
        <f>VLOOKUP(A579,Posters!A579:B1578,2)</f>
        <v>https://m.media-amazon.com/images/M/MV5BY2YxNjQxYWYtYzNkMi00YTgyLWIwZTMtYzgyYjZlZmYzZTA0XkEyXkFqcGdeQXVyMTA4NjE0NjEy._V1_UX67_CR0,0,67,98_AL_.jpg</v>
      </c>
    </row>
    <row r="580">
      <c r="A580" s="1">
        <v>579.0</v>
      </c>
      <c r="B580" s="1" t="s">
        <v>3566</v>
      </c>
      <c r="C580" s="2">
        <v>4.8023088E7</v>
      </c>
      <c r="D580" s="1">
        <v>2016.0</v>
      </c>
      <c r="E580" s="1" t="s">
        <v>270</v>
      </c>
      <c r="F580" s="1" t="s">
        <v>535</v>
      </c>
      <c r="G580" s="1" t="s">
        <v>467</v>
      </c>
      <c r="H580" s="1">
        <v>7.8</v>
      </c>
      <c r="I580" s="1" t="s">
        <v>3567</v>
      </c>
      <c r="J580" s="1">
        <v>84.0</v>
      </c>
      <c r="K580" s="1" t="s">
        <v>3568</v>
      </c>
      <c r="L580" s="1" t="s">
        <v>1549</v>
      </c>
      <c r="M580" s="1" t="s">
        <v>3569</v>
      </c>
      <c r="N580" s="1" t="s">
        <v>190</v>
      </c>
      <c r="O580" s="1" t="s">
        <v>83</v>
      </c>
      <c r="P580" s="1">
        <v>118035.0</v>
      </c>
      <c r="Q580" s="3" t="str">
        <f>VLOOKUP(A580,Posters!A580:B1579,2)</f>
        <v>https://m.media-amazon.com/images/M/MV5BMjA2Mzg2NDMzNl5BMl5BanBnXkFtZTgwMjcwODUzOTE@._V1_UX67_CR0,0,67,98_AL_.jpg</v>
      </c>
    </row>
    <row r="581">
      <c r="A581" s="1">
        <v>580.0</v>
      </c>
      <c r="B581" s="1" t="s">
        <v>3570</v>
      </c>
      <c r="C581" s="2">
        <v>1782795.0</v>
      </c>
      <c r="D581" s="1">
        <v>2016.0</v>
      </c>
      <c r="E581" s="1" t="s">
        <v>52</v>
      </c>
      <c r="F581" s="1" t="s">
        <v>3571</v>
      </c>
      <c r="G581" s="1" t="s">
        <v>1020</v>
      </c>
      <c r="H581" s="1">
        <v>7.8</v>
      </c>
      <c r="I581" s="1" t="s">
        <v>3572</v>
      </c>
      <c r="K581" s="1" t="s">
        <v>1554</v>
      </c>
      <c r="L581" s="1" t="s">
        <v>942</v>
      </c>
      <c r="M581" s="1" t="s">
        <v>3573</v>
      </c>
      <c r="N581" s="1" t="s">
        <v>1555</v>
      </c>
      <c r="O581" s="1" t="s">
        <v>3574</v>
      </c>
      <c r="P581" s="1">
        <v>40416.0</v>
      </c>
      <c r="Q581" s="3" t="str">
        <f>VLOOKUP(A581,Posters!A581:B1580,2)</f>
        <v>https://m.media-amazon.com/images/M/MV5BZjAzZjZiMmQtMDZmOC00NjVmLTkyNTItOGI2Mzg4NTBhZTA1XkEyXkFqcGdeQXVyODE5NzE3OTE@._V1_UY98_CR0,0,67,98_AL_.jpg</v>
      </c>
    </row>
    <row r="582">
      <c r="A582" s="1">
        <v>581.0</v>
      </c>
      <c r="B582" s="1" t="s">
        <v>3575</v>
      </c>
      <c r="C582" s="2">
        <v>4.769512E7</v>
      </c>
      <c r="D582" s="1">
        <v>2016.0</v>
      </c>
      <c r="E582" s="1" t="s">
        <v>37</v>
      </c>
      <c r="F582" s="1" t="s">
        <v>360</v>
      </c>
      <c r="G582" s="1" t="s">
        <v>20</v>
      </c>
      <c r="H582" s="1">
        <v>7.8</v>
      </c>
      <c r="I582" s="1" t="s">
        <v>3576</v>
      </c>
      <c r="J582" s="1">
        <v>96.0</v>
      </c>
      <c r="K582" s="1" t="s">
        <v>3577</v>
      </c>
      <c r="L582" s="1" t="s">
        <v>3578</v>
      </c>
      <c r="M582" s="1" t="s">
        <v>3579</v>
      </c>
      <c r="N582" s="1" t="s">
        <v>3580</v>
      </c>
      <c r="O582" s="1" t="s">
        <v>3581</v>
      </c>
      <c r="P582" s="1">
        <v>246963.0</v>
      </c>
      <c r="Q582" s="3" t="str">
        <f>VLOOKUP(A582,Posters!A582:B1581,2)</f>
        <v>https://m.media-amazon.com/images/M/MV5BMTYxMjk0NDg4Ml5BMl5BanBnXkFtZTgwODcyNjA5OTE@._V1_UX67_CR0,0,67,98_AL_.jpg</v>
      </c>
    </row>
    <row r="583">
      <c r="A583" s="1">
        <v>582.0</v>
      </c>
      <c r="B583" s="1" t="s">
        <v>3582</v>
      </c>
      <c r="C583" s="2">
        <v>435266.0</v>
      </c>
      <c r="D583" s="1">
        <v>2015.0</v>
      </c>
      <c r="E583" s="1" t="s">
        <v>212</v>
      </c>
      <c r="F583" s="1" t="s">
        <v>1439</v>
      </c>
      <c r="G583" s="1" t="s">
        <v>2661</v>
      </c>
      <c r="H583" s="1">
        <v>7.8</v>
      </c>
      <c r="I583" s="1" t="s">
        <v>3583</v>
      </c>
      <c r="J583" s="1">
        <v>75.0</v>
      </c>
      <c r="K583" s="1" t="s">
        <v>3584</v>
      </c>
      <c r="L583" s="1" t="s">
        <v>3585</v>
      </c>
      <c r="M583" s="1" t="s">
        <v>3586</v>
      </c>
      <c r="N583" s="1" t="s">
        <v>3587</v>
      </c>
      <c r="O583" s="1" t="s">
        <v>3588</v>
      </c>
      <c r="P583" s="1">
        <v>35539.0</v>
      </c>
      <c r="Q583" s="3" t="str">
        <f>VLOOKUP(A583,Posters!A583:B1582,2)</f>
        <v>https://m.media-amazon.com/images/M/MV5BMjA0MzQzNjM1Ml5BMl5BanBnXkFtZTgwNjM5MjU5NjE@._V1_UX67_CR0,0,67,98_AL_.jpg</v>
      </c>
    </row>
    <row r="584">
      <c r="A584" s="1">
        <v>583.0</v>
      </c>
      <c r="B584" s="1" t="s">
        <v>3589</v>
      </c>
      <c r="C584" s="2">
        <v>5.32177324E8</v>
      </c>
      <c r="D584" s="1">
        <v>2016.0</v>
      </c>
      <c r="E584" s="1" t="s">
        <v>37</v>
      </c>
      <c r="F584" s="1" t="s">
        <v>153</v>
      </c>
      <c r="G584" s="1" t="s">
        <v>88</v>
      </c>
      <c r="H584" s="1">
        <v>7.8</v>
      </c>
      <c r="I584" s="1" t="s">
        <v>3590</v>
      </c>
      <c r="J584" s="1">
        <v>65.0</v>
      </c>
      <c r="K584" s="1" t="s">
        <v>3591</v>
      </c>
      <c r="L584" s="1" t="s">
        <v>3592</v>
      </c>
      <c r="M584" s="1" t="s">
        <v>3593</v>
      </c>
      <c r="N584" s="1" t="s">
        <v>3594</v>
      </c>
      <c r="O584" s="1" t="s">
        <v>2309</v>
      </c>
      <c r="P584" s="1">
        <v>556608.0</v>
      </c>
      <c r="Q584" s="3" t="str">
        <f>VLOOKUP(A584,Posters!A584:B1583,2)</f>
        <v>https://m.media-amazon.com/images/M/MV5BMjEwMzMxODIzOV5BMl5BanBnXkFtZTgwNzg3OTAzMDI@._V1_UX67_CR0,0,67,98_AL_.jpg</v>
      </c>
    </row>
    <row r="585">
      <c r="A585" s="1">
        <v>584.0</v>
      </c>
      <c r="B585" s="1" t="s">
        <v>3595</v>
      </c>
      <c r="C585" s="2">
        <v>4.08084349E8</v>
      </c>
      <c r="D585" s="1">
        <v>2016.0</v>
      </c>
      <c r="E585" s="1" t="s">
        <v>37</v>
      </c>
      <c r="F585" s="1" t="s">
        <v>443</v>
      </c>
      <c r="G585" s="1" t="s">
        <v>88</v>
      </c>
      <c r="H585" s="1">
        <v>7.8</v>
      </c>
      <c r="I585" s="1" t="s">
        <v>3596</v>
      </c>
      <c r="J585" s="1">
        <v>75.0</v>
      </c>
      <c r="K585" s="1" t="s">
        <v>477</v>
      </c>
      <c r="L585" s="1" t="s">
        <v>478</v>
      </c>
      <c r="M585" s="1" t="s">
        <v>480</v>
      </c>
      <c r="N585" s="1" t="s">
        <v>479</v>
      </c>
      <c r="O585" s="1" t="s">
        <v>307</v>
      </c>
      <c r="P585" s="1">
        <v>663649.0</v>
      </c>
      <c r="Q585" s="3" t="str">
        <f>VLOOKUP(A585,Posters!A585:B1584,2)</f>
        <v>https://m.media-amazon.com/images/M/MV5BMjQ0MTgyNjAxMV5BMl5BanBnXkFtZTgwNjUzMDkyODE@._V1_UX67_CR0,0,67,98_AL_.jpg</v>
      </c>
    </row>
    <row r="586">
      <c r="A586" s="1">
        <v>585.0</v>
      </c>
      <c r="B586" s="1" t="s">
        <v>3597</v>
      </c>
      <c r="C586" s="2">
        <v>5.4117416E7</v>
      </c>
      <c r="D586" s="1">
        <v>2015.0</v>
      </c>
      <c r="E586" s="1" t="s">
        <v>18</v>
      </c>
      <c r="F586" s="1" t="s">
        <v>3598</v>
      </c>
      <c r="G586" s="1" t="s">
        <v>235</v>
      </c>
      <c r="H586" s="1">
        <v>7.8</v>
      </c>
      <c r="I586" s="1" t="s">
        <v>3599</v>
      </c>
      <c r="J586" s="1">
        <v>68.0</v>
      </c>
      <c r="K586" s="1" t="s">
        <v>72</v>
      </c>
      <c r="L586" s="1" t="s">
        <v>75</v>
      </c>
      <c r="M586" s="1" t="s">
        <v>1846</v>
      </c>
      <c r="N586" s="1" t="s">
        <v>3600</v>
      </c>
      <c r="O586" s="1" t="s">
        <v>3601</v>
      </c>
      <c r="P586" s="1">
        <v>517059.0</v>
      </c>
      <c r="Q586" s="3" t="str">
        <f>VLOOKUP(A586,Posters!A586:B1585,2)</f>
        <v>https://m.media-amazon.com/images/M/MV5BMjA1MTc1NTg5NV5BMl5BanBnXkFtZTgwOTM2MDEzNzE@._V1_UX67_CR0,0,67,98_AL_.jpg</v>
      </c>
    </row>
    <row r="587">
      <c r="A587" s="1">
        <v>586.0</v>
      </c>
      <c r="B587" s="1" t="s">
        <v>3602</v>
      </c>
      <c r="C587" s="2">
        <v>1.08101214E8</v>
      </c>
      <c r="D587" s="1">
        <v>2019.0</v>
      </c>
      <c r="E587" s="1" t="s">
        <v>52</v>
      </c>
      <c r="F587" s="1" t="s">
        <v>1044</v>
      </c>
      <c r="G587" s="1" t="s">
        <v>107</v>
      </c>
      <c r="H587" s="1">
        <v>7.8</v>
      </c>
      <c r="I587" s="1" t="s">
        <v>3603</v>
      </c>
      <c r="J587" s="1">
        <v>91.0</v>
      </c>
      <c r="K587" s="1" t="s">
        <v>3604</v>
      </c>
      <c r="L587" s="1" t="s">
        <v>3605</v>
      </c>
      <c r="M587" s="1" t="s">
        <v>1569</v>
      </c>
      <c r="N587" s="1" t="s">
        <v>3606</v>
      </c>
      <c r="O587" s="1" t="s">
        <v>3607</v>
      </c>
      <c r="P587" s="1">
        <v>143250.0</v>
      </c>
      <c r="Q587" s="3" t="str">
        <f>VLOOKUP(A587,Posters!A587:B1586,2)</f>
        <v>https://m.media-amazon.com/images/M/MV5BY2QzYTQyYzItMzAwYi00YjZlLThjNTUtNzMyMDdkYzJiNWM4XkEyXkFqcGdeQXVyMTkxNjUyNQ@@._V1_UX67_CR0,0,67,98_AL_.jpg</v>
      </c>
    </row>
    <row r="588">
      <c r="A588" s="1">
        <v>587.0</v>
      </c>
      <c r="B588" s="1" t="s">
        <v>3608</v>
      </c>
      <c r="C588" s="2">
        <v>6735118.0</v>
      </c>
      <c r="D588" s="1">
        <v>2017.0</v>
      </c>
      <c r="E588" s="1" t="s">
        <v>37</v>
      </c>
      <c r="F588" s="1" t="s">
        <v>1882</v>
      </c>
      <c r="G588" s="1" t="s">
        <v>3609</v>
      </c>
      <c r="H588" s="1">
        <v>7.8</v>
      </c>
      <c r="I588" s="1" t="s">
        <v>3610</v>
      </c>
      <c r="J588" s="1">
        <v>62.0</v>
      </c>
      <c r="K588" s="1" t="s">
        <v>3611</v>
      </c>
      <c r="L588" s="1" t="s">
        <v>3612</v>
      </c>
      <c r="M588" s="1" t="s">
        <v>3613</v>
      </c>
      <c r="N588" s="1" t="s">
        <v>3614</v>
      </c>
      <c r="O588" s="1" t="s">
        <v>3615</v>
      </c>
      <c r="P588" s="1">
        <v>50778.0</v>
      </c>
      <c r="Q588" s="3" t="str">
        <f>VLOOKUP(A588,Posters!A588:B1587,2)</f>
        <v>https://m.media-amazon.com/images/M/MV5BMTU3NjE2NjgwN15BMl5BanBnXkFtZTgwNDYzMzEwMzI@._V1_UX67_CR0,0,67,98_AL_.jpg</v>
      </c>
    </row>
    <row r="589">
      <c r="A589" s="1">
        <v>588.0</v>
      </c>
      <c r="B589" s="1" t="s">
        <v>3616</v>
      </c>
      <c r="C589" s="2">
        <v>1.6775629E7</v>
      </c>
      <c r="D589" s="1">
        <v>2014.0</v>
      </c>
      <c r="E589" s="1" t="s">
        <v>212</v>
      </c>
      <c r="F589" s="1" t="s">
        <v>329</v>
      </c>
      <c r="G589" s="1" t="s">
        <v>296</v>
      </c>
      <c r="H589" s="1">
        <v>7.8</v>
      </c>
      <c r="I589" s="1" t="s">
        <v>3617</v>
      </c>
      <c r="J589" s="1">
        <v>79.0</v>
      </c>
      <c r="K589" s="1" t="s">
        <v>3618</v>
      </c>
      <c r="L589" s="1" t="s">
        <v>3619</v>
      </c>
      <c r="M589" s="1" t="s">
        <v>3620</v>
      </c>
      <c r="N589" s="1" t="s">
        <v>3621</v>
      </c>
      <c r="O589" s="1" t="s">
        <v>3622</v>
      </c>
      <c r="P589" s="1">
        <v>51841.0</v>
      </c>
      <c r="Q589" s="3" t="str">
        <f>VLOOKUP(A589,Posters!A589:B1588,2)</f>
        <v>https://m.media-amazon.com/images/M/MV5BMTU2OTcyOTE3MF5BMl5BanBnXkFtZTgwNTg5Mjc1MjE@._V1_UX67_CR0,0,67,98_AL_.jpg</v>
      </c>
    </row>
    <row r="590">
      <c r="A590" s="1">
        <v>589.0</v>
      </c>
      <c r="B590" s="1" t="s">
        <v>3623</v>
      </c>
      <c r="C590" s="2">
        <v>1330596.0</v>
      </c>
      <c r="D590" s="1">
        <v>2013.0</v>
      </c>
      <c r="E590" s="1" t="s">
        <v>161</v>
      </c>
      <c r="F590" s="1" t="s">
        <v>195</v>
      </c>
      <c r="G590" s="1" t="s">
        <v>914</v>
      </c>
      <c r="H590" s="1">
        <v>7.8</v>
      </c>
      <c r="I590" s="1" t="s">
        <v>3624</v>
      </c>
      <c r="J590" s="1">
        <v>85.0</v>
      </c>
      <c r="K590" s="1" t="s">
        <v>680</v>
      </c>
      <c r="L590" s="1" t="s">
        <v>3034</v>
      </c>
      <c r="M590" s="1" t="s">
        <v>3052</v>
      </c>
      <c r="N590" s="1" t="s">
        <v>3625</v>
      </c>
      <c r="O590" s="1" t="s">
        <v>3626</v>
      </c>
      <c r="P590" s="1">
        <v>45002.0</v>
      </c>
      <c r="Q590" s="3" t="str">
        <f>VLOOKUP(A590,Posters!A590:B1589,2)</f>
        <v>https://m.media-amazon.com/images/M/MV5BMTcxNTgzNDg1N15BMl5BanBnXkFtZTgwNjg4MzI1MDE@._V1_UX67_CR0,0,67,98_AL_.jpg</v>
      </c>
    </row>
    <row r="591">
      <c r="A591" s="1">
        <v>590.0</v>
      </c>
      <c r="B591" s="1" t="s">
        <v>3627</v>
      </c>
      <c r="C591" s="2">
        <v>2852400.0</v>
      </c>
      <c r="D591" s="1">
        <v>2013.0</v>
      </c>
      <c r="E591" s="1" t="s">
        <v>2066</v>
      </c>
      <c r="F591" s="1" t="s">
        <v>1672</v>
      </c>
      <c r="G591" s="1" t="s">
        <v>20</v>
      </c>
      <c r="H591" s="1">
        <v>7.8</v>
      </c>
      <c r="I591" s="1" t="s">
        <v>3628</v>
      </c>
      <c r="J591" s="1">
        <v>86.0</v>
      </c>
      <c r="K591" s="1" t="s">
        <v>3629</v>
      </c>
      <c r="L591" s="1" t="s">
        <v>3630</v>
      </c>
      <c r="M591" s="1" t="s">
        <v>3631</v>
      </c>
      <c r="N591" s="1" t="s">
        <v>3632</v>
      </c>
      <c r="O591" s="1" t="s">
        <v>3633</v>
      </c>
      <c r="P591" s="1">
        <v>81125.0</v>
      </c>
      <c r="Q591" s="3" t="str">
        <f>VLOOKUP(A591,Posters!A591:B1590,2)</f>
        <v>https://m.media-amazon.com/images/M/MV5BNjg5NmI3NmUtZDQ2Mi00ZTI0LWE0YzAtOGRhOWJmNDJkOWNkXkEyXkFqcGdeQXVyMzIzNDU1NTY@._V1_UY98_CR0,0,67,98_AL_.jpg</v>
      </c>
    </row>
    <row r="592">
      <c r="A592" s="1">
        <v>591.0</v>
      </c>
      <c r="B592" s="1" t="s">
        <v>3634</v>
      </c>
      <c r="C592" s="2">
        <v>4231500.0</v>
      </c>
      <c r="D592" s="1">
        <v>2013.0</v>
      </c>
      <c r="E592" s="1" t="s">
        <v>52</v>
      </c>
      <c r="F592" s="1" t="s">
        <v>647</v>
      </c>
      <c r="G592" s="1" t="s">
        <v>107</v>
      </c>
      <c r="H592" s="1">
        <v>7.8</v>
      </c>
      <c r="I592" s="1" t="s">
        <v>3635</v>
      </c>
      <c r="J592" s="1">
        <v>76.0</v>
      </c>
      <c r="K592" s="1" t="s">
        <v>3636</v>
      </c>
      <c r="L592" s="1" t="s">
        <v>980</v>
      </c>
      <c r="M592" s="1" t="s">
        <v>2159</v>
      </c>
      <c r="N592" s="1" t="s">
        <v>1034</v>
      </c>
      <c r="O592" s="1" t="s">
        <v>3637</v>
      </c>
      <c r="P592" s="1">
        <v>50523.0</v>
      </c>
      <c r="Q592" s="3" t="str">
        <f>VLOOKUP(A592,Posters!A592:B1591,2)</f>
        <v>https://m.media-amazon.com/images/M/MV5BMTUwMzc1NjIzMV5BMl5BanBnXkFtZTgwODUyMTIxMTE@._V1_UX67_CR0,0,67,98_AL_.jpg</v>
      </c>
    </row>
    <row r="593">
      <c r="A593" s="1">
        <v>592.0</v>
      </c>
      <c r="B593" s="1" t="s">
        <v>3638</v>
      </c>
      <c r="C593" s="2">
        <v>169209.0</v>
      </c>
      <c r="D593" s="1">
        <v>2012.0</v>
      </c>
      <c r="E593" s="1" t="s">
        <v>37</v>
      </c>
      <c r="F593" s="1" t="s">
        <v>428</v>
      </c>
      <c r="G593" s="1" t="s">
        <v>723</v>
      </c>
      <c r="H593" s="1">
        <v>7.8</v>
      </c>
      <c r="I593" s="1" t="s">
        <v>3639</v>
      </c>
      <c r="K593" s="1" t="s">
        <v>3640</v>
      </c>
      <c r="L593" s="1" t="s">
        <v>659</v>
      </c>
      <c r="M593" s="1" t="s">
        <v>953</v>
      </c>
      <c r="N593" s="1" t="s">
        <v>3641</v>
      </c>
      <c r="O593" s="1" t="s">
        <v>3642</v>
      </c>
      <c r="P593" s="1">
        <v>39710.0</v>
      </c>
      <c r="Q593" s="3" t="str">
        <f>VLOOKUP(A593,Posters!A593:B1592,2)</f>
        <v>https://m.media-amazon.com/images/M/MV5BYWNlODE1ZTEtOTQ5MS00N2QwLTllNjItZDQ2Y2UzMmU5YmI2XkEyXkFqcGdeQXVyODE5NzE3OTE@._V1_UY98_CR3,0,67,98_AL_.jpg</v>
      </c>
    </row>
    <row r="594">
      <c r="A594" s="1">
        <v>593.0</v>
      </c>
      <c r="B594" s="1" t="s">
        <v>3643</v>
      </c>
      <c r="C594" s="2">
        <v>2.22527828E8</v>
      </c>
      <c r="D594" s="1">
        <v>2014.0</v>
      </c>
      <c r="E594" s="1" t="s">
        <v>52</v>
      </c>
      <c r="F594" s="1" t="s">
        <v>405</v>
      </c>
      <c r="G594" s="1" t="s">
        <v>467</v>
      </c>
      <c r="H594" s="1">
        <v>7.8</v>
      </c>
      <c r="I594" s="1" t="s">
        <v>3644</v>
      </c>
      <c r="J594" s="1">
        <v>74.0</v>
      </c>
      <c r="K594" s="1" t="s">
        <v>3645</v>
      </c>
      <c r="L594" s="1" t="s">
        <v>3646</v>
      </c>
      <c r="M594" s="1" t="s">
        <v>3647</v>
      </c>
      <c r="N594" s="1" t="s">
        <v>3648</v>
      </c>
      <c r="O594" s="1" t="s">
        <v>3649</v>
      </c>
      <c r="P594" s="1">
        <v>410983.0</v>
      </c>
      <c r="Q594" s="3" t="str">
        <f>VLOOKUP(A594,Posters!A594:B1593,2)</f>
        <v>https://m.media-amazon.com/images/M/MV5BMDliOTIzNmUtOTllOC00NDU3LWFiNjYtMGM0NDc1YTMxNjYxXkEyXkFqcGdeQXVyNTM3NzExMDQ@._V1_UY98_CR1,0,67,98_AL_.jpg</v>
      </c>
    </row>
    <row r="595">
      <c r="A595" s="1">
        <v>594.0</v>
      </c>
      <c r="B595" s="1" t="s">
        <v>3650</v>
      </c>
      <c r="C595" s="2">
        <v>1.5322921E7</v>
      </c>
      <c r="D595" s="1">
        <v>2013.0</v>
      </c>
      <c r="E595" s="1" t="s">
        <v>212</v>
      </c>
      <c r="F595" s="1" t="s">
        <v>678</v>
      </c>
      <c r="G595" s="1" t="s">
        <v>1460</v>
      </c>
      <c r="H595" s="1">
        <v>7.8</v>
      </c>
      <c r="I595" s="1" t="s">
        <v>3651</v>
      </c>
      <c r="J595" s="1">
        <v>55.0</v>
      </c>
      <c r="K595" s="1" t="s">
        <v>3652</v>
      </c>
      <c r="L595" s="1" t="s">
        <v>2264</v>
      </c>
      <c r="M595" s="1" t="s">
        <v>1518</v>
      </c>
      <c r="N595" s="1" t="s">
        <v>3619</v>
      </c>
      <c r="O595" s="1" t="s">
        <v>3653</v>
      </c>
      <c r="P595" s="1">
        <v>303032.0</v>
      </c>
      <c r="Q595" s="3" t="str">
        <f>VLOOKUP(A595,Posters!A595:B1594,2)</f>
        <v>https://m.media-amazon.com/images/M/MV5BMTA1ODUzMDA3NzFeQTJeQWpwZ15BbWU3MDgxMTYxNTk@._V1_UX67_CR0,0,67,98_AL_.jpg</v>
      </c>
    </row>
    <row r="596">
      <c r="A596" s="1">
        <v>595.0</v>
      </c>
      <c r="B596" s="1" t="s">
        <v>3654</v>
      </c>
      <c r="C596" s="2">
        <v>1670773.0</v>
      </c>
      <c r="D596" s="1">
        <v>2012.0</v>
      </c>
      <c r="E596" s="1" t="s">
        <v>52</v>
      </c>
      <c r="F596" s="1" t="s">
        <v>550</v>
      </c>
      <c r="G596" s="1" t="s">
        <v>416</v>
      </c>
      <c r="H596" s="1">
        <v>7.8</v>
      </c>
      <c r="I596" s="1" t="s">
        <v>3655</v>
      </c>
      <c r="K596" s="1" t="s">
        <v>3656</v>
      </c>
      <c r="L596" s="1" t="s">
        <v>3657</v>
      </c>
      <c r="M596" s="1" t="s">
        <v>3132</v>
      </c>
      <c r="N596" s="1" t="s">
        <v>3658</v>
      </c>
      <c r="O596" s="1" t="s">
        <v>3659</v>
      </c>
      <c r="P596" s="1">
        <v>33618.0</v>
      </c>
      <c r="Q596" s="3" t="str">
        <f>VLOOKUP(A596,Posters!A596:B1595,2)</f>
        <v>https://m.media-amazon.com/images/M/MV5BMjQ5YWVmYmYtOWFiZC00NGMxLWEwODctZDM2MWI4YWViN2E5XkEyXkFqcGdeQXVyNjQ2MjQ5NzM@._V1_UY98_CR0,0,67,98_AL_.jpg</v>
      </c>
    </row>
    <row r="597">
      <c r="A597" s="1">
        <v>596.0</v>
      </c>
      <c r="B597" s="1" t="s">
        <v>3660</v>
      </c>
      <c r="C597" s="2">
        <v>5209580.0</v>
      </c>
      <c r="D597" s="1">
        <v>2013.0</v>
      </c>
      <c r="E597" s="1" t="s">
        <v>161</v>
      </c>
      <c r="F597" s="1" t="s">
        <v>428</v>
      </c>
      <c r="G597" s="1" t="s">
        <v>2341</v>
      </c>
      <c r="H597" s="1">
        <v>7.8</v>
      </c>
      <c r="I597" s="1" t="s">
        <v>3661</v>
      </c>
      <c r="J597" s="1">
        <v>83.0</v>
      </c>
      <c r="K597" s="1" t="s">
        <v>206</v>
      </c>
      <c r="L597" s="1" t="s">
        <v>1689</v>
      </c>
      <c r="M597" s="1" t="s">
        <v>3662</v>
      </c>
      <c r="N597" s="1" t="s">
        <v>3663</v>
      </c>
      <c r="O597" s="1" t="s">
        <v>3664</v>
      </c>
      <c r="P597" s="1">
        <v>73690.0</v>
      </c>
      <c r="Q597" s="3" t="str">
        <f>VLOOKUP(A597,Posters!A597:B1596,2)</f>
        <v>https://m.media-amazon.com/images/M/MV5BMTU4NDg0MzkzNV5BMl5BanBnXkFtZTgwODA3Mzc1MDE@._V1_UX67_CR0,0,67,98_AL_.jpg</v>
      </c>
    </row>
    <row r="598">
      <c r="A598" s="1">
        <v>597.0</v>
      </c>
      <c r="B598" s="1" t="s">
        <v>3665</v>
      </c>
      <c r="C598" s="2">
        <v>4.34038008E8</v>
      </c>
      <c r="D598" s="1">
        <v>2019.0</v>
      </c>
      <c r="E598" s="1" t="s">
        <v>52</v>
      </c>
      <c r="F598" s="1" t="s">
        <v>1439</v>
      </c>
      <c r="G598" s="1" t="s">
        <v>765</v>
      </c>
      <c r="H598" s="1">
        <v>7.8</v>
      </c>
      <c r="I598" s="1" t="s">
        <v>3666</v>
      </c>
      <c r="J598" s="1">
        <v>84.0</v>
      </c>
      <c r="K598" s="1" t="s">
        <v>3667</v>
      </c>
      <c r="L598" s="1" t="s">
        <v>110</v>
      </c>
      <c r="M598" s="1" t="s">
        <v>768</v>
      </c>
      <c r="N598" s="1" t="s">
        <v>3668</v>
      </c>
      <c r="O598" s="1" t="s">
        <v>3669</v>
      </c>
      <c r="P598" s="1">
        <v>203177.0</v>
      </c>
      <c r="Q598" s="3" t="str">
        <f>VLOOKUP(A598,Posters!A598:B1597,2)</f>
        <v>https://m.media-amazon.com/images/M/MV5BMTYzMDM4NzkxOV5BMl5BanBnXkFtZTgwNzM1Mzg2NzM@._V1_UX67_CR0,0,67,98_AL_.jpg</v>
      </c>
    </row>
    <row r="599">
      <c r="A599" s="1">
        <v>598.0</v>
      </c>
      <c r="B599" s="1" t="s">
        <v>3670</v>
      </c>
      <c r="C599" s="2">
        <v>85433.0</v>
      </c>
      <c r="D599" s="1">
        <v>2013.0</v>
      </c>
      <c r="E599" s="1" t="s">
        <v>212</v>
      </c>
      <c r="F599" s="1" t="s">
        <v>686</v>
      </c>
      <c r="G599" s="1" t="s">
        <v>235</v>
      </c>
      <c r="H599" s="1">
        <v>7.8</v>
      </c>
      <c r="I599" s="1" t="s">
        <v>3671</v>
      </c>
      <c r="J599" s="1">
        <v>49.0</v>
      </c>
      <c r="K599" s="1" t="s">
        <v>368</v>
      </c>
      <c r="L599" s="1" t="s">
        <v>2280</v>
      </c>
      <c r="M599" s="1" t="s">
        <v>3672</v>
      </c>
      <c r="N599" s="1" t="s">
        <v>3673</v>
      </c>
      <c r="O599" s="1" t="s">
        <v>3674</v>
      </c>
      <c r="P599" s="1">
        <v>108399.0</v>
      </c>
      <c r="Q599" s="3" t="str">
        <f>VLOOKUP(A599,Posters!A599:B1598,2)</f>
        <v>https://m.media-amazon.com/images/M/MV5BMTQ4MzQ3NjA0N15BMl5BanBnXkFtZTgwODQyNjQ4MDE@._V1_UX67_CR0,0,67,98_AL_.jpg</v>
      </c>
    </row>
    <row r="600">
      <c r="A600" s="1">
        <v>599.0</v>
      </c>
      <c r="B600" s="1" t="s">
        <v>3675</v>
      </c>
      <c r="C600" s="2">
        <v>4.5512466E7</v>
      </c>
      <c r="D600" s="1">
        <v>2012.0</v>
      </c>
      <c r="E600" s="1" t="s">
        <v>18</v>
      </c>
      <c r="F600" s="1" t="s">
        <v>1882</v>
      </c>
      <c r="G600" s="1" t="s">
        <v>227</v>
      </c>
      <c r="H600" s="1">
        <v>7.8</v>
      </c>
      <c r="I600" s="1" t="s">
        <v>3676</v>
      </c>
      <c r="J600" s="1">
        <v>84.0</v>
      </c>
      <c r="K600" s="1" t="s">
        <v>1468</v>
      </c>
      <c r="L600" s="1" t="s">
        <v>3677</v>
      </c>
      <c r="M600" s="1" t="s">
        <v>3678</v>
      </c>
      <c r="N600" s="1" t="s">
        <v>76</v>
      </c>
      <c r="O600" s="1" t="s">
        <v>2569</v>
      </c>
      <c r="P600" s="1">
        <v>318789.0</v>
      </c>
      <c r="Q600" s="3" t="str">
        <f>VLOOKUP(A600,Posters!A600:B1599,2)</f>
        <v>https://m.media-amazon.com/images/M/MV5BMzllMWI1ZDQtMmFhNS00NzJkLThmMTMtNzFmMmMyYjU3ZGVjXkEyXkFqcGdeQXVyMDI2NDg0NQ@@._V1_UY98_CR1,0,67,98_AL_.jpg</v>
      </c>
    </row>
    <row r="601">
      <c r="A601" s="1">
        <v>600.0</v>
      </c>
      <c r="B601" s="1" t="s">
        <v>3679</v>
      </c>
      <c r="C601" s="2">
        <v>1.77002924E8</v>
      </c>
      <c r="D601" s="1">
        <v>2014.0</v>
      </c>
      <c r="E601" s="1" t="s">
        <v>52</v>
      </c>
      <c r="F601" s="1" t="s">
        <v>405</v>
      </c>
      <c r="G601" s="1" t="s">
        <v>467</v>
      </c>
      <c r="H601" s="1">
        <v>7.8</v>
      </c>
      <c r="I601" s="1" t="s">
        <v>3680</v>
      </c>
      <c r="J601" s="1">
        <v>76.0</v>
      </c>
      <c r="K601" s="1" t="s">
        <v>1598</v>
      </c>
      <c r="L601" s="1" t="s">
        <v>1600</v>
      </c>
      <c r="M601" s="1" t="s">
        <v>2996</v>
      </c>
      <c r="N601" s="1" t="s">
        <v>1601</v>
      </c>
      <c r="O601" s="1" t="s">
        <v>3681</v>
      </c>
      <c r="P601" s="1">
        <v>305611.0</v>
      </c>
      <c r="Q601" s="3" t="str">
        <f>VLOOKUP(A601,Posters!A601:B1600,2)</f>
        <v>https://m.media-amazon.com/images/M/MV5BMzMwMTAwODczN15BMl5BanBnXkFtZTgwMDk2NDA4MTE@._V1_UX67_CR0,0,67,98_AL_.jpg</v>
      </c>
    </row>
    <row r="602">
      <c r="A602" s="1">
        <v>601.0</v>
      </c>
      <c r="B602" s="1" t="s">
        <v>3682</v>
      </c>
      <c r="C602" s="2">
        <v>7.025987E7</v>
      </c>
      <c r="D602" s="1">
        <v>2015.0</v>
      </c>
      <c r="E602" s="1" t="s">
        <v>18</v>
      </c>
      <c r="F602" s="1" t="s">
        <v>195</v>
      </c>
      <c r="G602" s="1" t="s">
        <v>296</v>
      </c>
      <c r="H602" s="1">
        <v>7.8</v>
      </c>
      <c r="I602" s="1" t="s">
        <v>3683</v>
      </c>
      <c r="J602" s="1">
        <v>81.0</v>
      </c>
      <c r="K602" s="1" t="s">
        <v>3684</v>
      </c>
      <c r="L602" s="1" t="s">
        <v>42</v>
      </c>
      <c r="M602" s="1" t="s">
        <v>3685</v>
      </c>
      <c r="N602" s="1" t="s">
        <v>2175</v>
      </c>
      <c r="O602" s="1" t="s">
        <v>98</v>
      </c>
      <c r="P602" s="1">
        <v>362942.0</v>
      </c>
      <c r="Q602" s="3" t="str">
        <f>VLOOKUP(A602,Posters!A602:B1601,2)</f>
        <v>https://m.media-amazon.com/images/M/MV5BNDc4MThhN2EtZjMzNC00ZDJmLThiZTgtNThlY2UxZWMzNjdkXkEyXkFqcGdeQXVyNDk3NzU2MTQ@._V1_UX67_CR0,0,67,98_AL_.jpg</v>
      </c>
    </row>
    <row r="603">
      <c r="A603" s="1">
        <v>602.0</v>
      </c>
      <c r="B603" s="1" t="s">
        <v>3686</v>
      </c>
      <c r="C603" s="2">
        <v>4.5203103E7</v>
      </c>
      <c r="D603" s="1">
        <v>2010.0</v>
      </c>
      <c r="E603" s="1" t="s">
        <v>2066</v>
      </c>
      <c r="F603" s="1" t="s">
        <v>286</v>
      </c>
      <c r="G603" s="1" t="s">
        <v>1377</v>
      </c>
      <c r="H603" s="1">
        <v>7.8</v>
      </c>
      <c r="I603" s="1" t="s">
        <v>3687</v>
      </c>
      <c r="K603" s="1" t="s">
        <v>3688</v>
      </c>
      <c r="L603" s="1" t="s">
        <v>3689</v>
      </c>
      <c r="M603" s="1" t="s">
        <v>3690</v>
      </c>
      <c r="N603" s="1" t="s">
        <v>3691</v>
      </c>
      <c r="O603" s="1" t="s">
        <v>1481</v>
      </c>
      <c r="P603" s="1">
        <v>35713.0</v>
      </c>
      <c r="Q603" s="3" t="str">
        <f>VLOOKUP(A603,Posters!A603:B1602,2)</f>
        <v>https://m.media-amazon.com/images/M/MV5BYzM2OGQ2NzUtNzlmYi00ZDg4LWExODgtMDVmOTU2Yzg2N2U5XkEyXkFqcGdeQXVyMTMxODk2OTU@._V1_UY98_CR0,0,67,98_AL_.jpg</v>
      </c>
    </row>
    <row r="604">
      <c r="A604" s="1">
        <v>603.0</v>
      </c>
      <c r="B604" s="1" t="s">
        <v>3692</v>
      </c>
      <c r="C604" s="2">
        <v>128392.0</v>
      </c>
      <c r="D604" s="1">
        <v>2010.0</v>
      </c>
      <c r="E604" s="1">
        <v>18.0</v>
      </c>
      <c r="F604" s="1" t="s">
        <v>1618</v>
      </c>
      <c r="G604" s="1" t="s">
        <v>39</v>
      </c>
      <c r="H604" s="1">
        <v>7.8</v>
      </c>
      <c r="I604" s="1" t="s">
        <v>3693</v>
      </c>
      <c r="J604" s="1">
        <v>67.0</v>
      </c>
      <c r="K604" s="1" t="s">
        <v>3694</v>
      </c>
      <c r="L604" s="1" t="s">
        <v>3695</v>
      </c>
      <c r="M604" s="1" t="s">
        <v>538</v>
      </c>
      <c r="N604" s="1" t="s">
        <v>3696</v>
      </c>
      <c r="O604" s="1" t="s">
        <v>3697</v>
      </c>
      <c r="P604" s="1">
        <v>111252.0</v>
      </c>
      <c r="Q604" s="3" t="str">
        <f>VLOOKUP(A604,Posters!A604:B1603,2)</f>
        <v>https://m.media-amazon.com/images/M/MV5BZjRmNjc5MTYtYjc3My00ZjNiLTg4YjUtMTQ0ZTFkZmMxMDUzXkEyXkFqcGdeQXVyNDY5MTUyNjU@._V1_UY98_CR3,0,67,98_AL_.jpg</v>
      </c>
    </row>
    <row r="605">
      <c r="A605" s="1">
        <v>604.0</v>
      </c>
      <c r="B605" s="1" t="s">
        <v>3698</v>
      </c>
      <c r="C605" s="2">
        <v>1.02515793E8</v>
      </c>
      <c r="D605" s="1">
        <v>2011.0</v>
      </c>
      <c r="E605" s="1" t="s">
        <v>212</v>
      </c>
      <c r="F605" s="1" t="s">
        <v>1089</v>
      </c>
      <c r="G605" s="1" t="s">
        <v>235</v>
      </c>
      <c r="H605" s="1">
        <v>7.8</v>
      </c>
      <c r="I605" s="1" t="s">
        <v>3699</v>
      </c>
      <c r="J605" s="1">
        <v>71.0</v>
      </c>
      <c r="K605" s="1" t="s">
        <v>97</v>
      </c>
      <c r="L605" s="1" t="s">
        <v>2409</v>
      </c>
      <c r="M605" s="1" t="s">
        <v>2183</v>
      </c>
      <c r="N605" s="1" t="s">
        <v>1152</v>
      </c>
      <c r="O605" s="1" t="s">
        <v>754</v>
      </c>
      <c r="P605" s="1">
        <v>423010.0</v>
      </c>
      <c r="Q605" s="3" t="str">
        <f>VLOOKUP(A605,Posters!A605:B1604,2)</f>
        <v>https://m.media-amazon.com/images/M/MV5BMTczNDk4NTQ0OV5BMl5BanBnXkFtZTcwNDAxMDgxNw@@._V1_UX67_CR0,0,67,98_AL_.jpg</v>
      </c>
    </row>
    <row r="606">
      <c r="A606" s="1">
        <v>605.0</v>
      </c>
      <c r="B606" s="1" t="s">
        <v>3700</v>
      </c>
      <c r="C606" s="2">
        <v>1.07100855E8</v>
      </c>
      <c r="D606" s="1">
        <v>2013.0</v>
      </c>
      <c r="E606" s="1" t="s">
        <v>37</v>
      </c>
      <c r="F606" s="1" t="s">
        <v>550</v>
      </c>
      <c r="G606" s="1" t="s">
        <v>3701</v>
      </c>
      <c r="H606" s="1">
        <v>7.8</v>
      </c>
      <c r="I606" s="1" t="s">
        <v>3702</v>
      </c>
      <c r="J606" s="1">
        <v>82.0</v>
      </c>
      <c r="K606" s="1" t="s">
        <v>2368</v>
      </c>
      <c r="L606" s="1" t="s">
        <v>110</v>
      </c>
      <c r="M606" s="1" t="s">
        <v>3703</v>
      </c>
      <c r="N606" s="1" t="s">
        <v>3704</v>
      </c>
      <c r="O606" s="1" t="s">
        <v>1608</v>
      </c>
      <c r="P606" s="1">
        <v>421244.0</v>
      </c>
      <c r="Q606" s="3" t="str">
        <f>VLOOKUP(A606,Posters!A606:B1605,2)</f>
        <v>https://m.media-amazon.com/images/M/MV5BODhiZWRhMjctNDUyMS00NmUwLTgwYmItMjJhOWNkZWQ3ZTQxXkEyXkFqcGdeQXVyMTMxODk2OTU@._V1_UX67_CR0,0,67,98_AL_.jpg</v>
      </c>
    </row>
    <row r="607">
      <c r="A607" s="1">
        <v>606.0</v>
      </c>
      <c r="B607" s="1" t="s">
        <v>3705</v>
      </c>
      <c r="C607" s="1" t="s">
        <v>3706</v>
      </c>
      <c r="D607" s="1">
        <v>2010.0</v>
      </c>
      <c r="E607" s="1" t="s">
        <v>212</v>
      </c>
      <c r="F607" s="1" t="s">
        <v>329</v>
      </c>
      <c r="G607" s="1" t="s">
        <v>39</v>
      </c>
      <c r="H607" s="1">
        <v>7.8</v>
      </c>
      <c r="I607" s="1" t="s">
        <v>3707</v>
      </c>
      <c r="K607" s="1" t="s">
        <v>3708</v>
      </c>
      <c r="L607" s="1" t="s">
        <v>1635</v>
      </c>
      <c r="M607" s="1" t="s">
        <v>3709</v>
      </c>
      <c r="N607" s="1" t="s">
        <v>3710</v>
      </c>
      <c r="O607" s="1" t="s">
        <v>3711</v>
      </c>
      <c r="P607" s="1">
        <v>62848.0</v>
      </c>
      <c r="Q607" s="3" t="str">
        <f>VLOOKUP(A607,Posters!A607:B1606,2)</f>
        <v>https://m.media-amazon.com/images/M/MV5BMTgzMTkxNjAxNV5BMl5BanBnXkFtZTgwMDU3MDE0MjE@._V1_UY98_CR0,0,67,98_AL_.jpg</v>
      </c>
    </row>
    <row r="608">
      <c r="A608" s="1">
        <v>607.0</v>
      </c>
      <c r="B608" s="1" t="s">
        <v>3712</v>
      </c>
      <c r="C608" s="2">
        <v>1.61197785E8</v>
      </c>
      <c r="D608" s="1">
        <v>2015.0</v>
      </c>
      <c r="E608" s="1" t="s">
        <v>212</v>
      </c>
      <c r="F608" s="1" t="s">
        <v>443</v>
      </c>
      <c r="G608" s="1" t="s">
        <v>79</v>
      </c>
      <c r="H608" s="1">
        <v>7.8</v>
      </c>
      <c r="I608" s="1" t="s">
        <v>3713</v>
      </c>
      <c r="J608" s="1">
        <v>72.0</v>
      </c>
      <c r="K608" s="1" t="s">
        <v>3714</v>
      </c>
      <c r="L608" s="1" t="s">
        <v>3715</v>
      </c>
      <c r="M608" s="1" t="s">
        <v>3716</v>
      </c>
      <c r="N608" s="1" t="s">
        <v>3717</v>
      </c>
      <c r="O608" s="1" t="s">
        <v>3718</v>
      </c>
      <c r="P608" s="1">
        <v>179264.0</v>
      </c>
      <c r="Q608" s="3" t="str">
        <f>VLOOKUP(A608,Posters!A608:B1607,2)</f>
        <v>https://m.media-amazon.com/images/M/MV5BMTA5MzkyMzIxNjJeQTJeQWpwZ15BbWU4MDU0MDk0OTUx._V1_UX67_CR0,0,67,98_AL_.jpg</v>
      </c>
    </row>
    <row r="609">
      <c r="A609" s="1">
        <v>608.0</v>
      </c>
      <c r="B609" s="1" t="s">
        <v>3719</v>
      </c>
      <c r="C609" s="2">
        <v>547292.0</v>
      </c>
      <c r="D609" s="1">
        <v>2009.0</v>
      </c>
      <c r="E609" s="1" t="s">
        <v>212</v>
      </c>
      <c r="F609" s="1" t="s">
        <v>830</v>
      </c>
      <c r="G609" s="1" t="s">
        <v>235</v>
      </c>
      <c r="H609" s="1">
        <v>7.8</v>
      </c>
      <c r="I609" s="1" t="s">
        <v>3720</v>
      </c>
      <c r="J609" s="1">
        <v>79.0</v>
      </c>
      <c r="K609" s="1" t="s">
        <v>173</v>
      </c>
      <c r="L609" s="1" t="s">
        <v>3721</v>
      </c>
      <c r="M609" s="1" t="s">
        <v>1635</v>
      </c>
      <c r="N609" s="1" t="s">
        <v>3722</v>
      </c>
      <c r="O609" s="1" t="s">
        <v>3723</v>
      </c>
      <c r="P609" s="1">
        <v>52758.0</v>
      </c>
      <c r="Q609" s="3" t="str">
        <f>VLOOKUP(A609,Posters!A609:B1608,2)</f>
        <v>https://m.media-amazon.com/images/M/MV5BMTQzMTg0NDA1M15BMl5BanBnXkFtZTgwODUzMTE0MjE@._V1_UY98_CR0,0,67,98_AL_.jpg</v>
      </c>
    </row>
    <row r="610">
      <c r="A610" s="1">
        <v>609.0</v>
      </c>
      <c r="B610" s="1" t="s">
        <v>3724</v>
      </c>
      <c r="C610" s="2">
        <v>3.6495748E7</v>
      </c>
      <c r="D610" s="1">
        <v>2008.0</v>
      </c>
      <c r="E610" s="1">
        <v>18.0</v>
      </c>
      <c r="F610" s="1" t="s">
        <v>203</v>
      </c>
      <c r="G610" s="1" t="s">
        <v>2169</v>
      </c>
      <c r="H610" s="1">
        <v>7.8</v>
      </c>
      <c r="I610" s="1" t="s">
        <v>3725</v>
      </c>
      <c r="J610" s="1">
        <v>64.0</v>
      </c>
      <c r="K610" s="1" t="s">
        <v>3726</v>
      </c>
      <c r="L610" s="1" t="s">
        <v>3727</v>
      </c>
      <c r="M610" s="1" t="s">
        <v>1402</v>
      </c>
      <c r="N610" s="1" t="s">
        <v>3728</v>
      </c>
      <c r="O610" s="1" t="s">
        <v>3729</v>
      </c>
      <c r="P610" s="1">
        <v>58468.0</v>
      </c>
      <c r="Q610" s="3" t="str">
        <f>VLOOKUP(A610,Posters!A610:B1609,2)</f>
        <v>https://m.media-amazon.com/images/M/MV5BY2ViOTU5MDQtZTRiZi00YjViLWFiY2ItOTRhNWYyN2ZiMzUyXkEyXkFqcGdeQXVyNTAyODkwOQ@@._V1_UY98_CR1,0,67,98_AL_.jpg</v>
      </c>
    </row>
    <row r="611">
      <c r="A611" s="1">
        <v>610.0</v>
      </c>
      <c r="B611" s="1" t="s">
        <v>3730</v>
      </c>
      <c r="C611" s="2">
        <v>2.58366855E8</v>
      </c>
      <c r="D611" s="1">
        <v>2013.0</v>
      </c>
      <c r="E611" s="1" t="s">
        <v>37</v>
      </c>
      <c r="F611" s="1" t="s">
        <v>115</v>
      </c>
      <c r="G611" s="1" t="s">
        <v>3731</v>
      </c>
      <c r="H611" s="1">
        <v>7.8</v>
      </c>
      <c r="I611" s="1" t="s">
        <v>3732</v>
      </c>
      <c r="J611" s="1">
        <v>66.0</v>
      </c>
      <c r="K611" s="1" t="s">
        <v>64</v>
      </c>
      <c r="L611" s="1" t="s">
        <v>67</v>
      </c>
      <c r="M611" s="1" t="s">
        <v>3733</v>
      </c>
      <c r="N611" s="1" t="s">
        <v>3734</v>
      </c>
      <c r="O611" s="1" t="s">
        <v>3735</v>
      </c>
      <c r="P611" s="1">
        <v>601408.0</v>
      </c>
      <c r="Q611" s="3" t="str">
        <f>VLOOKUP(A611,Posters!A611:B1610,2)</f>
        <v>https://m.media-amazon.com/images/M/MV5BMzU0NDY0NDEzNV5BMl5BanBnXkFtZTgwOTIxNDU1MDE@._V1_UX67_CR0,0,67,98_AL_.jpg</v>
      </c>
    </row>
    <row r="612">
      <c r="A612" s="1">
        <v>611.0</v>
      </c>
      <c r="B612" s="1" t="s">
        <v>3736</v>
      </c>
      <c r="C612" s="2">
        <v>2222647.0</v>
      </c>
      <c r="D612" s="1">
        <v>2009.0</v>
      </c>
      <c r="E612" s="1" t="s">
        <v>37</v>
      </c>
      <c r="F612" s="1" t="s">
        <v>1618</v>
      </c>
      <c r="G612" s="1" t="s">
        <v>3737</v>
      </c>
      <c r="H612" s="1">
        <v>7.8</v>
      </c>
      <c r="I612" s="1" t="s">
        <v>3738</v>
      </c>
      <c r="J612" s="1">
        <v>82.0</v>
      </c>
      <c r="K612" s="1" t="s">
        <v>3042</v>
      </c>
      <c r="L612" s="1" t="s">
        <v>3739</v>
      </c>
      <c r="M612" s="1" t="s">
        <v>3740</v>
      </c>
      <c r="N612" s="1" t="s">
        <v>3741</v>
      </c>
      <c r="O612" s="1" t="s">
        <v>533</v>
      </c>
      <c r="P612" s="1">
        <v>68715.0</v>
      </c>
      <c r="Q612" s="3" t="str">
        <f>VLOOKUP(A612,Posters!A612:B1611,2)</f>
        <v>https://m.media-amazon.com/images/M/MV5BMTQ2OTYyNzUxOF5BMl5BanBnXkFtZTcwMzUwMDY4Mg@@._V1_UX67_CR0,0,67,98_AL_.jpg</v>
      </c>
    </row>
    <row r="613">
      <c r="A613" s="1">
        <v>612.0</v>
      </c>
      <c r="B613" s="1" t="s">
        <v>3742</v>
      </c>
      <c r="C613" s="2">
        <v>1.009517E7</v>
      </c>
      <c r="D613" s="1">
        <v>2009.0</v>
      </c>
      <c r="E613" s="1" t="s">
        <v>212</v>
      </c>
      <c r="F613" s="1" t="s">
        <v>38</v>
      </c>
      <c r="G613" s="1" t="s">
        <v>235</v>
      </c>
      <c r="H613" s="1">
        <v>7.8</v>
      </c>
      <c r="I613" s="1" t="s">
        <v>3743</v>
      </c>
      <c r="J613" s="1">
        <v>76.0</v>
      </c>
      <c r="K613" s="1" t="s">
        <v>3744</v>
      </c>
      <c r="L613" s="1" t="s">
        <v>3745</v>
      </c>
      <c r="M613" s="1" t="s">
        <v>3746</v>
      </c>
      <c r="N613" s="1" t="s">
        <v>3747</v>
      </c>
      <c r="O613" s="1" t="s">
        <v>3748</v>
      </c>
      <c r="P613" s="1">
        <v>208994.0</v>
      </c>
      <c r="Q613" s="3" t="str">
        <f>VLOOKUP(A613,Posters!A613:B1612,2)</f>
        <v>https://m.media-amazon.com/images/M/MV5BMTc2Mjc0MDg3MV5BMl5BanBnXkFtZTcwMjUzMDkxMw@@._V1_UX67_CR0,0,67,98_AL_.jpg</v>
      </c>
    </row>
    <row r="614">
      <c r="A614" s="1">
        <v>613.0</v>
      </c>
      <c r="B614" s="1" t="s">
        <v>3749</v>
      </c>
      <c r="C614" s="2">
        <v>3.5E7</v>
      </c>
      <c r="D614" s="1">
        <v>2020.0</v>
      </c>
      <c r="E614" s="1" t="s">
        <v>212</v>
      </c>
      <c r="F614" s="1" t="s">
        <v>830</v>
      </c>
      <c r="G614" s="1" t="s">
        <v>2593</v>
      </c>
      <c r="H614" s="1">
        <v>7.8</v>
      </c>
      <c r="I614" s="1" t="s">
        <v>3750</v>
      </c>
      <c r="J614" s="1">
        <v>77.0</v>
      </c>
      <c r="K614" s="1" t="s">
        <v>3751</v>
      </c>
      <c r="L614" s="1" t="s">
        <v>3752</v>
      </c>
      <c r="M614" s="1" t="s">
        <v>3753</v>
      </c>
      <c r="N614" s="1" t="s">
        <v>3754</v>
      </c>
      <c r="O614" s="1" t="s">
        <v>3518</v>
      </c>
      <c r="P614" s="1">
        <v>89896.0</v>
      </c>
      <c r="Q614" s="3" t="str">
        <f>VLOOKUP(A614,Posters!A614:B1613,2)</f>
        <v>https://m.media-amazon.com/images/M/MV5BYjYzOGE1MjUtODgyMy00ZDAxLTljYTgtNzk0Njg2YWQwMTZhXkEyXkFqcGdeQXVyMDM2NDM2MQ@@._V1_UX67_CR0,0,67,98_AL_.jpg</v>
      </c>
    </row>
    <row r="615">
      <c r="A615" s="1">
        <v>614.0</v>
      </c>
      <c r="B615" s="1" t="s">
        <v>3755</v>
      </c>
      <c r="C615" s="2">
        <v>1.2467792E7</v>
      </c>
      <c r="D615" s="1">
        <v>2020.0</v>
      </c>
      <c r="E615" s="1">
        <v>16.0</v>
      </c>
      <c r="F615" s="1" t="s">
        <v>466</v>
      </c>
      <c r="G615" s="1" t="s">
        <v>507</v>
      </c>
      <c r="H615" s="1">
        <v>7.8</v>
      </c>
      <c r="I615" s="1" t="s">
        <v>3756</v>
      </c>
      <c r="J615" s="1">
        <v>81.0</v>
      </c>
      <c r="K615" s="1" t="s">
        <v>672</v>
      </c>
      <c r="L615" s="1" t="s">
        <v>673</v>
      </c>
      <c r="M615" s="1" t="s">
        <v>674</v>
      </c>
      <c r="N615" s="1" t="s">
        <v>3757</v>
      </c>
      <c r="O615" s="1" t="s">
        <v>3758</v>
      </c>
      <c r="P615" s="1">
        <v>33931.0</v>
      </c>
      <c r="Q615" s="3" t="str">
        <f>VLOOKUP(A615,Posters!A615:B1614,2)</f>
        <v>https://m.media-amazon.com/images/M/MV5BOTNjM2Y2ZjgtMDc5NS00MDQ1LTgyNGYtYzYwMTAyNWQwYTMyXkEyXkFqcGdeQXVyMjE4NzUxNDA@._V1_UX67_CR0,0,67,98_AL_.jpg</v>
      </c>
    </row>
    <row r="616">
      <c r="A616" s="1">
        <v>615.0</v>
      </c>
      <c r="B616" s="1" t="s">
        <v>3759</v>
      </c>
      <c r="C616" s="2">
        <v>9.3617009E7</v>
      </c>
      <c r="D616" s="1">
        <v>2010.0</v>
      </c>
      <c r="E616" s="1" t="s">
        <v>37</v>
      </c>
      <c r="F616" s="1" t="s">
        <v>226</v>
      </c>
      <c r="G616" s="1" t="s">
        <v>1020</v>
      </c>
      <c r="H616" s="1">
        <v>7.8</v>
      </c>
      <c r="I616" s="1" t="s">
        <v>3760</v>
      </c>
      <c r="J616" s="1">
        <v>79.0</v>
      </c>
      <c r="K616" s="1" t="s">
        <v>3761</v>
      </c>
      <c r="L616" s="1" t="s">
        <v>311</v>
      </c>
      <c r="M616" s="1" t="s">
        <v>42</v>
      </c>
      <c r="N616" s="1" t="s">
        <v>2254</v>
      </c>
      <c r="O616" s="1" t="s">
        <v>1544</v>
      </c>
      <c r="P616" s="1">
        <v>340584.0</v>
      </c>
      <c r="Q616" s="3" t="str">
        <f>VLOOKUP(A616,Posters!A616:B1615,2)</f>
        <v>https://m.media-amazon.com/images/M/MV5BMTM0ODk3MjM1MV5BMl5BanBnXkFtZTcwNzc1MDIwNA@@._V1_UX67_CR0,0,67,98_AL_.jpg</v>
      </c>
    </row>
    <row r="617">
      <c r="A617" s="1">
        <v>616.0</v>
      </c>
      <c r="B617" s="1" t="s">
        <v>3762</v>
      </c>
      <c r="C617" s="2">
        <v>1.45000989E8</v>
      </c>
      <c r="D617" s="1">
        <v>2008.0</v>
      </c>
      <c r="E617" s="1" t="s">
        <v>18</v>
      </c>
      <c r="F617" s="1" t="s">
        <v>2586</v>
      </c>
      <c r="G617" s="1" t="s">
        <v>1214</v>
      </c>
      <c r="H617" s="1">
        <v>7.8</v>
      </c>
      <c r="I617" s="1" t="s">
        <v>3763</v>
      </c>
      <c r="J617" s="1">
        <v>51.0</v>
      </c>
      <c r="K617" s="1" t="s">
        <v>3764</v>
      </c>
      <c r="L617" s="1" t="s">
        <v>82</v>
      </c>
      <c r="M617" s="1" t="s">
        <v>3765</v>
      </c>
      <c r="N617" s="1" t="s">
        <v>3766</v>
      </c>
      <c r="O617" s="1" t="s">
        <v>3767</v>
      </c>
      <c r="P617" s="1">
        <v>564791.0</v>
      </c>
      <c r="Q617" s="3" t="str">
        <f>VLOOKUP(A617,Posters!A617:B1616,2)</f>
        <v>https://m.media-amazon.com/images/M/MV5BMTM4NzQ0OTYyOF5BMl5BanBnXkFtZTcwMDkyNjQyMg@@._V1_UX67_CR0,0,67,98_AL_.jpg</v>
      </c>
    </row>
    <row r="618">
      <c r="A618" s="1">
        <v>617.0</v>
      </c>
      <c r="B618" s="1" t="s">
        <v>3768</v>
      </c>
      <c r="C618" s="2">
        <v>9030581.0</v>
      </c>
      <c r="D618" s="1">
        <v>2008.0</v>
      </c>
      <c r="E618" s="1" t="s">
        <v>161</v>
      </c>
      <c r="F618" s="1" t="s">
        <v>1882</v>
      </c>
      <c r="G618" s="1" t="s">
        <v>2661</v>
      </c>
      <c r="H618" s="1">
        <v>7.8</v>
      </c>
      <c r="I618" s="1" t="s">
        <v>3769</v>
      </c>
      <c r="J618" s="1">
        <v>55.0</v>
      </c>
      <c r="K618" s="1" t="s">
        <v>3770</v>
      </c>
      <c r="L618" s="1" t="s">
        <v>3771</v>
      </c>
      <c r="M618" s="1" t="s">
        <v>3772</v>
      </c>
      <c r="N618" s="1" t="s">
        <v>3773</v>
      </c>
      <c r="O618" s="1" t="s">
        <v>3774</v>
      </c>
      <c r="P618" s="1">
        <v>190748.0</v>
      </c>
      <c r="Q618" s="3" t="str">
        <f>VLOOKUP(A618,Posters!A618:B1617,2)</f>
        <v>https://m.media-amazon.com/images/M/MV5BMTMzMTc3MjA5NF5BMl5BanBnXkFtZTcwOTk3MDE5MQ@@._V1_UX67_CR0,0,67,98_AL_.jpg</v>
      </c>
    </row>
    <row r="619">
      <c r="A619" s="1">
        <v>618.0</v>
      </c>
      <c r="B619" s="1" t="s">
        <v>3775</v>
      </c>
      <c r="C619" s="2">
        <v>9439923.0</v>
      </c>
      <c r="D619" s="1">
        <v>2007.0</v>
      </c>
      <c r="E619" s="1" t="s">
        <v>212</v>
      </c>
      <c r="F619" s="1" t="s">
        <v>1206</v>
      </c>
      <c r="G619" s="1" t="s">
        <v>1706</v>
      </c>
      <c r="H619" s="1">
        <v>7.8</v>
      </c>
      <c r="I619" s="1" t="s">
        <v>3776</v>
      </c>
      <c r="J619" s="1">
        <v>88.0</v>
      </c>
      <c r="K619" s="1" t="s">
        <v>2988</v>
      </c>
      <c r="L619" s="1" t="s">
        <v>3777</v>
      </c>
      <c r="M619" s="1" t="s">
        <v>3778</v>
      </c>
      <c r="N619" s="1" t="s">
        <v>3779</v>
      </c>
      <c r="O619" s="1" t="s">
        <v>3780</v>
      </c>
      <c r="P619" s="1">
        <v>110656.0</v>
      </c>
      <c r="Q619" s="3" t="str">
        <f>VLOOKUP(A619,Posters!A619:B1618,2)</f>
        <v>https://m.media-amazon.com/images/M/MV5BYWUxZjJkMDktZmMxMS00Mzg3LTk4MDItN2IwODlmN2E0MTM0XkEyXkFqcGdeQXVyMTMxODk2OTU@._V1_UX67_CR0,0,67,98_AL_.jpg</v>
      </c>
    </row>
    <row r="620">
      <c r="A620" s="1">
        <v>619.0</v>
      </c>
      <c r="B620" s="1" t="s">
        <v>3781</v>
      </c>
      <c r="C620" s="2">
        <v>3.03003568E8</v>
      </c>
      <c r="D620" s="1">
        <v>2012.0</v>
      </c>
      <c r="E620" s="1" t="s">
        <v>37</v>
      </c>
      <c r="F620" s="1" t="s">
        <v>187</v>
      </c>
      <c r="G620" s="1" t="s">
        <v>3731</v>
      </c>
      <c r="H620" s="1">
        <v>7.8</v>
      </c>
      <c r="I620" s="1" t="s">
        <v>3782</v>
      </c>
      <c r="J620" s="1">
        <v>58.0</v>
      </c>
      <c r="K620" s="1" t="s">
        <v>64</v>
      </c>
      <c r="L620" s="1" t="s">
        <v>3733</v>
      </c>
      <c r="M620" s="1" t="s">
        <v>67</v>
      </c>
      <c r="N620" s="1" t="s">
        <v>3734</v>
      </c>
      <c r="O620" s="1" t="s">
        <v>3783</v>
      </c>
      <c r="P620" s="1">
        <v>757377.0</v>
      </c>
      <c r="Q620" s="3" t="str">
        <f>VLOOKUP(A620,Posters!A620:B1619,2)</f>
        <v>https://m.media-amazon.com/images/M/MV5BMTcwNTE4MTUxMl5BMl5BanBnXkFtZTcwMDIyODM4OA@@._V1_UX67_CR0,0,67,98_AL_.jpg</v>
      </c>
    </row>
    <row r="621">
      <c r="A621" s="1">
        <v>620.0</v>
      </c>
      <c r="B621" s="1" t="s">
        <v>3784</v>
      </c>
      <c r="C621" s="2">
        <v>741283.0</v>
      </c>
      <c r="D621" s="1">
        <v>2007.0</v>
      </c>
      <c r="E621" s="1" t="s">
        <v>2066</v>
      </c>
      <c r="F621" s="1" t="s">
        <v>279</v>
      </c>
      <c r="G621" s="1" t="s">
        <v>20</v>
      </c>
      <c r="H621" s="1">
        <v>7.8</v>
      </c>
      <c r="I621" s="1" t="s">
        <v>3785</v>
      </c>
      <c r="J621" s="1">
        <v>85.0</v>
      </c>
      <c r="K621" s="1" t="s">
        <v>3164</v>
      </c>
      <c r="L621" s="1" t="s">
        <v>3786</v>
      </c>
      <c r="M621" s="1" t="s">
        <v>3787</v>
      </c>
      <c r="N621" s="1" t="s">
        <v>3788</v>
      </c>
      <c r="O621" s="1" t="s">
        <v>3789</v>
      </c>
      <c r="P621" s="1">
        <v>30827.0</v>
      </c>
      <c r="Q621" s="3" t="str">
        <f>VLOOKUP(A621,Posters!A621:B1620,2)</f>
        <v>https://m.media-amazon.com/images/M/MV5BMzgxMzYyNzAyOF5BMl5BanBnXkFtZTcwODY5MjY3MQ@@._V1_UY98_CR1,0,67,98_AL_.jpg</v>
      </c>
    </row>
    <row r="622">
      <c r="A622" s="1">
        <v>621.0</v>
      </c>
      <c r="B622" s="1" t="s">
        <v>3790</v>
      </c>
      <c r="C622" s="2">
        <v>5.0927067E7</v>
      </c>
      <c r="D622" s="1">
        <v>2007.0</v>
      </c>
      <c r="E622" s="1" t="s">
        <v>212</v>
      </c>
      <c r="F622" s="1" t="s">
        <v>678</v>
      </c>
      <c r="G622" s="1" t="s">
        <v>1051</v>
      </c>
      <c r="H622" s="1">
        <v>7.8</v>
      </c>
      <c r="I622" s="1" t="s">
        <v>3791</v>
      </c>
      <c r="J622" s="1">
        <v>85.0</v>
      </c>
      <c r="K622" s="1" t="s">
        <v>3792</v>
      </c>
      <c r="L622" s="1" t="s">
        <v>2237</v>
      </c>
      <c r="M622" s="1" t="s">
        <v>3022</v>
      </c>
      <c r="N622" s="1" t="s">
        <v>2541</v>
      </c>
      <c r="O622" s="1" t="s">
        <v>3605</v>
      </c>
      <c r="P622" s="1">
        <v>251370.0</v>
      </c>
      <c r="Q622" s="3" t="str">
        <f>VLOOKUP(A622,Posters!A622:B1621,2)</f>
        <v>https://m.media-amazon.com/images/M/MV5BMGRiYjE0YzItMzk3Zi00ZmYwLWJjNDktYTAwYjIwMjIxYzM3XkEyXkFqcGdeQXVyMTMxODk2OTU@._V1_UX67_CR0,0,67,98_AL_.jpg</v>
      </c>
    </row>
    <row r="623">
      <c r="A623" s="1">
        <v>622.0</v>
      </c>
      <c r="B623" s="1" t="s">
        <v>3793</v>
      </c>
      <c r="C623" s="2">
        <v>3.5061555E7</v>
      </c>
      <c r="D623" s="1">
        <v>2011.0</v>
      </c>
      <c r="E623" s="1" t="s">
        <v>18</v>
      </c>
      <c r="F623" s="1" t="s">
        <v>1439</v>
      </c>
      <c r="G623" s="1" t="s">
        <v>29</v>
      </c>
      <c r="H623" s="1">
        <v>7.8</v>
      </c>
      <c r="I623" s="1" t="s">
        <v>3794</v>
      </c>
      <c r="J623" s="1">
        <v>78.0</v>
      </c>
      <c r="K623" s="1" t="s">
        <v>3795</v>
      </c>
      <c r="L623" s="1" t="s">
        <v>2175</v>
      </c>
      <c r="M623" s="1" t="s">
        <v>3796</v>
      </c>
      <c r="N623" s="1" t="s">
        <v>2972</v>
      </c>
      <c r="O623" s="1" t="s">
        <v>828</v>
      </c>
      <c r="P623" s="1">
        <v>571571.0</v>
      </c>
      <c r="Q623" s="3" t="str">
        <f>VLOOKUP(A623,Posters!A623:B1622,2)</f>
        <v>https://m.media-amazon.com/images/M/MV5BZjY5ZjQyMjMtMmEwOC00Nzc2LTllYTItMmU2MzJjNTg1NjY0XkEyXkFqcGdeQXVyNjQ1MTMzMDQ@._V1_UX67_CR0,0,67,98_AL_.jpg</v>
      </c>
    </row>
    <row r="624">
      <c r="A624" s="1">
        <v>623.0</v>
      </c>
      <c r="B624" s="1" t="s">
        <v>3797</v>
      </c>
      <c r="C624" s="2">
        <v>1.30164645E8</v>
      </c>
      <c r="D624" s="1">
        <v>2007.0</v>
      </c>
      <c r="E624" s="1" t="s">
        <v>18</v>
      </c>
      <c r="F624" s="1" t="s">
        <v>3025</v>
      </c>
      <c r="G624" s="1" t="s">
        <v>137</v>
      </c>
      <c r="H624" s="1">
        <v>7.8</v>
      </c>
      <c r="I624" s="1" t="s">
        <v>3798</v>
      </c>
      <c r="J624" s="1">
        <v>76.0</v>
      </c>
      <c r="K624" s="1" t="s">
        <v>324</v>
      </c>
      <c r="L624" s="1" t="s">
        <v>3799</v>
      </c>
      <c r="M624" s="1" t="s">
        <v>325</v>
      </c>
      <c r="N624" s="1" t="s">
        <v>1503</v>
      </c>
      <c r="O624" s="1" t="s">
        <v>1616</v>
      </c>
      <c r="P624" s="1">
        <v>392449.0</v>
      </c>
      <c r="Q624" s="3" t="str">
        <f>VLOOKUP(A624,Posters!A624:B1623,2)</f>
        <v>https://m.media-amazon.com/images/M/MV5BMjFmZGI2YTEtYmJhMS00YTE5LWJjNjAtNDI5OGY5ZDhmNTRlXkEyXkFqcGdeQXVyODAwMTU1MTE@._V1_UX67_CR0,0,67,98_AL_.jpg</v>
      </c>
    </row>
    <row r="625">
      <c r="A625" s="1">
        <v>624.0</v>
      </c>
      <c r="B625" s="1" t="s">
        <v>3800</v>
      </c>
      <c r="C625" s="2">
        <v>7.60507625E8</v>
      </c>
      <c r="D625" s="1">
        <v>2009.0</v>
      </c>
      <c r="E625" s="1" t="s">
        <v>37</v>
      </c>
      <c r="F625" s="1" t="s">
        <v>1221</v>
      </c>
      <c r="G625" s="1" t="s">
        <v>145</v>
      </c>
      <c r="H625" s="1">
        <v>7.8</v>
      </c>
      <c r="I625" s="1" t="s">
        <v>3801</v>
      </c>
      <c r="J625" s="1">
        <v>83.0</v>
      </c>
      <c r="K625" s="1" t="s">
        <v>362</v>
      </c>
      <c r="L625" s="1" t="s">
        <v>1485</v>
      </c>
      <c r="M625" s="1" t="s">
        <v>2246</v>
      </c>
      <c r="N625" s="1" t="s">
        <v>583</v>
      </c>
      <c r="O625" s="1" t="s">
        <v>3802</v>
      </c>
      <c r="P625" s="1">
        <v>1118998.0</v>
      </c>
      <c r="Q625" s="3" t="str">
        <f>VLOOKUP(A625,Posters!A625:B1624,2)</f>
        <v>https://m.media-amazon.com/images/M/MV5BMTYwOTEwNjAzMl5BMl5BanBnXkFtZTcwODc5MTUwMw@@._V1_UX67_CR0,0,67,98_AL_.jpg</v>
      </c>
    </row>
    <row r="626">
      <c r="A626" s="1">
        <v>625.0</v>
      </c>
      <c r="B626" s="1" t="s">
        <v>3803</v>
      </c>
      <c r="C626" s="1" t="s">
        <v>3804</v>
      </c>
      <c r="D626" s="1">
        <v>2009.0</v>
      </c>
      <c r="E626" s="1" t="s">
        <v>212</v>
      </c>
      <c r="F626" s="1" t="s">
        <v>1672</v>
      </c>
      <c r="G626" s="1" t="s">
        <v>2634</v>
      </c>
      <c r="H626" s="1">
        <v>7.8</v>
      </c>
      <c r="I626" s="1" t="s">
        <v>3805</v>
      </c>
      <c r="J626" s="1">
        <v>63.0</v>
      </c>
      <c r="K626" s="1" t="s">
        <v>3806</v>
      </c>
      <c r="L626" s="1" t="s">
        <v>741</v>
      </c>
      <c r="M626" s="1" t="s">
        <v>3807</v>
      </c>
      <c r="N626" s="1" t="s">
        <v>710</v>
      </c>
      <c r="O626" s="1" t="s">
        <v>3808</v>
      </c>
      <c r="P626" s="1">
        <v>216421.0</v>
      </c>
      <c r="Q626" s="3" t="str">
        <f>VLOOKUP(A626,Posters!A626:B1625,2)</f>
        <v>https://m.media-amazon.com/images/M/MV5BMTg4ODkzMDQ3Nl5BMl5BanBnXkFtZTgwNTEwMTkxMDE@._V1_UX67_CR0,0,67,98_AL_.jpg</v>
      </c>
    </row>
    <row r="627">
      <c r="A627" s="1">
        <v>626.0</v>
      </c>
      <c r="B627" s="1" t="s">
        <v>3809</v>
      </c>
      <c r="C627" s="2">
        <v>5.0866635E7</v>
      </c>
      <c r="D627" s="1">
        <v>2006.0</v>
      </c>
      <c r="E627" s="1" t="s">
        <v>18</v>
      </c>
      <c r="F627" s="1" t="s">
        <v>95</v>
      </c>
      <c r="G627" s="1" t="s">
        <v>62</v>
      </c>
      <c r="H627" s="1">
        <v>7.8</v>
      </c>
      <c r="I627" s="1" t="s">
        <v>3810</v>
      </c>
      <c r="J627" s="1">
        <v>68.0</v>
      </c>
      <c r="K627" s="1" t="s">
        <v>773</v>
      </c>
      <c r="L627" s="1" t="s">
        <v>3811</v>
      </c>
      <c r="M627" s="1" t="s">
        <v>3812</v>
      </c>
      <c r="N627" s="1" t="s">
        <v>3813</v>
      </c>
      <c r="O627" s="1" t="s">
        <v>3814</v>
      </c>
      <c r="P627" s="1">
        <v>291018.0</v>
      </c>
      <c r="Q627" s="3" t="str">
        <f>VLOOKUP(A627,Posters!A627:B1626,2)</f>
        <v>https://m.media-amazon.com/images/M/MV5BMzhmNGMzMDMtZDM0Yi00MmVmLWExYjAtZDhjZjcxZDM0MzJhXkEyXkFqcGdeQXVyNjU0OTQ0OTY@._V1_UX67_CR0,0,67,98_AL_.jpg</v>
      </c>
    </row>
    <row r="628">
      <c r="A628" s="1">
        <v>627.0</v>
      </c>
      <c r="B628" s="1" t="s">
        <v>3815</v>
      </c>
      <c r="C628" s="2">
        <v>5.9891098E7</v>
      </c>
      <c r="D628" s="1">
        <v>2006.0</v>
      </c>
      <c r="E628" s="1" t="s">
        <v>37</v>
      </c>
      <c r="F628" s="1" t="s">
        <v>535</v>
      </c>
      <c r="G628" s="1" t="s">
        <v>507</v>
      </c>
      <c r="H628" s="1">
        <v>7.8</v>
      </c>
      <c r="I628" s="1" t="s">
        <v>3816</v>
      </c>
      <c r="J628" s="1">
        <v>80.0</v>
      </c>
      <c r="K628" s="1" t="s">
        <v>3817</v>
      </c>
      <c r="L628" s="1" t="s">
        <v>3818</v>
      </c>
      <c r="M628" s="1" t="s">
        <v>3685</v>
      </c>
      <c r="N628" s="1" t="s">
        <v>1592</v>
      </c>
      <c r="O628" s="1" t="s">
        <v>3819</v>
      </c>
      <c r="P628" s="1">
        <v>439856.0</v>
      </c>
      <c r="Q628" s="3" t="str">
        <f>VLOOKUP(A628,Posters!A628:B1627,2)</f>
        <v>https://m.media-amazon.com/images/M/MV5BMTgzNTgzODU0NV5BMl5BanBnXkFtZTcwMjEyMjMzMQ@@._V1_UX67_CR0,0,67,98_AL_.jpg</v>
      </c>
    </row>
    <row r="629">
      <c r="A629" s="1">
        <v>628.0</v>
      </c>
      <c r="B629" s="1" t="s">
        <v>3820</v>
      </c>
      <c r="C629" s="2">
        <v>2.3637265E7</v>
      </c>
      <c r="D629" s="1">
        <v>2007.0</v>
      </c>
      <c r="E629" s="1" t="s">
        <v>37</v>
      </c>
      <c r="F629" s="1" t="s">
        <v>249</v>
      </c>
      <c r="G629" s="1" t="s">
        <v>3821</v>
      </c>
      <c r="H629" s="1">
        <v>7.8</v>
      </c>
      <c r="I629" s="1" t="s">
        <v>3822</v>
      </c>
      <c r="J629" s="1">
        <v>81.0</v>
      </c>
      <c r="K629" s="1" t="s">
        <v>3158</v>
      </c>
      <c r="L629" s="1" t="s">
        <v>3102</v>
      </c>
      <c r="M629" s="1" t="s">
        <v>3159</v>
      </c>
      <c r="N629" s="1" t="s">
        <v>3733</v>
      </c>
      <c r="O629" s="1" t="s">
        <v>3619</v>
      </c>
      <c r="P629" s="1">
        <v>463466.0</v>
      </c>
      <c r="Q629" s="3" t="str">
        <f>VLOOKUP(A629,Posters!A629:B1628,2)</f>
        <v>https://m.media-amazon.com/images/M/MV5BMzg4MDJhMDMtYmJiMS00ZDZmLThmZWUtYTMwZDM1YTc5MWE2XkEyXkFqcGdeQXVyNjU0OTQ0OTY@._V1_UX67_CR0,0,67,98_AL_.jpg</v>
      </c>
    </row>
    <row r="630">
      <c r="A630" s="1">
        <v>629.0</v>
      </c>
      <c r="B630" s="1" t="s">
        <v>3823</v>
      </c>
      <c r="C630" s="2">
        <v>1.27509326E8</v>
      </c>
      <c r="D630" s="1">
        <v>2008.0</v>
      </c>
      <c r="E630" s="1" t="s">
        <v>37</v>
      </c>
      <c r="F630" s="1" t="s">
        <v>3824</v>
      </c>
      <c r="G630" s="1" t="s">
        <v>2634</v>
      </c>
      <c r="H630" s="1">
        <v>7.8</v>
      </c>
      <c r="I630" s="1" t="s">
        <v>3825</v>
      </c>
      <c r="J630" s="1">
        <v>70.0</v>
      </c>
      <c r="K630" s="1" t="s">
        <v>97</v>
      </c>
      <c r="L630" s="1" t="s">
        <v>98</v>
      </c>
      <c r="M630" s="1" t="s">
        <v>2996</v>
      </c>
      <c r="N630" s="1" t="s">
        <v>3826</v>
      </c>
      <c r="O630" s="1" t="s">
        <v>3827</v>
      </c>
      <c r="P630" s="1">
        <v>589160.0</v>
      </c>
      <c r="Q630" s="3" t="str">
        <f>VLOOKUP(A630,Posters!A630:B1629,2)</f>
        <v>https://m.media-amazon.com/images/M/MV5BNjQ0NTY2ODY2M15BMl5BanBnXkFtZTgwMjE4MzkxMDE@._V1_UX67_CR0,0,67,98_AL_.jpg</v>
      </c>
    </row>
    <row r="631">
      <c r="A631" s="1">
        <v>630.0</v>
      </c>
      <c r="B631" s="1" t="s">
        <v>3828</v>
      </c>
      <c r="C631" s="2">
        <v>2921738.0</v>
      </c>
      <c r="D631" s="1">
        <v>2004.0</v>
      </c>
      <c r="E631" s="1" t="s">
        <v>52</v>
      </c>
      <c r="F631" s="1" t="s">
        <v>3829</v>
      </c>
      <c r="G631" s="1" t="s">
        <v>2709</v>
      </c>
      <c r="H631" s="1">
        <v>7.8</v>
      </c>
      <c r="I631" s="1" t="s">
        <v>3830</v>
      </c>
      <c r="J631" s="1">
        <v>67.0</v>
      </c>
      <c r="K631" s="1" t="s">
        <v>3831</v>
      </c>
      <c r="L631" s="1" t="s">
        <v>1084</v>
      </c>
      <c r="M631" s="1" t="s">
        <v>1661</v>
      </c>
      <c r="N631" s="1" t="s">
        <v>1122</v>
      </c>
      <c r="O631" s="1" t="s">
        <v>3832</v>
      </c>
      <c r="P631" s="1">
        <v>49050.0</v>
      </c>
      <c r="Q631" s="3" t="str">
        <f>VLOOKUP(A631,Posters!A631:B1630,2)</f>
        <v>https://m.media-amazon.com/images/M/MV5BY2VlOTc4ZjctYjVlMS00NDYwLWEwZjctZmYzZmVkNGU5NjNjXkEyXkFqcGdeQXVyODE5NzE3OTE@._V1_UY98_CR2,0,67,98_AL_.jpg</v>
      </c>
    </row>
    <row r="632">
      <c r="A632" s="1">
        <v>631.0</v>
      </c>
      <c r="B632" s="1" t="s">
        <v>3833</v>
      </c>
      <c r="C632" s="2">
        <v>1305.0</v>
      </c>
      <c r="D632" s="1">
        <v>2005.0</v>
      </c>
      <c r="E632" s="1" t="s">
        <v>212</v>
      </c>
      <c r="F632" s="1" t="s">
        <v>1882</v>
      </c>
      <c r="G632" s="1" t="s">
        <v>831</v>
      </c>
      <c r="H632" s="1">
        <v>7.8</v>
      </c>
      <c r="I632" s="1" t="s">
        <v>3834</v>
      </c>
      <c r="J632" s="1">
        <v>51.0</v>
      </c>
      <c r="K632" s="1" t="s">
        <v>3835</v>
      </c>
      <c r="L632" s="1" t="s">
        <v>2508</v>
      </c>
      <c r="M632" s="1" t="s">
        <v>673</v>
      </c>
      <c r="N632" s="1" t="s">
        <v>3836</v>
      </c>
      <c r="O632" s="1" t="s">
        <v>2510</v>
      </c>
      <c r="P632" s="1">
        <v>45717.0</v>
      </c>
      <c r="Q632" s="3" t="str">
        <f>VLOOKUP(A632,Posters!A632:B1631,2)</f>
        <v>https://m.media-amazon.com/images/M/MV5BMTU4NTc5NjM5M15BMl5BanBnXkFtZTgwODEyMTE0MDE@._V1_UY98_CR1,0,67,98_AL_.jpg</v>
      </c>
    </row>
    <row r="633">
      <c r="A633" s="1">
        <v>632.0</v>
      </c>
      <c r="B633" s="1" t="s">
        <v>3837</v>
      </c>
      <c r="C633" s="2">
        <v>3.8405088E7</v>
      </c>
      <c r="D633" s="1">
        <v>2005.0</v>
      </c>
      <c r="E633" s="1" t="s">
        <v>270</v>
      </c>
      <c r="F633" s="1" t="s">
        <v>830</v>
      </c>
      <c r="G633" s="1" t="s">
        <v>107</v>
      </c>
      <c r="H633" s="1">
        <v>7.8</v>
      </c>
      <c r="I633" s="1" t="s">
        <v>3838</v>
      </c>
      <c r="J633" s="1">
        <v>82.0</v>
      </c>
      <c r="K633" s="1" t="s">
        <v>3792</v>
      </c>
      <c r="L633" s="1" t="s">
        <v>2237</v>
      </c>
      <c r="M633" s="1" t="s">
        <v>3839</v>
      </c>
      <c r="N633" s="1" t="s">
        <v>2541</v>
      </c>
      <c r="O633" s="1" t="s">
        <v>3674</v>
      </c>
      <c r="P633" s="1">
        <v>258924.0</v>
      </c>
      <c r="Q633" s="3" t="str">
        <f>VLOOKUP(A633,Posters!A633:B1632,2)</f>
        <v>https://m.media-amazon.com/images/M/MV5BMTA1NDQ3NTcyOTNeQTJeQWpwZ15BbWU3MDA0MzA4MzE@._V1_UX67_CR0,0,67,98_AL_.jpg</v>
      </c>
    </row>
    <row r="634">
      <c r="A634" s="1">
        <v>633.0</v>
      </c>
      <c r="B634" s="1" t="s">
        <v>3840</v>
      </c>
      <c r="C634" s="2">
        <v>5128124.0</v>
      </c>
      <c r="D634" s="1">
        <v>2005.0</v>
      </c>
      <c r="E634" s="1" t="s">
        <v>52</v>
      </c>
      <c r="F634" s="1" t="s">
        <v>234</v>
      </c>
      <c r="G634" s="1" t="s">
        <v>1020</v>
      </c>
      <c r="H634" s="1">
        <v>7.8</v>
      </c>
      <c r="I634" s="1" t="s">
        <v>3841</v>
      </c>
      <c r="J634" s="1">
        <v>68.0</v>
      </c>
      <c r="K634" s="1" t="s">
        <v>3842</v>
      </c>
      <c r="L634" s="1" t="s">
        <v>245</v>
      </c>
      <c r="M634" s="1" t="s">
        <v>3843</v>
      </c>
      <c r="N634" s="1" t="s">
        <v>3844</v>
      </c>
      <c r="O634" s="1" t="s">
        <v>3845</v>
      </c>
      <c r="P634" s="1">
        <v>51980.0</v>
      </c>
      <c r="Q634" s="3" t="str">
        <f>VLOOKUP(A634,Posters!A634:B1633,2)</f>
        <v>https://m.media-amazon.com/images/M/MV5BMjE1MjA0MDA3MV5BMl5BanBnXkFtZTcwOTU0MjMzMQ@@._V1_UY98_CR1,0,67,98_AL_.jpg</v>
      </c>
    </row>
    <row r="635">
      <c r="A635" s="1">
        <v>634.0</v>
      </c>
      <c r="B635" s="1" t="s">
        <v>3846</v>
      </c>
      <c r="C635" s="2">
        <v>128985.0</v>
      </c>
      <c r="D635" s="1">
        <v>2003.0</v>
      </c>
      <c r="E635" s="1" t="s">
        <v>37</v>
      </c>
      <c r="F635" s="1" t="s">
        <v>2586</v>
      </c>
      <c r="G635" s="1" t="s">
        <v>765</v>
      </c>
      <c r="H635" s="1">
        <v>7.8</v>
      </c>
      <c r="I635" s="1" t="s">
        <v>3847</v>
      </c>
      <c r="J635" s="1">
        <v>73.0</v>
      </c>
      <c r="K635" s="1" t="s">
        <v>2501</v>
      </c>
      <c r="L635" s="1" t="s">
        <v>3848</v>
      </c>
      <c r="M635" s="1" t="s">
        <v>3849</v>
      </c>
      <c r="N635" s="1" t="s">
        <v>3850</v>
      </c>
      <c r="O635" s="1" t="s">
        <v>3851</v>
      </c>
      <c r="P635" s="1">
        <v>31658.0</v>
      </c>
      <c r="Q635" s="3" t="str">
        <f>VLOOKUP(A635,Posters!A635:B1634,2)</f>
        <v>https://m.media-amazon.com/images/M/MV5BNWY2ODRkZDYtMjllYi00Y2EyLWFhYjktMTQ5OGNkY2ViYmY2XkEyXkFqcGdeQXVyNjUxMDQ0MTg@._V1_UY98_CR1,0,67,98_AL_.jpg</v>
      </c>
    </row>
    <row r="636">
      <c r="A636" s="1">
        <v>635.0</v>
      </c>
      <c r="B636" s="1" t="s">
        <v>3852</v>
      </c>
      <c r="C636" s="2">
        <v>2.5514517E7</v>
      </c>
      <c r="D636" s="1">
        <v>2005.0</v>
      </c>
      <c r="E636" s="1" t="s">
        <v>161</v>
      </c>
      <c r="F636" s="1" t="s">
        <v>329</v>
      </c>
      <c r="G636" s="1" t="s">
        <v>88</v>
      </c>
      <c r="H636" s="1">
        <v>7.8</v>
      </c>
      <c r="I636" s="1" t="s">
        <v>3853</v>
      </c>
      <c r="J636" s="1">
        <v>74.0</v>
      </c>
      <c r="K636" s="1" t="s">
        <v>2338</v>
      </c>
      <c r="L636" s="1" t="s">
        <v>3854</v>
      </c>
      <c r="M636" s="1" t="s">
        <v>3855</v>
      </c>
      <c r="N636" s="1" t="s">
        <v>1503</v>
      </c>
      <c r="O636" s="1" t="s">
        <v>3594</v>
      </c>
      <c r="P636" s="1">
        <v>283310.0</v>
      </c>
      <c r="Q636" s="3" t="str">
        <f>VLOOKUP(A636,Posters!A636:B1635,2)</f>
        <v>https://m.media-amazon.com/images/M/MV5BOWE2MDAwZjEtODEyOS00ZjYyLTgzNDUtYmNiY2VmNWRiMTQxXkEyXkFqcGdeQXVyNTIzOTk5ODM@._V1_UX67_CR0,0,67,98_AL_.jpg</v>
      </c>
    </row>
    <row r="637">
      <c r="A637" s="1">
        <v>636.0</v>
      </c>
      <c r="B637" s="1" t="s">
        <v>3856</v>
      </c>
      <c r="C637" s="2">
        <v>1.19519402E8</v>
      </c>
      <c r="D637" s="1">
        <v>2005.0</v>
      </c>
      <c r="E637" s="1" t="s">
        <v>161</v>
      </c>
      <c r="F637" s="1" t="s">
        <v>127</v>
      </c>
      <c r="G637" s="1" t="s">
        <v>314</v>
      </c>
      <c r="H637" s="1">
        <v>7.8</v>
      </c>
      <c r="I637" s="1" t="s">
        <v>3857</v>
      </c>
      <c r="J637" s="1">
        <v>72.0</v>
      </c>
      <c r="K637" s="1" t="s">
        <v>1420</v>
      </c>
      <c r="L637" s="1" t="s">
        <v>282</v>
      </c>
      <c r="M637" s="1" t="s">
        <v>3858</v>
      </c>
      <c r="N637" s="1" t="s">
        <v>2194</v>
      </c>
      <c r="O637" s="1" t="s">
        <v>365</v>
      </c>
      <c r="P637" s="1">
        <v>234207.0</v>
      </c>
      <c r="Q637" s="3" t="str">
        <f>VLOOKUP(A637,Posters!A637:B1636,2)</f>
        <v>https://m.media-amazon.com/images/M/MV5BMjIyOTU3MjUxOF5BMl5BanBnXkFtZTcwMTQ0NjYzMw@@._V1_UX67_CR0,0,67,98_AL_.jpg</v>
      </c>
    </row>
    <row r="638">
      <c r="A638" s="1">
        <v>637.0</v>
      </c>
      <c r="B638" s="1" t="s">
        <v>3859</v>
      </c>
      <c r="C638" s="1" t="s">
        <v>3860</v>
      </c>
      <c r="D638" s="1">
        <v>2003.0</v>
      </c>
      <c r="E638" s="1" t="s">
        <v>2066</v>
      </c>
      <c r="F638" s="1" t="s">
        <v>543</v>
      </c>
      <c r="G638" s="1" t="s">
        <v>20</v>
      </c>
      <c r="H638" s="1">
        <v>7.8</v>
      </c>
      <c r="I638" s="1" t="s">
        <v>3861</v>
      </c>
      <c r="J638" s="1">
        <v>61.0</v>
      </c>
      <c r="K638" s="1" t="s">
        <v>3862</v>
      </c>
      <c r="L638" s="1" t="s">
        <v>3863</v>
      </c>
      <c r="M638" s="1" t="s">
        <v>3864</v>
      </c>
      <c r="N638" s="1" t="s">
        <v>3865</v>
      </c>
      <c r="O638" s="1" t="s">
        <v>3866</v>
      </c>
      <c r="P638" s="1">
        <v>35682.0</v>
      </c>
      <c r="Q638" s="3" t="str">
        <f>VLOOKUP(A638,Posters!A638:B1637,2)</f>
        <v>https://m.media-amazon.com/images/M/MV5BMzYwODUxNjkyMF5BMl5BanBnXkFtZTcwODUzNjQyMQ@@._V1_UY98_CR0,0,67,98_AL_.jpg</v>
      </c>
    </row>
    <row r="639">
      <c r="A639" s="1">
        <v>638.0</v>
      </c>
      <c r="B639" s="1" t="s">
        <v>3867</v>
      </c>
      <c r="C639" s="2">
        <v>8.1001787E7</v>
      </c>
      <c r="D639" s="1">
        <v>2004.0</v>
      </c>
      <c r="E639" s="1" t="s">
        <v>18</v>
      </c>
      <c r="F639" s="1" t="s">
        <v>678</v>
      </c>
      <c r="G639" s="1" t="s">
        <v>107</v>
      </c>
      <c r="H639" s="1">
        <v>7.8</v>
      </c>
      <c r="I639" s="1" t="s">
        <v>3868</v>
      </c>
      <c r="J639" s="1">
        <v>53.0</v>
      </c>
      <c r="K639" s="1" t="s">
        <v>3869</v>
      </c>
      <c r="L639" s="1" t="s">
        <v>2347</v>
      </c>
      <c r="M639" s="1" t="s">
        <v>1273</v>
      </c>
      <c r="N639" s="1" t="s">
        <v>1518</v>
      </c>
      <c r="O639" s="1" t="s">
        <v>2175</v>
      </c>
      <c r="P639" s="1">
        <v>520284.0</v>
      </c>
      <c r="Q639" s="3" t="str">
        <f>VLOOKUP(A639,Posters!A639:B1638,2)</f>
        <v>https://m.media-amazon.com/images/M/MV5BMTk3OTM5Njg5M15BMl5BanBnXkFtZTYwMzA0ODI3._V1_UX67_CR0,0,67,98_AL_.jpg</v>
      </c>
    </row>
    <row r="640">
      <c r="A640" s="1">
        <v>639.0</v>
      </c>
      <c r="B640" s="1" t="s">
        <v>3870</v>
      </c>
      <c r="C640" s="2">
        <v>1.6756372E7</v>
      </c>
      <c r="D640" s="1">
        <v>2004.0</v>
      </c>
      <c r="E640" s="1" t="s">
        <v>52</v>
      </c>
      <c r="F640" s="1" t="s">
        <v>428</v>
      </c>
      <c r="G640" s="1" t="s">
        <v>858</v>
      </c>
      <c r="H640" s="1">
        <v>7.8</v>
      </c>
      <c r="I640" s="1" t="s">
        <v>3871</v>
      </c>
      <c r="J640" s="1">
        <v>75.0</v>
      </c>
      <c r="K640" s="1" t="s">
        <v>2513</v>
      </c>
      <c r="L640" s="1" t="s">
        <v>492</v>
      </c>
      <c r="M640" s="1" t="s">
        <v>3872</v>
      </c>
      <c r="N640" s="1" t="s">
        <v>3873</v>
      </c>
      <c r="O640" s="1" t="s">
        <v>3874</v>
      </c>
      <c r="P640" s="1">
        <v>96703.0</v>
      </c>
      <c r="Q640" s="3" t="str">
        <f>VLOOKUP(A640,Posters!A640:B1639,2)</f>
        <v>https://m.media-amazon.com/images/M/MV5BOTNmZTgyMzAtMTUwZC00NjAwLTk4MjktODllYTY5YTUwN2YwXkEyXkFqcGdeQXVyMTQxNzMzNDI@._V1_UX67_CR0,0,67,98_AL_.jpg</v>
      </c>
    </row>
    <row r="641">
      <c r="A641" s="1">
        <v>640.0</v>
      </c>
      <c r="B641" s="1" t="s">
        <v>3875</v>
      </c>
      <c r="C641" s="2">
        <v>181655.0</v>
      </c>
      <c r="D641" s="1">
        <v>2002.0</v>
      </c>
      <c r="E641" s="1" t="s">
        <v>212</v>
      </c>
      <c r="F641" s="1" t="s">
        <v>396</v>
      </c>
      <c r="G641" s="1" t="s">
        <v>29</v>
      </c>
      <c r="H641" s="1">
        <v>7.8</v>
      </c>
      <c r="I641" s="1" t="s">
        <v>3876</v>
      </c>
      <c r="J641" s="1">
        <v>82.0</v>
      </c>
      <c r="K641" s="1" t="s">
        <v>3877</v>
      </c>
      <c r="L641" s="1" t="s">
        <v>3878</v>
      </c>
      <c r="M641" s="1" t="s">
        <v>3879</v>
      </c>
      <c r="N641" s="1" t="s">
        <v>3880</v>
      </c>
      <c r="O641" s="1" t="s">
        <v>3881</v>
      </c>
      <c r="P641" s="1">
        <v>42673.0</v>
      </c>
      <c r="Q641" s="3" t="str">
        <f>VLOOKUP(A641,Posters!A641:B1640,2)</f>
        <v>https://m.media-amazon.com/images/M/MV5BM2YwNTQwM2ItZTA2Ni00NGY1LThjY2QtNzgyZTBhMTM0MWI4XkEyXkFqcGdeQXVyNzQxNDExNTU@._V1_UY98_CR0,0,67,98_AL_.jpg</v>
      </c>
    </row>
    <row r="642">
      <c r="A642" s="1">
        <v>641.0</v>
      </c>
      <c r="B642" s="1" t="s">
        <v>3882</v>
      </c>
      <c r="C642" s="2">
        <v>7002255.0</v>
      </c>
      <c r="D642" s="1">
        <v>2003.0</v>
      </c>
      <c r="E642" s="1" t="s">
        <v>161</v>
      </c>
      <c r="F642" s="1" t="s">
        <v>1639</v>
      </c>
      <c r="G642" s="1" t="s">
        <v>1589</v>
      </c>
      <c r="H642" s="1">
        <v>7.8</v>
      </c>
      <c r="I642" s="1" t="s">
        <v>3883</v>
      </c>
      <c r="J642" s="1">
        <v>91.0</v>
      </c>
      <c r="K642" s="1" t="s">
        <v>3884</v>
      </c>
      <c r="L642" s="1" t="s">
        <v>3885</v>
      </c>
      <c r="M642" s="1" t="s">
        <v>3886</v>
      </c>
      <c r="N642" s="1" t="s">
        <v>3887</v>
      </c>
      <c r="O642" s="1" t="s">
        <v>3888</v>
      </c>
      <c r="P642" s="1">
        <v>50622.0</v>
      </c>
      <c r="Q642" s="3" t="str">
        <f>VLOOKUP(A642,Posters!A642:B1641,2)</f>
        <v>https://m.media-amazon.com/images/M/MV5BNGRiOTIwNTAtYWM2Yy00Yzc4LTkyZjEtNTM3NTIyZTNhMzg1XkEyXkFqcGdeQXVyODIyOTEyMzY@._V1_UY98_CR1,0,67,98_AL_.jpg</v>
      </c>
    </row>
    <row r="643">
      <c r="A643" s="1">
        <v>642.0</v>
      </c>
      <c r="B643" s="1" t="s">
        <v>3889</v>
      </c>
      <c r="C643" s="2">
        <v>124071.0</v>
      </c>
      <c r="D643" s="1">
        <v>2000.0</v>
      </c>
      <c r="E643" s="1">
        <v>16.0</v>
      </c>
      <c r="F643" s="1" t="s">
        <v>343</v>
      </c>
      <c r="G643" s="1" t="s">
        <v>1283</v>
      </c>
      <c r="H643" s="1">
        <v>7.8</v>
      </c>
      <c r="I643" s="1" t="s">
        <v>3890</v>
      </c>
      <c r="J643" s="1">
        <v>58.0</v>
      </c>
      <c r="K643" s="1" t="s">
        <v>537</v>
      </c>
      <c r="L643" s="1" t="s">
        <v>3891</v>
      </c>
      <c r="M643" s="1" t="s">
        <v>3695</v>
      </c>
      <c r="N643" s="1" t="s">
        <v>174</v>
      </c>
      <c r="O643" s="1" t="s">
        <v>3892</v>
      </c>
      <c r="P643" s="1">
        <v>26518.0</v>
      </c>
      <c r="Q643" s="3" t="str">
        <f>VLOOKUP(A643,Posters!A643:B1642,2)</f>
        <v>https://m.media-amazon.com/images/M/MV5BMTI1NDA4NTMyN15BMl5BanBnXkFtZTYwNTA2ODc5._V1_UY98_CR1,0,67,98_AL_.jpg</v>
      </c>
    </row>
    <row r="644">
      <c r="A644" s="1">
        <v>643.0</v>
      </c>
      <c r="B644" s="1" t="s">
        <v>3893</v>
      </c>
      <c r="C644" s="2">
        <v>5.4234062E7</v>
      </c>
      <c r="D644" s="1">
        <v>2002.0</v>
      </c>
      <c r="E644" s="1" t="s">
        <v>161</v>
      </c>
      <c r="F644" s="1" t="s">
        <v>686</v>
      </c>
      <c r="G644" s="1" t="s">
        <v>62</v>
      </c>
      <c r="H644" s="1">
        <v>7.8</v>
      </c>
      <c r="I644" s="1" t="s">
        <v>3894</v>
      </c>
      <c r="J644" s="1">
        <v>61.0</v>
      </c>
      <c r="K644" s="1" t="s">
        <v>3895</v>
      </c>
      <c r="L644" s="1" t="s">
        <v>3896</v>
      </c>
      <c r="M644" s="1" t="s">
        <v>546</v>
      </c>
      <c r="N644" s="1" t="s">
        <v>3897</v>
      </c>
      <c r="O644" s="1" t="s">
        <v>3898</v>
      </c>
      <c r="P644" s="1">
        <v>129022.0</v>
      </c>
      <c r="Q644" s="3" t="str">
        <f>VLOOKUP(A644,Posters!A644:B1643,2)</f>
        <v>https://m.media-amazon.com/images/M/MV5BMDM0ZWRjZDgtZWI0MS00ZTIzLTg4MWYtZjU5MDEyMDU0ODBjXkEyXkFqcGdeQXVyMTQxNzMzNDI@._V1_UX67_CR0,0,67,98_AL_.jpg</v>
      </c>
    </row>
    <row r="645">
      <c r="A645" s="1">
        <v>644.0</v>
      </c>
      <c r="B645" s="1" t="s">
        <v>3899</v>
      </c>
      <c r="C645" s="2">
        <v>2892011.0</v>
      </c>
      <c r="D645" s="1">
        <v>2001.0</v>
      </c>
      <c r="E645" s="1" t="s">
        <v>212</v>
      </c>
      <c r="F645" s="1" t="s">
        <v>778</v>
      </c>
      <c r="G645" s="1" t="s">
        <v>450</v>
      </c>
      <c r="H645" s="1">
        <v>7.8</v>
      </c>
      <c r="I645" s="1" t="s">
        <v>3900</v>
      </c>
      <c r="J645" s="1">
        <v>83.0</v>
      </c>
      <c r="K645" s="1" t="s">
        <v>1641</v>
      </c>
      <c r="L645" s="1" t="s">
        <v>1642</v>
      </c>
      <c r="M645" s="1" t="s">
        <v>3901</v>
      </c>
      <c r="N645" s="1" t="s">
        <v>3902</v>
      </c>
      <c r="O645" s="1" t="s">
        <v>3903</v>
      </c>
      <c r="P645" s="1">
        <v>60684.0</v>
      </c>
      <c r="Q645" s="3" t="str">
        <f>VLOOKUP(A645,Posters!A645:B1644,2)</f>
        <v>https://m.media-amazon.com/images/M/MV5BMWM0ZjY5ZjctODNkZi00Nzk0LWE1ODUtNGM4ZDUyMzUwMGYwXkEyXkFqcGdeQXVyMTQxNzMzNDI@._V1_UX67_CR0,0,67,98_AL_.jpg</v>
      </c>
    </row>
    <row r="646">
      <c r="A646" s="1">
        <v>645.0</v>
      </c>
      <c r="B646" s="1" t="s">
        <v>3904</v>
      </c>
      <c r="C646" s="2">
        <v>1.15654751E8</v>
      </c>
      <c r="D646" s="1">
        <v>2000.0</v>
      </c>
      <c r="E646" s="1" t="s">
        <v>52</v>
      </c>
      <c r="F646" s="1" t="s">
        <v>543</v>
      </c>
      <c r="G646" s="1" t="s">
        <v>1020</v>
      </c>
      <c r="H646" s="1">
        <v>7.8</v>
      </c>
      <c r="I646" s="1" t="s">
        <v>3905</v>
      </c>
      <c r="J646" s="1">
        <v>48.0</v>
      </c>
      <c r="K646" s="1" t="s">
        <v>3906</v>
      </c>
      <c r="L646" s="1" t="s">
        <v>3799</v>
      </c>
      <c r="M646" s="1" t="s">
        <v>3907</v>
      </c>
      <c r="N646" s="1" t="s">
        <v>3908</v>
      </c>
      <c r="O646" s="1" t="s">
        <v>3909</v>
      </c>
      <c r="P646" s="1">
        <v>198089.0</v>
      </c>
      <c r="Q646" s="3" t="str">
        <f>VLOOKUP(A646,Posters!A646:B1645,2)</f>
        <v>https://m.media-amazon.com/images/M/MV5BYThkMzgxNjEtMzFiOC00MTI0LWI5MDItNDVmYjA4NzY5MDQ2L2ltYWdlL2ltYWdlXkEyXkFqcGdeQXVyMTQxNzMzNDI@._V1_UX67_CR0,0,67,98_AL_.jpg</v>
      </c>
    </row>
    <row r="647">
      <c r="A647" s="1">
        <v>646.0</v>
      </c>
      <c r="B647" s="1" t="s">
        <v>3910</v>
      </c>
      <c r="C647" s="2">
        <v>1.28078872E8</v>
      </c>
      <c r="D647" s="1">
        <v>2000.0</v>
      </c>
      <c r="E647" s="1" t="s">
        <v>37</v>
      </c>
      <c r="F647" s="1" t="s">
        <v>1546</v>
      </c>
      <c r="G647" s="1" t="s">
        <v>145</v>
      </c>
      <c r="H647" s="1">
        <v>7.8</v>
      </c>
      <c r="I647" s="1" t="s">
        <v>3911</v>
      </c>
      <c r="J647" s="1">
        <v>94.0</v>
      </c>
      <c r="K647" s="1" t="s">
        <v>3130</v>
      </c>
      <c r="L647" s="1" t="s">
        <v>3912</v>
      </c>
      <c r="M647" s="1" t="s">
        <v>3913</v>
      </c>
      <c r="N647" s="1" t="s">
        <v>3181</v>
      </c>
      <c r="O647" s="1" t="s">
        <v>3914</v>
      </c>
      <c r="P647" s="1">
        <v>253228.0</v>
      </c>
      <c r="Q647" s="3" t="str">
        <f>VLOOKUP(A647,Posters!A647:B1646,2)</f>
        <v>https://m.media-amazon.com/images/M/MV5BNDdhMzMxOTctNDMyNS00NTZmLTljNWEtNTc4MDBmZTYxY2NmXkEyXkFqcGdeQXVyNjU0OTQ0OTY@._V1_UX67_CR0,0,67,98_AL_.jpg</v>
      </c>
    </row>
    <row r="648">
      <c r="A648" s="1">
        <v>647.0</v>
      </c>
      <c r="B648" s="1" t="s">
        <v>3915</v>
      </c>
      <c r="C648" s="2">
        <v>8264530.0</v>
      </c>
      <c r="D648" s="1">
        <v>1999.0</v>
      </c>
      <c r="E648" s="1" t="s">
        <v>212</v>
      </c>
      <c r="F648" s="1" t="s">
        <v>535</v>
      </c>
      <c r="G648" s="1" t="s">
        <v>20</v>
      </c>
      <c r="H648" s="1">
        <v>7.8</v>
      </c>
      <c r="I648" s="1" t="s">
        <v>3916</v>
      </c>
      <c r="J648" s="1">
        <v>87.0</v>
      </c>
      <c r="K648" s="1" t="s">
        <v>3184</v>
      </c>
      <c r="L648" s="1" t="s">
        <v>3917</v>
      </c>
      <c r="M648" s="1" t="s">
        <v>3918</v>
      </c>
      <c r="N648" s="1" t="s">
        <v>3919</v>
      </c>
      <c r="O648" s="1" t="s">
        <v>3920</v>
      </c>
      <c r="P648" s="1">
        <v>89058.0</v>
      </c>
      <c r="Q648" s="3" t="str">
        <f>VLOOKUP(A648,Posters!A648:B1647,2)</f>
        <v>https://m.media-amazon.com/images/M/MV5BZTk2ZTMzMmUtZjUyNi00YzMyLWE3NTAtNDNjNzU3MGQ1YTFjXkEyXkFqcGdeQXVyMTA0MjU0Ng@@._V1_UY98_CR3,0,67,98_AL_.jpg</v>
      </c>
    </row>
    <row r="649">
      <c r="A649" s="1">
        <v>648.0</v>
      </c>
      <c r="B649" s="1" t="s">
        <v>3921</v>
      </c>
      <c r="C649" s="2">
        <v>2.33632142E8</v>
      </c>
      <c r="D649" s="1">
        <v>2000.0</v>
      </c>
      <c r="E649" s="1" t="s">
        <v>37</v>
      </c>
      <c r="F649" s="1" t="s">
        <v>596</v>
      </c>
      <c r="G649" s="1" t="s">
        <v>3922</v>
      </c>
      <c r="H649" s="1">
        <v>7.8</v>
      </c>
      <c r="I649" s="1" t="s">
        <v>3923</v>
      </c>
      <c r="J649" s="1">
        <v>73.0</v>
      </c>
      <c r="K649" s="1" t="s">
        <v>109</v>
      </c>
      <c r="L649" s="1" t="s">
        <v>110</v>
      </c>
      <c r="M649" s="1" t="s">
        <v>3924</v>
      </c>
      <c r="N649" s="1" t="s">
        <v>3925</v>
      </c>
      <c r="O649" s="1" t="s">
        <v>3926</v>
      </c>
      <c r="P649" s="1">
        <v>524235.0</v>
      </c>
      <c r="Q649" s="3" t="str">
        <f>VLOOKUP(A649,Posters!A649:B1648,2)</f>
        <v>https://m.media-amazon.com/images/M/MV5BN2Y5ZTU4YjctMDRmMC00MTg4LWE1M2MtMjk4MzVmOTE4YjkzXkEyXkFqcGdeQXVyNTc1NTQxODI@._V1_UX67_CR0,0,67,98_AL_.jpg</v>
      </c>
    </row>
    <row r="650">
      <c r="A650" s="1">
        <v>649.0</v>
      </c>
      <c r="B650" s="1" t="s">
        <v>3927</v>
      </c>
      <c r="C650" s="2">
        <v>25812.0</v>
      </c>
      <c r="D650" s="1">
        <v>1999.0</v>
      </c>
      <c r="E650" s="1" t="s">
        <v>212</v>
      </c>
      <c r="F650" s="1" t="s">
        <v>714</v>
      </c>
      <c r="G650" s="1" t="s">
        <v>2169</v>
      </c>
      <c r="H650" s="1">
        <v>7.8</v>
      </c>
      <c r="I650" s="1" t="s">
        <v>3928</v>
      </c>
      <c r="J650" s="1">
        <v>44.0</v>
      </c>
      <c r="K650" s="1" t="s">
        <v>3929</v>
      </c>
      <c r="L650" s="1" t="s">
        <v>1825</v>
      </c>
      <c r="M650" s="1" t="s">
        <v>3930</v>
      </c>
      <c r="N650" s="1" t="s">
        <v>3931</v>
      </c>
      <c r="O650" s="1" t="s">
        <v>3932</v>
      </c>
      <c r="P650" s="1">
        <v>227143.0</v>
      </c>
      <c r="Q650" s="3" t="str">
        <f>VLOOKUP(A650,Posters!A650:B1649,2)</f>
        <v>https://m.media-amazon.com/images/M/MV5BYzVmMTdjOTYtOTJkYS00ZTg2LWExNTgtNzA1N2Y0MDgwYWFhXkEyXkFqcGdeQXVyMTQxNzMzNDI@._V1_UX67_CR0,0,67,98_AL_.jpg</v>
      </c>
    </row>
    <row r="651">
      <c r="A651" s="1">
        <v>650.0</v>
      </c>
      <c r="B651" s="1" t="s">
        <v>3933</v>
      </c>
      <c r="C651" s="2">
        <v>2.8965197E7</v>
      </c>
      <c r="D651" s="1">
        <v>1999.0</v>
      </c>
      <c r="E651" s="1" t="s">
        <v>37</v>
      </c>
      <c r="F651" s="1" t="s">
        <v>3025</v>
      </c>
      <c r="G651" s="1" t="s">
        <v>2233</v>
      </c>
      <c r="H651" s="1">
        <v>7.8</v>
      </c>
      <c r="I651" s="1" t="s">
        <v>3934</v>
      </c>
      <c r="J651" s="1">
        <v>84.0</v>
      </c>
      <c r="K651" s="1" t="s">
        <v>1176</v>
      </c>
      <c r="L651" s="1" t="s">
        <v>325</v>
      </c>
      <c r="M651" s="1" t="s">
        <v>33</v>
      </c>
      <c r="N651" s="1" t="s">
        <v>1152</v>
      </c>
      <c r="O651" s="1" t="s">
        <v>3935</v>
      </c>
      <c r="P651" s="1">
        <v>159886.0</v>
      </c>
      <c r="Q651" s="3" t="str">
        <f>VLOOKUP(A651,Posters!A651:B1650,2)</f>
        <v>https://m.media-amazon.com/images/M/MV5BODg0YjAzNDQtOGFkMi00Yzk2LTg1NzYtYTNjY2UwZTM2ZDdkL2ltYWdlXkEyXkFqcGdeQXVyMTQxNzMzNDI@._V1_UY98_CR0,0,67,98_AL_.jpg</v>
      </c>
    </row>
    <row r="652">
      <c r="A652" s="1">
        <v>651.0</v>
      </c>
      <c r="B652" s="1" t="s">
        <v>3936</v>
      </c>
      <c r="C652" s="2">
        <v>3.2481825E7</v>
      </c>
      <c r="D652" s="1">
        <v>1999.0</v>
      </c>
      <c r="E652" s="1" t="s">
        <v>270</v>
      </c>
      <c r="F652" s="1" t="s">
        <v>714</v>
      </c>
      <c r="G652" s="1" t="s">
        <v>1580</v>
      </c>
      <c r="H652" s="1">
        <v>7.8</v>
      </c>
      <c r="I652" s="1" t="s">
        <v>3937</v>
      </c>
      <c r="J652" s="1">
        <v>71.0</v>
      </c>
      <c r="K652" s="1" t="s">
        <v>3938</v>
      </c>
      <c r="L652" s="1" t="s">
        <v>1542</v>
      </c>
      <c r="M652" s="1" t="s">
        <v>3205</v>
      </c>
      <c r="N652" s="1" t="s">
        <v>1785</v>
      </c>
      <c r="O652" s="1" t="s">
        <v>3939</v>
      </c>
      <c r="P652" s="1">
        <v>82855.0</v>
      </c>
      <c r="Q652" s="3" t="str">
        <f>VLOOKUP(A652,Posters!A652:B1651,2)</f>
        <v>https://m.media-amazon.com/images/M/MV5BZmIzMjE0M2YtNzliZi00YWNmLTgyNDItZDhjNWVhY2Q2ODk0XkEyXkFqcGdeQXVyNTAyODkwOQ@@._V1_UX67_CR0,0,67,98_AL_.jpg</v>
      </c>
    </row>
    <row r="653">
      <c r="A653" s="1">
        <v>652.0</v>
      </c>
      <c r="B653" s="1" t="s">
        <v>3940</v>
      </c>
      <c r="C653" s="2">
        <v>2.67665011E8</v>
      </c>
      <c r="D653" s="1">
        <v>2001.0</v>
      </c>
      <c r="E653" s="1" t="s">
        <v>52</v>
      </c>
      <c r="F653" s="1" t="s">
        <v>2586</v>
      </c>
      <c r="G653" s="1" t="s">
        <v>765</v>
      </c>
      <c r="H653" s="1">
        <v>7.8</v>
      </c>
      <c r="I653" s="1" t="s">
        <v>3941</v>
      </c>
      <c r="J653" s="1">
        <v>84.0</v>
      </c>
      <c r="K653" s="1" t="s">
        <v>3942</v>
      </c>
      <c r="L653" s="1" t="s">
        <v>3943</v>
      </c>
      <c r="M653" s="1" t="s">
        <v>3944</v>
      </c>
      <c r="N653" s="1" t="s">
        <v>3945</v>
      </c>
      <c r="O653" s="1" t="s">
        <v>3946</v>
      </c>
      <c r="P653" s="1">
        <v>613941.0</v>
      </c>
      <c r="Q653" s="3" t="str">
        <f>VLOOKUP(A653,Posters!A653:B1652,2)</f>
        <v>https://m.media-amazon.com/images/M/MV5BOGZhM2FhNTItODAzNi00YjA0LWEyN2UtNjJlYWQzYzU1MDg5L2ltYWdlL2ltYWdlXkEyXkFqcGdeQXVyMTQxNzMzNDI@._V1_UX67_CR0,0,67,98_AL_.jpg</v>
      </c>
    </row>
    <row r="654">
      <c r="A654" s="1">
        <v>653.0</v>
      </c>
      <c r="B654" s="1" t="s">
        <v>3947</v>
      </c>
      <c r="C654" s="2">
        <v>6.59325379E8</v>
      </c>
      <c r="D654" s="1">
        <v>1997.0</v>
      </c>
      <c r="E654" s="1" t="s">
        <v>37</v>
      </c>
      <c r="F654" s="1" t="s">
        <v>3948</v>
      </c>
      <c r="G654" s="1" t="s">
        <v>107</v>
      </c>
      <c r="H654" s="1">
        <v>7.8</v>
      </c>
      <c r="I654" s="1" t="s">
        <v>3949</v>
      </c>
      <c r="J654" s="1">
        <v>75.0</v>
      </c>
      <c r="K654" s="1" t="s">
        <v>362</v>
      </c>
      <c r="L654" s="1" t="s">
        <v>90</v>
      </c>
      <c r="M654" s="1" t="s">
        <v>719</v>
      </c>
      <c r="N654" s="1" t="s">
        <v>3950</v>
      </c>
      <c r="O654" s="1" t="s">
        <v>3951</v>
      </c>
      <c r="P654" s="1">
        <v>1046089.0</v>
      </c>
      <c r="Q654" s="3" t="str">
        <f>VLOOKUP(A654,Posters!A654:B1653,2)</f>
        <v>https://m.media-amazon.com/images/M/MV5BMDdmZGU3NDQtY2E5My00ZTliLWIzOTUtMTY4ZGI1YjdiNjk3XkEyXkFqcGdeQXVyNTA4NzY1MzY@._V1_UX67_CR0,0,67,98_AL_.jpg</v>
      </c>
    </row>
    <row r="655">
      <c r="A655" s="1">
        <v>654.0</v>
      </c>
      <c r="B655" s="1" t="s">
        <v>3952</v>
      </c>
      <c r="C655" s="2">
        <v>233986.0</v>
      </c>
      <c r="D655" s="1">
        <v>1997.0</v>
      </c>
      <c r="E655" s="1">
        <v>16.0</v>
      </c>
      <c r="F655" s="1" t="s">
        <v>885</v>
      </c>
      <c r="G655" s="1" t="s">
        <v>2372</v>
      </c>
      <c r="H655" s="1">
        <v>7.8</v>
      </c>
      <c r="I655" s="1" t="s">
        <v>3953</v>
      </c>
      <c r="K655" s="1" t="s">
        <v>3954</v>
      </c>
      <c r="L655" s="1" t="s">
        <v>3954</v>
      </c>
      <c r="M655" s="1" t="s">
        <v>3955</v>
      </c>
      <c r="N655" s="1" t="s">
        <v>3956</v>
      </c>
      <c r="O655" s="1" t="s">
        <v>3957</v>
      </c>
      <c r="P655" s="1">
        <v>27712.0</v>
      </c>
      <c r="Q655" s="3" t="str">
        <f>VLOOKUP(A655,Posters!A655:B1654,2)</f>
        <v>https://m.media-amazon.com/images/M/MV5BODk4MzE5NjgtN2ZhOS00YTdkLTg0YzktMmE1MTkxZmMyMWI2L2ltYWdlXkEyXkFqcGdeQXVyNTAyODkwOQ@@._V1_UX67_CR0,0,67,98_AL_.jpg</v>
      </c>
    </row>
    <row r="656">
      <c r="A656" s="1">
        <v>655.0</v>
      </c>
      <c r="B656" s="1" t="s">
        <v>3958</v>
      </c>
      <c r="C656" s="2">
        <v>1.2339633E7</v>
      </c>
      <c r="D656" s="1">
        <v>1997.0</v>
      </c>
      <c r="E656" s="1" t="s">
        <v>37</v>
      </c>
      <c r="F656" s="1" t="s">
        <v>286</v>
      </c>
      <c r="G656" s="1" t="s">
        <v>3959</v>
      </c>
      <c r="H656" s="1">
        <v>7.8</v>
      </c>
      <c r="I656" s="1" t="s">
        <v>3960</v>
      </c>
      <c r="J656" s="1">
        <v>64.0</v>
      </c>
      <c r="K656" s="1" t="s">
        <v>3961</v>
      </c>
      <c r="L656" s="1" t="s">
        <v>1642</v>
      </c>
      <c r="M656" s="1" t="s">
        <v>74</v>
      </c>
      <c r="N656" s="1" t="s">
        <v>3962</v>
      </c>
      <c r="O656" s="1" t="s">
        <v>3963</v>
      </c>
      <c r="P656" s="1">
        <v>280845.0</v>
      </c>
      <c r="Q656" s="3" t="str">
        <f>VLOOKUP(A656,Posters!A656:B1655,2)</f>
        <v>https://m.media-amazon.com/images/M/MV5BODI3ZTc5NjktOGMyOC00NjYzLTgwZDYtYmQ4NDc1MmJjMjRlXkEyXkFqcGdeQXVyMTQxNzMzNDI@._V1_UX67_CR0,0,67,98_AL_.jpg</v>
      </c>
    </row>
    <row r="657">
      <c r="A657" s="1">
        <v>656.0</v>
      </c>
      <c r="B657" s="1" t="s">
        <v>3964</v>
      </c>
      <c r="C657" s="2">
        <v>4.8323648E7</v>
      </c>
      <c r="D657" s="1">
        <v>1997.0</v>
      </c>
      <c r="E657" s="1" t="s">
        <v>37</v>
      </c>
      <c r="F657" s="1" t="s">
        <v>830</v>
      </c>
      <c r="G657" s="1" t="s">
        <v>254</v>
      </c>
      <c r="H657" s="1">
        <v>7.8</v>
      </c>
      <c r="I657" s="1" t="s">
        <v>3965</v>
      </c>
      <c r="J657" s="1">
        <v>61.0</v>
      </c>
      <c r="K657" s="1" t="s">
        <v>97</v>
      </c>
      <c r="L657" s="1" t="s">
        <v>3966</v>
      </c>
      <c r="M657" s="1" t="s">
        <v>3967</v>
      </c>
      <c r="N657" s="1" t="s">
        <v>1605</v>
      </c>
      <c r="O657" s="1" t="s">
        <v>2583</v>
      </c>
      <c r="P657" s="1">
        <v>345096.0</v>
      </c>
      <c r="Q657" s="3" t="str">
        <f>VLOOKUP(A657,Posters!A657:B1656,2)</f>
        <v>https://m.media-amazon.com/images/M/MV5BZGVmMDNmYmEtNGQ2Mi00Y2ZhLThhZTYtYjE5YmQzMjZiZGMxXkEyXkFqcGdeQXVyNDk3NzU2MTQ@._V1_UY98_CR1,0,67,98_AL_.jpg</v>
      </c>
    </row>
    <row r="658">
      <c r="A658" s="1">
        <v>657.0</v>
      </c>
      <c r="B658" s="1" t="s">
        <v>3968</v>
      </c>
      <c r="C658" s="2">
        <v>4040691.0</v>
      </c>
      <c r="D658" s="1">
        <v>1996.0</v>
      </c>
      <c r="E658" s="1" t="s">
        <v>212</v>
      </c>
      <c r="F658" s="1" t="s">
        <v>2168</v>
      </c>
      <c r="G658" s="1" t="s">
        <v>20</v>
      </c>
      <c r="H658" s="1">
        <v>7.8</v>
      </c>
      <c r="I658" s="1" t="s">
        <v>3969</v>
      </c>
      <c r="J658" s="1">
        <v>76.0</v>
      </c>
      <c r="K658" s="1" t="s">
        <v>2471</v>
      </c>
      <c r="L658" s="1" t="s">
        <v>3970</v>
      </c>
      <c r="M658" s="1" t="s">
        <v>754</v>
      </c>
      <c r="N658" s="1" t="s">
        <v>3971</v>
      </c>
      <c r="O658" s="1" t="s">
        <v>3972</v>
      </c>
      <c r="P658" s="1">
        <v>62428.0</v>
      </c>
      <c r="Q658" s="3" t="str">
        <f>VLOOKUP(A658,Posters!A658:B1657,2)</f>
        <v>https://m.media-amazon.com/images/M/MV5BNDYwZTU2MzktNWYxMS00NTYzLTgzOWEtMTRiYjc5NGY2Nzg1XkEyXkFqcGdeQXVyMTQxNzMzNDI@._V1_UX67_CR0,0,67,98_AL_.jpg</v>
      </c>
    </row>
    <row r="659">
      <c r="A659" s="1">
        <v>658.0</v>
      </c>
      <c r="B659" s="1" t="s">
        <v>3973</v>
      </c>
      <c r="C659" s="2">
        <v>5887457.0</v>
      </c>
      <c r="D659" s="1">
        <v>1994.0</v>
      </c>
      <c r="E659" s="1" t="s">
        <v>52</v>
      </c>
      <c r="F659" s="1" t="s">
        <v>234</v>
      </c>
      <c r="G659" s="1" t="s">
        <v>296</v>
      </c>
      <c r="H659" s="1">
        <v>7.8</v>
      </c>
      <c r="I659" s="1" t="s">
        <v>3974</v>
      </c>
      <c r="J659" s="1">
        <v>70.0</v>
      </c>
      <c r="K659" s="1" t="s">
        <v>2454</v>
      </c>
      <c r="L659" s="1" t="s">
        <v>2451</v>
      </c>
      <c r="M659" s="1" t="s">
        <v>3278</v>
      </c>
      <c r="N659" s="1" t="s">
        <v>3975</v>
      </c>
      <c r="O659" s="1" t="s">
        <v>3089</v>
      </c>
      <c r="P659" s="1">
        <v>164937.0</v>
      </c>
      <c r="Q659" s="3" t="str">
        <f>VLOOKUP(A659,Posters!A659:B1658,2)</f>
        <v>https://m.media-amazon.com/images/M/MV5BNTA5ZjdjNWUtZGUwNy00N2RhLWJiZmItYzFhYjU1NmYxNjY4XkEyXkFqcGdeQXVyMTQxNzMzNDI@._V1_UX67_CR0,0,67,98_AL_.jpg</v>
      </c>
    </row>
    <row r="660">
      <c r="A660" s="1">
        <v>659.0</v>
      </c>
      <c r="B660" s="1" t="s">
        <v>3976</v>
      </c>
      <c r="C660" s="2">
        <v>9170214.0</v>
      </c>
      <c r="D660" s="1">
        <v>1993.0</v>
      </c>
      <c r="E660" s="1" t="s">
        <v>52</v>
      </c>
      <c r="F660" s="1" t="s">
        <v>240</v>
      </c>
      <c r="G660" s="1" t="s">
        <v>20</v>
      </c>
      <c r="H660" s="1">
        <v>7.8</v>
      </c>
      <c r="I660" s="1" t="s">
        <v>3977</v>
      </c>
      <c r="J660" s="1">
        <v>73.0</v>
      </c>
      <c r="K660" s="1" t="s">
        <v>1582</v>
      </c>
      <c r="L660" s="1" t="s">
        <v>2451</v>
      </c>
      <c r="M660" s="1" t="s">
        <v>90</v>
      </c>
      <c r="N660" s="1" t="s">
        <v>3978</v>
      </c>
      <c r="O660" s="1" t="s">
        <v>2203</v>
      </c>
      <c r="P660" s="1">
        <v>215034.0</v>
      </c>
      <c r="Q660" s="3" t="str">
        <f>VLOOKUP(A660,Posters!A660:B1659,2)</f>
        <v>https://m.media-amazon.com/images/M/MV5BY2EyZDlhNjItODYzNi00Mzc3LWJjOWUtMTViODU5MTExZWMyL2ltYWdlXkEyXkFqcGdeQXVyMTQxNzMzNDI@._V1_UX67_CR0,0,67,98_AL_.jpg</v>
      </c>
    </row>
    <row r="661">
      <c r="A661" s="1">
        <v>660.0</v>
      </c>
      <c r="B661" s="1" t="s">
        <v>3979</v>
      </c>
      <c r="C661" s="2">
        <v>5.6505065E7</v>
      </c>
      <c r="D661" s="1">
        <v>1993.0</v>
      </c>
      <c r="E661" s="1" t="s">
        <v>212</v>
      </c>
      <c r="F661" s="1" t="s">
        <v>195</v>
      </c>
      <c r="G661" s="1" t="s">
        <v>458</v>
      </c>
      <c r="H661" s="1">
        <v>7.8</v>
      </c>
      <c r="I661" s="1" t="s">
        <v>3980</v>
      </c>
      <c r="J661" s="1">
        <v>50.0</v>
      </c>
      <c r="K661" s="1" t="s">
        <v>3981</v>
      </c>
      <c r="L661" s="1" t="s">
        <v>3982</v>
      </c>
      <c r="M661" s="1" t="s">
        <v>1846</v>
      </c>
      <c r="N661" s="1" t="s">
        <v>1177</v>
      </c>
      <c r="O661" s="1" t="s">
        <v>3983</v>
      </c>
      <c r="P661" s="1">
        <v>126871.0</v>
      </c>
      <c r="Q661" s="3" t="str">
        <f>VLOOKUP(A661,Posters!A661:B1660,2)</f>
        <v>https://m.media-amazon.com/images/M/MV5BODRkYzA4MGItODE2MC00ZjkwLWI2NDEtYzU1NzFiZGU1YzA0XkEyXkFqcGdeQXVyNTAyODkwOQ@@._V1_UX67_CR0,0,67,98_AL_.jpg</v>
      </c>
    </row>
    <row r="662">
      <c r="A662" s="1">
        <v>661.0</v>
      </c>
      <c r="B662" s="1" t="s">
        <v>3984</v>
      </c>
      <c r="C662" s="2">
        <v>3.2416586E7</v>
      </c>
      <c r="D662" s="1">
        <v>1993.0</v>
      </c>
      <c r="E662" s="1" t="s">
        <v>52</v>
      </c>
      <c r="F662" s="1" t="s">
        <v>535</v>
      </c>
      <c r="G662" s="1" t="s">
        <v>416</v>
      </c>
      <c r="H662" s="1">
        <v>7.8</v>
      </c>
      <c r="I662" s="1" t="s">
        <v>3985</v>
      </c>
      <c r="J662" s="1">
        <v>55.0</v>
      </c>
      <c r="K662" s="1" t="s">
        <v>3986</v>
      </c>
      <c r="L662" s="1" t="s">
        <v>3987</v>
      </c>
      <c r="M662" s="1" t="s">
        <v>3988</v>
      </c>
      <c r="N662" s="1" t="s">
        <v>3989</v>
      </c>
      <c r="O662" s="1" t="s">
        <v>3990</v>
      </c>
      <c r="P662" s="1">
        <v>78963.0</v>
      </c>
      <c r="Q662" s="3" t="str">
        <f>VLOOKUP(A662,Posters!A662:B1661,2)</f>
        <v>https://m.media-amazon.com/images/M/MV5BODllYjM1ODItYjBmOC00MzkwLWJmM2YtMjMyZDU3MGJhNjc4L2ltYWdlL2ltYWdlXkEyXkFqcGdeQXVyMTQxNzMzNDI@._V1_UX67_CR0,0,67,98_AL_.jpg</v>
      </c>
    </row>
    <row r="663">
      <c r="A663" s="1">
        <v>662.0</v>
      </c>
      <c r="B663" s="1" t="s">
        <v>3991</v>
      </c>
      <c r="C663" s="2">
        <v>2.2954968E7</v>
      </c>
      <c r="D663" s="1">
        <v>1993.0</v>
      </c>
      <c r="E663" s="1" t="s">
        <v>52</v>
      </c>
      <c r="F663" s="1" t="s">
        <v>550</v>
      </c>
      <c r="G663" s="1" t="s">
        <v>107</v>
      </c>
      <c r="H663" s="1">
        <v>7.8</v>
      </c>
      <c r="I663" s="1" t="s">
        <v>3992</v>
      </c>
      <c r="J663" s="1">
        <v>84.0</v>
      </c>
      <c r="K663" s="1" t="s">
        <v>3993</v>
      </c>
      <c r="L663" s="1" t="s">
        <v>245</v>
      </c>
      <c r="M663" s="1" t="s">
        <v>3994</v>
      </c>
      <c r="N663" s="1" t="s">
        <v>3995</v>
      </c>
      <c r="O663" s="1" t="s">
        <v>3996</v>
      </c>
      <c r="P663" s="1">
        <v>66065.0</v>
      </c>
      <c r="Q663" s="3" t="str">
        <f>VLOOKUP(A663,Posters!A663:B1662,2)</f>
        <v>https://m.media-amazon.com/images/M/MV5BNDYwOThlMDAtYWUwMS00MjY5LTliMGUtZWFiYTA5MjYwZDAyXkEyXkFqcGdeQXVyNjY1NTQ0NDg@._V1_UX67_CR0,0,67,98_AL_.jpg</v>
      </c>
    </row>
    <row r="664">
      <c r="A664" s="1">
        <v>663.0</v>
      </c>
      <c r="B664" s="1" t="s">
        <v>3997</v>
      </c>
      <c r="C664" s="2">
        <v>1769305.0</v>
      </c>
      <c r="D664" s="1">
        <v>1993.0</v>
      </c>
      <c r="E664" s="1" t="s">
        <v>212</v>
      </c>
      <c r="F664" s="1" t="s">
        <v>170</v>
      </c>
      <c r="G664" s="1" t="s">
        <v>507</v>
      </c>
      <c r="H664" s="1">
        <v>7.8</v>
      </c>
      <c r="I664" s="1" t="s">
        <v>3998</v>
      </c>
      <c r="J664" s="1">
        <v>84.0</v>
      </c>
      <c r="K664" s="1" t="s">
        <v>2539</v>
      </c>
      <c r="L664" s="1" t="s">
        <v>3772</v>
      </c>
      <c r="M664" s="1" t="s">
        <v>3999</v>
      </c>
      <c r="N664" s="1" t="s">
        <v>3971</v>
      </c>
      <c r="O664" s="1" t="s">
        <v>4000</v>
      </c>
      <c r="P664" s="1">
        <v>34635.0</v>
      </c>
      <c r="Q664" s="3" t="str">
        <f>VLOOKUP(A664,Posters!A664:B1663,2)</f>
        <v>https://m.media-amazon.com/images/M/MV5BMjA3Y2I4NjAtMDQyZS00ZGJhLWEwMzgtODBiNzE5Zjc1Nzk1L2ltYWdlXkEyXkFqcGdeQXVyNTc2MDU0NDE@._V1_UX67_CR0,0,67,98_AL_.jpg</v>
      </c>
    </row>
    <row r="665">
      <c r="A665" s="1">
        <v>664.0</v>
      </c>
      <c r="B665" s="1" t="s">
        <v>4001</v>
      </c>
      <c r="C665" s="2">
        <v>1.8387576E8</v>
      </c>
      <c r="D665" s="1">
        <v>1993.0</v>
      </c>
      <c r="E665" s="1" t="s">
        <v>52</v>
      </c>
      <c r="F665" s="1" t="s">
        <v>195</v>
      </c>
      <c r="G665" s="1" t="s">
        <v>39</v>
      </c>
      <c r="H665" s="1">
        <v>7.8</v>
      </c>
      <c r="I665" s="1" t="s">
        <v>4002</v>
      </c>
      <c r="J665" s="1">
        <v>87.0</v>
      </c>
      <c r="K665" s="1" t="s">
        <v>4003</v>
      </c>
      <c r="L665" s="1" t="s">
        <v>149</v>
      </c>
      <c r="M665" s="1" t="s">
        <v>1614</v>
      </c>
      <c r="N665" s="1" t="s">
        <v>4004</v>
      </c>
      <c r="O665" s="1" t="s">
        <v>1728</v>
      </c>
      <c r="P665" s="1">
        <v>267684.0</v>
      </c>
      <c r="Q665" s="3" t="str">
        <f>VLOOKUP(A665,Posters!A665:B1664,2)</f>
        <v>https://m.media-amazon.com/images/M/MV5BYmFmOGZjYTItYjY1ZS00OWRiLTk0NDgtMjQ5MzBkYWE2YWE0XkEyXkFqcGdeQXVyNjU0OTQ0OTY@._V1_UX67_CR0,0,67,98_AL_.jpg</v>
      </c>
    </row>
    <row r="666">
      <c r="A666" s="1">
        <v>665.0</v>
      </c>
      <c r="B666" s="1" t="s">
        <v>4005</v>
      </c>
      <c r="C666" s="2">
        <v>1.7266971E7</v>
      </c>
      <c r="D666" s="1">
        <v>1993.0</v>
      </c>
      <c r="E666" s="1" t="s">
        <v>212</v>
      </c>
      <c r="F666" s="1" t="s">
        <v>249</v>
      </c>
      <c r="G666" s="1" t="s">
        <v>2372</v>
      </c>
      <c r="H666" s="1">
        <v>7.8</v>
      </c>
      <c r="I666" s="1" t="s">
        <v>4006</v>
      </c>
      <c r="J666" s="1">
        <v>80.0</v>
      </c>
      <c r="K666" s="1" t="s">
        <v>49</v>
      </c>
      <c r="L666" s="1" t="s">
        <v>49</v>
      </c>
      <c r="M666" s="1" t="s">
        <v>340</v>
      </c>
      <c r="N666" s="1" t="s">
        <v>4007</v>
      </c>
      <c r="O666" s="1" t="s">
        <v>4008</v>
      </c>
      <c r="P666" s="1">
        <v>128171.0</v>
      </c>
      <c r="Q666" s="3" t="str">
        <f>VLOOKUP(A666,Posters!A666:B1665,2)</f>
        <v>https://m.media-amazon.com/images/M/MV5BMTczOTczNjE3Ml5BMl5BanBnXkFtZTgwODEzMzg5MTI@._V1_UX67_CR0,0,67,98_AL_.jpg</v>
      </c>
    </row>
    <row r="667">
      <c r="A667" s="1">
        <v>666.0</v>
      </c>
      <c r="B667" s="1" t="s">
        <v>4009</v>
      </c>
      <c r="C667" s="2">
        <v>5617391.0</v>
      </c>
      <c r="D667" s="1">
        <v>1993.0</v>
      </c>
      <c r="E667" s="1" t="s">
        <v>270</v>
      </c>
      <c r="F667" s="1" t="s">
        <v>2137</v>
      </c>
      <c r="G667" s="1" t="s">
        <v>2551</v>
      </c>
      <c r="H667" s="1">
        <v>7.8</v>
      </c>
      <c r="I667" s="1" t="s">
        <v>4010</v>
      </c>
      <c r="K667" s="1" t="s">
        <v>4011</v>
      </c>
      <c r="L667" s="1" t="s">
        <v>4012</v>
      </c>
      <c r="M667" s="1" t="s">
        <v>4013</v>
      </c>
      <c r="N667" s="1" t="s">
        <v>4014</v>
      </c>
      <c r="O667" s="1" t="s">
        <v>4015</v>
      </c>
      <c r="P667" s="1">
        <v>43690.0</v>
      </c>
      <c r="Q667" s="3" t="str">
        <f>VLOOKUP(A667,Posters!A667:B1666,2)</f>
        <v>https://m.media-amazon.com/images/M/MV5BYTRiMWM3MGItNjAxZC00M2E3LThhODgtM2QwOGNmZGU4OWZhXkEyXkFqcGdeQXVyNjExODE1MDc@._V1_UX67_CR0,0,67,98_AL_.jpg</v>
      </c>
    </row>
    <row r="668">
      <c r="A668" s="1">
        <v>667.0</v>
      </c>
      <c r="B668" s="1" t="s">
        <v>4016</v>
      </c>
      <c r="C668" s="2">
        <v>4500000.0</v>
      </c>
      <c r="D668" s="1">
        <v>1992.0</v>
      </c>
      <c r="E668" s="1" t="s">
        <v>212</v>
      </c>
      <c r="F668" s="1" t="s">
        <v>878</v>
      </c>
      <c r="G668" s="1" t="s">
        <v>2169</v>
      </c>
      <c r="H668" s="1">
        <v>7.8</v>
      </c>
      <c r="I668" s="1" t="s">
        <v>4017</v>
      </c>
      <c r="K668" s="1" t="s">
        <v>4018</v>
      </c>
      <c r="L668" s="1" t="s">
        <v>3912</v>
      </c>
      <c r="M668" s="1" t="s">
        <v>1732</v>
      </c>
      <c r="N668" s="1" t="s">
        <v>4019</v>
      </c>
      <c r="O668" s="1" t="s">
        <v>4020</v>
      </c>
      <c r="P668" s="1">
        <v>46700.0</v>
      </c>
      <c r="Q668" s="3" t="str">
        <f>VLOOKUP(A668,Posters!A668:B1667,2)</f>
        <v>https://m.media-amazon.com/images/M/MV5BOTIzZGU4ZWMtYmNjMy00NzU0LTljMGYtZmVkMDYwN2U2MzYwL2ltYWdlXkEyXkFqcGdeQXVyNTAyODkwOQ@@._V1_UX67_CR0,0,67,98_AL_.jpg</v>
      </c>
    </row>
    <row r="669">
      <c r="A669" s="1">
        <v>668.0</v>
      </c>
      <c r="B669" s="1" t="s">
        <v>4021</v>
      </c>
      <c r="C669" s="2">
        <v>2015810.0</v>
      </c>
      <c r="D669" s="1">
        <v>1991.0</v>
      </c>
      <c r="E669" s="1" t="s">
        <v>212</v>
      </c>
      <c r="F669" s="1" t="s">
        <v>830</v>
      </c>
      <c r="G669" s="1" t="s">
        <v>507</v>
      </c>
      <c r="H669" s="1">
        <v>7.8</v>
      </c>
      <c r="I669" s="1" t="s">
        <v>4022</v>
      </c>
      <c r="J669" s="1">
        <v>68.0</v>
      </c>
      <c r="K669" s="1" t="s">
        <v>4023</v>
      </c>
      <c r="L669" s="1" t="s">
        <v>2331</v>
      </c>
      <c r="M669" s="1" t="s">
        <v>2347</v>
      </c>
      <c r="N669" s="1" t="s">
        <v>4024</v>
      </c>
      <c r="O669" s="1" t="s">
        <v>4025</v>
      </c>
      <c r="P669" s="1">
        <v>55362.0</v>
      </c>
      <c r="Q669" s="3" t="str">
        <f>VLOOKUP(A669,Posters!A669:B1668,2)</f>
        <v>https://m.media-amazon.com/images/M/MV5BOGNmMjBmZWEtOWYwZC00NGIzLTg0YWItMzkzMWMwOTU4YTViXkEyXkFqcGdeQXVyNzc5MjA3OA@@._V1_UX67_CR0,0,67,98_AL_.jpg</v>
      </c>
    </row>
    <row r="670">
      <c r="A670" s="1">
        <v>669.0</v>
      </c>
      <c r="B670" s="1" t="s">
        <v>4026</v>
      </c>
      <c r="C670" s="2">
        <v>1999955.0</v>
      </c>
      <c r="D670" s="1">
        <v>1991.0</v>
      </c>
      <c r="E670" s="1" t="s">
        <v>212</v>
      </c>
      <c r="F670" s="1" t="s">
        <v>519</v>
      </c>
      <c r="G670" s="1" t="s">
        <v>1850</v>
      </c>
      <c r="H670" s="1">
        <v>7.8</v>
      </c>
      <c r="I670" s="1" t="s">
        <v>4027</v>
      </c>
      <c r="J670" s="1">
        <v>86.0</v>
      </c>
      <c r="K670" s="1" t="s">
        <v>1771</v>
      </c>
      <c r="L670" s="1" t="s">
        <v>1772</v>
      </c>
      <c r="M670" s="1" t="s">
        <v>4028</v>
      </c>
      <c r="N670" s="1" t="s">
        <v>4029</v>
      </c>
      <c r="O670" s="1" t="s">
        <v>4030</v>
      </c>
      <c r="P670" s="1">
        <v>42376.0</v>
      </c>
      <c r="Q670" s="3" t="str">
        <f>VLOOKUP(A670,Posters!A670:B1669,2)</f>
        <v>https://m.media-amazon.com/images/M/MV5BYmE0ZGRiMDgtOTU0ZS00YWUwLTk5YWQtMzhiZGVhNzViMGZiXkEyXkFqcGdeQXVyMTMxODk2OTU@._V1_UX67_CR0,0,67,98_AL_.jpg</v>
      </c>
    </row>
    <row r="671">
      <c r="A671" s="1">
        <v>670.0</v>
      </c>
      <c r="B671" s="1" t="s">
        <v>4031</v>
      </c>
      <c r="C671" s="2">
        <v>5.7504069E7</v>
      </c>
      <c r="D671" s="1">
        <v>1991.0</v>
      </c>
      <c r="E671" s="1" t="s">
        <v>18</v>
      </c>
      <c r="F671" s="1" t="s">
        <v>295</v>
      </c>
      <c r="G671" s="1" t="s">
        <v>29</v>
      </c>
      <c r="H671" s="1">
        <v>7.8</v>
      </c>
      <c r="I671" s="1" t="s">
        <v>4032</v>
      </c>
      <c r="J671" s="1">
        <v>76.0</v>
      </c>
      <c r="K671" s="1" t="s">
        <v>4033</v>
      </c>
      <c r="L671" s="1" t="s">
        <v>4034</v>
      </c>
      <c r="M671" s="1" t="s">
        <v>133</v>
      </c>
      <c r="N671" s="1" t="s">
        <v>4035</v>
      </c>
      <c r="O671" s="1" t="s">
        <v>4036</v>
      </c>
      <c r="P671" s="1">
        <v>126082.0</v>
      </c>
      <c r="Q671" s="3" t="str">
        <f>VLOOKUP(A671,Posters!A671:B1670,2)</f>
        <v>https://m.media-amazon.com/images/M/MV5BZmRjNDI5NTgtOTIwMC00MzJhLWI4ZTYtMmU0ZTE3ZmRkZDNhXkEyXkFqcGdeQXVyMTQxNzMzNDI@._V1_UX67_CR0,0,67,98_AL_.jpg</v>
      </c>
    </row>
    <row r="672">
      <c r="A672" s="1">
        <v>671.0</v>
      </c>
      <c r="B672" s="1" t="s">
        <v>4037</v>
      </c>
      <c r="C672" s="2">
        <v>6.1276872E7</v>
      </c>
      <c r="D672" s="1">
        <v>1990.0</v>
      </c>
      <c r="E672" s="1" t="s">
        <v>212</v>
      </c>
      <c r="F672" s="1" t="s">
        <v>907</v>
      </c>
      <c r="G672" s="1" t="s">
        <v>1377</v>
      </c>
      <c r="H672" s="1">
        <v>7.8</v>
      </c>
      <c r="I672" s="1" t="s">
        <v>4038</v>
      </c>
      <c r="J672" s="1">
        <v>75.0</v>
      </c>
      <c r="K672" s="1" t="s">
        <v>1815</v>
      </c>
      <c r="L672" s="1" t="s">
        <v>34</v>
      </c>
      <c r="M672" s="1" t="s">
        <v>3951</v>
      </c>
      <c r="N672" s="1" t="s">
        <v>2494</v>
      </c>
      <c r="O672" s="1" t="s">
        <v>4039</v>
      </c>
      <c r="P672" s="1">
        <v>184740.0</v>
      </c>
      <c r="Q672" s="3" t="str">
        <f>VLOOKUP(A672,Posters!A672:B1671,2)</f>
        <v>https://m.media-amazon.com/images/M/MV5BNzY0ODQ3MTMxN15BMl5BanBnXkFtZTgwMDkwNTg4NjE@._V1_UX67_CR0,0,67,98_AL_.jpg</v>
      </c>
    </row>
    <row r="673">
      <c r="A673" s="1">
        <v>672.0</v>
      </c>
      <c r="B673" s="1" t="s">
        <v>4040</v>
      </c>
      <c r="C673" s="2">
        <v>5.2096475E7</v>
      </c>
      <c r="D673" s="1">
        <v>1990.0</v>
      </c>
      <c r="E673" s="1" t="s">
        <v>52</v>
      </c>
      <c r="F673" s="1" t="s">
        <v>249</v>
      </c>
      <c r="G673" s="1" t="s">
        <v>1148</v>
      </c>
      <c r="H673" s="1">
        <v>7.8</v>
      </c>
      <c r="I673" s="1" t="s">
        <v>4041</v>
      </c>
      <c r="J673" s="1">
        <v>74.0</v>
      </c>
      <c r="K673" s="1" t="s">
        <v>4042</v>
      </c>
      <c r="L673" s="1" t="s">
        <v>49</v>
      </c>
      <c r="M673" s="1" t="s">
        <v>752</v>
      </c>
      <c r="N673" s="1" t="s">
        <v>4043</v>
      </c>
      <c r="O673" s="1" t="s">
        <v>4044</v>
      </c>
      <c r="P673" s="1">
        <v>125276.0</v>
      </c>
      <c r="Q673" s="3" t="str">
        <f>VLOOKUP(A673,Posters!A673:B1672,2)</f>
        <v>https://m.media-amazon.com/images/M/MV5BMjI5NjEzMDYyMl5BMl5BanBnXkFtZTgwNjgwNTg4NjE@._V1_UY98_CR3,0,67,98_AL_.jpg</v>
      </c>
    </row>
    <row r="674">
      <c r="A674" s="1">
        <v>673.0</v>
      </c>
      <c r="B674" s="1" t="s">
        <v>4045</v>
      </c>
      <c r="C674" s="2">
        <v>1.0151019E7</v>
      </c>
      <c r="D674" s="1">
        <v>1989.0</v>
      </c>
      <c r="E674" s="1" t="s">
        <v>52</v>
      </c>
      <c r="F674" s="1" t="s">
        <v>885</v>
      </c>
      <c r="G674" s="1" t="s">
        <v>352</v>
      </c>
      <c r="H674" s="1">
        <v>7.8</v>
      </c>
      <c r="I674" s="1" t="s">
        <v>4046</v>
      </c>
      <c r="J674" s="1">
        <v>83.0</v>
      </c>
      <c r="K674" s="1" t="s">
        <v>206</v>
      </c>
      <c r="L674" s="1" t="s">
        <v>4047</v>
      </c>
      <c r="M674" s="1" t="s">
        <v>4048</v>
      </c>
      <c r="N674" s="1" t="s">
        <v>4049</v>
      </c>
      <c r="O674" s="1" t="s">
        <v>4050</v>
      </c>
      <c r="P674" s="1">
        <v>124193.0</v>
      </c>
      <c r="Q674" s="3" t="str">
        <f>VLOOKUP(A674,Posters!A674:B1673,2)</f>
        <v>https://m.media-amazon.com/images/M/MV5BOTc0ODM1Njk1NF5BMl5BanBnXkFtZTcwMDI5OTEyNw@@._V1_UY98_CR1,0,67,98_AL_.jpg</v>
      </c>
    </row>
    <row r="675">
      <c r="A675" s="1">
        <v>674.0</v>
      </c>
      <c r="B675" s="1" t="s">
        <v>4051</v>
      </c>
      <c r="C675" s="2">
        <v>2.683E7</v>
      </c>
      <c r="D675" s="1">
        <v>1989.0</v>
      </c>
      <c r="E675" s="1" t="s">
        <v>212</v>
      </c>
      <c r="F675" s="1" t="s">
        <v>279</v>
      </c>
      <c r="G675" s="1" t="s">
        <v>79</v>
      </c>
      <c r="H675" s="1">
        <v>7.8</v>
      </c>
      <c r="I675" s="1" t="s">
        <v>4052</v>
      </c>
      <c r="J675" s="1">
        <v>78.0</v>
      </c>
      <c r="K675" s="1" t="s">
        <v>2362</v>
      </c>
      <c r="L675" s="1" t="s">
        <v>356</v>
      </c>
      <c r="M675" s="1" t="s">
        <v>3799</v>
      </c>
      <c r="N675" s="1" t="s">
        <v>2631</v>
      </c>
      <c r="O675" s="1" t="s">
        <v>24</v>
      </c>
      <c r="P675" s="1">
        <v>122779.0</v>
      </c>
      <c r="Q675" s="3" t="str">
        <f>VLOOKUP(A675,Posters!A675:B1674,2)</f>
        <v>https://m.media-amazon.com/images/M/MV5BODhlNjA5MDEtZDVhNS00ZmM3LTg1YzAtZGRjNjhjNTAzNzVkXkEyXkFqcGdeQXVyNjUwMzI2NzU@._V1_UY98_CR0,0,67,98_AL_.jpg</v>
      </c>
    </row>
    <row r="676">
      <c r="A676" s="1">
        <v>675.0</v>
      </c>
      <c r="B676" s="1" t="s">
        <v>4053</v>
      </c>
      <c r="C676" s="2">
        <v>2340425.0</v>
      </c>
      <c r="D676" s="1">
        <v>1989.0</v>
      </c>
      <c r="E676" s="1" t="s">
        <v>212</v>
      </c>
      <c r="F676" s="1" t="s">
        <v>1663</v>
      </c>
      <c r="G676" s="1" t="s">
        <v>39</v>
      </c>
      <c r="H676" s="1">
        <v>7.8</v>
      </c>
      <c r="I676" s="1" t="s">
        <v>4054</v>
      </c>
      <c r="J676" s="1">
        <v>82.0</v>
      </c>
      <c r="K676" s="1" t="s">
        <v>4018</v>
      </c>
      <c r="L676" s="1" t="s">
        <v>3912</v>
      </c>
      <c r="M676" s="1" t="s">
        <v>4055</v>
      </c>
      <c r="N676" s="1" t="s">
        <v>4056</v>
      </c>
      <c r="O676" s="1" t="s">
        <v>4057</v>
      </c>
      <c r="P676" s="1">
        <v>45624.0</v>
      </c>
      <c r="Q676" s="3" t="str">
        <f>VLOOKUP(A676,Posters!A676:B1675,2)</f>
        <v>https://m.media-amazon.com/images/M/MV5BMDQyMDVhZjItMGI0Mi00MDQ1LTk3NmQtZmRjZGQ5ZTQ2ZDU5XkEyXkFqcGdeQXVyNTAyODkwOQ@@._V1_UX67_CR0,0,67,98_AL_.jpg</v>
      </c>
    </row>
    <row r="677">
      <c r="A677" s="1">
        <v>676.0</v>
      </c>
      <c r="B677" s="1" t="s">
        <v>4058</v>
      </c>
      <c r="C677" s="2">
        <v>1.185E8</v>
      </c>
      <c r="D677" s="1">
        <v>1989.0</v>
      </c>
      <c r="E677" s="1" t="s">
        <v>52</v>
      </c>
      <c r="F677" s="1" t="s">
        <v>714</v>
      </c>
      <c r="G677" s="1" t="s">
        <v>383</v>
      </c>
      <c r="H677" s="1">
        <v>7.8</v>
      </c>
      <c r="I677" s="1" t="s">
        <v>4059</v>
      </c>
      <c r="J677" s="1">
        <v>57.0</v>
      </c>
      <c r="K677" s="1" t="s">
        <v>109</v>
      </c>
      <c r="L677" s="1" t="s">
        <v>385</v>
      </c>
      <c r="M677" s="1" t="s">
        <v>386</v>
      </c>
      <c r="N677" s="1" t="s">
        <v>387</v>
      </c>
      <c r="O677" s="1" t="s">
        <v>4060</v>
      </c>
      <c r="P677" s="1">
        <v>481918.0</v>
      </c>
      <c r="Q677" s="3" t="str">
        <f>VLOOKUP(A677,Posters!A677:B1676,2)</f>
        <v>https://m.media-amazon.com/images/M/MV5BZTMxMGM5MjItNDJhNy00MWI2LWJlZWMtOWFhMjI5ZTQwMWM3XkEyXkFqcGdeQXVyMTQxNzMzNDI@._V1_UX67_CR0,0,67,98_AL_.jpg</v>
      </c>
    </row>
    <row r="678">
      <c r="A678" s="1">
        <v>677.0</v>
      </c>
      <c r="B678" s="1" t="s">
        <v>4061</v>
      </c>
      <c r="C678" s="2">
        <v>3.4603943E7</v>
      </c>
      <c r="D678" s="1">
        <v>1988.0</v>
      </c>
      <c r="E678" s="1" t="s">
        <v>18</v>
      </c>
      <c r="F678" s="1" t="s">
        <v>878</v>
      </c>
      <c r="G678" s="1" t="s">
        <v>4062</v>
      </c>
      <c r="H678" s="1">
        <v>7.8</v>
      </c>
      <c r="I678" s="1" t="s">
        <v>4063</v>
      </c>
      <c r="J678" s="1">
        <v>65.0</v>
      </c>
      <c r="K678" s="1" t="s">
        <v>1852</v>
      </c>
      <c r="L678" s="1" t="s">
        <v>1191</v>
      </c>
      <c r="M678" s="1" t="s">
        <v>1825</v>
      </c>
      <c r="N678" s="1" t="s">
        <v>972</v>
      </c>
      <c r="O678" s="1" t="s">
        <v>4064</v>
      </c>
      <c r="P678" s="1">
        <v>88214.0</v>
      </c>
      <c r="Q678" s="3" t="str">
        <f>VLOOKUP(A678,Posters!A678:B1677,2)</f>
        <v>https://m.media-amazon.com/images/M/MV5BZTFjNjU4OTktYzljMS00MmFlLWI3NGEtNjNhMTYwYzUyZDgyL2ltYWdlL2ltYWdlXkEyXkFqcGdeQXVyNjU0OTQ0OTY@._V1_UX67_CR0,0,67,98_AL_.jpg</v>
      </c>
    </row>
    <row r="679">
      <c r="A679" s="1">
        <v>678.0</v>
      </c>
      <c r="B679" s="1" t="s">
        <v>4065</v>
      </c>
      <c r="C679" s="2">
        <v>5.9735548E7</v>
      </c>
      <c r="D679" s="1">
        <v>1987.0</v>
      </c>
      <c r="E679" s="1" t="s">
        <v>18</v>
      </c>
      <c r="F679" s="1" t="s">
        <v>907</v>
      </c>
      <c r="G679" s="1" t="s">
        <v>88</v>
      </c>
      <c r="H679" s="1">
        <v>7.8</v>
      </c>
      <c r="I679" s="1" t="s">
        <v>4066</v>
      </c>
      <c r="J679" s="1">
        <v>45.0</v>
      </c>
      <c r="K679" s="1" t="s">
        <v>1216</v>
      </c>
      <c r="L679" s="1" t="s">
        <v>363</v>
      </c>
      <c r="M679" s="1" t="s">
        <v>1896</v>
      </c>
      <c r="N679" s="1" t="s">
        <v>4067</v>
      </c>
      <c r="O679" s="1" t="s">
        <v>4068</v>
      </c>
      <c r="P679" s="1">
        <v>371387.0</v>
      </c>
      <c r="Q679" s="3" t="str">
        <f>VLOOKUP(A679,Posters!A679:B1678,2)</f>
        <v>https://m.media-amazon.com/images/M/MV5BY2QwYmFmZTEtNzY2Mi00ZWMyLWEwY2YtMGIyNGZjMWExOWEyXkEyXkFqcGdeQXVyNjUwNzk3NDc@._V1_UX67_CR0,0,67,98_AL_.jpg</v>
      </c>
    </row>
    <row r="680">
      <c r="A680" s="1">
        <v>679.0</v>
      </c>
      <c r="B680" s="1" t="s">
        <v>4069</v>
      </c>
      <c r="C680" s="2">
        <v>5923044.0</v>
      </c>
      <c r="D680" s="1">
        <v>1987.0</v>
      </c>
      <c r="E680" s="1" t="s">
        <v>18</v>
      </c>
      <c r="F680" s="1" t="s">
        <v>2598</v>
      </c>
      <c r="G680" s="1" t="s">
        <v>4070</v>
      </c>
      <c r="H680" s="1">
        <v>7.8</v>
      </c>
      <c r="I680" s="1" t="s">
        <v>4071</v>
      </c>
      <c r="J680" s="1">
        <v>72.0</v>
      </c>
      <c r="K680" s="1" t="s">
        <v>4072</v>
      </c>
      <c r="L680" s="1" t="s">
        <v>4073</v>
      </c>
      <c r="M680" s="1" t="s">
        <v>4074</v>
      </c>
      <c r="N680" s="1" t="s">
        <v>4075</v>
      </c>
      <c r="O680" s="1" t="s">
        <v>4076</v>
      </c>
      <c r="P680" s="1">
        <v>148359.0</v>
      </c>
      <c r="Q680" s="3" t="str">
        <f>VLOOKUP(A680,Posters!A680:B1679,2)</f>
        <v>https://m.media-amazon.com/images/M/MV5BMWY3ODZlOGMtNzJmOS00ZTNjLWI3ZWEtZTJhZTk5NDZjYWRjXkEyXkFqcGdeQXVyNjU0OTQ0OTY@._V1_UX67_CR0,0,67,98_AL_.jpg</v>
      </c>
    </row>
    <row r="681">
      <c r="A681" s="1">
        <v>680.0</v>
      </c>
      <c r="B681" s="1" t="s">
        <v>4077</v>
      </c>
      <c r="C681" s="2">
        <v>7.0136369E7</v>
      </c>
      <c r="D681" s="1">
        <v>1986.0</v>
      </c>
      <c r="E681" s="1" t="s">
        <v>52</v>
      </c>
      <c r="F681" s="1" t="s">
        <v>885</v>
      </c>
      <c r="G681" s="1" t="s">
        <v>602</v>
      </c>
      <c r="H681" s="1">
        <v>7.8</v>
      </c>
      <c r="I681" s="1" t="s">
        <v>4078</v>
      </c>
      <c r="J681" s="1">
        <v>61.0</v>
      </c>
      <c r="K681" s="1" t="s">
        <v>4079</v>
      </c>
      <c r="L681" s="1" t="s">
        <v>356</v>
      </c>
      <c r="M681" s="1" t="s">
        <v>4080</v>
      </c>
      <c r="N681" s="1" t="s">
        <v>4081</v>
      </c>
      <c r="O681" s="1" t="s">
        <v>4082</v>
      </c>
      <c r="P681" s="1">
        <v>321382.0</v>
      </c>
      <c r="Q681" s="3" t="str">
        <f>VLOOKUP(A681,Posters!A681:B1680,2)</f>
        <v>https://m.media-amazon.com/images/M/MV5BMDA0NjZhZWUtNmI2NC00MmFjLTgwZDYtYzVjZmNhMDVmOTBkXkEyXkFqcGdeQXVyMTQxNzMzNDI@._V1_UX67_CR0,0,67,98_AL_.jpg</v>
      </c>
    </row>
    <row r="682">
      <c r="A682" s="1">
        <v>681.0</v>
      </c>
      <c r="B682" s="1" t="s">
        <v>4083</v>
      </c>
      <c r="C682" s="2">
        <v>1436000.0</v>
      </c>
      <c r="D682" s="1">
        <v>1986.0</v>
      </c>
      <c r="E682" s="1" t="s">
        <v>212</v>
      </c>
      <c r="F682" s="1" t="s">
        <v>907</v>
      </c>
      <c r="G682" s="1" t="s">
        <v>831</v>
      </c>
      <c r="H682" s="1">
        <v>7.8</v>
      </c>
      <c r="I682" s="1" t="s">
        <v>4084</v>
      </c>
      <c r="J682" s="1">
        <v>75.0</v>
      </c>
      <c r="K682" s="1" t="s">
        <v>4023</v>
      </c>
      <c r="L682" s="1" t="s">
        <v>4085</v>
      </c>
      <c r="M682" s="1" t="s">
        <v>4086</v>
      </c>
      <c r="N682" s="1" t="s">
        <v>229</v>
      </c>
      <c r="O682" s="1" t="s">
        <v>230</v>
      </c>
      <c r="P682" s="1">
        <v>47834.0</v>
      </c>
      <c r="Q682" s="3" t="str">
        <f>VLOOKUP(A682,Posters!A682:B1681,2)</f>
        <v>https://m.media-amazon.com/images/M/MV5BM2ZmNDJiZTUtYjg5Zi00M2I3LTliZjAtNzQ4NTlkYTAzYTAxXkEyXkFqcGdeQXVyNTkyMDc0MjI@._V1_UX67_CR0,0,67,98_AL_.jpg</v>
      </c>
    </row>
    <row r="683">
      <c r="A683" s="1">
        <v>682.0</v>
      </c>
      <c r="B683" s="1" t="s">
        <v>4087</v>
      </c>
      <c r="C683" s="2">
        <v>6.1503218E7</v>
      </c>
      <c r="D683" s="1">
        <v>1985.0</v>
      </c>
      <c r="E683" s="1" t="s">
        <v>52</v>
      </c>
      <c r="F683" s="1" t="s">
        <v>825</v>
      </c>
      <c r="G683" s="1" t="s">
        <v>3555</v>
      </c>
      <c r="H683" s="1">
        <v>7.8</v>
      </c>
      <c r="I683" s="1" t="s">
        <v>4088</v>
      </c>
      <c r="J683" s="1">
        <v>62.0</v>
      </c>
      <c r="K683" s="1" t="s">
        <v>4089</v>
      </c>
      <c r="L683" s="1" t="s">
        <v>4090</v>
      </c>
      <c r="M683" s="1" t="s">
        <v>1616</v>
      </c>
      <c r="N683" s="1" t="s">
        <v>4091</v>
      </c>
      <c r="O683" s="1" t="s">
        <v>1818</v>
      </c>
      <c r="P683" s="1">
        <v>244430.0</v>
      </c>
      <c r="Q683" s="3" t="str">
        <f>VLOOKUP(A683,Posters!A683:B1682,2)</f>
        <v>https://m.media-amazon.com/images/M/MV5BODRlMjRkZGEtZWM2Zi00ZjYxLWE0MWUtMmM1YWM2NzZlOTE1XkEyXkFqcGdeQXVyMTQxNzMzNDI@._V1_UX67_CR0,0,67,98_AL_.jpg</v>
      </c>
    </row>
    <row r="684">
      <c r="A684" s="1">
        <v>683.0</v>
      </c>
      <c r="B684" s="1" t="s">
        <v>4092</v>
      </c>
      <c r="C684" s="2">
        <v>9.8467863E7</v>
      </c>
      <c r="D684" s="1">
        <v>1985.0</v>
      </c>
      <c r="E684" s="1" t="s">
        <v>52</v>
      </c>
      <c r="F684" s="1" t="s">
        <v>70</v>
      </c>
      <c r="G684" s="1" t="s">
        <v>20</v>
      </c>
      <c r="H684" s="1">
        <v>7.8</v>
      </c>
      <c r="I684" s="1" t="s">
        <v>4093</v>
      </c>
      <c r="J684" s="1">
        <v>78.0</v>
      </c>
      <c r="K684" s="1" t="s">
        <v>81</v>
      </c>
      <c r="L684" s="1" t="s">
        <v>4094</v>
      </c>
      <c r="M684" s="1" t="s">
        <v>4095</v>
      </c>
      <c r="N684" s="1" t="s">
        <v>4096</v>
      </c>
      <c r="O684" s="1" t="s">
        <v>4097</v>
      </c>
      <c r="P684" s="1">
        <v>78321.0</v>
      </c>
      <c r="Q684" s="3" t="str">
        <f>VLOOKUP(A684,Posters!A684:B1683,2)</f>
        <v>https://m.media-amazon.com/images/M/MV5BZDRkOWQ5NGUtYTVmOS00ZjNhLWEwODgtOGI2MmUxNTBkMjU0XkEyXkFqcGdeQXVyMjUzOTY1NTc@._V1_UX67_CR0,0,67,98_AL_.jpg</v>
      </c>
    </row>
    <row r="685">
      <c r="A685" s="1">
        <v>684.0</v>
      </c>
      <c r="B685" s="1" t="s">
        <v>4098</v>
      </c>
      <c r="C685" s="2">
        <v>4.5875171E7</v>
      </c>
      <c r="D685" s="1">
        <v>1985.0</v>
      </c>
      <c r="E685" s="1" t="s">
        <v>37</v>
      </c>
      <c r="F685" s="1" t="s">
        <v>2864</v>
      </c>
      <c r="G685" s="1" t="s">
        <v>507</v>
      </c>
      <c r="H685" s="1">
        <v>7.8</v>
      </c>
      <c r="I685" s="1" t="s">
        <v>4099</v>
      </c>
      <c r="J685" s="1">
        <v>66.0</v>
      </c>
      <c r="K685" s="1" t="s">
        <v>4079</v>
      </c>
      <c r="L685" s="1" t="s">
        <v>4100</v>
      </c>
      <c r="M685" s="1" t="s">
        <v>4101</v>
      </c>
      <c r="N685" s="1" t="s">
        <v>4102</v>
      </c>
      <c r="O685" s="1" t="s">
        <v>4103</v>
      </c>
      <c r="P685" s="1">
        <v>357026.0</v>
      </c>
      <c r="Q685" s="3" t="str">
        <f>VLOOKUP(A685,Posters!A685:B1684,2)</f>
        <v>https://m.media-amazon.com/images/M/MV5BOTM5N2ZmZTMtNjlmOS00YzlkLTk3YjEtNTU1ZmQ5OTdhODZhXkEyXkFqcGdeQXVyMTQxNzMzNDI@._V1_UX67_CR0,0,67,98_AL_.jpg</v>
      </c>
    </row>
    <row r="686">
      <c r="A686" s="1">
        <v>685.0</v>
      </c>
      <c r="B686" s="1" t="s">
        <v>4104</v>
      </c>
      <c r="C686" s="2">
        <v>3.4700291E7</v>
      </c>
      <c r="D686" s="1">
        <v>1984.0</v>
      </c>
      <c r="E686" s="1" t="s">
        <v>37</v>
      </c>
      <c r="F686" s="1" t="s">
        <v>1672</v>
      </c>
      <c r="G686" s="1" t="s">
        <v>79</v>
      </c>
      <c r="H686" s="1">
        <v>7.8</v>
      </c>
      <c r="I686" s="1" t="s">
        <v>4105</v>
      </c>
      <c r="J686" s="1">
        <v>76.0</v>
      </c>
      <c r="K686" s="1" t="s">
        <v>4106</v>
      </c>
      <c r="L686" s="1" t="s">
        <v>4107</v>
      </c>
      <c r="M686" s="1" t="s">
        <v>4108</v>
      </c>
      <c r="N686" s="1" t="s">
        <v>4109</v>
      </c>
      <c r="O686" s="1" t="s">
        <v>4110</v>
      </c>
      <c r="P686" s="1">
        <v>51585.0</v>
      </c>
      <c r="Q686" s="3" t="str">
        <f>VLOOKUP(A686,Posters!A686:B1685,2)</f>
        <v>https://m.media-amazon.com/images/M/MV5BMGI0NzI5YjAtNTg0MS00NDA2LWE5ZWItODRmOTAxOTAxYjg2L2ltYWdlL2ltYWdlXkEyXkFqcGdeQXVyNTI4MjkwNjA@._V1_UX67_CR0,0,67,98_AL_.jpg</v>
      </c>
    </row>
    <row r="687">
      <c r="A687" s="1">
        <v>686.0</v>
      </c>
      <c r="B687" s="1" t="s">
        <v>4111</v>
      </c>
      <c r="C687" s="2">
        <v>2.38632124E8</v>
      </c>
      <c r="D687" s="1">
        <v>1984.0</v>
      </c>
      <c r="E687" s="1" t="s">
        <v>37</v>
      </c>
      <c r="F687" s="1" t="s">
        <v>487</v>
      </c>
      <c r="G687" s="1" t="s">
        <v>4070</v>
      </c>
      <c r="H687" s="1">
        <v>7.8</v>
      </c>
      <c r="I687" s="1" t="s">
        <v>4112</v>
      </c>
      <c r="J687" s="1">
        <v>71.0</v>
      </c>
      <c r="K687" s="1" t="s">
        <v>4113</v>
      </c>
      <c r="L687" s="1" t="s">
        <v>2569</v>
      </c>
      <c r="M687" s="1" t="s">
        <v>3311</v>
      </c>
      <c r="N687" s="1" t="s">
        <v>583</v>
      </c>
      <c r="O687" s="1" t="s">
        <v>2568</v>
      </c>
      <c r="P687" s="1">
        <v>355413.0</v>
      </c>
      <c r="Q687" s="3" t="str">
        <f>VLOOKUP(A687,Posters!A687:B1686,2)</f>
        <v>https://m.media-amazon.com/images/M/MV5BMTkxMjYyNzgwMl5BMl5BanBnXkFtZTgwMTE3MjYyMTE@._V1_UX67_CR0,0,67,98_AL_.jpg</v>
      </c>
    </row>
    <row r="688">
      <c r="A688" s="1">
        <v>687.0</v>
      </c>
      <c r="B688" s="1" t="s">
        <v>4114</v>
      </c>
      <c r="C688" s="2">
        <v>2.15E7</v>
      </c>
      <c r="D688" s="1">
        <v>1983.0</v>
      </c>
      <c r="E688" s="1" t="s">
        <v>270</v>
      </c>
      <c r="F688" s="1" t="s">
        <v>4115</v>
      </c>
      <c r="G688" s="1" t="s">
        <v>858</v>
      </c>
      <c r="H688" s="1">
        <v>7.8</v>
      </c>
      <c r="I688" s="1" t="s">
        <v>4116</v>
      </c>
      <c r="J688" s="1">
        <v>91.0</v>
      </c>
      <c r="K688" s="1" t="s">
        <v>4117</v>
      </c>
      <c r="L688" s="1" t="s">
        <v>4118</v>
      </c>
      <c r="M688" s="1" t="s">
        <v>4119</v>
      </c>
      <c r="N688" s="1" t="s">
        <v>1151</v>
      </c>
      <c r="O688" s="1" t="s">
        <v>4120</v>
      </c>
      <c r="P688" s="1">
        <v>56235.0</v>
      </c>
      <c r="Q688" s="3" t="str">
        <f>VLOOKUP(A688,Posters!A688:B1687,2)</f>
        <v>https://m.media-amazon.com/images/M/MV5BOTUwMDA3MTYtZjhjMi00ODFmLTg5ZTAtYzgwN2NlODgzMmUwXkEyXkFqcGdeQXVyNjc1NTYyMjg@._V1_UX67_CR0,0,67,98_AL_.jpg</v>
      </c>
    </row>
    <row r="689">
      <c r="A689" s="1">
        <v>688.0</v>
      </c>
      <c r="B689" s="1" t="s">
        <v>4121</v>
      </c>
      <c r="C689" s="2">
        <v>2500000.0</v>
      </c>
      <c r="D689" s="1">
        <v>1982.0</v>
      </c>
      <c r="E689" s="1" t="s">
        <v>52</v>
      </c>
      <c r="F689" s="1" t="s">
        <v>396</v>
      </c>
      <c r="G689" s="1" t="s">
        <v>831</v>
      </c>
      <c r="H689" s="1">
        <v>7.8</v>
      </c>
      <c r="I689" s="1" t="s">
        <v>4122</v>
      </c>
      <c r="J689" s="1">
        <v>73.0</v>
      </c>
      <c r="K689" s="1" t="s">
        <v>139</v>
      </c>
      <c r="L689" s="1" t="s">
        <v>49</v>
      </c>
      <c r="M689" s="1" t="s">
        <v>4123</v>
      </c>
      <c r="N689" s="1" t="s">
        <v>4124</v>
      </c>
      <c r="O689" s="1" t="s">
        <v>4125</v>
      </c>
      <c r="P689" s="1">
        <v>88511.0</v>
      </c>
      <c r="Q689" s="3" t="str">
        <f>VLOOKUP(A689,Posters!A689:B1688,2)</f>
        <v>https://m.media-amazon.com/images/M/MV5BMTViNjlkYjgtMmE3Zi00ZGVkLTkyMjMtNzc3YzAwNzNiODQ1XkEyXkFqcGdeQXVyMjA0MzYwMDY@._V1_UX67_CR0,0,67,98_AL_.jpg</v>
      </c>
    </row>
    <row r="690">
      <c r="A690" s="1">
        <v>689.0</v>
      </c>
      <c r="B690" s="1" t="s">
        <v>4126</v>
      </c>
      <c r="C690" s="2">
        <v>4.35110554E8</v>
      </c>
      <c r="D690" s="1">
        <v>1982.0</v>
      </c>
      <c r="E690" s="1" t="s">
        <v>52</v>
      </c>
      <c r="F690" s="1" t="s">
        <v>563</v>
      </c>
      <c r="G690" s="1" t="s">
        <v>4127</v>
      </c>
      <c r="H690" s="1">
        <v>7.8</v>
      </c>
      <c r="I690" s="1" t="s">
        <v>4128</v>
      </c>
      <c r="J690" s="1">
        <v>91.0</v>
      </c>
      <c r="K690" s="1" t="s">
        <v>81</v>
      </c>
      <c r="L690" s="1" t="s">
        <v>4129</v>
      </c>
      <c r="M690" s="1" t="s">
        <v>4130</v>
      </c>
      <c r="N690" s="1" t="s">
        <v>4131</v>
      </c>
      <c r="O690" s="1" t="s">
        <v>4132</v>
      </c>
      <c r="P690" s="1">
        <v>372490.0</v>
      </c>
      <c r="Q690" s="3" t="str">
        <f>VLOOKUP(A690,Posters!A690:B1689,2)</f>
        <v>https://m.media-amazon.com/images/M/MV5BMTQ2ODFlMDAtNzdhOC00ZDYzLWE3YTMtNDU4ZGFmZmJmYTczXkEyXkFqcGdeQXVyMTQxNzMzNDI@._V1_UX67_CR0,0,67,98_AL_.jpg</v>
      </c>
    </row>
    <row r="691">
      <c r="A691" s="1">
        <v>690.0</v>
      </c>
      <c r="B691" s="1" t="s">
        <v>4133</v>
      </c>
      <c r="C691" s="2">
        <v>1.0626E8</v>
      </c>
      <c r="D691" s="1">
        <v>1979.0</v>
      </c>
      <c r="E691" s="1" t="s">
        <v>18</v>
      </c>
      <c r="F691" s="1" t="s">
        <v>487</v>
      </c>
      <c r="G691" s="1" t="s">
        <v>20</v>
      </c>
      <c r="H691" s="1">
        <v>7.8</v>
      </c>
      <c r="I691" s="1" t="s">
        <v>4134</v>
      </c>
      <c r="J691" s="1">
        <v>77.0</v>
      </c>
      <c r="K691" s="1" t="s">
        <v>4135</v>
      </c>
      <c r="L691" s="1" t="s">
        <v>2618</v>
      </c>
      <c r="M691" s="1" t="s">
        <v>3136</v>
      </c>
      <c r="N691" s="1" t="s">
        <v>4136</v>
      </c>
      <c r="O691" s="1" t="s">
        <v>4137</v>
      </c>
      <c r="P691" s="1">
        <v>133351.0</v>
      </c>
      <c r="Q691" s="3" t="str">
        <f>VLOOKUP(A691,Posters!A691:B1690,2)</f>
        <v>https://m.media-amazon.com/images/M/MV5BNDM3YjNlYmMtOGY3NS00MmRjLWIyY2UtNDA0MWM3OTNlZTY2XkEyXkFqcGdeQXVyMTQxNzMzNDI@._V1_UX67_CR0,0,67,98_AL_.jpg</v>
      </c>
    </row>
    <row r="692">
      <c r="A692" s="1">
        <v>691.0</v>
      </c>
      <c r="B692" s="1" t="s">
        <v>4138</v>
      </c>
      <c r="C692" s="2">
        <v>3446749.0</v>
      </c>
      <c r="D692" s="1">
        <v>1978.0</v>
      </c>
      <c r="E692" s="1" t="s">
        <v>270</v>
      </c>
      <c r="F692" s="1" t="s">
        <v>1882</v>
      </c>
      <c r="G692" s="1" t="s">
        <v>107</v>
      </c>
      <c r="H692" s="1">
        <v>7.8</v>
      </c>
      <c r="I692" s="1" t="s">
        <v>4139</v>
      </c>
      <c r="J692" s="1">
        <v>93.0</v>
      </c>
      <c r="K692" s="1" t="s">
        <v>4140</v>
      </c>
      <c r="L692" s="1" t="s">
        <v>1583</v>
      </c>
      <c r="M692" s="1" t="s">
        <v>4141</v>
      </c>
      <c r="N692" s="1" t="s">
        <v>4118</v>
      </c>
      <c r="O692" s="1" t="s">
        <v>4142</v>
      </c>
      <c r="P692" s="1">
        <v>52852.0</v>
      </c>
      <c r="Q692" s="3" t="str">
        <f>VLOOKUP(A692,Posters!A692:B1691,2)</f>
        <v>https://m.media-amazon.com/images/M/MV5BZjMyZmU4OGYtNjBiYS00YTIxLWJjMDUtZjczZmQwMTM4YjQxXkEyXkFqcGdeQXVyNTI4MjkwNjA@._V1_UX67_CR0,0,67,98_AL_.jpg</v>
      </c>
    </row>
    <row r="693">
      <c r="A693" s="1">
        <v>692.0</v>
      </c>
      <c r="B693" s="1" t="s">
        <v>4143</v>
      </c>
      <c r="C693" s="2">
        <v>3.18E7</v>
      </c>
      <c r="D693" s="1">
        <v>1976.0</v>
      </c>
      <c r="E693" s="1" t="s">
        <v>18</v>
      </c>
      <c r="F693" s="1" t="s">
        <v>1044</v>
      </c>
      <c r="G693" s="1" t="s">
        <v>116</v>
      </c>
      <c r="H693" s="1">
        <v>7.8</v>
      </c>
      <c r="I693" s="1" t="s">
        <v>4144</v>
      </c>
      <c r="J693" s="1">
        <v>69.0</v>
      </c>
      <c r="K693" s="1" t="s">
        <v>119</v>
      </c>
      <c r="L693" s="1" t="s">
        <v>119</v>
      </c>
      <c r="M693" s="1" t="s">
        <v>4145</v>
      </c>
      <c r="N693" s="1" t="s">
        <v>4146</v>
      </c>
      <c r="O693" s="1" t="s">
        <v>4147</v>
      </c>
      <c r="P693" s="1">
        <v>65659.0</v>
      </c>
      <c r="Q693" s="3" t="str">
        <f>VLOOKUP(A693,Posters!A693:B1692,2)</f>
        <v>https://m.media-amazon.com/images/M/MV5BMjIxNDYxMTk2MF5BMl5BanBnXkFtZTgwMjQxNjU3MTE@._V1_UY98_CR0,0,67,98_AL_.jpg</v>
      </c>
    </row>
    <row r="694">
      <c r="A694" s="1">
        <v>693.0</v>
      </c>
      <c r="B694" s="1" t="s">
        <v>4148</v>
      </c>
      <c r="C694" s="2">
        <v>12678.0</v>
      </c>
      <c r="D694" s="1">
        <v>1975.0</v>
      </c>
      <c r="E694" s="1" t="s">
        <v>270</v>
      </c>
      <c r="F694" s="1" t="s">
        <v>830</v>
      </c>
      <c r="G694" s="1" t="s">
        <v>4149</v>
      </c>
      <c r="H694" s="1">
        <v>7.8</v>
      </c>
      <c r="I694" s="1" t="s">
        <v>4150</v>
      </c>
      <c r="J694" s="1">
        <v>91.0</v>
      </c>
      <c r="K694" s="1" t="s">
        <v>1346</v>
      </c>
      <c r="L694" s="1" t="s">
        <v>1195</v>
      </c>
      <c r="M694" s="1" t="s">
        <v>45</v>
      </c>
      <c r="N694" s="1" t="s">
        <v>1152</v>
      </c>
      <c r="O694" s="1" t="s">
        <v>4151</v>
      </c>
      <c r="P694" s="1">
        <v>44917.0</v>
      </c>
      <c r="Q694" s="3" t="str">
        <f>VLOOKUP(A694,Posters!A694:B1693,2)</f>
        <v>https://m.media-amazon.com/images/M/MV5BZWQzYjBjZmQtZDFiOS00ZDQ1LWI4MDAtMDk1NGE1NDBhYjNhL2ltYWdlXkEyXkFqcGdeQXVyNjc1NTYyMjg@._V1_UX67_CR0,0,67,98_AL_.jpg</v>
      </c>
    </row>
    <row r="695">
      <c r="A695" s="1">
        <v>694.0</v>
      </c>
      <c r="B695" s="1" t="s">
        <v>4152</v>
      </c>
      <c r="C695" s="2">
        <v>4420000.0</v>
      </c>
      <c r="D695" s="1">
        <v>1974.0</v>
      </c>
      <c r="E695" s="1" t="s">
        <v>52</v>
      </c>
      <c r="F695" s="1" t="s">
        <v>543</v>
      </c>
      <c r="G695" s="1" t="s">
        <v>527</v>
      </c>
      <c r="H695" s="1">
        <v>7.8</v>
      </c>
      <c r="I695" s="1" t="s">
        <v>4153</v>
      </c>
      <c r="J695" s="1">
        <v>85.0</v>
      </c>
      <c r="K695" s="1" t="s">
        <v>31</v>
      </c>
      <c r="L695" s="1" t="s">
        <v>1191</v>
      </c>
      <c r="M695" s="1" t="s">
        <v>1888</v>
      </c>
      <c r="N695" s="1" t="s">
        <v>4154</v>
      </c>
      <c r="O695" s="1" t="s">
        <v>579</v>
      </c>
      <c r="P695" s="1">
        <v>98611.0</v>
      </c>
      <c r="Q695" s="3" t="str">
        <f>VLOOKUP(A695,Posters!A695:B1694,2)</f>
        <v>https://m.media-amazon.com/images/M/MV5BNzZlMThlYzktMDlmZC00YTI1LThlNzktZWU0MTY4ODc2ZWY4XkEyXkFqcGdeQXVyNTA1NjYyMDk@._V1_UX67_CR0,0,67,98_AL_.jpg</v>
      </c>
    </row>
    <row r="696">
      <c r="A696" s="1">
        <v>695.0</v>
      </c>
      <c r="B696" s="1" t="s">
        <v>4155</v>
      </c>
      <c r="C696" s="2">
        <v>193817.0</v>
      </c>
      <c r="D696" s="1">
        <v>1973.0</v>
      </c>
      <c r="E696" s="1" t="s">
        <v>52</v>
      </c>
      <c r="F696" s="1" t="s">
        <v>2117</v>
      </c>
      <c r="G696" s="1" t="s">
        <v>4156</v>
      </c>
      <c r="H696" s="1">
        <v>7.8</v>
      </c>
      <c r="I696" s="1" t="s">
        <v>4157</v>
      </c>
      <c r="J696" s="1">
        <v>73.0</v>
      </c>
      <c r="K696" s="1" t="s">
        <v>4158</v>
      </c>
      <c r="L696" s="1" t="s">
        <v>4159</v>
      </c>
      <c r="M696" s="1" t="s">
        <v>4160</v>
      </c>
      <c r="N696" s="1" t="s">
        <v>4161</v>
      </c>
      <c r="O696" s="1" t="s">
        <v>4162</v>
      </c>
      <c r="P696" s="1">
        <v>25229.0</v>
      </c>
      <c r="Q696" s="3" t="str">
        <f>VLOOKUP(A696,Posters!A696:B1695,2)</f>
        <v>https://m.media-amazon.com/images/M/MV5BYjhhMDFlZDctYzg1Mi00ZmZiLTgyNTgtM2NkMjRkNzYwZmQ0XkEyXkFqcGdeQXVyMTMxODk2OTU@._V1_UX67_CR0,0,67,98_AL_.jpg</v>
      </c>
    </row>
    <row r="697">
      <c r="A697" s="1">
        <v>696.0</v>
      </c>
      <c r="B697" s="1" t="s">
        <v>4163</v>
      </c>
      <c r="C697" s="2">
        <v>1.6056255E7</v>
      </c>
      <c r="D697" s="1">
        <v>1973.0</v>
      </c>
      <c r="E697" s="1" t="s">
        <v>18</v>
      </c>
      <c r="F697" s="1" t="s">
        <v>596</v>
      </c>
      <c r="G697" s="1" t="s">
        <v>241</v>
      </c>
      <c r="H697" s="1">
        <v>7.8</v>
      </c>
      <c r="I697" s="1" t="s">
        <v>4164</v>
      </c>
      <c r="J697" s="1">
        <v>80.0</v>
      </c>
      <c r="K697" s="1" t="s">
        <v>3435</v>
      </c>
      <c r="L697" s="1" t="s">
        <v>4165</v>
      </c>
      <c r="M697" s="1" t="s">
        <v>4166</v>
      </c>
      <c r="N697" s="1" t="s">
        <v>4167</v>
      </c>
      <c r="O697" s="1" t="s">
        <v>4168</v>
      </c>
      <c r="P697" s="1">
        <v>37445.0</v>
      </c>
      <c r="Q697" s="3" t="str">
        <f>VLOOKUP(A697,Posters!A697:B1696,2)</f>
        <v>https://m.media-amazon.com/images/M/MV5BNjZmMWE4NzgtZjc5OS00NTBmLThlY2MtM2MzNTA5NTZiNTFjXkEyXkFqcGdeQXVyNjc1NTYyMjg@._V1_UY98_CR0,0,67,98_AL_.jpg</v>
      </c>
    </row>
    <row r="698">
      <c r="A698" s="1">
        <v>697.0</v>
      </c>
      <c r="B698" s="1" t="s">
        <v>4169</v>
      </c>
      <c r="D698" s="1">
        <v>1973.0</v>
      </c>
      <c r="E698" s="1" t="s">
        <v>270</v>
      </c>
      <c r="F698" s="1" t="s">
        <v>1882</v>
      </c>
      <c r="G698" s="1" t="s">
        <v>39</v>
      </c>
      <c r="H698" s="1">
        <v>7.8</v>
      </c>
      <c r="I698" s="1" t="s">
        <v>4170</v>
      </c>
      <c r="J698" s="1">
        <v>93.0</v>
      </c>
      <c r="K698" s="1" t="s">
        <v>4140</v>
      </c>
      <c r="L698" s="1" t="s">
        <v>578</v>
      </c>
      <c r="M698" s="1" t="s">
        <v>2495</v>
      </c>
      <c r="N698" s="1" t="s">
        <v>3390</v>
      </c>
      <c r="O698" s="1" t="s">
        <v>4171</v>
      </c>
      <c r="P698" s="1">
        <v>66009.0</v>
      </c>
      <c r="Q698" s="3" t="str">
        <f>VLOOKUP(A698,Posters!A698:B1697,2)</f>
        <v>https://m.media-amazon.com/images/M/MV5BMDcxNjhiOTEtMzQ0YS00OTBhLTkxM2QtN2UyZDMzNzIzNWFlXkEyXkFqcGdeQXVyMTQxNzMzNDI@._V1_UY98_CR1,0,67,98_AL_.jpg</v>
      </c>
    </row>
    <row r="699">
      <c r="A699" s="1">
        <v>698.0</v>
      </c>
      <c r="B699" s="1" t="s">
        <v>4172</v>
      </c>
      <c r="C699" s="2">
        <v>4.2765E7</v>
      </c>
      <c r="D699" s="1">
        <v>1972.0</v>
      </c>
      <c r="E699" s="1" t="s">
        <v>18</v>
      </c>
      <c r="F699" s="1" t="s">
        <v>144</v>
      </c>
      <c r="G699" s="1" t="s">
        <v>3319</v>
      </c>
      <c r="H699" s="1">
        <v>7.8</v>
      </c>
      <c r="I699" s="1" t="s">
        <v>4173</v>
      </c>
      <c r="J699" s="1">
        <v>80.0</v>
      </c>
      <c r="K699" s="1" t="s">
        <v>3321</v>
      </c>
      <c r="L699" s="1" t="s">
        <v>4174</v>
      </c>
      <c r="M699" s="1" t="s">
        <v>4175</v>
      </c>
      <c r="N699" s="1" t="s">
        <v>4176</v>
      </c>
      <c r="O699" s="1" t="s">
        <v>4177</v>
      </c>
      <c r="P699" s="1">
        <v>48334.0</v>
      </c>
      <c r="Q699" s="3" t="str">
        <f>VLOOKUP(A699,Posters!A699:B1698,2)</f>
        <v>https://m.media-amazon.com/images/M/MV5BNTEyMzc0Mjk5MV5BMl5BanBnXkFtZTgwMjI2NDIwMTE@._V1_UX67_CR0,0,67,98_AL_.jpg</v>
      </c>
    </row>
    <row r="700">
      <c r="A700" s="1">
        <v>699.0</v>
      </c>
      <c r="B700" s="1" t="s">
        <v>4178</v>
      </c>
      <c r="C700" s="2">
        <v>4000000.0</v>
      </c>
      <c r="D700" s="1">
        <v>1971.0</v>
      </c>
      <c r="E700" s="1" t="s">
        <v>52</v>
      </c>
      <c r="F700" s="1" t="s">
        <v>1439</v>
      </c>
      <c r="G700" s="1" t="s">
        <v>4179</v>
      </c>
      <c r="H700" s="1">
        <v>7.8</v>
      </c>
      <c r="I700" s="1" t="s">
        <v>4180</v>
      </c>
      <c r="J700" s="1">
        <v>67.0</v>
      </c>
      <c r="K700" s="1" t="s">
        <v>4181</v>
      </c>
      <c r="L700" s="1" t="s">
        <v>2687</v>
      </c>
      <c r="M700" s="1" t="s">
        <v>4182</v>
      </c>
      <c r="N700" s="1" t="s">
        <v>4183</v>
      </c>
      <c r="O700" s="1" t="s">
        <v>4184</v>
      </c>
      <c r="P700" s="1">
        <v>178731.0</v>
      </c>
      <c r="Q700" s="3" t="str">
        <f>VLOOKUP(A700,Posters!A700:B1699,2)</f>
        <v>https://m.media-amazon.com/images/M/MV5BZTllNDU0ZTItYTYxMC00OTI4LThlNDAtZjNiNzdhMWZiYjNmXkEyXkFqcGdeQXVyNzY1NDgwNjQ@._V1_UX67_CR0,0,67,98_AL_.jpg</v>
      </c>
    </row>
    <row r="701">
      <c r="A701" s="1">
        <v>700.0</v>
      </c>
      <c r="B701" s="1" t="s">
        <v>4185</v>
      </c>
      <c r="C701" s="2">
        <v>4.4785053E7</v>
      </c>
      <c r="D701" s="1">
        <v>1969.0</v>
      </c>
      <c r="E701" s="1" t="s">
        <v>18</v>
      </c>
      <c r="F701" s="1" t="s">
        <v>543</v>
      </c>
      <c r="G701" s="1" t="s">
        <v>20</v>
      </c>
      <c r="H701" s="1">
        <v>7.8</v>
      </c>
      <c r="I701" s="1" t="s">
        <v>4186</v>
      </c>
      <c r="J701" s="1">
        <v>79.0</v>
      </c>
      <c r="K701" s="1" t="s">
        <v>4187</v>
      </c>
      <c r="L701" s="1" t="s">
        <v>2618</v>
      </c>
      <c r="M701" s="1" t="s">
        <v>1178</v>
      </c>
      <c r="N701" s="1" t="s">
        <v>4188</v>
      </c>
      <c r="O701" s="1" t="s">
        <v>4189</v>
      </c>
      <c r="P701" s="1">
        <v>101124.0</v>
      </c>
      <c r="Q701" s="3" t="str">
        <f>VLOOKUP(A701,Posters!A701:B1700,2)</f>
        <v>https://m.media-amazon.com/images/M/MV5BNTgwZmIzMmYtZjE3Yy00NzgzLTgxNmUtNjlmZDlkMzlhOTJkXkEyXkFqcGdeQXVyNjUwNzk3NDc@._V1_UX67_CR0,0,67,98_AL_.jpg</v>
      </c>
    </row>
    <row r="702">
      <c r="A702" s="1">
        <v>701.0</v>
      </c>
      <c r="B702" s="1" t="s">
        <v>4190</v>
      </c>
      <c r="C702" s="2">
        <v>1.7550741E7</v>
      </c>
      <c r="D702" s="1">
        <v>1967.0</v>
      </c>
      <c r="E702" s="1">
        <v>16.0</v>
      </c>
      <c r="F702" s="1" t="s">
        <v>714</v>
      </c>
      <c r="G702" s="1" t="s">
        <v>4191</v>
      </c>
      <c r="H702" s="1">
        <v>7.8</v>
      </c>
      <c r="I702" s="1" t="s">
        <v>4192</v>
      </c>
      <c r="J702" s="1">
        <v>81.0</v>
      </c>
      <c r="K702" s="1" t="s">
        <v>4193</v>
      </c>
      <c r="L702" s="1" t="s">
        <v>2839</v>
      </c>
      <c r="M702" s="1" t="s">
        <v>4194</v>
      </c>
      <c r="N702" s="1" t="s">
        <v>4195</v>
      </c>
      <c r="O702" s="1" t="s">
        <v>4196</v>
      </c>
      <c r="P702" s="1">
        <v>27733.0</v>
      </c>
      <c r="Q702" s="3" t="str">
        <f>VLOOKUP(A702,Posters!A702:B1701,2)</f>
        <v>https://m.media-amazon.com/images/M/MV5BMTQyNTAzOTI3NF5BMl5BanBnXkFtZTcwNTM0Mjg0Mg@@._V1_UX67_CR0,0,67,98_AL_.jpg</v>
      </c>
    </row>
    <row r="703">
      <c r="A703" s="1">
        <v>702.0</v>
      </c>
      <c r="B703" s="1" t="s">
        <v>4197</v>
      </c>
      <c r="C703" s="2">
        <v>5.67E7</v>
      </c>
      <c r="D703" s="1">
        <v>1967.0</v>
      </c>
      <c r="E703" s="1" t="s">
        <v>270</v>
      </c>
      <c r="F703" s="1" t="s">
        <v>714</v>
      </c>
      <c r="G703" s="1" t="s">
        <v>507</v>
      </c>
      <c r="H703" s="1">
        <v>7.8</v>
      </c>
      <c r="I703" s="1" t="s">
        <v>4198</v>
      </c>
      <c r="J703" s="1">
        <v>63.0</v>
      </c>
      <c r="K703" s="1" t="s">
        <v>1290</v>
      </c>
      <c r="L703" s="1" t="s">
        <v>1291</v>
      </c>
      <c r="M703" s="1" t="s">
        <v>3389</v>
      </c>
      <c r="N703" s="1" t="s">
        <v>3385</v>
      </c>
      <c r="O703" s="1" t="s">
        <v>4199</v>
      </c>
      <c r="P703" s="1">
        <v>39642.0</v>
      </c>
      <c r="Q703" s="3" t="str">
        <f>VLOOKUP(A703,Posters!A703:B1702,2)</f>
        <v>https://m.media-amazon.com/images/M/MV5BZTVmMTk2NjUtNjVjNC00OTcwLWE4OWEtNzA4Mjk1ZmIwNDExXkEyXkFqcGdeQXVyNjUwNzk3NDc@._V1_UX67_CR0,0,67,98_AL_.jpg</v>
      </c>
    </row>
    <row r="704">
      <c r="A704" s="1">
        <v>703.0</v>
      </c>
      <c r="B704" s="1" t="s">
        <v>4200</v>
      </c>
      <c r="C704" s="2">
        <v>2500000.0</v>
      </c>
      <c r="D704" s="1">
        <v>1967.0</v>
      </c>
      <c r="E704" s="1" t="s">
        <v>18</v>
      </c>
      <c r="F704" s="1" t="s">
        <v>1663</v>
      </c>
      <c r="G704" s="1" t="s">
        <v>1045</v>
      </c>
      <c r="H704" s="1">
        <v>7.8</v>
      </c>
      <c r="I704" s="1" t="s">
        <v>4201</v>
      </c>
      <c r="J704" s="1">
        <v>86.0</v>
      </c>
      <c r="K704" s="1" t="s">
        <v>4202</v>
      </c>
      <c r="L704" s="1" t="s">
        <v>4203</v>
      </c>
      <c r="M704" s="1" t="s">
        <v>1899</v>
      </c>
      <c r="N704" s="1" t="s">
        <v>4204</v>
      </c>
      <c r="O704" s="1" t="s">
        <v>1191</v>
      </c>
      <c r="P704" s="1">
        <v>102415.0</v>
      </c>
      <c r="Q704" s="3" t="str">
        <f>VLOOKUP(A704,Posters!A704:B1703,2)</f>
        <v>https://m.media-amazon.com/images/M/MV5BOTViZmMwOGEtYzc4Yy00ZGQ1LWFkZDQtMDljNGZlMjAxMjhiXkEyXkFqcGdeQXVyNzM0MTUwNTY@._V1_UX67_CR0,0,67,98_AL_.jpg</v>
      </c>
    </row>
    <row r="705">
      <c r="A705" s="1">
        <v>704.0</v>
      </c>
      <c r="B705" s="1" t="s">
        <v>4205</v>
      </c>
      <c r="C705" s="2">
        <v>7.2E7</v>
      </c>
      <c r="D705" s="1">
        <v>1964.0</v>
      </c>
      <c r="E705" s="1" t="s">
        <v>52</v>
      </c>
      <c r="F705" s="1" t="s">
        <v>506</v>
      </c>
      <c r="G705" s="1" t="s">
        <v>2709</v>
      </c>
      <c r="H705" s="1">
        <v>7.8</v>
      </c>
      <c r="I705" s="1" t="s">
        <v>4206</v>
      </c>
      <c r="J705" s="1">
        <v>95.0</v>
      </c>
      <c r="K705" s="1" t="s">
        <v>2092</v>
      </c>
      <c r="L705" s="1" t="s">
        <v>2839</v>
      </c>
      <c r="M705" s="1" t="s">
        <v>4207</v>
      </c>
      <c r="N705" s="1" t="s">
        <v>2872</v>
      </c>
      <c r="O705" s="1" t="s">
        <v>4208</v>
      </c>
      <c r="P705" s="1">
        <v>86525.0</v>
      </c>
      <c r="Q705" s="3" t="str">
        <f>VLOOKUP(A705,Posters!A705:B1704,2)</f>
        <v>https://m.media-amazon.com/images/M/MV5BNGM0ZTU3NmItZmRmMy00YWNjLWEzMWItYzg3MzcwZmM5NjdiXkEyXkFqcGdeQXVyNDYyMDk5MTU@._V1_UY98_CR2,0,67,98_AL_.jpg</v>
      </c>
    </row>
    <row r="706">
      <c r="A706" s="1">
        <v>705.0</v>
      </c>
      <c r="B706" s="1" t="s">
        <v>4209</v>
      </c>
      <c r="C706" s="2">
        <v>1.02272727E8</v>
      </c>
      <c r="D706" s="1">
        <v>1964.0</v>
      </c>
      <c r="E706" s="1" t="s">
        <v>52</v>
      </c>
      <c r="F706" s="1" t="s">
        <v>95</v>
      </c>
      <c r="G706" s="1" t="s">
        <v>4210</v>
      </c>
      <c r="H706" s="1">
        <v>7.8</v>
      </c>
      <c r="I706" s="1" t="s">
        <v>4211</v>
      </c>
      <c r="J706" s="1">
        <v>88.0</v>
      </c>
      <c r="K706" s="1" t="s">
        <v>4212</v>
      </c>
      <c r="L706" s="1" t="s">
        <v>2750</v>
      </c>
      <c r="M706" s="1" t="s">
        <v>4213</v>
      </c>
      <c r="N706" s="1" t="s">
        <v>4214</v>
      </c>
      <c r="O706" s="1" t="s">
        <v>4215</v>
      </c>
      <c r="P706" s="1">
        <v>158029.0</v>
      </c>
      <c r="Q706" s="3" t="str">
        <f>VLOOKUP(A706,Posters!A706:B1705,2)</f>
        <v>https://m.media-amazon.com/images/M/MV5BNmJkODczNjItNDI5Yy00MGI1LTkyOWItZDNmNjM4ZGI1ZDVlL2ltYWdlL2ltYWdlXkEyXkFqcGdeQXVyMDI2NDg0NQ@@._V1_UX67_CR0,0,67,98_AL_.jpg</v>
      </c>
    </row>
    <row r="707">
      <c r="A707" s="1">
        <v>706.0</v>
      </c>
      <c r="B707" s="1" t="s">
        <v>4216</v>
      </c>
      <c r="C707" s="2">
        <v>3.91E7</v>
      </c>
      <c r="D707" s="1">
        <v>1962.0</v>
      </c>
      <c r="E707" s="1" t="s">
        <v>414</v>
      </c>
      <c r="F707" s="1" t="s">
        <v>103</v>
      </c>
      <c r="G707" s="1" t="s">
        <v>3536</v>
      </c>
      <c r="H707" s="1">
        <v>7.8</v>
      </c>
      <c r="I707" s="1" t="s">
        <v>4217</v>
      </c>
      <c r="J707" s="1">
        <v>75.0</v>
      </c>
      <c r="K707" s="1" t="s">
        <v>4218</v>
      </c>
      <c r="L707" s="1" t="s">
        <v>4219</v>
      </c>
      <c r="M707" s="1" t="s">
        <v>4220</v>
      </c>
      <c r="N707" s="1" t="s">
        <v>4221</v>
      </c>
      <c r="O707" s="1" t="s">
        <v>4222</v>
      </c>
      <c r="P707" s="1">
        <v>52141.0</v>
      </c>
      <c r="Q707" s="3" t="str">
        <f>VLOOKUP(A707,Posters!A707:B1706,2)</f>
        <v>https://m.media-amazon.com/images/M/MV5BZTM1ZjQ2YTktNDM2MS00NGY2LTkzNzItZTU4ODg1ODNkMWYxL2ltYWdlXkEyXkFqcGdeQXVyNjc1NTYyMjg@._V1_UX67_CR0,0,67,98_AL_.jpg</v>
      </c>
    </row>
    <row r="708">
      <c r="A708" s="1">
        <v>707.0</v>
      </c>
      <c r="B708" s="1" t="s">
        <v>4223</v>
      </c>
      <c r="C708" s="2">
        <v>446908.0</v>
      </c>
      <c r="D708" s="1">
        <v>1962.0</v>
      </c>
      <c r="E708" s="1">
        <v>12.0</v>
      </c>
      <c r="F708" s="1" t="s">
        <v>487</v>
      </c>
      <c r="G708" s="1" t="s">
        <v>107</v>
      </c>
      <c r="H708" s="1">
        <v>7.8</v>
      </c>
      <c r="I708" s="1" t="s">
        <v>4224</v>
      </c>
      <c r="J708" s="1">
        <v>97.0</v>
      </c>
      <c r="K708" s="1" t="s">
        <v>2004</v>
      </c>
      <c r="L708" s="1" t="s">
        <v>4225</v>
      </c>
      <c r="M708" s="1" t="s">
        <v>4226</v>
      </c>
      <c r="N708" s="1" t="s">
        <v>4227</v>
      </c>
      <c r="O708" s="1" t="s">
        <v>4228</v>
      </c>
      <c r="P708" s="1">
        <v>37605.0</v>
      </c>
      <c r="Q708" s="3" t="str">
        <f>VLOOKUP(A708,Posters!A708:B1707,2)</f>
        <v>https://m.media-amazon.com/images/M/MV5BZTM1MTRiNDctMTFiMC00NGM1LTkyMWQtNTY1M2JjZDczOWQ3XkEyXkFqcGdeQXVyMDI3OTIzOA@@._V1_UY98_CR3,0,67,98_AL_.jpg</v>
      </c>
    </row>
    <row r="709">
      <c r="A709" s="1">
        <v>708.0</v>
      </c>
      <c r="B709" s="1" t="s">
        <v>4229</v>
      </c>
      <c r="C709" s="2">
        <v>2616000.0</v>
      </c>
      <c r="D709" s="1">
        <v>1961.0</v>
      </c>
      <c r="E709" s="1" t="s">
        <v>18</v>
      </c>
      <c r="F709" s="1" t="s">
        <v>1439</v>
      </c>
      <c r="G709" s="1" t="s">
        <v>2696</v>
      </c>
      <c r="H709" s="1">
        <v>7.8</v>
      </c>
      <c r="I709" s="1" t="s">
        <v>4230</v>
      </c>
      <c r="J709" s="1">
        <v>88.0</v>
      </c>
      <c r="K709" s="1" t="s">
        <v>4231</v>
      </c>
      <c r="L709" s="1" t="s">
        <v>4232</v>
      </c>
      <c r="M709" s="1" t="s">
        <v>4233</v>
      </c>
      <c r="N709" s="1" t="s">
        <v>4234</v>
      </c>
      <c r="O709" s="1" t="s">
        <v>4235</v>
      </c>
      <c r="P709" s="1">
        <v>27007.0</v>
      </c>
      <c r="Q709" s="3" t="str">
        <f>VLOOKUP(A709,Posters!A709:B1708,2)</f>
        <v>https://m.media-amazon.com/images/M/MV5BNGQyNjBjNTUtNTM1OS00YzcyLWFhNTgtNTU0MDg3NzBlMDQzXkEyXkFqcGdeQXVyNjc1NTYyMjg@._V1_UY98_CR0,0,67,98_AL_.jpg</v>
      </c>
    </row>
    <row r="710">
      <c r="A710" s="1">
        <v>709.0</v>
      </c>
      <c r="B710" s="1" t="s">
        <v>4236</v>
      </c>
      <c r="C710" s="2">
        <v>336705.0</v>
      </c>
      <c r="D710" s="1">
        <v>1960.0</v>
      </c>
      <c r="E710" s="1" t="s">
        <v>52</v>
      </c>
      <c r="F710" s="1" t="s">
        <v>2586</v>
      </c>
      <c r="G710" s="1" t="s">
        <v>29</v>
      </c>
      <c r="H710" s="1">
        <v>7.8</v>
      </c>
      <c r="I710" s="1" t="s">
        <v>4237</v>
      </c>
      <c r="K710" s="1" t="s">
        <v>2772</v>
      </c>
      <c r="L710" s="1" t="s">
        <v>4238</v>
      </c>
      <c r="M710" s="1" t="s">
        <v>4239</v>
      </c>
      <c r="N710" s="1" t="s">
        <v>4240</v>
      </c>
      <c r="O710" s="1" t="s">
        <v>4241</v>
      </c>
      <c r="P710" s="1">
        <v>73251.0</v>
      </c>
      <c r="Q710" s="3" t="str">
        <f>VLOOKUP(A710,Posters!A710:B1709,2)</f>
        <v>https://m.media-amazon.com/images/M/MV5BNzk5MDk2MjktY2I3NS00ODZkLTk3OTktY2Q3ZDE2MmQ2M2ZmXkEyXkFqcGdeQXVyNjc1NTYyMjg@._V1_UY98_CR2,0,67,98_AL_.jpg</v>
      </c>
    </row>
    <row r="711">
      <c r="A711" s="1">
        <v>710.0</v>
      </c>
      <c r="B711" s="1" t="s">
        <v>4242</v>
      </c>
      <c r="C711" s="2">
        <v>3000000.0</v>
      </c>
      <c r="D711" s="1">
        <v>1948.0</v>
      </c>
      <c r="E711" s="1" t="s">
        <v>627</v>
      </c>
      <c r="F711" s="1" t="s">
        <v>153</v>
      </c>
      <c r="G711" s="1" t="s">
        <v>62</v>
      </c>
      <c r="H711" s="1">
        <v>7.8</v>
      </c>
      <c r="I711" s="1" t="s">
        <v>4243</v>
      </c>
      <c r="K711" s="1" t="s">
        <v>2789</v>
      </c>
      <c r="L711" s="1" t="s">
        <v>4244</v>
      </c>
      <c r="M711" s="1" t="s">
        <v>1985</v>
      </c>
      <c r="N711" s="1" t="s">
        <v>4245</v>
      </c>
      <c r="O711" s="1" t="s">
        <v>4246</v>
      </c>
      <c r="P711" s="1">
        <v>28167.0</v>
      </c>
      <c r="Q711" s="3" t="str">
        <f>VLOOKUP(A711,Posters!A711:B1710,2)</f>
        <v>https://m.media-amazon.com/images/M/MV5BNzNiOGJhMDUtZjNjMC00YmE5LTk3NjQtNGM4ZjAzOGJjZmRlXkEyXkFqcGdeQXVyNjc1NTYyMjg@._V1_UX67_CR0,0,67,98_AL_.jpg</v>
      </c>
    </row>
    <row r="712">
      <c r="A712" s="1">
        <v>711.0</v>
      </c>
      <c r="B712" s="1" t="s">
        <v>4247</v>
      </c>
      <c r="C712" s="2">
        <v>9524420.0</v>
      </c>
      <c r="D712" s="1">
        <v>1948.0</v>
      </c>
      <c r="E712" s="1" t="s">
        <v>270</v>
      </c>
      <c r="F712" s="1" t="s">
        <v>1439</v>
      </c>
      <c r="G712" s="1" t="s">
        <v>39</v>
      </c>
      <c r="H712" s="1">
        <v>7.8</v>
      </c>
      <c r="I712" s="1" t="s">
        <v>4248</v>
      </c>
      <c r="K712" s="1" t="s">
        <v>1346</v>
      </c>
      <c r="L712" s="1" t="s">
        <v>409</v>
      </c>
      <c r="M712" s="1" t="s">
        <v>911</v>
      </c>
      <c r="N712" s="1" t="s">
        <v>2473</v>
      </c>
      <c r="O712" s="1" t="s">
        <v>276</v>
      </c>
      <c r="P712" s="1">
        <v>36995.0</v>
      </c>
      <c r="Q712" s="3" t="str">
        <f>VLOOKUP(A712,Posters!A712:B1711,2)</f>
        <v>https://m.media-amazon.com/images/M/MV5BODI3YzNiZTUtYjEyZS00ODkwLWE2ZDUtNGJmMTNiYTc4ZTM4XkEyXkFqcGdeQXVyMDI2NDg0NQ@@._V1_UX67_CR0,0,67,98_AL_.jpg</v>
      </c>
    </row>
    <row r="713">
      <c r="A713" s="1">
        <v>712.0</v>
      </c>
      <c r="B713" s="1" t="s">
        <v>4249</v>
      </c>
      <c r="C713" s="2">
        <v>12459.0</v>
      </c>
      <c r="D713" s="1">
        <v>1944.0</v>
      </c>
      <c r="E713" s="1" t="s">
        <v>270</v>
      </c>
      <c r="F713" s="1" t="s">
        <v>1439</v>
      </c>
      <c r="G713" s="1" t="s">
        <v>4250</v>
      </c>
      <c r="H713" s="1">
        <v>7.8</v>
      </c>
      <c r="I713" s="1" t="s">
        <v>4251</v>
      </c>
      <c r="K713" s="1" t="s">
        <v>2789</v>
      </c>
      <c r="L713" s="1" t="s">
        <v>409</v>
      </c>
      <c r="M713" s="1" t="s">
        <v>2473</v>
      </c>
      <c r="N713" s="1" t="s">
        <v>4252</v>
      </c>
      <c r="O713" s="1" t="s">
        <v>4253</v>
      </c>
      <c r="P713" s="1">
        <v>31053.0</v>
      </c>
      <c r="Q713" s="3" t="str">
        <f>VLOOKUP(A713,Posters!A713:B1712,2)</f>
        <v>https://m.media-amazon.com/images/M/MV5BZGU2YmU0MWMtMzg5My00ZmY2LTljMDItMTg2YTI5Y2U2OTE3XkEyXkFqcGdeQXVyMjUxODE0MDY@._V1_UY98_CR0,0,67,98_AL_.jpg</v>
      </c>
    </row>
    <row r="714">
      <c r="A714" s="1">
        <v>713.0</v>
      </c>
      <c r="B714" s="1" t="s">
        <v>4254</v>
      </c>
      <c r="C714" s="1">
        <v>714.0</v>
      </c>
      <c r="D714" s="1">
        <v>1943.0</v>
      </c>
      <c r="E714" s="1" t="s">
        <v>270</v>
      </c>
      <c r="F714" s="1" t="s">
        <v>714</v>
      </c>
      <c r="G714" s="1" t="s">
        <v>4255</v>
      </c>
      <c r="H714" s="1">
        <v>7.8</v>
      </c>
      <c r="I714" s="1" t="s">
        <v>4256</v>
      </c>
      <c r="J714" s="1">
        <v>94.0</v>
      </c>
      <c r="K714" s="1" t="s">
        <v>399</v>
      </c>
      <c r="L714" s="1" t="s">
        <v>2883</v>
      </c>
      <c r="M714" s="1" t="s">
        <v>917</v>
      </c>
      <c r="N714" s="1" t="s">
        <v>4257</v>
      </c>
      <c r="O714" s="1" t="s">
        <v>4258</v>
      </c>
      <c r="P714" s="1">
        <v>59556.0</v>
      </c>
      <c r="Q714" s="3" t="str">
        <f>VLOOKUP(A714,Posters!A714:B1713,2)</f>
        <v>https://m.media-amazon.com/images/M/MV5BM2I1YWM4NTYtYjA0Ny00ZDEwLTg3NTgtNzBjMzZhZTk1YTA1XkEyXkFqcGdeQXVyMTY5Nzc4MDY@._V1_UX67_CR0,0,67,98_AL_.jpg</v>
      </c>
    </row>
    <row r="715">
      <c r="A715" s="1">
        <v>714.0</v>
      </c>
      <c r="B715" s="1" t="s">
        <v>4259</v>
      </c>
      <c r="C715" s="1">
        <v>392.0</v>
      </c>
      <c r="D715" s="1">
        <v>1939.0</v>
      </c>
      <c r="E715" s="1" t="s">
        <v>627</v>
      </c>
      <c r="F715" s="1" t="s">
        <v>53</v>
      </c>
      <c r="G715" s="1" t="s">
        <v>1344</v>
      </c>
      <c r="H715" s="1">
        <v>7.8</v>
      </c>
      <c r="I715" s="1" t="s">
        <v>4260</v>
      </c>
      <c r="J715" s="1">
        <v>93.0</v>
      </c>
      <c r="K715" s="1" t="s">
        <v>1984</v>
      </c>
      <c r="L715" s="1" t="s">
        <v>1985</v>
      </c>
      <c r="M715" s="1" t="s">
        <v>4261</v>
      </c>
      <c r="N715" s="1" t="s">
        <v>4262</v>
      </c>
      <c r="O715" s="1" t="s">
        <v>2898</v>
      </c>
      <c r="P715" s="1">
        <v>43621.0</v>
      </c>
      <c r="Q715" s="3" t="str">
        <f>VLOOKUP(A715,Posters!A715:B1714,2)</f>
        <v>https://m.media-amazon.com/images/M/MV5BOGQ4NDUyNWQtZTEyOC00OTMzLWFhYjAtNDNmYmQ2MWQyMTRmXkEyXkFqcGdeQXVyNTA4NzY1MzY@._V1_UX67_CR0,0,67,98_AL_.jpg</v>
      </c>
    </row>
    <row r="716">
      <c r="A716" s="1">
        <v>715.0</v>
      </c>
      <c r="B716" s="1" t="s">
        <v>4263</v>
      </c>
      <c r="C716" s="2">
        <v>39776.0</v>
      </c>
      <c r="D716" s="1">
        <v>1938.0</v>
      </c>
      <c r="E716" s="1">
        <v>12.0</v>
      </c>
      <c r="F716" s="1" t="s">
        <v>53</v>
      </c>
      <c r="G716" s="1" t="s">
        <v>544</v>
      </c>
      <c r="H716" s="1">
        <v>7.8</v>
      </c>
      <c r="I716" s="1" t="s">
        <v>4264</v>
      </c>
      <c r="J716" s="1">
        <v>98.0</v>
      </c>
      <c r="K716" s="1" t="s">
        <v>399</v>
      </c>
      <c r="L716" s="1" t="s">
        <v>4265</v>
      </c>
      <c r="M716" s="1" t="s">
        <v>4235</v>
      </c>
      <c r="N716" s="1" t="s">
        <v>4266</v>
      </c>
      <c r="O716" s="1" t="s">
        <v>4267</v>
      </c>
      <c r="P716" s="1">
        <v>47400.0</v>
      </c>
      <c r="Q716" s="3" t="str">
        <f>VLOOKUP(A716,Posters!A716:B1715,2)</f>
        <v>https://m.media-amazon.com/images/M/MV5BNjk3YzFjYTktOGY0ZS00Y2EwLTk2NTctYTI1Nzc2OWNiN2I4XkEyXkFqcGdeQXVyNzM0MTUwNTY@._V1_UX67_CR0,0,67,98_AL_.jpg</v>
      </c>
    </row>
    <row r="717">
      <c r="A717" s="1">
        <v>716.0</v>
      </c>
      <c r="B717" s="1" t="s">
        <v>4268</v>
      </c>
      <c r="C717" s="1" t="s">
        <v>4269</v>
      </c>
      <c r="D717" s="1">
        <v>1938.0</v>
      </c>
      <c r="E717" s="1" t="s">
        <v>627</v>
      </c>
      <c r="F717" s="1" t="s">
        <v>405</v>
      </c>
      <c r="G717" s="1" t="s">
        <v>4270</v>
      </c>
      <c r="H717" s="1">
        <v>7.8</v>
      </c>
      <c r="I717" s="1" t="s">
        <v>4271</v>
      </c>
      <c r="J717" s="1">
        <v>91.0</v>
      </c>
      <c r="K717" s="1" t="s">
        <v>2789</v>
      </c>
      <c r="L717" s="1" t="s">
        <v>3385</v>
      </c>
      <c r="M717" s="1" t="s">
        <v>873</v>
      </c>
      <c r="N717" s="1" t="s">
        <v>4272</v>
      </c>
      <c r="O717" s="1" t="s">
        <v>4273</v>
      </c>
      <c r="P717" s="1">
        <v>55163.0</v>
      </c>
      <c r="Q717" s="3" t="str">
        <f>VLOOKUP(A717,Posters!A717:B1716,2)</f>
        <v>https://m.media-amazon.com/images/M/MV5BMmVkOTRiYmItZjE4NS00MWNjLWE0ZmMtYzg5YzFjMjMyY2RkXkEyXkFqcGdeQXVyNjc1NTYyMjg@._V1_UX67_CR0,0,67,98_AL_.jpg</v>
      </c>
    </row>
    <row r="718">
      <c r="A718" s="1">
        <v>717.0</v>
      </c>
      <c r="B718" s="1" t="s">
        <v>4274</v>
      </c>
      <c r="C718" s="2">
        <v>4360000.0</v>
      </c>
      <c r="D718" s="1">
        <v>1935.0</v>
      </c>
      <c r="E718" s="1" t="s">
        <v>270</v>
      </c>
      <c r="F718" s="1" t="s">
        <v>2927</v>
      </c>
      <c r="G718" s="1" t="s">
        <v>4275</v>
      </c>
      <c r="H718" s="1">
        <v>7.8</v>
      </c>
      <c r="I718" s="1" t="s">
        <v>4276</v>
      </c>
      <c r="J718" s="1">
        <v>95.0</v>
      </c>
      <c r="K718" s="1" t="s">
        <v>4277</v>
      </c>
      <c r="L718" s="1" t="s">
        <v>4278</v>
      </c>
      <c r="M718" s="1" t="s">
        <v>614</v>
      </c>
      <c r="N718" s="1" t="s">
        <v>4279</v>
      </c>
      <c r="O718" s="1" t="s">
        <v>2855</v>
      </c>
      <c r="P718" s="1">
        <v>43542.0</v>
      </c>
      <c r="Q718" s="3" t="str">
        <f>VLOOKUP(A718,Posters!A718:B1717,2)</f>
        <v>https://m.media-amazon.com/images/M/MV5BOTUzMzAzMzEzNV5BMl5BanBnXkFtZTgwOTg1NTAwMjE@._V1_UX67_CR0,0,67,98_AL_.jpg</v>
      </c>
    </row>
    <row r="719">
      <c r="A719" s="1">
        <v>718.0</v>
      </c>
      <c r="B719" s="1" t="s">
        <v>4280</v>
      </c>
      <c r="C719" s="1" t="s">
        <v>4281</v>
      </c>
      <c r="D719" s="1">
        <v>1933.0</v>
      </c>
      <c r="E719" s="1" t="s">
        <v>270</v>
      </c>
      <c r="F719" s="1" t="s">
        <v>4282</v>
      </c>
      <c r="G719" s="1" t="s">
        <v>4283</v>
      </c>
      <c r="H719" s="1">
        <v>7.8</v>
      </c>
      <c r="I719" s="1" t="s">
        <v>4284</v>
      </c>
      <c r="J719" s="1">
        <v>93.0</v>
      </c>
      <c r="K719" s="1" t="s">
        <v>4285</v>
      </c>
      <c r="L719" s="1" t="s">
        <v>3489</v>
      </c>
      <c r="M719" s="1" t="s">
        <v>3491</v>
      </c>
      <c r="N719" s="1" t="s">
        <v>3490</v>
      </c>
      <c r="O719" s="1" t="s">
        <v>4286</v>
      </c>
      <c r="P719" s="1">
        <v>55581.0</v>
      </c>
      <c r="Q719" s="3" t="str">
        <f>VLOOKUP(A719,Posters!A719:B1718,2)</f>
        <v>https://m.media-amazon.com/images/M/MV5BYmYxZGU2NWYtNzQxZS00NmEyLWIzN2YtMDk5MWM0ODc5ZTE4XkEyXkFqcGdeQXVyNTA4NzY1MzY@._V1_UX67_CR0,0,67,98_AL_.jpg</v>
      </c>
    </row>
    <row r="720">
      <c r="A720" s="1">
        <v>719.0</v>
      </c>
      <c r="B720" s="1" t="s">
        <v>4287</v>
      </c>
      <c r="C720" s="2">
        <v>1308000.0</v>
      </c>
      <c r="D720" s="1">
        <v>1932.0</v>
      </c>
      <c r="E720" s="1" t="s">
        <v>270</v>
      </c>
      <c r="F720" s="1" t="s">
        <v>1521</v>
      </c>
      <c r="G720" s="1" t="s">
        <v>39</v>
      </c>
      <c r="H720" s="1">
        <v>7.8</v>
      </c>
      <c r="I720" s="1" t="s">
        <v>4288</v>
      </c>
      <c r="J720" s="1">
        <v>87.0</v>
      </c>
      <c r="K720" s="1" t="s">
        <v>2789</v>
      </c>
      <c r="L720" s="1" t="s">
        <v>4289</v>
      </c>
      <c r="M720" s="1" t="s">
        <v>4290</v>
      </c>
      <c r="N720" s="1" t="s">
        <v>4291</v>
      </c>
      <c r="O720" s="1" t="s">
        <v>4292</v>
      </c>
      <c r="P720" s="1">
        <v>25312.0</v>
      </c>
      <c r="Q720" s="3" t="str">
        <f>VLOOKUP(A720,Posters!A720:B1719,2)</f>
        <v>https://m.media-amazon.com/images/M/MV5BYmMxZTU2ZDUtM2Y1MS00ZWFmLWJlN2UtNzI0OTJiOTYzMTk3XkEyXkFqcGdeQXVyMjUxODE0MDY@._V1_UX67_CR0,0,67,98_AL_.jpg</v>
      </c>
    </row>
    <row r="721">
      <c r="A721" s="1">
        <v>720.0</v>
      </c>
      <c r="B721" s="1" t="s">
        <v>4293</v>
      </c>
      <c r="C721" s="2">
        <v>1626.0</v>
      </c>
      <c r="D721" s="1">
        <v>1931.0</v>
      </c>
      <c r="E721" s="1" t="s">
        <v>627</v>
      </c>
      <c r="F721" s="1" t="s">
        <v>4294</v>
      </c>
      <c r="G721" s="1" t="s">
        <v>4275</v>
      </c>
      <c r="H721" s="1">
        <v>7.8</v>
      </c>
      <c r="I721" s="1" t="s">
        <v>4295</v>
      </c>
      <c r="J721" s="1">
        <v>91.0</v>
      </c>
      <c r="K721" s="1" t="s">
        <v>4277</v>
      </c>
      <c r="L721" s="1" t="s">
        <v>4279</v>
      </c>
      <c r="M721" s="1" t="s">
        <v>4296</v>
      </c>
      <c r="N721" s="1" t="s">
        <v>4278</v>
      </c>
      <c r="O721" s="1" t="s">
        <v>4297</v>
      </c>
      <c r="P721" s="1">
        <v>65341.0</v>
      </c>
      <c r="Q721" s="3" t="str">
        <f>VLOOKUP(A721,Posters!A721:B1720,2)</f>
        <v>https://m.media-amazon.com/images/M/MV5BMTQ0Njc1MjM0OF5BMl5BanBnXkFtZTgwNTY2NTUyMjE@._V1_UX67_CR0,0,67,98_AL_.jpg</v>
      </c>
    </row>
    <row r="722">
      <c r="A722" s="1">
        <v>721.0</v>
      </c>
      <c r="B722" s="1" t="s">
        <v>4298</v>
      </c>
      <c r="C722" s="2">
        <v>1140769.0</v>
      </c>
      <c r="D722" s="1">
        <v>2018.0</v>
      </c>
      <c r="E722" s="1" t="s">
        <v>212</v>
      </c>
      <c r="F722" s="1" t="s">
        <v>1044</v>
      </c>
      <c r="G722" s="1" t="s">
        <v>20</v>
      </c>
      <c r="H722" s="1">
        <v>7.7</v>
      </c>
      <c r="I722" s="1" t="s">
        <v>4299</v>
      </c>
      <c r="J722" s="1">
        <v>96.0</v>
      </c>
      <c r="K722" s="1" t="s">
        <v>3175</v>
      </c>
      <c r="L722" s="1" t="s">
        <v>4300</v>
      </c>
      <c r="M722" s="1" t="s">
        <v>4301</v>
      </c>
      <c r="N722" s="1" t="s">
        <v>4302</v>
      </c>
      <c r="O722" s="1" t="s">
        <v>4303</v>
      </c>
      <c r="P722" s="1">
        <v>140375.0</v>
      </c>
      <c r="Q722" s="3" t="str">
        <f>VLOOKUP(A722,Posters!A722:B1721,2)</f>
        <v>https://m.media-amazon.com/images/M/MV5BMTU0OTc3ODk4Ml5BMl5BanBnXkFtZTgwMzM4NzI5NjM@._V1_UX67_CR0,0,67,98_AL_.jpg</v>
      </c>
    </row>
    <row r="723">
      <c r="A723" s="1">
        <v>722.0</v>
      </c>
      <c r="B723" s="1" t="s">
        <v>4304</v>
      </c>
      <c r="C723" s="2">
        <v>335609.0</v>
      </c>
      <c r="D723" s="1">
        <v>2017.0</v>
      </c>
      <c r="E723" s="1">
        <v>16.0</v>
      </c>
      <c r="F723" s="1" t="s">
        <v>647</v>
      </c>
      <c r="G723" s="1" t="s">
        <v>107</v>
      </c>
      <c r="H723" s="1">
        <v>7.7</v>
      </c>
      <c r="I723" s="1" t="s">
        <v>4305</v>
      </c>
      <c r="J723" s="1">
        <v>85.0</v>
      </c>
      <c r="K723" s="1" t="s">
        <v>4306</v>
      </c>
      <c r="L723" s="1" t="s">
        <v>4307</v>
      </c>
      <c r="M723" s="1" t="s">
        <v>4308</v>
      </c>
      <c r="N723" s="1" t="s">
        <v>4309</v>
      </c>
      <c r="O723" s="1" t="s">
        <v>4310</v>
      </c>
      <c r="P723" s="1">
        <v>25198.0</v>
      </c>
      <c r="Q723" s="3" t="str">
        <f>VLOOKUP(A723,Posters!A723:B1722,2)</f>
        <v>https://m.media-amazon.com/images/M/MV5BNjRhYzk2NDAtYzA1Mi00MmNmLWE1ZjQtMDBhZmUyMTdjZjBiXkEyXkFqcGdeQXVyNjk1Njg5NTA@._V1_UX67_CR0,0,67,98_AL_.jpg</v>
      </c>
    </row>
    <row r="724">
      <c r="A724" s="1">
        <v>723.0</v>
      </c>
      <c r="B724" s="1" t="s">
        <v>4311</v>
      </c>
      <c r="C724" s="2">
        <v>3.24591735E8</v>
      </c>
      <c r="D724" s="1">
        <v>2018.0</v>
      </c>
      <c r="E724" s="1" t="s">
        <v>212</v>
      </c>
      <c r="F724" s="1" t="s">
        <v>329</v>
      </c>
      <c r="G724" s="1" t="s">
        <v>1252</v>
      </c>
      <c r="H724" s="1">
        <v>7.7</v>
      </c>
      <c r="I724" s="1" t="s">
        <v>4312</v>
      </c>
      <c r="J724" s="1">
        <v>66.0</v>
      </c>
      <c r="K724" s="1" t="s">
        <v>4313</v>
      </c>
      <c r="L724" s="1" t="s">
        <v>2291</v>
      </c>
      <c r="M724" s="1" t="s">
        <v>1616</v>
      </c>
      <c r="N724" s="1" t="s">
        <v>2292</v>
      </c>
      <c r="O724" s="1" t="s">
        <v>2978</v>
      </c>
      <c r="P724" s="1">
        <v>478586.0</v>
      </c>
      <c r="Q724" s="3" t="str">
        <f>VLOOKUP(A724,Posters!A724:B1723,2)</f>
        <v>https://m.media-amazon.com/images/M/MV5BNjk1Njk3YjctMmMyYS00Y2I4LThhMzktN2U0MTMyZTFlYWQ5XkEyXkFqcGdeQXVyODM2ODEzMDA@._V1_UY98_CR15,0,67,98_AL_.jpg</v>
      </c>
    </row>
    <row r="725">
      <c r="A725" s="1">
        <v>724.0</v>
      </c>
      <c r="B725" s="1" t="s">
        <v>4314</v>
      </c>
      <c r="C725" s="2">
        <v>3.3800859E7</v>
      </c>
      <c r="D725" s="1">
        <v>2017.0</v>
      </c>
      <c r="E725" s="1" t="s">
        <v>212</v>
      </c>
      <c r="F725" s="1" t="s">
        <v>907</v>
      </c>
      <c r="G725" s="1" t="s">
        <v>235</v>
      </c>
      <c r="H725" s="1">
        <v>7.7</v>
      </c>
      <c r="I725" s="1" t="s">
        <v>4315</v>
      </c>
      <c r="J725" s="1">
        <v>73.0</v>
      </c>
      <c r="K725" s="1" t="s">
        <v>4316</v>
      </c>
      <c r="L725" s="1" t="s">
        <v>4317</v>
      </c>
      <c r="M725" s="1" t="s">
        <v>2339</v>
      </c>
      <c r="N725" s="1" t="s">
        <v>4318</v>
      </c>
      <c r="O725" s="1" t="s">
        <v>4319</v>
      </c>
      <c r="P725" s="1">
        <v>205444.0</v>
      </c>
      <c r="Q725" s="3" t="str">
        <f>VLOOKUP(A725,Posters!A725:B1724,2)</f>
        <v>https://m.media-amazon.com/images/M/MV5BMTUyMjU1OTUwM15BMl5BanBnXkFtZTgwMDg1NDQ2MjI@._V1_UX67_CR0,0,67,98_AL_.jpg</v>
      </c>
    </row>
    <row r="726">
      <c r="A726" s="1">
        <v>725.0</v>
      </c>
      <c r="B726" s="1" t="s">
        <v>4320</v>
      </c>
      <c r="C726" s="2">
        <v>1.76040665E8</v>
      </c>
      <c r="D726" s="1">
        <v>2017.0</v>
      </c>
      <c r="E726" s="1" t="s">
        <v>212</v>
      </c>
      <c r="F726" s="1" t="s">
        <v>647</v>
      </c>
      <c r="G726" s="1" t="s">
        <v>397</v>
      </c>
      <c r="H726" s="1">
        <v>7.7</v>
      </c>
      <c r="I726" s="1" t="s">
        <v>4321</v>
      </c>
      <c r="J726" s="1">
        <v>85.0</v>
      </c>
      <c r="K726" s="1" t="s">
        <v>4322</v>
      </c>
      <c r="L726" s="1" t="s">
        <v>4323</v>
      </c>
      <c r="M726" s="1" t="s">
        <v>4324</v>
      </c>
      <c r="N726" s="1" t="s">
        <v>4325</v>
      </c>
      <c r="O726" s="1" t="s">
        <v>1608</v>
      </c>
      <c r="P726" s="1">
        <v>492851.0</v>
      </c>
      <c r="Q726" s="3" t="str">
        <f>VLOOKUP(A726,Posters!A726:B1725,2)</f>
        <v>https://m.media-amazon.com/images/M/MV5BMjUxMDQwNjcyNl5BMl5BanBnXkFtZTgwNzcwMzc0MTI@._V1_UX67_CR0,0,67,98_AL_.jpg</v>
      </c>
    </row>
    <row r="727">
      <c r="A727" s="1">
        <v>726.0</v>
      </c>
      <c r="B727" s="1" t="s">
        <v>4326</v>
      </c>
      <c r="C727" s="2">
        <v>2.20159104E8</v>
      </c>
      <c r="D727" s="1">
        <v>2018.0</v>
      </c>
      <c r="E727" s="1" t="s">
        <v>37</v>
      </c>
      <c r="F727" s="1" t="s">
        <v>443</v>
      </c>
      <c r="G727" s="1" t="s">
        <v>2406</v>
      </c>
      <c r="H727" s="1">
        <v>7.7</v>
      </c>
      <c r="I727" s="1" t="s">
        <v>4327</v>
      </c>
      <c r="J727" s="1">
        <v>86.0</v>
      </c>
      <c r="K727" s="1" t="s">
        <v>4328</v>
      </c>
      <c r="L727" s="1" t="s">
        <v>2486</v>
      </c>
      <c r="M727" s="1" t="s">
        <v>4329</v>
      </c>
      <c r="N727" s="1" t="s">
        <v>4330</v>
      </c>
      <c r="O727" s="1" t="s">
        <v>3102</v>
      </c>
      <c r="P727" s="1">
        <v>291257.0</v>
      </c>
      <c r="Q727" s="3" t="str">
        <f>VLOOKUP(A727,Posters!A727:B1726,2)</f>
        <v>https://m.media-amazon.com/images/M/MV5BNjRlZmM0ODktY2RjNS00ZDdjLWJhZGYtNDljNWZkMGM5MTg0XkEyXkFqcGdeQXVyNjAwMjI5MDk@._V1_UX67_CR0,0,67,98_AL_.jpg</v>
      </c>
    </row>
    <row r="728">
      <c r="A728" s="1">
        <v>727.0</v>
      </c>
      <c r="B728" s="1" t="s">
        <v>4331</v>
      </c>
      <c r="C728" s="2">
        <v>3358518.0</v>
      </c>
      <c r="D728" s="1">
        <v>2015.0</v>
      </c>
      <c r="E728" s="1" t="s">
        <v>161</v>
      </c>
      <c r="F728" s="1" t="s">
        <v>226</v>
      </c>
      <c r="G728" s="1" t="s">
        <v>227</v>
      </c>
      <c r="H728" s="1">
        <v>7.7</v>
      </c>
      <c r="I728" s="1" t="s">
        <v>4332</v>
      </c>
      <c r="J728" s="1">
        <v>70.0</v>
      </c>
      <c r="K728" s="1" t="s">
        <v>4333</v>
      </c>
      <c r="L728" s="1" t="s">
        <v>4334</v>
      </c>
      <c r="M728" s="1" t="s">
        <v>4335</v>
      </c>
      <c r="N728" s="1" t="s">
        <v>4336</v>
      </c>
      <c r="O728" s="1" t="s">
        <v>4337</v>
      </c>
      <c r="P728" s="1">
        <v>47444.0</v>
      </c>
      <c r="Q728" s="3" t="str">
        <f>VLOOKUP(A728,Posters!A728:B1727,2)</f>
        <v>https://m.media-amazon.com/images/M/MV5BMjE0NDUyOTc2MV5BMl5BanBnXkFtZTgwODk2NzU3OTE@._V1_UX67_CR0,0,67,98_AL_.jpg</v>
      </c>
    </row>
    <row r="729">
      <c r="A729" s="1">
        <v>728.0</v>
      </c>
      <c r="B729" s="1" t="s">
        <v>4338</v>
      </c>
      <c r="C729" s="2">
        <v>3333000.0</v>
      </c>
      <c r="D729" s="1">
        <v>2014.0</v>
      </c>
      <c r="E729" s="1" t="s">
        <v>212</v>
      </c>
      <c r="F729" s="1" t="s">
        <v>1206</v>
      </c>
      <c r="G729" s="1" t="s">
        <v>3156</v>
      </c>
      <c r="H729" s="1">
        <v>7.7</v>
      </c>
      <c r="I729" s="1" t="s">
        <v>4339</v>
      </c>
      <c r="J729" s="1">
        <v>76.0</v>
      </c>
      <c r="K729" s="1" t="s">
        <v>4340</v>
      </c>
      <c r="L729" s="1" t="s">
        <v>2977</v>
      </c>
      <c r="M729" s="1" t="s">
        <v>4340</v>
      </c>
      <c r="N729" s="1" t="s">
        <v>2977</v>
      </c>
      <c r="O729" s="1" t="s">
        <v>4341</v>
      </c>
      <c r="P729" s="1">
        <v>157498.0</v>
      </c>
      <c r="Q729" s="3" t="str">
        <f>VLOOKUP(A729,Posters!A729:B1728,2)</f>
        <v>https://m.media-amazon.com/images/M/MV5BMjAwNDA5NzEwM15BMl5BanBnXkFtZTgwMTA1MDUyNDE@._V1_UX67_CR0,0,67,98_AL_.jpg</v>
      </c>
    </row>
    <row r="730">
      <c r="A730" s="1">
        <v>729.0</v>
      </c>
      <c r="B730" s="1" t="s">
        <v>4342</v>
      </c>
      <c r="C730" s="2">
        <v>765127.0</v>
      </c>
      <c r="D730" s="1">
        <v>2014.0</v>
      </c>
      <c r="E730" s="1" t="s">
        <v>52</v>
      </c>
      <c r="F730" s="1" t="s">
        <v>885</v>
      </c>
      <c r="G730" s="1" t="s">
        <v>1384</v>
      </c>
      <c r="H730" s="1">
        <v>7.7</v>
      </c>
      <c r="I730" s="1" t="s">
        <v>4343</v>
      </c>
      <c r="J730" s="1">
        <v>72.0</v>
      </c>
      <c r="K730" s="1" t="s">
        <v>4344</v>
      </c>
      <c r="L730" s="1" t="s">
        <v>4345</v>
      </c>
      <c r="M730" s="1" t="s">
        <v>4346</v>
      </c>
      <c r="N730" s="1" t="s">
        <v>4347</v>
      </c>
      <c r="O730" s="1" t="s">
        <v>4348</v>
      </c>
      <c r="P730" s="1">
        <v>32798.0</v>
      </c>
      <c r="Q730" s="3" t="str">
        <f>VLOOKUP(A730,Posters!A730:B1729,2)</f>
        <v>https://m.media-amazon.com/images/M/MV5BZTlmYTJmMWEtNDRhNy00ODc1LTg2OTMtMjk2ODJhNTA4YTE1XkEyXkFqcGdeQXVyMTMxODk2OTU@._V1_UY98_CR0,0,67,98_AL_.jpg</v>
      </c>
    </row>
    <row r="731">
      <c r="A731" s="1">
        <v>730.0</v>
      </c>
      <c r="B731" s="1" t="s">
        <v>4349</v>
      </c>
      <c r="C731" s="2">
        <v>3.5893537E7</v>
      </c>
      <c r="D731" s="1">
        <v>2014.0</v>
      </c>
      <c r="E731" s="1" t="s">
        <v>52</v>
      </c>
      <c r="F731" s="1" t="s">
        <v>678</v>
      </c>
      <c r="G731" s="1" t="s">
        <v>4350</v>
      </c>
      <c r="H731" s="1">
        <v>7.7</v>
      </c>
      <c r="I731" s="1" t="s">
        <v>4351</v>
      </c>
      <c r="J731" s="1">
        <v>72.0</v>
      </c>
      <c r="K731" s="1" t="s">
        <v>4352</v>
      </c>
      <c r="L731" s="1" t="s">
        <v>3752</v>
      </c>
      <c r="M731" s="1" t="s">
        <v>3592</v>
      </c>
      <c r="N731" s="1" t="s">
        <v>4353</v>
      </c>
      <c r="O731" s="1" t="s">
        <v>4354</v>
      </c>
      <c r="P731" s="1">
        <v>404182.0</v>
      </c>
      <c r="Q731" s="3" t="str">
        <f>VLOOKUP(A731,Posters!A731:B1730,2)</f>
        <v>https://m.media-amazon.com/images/M/MV5BMTAwMTU4MDA3NDNeQTJeQWpwZ15BbWU4MDk4NTMxNTIx._V1_UX67_CR0,0,67,98_AL_.jpg</v>
      </c>
    </row>
    <row r="732">
      <c r="A732" s="1">
        <v>731.0</v>
      </c>
      <c r="B732" s="1" t="s">
        <v>4355</v>
      </c>
      <c r="C732" s="2">
        <v>1.28261724E8</v>
      </c>
      <c r="D732" s="1">
        <v>2014.0</v>
      </c>
      <c r="E732" s="1" t="s">
        <v>18</v>
      </c>
      <c r="F732" s="1" t="s">
        <v>830</v>
      </c>
      <c r="G732" s="1" t="s">
        <v>1252</v>
      </c>
      <c r="H732" s="1">
        <v>7.7</v>
      </c>
      <c r="I732" s="1" t="s">
        <v>4356</v>
      </c>
      <c r="J732" s="1">
        <v>60.0</v>
      </c>
      <c r="K732" s="1" t="s">
        <v>4357</v>
      </c>
      <c r="L732" s="1" t="s">
        <v>645</v>
      </c>
      <c r="M732" s="1" t="s">
        <v>4358</v>
      </c>
      <c r="N732" s="1" t="s">
        <v>75</v>
      </c>
      <c r="O732" s="1" t="s">
        <v>45</v>
      </c>
      <c r="P732" s="1">
        <v>590440.0</v>
      </c>
      <c r="Q732" s="3" t="str">
        <f>VLOOKUP(A732,Posters!A732:B1731,2)</f>
        <v>https://m.media-amazon.com/images/M/MV5BYTM3ZTllNzItNTNmOS00NzJiLTg1MWMtMjMxNDc0NmJhODU5XkEyXkFqcGdeQXVyODE5NzE3OTE@._V1_UX67_CR0,0,67,98_AL_.jpg</v>
      </c>
    </row>
    <row r="733">
      <c r="A733" s="1">
        <v>732.0</v>
      </c>
      <c r="B733" s="1" t="s">
        <v>4359</v>
      </c>
      <c r="C733" s="2">
        <v>1.2487235E8</v>
      </c>
      <c r="D733" s="1">
        <v>2014.0</v>
      </c>
      <c r="E733" s="1" t="s">
        <v>37</v>
      </c>
      <c r="F733" s="1" t="s">
        <v>428</v>
      </c>
      <c r="G733" s="1" t="s">
        <v>107</v>
      </c>
      <c r="H733" s="1">
        <v>7.7</v>
      </c>
      <c r="I733" s="1" t="s">
        <v>4360</v>
      </c>
      <c r="J733" s="1">
        <v>69.0</v>
      </c>
      <c r="K733" s="1" t="s">
        <v>4361</v>
      </c>
      <c r="L733" s="1" t="s">
        <v>4362</v>
      </c>
      <c r="M733" s="1" t="s">
        <v>4363</v>
      </c>
      <c r="N733" s="1" t="s">
        <v>4364</v>
      </c>
      <c r="O733" s="1" t="s">
        <v>1785</v>
      </c>
      <c r="P733" s="1">
        <v>344312.0</v>
      </c>
      <c r="Q733" s="3" t="str">
        <f>VLOOKUP(A733,Posters!A733:B1732,2)</f>
        <v>https://m.media-amazon.com/images/M/MV5BNTVkMTFiZWItOTFkOC00YTc3LWFhYzQtZTg3NzAxZjJlNTAyXkEyXkFqcGdeQXVyODE5NzE3OTE@._V1_UX67_CR0,0,67,98_AL_.jpg</v>
      </c>
    </row>
    <row r="734">
      <c r="A734" s="1">
        <v>733.0</v>
      </c>
      <c r="B734" s="1" t="s">
        <v>4365</v>
      </c>
      <c r="C734" s="2">
        <v>6743776.0</v>
      </c>
      <c r="D734" s="1">
        <v>2015.0</v>
      </c>
      <c r="E734" s="1" t="s">
        <v>161</v>
      </c>
      <c r="F734" s="1" t="s">
        <v>487</v>
      </c>
      <c r="G734" s="1" t="s">
        <v>507</v>
      </c>
      <c r="H734" s="1">
        <v>7.7</v>
      </c>
      <c r="I734" s="1" t="s">
        <v>4366</v>
      </c>
      <c r="J734" s="1">
        <v>74.0</v>
      </c>
      <c r="K734" s="1" t="s">
        <v>4367</v>
      </c>
      <c r="L734" s="1" t="s">
        <v>4368</v>
      </c>
      <c r="M734" s="1" t="s">
        <v>4369</v>
      </c>
      <c r="N734" s="1" t="s">
        <v>3528</v>
      </c>
      <c r="O734" s="1" t="s">
        <v>4370</v>
      </c>
      <c r="P734" s="1">
        <v>123210.0</v>
      </c>
      <c r="Q734" s="3" t="str">
        <f>VLOOKUP(A734,Posters!A734:B1733,2)</f>
        <v>https://m.media-amazon.com/images/M/MV5BNTA1NzUzNjY4MV5BMl5BanBnXkFtZTgwNDU0MDI0NTE@._V1_UX67_CR0,0,67,98_AL_.jpg</v>
      </c>
    </row>
    <row r="735">
      <c r="A735" s="1">
        <v>734.0</v>
      </c>
      <c r="B735" s="1" t="s">
        <v>4371</v>
      </c>
      <c r="C735" s="2">
        <v>4.2340598E7</v>
      </c>
      <c r="D735" s="1">
        <v>2014.0</v>
      </c>
      <c r="E735" s="1" t="s">
        <v>18</v>
      </c>
      <c r="F735" s="1" t="s">
        <v>329</v>
      </c>
      <c r="G735" s="1" t="s">
        <v>507</v>
      </c>
      <c r="H735" s="1">
        <v>7.7</v>
      </c>
      <c r="I735" s="1" t="s">
        <v>4372</v>
      </c>
      <c r="J735" s="1">
        <v>87.0</v>
      </c>
      <c r="K735" s="1" t="s">
        <v>1677</v>
      </c>
      <c r="L735" s="1" t="s">
        <v>1517</v>
      </c>
      <c r="M735" s="1" t="s">
        <v>4373</v>
      </c>
      <c r="N735" s="1" t="s">
        <v>99</v>
      </c>
      <c r="O735" s="1" t="s">
        <v>4374</v>
      </c>
      <c r="P735" s="1">
        <v>580291.0</v>
      </c>
      <c r="Q735" s="3" t="str">
        <f>VLOOKUP(A735,Posters!A735:B1734,2)</f>
        <v>https://m.media-amazon.com/images/M/MV5BODAzNDMxMzAxOV5BMl5BanBnXkFtZTgwMDMxMjA4MjE@._V1_UX67_CR0,0,67,98_AL_.jpg</v>
      </c>
    </row>
    <row r="736">
      <c r="A736" s="1">
        <v>735.0</v>
      </c>
      <c r="B736" s="1" t="s">
        <v>4375</v>
      </c>
      <c r="C736" s="2">
        <v>2199675.0</v>
      </c>
      <c r="D736" s="1">
        <v>2013.0</v>
      </c>
      <c r="E736" s="1" t="s">
        <v>18</v>
      </c>
      <c r="F736" s="1" t="s">
        <v>1077</v>
      </c>
      <c r="G736" s="1" t="s">
        <v>107</v>
      </c>
      <c r="H736" s="1">
        <v>7.7</v>
      </c>
      <c r="I736" s="1" t="s">
        <v>4376</v>
      </c>
      <c r="J736" s="1">
        <v>89.0</v>
      </c>
      <c r="K736" s="1" t="s">
        <v>4377</v>
      </c>
      <c r="L736" s="1" t="s">
        <v>4378</v>
      </c>
      <c r="M736" s="1" t="s">
        <v>4379</v>
      </c>
      <c r="N736" s="1" t="s">
        <v>4380</v>
      </c>
      <c r="O736" s="1" t="s">
        <v>4381</v>
      </c>
      <c r="P736" s="1">
        <v>138741.0</v>
      </c>
      <c r="Q736" s="3" t="str">
        <f>VLOOKUP(A736,Posters!A736:B1735,2)</f>
        <v>https://m.media-amazon.com/images/M/MV5BMTQ5NTg5ODk4OV5BMl5BanBnXkFtZTgwODc4MTMzMDE@._V1_UX67_CR0,0,67,98_AL_.jpg</v>
      </c>
    </row>
    <row r="737">
      <c r="A737" s="1">
        <v>736.0</v>
      </c>
      <c r="B737" s="1" t="s">
        <v>4382</v>
      </c>
      <c r="C737" s="2">
        <v>1122527.0</v>
      </c>
      <c r="D737" s="1">
        <v>2013.0</v>
      </c>
      <c r="E737" s="1" t="s">
        <v>52</v>
      </c>
      <c r="F737" s="1" t="s">
        <v>195</v>
      </c>
      <c r="G737" s="1" t="s">
        <v>1622</v>
      </c>
      <c r="H737" s="1">
        <v>7.7</v>
      </c>
      <c r="I737" s="1" t="s">
        <v>4383</v>
      </c>
      <c r="J737" s="1">
        <v>40.0</v>
      </c>
      <c r="K737" s="1" t="s">
        <v>4384</v>
      </c>
      <c r="L737" s="1" t="s">
        <v>4385</v>
      </c>
      <c r="M737" s="1" t="s">
        <v>942</v>
      </c>
      <c r="N737" s="1" t="s">
        <v>1008</v>
      </c>
      <c r="O737" s="1" t="s">
        <v>4386</v>
      </c>
      <c r="P737" s="1">
        <v>32628.0</v>
      </c>
      <c r="Q737" s="3" t="str">
        <f>VLOOKUP(A737,Posters!A737:B1736,2)</f>
        <v>https://m.media-amazon.com/images/M/MV5BMTgwNTAwMjEzMF5BMl5BanBnXkFtZTcwNzMzODY4OA@@._V1_UY98_CR3,0,67,98_AL_.jpg</v>
      </c>
    </row>
    <row r="738">
      <c r="A738" s="1">
        <v>737.0</v>
      </c>
      <c r="B738" s="1" t="s">
        <v>4387</v>
      </c>
      <c r="C738" s="2">
        <v>175058.0</v>
      </c>
      <c r="D738" s="1">
        <v>2012.0</v>
      </c>
      <c r="E738" s="1">
        <v>16.0</v>
      </c>
      <c r="F738" s="1" t="s">
        <v>1663</v>
      </c>
      <c r="G738" s="1" t="s">
        <v>1706</v>
      </c>
      <c r="H738" s="1">
        <v>7.7</v>
      </c>
      <c r="I738" s="1" t="s">
        <v>4388</v>
      </c>
      <c r="J738" s="1">
        <v>70.0</v>
      </c>
      <c r="K738" s="1" t="s">
        <v>4389</v>
      </c>
      <c r="L738" s="1" t="s">
        <v>4390</v>
      </c>
      <c r="M738" s="1" t="s">
        <v>4391</v>
      </c>
      <c r="N738" s="1" t="s">
        <v>4392</v>
      </c>
      <c r="O738" s="1" t="s">
        <v>4393</v>
      </c>
      <c r="P738" s="1">
        <v>39379.0</v>
      </c>
      <c r="Q738" s="3" t="str">
        <f>VLOOKUP(A738,Posters!A738:B1737,2)</f>
        <v>https://m.media-amazon.com/images/M/MV5BMTQzMzg2Nzg2MF5BMl5BanBnXkFtZTgwNjUzNzIzMDE@._V1_UX67_CR0,0,67,98_AL_.jpg</v>
      </c>
    </row>
    <row r="739">
      <c r="A739" s="1">
        <v>738.0</v>
      </c>
      <c r="B739" s="1" t="s">
        <v>4394</v>
      </c>
      <c r="C739" s="2">
        <v>2.59766572E8</v>
      </c>
      <c r="D739" s="1">
        <v>2014.0</v>
      </c>
      <c r="E739" s="1" t="s">
        <v>37</v>
      </c>
      <c r="F739" s="1" t="s">
        <v>127</v>
      </c>
      <c r="G739" s="1" t="s">
        <v>88</v>
      </c>
      <c r="H739" s="1">
        <v>7.7</v>
      </c>
      <c r="I739" s="1" t="s">
        <v>4395</v>
      </c>
      <c r="J739" s="1">
        <v>70.0</v>
      </c>
      <c r="K739" s="1" t="s">
        <v>477</v>
      </c>
      <c r="L739" s="1" t="s">
        <v>478</v>
      </c>
      <c r="M739" s="1" t="s">
        <v>480</v>
      </c>
      <c r="N739" s="1" t="s">
        <v>75</v>
      </c>
      <c r="O739" s="1" t="s">
        <v>307</v>
      </c>
      <c r="P739" s="1">
        <v>736182.0</v>
      </c>
      <c r="Q739" s="3" t="str">
        <f>VLOOKUP(A739,Posters!A739:B1738,2)</f>
        <v>https://m.media-amazon.com/images/M/MV5BMzA2NDkwODAwM15BMl5BanBnXkFtZTgwODk5MTgzMTE@._V1_UY98_CR0,0,67,98_AL_.jpg</v>
      </c>
    </row>
    <row r="740">
      <c r="A740" s="1">
        <v>739.0</v>
      </c>
      <c r="B740" s="1" t="s">
        <v>4396</v>
      </c>
      <c r="C740" s="2">
        <v>985912.0</v>
      </c>
      <c r="D740" s="1">
        <v>2011.0</v>
      </c>
      <c r="E740" s="1" t="s">
        <v>37</v>
      </c>
      <c r="F740" s="1" t="s">
        <v>2168</v>
      </c>
      <c r="G740" s="1" t="s">
        <v>3319</v>
      </c>
      <c r="H740" s="1">
        <v>7.7</v>
      </c>
      <c r="I740" s="1" t="s">
        <v>4397</v>
      </c>
      <c r="K740" s="1" t="s">
        <v>3083</v>
      </c>
      <c r="L740" s="1" t="s">
        <v>1497</v>
      </c>
      <c r="M740" s="1" t="s">
        <v>4398</v>
      </c>
      <c r="N740" s="1" t="s">
        <v>4399</v>
      </c>
      <c r="O740" s="1" t="s">
        <v>2160</v>
      </c>
      <c r="P740" s="1">
        <v>39501.0</v>
      </c>
      <c r="Q740" s="3" t="str">
        <f>VLOOKUP(A740,Posters!A740:B1739,2)</f>
        <v>https://m.media-amazon.com/images/M/MV5BOTc3NzAxMjg4M15BMl5BanBnXkFtZTcwMDc2ODQwNw@@._V1_UY98_CR3,0,67,98_AL_.jpg</v>
      </c>
    </row>
    <row r="741">
      <c r="A741" s="1">
        <v>740.0</v>
      </c>
      <c r="B741" s="1" t="s">
        <v>4400</v>
      </c>
      <c r="C741" s="2">
        <v>1.7654912E7</v>
      </c>
      <c r="D741" s="1">
        <v>2013.0</v>
      </c>
      <c r="E741" s="1" t="s">
        <v>37</v>
      </c>
      <c r="F741" s="1" t="s">
        <v>563</v>
      </c>
      <c r="G741" s="1" t="s">
        <v>1004</v>
      </c>
      <c r="H741" s="1">
        <v>7.7</v>
      </c>
      <c r="I741" s="1" t="s">
        <v>4401</v>
      </c>
      <c r="J741" s="1">
        <v>87.0</v>
      </c>
      <c r="K741" s="1" t="s">
        <v>4402</v>
      </c>
      <c r="L741" s="1" t="s">
        <v>4403</v>
      </c>
      <c r="M741" s="1" t="s">
        <v>4404</v>
      </c>
      <c r="N741" s="1" t="s">
        <v>4405</v>
      </c>
      <c r="O741" s="1" t="s">
        <v>4406</v>
      </c>
      <c r="P741" s="1">
        <v>112298.0</v>
      </c>
      <c r="Q741" s="3" t="str">
        <f>VLOOKUP(A741,Posters!A741:B1740,2)</f>
        <v>https://m.media-amazon.com/images/M/MV5BOGQzODdlMDktNzU4ZC00N2M3LWFkYTAtYTM1NTE0ZWI5YTg4XkEyXkFqcGdeQXVyMTA1NTM1NDI2._V1_UX67_CR0,0,67,98_AL_.jpg</v>
      </c>
    </row>
    <row r="742">
      <c r="A742" s="1">
        <v>741.0</v>
      </c>
      <c r="B742" s="1" t="s">
        <v>4407</v>
      </c>
      <c r="C742" s="2">
        <v>1.89422889E8</v>
      </c>
      <c r="D742" s="1">
        <v>2012.0</v>
      </c>
      <c r="E742" s="1" t="s">
        <v>52</v>
      </c>
      <c r="F742" s="1" t="s">
        <v>535</v>
      </c>
      <c r="G742" s="1" t="s">
        <v>765</v>
      </c>
      <c r="H742" s="1">
        <v>7.7</v>
      </c>
      <c r="I742" s="1" t="s">
        <v>4408</v>
      </c>
      <c r="J742" s="1">
        <v>72.0</v>
      </c>
      <c r="K742" s="1" t="s">
        <v>2192</v>
      </c>
      <c r="L742" s="1" t="s">
        <v>4409</v>
      </c>
      <c r="M742" s="1" t="s">
        <v>4410</v>
      </c>
      <c r="N742" s="1" t="s">
        <v>4411</v>
      </c>
      <c r="O742" s="1" t="s">
        <v>4412</v>
      </c>
      <c r="P742" s="1">
        <v>380195.0</v>
      </c>
      <c r="Q742" s="3" t="str">
        <f>VLOOKUP(A742,Posters!A742:B1741,2)</f>
        <v>https://m.media-amazon.com/images/M/MV5BNzMxNTExOTkyMF5BMl5BanBnXkFtZTcwMzEyNDc0OA@@._V1_UX67_CR0,0,67,98_AL_.jpg</v>
      </c>
    </row>
    <row r="743">
      <c r="A743" s="1">
        <v>742.0</v>
      </c>
      <c r="B743" s="1" t="s">
        <v>4413</v>
      </c>
      <c r="C743" s="2">
        <v>1339152.0</v>
      </c>
      <c r="D743" s="1">
        <v>2015.0</v>
      </c>
      <c r="E743" s="1" t="s">
        <v>270</v>
      </c>
      <c r="F743" s="1" t="s">
        <v>714</v>
      </c>
      <c r="G743" s="1" t="s">
        <v>352</v>
      </c>
      <c r="H743" s="1">
        <v>7.7</v>
      </c>
      <c r="I743" s="1" t="s">
        <v>4414</v>
      </c>
      <c r="J743" s="1">
        <v>70.0</v>
      </c>
      <c r="K743" s="1" t="s">
        <v>4415</v>
      </c>
      <c r="L743" s="1" t="s">
        <v>1727</v>
      </c>
      <c r="M743" s="1" t="s">
        <v>193</v>
      </c>
      <c r="N743" s="1" t="s">
        <v>1518</v>
      </c>
      <c r="O743" s="1" t="s">
        <v>4416</v>
      </c>
      <c r="P743" s="1">
        <v>56720.0</v>
      </c>
      <c r="Q743" s="3" t="str">
        <f>VLOOKUP(A743,Posters!A743:B1742,2)</f>
        <v>https://m.media-amazon.com/images/M/MV5BNjg0OTM5OTQyNV5BMl5BanBnXkFtZTgwNDg5NDQ0NTE@._V1_UY98_CR2,0,67,98_AL_.jpg</v>
      </c>
    </row>
    <row r="744">
      <c r="A744" s="1">
        <v>743.0</v>
      </c>
      <c r="B744" s="1" t="s">
        <v>4417</v>
      </c>
      <c r="C744" s="2">
        <v>71177.0</v>
      </c>
      <c r="D744" s="1">
        <v>2011.0</v>
      </c>
      <c r="E744" s="1" t="s">
        <v>4418</v>
      </c>
      <c r="F744" s="1" t="s">
        <v>519</v>
      </c>
      <c r="G744" s="1" t="s">
        <v>20</v>
      </c>
      <c r="H744" s="1">
        <v>7.7</v>
      </c>
      <c r="I744" s="1" t="s">
        <v>4419</v>
      </c>
      <c r="J744" s="1">
        <v>52.0</v>
      </c>
      <c r="K744" s="1" t="s">
        <v>331</v>
      </c>
      <c r="L744" s="1" t="s">
        <v>317</v>
      </c>
      <c r="M744" s="1" t="s">
        <v>4420</v>
      </c>
      <c r="N744" s="1" t="s">
        <v>1609</v>
      </c>
      <c r="O744" s="1" t="s">
        <v>4421</v>
      </c>
      <c r="P744" s="1">
        <v>77071.0</v>
      </c>
      <c r="Q744" s="3" t="str">
        <f>VLOOKUP(A744,Posters!A744:B1743,2)</f>
        <v>https://m.media-amazon.com/images/M/MV5BMTM3NzQzMDA5Ml5BMl5BanBnXkFtZTcwODA5NTcyNw@@._V1_UY98_CR0,0,67,98_AL_.jpg</v>
      </c>
    </row>
    <row r="745">
      <c r="A745" s="1">
        <v>744.0</v>
      </c>
      <c r="B745" s="1" t="s">
        <v>4422</v>
      </c>
      <c r="C745" s="2">
        <v>5.6816662E7</v>
      </c>
      <c r="D745" s="1">
        <v>2011.0</v>
      </c>
      <c r="E745" s="1" t="s">
        <v>161</v>
      </c>
      <c r="F745" s="1" t="s">
        <v>53</v>
      </c>
      <c r="G745" s="1" t="s">
        <v>2566</v>
      </c>
      <c r="H745" s="1">
        <v>7.7</v>
      </c>
      <c r="I745" s="1" t="s">
        <v>4423</v>
      </c>
      <c r="J745" s="1">
        <v>81.0</v>
      </c>
      <c r="K745" s="1" t="s">
        <v>2671</v>
      </c>
      <c r="L745" s="1" t="s">
        <v>2208</v>
      </c>
      <c r="M745" s="1" t="s">
        <v>1518</v>
      </c>
      <c r="N745" s="1" t="s">
        <v>3951</v>
      </c>
      <c r="O745" s="1" t="s">
        <v>4424</v>
      </c>
      <c r="P745" s="1">
        <v>388089.0</v>
      </c>
      <c r="Q745" s="3" t="str">
        <f>VLOOKUP(A745,Posters!A745:B1744,2)</f>
        <v>https://m.media-amazon.com/images/M/MV5BMTM4NjY1MDQwMl5BMl5BanBnXkFtZTcwNTI3Njg3NA@@._V1_UX67_CR0,0,67,98_AL_.jpg</v>
      </c>
    </row>
    <row r="746">
      <c r="A746" s="1">
        <v>745.0</v>
      </c>
      <c r="B746" s="1" t="s">
        <v>4425</v>
      </c>
      <c r="C746" s="2">
        <v>2.57760692E8</v>
      </c>
      <c r="D746" s="1">
        <v>2014.0</v>
      </c>
      <c r="E746" s="1" t="s">
        <v>52</v>
      </c>
      <c r="F746" s="1" t="s">
        <v>1439</v>
      </c>
      <c r="G746" s="1" t="s">
        <v>467</v>
      </c>
      <c r="H746" s="1">
        <v>7.7</v>
      </c>
      <c r="I746" s="1" t="s">
        <v>4426</v>
      </c>
      <c r="J746" s="1">
        <v>83.0</v>
      </c>
      <c r="K746" s="1" t="s">
        <v>4427</v>
      </c>
      <c r="L746" s="1" t="s">
        <v>4428</v>
      </c>
      <c r="M746" s="1" t="s">
        <v>2243</v>
      </c>
      <c r="N746" s="1" t="s">
        <v>4429</v>
      </c>
      <c r="O746" s="1" t="s">
        <v>4430</v>
      </c>
      <c r="P746" s="1">
        <v>323982.0</v>
      </c>
      <c r="Q746" s="3" t="str">
        <f>VLOOKUP(A746,Posters!A746:B1745,2)</f>
        <v>https://m.media-amazon.com/images/M/MV5BMTg4MDk1ODExN15BMl5BanBnXkFtZTgwNzIyNjg3MDE@._V1_UX67_CR0,0,67,98_AL_.jpg</v>
      </c>
    </row>
    <row r="747">
      <c r="A747" s="1">
        <v>746.0</v>
      </c>
      <c r="B747" s="1" t="s">
        <v>4431</v>
      </c>
      <c r="C747" s="2">
        <v>2.74092705E8</v>
      </c>
      <c r="D747" s="1">
        <v>2013.0</v>
      </c>
      <c r="E747" s="1" t="s">
        <v>37</v>
      </c>
      <c r="F747" s="1" t="s">
        <v>1259</v>
      </c>
      <c r="G747" s="1" t="s">
        <v>3959</v>
      </c>
      <c r="H747" s="1">
        <v>7.7</v>
      </c>
      <c r="I747" s="1" t="s">
        <v>4432</v>
      </c>
      <c r="J747" s="1">
        <v>96.0</v>
      </c>
      <c r="K747" s="1" t="s">
        <v>3175</v>
      </c>
      <c r="L747" s="1" t="s">
        <v>4433</v>
      </c>
      <c r="M747" s="1" t="s">
        <v>3135</v>
      </c>
      <c r="N747" s="1" t="s">
        <v>1151</v>
      </c>
      <c r="O747" s="1" t="s">
        <v>4434</v>
      </c>
      <c r="P747" s="1">
        <v>769145.0</v>
      </c>
      <c r="Q747" s="3" t="str">
        <f>VLOOKUP(A747,Posters!A747:B1746,2)</f>
        <v>https://m.media-amazon.com/images/M/MV5BNjE5MzYwMzYxMF5BMl5BanBnXkFtZTcwOTk4MTk0OQ@@._V1_UX67_CR0,0,67,98_AL_.jpg</v>
      </c>
    </row>
    <row r="748">
      <c r="A748" s="1">
        <v>747.0</v>
      </c>
      <c r="B748" s="1" t="s">
        <v>4435</v>
      </c>
      <c r="C748" s="2">
        <v>2.28778661E8</v>
      </c>
      <c r="D748" s="1">
        <v>2013.0</v>
      </c>
      <c r="E748" s="1" t="s">
        <v>37</v>
      </c>
      <c r="F748" s="1" t="s">
        <v>170</v>
      </c>
      <c r="G748" s="1" t="s">
        <v>88</v>
      </c>
      <c r="H748" s="1">
        <v>7.7</v>
      </c>
      <c r="I748" s="1" t="s">
        <v>4436</v>
      </c>
      <c r="J748" s="1">
        <v>72.0</v>
      </c>
      <c r="K748" s="1" t="s">
        <v>3012</v>
      </c>
      <c r="L748" s="1" t="s">
        <v>3100</v>
      </c>
      <c r="M748" s="1" t="s">
        <v>3101</v>
      </c>
      <c r="N748" s="1" t="s">
        <v>2246</v>
      </c>
      <c r="O748" s="1" t="s">
        <v>2236</v>
      </c>
      <c r="P748" s="1">
        <v>463188.0</v>
      </c>
      <c r="Q748" s="3" t="str">
        <f>VLOOKUP(A748,Posters!A748:B1747,2)</f>
        <v>https://m.media-amazon.com/images/M/MV5BMTk2NzczOTgxNF5BMl5BanBnXkFtZTcwODQ5ODczOQ@@._V1_UX67_CR0,0,67,98_AL_.jpg</v>
      </c>
    </row>
    <row r="749">
      <c r="A749" s="1">
        <v>748.0</v>
      </c>
      <c r="B749" s="1" t="s">
        <v>4437</v>
      </c>
      <c r="C749" s="2">
        <v>83861.0</v>
      </c>
      <c r="D749" s="1">
        <v>2015.0</v>
      </c>
      <c r="E749" s="1">
        <v>18.0</v>
      </c>
      <c r="F749" s="1" t="s">
        <v>360</v>
      </c>
      <c r="G749" s="1" t="s">
        <v>213</v>
      </c>
      <c r="H749" s="1">
        <v>7.7</v>
      </c>
      <c r="I749" s="1" t="s">
        <v>4438</v>
      </c>
      <c r="J749" s="1">
        <v>79.0</v>
      </c>
      <c r="K749" s="1" t="s">
        <v>4439</v>
      </c>
      <c r="L749" s="1" t="s">
        <v>4440</v>
      </c>
      <c r="M749" s="1" t="s">
        <v>4441</v>
      </c>
      <c r="N749" s="1" t="s">
        <v>4442</v>
      </c>
      <c r="O749" s="1" t="s">
        <v>4443</v>
      </c>
      <c r="P749" s="1">
        <v>73964.0</v>
      </c>
      <c r="Q749" s="3" t="str">
        <f>VLOOKUP(A749,Posters!A749:B1748,2)</f>
        <v>https://m.media-amazon.com/images/M/MV5BMTYwMzMzMDI0NF5BMl5BanBnXkFtZTgwNDQ3NjI3NjE@._V1_UX67_CR0,0,67,98_AL_.jpg</v>
      </c>
    </row>
    <row r="750">
      <c r="A750" s="1">
        <v>749.0</v>
      </c>
      <c r="B750" s="1" t="s">
        <v>4444</v>
      </c>
      <c r="C750" s="2">
        <v>9.6962694E7</v>
      </c>
      <c r="D750" s="1">
        <v>2010.0</v>
      </c>
      <c r="E750" s="1" t="s">
        <v>37</v>
      </c>
      <c r="F750" s="1" t="s">
        <v>1546</v>
      </c>
      <c r="G750" s="1" t="s">
        <v>1148</v>
      </c>
      <c r="H750" s="1">
        <v>7.7</v>
      </c>
      <c r="I750" s="1" t="s">
        <v>4445</v>
      </c>
      <c r="J750" s="1">
        <v>95.0</v>
      </c>
      <c r="K750" s="1" t="s">
        <v>97</v>
      </c>
      <c r="L750" s="1" t="s">
        <v>4446</v>
      </c>
      <c r="M750" s="1" t="s">
        <v>1484</v>
      </c>
      <c r="N750" s="1" t="s">
        <v>4447</v>
      </c>
      <c r="O750" s="1" t="s">
        <v>2183</v>
      </c>
      <c r="P750" s="1">
        <v>624982.0</v>
      </c>
      <c r="Q750" s="3" t="str">
        <f>VLOOKUP(A750,Posters!A750:B1749,2)</f>
        <v>https://m.media-amazon.com/images/M/MV5BOGUyZDUxZjEtMmIzMC00MzlmLTg4MGItZWJmMzBhZjE0Mjc1XkEyXkFqcGdeQXVyMTMxODk2OTU@._V1_UX67_CR0,0,67,98_AL_.jpg</v>
      </c>
    </row>
    <row r="751">
      <c r="A751" s="1">
        <v>750.0</v>
      </c>
      <c r="B751" s="1" t="s">
        <v>4448</v>
      </c>
      <c r="C751" s="2">
        <v>1.46408305E8</v>
      </c>
      <c r="D751" s="1">
        <v>2011.0</v>
      </c>
      <c r="E751" s="1" t="s">
        <v>37</v>
      </c>
      <c r="F751" s="1" t="s">
        <v>686</v>
      </c>
      <c r="G751" s="1" t="s">
        <v>88</v>
      </c>
      <c r="H751" s="1">
        <v>7.7</v>
      </c>
      <c r="I751" s="1" t="s">
        <v>4449</v>
      </c>
      <c r="J751" s="1">
        <v>65.0</v>
      </c>
      <c r="K751" s="1" t="s">
        <v>4357</v>
      </c>
      <c r="L751" s="1" t="s">
        <v>3022</v>
      </c>
      <c r="M751" s="1" t="s">
        <v>1505</v>
      </c>
      <c r="N751" s="1" t="s">
        <v>4450</v>
      </c>
      <c r="O751" s="1" t="s">
        <v>3171</v>
      </c>
      <c r="P751" s="1">
        <v>645512.0</v>
      </c>
      <c r="Q751" s="3" t="str">
        <f>VLOOKUP(A751,Posters!A751:B1750,2)</f>
        <v>https://m.media-amazon.com/images/M/MV5BMTg5OTMxNzk4Nl5BMl5BanBnXkFtZTcwOTk1MjAwNQ@@._V1_UX67_CR0,0,67,98_AL_.jpg</v>
      </c>
    </row>
    <row r="752">
      <c r="A752" s="1">
        <v>751.0</v>
      </c>
      <c r="B752" s="1" t="s">
        <v>4451</v>
      </c>
      <c r="C752" s="2">
        <v>2.77322503E8</v>
      </c>
      <c r="D752" s="1">
        <v>2009.0</v>
      </c>
      <c r="E752" s="1" t="s">
        <v>37</v>
      </c>
      <c r="F752" s="1" t="s">
        <v>1439</v>
      </c>
      <c r="G752" s="1" t="s">
        <v>602</v>
      </c>
      <c r="H752" s="1">
        <v>7.7</v>
      </c>
      <c r="I752" s="1" t="s">
        <v>4452</v>
      </c>
      <c r="J752" s="1">
        <v>73.0</v>
      </c>
      <c r="K752" s="1" t="s">
        <v>281</v>
      </c>
      <c r="L752" s="1" t="s">
        <v>4373</v>
      </c>
      <c r="M752" s="1" t="s">
        <v>2245</v>
      </c>
      <c r="N752" s="1" t="s">
        <v>4453</v>
      </c>
      <c r="O752" s="1" t="s">
        <v>4454</v>
      </c>
      <c r="P752" s="1">
        <v>717559.0</v>
      </c>
      <c r="Q752" s="3" t="str">
        <f>VLOOKUP(A752,Posters!A752:B1751,2)</f>
        <v>https://m.media-amazon.com/images/M/MV5BNGQwZjg5YmYtY2VkNC00NzliLTljYTctNzI5NmU3MjE2ODQzXkEyXkFqcGdeQXVyNzkwMjQ5NzM@._V1_UX67_CR0,0,67,98_AL_.jpg</v>
      </c>
    </row>
    <row r="753">
      <c r="A753" s="1">
        <v>752.0</v>
      </c>
      <c r="B753" s="1" t="s">
        <v>4455</v>
      </c>
      <c r="C753" s="2">
        <v>3.04360277E8</v>
      </c>
      <c r="D753" s="1">
        <v>2012.0</v>
      </c>
      <c r="E753" s="1" t="s">
        <v>37</v>
      </c>
      <c r="F753" s="1" t="s">
        <v>596</v>
      </c>
      <c r="G753" s="1" t="s">
        <v>2406</v>
      </c>
      <c r="H753" s="1">
        <v>7.7</v>
      </c>
      <c r="I753" s="1" t="s">
        <v>4456</v>
      </c>
      <c r="J753" s="1">
        <v>81.0</v>
      </c>
      <c r="K753" s="1" t="s">
        <v>641</v>
      </c>
      <c r="L753" s="1" t="s">
        <v>2409</v>
      </c>
      <c r="M753" s="1" t="s">
        <v>1615</v>
      </c>
      <c r="N753" s="1" t="s">
        <v>4457</v>
      </c>
      <c r="O753" s="1" t="s">
        <v>2411</v>
      </c>
      <c r="P753" s="1">
        <v>630614.0</v>
      </c>
      <c r="Q753" s="3" t="str">
        <f>VLOOKUP(A753,Posters!A753:B1752,2)</f>
        <v>https://m.media-amazon.com/images/M/MV5BMWZiNjE2OWItMTkwNy00ZWQzLWI0NTgtMWE0NjNiYTljN2Q1XkEyXkFqcGdeQXVyNzAwMjYxMzA@._V1_UX67_CR0,0,67,98_AL_.jpg</v>
      </c>
    </row>
    <row r="754">
      <c r="A754" s="1">
        <v>753.0</v>
      </c>
      <c r="B754" s="1" t="s">
        <v>4458</v>
      </c>
      <c r="C754" s="2">
        <v>1.32092958E8</v>
      </c>
      <c r="D754" s="1">
        <v>2012.0</v>
      </c>
      <c r="E754" s="1" t="s">
        <v>18</v>
      </c>
      <c r="F754" s="1" t="s">
        <v>279</v>
      </c>
      <c r="G754" s="1" t="s">
        <v>227</v>
      </c>
      <c r="H754" s="1">
        <v>7.7</v>
      </c>
      <c r="I754" s="1" t="s">
        <v>4459</v>
      </c>
      <c r="J754" s="1">
        <v>81.0</v>
      </c>
      <c r="K754" s="1" t="s">
        <v>3761</v>
      </c>
      <c r="L754" s="1" t="s">
        <v>2245</v>
      </c>
      <c r="M754" s="1" t="s">
        <v>4450</v>
      </c>
      <c r="N754" s="1" t="s">
        <v>49</v>
      </c>
      <c r="O754" s="1" t="s">
        <v>4460</v>
      </c>
      <c r="P754" s="1">
        <v>661871.0</v>
      </c>
      <c r="Q754" s="3" t="str">
        <f>VLOOKUP(A754,Posters!A754:B1753,2)</f>
        <v>https://m.media-amazon.com/images/M/MV5BMTM2MTI5NzA3MF5BMl5BanBnXkFtZTcwODExNTc0OA@@._V1_UX67_CR0,0,67,98_AL_.jpg</v>
      </c>
    </row>
    <row r="755">
      <c r="A755" s="1">
        <v>754.0</v>
      </c>
      <c r="B755" s="1" t="s">
        <v>4461</v>
      </c>
      <c r="C755" s="2">
        <v>1.36025503E8</v>
      </c>
      <c r="D755" s="1">
        <v>2012.0</v>
      </c>
      <c r="E755" s="1" t="s">
        <v>18</v>
      </c>
      <c r="F755" s="1" t="s">
        <v>1546</v>
      </c>
      <c r="G755" s="1" t="s">
        <v>2233</v>
      </c>
      <c r="H755" s="1">
        <v>7.7</v>
      </c>
      <c r="I755" s="1" t="s">
        <v>4462</v>
      </c>
      <c r="J755" s="1">
        <v>86.0</v>
      </c>
      <c r="K755" s="1" t="s">
        <v>753</v>
      </c>
      <c r="L755" s="1" t="s">
        <v>753</v>
      </c>
      <c r="M755" s="1" t="s">
        <v>2972</v>
      </c>
      <c r="N755" s="1" t="s">
        <v>1685</v>
      </c>
      <c r="O755" s="1" t="s">
        <v>4194</v>
      </c>
      <c r="P755" s="1">
        <v>572581.0</v>
      </c>
      <c r="Q755" s="3" t="str">
        <f>VLOOKUP(A755,Posters!A755:B1754,2)</f>
        <v>https://m.media-amazon.com/images/M/MV5BNzljNjY3MDYtYzc0Ni00YjU0LWIyNDUtNTE0ZDRiMGExMjZlXkEyXkFqcGdeQXVyMTMxODk2OTU@._V1_UX67_CR0,0,67,98_AL_.jpg</v>
      </c>
    </row>
    <row r="756">
      <c r="A756" s="1">
        <v>755.0</v>
      </c>
      <c r="B756" s="1" t="s">
        <v>4463</v>
      </c>
      <c r="C756" s="2">
        <v>3.2391374E7</v>
      </c>
      <c r="D756" s="1">
        <v>2009.0</v>
      </c>
      <c r="E756" s="1" t="s">
        <v>37</v>
      </c>
      <c r="F756" s="1" t="s">
        <v>601</v>
      </c>
      <c r="G756" s="1" t="s">
        <v>227</v>
      </c>
      <c r="H756" s="1">
        <v>7.7</v>
      </c>
      <c r="I756" s="1" t="s">
        <v>4464</v>
      </c>
      <c r="J756" s="1">
        <v>76.0</v>
      </c>
      <c r="K756" s="1" t="s">
        <v>4465</v>
      </c>
      <c r="L756" s="1" t="s">
        <v>4466</v>
      </c>
      <c r="M756" s="1" t="s">
        <v>91</v>
      </c>
      <c r="N756" s="1" t="s">
        <v>4467</v>
      </c>
      <c r="O756" s="1" t="s">
        <v>2202</v>
      </c>
      <c r="P756" s="1">
        <v>472242.0</v>
      </c>
      <c r="Q756" s="3" t="str">
        <f>VLOOKUP(A756,Posters!A756:B1755,2)</f>
        <v>https://m.media-amazon.com/images/M/MV5BMTk5MjM4OTU1OV5BMl5BanBnXkFtZTcwODkzNDIzMw@@._V1_UX67_CR0,0,67,98_AL_.jpg</v>
      </c>
    </row>
    <row r="757">
      <c r="A757" s="1">
        <v>756.0</v>
      </c>
      <c r="B757" s="1" t="s">
        <v>4468</v>
      </c>
      <c r="C757" s="2">
        <v>2.95983305E8</v>
      </c>
      <c r="D757" s="1">
        <v>2010.0</v>
      </c>
      <c r="E757" s="1" t="s">
        <v>18</v>
      </c>
      <c r="F757" s="1" t="s">
        <v>136</v>
      </c>
      <c r="G757" s="1" t="s">
        <v>2629</v>
      </c>
      <c r="H757" s="1">
        <v>7.7</v>
      </c>
      <c r="I757" s="1" t="s">
        <v>4469</v>
      </c>
      <c r="J757" s="1">
        <v>65.0</v>
      </c>
      <c r="K757" s="1" t="s">
        <v>1567</v>
      </c>
      <c r="L757" s="1" t="s">
        <v>1568</v>
      </c>
      <c r="M757" s="1" t="s">
        <v>1569</v>
      </c>
      <c r="N757" s="1" t="s">
        <v>1570</v>
      </c>
      <c r="O757" s="1" t="s">
        <v>3619</v>
      </c>
      <c r="P757" s="1">
        <v>479120.0</v>
      </c>
      <c r="Q757" s="3" t="str">
        <f>VLOOKUP(A757,Posters!A757:B1756,2)</f>
        <v>https://m.media-amazon.com/images/M/MV5BMTQ2OTE1Mjk0N15BMl5BanBnXkFtZTcwODE3MDAwNA@@._V1_UX67_CR0,0,67,98_AL_.jpg</v>
      </c>
    </row>
    <row r="758">
      <c r="A758" s="1">
        <v>757.0</v>
      </c>
      <c r="B758" s="1" t="s">
        <v>4470</v>
      </c>
      <c r="C758" s="2">
        <v>1.50904E7</v>
      </c>
      <c r="D758" s="1">
        <v>2008.0</v>
      </c>
      <c r="E758" s="1" t="s">
        <v>52</v>
      </c>
      <c r="F758" s="1" t="s">
        <v>535</v>
      </c>
      <c r="G758" s="1" t="s">
        <v>765</v>
      </c>
      <c r="H758" s="1">
        <v>7.7</v>
      </c>
      <c r="I758" s="1" t="s">
        <v>4471</v>
      </c>
      <c r="J758" s="1">
        <v>86.0</v>
      </c>
      <c r="K758" s="1" t="s">
        <v>206</v>
      </c>
      <c r="L758" s="1" t="s">
        <v>2996</v>
      </c>
      <c r="M758" s="1" t="s">
        <v>215</v>
      </c>
      <c r="N758" s="1" t="s">
        <v>82</v>
      </c>
      <c r="O758" s="1" t="s">
        <v>4472</v>
      </c>
      <c r="P758" s="1">
        <v>125317.0</v>
      </c>
      <c r="Q758" s="3" t="str">
        <f>VLOOKUP(A758,Posters!A758:B1757,2)</f>
        <v>https://m.media-amazon.com/images/M/MV5BOTc3YmM3N2QtODZkMC00ZDE5LThjMTQtYTljN2Y1YTYwYWJkXkEyXkFqcGdeQXVyODEzNjM5OTQ@._V1_UX67_CR0,0,67,98_AL_.jpg</v>
      </c>
    </row>
    <row r="759">
      <c r="A759" s="1">
        <v>758.0</v>
      </c>
      <c r="B759" s="1" t="s">
        <v>4473</v>
      </c>
      <c r="C759" s="2">
        <v>1.8593156E7</v>
      </c>
      <c r="D759" s="1">
        <v>2008.0</v>
      </c>
      <c r="E759" s="1" t="s">
        <v>212</v>
      </c>
      <c r="F759" s="1" t="s">
        <v>279</v>
      </c>
      <c r="G759" s="1" t="s">
        <v>79</v>
      </c>
      <c r="H759" s="1">
        <v>7.7</v>
      </c>
      <c r="I759" s="1" t="s">
        <v>4474</v>
      </c>
      <c r="J759" s="1">
        <v>80.0</v>
      </c>
      <c r="K759" s="1" t="s">
        <v>1150</v>
      </c>
      <c r="L759" s="1" t="s">
        <v>4475</v>
      </c>
      <c r="M759" s="1" t="s">
        <v>4476</v>
      </c>
      <c r="N759" s="1" t="s">
        <v>3171</v>
      </c>
      <c r="O759" s="1" t="s">
        <v>974</v>
      </c>
      <c r="P759" s="1">
        <v>103330.0</v>
      </c>
      <c r="Q759" s="3" t="str">
        <f>VLOOKUP(A759,Posters!A759:B1758,2)</f>
        <v>https://m.media-amazon.com/images/M/MV5BOTY4NTU2NTU4NF5BMl5BanBnXkFtZTcwNjE0OTc5MQ@@._V1_UX67_CR0,0,67,98_AL_.jpg</v>
      </c>
    </row>
    <row r="760">
      <c r="A760" s="1">
        <v>759.0</v>
      </c>
      <c r="B760" s="1" t="s">
        <v>4477</v>
      </c>
      <c r="C760" s="2">
        <v>881302.0</v>
      </c>
      <c r="D760" s="1">
        <v>2006.0</v>
      </c>
      <c r="E760" s="1" t="s">
        <v>52</v>
      </c>
      <c r="F760" s="1" t="s">
        <v>2586</v>
      </c>
      <c r="G760" s="1" t="s">
        <v>450</v>
      </c>
      <c r="H760" s="1">
        <v>7.7</v>
      </c>
      <c r="I760" s="1" t="s">
        <v>4478</v>
      </c>
      <c r="J760" s="1">
        <v>81.0</v>
      </c>
      <c r="K760" s="1" t="s">
        <v>2501</v>
      </c>
      <c r="L760" s="1" t="s">
        <v>1692</v>
      </c>
      <c r="M760" s="1" t="s">
        <v>3849</v>
      </c>
      <c r="N760" s="1" t="s">
        <v>4479</v>
      </c>
      <c r="O760" s="1" t="s">
        <v>4480</v>
      </c>
      <c r="P760" s="1">
        <v>71379.0</v>
      </c>
      <c r="Q760" s="3" t="str">
        <f>VLOOKUP(A760,Posters!A760:B1759,2)</f>
        <v>https://m.media-amazon.com/images/M/MV5BNDliMTMxOWEtODM3Yi00N2QwLTg4YTAtNTE5YzBlNTA2NjhlXkEyXkFqcGdeQXVyNjE5MjUyOTM@._V1_UX67_CR0,0,67,98_AL_.jpg</v>
      </c>
    </row>
    <row r="761">
      <c r="A761" s="1">
        <v>760.0</v>
      </c>
      <c r="B761" s="1" t="s">
        <v>4481</v>
      </c>
      <c r="C761" s="2">
        <v>3.5739802E7</v>
      </c>
      <c r="D761" s="1">
        <v>2008.0</v>
      </c>
      <c r="E761" s="1" t="s">
        <v>212</v>
      </c>
      <c r="F761" s="1" t="s">
        <v>1672</v>
      </c>
      <c r="G761" s="1" t="s">
        <v>137</v>
      </c>
      <c r="H761" s="1">
        <v>7.7</v>
      </c>
      <c r="I761" s="1" t="s">
        <v>4482</v>
      </c>
      <c r="J761" s="1">
        <v>63.0</v>
      </c>
      <c r="K761" s="1" t="s">
        <v>119</v>
      </c>
      <c r="L761" s="1" t="s">
        <v>4483</v>
      </c>
      <c r="M761" s="1" t="s">
        <v>4484</v>
      </c>
      <c r="N761" s="1" t="s">
        <v>4485</v>
      </c>
      <c r="O761" s="1" t="s">
        <v>4486</v>
      </c>
      <c r="P761" s="1">
        <v>239203.0</v>
      </c>
      <c r="Q761" s="3" t="str">
        <f>VLOOKUP(A761,Posters!A761:B1760,2)</f>
        <v>https://m.media-amazon.com/images/M/MV5BOTA1Mzg3NjIxNV5BMl5BanBnXkFtZTcwNzU2NTc5MQ@@._V1_UX67_CR0,0,67,98_AL_.jpg</v>
      </c>
    </row>
    <row r="762">
      <c r="A762" s="1">
        <v>761.0</v>
      </c>
      <c r="B762" s="1" t="s">
        <v>4487</v>
      </c>
      <c r="C762" s="2">
        <v>1752214.0</v>
      </c>
      <c r="D762" s="1">
        <v>2010.0</v>
      </c>
      <c r="E762" s="1" t="s">
        <v>270</v>
      </c>
      <c r="F762" s="1" t="s">
        <v>2586</v>
      </c>
      <c r="G762" s="1" t="s">
        <v>227</v>
      </c>
      <c r="H762" s="1">
        <v>7.7</v>
      </c>
      <c r="I762" s="1" t="s">
        <v>4488</v>
      </c>
      <c r="J762" s="1">
        <v>45.0</v>
      </c>
      <c r="K762" s="1" t="s">
        <v>1815</v>
      </c>
      <c r="L762" s="1" t="s">
        <v>4489</v>
      </c>
      <c r="M762" s="1" t="s">
        <v>4490</v>
      </c>
      <c r="N762" s="1" t="s">
        <v>4491</v>
      </c>
      <c r="O762" s="1" t="s">
        <v>4492</v>
      </c>
      <c r="P762" s="1">
        <v>81446.0</v>
      </c>
      <c r="Q762" s="3" t="str">
        <f>VLOOKUP(A762,Posters!A762:B1761,2)</f>
        <v>https://m.media-amazon.com/images/M/MV5BMTU2NjQ1Nzc4MF5BMl5BanBnXkFtZTcwNTM0NDk1Mw@@._V1_UX67_CR0,0,67,98_AL_.jpg</v>
      </c>
    </row>
    <row r="763">
      <c r="A763" s="1">
        <v>762.0</v>
      </c>
      <c r="B763" s="1" t="s">
        <v>4493</v>
      </c>
      <c r="C763" s="2">
        <v>873435.0</v>
      </c>
      <c r="D763" s="1">
        <v>2006.0</v>
      </c>
      <c r="E763" s="1" t="s">
        <v>52</v>
      </c>
      <c r="F763" s="1" t="s">
        <v>519</v>
      </c>
      <c r="G763" s="1" t="s">
        <v>765</v>
      </c>
      <c r="H763" s="1">
        <v>7.7</v>
      </c>
      <c r="I763" s="1" t="s">
        <v>4494</v>
      </c>
      <c r="K763" s="1" t="s">
        <v>1477</v>
      </c>
      <c r="L763" s="1" t="s">
        <v>4495</v>
      </c>
      <c r="M763" s="1" t="s">
        <v>4496</v>
      </c>
      <c r="N763" s="1" t="s">
        <v>4497</v>
      </c>
      <c r="O763" s="1" t="s">
        <v>4498</v>
      </c>
      <c r="P763" s="1">
        <v>60368.0</v>
      </c>
      <c r="Q763" s="3" t="str">
        <f>VLOOKUP(A763,Posters!A763:B1762,2)</f>
        <v>https://m.media-amazon.com/images/M/MV5BMzA4ZGM1NjYtMjcxYS00MTdiLWJmNzEtMTUzODY0NDQ0YzUzXkEyXkFqcGdeQXVyMzYwMjQ3OTI@._V1_UY98_CR1,0,67,98_AL_.jpg</v>
      </c>
    </row>
    <row r="764">
      <c r="A764" s="1">
        <v>763.0</v>
      </c>
      <c r="B764" s="1" t="s">
        <v>4499</v>
      </c>
      <c r="C764" s="2">
        <v>2.9667169E7</v>
      </c>
      <c r="D764" s="1">
        <v>2006.0</v>
      </c>
      <c r="E764" s="1" t="s">
        <v>4418</v>
      </c>
      <c r="F764" s="1" t="s">
        <v>428</v>
      </c>
      <c r="G764" s="1" t="s">
        <v>220</v>
      </c>
      <c r="H764" s="1">
        <v>7.7</v>
      </c>
      <c r="I764" s="1" t="s">
        <v>4500</v>
      </c>
      <c r="K764" s="1" t="s">
        <v>4501</v>
      </c>
      <c r="L764" s="1" t="s">
        <v>4502</v>
      </c>
      <c r="M764" s="1" t="s">
        <v>4503</v>
      </c>
      <c r="N764" s="1" t="s">
        <v>4504</v>
      </c>
      <c r="O764" s="1" t="s">
        <v>4505</v>
      </c>
      <c r="P764" s="1">
        <v>28630.0</v>
      </c>
      <c r="Q764" s="3" t="str">
        <f>VLOOKUP(A764,Posters!A764:B1763,2)</f>
        <v>https://m.media-amazon.com/images/M/MV5BZDNlNjEzMzQtZDM0MS00YzhiLTk0MGUtYTdmNDZiZGVjNTk0L2ltYWdlXkEyXkFqcGdeQXVyNTAyODkwOQ@@._V1_UY98_CR1,0,67,98_AL_.jpg</v>
      </c>
    </row>
    <row r="765">
      <c r="A765" s="1">
        <v>764.0</v>
      </c>
      <c r="B765" s="1" t="s">
        <v>4506</v>
      </c>
      <c r="C765" s="2">
        <v>327919.0</v>
      </c>
      <c r="D765" s="1">
        <v>2006.0</v>
      </c>
      <c r="E765" s="1">
        <v>18.0</v>
      </c>
      <c r="F765" s="1" t="s">
        <v>535</v>
      </c>
      <c r="G765" s="1" t="s">
        <v>29</v>
      </c>
      <c r="H765" s="1">
        <v>7.7</v>
      </c>
      <c r="I765" s="1" t="s">
        <v>4507</v>
      </c>
      <c r="J765" s="1">
        <v>86.0</v>
      </c>
      <c r="K765" s="1" t="s">
        <v>4508</v>
      </c>
      <c r="L765" s="1" t="s">
        <v>4509</v>
      </c>
      <c r="M765" s="1" t="s">
        <v>4510</v>
      </c>
      <c r="N765" s="1" t="s">
        <v>4511</v>
      </c>
      <c r="O765" s="1" t="s">
        <v>4512</v>
      </c>
      <c r="P765" s="1">
        <v>115576.0</v>
      </c>
      <c r="Q765" s="3" t="str">
        <f>VLOOKUP(A765,Posters!A765:B1764,2)</f>
        <v>https://m.media-amazon.com/images/M/MV5BMmE3OWZhZDYtOTBjMi00NDIwLTg1NWMtMjg0NjJmZWM4MjliL2ltYWdlXkEyXkFqcGdeQXVyNTAyODkwOQ@@._V1_UX67_CR0,0,67,98_AL_.jpg</v>
      </c>
    </row>
    <row r="766">
      <c r="A766" s="1">
        <v>765.0</v>
      </c>
      <c r="B766" s="1" t="s">
        <v>4513</v>
      </c>
      <c r="C766" s="2">
        <v>2.5442958E7</v>
      </c>
      <c r="D766" s="1">
        <v>2014.0</v>
      </c>
      <c r="E766" s="1" t="s">
        <v>37</v>
      </c>
      <c r="F766" s="1" t="s">
        <v>714</v>
      </c>
      <c r="G766" s="1" t="s">
        <v>3959</v>
      </c>
      <c r="H766" s="1">
        <v>7.7</v>
      </c>
      <c r="I766" s="1" t="s">
        <v>4514</v>
      </c>
      <c r="J766" s="1">
        <v>78.0</v>
      </c>
      <c r="K766" s="1" t="s">
        <v>4515</v>
      </c>
      <c r="L766" s="1" t="s">
        <v>4516</v>
      </c>
      <c r="M766" s="1" t="s">
        <v>2264</v>
      </c>
      <c r="N766" s="1" t="s">
        <v>3015</v>
      </c>
      <c r="O766" s="1" t="s">
        <v>4517</v>
      </c>
      <c r="P766" s="1">
        <v>474141.0</v>
      </c>
      <c r="Q766" s="3" t="str">
        <f>VLOOKUP(A766,Posters!A766:B1765,2)</f>
        <v>https://m.media-amazon.com/images/M/MV5BMTUxNzc0OTIxMV5BMl5BanBnXkFtZTgwNDI3NzU2NDE@._V1_UX67_CR0,0,67,98_AL_.jpg</v>
      </c>
    </row>
    <row r="767">
      <c r="A767" s="1">
        <v>766.0</v>
      </c>
      <c r="B767" s="1" t="s">
        <v>4518</v>
      </c>
      <c r="C767" s="2">
        <v>412544.0</v>
      </c>
      <c r="D767" s="1">
        <v>2006.0</v>
      </c>
      <c r="E767" s="1" t="s">
        <v>212</v>
      </c>
      <c r="F767" s="1" t="s">
        <v>1546</v>
      </c>
      <c r="G767" s="1" t="s">
        <v>20</v>
      </c>
      <c r="H767" s="1">
        <v>7.7</v>
      </c>
      <c r="I767" s="1" t="s">
        <v>4519</v>
      </c>
      <c r="J767" s="1">
        <v>78.0</v>
      </c>
      <c r="K767" s="1" t="s">
        <v>4520</v>
      </c>
      <c r="L767" s="1" t="s">
        <v>673</v>
      </c>
      <c r="M767" s="1" t="s">
        <v>4521</v>
      </c>
      <c r="N767" s="1" t="s">
        <v>4334</v>
      </c>
      <c r="O767" s="1" t="s">
        <v>4522</v>
      </c>
      <c r="P767" s="1">
        <v>32001.0</v>
      </c>
      <c r="Q767" s="3" t="str">
        <f>VLOOKUP(A767,Posters!A767:B1766,2)</f>
        <v>https://m.media-amazon.com/images/M/MV5BMjIxODEyOTQ5Ml5BMl5BanBnXkFtZTcwNjE3NzI5Mw@@._V1_UY98_CR1,0,67,98_AL_.jpg</v>
      </c>
    </row>
    <row r="768">
      <c r="A768" s="1">
        <v>767.0</v>
      </c>
      <c r="B768" s="1" t="s">
        <v>4523</v>
      </c>
      <c r="C768" s="2">
        <v>1.7605861E7</v>
      </c>
      <c r="D768" s="1">
        <v>2006.0</v>
      </c>
      <c r="E768" s="1" t="s">
        <v>212</v>
      </c>
      <c r="F768" s="1" t="s">
        <v>678</v>
      </c>
      <c r="G768" s="1" t="s">
        <v>79</v>
      </c>
      <c r="H768" s="1">
        <v>7.7</v>
      </c>
      <c r="I768" s="1" t="s">
        <v>4524</v>
      </c>
      <c r="J768" s="1">
        <v>74.0</v>
      </c>
      <c r="K768" s="1" t="s">
        <v>4525</v>
      </c>
      <c r="L768" s="1" t="s">
        <v>3022</v>
      </c>
      <c r="M768" s="1" t="s">
        <v>3009</v>
      </c>
      <c r="N768" s="1" t="s">
        <v>4526</v>
      </c>
      <c r="O768" s="1" t="s">
        <v>499</v>
      </c>
      <c r="P768" s="1">
        <v>175355.0</v>
      </c>
      <c r="Q768" s="3" t="str">
        <f>VLOOKUP(A768,Posters!A768:B1767,2)</f>
        <v>https://m.media-amazon.com/images/M/MV5BMjM1NTkxNjkzMl5BMl5BanBnXkFtZTgwNDgwMDAxMzE@._V1_UY98_CR1,0,67,98_AL_.jpg</v>
      </c>
    </row>
    <row r="769">
      <c r="A769" s="1">
        <v>768.0</v>
      </c>
      <c r="B769" s="1" t="s">
        <v>4527</v>
      </c>
      <c r="C769" s="2">
        <v>3.3080084E7</v>
      </c>
      <c r="D769" s="1">
        <v>2007.0</v>
      </c>
      <c r="E769" s="1" t="s">
        <v>37</v>
      </c>
      <c r="F769" s="1" t="s">
        <v>3025</v>
      </c>
      <c r="G769" s="1" t="s">
        <v>235</v>
      </c>
      <c r="H769" s="1">
        <v>7.7</v>
      </c>
      <c r="I769" s="1" t="s">
        <v>4528</v>
      </c>
      <c r="J769" s="1">
        <v>78.0</v>
      </c>
      <c r="K769" s="1" t="s">
        <v>97</v>
      </c>
      <c r="L769" s="1" t="s">
        <v>1542</v>
      </c>
      <c r="M769" s="1" t="s">
        <v>479</v>
      </c>
      <c r="N769" s="1" t="s">
        <v>481</v>
      </c>
      <c r="O769" s="1" t="s">
        <v>4492</v>
      </c>
      <c r="P769" s="1">
        <v>466080.0</v>
      </c>
      <c r="Q769" s="3" t="str">
        <f>VLOOKUP(A769,Posters!A769:B1768,2)</f>
        <v>https://m.media-amazon.com/images/M/MV5BN2UwNDc5NmEtNjVjZS00OTI5LWE5YjctMWM3ZjBiZGYwMGI2XkEyXkFqcGdeQXVyNzkwMjQ5NzM@._V1_UX67_CR0,0,67,98_AL_.jpg</v>
      </c>
    </row>
    <row r="770">
      <c r="A770" s="1">
        <v>769.0</v>
      </c>
      <c r="B770" s="1" t="s">
        <v>4529</v>
      </c>
      <c r="C770" s="2">
        <v>2.2494487E7</v>
      </c>
      <c r="D770" s="1">
        <v>2006.0</v>
      </c>
      <c r="E770" s="1" t="s">
        <v>212</v>
      </c>
      <c r="F770" s="1" t="s">
        <v>343</v>
      </c>
      <c r="G770" s="1" t="s">
        <v>39</v>
      </c>
      <c r="H770" s="1">
        <v>7.7</v>
      </c>
      <c r="I770" s="1" t="s">
        <v>4530</v>
      </c>
      <c r="J770" s="1">
        <v>53.0</v>
      </c>
      <c r="K770" s="1" t="s">
        <v>4531</v>
      </c>
      <c r="L770" s="1" t="s">
        <v>4532</v>
      </c>
      <c r="M770" s="1" t="s">
        <v>84</v>
      </c>
      <c r="N770" s="1" t="s">
        <v>24</v>
      </c>
      <c r="O770" s="1" t="s">
        <v>4421</v>
      </c>
      <c r="P770" s="1">
        <v>299524.0</v>
      </c>
      <c r="Q770" s="3" t="str">
        <f>VLOOKUP(A770,Posters!A770:B1769,2)</f>
        <v>https://m.media-amazon.com/images/M/MV5BZjczMWI1YWMtYTZjOS00ZDc5LWE2MWItMTY3ZGUxNzFkNjJmL2ltYWdlXkEyXkFqcGdeQXVyNjU0OTQ0OTY@._V1_UX67_CR0,0,67,98_AL_.jpg</v>
      </c>
    </row>
    <row r="771">
      <c r="A771" s="1">
        <v>770.0</v>
      </c>
      <c r="B771" s="1" t="s">
        <v>4533</v>
      </c>
      <c r="C771" s="2">
        <v>1054361.0</v>
      </c>
      <c r="D771" s="1">
        <v>2005.0</v>
      </c>
      <c r="E771" s="1" t="s">
        <v>161</v>
      </c>
      <c r="F771" s="1" t="s">
        <v>226</v>
      </c>
      <c r="G771" s="1" t="s">
        <v>4534</v>
      </c>
      <c r="H771" s="1">
        <v>7.7</v>
      </c>
      <c r="I771" s="1" t="s">
        <v>4535</v>
      </c>
      <c r="J771" s="1">
        <v>70.0</v>
      </c>
      <c r="K771" s="1" t="s">
        <v>4536</v>
      </c>
      <c r="L771" s="1" t="s">
        <v>710</v>
      </c>
      <c r="M771" s="1" t="s">
        <v>4537</v>
      </c>
      <c r="N771" s="1" t="s">
        <v>4538</v>
      </c>
      <c r="O771" s="1" t="s">
        <v>4539</v>
      </c>
      <c r="P771" s="1">
        <v>28003.0</v>
      </c>
      <c r="Q771" s="3" t="str">
        <f>VLOOKUP(A771,Posters!A771:B1770,2)</f>
        <v>https://m.media-amazon.com/images/M/MV5BMTQyODczNjU3NF5BMl5BanBnXkFtZTcwNjQ0NDIzMQ@@._V1_UX67_CR0,0,67,98_AL_.jpg</v>
      </c>
    </row>
    <row r="772">
      <c r="A772" s="1">
        <v>771.0</v>
      </c>
      <c r="B772" s="1" t="s">
        <v>4540</v>
      </c>
      <c r="C772" s="2">
        <v>871577.0</v>
      </c>
      <c r="D772" s="1">
        <v>2007.0</v>
      </c>
      <c r="E772" s="1" t="s">
        <v>212</v>
      </c>
      <c r="F772" s="1" t="s">
        <v>279</v>
      </c>
      <c r="G772" s="1" t="s">
        <v>314</v>
      </c>
      <c r="H772" s="1">
        <v>7.7</v>
      </c>
      <c r="I772" s="1" t="s">
        <v>4541</v>
      </c>
      <c r="J772" s="1">
        <v>78.0</v>
      </c>
      <c r="K772" s="1" t="s">
        <v>4542</v>
      </c>
      <c r="L772" s="1" t="s">
        <v>4543</v>
      </c>
      <c r="M772" s="1" t="s">
        <v>4544</v>
      </c>
      <c r="N772" s="1" t="s">
        <v>4545</v>
      </c>
      <c r="O772" s="1" t="s">
        <v>1138</v>
      </c>
      <c r="P772" s="1">
        <v>61609.0</v>
      </c>
      <c r="Q772" s="3" t="str">
        <f>VLOOKUP(A772,Posters!A772:B1771,2)</f>
        <v>https://m.media-amazon.com/images/M/MV5BNTEzOTYwMTcxN15BMl5BanBnXkFtZTcwNTgyNjI1MQ@@._V1_UX67_CR0,0,67,98_AL_.jpg</v>
      </c>
    </row>
    <row r="773">
      <c r="A773" s="1">
        <v>772.0</v>
      </c>
      <c r="B773" s="1" t="s">
        <v>4546</v>
      </c>
      <c r="C773" s="2">
        <v>2.00821936E8</v>
      </c>
      <c r="D773" s="1">
        <v>2010.0</v>
      </c>
      <c r="E773" s="1" t="s">
        <v>52</v>
      </c>
      <c r="F773" s="1" t="s">
        <v>1439</v>
      </c>
      <c r="G773" s="1" t="s">
        <v>765</v>
      </c>
      <c r="H773" s="1">
        <v>7.7</v>
      </c>
      <c r="I773" s="1" t="s">
        <v>4547</v>
      </c>
      <c r="J773" s="1">
        <v>71.0</v>
      </c>
      <c r="K773" s="1" t="s">
        <v>4548</v>
      </c>
      <c r="L773" s="1" t="s">
        <v>2191</v>
      </c>
      <c r="M773" s="1" t="s">
        <v>4549</v>
      </c>
      <c r="N773" s="1" t="s">
        <v>4550</v>
      </c>
      <c r="O773" s="1" t="s">
        <v>4551</v>
      </c>
      <c r="P773" s="1">
        <v>405922.0</v>
      </c>
      <c r="Q773" s="3" t="str">
        <f>VLOOKUP(A773,Posters!A773:B1772,2)</f>
        <v>https://m.media-amazon.com/images/M/MV5BMTAxNDYxMjg0MjNeQTJeQWpwZ15BbWU3MDcyNTk2OTM@._V1_UX67_CR0,0,67,98_AL_.jpg</v>
      </c>
    </row>
    <row r="774">
      <c r="A774" s="1">
        <v>773.0</v>
      </c>
      <c r="B774" s="1" t="s">
        <v>4552</v>
      </c>
      <c r="C774" s="2">
        <v>4398392.0</v>
      </c>
      <c r="D774" s="1">
        <v>2006.0</v>
      </c>
      <c r="E774" s="1" t="s">
        <v>212</v>
      </c>
      <c r="F774" s="1" t="s">
        <v>1398</v>
      </c>
      <c r="G774" s="1" t="s">
        <v>639</v>
      </c>
      <c r="H774" s="1">
        <v>7.7</v>
      </c>
      <c r="I774" s="1" t="s">
        <v>4553</v>
      </c>
      <c r="J774" s="1">
        <v>71.0</v>
      </c>
      <c r="K774" s="1" t="s">
        <v>4554</v>
      </c>
      <c r="L774" s="1" t="s">
        <v>4555</v>
      </c>
      <c r="M774" s="1" t="s">
        <v>532</v>
      </c>
      <c r="N774" s="1" t="s">
        <v>4556</v>
      </c>
      <c r="O774" s="1" t="s">
        <v>4557</v>
      </c>
      <c r="P774" s="1">
        <v>72643.0</v>
      </c>
      <c r="Q774" s="3" t="str">
        <f>VLOOKUP(A774,Posters!A774:B1773,2)</f>
        <v>https://m.media-amazon.com/images/M/MV5BODFlNTI0ZWQtOTcxNC00OTc0LTkwZDUtMmNkM2I1ZWFlYzZkXkEyXkFqcGdeQXVyNTIzOTk5ODM@._V1_UY98_CR2,0,67,98_AL_.jpg</v>
      </c>
    </row>
    <row r="775">
      <c r="A775" s="1">
        <v>774.0</v>
      </c>
      <c r="B775" s="1" t="s">
        <v>4558</v>
      </c>
      <c r="C775" s="2">
        <v>8.3043761E7</v>
      </c>
      <c r="D775" s="1">
        <v>2005.0</v>
      </c>
      <c r="E775" s="1" t="s">
        <v>18</v>
      </c>
      <c r="F775" s="1" t="s">
        <v>550</v>
      </c>
      <c r="G775" s="1" t="s">
        <v>107</v>
      </c>
      <c r="H775" s="1">
        <v>7.7</v>
      </c>
      <c r="I775" s="1" t="s">
        <v>4559</v>
      </c>
      <c r="J775" s="1">
        <v>87.0</v>
      </c>
      <c r="K775" s="1" t="s">
        <v>3130</v>
      </c>
      <c r="L775" s="1" t="s">
        <v>1542</v>
      </c>
      <c r="M775" s="1" t="s">
        <v>43</v>
      </c>
      <c r="N775" s="1" t="s">
        <v>3579</v>
      </c>
      <c r="O775" s="1" t="s">
        <v>4560</v>
      </c>
      <c r="P775" s="1">
        <v>323103.0</v>
      </c>
      <c r="Q775" s="3" t="str">
        <f>VLOOKUP(A775,Posters!A775:B1774,2)</f>
        <v>https://m.media-amazon.com/images/M/MV5BMTY5NTAzNTc1NF5BMl5BanBnXkFtZTYwNDY4MDc3._V1_UX67_CR0,0,67,98_AL_.jpg</v>
      </c>
    </row>
    <row r="776">
      <c r="A776" s="1">
        <v>775.0</v>
      </c>
      <c r="B776" s="1" t="s">
        <v>4561</v>
      </c>
      <c r="C776" s="2">
        <v>5.3606916E7</v>
      </c>
      <c r="D776" s="1">
        <v>2007.0</v>
      </c>
      <c r="E776" s="1" t="s">
        <v>18</v>
      </c>
      <c r="F776" s="1" t="s">
        <v>279</v>
      </c>
      <c r="G776" s="1" t="s">
        <v>39</v>
      </c>
      <c r="H776" s="1">
        <v>7.7</v>
      </c>
      <c r="I776" s="1" t="s">
        <v>4562</v>
      </c>
      <c r="J776" s="1">
        <v>76.0</v>
      </c>
      <c r="K776" s="1" t="s">
        <v>1420</v>
      </c>
      <c r="L776" s="1" t="s">
        <v>325</v>
      </c>
      <c r="M776" s="1" t="s">
        <v>42</v>
      </c>
      <c r="N776" s="1" t="s">
        <v>4563</v>
      </c>
      <c r="O776" s="1" t="s">
        <v>2267</v>
      </c>
      <c r="P776" s="1">
        <v>288797.0</v>
      </c>
      <c r="Q776" s="3" t="str">
        <f>VLOOKUP(A776,Posters!A776:B1775,2)</f>
        <v>https://m.media-amazon.com/images/M/MV5BODE0NTcxNTQzNF5BMl5BanBnXkFtZTcwMzczOTIzMw@@._V1_UX67_CR0,0,67,98_AL_.jpg</v>
      </c>
    </row>
    <row r="777">
      <c r="A777" s="1">
        <v>776.0</v>
      </c>
      <c r="B777" s="1" t="s">
        <v>4564</v>
      </c>
      <c r="C777" s="2">
        <v>5.45803E7</v>
      </c>
      <c r="D777" s="1">
        <v>2004.0</v>
      </c>
      <c r="E777" s="1" t="s">
        <v>37</v>
      </c>
      <c r="F777" s="1" t="s">
        <v>295</v>
      </c>
      <c r="G777" s="1" t="s">
        <v>241</v>
      </c>
      <c r="H777" s="1">
        <v>7.7</v>
      </c>
      <c r="I777" s="1" t="s">
        <v>4565</v>
      </c>
      <c r="J777" s="1">
        <v>66.0</v>
      </c>
      <c r="K777" s="1" t="s">
        <v>4566</v>
      </c>
      <c r="L777" s="1" t="s">
        <v>1628</v>
      </c>
      <c r="M777" s="1" t="s">
        <v>4433</v>
      </c>
      <c r="N777" s="1" t="s">
        <v>2357</v>
      </c>
      <c r="O777" s="1" t="s">
        <v>4567</v>
      </c>
      <c r="P777" s="1">
        <v>419483.0</v>
      </c>
      <c r="Q777" s="3" t="str">
        <f>VLOOKUP(A777,Posters!A777:B1776,2)</f>
        <v>https://m.media-amazon.com/images/M/MV5BOTk1OTA1MjIyNV5BMl5BanBnXkFtZTcwODQxMTkyMQ@@._V1_UX67_CR0,0,67,98_AL_.jpg</v>
      </c>
    </row>
    <row r="778">
      <c r="A778" s="1">
        <v>777.0</v>
      </c>
      <c r="B778" s="1" t="s">
        <v>4568</v>
      </c>
      <c r="C778" s="2">
        <v>1.7108591E7</v>
      </c>
      <c r="D778" s="1">
        <v>2004.0</v>
      </c>
      <c r="E778" s="1" t="s">
        <v>37</v>
      </c>
      <c r="F778" s="1" t="s">
        <v>778</v>
      </c>
      <c r="G778" s="1" t="s">
        <v>4070</v>
      </c>
      <c r="H778" s="1">
        <v>7.7</v>
      </c>
      <c r="I778" s="1" t="s">
        <v>4569</v>
      </c>
      <c r="J778" s="1">
        <v>78.0</v>
      </c>
      <c r="K778" s="1" t="s">
        <v>4570</v>
      </c>
      <c r="L778" s="1" t="s">
        <v>4570</v>
      </c>
      <c r="M778" s="1" t="s">
        <v>4571</v>
      </c>
      <c r="N778" s="1" t="s">
        <v>4572</v>
      </c>
      <c r="O778" s="1" t="s">
        <v>4573</v>
      </c>
      <c r="P778" s="1">
        <v>127250.0</v>
      </c>
      <c r="Q778" s="3" t="str">
        <f>VLOOKUP(A778,Posters!A778:B1777,2)</f>
        <v>https://m.media-amazon.com/images/M/MV5BMjZiOTNlMzYtZWYwZS00YWJjLTk5NDgtODkwNjRhMDI0MjhjXkEyXkFqcGdeQXVyMjgyNjk3MzE@._V1_UY98_CR1,0,67,98_AL_.jpg</v>
      </c>
    </row>
    <row r="779">
      <c r="A779" s="1">
        <v>778.0</v>
      </c>
      <c r="B779" s="1" t="s">
        <v>4574</v>
      </c>
      <c r="C779" s="2">
        <v>1.76241941E8</v>
      </c>
      <c r="D779" s="1">
        <v>2004.0</v>
      </c>
      <c r="E779" s="1" t="s">
        <v>18</v>
      </c>
      <c r="F779" s="1" t="s">
        <v>714</v>
      </c>
      <c r="G779" s="1" t="s">
        <v>2366</v>
      </c>
      <c r="H779" s="1">
        <v>7.7</v>
      </c>
      <c r="I779" s="1" t="s">
        <v>4575</v>
      </c>
      <c r="J779" s="1">
        <v>73.0</v>
      </c>
      <c r="K779" s="1" t="s">
        <v>2368</v>
      </c>
      <c r="L779" s="1" t="s">
        <v>215</v>
      </c>
      <c r="M779" s="1" t="s">
        <v>3204</v>
      </c>
      <c r="N779" s="1" t="s">
        <v>1584</v>
      </c>
      <c r="O779" s="1" t="s">
        <v>4576</v>
      </c>
      <c r="P779" s="1">
        <v>434841.0</v>
      </c>
      <c r="Q779" s="3" t="str">
        <f>VLOOKUP(A779,Posters!A779:B1778,2)</f>
        <v>https://m.media-amazon.com/images/M/MV5BYTIyMDFmMmItMWQzYy00MjBiLTg2M2UtM2JiNDRhOWE4NjBhXkEyXkFqcGdeQXVyNjU0OTQ0OTY@._V1_UX67_CR0,0,67,98_AL_.jpg</v>
      </c>
    </row>
    <row r="780">
      <c r="A780" s="1">
        <v>779.0</v>
      </c>
      <c r="B780" s="1" t="s">
        <v>4577</v>
      </c>
      <c r="C780" s="2">
        <v>1082715.0</v>
      </c>
      <c r="D780" s="1">
        <v>2004.0</v>
      </c>
      <c r="E780" s="1" t="s">
        <v>212</v>
      </c>
      <c r="F780" s="1" t="s">
        <v>535</v>
      </c>
      <c r="G780" s="1" t="s">
        <v>1377</v>
      </c>
      <c r="H780" s="1">
        <v>7.7</v>
      </c>
      <c r="I780" s="1" t="s">
        <v>4578</v>
      </c>
      <c r="J780" s="1">
        <v>61.0</v>
      </c>
      <c r="K780" s="1" t="s">
        <v>4579</v>
      </c>
      <c r="L780" s="1" t="s">
        <v>42</v>
      </c>
      <c r="M780" s="1" t="s">
        <v>3600</v>
      </c>
      <c r="N780" s="1" t="s">
        <v>4580</v>
      </c>
      <c r="O780" s="1" t="s">
        <v>4581</v>
      </c>
      <c r="P780" s="1">
        <v>358432.0</v>
      </c>
      <c r="Q780" s="3" t="str">
        <f>VLOOKUP(A780,Posters!A780:B1779,2)</f>
        <v>https://m.media-amazon.com/images/M/MV5BNjk1NzBlY2YtNjJmNi00YTVmLWI2OTgtNDUxNDE5NjUzZmE0XkEyXkFqcGdeQXVyNTc1NTQxODI@._V1_UX67_CR0,0,67,98_AL_.jpg</v>
      </c>
    </row>
    <row r="781">
      <c r="A781" s="1">
        <v>780.0</v>
      </c>
      <c r="B781" s="1" t="s">
        <v>4582</v>
      </c>
      <c r="C781" s="2">
        <v>7.53316E7</v>
      </c>
      <c r="D781" s="1">
        <v>2004.0</v>
      </c>
      <c r="E781" s="1" t="s">
        <v>18</v>
      </c>
      <c r="F781" s="1" t="s">
        <v>38</v>
      </c>
      <c r="G781" s="1" t="s">
        <v>314</v>
      </c>
      <c r="H781" s="1">
        <v>7.7</v>
      </c>
      <c r="I781" s="1" t="s">
        <v>4583</v>
      </c>
      <c r="J781" s="1">
        <v>73.0</v>
      </c>
      <c r="K781" s="1" t="s">
        <v>2575</v>
      </c>
      <c r="L781" s="1" t="s">
        <v>497</v>
      </c>
      <c r="M781" s="1" t="s">
        <v>4584</v>
      </c>
      <c r="N781" s="1" t="s">
        <v>499</v>
      </c>
      <c r="O781" s="1" t="s">
        <v>4585</v>
      </c>
      <c r="P781" s="1">
        <v>138356.0</v>
      </c>
      <c r="Q781" s="3" t="str">
        <f>VLOOKUP(A781,Posters!A781:B1780,2)</f>
        <v>https://m.media-amazon.com/images/M/MV5BMTQxNDQwNjQzOV5BMl5BanBnXkFtZTcwNTQxNDYyMQ@@._V1_UX67_CR0,0,67,98_AL_.jpg</v>
      </c>
    </row>
    <row r="782">
      <c r="A782" s="1">
        <v>781.0</v>
      </c>
      <c r="B782" s="1" t="s">
        <v>4586</v>
      </c>
      <c r="C782" s="2">
        <v>4.4585453E7</v>
      </c>
      <c r="D782" s="1">
        <v>2003.0</v>
      </c>
      <c r="E782" s="1" t="s">
        <v>37</v>
      </c>
      <c r="F782" s="1" t="s">
        <v>405</v>
      </c>
      <c r="G782" s="1" t="s">
        <v>507</v>
      </c>
      <c r="H782" s="1">
        <v>7.7</v>
      </c>
      <c r="I782" s="1" t="s">
        <v>4587</v>
      </c>
      <c r="J782" s="1">
        <v>89.0</v>
      </c>
      <c r="K782" s="1" t="s">
        <v>4588</v>
      </c>
      <c r="L782" s="1" t="s">
        <v>2569</v>
      </c>
      <c r="M782" s="1" t="s">
        <v>307</v>
      </c>
      <c r="N782" s="1" t="s">
        <v>4589</v>
      </c>
      <c r="O782" s="1" t="s">
        <v>4590</v>
      </c>
      <c r="P782" s="1">
        <v>415074.0</v>
      </c>
      <c r="Q782" s="3" t="str">
        <f>VLOOKUP(A782,Posters!A782:B1781,2)</f>
        <v>https://m.media-amazon.com/images/M/MV5BMTI2NDI5ODk4N15BMl5BanBnXkFtZTYwMTI3NTE3._V1_UX67_CR0,0,67,98_AL_.jpg</v>
      </c>
    </row>
    <row r="783">
      <c r="A783" s="1">
        <v>782.0</v>
      </c>
      <c r="B783" s="1" t="s">
        <v>4591</v>
      </c>
      <c r="C783" s="2">
        <v>2.90013036E8</v>
      </c>
      <c r="D783" s="1">
        <v>2005.0</v>
      </c>
      <c r="E783" s="1" t="s">
        <v>37</v>
      </c>
      <c r="F783" s="1" t="s">
        <v>3025</v>
      </c>
      <c r="G783" s="1" t="s">
        <v>2629</v>
      </c>
      <c r="H783" s="1">
        <v>7.7</v>
      </c>
      <c r="I783" s="1" t="s">
        <v>4592</v>
      </c>
      <c r="J783" s="1">
        <v>81.0</v>
      </c>
      <c r="K783" s="1" t="s">
        <v>4593</v>
      </c>
      <c r="L783" s="1" t="s">
        <v>1568</v>
      </c>
      <c r="M783" s="1" t="s">
        <v>1569</v>
      </c>
      <c r="N783" s="1" t="s">
        <v>1570</v>
      </c>
      <c r="O783" s="1" t="s">
        <v>4594</v>
      </c>
      <c r="P783" s="1">
        <v>548619.0</v>
      </c>
      <c r="Q783" s="3" t="str">
        <f>VLOOKUP(A783,Posters!A783:B1782,2)</f>
        <v>https://m.media-amazon.com/images/M/MV5BMTI1NDMyMjExOF5BMl5BanBnXkFtZTcwOTc4MjQzMQ@@._V1_UX67_CR0,0,67,98_AL_.jpg</v>
      </c>
    </row>
    <row r="784">
      <c r="A784" s="1">
        <v>783.0</v>
      </c>
      <c r="B784" s="1" t="s">
        <v>4595</v>
      </c>
      <c r="C784" s="2">
        <v>7.7911774E7</v>
      </c>
      <c r="D784" s="1">
        <v>2004.0</v>
      </c>
      <c r="E784" s="1" t="s">
        <v>37</v>
      </c>
      <c r="F784" s="1" t="s">
        <v>136</v>
      </c>
      <c r="G784" s="1" t="s">
        <v>39</v>
      </c>
      <c r="H784" s="1">
        <v>7.7</v>
      </c>
      <c r="I784" s="1" t="s">
        <v>4596</v>
      </c>
      <c r="J784" s="1">
        <v>47.0</v>
      </c>
      <c r="K784" s="1" t="s">
        <v>3248</v>
      </c>
      <c r="L784" s="1" t="s">
        <v>3799</v>
      </c>
      <c r="M784" s="1" t="s">
        <v>1674</v>
      </c>
      <c r="N784" s="1" t="s">
        <v>4597</v>
      </c>
      <c r="O784" s="1" t="s">
        <v>4598</v>
      </c>
      <c r="P784" s="1">
        <v>329592.0</v>
      </c>
      <c r="Q784" s="3" t="str">
        <f>VLOOKUP(A784,Posters!A784:B1783,2)</f>
        <v>https://m.media-amazon.com/images/M/MV5BODFlMmEwMDgtYjhmZi00ZTE5LTk2NWQtMWE1Y2M0NjkzOGYxXkEyXkFqcGdeQXVyNjU0OTQ0OTY@._V1_UX67_CR0,0,67,98_AL_.jpg</v>
      </c>
    </row>
    <row r="785">
      <c r="A785" s="1">
        <v>784.0</v>
      </c>
      <c r="B785" s="1" t="s">
        <v>4599</v>
      </c>
      <c r="C785" s="2">
        <v>7.5286229E7</v>
      </c>
      <c r="D785" s="1">
        <v>2009.0</v>
      </c>
      <c r="E785" s="1" t="s">
        <v>52</v>
      </c>
      <c r="F785" s="1" t="s">
        <v>1439</v>
      </c>
      <c r="G785" s="1" t="s">
        <v>1384</v>
      </c>
      <c r="H785" s="1">
        <v>7.7</v>
      </c>
      <c r="I785" s="1" t="s">
        <v>4600</v>
      </c>
      <c r="J785" s="1">
        <v>80.0</v>
      </c>
      <c r="K785" s="1" t="s">
        <v>2560</v>
      </c>
      <c r="L785" s="1" t="s">
        <v>4597</v>
      </c>
      <c r="M785" s="1" t="s">
        <v>4601</v>
      </c>
      <c r="N785" s="1" t="s">
        <v>4602</v>
      </c>
      <c r="O785" s="1" t="s">
        <v>4603</v>
      </c>
      <c r="P785" s="1">
        <v>197761.0</v>
      </c>
      <c r="Q785" s="3" t="str">
        <f>VLOOKUP(A785,Posters!A785:B1784,2)</f>
        <v>https://m.media-amazon.com/images/M/MV5BMzQxNjM5NzkxNV5BMl5BanBnXkFtZTcwMzg5NDMwMg@@._V1_UX67_CR0,0,67,98_AL_.jpg</v>
      </c>
    </row>
    <row r="786">
      <c r="A786" s="1">
        <v>785.0</v>
      </c>
      <c r="B786" s="1" t="s">
        <v>4604</v>
      </c>
      <c r="C786" s="2">
        <v>1.11110575E8</v>
      </c>
      <c r="D786" s="1">
        <v>2003.0</v>
      </c>
      <c r="E786" s="1" t="s">
        <v>37</v>
      </c>
      <c r="F786" s="1" t="s">
        <v>70</v>
      </c>
      <c r="G786" s="1" t="s">
        <v>956</v>
      </c>
      <c r="H786" s="1">
        <v>7.7</v>
      </c>
      <c r="I786" s="1" t="s">
        <v>4605</v>
      </c>
      <c r="J786" s="1">
        <v>55.0</v>
      </c>
      <c r="K786" s="1" t="s">
        <v>2362</v>
      </c>
      <c r="L786" s="1" t="s">
        <v>2486</v>
      </c>
      <c r="M786" s="1" t="s">
        <v>93</v>
      </c>
      <c r="N786" s="1" t="s">
        <v>4606</v>
      </c>
      <c r="O786" s="1" t="s">
        <v>4607</v>
      </c>
      <c r="P786" s="1">
        <v>400049.0</v>
      </c>
      <c r="Q786" s="3" t="str">
        <f>VLOOKUP(A786,Posters!A786:B1785,2)</f>
        <v>https://m.media-amazon.com/images/M/MV5BMzkyNzQ1Mzc0NV5BMl5BanBnXkFtZTcwODg3MzUzMw@@._V1_UX67_CR0,0,67,98_AL_.jpg</v>
      </c>
    </row>
    <row r="787">
      <c r="A787" s="1">
        <v>786.0</v>
      </c>
      <c r="B787" s="1" t="s">
        <v>4608</v>
      </c>
      <c r="C787" s="2">
        <v>4890878.0</v>
      </c>
      <c r="D787" s="1">
        <v>2002.0</v>
      </c>
      <c r="E787" s="1" t="s">
        <v>212</v>
      </c>
      <c r="F787" s="1" t="s">
        <v>825</v>
      </c>
      <c r="G787" s="1" t="s">
        <v>20</v>
      </c>
      <c r="H787" s="1">
        <v>7.7</v>
      </c>
      <c r="I787" s="1" t="s">
        <v>4609</v>
      </c>
      <c r="J787" s="1">
        <v>83.0</v>
      </c>
      <c r="K787" s="1" t="s">
        <v>4610</v>
      </c>
      <c r="L787" s="1" t="s">
        <v>4611</v>
      </c>
      <c r="M787" s="1" t="s">
        <v>4612</v>
      </c>
      <c r="N787" s="1" t="s">
        <v>4613</v>
      </c>
      <c r="O787" s="1" t="s">
        <v>4614</v>
      </c>
      <c r="P787" s="1">
        <v>25938.0</v>
      </c>
      <c r="Q787" s="3" t="str">
        <f>VLOOKUP(A787,Posters!A787:B1786,2)</f>
        <v>https://m.media-amazon.com/images/M/MV5BMTI2NzU1NTc1NF5BMl5BanBnXkFtZTcwOTQ1MjAwMQ@@._V1_UX67_CR0,0,67,98_AL_.jpg</v>
      </c>
    </row>
    <row r="788">
      <c r="A788" s="1">
        <v>787.0</v>
      </c>
      <c r="B788" s="1" t="s">
        <v>4615</v>
      </c>
      <c r="C788" s="2">
        <v>4064200.0</v>
      </c>
      <c r="D788" s="1">
        <v>2003.0</v>
      </c>
      <c r="E788" s="1" t="s">
        <v>212</v>
      </c>
      <c r="F788" s="1" t="s">
        <v>249</v>
      </c>
      <c r="G788" s="1" t="s">
        <v>227</v>
      </c>
      <c r="H788" s="1">
        <v>7.7</v>
      </c>
      <c r="I788" s="1" t="s">
        <v>4616</v>
      </c>
      <c r="J788" s="1">
        <v>68.0</v>
      </c>
      <c r="K788" s="1" t="s">
        <v>4617</v>
      </c>
      <c r="L788" s="1" t="s">
        <v>1508</v>
      </c>
      <c r="M788" s="1" t="s">
        <v>4618</v>
      </c>
      <c r="N788" s="1" t="s">
        <v>4619</v>
      </c>
      <c r="O788" s="1" t="s">
        <v>4620</v>
      </c>
      <c r="P788" s="1">
        <v>137981.0</v>
      </c>
      <c r="Q788" s="3" t="str">
        <f>VLOOKUP(A788,Posters!A788:B1787,2)</f>
        <v>https://m.media-amazon.com/images/M/MV5BMTI0MTg4NzI3M15BMl5BanBnXkFtZTcwOTE0MTUyMQ@@._V1_UY98_CR0,0,67,98_AL_.jpg</v>
      </c>
    </row>
    <row r="789">
      <c r="A789" s="1">
        <v>788.0</v>
      </c>
      <c r="B789" s="1" t="s">
        <v>4621</v>
      </c>
      <c r="C789" s="2">
        <v>1.5539266E7</v>
      </c>
      <c r="D789" s="1">
        <v>2002.0</v>
      </c>
      <c r="E789" s="1" t="s">
        <v>161</v>
      </c>
      <c r="F789" s="1" t="s">
        <v>487</v>
      </c>
      <c r="G789" s="1" t="s">
        <v>20</v>
      </c>
      <c r="H789" s="1">
        <v>7.7</v>
      </c>
      <c r="I789" s="1" t="s">
        <v>4622</v>
      </c>
      <c r="J789" s="1">
        <v>76.0</v>
      </c>
      <c r="K789" s="1" t="s">
        <v>1789</v>
      </c>
      <c r="L789" s="1" t="s">
        <v>3622</v>
      </c>
      <c r="M789" s="1" t="s">
        <v>4544</v>
      </c>
      <c r="N789" s="1" t="s">
        <v>2363</v>
      </c>
      <c r="O789" s="1" t="s">
        <v>4623</v>
      </c>
      <c r="P789" s="1">
        <v>40403.0</v>
      </c>
      <c r="Q789" s="3" t="str">
        <f>VLOOKUP(A789,Posters!A789:B1788,2)</f>
        <v>https://m.media-amazon.com/images/M/MV5BOGY1YmUzN2MtNDQ3NC00Nzc4LWI5M2EtYzUwMGQ4NWM4NjE1XkEyXkFqcGdeQXVyMTQxNzMzNDI@._V1_UY98_CR0,0,67,98_AL_.jpg</v>
      </c>
    </row>
    <row r="790">
      <c r="A790" s="1">
        <v>789.0</v>
      </c>
      <c r="B790" s="1" t="s">
        <v>4624</v>
      </c>
      <c r="C790" s="2">
        <v>4.0311852E7</v>
      </c>
      <c r="D790" s="1">
        <v>2001.0</v>
      </c>
      <c r="E790" s="1" t="s">
        <v>161</v>
      </c>
      <c r="F790" s="1" t="s">
        <v>170</v>
      </c>
      <c r="G790" s="1" t="s">
        <v>20</v>
      </c>
      <c r="H790" s="1">
        <v>7.7</v>
      </c>
      <c r="I790" s="1" t="s">
        <v>4625</v>
      </c>
      <c r="J790" s="1">
        <v>28.0</v>
      </c>
      <c r="K790" s="1" t="s">
        <v>4626</v>
      </c>
      <c r="L790" s="1" t="s">
        <v>1605</v>
      </c>
      <c r="M790" s="1" t="s">
        <v>810</v>
      </c>
      <c r="N790" s="1" t="s">
        <v>4597</v>
      </c>
      <c r="O790" s="1" t="s">
        <v>3269</v>
      </c>
      <c r="P790" s="1">
        <v>142863.0</v>
      </c>
      <c r="Q790" s="3" t="str">
        <f>VLOOKUP(A790,Posters!A790:B1789,2)</f>
        <v>https://m.media-amazon.com/images/M/MV5BYzEyNzc0NjctZjJiZC00MWI1LWJlOTMtYWZkZDAzNzQ0ZDNkXkEyXkFqcGdeQXVyMTQxNzMzNDI@._V1_UX67_CR0,0,67,98_AL_.jpg</v>
      </c>
    </row>
    <row r="791">
      <c r="A791" s="1">
        <v>790.0</v>
      </c>
      <c r="B791" s="1" t="s">
        <v>4627</v>
      </c>
      <c r="C791" s="2">
        <v>2.2245861E7</v>
      </c>
      <c r="D791" s="1">
        <v>2002.0</v>
      </c>
      <c r="E791" s="1" t="s">
        <v>212</v>
      </c>
      <c r="F791" s="1" t="s">
        <v>563</v>
      </c>
      <c r="G791" s="1" t="s">
        <v>507</v>
      </c>
      <c r="H791" s="1">
        <v>7.7</v>
      </c>
      <c r="I791" s="1" t="s">
        <v>4628</v>
      </c>
      <c r="J791" s="1">
        <v>83.0</v>
      </c>
      <c r="K791" s="1" t="s">
        <v>2253</v>
      </c>
      <c r="L791" s="1" t="s">
        <v>4629</v>
      </c>
      <c r="M791" s="1" t="s">
        <v>3136</v>
      </c>
      <c r="N791" s="1" t="s">
        <v>3205</v>
      </c>
      <c r="O791" s="1" t="s">
        <v>3826</v>
      </c>
      <c r="P791" s="1">
        <v>178565.0</v>
      </c>
      <c r="Q791" s="3" t="str">
        <f>VLOOKUP(A791,Posters!A791:B1790,2)</f>
        <v>https://m.media-amazon.com/images/M/MV5BZjIwZWU0ZDItNzBlNS00MDIwLWFlZjctZTJjODdjZWYxNzczL2ltYWdlXkEyXkFqcGdeQXVyMTMxODk2OTU@._V1_UX67_CR0,0,67,98_AL_.jpg</v>
      </c>
    </row>
    <row r="792">
      <c r="A792" s="1">
        <v>791.0</v>
      </c>
      <c r="B792" s="1" t="s">
        <v>4630</v>
      </c>
      <c r="C792" s="2">
        <v>1.08638745E8</v>
      </c>
      <c r="D792" s="1">
        <v>2001.0</v>
      </c>
      <c r="E792" s="1" t="s">
        <v>18</v>
      </c>
      <c r="F792" s="1" t="s">
        <v>1618</v>
      </c>
      <c r="G792" s="1" t="s">
        <v>2661</v>
      </c>
      <c r="H792" s="1">
        <v>7.7</v>
      </c>
      <c r="I792" s="1" t="s">
        <v>4631</v>
      </c>
      <c r="J792" s="1">
        <v>74.0</v>
      </c>
      <c r="K792" s="1" t="s">
        <v>324</v>
      </c>
      <c r="L792" s="1" t="s">
        <v>4532</v>
      </c>
      <c r="M792" s="1" t="s">
        <v>1739</v>
      </c>
      <c r="N792" s="1" t="s">
        <v>216</v>
      </c>
      <c r="O792" s="1" t="s">
        <v>1594</v>
      </c>
      <c r="P792" s="1">
        <v>364254.0</v>
      </c>
      <c r="Q792" s="3" t="str">
        <f>VLOOKUP(A792,Posters!A792:B1791,2)</f>
        <v>https://m.media-amazon.com/images/M/MV5BYWMwMzQxZjQtODM1YS00YmFiLTk1YjQtNzNiYWY1MDE4NTdiXkEyXkFqcGdeQXVyNDYyMDk5MTU@._V1_UX67_CR0,0,67,98_AL_.jpg</v>
      </c>
    </row>
    <row r="793">
      <c r="A793" s="1">
        <v>792.0</v>
      </c>
      <c r="B793" s="1" t="s">
        <v>4632</v>
      </c>
      <c r="C793" s="2">
        <v>1.04454762E8</v>
      </c>
      <c r="D793" s="1">
        <v>2002.0</v>
      </c>
      <c r="E793" s="1" t="s">
        <v>18</v>
      </c>
      <c r="F793" s="1" t="s">
        <v>466</v>
      </c>
      <c r="G793" s="1" t="s">
        <v>241</v>
      </c>
      <c r="H793" s="1">
        <v>7.7</v>
      </c>
      <c r="I793" s="1" t="s">
        <v>4633</v>
      </c>
      <c r="J793" s="1">
        <v>72.0</v>
      </c>
      <c r="K793" s="1" t="s">
        <v>641</v>
      </c>
      <c r="L793" s="1" t="s">
        <v>110</v>
      </c>
      <c r="M793" s="1" t="s">
        <v>4634</v>
      </c>
      <c r="N793" s="1" t="s">
        <v>4635</v>
      </c>
      <c r="O793" s="1" t="s">
        <v>4636</v>
      </c>
      <c r="P793" s="1">
        <v>246840.0</v>
      </c>
      <c r="Q793" s="3" t="str">
        <f>VLOOKUP(A793,Posters!A793:B1792,2)</f>
        <v>https://m.media-amazon.com/images/M/MV5BNjcxMmQ0MmItYTkzYy00MmUyLTlhOTQtMmJmNjE3MDMwYjdlXkEyXkFqcGdeQXVyNzkwMjQ5NzM@._V1_UX67_CR0,0,67,98_AL_.jpg</v>
      </c>
    </row>
    <row r="794">
      <c r="A794" s="1">
        <v>793.0</v>
      </c>
      <c r="B794" s="1" t="s">
        <v>4637</v>
      </c>
      <c r="C794" s="2">
        <v>141072.0</v>
      </c>
      <c r="D794" s="1">
        <v>2001.0</v>
      </c>
      <c r="E794" s="1" t="s">
        <v>212</v>
      </c>
      <c r="F794" s="1" t="s">
        <v>1546</v>
      </c>
      <c r="G794" s="1" t="s">
        <v>1377</v>
      </c>
      <c r="H794" s="1">
        <v>7.7</v>
      </c>
      <c r="I794" s="1" t="s">
        <v>4638</v>
      </c>
      <c r="J794" s="1">
        <v>60.0</v>
      </c>
      <c r="K794" s="1" t="s">
        <v>1136</v>
      </c>
      <c r="L794" s="1" t="s">
        <v>2530</v>
      </c>
      <c r="M794" s="1" t="s">
        <v>4639</v>
      </c>
      <c r="N794" s="1" t="s">
        <v>4640</v>
      </c>
      <c r="O794" s="1" t="s">
        <v>4641</v>
      </c>
      <c r="P794" s="1">
        <v>90842.0</v>
      </c>
      <c r="Q794" s="3" t="str">
        <f>VLOOKUP(A794,Posters!A794:B1793,2)</f>
        <v>https://m.media-amazon.com/images/M/MV5BNThiMDc1YjUtYmE3Zi00MTM1LTkzM2MtNjdlNzQ4ZDlmYjRmXkEyXkFqcGdeQXVyMTQxNzMzNDI@._V1_UY98_CR1,0,67,98_AL_.jpg</v>
      </c>
    </row>
    <row r="795">
      <c r="A795" s="1">
        <v>794.0</v>
      </c>
      <c r="B795" s="1" t="s">
        <v>4642</v>
      </c>
      <c r="C795" s="2">
        <v>2.1995263E7</v>
      </c>
      <c r="D795" s="1">
        <v>2000.0</v>
      </c>
      <c r="E795" s="1" t="s">
        <v>212</v>
      </c>
      <c r="F795" s="1" t="s">
        <v>343</v>
      </c>
      <c r="G795" s="1" t="s">
        <v>287</v>
      </c>
      <c r="H795" s="1">
        <v>7.7</v>
      </c>
      <c r="I795" s="1" t="s">
        <v>4643</v>
      </c>
      <c r="J795" s="1">
        <v>74.0</v>
      </c>
      <c r="K795" s="1" t="s">
        <v>4644</v>
      </c>
      <c r="L795" s="1" t="s">
        <v>4645</v>
      </c>
      <c r="M795" s="1" t="s">
        <v>4646</v>
      </c>
      <c r="N795" s="1" t="s">
        <v>4647</v>
      </c>
      <c r="O795" s="1" t="s">
        <v>4648</v>
      </c>
      <c r="P795" s="1">
        <v>126770.0</v>
      </c>
      <c r="Q795" s="3" t="str">
        <f>VLOOKUP(A795,Posters!A795:B1794,2)</f>
        <v>https://m.media-amazon.com/images/M/MV5BNGY3NWYwNzctNWU5Yi00ZjljLTgyNDgtZjNhZjRlNjc0ZTU1XkEyXkFqcGdeQXVyMTQxNzMzNDI@._V1_UX67_CR0,0,67,98_AL_.jpg</v>
      </c>
    </row>
    <row r="796">
      <c r="A796" s="1">
        <v>795.0</v>
      </c>
      <c r="B796" s="1" t="s">
        <v>4649</v>
      </c>
      <c r="C796" s="2">
        <v>3029081.0</v>
      </c>
      <c r="D796" s="1">
        <v>2001.0</v>
      </c>
      <c r="E796" s="1" t="s">
        <v>212</v>
      </c>
      <c r="F796" s="1" t="s">
        <v>601</v>
      </c>
      <c r="G796" s="1" t="s">
        <v>2173</v>
      </c>
      <c r="H796" s="1">
        <v>7.7</v>
      </c>
      <c r="I796" s="1" t="s">
        <v>4650</v>
      </c>
      <c r="J796" s="1">
        <v>85.0</v>
      </c>
      <c r="K796" s="1" t="s">
        <v>4651</v>
      </c>
      <c r="L796" s="1" t="s">
        <v>4651</v>
      </c>
      <c r="M796" s="1" t="s">
        <v>4652</v>
      </c>
      <c r="N796" s="1" t="s">
        <v>4653</v>
      </c>
      <c r="O796" s="1" t="s">
        <v>4654</v>
      </c>
      <c r="P796" s="1">
        <v>31957.0</v>
      </c>
      <c r="Q796" s="3" t="str">
        <f>VLOOKUP(A796,Posters!A796:B1795,2)</f>
        <v>https://m.media-amazon.com/images/M/MV5BZGY5NWUyNDUtZWJhZi00ZjMxLWFmMjMtYmJhZjVkZGZhNWQ4XkEyXkFqcGdeQXVyMTQxNzMzNDI@._V1_UX67_CR0,0,67,98_AL_.jpg</v>
      </c>
    </row>
    <row r="797">
      <c r="A797" s="1">
        <v>796.0</v>
      </c>
      <c r="B797" s="1" t="s">
        <v>4655</v>
      </c>
      <c r="C797" s="2">
        <v>1.8341715E8</v>
      </c>
      <c r="D797" s="1">
        <v>2001.0</v>
      </c>
      <c r="E797" s="1" t="s">
        <v>37</v>
      </c>
      <c r="F797" s="1" t="s">
        <v>226</v>
      </c>
      <c r="G797" s="1" t="s">
        <v>1320</v>
      </c>
      <c r="H797" s="1">
        <v>7.7</v>
      </c>
      <c r="I797" s="1" t="s">
        <v>4656</v>
      </c>
      <c r="J797" s="1">
        <v>74.0</v>
      </c>
      <c r="K797" s="1" t="s">
        <v>4657</v>
      </c>
      <c r="L797" s="1" t="s">
        <v>3135</v>
      </c>
      <c r="M797" s="1" t="s">
        <v>98</v>
      </c>
      <c r="N797" s="1" t="s">
        <v>2210</v>
      </c>
      <c r="O797" s="1" t="s">
        <v>215</v>
      </c>
      <c r="P797" s="1">
        <v>516372.0</v>
      </c>
      <c r="Q797" s="3" t="str">
        <f>VLOOKUP(A797,Posters!A797:B1796,2)</f>
        <v>https://m.media-amazon.com/images/M/MV5BYzVmYzVkMmUtOGRhMi00MTNmLThlMmUtZTljYjlkMjNkMjJkXkEyXkFqcGdeQXVyNDk3NzU2MTQ@._V1_UX67_CR0,0,67,98_AL_.jpg</v>
      </c>
    </row>
    <row r="798">
      <c r="A798" s="1">
        <v>797.0</v>
      </c>
      <c r="B798" s="1" t="s">
        <v>4658</v>
      </c>
      <c r="C798" s="2">
        <v>151086.0</v>
      </c>
      <c r="D798" s="1">
        <v>2000.0</v>
      </c>
      <c r="E798" s="1" t="s">
        <v>52</v>
      </c>
      <c r="F798" s="1" t="s">
        <v>885</v>
      </c>
      <c r="G798" s="1" t="s">
        <v>4659</v>
      </c>
      <c r="H798" s="1">
        <v>7.7</v>
      </c>
      <c r="I798" s="1" t="s">
        <v>4660</v>
      </c>
      <c r="J798" s="1">
        <v>62.0</v>
      </c>
      <c r="K798" s="1" t="s">
        <v>3259</v>
      </c>
      <c r="L798" s="1" t="s">
        <v>4661</v>
      </c>
      <c r="M798" s="1" t="s">
        <v>4662</v>
      </c>
      <c r="N798" s="1" t="s">
        <v>4663</v>
      </c>
      <c r="O798" s="1" t="s">
        <v>4664</v>
      </c>
      <c r="P798" s="1">
        <v>29210.0</v>
      </c>
      <c r="Q798" s="3" t="str">
        <f>VLOOKUP(A798,Posters!A798:B1797,2)</f>
        <v>https://m.media-amazon.com/images/M/MV5BNTIyNThlMjMtMzUyMi00YmEyLTljMmYtMWRhN2Q3ZTllZjA4XkEyXkFqcGdeQXVyMzM4MjM0Nzg@._V1_UY98_CR1,0,67,98_AL_.jpg</v>
      </c>
    </row>
    <row r="799">
      <c r="A799" s="1">
        <v>798.0</v>
      </c>
      <c r="B799" s="1" t="s">
        <v>4665</v>
      </c>
      <c r="C799" s="2">
        <v>4.5512588E7</v>
      </c>
      <c r="D799" s="1">
        <v>2000.0</v>
      </c>
      <c r="E799" s="1" t="s">
        <v>52</v>
      </c>
      <c r="F799" s="1" t="s">
        <v>907</v>
      </c>
      <c r="G799" s="1" t="s">
        <v>1466</v>
      </c>
      <c r="H799" s="1">
        <v>7.7</v>
      </c>
      <c r="I799" s="1" t="s">
        <v>4666</v>
      </c>
      <c r="J799" s="1">
        <v>69.0</v>
      </c>
      <c r="K799" s="1" t="s">
        <v>1613</v>
      </c>
      <c r="L799" s="1" t="s">
        <v>1612</v>
      </c>
      <c r="M799" s="1" t="s">
        <v>3135</v>
      </c>
      <c r="N799" s="1" t="s">
        <v>4667</v>
      </c>
      <c r="O799" s="1" t="s">
        <v>4668</v>
      </c>
      <c r="P799" s="1">
        <v>286742.0</v>
      </c>
      <c r="Q799" s="3" t="str">
        <f>VLOOKUP(A799,Posters!A799:B1798,2)</f>
        <v>https://m.media-amazon.com/images/M/MV5BMjZkOTdmMWItOTkyNy00MDdjLTlhNTQtYzU3MzdhZjA0ZDEyXkEyXkFqcGdeQXVyMTMxODk2OTU@._V1_UX67_CR0,0,67,98_AL_.jpg</v>
      </c>
    </row>
    <row r="800">
      <c r="A800" s="1">
        <v>799.0</v>
      </c>
      <c r="B800" s="1" t="s">
        <v>4669</v>
      </c>
      <c r="C800" s="2">
        <v>8449.0</v>
      </c>
      <c r="D800" s="1">
        <v>2002.0</v>
      </c>
      <c r="E800" s="1" t="s">
        <v>212</v>
      </c>
      <c r="F800" s="1" t="s">
        <v>226</v>
      </c>
      <c r="G800" s="1" t="s">
        <v>1004</v>
      </c>
      <c r="H800" s="1">
        <v>7.7</v>
      </c>
      <c r="I800" s="1" t="s">
        <v>4670</v>
      </c>
      <c r="K800" s="1" t="s">
        <v>4671</v>
      </c>
      <c r="L800" s="1" t="s">
        <v>2204</v>
      </c>
      <c r="M800" s="1" t="s">
        <v>347</v>
      </c>
      <c r="N800" s="1" t="s">
        <v>1846</v>
      </c>
      <c r="O800" s="1" t="s">
        <v>4672</v>
      </c>
      <c r="P800" s="1">
        <v>29999.0</v>
      </c>
      <c r="Q800" s="3" t="str">
        <f>VLOOKUP(A800,Posters!A800:B1799,2)</f>
        <v>https://m.media-amazon.com/images/M/MV5BZDYwYzlhOTAtNDAwMC00ZTBhLWI4M2QtMTA1NmJhYTdiNTkxXkEyXkFqcGdeQXVyNTM0NTU5Mg@@._V1_UX67_CR0,0,67,98_AL_.jpg</v>
      </c>
    </row>
    <row r="801">
      <c r="A801" s="1">
        <v>800.0</v>
      </c>
      <c r="B801" s="1" t="s">
        <v>4673</v>
      </c>
      <c r="C801" s="2">
        <v>5.2037603E7</v>
      </c>
      <c r="D801" s="1">
        <v>1999.0</v>
      </c>
      <c r="E801" s="1" t="s">
        <v>18</v>
      </c>
      <c r="F801" s="1" t="s">
        <v>764</v>
      </c>
      <c r="G801" s="1" t="s">
        <v>4674</v>
      </c>
      <c r="H801" s="1">
        <v>7.7</v>
      </c>
      <c r="I801" s="1" t="s">
        <v>4675</v>
      </c>
      <c r="J801" s="1">
        <v>73.0</v>
      </c>
      <c r="K801" s="1" t="s">
        <v>4676</v>
      </c>
      <c r="L801" s="1" t="s">
        <v>4676</v>
      </c>
      <c r="M801" s="1" t="s">
        <v>4677</v>
      </c>
      <c r="N801" s="1" t="s">
        <v>4678</v>
      </c>
      <c r="O801" s="1" t="s">
        <v>4679</v>
      </c>
      <c r="P801" s="1">
        <v>192112.0</v>
      </c>
      <c r="Q801" s="3" t="str">
        <f>VLOOKUP(A801,Posters!A801:B1800,2)</f>
        <v>https://m.media-amazon.com/images/M/MV5BOGE0ZWI0YzAtY2NkZi00YjkyLWIzYWEtNTJmMzJjODllNjdjXkEyXkFqcGdeQXVyMTQxNzMzNDI@._V1_UX67_CR0,0,67,98_AL_.jpg</v>
      </c>
    </row>
    <row r="802">
      <c r="A802" s="1">
        <v>801.0</v>
      </c>
      <c r="B802" s="1" t="s">
        <v>4680</v>
      </c>
      <c r="C802" s="2">
        <v>1.0824921E7</v>
      </c>
      <c r="D802" s="1">
        <v>1999.0</v>
      </c>
      <c r="E802" s="1" t="s">
        <v>212</v>
      </c>
      <c r="F802" s="1" t="s">
        <v>374</v>
      </c>
      <c r="G802" s="1" t="s">
        <v>602</v>
      </c>
      <c r="H802" s="1">
        <v>7.7</v>
      </c>
      <c r="I802" s="1" t="s">
        <v>4681</v>
      </c>
      <c r="J802" s="1">
        <v>68.0</v>
      </c>
      <c r="K802" s="1" t="s">
        <v>4682</v>
      </c>
      <c r="L802" s="1" t="s">
        <v>4683</v>
      </c>
      <c r="M802" s="1" t="s">
        <v>2522</v>
      </c>
      <c r="N802" s="1" t="s">
        <v>4684</v>
      </c>
      <c r="O802" s="1" t="s">
        <v>4685</v>
      </c>
      <c r="P802" s="1">
        <v>241575.0</v>
      </c>
      <c r="Q802" s="3" t="str">
        <f>VLOOKUP(A802,Posters!A802:B1801,2)</f>
        <v>https://m.media-amazon.com/images/M/MV5BOTA5MzQ3MzI1NV5BMl5BanBnXkFtZTgwNTcxNTYxMTE@._V1_UX67_CR0,0,67,98_AL_.jpg</v>
      </c>
    </row>
    <row r="803">
      <c r="A803" s="1">
        <v>802.0</v>
      </c>
      <c r="B803" s="1" t="s">
        <v>4686</v>
      </c>
      <c r="C803" s="2">
        <v>2807390.0</v>
      </c>
      <c r="D803" s="1">
        <v>1998.0</v>
      </c>
      <c r="E803" s="1">
        <v>18.0</v>
      </c>
      <c r="F803" s="1" t="s">
        <v>550</v>
      </c>
      <c r="G803" s="1" t="s">
        <v>507</v>
      </c>
      <c r="H803" s="1">
        <v>7.7</v>
      </c>
      <c r="I803" s="1" t="s">
        <v>4687</v>
      </c>
      <c r="J803" s="1">
        <v>81.0</v>
      </c>
      <c r="K803" s="1" t="s">
        <v>4688</v>
      </c>
      <c r="L803" s="1" t="s">
        <v>4689</v>
      </c>
      <c r="M803" s="1" t="s">
        <v>4690</v>
      </c>
      <c r="N803" s="1" t="s">
        <v>1593</v>
      </c>
      <c r="O803" s="1" t="s">
        <v>4691</v>
      </c>
      <c r="P803" s="1">
        <v>66408.0</v>
      </c>
      <c r="Q803" s="3" t="str">
        <f>VLOOKUP(A803,Posters!A803:B1802,2)</f>
        <v>https://m.media-amazon.com/images/M/MV5BM2FlNzE0ZmUtMmVkZS00MWQ3LWE4OWQtYjQwZjdhNzRmNWE2XkEyXkFqcGdeQXVyMTAwMzUyOTc@._V1_UX67_CR0,0,67,98_AL_.jpg</v>
      </c>
    </row>
    <row r="804">
      <c r="A804" s="1">
        <v>803.0</v>
      </c>
      <c r="B804" s="1" t="s">
        <v>4692</v>
      </c>
      <c r="C804" s="2">
        <v>7.6631907E7</v>
      </c>
      <c r="D804" s="1">
        <v>2001.0</v>
      </c>
      <c r="E804" s="1" t="s">
        <v>18</v>
      </c>
      <c r="F804" s="1" t="s">
        <v>279</v>
      </c>
      <c r="G804" s="1" t="s">
        <v>241</v>
      </c>
      <c r="H804" s="1">
        <v>7.7</v>
      </c>
      <c r="I804" s="1" t="s">
        <v>4693</v>
      </c>
      <c r="J804" s="1">
        <v>69.0</v>
      </c>
      <c r="K804" s="1" t="s">
        <v>4694</v>
      </c>
      <c r="L804" s="1" t="s">
        <v>3799</v>
      </c>
      <c r="M804" s="1" t="s">
        <v>1642</v>
      </c>
      <c r="N804" s="1" t="s">
        <v>4119</v>
      </c>
      <c r="O804" s="1" t="s">
        <v>1824</v>
      </c>
      <c r="P804" s="1">
        <v>390247.0</v>
      </c>
      <c r="Q804" s="3" t="str">
        <f>VLOOKUP(A804,Posters!A804:B1803,2)</f>
        <v>https://m.media-amazon.com/images/M/MV5BMDZkMTUxYWEtMDY5NS00ZTA5LTg3MTItNTlkZWE1YWRjYjMwL2ltYWdlL2ltYWdlXkEyXkFqcGdeQXVyMTQxNzMzNDI@._V1_UX67_CR0,0,67,98_AL_.jpg</v>
      </c>
    </row>
    <row r="805">
      <c r="A805" s="1">
        <v>804.0</v>
      </c>
      <c r="B805" s="1" t="s">
        <v>4695</v>
      </c>
      <c r="C805" s="2">
        <v>1.7105219E7</v>
      </c>
      <c r="D805" s="1">
        <v>1998.0</v>
      </c>
      <c r="E805" s="1" t="s">
        <v>37</v>
      </c>
      <c r="F805" s="1" t="s">
        <v>1521</v>
      </c>
      <c r="G805" s="1" t="s">
        <v>227</v>
      </c>
      <c r="H805" s="1">
        <v>7.7</v>
      </c>
      <c r="I805" s="1" t="s">
        <v>4696</v>
      </c>
      <c r="J805" s="1">
        <v>86.0</v>
      </c>
      <c r="K805" s="1" t="s">
        <v>1468</v>
      </c>
      <c r="L805" s="1" t="s">
        <v>995</v>
      </c>
      <c r="M805" s="1" t="s">
        <v>2569</v>
      </c>
      <c r="N805" s="1" t="s">
        <v>1704</v>
      </c>
      <c r="O805" s="1" t="s">
        <v>4697</v>
      </c>
      <c r="P805" s="1">
        <v>169229.0</v>
      </c>
      <c r="Q805" s="3" t="str">
        <f>VLOOKUP(A805,Posters!A805:B1804,2)</f>
        <v>https://m.media-amazon.com/images/M/MV5BMjE2OTc3OTk2M15BMl5BanBnXkFtZTgwMjg2NjIyMDE@._V1_UX67_CR0,0,67,98_AL_.jpg</v>
      </c>
    </row>
    <row r="806">
      <c r="A806" s="1">
        <v>805.0</v>
      </c>
      <c r="B806" s="1" t="s">
        <v>4698</v>
      </c>
      <c r="C806" s="2">
        <v>368234.0</v>
      </c>
      <c r="D806" s="1">
        <v>1997.0</v>
      </c>
      <c r="E806" s="1" t="s">
        <v>52</v>
      </c>
      <c r="F806" s="1" t="s">
        <v>329</v>
      </c>
      <c r="G806" s="1" t="s">
        <v>304</v>
      </c>
      <c r="H806" s="1">
        <v>7.7</v>
      </c>
      <c r="I806" s="1" t="s">
        <v>4699</v>
      </c>
      <c r="K806" s="1" t="s">
        <v>2429</v>
      </c>
      <c r="L806" s="1" t="s">
        <v>4700</v>
      </c>
      <c r="M806" s="1" t="s">
        <v>4701</v>
      </c>
      <c r="N806" s="1" t="s">
        <v>4702</v>
      </c>
      <c r="O806" s="1" t="s">
        <v>4703</v>
      </c>
      <c r="P806" s="1">
        <v>64082.0</v>
      </c>
      <c r="Q806" s="3" t="str">
        <f>VLOOKUP(A806,Posters!A806:B1805,2)</f>
        <v>https://m.media-amazon.com/images/M/MV5BYjA2MTA1MjUtYmUyNy00NGZiLTk2NTAtMDk3N2M3YmMwOTc1XkEyXkFqcGdeQXVyMjA0MzYwMDY@._V1_UY98_CR0,0,67,98_AL_.jpg</v>
      </c>
    </row>
    <row r="807">
      <c r="A807" s="1">
        <v>806.0</v>
      </c>
      <c r="B807" s="1" t="s">
        <v>4704</v>
      </c>
      <c r="C807" s="2">
        <v>2.2858926E7</v>
      </c>
      <c r="D807" s="1">
        <v>1999.0</v>
      </c>
      <c r="E807" s="1" t="s">
        <v>212</v>
      </c>
      <c r="F807" s="1" t="s">
        <v>543</v>
      </c>
      <c r="G807" s="1" t="s">
        <v>1460</v>
      </c>
      <c r="H807" s="1">
        <v>7.7</v>
      </c>
      <c r="I807" s="1" t="s">
        <v>4705</v>
      </c>
      <c r="J807" s="1">
        <v>90.0</v>
      </c>
      <c r="K807" s="1" t="s">
        <v>2253</v>
      </c>
      <c r="L807" s="1" t="s">
        <v>4706</v>
      </c>
      <c r="M807" s="1" t="s">
        <v>3946</v>
      </c>
      <c r="N807" s="1" t="s">
        <v>1608</v>
      </c>
      <c r="O807" s="1" t="s">
        <v>4109</v>
      </c>
      <c r="P807" s="1">
        <v>312542.0</v>
      </c>
      <c r="Q807" s="3" t="str">
        <f>VLOOKUP(A807,Posters!A807:B1806,2)</f>
        <v>https://m.media-amazon.com/images/M/MV5BYmUxY2MyOTQtYjRlMi00ZWEwLTkzODctZDMxNDcyNTFhYjNjXkEyXkFqcGdeQXVyNDk3NzU2MTQ@._V1_UY98_CR1,0,67,98_AL_.jpg</v>
      </c>
    </row>
    <row r="808">
      <c r="A808" s="1">
        <v>807.0</v>
      </c>
      <c r="B808" s="1" t="s">
        <v>4707</v>
      </c>
      <c r="C808" s="2">
        <v>1.48478011E8</v>
      </c>
      <c r="D808" s="1">
        <v>1997.0</v>
      </c>
      <c r="E808" s="1" t="s">
        <v>18</v>
      </c>
      <c r="F808" s="1" t="s">
        <v>95</v>
      </c>
      <c r="G808" s="1" t="s">
        <v>227</v>
      </c>
      <c r="H808" s="1">
        <v>7.7</v>
      </c>
      <c r="I808" s="1" t="s">
        <v>4708</v>
      </c>
      <c r="J808" s="1">
        <v>67.0</v>
      </c>
      <c r="K808" s="1" t="s">
        <v>4709</v>
      </c>
      <c r="L808" s="1" t="s">
        <v>156</v>
      </c>
      <c r="M808" s="1" t="s">
        <v>3924</v>
      </c>
      <c r="N808" s="1" t="s">
        <v>3819</v>
      </c>
      <c r="O808" s="1" t="s">
        <v>4034</v>
      </c>
      <c r="P808" s="1">
        <v>275755.0</v>
      </c>
      <c r="Q808" s="3" t="str">
        <f>VLOOKUP(A808,Posters!A808:B1807,2)</f>
        <v>https://m.media-amazon.com/images/M/MV5BNWMxZTgzMWEtMTU0Zi00NDc5LWFkZjctMzUxNDIyNzZiMmNjXkEyXkFqcGdeQXVyMTQxNzMzNDI@._V1_UX67_CR0,0,67,98_AL_.jpg</v>
      </c>
    </row>
    <row r="809">
      <c r="A809" s="1">
        <v>808.0</v>
      </c>
      <c r="B809" s="1" t="s">
        <v>4710</v>
      </c>
      <c r="C809" s="2">
        <v>6.354002E7</v>
      </c>
      <c r="D809" s="1">
        <v>1997.0</v>
      </c>
      <c r="E809" s="1" t="s">
        <v>37</v>
      </c>
      <c r="F809" s="1" t="s">
        <v>428</v>
      </c>
      <c r="G809" s="1" t="s">
        <v>88</v>
      </c>
      <c r="H809" s="1">
        <v>7.7</v>
      </c>
      <c r="I809" s="1" t="s">
        <v>4711</v>
      </c>
      <c r="J809" s="1">
        <v>52.0</v>
      </c>
      <c r="K809" s="1" t="s">
        <v>345</v>
      </c>
      <c r="L809" s="1" t="s">
        <v>76</v>
      </c>
      <c r="M809" s="1" t="s">
        <v>4712</v>
      </c>
      <c r="N809" s="1" t="s">
        <v>347</v>
      </c>
      <c r="O809" s="1" t="s">
        <v>4713</v>
      </c>
      <c r="P809" s="1">
        <v>434125.0</v>
      </c>
      <c r="Q809" s="3" t="str">
        <f>VLOOKUP(A809,Posters!A809:B1808,2)</f>
        <v>https://m.media-amazon.com/images/M/MV5BZWFjYmZmZGQtYzg4YS00ZGE5LTgwYzAtZmQwZjQ2NDliMGVmXkEyXkFqcGdeQXVyNTUyMzE4Mzg@._V1_UY98_CR0,0,67,98_AL_.jpg</v>
      </c>
    </row>
    <row r="810">
      <c r="A810" s="1">
        <v>809.0</v>
      </c>
      <c r="B810" s="1" t="s">
        <v>4714</v>
      </c>
      <c r="C810" s="2">
        <v>4065116.0</v>
      </c>
      <c r="D810" s="1">
        <v>1998.0</v>
      </c>
      <c r="E810" s="1" t="s">
        <v>161</v>
      </c>
      <c r="F810" s="1" t="s">
        <v>1639</v>
      </c>
      <c r="G810" s="1" t="s">
        <v>602</v>
      </c>
      <c r="H810" s="1">
        <v>7.7</v>
      </c>
      <c r="I810" s="1" t="s">
        <v>4715</v>
      </c>
      <c r="J810" s="1">
        <v>73.0</v>
      </c>
      <c r="K810" s="1" t="s">
        <v>4716</v>
      </c>
      <c r="L810" s="1" t="s">
        <v>4717</v>
      </c>
      <c r="M810" s="1" t="s">
        <v>4718</v>
      </c>
      <c r="N810" s="1" t="s">
        <v>4719</v>
      </c>
      <c r="O810" s="1" t="s">
        <v>4720</v>
      </c>
      <c r="P810" s="1">
        <v>37424.0</v>
      </c>
      <c r="Q810" s="3" t="str">
        <f>VLOOKUP(A810,Posters!A810:B1809,2)</f>
        <v>https://m.media-amazon.com/images/M/MV5BZjFkOWM5NDUtODYwOS00ZDg0LWFkZGUtYzBkYzNjZjU3ODE3XkEyXkFqcGdeQXVyNzQzNzQxNzI@._V1_UX67_CR0,0,67,98_AL_.jpg</v>
      </c>
    </row>
    <row r="811">
      <c r="A811" s="1">
        <v>810.0</v>
      </c>
      <c r="B811" s="1" t="s">
        <v>4721</v>
      </c>
      <c r="C811" s="2">
        <v>4.1909762E7</v>
      </c>
      <c r="D811" s="1">
        <v>1997.0</v>
      </c>
      <c r="E811" s="1" t="s">
        <v>18</v>
      </c>
      <c r="F811" s="1" t="s">
        <v>234</v>
      </c>
      <c r="G811" s="1" t="s">
        <v>137</v>
      </c>
      <c r="H811" s="1">
        <v>7.7</v>
      </c>
      <c r="I811" s="1" t="s">
        <v>4722</v>
      </c>
      <c r="J811" s="1">
        <v>76.0</v>
      </c>
      <c r="K811" s="1" t="s">
        <v>4593</v>
      </c>
      <c r="L811" s="1" t="s">
        <v>33</v>
      </c>
      <c r="M811" s="1" t="s">
        <v>2451</v>
      </c>
      <c r="N811" s="1" t="s">
        <v>782</v>
      </c>
      <c r="O811" s="1" t="s">
        <v>4723</v>
      </c>
      <c r="P811" s="1">
        <v>279318.0</v>
      </c>
      <c r="Q811" s="3" t="str">
        <f>VLOOKUP(A811,Posters!A811:B1810,2)</f>
        <v>https://m.media-amazon.com/images/M/MV5BYzMzMDZkYWEtODIzNS00YjI3LTkxNTktOWEyZGM3ZWI2MWM4XkEyXkFqcGdeQXVyNzkwMjQ5NzM@._V1_UX67_CR0,0,67,98_AL_.jpg</v>
      </c>
    </row>
    <row r="812">
      <c r="A812" s="1">
        <v>811.0</v>
      </c>
      <c r="B812" s="1" t="s">
        <v>4724</v>
      </c>
      <c r="C812" s="2">
        <v>3.5811509E7</v>
      </c>
      <c r="D812" s="1">
        <v>1996.0</v>
      </c>
      <c r="E812" s="1" t="s">
        <v>52</v>
      </c>
      <c r="F812" s="1" t="s">
        <v>487</v>
      </c>
      <c r="G812" s="1" t="s">
        <v>314</v>
      </c>
      <c r="H812" s="1">
        <v>7.7</v>
      </c>
      <c r="I812" s="1" t="s">
        <v>4725</v>
      </c>
      <c r="J812" s="1">
        <v>87.0</v>
      </c>
      <c r="K812" s="1" t="s">
        <v>4726</v>
      </c>
      <c r="L812" s="1" t="s">
        <v>2280</v>
      </c>
      <c r="M812" s="1" t="s">
        <v>4727</v>
      </c>
      <c r="N812" s="1" t="s">
        <v>4728</v>
      </c>
      <c r="O812" s="1" t="s">
        <v>4729</v>
      </c>
      <c r="P812" s="1">
        <v>51350.0</v>
      </c>
      <c r="Q812" s="3" t="str">
        <f>VLOOKUP(A812,Posters!A812:B1811,2)</f>
        <v>https://m.media-amazon.com/images/M/MV5BMTQzMzcxMzUyMl5BMl5BanBnXkFtZTgwNDI1MjgxMTE@._V1_UX67_CR0,0,67,98_AL_.jpg</v>
      </c>
    </row>
    <row r="813">
      <c r="A813" s="1">
        <v>812.0</v>
      </c>
      <c r="B813" s="1" t="s">
        <v>4730</v>
      </c>
      <c r="C813" s="2">
        <v>5.6116183E7</v>
      </c>
      <c r="D813" s="1">
        <v>1996.0</v>
      </c>
      <c r="E813" s="1" t="s">
        <v>18</v>
      </c>
      <c r="F813" s="1" t="s">
        <v>830</v>
      </c>
      <c r="G813" s="1" t="s">
        <v>235</v>
      </c>
      <c r="H813" s="1">
        <v>7.7</v>
      </c>
      <c r="I813" s="1" t="s">
        <v>4731</v>
      </c>
      <c r="J813" s="1">
        <v>47.0</v>
      </c>
      <c r="K813" s="1" t="s">
        <v>4732</v>
      </c>
      <c r="L813" s="1" t="s">
        <v>1583</v>
      </c>
      <c r="M813" s="1" t="s">
        <v>1714</v>
      </c>
      <c r="N813" s="1" t="s">
        <v>99</v>
      </c>
      <c r="O813" s="1" t="s">
        <v>4733</v>
      </c>
      <c r="P813" s="1">
        <v>189716.0</v>
      </c>
      <c r="Q813" s="3" t="str">
        <f>VLOOKUP(A813,Posters!A813:B1812,2)</f>
        <v>https://m.media-amazon.com/images/M/MV5BZTM2NWI2OGYtYWNhMi00ZTlmLTg2ZTAtMmI5NWRjODA5YTE1XkEyXkFqcGdeQXVyODE2OTYwNTg@._V1_UX67_CR0,0,67,98_AL_.jpg</v>
      </c>
    </row>
    <row r="814">
      <c r="A814" s="1">
        <v>813.0</v>
      </c>
      <c r="B814" s="1" t="s">
        <v>4734</v>
      </c>
      <c r="C814" s="2">
        <v>4414535.0</v>
      </c>
      <c r="D814" s="1">
        <v>1996.0</v>
      </c>
      <c r="E814" s="1" t="s">
        <v>161</v>
      </c>
      <c r="F814" s="1" t="s">
        <v>4735</v>
      </c>
      <c r="G814" s="1" t="s">
        <v>20</v>
      </c>
      <c r="H814" s="1">
        <v>7.7</v>
      </c>
      <c r="I814" s="1" t="s">
        <v>4736</v>
      </c>
      <c r="K814" s="1" t="s">
        <v>4737</v>
      </c>
      <c r="L814" s="1" t="s">
        <v>4737</v>
      </c>
      <c r="M814" s="1" t="s">
        <v>2757</v>
      </c>
      <c r="N814" s="1" t="s">
        <v>2282</v>
      </c>
      <c r="O814" s="1" t="s">
        <v>719</v>
      </c>
      <c r="P814" s="1">
        <v>35991.0</v>
      </c>
      <c r="Q814" s="3" t="str">
        <f>VLOOKUP(A814,Posters!A814:B1813,2)</f>
        <v>https://m.media-amazon.com/images/M/MV5BM2U5OWM5NWQtZDYwZS00NmI3LTk4NDktNzcwZjYzNmEzYWU1XkEyXkFqcGdeQXVyNjMwMjk0MTQ@._V1_UY98_CR0,0,67,98_AL_.jpg</v>
      </c>
    </row>
    <row r="815">
      <c r="A815" s="1">
        <v>814.0</v>
      </c>
      <c r="B815" s="1" t="s">
        <v>4738</v>
      </c>
      <c r="C815" s="2">
        <v>1.0019307E7</v>
      </c>
      <c r="D815" s="1">
        <v>1995.0</v>
      </c>
      <c r="E815" s="1" t="s">
        <v>52</v>
      </c>
      <c r="F815" s="1" t="s">
        <v>2864</v>
      </c>
      <c r="G815" s="1" t="s">
        <v>271</v>
      </c>
      <c r="H815" s="1">
        <v>7.7</v>
      </c>
      <c r="I815" s="1" t="s">
        <v>4739</v>
      </c>
      <c r="J815" s="1">
        <v>83.0</v>
      </c>
      <c r="K815" s="1" t="s">
        <v>3175</v>
      </c>
      <c r="L815" s="1" t="s">
        <v>4740</v>
      </c>
      <c r="M815" s="1" t="s">
        <v>4741</v>
      </c>
      <c r="N815" s="1" t="s">
        <v>4742</v>
      </c>
      <c r="O815" s="1" t="s">
        <v>4743</v>
      </c>
      <c r="P815" s="1">
        <v>32236.0</v>
      </c>
      <c r="Q815" s="3" t="str">
        <f>VLOOKUP(A815,Posters!A815:B1814,2)</f>
        <v>https://m.media-amazon.com/images/M/MV5BZDQzMGE5ODYtZDdiNC00MzZjLTg2NjAtZTk0ODlkYmY4MTQzXkEyXkFqcGdeQXVyMTQxNzMzNDI@._V1_UX67_CR0,0,67,98_AL_.jpg</v>
      </c>
    </row>
    <row r="816">
      <c r="A816" s="1">
        <v>815.0</v>
      </c>
      <c r="B816" s="1" t="s">
        <v>4744</v>
      </c>
      <c r="C816" s="2">
        <v>251164.0</v>
      </c>
      <c r="D816" s="1">
        <v>1995.0</v>
      </c>
      <c r="E816" s="1" t="s">
        <v>37</v>
      </c>
      <c r="F816" s="1" t="s">
        <v>778</v>
      </c>
      <c r="G816" s="1" t="s">
        <v>831</v>
      </c>
      <c r="H816" s="1">
        <v>7.7</v>
      </c>
      <c r="I816" s="1" t="s">
        <v>4745</v>
      </c>
      <c r="J816" s="1">
        <v>71.0</v>
      </c>
      <c r="K816" s="1" t="s">
        <v>1731</v>
      </c>
      <c r="L816" s="1" t="s">
        <v>4746</v>
      </c>
      <c r="M816" s="1" t="s">
        <v>4747</v>
      </c>
      <c r="N816" s="1" t="s">
        <v>1780</v>
      </c>
      <c r="O816" s="1" t="s">
        <v>4748</v>
      </c>
      <c r="P816" s="1">
        <v>26429.0</v>
      </c>
      <c r="Q816" s="3" t="str">
        <f>VLOOKUP(A816,Posters!A816:B1815,2)</f>
        <v>https://m.media-amazon.com/images/M/MV5BZjM4NWRhYTQtYTJlNC00ZmMyLWEzNTAtZDA2MjJjYTQ5ZTVmXkEyXkFqcGdeQXVyMTQxNzMzNDI@._V1_UX67_CR0,0,67,98_AL_.jpg</v>
      </c>
    </row>
    <row r="817">
      <c r="A817" s="1">
        <v>816.0</v>
      </c>
      <c r="B817" s="1" t="s">
        <v>4749</v>
      </c>
      <c r="C817" s="2">
        <v>2.1848932E7</v>
      </c>
      <c r="D817" s="1">
        <v>1994.0</v>
      </c>
      <c r="E817" s="1" t="s">
        <v>52</v>
      </c>
      <c r="F817" s="1" t="s">
        <v>714</v>
      </c>
      <c r="G817" s="1" t="s">
        <v>296</v>
      </c>
      <c r="H817" s="1">
        <v>7.7</v>
      </c>
      <c r="I817" s="1" t="s">
        <v>4750</v>
      </c>
      <c r="J817" s="1">
        <v>81.0</v>
      </c>
      <c r="K817" s="1" t="s">
        <v>4751</v>
      </c>
      <c r="L817" s="1" t="s">
        <v>4752</v>
      </c>
      <c r="M817" s="1" t="s">
        <v>4752</v>
      </c>
      <c r="N817" s="1" t="s">
        <v>369</v>
      </c>
      <c r="O817" s="1" t="s">
        <v>4753</v>
      </c>
      <c r="P817" s="1">
        <v>33600.0</v>
      </c>
      <c r="Q817" s="3" t="str">
        <f>VLOOKUP(A817,Posters!A817:B1816,2)</f>
        <v>https://m.media-amazon.com/images/M/MV5BZmVhNWIzOTMtYmVlZC00ZDVmLWIyODEtODEzOTAxYjAwMzVlXkEyXkFqcGdeQXVyMzIwNDY4NDI@._V1_UY98_CR1,0,67,98_AL_.jpg</v>
      </c>
    </row>
    <row r="818">
      <c r="A818" s="1">
        <v>817.0</v>
      </c>
      <c r="B818" s="1" t="s">
        <v>4754</v>
      </c>
      <c r="C818" s="2">
        <v>3151130.0</v>
      </c>
      <c r="D818" s="1">
        <v>1994.0</v>
      </c>
      <c r="E818" s="1" t="s">
        <v>212</v>
      </c>
      <c r="F818" s="1" t="s">
        <v>1588</v>
      </c>
      <c r="G818" s="1" t="s">
        <v>602</v>
      </c>
      <c r="H818" s="1">
        <v>7.7</v>
      </c>
      <c r="I818" s="1" t="s">
        <v>4755</v>
      </c>
      <c r="J818" s="1">
        <v>70.0</v>
      </c>
      <c r="K818" s="1" t="s">
        <v>4756</v>
      </c>
      <c r="L818" s="1" t="s">
        <v>4757</v>
      </c>
      <c r="M818" s="1" t="s">
        <v>4758</v>
      </c>
      <c r="N818" s="1" t="s">
        <v>4759</v>
      </c>
      <c r="O818" s="1" t="s">
        <v>4760</v>
      </c>
      <c r="P818" s="1">
        <v>211450.0</v>
      </c>
      <c r="Q818" s="3" t="str">
        <f>VLOOKUP(A818,Posters!A818:B1817,2)</f>
        <v>https://m.media-amazon.com/images/M/MV5BNzE1Njk0NmItNDhlMC00ZmFlLWI4ZTUtYTY4ZjgzNjkyMTU1XkEyXkFqcGdeQXVyMTQxNzMzNDI@._V1_UX67_CR0,0,67,98_AL_.jpg</v>
      </c>
    </row>
    <row r="819">
      <c r="A819" s="1">
        <v>818.0</v>
      </c>
      <c r="B819" s="1" t="s">
        <v>4761</v>
      </c>
      <c r="C819" s="2">
        <v>6110979.0</v>
      </c>
      <c r="D819" s="1">
        <v>1993.0</v>
      </c>
      <c r="E819" s="1" t="s">
        <v>212</v>
      </c>
      <c r="F819" s="1" t="s">
        <v>1864</v>
      </c>
      <c r="G819" s="1" t="s">
        <v>507</v>
      </c>
      <c r="H819" s="1">
        <v>7.7</v>
      </c>
      <c r="I819" s="1" t="s">
        <v>4762</v>
      </c>
      <c r="J819" s="1">
        <v>79.0</v>
      </c>
      <c r="K819" s="1" t="s">
        <v>4763</v>
      </c>
      <c r="L819" s="1" t="s">
        <v>2570</v>
      </c>
      <c r="M819" s="1" t="s">
        <v>1728</v>
      </c>
      <c r="N819" s="1" t="s">
        <v>23</v>
      </c>
      <c r="O819" s="1" t="s">
        <v>4764</v>
      </c>
      <c r="P819" s="1">
        <v>42275.0</v>
      </c>
      <c r="Q819" s="3" t="str">
        <f>VLOOKUP(A819,Posters!A819:B1818,2)</f>
        <v>https://m.media-amazon.com/images/M/MV5BZWY0ODc2NDktYmYxNS00MGZiLTk5YjktZjgwZWFhNDQ0MzNhXkEyXkFqcGdeQXVyNTI4MjkwNjA@._V1_UX67_CR0,0,67,98_AL_.jpg</v>
      </c>
    </row>
    <row r="820">
      <c r="A820" s="1">
        <v>819.0</v>
      </c>
      <c r="B820" s="1" t="s">
        <v>4765</v>
      </c>
      <c r="C820" s="2">
        <v>7.7324422E7</v>
      </c>
      <c r="D820" s="1">
        <v>1993.0</v>
      </c>
      <c r="E820" s="1" t="s">
        <v>37</v>
      </c>
      <c r="F820" s="1" t="s">
        <v>203</v>
      </c>
      <c r="G820" s="1" t="s">
        <v>20</v>
      </c>
      <c r="H820" s="1">
        <v>7.7</v>
      </c>
      <c r="I820" s="1" t="s">
        <v>4766</v>
      </c>
      <c r="J820" s="1">
        <v>66.0</v>
      </c>
      <c r="K820" s="1" t="s">
        <v>243</v>
      </c>
      <c r="L820" s="1" t="s">
        <v>110</v>
      </c>
      <c r="M820" s="1" t="s">
        <v>3799</v>
      </c>
      <c r="N820" s="1" t="s">
        <v>4767</v>
      </c>
      <c r="O820" s="1" t="s">
        <v>4768</v>
      </c>
      <c r="P820" s="1">
        <v>224169.0</v>
      </c>
      <c r="Q820" s="3" t="str">
        <f>VLOOKUP(A820,Posters!A820:B1819,2)</f>
        <v>https://m.media-amazon.com/images/M/MV5BNDE0MWE1ZTMtOWFkMS00YjdiLTkwZTItMDljYjY3MjM0NTk5XkEyXkFqcGdeQXVyNDYyMDk5MTU@._V1_UX67_CR0,0,67,98_AL_.jpg</v>
      </c>
    </row>
    <row r="821">
      <c r="A821" s="1">
        <v>820.0</v>
      </c>
      <c r="B821" s="1" t="s">
        <v>4769</v>
      </c>
      <c r="C821" s="2">
        <v>2.7281507E7</v>
      </c>
      <c r="D821" s="1">
        <v>1992.0</v>
      </c>
      <c r="E821" s="1" t="s">
        <v>414</v>
      </c>
      <c r="F821" s="1" t="s">
        <v>1947</v>
      </c>
      <c r="G821" s="1" t="s">
        <v>416</v>
      </c>
      <c r="H821" s="1">
        <v>7.7</v>
      </c>
      <c r="I821" s="1" t="s">
        <v>4770</v>
      </c>
      <c r="J821" s="1">
        <v>64.0</v>
      </c>
      <c r="K821" s="1" t="s">
        <v>4771</v>
      </c>
      <c r="L821" s="1" t="s">
        <v>45</v>
      </c>
      <c r="M821" s="1" t="s">
        <v>4772</v>
      </c>
      <c r="N821" s="1" t="s">
        <v>4773</v>
      </c>
      <c r="O821" s="1" t="s">
        <v>4774</v>
      </c>
      <c r="P821" s="1">
        <v>50298.0</v>
      </c>
      <c r="Q821" s="3" t="str">
        <f>VLOOKUP(A821,Posters!A821:B1820,2)</f>
        <v>https://m.media-amazon.com/images/M/MV5BN2Y0NWRkNWItZWEwNi00MDNlLWJmZDYtNTkwYzI5Nzg4MjVjXkEyXkFqcGdeQXVyMTMxODk2OTU@._V1_UX67_CR0,0,67,98_AL_.jpg</v>
      </c>
    </row>
    <row r="822">
      <c r="A822" s="1">
        <v>821.0</v>
      </c>
      <c r="B822" s="1" t="s">
        <v>4775</v>
      </c>
      <c r="C822" s="2">
        <v>4.8169908E7</v>
      </c>
      <c r="D822" s="1">
        <v>1992.0</v>
      </c>
      <c r="E822" s="1" t="s">
        <v>52</v>
      </c>
      <c r="F822" s="1" t="s">
        <v>47</v>
      </c>
      <c r="G822" s="1" t="s">
        <v>79</v>
      </c>
      <c r="H822" s="1">
        <v>7.7</v>
      </c>
      <c r="I822" s="1" t="s">
        <v>4776</v>
      </c>
      <c r="J822" s="1">
        <v>73.0</v>
      </c>
      <c r="K822" s="1" t="s">
        <v>2611</v>
      </c>
      <c r="L822" s="1" t="s">
        <v>3799</v>
      </c>
      <c r="M822" s="1" t="s">
        <v>4777</v>
      </c>
      <c r="N822" s="1" t="s">
        <v>4778</v>
      </c>
      <c r="O822" s="1" t="s">
        <v>2611</v>
      </c>
      <c r="P822" s="1">
        <v>85819.0</v>
      </c>
      <c r="Q822" s="3" t="str">
        <f>VLOOKUP(A822,Posters!A822:B1821,2)</f>
        <v>https://m.media-amazon.com/images/M/MV5BZDkzOTFmMTUtMmI2OS00MDE4LTg5YTUtODMwNDMzNmI5OGYwL2ltYWdlXkEyXkFqcGdeQXVyMTQxNzMzNDI@._V1_UY98_CR3,0,67,98_AL_.jpg</v>
      </c>
    </row>
    <row r="823">
      <c r="A823" s="1">
        <v>822.0</v>
      </c>
      <c r="B823" s="1" t="s">
        <v>4779</v>
      </c>
      <c r="C823" s="2">
        <v>7.5505856E7</v>
      </c>
      <c r="D823" s="1">
        <v>1992.0</v>
      </c>
      <c r="E823" s="1" t="s">
        <v>37</v>
      </c>
      <c r="F823" s="1" t="s">
        <v>295</v>
      </c>
      <c r="G823" s="1" t="s">
        <v>62</v>
      </c>
      <c r="H823" s="1">
        <v>7.7</v>
      </c>
      <c r="I823" s="1" t="s">
        <v>4780</v>
      </c>
      <c r="J823" s="1">
        <v>76.0</v>
      </c>
      <c r="K823" s="1" t="s">
        <v>1176</v>
      </c>
      <c r="L823" s="1" t="s">
        <v>1092</v>
      </c>
      <c r="M823" s="1" t="s">
        <v>2547</v>
      </c>
      <c r="N823" s="1" t="s">
        <v>4781</v>
      </c>
      <c r="O823" s="1" t="s">
        <v>4782</v>
      </c>
      <c r="P823" s="1">
        <v>150409.0</v>
      </c>
      <c r="Q823" s="3" t="str">
        <f>VLOOKUP(A823,Posters!A823:B1822,2)</f>
        <v>https://m.media-amazon.com/images/M/MV5BZDNiYmRkNDYtOWU1NC00NmMxLWFkNmUtMGI5NTJjOTJmYTM5XkEyXkFqcGdeQXVyNzQ1ODk3MTQ@._V1_UX67_CR0,0,67,98_AL_.jpg</v>
      </c>
    </row>
    <row r="824">
      <c r="A824" s="1">
        <v>823.0</v>
      </c>
      <c r="B824" s="1" t="s">
        <v>4783</v>
      </c>
      <c r="C824" s="2">
        <v>1354960.0</v>
      </c>
      <c r="D824" s="1">
        <v>1992.0</v>
      </c>
      <c r="E824" s="1" t="s">
        <v>52</v>
      </c>
      <c r="F824" s="1" t="s">
        <v>1882</v>
      </c>
      <c r="G824" s="1" t="s">
        <v>765</v>
      </c>
      <c r="H824" s="1">
        <v>7.7</v>
      </c>
      <c r="I824" s="1" t="s">
        <v>4784</v>
      </c>
      <c r="J824" s="1">
        <v>83.0</v>
      </c>
      <c r="K824" s="1" t="s">
        <v>206</v>
      </c>
      <c r="L824" s="1" t="s">
        <v>4785</v>
      </c>
      <c r="M824" s="1" t="s">
        <v>4786</v>
      </c>
      <c r="N824" s="1" t="s">
        <v>4787</v>
      </c>
      <c r="O824" s="1" t="s">
        <v>4788</v>
      </c>
      <c r="P824" s="1">
        <v>77798.0</v>
      </c>
      <c r="Q824" s="3" t="str">
        <f>VLOOKUP(A824,Posters!A824:B1823,2)</f>
        <v>https://m.media-amazon.com/images/M/MV5BZjVkYmFkZWQtZmNjYy00NmFhLTliMWYtNThlOTUxNjg5ODdhXkEyXkFqcGdeQXVyMTMxODk2OTU@._V1_UY98_CR4,0,67,98_AL_.jpg</v>
      </c>
    </row>
    <row r="825">
      <c r="A825" s="1">
        <v>824.0</v>
      </c>
      <c r="B825" s="1" t="s">
        <v>4789</v>
      </c>
      <c r="C825" s="2">
        <v>1.0725228E7</v>
      </c>
      <c r="D825" s="1">
        <v>1992.0</v>
      </c>
      <c r="E825" s="1" t="s">
        <v>212</v>
      </c>
      <c r="F825" s="1" t="s">
        <v>1439</v>
      </c>
      <c r="G825" s="1" t="s">
        <v>235</v>
      </c>
      <c r="H825" s="1">
        <v>7.7</v>
      </c>
      <c r="I825" s="1" t="s">
        <v>4790</v>
      </c>
      <c r="J825" s="1">
        <v>82.0</v>
      </c>
      <c r="K825" s="1" t="s">
        <v>4791</v>
      </c>
      <c r="L825" s="1" t="s">
        <v>33</v>
      </c>
      <c r="M825" s="1" t="s">
        <v>866</v>
      </c>
      <c r="N825" s="1" t="s">
        <v>4792</v>
      </c>
      <c r="O825" s="1" t="s">
        <v>4194</v>
      </c>
      <c r="P825" s="1">
        <v>95826.0</v>
      </c>
      <c r="Q825" s="3" t="str">
        <f>VLOOKUP(A825,Posters!A825:B1824,2)</f>
        <v>https://m.media-amazon.com/images/M/MV5BNTYzN2MxODMtMDBhOC00Y2M0LTgzMTItMzQ4NDIyYWIwMDEzL2ltYWdlL2ltYWdlXkEyXkFqcGdeQXVyNTc1NTQxODI@._V1_UX67_CR0,0,67,98_AL_.jpg</v>
      </c>
    </row>
    <row r="826">
      <c r="A826" s="1">
        <v>825.0</v>
      </c>
      <c r="B826" s="1" t="s">
        <v>4793</v>
      </c>
      <c r="C826" s="2">
        <v>1.41340178E8</v>
      </c>
      <c r="D826" s="1">
        <v>1992.0</v>
      </c>
      <c r="E826" s="1" t="s">
        <v>52</v>
      </c>
      <c r="F826" s="1" t="s">
        <v>947</v>
      </c>
      <c r="G826" s="1" t="s">
        <v>1377</v>
      </c>
      <c r="H826" s="1">
        <v>7.7</v>
      </c>
      <c r="I826" s="1" t="s">
        <v>4794</v>
      </c>
      <c r="J826" s="1">
        <v>62.0</v>
      </c>
      <c r="K826" s="1" t="s">
        <v>1815</v>
      </c>
      <c r="L826" s="1" t="s">
        <v>2486</v>
      </c>
      <c r="M826" s="1" t="s">
        <v>156</v>
      </c>
      <c r="N826" s="1" t="s">
        <v>4795</v>
      </c>
      <c r="O826" s="1" t="s">
        <v>3171</v>
      </c>
      <c r="P826" s="1">
        <v>235388.0</v>
      </c>
      <c r="Q826" s="3" t="str">
        <f>VLOOKUP(A826,Posters!A826:B1825,2)</f>
        <v>https://m.media-amazon.com/images/M/MV5BMmRlZDQ1MmUtMzE2Yi00YTkxLTk1MGMtYmIyYWQwODcxYzRlXkEyXkFqcGdeQXVyNTI4MjkwNjA@._V1_UX67_CR0,0,67,98_AL_.jpg</v>
      </c>
    </row>
    <row r="827">
      <c r="A827" s="1">
        <v>826.0</v>
      </c>
      <c r="B827" s="1" t="s">
        <v>4796</v>
      </c>
      <c r="C827" s="2">
        <v>8.2418501E7</v>
      </c>
      <c r="D827" s="1">
        <v>1991.0</v>
      </c>
      <c r="E827" s="1" t="s">
        <v>161</v>
      </c>
      <c r="F827" s="1" t="s">
        <v>195</v>
      </c>
      <c r="G827" s="1" t="s">
        <v>20</v>
      </c>
      <c r="H827" s="1">
        <v>7.7</v>
      </c>
      <c r="I827" s="1" t="s">
        <v>4797</v>
      </c>
      <c r="J827" s="1">
        <v>64.0</v>
      </c>
      <c r="K827" s="1" t="s">
        <v>4798</v>
      </c>
      <c r="L827" s="1" t="s">
        <v>3951</v>
      </c>
      <c r="M827" s="1" t="s">
        <v>4799</v>
      </c>
      <c r="N827" s="1" t="s">
        <v>4800</v>
      </c>
      <c r="O827" s="1" t="s">
        <v>4801</v>
      </c>
      <c r="P827" s="1">
        <v>66941.0</v>
      </c>
      <c r="Q827" s="3" t="str">
        <f>VLOOKUP(A827,Posters!A827:B1826,2)</f>
        <v>https://m.media-amazon.com/images/M/MV5BOWQ1ZWE0MTQtMmEwOS00YjA3LTgyZTAtNjY5ODEyZTJjNDI2XkEyXkFqcGdeQXVyNjE5MjUyOTM@._V1_UX67_CR0,0,67,98_AL_.jpg</v>
      </c>
    </row>
    <row r="828">
      <c r="A828" s="1">
        <v>827.0</v>
      </c>
      <c r="B828" s="1" t="s">
        <v>4802</v>
      </c>
      <c r="C828" s="2">
        <v>6153939.0</v>
      </c>
      <c r="D828" s="1">
        <v>1991.0</v>
      </c>
      <c r="E828" s="1" t="s">
        <v>52</v>
      </c>
      <c r="F828" s="1" t="s">
        <v>226</v>
      </c>
      <c r="G828" s="1" t="s">
        <v>171</v>
      </c>
      <c r="H828" s="1">
        <v>7.7</v>
      </c>
      <c r="I828" s="1" t="s">
        <v>4803</v>
      </c>
      <c r="J828" s="1">
        <v>69.0</v>
      </c>
      <c r="K828" s="1" t="s">
        <v>1613</v>
      </c>
      <c r="L828" s="1" t="s">
        <v>1612</v>
      </c>
      <c r="M828" s="1" t="s">
        <v>4667</v>
      </c>
      <c r="N828" s="1" t="s">
        <v>1685</v>
      </c>
      <c r="O828" s="1" t="s">
        <v>4804</v>
      </c>
      <c r="P828" s="1">
        <v>113240.0</v>
      </c>
      <c r="Q828" s="3" t="str">
        <f>VLOOKUP(A828,Posters!A828:B1827,2)</f>
        <v>https://m.media-amazon.com/images/M/MV5BMTgxMDMxMTctNDY0Zi00ZmNlLWFlYmQtODA2YjY4MDk4MjU1XkEyXkFqcGdeQXVyNTc1NTQxODI@._V1_UX67_CR0,0,67,98_AL_.jpg</v>
      </c>
    </row>
    <row r="829">
      <c r="A829" s="1">
        <v>828.0</v>
      </c>
      <c r="B829" s="1" t="s">
        <v>4805</v>
      </c>
      <c r="C829" s="2">
        <v>5080409.0</v>
      </c>
      <c r="D829" s="1">
        <v>1990.0</v>
      </c>
      <c r="E829" s="1" t="s">
        <v>212</v>
      </c>
      <c r="F829" s="1" t="s">
        <v>563</v>
      </c>
      <c r="G829" s="1" t="s">
        <v>241</v>
      </c>
      <c r="H829" s="1">
        <v>7.7</v>
      </c>
      <c r="I829" s="1" t="s">
        <v>4806</v>
      </c>
      <c r="J829" s="1">
        <v>66.0</v>
      </c>
      <c r="K829" s="1" t="s">
        <v>1613</v>
      </c>
      <c r="L829" s="1" t="s">
        <v>1612</v>
      </c>
      <c r="M829" s="1" t="s">
        <v>339</v>
      </c>
      <c r="N829" s="1" t="s">
        <v>2455</v>
      </c>
      <c r="O829" s="1" t="s">
        <v>4667</v>
      </c>
      <c r="P829" s="1">
        <v>125822.0</v>
      </c>
      <c r="Q829" s="3" t="str">
        <f>VLOOKUP(A829,Posters!A829:B1828,2)</f>
        <v>https://m.media-amazon.com/images/M/MV5BMTY2Njk3MTAzM15BMl5BanBnXkFtZTgwMTY5Mzk4NjE@._V1_UX67_CR0,0,67,98_AL_.jpg</v>
      </c>
    </row>
    <row r="830">
      <c r="A830" s="1">
        <v>829.0</v>
      </c>
      <c r="B830" s="1" t="s">
        <v>4807</v>
      </c>
      <c r="C830" s="2">
        <v>1.5645237E8</v>
      </c>
      <c r="D830" s="1">
        <v>1988.0</v>
      </c>
      <c r="E830" s="1" t="s">
        <v>52</v>
      </c>
      <c r="F830" s="1" t="s">
        <v>647</v>
      </c>
      <c r="G830" s="1" t="s">
        <v>765</v>
      </c>
      <c r="H830" s="1">
        <v>7.7</v>
      </c>
      <c r="I830" s="1" t="s">
        <v>4808</v>
      </c>
      <c r="J830" s="1">
        <v>83.0</v>
      </c>
      <c r="K830" s="1" t="s">
        <v>109</v>
      </c>
      <c r="L830" s="1" t="s">
        <v>4809</v>
      </c>
      <c r="M830" s="1" t="s">
        <v>386</v>
      </c>
      <c r="N830" s="1" t="s">
        <v>4810</v>
      </c>
      <c r="O830" s="1" t="s">
        <v>4811</v>
      </c>
      <c r="P830" s="1">
        <v>182009.0</v>
      </c>
      <c r="Q830" s="3" t="str">
        <f>VLOOKUP(A830,Posters!A830:B1829,2)</f>
        <v>https://m.media-amazon.com/images/M/MV5BMDhiOTM2OTctODk3Ny00NWI4LThhZDgtNGQ4NjRiYjFkZGQzXkEyXkFqcGdeQXVyMTA0MjU0Ng@@._V1_UX67_CR0,0,67,98_AL_.jpg</v>
      </c>
    </row>
    <row r="831">
      <c r="A831" s="1">
        <v>830.0</v>
      </c>
      <c r="B831" s="1" t="s">
        <v>4812</v>
      </c>
      <c r="D831" s="1">
        <v>1988.0</v>
      </c>
      <c r="E831" s="1">
        <v>16.0</v>
      </c>
      <c r="F831" s="1" t="s">
        <v>907</v>
      </c>
      <c r="G831" s="1" t="s">
        <v>544</v>
      </c>
      <c r="H831" s="1">
        <v>7.7</v>
      </c>
      <c r="I831" s="1" t="s">
        <v>4813</v>
      </c>
      <c r="K831" s="1" t="s">
        <v>4814</v>
      </c>
      <c r="L831" s="1" t="s">
        <v>4815</v>
      </c>
      <c r="M831" s="1" t="s">
        <v>4816</v>
      </c>
      <c r="N831" s="1" t="s">
        <v>4817</v>
      </c>
      <c r="O831" s="1" t="s">
        <v>4818</v>
      </c>
      <c r="P831" s="1">
        <v>33982.0</v>
      </c>
      <c r="Q831" s="3" t="str">
        <f>VLOOKUP(A831,Posters!A831:B1830,2)</f>
        <v>https://m.media-amazon.com/images/M/MV5BNDcwMTYzMjctN2M2Yy00ZDcxLWJhNTEtMGNhYzEwYzc2NDE4XkEyXkFqcGdeQXVyNTI4MjkwNjA@._V1_UY98_CR0,0,67,98_AL_.jpg</v>
      </c>
    </row>
    <row r="832">
      <c r="A832" s="1">
        <v>831.0</v>
      </c>
      <c r="B832" s="1" t="s">
        <v>4819</v>
      </c>
      <c r="C832" s="2">
        <v>1544889.0</v>
      </c>
      <c r="D832" s="1">
        <v>1987.0</v>
      </c>
      <c r="E832" s="1" t="s">
        <v>212</v>
      </c>
      <c r="F832" s="1" t="s">
        <v>907</v>
      </c>
      <c r="G832" s="1" t="s">
        <v>507</v>
      </c>
      <c r="H832" s="1">
        <v>7.7</v>
      </c>
      <c r="I832" s="1" t="s">
        <v>4820</v>
      </c>
      <c r="J832" s="1">
        <v>84.0</v>
      </c>
      <c r="K832" s="1" t="s">
        <v>4821</v>
      </c>
      <c r="L832" s="1" t="s">
        <v>4822</v>
      </c>
      <c r="M832" s="1" t="s">
        <v>4823</v>
      </c>
      <c r="N832" s="1" t="s">
        <v>3176</v>
      </c>
      <c r="O832" s="1" t="s">
        <v>4824</v>
      </c>
      <c r="P832" s="1">
        <v>40396.0</v>
      </c>
      <c r="Q832" s="3" t="str">
        <f>VLOOKUP(A832,Posters!A832:B1831,2)</f>
        <v>https://m.media-amazon.com/images/M/MV5BYjE3ODY5OWEtZmE0Mi00MjUxLTg5MmUtZmFkMzM1N2VjMmU5XkEyXkFqcGdeQXVyNTI4MjkwNjA@._V1_UX67_CR0,0,67,98_AL_.jpg</v>
      </c>
    </row>
    <row r="833">
      <c r="A833" s="1">
        <v>832.0</v>
      </c>
      <c r="B833" s="1" t="s">
        <v>4825</v>
      </c>
      <c r="C833" s="2">
        <v>4.398423E7</v>
      </c>
      <c r="D833" s="1">
        <v>1987.0</v>
      </c>
      <c r="E833" s="1" t="s">
        <v>52</v>
      </c>
      <c r="F833" s="1" t="s">
        <v>997</v>
      </c>
      <c r="G833" s="1" t="s">
        <v>79</v>
      </c>
      <c r="H833" s="1">
        <v>7.7</v>
      </c>
      <c r="I833" s="1" t="s">
        <v>4826</v>
      </c>
      <c r="J833" s="1">
        <v>76.0</v>
      </c>
      <c r="K833" s="1" t="s">
        <v>2719</v>
      </c>
      <c r="L833" s="1" t="s">
        <v>4827</v>
      </c>
      <c r="M833" s="1" t="s">
        <v>4828</v>
      </c>
      <c r="N833" s="1" t="s">
        <v>861</v>
      </c>
      <c r="O833" s="1" t="s">
        <v>4829</v>
      </c>
      <c r="P833" s="1">
        <v>94326.0</v>
      </c>
      <c r="Q833" s="3" t="str">
        <f>VLOOKUP(A833,Posters!A833:B1832,2)</f>
        <v>https://m.media-amazon.com/images/M/MV5BZTk0NDU4YmItOTk0ZS00ODc2LTkwNGItNWI5MDJkNTJiYWMxXkEyXkFqcGdeQXVyNjUwNzk3NDc@._V1_UX67_CR0,0,67,98_AL_.jpg</v>
      </c>
    </row>
    <row r="834">
      <c r="A834" s="1">
        <v>833.0</v>
      </c>
      <c r="B834" s="1" t="s">
        <v>4830</v>
      </c>
      <c r="C834" s="2">
        <v>2.2238696E7</v>
      </c>
      <c r="D834" s="1">
        <v>1987.0</v>
      </c>
      <c r="E834" s="1" t="s">
        <v>52</v>
      </c>
      <c r="F834" s="1" t="s">
        <v>179</v>
      </c>
      <c r="G834" s="1" t="s">
        <v>3536</v>
      </c>
      <c r="H834" s="1">
        <v>7.7</v>
      </c>
      <c r="I834" s="1" t="s">
        <v>4831</v>
      </c>
      <c r="J834" s="1">
        <v>62.0</v>
      </c>
      <c r="K834" s="1" t="s">
        <v>81</v>
      </c>
      <c r="L834" s="1" t="s">
        <v>42</v>
      </c>
      <c r="M834" s="1" t="s">
        <v>4109</v>
      </c>
      <c r="N834" s="1" t="s">
        <v>4832</v>
      </c>
      <c r="O834" s="1" t="s">
        <v>4833</v>
      </c>
      <c r="P834" s="1">
        <v>115677.0</v>
      </c>
      <c r="Q834" s="3" t="str">
        <f>VLOOKUP(A834,Posters!A834:B1833,2)</f>
        <v>https://m.media-amazon.com/images/M/MV5BMmQwNzczZDItNmI0OS00MjRmLTliYWItZWIyMjk1MTU4ZTQ4L2ltYWdlXkEyXkFqcGdeQXVyNTAyODkwOQ@@._V1_UX67_CR0,0,67,98_AL_.jpg</v>
      </c>
    </row>
    <row r="835">
      <c r="A835" s="1">
        <v>834.0</v>
      </c>
      <c r="B835" s="1" t="s">
        <v>4834</v>
      </c>
      <c r="C835" s="2">
        <v>7153487.0</v>
      </c>
      <c r="D835" s="1">
        <v>1986.0</v>
      </c>
      <c r="E835" s="1" t="s">
        <v>212</v>
      </c>
      <c r="F835" s="1" t="s">
        <v>195</v>
      </c>
      <c r="G835" s="1" t="s">
        <v>235</v>
      </c>
      <c r="H835" s="1">
        <v>7.7</v>
      </c>
      <c r="I835" s="1" t="s">
        <v>4835</v>
      </c>
      <c r="J835" s="1">
        <v>54.0</v>
      </c>
      <c r="K835" s="1" t="s">
        <v>4836</v>
      </c>
      <c r="L835" s="1" t="s">
        <v>1195</v>
      </c>
      <c r="M835" s="1" t="s">
        <v>3249</v>
      </c>
      <c r="N835" s="1" t="s">
        <v>4837</v>
      </c>
      <c r="O835" s="1" t="s">
        <v>4838</v>
      </c>
      <c r="P835" s="1">
        <v>102031.0</v>
      </c>
      <c r="Q835" s="3" t="str">
        <f>VLOOKUP(A835,Posters!A835:B1834,2)</f>
        <v>https://m.media-amazon.com/images/M/MV5BZjEyZTdhNDMtMWFkMS00ZmRjLWEyNmEtZDU3MWFkNDEzMDYwXkEyXkFqcGdeQXVyNjc1NTYyMjg@._V1_UX67_CR0,0,67,98_AL_.jpg</v>
      </c>
    </row>
    <row r="836">
      <c r="A836" s="1">
        <v>835.0</v>
      </c>
      <c r="B836" s="1" t="s">
        <v>4839</v>
      </c>
      <c r="C836" s="2">
        <v>8551228.0</v>
      </c>
      <c r="D836" s="1">
        <v>1986.0</v>
      </c>
      <c r="E836" s="1" t="s">
        <v>18</v>
      </c>
      <c r="F836" s="1" t="s">
        <v>1546</v>
      </c>
      <c r="G836" s="1" t="s">
        <v>527</v>
      </c>
      <c r="H836" s="1">
        <v>7.7</v>
      </c>
      <c r="I836" s="1" t="s">
        <v>4840</v>
      </c>
      <c r="J836" s="1">
        <v>76.0</v>
      </c>
      <c r="K836" s="1" t="s">
        <v>1878</v>
      </c>
      <c r="L836" s="1" t="s">
        <v>4841</v>
      </c>
      <c r="M836" s="1" t="s">
        <v>4842</v>
      </c>
      <c r="N836" s="1" t="s">
        <v>3250</v>
      </c>
      <c r="O836" s="1" t="s">
        <v>1785</v>
      </c>
      <c r="P836" s="1">
        <v>181285.0</v>
      </c>
      <c r="Q836" s="3" t="str">
        <f>VLOOKUP(A836,Posters!A836:B1835,2)</f>
        <v>https://m.media-amazon.com/images/M/MV5BMzExOTczNTgtN2Q1Yy00MmI1LWE0NjgtNmIwMzdmZGNlODU1XkEyXkFqcGdeQXVyNDkzNTM2ODg@._V1_UX67_CR0,0,67,98_AL_.jpg</v>
      </c>
    </row>
    <row r="837">
      <c r="A837" s="1">
        <v>836.0</v>
      </c>
      <c r="B837" s="1" t="s">
        <v>4843</v>
      </c>
      <c r="C837" s="2">
        <v>1.0631333E7</v>
      </c>
      <c r="D837" s="1">
        <v>1985.0</v>
      </c>
      <c r="E837" s="1" t="s">
        <v>52</v>
      </c>
      <c r="F837" s="1" t="s">
        <v>3293</v>
      </c>
      <c r="G837" s="1" t="s">
        <v>2566</v>
      </c>
      <c r="H837" s="1">
        <v>7.7</v>
      </c>
      <c r="I837" s="1" t="s">
        <v>4844</v>
      </c>
      <c r="J837" s="1">
        <v>75.0</v>
      </c>
      <c r="K837" s="1" t="s">
        <v>2671</v>
      </c>
      <c r="L837" s="1" t="s">
        <v>2728</v>
      </c>
      <c r="M837" s="1" t="s">
        <v>4845</v>
      </c>
      <c r="N837" s="1" t="s">
        <v>349</v>
      </c>
      <c r="O837" s="1" t="s">
        <v>4846</v>
      </c>
      <c r="P837" s="1">
        <v>47102.0</v>
      </c>
      <c r="Q837" s="3" t="str">
        <f>VLOOKUP(A837,Posters!A837:B1836,2)</f>
        <v>https://m.media-amazon.com/images/M/MV5BY2E1YWRlNzAtYzAwYy00MDg5LTlmYTUtYjdlZDI0NzFkNjNlL2ltYWdlL2ltYWdlXkEyXkFqcGdeQXVyNjQ2MjQ5NzM@._V1_UX67_CR0,0,67,98_AL_.jpg</v>
      </c>
    </row>
    <row r="838">
      <c r="A838" s="1">
        <v>837.0</v>
      </c>
      <c r="B838" s="1" t="s">
        <v>4847</v>
      </c>
      <c r="C838" s="2">
        <v>1.06E7</v>
      </c>
      <c r="D838" s="1">
        <v>1985.0</v>
      </c>
      <c r="E838" s="1" t="s">
        <v>37</v>
      </c>
      <c r="F838" s="1" t="s">
        <v>2864</v>
      </c>
      <c r="G838" s="1" t="s">
        <v>831</v>
      </c>
      <c r="H838" s="1">
        <v>7.7</v>
      </c>
      <c r="I838" s="1" t="s">
        <v>4848</v>
      </c>
      <c r="J838" s="1">
        <v>90.0</v>
      </c>
      <c r="K838" s="1" t="s">
        <v>139</v>
      </c>
      <c r="L838" s="1" t="s">
        <v>4849</v>
      </c>
      <c r="M838" s="1" t="s">
        <v>4850</v>
      </c>
      <c r="N838" s="1" t="s">
        <v>4851</v>
      </c>
      <c r="O838" s="1" t="s">
        <v>4852</v>
      </c>
      <c r="P838" s="1">
        <v>59635.0</v>
      </c>
      <c r="Q838" s="3" t="str">
        <f>VLOOKUP(A838,Posters!A838:B1837,2)</f>
        <v>https://m.media-amazon.com/images/M/MV5BMTUxMjEzMzI2MV5BMl5BanBnXkFtZTgwNTU3ODAxMDE@._V1_UX67_CR0,0,67,98_AL_.jpg</v>
      </c>
    </row>
    <row r="839">
      <c r="A839" s="1">
        <v>838.0</v>
      </c>
      <c r="B839" s="1" t="s">
        <v>4853</v>
      </c>
      <c r="C839" s="2">
        <v>1.1798616E7</v>
      </c>
      <c r="D839" s="1">
        <v>1983.0</v>
      </c>
      <c r="E839" s="1" t="s">
        <v>270</v>
      </c>
      <c r="F839" s="1" t="s">
        <v>4854</v>
      </c>
      <c r="G839" s="1" t="s">
        <v>602</v>
      </c>
      <c r="H839" s="1">
        <v>7.7</v>
      </c>
      <c r="I839" s="1" t="s">
        <v>4855</v>
      </c>
      <c r="K839" s="1" t="s">
        <v>2671</v>
      </c>
      <c r="L839" s="1" t="s">
        <v>2671</v>
      </c>
      <c r="M839" s="1" t="s">
        <v>2728</v>
      </c>
      <c r="N839" s="1" t="s">
        <v>4856</v>
      </c>
      <c r="O839" s="1" t="s">
        <v>4857</v>
      </c>
      <c r="P839" s="1">
        <v>39881.0</v>
      </c>
      <c r="Q839" s="3" t="str">
        <f>VLOOKUP(A839,Posters!A839:B1838,2)</f>
        <v>https://m.media-amazon.com/images/M/MV5BMGUwMjM0MTEtOGY2NS00MjJmLWEyMDAtYmNkMWJjOWJlNGM0XkEyXkFqcGdeQXVyMTQxNzMzNDI@._V1_UX67_CR0,0,67,98_AL_.jpg</v>
      </c>
    </row>
    <row r="840">
      <c r="A840" s="1">
        <v>839.0</v>
      </c>
      <c r="B840" s="1" t="s">
        <v>4858</v>
      </c>
      <c r="C840" s="2">
        <v>5.4E7</v>
      </c>
      <c r="D840" s="1">
        <v>1982.0</v>
      </c>
      <c r="E840" s="1" t="s">
        <v>52</v>
      </c>
      <c r="F840" s="1" t="s">
        <v>830</v>
      </c>
      <c r="G840" s="1" t="s">
        <v>20</v>
      </c>
      <c r="H840" s="1">
        <v>7.7</v>
      </c>
      <c r="I840" s="1" t="s">
        <v>4859</v>
      </c>
      <c r="J840" s="1">
        <v>77.0</v>
      </c>
      <c r="K840" s="1" t="s">
        <v>55</v>
      </c>
      <c r="L840" s="1" t="s">
        <v>834</v>
      </c>
      <c r="M840" s="1" t="s">
        <v>4860</v>
      </c>
      <c r="N840" s="1" t="s">
        <v>2668</v>
      </c>
      <c r="O840" s="1" t="s">
        <v>875</v>
      </c>
      <c r="P840" s="1">
        <v>36096.0</v>
      </c>
      <c r="Q840" s="3" t="str">
        <f>VLOOKUP(A840,Posters!A840:B1839,2)</f>
        <v>https://m.media-amazon.com/images/M/MV5BMTU5MzMwMzAzM15BMl5BanBnXkFtZTcwNjYyMjA0Mg@@._V1_UX67_CR0,0,67,98_AL_.jpg</v>
      </c>
    </row>
    <row r="841">
      <c r="A841" s="1">
        <v>840.0</v>
      </c>
      <c r="B841" s="1" t="s">
        <v>4861</v>
      </c>
      <c r="C841" s="2">
        <v>7.8912963E7</v>
      </c>
      <c r="D841" s="1">
        <v>1982.0</v>
      </c>
      <c r="E841" s="1" t="s">
        <v>52</v>
      </c>
      <c r="F841" s="1" t="s">
        <v>543</v>
      </c>
      <c r="G841" s="1" t="s">
        <v>88</v>
      </c>
      <c r="H841" s="1">
        <v>7.7</v>
      </c>
      <c r="I841" s="1" t="s">
        <v>4862</v>
      </c>
      <c r="J841" s="1">
        <v>67.0</v>
      </c>
      <c r="K841" s="1" t="s">
        <v>4863</v>
      </c>
      <c r="L841" s="1" t="s">
        <v>4864</v>
      </c>
      <c r="M841" s="1" t="s">
        <v>3103</v>
      </c>
      <c r="N841" s="1" t="s">
        <v>4865</v>
      </c>
      <c r="O841" s="1" t="s">
        <v>4866</v>
      </c>
      <c r="P841" s="1">
        <v>112704.0</v>
      </c>
      <c r="Q841" s="3" t="str">
        <f>VLOOKUP(A841,Posters!A841:B1840,2)</f>
        <v>https://m.media-amazon.com/images/M/MV5BMzcyYWE5YmQtNDE1Yi00ZjlmLWFlZTAtMzRjODBiYjM3OTA3XkEyXkFqcGdeQXVyMTQxNzMzNDI@._V1_UX67_CR0,0,67,98_AL_.jpg</v>
      </c>
    </row>
    <row r="842">
      <c r="A842" s="1">
        <v>841.0</v>
      </c>
      <c r="B842" s="1" t="s">
        <v>4867</v>
      </c>
      <c r="C842" s="2">
        <v>4.7212904E7</v>
      </c>
      <c r="D842" s="1">
        <v>1982.0</v>
      </c>
      <c r="E842" s="1" t="s">
        <v>18</v>
      </c>
      <c r="F842" s="1" t="s">
        <v>1521</v>
      </c>
      <c r="G842" s="1" t="s">
        <v>502</v>
      </c>
      <c r="H842" s="1">
        <v>7.7</v>
      </c>
      <c r="I842" s="1" t="s">
        <v>4868</v>
      </c>
      <c r="J842" s="1">
        <v>61.0</v>
      </c>
      <c r="K842" s="1" t="s">
        <v>4869</v>
      </c>
      <c r="L842" s="1" t="s">
        <v>1893</v>
      </c>
      <c r="M842" s="1" t="s">
        <v>4870</v>
      </c>
      <c r="N842" s="1" t="s">
        <v>4195</v>
      </c>
      <c r="O842" s="1" t="s">
        <v>4147</v>
      </c>
      <c r="P842" s="1">
        <v>226541.0</v>
      </c>
      <c r="Q842" s="3" t="str">
        <f>VLOOKUP(A842,Posters!A842:B1841,2)</f>
        <v>https://m.media-amazon.com/images/M/MV5BODBmOWU2YWMtZGUzZi00YzRhLWJjNDAtYTUwNWVkNDcyZmU5XkEyXkFqcGdeQXVyNDk3NzU2MTQ@._V1_UX67_CR0,0,67,98_AL_.jpg</v>
      </c>
    </row>
    <row r="843">
      <c r="A843" s="1">
        <v>842.0</v>
      </c>
      <c r="B843" s="1" t="s">
        <v>4871</v>
      </c>
      <c r="C843" s="2">
        <v>5.48E7</v>
      </c>
      <c r="D843" s="1">
        <v>1980.0</v>
      </c>
      <c r="E843" s="1" t="s">
        <v>52</v>
      </c>
      <c r="F843" s="1" t="s">
        <v>144</v>
      </c>
      <c r="G843" s="1" t="s">
        <v>20</v>
      </c>
      <c r="H843" s="1">
        <v>7.7</v>
      </c>
      <c r="I843" s="1" t="s">
        <v>4872</v>
      </c>
      <c r="J843" s="1">
        <v>86.0</v>
      </c>
      <c r="K843" s="1" t="s">
        <v>835</v>
      </c>
      <c r="L843" s="1" t="s">
        <v>3674</v>
      </c>
      <c r="M843" s="1" t="s">
        <v>4873</v>
      </c>
      <c r="N843" s="1" t="s">
        <v>4874</v>
      </c>
      <c r="O843" s="1" t="s">
        <v>4875</v>
      </c>
      <c r="P843" s="1">
        <v>47099.0</v>
      </c>
      <c r="Q843" s="3" t="str">
        <f>VLOOKUP(A843,Posters!A843:B1842,2)</f>
        <v>https://m.media-amazon.com/images/M/MV5BNWU3MDFkYWQtMWQ5YS00YTcwLThmNDItODY4OWE2ZTdhZmIwXkEyXkFqcGdeQXVyMjUzOTY1NTc@._V1_UX67_CR0,0,67,98_AL_.jpg</v>
      </c>
    </row>
    <row r="844">
      <c r="A844" s="1">
        <v>843.0</v>
      </c>
      <c r="B844" s="1" t="s">
        <v>4876</v>
      </c>
      <c r="C844" s="2">
        <v>8.34E7</v>
      </c>
      <c r="D844" s="1">
        <v>1980.0</v>
      </c>
      <c r="E844" s="1" t="s">
        <v>52</v>
      </c>
      <c r="F844" s="1" t="s">
        <v>351</v>
      </c>
      <c r="G844" s="1" t="s">
        <v>602</v>
      </c>
      <c r="H844" s="1">
        <v>7.7</v>
      </c>
      <c r="I844" s="1" t="s">
        <v>4877</v>
      </c>
      <c r="J844" s="1">
        <v>78.0</v>
      </c>
      <c r="K844" s="1" t="s">
        <v>4878</v>
      </c>
      <c r="L844" s="1" t="s">
        <v>4879</v>
      </c>
      <c r="M844" s="1" t="s">
        <v>4880</v>
      </c>
      <c r="N844" s="1" t="s">
        <v>4881</v>
      </c>
      <c r="O844" s="1" t="s">
        <v>4882</v>
      </c>
      <c r="P844" s="1">
        <v>214882.0</v>
      </c>
      <c r="Q844" s="3" t="str">
        <f>VLOOKUP(A844,Posters!A844:B1843,2)</f>
        <v>https://m.media-amazon.com/images/M/MV5BZjA3YjdhMWEtYjc2Ni00YzVlLWI0MTUtMGZmNTJjNmU0Yzk2XkEyXkFqcGdeQXVyNzkwMjQ5NzM@._V1_UX67_CR0,0,67,98_AL_.jpg</v>
      </c>
    </row>
    <row r="845">
      <c r="A845" s="1">
        <v>844.0</v>
      </c>
      <c r="B845" s="1" t="s">
        <v>4883</v>
      </c>
      <c r="C845" s="2">
        <v>523161.0</v>
      </c>
      <c r="D845" s="1">
        <v>1979.0</v>
      </c>
      <c r="E845" s="1" t="s">
        <v>52</v>
      </c>
      <c r="F845" s="1" t="s">
        <v>1439</v>
      </c>
      <c r="G845" s="1" t="s">
        <v>204</v>
      </c>
      <c r="H845" s="1">
        <v>7.7</v>
      </c>
      <c r="I845" s="1" t="s">
        <v>4884</v>
      </c>
      <c r="J845" s="1">
        <v>71.0</v>
      </c>
      <c r="K845" s="1" t="s">
        <v>206</v>
      </c>
      <c r="L845" s="1" t="s">
        <v>4885</v>
      </c>
      <c r="M845" s="1" t="s">
        <v>4886</v>
      </c>
      <c r="N845" s="1" t="s">
        <v>4887</v>
      </c>
      <c r="O845" s="1" t="s">
        <v>4888</v>
      </c>
      <c r="P845" s="1">
        <v>27014.0</v>
      </c>
      <c r="Q845" s="3" t="str">
        <f>VLOOKUP(A845,Posters!A845:B1844,2)</f>
        <v>https://m.media-amazon.com/images/M/MV5BYzYyNjg3OTctNzA2ZS00NjkzLWE4MmYtZDAzZWQ0NzkyMTJhXkEyXkFqcGdeQXVyMTMxODk2OTU@._V1_UX67_CR0,0,67,98_AL_.jpg</v>
      </c>
    </row>
    <row r="846">
      <c r="A846" s="1">
        <v>845.0</v>
      </c>
      <c r="B846" s="1" t="s">
        <v>4889</v>
      </c>
      <c r="C846" s="2">
        <v>4.7E7</v>
      </c>
      <c r="D846" s="1">
        <v>1978.0</v>
      </c>
      <c r="E846" s="1" t="s">
        <v>18</v>
      </c>
      <c r="F846" s="1" t="s">
        <v>1259</v>
      </c>
      <c r="G846" s="1" t="s">
        <v>3376</v>
      </c>
      <c r="H846" s="1">
        <v>7.7</v>
      </c>
      <c r="I846" s="1" t="s">
        <v>4890</v>
      </c>
      <c r="J846" s="1">
        <v>87.0</v>
      </c>
      <c r="K846" s="1" t="s">
        <v>1845</v>
      </c>
      <c r="L846" s="1" t="s">
        <v>4891</v>
      </c>
      <c r="M846" s="1" t="s">
        <v>2937</v>
      </c>
      <c r="N846" s="1" t="s">
        <v>4892</v>
      </c>
      <c r="O846" s="1" t="s">
        <v>4893</v>
      </c>
      <c r="P846" s="1">
        <v>233106.0</v>
      </c>
      <c r="Q846" s="3" t="str">
        <f>VLOOKUP(A846,Posters!A846:B1845,2)</f>
        <v>https://m.media-amazon.com/images/M/MV5BNzk1OGU2NmMtNTdhZC00NjdlLWE5YTMtZTQ0MGExZTQzOGQyXkEyXkFqcGdeQXVyMTQxNzMzNDI@._V1_UX67_CR0,0,67,98_AL_.jpg</v>
      </c>
    </row>
    <row r="847">
      <c r="A847" s="1">
        <v>846.0</v>
      </c>
      <c r="B847" s="1" t="s">
        <v>4894</v>
      </c>
      <c r="C847" s="2">
        <v>1924733.0</v>
      </c>
      <c r="D847" s="1">
        <v>1976.0</v>
      </c>
      <c r="E847" s="1" t="s">
        <v>212</v>
      </c>
      <c r="F847" s="1" t="s">
        <v>428</v>
      </c>
      <c r="G847" s="1" t="s">
        <v>1377</v>
      </c>
      <c r="H847" s="1">
        <v>7.7</v>
      </c>
      <c r="I847" s="1" t="s">
        <v>4895</v>
      </c>
      <c r="J847" s="1">
        <v>71.0</v>
      </c>
      <c r="K847" s="1" t="s">
        <v>316</v>
      </c>
      <c r="L847" s="1" t="s">
        <v>316</v>
      </c>
      <c r="M847" s="1" t="s">
        <v>4896</v>
      </c>
      <c r="N847" s="1" t="s">
        <v>2667</v>
      </c>
      <c r="O847" s="1" t="s">
        <v>4897</v>
      </c>
      <c r="P847" s="1">
        <v>39889.0</v>
      </c>
      <c r="Q847" s="3" t="str">
        <f>VLOOKUP(A847,Posters!A847:B1846,2)</f>
        <v>https://m.media-amazon.com/images/M/MV5BYmVhMDQ1YWUtYjgxOS00NzYyLWI0ZGItNTg3ZjM0MmQ4NmIwXkEyXkFqcGdeQXVyMjQzMzQzODY@._V1_UY98_CR3,0,67,98_AL_.jpg</v>
      </c>
    </row>
    <row r="848">
      <c r="A848" s="1">
        <v>847.0</v>
      </c>
      <c r="B848" s="1" t="s">
        <v>4898</v>
      </c>
      <c r="C848" s="2">
        <v>2.0123742E7</v>
      </c>
      <c r="D848" s="1">
        <v>1975.0</v>
      </c>
      <c r="E848" s="1" t="s">
        <v>270</v>
      </c>
      <c r="F848" s="1" t="s">
        <v>1947</v>
      </c>
      <c r="G848" s="1" t="s">
        <v>1351</v>
      </c>
      <c r="H848" s="1">
        <v>7.7</v>
      </c>
      <c r="I848" s="1" t="s">
        <v>4899</v>
      </c>
      <c r="J848" s="1">
        <v>89.0</v>
      </c>
      <c r="K848" s="1" t="s">
        <v>2671</v>
      </c>
      <c r="L848" s="1" t="s">
        <v>2671</v>
      </c>
      <c r="M848" s="1" t="s">
        <v>35</v>
      </c>
      <c r="N848" s="1" t="s">
        <v>4900</v>
      </c>
      <c r="O848" s="1" t="s">
        <v>4901</v>
      </c>
      <c r="P848" s="1">
        <v>36037.0</v>
      </c>
      <c r="Q848" s="3" t="str">
        <f>VLOOKUP(A848,Posters!A848:B1847,2)</f>
        <v>https://m.media-amazon.com/images/M/MV5BMTYxMDk1NTA5NF5BMl5BanBnXkFtZTcwNDkzNzA2NA@@._V1_UX67_CR0,0,67,98_AL_.jpg</v>
      </c>
    </row>
    <row r="849">
      <c r="A849" s="1">
        <v>848.0</v>
      </c>
      <c r="B849" s="1" t="s">
        <v>4902</v>
      </c>
      <c r="C849" s="2">
        <v>5000000.0</v>
      </c>
      <c r="D849" s="1">
        <v>1974.0</v>
      </c>
      <c r="E849" s="1" t="s">
        <v>52</v>
      </c>
      <c r="F849" s="1" t="s">
        <v>647</v>
      </c>
      <c r="G849" s="1" t="s">
        <v>2169</v>
      </c>
      <c r="H849" s="1">
        <v>7.7</v>
      </c>
      <c r="I849" s="1" t="s">
        <v>4903</v>
      </c>
      <c r="J849" s="1">
        <v>68.0</v>
      </c>
      <c r="K849" s="1" t="s">
        <v>4904</v>
      </c>
      <c r="L849" s="1" t="s">
        <v>2596</v>
      </c>
      <c r="M849" s="1" t="s">
        <v>836</v>
      </c>
      <c r="N849" s="1" t="s">
        <v>58</v>
      </c>
      <c r="O849" s="1" t="s">
        <v>4905</v>
      </c>
      <c r="P849" s="1">
        <v>26729.0</v>
      </c>
      <c r="Q849" s="3" t="str">
        <f>VLOOKUP(A849,Posters!A849:B1848,2)</f>
        <v>https://m.media-amazon.com/images/M/MV5BMjE1NDY0NDk3Ml5BMl5BanBnXkFtZTcwMTAzMTM3NA@@._V1_UX67_CR0,0,67,98_AL_.jpg</v>
      </c>
    </row>
    <row r="850">
      <c r="A850" s="1">
        <v>849.0</v>
      </c>
      <c r="B850" s="1" t="s">
        <v>4906</v>
      </c>
      <c r="C850" s="2">
        <v>1.195E8</v>
      </c>
      <c r="D850" s="1">
        <v>1974.0</v>
      </c>
      <c r="E850" s="1" t="s">
        <v>18</v>
      </c>
      <c r="F850" s="1" t="s">
        <v>1521</v>
      </c>
      <c r="G850" s="1" t="s">
        <v>4907</v>
      </c>
      <c r="H850" s="1">
        <v>7.7</v>
      </c>
      <c r="I850" s="1" t="s">
        <v>4908</v>
      </c>
      <c r="J850" s="1">
        <v>73.0</v>
      </c>
      <c r="K850" s="1" t="s">
        <v>2686</v>
      </c>
      <c r="L850" s="1" t="s">
        <v>4909</v>
      </c>
      <c r="M850" s="1" t="s">
        <v>2687</v>
      </c>
      <c r="N850" s="1" t="s">
        <v>4910</v>
      </c>
      <c r="O850" s="1" t="s">
        <v>4911</v>
      </c>
      <c r="P850" s="1">
        <v>125993.0</v>
      </c>
      <c r="Q850" s="3" t="str">
        <f>VLOOKUP(A850,Posters!A850:B1849,2)</f>
        <v>https://m.media-amazon.com/images/M/MV5BZGZmMWE1MDYtNzAyNC00MDMzLTgzZjQtNTQ5NjYzN2E4MzkzXkEyXkFqcGdeQXVyNDk3NzU2MTQ@._V1_UX67_CR0,0,67,98_AL_.jpg</v>
      </c>
    </row>
    <row r="851">
      <c r="A851" s="1">
        <v>850.0</v>
      </c>
      <c r="B851" s="1" t="s">
        <v>4912</v>
      </c>
      <c r="C851" s="2">
        <v>2.98E7</v>
      </c>
      <c r="D851" s="1">
        <v>1973.0</v>
      </c>
      <c r="E851" s="1" t="s">
        <v>18</v>
      </c>
      <c r="F851" s="1" t="s">
        <v>195</v>
      </c>
      <c r="G851" s="1" t="s">
        <v>137</v>
      </c>
      <c r="H851" s="1">
        <v>7.7</v>
      </c>
      <c r="I851" s="1" t="s">
        <v>4913</v>
      </c>
      <c r="J851" s="1">
        <v>87.0</v>
      </c>
      <c r="K851" s="1" t="s">
        <v>55</v>
      </c>
      <c r="L851" s="1" t="s">
        <v>33</v>
      </c>
      <c r="M851" s="1" t="s">
        <v>4914</v>
      </c>
      <c r="N851" s="1" t="s">
        <v>4915</v>
      </c>
      <c r="O851" s="1" t="s">
        <v>4916</v>
      </c>
      <c r="P851" s="1">
        <v>109941.0</v>
      </c>
      <c r="Q851" s="3" t="str">
        <f>VLOOKUP(A851,Posters!A851:B1850,2)</f>
        <v>https://m.media-amazon.com/images/M/MV5BYTU4ZTI0NzAtYzMwNi00YmMxLThmZWItNTY5NzgyMDAwYWVhXkEyXkFqcGdeQXVyNjUwNzk3NDc@._V1_UX67_CR0,0,67,98_AL_.jpg</v>
      </c>
    </row>
    <row r="852">
      <c r="A852" s="1">
        <v>851.0</v>
      </c>
      <c r="B852" s="1" t="s">
        <v>4917</v>
      </c>
      <c r="C852" s="2">
        <v>2.5E7</v>
      </c>
      <c r="D852" s="1">
        <v>1973.0</v>
      </c>
      <c r="E852" s="1" t="s">
        <v>18</v>
      </c>
      <c r="F852" s="1" t="s">
        <v>405</v>
      </c>
      <c r="G852" s="1" t="s">
        <v>39</v>
      </c>
      <c r="H852" s="1">
        <v>7.7</v>
      </c>
      <c r="I852" s="1" t="s">
        <v>4918</v>
      </c>
      <c r="J852" s="1">
        <v>83.0</v>
      </c>
      <c r="K852" s="1" t="s">
        <v>4919</v>
      </c>
      <c r="L852" s="1" t="s">
        <v>4920</v>
      </c>
      <c r="M852" s="1" t="s">
        <v>4921</v>
      </c>
      <c r="N852" s="1" t="s">
        <v>4922</v>
      </c>
      <c r="O852" s="1" t="s">
        <v>4923</v>
      </c>
      <c r="P852" s="1">
        <v>96561.0</v>
      </c>
      <c r="Q852" s="3" t="str">
        <f>VLOOKUP(A852,Posters!A852:B1851,2)</f>
        <v>https://m.media-amazon.com/images/M/MV5BNGZiMTkyNzQtMDdmZi00ZDNkLWE4YTAtZGNlNTIzYzQyMGM2XkEyXkFqcGdeQXVyNjc1NTYyMjg@._V1_UX67_CR0,0,67,98_AL_.jpg</v>
      </c>
    </row>
    <row r="853">
      <c r="A853" s="1">
        <v>852.0</v>
      </c>
      <c r="B853" s="1" t="s">
        <v>4924</v>
      </c>
      <c r="C853" s="2">
        <v>7056013.0</v>
      </c>
      <c r="D853" s="1">
        <v>1972.0</v>
      </c>
      <c r="E853" s="1" t="s">
        <v>52</v>
      </c>
      <c r="F853" s="1" t="s">
        <v>396</v>
      </c>
      <c r="G853" s="1" t="s">
        <v>817</v>
      </c>
      <c r="H853" s="1">
        <v>7.7</v>
      </c>
      <c r="I853" s="1" t="s">
        <v>4925</v>
      </c>
      <c r="J853" s="1">
        <v>80.0</v>
      </c>
      <c r="K853" s="1" t="s">
        <v>4926</v>
      </c>
      <c r="L853" s="1" t="s">
        <v>1178</v>
      </c>
      <c r="M853" s="1" t="s">
        <v>3230</v>
      </c>
      <c r="N853" s="1" t="s">
        <v>1107</v>
      </c>
      <c r="O853" s="1" t="s">
        <v>4927</v>
      </c>
      <c r="P853" s="1">
        <v>98740.0</v>
      </c>
      <c r="Q853" s="3" t="str">
        <f>VLOOKUP(A853,Posters!A853:B1852,2)</f>
        <v>https://m.media-amazon.com/images/M/MV5BZjBhYzU3NWItOWZjMy00NjI5LWFmYmItZmIyOWFlMDIxMWNiXkEyXkFqcGdeQXVyMTQxNzMzNDI@._V1_UX67_CR0,0,67,98_AL_.jpg</v>
      </c>
    </row>
    <row r="854">
      <c r="A854" s="1">
        <v>853.0</v>
      </c>
      <c r="B854" s="1" t="s">
        <v>4928</v>
      </c>
      <c r="C854" s="2">
        <v>1.563071E7</v>
      </c>
      <c r="D854" s="1">
        <v>1971.0</v>
      </c>
      <c r="E854" s="1" t="s">
        <v>18</v>
      </c>
      <c r="F854" s="1" t="s">
        <v>647</v>
      </c>
      <c r="G854" s="1" t="s">
        <v>39</v>
      </c>
      <c r="H854" s="1">
        <v>7.7</v>
      </c>
      <c r="I854" s="1" t="s">
        <v>4929</v>
      </c>
      <c r="J854" s="1">
        <v>94.0</v>
      </c>
      <c r="K854" s="1" t="s">
        <v>2698</v>
      </c>
      <c r="L854" s="1" t="s">
        <v>1191</v>
      </c>
      <c r="M854" s="1" t="s">
        <v>2677</v>
      </c>
      <c r="N854" s="1" t="s">
        <v>3349</v>
      </c>
      <c r="O854" s="1" t="s">
        <v>4930</v>
      </c>
      <c r="P854" s="1">
        <v>110075.0</v>
      </c>
      <c r="Q854" s="3" t="str">
        <f>VLOOKUP(A854,Posters!A854:B1853,2)</f>
        <v>https://m.media-amazon.com/images/M/MV5BOTZhY2E3NmItMGIwNi00OTA2LThkYmEtODFiZTM0NGI0ZWU5XkEyXkFqcGdeQXVyNTc1NTQxODI@._V1_UY98_CR1,0,67,98_AL_.jpg</v>
      </c>
    </row>
    <row r="855">
      <c r="A855" s="1">
        <v>854.0</v>
      </c>
      <c r="B855" s="1" t="s">
        <v>4931</v>
      </c>
      <c r="C855" s="2">
        <v>3.59E7</v>
      </c>
      <c r="D855" s="1">
        <v>1971.0</v>
      </c>
      <c r="E855" s="1" t="s">
        <v>18</v>
      </c>
      <c r="F855" s="1" t="s">
        <v>405</v>
      </c>
      <c r="G855" s="1" t="s">
        <v>2169</v>
      </c>
      <c r="H855" s="1">
        <v>7.7</v>
      </c>
      <c r="I855" s="1" t="s">
        <v>4932</v>
      </c>
      <c r="J855" s="1">
        <v>90.0</v>
      </c>
      <c r="K855" s="1" t="s">
        <v>4933</v>
      </c>
      <c r="L855" s="1" t="s">
        <v>119</v>
      </c>
      <c r="M855" s="1" t="s">
        <v>4934</v>
      </c>
      <c r="N855" s="1" t="s">
        <v>4935</v>
      </c>
      <c r="O855" s="1" t="s">
        <v>4936</v>
      </c>
      <c r="P855" s="1">
        <v>143292.0</v>
      </c>
      <c r="Q855" s="3" t="str">
        <f>VLOOKUP(A855,Posters!A855:B1854,2)</f>
        <v>https://m.media-amazon.com/images/M/MV5BMzdhMTM2YTItOWU2YS00MTM0LTgyNDYtMDM1OWM3NzkzNTM2XkEyXkFqcGdeQXVyNjc1NTYyMjg@._V1_UX67_CR0,0,67,98_AL_.jpg</v>
      </c>
    </row>
    <row r="856">
      <c r="A856" s="1">
        <v>855.0</v>
      </c>
      <c r="B856" s="1" t="s">
        <v>4937</v>
      </c>
      <c r="C856" s="2">
        <v>7100000.0</v>
      </c>
      <c r="D856" s="1">
        <v>1968.0</v>
      </c>
      <c r="E856" s="1" t="s">
        <v>52</v>
      </c>
      <c r="F856" s="1" t="s">
        <v>1089</v>
      </c>
      <c r="G856" s="1" t="s">
        <v>4938</v>
      </c>
      <c r="H856" s="1">
        <v>7.7</v>
      </c>
      <c r="I856" s="1" t="s">
        <v>4939</v>
      </c>
      <c r="J856" s="1">
        <v>63.0</v>
      </c>
      <c r="K856" s="1" t="s">
        <v>4940</v>
      </c>
      <c r="L856" s="1" t="s">
        <v>2744</v>
      </c>
      <c r="M856" s="1" t="s">
        <v>119</v>
      </c>
      <c r="N856" s="1" t="s">
        <v>4941</v>
      </c>
      <c r="O856" s="1" t="s">
        <v>4942</v>
      </c>
      <c r="P856" s="1">
        <v>51913.0</v>
      </c>
      <c r="Q856" s="3" t="str">
        <f>VLOOKUP(A856,Posters!A856:B1855,2)</f>
        <v>https://m.media-amazon.com/images/M/MV5BNGE3ZWZiNzktMDIyOC00ZmVhLThjZTktZjQ5NjI4NGVhMDBlXkEyXkFqcGdeQXVyMjI4MjA5MzA@._V1_UX67_CR0,0,67,98_AL_.jpg</v>
      </c>
    </row>
    <row r="857">
      <c r="A857" s="1">
        <v>856.0</v>
      </c>
      <c r="B857" s="1" t="s">
        <v>4943</v>
      </c>
      <c r="C857" s="2">
        <v>4.4527234E7</v>
      </c>
      <c r="D857" s="1">
        <v>1968.0</v>
      </c>
      <c r="E857" s="1" t="s">
        <v>414</v>
      </c>
      <c r="F857" s="1" t="s">
        <v>487</v>
      </c>
      <c r="G857" s="1" t="s">
        <v>602</v>
      </c>
      <c r="H857" s="1">
        <v>7.7</v>
      </c>
      <c r="I857" s="1" t="s">
        <v>4944</v>
      </c>
      <c r="J857" s="1">
        <v>86.0</v>
      </c>
      <c r="K857" s="1" t="s">
        <v>4945</v>
      </c>
      <c r="L857" s="1" t="s">
        <v>866</v>
      </c>
      <c r="M857" s="1" t="s">
        <v>2596</v>
      </c>
      <c r="N857" s="1" t="s">
        <v>59</v>
      </c>
      <c r="O857" s="1" t="s">
        <v>4946</v>
      </c>
      <c r="P857" s="1">
        <v>31572.0</v>
      </c>
      <c r="Q857" s="3" t="str">
        <f>VLOOKUP(A857,Posters!A857:B1856,2)</f>
        <v>https://m.media-amazon.com/images/M/MV5BZDVhNzQxZDEtMzcyZC00ZDg1LWFkZDctOWYxZTY0ZmYzYjc2XkEyXkFqcGdeQXVyMjA0MDQ0Mjc@._V1_UX67_CR0,0,67,98_AL_.jpg</v>
      </c>
    </row>
    <row r="858">
      <c r="A858" s="1">
        <v>857.0</v>
      </c>
      <c r="B858" s="1" t="s">
        <v>4947</v>
      </c>
      <c r="C858" s="2">
        <v>4.53E7</v>
      </c>
      <c r="D858" s="1">
        <v>1967.0</v>
      </c>
      <c r="E858" s="1">
        <v>16.0</v>
      </c>
      <c r="F858" s="1" t="s">
        <v>313</v>
      </c>
      <c r="G858" s="1" t="s">
        <v>4938</v>
      </c>
      <c r="H858" s="1">
        <v>7.7</v>
      </c>
      <c r="I858" s="1" t="s">
        <v>4948</v>
      </c>
      <c r="J858" s="1">
        <v>73.0</v>
      </c>
      <c r="K858" s="1" t="s">
        <v>1974</v>
      </c>
      <c r="L858" s="1" t="s">
        <v>1986</v>
      </c>
      <c r="M858" s="1" t="s">
        <v>3373</v>
      </c>
      <c r="N858" s="1" t="s">
        <v>392</v>
      </c>
      <c r="O858" s="1" t="s">
        <v>2729</v>
      </c>
      <c r="P858" s="1">
        <v>67183.0</v>
      </c>
      <c r="Q858" s="3" t="str">
        <f>VLOOKUP(A858,Posters!A858:B1857,2)</f>
        <v>https://m.media-amazon.com/images/M/MV5BM2Y1ZTI0NzktYzU3MS00YmE1LThkY2EtMDc0NGYxNTNlZDA5XkEyXkFqcGdeQXVyNTAyODkwOQ@@._V1_UX67_CR0,0,67,98_AL_.jpg</v>
      </c>
    </row>
    <row r="859">
      <c r="A859" s="1">
        <v>858.0</v>
      </c>
      <c r="B859" s="1" t="s">
        <v>4949</v>
      </c>
      <c r="C859" s="2">
        <v>26331.0</v>
      </c>
      <c r="D859" s="1">
        <v>1967.0</v>
      </c>
      <c r="E859" s="1" t="s">
        <v>18</v>
      </c>
      <c r="F859" s="1" t="s">
        <v>1439</v>
      </c>
      <c r="G859" s="1" t="s">
        <v>107</v>
      </c>
      <c r="H859" s="1">
        <v>7.7</v>
      </c>
      <c r="I859" s="1" t="s">
        <v>4950</v>
      </c>
      <c r="K859" s="1" t="s">
        <v>1966</v>
      </c>
      <c r="L859" s="1" t="s">
        <v>2346</v>
      </c>
      <c r="M859" s="1" t="s">
        <v>4951</v>
      </c>
      <c r="N859" s="1" t="s">
        <v>4952</v>
      </c>
      <c r="O859" s="1" t="s">
        <v>4953</v>
      </c>
      <c r="P859" s="1">
        <v>40274.0</v>
      </c>
      <c r="Q859" s="3" t="str">
        <f>VLOOKUP(A859,Posters!A859:B1858,2)</f>
        <v>https://m.media-amazon.com/images/M/MV5BZjNkNGJjYWEtM2IyNi00ZjM5LWFlYjYtYjQ4NTU5MGFlMTI2XkEyXkFqcGdeQXVyMTMxMTY0OTQ@._V1_UY98_CR3,0,67,98_AL_.jpg</v>
      </c>
    </row>
    <row r="860">
      <c r="A860" s="1">
        <v>859.0</v>
      </c>
      <c r="B860" s="1" t="s">
        <v>4954</v>
      </c>
      <c r="C860" s="2">
        <v>2.835E7</v>
      </c>
      <c r="D860" s="1">
        <v>1966.0</v>
      </c>
      <c r="E860" s="1" t="s">
        <v>52</v>
      </c>
      <c r="F860" s="1" t="s">
        <v>1546</v>
      </c>
      <c r="G860" s="1" t="s">
        <v>79</v>
      </c>
      <c r="H860" s="1">
        <v>7.7</v>
      </c>
      <c r="I860" s="1" t="s">
        <v>4955</v>
      </c>
      <c r="J860" s="1">
        <v>72.0</v>
      </c>
      <c r="K860" s="1" t="s">
        <v>3435</v>
      </c>
      <c r="L860" s="1" t="s">
        <v>4956</v>
      </c>
      <c r="M860" s="1" t="s">
        <v>4957</v>
      </c>
      <c r="N860" s="1" t="s">
        <v>836</v>
      </c>
      <c r="O860" s="1" t="s">
        <v>4958</v>
      </c>
      <c r="P860" s="1">
        <v>31222.0</v>
      </c>
      <c r="Q860" s="3" t="str">
        <f>VLOOKUP(A860,Posters!A860:B1859,2)</f>
        <v>https://m.media-amazon.com/images/M/MV5BMTRjOTA1NzctNzFmMy00ZjcwLWExYjgtYWQyZDM5ZWY1Y2JlXkEyXkFqcGdeQXVyMDI2NDg0NQ@@._V1_UX67_CR0,0,67,98_AL_.jpg</v>
      </c>
    </row>
    <row r="861">
      <c r="A861" s="1">
        <v>860.0</v>
      </c>
      <c r="B861" s="1" t="s">
        <v>4959</v>
      </c>
      <c r="C861" s="2">
        <v>33174.0</v>
      </c>
      <c r="D861" s="1">
        <v>1965.0</v>
      </c>
      <c r="E861" s="1">
        <v>14.0</v>
      </c>
      <c r="F861" s="1" t="s">
        <v>487</v>
      </c>
      <c r="G861" s="1" t="s">
        <v>1972</v>
      </c>
      <c r="H861" s="1">
        <v>7.7</v>
      </c>
      <c r="I861" s="1" t="s">
        <v>4960</v>
      </c>
      <c r="J861" s="1">
        <v>91.0</v>
      </c>
      <c r="K861" s="1" t="s">
        <v>316</v>
      </c>
      <c r="L861" s="1" t="s">
        <v>2346</v>
      </c>
      <c r="M861" s="1" t="s">
        <v>4961</v>
      </c>
      <c r="N861" s="1" t="s">
        <v>4962</v>
      </c>
      <c r="O861" s="1" t="s">
        <v>2786</v>
      </c>
      <c r="P861" s="1">
        <v>48883.0</v>
      </c>
      <c r="Q861" s="3" t="str">
        <f>VLOOKUP(A861,Posters!A861:B1860,2)</f>
        <v>https://m.media-amazon.com/images/M/MV5BZTU5ZThjNzAtNjc4NC00OTViLWIxYTYtODFmMTk5Y2NjZjZiL2ltYWdlL2ltYWdlXkEyXkFqcGdeQXVyNjc1NTYyMjg@._V1_UX67_CR0,0,67,98_AL_.jpg</v>
      </c>
    </row>
    <row r="862">
      <c r="A862" s="1">
        <v>861.0</v>
      </c>
      <c r="B862" s="1" t="s">
        <v>4963</v>
      </c>
      <c r="C862" s="2">
        <v>1720000.0</v>
      </c>
      <c r="D862" s="1">
        <v>1964.0</v>
      </c>
      <c r="E862" s="1" t="s">
        <v>52</v>
      </c>
      <c r="F862" s="1" t="s">
        <v>947</v>
      </c>
      <c r="G862" s="1" t="s">
        <v>2661</v>
      </c>
      <c r="H862" s="1">
        <v>7.7</v>
      </c>
      <c r="I862" s="1" t="s">
        <v>4964</v>
      </c>
      <c r="J862" s="1">
        <v>77.0</v>
      </c>
      <c r="K862" s="1" t="s">
        <v>4965</v>
      </c>
      <c r="L862" s="1" t="s">
        <v>4966</v>
      </c>
      <c r="M862" s="1" t="s">
        <v>863</v>
      </c>
      <c r="N862" s="1" t="s">
        <v>4967</v>
      </c>
      <c r="O862" s="1" t="s">
        <v>4968</v>
      </c>
      <c r="P862" s="1">
        <v>35999.0</v>
      </c>
      <c r="Q862" s="3" t="str">
        <f>VLOOKUP(A862,Posters!A862:B1861,2)</f>
        <v>https://m.media-amazon.com/images/M/MV5BYzdlYmQ3MWMtMDY3My00MzVmLTg0YmMtYjRlZDUzNjBlMmE0L2ltYWdlL2ltYWdlXkEyXkFqcGdeQXVyNjc1NTYyMjg@._V1_UX67_CR0,0,67,98_AL_.jpg</v>
      </c>
    </row>
    <row r="863">
      <c r="A863" s="1">
        <v>862.0</v>
      </c>
      <c r="B863" s="1" t="s">
        <v>4969</v>
      </c>
      <c r="C863" s="2">
        <v>5.1081062E7</v>
      </c>
      <c r="D863" s="1">
        <v>1964.0</v>
      </c>
      <c r="E863" s="1" t="s">
        <v>18</v>
      </c>
      <c r="F863" s="1" t="s">
        <v>343</v>
      </c>
      <c r="G863" s="1" t="s">
        <v>2406</v>
      </c>
      <c r="H863" s="1">
        <v>7.7</v>
      </c>
      <c r="I863" s="1" t="s">
        <v>4970</v>
      </c>
      <c r="J863" s="1">
        <v>87.0</v>
      </c>
      <c r="K863" s="1" t="s">
        <v>4971</v>
      </c>
      <c r="L863" s="1" t="s">
        <v>1195</v>
      </c>
      <c r="M863" s="1" t="s">
        <v>4972</v>
      </c>
      <c r="N863" s="1" t="s">
        <v>4973</v>
      </c>
      <c r="O863" s="1" t="s">
        <v>4974</v>
      </c>
      <c r="P863" s="1">
        <v>174119.0</v>
      </c>
      <c r="Q863" s="3" t="str">
        <f>VLOOKUP(A863,Posters!A863:B1862,2)</f>
        <v>https://m.media-amazon.com/images/M/MV5BMTQ2MzE0OTU3NV5BMl5BanBnXkFtZTcwNjQxNTgzNA@@._V1_UX67_CR0,0,67,98_AL_.jpg</v>
      </c>
    </row>
    <row r="864">
      <c r="A864" s="1">
        <v>863.0</v>
      </c>
      <c r="B864" s="1" t="s">
        <v>4975</v>
      </c>
      <c r="C864" s="2">
        <v>1.1403529E7</v>
      </c>
      <c r="D864" s="1">
        <v>1963.0</v>
      </c>
      <c r="E864" s="1" t="s">
        <v>18</v>
      </c>
      <c r="F864" s="1" t="s">
        <v>329</v>
      </c>
      <c r="G864" s="1" t="s">
        <v>4976</v>
      </c>
      <c r="H864" s="1">
        <v>7.7</v>
      </c>
      <c r="I864" s="1" t="s">
        <v>4977</v>
      </c>
      <c r="J864" s="1">
        <v>90.0</v>
      </c>
      <c r="K864" s="1" t="s">
        <v>399</v>
      </c>
      <c r="L864" s="1" t="s">
        <v>4978</v>
      </c>
      <c r="M864" s="1" t="s">
        <v>4979</v>
      </c>
      <c r="N864" s="1" t="s">
        <v>4799</v>
      </c>
      <c r="O864" s="1" t="s">
        <v>208</v>
      </c>
      <c r="P864" s="1">
        <v>171739.0</v>
      </c>
      <c r="Q864" s="3" t="str">
        <f>VLOOKUP(A864,Posters!A864:B1863,2)</f>
        <v>https://m.media-amazon.com/images/M/MV5BMTAxNDA1ODc5MDleQTJeQWpwZ15BbWU4MDg2MDA4OTEx._V1_UX67_CR0,0,67,98_AL_.jpg</v>
      </c>
    </row>
    <row r="865">
      <c r="A865" s="1">
        <v>864.0</v>
      </c>
      <c r="B865" s="1" t="s">
        <v>4980</v>
      </c>
      <c r="C865" s="2">
        <v>3000000.0</v>
      </c>
      <c r="D865" s="1">
        <v>1962.0</v>
      </c>
      <c r="E865" s="1" t="s">
        <v>627</v>
      </c>
      <c r="F865" s="1" t="s">
        <v>286</v>
      </c>
      <c r="G865" s="1" t="s">
        <v>1377</v>
      </c>
      <c r="H865" s="1">
        <v>7.7</v>
      </c>
      <c r="I865" s="1" t="s">
        <v>4981</v>
      </c>
      <c r="J865" s="1">
        <v>76.0</v>
      </c>
      <c r="K865" s="1" t="s">
        <v>4982</v>
      </c>
      <c r="L865" s="1" t="s">
        <v>1278</v>
      </c>
      <c r="M865" s="1" t="s">
        <v>2819</v>
      </c>
      <c r="N865" s="1" t="s">
        <v>4983</v>
      </c>
      <c r="O865" s="1" t="s">
        <v>4984</v>
      </c>
      <c r="P865" s="1">
        <v>26457.0</v>
      </c>
      <c r="Q865" s="3" t="str">
        <f>VLOOKUP(A865,Posters!A865:B1864,2)</f>
        <v>https://m.media-amazon.com/images/M/MV5BOWNlMTJmMWUtYjk0MC00M2U4LWI1ODItZDgxNDZiODFmNjc5XkEyXkFqcGdeQXVyMTAwMzUyOTc@._V1_UX67_CR0,0,67,98_AL_.jpg</v>
      </c>
    </row>
    <row r="866">
      <c r="A866" s="1">
        <v>865.0</v>
      </c>
      <c r="B866" s="1" t="s">
        <v>4985</v>
      </c>
      <c r="C866" s="2">
        <v>83957.0</v>
      </c>
      <c r="D866" s="1">
        <v>1960.0</v>
      </c>
      <c r="E866" s="1">
        <v>14.0</v>
      </c>
      <c r="F866" s="1" t="s">
        <v>535</v>
      </c>
      <c r="G866" s="1" t="s">
        <v>1972</v>
      </c>
      <c r="H866" s="1">
        <v>7.7</v>
      </c>
      <c r="I866" s="1" t="s">
        <v>4986</v>
      </c>
      <c r="K866" s="1" t="s">
        <v>2068</v>
      </c>
      <c r="L866" s="1" t="s">
        <v>4987</v>
      </c>
      <c r="M866" s="1" t="s">
        <v>4988</v>
      </c>
      <c r="N866" s="1" t="s">
        <v>2072</v>
      </c>
      <c r="O866" s="1" t="s">
        <v>4989</v>
      </c>
      <c r="P866" s="1">
        <v>31354.0</v>
      </c>
      <c r="Q866" s="3" t="str">
        <f>VLOOKUP(A866,Posters!A866:B1865,2)</f>
        <v>https://m.media-amazon.com/images/M/MV5BZjM3ZTAzZDYtZmFjZS00YmQ1LWJlOWEtN2I4MDRmYzY5YmRlL2ltYWdlXkEyXkFqcGdeQXVyMjgyNjk3MzE@._V1_UX67_CR0,0,67,98_AL_.jpg</v>
      </c>
    </row>
    <row r="867">
      <c r="A867" s="1">
        <v>866.0</v>
      </c>
      <c r="B867" s="1" t="s">
        <v>4990</v>
      </c>
      <c r="C867" s="2">
        <v>4905000.0</v>
      </c>
      <c r="D867" s="1">
        <v>1960.0</v>
      </c>
      <c r="E867" s="1" t="s">
        <v>2047</v>
      </c>
      <c r="F867" s="1" t="s">
        <v>878</v>
      </c>
      <c r="G867" s="1" t="s">
        <v>3370</v>
      </c>
      <c r="H867" s="1">
        <v>7.7</v>
      </c>
      <c r="I867" s="1" t="s">
        <v>4991</v>
      </c>
      <c r="J867" s="1">
        <v>74.0</v>
      </c>
      <c r="K867" s="1" t="s">
        <v>1271</v>
      </c>
      <c r="L867" s="1" t="s">
        <v>3423</v>
      </c>
      <c r="M867" s="1" t="s">
        <v>1272</v>
      </c>
      <c r="N867" s="1" t="s">
        <v>392</v>
      </c>
      <c r="O867" s="1" t="s">
        <v>120</v>
      </c>
      <c r="P867" s="1">
        <v>87719.0</v>
      </c>
      <c r="Q867" s="3" t="str">
        <f>VLOOKUP(A867,Posters!A867:B1866,2)</f>
        <v>https://m.media-amazon.com/images/M/MV5BMzYyNzU0MTM1OF5BMl5BanBnXkFtZTcwMzE1ODE1NA@@._V1_UX67_CR0,0,67,98_AL_.jpg</v>
      </c>
    </row>
    <row r="868">
      <c r="A868" s="1">
        <v>867.0</v>
      </c>
      <c r="B868" s="1" t="s">
        <v>4992</v>
      </c>
      <c r="C868" s="2">
        <v>52709.0</v>
      </c>
      <c r="D868" s="1">
        <v>1960.0</v>
      </c>
      <c r="E868" s="1" t="s">
        <v>4418</v>
      </c>
      <c r="F868" s="1" t="s">
        <v>2586</v>
      </c>
      <c r="G868" s="1" t="s">
        <v>569</v>
      </c>
      <c r="H868" s="1">
        <v>7.7</v>
      </c>
      <c r="I868" s="1" t="s">
        <v>4993</v>
      </c>
      <c r="J868" s="1">
        <v>90.0</v>
      </c>
      <c r="K868" s="1" t="s">
        <v>4994</v>
      </c>
      <c r="L868" s="1" t="s">
        <v>4995</v>
      </c>
      <c r="M868" s="1" t="s">
        <v>2063</v>
      </c>
      <c r="N868" s="1" t="s">
        <v>4996</v>
      </c>
      <c r="O868" s="1" t="s">
        <v>4997</v>
      </c>
      <c r="P868" s="1">
        <v>27620.0</v>
      </c>
      <c r="Q868" s="3" t="str">
        <f>VLOOKUP(A868,Posters!A868:B1867,2)</f>
        <v>https://m.media-amazon.com/images/M/MV5BNzBiMWRhNzQtMjZhZS00NzFmLWE5YWMtOWY4NzIxMjYzZTEyXkEyXkFqcGdeQXVyMzg2MzE2OTE@._V1_UY98_CR3,0,67,98_AL_.jpg</v>
      </c>
    </row>
    <row r="869">
      <c r="A869" s="1">
        <v>868.0</v>
      </c>
      <c r="B869" s="1" t="s">
        <v>4998</v>
      </c>
      <c r="C869" s="2">
        <v>1861.0</v>
      </c>
      <c r="D869" s="1">
        <v>1956.0</v>
      </c>
      <c r="E869" s="1" t="s">
        <v>2047</v>
      </c>
      <c r="F869" s="1" t="s">
        <v>1639</v>
      </c>
      <c r="G869" s="1" t="s">
        <v>4275</v>
      </c>
      <c r="H869" s="1">
        <v>7.7</v>
      </c>
      <c r="I869" s="1" t="s">
        <v>4999</v>
      </c>
      <c r="J869" s="1">
        <v>92.0</v>
      </c>
      <c r="K869" s="1" t="s">
        <v>4933</v>
      </c>
      <c r="L869" s="1" t="s">
        <v>5000</v>
      </c>
      <c r="M869" s="1" t="s">
        <v>5001</v>
      </c>
      <c r="N869" s="1" t="s">
        <v>5002</v>
      </c>
      <c r="O869" s="1" t="s">
        <v>5003</v>
      </c>
      <c r="P869" s="1">
        <v>44839.0</v>
      </c>
      <c r="Q869" s="3" t="str">
        <f>VLOOKUP(A869,Posters!A869:B1868,2)</f>
        <v>https://m.media-amazon.com/images/M/MV5BYTExYjM3MDYtMzg4MC00MjU4LTljZjAtYzdlMTFmYTJmYTE4XkEyXkFqcGdeQXVyNTAyODkwOQ@@._V1_UX67_CR0,0,67,98_AL_.jpg</v>
      </c>
    </row>
    <row r="870">
      <c r="A870" s="1">
        <v>869.0</v>
      </c>
      <c r="B870" s="1" t="s">
        <v>5004</v>
      </c>
      <c r="C870" s="2">
        <v>199963.0</v>
      </c>
      <c r="D870" s="1">
        <v>1955.0</v>
      </c>
      <c r="E870" s="1" t="s">
        <v>161</v>
      </c>
      <c r="F870" s="1" t="s">
        <v>1663</v>
      </c>
      <c r="G870" s="1" t="s">
        <v>20</v>
      </c>
      <c r="H870" s="1">
        <v>7.7</v>
      </c>
      <c r="I870" s="1" t="s">
        <v>5005</v>
      </c>
      <c r="J870" s="1">
        <v>89.0</v>
      </c>
      <c r="K870" s="1" t="s">
        <v>2847</v>
      </c>
      <c r="L870" s="1" t="s">
        <v>3430</v>
      </c>
      <c r="M870" s="1" t="s">
        <v>5006</v>
      </c>
      <c r="N870" s="1" t="s">
        <v>5007</v>
      </c>
      <c r="O870" s="1" t="s">
        <v>5008</v>
      </c>
      <c r="P870" s="1">
        <v>83363.0</v>
      </c>
      <c r="Q870" s="3" t="str">
        <f>VLOOKUP(A870,Posters!A870:B1869,2)</f>
        <v>https://m.media-amazon.com/images/M/MV5BMTg2ODcxOTU1OV5BMl5BanBnXkFtZTgwNzA3ODI1MDE@._V1_UX67_CR0,0,67,98_AL_.jpg</v>
      </c>
    </row>
    <row r="871">
      <c r="A871" s="1">
        <v>870.0</v>
      </c>
      <c r="B871" s="1" t="s">
        <v>5009</v>
      </c>
      <c r="C871" s="2">
        <v>23213.0</v>
      </c>
      <c r="D871" s="1">
        <v>1955.0</v>
      </c>
      <c r="E871" s="1" t="s">
        <v>2890</v>
      </c>
      <c r="F871" s="1" t="s">
        <v>1259</v>
      </c>
      <c r="G871" s="1" t="s">
        <v>731</v>
      </c>
      <c r="H871" s="1">
        <v>7.7</v>
      </c>
      <c r="I871" s="1" t="s">
        <v>5010</v>
      </c>
      <c r="J871" s="1">
        <v>91.0</v>
      </c>
      <c r="K871" s="1" t="s">
        <v>2809</v>
      </c>
      <c r="L871" s="1" t="s">
        <v>252</v>
      </c>
      <c r="M871" s="1" t="s">
        <v>604</v>
      </c>
      <c r="N871" s="1" t="s">
        <v>5011</v>
      </c>
      <c r="O871" s="1" t="s">
        <v>5012</v>
      </c>
      <c r="P871" s="1">
        <v>26464.0</v>
      </c>
      <c r="Q871" s="3" t="str">
        <f>VLOOKUP(A871,Posters!A871:B1870,2)</f>
        <v>https://m.media-amazon.com/images/M/MV5BYTVlM2JmOGQtNWEwYy00NDQzLWIyZmEtOGZhMzgxZGRjZDA0XkEyXkFqcGdeQXVyMDI2NDg0NQ@@._V1_UX67_CR0,0,67,98_AL_.jpg</v>
      </c>
    </row>
    <row r="872">
      <c r="A872" s="1">
        <v>871.0</v>
      </c>
      <c r="B872" s="1" t="s">
        <v>5013</v>
      </c>
      <c r="C872" s="2">
        <v>2238813.0</v>
      </c>
      <c r="D872" s="1">
        <v>1954.0</v>
      </c>
      <c r="E872" s="1" t="s">
        <v>627</v>
      </c>
      <c r="F872" s="1" t="s">
        <v>543</v>
      </c>
      <c r="G872" s="1" t="s">
        <v>227</v>
      </c>
      <c r="H872" s="1">
        <v>7.7</v>
      </c>
      <c r="I872" s="1" t="s">
        <v>5014</v>
      </c>
      <c r="J872" s="1">
        <v>72.0</v>
      </c>
      <c r="K872" s="1" t="s">
        <v>610</v>
      </c>
      <c r="L872" s="1" t="s">
        <v>409</v>
      </c>
      <c r="M872" s="1" t="s">
        <v>2839</v>
      </c>
      <c r="N872" s="1" t="s">
        <v>630</v>
      </c>
      <c r="O872" s="1" t="s">
        <v>5015</v>
      </c>
      <c r="P872" s="1">
        <v>59415.0</v>
      </c>
      <c r="Q872" s="3" t="str">
        <f>VLOOKUP(A872,Posters!A872:B1871,2)</f>
        <v>https://m.media-amazon.com/images/M/MV5BYmFlNTA1NWItODQxNC00YjFmLWE3ZWYtMzg3YTkwYmMxMjY2XkEyXkFqcGdeQXVyMTMxMTY0OTQ@._V1_UX67_CR0,0,67,98_AL_.jpg</v>
      </c>
    </row>
    <row r="873">
      <c r="A873" s="1">
        <v>872.0</v>
      </c>
      <c r="B873" s="1" t="s">
        <v>5016</v>
      </c>
      <c r="C873" s="2">
        <v>1.055E7</v>
      </c>
      <c r="D873" s="1">
        <v>1952.0</v>
      </c>
      <c r="E873" s="1" t="s">
        <v>627</v>
      </c>
      <c r="F873" s="1" t="s">
        <v>830</v>
      </c>
      <c r="G873" s="1" t="s">
        <v>227</v>
      </c>
      <c r="H873" s="1">
        <v>7.7</v>
      </c>
      <c r="I873" s="1" t="s">
        <v>5017</v>
      </c>
      <c r="K873" s="1" t="s">
        <v>1984</v>
      </c>
      <c r="L873" s="1" t="s">
        <v>1985</v>
      </c>
      <c r="M873" s="1" t="s">
        <v>3454</v>
      </c>
      <c r="N873" s="1" t="s">
        <v>5018</v>
      </c>
      <c r="O873" s="1" t="s">
        <v>3427</v>
      </c>
      <c r="P873" s="1">
        <v>34677.0</v>
      </c>
      <c r="Q873" s="3" t="str">
        <f>VLOOKUP(A873,Posters!A873:B1872,2)</f>
        <v>https://m.media-amazon.com/images/M/MV5BMWM1ZDhlM2MtNDNmMi00MDk4LTg5MjgtODE4ODk1MjYxOTIwXkEyXkFqcGdeQXVyNjc0MzMzNjA@._V1_UX67_CR0,0,67,98_AL_.jpg</v>
      </c>
    </row>
    <row r="874">
      <c r="A874" s="1">
        <v>873.0</v>
      </c>
      <c r="B874" s="1" t="s">
        <v>5019</v>
      </c>
      <c r="C874" s="2">
        <v>1200000.0</v>
      </c>
      <c r="D874" s="1">
        <v>1951.0</v>
      </c>
      <c r="E874" s="1" t="s">
        <v>52</v>
      </c>
      <c r="F874" s="1" t="s">
        <v>1588</v>
      </c>
      <c r="G874" s="1" t="s">
        <v>928</v>
      </c>
      <c r="H874" s="1">
        <v>7.7</v>
      </c>
      <c r="I874" s="1" t="s">
        <v>5020</v>
      </c>
      <c r="K874" s="1" t="s">
        <v>2749</v>
      </c>
      <c r="L874" s="1" t="s">
        <v>5021</v>
      </c>
      <c r="M874" s="1" t="s">
        <v>5022</v>
      </c>
      <c r="N874" s="1" t="s">
        <v>5023</v>
      </c>
      <c r="O874" s="1" t="s">
        <v>5024</v>
      </c>
      <c r="P874" s="1">
        <v>76315.0</v>
      </c>
      <c r="Q874" s="3" t="str">
        <f>VLOOKUP(A874,Posters!A874:B1873,2)</f>
        <v>https://m.media-amazon.com/images/M/MV5BMTU5NTBmYTAtOTgyYi00NGM0LWE0ODctZjNiYWM5MmIxYzE4XkEyXkFqcGdeQXVyNTAyODkwOQ@@._V1_UX67_CR0,0,67,98_AL_.jpg</v>
      </c>
    </row>
    <row r="875">
      <c r="A875" s="1">
        <v>874.0</v>
      </c>
      <c r="B875" s="1" t="s">
        <v>5025</v>
      </c>
      <c r="C875" s="2">
        <v>536118.0</v>
      </c>
      <c r="D875" s="1">
        <v>1951.0</v>
      </c>
      <c r="E875" s="1" t="s">
        <v>270</v>
      </c>
      <c r="F875" s="1" t="s">
        <v>487</v>
      </c>
      <c r="G875" s="1" t="s">
        <v>3922</v>
      </c>
      <c r="H875" s="1">
        <v>7.7</v>
      </c>
      <c r="I875" s="1" t="s">
        <v>5026</v>
      </c>
      <c r="J875" s="1">
        <v>91.0</v>
      </c>
      <c r="K875" s="1" t="s">
        <v>1346</v>
      </c>
      <c r="L875" s="1" t="s">
        <v>409</v>
      </c>
      <c r="M875" s="1" t="s">
        <v>3385</v>
      </c>
      <c r="N875" s="1" t="s">
        <v>5027</v>
      </c>
      <c r="O875" s="1" t="s">
        <v>5028</v>
      </c>
      <c r="P875" s="1">
        <v>71481.0</v>
      </c>
      <c r="Q875" s="3" t="str">
        <f>VLOOKUP(A875,Posters!A875:B1874,2)</f>
        <v>https://m.media-amazon.com/images/M/MV5BYzM3YjE2NGMtODY3Zi00NTY0LWE4Y2EtMTE5YzNmM2U1NTg2XkEyXkFqcGdeQXVyMTY5Nzc4MDY@._V1_UX67_CR0,0,67,98_AL_.jpg</v>
      </c>
    </row>
    <row r="876">
      <c r="A876" s="1">
        <v>875.0</v>
      </c>
      <c r="B876" s="1" t="s">
        <v>5029</v>
      </c>
      <c r="C876" s="2">
        <v>1.0E7</v>
      </c>
      <c r="D876" s="1">
        <v>1946.0</v>
      </c>
      <c r="E876" s="1" t="s">
        <v>2047</v>
      </c>
      <c r="F876" s="1" t="s">
        <v>343</v>
      </c>
      <c r="G876" s="1" t="s">
        <v>3458</v>
      </c>
      <c r="H876" s="1">
        <v>7.7</v>
      </c>
      <c r="I876" s="1" t="s">
        <v>5030</v>
      </c>
      <c r="K876" s="1" t="s">
        <v>5031</v>
      </c>
      <c r="L876" s="1" t="s">
        <v>5032</v>
      </c>
      <c r="M876" s="1" t="s">
        <v>5033</v>
      </c>
      <c r="N876" s="1" t="s">
        <v>620</v>
      </c>
      <c r="O876" s="1" t="s">
        <v>2801</v>
      </c>
      <c r="P876" s="1">
        <v>27991.0</v>
      </c>
      <c r="Q876" s="3" t="str">
        <f>VLOOKUP(A876,Posters!A876:B1875,2)</f>
        <v>https://m.media-amazon.com/images/M/MV5BYWUxMzViZTUtNTYxNy00YjY4LWJmMjYtMzNlOThjNjhiZmZkXkEyXkFqcGdeQXVyMDI2NDg0NQ@@._V1_UX67_CR0,0,67,98_AL_.jpg</v>
      </c>
    </row>
    <row r="877">
      <c r="A877" s="1">
        <v>876.0</v>
      </c>
      <c r="B877" s="1" t="s">
        <v>5034</v>
      </c>
      <c r="C877" s="2">
        <v>7.6408097E7</v>
      </c>
      <c r="D877" s="1">
        <v>1940.0</v>
      </c>
      <c r="E877" s="1" t="s">
        <v>414</v>
      </c>
      <c r="F877" s="1" t="s">
        <v>203</v>
      </c>
      <c r="G877" s="1" t="s">
        <v>1207</v>
      </c>
      <c r="H877" s="1">
        <v>7.7</v>
      </c>
      <c r="I877" s="1" t="s">
        <v>5035</v>
      </c>
      <c r="J877" s="1">
        <v>96.0</v>
      </c>
      <c r="K877" s="1" t="s">
        <v>5036</v>
      </c>
      <c r="L877" s="1" t="s">
        <v>5037</v>
      </c>
      <c r="M877" s="1" t="s">
        <v>5038</v>
      </c>
      <c r="N877" s="1" t="s">
        <v>5039</v>
      </c>
      <c r="O877" s="1" t="s">
        <v>5040</v>
      </c>
      <c r="P877" s="1">
        <v>88662.0</v>
      </c>
      <c r="Q877" s="3" t="str">
        <f>VLOOKUP(A877,Posters!A877:B1876,2)</f>
        <v>https://m.media-amazon.com/images/M/MV5BMjAxMTI1Njk3OF5BMl5BanBnXkFtZTgwNjkzODk4NTE@._V1_UX67_CR0,0,67,98_AL_.jpg</v>
      </c>
    </row>
    <row r="878">
      <c r="A878" s="1">
        <v>877.0</v>
      </c>
      <c r="B878" s="1" t="s">
        <v>5041</v>
      </c>
      <c r="C878" s="2">
        <v>27105.0</v>
      </c>
      <c r="D878" s="1">
        <v>1933.0</v>
      </c>
      <c r="E878" s="1" t="s">
        <v>2296</v>
      </c>
      <c r="F878" s="1" t="s">
        <v>5042</v>
      </c>
      <c r="G878" s="1" t="s">
        <v>581</v>
      </c>
      <c r="H878" s="1">
        <v>7.7</v>
      </c>
      <c r="I878" s="1" t="s">
        <v>5043</v>
      </c>
      <c r="J878" s="1">
        <v>87.0</v>
      </c>
      <c r="K878" s="1" t="s">
        <v>4277</v>
      </c>
      <c r="L878" s="1" t="s">
        <v>412</v>
      </c>
      <c r="M878" s="1" t="s">
        <v>5044</v>
      </c>
      <c r="N878" s="1" t="s">
        <v>5045</v>
      </c>
      <c r="O878" s="1" t="s">
        <v>4258</v>
      </c>
      <c r="P878" s="1">
        <v>30683.0</v>
      </c>
      <c r="Q878" s="3" t="str">
        <f>VLOOKUP(A878,Posters!A878:B1877,2)</f>
        <v>https://m.media-amazon.com/images/M/MV5BYjllMmE0Y2YtYWIwZi00OWY1LWJhNWItYzM2MmNiYmFiZmRmXkEyXkFqcGdeQXVyNjc1NTYyMjg@._V1_UX67_CR0,0,67,98_AL_.jpg</v>
      </c>
    </row>
    <row r="879">
      <c r="A879" s="1">
        <v>878.0</v>
      </c>
      <c r="B879" s="1" t="s">
        <v>5046</v>
      </c>
      <c r="C879" s="2">
        <v>1.1136084E7</v>
      </c>
      <c r="D879" s="1">
        <v>2019.0</v>
      </c>
      <c r="E879" s="1" t="s">
        <v>161</v>
      </c>
      <c r="F879" s="1" t="s">
        <v>428</v>
      </c>
      <c r="G879" s="1" t="s">
        <v>79</v>
      </c>
      <c r="H879" s="1">
        <v>7.6</v>
      </c>
      <c r="I879" s="1" t="s">
        <v>5047</v>
      </c>
      <c r="J879" s="1">
        <v>73.0</v>
      </c>
      <c r="K879" s="1" t="s">
        <v>5048</v>
      </c>
      <c r="L879" s="1" t="s">
        <v>481</v>
      </c>
      <c r="M879" s="1" t="s">
        <v>191</v>
      </c>
      <c r="N879" s="1" t="s">
        <v>23</v>
      </c>
      <c r="O879" s="1" t="s">
        <v>5049</v>
      </c>
      <c r="P879" s="1">
        <v>60408.0</v>
      </c>
      <c r="Q879" s="3" t="str">
        <f>VLOOKUP(A879,Posters!A879:B1878,2)</f>
        <v>https://m.media-amazon.com/images/M/MV5BODQ0M2Y5M2QtZGIwMC00MzJjLThlMzYtNmE3ZTMzZTYzOGEwXkEyXkFqcGdeQXVyMTkxNjUyNQ@@._V1_UX67_CR0,0,67,98_AL_.jpg</v>
      </c>
    </row>
    <row r="880">
      <c r="A880" s="1">
        <v>879.0</v>
      </c>
      <c r="B880" s="1" t="s">
        <v>5050</v>
      </c>
      <c r="C880" s="2">
        <v>2.6020957E7</v>
      </c>
      <c r="D880" s="1">
        <v>2018.0</v>
      </c>
      <c r="E880" s="1" t="s">
        <v>5051</v>
      </c>
      <c r="F880" s="1" t="s">
        <v>405</v>
      </c>
      <c r="G880" s="1" t="s">
        <v>527</v>
      </c>
      <c r="H880" s="1">
        <v>7.6</v>
      </c>
      <c r="I880" s="1" t="s">
        <v>5052</v>
      </c>
      <c r="J880" s="1">
        <v>71.0</v>
      </c>
      <c r="K880" s="1" t="s">
        <v>5053</v>
      </c>
      <c r="L880" s="1" t="s">
        <v>5054</v>
      </c>
      <c r="M880" s="1" t="s">
        <v>5055</v>
      </c>
      <c r="N880" s="1" t="s">
        <v>5056</v>
      </c>
      <c r="O880" s="1" t="s">
        <v>5057</v>
      </c>
      <c r="P880" s="1">
        <v>140840.0</v>
      </c>
      <c r="Q880" s="3" t="str">
        <f>VLOOKUP(A880,Posters!A880:B1879,2)</f>
        <v>https://m.media-amazon.com/images/M/MV5BMjIwOTA3NDI3MF5BMl5BanBnXkFtZTgwNzIzMzA5NTM@._V1_UX67_CR0,0,67,98_AL_.jpg</v>
      </c>
    </row>
    <row r="881">
      <c r="A881" s="1">
        <v>880.0</v>
      </c>
      <c r="B881" s="1" t="s">
        <v>5058</v>
      </c>
      <c r="C881" s="2">
        <v>1.42502728E8</v>
      </c>
      <c r="D881" s="1">
        <v>2019.0</v>
      </c>
      <c r="E881" s="1" t="s">
        <v>18</v>
      </c>
      <c r="F881" s="1" t="s">
        <v>115</v>
      </c>
      <c r="G881" s="1" t="s">
        <v>507</v>
      </c>
      <c r="H881" s="1">
        <v>7.6</v>
      </c>
      <c r="I881" s="1" t="s">
        <v>5059</v>
      </c>
      <c r="J881" s="1">
        <v>83.0</v>
      </c>
      <c r="K881" s="1" t="s">
        <v>72</v>
      </c>
      <c r="L881" s="1" t="s">
        <v>90</v>
      </c>
      <c r="M881" s="1" t="s">
        <v>98</v>
      </c>
      <c r="N881" s="1" t="s">
        <v>1080</v>
      </c>
      <c r="O881" s="1" t="s">
        <v>1606</v>
      </c>
      <c r="P881" s="1">
        <v>551309.0</v>
      </c>
      <c r="Q881" s="3" t="str">
        <f>VLOOKUP(A881,Posters!A881:B1880,2)</f>
        <v>https://m.media-amazon.com/images/M/MV5BOTg4ZTNkZmUtMzNlZi00YmFjLTk1MmUtNWQwNTM0YjcyNTNkXkEyXkFqcGdeQXVyNjg2NjQwMDQ@._V1_UX67_CR0,0,67,98_AL_.jpg</v>
      </c>
    </row>
    <row r="882">
      <c r="A882" s="1">
        <v>881.0</v>
      </c>
      <c r="B882" s="1" t="s">
        <v>5060</v>
      </c>
      <c r="C882" s="2">
        <v>566356.0</v>
      </c>
      <c r="D882" s="1">
        <v>2017.0</v>
      </c>
      <c r="E882" s="1" t="s">
        <v>212</v>
      </c>
      <c r="F882" s="1" t="s">
        <v>234</v>
      </c>
      <c r="G882" s="1" t="s">
        <v>20</v>
      </c>
      <c r="H882" s="1">
        <v>7.6</v>
      </c>
      <c r="I882" s="1" t="s">
        <v>5061</v>
      </c>
      <c r="J882" s="1">
        <v>86.0</v>
      </c>
      <c r="K882" s="1" t="s">
        <v>2417</v>
      </c>
      <c r="L882" s="1" t="s">
        <v>5062</v>
      </c>
      <c r="M882" s="1" t="s">
        <v>5063</v>
      </c>
      <c r="N882" s="1" t="s">
        <v>5064</v>
      </c>
      <c r="O882" s="1" t="s">
        <v>5065</v>
      </c>
      <c r="P882" s="1">
        <v>29765.0</v>
      </c>
      <c r="Q882" s="3" t="str">
        <f>VLOOKUP(A882,Posters!A882:B1881,2)</f>
        <v>https://m.media-amazon.com/images/M/MV5BNzk2NmU3NmEtMTVhNS00NzJhLWE1M2ItMThjZjI5NWM3YmFmXkEyXkFqcGdeQXVyMjA1MzUyODk@._V1_UY98_CR1,0,67,98_AL_.jpg</v>
      </c>
    </row>
    <row r="883">
      <c r="A883" s="1">
        <v>882.0</v>
      </c>
      <c r="B883" s="1" t="s">
        <v>5066</v>
      </c>
      <c r="C883" s="2">
        <v>5904366.0</v>
      </c>
      <c r="D883" s="1">
        <v>2017.0</v>
      </c>
      <c r="E883" s="1" t="s">
        <v>18</v>
      </c>
      <c r="F883" s="1" t="s">
        <v>1663</v>
      </c>
      <c r="G883" s="1" t="s">
        <v>20</v>
      </c>
      <c r="H883" s="1">
        <v>7.6</v>
      </c>
      <c r="I883" s="1" t="s">
        <v>5067</v>
      </c>
      <c r="J883" s="1">
        <v>92.0</v>
      </c>
      <c r="K883" s="1" t="s">
        <v>5068</v>
      </c>
      <c r="L883" s="1" t="s">
        <v>5069</v>
      </c>
      <c r="M883" s="1" t="s">
        <v>5070</v>
      </c>
      <c r="N883" s="1" t="s">
        <v>1825</v>
      </c>
      <c r="O883" s="1" t="s">
        <v>5071</v>
      </c>
      <c r="P883" s="1">
        <v>95181.0</v>
      </c>
      <c r="Q883" s="3" t="str">
        <f>VLOOKUP(A883,Posters!A883:B1882,2)</f>
        <v>https://m.media-amazon.com/images/M/MV5BMjg4ZmY1MmItMjFjOS00ZTg2LWJjNDYtNDM2YmM2NzhiNmZhXkEyXkFqcGdeQXVyNTAzMTY4MDA@._V1_UX67_CR0,0,67,98_AL_.jpg</v>
      </c>
    </row>
    <row r="884">
      <c r="A884" s="1">
        <v>883.0</v>
      </c>
      <c r="B884" s="1" t="s">
        <v>5072</v>
      </c>
      <c r="C884" s="2">
        <v>3.6001502E7</v>
      </c>
      <c r="D884" s="1">
        <v>2019.0</v>
      </c>
      <c r="E884" s="1" t="s">
        <v>18</v>
      </c>
      <c r="F884" s="1" t="s">
        <v>360</v>
      </c>
      <c r="G884" s="1" t="s">
        <v>137</v>
      </c>
      <c r="H884" s="1">
        <v>7.6</v>
      </c>
      <c r="I884" s="1" t="s">
        <v>5073</v>
      </c>
      <c r="J884" s="1">
        <v>68.0</v>
      </c>
      <c r="K884" s="1" t="s">
        <v>2221</v>
      </c>
      <c r="L884" s="1" t="s">
        <v>5074</v>
      </c>
      <c r="M884" s="1" t="s">
        <v>497</v>
      </c>
      <c r="N884" s="1" t="s">
        <v>1427</v>
      </c>
      <c r="O884" s="1" t="s">
        <v>5075</v>
      </c>
      <c r="P884" s="1">
        <v>46739.0</v>
      </c>
      <c r="Q884" s="3" t="str">
        <f>VLOOKUP(A884,Posters!A884:B1883,2)</f>
        <v>https://m.media-amazon.com/images/M/MV5BYmM4YzA5NjUtZGEyOS00YzllLWJmM2UtZjhhNmJhM2E1NjUxXkEyXkFqcGdeQXVyMTkxNjUyNQ@@._V1_UX67_CR0,0,67,98_AL_.jpg</v>
      </c>
    </row>
    <row r="885">
      <c r="A885" s="1">
        <v>884.0</v>
      </c>
      <c r="B885" s="1" t="s">
        <v>5076</v>
      </c>
      <c r="C885" s="2">
        <v>2.4801212E7</v>
      </c>
      <c r="D885" s="1">
        <v>2017.0</v>
      </c>
      <c r="E885" s="1" t="s">
        <v>161</v>
      </c>
      <c r="F885" s="1" t="s">
        <v>535</v>
      </c>
      <c r="G885" s="1" t="s">
        <v>20</v>
      </c>
      <c r="H885" s="1">
        <v>7.6</v>
      </c>
      <c r="I885" s="1" t="s">
        <v>5077</v>
      </c>
      <c r="J885" s="1">
        <v>60.0</v>
      </c>
      <c r="K885" s="1" t="s">
        <v>4465</v>
      </c>
      <c r="L885" s="1" t="s">
        <v>480</v>
      </c>
      <c r="M885" s="1" t="s">
        <v>5078</v>
      </c>
      <c r="N885" s="1" t="s">
        <v>5079</v>
      </c>
      <c r="O885" s="1" t="s">
        <v>2286</v>
      </c>
      <c r="P885" s="1">
        <v>99643.0</v>
      </c>
      <c r="Q885" s="3" t="str">
        <f>VLOOKUP(A885,Posters!A885:B1884,2)</f>
        <v>https://m.media-amazon.com/images/M/MV5BMjQ2NDU3NDE0M15BMl5BanBnXkFtZTgwMjA3OTg0MDI@._V1_UX67_CR0,0,67,98_AL_.jpg</v>
      </c>
    </row>
    <row r="886">
      <c r="A886" s="1">
        <v>885.0</v>
      </c>
      <c r="B886" s="1" t="s">
        <v>5080</v>
      </c>
      <c r="C886" s="2">
        <v>1.3122642E7</v>
      </c>
      <c r="D886" s="1">
        <v>2019.0</v>
      </c>
      <c r="E886" s="1" t="s">
        <v>161</v>
      </c>
      <c r="F886" s="1" t="s">
        <v>2864</v>
      </c>
      <c r="G886" s="1" t="s">
        <v>1004</v>
      </c>
      <c r="H886" s="1">
        <v>7.6</v>
      </c>
      <c r="I886" s="1" t="s">
        <v>5081</v>
      </c>
      <c r="J886" s="1">
        <v>70.0</v>
      </c>
      <c r="K886" s="1" t="s">
        <v>5082</v>
      </c>
      <c r="L886" s="1" t="s">
        <v>5083</v>
      </c>
      <c r="M886" s="1" t="s">
        <v>5084</v>
      </c>
      <c r="N886" s="1" t="s">
        <v>5085</v>
      </c>
      <c r="O886" s="1" t="s">
        <v>5086</v>
      </c>
      <c r="P886" s="1">
        <v>66346.0</v>
      </c>
      <c r="Q886" s="3" t="str">
        <f>VLOOKUP(A886,Posters!A886:B1885,2)</f>
        <v>https://m.media-amazon.com/images/M/MV5BOWVmZGQ0MGYtMDI1Yy00MDkxLWJiYjQtMmZjZmQ0NDFmMDRhXkEyXkFqcGdeQXVyNjg3MDMxNzU@._V1_UX67_CR0,0,67,98_AL_.jpg</v>
      </c>
    </row>
    <row r="887">
      <c r="A887" s="1">
        <v>886.0</v>
      </c>
      <c r="B887" s="1" t="s">
        <v>5087</v>
      </c>
      <c r="C887" s="2">
        <v>3192275.0</v>
      </c>
      <c r="D887" s="1">
        <v>2015.0</v>
      </c>
      <c r="E887" s="1">
        <v>16.0</v>
      </c>
      <c r="F887" s="1" t="s">
        <v>947</v>
      </c>
      <c r="G887" s="1" t="s">
        <v>2372</v>
      </c>
      <c r="H887" s="1">
        <v>7.6</v>
      </c>
      <c r="I887" s="1" t="s">
        <v>5088</v>
      </c>
      <c r="J887" s="1">
        <v>77.0</v>
      </c>
      <c r="K887" s="1" t="s">
        <v>5089</v>
      </c>
      <c r="L887" s="1" t="s">
        <v>5090</v>
      </c>
      <c r="M887" s="1" t="s">
        <v>5091</v>
      </c>
      <c r="N887" s="1" t="s">
        <v>5092</v>
      </c>
      <c r="O887" s="1" t="s">
        <v>5093</v>
      </c>
      <c r="P887" s="1">
        <v>52903.0</v>
      </c>
      <c r="Q887" s="3" t="str">
        <f>VLOOKUP(A887,Posters!A887:B1886,2)</f>
        <v>https://m.media-amazon.com/images/M/MV5BMTc5NzQzNjk2NF5BMl5BanBnXkFtZTgwODU0MjI5NjE@._V1_UY98_CR0,0,67,98_AL_.jpg</v>
      </c>
    </row>
    <row r="888">
      <c r="A888" s="1">
        <v>887.0</v>
      </c>
      <c r="B888" s="1" t="s">
        <v>5094</v>
      </c>
      <c r="C888" s="2">
        <v>845464.0</v>
      </c>
      <c r="D888" s="1">
        <v>2015.0</v>
      </c>
      <c r="E888" s="1" t="s">
        <v>161</v>
      </c>
      <c r="F888" s="1" t="s">
        <v>2864</v>
      </c>
      <c r="G888" s="1" t="s">
        <v>20</v>
      </c>
      <c r="H888" s="1">
        <v>7.6</v>
      </c>
      <c r="I888" s="1" t="s">
        <v>5095</v>
      </c>
      <c r="J888" s="1">
        <v>83.0</v>
      </c>
      <c r="K888" s="1" t="s">
        <v>5096</v>
      </c>
      <c r="L888" s="1" t="s">
        <v>5097</v>
      </c>
      <c r="M888" s="1" t="s">
        <v>5098</v>
      </c>
      <c r="N888" s="1" t="s">
        <v>5099</v>
      </c>
      <c r="O888" s="1" t="s">
        <v>5100</v>
      </c>
      <c r="P888" s="1">
        <v>35785.0</v>
      </c>
      <c r="Q888" s="3" t="str">
        <f>VLOOKUP(A888,Posters!A888:B1887,2)</f>
        <v>https://m.media-amazon.com/images/M/MV5BMTkwODUzODA0OV5BMl5BanBnXkFtZTgwMTA3ODkxNzE@._V1_UY98_CR0,0,67,98_AL_.jpg</v>
      </c>
    </row>
    <row r="889">
      <c r="A889" s="1">
        <v>888.0</v>
      </c>
      <c r="B889" s="1" t="s">
        <v>5101</v>
      </c>
      <c r="C889" s="2">
        <v>3.89813101E8</v>
      </c>
      <c r="D889" s="1">
        <v>2017.0</v>
      </c>
      <c r="E889" s="1" t="s">
        <v>37</v>
      </c>
      <c r="F889" s="1" t="s">
        <v>127</v>
      </c>
      <c r="G889" s="1" t="s">
        <v>1252</v>
      </c>
      <c r="H889" s="1">
        <v>7.6</v>
      </c>
      <c r="I889" s="1" t="s">
        <v>5102</v>
      </c>
      <c r="J889" s="1">
        <v>67.0</v>
      </c>
      <c r="K889" s="1" t="s">
        <v>2242</v>
      </c>
      <c r="L889" s="1" t="s">
        <v>2243</v>
      </c>
      <c r="M889" s="1" t="s">
        <v>2246</v>
      </c>
      <c r="N889" s="1" t="s">
        <v>2250</v>
      </c>
      <c r="O889" s="1" t="s">
        <v>2244</v>
      </c>
      <c r="P889" s="1">
        <v>569974.0</v>
      </c>
      <c r="Q889" s="3" t="str">
        <f>VLOOKUP(A889,Posters!A889:B1888,2)</f>
        <v>https://m.media-amazon.com/images/M/MV5BNjM0NTc0NzItM2FlYS00YzEwLWE0YmUtNTA2ZWIzODc2OTgxXkEyXkFqcGdeQXVyNTgwNzIyNzg@._V1_UX67_CR0,0,67,98_AL_.jpg</v>
      </c>
    </row>
    <row r="890">
      <c r="A890" s="1">
        <v>889.0</v>
      </c>
      <c r="B890" s="1" t="s">
        <v>5103</v>
      </c>
      <c r="C890" s="2">
        <v>1.07825862E8</v>
      </c>
      <c r="D890" s="1">
        <v>2017.0</v>
      </c>
      <c r="E890" s="1" t="s">
        <v>37</v>
      </c>
      <c r="F890" s="1" t="s">
        <v>543</v>
      </c>
      <c r="G890" s="1" t="s">
        <v>39</v>
      </c>
      <c r="H890" s="1">
        <v>7.6</v>
      </c>
      <c r="I890" s="1" t="s">
        <v>5104</v>
      </c>
      <c r="J890" s="1">
        <v>86.0</v>
      </c>
      <c r="K890" s="1" t="s">
        <v>3158</v>
      </c>
      <c r="L890" s="1" t="s">
        <v>4363</v>
      </c>
      <c r="M890" s="1" t="s">
        <v>1512</v>
      </c>
      <c r="N890" s="1" t="s">
        <v>5105</v>
      </c>
      <c r="O890" s="1" t="s">
        <v>5106</v>
      </c>
      <c r="P890" s="1">
        <v>439406.0</v>
      </c>
      <c r="Q890" s="3" t="str">
        <f>VLOOKUP(A890,Posters!A890:B1889,2)</f>
        <v>https://m.media-amazon.com/images/M/MV5BMjM3MjQ1MzkxNl5BMl5BanBnXkFtZTgwODk1ODgyMjI@._V1_UX67_CR0,0,67,98_AL_.jpg</v>
      </c>
    </row>
    <row r="891">
      <c r="A891" s="1">
        <v>890.0</v>
      </c>
      <c r="B891" s="1" t="s">
        <v>5107</v>
      </c>
      <c r="C891" s="2">
        <v>1.8340051E7</v>
      </c>
      <c r="D891" s="1">
        <v>2017.0</v>
      </c>
      <c r="E891" s="1" t="s">
        <v>37</v>
      </c>
      <c r="F891" s="1" t="s">
        <v>550</v>
      </c>
      <c r="G891" s="1" t="s">
        <v>458</v>
      </c>
      <c r="H891" s="1">
        <v>7.6</v>
      </c>
      <c r="I891" s="1" t="s">
        <v>5108</v>
      </c>
      <c r="J891" s="1">
        <v>72.0</v>
      </c>
      <c r="K891" s="1" t="s">
        <v>5109</v>
      </c>
      <c r="L891" s="1" t="s">
        <v>1616</v>
      </c>
      <c r="M891" s="1" t="s">
        <v>290</v>
      </c>
      <c r="N891" s="1" t="s">
        <v>1727</v>
      </c>
      <c r="O891" s="1" t="s">
        <v>742</v>
      </c>
      <c r="P891" s="1">
        <v>58371.0</v>
      </c>
      <c r="Q891" s="3" t="str">
        <f>VLOOKUP(A891,Posters!A891:B1890,2)</f>
        <v>https://m.media-amazon.com/images/M/MV5BYWFlOWI3YTMtYTk3NS00YWQ2LTlmYTMtZjk0ZDk4Y2NjODI0XkEyXkFqcGdeQXVyNTQxNTQ4Mg@@._V1_UX67_CR0,0,67,98_AL_.jpg</v>
      </c>
    </row>
    <row r="892">
      <c r="A892" s="1">
        <v>891.0</v>
      </c>
      <c r="B892" s="1" t="s">
        <v>5110</v>
      </c>
      <c r="C892" s="2">
        <v>7.2313754E7</v>
      </c>
      <c r="D892" s="1">
        <v>2015.0</v>
      </c>
      <c r="E892" s="1" t="s">
        <v>37</v>
      </c>
      <c r="F892" s="1" t="s">
        <v>19</v>
      </c>
      <c r="G892" s="1" t="s">
        <v>2593</v>
      </c>
      <c r="H892" s="1">
        <v>7.6</v>
      </c>
      <c r="I892" s="1" t="s">
        <v>5111</v>
      </c>
      <c r="J892" s="1">
        <v>81.0</v>
      </c>
      <c r="K892" s="1" t="s">
        <v>81</v>
      </c>
      <c r="L892" s="1" t="s">
        <v>110</v>
      </c>
      <c r="M892" s="1" t="s">
        <v>3540</v>
      </c>
      <c r="N892" s="1" t="s">
        <v>5112</v>
      </c>
      <c r="O892" s="1" t="s">
        <v>4485</v>
      </c>
      <c r="P892" s="1">
        <v>287659.0</v>
      </c>
      <c r="Q892" s="3" t="str">
        <f>VLOOKUP(A892,Posters!A892:B1891,2)</f>
        <v>https://m.media-amazon.com/images/M/MV5BMjIxOTI0MjU5NV5BMl5BanBnXkFtZTgwNzM4OTk4NTE@._V1_UX67_CR0,0,67,98_AL_.jpg</v>
      </c>
    </row>
    <row r="893">
      <c r="A893" s="1">
        <v>892.0</v>
      </c>
      <c r="B893" s="1" t="s">
        <v>5113</v>
      </c>
      <c r="C893" s="2">
        <v>6.08581744E8</v>
      </c>
      <c r="D893" s="1">
        <v>2018.0</v>
      </c>
      <c r="E893" s="1" t="s">
        <v>37</v>
      </c>
      <c r="F893" s="1" t="s">
        <v>240</v>
      </c>
      <c r="G893" s="1" t="s">
        <v>467</v>
      </c>
      <c r="H893" s="1">
        <v>7.6</v>
      </c>
      <c r="I893" s="1" t="s">
        <v>5114</v>
      </c>
      <c r="J893" s="1">
        <v>80.0</v>
      </c>
      <c r="K893" s="1" t="s">
        <v>2400</v>
      </c>
      <c r="L893" s="1" t="s">
        <v>2459</v>
      </c>
      <c r="M893" s="1" t="s">
        <v>2460</v>
      </c>
      <c r="N893" s="1" t="s">
        <v>5115</v>
      </c>
      <c r="O893" s="1" t="s">
        <v>5116</v>
      </c>
      <c r="P893" s="1">
        <v>250057.0</v>
      </c>
      <c r="Q893" s="3" t="str">
        <f>VLOOKUP(A893,Posters!A893:B1892,2)</f>
        <v>https://m.media-amazon.com/images/M/MV5BMTEzNzY0OTg0NTdeQTJeQWpwZ15BbWU4MDU3OTg3MjUz._V1_UX67_CR0,0,67,98_AL_.jpg</v>
      </c>
    </row>
    <row r="894">
      <c r="A894" s="1">
        <v>893.0</v>
      </c>
      <c r="B894" s="1" t="s">
        <v>5117</v>
      </c>
      <c r="C894" s="2">
        <v>2.48757044E8</v>
      </c>
      <c r="D894" s="1">
        <v>2016.0</v>
      </c>
      <c r="E894" s="1" t="s">
        <v>52</v>
      </c>
      <c r="F894" s="1" t="s">
        <v>907</v>
      </c>
      <c r="G894" s="1" t="s">
        <v>765</v>
      </c>
      <c r="H894" s="1">
        <v>7.6</v>
      </c>
      <c r="I894" s="1" t="s">
        <v>5118</v>
      </c>
      <c r="J894" s="1">
        <v>81.0</v>
      </c>
      <c r="K894" s="1" t="s">
        <v>2588</v>
      </c>
      <c r="L894" s="1" t="s">
        <v>2589</v>
      </c>
      <c r="M894" s="1" t="s">
        <v>3645</v>
      </c>
      <c r="N894" s="1" t="s">
        <v>3646</v>
      </c>
      <c r="O894" s="1" t="s">
        <v>5119</v>
      </c>
      <c r="P894" s="1">
        <v>272784.0</v>
      </c>
      <c r="Q894" s="3" t="str">
        <f>VLOOKUP(A894,Posters!A894:B1893,2)</f>
        <v>https://m.media-amazon.com/images/M/MV5BMjI4MzU5NTExNF5BMl5BanBnXkFtZTgwNzY1MTEwMDI@._V1_UX67_CR0,0,67,98_AL_.jpg</v>
      </c>
    </row>
    <row r="895">
      <c r="A895" s="1">
        <v>894.0</v>
      </c>
      <c r="B895" s="1" t="s">
        <v>5120</v>
      </c>
      <c r="C895" s="2">
        <v>4.6889293E7</v>
      </c>
      <c r="D895" s="1">
        <v>2015.0</v>
      </c>
      <c r="E895" s="1" t="s">
        <v>18</v>
      </c>
      <c r="F895" s="1" t="s">
        <v>249</v>
      </c>
      <c r="G895" s="1" t="s">
        <v>39</v>
      </c>
      <c r="H895" s="1">
        <v>7.6</v>
      </c>
      <c r="I895" s="1" t="s">
        <v>5121</v>
      </c>
      <c r="J895" s="1">
        <v>82.0</v>
      </c>
      <c r="K895" s="1" t="s">
        <v>688</v>
      </c>
      <c r="L895" s="1" t="s">
        <v>3039</v>
      </c>
      <c r="M895" s="1" t="s">
        <v>1616</v>
      </c>
      <c r="N895" s="1" t="s">
        <v>735</v>
      </c>
      <c r="O895" s="1" t="s">
        <v>1512</v>
      </c>
      <c r="P895" s="1">
        <v>371291.0</v>
      </c>
      <c r="Q895" s="3" t="str">
        <f>VLOOKUP(A895,Posters!A895:B1894,2)</f>
        <v>https://m.media-amazon.com/images/M/MV5BMjA5NjM3NTk1M15BMl5BanBnXkFtZTgwMzg1MzU2NjE@._V1_UX67_CR0,0,67,98_AL_.jpg</v>
      </c>
    </row>
    <row r="896">
      <c r="A896" s="1">
        <v>895.0</v>
      </c>
      <c r="B896" s="1" t="s">
        <v>5122</v>
      </c>
      <c r="C896" s="2">
        <v>1.09767581E8</v>
      </c>
      <c r="D896" s="1">
        <v>2015.0</v>
      </c>
      <c r="E896" s="1" t="s">
        <v>18</v>
      </c>
      <c r="F896" s="1" t="s">
        <v>153</v>
      </c>
      <c r="G896" s="1" t="s">
        <v>1622</v>
      </c>
      <c r="H896" s="1">
        <v>7.6</v>
      </c>
      <c r="I896" s="1" t="s">
        <v>5123</v>
      </c>
      <c r="J896" s="1">
        <v>82.0</v>
      </c>
      <c r="K896" s="1" t="s">
        <v>5124</v>
      </c>
      <c r="L896" s="1" t="s">
        <v>5074</v>
      </c>
      <c r="M896" s="1" t="s">
        <v>1893</v>
      </c>
      <c r="N896" s="1" t="s">
        <v>5125</v>
      </c>
      <c r="O896" s="1" t="s">
        <v>5126</v>
      </c>
      <c r="P896" s="1">
        <v>247666.0</v>
      </c>
      <c r="Q896" s="3" t="str">
        <f>VLOOKUP(A896,Posters!A896:B1895,2)</f>
        <v>https://m.media-amazon.com/images/M/MV5BNmZkYjQzY2QtNjdkNC00YjkzLTk5NjUtY2MyNDNiYTBhN2M2XkEyXkFqcGdeQXVyMjMwNDgzNjc@._V1_UX67_CR0,0,67,98_AL_.jpg</v>
      </c>
    </row>
    <row r="897">
      <c r="A897" s="1">
        <v>896.0</v>
      </c>
      <c r="B897" s="1" t="s">
        <v>5127</v>
      </c>
      <c r="C897" s="2">
        <v>1092800.0</v>
      </c>
      <c r="D897" s="1">
        <v>2014.0</v>
      </c>
      <c r="E897" s="1" t="s">
        <v>212</v>
      </c>
      <c r="F897" s="1" t="s">
        <v>1059</v>
      </c>
      <c r="G897" s="1" t="s">
        <v>29</v>
      </c>
      <c r="H897" s="1">
        <v>7.6</v>
      </c>
      <c r="I897" s="1" t="s">
        <v>5128</v>
      </c>
      <c r="J897" s="1">
        <v>92.0</v>
      </c>
      <c r="K897" s="1" t="s">
        <v>2417</v>
      </c>
      <c r="L897" s="1" t="s">
        <v>5129</v>
      </c>
      <c r="M897" s="1" t="s">
        <v>5130</v>
      </c>
      <c r="N897" s="1" t="s">
        <v>5131</v>
      </c>
      <c r="O897" s="1" t="s">
        <v>5132</v>
      </c>
      <c r="P897" s="1">
        <v>49397.0</v>
      </c>
      <c r="Q897" s="3" t="str">
        <f>VLOOKUP(A897,Posters!A897:B1896,2)</f>
        <v>https://m.media-amazon.com/images/M/MV5BYTYxZjQ2YTktNmVkMC00ZTY4LThkZmItMDc4MTJiYjVhZjM0L2ltYWdlXkEyXkFqcGdeQXVyMjgyNjk3MzE@._V1_UY98_CR1,0,67,98_AL_.jpg</v>
      </c>
    </row>
    <row r="898">
      <c r="A898" s="1">
        <v>897.0</v>
      </c>
      <c r="B898" s="1" t="s">
        <v>5133</v>
      </c>
      <c r="C898" s="2">
        <v>2.686245E7</v>
      </c>
      <c r="D898" s="1">
        <v>2016.0</v>
      </c>
      <c r="E898" s="1" t="s">
        <v>212</v>
      </c>
      <c r="F898" s="1" t="s">
        <v>405</v>
      </c>
      <c r="G898" s="1" t="s">
        <v>39</v>
      </c>
      <c r="H898" s="1">
        <v>7.6</v>
      </c>
      <c r="I898" s="1" t="s">
        <v>5134</v>
      </c>
      <c r="J898" s="1">
        <v>88.0</v>
      </c>
      <c r="K898" s="1" t="s">
        <v>5135</v>
      </c>
      <c r="L898" s="1" t="s">
        <v>3100</v>
      </c>
      <c r="M898" s="1" t="s">
        <v>4563</v>
      </c>
      <c r="N898" s="1" t="s">
        <v>1727</v>
      </c>
      <c r="O898" s="1" t="s">
        <v>5136</v>
      </c>
      <c r="P898" s="1">
        <v>204175.0</v>
      </c>
      <c r="Q898" s="3" t="str">
        <f>VLOOKUP(A898,Posters!A898:B1897,2)</f>
        <v>https://m.media-amazon.com/images/M/MV5BMTg4NDA1OTA5NF5BMl5BanBnXkFtZTgwMDQ2MDM5ODE@._V1_UX67_CR0,0,67,98_AL_.jpg</v>
      </c>
    </row>
    <row r="899">
      <c r="A899" s="1">
        <v>898.0</v>
      </c>
      <c r="B899" s="1" t="s">
        <v>5137</v>
      </c>
      <c r="C899" s="2">
        <v>3.7707719E7</v>
      </c>
      <c r="D899" s="1">
        <v>2013.0</v>
      </c>
      <c r="E899" s="1" t="s">
        <v>161</v>
      </c>
      <c r="F899" s="1" t="s">
        <v>519</v>
      </c>
      <c r="G899" s="1" t="s">
        <v>296</v>
      </c>
      <c r="H899" s="1">
        <v>7.6</v>
      </c>
      <c r="I899" s="1" t="s">
        <v>5138</v>
      </c>
      <c r="J899" s="1">
        <v>77.0</v>
      </c>
      <c r="K899" s="1" t="s">
        <v>5139</v>
      </c>
      <c r="L899" s="1" t="s">
        <v>2411</v>
      </c>
      <c r="M899" s="1" t="s">
        <v>5140</v>
      </c>
      <c r="N899" s="1" t="s">
        <v>5141</v>
      </c>
      <c r="O899" s="1" t="s">
        <v>5142</v>
      </c>
      <c r="P899" s="1">
        <v>94212.0</v>
      </c>
      <c r="Q899" s="3" t="str">
        <f>VLOOKUP(A899,Posters!A899:B1898,2)</f>
        <v>https://m.media-amazon.com/images/M/MV5BMjA5ODgyNzcxMV5BMl5BanBnXkFtZTgwMzkzOTYzMDE@._V1_UX67_CR0,0,67,98_AL_.jpg</v>
      </c>
    </row>
    <row r="900">
      <c r="A900" s="1">
        <v>899.0</v>
      </c>
      <c r="B900" s="1" t="s">
        <v>5143</v>
      </c>
      <c r="C900" s="2">
        <v>2.08545589E8</v>
      </c>
      <c r="D900" s="1">
        <v>2014.0</v>
      </c>
      <c r="E900" s="1" t="s">
        <v>37</v>
      </c>
      <c r="F900" s="1" t="s">
        <v>195</v>
      </c>
      <c r="G900" s="1" t="s">
        <v>62</v>
      </c>
      <c r="H900" s="1">
        <v>7.6</v>
      </c>
      <c r="I900" s="1" t="s">
        <v>5144</v>
      </c>
      <c r="J900" s="1">
        <v>79.0</v>
      </c>
      <c r="K900" s="1" t="s">
        <v>5145</v>
      </c>
      <c r="L900" s="1" t="s">
        <v>347</v>
      </c>
      <c r="M900" s="1" t="s">
        <v>5146</v>
      </c>
      <c r="N900" s="1" t="s">
        <v>3783</v>
      </c>
      <c r="O900" s="1" t="s">
        <v>5147</v>
      </c>
      <c r="P900" s="1">
        <v>411599.0</v>
      </c>
      <c r="Q900" s="3" t="str">
        <f>VLOOKUP(A900,Posters!A900:B1899,2)</f>
        <v>https://m.media-amazon.com/images/M/MV5BMTgwODk3NDc1N15BMl5BanBnXkFtZTgwNTc1NjQwMjE@._V1_UX67_CR0,0,67,98_AL_.jpg</v>
      </c>
    </row>
    <row r="901">
      <c r="A901" s="1">
        <v>900.0</v>
      </c>
      <c r="B901" s="1" t="s">
        <v>5148</v>
      </c>
      <c r="C901" s="2">
        <v>8779609.0</v>
      </c>
      <c r="D901" s="1">
        <v>2012.0</v>
      </c>
      <c r="E901" s="1">
        <v>16.0</v>
      </c>
      <c r="F901" s="1" t="s">
        <v>295</v>
      </c>
      <c r="G901" s="1" t="s">
        <v>544</v>
      </c>
      <c r="H901" s="1">
        <v>7.6</v>
      </c>
      <c r="I901" s="1" t="s">
        <v>5149</v>
      </c>
      <c r="K901" s="1" t="s">
        <v>1392</v>
      </c>
      <c r="L901" s="1" t="s">
        <v>1395</v>
      </c>
      <c r="M901" s="1" t="s">
        <v>5150</v>
      </c>
      <c r="N901" s="1" t="s">
        <v>2430</v>
      </c>
      <c r="O901" s="1" t="s">
        <v>5151</v>
      </c>
      <c r="P901" s="1">
        <v>57549.0</v>
      </c>
      <c r="Q901" s="3" t="str">
        <f>VLOOKUP(A901,Posters!A901:B1900,2)</f>
        <v>https://m.media-amazon.com/images/M/MV5BNGMxZjFkN2EtMDRiMS00ZTBjLWI0M2MtZWUyYjFhZGViZDJlXkEyXkFqcGdeQXVyMTMxODk2OTU@._V1_UX67_CR0,0,67,98_AL_.jpg</v>
      </c>
    </row>
    <row r="902">
      <c r="A902" s="1">
        <v>901.0</v>
      </c>
      <c r="B902" s="1" t="s">
        <v>5152</v>
      </c>
      <c r="C902" s="2">
        <v>4105123.0</v>
      </c>
      <c r="D902" s="1">
        <v>2011.0</v>
      </c>
      <c r="E902" s="1" t="s">
        <v>18</v>
      </c>
      <c r="F902" s="1" t="s">
        <v>535</v>
      </c>
      <c r="G902" s="1" t="s">
        <v>1214</v>
      </c>
      <c r="H902" s="1">
        <v>7.6</v>
      </c>
      <c r="I902" s="1" t="s">
        <v>5153</v>
      </c>
      <c r="J902" s="1">
        <v>73.0</v>
      </c>
      <c r="K902" s="1" t="s">
        <v>2227</v>
      </c>
      <c r="L902" s="1" t="s">
        <v>2228</v>
      </c>
      <c r="M902" s="1" t="s">
        <v>5154</v>
      </c>
      <c r="N902" s="1" t="s">
        <v>5155</v>
      </c>
      <c r="O902" s="1" t="s">
        <v>5156</v>
      </c>
      <c r="P902" s="1">
        <v>190531.0</v>
      </c>
      <c r="Q902" s="3" t="str">
        <f>VLOOKUP(A902,Posters!A902:B1901,2)</f>
        <v>https://m.media-amazon.com/images/M/MV5BZGIxODNjM2YtZjA5Mi00MjA5LTk2YjItODE0OWI5NThjNTBmXkEyXkFqcGdeQXVyNzQ1ODk3MTQ@._V1_UX67_CR0,0,67,98_AL_.jpg</v>
      </c>
    </row>
    <row r="903">
      <c r="A903" s="1">
        <v>902.0</v>
      </c>
      <c r="B903" s="1" t="s">
        <v>5157</v>
      </c>
      <c r="C903" s="2">
        <v>4.1003371E7</v>
      </c>
      <c r="D903" s="1">
        <v>2012.0</v>
      </c>
      <c r="E903" s="1" t="s">
        <v>18</v>
      </c>
      <c r="F903" s="1" t="s">
        <v>396</v>
      </c>
      <c r="G903" s="1" t="s">
        <v>39</v>
      </c>
      <c r="H903" s="1">
        <v>7.6</v>
      </c>
      <c r="I903" s="1" t="s">
        <v>5158</v>
      </c>
      <c r="J903" s="1">
        <v>68.0</v>
      </c>
      <c r="K903" s="1" t="s">
        <v>5159</v>
      </c>
      <c r="L903" s="1" t="s">
        <v>1542</v>
      </c>
      <c r="M903" s="1" t="s">
        <v>5160</v>
      </c>
      <c r="N903" s="1" t="s">
        <v>5161</v>
      </c>
      <c r="O903" s="1" t="s">
        <v>5162</v>
      </c>
      <c r="P903" s="1">
        <v>228132.0</v>
      </c>
      <c r="Q903" s="3" t="str">
        <f>VLOOKUP(A903,Posters!A903:B1902,2)</f>
        <v>https://m.media-amazon.com/images/M/MV5BMjMxNjU0ODU5Ml5BMl5BanBnXkFtZTcwNjI4MzAyOA@@._V1_UX67_CR0,0,67,98_AL_.jpg</v>
      </c>
    </row>
    <row r="904">
      <c r="A904" s="1">
        <v>903.0</v>
      </c>
      <c r="B904" s="1" t="s">
        <v>5163</v>
      </c>
      <c r="C904" s="2">
        <v>1.9202743E7</v>
      </c>
      <c r="D904" s="1">
        <v>2010.0</v>
      </c>
      <c r="E904" s="1" t="s">
        <v>52</v>
      </c>
      <c r="F904" s="1" t="s">
        <v>1882</v>
      </c>
      <c r="G904" s="1" t="s">
        <v>204</v>
      </c>
      <c r="H904" s="1">
        <v>7.6</v>
      </c>
      <c r="I904" s="1" t="s">
        <v>5164</v>
      </c>
      <c r="J904" s="1">
        <v>80.0</v>
      </c>
      <c r="K904" s="1" t="s">
        <v>4345</v>
      </c>
      <c r="L904" s="1" t="s">
        <v>1491</v>
      </c>
      <c r="M904" s="1" t="s">
        <v>5165</v>
      </c>
      <c r="N904" s="1" t="s">
        <v>453</v>
      </c>
      <c r="O904" s="1" t="s">
        <v>4502</v>
      </c>
      <c r="P904" s="1">
        <v>80939.0</v>
      </c>
      <c r="Q904" s="3" t="str">
        <f>VLOOKUP(A904,Posters!A904:B1903,2)</f>
        <v>https://m.media-amazon.com/images/M/MV5BZDY3ZGI0ZDAtMThlNy00MzAxLTg4YjAtNjkwYTkxNmQ4MjdlXkEyXkFqcGdeQXVyMTMxODk2OTU@._V1_UX67_CR0,0,67,98_AL_.jpg</v>
      </c>
    </row>
    <row r="905">
      <c r="A905" s="1">
        <v>904.0</v>
      </c>
      <c r="B905" s="1" t="s">
        <v>5166</v>
      </c>
      <c r="C905" s="2">
        <v>2.15288866E8</v>
      </c>
      <c r="D905" s="1">
        <v>2018.0</v>
      </c>
      <c r="E905" s="1" t="s">
        <v>37</v>
      </c>
      <c r="F905" s="1" t="s">
        <v>127</v>
      </c>
      <c r="G905" s="1" t="s">
        <v>1706</v>
      </c>
      <c r="H905" s="1">
        <v>7.6</v>
      </c>
      <c r="I905" s="1" t="s">
        <v>5167</v>
      </c>
      <c r="J905" s="1">
        <v>88.0</v>
      </c>
      <c r="K905" s="1" t="s">
        <v>2245</v>
      </c>
      <c r="L905" s="1" t="s">
        <v>5168</v>
      </c>
      <c r="M905" s="1" t="s">
        <v>2245</v>
      </c>
      <c r="N905" s="1" t="s">
        <v>3983</v>
      </c>
      <c r="O905" s="1" t="s">
        <v>5169</v>
      </c>
      <c r="P905" s="1">
        <v>334312.0</v>
      </c>
      <c r="Q905" s="3" t="str">
        <f>VLOOKUP(A905,Posters!A905:B1904,2)</f>
        <v>https://m.media-amazon.com/images/M/MV5BNmE5ZmE3OGItNTdlNC00YmMxLWEzNjctYzAwOGQ5ODg0OTI0XkEyXkFqcGdeQXVyMTMxODk2OTU@._V1_UX67_CR0,0,67,98_AL_.jpg</v>
      </c>
    </row>
    <row r="906">
      <c r="A906" s="1">
        <v>905.0</v>
      </c>
      <c r="B906" s="1" t="s">
        <v>5170</v>
      </c>
      <c r="C906" s="2">
        <v>1.71243005E8</v>
      </c>
      <c r="D906" s="1">
        <v>2010.0</v>
      </c>
      <c r="E906" s="1" t="s">
        <v>161</v>
      </c>
      <c r="F906" s="1" t="s">
        <v>343</v>
      </c>
      <c r="G906" s="1" t="s">
        <v>495</v>
      </c>
      <c r="H906" s="1">
        <v>7.6</v>
      </c>
      <c r="I906" s="1" t="s">
        <v>5171</v>
      </c>
      <c r="J906" s="1">
        <v>80.0</v>
      </c>
      <c r="K906" s="1" t="s">
        <v>1612</v>
      </c>
      <c r="L906" s="1" t="s">
        <v>1613</v>
      </c>
      <c r="M906" s="1" t="s">
        <v>1727</v>
      </c>
      <c r="N906" s="1" t="s">
        <v>215</v>
      </c>
      <c r="O906" s="1" t="s">
        <v>5172</v>
      </c>
      <c r="P906" s="1">
        <v>311822.0</v>
      </c>
      <c r="Q906" s="3" t="str">
        <f>VLOOKUP(A906,Posters!A906:B1905,2)</f>
        <v>https://m.media-amazon.com/images/M/MV5BODhkZDIzNjgtOTA5ZS00MmMzLWFkNjYtM2Y2MzFjN2FkNjAzL2ltYWdlXkEyXkFqcGdeQXVyNTAyODkwOQ@@._V1_UY98_CR1,0,67,98_AL_.jpg</v>
      </c>
    </row>
    <row r="907">
      <c r="A907" s="1">
        <v>906.0</v>
      </c>
      <c r="B907" s="1" t="s">
        <v>5173</v>
      </c>
      <c r="C907" s="2">
        <v>1008098.0</v>
      </c>
      <c r="D907" s="1">
        <v>2010.0</v>
      </c>
      <c r="E907" s="1" t="s">
        <v>212</v>
      </c>
      <c r="F907" s="1" t="s">
        <v>240</v>
      </c>
      <c r="G907" s="1" t="s">
        <v>107</v>
      </c>
      <c r="H907" s="1">
        <v>7.6</v>
      </c>
      <c r="I907" s="1" t="s">
        <v>5174</v>
      </c>
      <c r="J907" s="1">
        <v>65.0</v>
      </c>
      <c r="K907" s="1" t="s">
        <v>4520</v>
      </c>
      <c r="L907" s="1" t="s">
        <v>5175</v>
      </c>
      <c r="M907" s="1" t="s">
        <v>5176</v>
      </c>
      <c r="N907" s="1" t="s">
        <v>5177</v>
      </c>
      <c r="O907" s="1" t="s">
        <v>5178</v>
      </c>
      <c r="P907" s="1">
        <v>38491.0</v>
      </c>
      <c r="Q907" s="3" t="str">
        <f>VLOOKUP(A907,Posters!A907:B1906,2)</f>
        <v>https://m.media-amazon.com/images/M/MV5BNDY2OTE5MzE0Nl5BMl5BanBnXkFtZTcwNDAyOTc2NA@@._V1_UX67_CR0,0,67,98_AL_.jpg</v>
      </c>
    </row>
    <row r="908">
      <c r="A908" s="1">
        <v>907.0</v>
      </c>
      <c r="B908" s="1" t="s">
        <v>5179</v>
      </c>
      <c r="C908" s="2">
        <v>2.51513985E8</v>
      </c>
      <c r="D908" s="1">
        <v>2010.0</v>
      </c>
      <c r="E908" s="1" t="s">
        <v>52</v>
      </c>
      <c r="F908" s="1" t="s">
        <v>601</v>
      </c>
      <c r="G908" s="1" t="s">
        <v>5180</v>
      </c>
      <c r="H908" s="1">
        <v>7.6</v>
      </c>
      <c r="I908" s="1" t="s">
        <v>5181</v>
      </c>
      <c r="J908" s="1">
        <v>72.0</v>
      </c>
      <c r="K908" s="1" t="s">
        <v>5182</v>
      </c>
      <c r="L908" s="1" t="s">
        <v>5183</v>
      </c>
      <c r="M908" s="1" t="s">
        <v>3685</v>
      </c>
      <c r="N908" s="1" t="s">
        <v>5184</v>
      </c>
      <c r="O908" s="1" t="s">
        <v>5185</v>
      </c>
      <c r="P908" s="1">
        <v>500851.0</v>
      </c>
      <c r="Q908" s="3" t="str">
        <f>VLOOKUP(A908,Posters!A908:B1907,2)</f>
        <v>https://m.media-amazon.com/images/M/MV5BMTY3NjY0MTQ0Nl5BMl5BanBnXkFtZTcwMzQ2MTc0Mw@@._V1_UX67_CR0,0,67,98_AL_.jpg</v>
      </c>
    </row>
    <row r="909">
      <c r="A909" s="1">
        <v>908.0</v>
      </c>
      <c r="B909" s="1" t="s">
        <v>5186</v>
      </c>
      <c r="C909" s="2">
        <v>3.5014192E7</v>
      </c>
      <c r="D909" s="1">
        <v>2011.0</v>
      </c>
      <c r="E909" s="1" t="s">
        <v>212</v>
      </c>
      <c r="F909" s="1" t="s">
        <v>1439</v>
      </c>
      <c r="G909" s="1" t="s">
        <v>227</v>
      </c>
      <c r="H909" s="1">
        <v>7.6</v>
      </c>
      <c r="I909" s="1" t="s">
        <v>5187</v>
      </c>
      <c r="J909" s="1">
        <v>72.0</v>
      </c>
      <c r="K909" s="1" t="s">
        <v>5188</v>
      </c>
      <c r="L909" s="1" t="s">
        <v>91</v>
      </c>
      <c r="M909" s="1" t="s">
        <v>5189</v>
      </c>
      <c r="N909" s="1" t="s">
        <v>5161</v>
      </c>
      <c r="O909" s="1" t="s">
        <v>2287</v>
      </c>
      <c r="P909" s="1">
        <v>315426.0</v>
      </c>
      <c r="Q909" s="3" t="str">
        <f>VLOOKUP(A909,Posters!A909:B1908,2)</f>
        <v>https://m.media-amazon.com/images/M/MV5BNjg3ODQyNTIyN15BMl5BanBnXkFtZTcwMjUzNzM5NQ@@._V1_UX67_CR0,0,67,98_AL_.jpg</v>
      </c>
    </row>
    <row r="910">
      <c r="A910" s="1">
        <v>909.0</v>
      </c>
      <c r="B910" s="1" t="s">
        <v>5190</v>
      </c>
      <c r="C910" s="2">
        <v>4.8071303E7</v>
      </c>
      <c r="D910" s="1">
        <v>2010.0</v>
      </c>
      <c r="E910" s="1" t="s">
        <v>37</v>
      </c>
      <c r="F910" s="1" t="s">
        <v>466</v>
      </c>
      <c r="G910" s="1" t="s">
        <v>1029</v>
      </c>
      <c r="H910" s="1">
        <v>7.6</v>
      </c>
      <c r="I910" s="1" t="s">
        <v>5191</v>
      </c>
      <c r="J910" s="1">
        <v>66.0</v>
      </c>
      <c r="K910" s="1" t="s">
        <v>4357</v>
      </c>
      <c r="L910" s="1" t="s">
        <v>5192</v>
      </c>
      <c r="M910" s="1" t="s">
        <v>4629</v>
      </c>
      <c r="N910" s="1" t="s">
        <v>2202</v>
      </c>
      <c r="O910" s="1" t="s">
        <v>5193</v>
      </c>
      <c r="P910" s="1">
        <v>524081.0</v>
      </c>
      <c r="Q910" s="3" t="str">
        <f>VLOOKUP(A910,Posters!A910:B1909,2)</f>
        <v>https://m.media-amazon.com/images/M/MV5BMTMzNzEzMDYxM15BMl5BanBnXkFtZTcwMTc0NTMxMw@@._V1_UX67_CR0,0,67,98_AL_.jpg</v>
      </c>
    </row>
    <row r="911">
      <c r="A911" s="1">
        <v>910.0</v>
      </c>
      <c r="B911" s="1" t="s">
        <v>5194</v>
      </c>
      <c r="C911" s="2">
        <v>1.9305314E7</v>
      </c>
      <c r="D911" s="1">
        <v>2009.0</v>
      </c>
      <c r="E911" s="1" t="s">
        <v>212</v>
      </c>
      <c r="F911" s="1" t="s">
        <v>543</v>
      </c>
      <c r="G911" s="1" t="s">
        <v>5195</v>
      </c>
      <c r="H911" s="1">
        <v>7.6</v>
      </c>
      <c r="I911" s="1" t="s">
        <v>5196</v>
      </c>
      <c r="K911" s="1" t="s">
        <v>5197</v>
      </c>
      <c r="L911" s="1" t="s">
        <v>5198</v>
      </c>
      <c r="M911" s="1" t="s">
        <v>5199</v>
      </c>
      <c r="N911" s="1" t="s">
        <v>5200</v>
      </c>
      <c r="O911" s="1" t="s">
        <v>5201</v>
      </c>
      <c r="P911" s="1">
        <v>63882.0</v>
      </c>
      <c r="Q911" s="3" t="str">
        <f>VLOOKUP(A911,Posters!A911:B1910,2)</f>
        <v>https://m.media-amazon.com/images/M/MV5BMjI2ODE4ODAtMDA3MS00ODNkLTg4N2EtOGU0YjZmNGY4NjZlXkEyXkFqcGdeQXVyMTY5MDE5NA@@._V1_UY98_CR0,0,67,98_AL_.jpg</v>
      </c>
    </row>
    <row r="912">
      <c r="A912" s="1">
        <v>911.0</v>
      </c>
      <c r="B912" s="1" t="s">
        <v>5202</v>
      </c>
      <c r="C912" s="2">
        <v>7.5605492E7</v>
      </c>
      <c r="D912" s="1">
        <v>2011.0</v>
      </c>
      <c r="E912" s="1" t="s">
        <v>161</v>
      </c>
      <c r="F912" s="1" t="s">
        <v>153</v>
      </c>
      <c r="G912" s="1" t="s">
        <v>1020</v>
      </c>
      <c r="H912" s="1">
        <v>7.6</v>
      </c>
      <c r="I912" s="1" t="s">
        <v>5203</v>
      </c>
      <c r="J912" s="1">
        <v>87.0</v>
      </c>
      <c r="K912" s="1" t="s">
        <v>5204</v>
      </c>
      <c r="L912" s="1" t="s">
        <v>98</v>
      </c>
      <c r="M912" s="1" t="s">
        <v>111</v>
      </c>
      <c r="N912" s="1" t="s">
        <v>1079</v>
      </c>
      <c r="O912" s="1" t="s">
        <v>1593</v>
      </c>
      <c r="P912" s="1">
        <v>369529.0</v>
      </c>
      <c r="Q912" s="3" t="str">
        <f>VLOOKUP(A912,Posters!A912:B1911,2)</f>
        <v>https://m.media-amazon.com/images/M/MV5BMjAxOTU3Mzc1M15BMl5BanBnXkFtZTcwMzk1ODUzNg@@._V1_UX67_CR0,0,67,98_AL_.jpg</v>
      </c>
    </row>
    <row r="913">
      <c r="A913" s="1">
        <v>912.0</v>
      </c>
      <c r="B913" s="1" t="s">
        <v>5205</v>
      </c>
      <c r="C913" s="2">
        <v>3185812.0</v>
      </c>
      <c r="D913" s="1">
        <v>2011.0</v>
      </c>
      <c r="E913" s="1" t="s">
        <v>212</v>
      </c>
      <c r="F913" s="1" t="s">
        <v>1546</v>
      </c>
      <c r="G913" s="1" t="s">
        <v>1972</v>
      </c>
      <c r="H913" s="1">
        <v>7.6</v>
      </c>
      <c r="I913" s="1" t="s">
        <v>5206</v>
      </c>
      <c r="J913" s="1">
        <v>70.0</v>
      </c>
      <c r="K913" s="1" t="s">
        <v>3184</v>
      </c>
      <c r="L913" s="1" t="s">
        <v>5207</v>
      </c>
      <c r="M913" s="1" t="s">
        <v>5208</v>
      </c>
      <c r="N913" s="1" t="s">
        <v>5209</v>
      </c>
      <c r="O913" s="1" t="s">
        <v>3918</v>
      </c>
      <c r="P913" s="1">
        <v>138959.0</v>
      </c>
      <c r="Q913" s="3" t="str">
        <f>VLOOKUP(A913,Posters!A913:B1912,2)</f>
        <v>https://m.media-amazon.com/images/M/MV5BYmFmNjY5NDYtZjlhNi00YjQ5LTgzNzctNWRiNWUzNmIyNjc4XkEyXkFqcGdeQXVyMTMxODk2OTU@._V1_UY98_CR0,0,67,98_AL_.jpg</v>
      </c>
    </row>
    <row r="914">
      <c r="A914" s="1">
        <v>913.0</v>
      </c>
      <c r="B914" s="1" t="s">
        <v>5210</v>
      </c>
      <c r="C914" s="2">
        <v>7.5590286E7</v>
      </c>
      <c r="D914" s="1">
        <v>2009.0</v>
      </c>
      <c r="E914" s="1" t="s">
        <v>18</v>
      </c>
      <c r="F914" s="1" t="s">
        <v>351</v>
      </c>
      <c r="G914" s="1" t="s">
        <v>1260</v>
      </c>
      <c r="H914" s="1">
        <v>7.6</v>
      </c>
      <c r="I914" s="1" t="s">
        <v>5211</v>
      </c>
      <c r="J914" s="1">
        <v>73.0</v>
      </c>
      <c r="K914" s="1" t="s">
        <v>5212</v>
      </c>
      <c r="L914" s="1" t="s">
        <v>4446</v>
      </c>
      <c r="M914" s="1" t="s">
        <v>2176</v>
      </c>
      <c r="N914" s="1" t="s">
        <v>973</v>
      </c>
      <c r="O914" s="1" t="s">
        <v>5213</v>
      </c>
      <c r="P914" s="1">
        <v>520041.0</v>
      </c>
      <c r="Q914" s="3" t="str">
        <f>VLOOKUP(A914,Posters!A914:B1913,2)</f>
        <v>https://m.media-amazon.com/images/M/MV5BMTU5MDg0NTQ1N15BMl5BanBnXkFtZTcwMjA4Mjg3Mg@@._V1_UY98_CR1,0,67,98_AL_.jpg</v>
      </c>
    </row>
    <row r="915">
      <c r="A915" s="1">
        <v>914.0</v>
      </c>
      <c r="B915" s="1" t="s">
        <v>5214</v>
      </c>
      <c r="C915" s="2">
        <v>3.2350637E7</v>
      </c>
      <c r="D915" s="1">
        <v>2008.0</v>
      </c>
      <c r="E915" s="1">
        <v>16.0</v>
      </c>
      <c r="F915" s="1" t="s">
        <v>907</v>
      </c>
      <c r="G915" s="1" t="s">
        <v>1377</v>
      </c>
      <c r="H915" s="1">
        <v>7.6</v>
      </c>
      <c r="I915" s="1" t="s">
        <v>5215</v>
      </c>
      <c r="K915" s="1" t="s">
        <v>5216</v>
      </c>
      <c r="L915" s="1" t="s">
        <v>5217</v>
      </c>
      <c r="M915" s="1" t="s">
        <v>5091</v>
      </c>
      <c r="N915" s="1" t="s">
        <v>5218</v>
      </c>
      <c r="O915" s="1" t="s">
        <v>5219</v>
      </c>
      <c r="P915" s="1">
        <v>102742.0</v>
      </c>
      <c r="Q915" s="3" t="str">
        <f>VLOOKUP(A915,Posters!A915:B1914,2)</f>
        <v>https://m.media-amazon.com/images/M/MV5BMzc0ZmUyZjAtZThkMi00ZDY5LTg5YjctYmUwM2FiYjMyMDI5XkEyXkFqcGdeQXVyMTMxODk2OTU@._V1_UX67_CR0,0,67,98_AL_.jpg</v>
      </c>
    </row>
    <row r="916">
      <c r="A916" s="1">
        <v>915.0</v>
      </c>
      <c r="B916" s="1" t="s">
        <v>5220</v>
      </c>
      <c r="C916" s="2">
        <v>2.09028679E8</v>
      </c>
      <c r="D916" s="1">
        <v>2009.0</v>
      </c>
      <c r="E916" s="1" t="s">
        <v>161</v>
      </c>
      <c r="F916" s="1" t="s">
        <v>878</v>
      </c>
      <c r="G916" s="1" t="s">
        <v>5221</v>
      </c>
      <c r="H916" s="1">
        <v>7.6</v>
      </c>
      <c r="I916" s="1" t="s">
        <v>5222</v>
      </c>
      <c r="J916" s="1">
        <v>57.0</v>
      </c>
      <c r="K916" s="1" t="s">
        <v>733</v>
      </c>
      <c r="L916" s="1" t="s">
        <v>479</v>
      </c>
      <c r="M916" s="1" t="s">
        <v>3962</v>
      </c>
      <c r="N916" s="1" t="s">
        <v>1518</v>
      </c>
      <c r="O916" s="1" t="s">
        <v>5223</v>
      </c>
      <c r="P916" s="1">
        <v>583158.0</v>
      </c>
      <c r="Q916" s="3" t="str">
        <f>VLOOKUP(A916,Posters!A916:B1915,2)</f>
        <v>https://m.media-amazon.com/images/M/MV5BMTg0NjEwNjUxM15BMl5BanBnXkFtZTcwMzk0MjQ5Mg@@._V1_UX67_CR0,0,67,98_AL_.jpg</v>
      </c>
    </row>
    <row r="917">
      <c r="A917" s="1">
        <v>916.0</v>
      </c>
      <c r="B917" s="1" t="s">
        <v>5224</v>
      </c>
      <c r="C917" s="2">
        <v>2.55959475E8</v>
      </c>
      <c r="D917" s="1">
        <v>2009.0</v>
      </c>
      <c r="E917" s="1" t="s">
        <v>37</v>
      </c>
      <c r="F917" s="1" t="s">
        <v>830</v>
      </c>
      <c r="G917" s="1" t="s">
        <v>1020</v>
      </c>
      <c r="H917" s="1">
        <v>7.6</v>
      </c>
      <c r="I917" s="1" t="s">
        <v>5225</v>
      </c>
      <c r="J917" s="1">
        <v>53.0</v>
      </c>
      <c r="K917" s="1" t="s">
        <v>5226</v>
      </c>
      <c r="L917" s="1" t="s">
        <v>5227</v>
      </c>
      <c r="M917" s="1" t="s">
        <v>4433</v>
      </c>
      <c r="N917" s="1" t="s">
        <v>5228</v>
      </c>
      <c r="O917" s="1" t="s">
        <v>5229</v>
      </c>
      <c r="P917" s="1">
        <v>293266.0</v>
      </c>
      <c r="Q917" s="3" t="str">
        <f>VLOOKUP(A917,Posters!A917:B1916,2)</f>
        <v>https://m.media-amazon.com/images/M/MV5BMjEzOTE3ODM3OF5BMl5BanBnXkFtZTcwMzYyODI4Mg@@._V1_UX67_CR0,0,67,98_AL_.jpg</v>
      </c>
    </row>
    <row r="918">
      <c r="A918" s="1">
        <v>917.0</v>
      </c>
      <c r="B918" s="1" t="s">
        <v>5230</v>
      </c>
      <c r="C918" s="2">
        <v>9422422.0</v>
      </c>
      <c r="D918" s="1">
        <v>2007.0</v>
      </c>
      <c r="E918" s="1" t="s">
        <v>161</v>
      </c>
      <c r="F918" s="1" t="s">
        <v>647</v>
      </c>
      <c r="G918" s="1" t="s">
        <v>20</v>
      </c>
      <c r="H918" s="1">
        <v>7.6</v>
      </c>
      <c r="I918" s="1" t="s">
        <v>5231</v>
      </c>
      <c r="J918" s="1">
        <v>79.0</v>
      </c>
      <c r="K918" s="1" t="s">
        <v>1516</v>
      </c>
      <c r="L918" s="1" t="s">
        <v>5232</v>
      </c>
      <c r="M918" s="1" t="s">
        <v>5233</v>
      </c>
      <c r="N918" s="1" t="s">
        <v>5234</v>
      </c>
      <c r="O918" s="1" t="s">
        <v>5235</v>
      </c>
      <c r="P918" s="1">
        <v>41544.0</v>
      </c>
      <c r="Q918" s="3" t="str">
        <f>VLOOKUP(A918,Posters!A918:B1917,2)</f>
        <v>https://m.media-amazon.com/images/M/MV5BMTIzNTg3NzkzNV5BMl5BanBnXkFtZTcwNzMwMjU2MQ@@._V1_UX67_CR0,0,67,98_AL_.jpg</v>
      </c>
    </row>
    <row r="919">
      <c r="A919" s="1">
        <v>918.0</v>
      </c>
      <c r="B919" s="1" t="s">
        <v>5236</v>
      </c>
      <c r="C919" s="2">
        <v>6.9951824E7</v>
      </c>
      <c r="D919" s="1">
        <v>2008.0</v>
      </c>
      <c r="E919" s="1" t="s">
        <v>37</v>
      </c>
      <c r="F919" s="1" t="s">
        <v>678</v>
      </c>
      <c r="G919" s="1" t="s">
        <v>20</v>
      </c>
      <c r="H919" s="1">
        <v>7.6</v>
      </c>
      <c r="I919" s="1" t="s">
        <v>5237</v>
      </c>
      <c r="J919" s="1">
        <v>36.0</v>
      </c>
      <c r="K919" s="1" t="s">
        <v>2355</v>
      </c>
      <c r="L919" s="1" t="s">
        <v>2356</v>
      </c>
      <c r="M919" s="1" t="s">
        <v>5238</v>
      </c>
      <c r="N919" s="1" t="s">
        <v>973</v>
      </c>
      <c r="O919" s="1" t="s">
        <v>5239</v>
      </c>
      <c r="P919" s="1">
        <v>286770.0</v>
      </c>
      <c r="Q919" s="3" t="str">
        <f>VLOOKUP(A919,Posters!A919:B1918,2)</f>
        <v>https://m.media-amazon.com/images/M/MV5BMTU0NzY0MTY5OF5BMl5BanBnXkFtZTcwODY3MDEwMg@@._V1_UY98_CR3,0,67,98_AL_.jpg</v>
      </c>
    </row>
    <row r="920">
      <c r="A920" s="1">
        <v>919.0</v>
      </c>
      <c r="B920" s="1" t="s">
        <v>5240</v>
      </c>
      <c r="C920" s="2">
        <v>1.7114882E7</v>
      </c>
      <c r="D920" s="1">
        <v>2007.0</v>
      </c>
      <c r="E920" s="1" t="s">
        <v>212</v>
      </c>
      <c r="F920" s="1" t="s">
        <v>1439</v>
      </c>
      <c r="G920" s="1" t="s">
        <v>39</v>
      </c>
      <c r="H920" s="1">
        <v>7.6</v>
      </c>
      <c r="I920" s="1" t="s">
        <v>5241</v>
      </c>
      <c r="J920" s="1">
        <v>82.0</v>
      </c>
      <c r="K920" s="1" t="s">
        <v>5242</v>
      </c>
      <c r="L920" s="1" t="s">
        <v>3221</v>
      </c>
      <c r="M920" s="1" t="s">
        <v>66</v>
      </c>
      <c r="N920" s="1" t="s">
        <v>4727</v>
      </c>
      <c r="O920" s="1" t="s">
        <v>5243</v>
      </c>
      <c r="P920" s="1">
        <v>227760.0</v>
      </c>
      <c r="Q920" s="3" t="str">
        <f>VLOOKUP(A920,Posters!A920:B1919,2)</f>
        <v>https://m.media-amazon.com/images/M/MV5BMTcwMzU0OTY3NF5BMl5BanBnXkFtZTYwNzkwNjg2._V1_UX67_CR0,0,67,98_AL_.jpg</v>
      </c>
    </row>
    <row r="921">
      <c r="A921" s="1">
        <v>920.0</v>
      </c>
      <c r="B921" s="1" t="s">
        <v>5244</v>
      </c>
      <c r="C921" s="2">
        <v>3.8634938E7</v>
      </c>
      <c r="D921" s="1">
        <v>2007.0</v>
      </c>
      <c r="E921" s="1" t="s">
        <v>52</v>
      </c>
      <c r="F921" s="1" t="s">
        <v>234</v>
      </c>
      <c r="G921" s="1" t="s">
        <v>2629</v>
      </c>
      <c r="H921" s="1">
        <v>7.6</v>
      </c>
      <c r="I921" s="1" t="s">
        <v>5245</v>
      </c>
      <c r="J921" s="1">
        <v>66.0</v>
      </c>
      <c r="K921" s="1" t="s">
        <v>4357</v>
      </c>
      <c r="L921" s="1" t="s">
        <v>5246</v>
      </c>
      <c r="M921" s="1" t="s">
        <v>5247</v>
      </c>
      <c r="N921" s="1" t="s">
        <v>5248</v>
      </c>
      <c r="O921" s="1" t="s">
        <v>67</v>
      </c>
      <c r="P921" s="1">
        <v>255036.0</v>
      </c>
      <c r="Q921" s="3" t="str">
        <f>VLOOKUP(A921,Posters!A921:B1920,2)</f>
        <v>https://m.media-amazon.com/images/M/MV5BMjkyMTE1OTYwNF5BMl5BanBnXkFtZTcwMDIxODYzMw@@._V1_UX67_CR0,0,67,98_AL_.jpg</v>
      </c>
    </row>
    <row r="922">
      <c r="A922" s="1">
        <v>921.0</v>
      </c>
      <c r="B922" s="1" t="s">
        <v>5249</v>
      </c>
      <c r="C922" s="2">
        <v>686383.0</v>
      </c>
      <c r="D922" s="1">
        <v>2009.0</v>
      </c>
      <c r="E922" s="1" t="s">
        <v>52</v>
      </c>
      <c r="F922" s="1" t="s">
        <v>5042</v>
      </c>
      <c r="G922" s="1" t="s">
        <v>204</v>
      </c>
      <c r="H922" s="1">
        <v>7.6</v>
      </c>
      <c r="I922" s="1" t="s">
        <v>5250</v>
      </c>
      <c r="J922" s="1">
        <v>81.0</v>
      </c>
      <c r="K922" s="1" t="s">
        <v>1523</v>
      </c>
      <c r="L922" s="1" t="s">
        <v>5251</v>
      </c>
      <c r="M922" s="1" t="s">
        <v>5252</v>
      </c>
      <c r="N922" s="1" t="s">
        <v>1525</v>
      </c>
      <c r="O922" s="1" t="s">
        <v>5253</v>
      </c>
      <c r="P922" s="1">
        <v>31779.0</v>
      </c>
      <c r="Q922" s="3" t="str">
        <f>VLOOKUP(A922,Posters!A922:B1921,2)</f>
        <v>https://m.media-amazon.com/images/M/MV5BMjEzMjEzNTIzOF5BMl5BanBnXkFtZTcwMTg2MjAyMw@@._V1_UY98_CR0,0,67,98_AL_.jpg</v>
      </c>
    </row>
    <row r="923">
      <c r="A923" s="1">
        <v>922.0</v>
      </c>
      <c r="B923" s="1" t="s">
        <v>5254</v>
      </c>
      <c r="C923" s="2">
        <v>8.8513495E7</v>
      </c>
      <c r="D923" s="1">
        <v>2006.0</v>
      </c>
      <c r="E923" s="1" t="s">
        <v>212</v>
      </c>
      <c r="F923" s="1" t="s">
        <v>830</v>
      </c>
      <c r="G923" s="1" t="s">
        <v>235</v>
      </c>
      <c r="H923" s="1">
        <v>7.6</v>
      </c>
      <c r="I923" s="1" t="s">
        <v>5255</v>
      </c>
      <c r="J923" s="1">
        <v>76.0</v>
      </c>
      <c r="K923" s="1" t="s">
        <v>2611</v>
      </c>
      <c r="L923" s="1" t="s">
        <v>3799</v>
      </c>
      <c r="M923" s="1" t="s">
        <v>2384</v>
      </c>
      <c r="N923" s="1" t="s">
        <v>244</v>
      </c>
      <c r="O923" s="1" t="s">
        <v>1152</v>
      </c>
      <c r="P923" s="1">
        <v>339757.0</v>
      </c>
      <c r="Q923" s="3" t="str">
        <f>VLOOKUP(A923,Posters!A923:B1922,2)</f>
        <v>https://m.media-amazon.com/images/M/MV5BYjc4MjA2ZDgtOGY3YS00NDYzLTlmNTEtYWMxMzcwZjgzYWNjXkEyXkFqcGdeQXVyMTQxNzMzNDI@._V1_UX67_CR0,0,67,98_AL_.jpg</v>
      </c>
    </row>
    <row r="924">
      <c r="A924" s="1">
        <v>923.0</v>
      </c>
      <c r="B924" s="1" t="s">
        <v>5256</v>
      </c>
      <c r="C924" s="2">
        <v>2.0300218E7</v>
      </c>
      <c r="D924" s="1">
        <v>2007.0</v>
      </c>
      <c r="E924" s="1" t="s">
        <v>212</v>
      </c>
      <c r="F924" s="1" t="s">
        <v>825</v>
      </c>
      <c r="G924" s="1" t="s">
        <v>235</v>
      </c>
      <c r="H924" s="1">
        <v>7.6</v>
      </c>
      <c r="I924" s="1" t="s">
        <v>5257</v>
      </c>
      <c r="J924" s="1">
        <v>72.0</v>
      </c>
      <c r="K924" s="1" t="s">
        <v>753</v>
      </c>
      <c r="L924" s="1" t="s">
        <v>24</v>
      </c>
      <c r="M924" s="1" t="s">
        <v>1151</v>
      </c>
      <c r="N924" s="1" t="s">
        <v>3578</v>
      </c>
      <c r="O924" s="1" t="s">
        <v>5258</v>
      </c>
      <c r="P924" s="1">
        <v>250590.0</v>
      </c>
      <c r="Q924" s="3" t="str">
        <f>VLOOKUP(A924,Posters!A924:B1923,2)</f>
        <v>https://m.media-amazon.com/images/M/MV5BYmM2NDNiNGItMTRhMi00ZDA2LTgzOWMtZTE2ZjFhMDQ2M2U5XkEyXkFqcGdeQXVyNTAyODkwOQ@@._V1_UX67_CR0,0,67,98_AL_.jpg</v>
      </c>
    </row>
    <row r="925">
      <c r="A925" s="1">
        <v>924.0</v>
      </c>
      <c r="B925" s="1" t="s">
        <v>5259</v>
      </c>
      <c r="C925" s="2">
        <v>1.0301706E7</v>
      </c>
      <c r="D925" s="1">
        <v>2007.0</v>
      </c>
      <c r="E925" s="1" t="s">
        <v>161</v>
      </c>
      <c r="F925" s="1" t="s">
        <v>1059</v>
      </c>
      <c r="G925" s="1" t="s">
        <v>314</v>
      </c>
      <c r="H925" s="1">
        <v>7.6</v>
      </c>
      <c r="I925" s="1" t="s">
        <v>5260</v>
      </c>
      <c r="J925" s="1">
        <v>66.0</v>
      </c>
      <c r="K925" s="1" t="s">
        <v>5261</v>
      </c>
      <c r="L925" s="1" t="s">
        <v>4416</v>
      </c>
      <c r="M925" s="1" t="s">
        <v>5262</v>
      </c>
      <c r="N925" s="1" t="s">
        <v>5263</v>
      </c>
      <c r="O925" s="1" t="s">
        <v>2389</v>
      </c>
      <c r="P925" s="1">
        <v>82781.0</v>
      </c>
      <c r="Q925" s="3" t="str">
        <f>VLOOKUP(A925,Posters!A925:B1924,2)</f>
        <v>https://m.media-amazon.com/images/M/MV5BOTBmZDZkNWYtODIzYi00N2Y4LWFjMmMtNmM1OGYyNGVhYzUzXkEyXkFqcGdeQXVyNTAyODkwOQ@@._V1_UX67_CR0,0,67,98_AL_.jpg</v>
      </c>
    </row>
    <row r="926">
      <c r="A926" s="1">
        <v>925.0</v>
      </c>
      <c r="B926" s="1" t="s">
        <v>5264</v>
      </c>
      <c r="C926" s="2">
        <v>2.463373E7</v>
      </c>
      <c r="D926" s="1">
        <v>2006.0</v>
      </c>
      <c r="E926" s="1" t="s">
        <v>161</v>
      </c>
      <c r="F926" s="1" t="s">
        <v>647</v>
      </c>
      <c r="G926" s="1" t="s">
        <v>458</v>
      </c>
      <c r="H926" s="1">
        <v>7.6</v>
      </c>
      <c r="I926" s="1" t="s">
        <v>5265</v>
      </c>
      <c r="J926" s="1">
        <v>70.0</v>
      </c>
      <c r="K926" s="1" t="s">
        <v>5266</v>
      </c>
      <c r="L926" s="1" t="s">
        <v>3180</v>
      </c>
      <c r="M926" s="1" t="s">
        <v>5267</v>
      </c>
      <c r="N926" s="1" t="s">
        <v>5268</v>
      </c>
      <c r="O926" s="1" t="s">
        <v>5269</v>
      </c>
      <c r="P926" s="1">
        <v>72863.0</v>
      </c>
      <c r="Q926" s="3" t="str">
        <f>VLOOKUP(A926,Posters!A926:B1925,2)</f>
        <v>https://m.media-amazon.com/images/M/MV5BMTI5MjA2Mzk2M15BMl5BanBnXkFtZTcwODY1MDUzMQ@@._V1_UX67_CR0,0,67,98_AL_.jpg</v>
      </c>
    </row>
    <row r="927">
      <c r="A927" s="1">
        <v>926.0</v>
      </c>
      <c r="B927" s="1" t="s">
        <v>5270</v>
      </c>
      <c r="C927" s="2">
        <v>3.9868642E7</v>
      </c>
      <c r="D927" s="1">
        <v>2006.0</v>
      </c>
      <c r="E927" s="1" t="s">
        <v>52</v>
      </c>
      <c r="F927" s="1" t="s">
        <v>343</v>
      </c>
      <c r="G927" s="1" t="s">
        <v>3109</v>
      </c>
      <c r="H927" s="1">
        <v>7.6</v>
      </c>
      <c r="I927" s="1" t="s">
        <v>5271</v>
      </c>
      <c r="J927" s="1">
        <v>68.0</v>
      </c>
      <c r="K927" s="1" t="s">
        <v>5272</v>
      </c>
      <c r="L927" s="1" t="s">
        <v>99</v>
      </c>
      <c r="M927" s="1" t="s">
        <v>5273</v>
      </c>
      <c r="N927" s="1" t="s">
        <v>2437</v>
      </c>
      <c r="O927" s="1" t="s">
        <v>5274</v>
      </c>
      <c r="P927" s="1">
        <v>354728.0</v>
      </c>
      <c r="Q927" s="3" t="str">
        <f>VLOOKUP(A927,Posters!A927:B1926,2)</f>
        <v>https://m.media-amazon.com/images/M/MV5BY2VkMzZlZDAtNTkzNS00MDIzLWFmOTctMWQwZjQ1OWJiYzQ1XkEyXkFqcGdeQXVyNTIzOTk5ODM@._V1_UY98_CR1,0,67,98_AL_.jpg</v>
      </c>
    </row>
    <row r="928">
      <c r="A928" s="1">
        <v>927.0</v>
      </c>
      <c r="B928" s="1" t="s">
        <v>5275</v>
      </c>
      <c r="C928" s="2">
        <v>6013.0</v>
      </c>
      <c r="D928" s="1">
        <v>2004.0</v>
      </c>
      <c r="E928" s="1" t="s">
        <v>212</v>
      </c>
      <c r="F928" s="1" t="s">
        <v>2586</v>
      </c>
      <c r="G928" s="1" t="s">
        <v>241</v>
      </c>
      <c r="H928" s="1">
        <v>7.6</v>
      </c>
      <c r="I928" s="1" t="s">
        <v>5276</v>
      </c>
      <c r="J928" s="1">
        <v>52.0</v>
      </c>
      <c r="K928" s="1" t="s">
        <v>4508</v>
      </c>
      <c r="L928" s="1" t="s">
        <v>3622</v>
      </c>
      <c r="M928" s="1" t="s">
        <v>5277</v>
      </c>
      <c r="N928" s="1" t="s">
        <v>5278</v>
      </c>
      <c r="O928" s="1" t="s">
        <v>5279</v>
      </c>
      <c r="P928" s="1">
        <v>49728.0</v>
      </c>
      <c r="Q928" s="3" t="str">
        <f>VLOOKUP(A928,Posters!A928:B1927,2)</f>
        <v>https://m.media-amazon.com/images/M/MV5BMTI5Mzk1MDc2M15BMl5BanBnXkFtZTcwMjIzMDA0MQ@@._V1_UX67_CR0,0,67,98_AL_.jpg</v>
      </c>
    </row>
    <row r="929">
      <c r="A929" s="1">
        <v>928.0</v>
      </c>
      <c r="B929" s="1" t="s">
        <v>5280</v>
      </c>
      <c r="C929" s="2">
        <v>3.01959197E8</v>
      </c>
      <c r="D929" s="1">
        <v>2009.0</v>
      </c>
      <c r="E929" s="1" t="s">
        <v>37</v>
      </c>
      <c r="F929" s="1" t="s">
        <v>179</v>
      </c>
      <c r="G929" s="1" t="s">
        <v>5281</v>
      </c>
      <c r="H929" s="1">
        <v>7.6</v>
      </c>
      <c r="I929" s="1" t="s">
        <v>5282</v>
      </c>
      <c r="J929" s="1">
        <v>78.0</v>
      </c>
      <c r="K929" s="1" t="s">
        <v>1567</v>
      </c>
      <c r="L929" s="1" t="s">
        <v>1568</v>
      </c>
      <c r="M929" s="1" t="s">
        <v>1569</v>
      </c>
      <c r="N929" s="1" t="s">
        <v>1570</v>
      </c>
      <c r="O929" s="1" t="s">
        <v>1571</v>
      </c>
      <c r="P929" s="1">
        <v>474827.0</v>
      </c>
      <c r="Q929" s="3" t="str">
        <f>VLOOKUP(A929,Posters!A929:B1928,2)</f>
        <v>https://m.media-amazon.com/images/M/MV5BNzU3NDg4NTAyNV5BMl5BanBnXkFtZTcwOTg2ODg1Mg@@._V1_UX67_CR0,0,67,98_AL_.jpg</v>
      </c>
    </row>
    <row r="930">
      <c r="A930" s="1">
        <v>929.0</v>
      </c>
      <c r="B930" s="1">
        <v>300.0</v>
      </c>
      <c r="C930" s="2">
        <v>2.10614939E8</v>
      </c>
      <c r="D930" s="1">
        <v>2006.0</v>
      </c>
      <c r="E930" s="1" t="s">
        <v>18</v>
      </c>
      <c r="F930" s="1" t="s">
        <v>466</v>
      </c>
      <c r="G930" s="1" t="s">
        <v>956</v>
      </c>
      <c r="H930" s="1">
        <v>7.6</v>
      </c>
      <c r="I930" s="1" t="s">
        <v>5283</v>
      </c>
      <c r="J930" s="1">
        <v>52.0</v>
      </c>
      <c r="K930" s="1" t="s">
        <v>5284</v>
      </c>
      <c r="L930" s="1" t="s">
        <v>1601</v>
      </c>
      <c r="M930" s="1" t="s">
        <v>5285</v>
      </c>
      <c r="N930" s="1" t="s">
        <v>5286</v>
      </c>
      <c r="O930" s="1" t="s">
        <v>3621</v>
      </c>
      <c r="P930" s="1">
        <v>732876.0</v>
      </c>
      <c r="Q930" s="3" t="str">
        <f>VLOOKUP(A930,Posters!A930:B1929,2)</f>
        <v>https://m.media-amazon.com/images/M/MV5BNWMxYTZlOTUtZDExMi00YzZmLTkwYTMtZmM2MmRjZmQ3OGY4XkEyXkFqcGdeQXVyMTAwMzUyMzUy._V1_UX67_CR0,0,67,98_AL_.jpg</v>
      </c>
    </row>
    <row r="931">
      <c r="A931" s="1">
        <v>930.0</v>
      </c>
      <c r="B931" s="1" t="s">
        <v>5287</v>
      </c>
      <c r="C931" s="2">
        <v>2.3089926E7</v>
      </c>
      <c r="D931" s="1">
        <v>2005.0</v>
      </c>
      <c r="E931" s="1" t="s">
        <v>212</v>
      </c>
      <c r="F931" s="1" t="s">
        <v>144</v>
      </c>
      <c r="G931" s="1" t="s">
        <v>1399</v>
      </c>
      <c r="H931" s="1">
        <v>7.6</v>
      </c>
      <c r="I931" s="1" t="s">
        <v>5288</v>
      </c>
      <c r="J931" s="1">
        <v>72.0</v>
      </c>
      <c r="K931" s="1" t="s">
        <v>2671</v>
      </c>
      <c r="L931" s="1" t="s">
        <v>307</v>
      </c>
      <c r="M931" s="1" t="s">
        <v>5289</v>
      </c>
      <c r="N931" s="1" t="s">
        <v>1068</v>
      </c>
      <c r="O931" s="1" t="s">
        <v>2238</v>
      </c>
      <c r="P931" s="1">
        <v>206294.0</v>
      </c>
      <c r="Q931" s="3" t="str">
        <f>VLOOKUP(A931,Posters!A931:B1930,2)</f>
        <v>https://m.media-amazon.com/images/M/MV5BMjRjOTMwMDEtNTY4NS00OWRjLWI4ZWItZDgwYmZhMzlkYzgxXkEyXkFqcGdeQXVyODIxOTg5MTc@._V1_UY98_CR1,0,67,98_AL_.jpg</v>
      </c>
    </row>
    <row r="932">
      <c r="A932" s="1">
        <v>931.0</v>
      </c>
      <c r="B932" s="1" t="s">
        <v>5290</v>
      </c>
      <c r="C932" s="2">
        <v>1.07509799E8</v>
      </c>
      <c r="D932" s="1">
        <v>2009.0</v>
      </c>
      <c r="E932" s="1" t="s">
        <v>18</v>
      </c>
      <c r="F932" s="1" t="s">
        <v>1221</v>
      </c>
      <c r="G932" s="1" t="s">
        <v>254</v>
      </c>
      <c r="H932" s="1">
        <v>7.6</v>
      </c>
      <c r="I932" s="1" t="s">
        <v>5291</v>
      </c>
      <c r="J932" s="1">
        <v>56.0</v>
      </c>
      <c r="K932" s="1" t="s">
        <v>5284</v>
      </c>
      <c r="L932" s="1" t="s">
        <v>5292</v>
      </c>
      <c r="M932" s="1" t="s">
        <v>5293</v>
      </c>
      <c r="N932" s="1" t="s">
        <v>5294</v>
      </c>
      <c r="O932" s="1" t="s">
        <v>5295</v>
      </c>
      <c r="P932" s="1">
        <v>500799.0</v>
      </c>
      <c r="Q932" s="3" t="str">
        <f>VLOOKUP(A932,Posters!A932:B1931,2)</f>
        <v>https://m.media-amazon.com/images/M/MV5BY2IzNGNiODgtOWYzOS00OTI0LTgxZTUtOTA5OTQ5YmI3NGUzXkEyXkFqcGdeQXVyNjU0OTQ0OTY@._V1_UX67_CR0,0,67,98_AL_.jpg</v>
      </c>
    </row>
    <row r="933">
      <c r="A933" s="1">
        <v>932.0</v>
      </c>
      <c r="B933" s="1" t="s">
        <v>5296</v>
      </c>
      <c r="C933" s="2">
        <v>2.4149632E7</v>
      </c>
      <c r="D933" s="1">
        <v>2005.0</v>
      </c>
      <c r="E933" s="1" t="s">
        <v>212</v>
      </c>
      <c r="F933" s="1" t="s">
        <v>279</v>
      </c>
      <c r="G933" s="1" t="s">
        <v>39</v>
      </c>
      <c r="H933" s="1">
        <v>7.6</v>
      </c>
      <c r="I933" s="1" t="s">
        <v>5297</v>
      </c>
      <c r="J933" s="1">
        <v>62.0</v>
      </c>
      <c r="K933" s="1" t="s">
        <v>3961</v>
      </c>
      <c r="L933" s="1" t="s">
        <v>4629</v>
      </c>
      <c r="M933" s="1" t="s">
        <v>1642</v>
      </c>
      <c r="N933" s="1" t="s">
        <v>741</v>
      </c>
      <c r="O933" s="1" t="s">
        <v>5298</v>
      </c>
      <c r="P933" s="1">
        <v>294140.0</v>
      </c>
      <c r="Q933" s="3" t="str">
        <f>VLOOKUP(A933,Posters!A933:B1932,2)</f>
        <v>https://m.media-amazon.com/images/M/MV5BMTYzZWE3MDAtZjZkMi00MzhlLTlhZDUtNmI2Zjg3OWVlZWI0XkEyXkFqcGdeQXVyNDk3NzU2MTQ@._V1_UX67_CR0,0,67,98_AL_.jpg</v>
      </c>
    </row>
    <row r="934">
      <c r="A934" s="1">
        <v>933.0</v>
      </c>
      <c r="B934" s="1" t="s">
        <v>5299</v>
      </c>
      <c r="C934" s="2">
        <v>5.6000369E7</v>
      </c>
      <c r="D934" s="1">
        <v>2004.0</v>
      </c>
      <c r="E934" s="1" t="s">
        <v>37</v>
      </c>
      <c r="F934" s="1" t="s">
        <v>885</v>
      </c>
      <c r="G934" s="1" t="s">
        <v>397</v>
      </c>
      <c r="H934" s="1">
        <v>7.6</v>
      </c>
      <c r="I934" s="1" t="s">
        <v>5300</v>
      </c>
      <c r="J934" s="1">
        <v>46.0</v>
      </c>
      <c r="K934" s="1" t="s">
        <v>5301</v>
      </c>
      <c r="L934" s="1" t="s">
        <v>2631</v>
      </c>
      <c r="M934" s="1" t="s">
        <v>5302</v>
      </c>
      <c r="N934" s="1" t="s">
        <v>4094</v>
      </c>
      <c r="O934" s="1" t="s">
        <v>5303</v>
      </c>
      <c r="P934" s="1">
        <v>379020.0</v>
      </c>
      <c r="Q934" s="3" t="str">
        <f>VLOOKUP(A934,Posters!A934:B1933,2)</f>
        <v>https://m.media-amazon.com/images/M/MV5BMzQ2ZTBhNmEtZDBmYi00ODU0LTgzZmQtNmMxM2M4NzM1ZjE4XkEyXkFqcGdeQXVyNjE5MjUyOTM@._V1_UX67_CR0,0,67,98_AL_.jpg</v>
      </c>
    </row>
    <row r="935">
      <c r="A935" s="1">
        <v>934.0</v>
      </c>
      <c r="B935" s="1" t="s">
        <v>5304</v>
      </c>
      <c r="C935" s="2">
        <v>3081925.0</v>
      </c>
      <c r="D935" s="1">
        <v>2008.0</v>
      </c>
      <c r="E935" s="1" t="s">
        <v>212</v>
      </c>
      <c r="F935" s="1" t="s">
        <v>144</v>
      </c>
      <c r="G935" s="1" t="s">
        <v>20</v>
      </c>
      <c r="H935" s="1">
        <v>7.6</v>
      </c>
      <c r="I935" s="1" t="s">
        <v>5305</v>
      </c>
      <c r="J935" s="1">
        <v>67.0</v>
      </c>
      <c r="K935" s="1" t="s">
        <v>5306</v>
      </c>
      <c r="L935" s="1" t="s">
        <v>1593</v>
      </c>
      <c r="M935" s="1" t="s">
        <v>4544</v>
      </c>
      <c r="N935" s="1" t="s">
        <v>3579</v>
      </c>
      <c r="O935" s="1" t="s">
        <v>1608</v>
      </c>
      <c r="P935" s="1">
        <v>83158.0</v>
      </c>
      <c r="Q935" s="3" t="str">
        <f>VLOOKUP(A935,Posters!A935:B1934,2)</f>
        <v>https://m.media-amazon.com/images/M/MV5BMjA0MjIyOTI3MF5BMl5BanBnXkFtZTcwODM5NTY5MQ@@._V1_UX67_CR0,0,67,98_AL_.jpg</v>
      </c>
    </row>
    <row r="936">
      <c r="A936" s="1">
        <v>935.0</v>
      </c>
      <c r="B936" s="1" t="s">
        <v>5307</v>
      </c>
      <c r="C936" s="2">
        <v>697181.0</v>
      </c>
      <c r="D936" s="1">
        <v>2004.0</v>
      </c>
      <c r="E936" s="1" t="s">
        <v>212</v>
      </c>
      <c r="F936" s="1" t="s">
        <v>487</v>
      </c>
      <c r="G936" s="1" t="s">
        <v>20</v>
      </c>
      <c r="H936" s="1">
        <v>7.6</v>
      </c>
      <c r="I936" s="1" t="s">
        <v>5308</v>
      </c>
      <c r="J936" s="1">
        <v>73.0</v>
      </c>
      <c r="K936" s="1" t="s">
        <v>5309</v>
      </c>
      <c r="L936" s="1" t="s">
        <v>5310</v>
      </c>
      <c r="M936" s="1" t="s">
        <v>91</v>
      </c>
      <c r="N936" s="1" t="s">
        <v>5311</v>
      </c>
      <c r="O936" s="1" t="s">
        <v>5312</v>
      </c>
      <c r="P936" s="1">
        <v>65939.0</v>
      </c>
      <c r="Q936" s="3" t="str">
        <f>VLOOKUP(A936,Posters!A936:B1935,2)</f>
        <v>https://m.media-amazon.com/images/M/MV5BMTgxMjQ4NzE5OF5BMl5BanBnXkFtZTcwNzkwOTkyMQ@@._V1_UX67_CR0,0,67,98_AL_.jpg</v>
      </c>
    </row>
    <row r="937">
      <c r="A937" s="1">
        <v>936.0</v>
      </c>
      <c r="B937" s="1" t="s">
        <v>5313</v>
      </c>
      <c r="C937" s="2">
        <v>548707.0</v>
      </c>
      <c r="D937" s="1">
        <v>2003.0</v>
      </c>
      <c r="E937" s="1" t="s">
        <v>212</v>
      </c>
      <c r="F937" s="1" t="s">
        <v>1521</v>
      </c>
      <c r="G937" s="1" t="s">
        <v>227</v>
      </c>
      <c r="H937" s="1">
        <v>7.6</v>
      </c>
      <c r="I937" s="1" t="s">
        <v>5314</v>
      </c>
      <c r="J937" s="1">
        <v>45.0</v>
      </c>
      <c r="K937" s="1" t="s">
        <v>5315</v>
      </c>
      <c r="L937" s="1" t="s">
        <v>4538</v>
      </c>
      <c r="M937" s="1" t="s">
        <v>4416</v>
      </c>
      <c r="N937" s="1" t="s">
        <v>5316</v>
      </c>
      <c r="O937" s="1" t="s">
        <v>5317</v>
      </c>
      <c r="P937" s="1">
        <v>67360.0</v>
      </c>
      <c r="Q937" s="3" t="str">
        <f>VLOOKUP(A937,Posters!A937:B1936,2)</f>
        <v>https://m.media-amazon.com/images/M/MV5BNjIwOGJhY2QtMTA5Yi00MDhlLWE5OTgtYmIzZDNlM2UwZjMyXkEyXkFqcGdeQXVyNTA4NzY1MzY@._V1_UX67_CR0,0,67,98_AL_.jpg</v>
      </c>
    </row>
    <row r="938">
      <c r="A938" s="1">
        <v>937.0</v>
      </c>
      <c r="B938" s="1" t="s">
        <v>5318</v>
      </c>
      <c r="C938" s="2">
        <v>6167817.0</v>
      </c>
      <c r="D938" s="1">
        <v>2004.0</v>
      </c>
      <c r="E938" s="1" t="s">
        <v>52</v>
      </c>
      <c r="F938" s="1" t="s">
        <v>153</v>
      </c>
      <c r="G938" s="1" t="s">
        <v>1051</v>
      </c>
      <c r="H938" s="1">
        <v>7.6</v>
      </c>
      <c r="I938" s="1" t="s">
        <v>5319</v>
      </c>
      <c r="J938" s="1">
        <v>76.0</v>
      </c>
      <c r="K938" s="1" t="s">
        <v>725</v>
      </c>
      <c r="L938" s="1" t="s">
        <v>726</v>
      </c>
      <c r="M938" s="1" t="s">
        <v>5320</v>
      </c>
      <c r="N938" s="1" t="s">
        <v>244</v>
      </c>
      <c r="O938" s="1" t="s">
        <v>5321</v>
      </c>
      <c r="P938" s="1">
        <v>70925.0</v>
      </c>
      <c r="Q938" s="3" t="str">
        <f>VLOOKUP(A938,Posters!A938:B1937,2)</f>
        <v>https://m.media-amazon.com/images/M/MV5BZWI4ZTgwMzktNjk3Yy00OTlhLTg3YTAtMTA1MWVlMWJiOTRiXkEyXkFqcGdeQXVyMTAwMzUyOTc@._V1_UX67_CR0,0,67,98_AL_.jpg</v>
      </c>
    </row>
    <row r="939">
      <c r="A939" s="1">
        <v>938.0</v>
      </c>
      <c r="B939" s="1" t="s">
        <v>5322</v>
      </c>
      <c r="C939" s="2">
        <v>5739376.0</v>
      </c>
      <c r="D939" s="1">
        <v>2003.0</v>
      </c>
      <c r="E939" s="1" t="s">
        <v>212</v>
      </c>
      <c r="F939" s="1" t="s">
        <v>374</v>
      </c>
      <c r="G939" s="1" t="s">
        <v>507</v>
      </c>
      <c r="H939" s="1">
        <v>7.6</v>
      </c>
      <c r="I939" s="1" t="s">
        <v>5323</v>
      </c>
      <c r="J939" s="1">
        <v>81.0</v>
      </c>
      <c r="K939" s="1" t="s">
        <v>1516</v>
      </c>
      <c r="L939" s="1" t="s">
        <v>5324</v>
      </c>
      <c r="M939" s="1" t="s">
        <v>5325</v>
      </c>
      <c r="N939" s="1" t="s">
        <v>5326</v>
      </c>
      <c r="O939" s="1" t="s">
        <v>5327</v>
      </c>
      <c r="P939" s="1">
        <v>67370.0</v>
      </c>
      <c r="Q939" s="3" t="str">
        <f>VLOOKUP(A939,Posters!A939:B1938,2)</f>
        <v>https://m.media-amazon.com/images/M/MV5BMTUzNDgyMzg3Ml5BMl5BanBnXkFtZTcwMzIxNTAwMQ@@._V1_UX67_CR0,0,67,98_AL_.jpg</v>
      </c>
    </row>
    <row r="940">
      <c r="A940" s="1">
        <v>939.0</v>
      </c>
      <c r="B940" s="1" t="s">
        <v>5328</v>
      </c>
      <c r="C940" s="2">
        <v>1.6290476E7</v>
      </c>
      <c r="D940" s="1">
        <v>2003.0</v>
      </c>
      <c r="E940" s="1" t="s">
        <v>37</v>
      </c>
      <c r="F940" s="1" t="s">
        <v>144</v>
      </c>
      <c r="G940" s="1" t="s">
        <v>241</v>
      </c>
      <c r="H940" s="1">
        <v>7.6</v>
      </c>
      <c r="I940" s="1" t="s">
        <v>5329</v>
      </c>
      <c r="J940" s="1">
        <v>70.0</v>
      </c>
      <c r="K940" s="1" t="s">
        <v>1677</v>
      </c>
      <c r="L940" s="1" t="s">
        <v>1605</v>
      </c>
      <c r="M940" s="1" t="s">
        <v>735</v>
      </c>
      <c r="N940" s="1" t="s">
        <v>3221</v>
      </c>
      <c r="O940" s="1" t="s">
        <v>5330</v>
      </c>
      <c r="P940" s="1">
        <v>224545.0</v>
      </c>
      <c r="Q940" s="3" t="str">
        <f>VLOOKUP(A940,Posters!A940:B1939,2)</f>
        <v>https://m.media-amazon.com/images/M/MV5BMjA4MjI2OTM5N15BMl5BanBnXkFtZTcwNDA1NjUzMw@@._V1_UX67_CR0,0,67,98_AL_.jpg</v>
      </c>
    </row>
    <row r="941">
      <c r="A941" s="1">
        <v>940.0</v>
      </c>
      <c r="B941" s="1" t="s">
        <v>5331</v>
      </c>
      <c r="C941" s="2">
        <v>45289.0</v>
      </c>
      <c r="D941" s="1">
        <v>2002.0</v>
      </c>
      <c r="E941" s="1" t="s">
        <v>212</v>
      </c>
      <c r="F941" s="1" t="s">
        <v>830</v>
      </c>
      <c r="G941" s="1" t="s">
        <v>241</v>
      </c>
      <c r="H941" s="1">
        <v>7.6</v>
      </c>
      <c r="I941" s="1" t="s">
        <v>5332</v>
      </c>
      <c r="J941" s="1">
        <v>56.0</v>
      </c>
      <c r="K941" s="1" t="s">
        <v>537</v>
      </c>
      <c r="L941" s="1" t="s">
        <v>174</v>
      </c>
      <c r="M941" s="1" t="s">
        <v>5333</v>
      </c>
      <c r="N941" s="1" t="s">
        <v>5334</v>
      </c>
      <c r="O941" s="1" t="s">
        <v>5335</v>
      </c>
      <c r="P941" s="1">
        <v>62659.0</v>
      </c>
      <c r="Q941" s="3" t="str">
        <f>VLOOKUP(A941,Posters!A941:B1940,2)</f>
        <v>https://m.media-amazon.com/images/M/MV5BYmNlNDVjMWUtZDZjNS00YTBmLWE3NGUtNDcxMzE0YTQ2ODMxXkEyXkFqcGdeQXVyMTMxODk2OTU@._V1_UX67_CR0,0,67,98_AL_.jpg</v>
      </c>
    </row>
    <row r="942">
      <c r="A942" s="1">
        <v>941.0</v>
      </c>
      <c r="B942" s="1" t="s">
        <v>5336</v>
      </c>
      <c r="C942" s="2">
        <v>5.1680613E7</v>
      </c>
      <c r="D942" s="1">
        <v>2004.0</v>
      </c>
      <c r="E942" s="1" t="s">
        <v>52</v>
      </c>
      <c r="F942" s="1" t="s">
        <v>286</v>
      </c>
      <c r="G942" s="1" t="s">
        <v>1580</v>
      </c>
      <c r="H942" s="1">
        <v>7.6</v>
      </c>
      <c r="I942" s="1" t="s">
        <v>5337</v>
      </c>
      <c r="J942" s="1">
        <v>67.0</v>
      </c>
      <c r="K942" s="1" t="s">
        <v>5338</v>
      </c>
      <c r="L942" s="1" t="s">
        <v>2451</v>
      </c>
      <c r="M942" s="1" t="s">
        <v>719</v>
      </c>
      <c r="N942" s="1" t="s">
        <v>2757</v>
      </c>
      <c r="O942" s="1" t="s">
        <v>4598</v>
      </c>
      <c r="P942" s="1">
        <v>198677.0</v>
      </c>
      <c r="Q942" s="3" t="str">
        <f>VLOOKUP(A942,Posters!A942:B1941,2)</f>
        <v>https://m.media-amazon.com/images/M/MV5BMTMxNzYzNzUzMV5BMl5BanBnXkFtZTYwNjcwMjE3._V1_UX67_CR0,0,67,98_AL_.jpg</v>
      </c>
    </row>
    <row r="943">
      <c r="A943" s="1">
        <v>942.0</v>
      </c>
      <c r="B943" s="1" t="s">
        <v>5339</v>
      </c>
      <c r="C943" s="2">
        <v>1.3060843E7</v>
      </c>
      <c r="D943" s="1">
        <v>2002.0</v>
      </c>
      <c r="E943" s="1" t="s">
        <v>212</v>
      </c>
      <c r="F943" s="1" t="s">
        <v>1044</v>
      </c>
      <c r="G943" s="1" t="s">
        <v>20</v>
      </c>
      <c r="H943" s="1">
        <v>7.6</v>
      </c>
      <c r="I943" s="1" t="s">
        <v>5340</v>
      </c>
      <c r="J943" s="1">
        <v>68.0</v>
      </c>
      <c r="K943" s="1" t="s">
        <v>2611</v>
      </c>
      <c r="L943" s="1" t="s">
        <v>99</v>
      </c>
      <c r="M943" s="1" t="s">
        <v>5341</v>
      </c>
      <c r="N943" s="1" t="s">
        <v>1593</v>
      </c>
      <c r="O943" s="1" t="s">
        <v>5238</v>
      </c>
      <c r="P943" s="1">
        <v>169708.0</v>
      </c>
      <c r="Q943" s="3" t="str">
        <f>VLOOKUP(A943,Posters!A943:B1942,2)</f>
        <v>https://m.media-amazon.com/images/M/MV5BNmE0YjdlYTktMTU4Ni00Mjk2LWI3NWMtM2RjNmFiOTk4YjYxL2ltYWdlXkEyXkFqcGdeQXVyNTAyODkwOQ@@._V1_UY98_CR1,0,67,98_AL_.jpg</v>
      </c>
    </row>
    <row r="944">
      <c r="A944" s="1">
        <v>943.0</v>
      </c>
      <c r="B944" s="1" t="s">
        <v>5342</v>
      </c>
      <c r="C944" s="2">
        <v>5.7938693E7</v>
      </c>
      <c r="D944" s="1">
        <v>2004.0</v>
      </c>
      <c r="E944" s="1" t="s">
        <v>52</v>
      </c>
      <c r="F944" s="1" t="s">
        <v>543</v>
      </c>
      <c r="G944" s="1" t="s">
        <v>3959</v>
      </c>
      <c r="H944" s="1">
        <v>7.6</v>
      </c>
      <c r="I944" s="1" t="s">
        <v>5343</v>
      </c>
      <c r="J944" s="1">
        <v>30.0</v>
      </c>
      <c r="K944" s="1" t="s">
        <v>5344</v>
      </c>
      <c r="L944" s="1" t="s">
        <v>5345</v>
      </c>
      <c r="M944" s="1" t="s">
        <v>5346</v>
      </c>
      <c r="N944" s="1" t="s">
        <v>5347</v>
      </c>
      <c r="O944" s="1" t="s">
        <v>5348</v>
      </c>
      <c r="P944" s="1">
        <v>451479.0</v>
      </c>
      <c r="Q944" s="3" t="str">
        <f>VLOOKUP(A944,Posters!A944:B1943,2)</f>
        <v>https://m.media-amazon.com/images/M/MV5BODNiZmY2MWUtMjFhMy00ZmM2LTg2MjYtNWY1OTY5NGU2MjdjL2ltYWdlXkEyXkFqcGdeQXVyNTAyODkwOQ@@._V1_UY98_CR0,0,67,98_AL_.jpg</v>
      </c>
    </row>
    <row r="945">
      <c r="A945" s="1">
        <v>944.0</v>
      </c>
      <c r="B945" s="1" t="s">
        <v>5349</v>
      </c>
      <c r="C945" s="2">
        <v>4.5064915E7</v>
      </c>
      <c r="D945" s="1">
        <v>2002.0</v>
      </c>
      <c r="E945" s="1" t="s">
        <v>18</v>
      </c>
      <c r="F945" s="1" t="s">
        <v>543</v>
      </c>
      <c r="G945" s="1" t="s">
        <v>4275</v>
      </c>
      <c r="H945" s="1">
        <v>7.6</v>
      </c>
      <c r="I945" s="1" t="s">
        <v>5350</v>
      </c>
      <c r="J945" s="1">
        <v>73.0</v>
      </c>
      <c r="K945" s="1" t="s">
        <v>1738</v>
      </c>
      <c r="L945" s="1" t="s">
        <v>5351</v>
      </c>
      <c r="M945" s="1" t="s">
        <v>4457</v>
      </c>
      <c r="N945" s="1" t="s">
        <v>5352</v>
      </c>
      <c r="O945" s="1" t="s">
        <v>5353</v>
      </c>
      <c r="P945" s="1">
        <v>376853.0</v>
      </c>
      <c r="Q945" s="3" t="str">
        <f>VLOOKUP(A945,Posters!A945:B1944,2)</f>
        <v>https://m.media-amazon.com/images/M/MV5BYTFkM2ViMmQtZmI5NS00MjQ2LWEyN2EtMTI1ZmNlZDU3MTZjXkEyXkFqcGdeQXVyNjU0OTQ0OTY@._V1_UX67_CR0,0,67,98_AL_.jpg</v>
      </c>
    </row>
    <row r="946">
      <c r="A946" s="1">
        <v>945.0</v>
      </c>
      <c r="B946" s="1" t="s">
        <v>5354</v>
      </c>
      <c r="C946" s="2">
        <v>958989.0</v>
      </c>
      <c r="D946" s="1">
        <v>2000.0</v>
      </c>
      <c r="E946" s="1" t="s">
        <v>212</v>
      </c>
      <c r="F946" s="1" t="s">
        <v>825</v>
      </c>
      <c r="G946" s="1" t="s">
        <v>62</v>
      </c>
      <c r="H946" s="1">
        <v>7.6</v>
      </c>
      <c r="I946" s="1" t="s">
        <v>5355</v>
      </c>
      <c r="J946" s="1">
        <v>81.0</v>
      </c>
      <c r="K946" s="1" t="s">
        <v>5356</v>
      </c>
      <c r="L946" s="1" t="s">
        <v>4502</v>
      </c>
      <c r="M946" s="1" t="s">
        <v>5357</v>
      </c>
      <c r="N946" s="1" t="s">
        <v>5358</v>
      </c>
      <c r="O946" s="1" t="s">
        <v>3954</v>
      </c>
      <c r="P946" s="1">
        <v>169091.0</v>
      </c>
      <c r="Q946" s="3" t="str">
        <f>VLOOKUP(A946,Posters!A946:B1945,2)</f>
        <v>https://m.media-amazon.com/images/M/MV5BMDc2MGYwYzAtNzE2Yi00YmU3LTkxMDUtODk2YjhiNDM5NDIyXkEyXkFqcGdeQXVyMTEwNDU1MzEy._V1_UX67_CR0,0,67,98_AL_.jpg</v>
      </c>
    </row>
    <row r="947">
      <c r="A947" s="1">
        <v>946.0</v>
      </c>
      <c r="B947" s="1" t="s">
        <v>5359</v>
      </c>
      <c r="C947" s="2">
        <v>5.236401E7</v>
      </c>
      <c r="D947" s="1">
        <v>2001.0</v>
      </c>
      <c r="E947" s="1" t="s">
        <v>18</v>
      </c>
      <c r="F947" s="1" t="s">
        <v>343</v>
      </c>
      <c r="G947" s="1" t="s">
        <v>507</v>
      </c>
      <c r="H947" s="1">
        <v>7.6</v>
      </c>
      <c r="I947" s="1" t="s">
        <v>5360</v>
      </c>
      <c r="J947" s="1">
        <v>76.0</v>
      </c>
      <c r="K947" s="1" t="s">
        <v>1468</v>
      </c>
      <c r="L947" s="1" t="s">
        <v>1191</v>
      </c>
      <c r="M947" s="1" t="s">
        <v>3153</v>
      </c>
      <c r="N947" s="1" t="s">
        <v>5361</v>
      </c>
      <c r="O947" s="1" t="s">
        <v>5362</v>
      </c>
      <c r="P947" s="1">
        <v>266842.0</v>
      </c>
      <c r="Q947" s="3" t="str">
        <f>VLOOKUP(A947,Posters!A947:B1946,2)</f>
        <v>https://m.media-amazon.com/images/M/MV5BYmUzODQ5MGItZTZlNy00MDBhLWIxMmItMjg4Y2QyNDFlMWQ2XkEyXkFqcGdeQXVyMTMxODk2OTU@._V1_UX67_CR0,0,67,98_AL_.jpg</v>
      </c>
    </row>
    <row r="948">
      <c r="A948" s="1">
        <v>947.0</v>
      </c>
      <c r="B948" s="1" t="s">
        <v>5363</v>
      </c>
      <c r="C948" s="2">
        <v>1.3622333E7</v>
      </c>
      <c r="D948" s="1">
        <v>2001.0</v>
      </c>
      <c r="E948" s="1" t="s">
        <v>18</v>
      </c>
      <c r="F948" s="1" t="s">
        <v>286</v>
      </c>
      <c r="G948" s="1" t="s">
        <v>20</v>
      </c>
      <c r="H948" s="1">
        <v>7.6</v>
      </c>
      <c r="I948" s="1" t="s">
        <v>5364</v>
      </c>
      <c r="J948" s="1">
        <v>88.0</v>
      </c>
      <c r="K948" s="1" t="s">
        <v>3175</v>
      </c>
      <c r="L948" s="1" t="s">
        <v>1103</v>
      </c>
      <c r="M948" s="1" t="s">
        <v>492</v>
      </c>
      <c r="N948" s="1" t="s">
        <v>5365</v>
      </c>
      <c r="O948" s="1" t="s">
        <v>5366</v>
      </c>
      <c r="P948" s="1">
        <v>115827.0</v>
      </c>
      <c r="Q948" s="3" t="str">
        <f>VLOOKUP(A948,Posters!A948:B1947,2)</f>
        <v>https://m.media-amazon.com/images/M/MV5BNDhjMzc3ZTgtY2Y4MC00Y2U3LWFiMDctZGM3MmM4N2YzNDQ5XkEyXkFqcGdeQXVyMTQxNzMzNDI@._V1_UX67_CR0,0,67,98_AL_.jpg</v>
      </c>
    </row>
    <row r="949">
      <c r="A949" s="1">
        <v>948.0</v>
      </c>
      <c r="B949" s="1" t="s">
        <v>5367</v>
      </c>
      <c r="C949" s="2">
        <v>3.1757555E8</v>
      </c>
      <c r="D949" s="1">
        <v>2001.0</v>
      </c>
      <c r="E949" s="1" t="s">
        <v>52</v>
      </c>
      <c r="F949" s="1" t="s">
        <v>38</v>
      </c>
      <c r="G949" s="1" t="s">
        <v>2629</v>
      </c>
      <c r="H949" s="1">
        <v>7.6</v>
      </c>
      <c r="I949" s="1" t="s">
        <v>5368</v>
      </c>
      <c r="J949" s="1">
        <v>64.0</v>
      </c>
      <c r="K949" s="1" t="s">
        <v>5369</v>
      </c>
      <c r="L949" s="1" t="s">
        <v>1568</v>
      </c>
      <c r="M949" s="1" t="s">
        <v>1570</v>
      </c>
      <c r="N949" s="1" t="s">
        <v>1192</v>
      </c>
      <c r="O949" s="1" t="s">
        <v>5370</v>
      </c>
      <c r="P949" s="1">
        <v>658185.0</v>
      </c>
      <c r="Q949" s="3" t="str">
        <f>VLOOKUP(A949,Posters!A949:B1948,2)</f>
        <v>https://m.media-amazon.com/images/M/MV5BNjQ3NWNlNmQtMTE5ZS00MDdmLTlkZjUtZTBlM2UxMGFiMTU3XkEyXkFqcGdeQXVyNjUwNzk3NDc@._V1_UX67_CR0,0,67,98_AL_.jpg</v>
      </c>
    </row>
    <row r="950">
      <c r="A950" s="1">
        <v>949.0</v>
      </c>
      <c r="B950" s="1" t="s">
        <v>5371</v>
      </c>
      <c r="C950" s="2">
        <v>9.6522687E7</v>
      </c>
      <c r="D950" s="1">
        <v>2001.0</v>
      </c>
      <c r="E950" s="1" t="s">
        <v>161</v>
      </c>
      <c r="F950" s="1" t="s">
        <v>535</v>
      </c>
      <c r="G950" s="1" t="s">
        <v>397</v>
      </c>
      <c r="H950" s="1">
        <v>7.6</v>
      </c>
      <c r="I950" s="1" t="s">
        <v>5372</v>
      </c>
      <c r="J950" s="1">
        <v>74.0</v>
      </c>
      <c r="K950" s="1" t="s">
        <v>2429</v>
      </c>
      <c r="L950" s="1" t="s">
        <v>2182</v>
      </c>
      <c r="M950" s="1" t="s">
        <v>5352</v>
      </c>
      <c r="N950" s="1" t="s">
        <v>1527</v>
      </c>
      <c r="O950" s="1" t="s">
        <v>5373</v>
      </c>
      <c r="P950" s="1">
        <v>337651.0</v>
      </c>
      <c r="Q950" s="3" t="str">
        <f>VLOOKUP(A950,Posters!A950:B1949,2)</f>
        <v>https://m.media-amazon.com/images/M/MV5BMTAxMDE4Mzc3ODNeQTJeQWpwZ15BbWU4MDY2Mjg4MDcx._V1_UX67_CR0,0,67,98_AL_.jpg</v>
      </c>
    </row>
    <row r="951">
      <c r="A951" s="1">
        <v>950.0</v>
      </c>
      <c r="B951" s="1" t="s">
        <v>5374</v>
      </c>
      <c r="C951" s="2">
        <v>5.2990775E7</v>
      </c>
      <c r="D951" s="1">
        <v>2001.0</v>
      </c>
      <c r="E951" s="1" t="s">
        <v>212</v>
      </c>
      <c r="F951" s="1" t="s">
        <v>144</v>
      </c>
      <c r="G951" s="1" t="s">
        <v>137</v>
      </c>
      <c r="H951" s="1">
        <v>7.6</v>
      </c>
      <c r="I951" s="1" t="s">
        <v>5375</v>
      </c>
      <c r="J951" s="1">
        <v>52.0</v>
      </c>
      <c r="K951" s="1" t="s">
        <v>5376</v>
      </c>
      <c r="L951" s="1" t="s">
        <v>2451</v>
      </c>
      <c r="M951" s="1" t="s">
        <v>4701</v>
      </c>
      <c r="N951" s="1" t="s">
        <v>3204</v>
      </c>
      <c r="O951" s="1" t="s">
        <v>5377</v>
      </c>
      <c r="P951" s="1">
        <v>240714.0</v>
      </c>
      <c r="Q951" s="3" t="str">
        <f>VLOOKUP(A951,Posters!A951:B1950,2)</f>
        <v>https://m.media-amazon.com/images/M/MV5BYjg5ZDkzZWEtZDQ2ZC00Y2ViLThhMzYtMmIxZDYzYTY2Y2Y2XkEyXkFqcGdeQXVyODAwMTU1MTE@._V1_UY98_CR1,0,67,98_AL_.jpg</v>
      </c>
    </row>
    <row r="952">
      <c r="A952" s="1">
        <v>951.0</v>
      </c>
      <c r="B952" s="1" t="s">
        <v>5378</v>
      </c>
      <c r="C952" s="2">
        <v>5.1401758E7</v>
      </c>
      <c r="D952" s="1">
        <v>2001.0</v>
      </c>
      <c r="E952" s="1" t="s">
        <v>18</v>
      </c>
      <c r="F952" s="1" t="s">
        <v>686</v>
      </c>
      <c r="G952" s="1" t="s">
        <v>2661</v>
      </c>
      <c r="H952" s="1">
        <v>7.6</v>
      </c>
      <c r="I952" s="1" t="s">
        <v>5379</v>
      </c>
      <c r="J952" s="1">
        <v>53.0</v>
      </c>
      <c r="K952" s="1" t="s">
        <v>4836</v>
      </c>
      <c r="L952" s="1" t="s">
        <v>3962</v>
      </c>
      <c r="M952" s="1" t="s">
        <v>1151</v>
      </c>
      <c r="N952" s="1" t="s">
        <v>5380</v>
      </c>
      <c r="O952" s="1" t="s">
        <v>5381</v>
      </c>
      <c r="P952" s="1">
        <v>243729.0</v>
      </c>
      <c r="Q952" s="3" t="str">
        <f>VLOOKUP(A952,Posters!A952:B1951,2)</f>
        <v>https://m.media-amazon.com/images/M/MV5BYWFlY2E3ODQtZWNiNi00ZGU4LTkzNWEtZTQ2ZTViMWRhYjIzL2ltYWdlXkEyXkFqcGdeQXVyNTAyODkwOQ@@._V1_UX67_CR0,0,67,98_AL_.jpg</v>
      </c>
    </row>
    <row r="953">
      <c r="A953" s="1">
        <v>952.0</v>
      </c>
      <c r="B953" s="1" t="s">
        <v>5382</v>
      </c>
      <c r="C953" s="2">
        <v>1.32072926E8</v>
      </c>
      <c r="D953" s="1">
        <v>2002.0</v>
      </c>
      <c r="E953" s="1" t="s">
        <v>18</v>
      </c>
      <c r="F953" s="1" t="s">
        <v>1398</v>
      </c>
      <c r="G953" s="1" t="s">
        <v>5383</v>
      </c>
      <c r="H953" s="1">
        <v>7.6</v>
      </c>
      <c r="I953" s="1" t="s">
        <v>5384</v>
      </c>
      <c r="J953" s="1">
        <v>80.0</v>
      </c>
      <c r="K953" s="1" t="s">
        <v>81</v>
      </c>
      <c r="L953" s="1" t="s">
        <v>2486</v>
      </c>
      <c r="M953" s="1" t="s">
        <v>3106</v>
      </c>
      <c r="N953" s="1" t="s">
        <v>4544</v>
      </c>
      <c r="O953" s="1" t="s">
        <v>1309</v>
      </c>
      <c r="P953" s="1">
        <v>508417.0</v>
      </c>
      <c r="Q953" s="3" t="str">
        <f>VLOOKUP(A953,Posters!A953:B1952,2)</f>
        <v>https://m.media-amazon.com/images/M/MV5BZTI3YzZjZjEtMDdjOC00OWVjLTk0YmYtYzI2MGMwZjFiMzBlXkEyXkFqcGdeQXVyMTQxNzMzNDI@._V1_UX67_CR0,0,67,98_AL_.jpg</v>
      </c>
    </row>
    <row r="954">
      <c r="A954" s="1">
        <v>953.0</v>
      </c>
      <c r="B954" s="1" t="s">
        <v>5385</v>
      </c>
      <c r="C954" s="2">
        <v>5.0668906E7</v>
      </c>
      <c r="D954" s="1">
        <v>1999.0</v>
      </c>
      <c r="E954" s="1" t="s">
        <v>212</v>
      </c>
      <c r="F954" s="1" t="s">
        <v>136</v>
      </c>
      <c r="G954" s="1" t="s">
        <v>1020</v>
      </c>
      <c r="H954" s="1">
        <v>7.6</v>
      </c>
      <c r="I954" s="1" t="s">
        <v>5386</v>
      </c>
      <c r="J954" s="1">
        <v>74.0</v>
      </c>
      <c r="K954" s="1" t="s">
        <v>2711</v>
      </c>
      <c r="L954" s="1" t="s">
        <v>3799</v>
      </c>
      <c r="M954" s="1" t="s">
        <v>5387</v>
      </c>
      <c r="N954" s="1" t="s">
        <v>3967</v>
      </c>
      <c r="O954" s="1" t="s">
        <v>1519</v>
      </c>
      <c r="P954" s="1">
        <v>91557.0</v>
      </c>
      <c r="Q954" s="3" t="str">
        <f>VLOOKUP(A954,Posters!A954:B1953,2)</f>
        <v>https://m.media-amazon.com/images/M/MV5BMTA3OTYxMzg0MDFeQTJeQWpwZ15BbWU4MDY1MjY0MTEx._V1_UX67_CR0,0,67,98_AL_.jpg</v>
      </c>
    </row>
    <row r="955">
      <c r="A955" s="1">
        <v>954.0</v>
      </c>
      <c r="B955" s="1" t="s">
        <v>5388</v>
      </c>
      <c r="C955" s="2">
        <v>1.5070285E7</v>
      </c>
      <c r="D955" s="1">
        <v>2000.0</v>
      </c>
      <c r="E955" s="1" t="s">
        <v>18</v>
      </c>
      <c r="F955" s="1" t="s">
        <v>535</v>
      </c>
      <c r="G955" s="1" t="s">
        <v>831</v>
      </c>
      <c r="H955" s="1">
        <v>7.6</v>
      </c>
      <c r="I955" s="1" t="s">
        <v>5389</v>
      </c>
      <c r="J955" s="1">
        <v>64.0</v>
      </c>
      <c r="K955" s="1" t="s">
        <v>5390</v>
      </c>
      <c r="L955" s="1" t="s">
        <v>42</v>
      </c>
      <c r="M955" s="1" t="s">
        <v>3223</v>
      </c>
      <c r="N955" s="1" t="s">
        <v>5391</v>
      </c>
      <c r="O955" s="1" t="s">
        <v>5392</v>
      </c>
      <c r="P955" s="1">
        <v>490062.0</v>
      </c>
      <c r="Q955" s="3" t="str">
        <f>VLOOKUP(A955,Posters!A955:B1954,2)</f>
        <v>https://m.media-amazon.com/images/M/MV5BZTM2ZGJmNjQtN2UyOS00NjcxLWFjMDktMDE2NzMyNTZlZTBiXkEyXkFqcGdeQXVyNzkwMjQ5NzM@._V1_UX67_CR0,0,67,98_AL_.jpg</v>
      </c>
    </row>
    <row r="956">
      <c r="A956" s="1">
        <v>955.0</v>
      </c>
      <c r="B956" s="1" t="s">
        <v>5393</v>
      </c>
      <c r="C956" s="2">
        <v>7267585.0</v>
      </c>
      <c r="D956" s="1">
        <v>1998.0</v>
      </c>
      <c r="E956" s="1" t="s">
        <v>37</v>
      </c>
      <c r="F956" s="1" t="s">
        <v>764</v>
      </c>
      <c r="G956" s="1" t="s">
        <v>241</v>
      </c>
      <c r="H956" s="1">
        <v>7.6</v>
      </c>
      <c r="I956" s="1" t="s">
        <v>5394</v>
      </c>
      <c r="J956" s="1">
        <v>77.0</v>
      </c>
      <c r="K956" s="1" t="s">
        <v>5395</v>
      </c>
      <c r="L956" s="1" t="s">
        <v>3204</v>
      </c>
      <c r="M956" s="1" t="s">
        <v>2530</v>
      </c>
      <c r="N956" s="1" t="s">
        <v>5396</v>
      </c>
      <c r="O956" s="1" t="s">
        <v>5397</v>
      </c>
      <c r="P956" s="1">
        <v>188317.0</v>
      </c>
      <c r="Q956" s="3" t="str">
        <f>VLOOKUP(A956,Posters!A956:B1955,2)</f>
        <v>https://m.media-amazon.com/images/M/MV5BMmU5ZjFmYjQtYmNjZC00Yjk4LWI1ZTQtZDJiMjM0YjQyNDU0L2ltYWdlL2ltYWdlXkEyXkFqcGdeQXVyMTQxNzMzNDI@._V1_UX67_CR0,0,67,98_AL_.jpg</v>
      </c>
    </row>
    <row r="957">
      <c r="A957" s="1">
        <v>956.0</v>
      </c>
      <c r="B957" s="1" t="s">
        <v>5398</v>
      </c>
      <c r="C957" s="2">
        <v>3.6400491E7</v>
      </c>
      <c r="D957" s="1">
        <v>1998.0</v>
      </c>
      <c r="E957" s="1" t="s">
        <v>18</v>
      </c>
      <c r="F957" s="1" t="s">
        <v>506</v>
      </c>
      <c r="G957" s="1" t="s">
        <v>213</v>
      </c>
      <c r="H957" s="1">
        <v>7.6</v>
      </c>
      <c r="I957" s="1" t="s">
        <v>5399</v>
      </c>
      <c r="J957" s="1">
        <v>78.0</v>
      </c>
      <c r="K957" s="1" t="s">
        <v>4140</v>
      </c>
      <c r="L957" s="1" t="s">
        <v>3896</v>
      </c>
      <c r="M957" s="1" t="s">
        <v>1605</v>
      </c>
      <c r="N957" s="1" t="s">
        <v>1063</v>
      </c>
      <c r="O957" s="1" t="s">
        <v>5400</v>
      </c>
      <c r="P957" s="1">
        <v>172710.0</v>
      </c>
      <c r="Q957" s="3" t="str">
        <f>VLOOKUP(A957,Posters!A957:B1956,2)</f>
        <v>https://m.media-amazon.com/images/M/MV5BYjEzMTM2NjAtNWFmZC00MTVlLTgyMmQtMGQyNTFjZDk5N2NmXkEyXkFqcGdeQXVyNzQ1ODk3MTQ@._V1_UX67_CR0,0,67,98_AL_.jpg</v>
      </c>
    </row>
    <row r="958">
      <c r="A958" s="1">
        <v>957.0</v>
      </c>
      <c r="B958" s="1" t="s">
        <v>5401</v>
      </c>
      <c r="C958" s="2">
        <v>1.20620254E8</v>
      </c>
      <c r="D958" s="1">
        <v>1998.0</v>
      </c>
      <c r="E958" s="1" t="s">
        <v>52</v>
      </c>
      <c r="F958" s="1" t="s">
        <v>351</v>
      </c>
      <c r="G958" s="1" t="s">
        <v>204</v>
      </c>
      <c r="H958" s="1">
        <v>7.6</v>
      </c>
      <c r="I958" s="1" t="s">
        <v>5402</v>
      </c>
      <c r="J958" s="1">
        <v>71.0</v>
      </c>
      <c r="K958" s="1" t="s">
        <v>5403</v>
      </c>
      <c r="L958" s="1" t="s">
        <v>5404</v>
      </c>
      <c r="M958" s="1" t="s">
        <v>5405</v>
      </c>
      <c r="N958" s="1" t="s">
        <v>3945</v>
      </c>
      <c r="O958" s="1" t="s">
        <v>5406</v>
      </c>
      <c r="P958" s="1">
        <v>256906.0</v>
      </c>
      <c r="Q958" s="3" t="str">
        <f>VLOOKUP(A958,Posters!A958:B1957,2)</f>
        <v>https://m.media-amazon.com/images/M/MV5BODkxNGQ1NWYtNzg0Ny00Yjg3LThmZTItMjE2YjhmZTQ0ODY5XkEyXkFqcGdeQXVyMTQxNzMzNDI@._V1_UX67_CR0,0,67,98_AL_.jpg</v>
      </c>
    </row>
    <row r="959">
      <c r="A959" s="1">
        <v>958.0</v>
      </c>
      <c r="B959" s="1" t="s">
        <v>5407</v>
      </c>
      <c r="C959" s="2">
        <v>1.0680275E7</v>
      </c>
      <c r="D959" s="1">
        <v>1998.0</v>
      </c>
      <c r="E959" s="1" t="s">
        <v>212</v>
      </c>
      <c r="F959" s="1" t="s">
        <v>240</v>
      </c>
      <c r="G959" s="1" t="s">
        <v>1004</v>
      </c>
      <c r="H959" s="1">
        <v>7.6</v>
      </c>
      <c r="I959" s="1" t="s">
        <v>5408</v>
      </c>
      <c r="J959" s="1">
        <v>41.0</v>
      </c>
      <c r="K959" s="1" t="s">
        <v>1262</v>
      </c>
      <c r="L959" s="1" t="s">
        <v>2451</v>
      </c>
      <c r="M959" s="1" t="s">
        <v>735</v>
      </c>
      <c r="N959" s="1" t="s">
        <v>5409</v>
      </c>
      <c r="O959" s="1" t="s">
        <v>5410</v>
      </c>
      <c r="P959" s="1">
        <v>259753.0</v>
      </c>
      <c r="Q959" s="3" t="str">
        <f>VLOOKUP(A959,Posters!A959:B1958,2)</f>
        <v>https://m.media-amazon.com/images/M/MV5BNjA2ZDY3ZjYtZmNiMC00MDU5LTgxMWEtNzk1YmI3NzdkMTU0XkEyXkFqcGdeQXVyNjQyMjcwNDM@._V1_UX67_CR0,0,67,98_AL_.jpg</v>
      </c>
    </row>
    <row r="960">
      <c r="A960" s="1">
        <v>959.0</v>
      </c>
      <c r="B960" s="1" t="s">
        <v>5411</v>
      </c>
      <c r="C960" s="2">
        <v>1294919.0</v>
      </c>
      <c r="D960" s="1">
        <v>1997.0</v>
      </c>
      <c r="E960" s="1" t="s">
        <v>18</v>
      </c>
      <c r="F960" s="1" t="s">
        <v>714</v>
      </c>
      <c r="G960" s="1" t="s">
        <v>241</v>
      </c>
      <c r="H960" s="1">
        <v>7.6</v>
      </c>
      <c r="I960" s="1" t="s">
        <v>5412</v>
      </c>
      <c r="J960" s="1">
        <v>69.0</v>
      </c>
      <c r="K960" s="1" t="s">
        <v>3042</v>
      </c>
      <c r="L960" s="1" t="s">
        <v>5413</v>
      </c>
      <c r="M960" s="1" t="s">
        <v>530</v>
      </c>
      <c r="N960" s="1" t="s">
        <v>5414</v>
      </c>
      <c r="O960" s="1" t="s">
        <v>5415</v>
      </c>
      <c r="P960" s="1">
        <v>65058.0</v>
      </c>
      <c r="Q960" s="3" t="str">
        <f>VLOOKUP(A960,Posters!A960:B1959,2)</f>
        <v>https://m.media-amazon.com/images/M/MV5BMTkyNTAzZDYtNWUzYi00ODVjLTliZjYtNjc2YzJmODZhNTg3XkEyXkFqcGdeQXVyNjUxMDQ0MTg@._V1_UY98_CR6,0,67,98_AL_.jpg</v>
      </c>
    </row>
    <row r="961">
      <c r="A961" s="1">
        <v>960.0</v>
      </c>
      <c r="B961" s="1" t="s">
        <v>5416</v>
      </c>
      <c r="C961" s="2">
        <v>1.4378331E7</v>
      </c>
      <c r="D961" s="1">
        <v>1998.0</v>
      </c>
      <c r="E961" s="1" t="s">
        <v>18</v>
      </c>
      <c r="F961" s="1" t="s">
        <v>1439</v>
      </c>
      <c r="G961" s="1" t="s">
        <v>2545</v>
      </c>
      <c r="H961" s="1">
        <v>7.6</v>
      </c>
      <c r="I961" s="1" t="s">
        <v>5417</v>
      </c>
      <c r="J961" s="1">
        <v>66.0</v>
      </c>
      <c r="K961" s="1" t="s">
        <v>5418</v>
      </c>
      <c r="L961" s="1" t="s">
        <v>5274</v>
      </c>
      <c r="M961" s="1" t="s">
        <v>5419</v>
      </c>
      <c r="N961" s="1" t="s">
        <v>742</v>
      </c>
      <c r="O961" s="1" t="s">
        <v>5420</v>
      </c>
      <c r="P961" s="1">
        <v>187927.0</v>
      </c>
      <c r="Q961" s="3" t="str">
        <f>VLOOKUP(A961,Posters!A961:B1960,2)</f>
        <v>https://m.media-amazon.com/images/M/MV5BMGExOGExM2UtNWM5ZS00OWEzLTllNzYtM2NlMTJlYjBlZTJkXkEyXkFqcGdeQXVyMTQxNzMzNDI@._V1_UX67_CR0,0,67,98_AL_.jpg</v>
      </c>
    </row>
    <row r="962">
      <c r="A962" s="1">
        <v>961.0</v>
      </c>
      <c r="B962" s="1" t="s">
        <v>5421</v>
      </c>
      <c r="C962" s="2">
        <v>4.91E7</v>
      </c>
      <c r="D962" s="1">
        <v>1996.0</v>
      </c>
      <c r="E962" s="1" t="s">
        <v>37</v>
      </c>
      <c r="F962" s="1" t="s">
        <v>443</v>
      </c>
      <c r="G962" s="1" t="s">
        <v>241</v>
      </c>
      <c r="H962" s="1">
        <v>7.6</v>
      </c>
      <c r="I962" s="1" t="s">
        <v>5422</v>
      </c>
      <c r="J962" s="1">
        <v>49.0</v>
      </c>
      <c r="K962" s="1" t="s">
        <v>2617</v>
      </c>
      <c r="L962" s="1" t="s">
        <v>49</v>
      </c>
      <c r="M962" s="1" t="s">
        <v>3171</v>
      </c>
      <c r="N962" s="1" t="s">
        <v>98</v>
      </c>
      <c r="O962" s="1" t="s">
        <v>5423</v>
      </c>
      <c r="P962" s="1">
        <v>186734.0</v>
      </c>
      <c r="Q962" s="3" t="str">
        <f>VLOOKUP(A962,Posters!A962:B1961,2)</f>
        <v>https://m.media-amazon.com/images/M/MV5BMzk1MmI4NzAtOGRiNS00YjY1LTllNmEtZDhiZDM4MjU2NTMxXkEyXkFqcGdeQXVyNjc3MjQzNTI@._V1_UY98_CR1,0,67,98_AL_.jpg</v>
      </c>
    </row>
    <row r="963">
      <c r="A963" s="1">
        <v>962.0</v>
      </c>
      <c r="B963" s="1" t="s">
        <v>5424</v>
      </c>
      <c r="C963" s="2">
        <v>3796699.0</v>
      </c>
      <c r="D963" s="1">
        <v>1997.0</v>
      </c>
      <c r="E963" s="1" t="s">
        <v>18</v>
      </c>
      <c r="F963" s="1" t="s">
        <v>550</v>
      </c>
      <c r="G963" s="1" t="s">
        <v>544</v>
      </c>
      <c r="H963" s="1">
        <v>7.6</v>
      </c>
      <c r="I963" s="1" t="s">
        <v>5425</v>
      </c>
      <c r="J963" s="1">
        <v>52.0</v>
      </c>
      <c r="K963" s="1" t="s">
        <v>1878</v>
      </c>
      <c r="L963" s="1" t="s">
        <v>5049</v>
      </c>
      <c r="M963" s="1" t="s">
        <v>3089</v>
      </c>
      <c r="N963" s="1" t="s">
        <v>5426</v>
      </c>
      <c r="O963" s="1" t="s">
        <v>5427</v>
      </c>
      <c r="P963" s="1">
        <v>131101.0</v>
      </c>
      <c r="Q963" s="3" t="str">
        <f>VLOOKUP(A963,Posters!A963:B1962,2)</f>
        <v>https://m.media-amazon.com/images/M/MV5BYWUxOWY4NDctMDFmMS00ZTQwLWExMGEtODg0ZWNhOTE5NzZmXkEyXkFqcGdeQXVyMTQxNzMzNDI@._V1_UY98_CR0,0,67,98_AL_.jpg</v>
      </c>
    </row>
    <row r="964">
      <c r="A964" s="1">
        <v>963.0</v>
      </c>
      <c r="B964" s="1" t="s">
        <v>5428</v>
      </c>
      <c r="C964" s="2">
        <v>4.3182776E7</v>
      </c>
      <c r="D964" s="1">
        <v>1995.0</v>
      </c>
      <c r="E964" s="1" t="s">
        <v>52</v>
      </c>
      <c r="F964" s="1" t="s">
        <v>127</v>
      </c>
      <c r="G964" s="1" t="s">
        <v>107</v>
      </c>
      <c r="H964" s="1">
        <v>7.6</v>
      </c>
      <c r="I964" s="1" t="s">
        <v>5429</v>
      </c>
      <c r="J964" s="1">
        <v>84.0</v>
      </c>
      <c r="K964" s="1" t="s">
        <v>3130</v>
      </c>
      <c r="L964" s="1" t="s">
        <v>3994</v>
      </c>
      <c r="M964" s="1" t="s">
        <v>719</v>
      </c>
      <c r="N964" s="1" t="s">
        <v>5430</v>
      </c>
      <c r="O964" s="1" t="s">
        <v>720</v>
      </c>
      <c r="P964" s="1">
        <v>102598.0</v>
      </c>
      <c r="Q964" s="3" t="str">
        <f>VLOOKUP(A964,Posters!A964:B1963,2)</f>
        <v>https://m.media-amazon.com/images/M/MV5BNzk1MjU3MDQyMl5BMl5BanBnXkFtZTcwNjc1OTM2MQ@@._V1_UX67_CR0,0,67,98_AL_.jpg</v>
      </c>
    </row>
    <row r="965">
      <c r="A965" s="1">
        <v>964.0</v>
      </c>
      <c r="B965" s="1" t="s">
        <v>5431</v>
      </c>
      <c r="C965" s="2">
        <v>1.00012499E8</v>
      </c>
      <c r="D965" s="1">
        <v>1995.0</v>
      </c>
      <c r="E965" s="1" t="s">
        <v>18</v>
      </c>
      <c r="F965" s="1" t="s">
        <v>878</v>
      </c>
      <c r="G965" s="1" t="s">
        <v>2406</v>
      </c>
      <c r="H965" s="1">
        <v>7.6</v>
      </c>
      <c r="I965" s="1" t="s">
        <v>5432</v>
      </c>
      <c r="J965" s="1">
        <v>58.0</v>
      </c>
      <c r="K965" s="1" t="s">
        <v>1216</v>
      </c>
      <c r="L965" s="1" t="s">
        <v>76</v>
      </c>
      <c r="M965" s="1" t="s">
        <v>357</v>
      </c>
      <c r="N965" s="1" t="s">
        <v>75</v>
      </c>
      <c r="O965" s="1" t="s">
        <v>2607</v>
      </c>
      <c r="P965" s="1">
        <v>364420.0</v>
      </c>
      <c r="Q965" s="3" t="str">
        <f>VLOOKUP(A965,Posters!A965:B1964,2)</f>
        <v>https://m.media-amazon.com/images/M/MV5BZjI0ZWFiMmQtMjRlZi00ZmFhLWI4NmYtMjQ5YmY0MzIyMzRiXkEyXkFqcGdeQXVyMTQxNzMzNDI@._V1_UX67_CR0,0,67,98_AL_.jpg</v>
      </c>
    </row>
    <row r="966">
      <c r="A966" s="1">
        <v>965.0</v>
      </c>
      <c r="B966" s="1" t="s">
        <v>5433</v>
      </c>
      <c r="C966" s="2">
        <v>1037847.0</v>
      </c>
      <c r="D966" s="1">
        <v>1995.0</v>
      </c>
      <c r="E966" s="1" t="s">
        <v>212</v>
      </c>
      <c r="F966" s="1" t="s">
        <v>249</v>
      </c>
      <c r="G966" s="1" t="s">
        <v>1565</v>
      </c>
      <c r="H966" s="1">
        <v>7.6</v>
      </c>
      <c r="I966" s="1" t="s">
        <v>5434</v>
      </c>
      <c r="J966" s="1">
        <v>62.0</v>
      </c>
      <c r="K966" s="1" t="s">
        <v>4023</v>
      </c>
      <c r="L966" s="1" t="s">
        <v>2451</v>
      </c>
      <c r="M966" s="1" t="s">
        <v>5435</v>
      </c>
      <c r="N966" s="1" t="s">
        <v>388</v>
      </c>
      <c r="O966" s="1" t="s">
        <v>5436</v>
      </c>
      <c r="P966" s="1">
        <v>90442.0</v>
      </c>
      <c r="Q966" s="3" t="str">
        <f>VLOOKUP(A966,Posters!A966:B1965,2)</f>
        <v>https://m.media-amazon.com/images/M/MV5BYTJlZmQ1OTAtODQzZi00NGIzLWI1MmEtZGE4NjFlOWRhODIyXkEyXkFqcGdeQXVyNTc1NTQxODI@._V1_UY98_CR0,0,67,98_AL_.jpg</v>
      </c>
    </row>
    <row r="967">
      <c r="A967" s="1">
        <v>966.0</v>
      </c>
      <c r="B967" s="1" t="s">
        <v>5437</v>
      </c>
      <c r="C967" s="2">
        <v>7.1516617E7</v>
      </c>
      <c r="D967" s="1">
        <v>1995.0</v>
      </c>
      <c r="E967" s="1" t="s">
        <v>18</v>
      </c>
      <c r="F967" s="1" t="s">
        <v>1044</v>
      </c>
      <c r="G967" s="1" t="s">
        <v>107</v>
      </c>
      <c r="H967" s="1">
        <v>7.6</v>
      </c>
      <c r="I967" s="1" t="s">
        <v>5438</v>
      </c>
      <c r="J967" s="1">
        <v>69.0</v>
      </c>
      <c r="K967" s="1" t="s">
        <v>119</v>
      </c>
      <c r="L967" s="1" t="s">
        <v>119</v>
      </c>
      <c r="M967" s="1" t="s">
        <v>3136</v>
      </c>
      <c r="N967" s="1" t="s">
        <v>5439</v>
      </c>
      <c r="O967" s="1" t="s">
        <v>5440</v>
      </c>
      <c r="P967" s="1">
        <v>73172.0</v>
      </c>
      <c r="Q967" s="3" t="str">
        <f>VLOOKUP(A967,Posters!A967:B1966,2)</f>
        <v>https://m.media-amazon.com/images/M/MV5BNmRiZDZkN2EtNWI5ZS00ZDg3LTgyNDItMWI5NjVlNmE5ODJiXkEyXkFqcGdeQXVyMjQwMjk0NjI@._V1_UX67_CR0,0,67,98_AL_.jpg</v>
      </c>
    </row>
    <row r="968">
      <c r="A968" s="1">
        <v>967.0</v>
      </c>
      <c r="B968" s="1" t="s">
        <v>5441</v>
      </c>
      <c r="C968" s="2">
        <v>1.73837933E8</v>
      </c>
      <c r="D968" s="1">
        <v>1970.0</v>
      </c>
      <c r="E968" s="1" t="s">
        <v>52</v>
      </c>
      <c r="F968" s="1" t="s">
        <v>1059</v>
      </c>
      <c r="G968" s="1" t="s">
        <v>1269</v>
      </c>
      <c r="H968" s="1">
        <v>7.6</v>
      </c>
      <c r="I968" s="1" t="s">
        <v>5442</v>
      </c>
      <c r="J968" s="1">
        <v>77.0</v>
      </c>
      <c r="K968" s="1" t="s">
        <v>1150</v>
      </c>
      <c r="L968" s="1" t="s">
        <v>110</v>
      </c>
      <c r="M968" s="1" t="s">
        <v>3001</v>
      </c>
      <c r="N968" s="1" t="s">
        <v>3171</v>
      </c>
      <c r="O968" s="1" t="s">
        <v>112</v>
      </c>
      <c r="P968" s="1">
        <v>269197.0</v>
      </c>
      <c r="Q968" s="3" t="str">
        <f>VLOOKUP(A968,Posters!A968:B1967,2)</f>
        <v>https://m.media-amazon.com/images/M/MV5BNjEzYjJmNzgtNDkwNy00MTQ4LTlmMWMtNzA4YjE2NjI0ZDg4XkEyXkFqcGdeQXVyNjU0OTQ0OTY@._V1_UX67_CR0,0,67,98_AL_.jpg</v>
      </c>
    </row>
    <row r="969">
      <c r="A969" s="1">
        <v>968.0</v>
      </c>
      <c r="B969" s="1" t="s">
        <v>5443</v>
      </c>
      <c r="C969" s="2">
        <v>1464625.0</v>
      </c>
      <c r="D969" s="1">
        <v>1994.0</v>
      </c>
      <c r="E969" s="1" t="s">
        <v>52</v>
      </c>
      <c r="F969" s="1" t="s">
        <v>1588</v>
      </c>
      <c r="G969" s="1" t="s">
        <v>227</v>
      </c>
      <c r="H969" s="1">
        <v>7.6</v>
      </c>
      <c r="I969" s="1" t="s">
        <v>5444</v>
      </c>
      <c r="J969" s="1">
        <v>88.0</v>
      </c>
      <c r="K969" s="1" t="s">
        <v>1771</v>
      </c>
      <c r="L969" s="1" t="s">
        <v>3255</v>
      </c>
      <c r="M969" s="1" t="s">
        <v>1643</v>
      </c>
      <c r="N969" s="1" t="s">
        <v>5445</v>
      </c>
      <c r="O969" s="1" t="s">
        <v>5446</v>
      </c>
      <c r="P969" s="1">
        <v>64390.0</v>
      </c>
      <c r="Q969" s="3" t="str">
        <f>VLOOKUP(A969,Posters!A969:B1968,2)</f>
        <v>https://m.media-amazon.com/images/M/MV5BNTliYTI1YTctMTE0Mi00NDM0LThjZDgtYmY3NGNiODBjZjAwXkEyXkFqcGdeQXVyMTAwMzUyOTc@._V1_UX67_CR0,0,67,98_AL_.jpg</v>
      </c>
    </row>
    <row r="970">
      <c r="A970" s="1">
        <v>969.0</v>
      </c>
      <c r="B970" s="1" t="s">
        <v>5447</v>
      </c>
      <c r="C970" s="2">
        <v>4.0903593E7</v>
      </c>
      <c r="D970" s="1">
        <v>1993.0</v>
      </c>
      <c r="E970" s="1" t="s">
        <v>212</v>
      </c>
      <c r="F970" s="1" t="s">
        <v>543</v>
      </c>
      <c r="G970" s="1" t="s">
        <v>39</v>
      </c>
      <c r="H970" s="1">
        <v>7.6</v>
      </c>
      <c r="I970" s="1" t="s">
        <v>5448</v>
      </c>
      <c r="J970" s="1">
        <v>56.0</v>
      </c>
      <c r="K970" s="1" t="s">
        <v>5449</v>
      </c>
      <c r="L970" s="1" t="s">
        <v>3966</v>
      </c>
      <c r="M970" s="1" t="s">
        <v>50</v>
      </c>
      <c r="N970" s="1" t="s">
        <v>3286</v>
      </c>
      <c r="O970" s="1" t="s">
        <v>5450</v>
      </c>
      <c r="P970" s="1">
        <v>171640.0</v>
      </c>
      <c r="Q970" s="3" t="str">
        <f>VLOOKUP(A970,Posters!A970:B1969,2)</f>
        <v>https://m.media-amazon.com/images/M/MV5BYjcxMzM3OWMtNmM3Yy00YzBkLTkxMmQtMDk4MmM3Y2Y4MDliL2ltYWdlXkEyXkFqcGdeQXVyMTQxNzMzNDI@._V1_UX67_CR0,0,67,98_AL_.jpg</v>
      </c>
    </row>
    <row r="971">
      <c r="A971" s="1">
        <v>970.0</v>
      </c>
      <c r="B971" s="1" t="s">
        <v>5451</v>
      </c>
      <c r="C971" s="2">
        <v>7993039.0</v>
      </c>
      <c r="D971" s="1">
        <v>1993.0</v>
      </c>
      <c r="E971" s="1" t="s">
        <v>52</v>
      </c>
      <c r="F971" s="1" t="s">
        <v>405</v>
      </c>
      <c r="G971" s="1" t="s">
        <v>602</v>
      </c>
      <c r="H971" s="1">
        <v>7.6</v>
      </c>
      <c r="I971" s="1" t="s">
        <v>5452</v>
      </c>
      <c r="J971" s="1">
        <v>78.0</v>
      </c>
      <c r="K971" s="1" t="s">
        <v>1641</v>
      </c>
      <c r="L971" s="1" t="s">
        <v>5453</v>
      </c>
      <c r="M971" s="1" t="s">
        <v>3903</v>
      </c>
      <c r="N971" s="1" t="s">
        <v>190</v>
      </c>
      <c r="O971" s="1" t="s">
        <v>5454</v>
      </c>
      <c r="P971" s="1">
        <v>165465.0</v>
      </c>
      <c r="Q971" s="3" t="str">
        <f>VLOOKUP(A971,Posters!A971:B1970,2)</f>
        <v>https://m.media-amazon.com/images/M/MV5BMTM5MDY5MDQyOV5BMl5BanBnXkFtZTgwMzM3NzMxMDE@._V1_UX67_CR0,0,67,98_AL_.jpg</v>
      </c>
    </row>
    <row r="972">
      <c r="A972" s="1">
        <v>971.0</v>
      </c>
      <c r="B972" s="1" t="s">
        <v>5455</v>
      </c>
      <c r="C972" s="2">
        <v>5.2929168E7</v>
      </c>
      <c r="D972" s="1">
        <v>1992.0</v>
      </c>
      <c r="E972" s="1" t="s">
        <v>37</v>
      </c>
      <c r="F972" s="1" t="s">
        <v>1546</v>
      </c>
      <c r="G972" s="1" t="s">
        <v>731</v>
      </c>
      <c r="H972" s="1">
        <v>7.6</v>
      </c>
      <c r="I972" s="1" t="s">
        <v>5456</v>
      </c>
      <c r="J972" s="1">
        <v>68.0</v>
      </c>
      <c r="K972" s="1" t="s">
        <v>5457</v>
      </c>
      <c r="L972" s="1" t="s">
        <v>141</v>
      </c>
      <c r="M972" s="1" t="s">
        <v>3077</v>
      </c>
      <c r="N972" s="1" t="s">
        <v>5458</v>
      </c>
      <c r="O972" s="1" t="s">
        <v>5459</v>
      </c>
      <c r="P972" s="1">
        <v>107325.0</v>
      </c>
      <c r="Q972" s="3" t="str">
        <f>VLOOKUP(A972,Posters!A972:B1971,2)</f>
        <v>https://m.media-amazon.com/images/M/MV5BMTQxNDYzMTg1M15BMl5BanBnXkFtZTgwNzk4MDgxMTE@._V1_UX67_CR0,0,67,98_AL_.jpg</v>
      </c>
    </row>
    <row r="973">
      <c r="A973" s="1">
        <v>972.0</v>
      </c>
      <c r="B973" s="1" t="s">
        <v>5460</v>
      </c>
      <c r="C973" s="2">
        <v>453243.0</v>
      </c>
      <c r="D973" s="1">
        <v>1991.0</v>
      </c>
      <c r="E973" s="1" t="s">
        <v>52</v>
      </c>
      <c r="F973" s="1" t="s">
        <v>240</v>
      </c>
      <c r="G973" s="1" t="s">
        <v>5461</v>
      </c>
      <c r="H973" s="1">
        <v>7.6</v>
      </c>
      <c r="I973" s="1" t="s">
        <v>5462</v>
      </c>
      <c r="J973" s="1">
        <v>90.0</v>
      </c>
      <c r="K973" s="1" t="s">
        <v>377</v>
      </c>
      <c r="L973" s="1" t="s">
        <v>5463</v>
      </c>
      <c r="M973" s="1" t="s">
        <v>5464</v>
      </c>
      <c r="N973" s="1" t="s">
        <v>3235</v>
      </c>
      <c r="O973" s="1" t="s">
        <v>5465</v>
      </c>
      <c r="P973" s="1">
        <v>27071.0</v>
      </c>
      <c r="Q973" s="3" t="str">
        <f>VLOOKUP(A973,Posters!A973:B1972,2)</f>
        <v>https://m.media-amazon.com/images/M/MV5BMTY5NjI2MjQxMl5BMl5BanBnXkFtZTgwMDA2MzM2NzE@._V1_UY98_CR0,0,67,98_AL_.jpg</v>
      </c>
    </row>
    <row r="974">
      <c r="A974" s="1">
        <v>973.0</v>
      </c>
      <c r="B974" s="1" t="s">
        <v>5466</v>
      </c>
      <c r="C974" s="2">
        <v>1794187.0</v>
      </c>
      <c r="D974" s="1">
        <v>1991.0</v>
      </c>
      <c r="E974" s="1" t="s">
        <v>212</v>
      </c>
      <c r="F974" s="1" t="s">
        <v>778</v>
      </c>
      <c r="G974" s="1" t="s">
        <v>731</v>
      </c>
      <c r="H974" s="1">
        <v>7.6</v>
      </c>
      <c r="I974" s="1" t="s">
        <v>5467</v>
      </c>
      <c r="J974" s="1">
        <v>66.0</v>
      </c>
      <c r="K974" s="1" t="s">
        <v>5468</v>
      </c>
      <c r="L974" s="1" t="s">
        <v>725</v>
      </c>
      <c r="M974" s="1" t="s">
        <v>5469</v>
      </c>
      <c r="N974" s="1" t="s">
        <v>5321</v>
      </c>
      <c r="O974" s="1" t="s">
        <v>5470</v>
      </c>
      <c r="P974" s="1">
        <v>80487.0</v>
      </c>
      <c r="Q974" s="3" t="str">
        <f>VLOOKUP(A974,Posters!A974:B1973,2)</f>
        <v>https://m.media-amazon.com/images/M/MV5BNjg5ZDM0MTEtYTZmNC00NDJiLWI5MTktYzk4N2QxY2IxZTc2L2ltYWdlXkEyXkFqcGdeQXVyNTAyODkwOQ@@._V1_UY98_CR3,0,67,98_AL_.jpg</v>
      </c>
    </row>
    <row r="975">
      <c r="A975" s="1">
        <v>974.0</v>
      </c>
      <c r="B975" s="1" t="s">
        <v>5471</v>
      </c>
      <c r="C975" s="2">
        <v>2.85761243E8</v>
      </c>
      <c r="D975" s="1">
        <v>1990.0</v>
      </c>
      <c r="E975" s="1" t="s">
        <v>52</v>
      </c>
      <c r="F975" s="1" t="s">
        <v>885</v>
      </c>
      <c r="G975" s="1" t="s">
        <v>3300</v>
      </c>
      <c r="H975" s="1">
        <v>7.6</v>
      </c>
      <c r="I975" s="1" t="s">
        <v>5472</v>
      </c>
      <c r="J975" s="1">
        <v>63.0</v>
      </c>
      <c r="K975" s="1" t="s">
        <v>5369</v>
      </c>
      <c r="L975" s="1" t="s">
        <v>5473</v>
      </c>
      <c r="M975" s="1" t="s">
        <v>141</v>
      </c>
      <c r="N975" s="1" t="s">
        <v>5474</v>
      </c>
      <c r="O975" s="1" t="s">
        <v>5475</v>
      </c>
      <c r="P975" s="1">
        <v>488817.0</v>
      </c>
      <c r="Q975" s="3" t="str">
        <f>VLOOKUP(A975,Posters!A975:B1974,2)</f>
        <v>https://m.media-amazon.com/images/M/MV5BMzFkM2YwOTQtYzk2Mi00N2VlLWE3NTItN2YwNDg1YmY0ZDNmXkEyXkFqcGdeQXVyMTMxODk2OTU@._V1_UX67_CR0,0,67,98_AL_.jpg</v>
      </c>
    </row>
    <row r="976">
      <c r="A976" s="1">
        <v>975.0</v>
      </c>
      <c r="B976" s="1" t="s">
        <v>5476</v>
      </c>
      <c r="C976" s="2">
        <v>6.6666062E7</v>
      </c>
      <c r="D976" s="1">
        <v>1990.0</v>
      </c>
      <c r="E976" s="1" t="s">
        <v>18</v>
      </c>
      <c r="F976" s="1" t="s">
        <v>1221</v>
      </c>
      <c r="G976" s="1" t="s">
        <v>29</v>
      </c>
      <c r="H976" s="1">
        <v>7.6</v>
      </c>
      <c r="I976" s="1" t="s">
        <v>5477</v>
      </c>
      <c r="J976" s="1">
        <v>60.0</v>
      </c>
      <c r="K976" s="1" t="s">
        <v>31</v>
      </c>
      <c r="L976" s="1" t="s">
        <v>33</v>
      </c>
      <c r="M976" s="1" t="s">
        <v>35</v>
      </c>
      <c r="N976" s="1" t="s">
        <v>5478</v>
      </c>
      <c r="O976" s="1" t="s">
        <v>1894</v>
      </c>
      <c r="P976" s="1">
        <v>359809.0</v>
      </c>
      <c r="Q976" s="3" t="str">
        <f>VLOOKUP(A976,Posters!A976:B1975,2)</f>
        <v>https://m.media-amazon.com/images/M/MV5BNWFlYWY2YjYtNjdhNi00MzVlLTg2MTMtMWExNzg4NmM5NmEzXkEyXkFqcGdeQXVyMDk5Mzc5MQ@@._V1_UX67_CR0,0,67,98_AL_.jpg</v>
      </c>
    </row>
    <row r="977">
      <c r="A977" s="1">
        <v>976.0</v>
      </c>
      <c r="B977" s="1" t="s">
        <v>5479</v>
      </c>
      <c r="C977" s="2">
        <v>9.28236E7</v>
      </c>
      <c r="D977" s="1">
        <v>1989.0</v>
      </c>
      <c r="E977" s="1" t="s">
        <v>37</v>
      </c>
      <c r="F977" s="1" t="s">
        <v>601</v>
      </c>
      <c r="G977" s="1" t="s">
        <v>227</v>
      </c>
      <c r="H977" s="1">
        <v>7.6</v>
      </c>
      <c r="I977" s="1" t="s">
        <v>5480</v>
      </c>
      <c r="J977" s="1">
        <v>76.0</v>
      </c>
      <c r="K977" s="1" t="s">
        <v>1815</v>
      </c>
      <c r="L977" s="1" t="s">
        <v>1684</v>
      </c>
      <c r="M977" s="1" t="s">
        <v>5481</v>
      </c>
      <c r="N977" s="1" t="s">
        <v>150</v>
      </c>
      <c r="O977" s="1" t="s">
        <v>4723</v>
      </c>
      <c r="P977" s="1">
        <v>195663.0</v>
      </c>
      <c r="Q977" s="3" t="str">
        <f>VLOOKUP(A977,Posters!A977:B1976,2)</f>
        <v>https://m.media-amazon.com/images/M/MV5BMjE0ODEwNjM2NF5BMl5BanBnXkFtZTcwMjU2Mzg3NA@@._V1_UX67_CR0,0,67,98_AL_.jpg</v>
      </c>
    </row>
    <row r="978">
      <c r="A978" s="1">
        <v>977.0</v>
      </c>
      <c r="B978" s="1" t="s">
        <v>5482</v>
      </c>
      <c r="C978" s="2">
        <v>1.11543479E8</v>
      </c>
      <c r="D978" s="1">
        <v>1989.0</v>
      </c>
      <c r="E978" s="1" t="s">
        <v>52</v>
      </c>
      <c r="F978" s="1" t="s">
        <v>2550</v>
      </c>
      <c r="G978" s="1" t="s">
        <v>1207</v>
      </c>
      <c r="H978" s="1">
        <v>7.6</v>
      </c>
      <c r="I978" s="1" t="s">
        <v>5483</v>
      </c>
      <c r="J978" s="1">
        <v>88.0</v>
      </c>
      <c r="K978" s="1" t="s">
        <v>2588</v>
      </c>
      <c r="L978" s="1" t="s">
        <v>2589</v>
      </c>
      <c r="M978" s="1" t="s">
        <v>5484</v>
      </c>
      <c r="N978" s="1" t="s">
        <v>5485</v>
      </c>
      <c r="O978" s="1" t="s">
        <v>5486</v>
      </c>
      <c r="P978" s="1">
        <v>237696.0</v>
      </c>
      <c r="Q978" s="3" t="str">
        <f>VLOOKUP(A978,Posters!A978:B1977,2)</f>
        <v>https://m.media-amazon.com/images/M/MV5BN2JlZTBhYTEtZDE3OC00NTA3LTk5NTQtNjg5M2RjODllM2M0XkEyXkFqcGdeQXVyNjk1Njg5NTA@._V1_UX67_CR0,0,67,98_AL_.jpg</v>
      </c>
    </row>
    <row r="979">
      <c r="A979" s="1">
        <v>978.0</v>
      </c>
      <c r="B979" s="1" t="s">
        <v>5487</v>
      </c>
      <c r="C979" s="2">
        <v>7.8756177E7</v>
      </c>
      <c r="D979" s="1">
        <v>1988.0</v>
      </c>
      <c r="E979" s="1" t="s">
        <v>52</v>
      </c>
      <c r="F979" s="1" t="s">
        <v>1947</v>
      </c>
      <c r="G979" s="1" t="s">
        <v>731</v>
      </c>
      <c r="H979" s="1">
        <v>7.6</v>
      </c>
      <c r="I979" s="1" t="s">
        <v>5488</v>
      </c>
      <c r="J979" s="1">
        <v>76.0</v>
      </c>
      <c r="K979" s="1" t="s">
        <v>4879</v>
      </c>
      <c r="L979" s="1" t="s">
        <v>5489</v>
      </c>
      <c r="M979" s="1" t="s">
        <v>5490</v>
      </c>
      <c r="N979" s="1" t="s">
        <v>5491</v>
      </c>
      <c r="O979" s="1" t="s">
        <v>5492</v>
      </c>
      <c r="P979" s="1">
        <v>152871.0</v>
      </c>
      <c r="Q979" s="3" t="str">
        <f>VLOOKUP(A979,Posters!A979:B1978,2)</f>
        <v>https://m.media-amazon.com/images/M/MV5BODk1ZWM4ZjItMjFhZi00MDMxLTgxNmYtODFhNWZlZTkwM2UwXkEyXkFqcGdeQXVyMTQxNzMzNDI@._V1_UX67_CR0,0,67,98_AL_.jpg</v>
      </c>
    </row>
    <row r="980">
      <c r="A980" s="1">
        <v>979.0</v>
      </c>
      <c r="B980" s="1" t="s">
        <v>5493</v>
      </c>
      <c r="C980" s="2">
        <v>4.953028E7</v>
      </c>
      <c r="D980" s="1">
        <v>1987.0</v>
      </c>
      <c r="E980" s="1" t="s">
        <v>52</v>
      </c>
      <c r="F980" s="1" t="s">
        <v>1521</v>
      </c>
      <c r="G980" s="1" t="s">
        <v>507</v>
      </c>
      <c r="H980" s="1">
        <v>7.6</v>
      </c>
      <c r="I980" s="1" t="s">
        <v>5494</v>
      </c>
      <c r="J980" s="1">
        <v>72.0</v>
      </c>
      <c r="K980" s="1" t="s">
        <v>4079</v>
      </c>
      <c r="L980" s="1" t="s">
        <v>5495</v>
      </c>
      <c r="M980" s="1" t="s">
        <v>3313</v>
      </c>
      <c r="N980" s="1" t="s">
        <v>5496</v>
      </c>
      <c r="O980" s="1" t="s">
        <v>3296</v>
      </c>
      <c r="P980" s="1">
        <v>124773.0</v>
      </c>
      <c r="Q980" s="3" t="str">
        <f>VLOOKUP(A980,Posters!A980:B1979,2)</f>
        <v>https://m.media-amazon.com/images/M/MV5BM2I1ZWNkYjEtYWY3ZS00MmMwLWI5OTEtNWNkZjNiYjIwNzY0XkEyXkFqcGdeQXVyNTI4MjkwNjA@._V1_UX67_CR0,0,67,98_AL_.jpg</v>
      </c>
    </row>
    <row r="981">
      <c r="A981" s="1">
        <v>980.0</v>
      </c>
      <c r="B981" s="1" t="s">
        <v>5497</v>
      </c>
      <c r="C981" s="2">
        <v>6.5207127E7</v>
      </c>
      <c r="D981" s="1">
        <v>1987.0</v>
      </c>
      <c r="E981" s="1" t="s">
        <v>18</v>
      </c>
      <c r="F981" s="1" t="s">
        <v>396</v>
      </c>
      <c r="G981" s="1" t="s">
        <v>2169</v>
      </c>
      <c r="H981" s="1">
        <v>7.6</v>
      </c>
      <c r="I981" s="1" t="s">
        <v>5498</v>
      </c>
      <c r="J981" s="1">
        <v>68.0</v>
      </c>
      <c r="K981" s="1" t="s">
        <v>4089</v>
      </c>
      <c r="L981" s="1" t="s">
        <v>773</v>
      </c>
      <c r="M981" s="1" t="s">
        <v>4094</v>
      </c>
      <c r="N981" s="1" t="s">
        <v>5499</v>
      </c>
      <c r="O981" s="1" t="s">
        <v>5500</v>
      </c>
      <c r="P981" s="1">
        <v>236894.0</v>
      </c>
      <c r="Q981" s="3" t="str">
        <f>VLOOKUP(A981,Posters!A981:B1980,2)</f>
        <v>https://m.media-amazon.com/images/M/MV5BZTllNWNlZjctMWQwMS00ZDc3LTg5ZjMtNzhmNzhjMmVhYTFlXkEyXkFqcGdeQXVyNTc1NTQxODI@._V1_UX67_CR0,0,67,98_AL_.jpg</v>
      </c>
    </row>
    <row r="982">
      <c r="A982" s="1">
        <v>981.0</v>
      </c>
      <c r="B982" s="1" t="s">
        <v>5501</v>
      </c>
      <c r="C982" s="2">
        <v>2150000.0</v>
      </c>
      <c r="D982" s="1">
        <v>1984.0</v>
      </c>
      <c r="E982" s="1" t="s">
        <v>18</v>
      </c>
      <c r="F982" s="1" t="s">
        <v>778</v>
      </c>
      <c r="G982" s="1" t="s">
        <v>241</v>
      </c>
      <c r="H982" s="1">
        <v>7.6</v>
      </c>
      <c r="I982" s="1" t="s">
        <v>5502</v>
      </c>
      <c r="J982" s="1">
        <v>82.0</v>
      </c>
      <c r="K982" s="1" t="s">
        <v>1613</v>
      </c>
      <c r="L982" s="1" t="s">
        <v>1612</v>
      </c>
      <c r="M982" s="1" t="s">
        <v>5503</v>
      </c>
      <c r="N982" s="1" t="s">
        <v>972</v>
      </c>
      <c r="O982" s="1" t="s">
        <v>5504</v>
      </c>
      <c r="P982" s="1">
        <v>87745.0</v>
      </c>
      <c r="Q982" s="3" t="str">
        <f>VLOOKUP(A982,Posters!A982:B1981,2)</f>
        <v>https://m.media-amazon.com/images/M/MV5BZmI5YzM1MjItMzFmNy00NGFkLThlMDUtZjZmYTZkM2QxMjU3XkEyXkFqcGdeQXVyNzkwMjQ5NzM@._V1_UX67_CR0,0,67,98_AL_.jpg</v>
      </c>
    </row>
    <row r="983">
      <c r="A983" s="1">
        <v>982.0</v>
      </c>
      <c r="B983" s="1" t="s">
        <v>5505</v>
      </c>
      <c r="C983" s="2">
        <v>1.19285432E8</v>
      </c>
      <c r="D983" s="1">
        <v>1981.0</v>
      </c>
      <c r="E983" s="1" t="s">
        <v>37</v>
      </c>
      <c r="F983" s="1" t="s">
        <v>396</v>
      </c>
      <c r="G983" s="1" t="s">
        <v>20</v>
      </c>
      <c r="H983" s="1">
        <v>7.6</v>
      </c>
      <c r="I983" s="1" t="s">
        <v>5506</v>
      </c>
      <c r="J983" s="1">
        <v>68.0</v>
      </c>
      <c r="K983" s="1" t="s">
        <v>5507</v>
      </c>
      <c r="L983" s="1" t="s">
        <v>3385</v>
      </c>
      <c r="M983" s="1" t="s">
        <v>56</v>
      </c>
      <c r="N983" s="1" t="s">
        <v>5508</v>
      </c>
      <c r="O983" s="1" t="s">
        <v>5509</v>
      </c>
      <c r="P983" s="1">
        <v>27650.0</v>
      </c>
      <c r="Q983" s="3" t="str">
        <f>VLOOKUP(A983,Posters!A983:B1982,2)</f>
        <v>https://m.media-amazon.com/images/M/MV5BNWQ4MGZlZmYtZjY0MS00N2JhLWE0NmMtOTMwMTk4NDQ4NjE2XkEyXkFqcGdeQXVyNTI4MjkwNjA@._V1_UX67_CR0,0,67,98_AL_.jpg</v>
      </c>
    </row>
    <row r="984">
      <c r="A984" s="1">
        <v>983.0</v>
      </c>
      <c r="B984" s="1" t="s">
        <v>5510</v>
      </c>
      <c r="C984" s="2">
        <v>1.2465371E7</v>
      </c>
      <c r="D984" s="1">
        <v>1981.0</v>
      </c>
      <c r="E984" s="1" t="s">
        <v>18</v>
      </c>
      <c r="F984" s="1" t="s">
        <v>53</v>
      </c>
      <c r="G984" s="1" t="s">
        <v>88</v>
      </c>
      <c r="H984" s="1">
        <v>7.6</v>
      </c>
      <c r="I984" s="1" t="s">
        <v>5511</v>
      </c>
      <c r="J984" s="1">
        <v>77.0</v>
      </c>
      <c r="K984" s="1" t="s">
        <v>1548</v>
      </c>
      <c r="L984" s="1" t="s">
        <v>773</v>
      </c>
      <c r="M984" s="1" t="s">
        <v>5512</v>
      </c>
      <c r="N984" s="1" t="s">
        <v>5513</v>
      </c>
      <c r="O984" s="1" t="s">
        <v>5514</v>
      </c>
      <c r="P984" s="1">
        <v>166588.0</v>
      </c>
      <c r="Q984" s="3" t="str">
        <f>VLOOKUP(A984,Posters!A984:B1983,2)</f>
        <v>https://m.media-amazon.com/images/M/MV5BN2VlNjNhZWQtMTY2OC00Y2E1LWJkNGUtMDU4M2ViNzliMGYwXkEyXkFqcGdeQXVyNTAyODkwOQ@@._V1_UX67_CR0,0,67,98_AL_.jpg</v>
      </c>
    </row>
    <row r="985">
      <c r="A985" s="1">
        <v>984.0</v>
      </c>
      <c r="B985" s="1" t="s">
        <v>5515</v>
      </c>
      <c r="C985" s="2">
        <v>2.2490039E7</v>
      </c>
      <c r="D985" s="1">
        <v>1979.0</v>
      </c>
      <c r="E985" s="1" t="s">
        <v>37</v>
      </c>
      <c r="F985" s="1" t="s">
        <v>1588</v>
      </c>
      <c r="G985" s="1" t="s">
        <v>2169</v>
      </c>
      <c r="H985" s="1">
        <v>7.6</v>
      </c>
      <c r="I985" s="1" t="s">
        <v>5516</v>
      </c>
      <c r="J985" s="1">
        <v>65.0</v>
      </c>
      <c r="K985" s="1" t="s">
        <v>5517</v>
      </c>
      <c r="L985" s="1" t="s">
        <v>5518</v>
      </c>
      <c r="M985" s="1" t="s">
        <v>5519</v>
      </c>
      <c r="N985" s="1" t="s">
        <v>5520</v>
      </c>
      <c r="O985" s="1" t="s">
        <v>5521</v>
      </c>
      <c r="P985" s="1">
        <v>93878.0</v>
      </c>
      <c r="Q985" s="3" t="str">
        <f>VLOOKUP(A985,Posters!A985:B1984,2)</f>
        <v>https://m.media-amazon.com/images/M/MV5BYTU2MWRiMTMtYzAzZi00NGYzLTlkMDEtNWQ3MzZlNTJlNzZkL2ltYWdlL2ltYWdlXkEyXkFqcGdeQXVyNjc1NTYyMjg@._V1_UX67_CR0,0,67,98_AL_.jpg</v>
      </c>
    </row>
    <row r="986">
      <c r="A986" s="1">
        <v>985.0</v>
      </c>
      <c r="B986" s="1" t="s">
        <v>5522</v>
      </c>
      <c r="C986" s="2">
        <v>7.6657E7</v>
      </c>
      <c r="D986" s="1">
        <v>1979.0</v>
      </c>
      <c r="E986" s="1" t="s">
        <v>52</v>
      </c>
      <c r="F986" s="1" t="s">
        <v>601</v>
      </c>
      <c r="G986" s="1" t="s">
        <v>3555</v>
      </c>
      <c r="H986" s="1">
        <v>7.6</v>
      </c>
      <c r="I986" s="1" t="s">
        <v>5523</v>
      </c>
      <c r="J986" s="1">
        <v>74.0</v>
      </c>
      <c r="K986" s="1" t="s">
        <v>5524</v>
      </c>
      <c r="L986" s="1" t="s">
        <v>5525</v>
      </c>
      <c r="M986" s="1" t="s">
        <v>5526</v>
      </c>
      <c r="N986" s="1" t="s">
        <v>5527</v>
      </c>
      <c r="O986" s="1" t="s">
        <v>5528</v>
      </c>
      <c r="P986" s="1">
        <v>32802.0</v>
      </c>
      <c r="Q986" s="3" t="str">
        <f>VLOOKUP(A986,Posters!A986:B1985,2)</f>
        <v>https://m.media-amazon.com/images/M/MV5BMGQ0OGM5YjItYzYyMi00NmVmLWI3ODMtMTY2NGRkZmI5MWU2XkEyXkFqcGdeQXVyMzI0NDc4ODY@._V1_UX67_CR0,0,67,98_AL_.jpg</v>
      </c>
    </row>
    <row r="987">
      <c r="A987" s="1">
        <v>986.0</v>
      </c>
      <c r="B987" s="1" t="s">
        <v>5529</v>
      </c>
      <c r="C987" s="2">
        <v>4.3E7</v>
      </c>
      <c r="D987" s="1">
        <v>1979.0</v>
      </c>
      <c r="E987" s="1" t="s">
        <v>18</v>
      </c>
      <c r="F987" s="1" t="s">
        <v>295</v>
      </c>
      <c r="G987" s="1" t="s">
        <v>1045</v>
      </c>
      <c r="H987" s="1">
        <v>7.6</v>
      </c>
      <c r="I987" s="1" t="s">
        <v>5530</v>
      </c>
      <c r="J987" s="1">
        <v>76.0</v>
      </c>
      <c r="K987" s="1" t="s">
        <v>4933</v>
      </c>
      <c r="L987" s="1" t="s">
        <v>119</v>
      </c>
      <c r="M987" s="1" t="s">
        <v>775</v>
      </c>
      <c r="N987" s="1" t="s">
        <v>5531</v>
      </c>
      <c r="O987" s="1" t="s">
        <v>5532</v>
      </c>
      <c r="P987" s="1">
        <v>121731.0</v>
      </c>
      <c r="Q987" s="3" t="str">
        <f>VLOOKUP(A987,Posters!A987:B1986,2)</f>
        <v>https://m.media-amazon.com/images/M/MV5BNDQ3MzNjMDItZjE0ZS00ZTYxLTgxNTAtM2I4YjZjNWFjYjJlL2ltYWdlXkEyXkFqcGdeQXVyNTAyODkwOQ@@._V1_UX67_CR0,0,67,98_AL_.jpg</v>
      </c>
    </row>
    <row r="988">
      <c r="A988" s="1">
        <v>987.0</v>
      </c>
      <c r="B988" s="1" t="s">
        <v>5533</v>
      </c>
      <c r="C988" s="2">
        <v>718597.0</v>
      </c>
      <c r="D988" s="1">
        <v>1978.0</v>
      </c>
      <c r="E988" s="1" t="s">
        <v>52</v>
      </c>
      <c r="F988" s="1" t="s">
        <v>1259</v>
      </c>
      <c r="G988" s="1" t="s">
        <v>352</v>
      </c>
      <c r="H988" s="1">
        <v>7.6</v>
      </c>
      <c r="I988" s="1" t="s">
        <v>5534</v>
      </c>
      <c r="J988" s="1">
        <v>64.0</v>
      </c>
      <c r="K988" s="1" t="s">
        <v>5535</v>
      </c>
      <c r="L988" s="1" t="s">
        <v>5536</v>
      </c>
      <c r="M988" s="1" t="s">
        <v>585</v>
      </c>
      <c r="N988" s="1" t="s">
        <v>5537</v>
      </c>
      <c r="O988" s="1" t="s">
        <v>5538</v>
      </c>
      <c r="P988" s="1">
        <v>33656.0</v>
      </c>
      <c r="Q988" s="3" t="str">
        <f>VLOOKUP(A988,Posters!A988:B1987,2)</f>
        <v>https://m.media-amazon.com/images/M/MV5BMzZiODUwNzktNzBiZi00MDc4LThkMGMtZmE3MTE0M2E1MTM3L2ltYWdlXkEyXkFqcGdeQXVyNTAyODkwOQ@@._V1_UX67_CR0,0,67,98_AL_.jpg</v>
      </c>
    </row>
    <row r="989">
      <c r="A989" s="1">
        <v>988.0</v>
      </c>
      <c r="B989" s="1" t="s">
        <v>5539</v>
      </c>
      <c r="C989" s="2">
        <v>3.5E7</v>
      </c>
      <c r="D989" s="1">
        <v>1978.0</v>
      </c>
      <c r="E989" s="1" t="s">
        <v>18</v>
      </c>
      <c r="F989" s="1" t="s">
        <v>249</v>
      </c>
      <c r="G989" s="1" t="s">
        <v>137</v>
      </c>
      <c r="H989" s="1">
        <v>7.6</v>
      </c>
      <c r="I989" s="1" t="s">
        <v>5540</v>
      </c>
      <c r="J989" s="1">
        <v>59.0</v>
      </c>
      <c r="K989" s="1" t="s">
        <v>1852</v>
      </c>
      <c r="L989" s="1" t="s">
        <v>5541</v>
      </c>
      <c r="M989" s="1" t="s">
        <v>5542</v>
      </c>
      <c r="N989" s="1" t="s">
        <v>5543</v>
      </c>
      <c r="O989" s="1" t="s">
        <v>5544</v>
      </c>
      <c r="P989" s="1">
        <v>73662.0</v>
      </c>
      <c r="Q989" s="3" t="str">
        <f>VLOOKUP(A989,Posters!A989:B1988,2)</f>
        <v>https://m.media-amazon.com/images/M/MV5BNDU1MjQ0YWMtMWQ2MS00NTdmLTg1MGItNDA5NTNkNTRhOTIyXkEyXkFqcGdeQXVyNTIzOTk5ODM@._V1_UX67_CR0,0,67,98_AL_.jpg</v>
      </c>
    </row>
    <row r="990">
      <c r="A990" s="1">
        <v>989.0</v>
      </c>
      <c r="B990" s="1" t="s">
        <v>5545</v>
      </c>
      <c r="C990" s="2">
        <v>1.32088635E8</v>
      </c>
      <c r="D990" s="1">
        <v>1977.0</v>
      </c>
      <c r="E990" s="1" t="s">
        <v>52</v>
      </c>
      <c r="F990" s="1" t="s">
        <v>947</v>
      </c>
      <c r="G990" s="1" t="s">
        <v>928</v>
      </c>
      <c r="H990" s="1">
        <v>7.6</v>
      </c>
      <c r="I990" s="1" t="s">
        <v>5546</v>
      </c>
      <c r="J990" s="1">
        <v>90.0</v>
      </c>
      <c r="K990" s="1" t="s">
        <v>81</v>
      </c>
      <c r="L990" s="1" t="s">
        <v>2678</v>
      </c>
      <c r="M990" s="1" t="s">
        <v>2004</v>
      </c>
      <c r="N990" s="1" t="s">
        <v>5547</v>
      </c>
      <c r="O990" s="1" t="s">
        <v>3304</v>
      </c>
      <c r="P990" s="1">
        <v>184966.0</v>
      </c>
      <c r="Q990" s="3" t="str">
        <f>VLOOKUP(A990,Posters!A990:B1989,2)</f>
        <v>https://m.media-amazon.com/images/M/MV5BMjM1NjE5NjQxN15BMl5BanBnXkFtZTgwMjYzMzQxMDE@._V1_UX67_CR0,0,67,98_AL_.jpg</v>
      </c>
    </row>
    <row r="991">
      <c r="A991" s="1">
        <v>990.0</v>
      </c>
      <c r="B991" s="1" t="s">
        <v>5548</v>
      </c>
      <c r="C991" s="1">
        <v>959.0</v>
      </c>
      <c r="D991" s="1">
        <v>1973.0</v>
      </c>
      <c r="E991" s="1" t="s">
        <v>18</v>
      </c>
      <c r="F991" s="1" t="s">
        <v>295</v>
      </c>
      <c r="G991" s="1" t="s">
        <v>831</v>
      </c>
      <c r="H991" s="1">
        <v>7.6</v>
      </c>
      <c r="I991" s="1" t="s">
        <v>5549</v>
      </c>
      <c r="J991" s="1">
        <v>87.0</v>
      </c>
      <c r="K991" s="1" t="s">
        <v>4763</v>
      </c>
      <c r="L991" s="1" t="s">
        <v>5550</v>
      </c>
      <c r="M991" s="1" t="s">
        <v>5551</v>
      </c>
      <c r="N991" s="1" t="s">
        <v>606</v>
      </c>
      <c r="O991" s="1" t="s">
        <v>5507</v>
      </c>
      <c r="P991" s="1">
        <v>26337.0</v>
      </c>
      <c r="Q991" s="3" t="str">
        <f>VLOOKUP(A991,Posters!A991:B1990,2)</f>
        <v>https://m.media-amazon.com/images/M/MV5BYzZhODNiOWYtMmNkNS00OTFhLTkzYzktYTQ4ZmNmZWMyN2ZiL2ltYWdlL2ltYWdlXkEyXkFqcGdeQXVyNjc1NTYyMjg@._V1_UX67_CR0,0,67,98_AL_.jpg</v>
      </c>
    </row>
    <row r="992">
      <c r="A992" s="1">
        <v>991.0</v>
      </c>
      <c r="B992" s="1" t="s">
        <v>5552</v>
      </c>
      <c r="C992" s="1" t="s">
        <v>5553</v>
      </c>
      <c r="D992" s="1">
        <v>1971.0</v>
      </c>
      <c r="E992" s="1" t="s">
        <v>270</v>
      </c>
      <c r="F992" s="1" t="s">
        <v>3025</v>
      </c>
      <c r="G992" s="1" t="s">
        <v>5554</v>
      </c>
      <c r="H992" s="1">
        <v>7.6</v>
      </c>
      <c r="I992" s="1" t="s">
        <v>5555</v>
      </c>
      <c r="J992" s="1">
        <v>77.0</v>
      </c>
      <c r="K992" s="1" t="s">
        <v>118</v>
      </c>
      <c r="L992" s="1" t="s">
        <v>2038</v>
      </c>
      <c r="M992" s="1" t="s">
        <v>3395</v>
      </c>
      <c r="N992" s="1" t="s">
        <v>5556</v>
      </c>
      <c r="O992" s="1" t="s">
        <v>5557</v>
      </c>
      <c r="P992" s="1">
        <v>30144.0</v>
      </c>
      <c r="Q992" s="3" t="str">
        <f>VLOOKUP(A992,Posters!A992:B1991,2)</f>
        <v>https://m.media-amazon.com/images/M/MV5BYjRmY2VjN2ItMzBmYy00YTRjLWFiMTgtNGZhNWJjMjk3YjZjXkEyXkFqcGdeQXVyNjc1NTYyMjg@._V1_UX67_CR0,0,67,98_AL_.jpg</v>
      </c>
    </row>
    <row r="993">
      <c r="A993" s="1">
        <v>992.0</v>
      </c>
      <c r="B993" s="1" t="s">
        <v>5558</v>
      </c>
      <c r="C993" s="2">
        <v>1378435.0</v>
      </c>
      <c r="D993" s="1">
        <v>1970.0</v>
      </c>
      <c r="E993" s="1" t="s">
        <v>1933</v>
      </c>
      <c r="F993" s="1" t="s">
        <v>1618</v>
      </c>
      <c r="G993" s="1" t="s">
        <v>5559</v>
      </c>
      <c r="H993" s="1">
        <v>7.6</v>
      </c>
      <c r="I993" s="1" t="s">
        <v>5560</v>
      </c>
      <c r="J993" s="1">
        <v>50.0</v>
      </c>
      <c r="K993" s="1" t="s">
        <v>4940</v>
      </c>
      <c r="L993" s="1" t="s">
        <v>119</v>
      </c>
      <c r="M993" s="1" t="s">
        <v>5561</v>
      </c>
      <c r="N993" s="1" t="s">
        <v>769</v>
      </c>
      <c r="O993" s="1" t="s">
        <v>5562</v>
      </c>
      <c r="P993" s="1">
        <v>45338.0</v>
      </c>
      <c r="Q993" s="3" t="str">
        <f>VLOOKUP(A993,Posters!A993:B1992,2)</f>
        <v>https://m.media-amazon.com/images/M/MV5BMzAyNDUwYzUtN2NlMC00ODliLWExMjgtMGMzNmYzZmUwYTg1XkEyXkFqcGdeQXVyNjc1NTYyMjg@._V1_UX67_CR0,0,67,98_AL_.jpg</v>
      </c>
    </row>
    <row r="994">
      <c r="A994" s="1">
        <v>993.0</v>
      </c>
      <c r="B994" s="1" t="s">
        <v>5563</v>
      </c>
      <c r="C994" s="2">
        <v>1.41843612E8</v>
      </c>
      <c r="D994" s="1">
        <v>1967.0</v>
      </c>
      <c r="E994" s="1" t="s">
        <v>52</v>
      </c>
      <c r="F994" s="1" t="s">
        <v>5564</v>
      </c>
      <c r="G994" s="1" t="s">
        <v>204</v>
      </c>
      <c r="H994" s="1">
        <v>7.6</v>
      </c>
      <c r="I994" s="1" t="s">
        <v>5565</v>
      </c>
      <c r="J994" s="1">
        <v>65.0</v>
      </c>
      <c r="K994" s="1" t="s">
        <v>5566</v>
      </c>
      <c r="L994" s="1" t="s">
        <v>5567</v>
      </c>
      <c r="M994" s="1" t="s">
        <v>5568</v>
      </c>
      <c r="N994" s="1" t="s">
        <v>5569</v>
      </c>
      <c r="O994" s="1" t="s">
        <v>5570</v>
      </c>
      <c r="P994" s="1">
        <v>166409.0</v>
      </c>
      <c r="Q994" s="3" t="str">
        <f>VLOOKUP(A994,Posters!A994:B1993,2)</f>
        <v>https://m.media-amazon.com/images/M/MV5BMjAwMTExODExNl5BMl5BanBnXkFtZTgwMjM2MDgyMTE@._V1_UX67_CR0,0,67,98_AL_.jpg</v>
      </c>
    </row>
    <row r="995">
      <c r="A995" s="1">
        <v>994.0</v>
      </c>
      <c r="B995" s="1" t="s">
        <v>5571</v>
      </c>
      <c r="C995" s="2">
        <v>6066.0</v>
      </c>
      <c r="D995" s="1">
        <v>1966.0</v>
      </c>
      <c r="E995" s="1" t="s">
        <v>18</v>
      </c>
      <c r="F995" s="1" t="s">
        <v>1663</v>
      </c>
      <c r="G995" s="1" t="s">
        <v>527</v>
      </c>
      <c r="H995" s="1">
        <v>7.6</v>
      </c>
      <c r="I995" s="1" t="s">
        <v>5572</v>
      </c>
      <c r="J995" s="1">
        <v>82.0</v>
      </c>
      <c r="K995" s="1" t="s">
        <v>3407</v>
      </c>
      <c r="L995" s="1" t="s">
        <v>5573</v>
      </c>
      <c r="M995" s="1" t="s">
        <v>5574</v>
      </c>
      <c r="N995" s="1" t="s">
        <v>5575</v>
      </c>
      <c r="O995" s="1" t="s">
        <v>3386</v>
      </c>
      <c r="P995" s="1">
        <v>56513.0</v>
      </c>
      <c r="Q995" s="3" t="str">
        <f>VLOOKUP(A995,Posters!A995:B1994,2)</f>
        <v>https://m.media-amazon.com/images/M/MV5BYTE4YWU0NjAtMjNiYi00MTNiLTgwYzctZjk0YjY5NGVhNWQwXkEyXkFqcGdeQXVyMTY5Nzc4MDY@._V1_UY98_CR0,0,67,98_AL_.jpg</v>
      </c>
    </row>
    <row r="996">
      <c r="A996" s="1">
        <v>995.0</v>
      </c>
      <c r="B996" s="1" t="s">
        <v>5576</v>
      </c>
      <c r="C996" s="2">
        <v>1.3780024E7</v>
      </c>
      <c r="D996" s="1">
        <v>1964.0</v>
      </c>
      <c r="E996" s="1" t="s">
        <v>52</v>
      </c>
      <c r="F996" s="1" t="s">
        <v>415</v>
      </c>
      <c r="G996" s="1" t="s">
        <v>3486</v>
      </c>
      <c r="H996" s="1">
        <v>7.6</v>
      </c>
      <c r="I996" s="1" t="s">
        <v>5577</v>
      </c>
      <c r="J996" s="1">
        <v>96.0</v>
      </c>
      <c r="K996" s="1" t="s">
        <v>5578</v>
      </c>
      <c r="L996" s="1" t="s">
        <v>5579</v>
      </c>
      <c r="M996" s="1" t="s">
        <v>5580</v>
      </c>
      <c r="N996" s="1" t="s">
        <v>5581</v>
      </c>
      <c r="O996" s="1" t="s">
        <v>5582</v>
      </c>
      <c r="P996" s="1">
        <v>40351.0</v>
      </c>
      <c r="Q996" s="3" t="str">
        <f>VLOOKUP(A996,Posters!A996:B1995,2)</f>
        <v>https://m.media-amazon.com/images/M/MV5BZjQyMGUwNzAtNTc2MC00Y2FjLThlM2ItZGRjNzM0OWVmZGYyXkEyXkFqcGdeQXVyNjc1NTYyMjg@._V1_UX67_CR0,0,67,98_AL_.jpg</v>
      </c>
    </row>
    <row r="997">
      <c r="A997" s="1">
        <v>996.0</v>
      </c>
      <c r="B997" s="1" t="s">
        <v>5583</v>
      </c>
      <c r="C997" s="2">
        <v>508012.0</v>
      </c>
      <c r="D997" s="1">
        <v>1961.0</v>
      </c>
      <c r="E997" s="1" t="s">
        <v>18</v>
      </c>
      <c r="F997" s="1" t="s">
        <v>563</v>
      </c>
      <c r="G997" s="1" t="s">
        <v>227</v>
      </c>
      <c r="H997" s="1">
        <v>7.6</v>
      </c>
      <c r="I997" s="1" t="s">
        <v>5584</v>
      </c>
      <c r="J997" s="1">
        <v>76.0</v>
      </c>
      <c r="K997" s="1" t="s">
        <v>5585</v>
      </c>
      <c r="L997" s="1" t="s">
        <v>2839</v>
      </c>
      <c r="M997" s="1" t="s">
        <v>5586</v>
      </c>
      <c r="N997" s="1" t="s">
        <v>5022</v>
      </c>
      <c r="O997" s="1" t="s">
        <v>5587</v>
      </c>
      <c r="P997" s="1">
        <v>166544.0</v>
      </c>
      <c r="Q997" s="3" t="str">
        <f>VLOOKUP(A997,Posters!A997:B1996,2)</f>
        <v>https://m.media-amazon.com/images/M/MV5BNGEwMTRmZTQtMDY4Ni00MTliLTk5ZmMtOWMxYWMyMTllMDg0L2ltYWdlL2ltYWdlXkEyXkFqcGdeQXVyNjc1NTYyMjg@._V1_UX67_CR0,0,67,98_AL_.jpg</v>
      </c>
    </row>
    <row r="998">
      <c r="A998" s="1">
        <v>997.0</v>
      </c>
      <c r="B998" s="1" t="s">
        <v>5588</v>
      </c>
      <c r="C998" s="1" t="s">
        <v>5589</v>
      </c>
      <c r="D998" s="1">
        <v>1956.0</v>
      </c>
      <c r="E998" s="1" t="s">
        <v>414</v>
      </c>
      <c r="F998" s="1" t="s">
        <v>61</v>
      </c>
      <c r="G998" s="1" t="s">
        <v>495</v>
      </c>
      <c r="H998" s="1">
        <v>7.6</v>
      </c>
      <c r="I998" s="1" t="s">
        <v>5590</v>
      </c>
      <c r="J998" s="1">
        <v>84.0</v>
      </c>
      <c r="K998" s="1" t="s">
        <v>5591</v>
      </c>
      <c r="L998" s="1" t="s">
        <v>2743</v>
      </c>
      <c r="M998" s="1" t="s">
        <v>5592</v>
      </c>
      <c r="N998" s="1" t="s">
        <v>3430</v>
      </c>
      <c r="O998" s="1" t="s">
        <v>5593</v>
      </c>
      <c r="P998" s="1">
        <v>34075.0</v>
      </c>
      <c r="Q998" s="3" t="str">
        <f>VLOOKUP(A998,Posters!A998:B1997,2)</f>
        <v>https://m.media-amazon.com/images/M/MV5BODk3YjdjZTItOGVhYi00Mjc2LTgzMDAtMThmYTVkNTBlMWVkXkEyXkFqcGdeQXVyNDY2MTk1ODk@._V1_UX67_CR0,0,67,98_AL_.jpg</v>
      </c>
    </row>
    <row r="999">
      <c r="A999" s="1">
        <v>998.0</v>
      </c>
      <c r="B999" s="1" t="s">
        <v>5594</v>
      </c>
      <c r="C999" s="2">
        <v>3.05E7</v>
      </c>
      <c r="D999" s="1">
        <v>1953.0</v>
      </c>
      <c r="E999" s="1" t="s">
        <v>627</v>
      </c>
      <c r="F999" s="1" t="s">
        <v>240</v>
      </c>
      <c r="G999" s="1" t="s">
        <v>406</v>
      </c>
      <c r="H999" s="1">
        <v>7.6</v>
      </c>
      <c r="I999" s="1" t="s">
        <v>5595</v>
      </c>
      <c r="J999" s="1">
        <v>85.0</v>
      </c>
      <c r="K999" s="1" t="s">
        <v>3435</v>
      </c>
      <c r="L999" s="1" t="s">
        <v>1292</v>
      </c>
      <c r="M999" s="1" t="s">
        <v>4245</v>
      </c>
      <c r="N999" s="1" t="s">
        <v>4232</v>
      </c>
      <c r="O999" s="1" t="s">
        <v>275</v>
      </c>
      <c r="P999" s="1">
        <v>43374.0</v>
      </c>
      <c r="Q999" s="3" t="str">
        <f>VLOOKUP(A999,Posters!A999:B1998,2)</f>
        <v>https://m.media-amazon.com/images/M/MV5BM2U3YzkxNGMtYWE0YS00ODk0LTk1ZGEtNjk3ZTE0MTk4MzJjXkEyXkFqcGdeQXVyNDk0MDg4NDk@._V1_UX67_CR0,0,67,98_AL_.jpg</v>
      </c>
    </row>
    <row r="1000">
      <c r="A1000" s="1">
        <v>999.0</v>
      </c>
      <c r="B1000" s="1" t="s">
        <v>5596</v>
      </c>
      <c r="C1000" s="2">
        <v>1590000.0</v>
      </c>
      <c r="D1000" s="1">
        <v>1944.0</v>
      </c>
      <c r="E1000" s="1" t="s">
        <v>2890</v>
      </c>
      <c r="F1000" s="1" t="s">
        <v>2864</v>
      </c>
      <c r="G1000" s="1" t="s">
        <v>213</v>
      </c>
      <c r="H1000" s="1">
        <v>7.6</v>
      </c>
      <c r="I1000" s="1" t="s">
        <v>5597</v>
      </c>
      <c r="J1000" s="1">
        <v>78.0</v>
      </c>
      <c r="K1000" s="1" t="s">
        <v>399</v>
      </c>
      <c r="L1000" s="1" t="s">
        <v>5598</v>
      </c>
      <c r="M1000" s="1" t="s">
        <v>5599</v>
      </c>
      <c r="N1000" s="1" t="s">
        <v>5600</v>
      </c>
      <c r="O1000" s="1" t="s">
        <v>5601</v>
      </c>
      <c r="P1000" s="1">
        <v>26471.0</v>
      </c>
      <c r="Q1000" s="3" t="str">
        <f>VLOOKUP(A1000,Posters!A1000:B1999,2)</f>
        <v>https://m.media-amazon.com/images/M/MV5BZTBmMjUyMjItYTM4ZS00MjAwLWEyOGYtYjMyZTUxN2I3OTMxXkEyXkFqcGdeQXVyNjc1NTYyMjg@._V1_UX67_CR0,0,67,98_AL_.jpg</v>
      </c>
    </row>
    <row r="1001">
      <c r="A1001" s="1">
        <v>1000.0</v>
      </c>
      <c r="B1001" s="1" t="s">
        <v>5602</v>
      </c>
      <c r="C1001" s="2">
        <v>51711.0</v>
      </c>
      <c r="D1001" s="1">
        <v>1935.0</v>
      </c>
      <c r="E1001" s="1" t="s">
        <v>2890</v>
      </c>
      <c r="F1001" s="1" t="s">
        <v>1206</v>
      </c>
      <c r="G1001" s="1" t="s">
        <v>336</v>
      </c>
      <c r="H1001" s="1">
        <v>7.6</v>
      </c>
      <c r="I1001" s="1" t="s">
        <v>5603</v>
      </c>
      <c r="J1001" s="1">
        <v>93.0</v>
      </c>
      <c r="K1001" s="1" t="s">
        <v>399</v>
      </c>
      <c r="L1001" s="1" t="s">
        <v>5604</v>
      </c>
      <c r="M1001" s="1" t="s">
        <v>5605</v>
      </c>
      <c r="N1001" s="1" t="s">
        <v>5606</v>
      </c>
      <c r="O1001" s="1" t="s">
        <v>5607</v>
      </c>
      <c r="P1001" s="1">
        <v>51853.0</v>
      </c>
      <c r="Q1001" s="3" t="str">
        <f>VLOOKUP(A1001,Posters!A1001:B2000,2)</f>
        <v>https://m.media-amazon.com/images/M/MV5BMTY5ODAzMTcwOF5BMl5BanBnXkFtZTcwMzYxNDYyNA@@._V1_UX67_CR0,0,67,98_AL_.jpg</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16</v>
      </c>
    </row>
    <row r="2">
      <c r="A2" s="1">
        <v>1.0</v>
      </c>
      <c r="B2" s="4" t="s">
        <v>5608</v>
      </c>
    </row>
    <row r="3">
      <c r="A3" s="1">
        <v>2.0</v>
      </c>
      <c r="B3" s="4" t="s">
        <v>5609</v>
      </c>
    </row>
    <row r="4">
      <c r="A4" s="1">
        <v>3.0</v>
      </c>
      <c r="B4" s="4" t="s">
        <v>5610</v>
      </c>
    </row>
    <row r="5">
      <c r="A5" s="1">
        <v>4.0</v>
      </c>
      <c r="B5" s="4" t="s">
        <v>5611</v>
      </c>
    </row>
    <row r="6">
      <c r="A6" s="1">
        <v>5.0</v>
      </c>
      <c r="B6" s="4" t="s">
        <v>5612</v>
      </c>
    </row>
    <row r="7">
      <c r="A7" s="1">
        <v>6.0</v>
      </c>
      <c r="B7" s="4" t="s">
        <v>5613</v>
      </c>
    </row>
    <row r="8">
      <c r="A8" s="1">
        <v>7.0</v>
      </c>
      <c r="B8" s="4" t="s">
        <v>5614</v>
      </c>
    </row>
    <row r="9">
      <c r="A9" s="1">
        <v>8.0</v>
      </c>
      <c r="B9" s="4" t="s">
        <v>5615</v>
      </c>
    </row>
    <row r="10">
      <c r="A10" s="1">
        <v>9.0</v>
      </c>
      <c r="B10" s="4" t="s">
        <v>5616</v>
      </c>
    </row>
    <row r="11">
      <c r="A11" s="1">
        <v>10.0</v>
      </c>
      <c r="B11" s="4" t="s">
        <v>5617</v>
      </c>
    </row>
    <row r="12">
      <c r="A12" s="1">
        <v>11.0</v>
      </c>
      <c r="B12" s="4" t="s">
        <v>5618</v>
      </c>
    </row>
    <row r="13">
      <c r="A13" s="1">
        <v>12.0</v>
      </c>
      <c r="B13" s="4" t="s">
        <v>5619</v>
      </c>
    </row>
    <row r="14">
      <c r="A14" s="1">
        <v>13.0</v>
      </c>
      <c r="B14" s="4" t="s">
        <v>5620</v>
      </c>
    </row>
    <row r="15">
      <c r="A15" s="1">
        <v>14.0</v>
      </c>
      <c r="B15" s="4" t="s">
        <v>5621</v>
      </c>
    </row>
    <row r="16">
      <c r="A16" s="1">
        <v>15.0</v>
      </c>
      <c r="B16" s="4" t="s">
        <v>5622</v>
      </c>
    </row>
    <row r="17">
      <c r="A17" s="1">
        <v>16.0</v>
      </c>
      <c r="B17" s="4" t="s">
        <v>5623</v>
      </c>
    </row>
    <row r="18">
      <c r="A18" s="1">
        <v>17.0</v>
      </c>
      <c r="B18" s="4" t="s">
        <v>5624</v>
      </c>
    </row>
    <row r="19">
      <c r="A19" s="1">
        <v>18.0</v>
      </c>
      <c r="B19" s="4" t="s">
        <v>5625</v>
      </c>
    </row>
    <row r="20">
      <c r="A20" s="1">
        <v>19.0</v>
      </c>
      <c r="B20" s="4" t="s">
        <v>5626</v>
      </c>
    </row>
    <row r="21">
      <c r="A21" s="1">
        <v>20.0</v>
      </c>
      <c r="B21" s="4" t="s">
        <v>5627</v>
      </c>
    </row>
    <row r="22">
      <c r="A22" s="1">
        <v>21.0</v>
      </c>
      <c r="B22" s="4" t="s">
        <v>5628</v>
      </c>
    </row>
    <row r="23">
      <c r="A23" s="1">
        <v>22.0</v>
      </c>
      <c r="B23" s="4" t="s">
        <v>5629</v>
      </c>
    </row>
    <row r="24">
      <c r="A24" s="1">
        <v>23.0</v>
      </c>
      <c r="B24" s="4" t="s">
        <v>5630</v>
      </c>
    </row>
    <row r="25">
      <c r="A25" s="1">
        <v>24.0</v>
      </c>
      <c r="B25" s="4" t="s">
        <v>5631</v>
      </c>
    </row>
    <row r="26">
      <c r="A26" s="1">
        <v>25.0</v>
      </c>
      <c r="B26" s="4" t="s">
        <v>5632</v>
      </c>
    </row>
    <row r="27">
      <c r="A27" s="1">
        <v>26.0</v>
      </c>
      <c r="B27" s="4" t="s">
        <v>5633</v>
      </c>
    </row>
    <row r="28">
      <c r="A28" s="1">
        <v>27.0</v>
      </c>
      <c r="B28" s="4" t="s">
        <v>5634</v>
      </c>
    </row>
    <row r="29">
      <c r="A29" s="1">
        <v>28.0</v>
      </c>
      <c r="B29" s="4" t="s">
        <v>5635</v>
      </c>
    </row>
    <row r="30">
      <c r="A30" s="1">
        <v>29.0</v>
      </c>
      <c r="B30" s="4" t="s">
        <v>5636</v>
      </c>
    </row>
    <row r="31">
      <c r="A31" s="1">
        <v>30.0</v>
      </c>
      <c r="B31" s="4" t="s">
        <v>5637</v>
      </c>
    </row>
    <row r="32">
      <c r="A32" s="1">
        <v>31.0</v>
      </c>
      <c r="B32" s="4" t="s">
        <v>5638</v>
      </c>
    </row>
    <row r="33">
      <c r="A33" s="1">
        <v>32.0</v>
      </c>
      <c r="B33" s="4" t="s">
        <v>5639</v>
      </c>
    </row>
    <row r="34">
      <c r="A34" s="1">
        <v>33.0</v>
      </c>
      <c r="B34" s="4" t="s">
        <v>5640</v>
      </c>
    </row>
    <row r="35">
      <c r="A35" s="1">
        <v>34.0</v>
      </c>
      <c r="B35" s="4" t="s">
        <v>5641</v>
      </c>
    </row>
    <row r="36">
      <c r="A36" s="1">
        <v>35.0</v>
      </c>
      <c r="B36" s="4" t="s">
        <v>5642</v>
      </c>
    </row>
    <row r="37">
      <c r="A37" s="1">
        <v>36.0</v>
      </c>
      <c r="B37" s="4" t="s">
        <v>5643</v>
      </c>
    </row>
    <row r="38">
      <c r="A38" s="1">
        <v>37.0</v>
      </c>
      <c r="B38" s="4" t="s">
        <v>5644</v>
      </c>
    </row>
    <row r="39">
      <c r="A39" s="1">
        <v>38.0</v>
      </c>
      <c r="B39" s="4" t="s">
        <v>5645</v>
      </c>
    </row>
    <row r="40">
      <c r="A40" s="1">
        <v>39.0</v>
      </c>
      <c r="B40" s="4" t="s">
        <v>5646</v>
      </c>
    </row>
    <row r="41">
      <c r="A41" s="1">
        <v>40.0</v>
      </c>
      <c r="B41" s="4" t="s">
        <v>5647</v>
      </c>
    </row>
    <row r="42">
      <c r="A42" s="1">
        <v>41.0</v>
      </c>
      <c r="B42" s="4" t="s">
        <v>5648</v>
      </c>
    </row>
    <row r="43">
      <c r="A43" s="1">
        <v>42.0</v>
      </c>
      <c r="B43" s="4" t="s">
        <v>5649</v>
      </c>
    </row>
    <row r="44">
      <c r="A44" s="1">
        <v>43.0</v>
      </c>
      <c r="B44" s="4" t="s">
        <v>5650</v>
      </c>
    </row>
    <row r="45">
      <c r="A45" s="1">
        <v>44.0</v>
      </c>
      <c r="B45" s="4" t="s">
        <v>5651</v>
      </c>
    </row>
    <row r="46">
      <c r="A46" s="1">
        <v>45.0</v>
      </c>
      <c r="B46" s="4" t="s">
        <v>5652</v>
      </c>
    </row>
    <row r="47">
      <c r="A47" s="1">
        <v>46.0</v>
      </c>
      <c r="B47" s="4" t="s">
        <v>5653</v>
      </c>
    </row>
    <row r="48">
      <c r="A48" s="1">
        <v>47.0</v>
      </c>
      <c r="B48" s="4" t="s">
        <v>5654</v>
      </c>
    </row>
    <row r="49">
      <c r="A49" s="1">
        <v>48.0</v>
      </c>
      <c r="B49" s="4" t="s">
        <v>5655</v>
      </c>
    </row>
    <row r="50">
      <c r="A50" s="1">
        <v>49.0</v>
      </c>
      <c r="B50" s="4" t="s">
        <v>5656</v>
      </c>
    </row>
    <row r="51">
      <c r="A51" s="1">
        <v>50.0</v>
      </c>
      <c r="B51" s="4" t="s">
        <v>5657</v>
      </c>
    </row>
    <row r="52">
      <c r="A52" s="1">
        <v>51.0</v>
      </c>
      <c r="B52" s="4" t="s">
        <v>5658</v>
      </c>
    </row>
    <row r="53">
      <c r="A53" s="1">
        <v>52.0</v>
      </c>
      <c r="B53" s="4" t="s">
        <v>5659</v>
      </c>
    </row>
    <row r="54">
      <c r="A54" s="1">
        <v>53.0</v>
      </c>
      <c r="B54" s="4" t="s">
        <v>5660</v>
      </c>
    </row>
    <row r="55">
      <c r="A55" s="1">
        <v>54.0</v>
      </c>
      <c r="B55" s="4" t="s">
        <v>5661</v>
      </c>
    </row>
    <row r="56">
      <c r="A56" s="1">
        <v>55.0</v>
      </c>
      <c r="B56" s="4" t="s">
        <v>5662</v>
      </c>
    </row>
    <row r="57">
      <c r="A57" s="1">
        <v>56.0</v>
      </c>
      <c r="B57" s="4" t="s">
        <v>5663</v>
      </c>
    </row>
    <row r="58">
      <c r="A58" s="1">
        <v>57.0</v>
      </c>
      <c r="B58" s="4" t="s">
        <v>5664</v>
      </c>
    </row>
    <row r="59">
      <c r="A59" s="1">
        <v>58.0</v>
      </c>
      <c r="B59" s="4" t="s">
        <v>5665</v>
      </c>
    </row>
    <row r="60">
      <c r="A60" s="1">
        <v>59.0</v>
      </c>
      <c r="B60" s="4" t="s">
        <v>5666</v>
      </c>
    </row>
    <row r="61">
      <c r="A61" s="1">
        <v>60.0</v>
      </c>
      <c r="B61" s="4" t="s">
        <v>5667</v>
      </c>
    </row>
    <row r="62">
      <c r="A62" s="1">
        <v>61.0</v>
      </c>
      <c r="B62" s="4" t="s">
        <v>5668</v>
      </c>
    </row>
    <row r="63">
      <c r="A63" s="1">
        <v>62.0</v>
      </c>
      <c r="B63" s="4" t="s">
        <v>5669</v>
      </c>
    </row>
    <row r="64">
      <c r="A64" s="1">
        <v>63.0</v>
      </c>
      <c r="B64" s="4" t="s">
        <v>5670</v>
      </c>
    </row>
    <row r="65">
      <c r="A65" s="1">
        <v>64.0</v>
      </c>
      <c r="B65" s="4" t="s">
        <v>5671</v>
      </c>
    </row>
    <row r="66">
      <c r="A66" s="1">
        <v>65.0</v>
      </c>
      <c r="B66" s="4" t="s">
        <v>5672</v>
      </c>
    </row>
    <row r="67">
      <c r="A67" s="1">
        <v>66.0</v>
      </c>
      <c r="B67" s="4" t="s">
        <v>5673</v>
      </c>
    </row>
    <row r="68">
      <c r="A68" s="1">
        <v>67.0</v>
      </c>
      <c r="B68" s="4" t="s">
        <v>5674</v>
      </c>
    </row>
    <row r="69">
      <c r="A69" s="1">
        <v>68.0</v>
      </c>
      <c r="B69" s="4" t="s">
        <v>5675</v>
      </c>
    </row>
    <row r="70">
      <c r="A70" s="1">
        <v>69.0</v>
      </c>
      <c r="B70" s="4" t="s">
        <v>5676</v>
      </c>
    </row>
    <row r="71">
      <c r="A71" s="1">
        <v>70.0</v>
      </c>
      <c r="B71" s="4" t="s">
        <v>5677</v>
      </c>
    </row>
    <row r="72">
      <c r="A72" s="1">
        <v>71.0</v>
      </c>
      <c r="B72" s="4" t="s">
        <v>5678</v>
      </c>
    </row>
    <row r="73">
      <c r="A73" s="1">
        <v>72.0</v>
      </c>
      <c r="B73" s="4" t="s">
        <v>5679</v>
      </c>
    </row>
    <row r="74">
      <c r="A74" s="1">
        <v>73.0</v>
      </c>
      <c r="B74" s="4" t="s">
        <v>5680</v>
      </c>
    </row>
    <row r="75">
      <c r="A75" s="1">
        <v>74.0</v>
      </c>
      <c r="B75" s="4" t="s">
        <v>5681</v>
      </c>
    </row>
    <row r="76">
      <c r="A76" s="1">
        <v>75.0</v>
      </c>
      <c r="B76" s="4" t="s">
        <v>5682</v>
      </c>
    </row>
    <row r="77">
      <c r="A77" s="1">
        <v>76.0</v>
      </c>
      <c r="B77" s="4" t="s">
        <v>5683</v>
      </c>
    </row>
    <row r="78">
      <c r="A78" s="1">
        <v>77.0</v>
      </c>
      <c r="B78" s="4" t="s">
        <v>5684</v>
      </c>
    </row>
    <row r="79">
      <c r="A79" s="1">
        <v>78.0</v>
      </c>
      <c r="B79" s="4" t="s">
        <v>5685</v>
      </c>
    </row>
    <row r="80">
      <c r="A80" s="1">
        <v>79.0</v>
      </c>
      <c r="B80" s="4" t="s">
        <v>5686</v>
      </c>
    </row>
    <row r="81">
      <c r="A81" s="1">
        <v>80.0</v>
      </c>
      <c r="B81" s="4" t="s">
        <v>5687</v>
      </c>
    </row>
    <row r="82">
      <c r="A82" s="1">
        <v>81.0</v>
      </c>
      <c r="B82" s="4" t="s">
        <v>5688</v>
      </c>
    </row>
    <row r="83">
      <c r="A83" s="1">
        <v>82.0</v>
      </c>
      <c r="B83" s="4" t="s">
        <v>5689</v>
      </c>
    </row>
    <row r="84">
      <c r="A84" s="1">
        <v>83.0</v>
      </c>
      <c r="B84" s="4" t="s">
        <v>5690</v>
      </c>
    </row>
    <row r="85">
      <c r="A85" s="1">
        <v>84.0</v>
      </c>
      <c r="B85" s="4" t="s">
        <v>5691</v>
      </c>
    </row>
    <row r="86">
      <c r="A86" s="1">
        <v>85.0</v>
      </c>
      <c r="B86" s="4" t="s">
        <v>5692</v>
      </c>
    </row>
    <row r="87">
      <c r="A87" s="1">
        <v>86.0</v>
      </c>
      <c r="B87" s="4" t="s">
        <v>5693</v>
      </c>
    </row>
    <row r="88">
      <c r="A88" s="1">
        <v>87.0</v>
      </c>
      <c r="B88" s="4" t="s">
        <v>5694</v>
      </c>
    </row>
    <row r="89">
      <c r="A89" s="1">
        <v>88.0</v>
      </c>
      <c r="B89" s="4" t="s">
        <v>5695</v>
      </c>
    </row>
    <row r="90">
      <c r="A90" s="1">
        <v>89.0</v>
      </c>
      <c r="B90" s="4" t="s">
        <v>5696</v>
      </c>
    </row>
    <row r="91">
      <c r="A91" s="1">
        <v>90.0</v>
      </c>
      <c r="B91" s="4" t="s">
        <v>5697</v>
      </c>
    </row>
    <row r="92">
      <c r="A92" s="1">
        <v>91.0</v>
      </c>
      <c r="B92" s="4" t="s">
        <v>5698</v>
      </c>
    </row>
    <row r="93">
      <c r="A93" s="1">
        <v>92.0</v>
      </c>
      <c r="B93" s="4" t="s">
        <v>5699</v>
      </c>
    </row>
    <row r="94">
      <c r="A94" s="1">
        <v>93.0</v>
      </c>
      <c r="B94" s="4" t="s">
        <v>5700</v>
      </c>
    </row>
    <row r="95">
      <c r="A95" s="1">
        <v>94.0</v>
      </c>
      <c r="B95" s="4" t="s">
        <v>5701</v>
      </c>
    </row>
    <row r="96">
      <c r="A96" s="1">
        <v>95.0</v>
      </c>
      <c r="B96" s="4" t="s">
        <v>5702</v>
      </c>
    </row>
    <row r="97">
      <c r="A97" s="1">
        <v>96.0</v>
      </c>
      <c r="B97" s="4" t="s">
        <v>5703</v>
      </c>
    </row>
    <row r="98">
      <c r="A98" s="1">
        <v>97.0</v>
      </c>
      <c r="B98" s="4" t="s">
        <v>5704</v>
      </c>
    </row>
    <row r="99">
      <c r="A99" s="1">
        <v>98.0</v>
      </c>
      <c r="B99" s="4" t="s">
        <v>5705</v>
      </c>
    </row>
    <row r="100">
      <c r="A100" s="1">
        <v>99.0</v>
      </c>
      <c r="B100" s="4" t="s">
        <v>5706</v>
      </c>
    </row>
    <row r="101">
      <c r="A101" s="1">
        <v>100.0</v>
      </c>
      <c r="B101" s="4" t="s">
        <v>5707</v>
      </c>
    </row>
    <row r="102">
      <c r="A102" s="1">
        <v>101.0</v>
      </c>
      <c r="B102" s="4" t="s">
        <v>5708</v>
      </c>
    </row>
    <row r="103">
      <c r="A103" s="1">
        <v>102.0</v>
      </c>
      <c r="B103" s="4" t="s">
        <v>5709</v>
      </c>
    </row>
    <row r="104">
      <c r="A104" s="1">
        <v>103.0</v>
      </c>
      <c r="B104" s="4" t="s">
        <v>5710</v>
      </c>
    </row>
    <row r="105">
      <c r="A105" s="1">
        <v>104.0</v>
      </c>
      <c r="B105" s="4" t="s">
        <v>5711</v>
      </c>
    </row>
    <row r="106">
      <c r="A106" s="1">
        <v>105.0</v>
      </c>
      <c r="B106" s="4" t="s">
        <v>5712</v>
      </c>
    </row>
    <row r="107">
      <c r="A107" s="1">
        <v>106.0</v>
      </c>
      <c r="B107" s="4" t="s">
        <v>5713</v>
      </c>
    </row>
    <row r="108">
      <c r="A108" s="1">
        <v>107.0</v>
      </c>
      <c r="B108" s="4" t="s">
        <v>5714</v>
      </c>
    </row>
    <row r="109">
      <c r="A109" s="1">
        <v>108.0</v>
      </c>
      <c r="B109" s="4" t="s">
        <v>5715</v>
      </c>
    </row>
    <row r="110">
      <c r="A110" s="1">
        <v>109.0</v>
      </c>
      <c r="B110" s="4" t="s">
        <v>5716</v>
      </c>
    </row>
    <row r="111">
      <c r="A111" s="1">
        <v>110.0</v>
      </c>
      <c r="B111" s="4" t="s">
        <v>5717</v>
      </c>
    </row>
    <row r="112">
      <c r="A112" s="1">
        <v>111.0</v>
      </c>
      <c r="B112" s="4" t="s">
        <v>5718</v>
      </c>
    </row>
    <row r="113">
      <c r="A113" s="1">
        <v>112.0</v>
      </c>
      <c r="B113" s="4" t="s">
        <v>5719</v>
      </c>
    </row>
    <row r="114">
      <c r="A114" s="1">
        <v>113.0</v>
      </c>
      <c r="B114" s="4" t="s">
        <v>5720</v>
      </c>
    </row>
    <row r="115">
      <c r="A115" s="1">
        <v>114.0</v>
      </c>
      <c r="B115" s="4" t="s">
        <v>5721</v>
      </c>
    </row>
    <row r="116">
      <c r="A116" s="1">
        <v>115.0</v>
      </c>
      <c r="B116" s="4" t="s">
        <v>5722</v>
      </c>
    </row>
    <row r="117">
      <c r="A117" s="1">
        <v>116.0</v>
      </c>
      <c r="B117" s="4" t="s">
        <v>5723</v>
      </c>
    </row>
    <row r="118">
      <c r="A118" s="1">
        <v>117.0</v>
      </c>
      <c r="B118" s="4" t="s">
        <v>5724</v>
      </c>
    </row>
    <row r="119">
      <c r="A119" s="1">
        <v>118.0</v>
      </c>
      <c r="B119" s="4" t="s">
        <v>5725</v>
      </c>
    </row>
    <row r="120">
      <c r="A120" s="1">
        <v>119.0</v>
      </c>
      <c r="B120" s="4" t="s">
        <v>5726</v>
      </c>
    </row>
    <row r="121">
      <c r="A121" s="1">
        <v>120.0</v>
      </c>
      <c r="B121" s="4" t="s">
        <v>5727</v>
      </c>
    </row>
    <row r="122">
      <c r="A122" s="1">
        <v>121.0</v>
      </c>
      <c r="B122" s="4" t="s">
        <v>5728</v>
      </c>
    </row>
    <row r="123">
      <c r="A123" s="1">
        <v>122.0</v>
      </c>
      <c r="B123" s="4" t="s">
        <v>5729</v>
      </c>
    </row>
    <row r="124">
      <c r="A124" s="1">
        <v>123.0</v>
      </c>
      <c r="B124" s="4" t="s">
        <v>5730</v>
      </c>
    </row>
    <row r="125">
      <c r="A125" s="1">
        <v>124.0</v>
      </c>
      <c r="B125" s="4" t="s">
        <v>5731</v>
      </c>
    </row>
    <row r="126">
      <c r="A126" s="1">
        <v>125.0</v>
      </c>
      <c r="B126" s="4" t="s">
        <v>5732</v>
      </c>
    </row>
    <row r="127">
      <c r="A127" s="1">
        <v>126.0</v>
      </c>
      <c r="B127" s="4" t="s">
        <v>5733</v>
      </c>
    </row>
    <row r="128">
      <c r="A128" s="1">
        <v>127.0</v>
      </c>
      <c r="B128" s="4" t="s">
        <v>5734</v>
      </c>
    </row>
    <row r="129">
      <c r="A129" s="1">
        <v>128.0</v>
      </c>
      <c r="B129" s="4" t="s">
        <v>5735</v>
      </c>
    </row>
    <row r="130">
      <c r="A130" s="1">
        <v>129.0</v>
      </c>
      <c r="B130" s="4" t="s">
        <v>5736</v>
      </c>
    </row>
    <row r="131">
      <c r="A131" s="1">
        <v>130.0</v>
      </c>
      <c r="B131" s="4" t="s">
        <v>5737</v>
      </c>
    </row>
    <row r="132">
      <c r="A132" s="1">
        <v>131.0</v>
      </c>
      <c r="B132" s="4" t="s">
        <v>5738</v>
      </c>
    </row>
    <row r="133">
      <c r="A133" s="1">
        <v>132.0</v>
      </c>
      <c r="B133" s="4" t="s">
        <v>5739</v>
      </c>
    </row>
    <row r="134">
      <c r="A134" s="1">
        <v>133.0</v>
      </c>
      <c r="B134" s="4" t="s">
        <v>5740</v>
      </c>
    </row>
    <row r="135">
      <c r="A135" s="1">
        <v>134.0</v>
      </c>
      <c r="B135" s="4" t="s">
        <v>5741</v>
      </c>
    </row>
    <row r="136">
      <c r="A136" s="1">
        <v>135.0</v>
      </c>
      <c r="B136" s="4" t="s">
        <v>5742</v>
      </c>
    </row>
    <row r="137">
      <c r="A137" s="1">
        <v>136.0</v>
      </c>
      <c r="B137" s="4" t="s">
        <v>5743</v>
      </c>
    </row>
    <row r="138">
      <c r="A138" s="1">
        <v>137.0</v>
      </c>
      <c r="B138" s="4" t="s">
        <v>5744</v>
      </c>
    </row>
    <row r="139">
      <c r="A139" s="1">
        <v>138.0</v>
      </c>
      <c r="B139" s="4" t="s">
        <v>5745</v>
      </c>
    </row>
    <row r="140">
      <c r="A140" s="1">
        <v>139.0</v>
      </c>
      <c r="B140" s="4" t="s">
        <v>5746</v>
      </c>
    </row>
    <row r="141">
      <c r="A141" s="1">
        <v>140.0</v>
      </c>
      <c r="B141" s="4" t="s">
        <v>5747</v>
      </c>
    </row>
    <row r="142">
      <c r="A142" s="1">
        <v>141.0</v>
      </c>
      <c r="B142" s="4" t="s">
        <v>5748</v>
      </c>
    </row>
    <row r="143">
      <c r="A143" s="1">
        <v>142.0</v>
      </c>
      <c r="B143" s="4" t="s">
        <v>5749</v>
      </c>
    </row>
    <row r="144">
      <c r="A144" s="1">
        <v>143.0</v>
      </c>
      <c r="B144" s="4" t="s">
        <v>5750</v>
      </c>
    </row>
    <row r="145">
      <c r="A145" s="1">
        <v>144.0</v>
      </c>
      <c r="B145" s="4" t="s">
        <v>5751</v>
      </c>
    </row>
    <row r="146">
      <c r="A146" s="1">
        <v>145.0</v>
      </c>
      <c r="B146" s="4" t="s">
        <v>5752</v>
      </c>
    </row>
    <row r="147">
      <c r="A147" s="1">
        <v>146.0</v>
      </c>
      <c r="B147" s="4" t="s">
        <v>5753</v>
      </c>
    </row>
    <row r="148">
      <c r="A148" s="1">
        <v>147.0</v>
      </c>
      <c r="B148" s="4" t="s">
        <v>5754</v>
      </c>
    </row>
    <row r="149">
      <c r="A149" s="1">
        <v>148.0</v>
      </c>
      <c r="B149" s="4" t="s">
        <v>5755</v>
      </c>
    </row>
    <row r="150">
      <c r="A150" s="1">
        <v>149.0</v>
      </c>
      <c r="B150" s="4" t="s">
        <v>5756</v>
      </c>
    </row>
    <row r="151">
      <c r="A151" s="1">
        <v>150.0</v>
      </c>
      <c r="B151" s="4" t="s">
        <v>5757</v>
      </c>
    </row>
    <row r="152">
      <c r="A152" s="1">
        <v>151.0</v>
      </c>
      <c r="B152" s="4" t="s">
        <v>5758</v>
      </c>
    </row>
    <row r="153">
      <c r="A153" s="1">
        <v>152.0</v>
      </c>
      <c r="B153" s="4" t="s">
        <v>5759</v>
      </c>
    </row>
    <row r="154">
      <c r="A154" s="1">
        <v>153.0</v>
      </c>
      <c r="B154" s="4" t="s">
        <v>5760</v>
      </c>
    </row>
    <row r="155">
      <c r="A155" s="1">
        <v>154.0</v>
      </c>
      <c r="B155" s="4" t="s">
        <v>5761</v>
      </c>
    </row>
    <row r="156">
      <c r="A156" s="1">
        <v>155.0</v>
      </c>
      <c r="B156" s="4" t="s">
        <v>5762</v>
      </c>
    </row>
    <row r="157">
      <c r="A157" s="1">
        <v>156.0</v>
      </c>
      <c r="B157" s="4" t="s">
        <v>5763</v>
      </c>
    </row>
    <row r="158">
      <c r="A158" s="1">
        <v>157.0</v>
      </c>
      <c r="B158" s="4" t="s">
        <v>5764</v>
      </c>
    </row>
    <row r="159">
      <c r="A159" s="1">
        <v>158.0</v>
      </c>
      <c r="B159" s="4" t="s">
        <v>5765</v>
      </c>
    </row>
    <row r="160">
      <c r="A160" s="1">
        <v>159.0</v>
      </c>
      <c r="B160" s="4" t="s">
        <v>5766</v>
      </c>
    </row>
    <row r="161">
      <c r="A161" s="1">
        <v>160.0</v>
      </c>
      <c r="B161" s="4" t="s">
        <v>5767</v>
      </c>
    </row>
    <row r="162">
      <c r="A162" s="1">
        <v>161.0</v>
      </c>
      <c r="B162" s="4" t="s">
        <v>5768</v>
      </c>
    </row>
    <row r="163">
      <c r="A163" s="1">
        <v>162.0</v>
      </c>
      <c r="B163" s="4" t="s">
        <v>5769</v>
      </c>
    </row>
    <row r="164">
      <c r="A164" s="1">
        <v>163.0</v>
      </c>
      <c r="B164" s="4" t="s">
        <v>5770</v>
      </c>
    </row>
    <row r="165">
      <c r="A165" s="1">
        <v>164.0</v>
      </c>
      <c r="B165" s="4" t="s">
        <v>5771</v>
      </c>
    </row>
    <row r="166">
      <c r="A166" s="1">
        <v>165.0</v>
      </c>
      <c r="B166" s="4" t="s">
        <v>5772</v>
      </c>
    </row>
    <row r="167">
      <c r="A167" s="1">
        <v>166.0</v>
      </c>
      <c r="B167" s="4" t="s">
        <v>5773</v>
      </c>
    </row>
    <row r="168">
      <c r="A168" s="1">
        <v>167.0</v>
      </c>
      <c r="B168" s="4" t="s">
        <v>5774</v>
      </c>
    </row>
    <row r="169">
      <c r="A169" s="1">
        <v>168.0</v>
      </c>
      <c r="B169" s="4" t="s">
        <v>5775</v>
      </c>
    </row>
    <row r="170">
      <c r="A170" s="1">
        <v>169.0</v>
      </c>
      <c r="B170" s="4" t="s">
        <v>5776</v>
      </c>
    </row>
    <row r="171">
      <c r="A171" s="1">
        <v>170.0</v>
      </c>
      <c r="B171" s="4" t="s">
        <v>5777</v>
      </c>
    </row>
    <row r="172">
      <c r="A172" s="1">
        <v>171.0</v>
      </c>
      <c r="B172" s="4" t="s">
        <v>5778</v>
      </c>
    </row>
    <row r="173">
      <c r="A173" s="1">
        <v>172.0</v>
      </c>
      <c r="B173" s="4" t="s">
        <v>5779</v>
      </c>
    </row>
    <row r="174">
      <c r="A174" s="1">
        <v>173.0</v>
      </c>
      <c r="B174" s="4" t="s">
        <v>5780</v>
      </c>
    </row>
    <row r="175">
      <c r="A175" s="1">
        <v>174.0</v>
      </c>
      <c r="B175" s="4" t="s">
        <v>5781</v>
      </c>
    </row>
    <row r="176">
      <c r="A176" s="1">
        <v>175.0</v>
      </c>
      <c r="B176" s="4" t="s">
        <v>5782</v>
      </c>
    </row>
    <row r="177">
      <c r="A177" s="1">
        <v>176.0</v>
      </c>
      <c r="B177" s="4" t="s">
        <v>5783</v>
      </c>
    </row>
    <row r="178">
      <c r="A178" s="1">
        <v>177.0</v>
      </c>
      <c r="B178" s="4" t="s">
        <v>5784</v>
      </c>
    </row>
    <row r="179">
      <c r="A179" s="1">
        <v>178.0</v>
      </c>
      <c r="B179" s="4" t="s">
        <v>5785</v>
      </c>
    </row>
    <row r="180">
      <c r="A180" s="1">
        <v>179.0</v>
      </c>
      <c r="B180" s="4" t="s">
        <v>5786</v>
      </c>
    </row>
    <row r="181">
      <c r="A181" s="1">
        <v>180.0</v>
      </c>
      <c r="B181" s="4" t="s">
        <v>5787</v>
      </c>
    </row>
    <row r="182">
      <c r="A182" s="1">
        <v>181.0</v>
      </c>
      <c r="B182" s="4" t="s">
        <v>5788</v>
      </c>
    </row>
    <row r="183">
      <c r="A183" s="1">
        <v>182.0</v>
      </c>
      <c r="B183" s="4" t="s">
        <v>5789</v>
      </c>
    </row>
    <row r="184">
      <c r="A184" s="1">
        <v>183.0</v>
      </c>
      <c r="B184" s="4" t="s">
        <v>5790</v>
      </c>
    </row>
    <row r="185">
      <c r="A185" s="1">
        <v>184.0</v>
      </c>
      <c r="B185" s="4" t="s">
        <v>5791</v>
      </c>
    </row>
    <row r="186">
      <c r="A186" s="1">
        <v>185.0</v>
      </c>
      <c r="B186" s="4" t="s">
        <v>5792</v>
      </c>
    </row>
    <row r="187">
      <c r="A187" s="1">
        <v>186.0</v>
      </c>
      <c r="B187" s="4" t="s">
        <v>5793</v>
      </c>
    </row>
    <row r="188">
      <c r="A188" s="1">
        <v>187.0</v>
      </c>
      <c r="B188" s="4" t="s">
        <v>5794</v>
      </c>
    </row>
    <row r="189">
      <c r="A189" s="1">
        <v>188.0</v>
      </c>
      <c r="B189" s="4" t="s">
        <v>5795</v>
      </c>
    </row>
    <row r="190">
      <c r="A190" s="1">
        <v>189.0</v>
      </c>
      <c r="B190" s="4" t="s">
        <v>5796</v>
      </c>
    </row>
    <row r="191">
      <c r="A191" s="1">
        <v>190.0</v>
      </c>
      <c r="B191" s="4" t="s">
        <v>5797</v>
      </c>
    </row>
    <row r="192">
      <c r="A192" s="1">
        <v>191.0</v>
      </c>
      <c r="B192" s="4" t="s">
        <v>5798</v>
      </c>
    </row>
    <row r="193">
      <c r="A193" s="1">
        <v>192.0</v>
      </c>
      <c r="B193" s="4" t="s">
        <v>5799</v>
      </c>
    </row>
    <row r="194">
      <c r="A194" s="1">
        <v>193.0</v>
      </c>
      <c r="B194" s="4" t="s">
        <v>5800</v>
      </c>
    </row>
    <row r="195">
      <c r="A195" s="1">
        <v>194.0</v>
      </c>
      <c r="B195" s="4" t="s">
        <v>5801</v>
      </c>
    </row>
    <row r="196">
      <c r="A196" s="1">
        <v>195.0</v>
      </c>
      <c r="B196" s="4" t="s">
        <v>5802</v>
      </c>
    </row>
    <row r="197">
      <c r="A197" s="1">
        <v>196.0</v>
      </c>
      <c r="B197" s="4" t="s">
        <v>5803</v>
      </c>
    </row>
    <row r="198">
      <c r="A198" s="1">
        <v>197.0</v>
      </c>
      <c r="B198" s="4" t="s">
        <v>5804</v>
      </c>
    </row>
    <row r="199">
      <c r="A199" s="1">
        <v>198.0</v>
      </c>
      <c r="B199" s="4" t="s">
        <v>5805</v>
      </c>
    </row>
    <row r="200">
      <c r="A200" s="1">
        <v>199.0</v>
      </c>
      <c r="B200" s="4" t="s">
        <v>5806</v>
      </c>
    </row>
    <row r="201">
      <c r="A201" s="1">
        <v>200.0</v>
      </c>
      <c r="B201" s="4" t="s">
        <v>5807</v>
      </c>
    </row>
    <row r="202">
      <c r="A202" s="1">
        <v>201.0</v>
      </c>
      <c r="B202" s="4" t="s">
        <v>5808</v>
      </c>
    </row>
    <row r="203">
      <c r="A203" s="1">
        <v>202.0</v>
      </c>
      <c r="B203" s="4" t="s">
        <v>5809</v>
      </c>
    </row>
    <row r="204">
      <c r="A204" s="1">
        <v>203.0</v>
      </c>
      <c r="B204" s="4" t="s">
        <v>5810</v>
      </c>
    </row>
    <row r="205">
      <c r="A205" s="1">
        <v>204.0</v>
      </c>
      <c r="B205" s="4" t="s">
        <v>5811</v>
      </c>
    </row>
    <row r="206">
      <c r="A206" s="1">
        <v>205.0</v>
      </c>
      <c r="B206" s="4" t="s">
        <v>5812</v>
      </c>
    </row>
    <row r="207">
      <c r="A207" s="1">
        <v>206.0</v>
      </c>
      <c r="B207" s="4" t="s">
        <v>5813</v>
      </c>
    </row>
    <row r="208">
      <c r="A208" s="1">
        <v>207.0</v>
      </c>
      <c r="B208" s="4" t="s">
        <v>5814</v>
      </c>
    </row>
    <row r="209">
      <c r="A209" s="1">
        <v>208.0</v>
      </c>
      <c r="B209" s="4" t="s">
        <v>5815</v>
      </c>
    </row>
    <row r="210">
      <c r="A210" s="1">
        <v>209.0</v>
      </c>
      <c r="B210" s="4" t="s">
        <v>5816</v>
      </c>
    </row>
    <row r="211">
      <c r="A211" s="1">
        <v>210.0</v>
      </c>
      <c r="B211" s="4" t="s">
        <v>5817</v>
      </c>
    </row>
    <row r="212">
      <c r="A212" s="1">
        <v>211.0</v>
      </c>
      <c r="B212" s="4" t="s">
        <v>5818</v>
      </c>
    </row>
    <row r="213">
      <c r="A213" s="1">
        <v>212.0</v>
      </c>
      <c r="B213" s="4" t="s">
        <v>5819</v>
      </c>
    </row>
    <row r="214">
      <c r="A214" s="1">
        <v>213.0</v>
      </c>
      <c r="B214" s="4" t="s">
        <v>5820</v>
      </c>
    </row>
    <row r="215">
      <c r="A215" s="1">
        <v>214.0</v>
      </c>
      <c r="B215" s="4" t="s">
        <v>5821</v>
      </c>
    </row>
    <row r="216">
      <c r="A216" s="1">
        <v>215.0</v>
      </c>
      <c r="B216" s="4" t="s">
        <v>5822</v>
      </c>
    </row>
    <row r="217">
      <c r="A217" s="1">
        <v>216.0</v>
      </c>
      <c r="B217" s="4" t="s">
        <v>5823</v>
      </c>
    </row>
    <row r="218">
      <c r="A218" s="1">
        <v>217.0</v>
      </c>
      <c r="B218" s="4" t="s">
        <v>5824</v>
      </c>
    </row>
    <row r="219">
      <c r="A219" s="1">
        <v>218.0</v>
      </c>
      <c r="B219" s="4" t="s">
        <v>5825</v>
      </c>
    </row>
    <row r="220">
      <c r="A220" s="1">
        <v>219.0</v>
      </c>
      <c r="B220" s="4" t="s">
        <v>5826</v>
      </c>
    </row>
    <row r="221">
      <c r="A221" s="1">
        <v>220.0</v>
      </c>
      <c r="B221" s="4" t="s">
        <v>5827</v>
      </c>
    </row>
    <row r="222">
      <c r="A222" s="1">
        <v>221.0</v>
      </c>
      <c r="B222" s="4" t="s">
        <v>5828</v>
      </c>
    </row>
    <row r="223">
      <c r="A223" s="1">
        <v>222.0</v>
      </c>
      <c r="B223" s="4" t="s">
        <v>5829</v>
      </c>
    </row>
    <row r="224">
      <c r="A224" s="1">
        <v>223.0</v>
      </c>
      <c r="B224" s="4" t="s">
        <v>5830</v>
      </c>
    </row>
    <row r="225">
      <c r="A225" s="1">
        <v>224.0</v>
      </c>
      <c r="B225" s="4" t="s">
        <v>5831</v>
      </c>
    </row>
    <row r="226">
      <c r="A226" s="1">
        <v>225.0</v>
      </c>
      <c r="B226" s="4" t="s">
        <v>5832</v>
      </c>
    </row>
    <row r="227">
      <c r="A227" s="1">
        <v>226.0</v>
      </c>
      <c r="B227" s="4" t="s">
        <v>5833</v>
      </c>
    </row>
    <row r="228">
      <c r="A228" s="1">
        <v>227.0</v>
      </c>
      <c r="B228" s="4" t="s">
        <v>5834</v>
      </c>
    </row>
    <row r="229">
      <c r="A229" s="1">
        <v>228.0</v>
      </c>
      <c r="B229" s="4" t="s">
        <v>5835</v>
      </c>
    </row>
    <row r="230">
      <c r="A230" s="1">
        <v>229.0</v>
      </c>
      <c r="B230" s="4" t="s">
        <v>5836</v>
      </c>
    </row>
    <row r="231">
      <c r="A231" s="1">
        <v>230.0</v>
      </c>
      <c r="B231" s="4" t="s">
        <v>5837</v>
      </c>
    </row>
    <row r="232">
      <c r="A232" s="1">
        <v>231.0</v>
      </c>
      <c r="B232" s="4" t="s">
        <v>5838</v>
      </c>
    </row>
    <row r="233">
      <c r="A233" s="1">
        <v>232.0</v>
      </c>
      <c r="B233" s="4" t="s">
        <v>5839</v>
      </c>
    </row>
    <row r="234">
      <c r="A234" s="1">
        <v>233.0</v>
      </c>
      <c r="B234" s="4" t="s">
        <v>5840</v>
      </c>
    </row>
    <row r="235">
      <c r="A235" s="1">
        <v>234.0</v>
      </c>
      <c r="B235" s="4" t="s">
        <v>5841</v>
      </c>
    </row>
    <row r="236">
      <c r="A236" s="1">
        <v>235.0</v>
      </c>
      <c r="B236" s="4" t="s">
        <v>5842</v>
      </c>
    </row>
    <row r="237">
      <c r="A237" s="1">
        <v>236.0</v>
      </c>
      <c r="B237" s="4" t="s">
        <v>5843</v>
      </c>
    </row>
    <row r="238">
      <c r="A238" s="1">
        <v>237.0</v>
      </c>
      <c r="B238" s="4" t="s">
        <v>5844</v>
      </c>
    </row>
    <row r="239">
      <c r="A239" s="1">
        <v>238.0</v>
      </c>
      <c r="B239" s="4" t="s">
        <v>5845</v>
      </c>
    </row>
    <row r="240">
      <c r="A240" s="1">
        <v>239.0</v>
      </c>
      <c r="B240" s="4" t="s">
        <v>5846</v>
      </c>
    </row>
    <row r="241">
      <c r="A241" s="1">
        <v>240.0</v>
      </c>
      <c r="B241" s="4" t="s">
        <v>5847</v>
      </c>
    </row>
    <row r="242">
      <c r="A242" s="1">
        <v>241.0</v>
      </c>
      <c r="B242" s="4" t="s">
        <v>5848</v>
      </c>
    </row>
    <row r="243">
      <c r="A243" s="1">
        <v>242.0</v>
      </c>
      <c r="B243" s="4" t="s">
        <v>5849</v>
      </c>
    </row>
    <row r="244">
      <c r="A244" s="1">
        <v>243.0</v>
      </c>
      <c r="B244" s="4" t="s">
        <v>5850</v>
      </c>
    </row>
    <row r="245">
      <c r="A245" s="1">
        <v>244.0</v>
      </c>
      <c r="B245" s="4" t="s">
        <v>5851</v>
      </c>
    </row>
    <row r="246">
      <c r="A246" s="1">
        <v>245.0</v>
      </c>
      <c r="B246" s="4" t="s">
        <v>5852</v>
      </c>
    </row>
    <row r="247">
      <c r="A247" s="1">
        <v>246.0</v>
      </c>
      <c r="B247" s="4" t="s">
        <v>5853</v>
      </c>
    </row>
    <row r="248">
      <c r="A248" s="1">
        <v>247.0</v>
      </c>
      <c r="B248" s="4" t="s">
        <v>5854</v>
      </c>
    </row>
    <row r="249">
      <c r="A249" s="1">
        <v>248.0</v>
      </c>
      <c r="B249" s="4" t="s">
        <v>5855</v>
      </c>
    </row>
    <row r="250">
      <c r="A250" s="1">
        <v>249.0</v>
      </c>
      <c r="B250" s="4" t="s">
        <v>5856</v>
      </c>
    </row>
    <row r="251">
      <c r="A251" s="1">
        <v>250.0</v>
      </c>
      <c r="B251" s="4" t="s">
        <v>5857</v>
      </c>
    </row>
    <row r="252">
      <c r="A252" s="1">
        <v>251.0</v>
      </c>
      <c r="B252" s="4" t="s">
        <v>5858</v>
      </c>
    </row>
    <row r="253">
      <c r="A253" s="1">
        <v>252.0</v>
      </c>
      <c r="B253" s="4" t="s">
        <v>5859</v>
      </c>
    </row>
    <row r="254">
      <c r="A254" s="1">
        <v>253.0</v>
      </c>
      <c r="B254" s="4" t="s">
        <v>5860</v>
      </c>
    </row>
    <row r="255">
      <c r="A255" s="1">
        <v>254.0</v>
      </c>
      <c r="B255" s="4" t="s">
        <v>5861</v>
      </c>
    </row>
    <row r="256">
      <c r="A256" s="1">
        <v>255.0</v>
      </c>
      <c r="B256" s="4" t="s">
        <v>5862</v>
      </c>
    </row>
    <row r="257">
      <c r="A257" s="1">
        <v>256.0</v>
      </c>
      <c r="B257" s="4" t="s">
        <v>5863</v>
      </c>
    </row>
    <row r="258">
      <c r="A258" s="1">
        <v>257.0</v>
      </c>
      <c r="B258" s="4" t="s">
        <v>5864</v>
      </c>
    </row>
    <row r="259">
      <c r="A259" s="1">
        <v>258.0</v>
      </c>
      <c r="B259" s="4" t="s">
        <v>5865</v>
      </c>
    </row>
    <row r="260">
      <c r="A260" s="1">
        <v>259.0</v>
      </c>
      <c r="B260" s="4" t="s">
        <v>5866</v>
      </c>
    </row>
    <row r="261">
      <c r="A261" s="1">
        <v>260.0</v>
      </c>
      <c r="B261" s="4" t="s">
        <v>5867</v>
      </c>
    </row>
    <row r="262">
      <c r="A262" s="1">
        <v>261.0</v>
      </c>
      <c r="B262" s="4" t="s">
        <v>5868</v>
      </c>
    </row>
    <row r="263">
      <c r="A263" s="1">
        <v>262.0</v>
      </c>
      <c r="B263" s="4" t="s">
        <v>5869</v>
      </c>
    </row>
    <row r="264">
      <c r="A264" s="1">
        <v>263.0</v>
      </c>
      <c r="B264" s="4" t="s">
        <v>5870</v>
      </c>
    </row>
    <row r="265">
      <c r="A265" s="1">
        <v>264.0</v>
      </c>
      <c r="B265" s="4" t="s">
        <v>5871</v>
      </c>
    </row>
    <row r="266">
      <c r="A266" s="1">
        <v>265.0</v>
      </c>
      <c r="B266" s="4" t="s">
        <v>5872</v>
      </c>
    </row>
    <row r="267">
      <c r="A267" s="1">
        <v>266.0</v>
      </c>
      <c r="B267" s="4" t="s">
        <v>5873</v>
      </c>
    </row>
    <row r="268">
      <c r="A268" s="1">
        <v>267.0</v>
      </c>
      <c r="B268" s="4" t="s">
        <v>5874</v>
      </c>
    </row>
    <row r="269">
      <c r="A269" s="1">
        <v>268.0</v>
      </c>
      <c r="B269" s="4" t="s">
        <v>5875</v>
      </c>
    </row>
    <row r="270">
      <c r="A270" s="1">
        <v>269.0</v>
      </c>
      <c r="B270" s="4" t="s">
        <v>5876</v>
      </c>
    </row>
    <row r="271">
      <c r="A271" s="1">
        <v>270.0</v>
      </c>
      <c r="B271" s="4" t="s">
        <v>5877</v>
      </c>
    </row>
    <row r="272">
      <c r="A272" s="1">
        <v>271.0</v>
      </c>
      <c r="B272" s="4" t="s">
        <v>5878</v>
      </c>
    </row>
    <row r="273">
      <c r="A273" s="1">
        <v>272.0</v>
      </c>
      <c r="B273" s="4" t="s">
        <v>5879</v>
      </c>
    </row>
    <row r="274">
      <c r="A274" s="1">
        <v>273.0</v>
      </c>
      <c r="B274" s="4" t="s">
        <v>5880</v>
      </c>
    </row>
    <row r="275">
      <c r="A275" s="1">
        <v>274.0</v>
      </c>
      <c r="B275" s="4" t="s">
        <v>5881</v>
      </c>
    </row>
    <row r="276">
      <c r="A276" s="1">
        <v>275.0</v>
      </c>
      <c r="B276" s="4" t="s">
        <v>5882</v>
      </c>
    </row>
    <row r="277">
      <c r="A277" s="1">
        <v>276.0</v>
      </c>
      <c r="B277" s="4" t="s">
        <v>5883</v>
      </c>
    </row>
    <row r="278">
      <c r="A278" s="1">
        <v>277.0</v>
      </c>
      <c r="B278" s="4" t="s">
        <v>5884</v>
      </c>
    </row>
    <row r="279">
      <c r="A279" s="1">
        <v>278.0</v>
      </c>
      <c r="B279" s="4" t="s">
        <v>5885</v>
      </c>
    </row>
    <row r="280">
      <c r="A280" s="1">
        <v>279.0</v>
      </c>
      <c r="B280" s="4" t="s">
        <v>5886</v>
      </c>
    </row>
    <row r="281">
      <c r="A281" s="1">
        <v>280.0</v>
      </c>
      <c r="B281" s="4" t="s">
        <v>5887</v>
      </c>
    </row>
    <row r="282">
      <c r="A282" s="1">
        <v>281.0</v>
      </c>
      <c r="B282" s="4" t="s">
        <v>5888</v>
      </c>
    </row>
    <row r="283">
      <c r="A283" s="1">
        <v>282.0</v>
      </c>
      <c r="B283" s="4" t="s">
        <v>5889</v>
      </c>
    </row>
    <row r="284">
      <c r="A284" s="1">
        <v>283.0</v>
      </c>
      <c r="B284" s="4" t="s">
        <v>5890</v>
      </c>
    </row>
    <row r="285">
      <c r="A285" s="1">
        <v>284.0</v>
      </c>
      <c r="B285" s="4" t="s">
        <v>5891</v>
      </c>
    </row>
    <row r="286">
      <c r="A286" s="1">
        <v>285.0</v>
      </c>
      <c r="B286" s="4" t="s">
        <v>5892</v>
      </c>
    </row>
    <row r="287">
      <c r="A287" s="1">
        <v>286.0</v>
      </c>
      <c r="B287" s="4" t="s">
        <v>5893</v>
      </c>
    </row>
    <row r="288">
      <c r="A288" s="1">
        <v>287.0</v>
      </c>
      <c r="B288" s="4" t="s">
        <v>5894</v>
      </c>
    </row>
    <row r="289">
      <c r="A289" s="1">
        <v>288.0</v>
      </c>
      <c r="B289" s="4" t="s">
        <v>5895</v>
      </c>
    </row>
    <row r="290">
      <c r="A290" s="1">
        <v>289.0</v>
      </c>
      <c r="B290" s="4" t="s">
        <v>5896</v>
      </c>
    </row>
    <row r="291">
      <c r="A291" s="1">
        <v>290.0</v>
      </c>
      <c r="B291" s="4" t="s">
        <v>5897</v>
      </c>
    </row>
    <row r="292">
      <c r="A292" s="1">
        <v>291.0</v>
      </c>
      <c r="B292" s="4" t="s">
        <v>5898</v>
      </c>
    </row>
    <row r="293">
      <c r="A293" s="1">
        <v>292.0</v>
      </c>
      <c r="B293" s="4" t="s">
        <v>5899</v>
      </c>
    </row>
    <row r="294">
      <c r="A294" s="1">
        <v>293.0</v>
      </c>
      <c r="B294" s="4" t="s">
        <v>5900</v>
      </c>
    </row>
    <row r="295">
      <c r="A295" s="1">
        <v>294.0</v>
      </c>
      <c r="B295" s="4" t="s">
        <v>5901</v>
      </c>
    </row>
    <row r="296">
      <c r="A296" s="1">
        <v>295.0</v>
      </c>
      <c r="B296" s="4" t="s">
        <v>5902</v>
      </c>
    </row>
    <row r="297">
      <c r="A297" s="1">
        <v>296.0</v>
      </c>
      <c r="B297" s="4" t="s">
        <v>5903</v>
      </c>
    </row>
    <row r="298">
      <c r="A298" s="1">
        <v>297.0</v>
      </c>
      <c r="B298" s="4" t="s">
        <v>5904</v>
      </c>
    </row>
    <row r="299">
      <c r="A299" s="1">
        <v>298.0</v>
      </c>
      <c r="B299" s="4" t="s">
        <v>5905</v>
      </c>
    </row>
    <row r="300">
      <c r="A300" s="1">
        <v>299.0</v>
      </c>
      <c r="B300" s="4" t="s">
        <v>5906</v>
      </c>
    </row>
    <row r="301">
      <c r="A301" s="1">
        <v>300.0</v>
      </c>
      <c r="B301" s="4" t="s">
        <v>5907</v>
      </c>
    </row>
    <row r="302">
      <c r="A302" s="1">
        <v>301.0</v>
      </c>
      <c r="B302" s="4" t="s">
        <v>5908</v>
      </c>
    </row>
    <row r="303">
      <c r="A303" s="1">
        <v>302.0</v>
      </c>
      <c r="B303" s="4" t="s">
        <v>5909</v>
      </c>
    </row>
    <row r="304">
      <c r="A304" s="1">
        <v>303.0</v>
      </c>
      <c r="B304" s="4" t="s">
        <v>5910</v>
      </c>
    </row>
    <row r="305">
      <c r="A305" s="1">
        <v>304.0</v>
      </c>
      <c r="B305" s="4" t="s">
        <v>5911</v>
      </c>
    </row>
    <row r="306">
      <c r="A306" s="1">
        <v>305.0</v>
      </c>
      <c r="B306" s="4" t="s">
        <v>5912</v>
      </c>
    </row>
    <row r="307">
      <c r="A307" s="1">
        <v>306.0</v>
      </c>
      <c r="B307" s="4" t="s">
        <v>5913</v>
      </c>
    </row>
    <row r="308">
      <c r="A308" s="1">
        <v>307.0</v>
      </c>
      <c r="B308" s="4" t="s">
        <v>5914</v>
      </c>
    </row>
    <row r="309">
      <c r="A309" s="1">
        <v>308.0</v>
      </c>
      <c r="B309" s="4" t="s">
        <v>5915</v>
      </c>
    </row>
    <row r="310">
      <c r="A310" s="1">
        <v>309.0</v>
      </c>
      <c r="B310" s="4" t="s">
        <v>5916</v>
      </c>
    </row>
    <row r="311">
      <c r="A311" s="1">
        <v>310.0</v>
      </c>
      <c r="B311" s="4" t="s">
        <v>5917</v>
      </c>
    </row>
    <row r="312">
      <c r="A312" s="1">
        <v>311.0</v>
      </c>
      <c r="B312" s="4" t="s">
        <v>5918</v>
      </c>
    </row>
    <row r="313">
      <c r="A313" s="1">
        <v>312.0</v>
      </c>
      <c r="B313" s="4" t="s">
        <v>5919</v>
      </c>
    </row>
    <row r="314">
      <c r="A314" s="1">
        <v>313.0</v>
      </c>
      <c r="B314" s="4" t="s">
        <v>5920</v>
      </c>
    </row>
    <row r="315">
      <c r="A315" s="1">
        <v>314.0</v>
      </c>
      <c r="B315" s="4" t="s">
        <v>5921</v>
      </c>
    </row>
    <row r="316">
      <c r="A316" s="1">
        <v>315.0</v>
      </c>
      <c r="B316" s="4" t="s">
        <v>5922</v>
      </c>
    </row>
    <row r="317">
      <c r="A317" s="1">
        <v>316.0</v>
      </c>
      <c r="B317" s="4" t="s">
        <v>5923</v>
      </c>
    </row>
    <row r="318">
      <c r="A318" s="1">
        <v>317.0</v>
      </c>
      <c r="B318" s="4" t="s">
        <v>5924</v>
      </c>
    </row>
    <row r="319">
      <c r="A319" s="1">
        <v>318.0</v>
      </c>
      <c r="B319" s="4" t="s">
        <v>5925</v>
      </c>
    </row>
    <row r="320">
      <c r="A320" s="1">
        <v>319.0</v>
      </c>
      <c r="B320" s="4" t="s">
        <v>5926</v>
      </c>
    </row>
    <row r="321">
      <c r="A321" s="1">
        <v>320.0</v>
      </c>
      <c r="B321" s="4" t="s">
        <v>5927</v>
      </c>
    </row>
    <row r="322">
      <c r="A322" s="1">
        <v>321.0</v>
      </c>
      <c r="B322" s="4" t="s">
        <v>5928</v>
      </c>
    </row>
    <row r="323">
      <c r="A323" s="1">
        <v>322.0</v>
      </c>
      <c r="B323" s="4" t="s">
        <v>5929</v>
      </c>
    </row>
    <row r="324">
      <c r="A324" s="1">
        <v>323.0</v>
      </c>
      <c r="B324" s="4" t="s">
        <v>5930</v>
      </c>
    </row>
    <row r="325">
      <c r="A325" s="1">
        <v>324.0</v>
      </c>
      <c r="B325" s="4" t="s">
        <v>5931</v>
      </c>
    </row>
    <row r="326">
      <c r="A326" s="1">
        <v>325.0</v>
      </c>
      <c r="B326" s="4" t="s">
        <v>5932</v>
      </c>
    </row>
    <row r="327">
      <c r="A327" s="1">
        <v>326.0</v>
      </c>
      <c r="B327" s="4" t="s">
        <v>5933</v>
      </c>
    </row>
    <row r="328">
      <c r="A328" s="1">
        <v>327.0</v>
      </c>
      <c r="B328" s="4" t="s">
        <v>5934</v>
      </c>
    </row>
    <row r="329">
      <c r="A329" s="1">
        <v>328.0</v>
      </c>
      <c r="B329" s="4" t="s">
        <v>5935</v>
      </c>
    </row>
    <row r="330">
      <c r="A330" s="1">
        <v>329.0</v>
      </c>
      <c r="B330" s="4" t="s">
        <v>5936</v>
      </c>
    </row>
    <row r="331">
      <c r="A331" s="1">
        <v>330.0</v>
      </c>
      <c r="B331" s="4" t="s">
        <v>5937</v>
      </c>
    </row>
    <row r="332">
      <c r="A332" s="1">
        <v>331.0</v>
      </c>
      <c r="B332" s="4" t="s">
        <v>5938</v>
      </c>
    </row>
    <row r="333">
      <c r="A333" s="1">
        <v>332.0</v>
      </c>
      <c r="B333" s="4" t="s">
        <v>5939</v>
      </c>
    </row>
    <row r="334">
      <c r="A334" s="1">
        <v>333.0</v>
      </c>
      <c r="B334" s="4" t="s">
        <v>5940</v>
      </c>
    </row>
    <row r="335">
      <c r="A335" s="1">
        <v>334.0</v>
      </c>
      <c r="B335" s="4" t="s">
        <v>5941</v>
      </c>
    </row>
    <row r="336">
      <c r="A336" s="1">
        <v>335.0</v>
      </c>
      <c r="B336" s="4" t="s">
        <v>5942</v>
      </c>
    </row>
    <row r="337">
      <c r="A337" s="1">
        <v>336.0</v>
      </c>
      <c r="B337" s="4" t="s">
        <v>5943</v>
      </c>
    </row>
    <row r="338">
      <c r="A338" s="1">
        <v>337.0</v>
      </c>
      <c r="B338" s="4" t="s">
        <v>5944</v>
      </c>
    </row>
    <row r="339">
      <c r="A339" s="1">
        <v>338.0</v>
      </c>
      <c r="B339" s="4" t="s">
        <v>5945</v>
      </c>
    </row>
    <row r="340">
      <c r="A340" s="1">
        <v>339.0</v>
      </c>
      <c r="B340" s="4" t="s">
        <v>5946</v>
      </c>
    </row>
    <row r="341">
      <c r="A341" s="1">
        <v>340.0</v>
      </c>
      <c r="B341" s="4" t="s">
        <v>5947</v>
      </c>
    </row>
    <row r="342">
      <c r="A342" s="1">
        <v>341.0</v>
      </c>
      <c r="B342" s="4" t="s">
        <v>5948</v>
      </c>
    </row>
    <row r="343">
      <c r="A343" s="1">
        <v>342.0</v>
      </c>
      <c r="B343" s="4" t="s">
        <v>5949</v>
      </c>
    </row>
    <row r="344">
      <c r="A344" s="1">
        <v>343.0</v>
      </c>
      <c r="B344" s="4" t="s">
        <v>5950</v>
      </c>
    </row>
    <row r="345">
      <c r="A345" s="1">
        <v>344.0</v>
      </c>
      <c r="B345" s="4" t="s">
        <v>5951</v>
      </c>
    </row>
    <row r="346">
      <c r="A346" s="1">
        <v>345.0</v>
      </c>
      <c r="B346" s="4" t="s">
        <v>5952</v>
      </c>
    </row>
    <row r="347">
      <c r="A347" s="1">
        <v>346.0</v>
      </c>
      <c r="B347" s="4" t="s">
        <v>5953</v>
      </c>
    </row>
    <row r="348">
      <c r="A348" s="1">
        <v>347.0</v>
      </c>
      <c r="B348" s="4" t="s">
        <v>5954</v>
      </c>
    </row>
    <row r="349">
      <c r="A349" s="1">
        <v>348.0</v>
      </c>
      <c r="B349" s="4" t="s">
        <v>5955</v>
      </c>
    </row>
    <row r="350">
      <c r="A350" s="1">
        <v>349.0</v>
      </c>
      <c r="B350" s="4" t="s">
        <v>5956</v>
      </c>
    </row>
    <row r="351">
      <c r="A351" s="1">
        <v>350.0</v>
      </c>
      <c r="B351" s="4" t="s">
        <v>5957</v>
      </c>
    </row>
    <row r="352">
      <c r="A352" s="1">
        <v>351.0</v>
      </c>
      <c r="B352" s="4" t="s">
        <v>5958</v>
      </c>
    </row>
    <row r="353">
      <c r="A353" s="1">
        <v>352.0</v>
      </c>
      <c r="B353" s="4" t="s">
        <v>5959</v>
      </c>
    </row>
    <row r="354">
      <c r="A354" s="1">
        <v>353.0</v>
      </c>
      <c r="B354" s="4" t="s">
        <v>5960</v>
      </c>
    </row>
    <row r="355">
      <c r="A355" s="1">
        <v>354.0</v>
      </c>
      <c r="B355" s="4" t="s">
        <v>5961</v>
      </c>
    </row>
    <row r="356">
      <c r="A356" s="1">
        <v>355.0</v>
      </c>
      <c r="B356" s="4" t="s">
        <v>5962</v>
      </c>
    </row>
    <row r="357">
      <c r="A357" s="1">
        <v>356.0</v>
      </c>
      <c r="B357" s="4" t="s">
        <v>5963</v>
      </c>
    </row>
    <row r="358">
      <c r="A358" s="1">
        <v>357.0</v>
      </c>
      <c r="B358" s="4" t="s">
        <v>5964</v>
      </c>
    </row>
    <row r="359">
      <c r="A359" s="1">
        <v>358.0</v>
      </c>
      <c r="B359" s="4" t="s">
        <v>5965</v>
      </c>
    </row>
    <row r="360">
      <c r="A360" s="1">
        <v>359.0</v>
      </c>
      <c r="B360" s="4" t="s">
        <v>5966</v>
      </c>
    </row>
    <row r="361">
      <c r="A361" s="1">
        <v>360.0</v>
      </c>
      <c r="B361" s="4" t="s">
        <v>5967</v>
      </c>
    </row>
    <row r="362">
      <c r="A362" s="1">
        <v>361.0</v>
      </c>
      <c r="B362" s="4" t="s">
        <v>5968</v>
      </c>
    </row>
    <row r="363">
      <c r="A363" s="1">
        <v>362.0</v>
      </c>
      <c r="B363" s="4" t="s">
        <v>5969</v>
      </c>
    </row>
    <row r="364">
      <c r="A364" s="1">
        <v>363.0</v>
      </c>
      <c r="B364" s="4" t="s">
        <v>5970</v>
      </c>
    </row>
    <row r="365">
      <c r="A365" s="1">
        <v>364.0</v>
      </c>
      <c r="B365" s="4" t="s">
        <v>5971</v>
      </c>
    </row>
    <row r="366">
      <c r="A366" s="1">
        <v>365.0</v>
      </c>
      <c r="B366" s="4" t="s">
        <v>5972</v>
      </c>
    </row>
    <row r="367">
      <c r="A367" s="1">
        <v>366.0</v>
      </c>
      <c r="B367" s="4" t="s">
        <v>5973</v>
      </c>
    </row>
    <row r="368">
      <c r="A368" s="1">
        <v>367.0</v>
      </c>
      <c r="B368" s="4" t="s">
        <v>5974</v>
      </c>
    </row>
    <row r="369">
      <c r="A369" s="1">
        <v>368.0</v>
      </c>
      <c r="B369" s="4" t="s">
        <v>5975</v>
      </c>
    </row>
    <row r="370">
      <c r="A370" s="1">
        <v>369.0</v>
      </c>
      <c r="B370" s="4" t="s">
        <v>5976</v>
      </c>
    </row>
    <row r="371">
      <c r="A371" s="1">
        <v>370.0</v>
      </c>
      <c r="B371" s="4" t="s">
        <v>5977</v>
      </c>
    </row>
    <row r="372">
      <c r="A372" s="1">
        <v>371.0</v>
      </c>
      <c r="B372" s="4" t="s">
        <v>5978</v>
      </c>
    </row>
    <row r="373">
      <c r="A373" s="1">
        <v>372.0</v>
      </c>
      <c r="B373" s="4" t="s">
        <v>5979</v>
      </c>
    </row>
    <row r="374">
      <c r="A374" s="1">
        <v>373.0</v>
      </c>
      <c r="B374" s="4" t="s">
        <v>5980</v>
      </c>
    </row>
    <row r="375">
      <c r="A375" s="1">
        <v>374.0</v>
      </c>
      <c r="B375" s="4" t="s">
        <v>5981</v>
      </c>
    </row>
    <row r="376">
      <c r="A376" s="1">
        <v>375.0</v>
      </c>
      <c r="B376" s="4" t="s">
        <v>5982</v>
      </c>
    </row>
    <row r="377">
      <c r="A377" s="1">
        <v>376.0</v>
      </c>
      <c r="B377" s="4" t="s">
        <v>5983</v>
      </c>
    </row>
    <row r="378">
      <c r="A378" s="1">
        <v>377.0</v>
      </c>
      <c r="B378" s="4" t="s">
        <v>5984</v>
      </c>
    </row>
    <row r="379">
      <c r="A379" s="1">
        <v>378.0</v>
      </c>
      <c r="B379" s="4" t="s">
        <v>5985</v>
      </c>
    </row>
    <row r="380">
      <c r="A380" s="1">
        <v>379.0</v>
      </c>
      <c r="B380" s="4" t="s">
        <v>5986</v>
      </c>
    </row>
    <row r="381">
      <c r="A381" s="1">
        <v>380.0</v>
      </c>
      <c r="B381" s="4" t="s">
        <v>5987</v>
      </c>
    </row>
    <row r="382">
      <c r="A382" s="1">
        <v>381.0</v>
      </c>
      <c r="B382" s="4" t="s">
        <v>5988</v>
      </c>
    </row>
    <row r="383">
      <c r="A383" s="1">
        <v>382.0</v>
      </c>
      <c r="B383" s="4" t="s">
        <v>5989</v>
      </c>
    </row>
    <row r="384">
      <c r="A384" s="1">
        <v>383.0</v>
      </c>
      <c r="B384" s="4" t="s">
        <v>5990</v>
      </c>
    </row>
    <row r="385">
      <c r="A385" s="1">
        <v>384.0</v>
      </c>
      <c r="B385" s="4" t="s">
        <v>5991</v>
      </c>
    </row>
    <row r="386">
      <c r="A386" s="1">
        <v>385.0</v>
      </c>
      <c r="B386" s="4" t="s">
        <v>5992</v>
      </c>
    </row>
    <row r="387">
      <c r="A387" s="1">
        <v>386.0</v>
      </c>
      <c r="B387" s="4" t="s">
        <v>5993</v>
      </c>
    </row>
    <row r="388">
      <c r="A388" s="1">
        <v>387.0</v>
      </c>
      <c r="B388" s="4" t="s">
        <v>5994</v>
      </c>
    </row>
    <row r="389">
      <c r="A389" s="1">
        <v>388.0</v>
      </c>
      <c r="B389" s="4" t="s">
        <v>5995</v>
      </c>
    </row>
    <row r="390">
      <c r="A390" s="1">
        <v>389.0</v>
      </c>
      <c r="B390" s="4" t="s">
        <v>5996</v>
      </c>
    </row>
    <row r="391">
      <c r="A391" s="1">
        <v>390.0</v>
      </c>
      <c r="B391" s="4" t="s">
        <v>5997</v>
      </c>
    </row>
    <row r="392">
      <c r="A392" s="1">
        <v>391.0</v>
      </c>
      <c r="B392" s="4" t="s">
        <v>5998</v>
      </c>
    </row>
    <row r="393">
      <c r="A393" s="1">
        <v>392.0</v>
      </c>
      <c r="B393" s="4" t="s">
        <v>5999</v>
      </c>
    </row>
    <row r="394">
      <c r="A394" s="1">
        <v>393.0</v>
      </c>
      <c r="B394" s="4" t="s">
        <v>6000</v>
      </c>
    </row>
    <row r="395">
      <c r="A395" s="1">
        <v>394.0</v>
      </c>
      <c r="B395" s="4" t="s">
        <v>6001</v>
      </c>
    </row>
    <row r="396">
      <c r="A396" s="1">
        <v>395.0</v>
      </c>
      <c r="B396" s="4" t="s">
        <v>6002</v>
      </c>
    </row>
    <row r="397">
      <c r="A397" s="1">
        <v>396.0</v>
      </c>
      <c r="B397" s="4" t="s">
        <v>6003</v>
      </c>
    </row>
    <row r="398">
      <c r="A398" s="1">
        <v>397.0</v>
      </c>
      <c r="B398" s="4" t="s">
        <v>6004</v>
      </c>
    </row>
    <row r="399">
      <c r="A399" s="1">
        <v>398.0</v>
      </c>
      <c r="B399" s="4" t="s">
        <v>6005</v>
      </c>
    </row>
    <row r="400">
      <c r="A400" s="1">
        <v>399.0</v>
      </c>
      <c r="B400" s="4" t="s">
        <v>6006</v>
      </c>
    </row>
    <row r="401">
      <c r="A401" s="1">
        <v>400.0</v>
      </c>
      <c r="B401" s="4" t="s">
        <v>6007</v>
      </c>
    </row>
    <row r="402">
      <c r="A402" s="1">
        <v>401.0</v>
      </c>
      <c r="B402" s="4" t="s">
        <v>6008</v>
      </c>
    </row>
    <row r="403">
      <c r="A403" s="1">
        <v>402.0</v>
      </c>
      <c r="B403" s="4" t="s">
        <v>6009</v>
      </c>
    </row>
    <row r="404">
      <c r="A404" s="1">
        <v>403.0</v>
      </c>
      <c r="B404" s="4" t="s">
        <v>6010</v>
      </c>
    </row>
    <row r="405">
      <c r="A405" s="1">
        <v>404.0</v>
      </c>
      <c r="B405" s="4" t="s">
        <v>6011</v>
      </c>
    </row>
    <row r="406">
      <c r="A406" s="1">
        <v>405.0</v>
      </c>
      <c r="B406" s="4" t="s">
        <v>6012</v>
      </c>
    </row>
    <row r="407">
      <c r="A407" s="1">
        <v>406.0</v>
      </c>
      <c r="B407" s="4" t="s">
        <v>6013</v>
      </c>
    </row>
    <row r="408">
      <c r="A408" s="1">
        <v>407.0</v>
      </c>
      <c r="B408" s="4" t="s">
        <v>6014</v>
      </c>
    </row>
    <row r="409">
      <c r="A409" s="1">
        <v>408.0</v>
      </c>
      <c r="B409" s="4" t="s">
        <v>6015</v>
      </c>
    </row>
    <row r="410">
      <c r="A410" s="1">
        <v>409.0</v>
      </c>
      <c r="B410" s="4" t="s">
        <v>6016</v>
      </c>
    </row>
    <row r="411">
      <c r="A411" s="1">
        <v>410.0</v>
      </c>
      <c r="B411" s="4" t="s">
        <v>6017</v>
      </c>
    </row>
    <row r="412">
      <c r="A412" s="1">
        <v>411.0</v>
      </c>
      <c r="B412" s="4" t="s">
        <v>6018</v>
      </c>
    </row>
    <row r="413">
      <c r="A413" s="1">
        <v>412.0</v>
      </c>
      <c r="B413" s="4" t="s">
        <v>6019</v>
      </c>
    </row>
    <row r="414">
      <c r="A414" s="1">
        <v>413.0</v>
      </c>
      <c r="B414" s="4" t="s">
        <v>6020</v>
      </c>
    </row>
    <row r="415">
      <c r="A415" s="1">
        <v>414.0</v>
      </c>
      <c r="B415" s="4" t="s">
        <v>6021</v>
      </c>
    </row>
    <row r="416">
      <c r="A416" s="1">
        <v>415.0</v>
      </c>
      <c r="B416" s="4" t="s">
        <v>6022</v>
      </c>
    </row>
    <row r="417">
      <c r="A417" s="1">
        <v>416.0</v>
      </c>
      <c r="B417" s="4" t="s">
        <v>6023</v>
      </c>
    </row>
    <row r="418">
      <c r="A418" s="1">
        <v>417.0</v>
      </c>
      <c r="B418" s="4" t="s">
        <v>6024</v>
      </c>
    </row>
    <row r="419">
      <c r="A419" s="1">
        <v>418.0</v>
      </c>
      <c r="B419" s="4" t="s">
        <v>6025</v>
      </c>
    </row>
    <row r="420">
      <c r="A420" s="1">
        <v>419.0</v>
      </c>
      <c r="B420" s="4" t="s">
        <v>6026</v>
      </c>
    </row>
    <row r="421">
      <c r="A421" s="1">
        <v>420.0</v>
      </c>
      <c r="B421" s="4" t="s">
        <v>6027</v>
      </c>
    </row>
    <row r="422">
      <c r="A422" s="1">
        <v>421.0</v>
      </c>
      <c r="B422" s="4" t="s">
        <v>6028</v>
      </c>
    </row>
    <row r="423">
      <c r="A423" s="1">
        <v>422.0</v>
      </c>
      <c r="B423" s="4" t="s">
        <v>6029</v>
      </c>
    </row>
    <row r="424">
      <c r="A424" s="1">
        <v>423.0</v>
      </c>
      <c r="B424" s="4" t="s">
        <v>6030</v>
      </c>
    </row>
    <row r="425">
      <c r="A425" s="1">
        <v>424.0</v>
      </c>
      <c r="B425" s="4" t="s">
        <v>6031</v>
      </c>
    </row>
    <row r="426">
      <c r="A426" s="1">
        <v>425.0</v>
      </c>
      <c r="B426" s="4" t="s">
        <v>6032</v>
      </c>
    </row>
    <row r="427">
      <c r="A427" s="1">
        <v>426.0</v>
      </c>
      <c r="B427" s="4" t="s">
        <v>6033</v>
      </c>
    </row>
    <row r="428">
      <c r="A428" s="1">
        <v>427.0</v>
      </c>
      <c r="B428" s="4" t="s">
        <v>6034</v>
      </c>
    </row>
    <row r="429">
      <c r="A429" s="1">
        <v>428.0</v>
      </c>
      <c r="B429" s="4" t="s">
        <v>6035</v>
      </c>
    </row>
    <row r="430">
      <c r="A430" s="1">
        <v>429.0</v>
      </c>
      <c r="B430" s="4" t="s">
        <v>6036</v>
      </c>
    </row>
    <row r="431">
      <c r="A431" s="1">
        <v>430.0</v>
      </c>
      <c r="B431" s="4" t="s">
        <v>6037</v>
      </c>
    </row>
    <row r="432">
      <c r="A432" s="1">
        <v>431.0</v>
      </c>
      <c r="B432" s="4" t="s">
        <v>6038</v>
      </c>
    </row>
    <row r="433">
      <c r="A433" s="1">
        <v>432.0</v>
      </c>
      <c r="B433" s="4" t="s">
        <v>6039</v>
      </c>
    </row>
    <row r="434">
      <c r="A434" s="1">
        <v>433.0</v>
      </c>
      <c r="B434" s="4" t="s">
        <v>6040</v>
      </c>
    </row>
    <row r="435">
      <c r="A435" s="1">
        <v>434.0</v>
      </c>
      <c r="B435" s="4" t="s">
        <v>6041</v>
      </c>
    </row>
    <row r="436">
      <c r="A436" s="1">
        <v>435.0</v>
      </c>
      <c r="B436" s="4" t="s">
        <v>6042</v>
      </c>
    </row>
    <row r="437">
      <c r="A437" s="1">
        <v>436.0</v>
      </c>
      <c r="B437" s="4" t="s">
        <v>6043</v>
      </c>
    </row>
    <row r="438">
      <c r="A438" s="1">
        <v>437.0</v>
      </c>
      <c r="B438" s="4" t="s">
        <v>6044</v>
      </c>
    </row>
    <row r="439">
      <c r="A439" s="1">
        <v>438.0</v>
      </c>
      <c r="B439" s="4" t="s">
        <v>6045</v>
      </c>
    </row>
    <row r="440">
      <c r="A440" s="1">
        <v>439.0</v>
      </c>
      <c r="B440" s="4" t="s">
        <v>6046</v>
      </c>
    </row>
    <row r="441">
      <c r="A441" s="1">
        <v>440.0</v>
      </c>
      <c r="B441" s="4" t="s">
        <v>6047</v>
      </c>
    </row>
    <row r="442">
      <c r="A442" s="1">
        <v>441.0</v>
      </c>
      <c r="B442" s="4" t="s">
        <v>6048</v>
      </c>
    </row>
    <row r="443">
      <c r="A443" s="1">
        <v>442.0</v>
      </c>
      <c r="B443" s="4" t="s">
        <v>6049</v>
      </c>
    </row>
    <row r="444">
      <c r="A444" s="1">
        <v>443.0</v>
      </c>
      <c r="B444" s="4" t="s">
        <v>6050</v>
      </c>
    </row>
    <row r="445">
      <c r="A445" s="1">
        <v>444.0</v>
      </c>
      <c r="B445" s="4" t="s">
        <v>6051</v>
      </c>
    </row>
    <row r="446">
      <c r="A446" s="1">
        <v>445.0</v>
      </c>
      <c r="B446" s="4" t="s">
        <v>6052</v>
      </c>
    </row>
    <row r="447">
      <c r="A447" s="1">
        <v>446.0</v>
      </c>
      <c r="B447" s="4" t="s">
        <v>6053</v>
      </c>
    </row>
    <row r="448">
      <c r="A448" s="1">
        <v>447.0</v>
      </c>
      <c r="B448" s="4" t="s">
        <v>6054</v>
      </c>
    </row>
    <row r="449">
      <c r="A449" s="1">
        <v>448.0</v>
      </c>
      <c r="B449" s="4" t="s">
        <v>6055</v>
      </c>
    </row>
    <row r="450">
      <c r="A450" s="1">
        <v>449.0</v>
      </c>
      <c r="B450" s="4" t="s">
        <v>6056</v>
      </c>
    </row>
    <row r="451">
      <c r="A451" s="1">
        <v>450.0</v>
      </c>
      <c r="B451" s="4" t="s">
        <v>6057</v>
      </c>
    </row>
    <row r="452">
      <c r="A452" s="1">
        <v>451.0</v>
      </c>
      <c r="B452" s="4" t="s">
        <v>6058</v>
      </c>
    </row>
    <row r="453">
      <c r="A453" s="1">
        <v>452.0</v>
      </c>
      <c r="B453" s="4" t="s">
        <v>6059</v>
      </c>
    </row>
    <row r="454">
      <c r="A454" s="1">
        <v>453.0</v>
      </c>
      <c r="B454" s="4" t="s">
        <v>6060</v>
      </c>
    </row>
    <row r="455">
      <c r="A455" s="1">
        <v>454.0</v>
      </c>
      <c r="B455" s="4" t="s">
        <v>6061</v>
      </c>
    </row>
    <row r="456">
      <c r="A456" s="1">
        <v>455.0</v>
      </c>
      <c r="B456" s="4" t="s">
        <v>6062</v>
      </c>
    </row>
    <row r="457">
      <c r="A457" s="1">
        <v>456.0</v>
      </c>
      <c r="B457" s="4" t="s">
        <v>6063</v>
      </c>
    </row>
    <row r="458">
      <c r="A458" s="1">
        <v>457.0</v>
      </c>
      <c r="B458" s="4" t="s">
        <v>6064</v>
      </c>
    </row>
    <row r="459">
      <c r="A459" s="1">
        <v>458.0</v>
      </c>
      <c r="B459" s="4" t="s">
        <v>6065</v>
      </c>
    </row>
    <row r="460">
      <c r="A460" s="1">
        <v>459.0</v>
      </c>
      <c r="B460" s="4" t="s">
        <v>6066</v>
      </c>
    </row>
    <row r="461">
      <c r="A461" s="1">
        <v>460.0</v>
      </c>
      <c r="B461" s="4" t="s">
        <v>6067</v>
      </c>
    </row>
    <row r="462">
      <c r="A462" s="1">
        <v>461.0</v>
      </c>
      <c r="B462" s="4" t="s">
        <v>6068</v>
      </c>
    </row>
    <row r="463">
      <c r="A463" s="1">
        <v>462.0</v>
      </c>
      <c r="B463" s="4" t="s">
        <v>6069</v>
      </c>
    </row>
    <row r="464">
      <c r="A464" s="1">
        <v>463.0</v>
      </c>
      <c r="B464" s="4" t="s">
        <v>6070</v>
      </c>
    </row>
    <row r="465">
      <c r="A465" s="1">
        <v>464.0</v>
      </c>
      <c r="B465" s="4" t="s">
        <v>6071</v>
      </c>
    </row>
    <row r="466">
      <c r="A466" s="1">
        <v>465.0</v>
      </c>
      <c r="B466" s="4" t="s">
        <v>6072</v>
      </c>
    </row>
    <row r="467">
      <c r="A467" s="1">
        <v>466.0</v>
      </c>
      <c r="B467" s="4" t="s">
        <v>6073</v>
      </c>
    </row>
    <row r="468">
      <c r="A468" s="1">
        <v>467.0</v>
      </c>
      <c r="B468" s="4" t="s">
        <v>6074</v>
      </c>
    </row>
    <row r="469">
      <c r="A469" s="1">
        <v>468.0</v>
      </c>
      <c r="B469" s="4" t="s">
        <v>6075</v>
      </c>
    </row>
    <row r="470">
      <c r="A470" s="1">
        <v>469.0</v>
      </c>
      <c r="B470" s="4" t="s">
        <v>6076</v>
      </c>
    </row>
    <row r="471">
      <c r="A471" s="1">
        <v>470.0</v>
      </c>
      <c r="B471" s="4" t="s">
        <v>6077</v>
      </c>
    </row>
    <row r="472">
      <c r="A472" s="1">
        <v>471.0</v>
      </c>
      <c r="B472" s="4" t="s">
        <v>6078</v>
      </c>
    </row>
    <row r="473">
      <c r="A473" s="1">
        <v>472.0</v>
      </c>
      <c r="B473" s="4" t="s">
        <v>6079</v>
      </c>
    </row>
    <row r="474">
      <c r="A474" s="1">
        <v>473.0</v>
      </c>
      <c r="B474" s="4" t="s">
        <v>6080</v>
      </c>
    </row>
    <row r="475">
      <c r="A475" s="1">
        <v>474.0</v>
      </c>
      <c r="B475" s="4" t="s">
        <v>6081</v>
      </c>
    </row>
    <row r="476">
      <c r="A476" s="1">
        <v>475.0</v>
      </c>
      <c r="B476" s="4" t="s">
        <v>6082</v>
      </c>
    </row>
    <row r="477">
      <c r="A477" s="1">
        <v>476.0</v>
      </c>
      <c r="B477" s="4" t="s">
        <v>6083</v>
      </c>
    </row>
    <row r="478">
      <c r="A478" s="1">
        <v>477.0</v>
      </c>
      <c r="B478" s="4" t="s">
        <v>6084</v>
      </c>
    </row>
    <row r="479">
      <c r="A479" s="1">
        <v>478.0</v>
      </c>
      <c r="B479" s="4" t="s">
        <v>6085</v>
      </c>
    </row>
    <row r="480">
      <c r="A480" s="1">
        <v>479.0</v>
      </c>
      <c r="B480" s="4" t="s">
        <v>6086</v>
      </c>
    </row>
    <row r="481">
      <c r="A481" s="1">
        <v>480.0</v>
      </c>
      <c r="B481" s="4" t="s">
        <v>6087</v>
      </c>
    </row>
    <row r="482">
      <c r="A482" s="1">
        <v>481.0</v>
      </c>
      <c r="B482" s="4" t="s">
        <v>6088</v>
      </c>
    </row>
    <row r="483">
      <c r="A483" s="1">
        <v>482.0</v>
      </c>
      <c r="B483" s="4" t="s">
        <v>6089</v>
      </c>
    </row>
    <row r="484">
      <c r="A484" s="1">
        <v>483.0</v>
      </c>
      <c r="B484" s="4" t="s">
        <v>6090</v>
      </c>
    </row>
    <row r="485">
      <c r="A485" s="1">
        <v>484.0</v>
      </c>
      <c r="B485" s="4" t="s">
        <v>6091</v>
      </c>
    </row>
    <row r="486">
      <c r="A486" s="1">
        <v>485.0</v>
      </c>
      <c r="B486" s="4" t="s">
        <v>6092</v>
      </c>
    </row>
    <row r="487">
      <c r="A487" s="1">
        <v>486.0</v>
      </c>
      <c r="B487" s="4" t="s">
        <v>6093</v>
      </c>
    </row>
    <row r="488">
      <c r="A488" s="1">
        <v>487.0</v>
      </c>
      <c r="B488" s="4" t="s">
        <v>6094</v>
      </c>
    </row>
    <row r="489">
      <c r="A489" s="1">
        <v>488.0</v>
      </c>
      <c r="B489" s="4" t="s">
        <v>6095</v>
      </c>
    </row>
    <row r="490">
      <c r="A490" s="1">
        <v>489.0</v>
      </c>
      <c r="B490" s="4" t="s">
        <v>6096</v>
      </c>
    </row>
    <row r="491">
      <c r="A491" s="1">
        <v>490.0</v>
      </c>
      <c r="B491" s="4" t="s">
        <v>6097</v>
      </c>
    </row>
    <row r="492">
      <c r="A492" s="1">
        <v>491.0</v>
      </c>
      <c r="B492" s="4" t="s">
        <v>6098</v>
      </c>
    </row>
    <row r="493">
      <c r="A493" s="1">
        <v>492.0</v>
      </c>
      <c r="B493" s="4" t="s">
        <v>6099</v>
      </c>
    </row>
    <row r="494">
      <c r="A494" s="1">
        <v>493.0</v>
      </c>
      <c r="B494" s="4" t="s">
        <v>6100</v>
      </c>
    </row>
    <row r="495">
      <c r="A495" s="1">
        <v>494.0</v>
      </c>
      <c r="B495" s="4" t="s">
        <v>6101</v>
      </c>
    </row>
    <row r="496">
      <c r="A496" s="1">
        <v>495.0</v>
      </c>
      <c r="B496" s="4" t="s">
        <v>6102</v>
      </c>
    </row>
    <row r="497">
      <c r="A497" s="1">
        <v>496.0</v>
      </c>
      <c r="B497" s="4" t="s">
        <v>6103</v>
      </c>
    </row>
    <row r="498">
      <c r="A498" s="1">
        <v>497.0</v>
      </c>
      <c r="B498" s="4" t="s">
        <v>6104</v>
      </c>
    </row>
    <row r="499">
      <c r="A499" s="1">
        <v>498.0</v>
      </c>
      <c r="B499" s="4" t="s">
        <v>6105</v>
      </c>
    </row>
    <row r="500">
      <c r="A500" s="1">
        <v>499.0</v>
      </c>
      <c r="B500" s="4" t="s">
        <v>6106</v>
      </c>
    </row>
    <row r="501">
      <c r="A501" s="1">
        <v>500.0</v>
      </c>
      <c r="B501" s="4" t="s">
        <v>6107</v>
      </c>
    </row>
    <row r="502">
      <c r="A502" s="1">
        <v>501.0</v>
      </c>
      <c r="B502" s="4" t="s">
        <v>6108</v>
      </c>
    </row>
    <row r="503">
      <c r="A503" s="1">
        <v>502.0</v>
      </c>
      <c r="B503" s="4" t="s">
        <v>6109</v>
      </c>
    </row>
    <row r="504">
      <c r="A504" s="1">
        <v>503.0</v>
      </c>
      <c r="B504" s="4" t="s">
        <v>6110</v>
      </c>
    </row>
    <row r="505">
      <c r="A505" s="1">
        <v>504.0</v>
      </c>
      <c r="B505" s="4" t="s">
        <v>6111</v>
      </c>
    </row>
    <row r="506">
      <c r="A506" s="1">
        <v>505.0</v>
      </c>
      <c r="B506" s="4" t="s">
        <v>6112</v>
      </c>
    </row>
    <row r="507">
      <c r="A507" s="1">
        <v>506.0</v>
      </c>
      <c r="B507" s="4" t="s">
        <v>6113</v>
      </c>
    </row>
    <row r="508">
      <c r="A508" s="1">
        <v>507.0</v>
      </c>
      <c r="B508" s="4" t="s">
        <v>6114</v>
      </c>
    </row>
    <row r="509">
      <c r="A509" s="1">
        <v>508.0</v>
      </c>
      <c r="B509" s="4" t="s">
        <v>6115</v>
      </c>
    </row>
    <row r="510">
      <c r="A510" s="1">
        <v>509.0</v>
      </c>
      <c r="B510" s="4" t="s">
        <v>6116</v>
      </c>
    </row>
    <row r="511">
      <c r="A511" s="1">
        <v>510.0</v>
      </c>
      <c r="B511" s="4" t="s">
        <v>6117</v>
      </c>
    </row>
    <row r="512">
      <c r="A512" s="1">
        <v>511.0</v>
      </c>
      <c r="B512" s="4" t="s">
        <v>6118</v>
      </c>
    </row>
    <row r="513">
      <c r="A513" s="1">
        <v>512.0</v>
      </c>
      <c r="B513" s="4" t="s">
        <v>6119</v>
      </c>
    </row>
    <row r="514">
      <c r="A514" s="1">
        <v>513.0</v>
      </c>
      <c r="B514" s="4" t="s">
        <v>6120</v>
      </c>
    </row>
    <row r="515">
      <c r="A515" s="1">
        <v>514.0</v>
      </c>
      <c r="B515" s="4" t="s">
        <v>6121</v>
      </c>
    </row>
    <row r="516">
      <c r="A516" s="1">
        <v>515.0</v>
      </c>
      <c r="B516" s="4" t="s">
        <v>6122</v>
      </c>
    </row>
    <row r="517">
      <c r="A517" s="1">
        <v>516.0</v>
      </c>
      <c r="B517" s="4" t="s">
        <v>6123</v>
      </c>
    </row>
    <row r="518">
      <c r="A518" s="1">
        <v>517.0</v>
      </c>
      <c r="B518" s="4" t="s">
        <v>6124</v>
      </c>
    </row>
    <row r="519">
      <c r="A519" s="1">
        <v>518.0</v>
      </c>
      <c r="B519" s="4" t="s">
        <v>6125</v>
      </c>
    </row>
    <row r="520">
      <c r="A520" s="1">
        <v>519.0</v>
      </c>
      <c r="B520" s="4" t="s">
        <v>6126</v>
      </c>
    </row>
    <row r="521">
      <c r="A521" s="1">
        <v>520.0</v>
      </c>
      <c r="B521" s="4" t="s">
        <v>6127</v>
      </c>
    </row>
    <row r="522">
      <c r="A522" s="1">
        <v>521.0</v>
      </c>
      <c r="B522" s="4" t="s">
        <v>6128</v>
      </c>
    </row>
    <row r="523">
      <c r="A523" s="1">
        <v>522.0</v>
      </c>
      <c r="B523" s="4" t="s">
        <v>6129</v>
      </c>
    </row>
    <row r="524">
      <c r="A524" s="1">
        <v>523.0</v>
      </c>
      <c r="B524" s="4" t="s">
        <v>6130</v>
      </c>
    </row>
    <row r="525">
      <c r="A525" s="1">
        <v>524.0</v>
      </c>
      <c r="B525" s="4" t="s">
        <v>6131</v>
      </c>
    </row>
    <row r="526">
      <c r="A526" s="1">
        <v>525.0</v>
      </c>
      <c r="B526" s="4" t="s">
        <v>6132</v>
      </c>
    </row>
    <row r="527">
      <c r="A527" s="1">
        <v>526.0</v>
      </c>
      <c r="B527" s="4" t="s">
        <v>6133</v>
      </c>
    </row>
    <row r="528">
      <c r="A528" s="1">
        <v>527.0</v>
      </c>
      <c r="B528" s="4" t="s">
        <v>6134</v>
      </c>
    </row>
    <row r="529">
      <c r="A529" s="1">
        <v>528.0</v>
      </c>
      <c r="B529" s="4" t="s">
        <v>6135</v>
      </c>
    </row>
    <row r="530">
      <c r="A530" s="1">
        <v>529.0</v>
      </c>
      <c r="B530" s="4" t="s">
        <v>6136</v>
      </c>
    </row>
    <row r="531">
      <c r="A531" s="1">
        <v>530.0</v>
      </c>
      <c r="B531" s="4" t="s">
        <v>6137</v>
      </c>
    </row>
    <row r="532">
      <c r="A532" s="1">
        <v>531.0</v>
      </c>
      <c r="B532" s="4" t="s">
        <v>6138</v>
      </c>
    </row>
    <row r="533">
      <c r="A533" s="1">
        <v>532.0</v>
      </c>
      <c r="B533" s="4" t="s">
        <v>6139</v>
      </c>
    </row>
    <row r="534">
      <c r="A534" s="1">
        <v>533.0</v>
      </c>
      <c r="B534" s="4" t="s">
        <v>6140</v>
      </c>
    </row>
    <row r="535">
      <c r="A535" s="1">
        <v>534.0</v>
      </c>
      <c r="B535" s="4" t="s">
        <v>6141</v>
      </c>
    </row>
    <row r="536">
      <c r="A536" s="1">
        <v>535.0</v>
      </c>
      <c r="B536" s="4" t="s">
        <v>6142</v>
      </c>
    </row>
    <row r="537">
      <c r="A537" s="1">
        <v>536.0</v>
      </c>
      <c r="B537" s="4" t="s">
        <v>6143</v>
      </c>
    </row>
    <row r="538">
      <c r="A538" s="1">
        <v>537.0</v>
      </c>
      <c r="B538" s="4" t="s">
        <v>6144</v>
      </c>
    </row>
    <row r="539">
      <c r="A539" s="1">
        <v>538.0</v>
      </c>
      <c r="B539" s="4" t="s">
        <v>6145</v>
      </c>
    </row>
    <row r="540">
      <c r="A540" s="1">
        <v>539.0</v>
      </c>
      <c r="B540" s="4" t="s">
        <v>6146</v>
      </c>
    </row>
    <row r="541">
      <c r="A541" s="1">
        <v>540.0</v>
      </c>
      <c r="B541" s="4" t="s">
        <v>6147</v>
      </c>
    </row>
    <row r="542">
      <c r="A542" s="1">
        <v>541.0</v>
      </c>
      <c r="B542" s="4" t="s">
        <v>6148</v>
      </c>
    </row>
    <row r="543">
      <c r="A543" s="1">
        <v>542.0</v>
      </c>
      <c r="B543" s="4" t="s">
        <v>6149</v>
      </c>
    </row>
    <row r="544">
      <c r="A544" s="1">
        <v>543.0</v>
      </c>
      <c r="B544" s="4" t="s">
        <v>6150</v>
      </c>
    </row>
    <row r="545">
      <c r="A545" s="1">
        <v>544.0</v>
      </c>
      <c r="B545" s="4" t="s">
        <v>6151</v>
      </c>
    </row>
    <row r="546">
      <c r="A546" s="1">
        <v>545.0</v>
      </c>
      <c r="B546" s="4" t="s">
        <v>6152</v>
      </c>
    </row>
    <row r="547">
      <c r="A547" s="1">
        <v>546.0</v>
      </c>
      <c r="B547" s="4" t="s">
        <v>6153</v>
      </c>
    </row>
    <row r="548">
      <c r="A548" s="1">
        <v>547.0</v>
      </c>
      <c r="B548" s="4" t="s">
        <v>6154</v>
      </c>
    </row>
    <row r="549">
      <c r="A549" s="1">
        <v>548.0</v>
      </c>
      <c r="B549" s="4" t="s">
        <v>6155</v>
      </c>
    </row>
    <row r="550">
      <c r="A550" s="1">
        <v>549.0</v>
      </c>
      <c r="B550" s="4" t="s">
        <v>6156</v>
      </c>
    </row>
    <row r="551">
      <c r="A551" s="1">
        <v>550.0</v>
      </c>
      <c r="B551" s="4" t="s">
        <v>6157</v>
      </c>
    </row>
    <row r="552">
      <c r="A552" s="1">
        <v>551.0</v>
      </c>
      <c r="B552" s="4" t="s">
        <v>6158</v>
      </c>
    </row>
    <row r="553">
      <c r="A553" s="1">
        <v>552.0</v>
      </c>
      <c r="B553" s="4" t="s">
        <v>6159</v>
      </c>
    </row>
    <row r="554">
      <c r="A554" s="1">
        <v>553.0</v>
      </c>
      <c r="B554" s="4" t="s">
        <v>6160</v>
      </c>
    </row>
    <row r="555">
      <c r="A555" s="1">
        <v>554.0</v>
      </c>
      <c r="B555" s="4" t="s">
        <v>6161</v>
      </c>
    </row>
    <row r="556">
      <c r="A556" s="1">
        <v>555.0</v>
      </c>
      <c r="B556" s="4" t="s">
        <v>6162</v>
      </c>
    </row>
    <row r="557">
      <c r="A557" s="1">
        <v>556.0</v>
      </c>
      <c r="B557" s="4" t="s">
        <v>6163</v>
      </c>
    </row>
    <row r="558">
      <c r="A558" s="1">
        <v>557.0</v>
      </c>
      <c r="B558" s="4" t="s">
        <v>6164</v>
      </c>
    </row>
    <row r="559">
      <c r="A559" s="1">
        <v>558.0</v>
      </c>
      <c r="B559" s="4" t="s">
        <v>6165</v>
      </c>
    </row>
    <row r="560">
      <c r="A560" s="1">
        <v>559.0</v>
      </c>
      <c r="B560" s="4" t="s">
        <v>6166</v>
      </c>
    </row>
    <row r="561">
      <c r="A561" s="1">
        <v>560.0</v>
      </c>
      <c r="B561" s="4" t="s">
        <v>6167</v>
      </c>
    </row>
    <row r="562">
      <c r="A562" s="1">
        <v>561.0</v>
      </c>
      <c r="B562" s="4" t="s">
        <v>6168</v>
      </c>
    </row>
    <row r="563">
      <c r="A563" s="1">
        <v>562.0</v>
      </c>
      <c r="B563" s="4" t="s">
        <v>6169</v>
      </c>
    </row>
    <row r="564">
      <c r="A564" s="1">
        <v>563.0</v>
      </c>
      <c r="B564" s="4" t="s">
        <v>6170</v>
      </c>
    </row>
    <row r="565">
      <c r="A565" s="1">
        <v>564.0</v>
      </c>
      <c r="B565" s="4" t="s">
        <v>6171</v>
      </c>
    </row>
    <row r="566">
      <c r="A566" s="1">
        <v>565.0</v>
      </c>
      <c r="B566" s="4" t="s">
        <v>6172</v>
      </c>
    </row>
    <row r="567">
      <c r="A567" s="1">
        <v>566.0</v>
      </c>
      <c r="B567" s="4" t="s">
        <v>6173</v>
      </c>
    </row>
    <row r="568">
      <c r="A568" s="1">
        <v>567.0</v>
      </c>
      <c r="B568" s="4" t="s">
        <v>6174</v>
      </c>
    </row>
    <row r="569">
      <c r="A569" s="1">
        <v>568.0</v>
      </c>
      <c r="B569" s="4" t="s">
        <v>6175</v>
      </c>
    </row>
    <row r="570">
      <c r="A570" s="1">
        <v>569.0</v>
      </c>
      <c r="B570" s="4" t="s">
        <v>6176</v>
      </c>
    </row>
    <row r="571">
      <c r="A571" s="1">
        <v>570.0</v>
      </c>
      <c r="B571" s="4" t="s">
        <v>6177</v>
      </c>
    </row>
    <row r="572">
      <c r="A572" s="1">
        <v>571.0</v>
      </c>
      <c r="B572" s="4" t="s">
        <v>6178</v>
      </c>
    </row>
    <row r="573">
      <c r="A573" s="1">
        <v>572.0</v>
      </c>
      <c r="B573" s="4" t="s">
        <v>6179</v>
      </c>
    </row>
    <row r="574">
      <c r="A574" s="1">
        <v>573.0</v>
      </c>
      <c r="B574" s="4" t="s">
        <v>6180</v>
      </c>
    </row>
    <row r="575">
      <c r="A575" s="1">
        <v>574.0</v>
      </c>
      <c r="B575" s="4" t="s">
        <v>6181</v>
      </c>
    </row>
    <row r="576">
      <c r="A576" s="1">
        <v>575.0</v>
      </c>
      <c r="B576" s="4" t="s">
        <v>6182</v>
      </c>
    </row>
    <row r="577">
      <c r="A577" s="1">
        <v>576.0</v>
      </c>
      <c r="B577" s="4" t="s">
        <v>6183</v>
      </c>
    </row>
    <row r="578">
      <c r="A578" s="1">
        <v>577.0</v>
      </c>
      <c r="B578" s="4" t="s">
        <v>6184</v>
      </c>
    </row>
    <row r="579">
      <c r="A579" s="1">
        <v>578.0</v>
      </c>
      <c r="B579" s="4" t="s">
        <v>6185</v>
      </c>
    </row>
    <row r="580">
      <c r="A580" s="1">
        <v>579.0</v>
      </c>
      <c r="B580" s="4" t="s">
        <v>6186</v>
      </c>
    </row>
    <row r="581">
      <c r="A581" s="1">
        <v>580.0</v>
      </c>
      <c r="B581" s="4" t="s">
        <v>6187</v>
      </c>
    </row>
    <row r="582">
      <c r="A582" s="1">
        <v>581.0</v>
      </c>
      <c r="B582" s="4" t="s">
        <v>6188</v>
      </c>
    </row>
    <row r="583">
      <c r="A583" s="1">
        <v>582.0</v>
      </c>
      <c r="B583" s="4" t="s">
        <v>6189</v>
      </c>
    </row>
    <row r="584">
      <c r="A584" s="1">
        <v>583.0</v>
      </c>
      <c r="B584" s="4" t="s">
        <v>6190</v>
      </c>
    </row>
    <row r="585">
      <c r="A585" s="1">
        <v>584.0</v>
      </c>
      <c r="B585" s="4" t="s">
        <v>6191</v>
      </c>
    </row>
    <row r="586">
      <c r="A586" s="1">
        <v>585.0</v>
      </c>
      <c r="B586" s="4" t="s">
        <v>6192</v>
      </c>
    </row>
    <row r="587">
      <c r="A587" s="1">
        <v>586.0</v>
      </c>
      <c r="B587" s="4" t="s">
        <v>6193</v>
      </c>
    </row>
    <row r="588">
      <c r="A588" s="1">
        <v>587.0</v>
      </c>
      <c r="B588" s="4" t="s">
        <v>6194</v>
      </c>
    </row>
    <row r="589">
      <c r="A589" s="1">
        <v>588.0</v>
      </c>
      <c r="B589" s="4" t="s">
        <v>6195</v>
      </c>
    </row>
    <row r="590">
      <c r="A590" s="1">
        <v>589.0</v>
      </c>
      <c r="B590" s="4" t="s">
        <v>6196</v>
      </c>
    </row>
    <row r="591">
      <c r="A591" s="1">
        <v>590.0</v>
      </c>
      <c r="B591" s="4" t="s">
        <v>6197</v>
      </c>
    </row>
    <row r="592">
      <c r="A592" s="1">
        <v>591.0</v>
      </c>
      <c r="B592" s="4" t="s">
        <v>6198</v>
      </c>
    </row>
    <row r="593">
      <c r="A593" s="1">
        <v>592.0</v>
      </c>
      <c r="B593" s="4" t="s">
        <v>6199</v>
      </c>
    </row>
    <row r="594">
      <c r="A594" s="1">
        <v>593.0</v>
      </c>
      <c r="B594" s="4" t="s">
        <v>6200</v>
      </c>
    </row>
    <row r="595">
      <c r="A595" s="1">
        <v>594.0</v>
      </c>
      <c r="B595" s="4" t="s">
        <v>6201</v>
      </c>
    </row>
    <row r="596">
      <c r="A596" s="1">
        <v>595.0</v>
      </c>
      <c r="B596" s="4" t="s">
        <v>6202</v>
      </c>
    </row>
    <row r="597">
      <c r="A597" s="1">
        <v>596.0</v>
      </c>
      <c r="B597" s="4" t="s">
        <v>6203</v>
      </c>
    </row>
    <row r="598">
      <c r="A598" s="1">
        <v>597.0</v>
      </c>
      <c r="B598" s="4" t="s">
        <v>6204</v>
      </c>
    </row>
    <row r="599">
      <c r="A599" s="1">
        <v>598.0</v>
      </c>
      <c r="B599" s="4" t="s">
        <v>6205</v>
      </c>
    </row>
    <row r="600">
      <c r="A600" s="1">
        <v>599.0</v>
      </c>
      <c r="B600" s="4" t="s">
        <v>6206</v>
      </c>
    </row>
    <row r="601">
      <c r="A601" s="1">
        <v>600.0</v>
      </c>
      <c r="B601" s="4" t="s">
        <v>6207</v>
      </c>
    </row>
    <row r="602">
      <c r="A602" s="1">
        <v>601.0</v>
      </c>
      <c r="B602" s="4" t="s">
        <v>6208</v>
      </c>
    </row>
    <row r="603">
      <c r="A603" s="1">
        <v>602.0</v>
      </c>
      <c r="B603" s="4" t="s">
        <v>6209</v>
      </c>
    </row>
    <row r="604">
      <c r="A604" s="1">
        <v>603.0</v>
      </c>
      <c r="B604" s="4" t="s">
        <v>6210</v>
      </c>
    </row>
    <row r="605">
      <c r="A605" s="1">
        <v>604.0</v>
      </c>
      <c r="B605" s="4" t="s">
        <v>6211</v>
      </c>
    </row>
    <row r="606">
      <c r="A606" s="1">
        <v>605.0</v>
      </c>
      <c r="B606" s="4" t="s">
        <v>6212</v>
      </c>
    </row>
    <row r="607">
      <c r="A607" s="1">
        <v>606.0</v>
      </c>
      <c r="B607" s="4" t="s">
        <v>6213</v>
      </c>
    </row>
    <row r="608">
      <c r="A608" s="1">
        <v>607.0</v>
      </c>
      <c r="B608" s="4" t="s">
        <v>6214</v>
      </c>
    </row>
    <row r="609">
      <c r="A609" s="1">
        <v>608.0</v>
      </c>
      <c r="B609" s="4" t="s">
        <v>6215</v>
      </c>
    </row>
    <row r="610">
      <c r="A610" s="1">
        <v>609.0</v>
      </c>
      <c r="B610" s="4" t="s">
        <v>6216</v>
      </c>
    </row>
    <row r="611">
      <c r="A611" s="1">
        <v>610.0</v>
      </c>
      <c r="B611" s="4" t="s">
        <v>6217</v>
      </c>
    </row>
    <row r="612">
      <c r="A612" s="1">
        <v>611.0</v>
      </c>
      <c r="B612" s="4" t="s">
        <v>6218</v>
      </c>
    </row>
    <row r="613">
      <c r="A613" s="1">
        <v>612.0</v>
      </c>
      <c r="B613" s="4" t="s">
        <v>6219</v>
      </c>
    </row>
    <row r="614">
      <c r="A614" s="1">
        <v>613.0</v>
      </c>
      <c r="B614" s="4" t="s">
        <v>6220</v>
      </c>
    </row>
    <row r="615">
      <c r="A615" s="1">
        <v>614.0</v>
      </c>
      <c r="B615" s="4" t="s">
        <v>6221</v>
      </c>
    </row>
    <row r="616">
      <c r="A616" s="1">
        <v>615.0</v>
      </c>
      <c r="B616" s="4" t="s">
        <v>6222</v>
      </c>
    </row>
    <row r="617">
      <c r="A617" s="1">
        <v>616.0</v>
      </c>
      <c r="B617" s="4" t="s">
        <v>6223</v>
      </c>
    </row>
    <row r="618">
      <c r="A618" s="1">
        <v>617.0</v>
      </c>
      <c r="B618" s="4" t="s">
        <v>6224</v>
      </c>
    </row>
    <row r="619">
      <c r="A619" s="1">
        <v>618.0</v>
      </c>
      <c r="B619" s="4" t="s">
        <v>6225</v>
      </c>
    </row>
    <row r="620">
      <c r="A620" s="1">
        <v>619.0</v>
      </c>
      <c r="B620" s="4" t="s">
        <v>6226</v>
      </c>
    </row>
    <row r="621">
      <c r="A621" s="1">
        <v>620.0</v>
      </c>
      <c r="B621" s="4" t="s">
        <v>6227</v>
      </c>
    </row>
    <row r="622">
      <c r="A622" s="1">
        <v>621.0</v>
      </c>
      <c r="B622" s="4" t="s">
        <v>6228</v>
      </c>
    </row>
    <row r="623">
      <c r="A623" s="1">
        <v>622.0</v>
      </c>
      <c r="B623" s="4" t="s">
        <v>6229</v>
      </c>
    </row>
    <row r="624">
      <c r="A624" s="1">
        <v>623.0</v>
      </c>
      <c r="B624" s="4" t="s">
        <v>6230</v>
      </c>
    </row>
    <row r="625">
      <c r="A625" s="1">
        <v>624.0</v>
      </c>
      <c r="B625" s="4" t="s">
        <v>6231</v>
      </c>
    </row>
    <row r="626">
      <c r="A626" s="1">
        <v>625.0</v>
      </c>
      <c r="B626" s="4" t="s">
        <v>6232</v>
      </c>
    </row>
    <row r="627">
      <c r="A627" s="1">
        <v>626.0</v>
      </c>
      <c r="B627" s="4" t="s">
        <v>6233</v>
      </c>
    </row>
    <row r="628">
      <c r="A628" s="1">
        <v>627.0</v>
      </c>
      <c r="B628" s="4" t="s">
        <v>6234</v>
      </c>
    </row>
    <row r="629">
      <c r="A629" s="1">
        <v>628.0</v>
      </c>
      <c r="B629" s="4" t="s">
        <v>6235</v>
      </c>
    </row>
    <row r="630">
      <c r="A630" s="1">
        <v>629.0</v>
      </c>
      <c r="B630" s="4" t="s">
        <v>6236</v>
      </c>
    </row>
    <row r="631">
      <c r="A631" s="1">
        <v>630.0</v>
      </c>
      <c r="B631" s="4" t="s">
        <v>6237</v>
      </c>
    </row>
    <row r="632">
      <c r="A632" s="1">
        <v>631.0</v>
      </c>
      <c r="B632" s="4" t="s">
        <v>6238</v>
      </c>
    </row>
    <row r="633">
      <c r="A633" s="1">
        <v>632.0</v>
      </c>
      <c r="B633" s="4" t="s">
        <v>6239</v>
      </c>
    </row>
    <row r="634">
      <c r="A634" s="1">
        <v>633.0</v>
      </c>
      <c r="B634" s="4" t="s">
        <v>6240</v>
      </c>
    </row>
    <row r="635">
      <c r="A635" s="1">
        <v>634.0</v>
      </c>
      <c r="B635" s="4" t="s">
        <v>6241</v>
      </c>
    </row>
    <row r="636">
      <c r="A636" s="1">
        <v>635.0</v>
      </c>
      <c r="B636" s="4" t="s">
        <v>6242</v>
      </c>
    </row>
    <row r="637">
      <c r="A637" s="1">
        <v>636.0</v>
      </c>
      <c r="B637" s="4" t="s">
        <v>6243</v>
      </c>
    </row>
    <row r="638">
      <c r="A638" s="1">
        <v>637.0</v>
      </c>
      <c r="B638" s="4" t="s">
        <v>6244</v>
      </c>
    </row>
    <row r="639">
      <c r="A639" s="1">
        <v>638.0</v>
      </c>
      <c r="B639" s="4" t="s">
        <v>6245</v>
      </c>
    </row>
    <row r="640">
      <c r="A640" s="1">
        <v>639.0</v>
      </c>
      <c r="B640" s="4" t="s">
        <v>6246</v>
      </c>
    </row>
    <row r="641">
      <c r="A641" s="1">
        <v>640.0</v>
      </c>
      <c r="B641" s="4" t="s">
        <v>6247</v>
      </c>
    </row>
    <row r="642">
      <c r="A642" s="1">
        <v>641.0</v>
      </c>
      <c r="B642" s="4" t="s">
        <v>6248</v>
      </c>
    </row>
    <row r="643">
      <c r="A643" s="1">
        <v>642.0</v>
      </c>
      <c r="B643" s="4" t="s">
        <v>6249</v>
      </c>
    </row>
    <row r="644">
      <c r="A644" s="1">
        <v>643.0</v>
      </c>
      <c r="B644" s="4" t="s">
        <v>6250</v>
      </c>
    </row>
    <row r="645">
      <c r="A645" s="1">
        <v>644.0</v>
      </c>
      <c r="B645" s="4" t="s">
        <v>6251</v>
      </c>
    </row>
    <row r="646">
      <c r="A646" s="1">
        <v>645.0</v>
      </c>
      <c r="B646" s="4" t="s">
        <v>6252</v>
      </c>
    </row>
    <row r="647">
      <c r="A647" s="1">
        <v>646.0</v>
      </c>
      <c r="B647" s="4" t="s">
        <v>6253</v>
      </c>
    </row>
    <row r="648">
      <c r="A648" s="1">
        <v>647.0</v>
      </c>
      <c r="B648" s="4" t="s">
        <v>6254</v>
      </c>
    </row>
    <row r="649">
      <c r="A649" s="1">
        <v>648.0</v>
      </c>
      <c r="B649" s="4" t="s">
        <v>6255</v>
      </c>
    </row>
    <row r="650">
      <c r="A650" s="1">
        <v>649.0</v>
      </c>
      <c r="B650" s="4" t="s">
        <v>6256</v>
      </c>
    </row>
    <row r="651">
      <c r="A651" s="1">
        <v>650.0</v>
      </c>
      <c r="B651" s="4" t="s">
        <v>6257</v>
      </c>
    </row>
    <row r="652">
      <c r="A652" s="1">
        <v>651.0</v>
      </c>
      <c r="B652" s="4" t="s">
        <v>6258</v>
      </c>
    </row>
    <row r="653">
      <c r="A653" s="1">
        <v>652.0</v>
      </c>
      <c r="B653" s="4" t="s">
        <v>6259</v>
      </c>
    </row>
    <row r="654">
      <c r="A654" s="1">
        <v>653.0</v>
      </c>
      <c r="B654" s="4" t="s">
        <v>6260</v>
      </c>
    </row>
    <row r="655">
      <c r="A655" s="1">
        <v>654.0</v>
      </c>
      <c r="B655" s="4" t="s">
        <v>6261</v>
      </c>
    </row>
    <row r="656">
      <c r="A656" s="1">
        <v>655.0</v>
      </c>
      <c r="B656" s="4" t="s">
        <v>6262</v>
      </c>
    </row>
    <row r="657">
      <c r="A657" s="1">
        <v>656.0</v>
      </c>
      <c r="B657" s="4" t="s">
        <v>6263</v>
      </c>
    </row>
    <row r="658">
      <c r="A658" s="1">
        <v>657.0</v>
      </c>
      <c r="B658" s="4" t="s">
        <v>6264</v>
      </c>
    </row>
    <row r="659">
      <c r="A659" s="1">
        <v>658.0</v>
      </c>
      <c r="B659" s="4" t="s">
        <v>6265</v>
      </c>
    </row>
    <row r="660">
      <c r="A660" s="1">
        <v>659.0</v>
      </c>
      <c r="B660" s="4" t="s">
        <v>6266</v>
      </c>
    </row>
    <row r="661">
      <c r="A661" s="1">
        <v>660.0</v>
      </c>
      <c r="B661" s="4" t="s">
        <v>6267</v>
      </c>
    </row>
    <row r="662">
      <c r="A662" s="1">
        <v>661.0</v>
      </c>
      <c r="B662" s="4" t="s">
        <v>6268</v>
      </c>
    </row>
    <row r="663">
      <c r="A663" s="1">
        <v>662.0</v>
      </c>
      <c r="B663" s="4" t="s">
        <v>6269</v>
      </c>
    </row>
    <row r="664">
      <c r="A664" s="1">
        <v>663.0</v>
      </c>
      <c r="B664" s="4" t="s">
        <v>6270</v>
      </c>
    </row>
    <row r="665">
      <c r="A665" s="1">
        <v>664.0</v>
      </c>
      <c r="B665" s="4" t="s">
        <v>6271</v>
      </c>
    </row>
    <row r="666">
      <c r="A666" s="1">
        <v>665.0</v>
      </c>
      <c r="B666" s="4" t="s">
        <v>6272</v>
      </c>
    </row>
    <row r="667">
      <c r="A667" s="1">
        <v>666.0</v>
      </c>
      <c r="B667" s="4" t="s">
        <v>6273</v>
      </c>
    </row>
    <row r="668">
      <c r="A668" s="1">
        <v>667.0</v>
      </c>
      <c r="B668" s="4" t="s">
        <v>6274</v>
      </c>
    </row>
    <row r="669">
      <c r="A669" s="1">
        <v>668.0</v>
      </c>
      <c r="B669" s="4" t="s">
        <v>6275</v>
      </c>
    </row>
    <row r="670">
      <c r="A670" s="1">
        <v>669.0</v>
      </c>
      <c r="B670" s="4" t="s">
        <v>6276</v>
      </c>
    </row>
    <row r="671">
      <c r="A671" s="1">
        <v>670.0</v>
      </c>
      <c r="B671" s="4" t="s">
        <v>6277</v>
      </c>
    </row>
    <row r="672">
      <c r="A672" s="1">
        <v>671.0</v>
      </c>
      <c r="B672" s="4" t="s">
        <v>6278</v>
      </c>
    </row>
    <row r="673">
      <c r="A673" s="1">
        <v>672.0</v>
      </c>
      <c r="B673" s="4" t="s">
        <v>6279</v>
      </c>
    </row>
    <row r="674">
      <c r="A674" s="1">
        <v>673.0</v>
      </c>
      <c r="B674" s="4" t="s">
        <v>6280</v>
      </c>
    </row>
    <row r="675">
      <c r="A675" s="1">
        <v>674.0</v>
      </c>
      <c r="B675" s="4" t="s">
        <v>6281</v>
      </c>
    </row>
    <row r="676">
      <c r="A676" s="1">
        <v>675.0</v>
      </c>
      <c r="B676" s="4" t="s">
        <v>6282</v>
      </c>
    </row>
    <row r="677">
      <c r="A677" s="1">
        <v>676.0</v>
      </c>
      <c r="B677" s="4" t="s">
        <v>6283</v>
      </c>
    </row>
    <row r="678">
      <c r="A678" s="1">
        <v>677.0</v>
      </c>
      <c r="B678" s="4" t="s">
        <v>6284</v>
      </c>
    </row>
    <row r="679">
      <c r="A679" s="1">
        <v>678.0</v>
      </c>
      <c r="B679" s="4" t="s">
        <v>6285</v>
      </c>
    </row>
    <row r="680">
      <c r="A680" s="1">
        <v>679.0</v>
      </c>
      <c r="B680" s="4" t="s">
        <v>6286</v>
      </c>
    </row>
    <row r="681">
      <c r="A681" s="1">
        <v>680.0</v>
      </c>
      <c r="B681" s="4" t="s">
        <v>6287</v>
      </c>
    </row>
    <row r="682">
      <c r="A682" s="1">
        <v>681.0</v>
      </c>
      <c r="B682" s="4" t="s">
        <v>6288</v>
      </c>
    </row>
    <row r="683">
      <c r="A683" s="1">
        <v>682.0</v>
      </c>
      <c r="B683" s="4" t="s">
        <v>6289</v>
      </c>
    </row>
    <row r="684">
      <c r="A684" s="1">
        <v>683.0</v>
      </c>
      <c r="B684" s="4" t="s">
        <v>6290</v>
      </c>
    </row>
    <row r="685">
      <c r="A685" s="1">
        <v>684.0</v>
      </c>
      <c r="B685" s="4" t="s">
        <v>6291</v>
      </c>
    </row>
    <row r="686">
      <c r="A686" s="1">
        <v>685.0</v>
      </c>
      <c r="B686" s="4" t="s">
        <v>6292</v>
      </c>
    </row>
    <row r="687">
      <c r="A687" s="1">
        <v>686.0</v>
      </c>
      <c r="B687" s="4" t="s">
        <v>6293</v>
      </c>
    </row>
    <row r="688">
      <c r="A688" s="1">
        <v>687.0</v>
      </c>
      <c r="B688" s="4" t="s">
        <v>6294</v>
      </c>
    </row>
    <row r="689">
      <c r="A689" s="1">
        <v>688.0</v>
      </c>
      <c r="B689" s="4" t="s">
        <v>6295</v>
      </c>
    </row>
    <row r="690">
      <c r="A690" s="1">
        <v>689.0</v>
      </c>
      <c r="B690" s="4" t="s">
        <v>6296</v>
      </c>
    </row>
    <row r="691">
      <c r="A691" s="1">
        <v>690.0</v>
      </c>
      <c r="B691" s="4" t="s">
        <v>6297</v>
      </c>
    </row>
    <row r="692">
      <c r="A692" s="1">
        <v>691.0</v>
      </c>
      <c r="B692" s="4" t="s">
        <v>6298</v>
      </c>
    </row>
    <row r="693">
      <c r="A693" s="1">
        <v>692.0</v>
      </c>
      <c r="B693" s="4" t="s">
        <v>6299</v>
      </c>
    </row>
    <row r="694">
      <c r="A694" s="1">
        <v>693.0</v>
      </c>
      <c r="B694" s="4" t="s">
        <v>6300</v>
      </c>
    </row>
    <row r="695">
      <c r="A695" s="1">
        <v>694.0</v>
      </c>
      <c r="B695" s="4" t="s">
        <v>6301</v>
      </c>
    </row>
    <row r="696">
      <c r="A696" s="1">
        <v>695.0</v>
      </c>
      <c r="B696" s="4" t="s">
        <v>6302</v>
      </c>
    </row>
    <row r="697">
      <c r="A697" s="1">
        <v>696.0</v>
      </c>
      <c r="B697" s="4" t="s">
        <v>6303</v>
      </c>
    </row>
    <row r="698">
      <c r="A698" s="1">
        <v>697.0</v>
      </c>
      <c r="B698" s="4" t="s">
        <v>6304</v>
      </c>
    </row>
    <row r="699">
      <c r="A699" s="1">
        <v>698.0</v>
      </c>
      <c r="B699" s="4" t="s">
        <v>6305</v>
      </c>
    </row>
    <row r="700">
      <c r="A700" s="1">
        <v>699.0</v>
      </c>
      <c r="B700" s="4" t="s">
        <v>6306</v>
      </c>
    </row>
    <row r="701">
      <c r="A701" s="1">
        <v>700.0</v>
      </c>
      <c r="B701" s="4" t="s">
        <v>6307</v>
      </c>
    </row>
    <row r="702">
      <c r="A702" s="1">
        <v>701.0</v>
      </c>
      <c r="B702" s="4" t="s">
        <v>6308</v>
      </c>
    </row>
    <row r="703">
      <c r="A703" s="1">
        <v>702.0</v>
      </c>
      <c r="B703" s="4" t="s">
        <v>6309</v>
      </c>
    </row>
    <row r="704">
      <c r="A704" s="1">
        <v>703.0</v>
      </c>
      <c r="B704" s="4" t="s">
        <v>6310</v>
      </c>
    </row>
    <row r="705">
      <c r="A705" s="1">
        <v>704.0</v>
      </c>
      <c r="B705" s="4" t="s">
        <v>6311</v>
      </c>
    </row>
    <row r="706">
      <c r="A706" s="1">
        <v>705.0</v>
      </c>
      <c r="B706" s="4" t="s">
        <v>6312</v>
      </c>
    </row>
    <row r="707">
      <c r="A707" s="1">
        <v>706.0</v>
      </c>
      <c r="B707" s="4" t="s">
        <v>6313</v>
      </c>
    </row>
    <row r="708">
      <c r="A708" s="1">
        <v>707.0</v>
      </c>
      <c r="B708" s="4" t="s">
        <v>6314</v>
      </c>
    </row>
    <row r="709">
      <c r="A709" s="1">
        <v>708.0</v>
      </c>
      <c r="B709" s="4" t="s">
        <v>6315</v>
      </c>
    </row>
    <row r="710">
      <c r="A710" s="1">
        <v>709.0</v>
      </c>
      <c r="B710" s="4" t="s">
        <v>6316</v>
      </c>
    </row>
    <row r="711">
      <c r="A711" s="1">
        <v>710.0</v>
      </c>
      <c r="B711" s="4" t="s">
        <v>6317</v>
      </c>
    </row>
    <row r="712">
      <c r="A712" s="1">
        <v>711.0</v>
      </c>
      <c r="B712" s="4" t="s">
        <v>6318</v>
      </c>
    </row>
    <row r="713">
      <c r="A713" s="1">
        <v>712.0</v>
      </c>
      <c r="B713" s="4" t="s">
        <v>6319</v>
      </c>
    </row>
    <row r="714">
      <c r="A714" s="1">
        <v>713.0</v>
      </c>
      <c r="B714" s="4" t="s">
        <v>6320</v>
      </c>
    </row>
    <row r="715">
      <c r="A715" s="1">
        <v>714.0</v>
      </c>
      <c r="B715" s="4" t="s">
        <v>6321</v>
      </c>
    </row>
    <row r="716">
      <c r="A716" s="1">
        <v>715.0</v>
      </c>
      <c r="B716" s="4" t="s">
        <v>6322</v>
      </c>
    </row>
    <row r="717">
      <c r="A717" s="1">
        <v>716.0</v>
      </c>
      <c r="B717" s="4" t="s">
        <v>6323</v>
      </c>
    </row>
    <row r="718">
      <c r="A718" s="1">
        <v>717.0</v>
      </c>
      <c r="B718" s="4" t="s">
        <v>6324</v>
      </c>
    </row>
    <row r="719">
      <c r="A719" s="1">
        <v>718.0</v>
      </c>
      <c r="B719" s="4" t="s">
        <v>6325</v>
      </c>
    </row>
    <row r="720">
      <c r="A720" s="1">
        <v>719.0</v>
      </c>
      <c r="B720" s="4" t="s">
        <v>6326</v>
      </c>
    </row>
    <row r="721">
      <c r="A721" s="1">
        <v>720.0</v>
      </c>
      <c r="B721" s="4" t="s">
        <v>6327</v>
      </c>
    </row>
    <row r="722">
      <c r="A722" s="1">
        <v>721.0</v>
      </c>
      <c r="B722" s="4" t="s">
        <v>6328</v>
      </c>
    </row>
    <row r="723">
      <c r="A723" s="1">
        <v>722.0</v>
      </c>
      <c r="B723" s="4" t="s">
        <v>6329</v>
      </c>
    </row>
    <row r="724">
      <c r="A724" s="1">
        <v>723.0</v>
      </c>
      <c r="B724" s="4" t="s">
        <v>6330</v>
      </c>
    </row>
    <row r="725">
      <c r="A725" s="1">
        <v>724.0</v>
      </c>
      <c r="B725" s="4" t="s">
        <v>6331</v>
      </c>
    </row>
    <row r="726">
      <c r="A726" s="1">
        <v>725.0</v>
      </c>
      <c r="B726" s="4" t="s">
        <v>6332</v>
      </c>
    </row>
    <row r="727">
      <c r="A727" s="1">
        <v>726.0</v>
      </c>
      <c r="B727" s="4" t="s">
        <v>6333</v>
      </c>
    </row>
    <row r="728">
      <c r="A728" s="1">
        <v>727.0</v>
      </c>
      <c r="B728" s="4" t="s">
        <v>6334</v>
      </c>
    </row>
    <row r="729">
      <c r="A729" s="1">
        <v>728.0</v>
      </c>
      <c r="B729" s="4" t="s">
        <v>6335</v>
      </c>
    </row>
    <row r="730">
      <c r="A730" s="1">
        <v>729.0</v>
      </c>
      <c r="B730" s="4" t="s">
        <v>6336</v>
      </c>
    </row>
    <row r="731">
      <c r="A731" s="1">
        <v>730.0</v>
      </c>
      <c r="B731" s="4" t="s">
        <v>6337</v>
      </c>
    </row>
    <row r="732">
      <c r="A732" s="1">
        <v>731.0</v>
      </c>
      <c r="B732" s="4" t="s">
        <v>6338</v>
      </c>
    </row>
    <row r="733">
      <c r="A733" s="1">
        <v>732.0</v>
      </c>
      <c r="B733" s="4" t="s">
        <v>6339</v>
      </c>
    </row>
    <row r="734">
      <c r="A734" s="1">
        <v>733.0</v>
      </c>
      <c r="B734" s="4" t="s">
        <v>6340</v>
      </c>
    </row>
    <row r="735">
      <c r="A735" s="1">
        <v>734.0</v>
      </c>
      <c r="B735" s="4" t="s">
        <v>6341</v>
      </c>
    </row>
    <row r="736">
      <c r="A736" s="1">
        <v>735.0</v>
      </c>
      <c r="B736" s="4" t="s">
        <v>6342</v>
      </c>
    </row>
    <row r="737">
      <c r="A737" s="1">
        <v>736.0</v>
      </c>
      <c r="B737" s="4" t="s">
        <v>6343</v>
      </c>
    </row>
    <row r="738">
      <c r="A738" s="1">
        <v>737.0</v>
      </c>
      <c r="B738" s="4" t="s">
        <v>6344</v>
      </c>
    </row>
    <row r="739">
      <c r="A739" s="1">
        <v>738.0</v>
      </c>
      <c r="B739" s="4" t="s">
        <v>6345</v>
      </c>
    </row>
    <row r="740">
      <c r="A740" s="1">
        <v>739.0</v>
      </c>
      <c r="B740" s="4" t="s">
        <v>6346</v>
      </c>
    </row>
    <row r="741">
      <c r="A741" s="1">
        <v>740.0</v>
      </c>
      <c r="B741" s="4" t="s">
        <v>6347</v>
      </c>
    </row>
    <row r="742">
      <c r="A742" s="1">
        <v>741.0</v>
      </c>
      <c r="B742" s="4" t="s">
        <v>6348</v>
      </c>
    </row>
    <row r="743">
      <c r="A743" s="1">
        <v>742.0</v>
      </c>
      <c r="B743" s="4" t="s">
        <v>6349</v>
      </c>
    </row>
    <row r="744">
      <c r="A744" s="1">
        <v>743.0</v>
      </c>
      <c r="B744" s="4" t="s">
        <v>6350</v>
      </c>
    </row>
    <row r="745">
      <c r="A745" s="1">
        <v>744.0</v>
      </c>
      <c r="B745" s="4" t="s">
        <v>6351</v>
      </c>
    </row>
    <row r="746">
      <c r="A746" s="1">
        <v>745.0</v>
      </c>
      <c r="B746" s="4" t="s">
        <v>6352</v>
      </c>
    </row>
    <row r="747">
      <c r="A747" s="1">
        <v>746.0</v>
      </c>
      <c r="B747" s="4" t="s">
        <v>6353</v>
      </c>
    </row>
    <row r="748">
      <c r="A748" s="1">
        <v>747.0</v>
      </c>
      <c r="B748" s="4" t="s">
        <v>6354</v>
      </c>
    </row>
    <row r="749">
      <c r="A749" s="1">
        <v>748.0</v>
      </c>
      <c r="B749" s="4" t="s">
        <v>6355</v>
      </c>
    </row>
    <row r="750">
      <c r="A750" s="1">
        <v>749.0</v>
      </c>
      <c r="B750" s="4" t="s">
        <v>6356</v>
      </c>
    </row>
    <row r="751">
      <c r="A751" s="1">
        <v>750.0</v>
      </c>
      <c r="B751" s="4" t="s">
        <v>6357</v>
      </c>
    </row>
    <row r="752">
      <c r="A752" s="1">
        <v>751.0</v>
      </c>
      <c r="B752" s="4" t="s">
        <v>6358</v>
      </c>
    </row>
    <row r="753">
      <c r="A753" s="1">
        <v>752.0</v>
      </c>
      <c r="B753" s="4" t="s">
        <v>6359</v>
      </c>
    </row>
    <row r="754">
      <c r="A754" s="1">
        <v>753.0</v>
      </c>
      <c r="B754" s="4" t="s">
        <v>6360</v>
      </c>
    </row>
    <row r="755">
      <c r="A755" s="1">
        <v>754.0</v>
      </c>
      <c r="B755" s="4" t="s">
        <v>6361</v>
      </c>
    </row>
    <row r="756">
      <c r="A756" s="1">
        <v>755.0</v>
      </c>
      <c r="B756" s="4" t="s">
        <v>6362</v>
      </c>
    </row>
    <row r="757">
      <c r="A757" s="1">
        <v>756.0</v>
      </c>
      <c r="B757" s="4" t="s">
        <v>6363</v>
      </c>
    </row>
    <row r="758">
      <c r="A758" s="1">
        <v>757.0</v>
      </c>
      <c r="B758" s="4" t="s">
        <v>6364</v>
      </c>
    </row>
    <row r="759">
      <c r="A759" s="1">
        <v>758.0</v>
      </c>
      <c r="B759" s="4" t="s">
        <v>6365</v>
      </c>
    </row>
    <row r="760">
      <c r="A760" s="1">
        <v>759.0</v>
      </c>
      <c r="B760" s="4" t="s">
        <v>6366</v>
      </c>
    </row>
    <row r="761">
      <c r="A761" s="1">
        <v>760.0</v>
      </c>
      <c r="B761" s="4" t="s">
        <v>6367</v>
      </c>
    </row>
    <row r="762">
      <c r="A762" s="1">
        <v>761.0</v>
      </c>
      <c r="B762" s="4" t="s">
        <v>6368</v>
      </c>
    </row>
    <row r="763">
      <c r="A763" s="1">
        <v>762.0</v>
      </c>
      <c r="B763" s="4" t="s">
        <v>6369</v>
      </c>
    </row>
    <row r="764">
      <c r="A764" s="1">
        <v>763.0</v>
      </c>
      <c r="B764" s="4" t="s">
        <v>6370</v>
      </c>
    </row>
    <row r="765">
      <c r="A765" s="1">
        <v>764.0</v>
      </c>
      <c r="B765" s="4" t="s">
        <v>6371</v>
      </c>
    </row>
    <row r="766">
      <c r="A766" s="1">
        <v>765.0</v>
      </c>
      <c r="B766" s="4" t="s">
        <v>6372</v>
      </c>
    </row>
    <row r="767">
      <c r="A767" s="1">
        <v>766.0</v>
      </c>
      <c r="B767" s="4" t="s">
        <v>6373</v>
      </c>
    </row>
    <row r="768">
      <c r="A768" s="1">
        <v>767.0</v>
      </c>
      <c r="B768" s="4" t="s">
        <v>6374</v>
      </c>
    </row>
    <row r="769">
      <c r="A769" s="1">
        <v>768.0</v>
      </c>
      <c r="B769" s="4" t="s">
        <v>6375</v>
      </c>
    </row>
    <row r="770">
      <c r="A770" s="1">
        <v>769.0</v>
      </c>
      <c r="B770" s="4" t="s">
        <v>6376</v>
      </c>
    </row>
    <row r="771">
      <c r="A771" s="1">
        <v>770.0</v>
      </c>
      <c r="B771" s="4" t="s">
        <v>6377</v>
      </c>
    </row>
    <row r="772">
      <c r="A772" s="1">
        <v>771.0</v>
      </c>
      <c r="B772" s="4" t="s">
        <v>6378</v>
      </c>
    </row>
    <row r="773">
      <c r="A773" s="1">
        <v>772.0</v>
      </c>
      <c r="B773" s="4" t="s">
        <v>6379</v>
      </c>
    </row>
    <row r="774">
      <c r="A774" s="1">
        <v>773.0</v>
      </c>
      <c r="B774" s="4" t="s">
        <v>6380</v>
      </c>
    </row>
    <row r="775">
      <c r="A775" s="1">
        <v>774.0</v>
      </c>
      <c r="B775" s="4" t="s">
        <v>6381</v>
      </c>
    </row>
    <row r="776">
      <c r="A776" s="1">
        <v>775.0</v>
      </c>
      <c r="B776" s="4" t="s">
        <v>6382</v>
      </c>
    </row>
    <row r="777">
      <c r="A777" s="1">
        <v>776.0</v>
      </c>
      <c r="B777" s="4" t="s">
        <v>6383</v>
      </c>
    </row>
    <row r="778">
      <c r="A778" s="1">
        <v>777.0</v>
      </c>
      <c r="B778" s="4" t="s">
        <v>6384</v>
      </c>
    </row>
    <row r="779">
      <c r="A779" s="1">
        <v>778.0</v>
      </c>
      <c r="B779" s="4" t="s">
        <v>6385</v>
      </c>
    </row>
    <row r="780">
      <c r="A780" s="1">
        <v>779.0</v>
      </c>
      <c r="B780" s="4" t="s">
        <v>6386</v>
      </c>
    </row>
    <row r="781">
      <c r="A781" s="1">
        <v>780.0</v>
      </c>
      <c r="B781" s="4" t="s">
        <v>6387</v>
      </c>
    </row>
    <row r="782">
      <c r="A782" s="1">
        <v>781.0</v>
      </c>
      <c r="B782" s="4" t="s">
        <v>6388</v>
      </c>
    </row>
    <row r="783">
      <c r="A783" s="1">
        <v>782.0</v>
      </c>
      <c r="B783" s="4" t="s">
        <v>6389</v>
      </c>
    </row>
    <row r="784">
      <c r="A784" s="1">
        <v>783.0</v>
      </c>
      <c r="B784" s="4" t="s">
        <v>6390</v>
      </c>
    </row>
    <row r="785">
      <c r="A785" s="1">
        <v>784.0</v>
      </c>
      <c r="B785" s="4" t="s">
        <v>6391</v>
      </c>
    </row>
    <row r="786">
      <c r="A786" s="1">
        <v>785.0</v>
      </c>
      <c r="B786" s="4" t="s">
        <v>6392</v>
      </c>
    </row>
    <row r="787">
      <c r="A787" s="1">
        <v>786.0</v>
      </c>
      <c r="B787" s="4" t="s">
        <v>6393</v>
      </c>
    </row>
    <row r="788">
      <c r="A788" s="1">
        <v>787.0</v>
      </c>
      <c r="B788" s="4" t="s">
        <v>6394</v>
      </c>
    </row>
    <row r="789">
      <c r="A789" s="1">
        <v>788.0</v>
      </c>
      <c r="B789" s="4" t="s">
        <v>6395</v>
      </c>
    </row>
    <row r="790">
      <c r="A790" s="1">
        <v>789.0</v>
      </c>
      <c r="B790" s="4" t="s">
        <v>6396</v>
      </c>
    </row>
    <row r="791">
      <c r="A791" s="1">
        <v>790.0</v>
      </c>
      <c r="B791" s="4" t="s">
        <v>6397</v>
      </c>
    </row>
    <row r="792">
      <c r="A792" s="1">
        <v>791.0</v>
      </c>
      <c r="B792" s="4" t="s">
        <v>6398</v>
      </c>
    </row>
    <row r="793">
      <c r="A793" s="1">
        <v>792.0</v>
      </c>
      <c r="B793" s="4" t="s">
        <v>6399</v>
      </c>
    </row>
    <row r="794">
      <c r="A794" s="1">
        <v>793.0</v>
      </c>
      <c r="B794" s="4" t="s">
        <v>6400</v>
      </c>
    </row>
    <row r="795">
      <c r="A795" s="1">
        <v>794.0</v>
      </c>
      <c r="B795" s="4" t="s">
        <v>6401</v>
      </c>
    </row>
    <row r="796">
      <c r="A796" s="1">
        <v>795.0</v>
      </c>
      <c r="B796" s="4" t="s">
        <v>6402</v>
      </c>
    </row>
    <row r="797">
      <c r="A797" s="1">
        <v>796.0</v>
      </c>
      <c r="B797" s="4" t="s">
        <v>6403</v>
      </c>
    </row>
    <row r="798">
      <c r="A798" s="1">
        <v>797.0</v>
      </c>
      <c r="B798" s="4" t="s">
        <v>6404</v>
      </c>
    </row>
    <row r="799">
      <c r="A799" s="1">
        <v>798.0</v>
      </c>
      <c r="B799" s="4" t="s">
        <v>6405</v>
      </c>
    </row>
    <row r="800">
      <c r="A800" s="1">
        <v>799.0</v>
      </c>
      <c r="B800" s="4" t="s">
        <v>6406</v>
      </c>
    </row>
    <row r="801">
      <c r="A801" s="1">
        <v>800.0</v>
      </c>
      <c r="B801" s="4" t="s">
        <v>6407</v>
      </c>
    </row>
    <row r="802">
      <c r="A802" s="1">
        <v>801.0</v>
      </c>
      <c r="B802" s="4" t="s">
        <v>6408</v>
      </c>
    </row>
    <row r="803">
      <c r="A803" s="1">
        <v>802.0</v>
      </c>
      <c r="B803" s="4" t="s">
        <v>6409</v>
      </c>
    </row>
    <row r="804">
      <c r="A804" s="1">
        <v>803.0</v>
      </c>
      <c r="B804" s="4" t="s">
        <v>6410</v>
      </c>
    </row>
    <row r="805">
      <c r="A805" s="1">
        <v>804.0</v>
      </c>
      <c r="B805" s="4" t="s">
        <v>6411</v>
      </c>
    </row>
    <row r="806">
      <c r="A806" s="1">
        <v>805.0</v>
      </c>
      <c r="B806" s="4" t="s">
        <v>6412</v>
      </c>
    </row>
    <row r="807">
      <c r="A807" s="1">
        <v>806.0</v>
      </c>
      <c r="B807" s="4" t="s">
        <v>6413</v>
      </c>
    </row>
    <row r="808">
      <c r="A808" s="1">
        <v>807.0</v>
      </c>
      <c r="B808" s="4" t="s">
        <v>6414</v>
      </c>
    </row>
    <row r="809">
      <c r="A809" s="1">
        <v>808.0</v>
      </c>
      <c r="B809" s="4" t="s">
        <v>6415</v>
      </c>
    </row>
    <row r="810">
      <c r="A810" s="1">
        <v>809.0</v>
      </c>
      <c r="B810" s="4" t="s">
        <v>6416</v>
      </c>
    </row>
    <row r="811">
      <c r="A811" s="1">
        <v>810.0</v>
      </c>
      <c r="B811" s="4" t="s">
        <v>6417</v>
      </c>
    </row>
    <row r="812">
      <c r="A812" s="1">
        <v>811.0</v>
      </c>
      <c r="B812" s="4" t="s">
        <v>6418</v>
      </c>
    </row>
    <row r="813">
      <c r="A813" s="1">
        <v>812.0</v>
      </c>
      <c r="B813" s="4" t="s">
        <v>6419</v>
      </c>
    </row>
    <row r="814">
      <c r="A814" s="1">
        <v>813.0</v>
      </c>
      <c r="B814" s="4" t="s">
        <v>6420</v>
      </c>
    </row>
    <row r="815">
      <c r="A815" s="1">
        <v>814.0</v>
      </c>
      <c r="B815" s="4" t="s">
        <v>6421</v>
      </c>
    </row>
    <row r="816">
      <c r="A816" s="1">
        <v>815.0</v>
      </c>
      <c r="B816" s="4" t="s">
        <v>6422</v>
      </c>
    </row>
    <row r="817">
      <c r="A817" s="1">
        <v>816.0</v>
      </c>
      <c r="B817" s="4" t="s">
        <v>6423</v>
      </c>
    </row>
    <row r="818">
      <c r="A818" s="1">
        <v>817.0</v>
      </c>
      <c r="B818" s="4" t="s">
        <v>6424</v>
      </c>
    </row>
    <row r="819">
      <c r="A819" s="1">
        <v>818.0</v>
      </c>
      <c r="B819" s="4" t="s">
        <v>6425</v>
      </c>
    </row>
    <row r="820">
      <c r="A820" s="1">
        <v>819.0</v>
      </c>
      <c r="B820" s="4" t="s">
        <v>6426</v>
      </c>
    </row>
    <row r="821">
      <c r="A821" s="1">
        <v>820.0</v>
      </c>
      <c r="B821" s="4" t="s">
        <v>6427</v>
      </c>
    </row>
    <row r="822">
      <c r="A822" s="1">
        <v>821.0</v>
      </c>
      <c r="B822" s="4" t="s">
        <v>6428</v>
      </c>
    </row>
    <row r="823">
      <c r="A823" s="1">
        <v>822.0</v>
      </c>
      <c r="B823" s="4" t="s">
        <v>6429</v>
      </c>
    </row>
    <row r="824">
      <c r="A824" s="1">
        <v>823.0</v>
      </c>
      <c r="B824" s="4" t="s">
        <v>6430</v>
      </c>
    </row>
    <row r="825">
      <c r="A825" s="1">
        <v>824.0</v>
      </c>
      <c r="B825" s="4" t="s">
        <v>6431</v>
      </c>
    </row>
    <row r="826">
      <c r="A826" s="1">
        <v>825.0</v>
      </c>
      <c r="B826" s="4" t="s">
        <v>6432</v>
      </c>
    </row>
    <row r="827">
      <c r="A827" s="1">
        <v>826.0</v>
      </c>
      <c r="B827" s="4" t="s">
        <v>6433</v>
      </c>
    </row>
    <row r="828">
      <c r="A828" s="1">
        <v>827.0</v>
      </c>
      <c r="B828" s="4" t="s">
        <v>6434</v>
      </c>
    </row>
    <row r="829">
      <c r="A829" s="1">
        <v>828.0</v>
      </c>
      <c r="B829" s="4" t="s">
        <v>6435</v>
      </c>
    </row>
    <row r="830">
      <c r="A830" s="1">
        <v>829.0</v>
      </c>
      <c r="B830" s="4" t="s">
        <v>6436</v>
      </c>
    </row>
    <row r="831">
      <c r="A831" s="1">
        <v>830.0</v>
      </c>
      <c r="B831" s="4" t="s">
        <v>6437</v>
      </c>
    </row>
    <row r="832">
      <c r="A832" s="1">
        <v>831.0</v>
      </c>
      <c r="B832" s="4" t="s">
        <v>6438</v>
      </c>
    </row>
    <row r="833">
      <c r="A833" s="1">
        <v>832.0</v>
      </c>
      <c r="B833" s="4" t="s">
        <v>6439</v>
      </c>
    </row>
    <row r="834">
      <c r="A834" s="1">
        <v>833.0</v>
      </c>
      <c r="B834" s="4" t="s">
        <v>6440</v>
      </c>
    </row>
    <row r="835">
      <c r="A835" s="1">
        <v>834.0</v>
      </c>
      <c r="B835" s="4" t="s">
        <v>6441</v>
      </c>
    </row>
    <row r="836">
      <c r="A836" s="1">
        <v>835.0</v>
      </c>
      <c r="B836" s="4" t="s">
        <v>6442</v>
      </c>
    </row>
    <row r="837">
      <c r="A837" s="1">
        <v>836.0</v>
      </c>
      <c r="B837" s="4" t="s">
        <v>6443</v>
      </c>
    </row>
    <row r="838">
      <c r="A838" s="1">
        <v>837.0</v>
      </c>
      <c r="B838" s="4" t="s">
        <v>6444</v>
      </c>
    </row>
    <row r="839">
      <c r="A839" s="1">
        <v>838.0</v>
      </c>
      <c r="B839" s="4" t="s">
        <v>6445</v>
      </c>
    </row>
    <row r="840">
      <c r="A840" s="1">
        <v>839.0</v>
      </c>
      <c r="B840" s="4" t="s">
        <v>6446</v>
      </c>
    </row>
    <row r="841">
      <c r="A841" s="1">
        <v>840.0</v>
      </c>
      <c r="B841" s="4" t="s">
        <v>6447</v>
      </c>
    </row>
    <row r="842">
      <c r="A842" s="1">
        <v>841.0</v>
      </c>
      <c r="B842" s="4" t="s">
        <v>6448</v>
      </c>
    </row>
    <row r="843">
      <c r="A843" s="1">
        <v>842.0</v>
      </c>
      <c r="B843" s="4" t="s">
        <v>6449</v>
      </c>
    </row>
    <row r="844">
      <c r="A844" s="1">
        <v>843.0</v>
      </c>
      <c r="B844" s="4" t="s">
        <v>6450</v>
      </c>
    </row>
    <row r="845">
      <c r="A845" s="1">
        <v>844.0</v>
      </c>
      <c r="B845" s="4" t="s">
        <v>6451</v>
      </c>
    </row>
    <row r="846">
      <c r="A846" s="1">
        <v>845.0</v>
      </c>
      <c r="B846" s="4" t="s">
        <v>6452</v>
      </c>
    </row>
    <row r="847">
      <c r="A847" s="1">
        <v>846.0</v>
      </c>
      <c r="B847" s="4" t="s">
        <v>6453</v>
      </c>
    </row>
    <row r="848">
      <c r="A848" s="1">
        <v>847.0</v>
      </c>
      <c r="B848" s="4" t="s">
        <v>6454</v>
      </c>
    </row>
    <row r="849">
      <c r="A849" s="1">
        <v>848.0</v>
      </c>
      <c r="B849" s="4" t="s">
        <v>6455</v>
      </c>
    </row>
    <row r="850">
      <c r="A850" s="1">
        <v>849.0</v>
      </c>
      <c r="B850" s="4" t="s">
        <v>6456</v>
      </c>
    </row>
    <row r="851">
      <c r="A851" s="1">
        <v>850.0</v>
      </c>
      <c r="B851" s="4" t="s">
        <v>6457</v>
      </c>
    </row>
    <row r="852">
      <c r="A852" s="1">
        <v>851.0</v>
      </c>
      <c r="B852" s="4" t="s">
        <v>6458</v>
      </c>
    </row>
    <row r="853">
      <c r="A853" s="1">
        <v>852.0</v>
      </c>
      <c r="B853" s="4" t="s">
        <v>6459</v>
      </c>
    </row>
    <row r="854">
      <c r="A854" s="1">
        <v>853.0</v>
      </c>
      <c r="B854" s="4" t="s">
        <v>6460</v>
      </c>
    </row>
    <row r="855">
      <c r="A855" s="1">
        <v>854.0</v>
      </c>
      <c r="B855" s="4" t="s">
        <v>6461</v>
      </c>
    </row>
    <row r="856">
      <c r="A856" s="1">
        <v>855.0</v>
      </c>
      <c r="B856" s="4" t="s">
        <v>6462</v>
      </c>
    </row>
    <row r="857">
      <c r="A857" s="1">
        <v>856.0</v>
      </c>
      <c r="B857" s="4" t="s">
        <v>6463</v>
      </c>
    </row>
    <row r="858">
      <c r="A858" s="1">
        <v>857.0</v>
      </c>
      <c r="B858" s="4" t="s">
        <v>6464</v>
      </c>
    </row>
    <row r="859">
      <c r="A859" s="1">
        <v>858.0</v>
      </c>
      <c r="B859" s="4" t="s">
        <v>6465</v>
      </c>
    </row>
    <row r="860">
      <c r="A860" s="1">
        <v>859.0</v>
      </c>
      <c r="B860" s="4" t="s">
        <v>6466</v>
      </c>
    </row>
    <row r="861">
      <c r="A861" s="1">
        <v>860.0</v>
      </c>
      <c r="B861" s="4" t="s">
        <v>6467</v>
      </c>
    </row>
    <row r="862">
      <c r="A862" s="1">
        <v>861.0</v>
      </c>
      <c r="B862" s="4" t="s">
        <v>6468</v>
      </c>
    </row>
    <row r="863">
      <c r="A863" s="1">
        <v>862.0</v>
      </c>
      <c r="B863" s="4" t="s">
        <v>6469</v>
      </c>
    </row>
    <row r="864">
      <c r="A864" s="1">
        <v>863.0</v>
      </c>
      <c r="B864" s="4" t="s">
        <v>6470</v>
      </c>
    </row>
    <row r="865">
      <c r="A865" s="1">
        <v>864.0</v>
      </c>
      <c r="B865" s="4" t="s">
        <v>6471</v>
      </c>
    </row>
    <row r="866">
      <c r="A866" s="1">
        <v>865.0</v>
      </c>
      <c r="B866" s="4" t="s">
        <v>6472</v>
      </c>
    </row>
    <row r="867">
      <c r="A867" s="1">
        <v>866.0</v>
      </c>
      <c r="B867" s="4" t="s">
        <v>6473</v>
      </c>
    </row>
    <row r="868">
      <c r="A868" s="1">
        <v>867.0</v>
      </c>
      <c r="B868" s="4" t="s">
        <v>6474</v>
      </c>
    </row>
    <row r="869">
      <c r="A869" s="1">
        <v>868.0</v>
      </c>
      <c r="B869" s="4" t="s">
        <v>6475</v>
      </c>
    </row>
    <row r="870">
      <c r="A870" s="1">
        <v>869.0</v>
      </c>
      <c r="B870" s="4" t="s">
        <v>6476</v>
      </c>
    </row>
    <row r="871">
      <c r="A871" s="1">
        <v>870.0</v>
      </c>
      <c r="B871" s="4" t="s">
        <v>6477</v>
      </c>
    </row>
    <row r="872">
      <c r="A872" s="1">
        <v>871.0</v>
      </c>
      <c r="B872" s="4" t="s">
        <v>6478</v>
      </c>
    </row>
    <row r="873">
      <c r="A873" s="1">
        <v>872.0</v>
      </c>
      <c r="B873" s="4" t="s">
        <v>6479</v>
      </c>
    </row>
    <row r="874">
      <c r="A874" s="1">
        <v>873.0</v>
      </c>
      <c r="B874" s="4" t="s">
        <v>6480</v>
      </c>
    </row>
    <row r="875">
      <c r="A875" s="1">
        <v>874.0</v>
      </c>
      <c r="B875" s="4" t="s">
        <v>6481</v>
      </c>
    </row>
    <row r="876">
      <c r="A876" s="1">
        <v>875.0</v>
      </c>
      <c r="B876" s="4" t="s">
        <v>6482</v>
      </c>
    </row>
    <row r="877">
      <c r="A877" s="1">
        <v>876.0</v>
      </c>
      <c r="B877" s="4" t="s">
        <v>6483</v>
      </c>
    </row>
    <row r="878">
      <c r="A878" s="1">
        <v>877.0</v>
      </c>
      <c r="B878" s="4" t="s">
        <v>6484</v>
      </c>
    </row>
    <row r="879">
      <c r="A879" s="1">
        <v>878.0</v>
      </c>
      <c r="B879" s="4" t="s">
        <v>6485</v>
      </c>
    </row>
    <row r="880">
      <c r="A880" s="1">
        <v>879.0</v>
      </c>
      <c r="B880" s="4" t="s">
        <v>6486</v>
      </c>
    </row>
    <row r="881">
      <c r="A881" s="1">
        <v>880.0</v>
      </c>
      <c r="B881" s="4" t="s">
        <v>6487</v>
      </c>
    </row>
    <row r="882">
      <c r="A882" s="1">
        <v>881.0</v>
      </c>
      <c r="B882" s="4" t="s">
        <v>6488</v>
      </c>
    </row>
    <row r="883">
      <c r="A883" s="1">
        <v>882.0</v>
      </c>
      <c r="B883" s="4" t="s">
        <v>6489</v>
      </c>
    </row>
    <row r="884">
      <c r="A884" s="1">
        <v>883.0</v>
      </c>
      <c r="B884" s="4" t="s">
        <v>6490</v>
      </c>
    </row>
    <row r="885">
      <c r="A885" s="1">
        <v>884.0</v>
      </c>
      <c r="B885" s="4" t="s">
        <v>6491</v>
      </c>
    </row>
    <row r="886">
      <c r="A886" s="1">
        <v>885.0</v>
      </c>
      <c r="B886" s="4" t="s">
        <v>6492</v>
      </c>
    </row>
    <row r="887">
      <c r="A887" s="1">
        <v>886.0</v>
      </c>
      <c r="B887" s="4" t="s">
        <v>6493</v>
      </c>
    </row>
    <row r="888">
      <c r="A888" s="1">
        <v>887.0</v>
      </c>
      <c r="B888" s="4" t="s">
        <v>6494</v>
      </c>
    </row>
    <row r="889">
      <c r="A889" s="1">
        <v>888.0</v>
      </c>
      <c r="B889" s="4" t="s">
        <v>6495</v>
      </c>
    </row>
    <row r="890">
      <c r="A890" s="1">
        <v>889.0</v>
      </c>
      <c r="B890" s="4" t="s">
        <v>6496</v>
      </c>
    </row>
    <row r="891">
      <c r="A891" s="1">
        <v>890.0</v>
      </c>
      <c r="B891" s="4" t="s">
        <v>6497</v>
      </c>
    </row>
    <row r="892">
      <c r="A892" s="1">
        <v>891.0</v>
      </c>
      <c r="B892" s="4" t="s">
        <v>6498</v>
      </c>
    </row>
    <row r="893">
      <c r="A893" s="1">
        <v>892.0</v>
      </c>
      <c r="B893" s="4" t="s">
        <v>6499</v>
      </c>
    </row>
    <row r="894">
      <c r="A894" s="1">
        <v>893.0</v>
      </c>
      <c r="B894" s="4" t="s">
        <v>6500</v>
      </c>
    </row>
    <row r="895">
      <c r="A895" s="1">
        <v>894.0</v>
      </c>
      <c r="B895" s="4" t="s">
        <v>6501</v>
      </c>
    </row>
    <row r="896">
      <c r="A896" s="1">
        <v>895.0</v>
      </c>
      <c r="B896" s="4" t="s">
        <v>6502</v>
      </c>
    </row>
    <row r="897">
      <c r="A897" s="1">
        <v>896.0</v>
      </c>
      <c r="B897" s="4" t="s">
        <v>6503</v>
      </c>
    </row>
    <row r="898">
      <c r="A898" s="1">
        <v>897.0</v>
      </c>
      <c r="B898" s="4" t="s">
        <v>6504</v>
      </c>
    </row>
    <row r="899">
      <c r="A899" s="1">
        <v>898.0</v>
      </c>
      <c r="B899" s="4" t="s">
        <v>6505</v>
      </c>
    </row>
    <row r="900">
      <c r="A900" s="1">
        <v>899.0</v>
      </c>
      <c r="B900" s="4" t="s">
        <v>6506</v>
      </c>
    </row>
    <row r="901">
      <c r="A901" s="1">
        <v>900.0</v>
      </c>
      <c r="B901" s="4" t="s">
        <v>6507</v>
      </c>
    </row>
    <row r="902">
      <c r="A902" s="1">
        <v>901.0</v>
      </c>
      <c r="B902" s="4" t="s">
        <v>6508</v>
      </c>
    </row>
    <row r="903">
      <c r="A903" s="1">
        <v>902.0</v>
      </c>
      <c r="B903" s="4" t="s">
        <v>6509</v>
      </c>
    </row>
    <row r="904">
      <c r="A904" s="1">
        <v>903.0</v>
      </c>
      <c r="B904" s="4" t="s">
        <v>6510</v>
      </c>
    </row>
    <row r="905">
      <c r="A905" s="1">
        <v>904.0</v>
      </c>
      <c r="B905" s="4" t="s">
        <v>6511</v>
      </c>
    </row>
    <row r="906">
      <c r="A906" s="1">
        <v>905.0</v>
      </c>
      <c r="B906" s="4" t="s">
        <v>6512</v>
      </c>
    </row>
    <row r="907">
      <c r="A907" s="1">
        <v>906.0</v>
      </c>
      <c r="B907" s="4" t="s">
        <v>6513</v>
      </c>
    </row>
    <row r="908">
      <c r="A908" s="1">
        <v>907.0</v>
      </c>
      <c r="B908" s="4" t="s">
        <v>6514</v>
      </c>
    </row>
    <row r="909">
      <c r="A909" s="1">
        <v>908.0</v>
      </c>
      <c r="B909" s="4" t="s">
        <v>6515</v>
      </c>
    </row>
    <row r="910">
      <c r="A910" s="1">
        <v>909.0</v>
      </c>
      <c r="B910" s="4" t="s">
        <v>6516</v>
      </c>
    </row>
    <row r="911">
      <c r="A911" s="1">
        <v>910.0</v>
      </c>
      <c r="B911" s="4" t="s">
        <v>6517</v>
      </c>
    </row>
    <row r="912">
      <c r="A912" s="1">
        <v>911.0</v>
      </c>
      <c r="B912" s="4" t="s">
        <v>6518</v>
      </c>
    </row>
    <row r="913">
      <c r="A913" s="1">
        <v>912.0</v>
      </c>
      <c r="B913" s="4" t="s">
        <v>6519</v>
      </c>
    </row>
    <row r="914">
      <c r="A914" s="1">
        <v>913.0</v>
      </c>
      <c r="B914" s="4" t="s">
        <v>6520</v>
      </c>
    </row>
    <row r="915">
      <c r="A915" s="1">
        <v>914.0</v>
      </c>
      <c r="B915" s="4" t="s">
        <v>6521</v>
      </c>
    </row>
    <row r="916">
      <c r="A916" s="1">
        <v>915.0</v>
      </c>
      <c r="B916" s="4" t="s">
        <v>6522</v>
      </c>
    </row>
    <row r="917">
      <c r="A917" s="1">
        <v>916.0</v>
      </c>
      <c r="B917" s="4" t="s">
        <v>6523</v>
      </c>
    </row>
    <row r="918">
      <c r="A918" s="1">
        <v>917.0</v>
      </c>
      <c r="B918" s="4" t="s">
        <v>6524</v>
      </c>
    </row>
    <row r="919">
      <c r="A919" s="1">
        <v>918.0</v>
      </c>
      <c r="B919" s="4" t="s">
        <v>6525</v>
      </c>
    </row>
    <row r="920">
      <c r="A920" s="1">
        <v>919.0</v>
      </c>
      <c r="B920" s="4" t="s">
        <v>6526</v>
      </c>
    </row>
    <row r="921">
      <c r="A921" s="1">
        <v>920.0</v>
      </c>
      <c r="B921" s="4" t="s">
        <v>6527</v>
      </c>
    </row>
    <row r="922">
      <c r="A922" s="1">
        <v>921.0</v>
      </c>
      <c r="B922" s="4" t="s">
        <v>6528</v>
      </c>
    </row>
    <row r="923">
      <c r="A923" s="1">
        <v>922.0</v>
      </c>
      <c r="B923" s="4" t="s">
        <v>6529</v>
      </c>
    </row>
    <row r="924">
      <c r="A924" s="1">
        <v>923.0</v>
      </c>
      <c r="B924" s="4" t="s">
        <v>6530</v>
      </c>
    </row>
    <row r="925">
      <c r="A925" s="1">
        <v>924.0</v>
      </c>
      <c r="B925" s="4" t="s">
        <v>6531</v>
      </c>
    </row>
    <row r="926">
      <c r="A926" s="1">
        <v>925.0</v>
      </c>
      <c r="B926" s="4" t="s">
        <v>6532</v>
      </c>
    </row>
    <row r="927">
      <c r="A927" s="1">
        <v>926.0</v>
      </c>
      <c r="B927" s="4" t="s">
        <v>6533</v>
      </c>
    </row>
    <row r="928">
      <c r="A928" s="1">
        <v>927.0</v>
      </c>
      <c r="B928" s="4" t="s">
        <v>6534</v>
      </c>
    </row>
    <row r="929">
      <c r="A929" s="1">
        <v>928.0</v>
      </c>
      <c r="B929" s="4" t="s">
        <v>6535</v>
      </c>
    </row>
    <row r="930">
      <c r="A930" s="1">
        <v>929.0</v>
      </c>
      <c r="B930" s="4" t="s">
        <v>6536</v>
      </c>
    </row>
    <row r="931">
      <c r="A931" s="1">
        <v>930.0</v>
      </c>
      <c r="B931" s="4" t="s">
        <v>6537</v>
      </c>
    </row>
    <row r="932">
      <c r="A932" s="1">
        <v>931.0</v>
      </c>
      <c r="B932" s="4" t="s">
        <v>6538</v>
      </c>
    </row>
    <row r="933">
      <c r="A933" s="1">
        <v>932.0</v>
      </c>
      <c r="B933" s="4" t="s">
        <v>6539</v>
      </c>
    </row>
    <row r="934">
      <c r="A934" s="1">
        <v>933.0</v>
      </c>
      <c r="B934" s="4" t="s">
        <v>6540</v>
      </c>
    </row>
    <row r="935">
      <c r="A935" s="1">
        <v>934.0</v>
      </c>
      <c r="B935" s="4" t="s">
        <v>6541</v>
      </c>
    </row>
    <row r="936">
      <c r="A936" s="1">
        <v>935.0</v>
      </c>
      <c r="B936" s="4" t="s">
        <v>6542</v>
      </c>
    </row>
    <row r="937">
      <c r="A937" s="1">
        <v>936.0</v>
      </c>
      <c r="B937" s="4" t="s">
        <v>6543</v>
      </c>
    </row>
    <row r="938">
      <c r="A938" s="1">
        <v>937.0</v>
      </c>
      <c r="B938" s="4" t="s">
        <v>6544</v>
      </c>
    </row>
    <row r="939">
      <c r="A939" s="1">
        <v>938.0</v>
      </c>
      <c r="B939" s="4" t="s">
        <v>6545</v>
      </c>
    </row>
    <row r="940">
      <c r="A940" s="1">
        <v>939.0</v>
      </c>
      <c r="B940" s="4" t="s">
        <v>6546</v>
      </c>
    </row>
    <row r="941">
      <c r="A941" s="1">
        <v>940.0</v>
      </c>
      <c r="B941" s="4" t="s">
        <v>6547</v>
      </c>
    </row>
    <row r="942">
      <c r="A942" s="1">
        <v>941.0</v>
      </c>
      <c r="B942" s="4" t="s">
        <v>6548</v>
      </c>
    </row>
    <row r="943">
      <c r="A943" s="1">
        <v>942.0</v>
      </c>
      <c r="B943" s="4" t="s">
        <v>6549</v>
      </c>
    </row>
    <row r="944">
      <c r="A944" s="1">
        <v>943.0</v>
      </c>
      <c r="B944" s="4" t="s">
        <v>6550</v>
      </c>
    </row>
    <row r="945">
      <c r="A945" s="1">
        <v>944.0</v>
      </c>
      <c r="B945" s="4" t="s">
        <v>6551</v>
      </c>
    </row>
    <row r="946">
      <c r="A946" s="1">
        <v>945.0</v>
      </c>
      <c r="B946" s="4" t="s">
        <v>6552</v>
      </c>
    </row>
    <row r="947">
      <c r="A947" s="1">
        <v>946.0</v>
      </c>
      <c r="B947" s="4" t="s">
        <v>6553</v>
      </c>
    </row>
    <row r="948">
      <c r="A948" s="1">
        <v>947.0</v>
      </c>
      <c r="B948" s="4" t="s">
        <v>6554</v>
      </c>
    </row>
    <row r="949">
      <c r="A949" s="1">
        <v>948.0</v>
      </c>
      <c r="B949" s="4" t="s">
        <v>6555</v>
      </c>
    </row>
    <row r="950">
      <c r="A950" s="1">
        <v>949.0</v>
      </c>
      <c r="B950" s="4" t="s">
        <v>6556</v>
      </c>
    </row>
    <row r="951">
      <c r="A951" s="1">
        <v>950.0</v>
      </c>
      <c r="B951" s="4" t="s">
        <v>6557</v>
      </c>
    </row>
    <row r="952">
      <c r="A952" s="1">
        <v>951.0</v>
      </c>
      <c r="B952" s="4" t="s">
        <v>6558</v>
      </c>
    </row>
    <row r="953">
      <c r="A953" s="1">
        <v>952.0</v>
      </c>
      <c r="B953" s="4" t="s">
        <v>6559</v>
      </c>
    </row>
    <row r="954">
      <c r="A954" s="1">
        <v>953.0</v>
      </c>
      <c r="B954" s="4" t="s">
        <v>6560</v>
      </c>
    </row>
    <row r="955">
      <c r="A955" s="1">
        <v>954.0</v>
      </c>
      <c r="B955" s="4" t="s">
        <v>6561</v>
      </c>
    </row>
    <row r="956">
      <c r="A956" s="1">
        <v>955.0</v>
      </c>
      <c r="B956" s="4" t="s">
        <v>6562</v>
      </c>
    </row>
    <row r="957">
      <c r="A957" s="1">
        <v>956.0</v>
      </c>
      <c r="B957" s="4" t="s">
        <v>6563</v>
      </c>
    </row>
    <row r="958">
      <c r="A958" s="1">
        <v>957.0</v>
      </c>
      <c r="B958" s="4" t="s">
        <v>6564</v>
      </c>
    </row>
    <row r="959">
      <c r="A959" s="1">
        <v>958.0</v>
      </c>
      <c r="B959" s="4" t="s">
        <v>6565</v>
      </c>
    </row>
    <row r="960">
      <c r="A960" s="1">
        <v>959.0</v>
      </c>
      <c r="B960" s="4" t="s">
        <v>6566</v>
      </c>
    </row>
    <row r="961">
      <c r="A961" s="1">
        <v>960.0</v>
      </c>
      <c r="B961" s="4" t="s">
        <v>6567</v>
      </c>
    </row>
    <row r="962">
      <c r="A962" s="1">
        <v>961.0</v>
      </c>
      <c r="B962" s="4" t="s">
        <v>6568</v>
      </c>
    </row>
    <row r="963">
      <c r="A963" s="1">
        <v>962.0</v>
      </c>
      <c r="B963" s="4" t="s">
        <v>6569</v>
      </c>
    </row>
    <row r="964">
      <c r="A964" s="1">
        <v>963.0</v>
      </c>
      <c r="B964" s="4" t="s">
        <v>6570</v>
      </c>
    </row>
    <row r="965">
      <c r="A965" s="1">
        <v>964.0</v>
      </c>
      <c r="B965" s="4" t="s">
        <v>6571</v>
      </c>
    </row>
    <row r="966">
      <c r="A966" s="1">
        <v>965.0</v>
      </c>
      <c r="B966" s="4" t="s">
        <v>6572</v>
      </c>
    </row>
    <row r="967">
      <c r="A967" s="1">
        <v>966.0</v>
      </c>
      <c r="B967" s="4" t="s">
        <v>6573</v>
      </c>
    </row>
    <row r="968">
      <c r="A968" s="1">
        <v>967.0</v>
      </c>
      <c r="B968" s="4" t="s">
        <v>6574</v>
      </c>
    </row>
    <row r="969">
      <c r="A969" s="1">
        <v>968.0</v>
      </c>
      <c r="B969" s="4" t="s">
        <v>6575</v>
      </c>
    </row>
    <row r="970">
      <c r="A970" s="1">
        <v>969.0</v>
      </c>
      <c r="B970" s="4" t="s">
        <v>6576</v>
      </c>
    </row>
    <row r="971">
      <c r="A971" s="1">
        <v>970.0</v>
      </c>
      <c r="B971" s="4" t="s">
        <v>6577</v>
      </c>
    </row>
    <row r="972">
      <c r="A972" s="1">
        <v>971.0</v>
      </c>
      <c r="B972" s="4" t="s">
        <v>6578</v>
      </c>
    </row>
    <row r="973">
      <c r="A973" s="1">
        <v>972.0</v>
      </c>
      <c r="B973" s="4" t="s">
        <v>6579</v>
      </c>
    </row>
    <row r="974">
      <c r="A974" s="1">
        <v>973.0</v>
      </c>
      <c r="B974" s="4" t="s">
        <v>6580</v>
      </c>
    </row>
    <row r="975">
      <c r="A975" s="1">
        <v>974.0</v>
      </c>
      <c r="B975" s="4" t="s">
        <v>6581</v>
      </c>
    </row>
    <row r="976">
      <c r="A976" s="1">
        <v>975.0</v>
      </c>
      <c r="B976" s="4" t="s">
        <v>6582</v>
      </c>
    </row>
    <row r="977">
      <c r="A977" s="1">
        <v>976.0</v>
      </c>
      <c r="B977" s="4" t="s">
        <v>6583</v>
      </c>
    </row>
    <row r="978">
      <c r="A978" s="1">
        <v>977.0</v>
      </c>
      <c r="B978" s="4" t="s">
        <v>6584</v>
      </c>
    </row>
    <row r="979">
      <c r="A979" s="1">
        <v>978.0</v>
      </c>
      <c r="B979" s="4" t="s">
        <v>6585</v>
      </c>
    </row>
    <row r="980">
      <c r="A980" s="1">
        <v>979.0</v>
      </c>
      <c r="B980" s="4" t="s">
        <v>6586</v>
      </c>
    </row>
    <row r="981">
      <c r="A981" s="1">
        <v>980.0</v>
      </c>
      <c r="B981" s="4" t="s">
        <v>6587</v>
      </c>
    </row>
    <row r="982">
      <c r="A982" s="1">
        <v>981.0</v>
      </c>
      <c r="B982" s="4" t="s">
        <v>6588</v>
      </c>
    </row>
    <row r="983">
      <c r="A983" s="1">
        <v>982.0</v>
      </c>
      <c r="B983" s="4" t="s">
        <v>6589</v>
      </c>
    </row>
    <row r="984">
      <c r="A984" s="1">
        <v>983.0</v>
      </c>
      <c r="B984" s="4" t="s">
        <v>6590</v>
      </c>
    </row>
    <row r="985">
      <c r="A985" s="1">
        <v>984.0</v>
      </c>
      <c r="B985" s="4" t="s">
        <v>6591</v>
      </c>
    </row>
    <row r="986">
      <c r="A986" s="1">
        <v>985.0</v>
      </c>
      <c r="B986" s="4" t="s">
        <v>6592</v>
      </c>
    </row>
    <row r="987">
      <c r="A987" s="1">
        <v>986.0</v>
      </c>
      <c r="B987" s="4" t="s">
        <v>6593</v>
      </c>
    </row>
    <row r="988">
      <c r="A988" s="1">
        <v>987.0</v>
      </c>
      <c r="B988" s="4" t="s">
        <v>6594</v>
      </c>
    </row>
    <row r="989">
      <c r="A989" s="1">
        <v>988.0</v>
      </c>
      <c r="B989" s="4" t="s">
        <v>6595</v>
      </c>
    </row>
    <row r="990">
      <c r="A990" s="1">
        <v>989.0</v>
      </c>
      <c r="B990" s="4" t="s">
        <v>6596</v>
      </c>
    </row>
    <row r="991">
      <c r="A991" s="1">
        <v>990.0</v>
      </c>
      <c r="B991" s="4" t="s">
        <v>6597</v>
      </c>
    </row>
    <row r="992">
      <c r="A992" s="1">
        <v>991.0</v>
      </c>
      <c r="B992" s="4" t="s">
        <v>6598</v>
      </c>
    </row>
    <row r="993">
      <c r="A993" s="1">
        <v>992.0</v>
      </c>
      <c r="B993" s="4" t="s">
        <v>6599</v>
      </c>
    </row>
    <row r="994">
      <c r="A994" s="1">
        <v>993.0</v>
      </c>
      <c r="B994" s="4" t="s">
        <v>6600</v>
      </c>
    </row>
    <row r="995">
      <c r="A995" s="1">
        <v>994.0</v>
      </c>
      <c r="B995" s="4" t="s">
        <v>6601</v>
      </c>
    </row>
    <row r="996">
      <c r="A996" s="1">
        <v>995.0</v>
      </c>
      <c r="B996" s="4" t="s">
        <v>6602</v>
      </c>
    </row>
    <row r="997">
      <c r="A997" s="1">
        <v>996.0</v>
      </c>
      <c r="B997" s="4" t="s">
        <v>6603</v>
      </c>
    </row>
    <row r="998">
      <c r="A998" s="1">
        <v>997.0</v>
      </c>
      <c r="B998" s="4" t="s">
        <v>6604</v>
      </c>
    </row>
    <row r="999">
      <c r="A999" s="1">
        <v>998.0</v>
      </c>
      <c r="B999" s="4" t="s">
        <v>6605</v>
      </c>
    </row>
    <row r="1000">
      <c r="A1000" s="1">
        <v>999.0</v>
      </c>
      <c r="B1000" s="4" t="s">
        <v>6606</v>
      </c>
    </row>
    <row r="1001">
      <c r="A1001" s="1">
        <v>1000.0</v>
      </c>
      <c r="B1001" s="4" t="s">
        <v>6607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s>
  <drawing r:id="rId100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63"/>
    <col customWidth="1" min="9" max="9" width="24.0"/>
    <col customWidth="1" min="14" max="14" width="27.0"/>
  </cols>
  <sheetData>
    <row r="1">
      <c r="A1" s="1" t="s">
        <v>0</v>
      </c>
      <c r="B1" s="1" t="s">
        <v>1</v>
      </c>
      <c r="C1" s="1" t="s">
        <v>2</v>
      </c>
      <c r="D1" s="1" t="s">
        <v>3</v>
      </c>
      <c r="E1" s="1" t="s">
        <v>4</v>
      </c>
      <c r="F1" s="1" t="s">
        <v>6608</v>
      </c>
      <c r="G1" s="1" t="s">
        <v>6609</v>
      </c>
      <c r="H1" s="1" t="s">
        <v>6610</v>
      </c>
      <c r="I1" s="1" t="s">
        <v>6</v>
      </c>
      <c r="J1" s="1" t="s">
        <v>7</v>
      </c>
      <c r="K1" s="1" t="s">
        <v>8</v>
      </c>
      <c r="L1" s="1" t="s">
        <v>6611</v>
      </c>
      <c r="M1" s="1" t="s">
        <v>9</v>
      </c>
      <c r="N1" s="1" t="s">
        <v>10</v>
      </c>
      <c r="O1" s="1" t="s">
        <v>11</v>
      </c>
      <c r="P1" s="1" t="s">
        <v>12</v>
      </c>
      <c r="Q1" s="1" t="s">
        <v>13</v>
      </c>
      <c r="R1" s="1" t="s">
        <v>14</v>
      </c>
      <c r="S1" s="1" t="s">
        <v>15</v>
      </c>
      <c r="T1" s="1" t="s">
        <v>6612</v>
      </c>
      <c r="U1" s="5" t="str">
        <f>'Inflation Adjusted Gross'!F1</f>
        <v>Inflation_Adj_Gross</v>
      </c>
      <c r="V1" s="1" t="s">
        <v>6613</v>
      </c>
    </row>
    <row r="2">
      <c r="A2" s="1">
        <v>1.0</v>
      </c>
      <c r="B2" s="1" t="s">
        <v>17</v>
      </c>
      <c r="C2" s="6">
        <f>Gross_cleaning!E2</f>
        <v>28341469</v>
      </c>
      <c r="D2" s="1">
        <v>1994.0</v>
      </c>
      <c r="E2" s="1" t="s">
        <v>18</v>
      </c>
      <c r="F2" s="1" t="str">
        <f>VLOOKUP(Filmes_raw!E2,Rating_systems!$A$2:$C$29,3,FALSE)</f>
        <v>Adulto</v>
      </c>
      <c r="G2" s="2">
        <f>Gross_cleaning!F2</f>
        <v>142</v>
      </c>
      <c r="H2" s="1" t="s">
        <v>19</v>
      </c>
      <c r="I2" s="1" t="s">
        <v>20</v>
      </c>
      <c r="J2" s="1">
        <v>9.3</v>
      </c>
      <c r="K2" s="1" t="s">
        <v>21</v>
      </c>
      <c r="L2" s="1" t="str">
        <f>IFERROR(__xludf.DUMMYFUNCTION("GOOGLETRANSLATE(K2,""en"", ""pt-br"")"),"Dois homens presos se ligam ao longo de vários anos, encontrando consolação e eventual resgate através de atos de decência comum.")</f>
        <v>Dois homens presos se ligam ao longo de vários anos, encontrando consolação e eventual resgate através de atos de decência comum.</v>
      </c>
      <c r="M2" s="1">
        <v>80.0</v>
      </c>
      <c r="N2" s="1" t="s">
        <v>22</v>
      </c>
      <c r="O2" s="1" t="s">
        <v>23</v>
      </c>
      <c r="P2" s="1" t="s">
        <v>24</v>
      </c>
      <c r="Q2" s="1" t="s">
        <v>25</v>
      </c>
      <c r="R2" s="1" t="s">
        <v>26</v>
      </c>
      <c r="S2" s="1">
        <v>2343110.0</v>
      </c>
      <c r="T2" s="7" t="str">
        <f>VLOOKUP(A2,Posters!A2:B1001,2)</f>
        <v>https://m.media-amazon.com/images/M/MV5BMDFkYTc0MGEtZmNhMC00ZDIzLWFmNTEtODM1ZmRlYWMwMWFmXkEyXkFqcGdeQXVyMTMxODk2OTU@._V1_UX67_CR0,0,67,98_AL_.jpg</v>
      </c>
      <c r="U2" s="8">
        <f>'Inflation Adjusted Gross'!F2</f>
        <v>50008735</v>
      </c>
      <c r="V2" s="5">
        <f t="shared" ref="V2:V1001" si="1">MAX($D$2:$D$1001)</f>
        <v>2020</v>
      </c>
    </row>
    <row r="3">
      <c r="A3" s="1">
        <v>2.0</v>
      </c>
      <c r="B3" s="1" t="s">
        <v>27</v>
      </c>
      <c r="C3" s="6">
        <f>Gross_cleaning!E3</f>
        <v>134966411</v>
      </c>
      <c r="D3" s="1">
        <v>1972.0</v>
      </c>
      <c r="E3" s="1" t="s">
        <v>18</v>
      </c>
      <c r="F3" s="1" t="str">
        <f>VLOOKUP(Filmes_raw!E3,Rating_systems!$A$2:$C$29,3,FALSE)</f>
        <v>Adulto</v>
      </c>
      <c r="G3" s="2">
        <f>Gross_cleaning!F3</f>
        <v>175</v>
      </c>
      <c r="H3" s="1" t="s">
        <v>28</v>
      </c>
      <c r="I3" s="1" t="s">
        <v>29</v>
      </c>
      <c r="J3" s="1">
        <v>9.2</v>
      </c>
      <c r="K3" s="1" t="s">
        <v>30</v>
      </c>
      <c r="L3" s="1" t="str">
        <f>IFERROR(__xludf.DUMMYFUNCTION("GOOGLETRANSLATE(K3,""en"", ""pt-br"")"),"Um patriarca de envelhecimento da dinastia de crime organizado transfere o controle de seu império clandestino para seu filho relutante.")</f>
        <v>Um patriarca de envelhecimento da dinastia de crime organizado transfere o controle de seu império clandestino para seu filho relutante.</v>
      </c>
      <c r="M3" s="1">
        <v>100.0</v>
      </c>
      <c r="N3" s="1" t="s">
        <v>31</v>
      </c>
      <c r="O3" s="1" t="s">
        <v>32</v>
      </c>
      <c r="P3" s="1" t="s">
        <v>33</v>
      </c>
      <c r="Q3" s="1" t="s">
        <v>34</v>
      </c>
      <c r="R3" s="1" t="s">
        <v>35</v>
      </c>
      <c r="S3" s="1">
        <v>1620367.0</v>
      </c>
      <c r="T3" s="7" t="str">
        <f>VLOOKUP(A3,Posters!A3:B1002,2)</f>
        <v>https://m.media-amazon.com/images/M/MV5BM2MyNjYxNmUtYTAwNi00MTYxLWJmNWYtYzZlODY3ZTk3OTFlXkEyXkFqcGdeQXVyNzkwMjQ5NzM@._V1_UY98_CR1,0,67,98_AL_.jpg</v>
      </c>
      <c r="U3" s="8">
        <f>'Inflation Adjusted Gross'!F3</f>
        <v>847139173</v>
      </c>
      <c r="V3" s="5">
        <f t="shared" si="1"/>
        <v>2020</v>
      </c>
    </row>
    <row r="4">
      <c r="A4" s="1">
        <v>3.0</v>
      </c>
      <c r="B4" s="1" t="s">
        <v>36</v>
      </c>
      <c r="C4" s="6">
        <f>Gross_cleaning!E4</f>
        <v>534858444</v>
      </c>
      <c r="D4" s="1">
        <v>2008.0</v>
      </c>
      <c r="E4" s="1" t="s">
        <v>37</v>
      </c>
      <c r="F4" s="1" t="str">
        <f>VLOOKUP(Filmes_raw!E4,Rating_systems!$A$2:$C$29,3,FALSE)</f>
        <v>Criança</v>
      </c>
      <c r="G4" s="2">
        <f>Gross_cleaning!F4</f>
        <v>152</v>
      </c>
      <c r="H4" s="1" t="s">
        <v>38</v>
      </c>
      <c r="I4" s="1" t="s">
        <v>39</v>
      </c>
      <c r="J4" s="1">
        <v>9.0</v>
      </c>
      <c r="K4" s="1" t="s">
        <v>40</v>
      </c>
      <c r="L4" s="1" t="str">
        <f>IFERROR(__xludf.DUMMYFUNCTION("GOOGLETRANSLATE(K4,""en"", ""pt-br"")"),"Quando a ameaça conhecida como o palhaço causou estragos e caos no povo de Gotham, Batman deve aceitar um dos maiores testes psicológicos e físicos de sua capacidade de combater a injustiça.")</f>
        <v>Quando a ameaça conhecida como o palhaço causou estragos e caos no povo de Gotham, Batman deve aceitar um dos maiores testes psicológicos e físicos de sua capacidade de combater a injustiça.</v>
      </c>
      <c r="M4" s="1">
        <v>84.0</v>
      </c>
      <c r="N4" s="1" t="s">
        <v>41</v>
      </c>
      <c r="O4" s="1" t="s">
        <v>42</v>
      </c>
      <c r="P4" s="1" t="s">
        <v>43</v>
      </c>
      <c r="Q4" s="1" t="s">
        <v>44</v>
      </c>
      <c r="R4" s="1" t="s">
        <v>45</v>
      </c>
      <c r="S4" s="1">
        <v>2303232.0</v>
      </c>
      <c r="T4" s="7" t="str">
        <f>VLOOKUP(A4,Posters!A4:B1003,2)</f>
        <v>https://m.media-amazon.com/images/M/MV5BMTMxNTMwODM0NF5BMl5BanBnXkFtZTcwODAyMTk2Mw@@._V1_UX67_CR0,0,67,98_AL_.jpg</v>
      </c>
      <c r="U4" s="8">
        <f>'Inflation Adjusted Gross'!F4</f>
        <v>653676178</v>
      </c>
      <c r="V4" s="5">
        <f t="shared" si="1"/>
        <v>2020</v>
      </c>
    </row>
    <row r="5">
      <c r="A5" s="1">
        <v>4.0</v>
      </c>
      <c r="B5" s="1" t="s">
        <v>46</v>
      </c>
      <c r="C5" s="6">
        <f>Gross_cleaning!E5</f>
        <v>57300000</v>
      </c>
      <c r="D5" s="1">
        <v>1974.0</v>
      </c>
      <c r="E5" s="1" t="s">
        <v>18</v>
      </c>
      <c r="F5" s="1" t="str">
        <f>VLOOKUP(Filmes_raw!E5,Rating_systems!$A$2:$C$29,3,FALSE)</f>
        <v>Adulto</v>
      </c>
      <c r="G5" s="2">
        <f>Gross_cleaning!F5</f>
        <v>202</v>
      </c>
      <c r="H5" s="1" t="s">
        <v>47</v>
      </c>
      <c r="I5" s="1" t="s">
        <v>29</v>
      </c>
      <c r="J5" s="1">
        <v>9.0</v>
      </c>
      <c r="K5" s="1" t="s">
        <v>48</v>
      </c>
      <c r="L5" s="1" t="str">
        <f>IFERROR(__xludf.DUMMYFUNCTION("GOOGLETRANSLATE(K5,""en"", ""pt-br"")"),"O início da vida e carreira de Vito Corleone, na década de 1920, a cidade de Nova York é retratada, enquanto seu filho, Michael, se expande e aperta seu aperto no sindicato do crime familiar.")</f>
        <v>O início da vida e carreira de Vito Corleone, na década de 1920, a cidade de Nova York é retratada, enquanto seu filho, Michael, se expande e aperta seu aperto no sindicato do crime familiar.</v>
      </c>
      <c r="M5" s="1">
        <v>90.0</v>
      </c>
      <c r="N5" s="1" t="s">
        <v>31</v>
      </c>
      <c r="O5" s="1" t="s">
        <v>33</v>
      </c>
      <c r="P5" s="1" t="s">
        <v>49</v>
      </c>
      <c r="Q5" s="1" t="s">
        <v>50</v>
      </c>
      <c r="R5" s="1" t="s">
        <v>35</v>
      </c>
      <c r="S5" s="1">
        <v>1129952.0</v>
      </c>
      <c r="T5" s="7" t="str">
        <f>VLOOKUP(A5,Posters!A5:B1004,2)</f>
        <v>https://m.media-amazon.com/images/M/MV5BMWMwMGQzZTItY2JlNC00OWZiLWIyMDctNDk2ZDQ2YjRjMWQ0XkEyXkFqcGdeQXVyNzkwMjQ5NzM@._V1_UY98_CR1,0,67,98_AL_.jpg</v>
      </c>
      <c r="U5" s="8">
        <f>'Inflation Adjusted Gross'!F5</f>
        <v>317204685</v>
      </c>
      <c r="V5" s="5">
        <f t="shared" si="1"/>
        <v>2020</v>
      </c>
    </row>
    <row r="6">
      <c r="A6" s="1">
        <v>5.0</v>
      </c>
      <c r="B6" s="1" t="s">
        <v>51</v>
      </c>
      <c r="C6" s="6">
        <f>Gross_cleaning!E6</f>
        <v>4360000</v>
      </c>
      <c r="D6" s="1">
        <v>1957.0</v>
      </c>
      <c r="E6" s="1" t="s">
        <v>52</v>
      </c>
      <c r="F6" s="1" t="str">
        <f>VLOOKUP(Filmes_raw!E6,Rating_systems!$A$2:$C$29,3,FALSE)</f>
        <v>Criança</v>
      </c>
      <c r="G6" s="2">
        <f>Gross_cleaning!F6</f>
        <v>96</v>
      </c>
      <c r="H6" s="1" t="s">
        <v>53</v>
      </c>
      <c r="I6" s="1" t="s">
        <v>29</v>
      </c>
      <c r="J6" s="1">
        <v>9.0</v>
      </c>
      <c r="K6" s="1" t="s">
        <v>54</v>
      </c>
      <c r="L6" s="1" t="str">
        <f>IFERROR(__xludf.DUMMYFUNCTION("GOOGLETRANSLATE(K6,""en"", ""pt-br"")"),"Um júri tenta impedir um aborto de justiça, forçando seus colegas a reconsiderar a evidência.")</f>
        <v>Um júri tenta impedir um aborto de justiça, forçando seus colegas a reconsiderar a evidência.</v>
      </c>
      <c r="M6" s="1">
        <v>96.0</v>
      </c>
      <c r="N6" s="1" t="s">
        <v>55</v>
      </c>
      <c r="O6" s="1" t="s">
        <v>56</v>
      </c>
      <c r="P6" s="1" t="s">
        <v>57</v>
      </c>
      <c r="Q6" s="1" t="s">
        <v>58</v>
      </c>
      <c r="R6" s="1" t="s">
        <v>59</v>
      </c>
      <c r="S6" s="1">
        <v>689845.0</v>
      </c>
      <c r="T6" s="7" t="str">
        <f>VLOOKUP(A6,Posters!A6:B1005,2)</f>
        <v>https://m.media-amazon.com/images/M/MV5BMWU4N2FjNzYtNTVkNC00NzQ0LTg0MjAtYTJlMjFhNGUxZDFmXkEyXkFqcGdeQXVyNjc1NTYyMjg@._V1_UX67_CR0,0,67,98_AL_.jpg</v>
      </c>
      <c r="U6" s="8">
        <f>'Inflation Adjusted Gross'!F6</f>
        <v>40751941</v>
      </c>
      <c r="V6" s="5">
        <f t="shared" si="1"/>
        <v>2020</v>
      </c>
    </row>
    <row r="7">
      <c r="A7" s="1">
        <v>6.0</v>
      </c>
      <c r="B7" s="1" t="s">
        <v>60</v>
      </c>
      <c r="C7" s="6">
        <f>Gross_cleaning!E7</f>
        <v>377845905</v>
      </c>
      <c r="D7" s="1">
        <v>2003.0</v>
      </c>
      <c r="E7" s="1" t="s">
        <v>52</v>
      </c>
      <c r="F7" s="1" t="str">
        <f>VLOOKUP(Filmes_raw!E7,Rating_systems!$A$2:$C$29,3,FALSE)</f>
        <v>Criança</v>
      </c>
      <c r="G7" s="2">
        <f>Gross_cleaning!F7</f>
        <v>201</v>
      </c>
      <c r="H7" s="1" t="s">
        <v>61</v>
      </c>
      <c r="I7" s="1" t="s">
        <v>62</v>
      </c>
      <c r="J7" s="1">
        <v>8.9</v>
      </c>
      <c r="K7" s="1" t="s">
        <v>63</v>
      </c>
      <c r="L7" s="1" t="str">
        <f>IFERROR(__xludf.DUMMYFUNCTION("GOOGLETRANSLATE(K7,""en"", ""pt-br"")"),"Gandalf e Aragorn lideram o mundo dos homens contra o exército de Sauron para atrair o olhar de Frodo e Sam enquanto se aproximam de Monte Doom com o único anel.")</f>
        <v>Gandalf e Aragorn lideram o mundo dos homens contra o exército de Sauron para atrair o olhar de Frodo e Sam enquanto se aproximam de Monte Doom com o único anel.</v>
      </c>
      <c r="M7" s="1">
        <v>94.0</v>
      </c>
      <c r="N7" s="1" t="s">
        <v>64</v>
      </c>
      <c r="O7" s="1" t="s">
        <v>65</v>
      </c>
      <c r="P7" s="1" t="s">
        <v>66</v>
      </c>
      <c r="Q7" s="1" t="s">
        <v>67</v>
      </c>
      <c r="R7" s="1" t="s">
        <v>68</v>
      </c>
      <c r="S7" s="1">
        <v>1642758.0</v>
      </c>
      <c r="T7" s="7" t="str">
        <f>VLOOKUP(A7,Posters!A7:B1006,2)</f>
        <v>https://m.media-amazon.com/images/M/MV5BNzA5ZDNlZWMtM2NhNS00NDJjLTk4NDItYTRmY2EwMWZlMTY3XkEyXkFqcGdeQXVyNzkwMjQ5NzM@._V1_UX67_CR0,0,67,98_AL_.jpg</v>
      </c>
      <c r="U7" s="8">
        <f>'Inflation Adjusted Gross'!F7</f>
        <v>536451768</v>
      </c>
      <c r="V7" s="5">
        <f t="shared" si="1"/>
        <v>2020</v>
      </c>
    </row>
    <row r="8">
      <c r="A8" s="1">
        <v>7.0</v>
      </c>
      <c r="B8" s="1" t="s">
        <v>69</v>
      </c>
      <c r="C8" s="6">
        <f>Gross_cleaning!E8</f>
        <v>107928762</v>
      </c>
      <c r="D8" s="1">
        <v>1994.0</v>
      </c>
      <c r="E8" s="1" t="s">
        <v>18</v>
      </c>
      <c r="F8" s="1" t="str">
        <f>VLOOKUP(Filmes_raw!E8,Rating_systems!$A$2:$C$29,3,FALSE)</f>
        <v>Adulto</v>
      </c>
      <c r="G8" s="2">
        <f>Gross_cleaning!F8</f>
        <v>154</v>
      </c>
      <c r="H8" s="1" t="s">
        <v>70</v>
      </c>
      <c r="I8" s="1" t="s">
        <v>29</v>
      </c>
      <c r="J8" s="1">
        <v>8.9</v>
      </c>
      <c r="K8" s="1" t="s">
        <v>71</v>
      </c>
      <c r="L8" s="1" t="str">
        <f>IFERROR(__xludf.DUMMYFUNCTION("GOOGLETRANSLATE(K8,""en"", ""pt-br"")"),"As vidas de dois ataques de mob, um boxeador, um gangster e sua esposa, e um par de bandidos de jantar entrelaçam em quatro contos de violência e redenção.")</f>
        <v>As vidas de dois ataques de mob, um boxeador, um gangster e sua esposa, e um par de bandidos de jantar entrelaçam em quatro contos de violência e redenção.</v>
      </c>
      <c r="M8" s="1">
        <v>94.0</v>
      </c>
      <c r="N8" s="1" t="s">
        <v>72</v>
      </c>
      <c r="O8" s="1" t="s">
        <v>73</v>
      </c>
      <c r="P8" s="1" t="s">
        <v>74</v>
      </c>
      <c r="Q8" s="1" t="s">
        <v>75</v>
      </c>
      <c r="R8" s="1" t="s">
        <v>76</v>
      </c>
      <c r="S8" s="1">
        <v>1826188.0</v>
      </c>
      <c r="T8" s="7" t="str">
        <f>VLOOKUP(A8,Posters!A8:B1007,2)</f>
        <v>https://m.media-amazon.com/images/M/MV5BNGNhMDIzZTUtNTBlZi00MTRlLWFjM2ItYzViMjE3YzI5MjljXkEyXkFqcGdeQXVyNzkwMjQ5NzM@._V1_UY98_CR0,0,67,98_AL_.jpg</v>
      </c>
      <c r="U8" s="8">
        <f>'Inflation Adjusted Gross'!F8</f>
        <v>190441112</v>
      </c>
      <c r="V8" s="5">
        <f t="shared" si="1"/>
        <v>2020</v>
      </c>
    </row>
    <row r="9">
      <c r="A9" s="1">
        <v>8.0</v>
      </c>
      <c r="B9" s="1" t="s">
        <v>77</v>
      </c>
      <c r="C9" s="6">
        <f>Gross_cleaning!E9</f>
        <v>96898818</v>
      </c>
      <c r="D9" s="1">
        <v>1993.0</v>
      </c>
      <c r="E9" s="1" t="s">
        <v>18</v>
      </c>
      <c r="F9" s="1" t="str">
        <f>VLOOKUP(Filmes_raw!E9,Rating_systems!$A$2:$C$29,3,FALSE)</f>
        <v>Adulto</v>
      </c>
      <c r="G9" s="2">
        <f>Gross_cleaning!F9</f>
        <v>195</v>
      </c>
      <c r="H9" s="1" t="s">
        <v>78</v>
      </c>
      <c r="I9" s="1" t="s">
        <v>79</v>
      </c>
      <c r="J9" s="1">
        <v>8.9</v>
      </c>
      <c r="K9" s="1" t="s">
        <v>80</v>
      </c>
      <c r="L9" s="1" t="str">
        <f>IFERROR(__xludf.DUMMYFUNCTION("GOOGLETRANSLATE(K9,""en"", ""pt-br"")"),"Na Polônia ocupada em alemão durante a Segunda Guerra Mundial, a industrial Oskar Schindler gradualmente se preocupa com sua força de trabalho judaica depois de testemunhar sua perseguição pelos nazistas.")</f>
        <v>Na Polônia ocupada em alemão durante a Segunda Guerra Mundial, a industrial Oskar Schindler gradualmente se preocupa com sua força de trabalho judaica depois de testemunhar sua perseguição pelos nazistas.</v>
      </c>
      <c r="M9" s="1">
        <v>94.0</v>
      </c>
      <c r="N9" s="1" t="s">
        <v>81</v>
      </c>
      <c r="O9" s="1" t="s">
        <v>82</v>
      </c>
      <c r="P9" s="1" t="s">
        <v>83</v>
      </c>
      <c r="Q9" s="1" t="s">
        <v>84</v>
      </c>
      <c r="R9" s="1" t="s">
        <v>85</v>
      </c>
      <c r="S9" s="1">
        <v>1213505.0</v>
      </c>
      <c r="T9" s="7" t="str">
        <f>VLOOKUP(A9,Posters!A9:B1008,2)</f>
        <v>https://m.media-amazon.com/images/M/MV5BNDE4OTMxMTctNmRhYy00NWE2LTg3YzItYTk3M2UwOTU5Njg4XkEyXkFqcGdeQXVyNjU0OTQ0OTY@._V1_UX67_CR0,0,67,98_AL_.jpg</v>
      </c>
      <c r="U9" s="8">
        <f>'Inflation Adjusted Gross'!F9</f>
        <v>175295126</v>
      </c>
      <c r="V9" s="5">
        <f t="shared" si="1"/>
        <v>2020</v>
      </c>
    </row>
    <row r="10">
      <c r="A10" s="1">
        <v>9.0</v>
      </c>
      <c r="B10" s="1" t="s">
        <v>86</v>
      </c>
      <c r="C10" s="6">
        <f>Gross_cleaning!E10</f>
        <v>292576195</v>
      </c>
      <c r="D10" s="1">
        <v>2010.0</v>
      </c>
      <c r="E10" s="1" t="s">
        <v>37</v>
      </c>
      <c r="F10" s="1" t="str">
        <f>VLOOKUP(Filmes_raw!E10,Rating_systems!$A$2:$C$29,3,FALSE)</f>
        <v>Criança</v>
      </c>
      <c r="G10" s="2">
        <f>Gross_cleaning!F10</f>
        <v>148</v>
      </c>
      <c r="H10" s="1" t="s">
        <v>87</v>
      </c>
      <c r="I10" s="1" t="s">
        <v>88</v>
      </c>
      <c r="J10" s="1">
        <v>8.8</v>
      </c>
      <c r="K10" s="1" t="s">
        <v>89</v>
      </c>
      <c r="L10" s="1" t="str">
        <f>IFERROR(__xludf.DUMMYFUNCTION("GOOGLETRANSLATE(K10,""en"", ""pt-br"")"),"Um ladrão que rouba segredos corporativos através do uso da tecnologia de compartilhamento de sonhos é dada a tarefa inversa de plantar uma ideia na mente de um c.e.o.")</f>
        <v>Um ladrão que rouba segredos corporativos através do uso da tecnologia de compartilhamento de sonhos é dada a tarefa inversa de plantar uma ideia na mente de um c.e.o.</v>
      </c>
      <c r="M10" s="1">
        <v>74.0</v>
      </c>
      <c r="N10" s="1" t="s">
        <v>41</v>
      </c>
      <c r="O10" s="1" t="s">
        <v>90</v>
      </c>
      <c r="P10" s="1" t="s">
        <v>91</v>
      </c>
      <c r="Q10" s="1" t="s">
        <v>92</v>
      </c>
      <c r="R10" s="1" t="s">
        <v>93</v>
      </c>
      <c r="S10" s="1">
        <v>2067042.0</v>
      </c>
      <c r="T10" s="7" t="str">
        <f>VLOOKUP(A10,Posters!A10:B1009,2)</f>
        <v>https://m.media-amazon.com/images/M/MV5BMjAxMzY3NjcxNF5BMl5BanBnXkFtZTcwNTI5OTM0Mw@@._V1_UX67_CR0,0,67,98_AL_.jpg</v>
      </c>
      <c r="U10" s="8">
        <f>'Inflation Adjusted Gross'!F10</f>
        <v>348318883</v>
      </c>
      <c r="V10" s="5">
        <f t="shared" si="1"/>
        <v>2020</v>
      </c>
    </row>
    <row r="11">
      <c r="A11" s="1">
        <v>10.0</v>
      </c>
      <c r="B11" s="1" t="s">
        <v>94</v>
      </c>
      <c r="C11" s="6">
        <f>Gross_cleaning!E11</f>
        <v>37030102</v>
      </c>
      <c r="D11" s="1">
        <v>1999.0</v>
      </c>
      <c r="E11" s="1" t="s">
        <v>18</v>
      </c>
      <c r="F11" s="1" t="str">
        <f>VLOOKUP(Filmes_raw!E11,Rating_systems!$A$2:$C$29,3,FALSE)</f>
        <v>Adulto</v>
      </c>
      <c r="G11" s="2">
        <f>Gross_cleaning!F11</f>
        <v>139</v>
      </c>
      <c r="H11" s="1" t="s">
        <v>95</v>
      </c>
      <c r="I11" s="1" t="s">
        <v>20</v>
      </c>
      <c r="J11" s="1">
        <v>8.8</v>
      </c>
      <c r="K11" s="1" t="s">
        <v>96</v>
      </c>
      <c r="L11" s="1" t="str">
        <f>IFERROR(__xludf.DUMMYFUNCTION("GOOGLETRANSLATE(K11,""en"", ""pt-br"")"),"Um trabalhador de escritório Insonaliac e um Soapmaker de Devil-May-Care formam um clube de luta subterrâneo que evolui em algo muito, muito mais.")</f>
        <v>Um trabalhador de escritório Insonaliac e um Soapmaker de Devil-May-Care formam um clube de luta subterrâneo que evolui em algo muito, muito mais.</v>
      </c>
      <c r="M11" s="1">
        <v>66.0</v>
      </c>
      <c r="N11" s="1" t="s">
        <v>97</v>
      </c>
      <c r="O11" s="1" t="s">
        <v>98</v>
      </c>
      <c r="P11" s="1" t="s">
        <v>99</v>
      </c>
      <c r="Q11" s="1" t="s">
        <v>100</v>
      </c>
      <c r="R11" s="1" t="s">
        <v>101</v>
      </c>
      <c r="S11" s="1">
        <v>1854740.0</v>
      </c>
      <c r="T11" s="7" t="str">
        <f>VLOOKUP(A11,Posters!A11:B1010,2)</f>
        <v>https://m.media-amazon.com/images/M/MV5BMmEzNTkxYjQtZTc0MC00YTVjLTg5ZTEtZWMwOWVlYzY0NWIwXkEyXkFqcGdeQXVyNzkwMjQ5NzM@._V1_UX67_CR0,0,67,98_AL_.jpg</v>
      </c>
      <c r="U11" s="8">
        <f>'Inflation Adjusted Gross'!F11</f>
        <v>58141768</v>
      </c>
      <c r="V11" s="5">
        <f t="shared" si="1"/>
        <v>2020</v>
      </c>
    </row>
    <row r="12">
      <c r="A12" s="1">
        <v>11.0</v>
      </c>
      <c r="B12" s="1" t="s">
        <v>102</v>
      </c>
      <c r="C12" s="6">
        <f>Gross_cleaning!E12</f>
        <v>315544750</v>
      </c>
      <c r="D12" s="1">
        <v>2001.0</v>
      </c>
      <c r="E12" s="1" t="s">
        <v>52</v>
      </c>
      <c r="F12" s="1" t="str">
        <f>VLOOKUP(Filmes_raw!E12,Rating_systems!$A$2:$C$29,3,FALSE)</f>
        <v>Criança</v>
      </c>
      <c r="G12" s="2">
        <f>Gross_cleaning!F12</f>
        <v>178</v>
      </c>
      <c r="H12" s="1" t="s">
        <v>103</v>
      </c>
      <c r="I12" s="1" t="s">
        <v>62</v>
      </c>
      <c r="J12" s="1">
        <v>8.8</v>
      </c>
      <c r="K12" s="1" t="s">
        <v>104</v>
      </c>
      <c r="L12" s="1" t="str">
        <f>IFERROR(__xludf.DUMMYFUNCTION("GOOGLETRANSLATE(K12,""en"", ""pt-br"")"),"Um Meek Hobbit do Shire e oito companheiros partiram em uma jornada para destruir o poderoso anel e salvar a Terra-média do Senhor Dark Lord Sauron.")</f>
        <v>Um Meek Hobbit do Shire e oito companheiros partiram em uma jornada para destruir o poderoso anel e salvar a Terra-média do Senhor Dark Lord Sauron.</v>
      </c>
      <c r="M12" s="1">
        <v>92.0</v>
      </c>
      <c r="N12" s="1" t="s">
        <v>64</v>
      </c>
      <c r="O12" s="1" t="s">
        <v>65</v>
      </c>
      <c r="P12" s="1" t="s">
        <v>67</v>
      </c>
      <c r="Q12" s="1" t="s">
        <v>68</v>
      </c>
      <c r="R12" s="1" t="s">
        <v>105</v>
      </c>
      <c r="S12" s="1">
        <v>1661481.0</v>
      </c>
      <c r="T12" s="7" t="str">
        <f>VLOOKUP(A12,Posters!A12:B1011,2)</f>
        <v>https://m.media-amazon.com/images/M/MV5BN2EyZjM3NzUtNWUzMi00MTgxLWI0NTctMzY4M2VlOTdjZWRiXkEyXkFqcGdeQXVyNDUzOTQ5MjY@._V1_UX67_CR0,0,67,98_AL_.jpg</v>
      </c>
      <c r="U12" s="8">
        <f>'Inflation Adjusted Gross'!F12</f>
        <v>464885179</v>
      </c>
      <c r="V12" s="5">
        <f t="shared" si="1"/>
        <v>2020</v>
      </c>
    </row>
    <row r="13">
      <c r="A13" s="1">
        <v>12.0</v>
      </c>
      <c r="B13" s="1" t="s">
        <v>106</v>
      </c>
      <c r="C13" s="6">
        <f>Gross_cleaning!E13</f>
        <v>330252182</v>
      </c>
      <c r="D13" s="1">
        <v>1994.0</v>
      </c>
      <c r="E13" s="1" t="s">
        <v>37</v>
      </c>
      <c r="F13" s="1" t="str">
        <f>VLOOKUP(Filmes_raw!E13,Rating_systems!$A$2:$C$29,3,FALSE)</f>
        <v>Criança</v>
      </c>
      <c r="G13" s="2">
        <f>Gross_cleaning!F13</f>
        <v>142</v>
      </c>
      <c r="H13" s="1" t="s">
        <v>19</v>
      </c>
      <c r="I13" s="1" t="s">
        <v>107</v>
      </c>
      <c r="J13" s="1">
        <v>8.8</v>
      </c>
      <c r="K13" s="1" t="s">
        <v>108</v>
      </c>
      <c r="L13" s="1" t="str">
        <f>IFERROR(__xludf.DUMMYFUNCTION("GOOGLETRANSLATE(K13,""en"", ""pt-br"")"),"As presidências de Kennedy e Johnson, os eventos do Vietnã, Watergate e outros eventos históricos se desdobrar através da perspectiva de um homem de Alabama com um QI de 75, cujo único desejo é se reunir com sua namorada infantil.")</f>
        <v>As presidências de Kennedy e Johnson, os eventos do Vietnã, Watergate e outros eventos históricos se desdobrar através da perspectiva de um homem de Alabama com um QI de 75, cujo único desejo é se reunir com sua namorada infantil.</v>
      </c>
      <c r="M13" s="1">
        <v>82.0</v>
      </c>
      <c r="N13" s="1" t="s">
        <v>109</v>
      </c>
      <c r="O13" s="1" t="s">
        <v>110</v>
      </c>
      <c r="P13" s="1" t="s">
        <v>111</v>
      </c>
      <c r="Q13" s="1" t="s">
        <v>112</v>
      </c>
      <c r="R13" s="1" t="s">
        <v>113</v>
      </c>
      <c r="S13" s="1">
        <v>1809221.0</v>
      </c>
      <c r="T13" s="7" t="str">
        <f>VLOOKUP(A13,Posters!A13:B1012,2)</f>
        <v>https://m.media-amazon.com/images/M/MV5BNWIwODRlZTUtY2U3ZS00Yzg1LWJhNzYtMmZiYmEyNmU1NjMzXkEyXkFqcGdeQXVyMTQxNzMzNDI@._V1_UY98_CR0,0,67,98_AL_.jpg</v>
      </c>
      <c r="U13" s="8">
        <f>'Inflation Adjusted Gross'!F13</f>
        <v>582732459</v>
      </c>
      <c r="V13" s="5">
        <f t="shared" si="1"/>
        <v>2020</v>
      </c>
    </row>
    <row r="14">
      <c r="A14" s="1">
        <v>13.0</v>
      </c>
      <c r="B14" s="1" t="s">
        <v>114</v>
      </c>
      <c r="C14" s="6">
        <f>Gross_cleaning!E14</f>
        <v>6100000</v>
      </c>
      <c r="D14" s="1">
        <v>1966.0</v>
      </c>
      <c r="E14" s="1" t="s">
        <v>18</v>
      </c>
      <c r="F14" s="1" t="str">
        <f>VLOOKUP(Filmes_raw!E14,Rating_systems!$A$2:$C$29,3,FALSE)</f>
        <v>Adulto</v>
      </c>
      <c r="G14" s="2">
        <f>Gross_cleaning!F14</f>
        <v>161</v>
      </c>
      <c r="H14" s="1" t="s">
        <v>115</v>
      </c>
      <c r="I14" s="1" t="s">
        <v>116</v>
      </c>
      <c r="J14" s="1">
        <v>8.8</v>
      </c>
      <c r="K14" s="1" t="s">
        <v>117</v>
      </c>
      <c r="L14" s="1" t="str">
        <f>IFERROR(__xludf.DUMMYFUNCTION("GOOGLETRANSLATE(K14,""en"", ""pt-br"")"),"Uma fraude de caça se junta a dois homens em uma aliança desconfortável contra um terço em uma corrida para encontrar uma fortuna em ouro enterrada em um cemitério remoto.")</f>
        <v>Uma fraude de caça se junta a dois homens em uma aliança desconfortável contra um terço em uma corrida para encontrar uma fortuna em ouro enterrada em um cemitério remoto.</v>
      </c>
      <c r="M14" s="1">
        <v>90.0</v>
      </c>
      <c r="N14" s="1" t="s">
        <v>118</v>
      </c>
      <c r="O14" s="1" t="s">
        <v>119</v>
      </c>
      <c r="P14" s="1" t="s">
        <v>120</v>
      </c>
      <c r="Q14" s="1" t="s">
        <v>121</v>
      </c>
      <c r="R14" s="1" t="s">
        <v>122</v>
      </c>
      <c r="S14" s="1">
        <v>688390.0</v>
      </c>
      <c r="T14" s="7" t="str">
        <f>VLOOKUP(A14,Posters!A14:B1013,2)</f>
        <v>https://m.media-amazon.com/images/M/MV5BOTQ5NDI3MTI4MF5BMl5BanBnXkFtZTgwNDQ4ODE5MDE@._V1_UX67_CR0,0,67,98_AL_.jpg</v>
      </c>
      <c r="U14" s="8">
        <f>'Inflation Adjusted Gross'!F14</f>
        <v>49485003</v>
      </c>
      <c r="V14" s="5">
        <f t="shared" si="1"/>
        <v>2020</v>
      </c>
    </row>
    <row r="15">
      <c r="A15" s="1">
        <v>14.0</v>
      </c>
      <c r="B15" s="1" t="s">
        <v>123</v>
      </c>
      <c r="C15" s="6">
        <f>Gross_cleaning!E15</f>
        <v>342551365</v>
      </c>
      <c r="D15" s="1">
        <v>2002.0</v>
      </c>
      <c r="E15" s="1" t="s">
        <v>37</v>
      </c>
      <c r="F15" s="1" t="str">
        <f>VLOOKUP(Filmes_raw!E15,Rating_systems!$A$2:$C$29,3,FALSE)</f>
        <v>Criança</v>
      </c>
      <c r="G15" s="2">
        <f>Gross_cleaning!F15</f>
        <v>179</v>
      </c>
      <c r="H15" s="1" t="s">
        <v>124</v>
      </c>
      <c r="I15" s="1" t="s">
        <v>62</v>
      </c>
      <c r="J15" s="1">
        <v>8.7</v>
      </c>
      <c r="K15" s="1" t="s">
        <v>125</v>
      </c>
      <c r="L15" s="1" t="str">
        <f>IFERROR(__xludf.DUMMYFUNCTION("GOOGLETRANSLATE(K15,""en"", ""pt-br"")"),"Enquanto Frodo e Sam se aproximam de Mordor com a ajuda do Golum Shifty, a comunhão dividida faz uma posição contra o novo aliado de Sauron, Saruman e suas hordas de Isenga.")</f>
        <v>Enquanto Frodo e Sam se aproximam de Mordor com a ajuda do Golum Shifty, a comunhão dividida faz uma posição contra o novo aliado de Sauron, Saruman e suas hordas de Isenga.</v>
      </c>
      <c r="M15" s="1">
        <v>87.0</v>
      </c>
      <c r="N15" s="1" t="s">
        <v>64</v>
      </c>
      <c r="O15" s="1" t="s">
        <v>65</v>
      </c>
      <c r="P15" s="1" t="s">
        <v>67</v>
      </c>
      <c r="Q15" s="1" t="s">
        <v>66</v>
      </c>
      <c r="R15" s="1" t="s">
        <v>68</v>
      </c>
      <c r="S15" s="1">
        <v>1485555.0</v>
      </c>
      <c r="T15" s="7" t="str">
        <f>VLOOKUP(A15,Posters!A15:B1014,2)</f>
        <v>https://m.media-amazon.com/images/M/MV5BZGMxZTdjZmYtMmE2Ni00ZTdkLWI5NTgtNjlmMjBiNzU2MmI5XkEyXkFqcGdeQXVyNjU0OTQ0OTY@._V1_UX67_CR0,0,67,98_AL_.jpg</v>
      </c>
      <c r="U15" s="8">
        <f>'Inflation Adjusted Gross'!F15</f>
        <v>498974130</v>
      </c>
      <c r="V15" s="5">
        <f t="shared" si="1"/>
        <v>2020</v>
      </c>
    </row>
    <row r="16">
      <c r="A16" s="1">
        <v>15.0</v>
      </c>
      <c r="B16" s="1" t="s">
        <v>126</v>
      </c>
      <c r="C16" s="6">
        <f>Gross_cleaning!E16</f>
        <v>171479930</v>
      </c>
      <c r="D16" s="1">
        <v>1999.0</v>
      </c>
      <c r="E16" s="1" t="s">
        <v>18</v>
      </c>
      <c r="F16" s="1" t="str">
        <f>VLOOKUP(Filmes_raw!E16,Rating_systems!$A$2:$C$29,3,FALSE)</f>
        <v>Adulto</v>
      </c>
      <c r="G16" s="2">
        <f>Gross_cleaning!F16</f>
        <v>136</v>
      </c>
      <c r="H16" s="1" t="s">
        <v>127</v>
      </c>
      <c r="I16" s="1" t="s">
        <v>128</v>
      </c>
      <c r="J16" s="1">
        <v>8.7</v>
      </c>
      <c r="K16" s="1" t="s">
        <v>129</v>
      </c>
      <c r="L16" s="1" t="str">
        <f>IFERROR(__xludf.DUMMYFUNCTION("GOOGLETRANSLATE(K16,""en"", ""pt-br"")"),"Quando um belo estranho leva o hacker de computador neo a um submundo proibitivo, ele descobre a verdade chocante - a vida que ele conhece é o elaborado engano de uma inteligência maligna.")</f>
        <v>Quando um belo estranho leva o hacker de computador neo a um submundo proibitivo, ele descobre a verdade chocante - a vida que ele conhece é o elaborado engano de uma inteligência maligna.</v>
      </c>
      <c r="M16" s="1">
        <v>73.0</v>
      </c>
      <c r="N16" s="1" t="s">
        <v>130</v>
      </c>
      <c r="O16" s="1" t="s">
        <v>131</v>
      </c>
      <c r="P16" s="1" t="s">
        <v>132</v>
      </c>
      <c r="Q16" s="1" t="s">
        <v>133</v>
      </c>
      <c r="R16" s="1" t="s">
        <v>134</v>
      </c>
      <c r="S16" s="1">
        <v>1676426.0</v>
      </c>
      <c r="T16" s="7" t="str">
        <f>VLOOKUP(A16,Posters!A16:B1015,2)</f>
        <v>https://m.media-amazon.com/images/M/MV5BNzQzOTk3OTAtNDQ0Zi00ZTVkLWI0MTEtMDllZjNkYzNjNTc4L2ltYWdlXkEyXkFqcGdeQXVyNjU0OTQ0OTY@._V1_UX67_CR0,0,67,98_AL_.jpg</v>
      </c>
      <c r="U16" s="8">
        <f>'Inflation Adjusted Gross'!F16</f>
        <v>269244364</v>
      </c>
      <c r="V16" s="5">
        <f t="shared" si="1"/>
        <v>2020</v>
      </c>
    </row>
    <row r="17">
      <c r="A17" s="1">
        <v>16.0</v>
      </c>
      <c r="B17" s="1" t="s">
        <v>135</v>
      </c>
      <c r="C17" s="6">
        <f>Gross_cleaning!E17</f>
        <v>46836394</v>
      </c>
      <c r="D17" s="1">
        <v>1990.0</v>
      </c>
      <c r="E17" s="1" t="s">
        <v>18</v>
      </c>
      <c r="F17" s="1" t="str">
        <f>VLOOKUP(Filmes_raw!E17,Rating_systems!$A$2:$C$29,3,FALSE)</f>
        <v>Adulto</v>
      </c>
      <c r="G17" s="2">
        <f>Gross_cleaning!F17</f>
        <v>146</v>
      </c>
      <c r="H17" s="1" t="s">
        <v>136</v>
      </c>
      <c r="I17" s="1" t="s">
        <v>137</v>
      </c>
      <c r="J17" s="1">
        <v>8.7</v>
      </c>
      <c r="K17" s="1" t="s">
        <v>138</v>
      </c>
      <c r="L17" s="1" t="str">
        <f>IFERROR(__xludf.DUMMYFUNCTION("GOOGLETRANSLATE(K17,""en"", ""pt-br"")"),"A história de Henry Hill e sua vida na multidão, cobrindo seu relacionamento com sua esposa Karen Hill e seus parceiros da turba Jimmy Conway e Tommy Devito no sindicato de crime italiano-americano.")</f>
        <v>A história de Henry Hill e sua vida na multidão, cobrindo seu relacionamento com sua esposa Karen Hill e seus parceiros da turba Jimmy Conway e Tommy Devito no sindicato de crime italiano-americano.</v>
      </c>
      <c r="M17" s="1">
        <v>90.0</v>
      </c>
      <c r="N17" s="1" t="s">
        <v>139</v>
      </c>
      <c r="O17" s="1" t="s">
        <v>49</v>
      </c>
      <c r="P17" s="1" t="s">
        <v>140</v>
      </c>
      <c r="Q17" s="1" t="s">
        <v>141</v>
      </c>
      <c r="R17" s="1" t="s">
        <v>142</v>
      </c>
      <c r="S17" s="1">
        <v>1020727.0</v>
      </c>
      <c r="T17" s="7" t="str">
        <f>VLOOKUP(A17,Posters!A17:B1016,2)</f>
        <v>https://m.media-amazon.com/images/M/MV5BY2NkZjEzMDgtN2RjYy00YzM1LWI4ZmQtMjIwYjFjNmI3ZGEwXkEyXkFqcGdeQXVyNzkwMjQ5NzM@._V1_UX67_CR0,0,67,98_AL_.jpg</v>
      </c>
      <c r="U17" s="8">
        <f>'Inflation Adjusted Gross'!F17</f>
        <v>94838551</v>
      </c>
      <c r="V17" s="5">
        <f t="shared" si="1"/>
        <v>2020</v>
      </c>
    </row>
    <row r="18">
      <c r="A18" s="1">
        <v>17.0</v>
      </c>
      <c r="B18" s="1" t="s">
        <v>143</v>
      </c>
      <c r="C18" s="6">
        <f>Gross_cleaning!E18</f>
        <v>290475067</v>
      </c>
      <c r="D18" s="1">
        <v>1980.0</v>
      </c>
      <c r="E18" s="1" t="s">
        <v>37</v>
      </c>
      <c r="F18" s="1" t="str">
        <f>VLOOKUP(Filmes_raw!E18,Rating_systems!$A$2:$C$29,3,FALSE)</f>
        <v>Criança</v>
      </c>
      <c r="G18" s="2">
        <f>Gross_cleaning!F18</f>
        <v>124</v>
      </c>
      <c r="H18" s="1" t="s">
        <v>144</v>
      </c>
      <c r="I18" s="1" t="s">
        <v>145</v>
      </c>
      <c r="J18" s="1">
        <v>8.7</v>
      </c>
      <c r="K18" s="1" t="s">
        <v>146</v>
      </c>
      <c r="L18" s="1" t="str">
        <f>IFERROR(__xludf.DUMMYFUNCTION("GOOGLETRANSLATE(K18,""en"", ""pt-br"")"),"Depois que os rebeldes são brutalmente dominados pelo Império no Planeta Gelo, Luke Skywalker começa a treinar Jedi com Yoda, enquanto seus amigos são perseguidos por Darth Vader e um caçador de recompensas chamado Boba Fett por toda a galáxia.")</f>
        <v>Depois que os rebeldes são brutalmente dominados pelo Império no Planeta Gelo, Luke Skywalker começa a treinar Jedi com Yoda, enquanto seus amigos são perseguidos por Darth Vader e um caçador de recompensas chamado Boba Fett por toda a galáxia.</v>
      </c>
      <c r="M18" s="1">
        <v>82.0</v>
      </c>
      <c r="N18" s="1" t="s">
        <v>147</v>
      </c>
      <c r="O18" s="1" t="s">
        <v>148</v>
      </c>
      <c r="P18" s="1" t="s">
        <v>149</v>
      </c>
      <c r="Q18" s="1" t="s">
        <v>150</v>
      </c>
      <c r="R18" s="1" t="s">
        <v>151</v>
      </c>
      <c r="S18" s="1">
        <v>1159315.0</v>
      </c>
      <c r="T18" s="7" t="str">
        <f>VLOOKUP(A18,Posters!A18:B1017,2)</f>
        <v>https://m.media-amazon.com/images/M/MV5BYmU1NDRjNDgtMzhiMi00NjZmLTg5NGItZDNiZjU5NTU4OTE0XkEyXkFqcGdeQXVyNzkwMjQ5NzM@._V1_UX67_CR0,0,67,98_AL_.jpg</v>
      </c>
      <c r="U18" s="8">
        <f>'Inflation Adjusted Gross'!F18</f>
        <v>963163798</v>
      </c>
      <c r="V18" s="5">
        <f t="shared" si="1"/>
        <v>2020</v>
      </c>
    </row>
    <row r="19">
      <c r="A19" s="1">
        <v>18.0</v>
      </c>
      <c r="B19" s="1" t="s">
        <v>152</v>
      </c>
      <c r="C19" s="6">
        <f>Gross_cleaning!E19</f>
        <v>112000000</v>
      </c>
      <c r="D19" s="1">
        <v>1975.0</v>
      </c>
      <c r="E19" s="1" t="s">
        <v>18</v>
      </c>
      <c r="F19" s="1" t="str">
        <f>VLOOKUP(Filmes_raw!E19,Rating_systems!$A$2:$C$29,3,FALSE)</f>
        <v>Adulto</v>
      </c>
      <c r="G19" s="2">
        <f>Gross_cleaning!F19</f>
        <v>133</v>
      </c>
      <c r="H19" s="1" t="s">
        <v>153</v>
      </c>
      <c r="I19" s="1" t="s">
        <v>20</v>
      </c>
      <c r="J19" s="1">
        <v>8.7</v>
      </c>
      <c r="K19" s="1" t="s">
        <v>154</v>
      </c>
      <c r="L19" s="1" t="str">
        <f>IFERROR(__xludf.DUMMYFUNCTION("GOOGLETRANSLATE(K19,""en"", ""pt-br"")"),"Um criminoso defende a insanidade e é admitido a uma instituição mental, onde ele se rebela contra a enfermeira opressiva e os reúne os pacientes assustados.")</f>
        <v>Um criminoso defende a insanidade e é admitido a uma instituição mental, onde ele se rebela contra a enfermeira opressiva e os reúne os pacientes assustados.</v>
      </c>
      <c r="M19" s="1">
        <v>83.0</v>
      </c>
      <c r="N19" s="1" t="s">
        <v>155</v>
      </c>
      <c r="O19" s="1" t="s">
        <v>156</v>
      </c>
      <c r="P19" s="1" t="s">
        <v>157</v>
      </c>
      <c r="Q19" s="1" t="s">
        <v>158</v>
      </c>
      <c r="R19" s="1" t="s">
        <v>159</v>
      </c>
      <c r="S19" s="1">
        <v>918088.0</v>
      </c>
      <c r="T19" s="7" t="str">
        <f>VLOOKUP(A19,Posters!A19:B1018,2)</f>
        <v>https://m.media-amazon.com/images/M/MV5BZjA0OWVhOTAtYWQxNi00YzNhLWI4ZjYtNjFjZTEyYjJlNDVlL2ltYWdlL2ltYWdlXkEyXkFqcGdeQXVyMTQxNzMzNDI@._V1_UX67_CR0,0,67,98_AL_.jpg</v>
      </c>
      <c r="U19" s="8">
        <f>'Inflation Adjusted Gross'!F19</f>
        <v>554563378</v>
      </c>
      <c r="V19" s="5">
        <f t="shared" si="1"/>
        <v>2020</v>
      </c>
    </row>
    <row r="20">
      <c r="A20" s="1">
        <v>19.0</v>
      </c>
      <c r="B20" s="1" t="s">
        <v>160</v>
      </c>
      <c r="C20" s="6">
        <f>Gross_cleaning!E20</f>
        <v>0</v>
      </c>
      <c r="D20" s="1">
        <v>2020.0</v>
      </c>
      <c r="E20" s="1" t="s">
        <v>161</v>
      </c>
      <c r="F20" s="1" t="str">
        <f>VLOOKUP(Filmes_raw!E20,Rating_systems!$A$2:$C$29,3,FALSE)</f>
        <v>Criança</v>
      </c>
      <c r="G20" s="2">
        <f>Gross_cleaning!F20</f>
        <v>160</v>
      </c>
      <c r="H20" s="1" t="s">
        <v>162</v>
      </c>
      <c r="I20" s="1" t="s">
        <v>79</v>
      </c>
      <c r="J20" s="1">
        <v>8.6</v>
      </c>
      <c r="K20" s="1" t="s">
        <v>163</v>
      </c>
      <c r="L20" s="1" t="str">
        <f>IFERROR(__xludf.DUMMYFUNCTION("GOOGLETRANSLATE(K20,""en"", ""pt-br"")"),"A vida real de um dos principais pais da América Fundadora e primeiro secretário do Tesouro, Alexander Hamilton. Capturado ao vivo na Broadway do Teatro Richard Rodgers com o elenco original da Broadway.")</f>
        <v>A vida real de um dos principais pais da América Fundadora e primeiro secretário do Tesouro, Alexander Hamilton. Capturado ao vivo na Broadway do Teatro Richard Rodgers com o elenco original da Broadway.</v>
      </c>
      <c r="M20" s="1">
        <v>90.0</v>
      </c>
      <c r="N20" s="1" t="s">
        <v>164</v>
      </c>
      <c r="O20" s="1" t="s">
        <v>165</v>
      </c>
      <c r="P20" s="1" t="s">
        <v>166</v>
      </c>
      <c r="Q20" s="1" t="s">
        <v>167</v>
      </c>
      <c r="R20" s="1" t="s">
        <v>168</v>
      </c>
      <c r="S20" s="1">
        <v>55291.0</v>
      </c>
      <c r="T20" s="7" t="str">
        <f>VLOOKUP(A20,Posters!A20:B1019,2)</f>
        <v>https://m.media-amazon.com/images/M/MV5BNjViNWRjYWEtZTI0NC00N2E3LTk0NGQtMjY4NTM3OGNkZjY0XkEyXkFqcGdeQXVyMjUxMTY3ODM@._V1_UX67_CR0,0,67,98_AL_.jpg</v>
      </c>
      <c r="U20" s="8">
        <f>'Inflation Adjusted Gross'!F20</f>
        <v>0</v>
      </c>
      <c r="V20" s="5">
        <f t="shared" si="1"/>
        <v>2020</v>
      </c>
    </row>
    <row r="21">
      <c r="A21" s="1">
        <v>20.0</v>
      </c>
      <c r="B21" s="1" t="s">
        <v>169</v>
      </c>
      <c r="C21" s="6">
        <f>Gross_cleaning!E21</f>
        <v>53367844</v>
      </c>
      <c r="D21" s="1">
        <v>2019.0</v>
      </c>
      <c r="E21" s="1" t="s">
        <v>18</v>
      </c>
      <c r="F21" s="1" t="str">
        <f>VLOOKUP(Filmes_raw!E21,Rating_systems!$A$2:$C$29,3,FALSE)</f>
        <v>Adulto</v>
      </c>
      <c r="G21" s="2">
        <f>Gross_cleaning!F21</f>
        <v>132</v>
      </c>
      <c r="H21" s="1" t="s">
        <v>170</v>
      </c>
      <c r="I21" s="1" t="s">
        <v>171</v>
      </c>
      <c r="J21" s="1">
        <v>8.6</v>
      </c>
      <c r="K21" s="1" t="s">
        <v>172</v>
      </c>
      <c r="L21" s="1" t="str">
        <f>IFERROR(__xludf.DUMMYFUNCTION("GOOGLETRANSLATE(K21,""en"", ""pt-br"")"),"A discriminação da ganância e da classe ameaçam a nova relação simbiótica formada entre a família dos ricos e o clã Destituto Kim.")</f>
        <v>A discriminação da ganância e da classe ameaçam a nova relação simbiótica formada entre a família dos ricos e o clã Destituto Kim.</v>
      </c>
      <c r="M21" s="1">
        <v>96.0</v>
      </c>
      <c r="N21" s="1" t="s">
        <v>173</v>
      </c>
      <c r="O21" s="1" t="s">
        <v>174</v>
      </c>
      <c r="P21" s="1" t="s">
        <v>175</v>
      </c>
      <c r="Q21" s="1" t="s">
        <v>176</v>
      </c>
      <c r="R21" s="1" t="s">
        <v>177</v>
      </c>
      <c r="S21" s="1">
        <v>552778.0</v>
      </c>
      <c r="T21" s="7" t="str">
        <f>VLOOKUP(A21,Posters!A21:B1020,2)</f>
        <v>https://m.media-amazon.com/images/M/MV5BYWZjMjk3ZTItODQ2ZC00NTY5LWE0ZDYtZTI3MjcwN2Q5NTVkXkEyXkFqcGdeQXVyODk4OTc3MTY@._V1_UX67_CR0,0,67,98_AL_.jpg</v>
      </c>
      <c r="U21" s="8">
        <f>'Inflation Adjusted Gross'!F21</f>
        <v>54694874</v>
      </c>
      <c r="V21" s="5">
        <f t="shared" si="1"/>
        <v>2020</v>
      </c>
    </row>
    <row r="22">
      <c r="A22" s="1">
        <v>21.0</v>
      </c>
      <c r="B22" s="1" t="s">
        <v>178</v>
      </c>
      <c r="C22" s="6">
        <f>Gross_cleaning!E22</f>
        <v>2024032</v>
      </c>
      <c r="D22" s="1">
        <v>2020.0</v>
      </c>
      <c r="E22" s="1" t="s">
        <v>52</v>
      </c>
      <c r="F22" s="1" t="str">
        <f>VLOOKUP(Filmes_raw!E22,Rating_systems!$A$2:$C$29,3,FALSE)</f>
        <v>Criança</v>
      </c>
      <c r="G22" s="2">
        <f>Gross_cleaning!F22</f>
        <v>153</v>
      </c>
      <c r="H22" s="1" t="s">
        <v>179</v>
      </c>
      <c r="I22" s="1" t="s">
        <v>20</v>
      </c>
      <c r="J22" s="1">
        <v>8.6</v>
      </c>
      <c r="K22" s="1" t="s">
        <v>180</v>
      </c>
      <c r="L22" s="1" t="str">
        <f>IFERROR(__xludf.DUMMYFUNCTION("GOOGLETRANSLATE(K22,""en"", ""pt-br"")"),"Nedumaaran Rajangam ""Maara"" se propõe a tornar a mosca do homem comum e no processo assume a maior parte da indústria intensiva de capital e vários inimigos que estão em seu caminho.")</f>
        <v>Nedumaaran Rajangam "Maara" se propõe a tornar a mosca do homem comum e no processo assume a maior parte da indústria intensiva de capital e vários inimigos que estão em seu caminho.</v>
      </c>
      <c r="N22" s="1" t="s">
        <v>181</v>
      </c>
      <c r="O22" s="1" t="s">
        <v>182</v>
      </c>
      <c r="P22" s="1" t="s">
        <v>183</v>
      </c>
      <c r="Q22" s="1" t="s">
        <v>184</v>
      </c>
      <c r="R22" s="1" t="s">
        <v>185</v>
      </c>
      <c r="S22" s="1">
        <v>54995.0</v>
      </c>
      <c r="T22" s="7" t="str">
        <f>VLOOKUP(A22,Posters!A22:B1021,2)</f>
        <v>https://m.media-amazon.com/images/M/MV5BOTc2ZTlmYmItMDBhYS00YmMzLWI4ZjAtMTI5YTBjOTFiMGEwXkEyXkFqcGdeQXVyODE5NzE3OTE@._V1_UY98_CR0,0,67,98_AL_.jpg</v>
      </c>
      <c r="U22" s="8">
        <f>'Inflation Adjusted Gross'!F22</f>
        <v>2024032</v>
      </c>
      <c r="V22" s="5">
        <f t="shared" si="1"/>
        <v>2020</v>
      </c>
    </row>
    <row r="23">
      <c r="A23" s="1">
        <v>22.0</v>
      </c>
      <c r="B23" s="1" t="s">
        <v>186</v>
      </c>
      <c r="C23" s="6">
        <f>Gross_cleaning!E23</f>
        <v>188020017</v>
      </c>
      <c r="D23" s="1">
        <v>2014.0</v>
      </c>
      <c r="E23" s="1" t="s">
        <v>37</v>
      </c>
      <c r="F23" s="1" t="str">
        <f>VLOOKUP(Filmes_raw!E23,Rating_systems!$A$2:$C$29,3,FALSE)</f>
        <v>Criança</v>
      </c>
      <c r="G23" s="2">
        <f>Gross_cleaning!F23</f>
        <v>169</v>
      </c>
      <c r="H23" s="1" t="s">
        <v>187</v>
      </c>
      <c r="I23" s="1" t="s">
        <v>188</v>
      </c>
      <c r="J23" s="1">
        <v>8.6</v>
      </c>
      <c r="K23" s="1" t="s">
        <v>189</v>
      </c>
      <c r="L23" s="1" t="str">
        <f>IFERROR(__xludf.DUMMYFUNCTION("GOOGLETRANSLATE(K23,""en"", ""pt-br"")"),"Uma equipe de exploradores viaja por um buraco de minhoca no espaço em uma tentativa de garantir a sobrevivência da humanidade.")</f>
        <v>Uma equipe de exploradores viaja por um buraco de minhoca no espaço em uma tentativa de garantir a sobrevivência da humanidade.</v>
      </c>
      <c r="M23" s="1">
        <v>74.0</v>
      </c>
      <c r="N23" s="1" t="s">
        <v>41</v>
      </c>
      <c r="O23" s="1" t="s">
        <v>190</v>
      </c>
      <c r="P23" s="1" t="s">
        <v>191</v>
      </c>
      <c r="Q23" s="1" t="s">
        <v>192</v>
      </c>
      <c r="R23" s="1" t="s">
        <v>193</v>
      </c>
      <c r="S23" s="1">
        <v>1512360.0</v>
      </c>
      <c r="T23" s="7" t="str">
        <f>VLOOKUP(A23,Posters!A23:B1022,2)</f>
        <v>https://m.media-amazon.com/images/M/MV5BZjdkOTU3MDktN2IxOS00OGEyLWFmMjktY2FiMmZkNWIyODZiXkEyXkFqcGdeQXVyMTMxODk2OTU@._V1_UX67_CR0,0,67,98_AL_.jpg</v>
      </c>
      <c r="U23" s="8">
        <f>'Inflation Adjusted Gross'!F23</f>
        <v>207355255</v>
      </c>
      <c r="V23" s="5">
        <f t="shared" si="1"/>
        <v>2020</v>
      </c>
    </row>
    <row r="24">
      <c r="A24" s="1">
        <v>23.0</v>
      </c>
      <c r="B24" s="1" t="s">
        <v>194</v>
      </c>
      <c r="C24" s="6">
        <f>Gross_cleaning!E24</f>
        <v>7563397</v>
      </c>
      <c r="D24" s="1">
        <v>2002.0</v>
      </c>
      <c r="E24" s="1" t="s">
        <v>18</v>
      </c>
      <c r="F24" s="1" t="str">
        <f>VLOOKUP(Filmes_raw!E24,Rating_systems!$A$2:$C$29,3,FALSE)</f>
        <v>Adulto</v>
      </c>
      <c r="G24" s="2">
        <f>Gross_cleaning!F24</f>
        <v>130</v>
      </c>
      <c r="H24" s="1" t="s">
        <v>195</v>
      </c>
      <c r="I24" s="1" t="s">
        <v>29</v>
      </c>
      <c r="J24" s="1">
        <v>8.6</v>
      </c>
      <c r="K24" s="1" t="s">
        <v>196</v>
      </c>
      <c r="L24" s="1" t="str">
        <f>IFERROR(__xludf.DUMMYFUNCTION("GOOGLETRANSLATE(K24,""en"", ""pt-br"")"),"Nas favelas do Rio, os caminhos de dois filhos divergem quando se esforçam para se tornar um fotógrafo e outro Kingpin.")</f>
        <v>Nas favelas do Rio, os caminhos de dois filhos divergem quando se esforçam para se tornar um fotógrafo e outro Kingpin.</v>
      </c>
      <c r="M24" s="1">
        <v>79.0</v>
      </c>
      <c r="N24" s="1" t="s">
        <v>197</v>
      </c>
      <c r="O24" s="1" t="s">
        <v>198</v>
      </c>
      <c r="P24" s="1" t="s">
        <v>199</v>
      </c>
      <c r="Q24" s="1" t="s">
        <v>200</v>
      </c>
      <c r="R24" s="1" t="s">
        <v>201</v>
      </c>
      <c r="S24" s="1">
        <v>699256.0</v>
      </c>
      <c r="T24" s="7" t="str">
        <f>VLOOKUP(A24,Posters!A24:B1023,2)</f>
        <v>https://m.media-amazon.com/images/M/MV5BOTMwYjc5ZmItYTFjZC00ZGQ3LTlkNTMtMjZiNTZlMWQzNzI5XkEyXkFqcGdeQXVyNzkwMjQ5NzM@._V1_UX67_CR0,0,67,98_AL_.jpg</v>
      </c>
      <c r="U24" s="8">
        <f>'Inflation Adjusted Gross'!F24</f>
        <v>11017149</v>
      </c>
      <c r="V24" s="5">
        <f t="shared" si="1"/>
        <v>2020</v>
      </c>
    </row>
    <row r="25">
      <c r="A25" s="1">
        <v>24.0</v>
      </c>
      <c r="B25" s="1" t="s">
        <v>202</v>
      </c>
      <c r="C25" s="6">
        <f>Gross_cleaning!E25</f>
        <v>10055859</v>
      </c>
      <c r="D25" s="1">
        <v>2001.0</v>
      </c>
      <c r="E25" s="1" t="s">
        <v>52</v>
      </c>
      <c r="F25" s="1" t="str">
        <f>VLOOKUP(Filmes_raw!E25,Rating_systems!$A$2:$C$29,3,FALSE)</f>
        <v>Criança</v>
      </c>
      <c r="G25" s="2">
        <f>Gross_cleaning!F25</f>
        <v>125</v>
      </c>
      <c r="H25" s="1" t="s">
        <v>203</v>
      </c>
      <c r="I25" s="1" t="s">
        <v>204</v>
      </c>
      <c r="J25" s="1">
        <v>8.6</v>
      </c>
      <c r="K25" s="1" t="s">
        <v>205</v>
      </c>
      <c r="L25" s="1" t="str">
        <f>IFERROR(__xludf.DUMMYFUNCTION("GOOGLETRANSLATE(K25,""en"", ""pt-br"")"),"Durante a mudança de sua família para os subúrbios, uma menina de 10 anos de idade mal-humorada vagueia em um mundo governado por deuses, bruxas e espíritos, e onde os humanos são transformados em bestas.")</f>
        <v>Durante a mudança de sua família para os subúrbios, uma menina de 10 anos de idade mal-humorada vagueia em um mundo governado por deuses, bruxas e espíritos, e onde os humanos são transformados em bestas.</v>
      </c>
      <c r="M25" s="1">
        <v>96.0</v>
      </c>
      <c r="N25" s="1" t="s">
        <v>206</v>
      </c>
      <c r="O25" s="1" t="s">
        <v>207</v>
      </c>
      <c r="P25" s="1" t="s">
        <v>208</v>
      </c>
      <c r="Q25" s="1" t="s">
        <v>209</v>
      </c>
      <c r="R25" s="1" t="s">
        <v>210</v>
      </c>
      <c r="S25" s="1">
        <v>651376.0</v>
      </c>
      <c r="T25" s="7" t="str">
        <f>VLOOKUP(A25,Posters!A25:B1024,2)</f>
        <v>https://m.media-amazon.com/images/M/MV5BMjlmZmI5MDctNDE2YS00YWE0LWE5ZWItZDBhYWQ0NTcxNWRhXkEyXkFqcGdeQXVyMTMxODk2OTU@._V1_UX67_CR0,0,67,98_AL_.jpg</v>
      </c>
      <c r="U25" s="8">
        <f>'Inflation Adjusted Gross'!F25</f>
        <v>14815077</v>
      </c>
      <c r="V25" s="5">
        <f t="shared" si="1"/>
        <v>2020</v>
      </c>
    </row>
    <row r="26">
      <c r="A26" s="1">
        <v>25.0</v>
      </c>
      <c r="B26" s="1" t="s">
        <v>211</v>
      </c>
      <c r="C26" s="6">
        <f>Gross_cleaning!E26</f>
        <v>216540909</v>
      </c>
      <c r="D26" s="1">
        <v>1998.0</v>
      </c>
      <c r="E26" s="1" t="s">
        <v>212</v>
      </c>
      <c r="F26" s="1" t="str">
        <f>VLOOKUP(Filmes_raw!E26,Rating_systems!$A$2:$C$29,3,FALSE)</f>
        <v>Adulto</v>
      </c>
      <c r="G26" s="2">
        <f>Gross_cleaning!F26</f>
        <v>169</v>
      </c>
      <c r="H26" s="1" t="s">
        <v>187</v>
      </c>
      <c r="I26" s="1" t="s">
        <v>213</v>
      </c>
      <c r="J26" s="1">
        <v>8.6</v>
      </c>
      <c r="K26" s="1" t="s">
        <v>214</v>
      </c>
      <c r="L26" s="1" t="str">
        <f>IFERROR(__xludf.DUMMYFUNCTION("GOOGLETRANSLATE(K26,""en"", ""pt-br"")"),"Seguindo os desembarques da Normandia, um grupo de soldados de U.S. Vai atrás de linhas inimigas para recuperar um pára-quedista cujos irmãos foram mortos em ação.")</f>
        <v>Seguindo os desembarques da Normandia, um grupo de soldados de U.S. Vai atrás de linhas inimigas para recuperar um pára-quedista cujos irmãos foram mortos em ação.</v>
      </c>
      <c r="M26" s="1">
        <v>91.0</v>
      </c>
      <c r="N26" s="1" t="s">
        <v>81</v>
      </c>
      <c r="O26" s="1" t="s">
        <v>110</v>
      </c>
      <c r="P26" s="1" t="s">
        <v>215</v>
      </c>
      <c r="Q26" s="1" t="s">
        <v>216</v>
      </c>
      <c r="R26" s="1" t="s">
        <v>217</v>
      </c>
      <c r="S26" s="1">
        <v>1235804.0</v>
      </c>
      <c r="T26" s="7" t="str">
        <f>VLOOKUP(A26,Posters!A26:B1025,2)</f>
        <v>https://m.media-amazon.com/images/M/MV5BZjhkMDM4MWItZTVjOC00ZDRhLThmYTAtM2I5NzBmNmNlMzI1XkEyXkFqcGdeQXVyNDYyMDk5MTU@._V1_UX67_CR0,0,67,98_AL_.jpg</v>
      </c>
      <c r="U26" s="8">
        <f>'Inflation Adjusted Gross'!F26</f>
        <v>345676206</v>
      </c>
      <c r="V26" s="5">
        <f t="shared" si="1"/>
        <v>2020</v>
      </c>
    </row>
    <row r="27">
      <c r="A27" s="1">
        <v>26.0</v>
      </c>
      <c r="B27" s="1" t="s">
        <v>218</v>
      </c>
      <c r="C27" s="6">
        <f>Gross_cleaning!E27</f>
        <v>136801374</v>
      </c>
      <c r="D27" s="1">
        <v>1999.0</v>
      </c>
      <c r="E27" s="1" t="s">
        <v>18</v>
      </c>
      <c r="F27" s="1" t="str">
        <f>VLOOKUP(Filmes_raw!E27,Rating_systems!$A$2:$C$29,3,FALSE)</f>
        <v>Adulto</v>
      </c>
      <c r="G27" s="2">
        <f>Gross_cleaning!F27</f>
        <v>189</v>
      </c>
      <c r="H27" s="1" t="s">
        <v>219</v>
      </c>
      <c r="I27" s="1" t="s">
        <v>220</v>
      </c>
      <c r="J27" s="1">
        <v>8.6</v>
      </c>
      <c r="K27" s="1" t="s">
        <v>221</v>
      </c>
      <c r="L27" s="1" t="str">
        <f>IFERROR(__xludf.DUMMYFUNCTION("GOOGLETRANSLATE(K27,""en"", ""pt-br"")"),"A vida dos guardas na linha da morte é afetada por uma das suas acusações: um homem negro acusado de assassinato infantil e estupro, mas quem tem um misterioso presente.")</f>
        <v>A vida dos guardas na linha da morte é afetada por uma das suas acusações: um homem negro acusado de assassinato infantil e estupro, mas quem tem um misterioso presente.</v>
      </c>
      <c r="M27" s="1">
        <v>61.0</v>
      </c>
      <c r="N27" s="1" t="s">
        <v>22</v>
      </c>
      <c r="O27" s="1" t="s">
        <v>110</v>
      </c>
      <c r="P27" s="1" t="s">
        <v>222</v>
      </c>
      <c r="Q27" s="1" t="s">
        <v>223</v>
      </c>
      <c r="R27" s="1" t="s">
        <v>224</v>
      </c>
      <c r="S27" s="1">
        <v>1147794.0</v>
      </c>
      <c r="T27" s="7" t="str">
        <f>VLOOKUP(A27,Posters!A27:B1026,2)</f>
        <v>https://m.media-amazon.com/images/M/MV5BMTUxMzQyNjA5MF5BMl5BanBnXkFtZTYwOTU2NTY3._V1_UX67_CR0,0,67,98_AL_.jpg</v>
      </c>
      <c r="U27" s="8">
        <f>'Inflation Adjusted Gross'!F27</f>
        <v>214794810</v>
      </c>
      <c r="V27" s="5">
        <f t="shared" si="1"/>
        <v>2020</v>
      </c>
    </row>
    <row r="28">
      <c r="A28" s="1">
        <v>27.0</v>
      </c>
      <c r="B28" s="1" t="s">
        <v>225</v>
      </c>
      <c r="C28" s="6">
        <f>Gross_cleaning!E28</f>
        <v>57598247</v>
      </c>
      <c r="D28" s="1">
        <v>1997.0</v>
      </c>
      <c r="E28" s="1" t="s">
        <v>52</v>
      </c>
      <c r="F28" s="1" t="str">
        <f>VLOOKUP(Filmes_raw!E28,Rating_systems!$A$2:$C$29,3,FALSE)</f>
        <v>Criança</v>
      </c>
      <c r="G28" s="2">
        <f>Gross_cleaning!F28</f>
        <v>116</v>
      </c>
      <c r="H28" s="1" t="s">
        <v>226</v>
      </c>
      <c r="I28" s="1" t="s">
        <v>227</v>
      </c>
      <c r="J28" s="1">
        <v>8.6</v>
      </c>
      <c r="K28" s="1" t="s">
        <v>228</v>
      </c>
      <c r="L28" s="1" t="str">
        <f>IFERROR(__xludf.DUMMYFUNCTION("GOOGLETRANSLATE(K28,""en"", ""pt-br"")"),"Quando uma bibliotecária judaica aberta e seu filho se tornam vítimas do Holocausto, ele usa uma mistura perfeita de vontade, humor e imaginação para proteger seu filho dos perigos em torno de seu acampamento.")</f>
        <v>Quando uma bibliotecária judaica aberta e seu filho se tornam vítimas do Holocausto, ele usa uma mistura perfeita de vontade, humor e imaginação para proteger seu filho dos perigos em torno de seu acampamento.</v>
      </c>
      <c r="M28" s="1">
        <v>59.0</v>
      </c>
      <c r="N28" s="1" t="s">
        <v>229</v>
      </c>
      <c r="O28" s="1" t="s">
        <v>229</v>
      </c>
      <c r="P28" s="1" t="s">
        <v>230</v>
      </c>
      <c r="Q28" s="1" t="s">
        <v>231</v>
      </c>
      <c r="R28" s="1" t="s">
        <v>232</v>
      </c>
      <c r="S28" s="1">
        <v>623629.0</v>
      </c>
      <c r="T28" s="7" t="str">
        <f>VLOOKUP(A28,Posters!A28:B1027,2)</f>
        <v>https://m.media-amazon.com/images/M/MV5BYmJmM2Q4NmMtYThmNC00ZjRlLWEyZmItZTIwOTBlZDQ3NTQ1XkEyXkFqcGdeQXVyMTQxNzMzNDI@._V1_UX67_CR0,0,67,98_AL_.jpg</v>
      </c>
      <c r="U28" s="8">
        <f>'Inflation Adjusted Gross'!F28</f>
        <v>93392064</v>
      </c>
      <c r="V28" s="5">
        <f t="shared" si="1"/>
        <v>2020</v>
      </c>
    </row>
    <row r="29">
      <c r="A29" s="1">
        <v>28.0</v>
      </c>
      <c r="B29" s="1" t="s">
        <v>233</v>
      </c>
      <c r="C29" s="6">
        <f>Gross_cleaning!E29</f>
        <v>100125643</v>
      </c>
      <c r="D29" s="1">
        <v>1995.0</v>
      </c>
      <c r="E29" s="1" t="s">
        <v>18</v>
      </c>
      <c r="F29" s="1" t="str">
        <f>VLOOKUP(Filmes_raw!E29,Rating_systems!$A$2:$C$29,3,FALSE)</f>
        <v>Adulto</v>
      </c>
      <c r="G29" s="2">
        <f>Gross_cleaning!F29</f>
        <v>127</v>
      </c>
      <c r="H29" s="1" t="s">
        <v>234</v>
      </c>
      <c r="I29" s="1" t="s">
        <v>235</v>
      </c>
      <c r="J29" s="1">
        <v>8.6</v>
      </c>
      <c r="K29" s="1" t="s">
        <v>236</v>
      </c>
      <c r="L29" s="1" t="str">
        <f>IFERROR(__xludf.DUMMYFUNCTION("GOOGLETRANSLATE(K29,""en"", ""pt-br"")"),"Dois detetives, um novato e um veterano, caçam um assassino serial que usa os sete pecados mortais como seus motivos.")</f>
        <v>Dois detetives, um novato e um veterano, caçam um assassino serial que usa os sete pecados mortais como seus motivos.</v>
      </c>
      <c r="M29" s="1">
        <v>65.0</v>
      </c>
      <c r="N29" s="1" t="s">
        <v>97</v>
      </c>
      <c r="O29" s="1" t="s">
        <v>24</v>
      </c>
      <c r="P29" s="1" t="s">
        <v>98</v>
      </c>
      <c r="Q29" s="1" t="s">
        <v>237</v>
      </c>
      <c r="R29" s="1" t="s">
        <v>238</v>
      </c>
      <c r="S29" s="1">
        <v>1445096.0</v>
      </c>
      <c r="T29" s="7" t="str">
        <f>VLOOKUP(A29,Posters!A29:B1028,2)</f>
        <v>https://m.media-amazon.com/images/M/MV5BOTUwODM5MTctZjczMi00OTk4LTg3NWUtNmVhMTAzNTNjYjcyXkEyXkFqcGdeQXVyNjU0OTQ0OTY@._V1_UX67_CR0,0,67,98_AL_.jpg</v>
      </c>
      <c r="U29" s="8">
        <f>'Inflation Adjusted Gross'!F29</f>
        <v>171853042</v>
      </c>
      <c r="V29" s="5">
        <f t="shared" si="1"/>
        <v>2020</v>
      </c>
    </row>
    <row r="30">
      <c r="A30" s="1">
        <v>29.0</v>
      </c>
      <c r="B30" s="1" t="s">
        <v>239</v>
      </c>
      <c r="C30" s="6">
        <f>Gross_cleaning!E30</f>
        <v>130742922</v>
      </c>
      <c r="D30" s="1">
        <v>1991.0</v>
      </c>
      <c r="E30" s="1" t="s">
        <v>18</v>
      </c>
      <c r="F30" s="1" t="str">
        <f>VLOOKUP(Filmes_raw!E30,Rating_systems!$A$2:$C$29,3,FALSE)</f>
        <v>Adulto</v>
      </c>
      <c r="G30" s="2">
        <f>Gross_cleaning!F30</f>
        <v>118</v>
      </c>
      <c r="H30" s="1" t="s">
        <v>240</v>
      </c>
      <c r="I30" s="1" t="s">
        <v>241</v>
      </c>
      <c r="J30" s="1">
        <v>8.6</v>
      </c>
      <c r="K30" s="1" t="s">
        <v>242</v>
      </c>
      <c r="L30" s="1" t="str">
        <f>IFERROR(__xludf.DUMMYFUNCTION("GOOGLETRANSLATE(K30,""en"", ""pt-br"")"),"Um jovem f.b.i. Cadete deve receber a ajuda de um assassino de canibal encarcerado e manipulativo para ajudar a captar outro serial Killer, um louco que pega suas vítimas.")</f>
        <v>Um jovem f.b.i. Cadete deve receber a ajuda de um assassino de canibal encarcerado e manipulativo para ajudar a captar outro serial Killer, um louco que pega suas vítimas.</v>
      </c>
      <c r="M30" s="1">
        <v>85.0</v>
      </c>
      <c r="N30" s="1" t="s">
        <v>243</v>
      </c>
      <c r="O30" s="1" t="s">
        <v>244</v>
      </c>
      <c r="P30" s="1" t="s">
        <v>245</v>
      </c>
      <c r="Q30" s="1" t="s">
        <v>246</v>
      </c>
      <c r="R30" s="1" t="s">
        <v>247</v>
      </c>
      <c r="S30" s="1">
        <v>1270197.0</v>
      </c>
      <c r="T30" s="7" t="str">
        <f>VLOOKUP(A30,Posters!A30:B1029,2)</f>
        <v>https://m.media-amazon.com/images/M/MV5BNjNhZTk0ZmEtNjJhMi00YzFlLWE1MmEtYzM1M2ZmMGMwMTU4XkEyXkFqcGdeQXVyNjU0OTQ0OTY@._V1_UX67_CR0,0,67,98_AL_.jpg</v>
      </c>
      <c r="U30" s="8">
        <f>'Inflation Adjusted Gross'!F30</f>
        <v>250578621</v>
      </c>
      <c r="V30" s="5">
        <f t="shared" si="1"/>
        <v>2020</v>
      </c>
    </row>
    <row r="31">
      <c r="A31" s="1">
        <v>30.0</v>
      </c>
      <c r="B31" s="1" t="s">
        <v>248</v>
      </c>
      <c r="C31" s="6">
        <f>Gross_cleaning!E31</f>
        <v>322740140</v>
      </c>
      <c r="D31" s="1">
        <v>1977.0</v>
      </c>
      <c r="E31" s="1" t="s">
        <v>37</v>
      </c>
      <c r="F31" s="1" t="str">
        <f>VLOOKUP(Filmes_raw!E31,Rating_systems!$A$2:$C$29,3,FALSE)</f>
        <v>Criança</v>
      </c>
      <c r="G31" s="2">
        <f>Gross_cleaning!F31</f>
        <v>121</v>
      </c>
      <c r="H31" s="1" t="s">
        <v>249</v>
      </c>
      <c r="I31" s="1" t="s">
        <v>145</v>
      </c>
      <c r="J31" s="1">
        <v>8.6</v>
      </c>
      <c r="K31" s="1" t="s">
        <v>250</v>
      </c>
      <c r="L31" s="1" t="str">
        <f>IFERROR(__xludf.DUMMYFUNCTION("GOOGLETRANSLATE(K31,""en"", ""pt-br"")"),"Luke Skywalker junta-se a forças com um cavaleiro Jedi, um piloto arrogante, um wookiee e dois droides para salvar a galáxia da estação de batalha destruidora do Império, enquanto também tentando resgatar a princesa Leia do misterioso Darth Vader.")</f>
        <v>Luke Skywalker junta-se a forças com um cavaleiro Jedi, um piloto arrogante, um wookiee e dois droides para salvar a galáxia da estação de batalha destruidora do Império, enquanto também tentando resgatar a princesa Leia do misterioso Darth Vader.</v>
      </c>
      <c r="M31" s="1">
        <v>90.0</v>
      </c>
      <c r="N31" s="1" t="s">
        <v>251</v>
      </c>
      <c r="O31" s="1" t="s">
        <v>148</v>
      </c>
      <c r="P31" s="1" t="s">
        <v>149</v>
      </c>
      <c r="Q31" s="1" t="s">
        <v>150</v>
      </c>
      <c r="R31" s="1" t="s">
        <v>252</v>
      </c>
      <c r="S31" s="1">
        <v>1231473.0</v>
      </c>
      <c r="T31" s="7" t="str">
        <f>VLOOKUP(A31,Posters!A31:B1030,2)</f>
        <v>https://m.media-amazon.com/images/M/MV5BNzVlY2MwMjktM2E4OS00Y2Y3LWE3ZjctYzhkZGM3YzA1ZWM2XkEyXkFqcGdeQXVyNzkwMjQ5NzM@._V1_UX67_CR0,0,67,98_AL_.jpg</v>
      </c>
      <c r="U31" s="8">
        <f>'Inflation Adjusted Gross'!F31</f>
        <v>1423206779</v>
      </c>
      <c r="V31" s="5">
        <f t="shared" si="1"/>
        <v>2020</v>
      </c>
    </row>
    <row r="32">
      <c r="A32" s="1">
        <v>31.0</v>
      </c>
      <c r="B32" s="1" t="s">
        <v>253</v>
      </c>
      <c r="C32" s="6">
        <f>Gross_cleaning!E32</f>
        <v>15222</v>
      </c>
      <c r="D32" s="1">
        <v>1962.0</v>
      </c>
      <c r="E32" s="1">
        <v>16.0</v>
      </c>
      <c r="F32" s="1" t="str">
        <f>VLOOKUP(Filmes_raw!E32,Rating_systems!$A$2:$C$29,3,FALSE)</f>
        <v>Adolescente</v>
      </c>
      <c r="G32" s="2">
        <f>Gross_cleaning!F32</f>
        <v>133</v>
      </c>
      <c r="H32" s="1" t="s">
        <v>153</v>
      </c>
      <c r="I32" s="1" t="s">
        <v>254</v>
      </c>
      <c r="J32" s="1">
        <v>8.6</v>
      </c>
      <c r="K32" s="1" t="s">
        <v>255</v>
      </c>
      <c r="L32" s="1" t="str">
        <f>IFERROR(__xludf.DUMMYFUNCTION("GOOGLETRANSLATE(K32,""en"", ""pt-br"")"),"Quando um Ronin solicitando Seppuku em um palácio do Senhor Feude é informado do suicídio brutal de outro ronin que anteriormente visitou, ele revela como seus passados ​​estão entrelaçados - e ao fazê-lo desafiar a integridade do clã.")</f>
        <v>Quando um Ronin solicitando Seppuku em um palácio do Senhor Feude é informado do suicídio brutal de outro ronin que anteriormente visitou, ele revela como seus passados ​​estão entrelaçados - e ao fazê-lo desafiar a integridade do clã.</v>
      </c>
      <c r="M32" s="1">
        <v>85.0</v>
      </c>
      <c r="N32" s="1" t="s">
        <v>256</v>
      </c>
      <c r="O32" s="1" t="s">
        <v>257</v>
      </c>
      <c r="P32" s="1" t="s">
        <v>258</v>
      </c>
      <c r="Q32" s="1" t="s">
        <v>259</v>
      </c>
      <c r="R32" s="1" t="s">
        <v>260</v>
      </c>
      <c r="S32" s="1">
        <v>42004.0</v>
      </c>
      <c r="T32" s="7" t="str">
        <f>VLOOKUP(A32,Posters!A32:B1031,2)</f>
        <v>https://m.media-amazon.com/images/M/MV5BYjBmYTQ1NjItZWU5MS00YjI0LTg2OTYtYmFkN2JkMmNiNWVkXkEyXkFqcGdeQXVyMTMxMTY0OTQ@._V1_UY98_CR2,0,67,98_AL_.jpg</v>
      </c>
      <c r="U32" s="8">
        <f>'Inflation Adjusted Gross'!F32</f>
        <v>130894</v>
      </c>
      <c r="V32" s="5">
        <f t="shared" si="1"/>
        <v>2020</v>
      </c>
    </row>
    <row r="33">
      <c r="A33" s="1">
        <v>32.0</v>
      </c>
      <c r="B33" s="1" t="s">
        <v>261</v>
      </c>
      <c r="C33" s="6">
        <f>Gross_cleaning!E33</f>
        <v>269061</v>
      </c>
      <c r="D33" s="1">
        <v>1954.0</v>
      </c>
      <c r="E33" s="1" t="s">
        <v>52</v>
      </c>
      <c r="F33" s="1" t="str">
        <f>VLOOKUP(Filmes_raw!E33,Rating_systems!$A$2:$C$29,3,FALSE)</f>
        <v>Criança</v>
      </c>
      <c r="G33" s="2">
        <f>Gross_cleaning!F33</f>
        <v>207</v>
      </c>
      <c r="H33" s="1" t="s">
        <v>262</v>
      </c>
      <c r="I33" s="1" t="s">
        <v>62</v>
      </c>
      <c r="J33" s="1">
        <v>8.6</v>
      </c>
      <c r="K33" s="1" t="s">
        <v>263</v>
      </c>
      <c r="L33" s="1" t="str">
        <f>IFERROR(__xludf.DUMMYFUNCTION("GOOGLETRANSLATE(K33,""en"", ""pt-br"")"),"Uma pobre vila sob ataque por bandidos recruta sete samurais desempregados para ajudá-los a se defender.")</f>
        <v>Uma pobre vila sob ataque por bandidos recruta sete samurais desempregados para ajudá-los a se defender.</v>
      </c>
      <c r="M33" s="1">
        <v>98.0</v>
      </c>
      <c r="N33" s="1" t="s">
        <v>264</v>
      </c>
      <c r="O33" s="1" t="s">
        <v>265</v>
      </c>
      <c r="P33" s="1" t="s">
        <v>266</v>
      </c>
      <c r="Q33" s="1" t="s">
        <v>267</v>
      </c>
      <c r="R33" s="1" t="s">
        <v>268</v>
      </c>
      <c r="S33" s="1">
        <v>315744.0</v>
      </c>
      <c r="T33" s="7" t="str">
        <f>VLOOKUP(A33,Posters!A33:B1032,2)</f>
        <v>https://m.media-amazon.com/images/M/MV5BOWE4ZDdhNmMtNzE5ZC00NzExLTlhNGMtY2ZhYjYzODEzODA1XkEyXkFqcGdeQXVyNTAyODkwOQ@@._V1_UY98_CR1,0,67,98_AL_.jpg</v>
      </c>
      <c r="U33" s="8">
        <f>'Inflation Adjusted Gross'!F33</f>
        <v>2580295</v>
      </c>
      <c r="V33" s="5">
        <f t="shared" si="1"/>
        <v>2020</v>
      </c>
    </row>
    <row r="34">
      <c r="A34" s="1">
        <v>33.0</v>
      </c>
      <c r="B34" s="1" t="s">
        <v>269</v>
      </c>
      <c r="C34" s="6">
        <f>Gross_cleaning!E34</f>
        <v>44000</v>
      </c>
      <c r="D34" s="1">
        <v>1946.0</v>
      </c>
      <c r="E34" s="1" t="s">
        <v>270</v>
      </c>
      <c r="F34" s="1" t="str">
        <f>VLOOKUP(Filmes_raw!E34,Rating_systems!$A$2:$C$29,3,FALSE)</f>
        <v>Criança</v>
      </c>
      <c r="G34" s="2">
        <f>Gross_cleaning!F34</f>
        <v>130</v>
      </c>
      <c r="H34" s="1" t="s">
        <v>195</v>
      </c>
      <c r="I34" s="1" t="s">
        <v>271</v>
      </c>
      <c r="J34" s="1">
        <v>8.6</v>
      </c>
      <c r="K34" s="1" t="s">
        <v>272</v>
      </c>
      <c r="L34" s="1" t="str">
        <f>IFERROR(__xludf.DUMMYFUNCTION("GOOGLETRANSLATE(K34,""en"", ""pt-br"")"),"Um anjo é enviado do céu para ajudar um empresário desesperadamente frustrado, mostrando-lhe o que a vida teria sido como se nunca tivesse existido.")</f>
        <v>Um anjo é enviado do céu para ajudar um empresário desesperadamente frustrado, mostrando-lhe o que a vida teria sido como se nunca tivesse existido.</v>
      </c>
      <c r="M34" s="1">
        <v>89.0</v>
      </c>
      <c r="N34" s="1" t="s">
        <v>273</v>
      </c>
      <c r="O34" s="1" t="s">
        <v>274</v>
      </c>
      <c r="P34" s="1" t="s">
        <v>275</v>
      </c>
      <c r="Q34" s="1" t="s">
        <v>276</v>
      </c>
      <c r="R34" s="1" t="s">
        <v>277</v>
      </c>
      <c r="S34" s="1">
        <v>405801.0</v>
      </c>
      <c r="T34" s="7" t="str">
        <f>VLOOKUP(A34,Posters!A34:B1033,2)</f>
        <v>https://m.media-amazon.com/images/M/MV5BZjc4NDZhZWMtNGEzYS00ZWU2LThlM2ItNTA0YzQ0OTExMTE2XkEyXkFqcGdeQXVyNjUwMzI2NzU@._V1_UY98_CR0,0,67,98_AL_.jpg</v>
      </c>
      <c r="U34" s="8">
        <f>'Inflation Adjusted Gross'!F34</f>
        <v>623666</v>
      </c>
      <c r="V34" s="5">
        <f t="shared" si="1"/>
        <v>2020</v>
      </c>
    </row>
    <row r="35">
      <c r="A35" s="1">
        <v>34.0</v>
      </c>
      <c r="B35" s="1" t="s">
        <v>278</v>
      </c>
      <c r="C35" s="6">
        <f>Gross_cleaning!E35</f>
        <v>335451311</v>
      </c>
      <c r="D35" s="1">
        <v>2019.0</v>
      </c>
      <c r="E35" s="1" t="s">
        <v>18</v>
      </c>
      <c r="F35" s="1" t="str">
        <f>VLOOKUP(Filmes_raw!E35,Rating_systems!$A$2:$C$29,3,FALSE)</f>
        <v>Adulto</v>
      </c>
      <c r="G35" s="2">
        <f>Gross_cleaning!F35</f>
        <v>122</v>
      </c>
      <c r="H35" s="1" t="s">
        <v>279</v>
      </c>
      <c r="I35" s="1" t="s">
        <v>241</v>
      </c>
      <c r="J35" s="1">
        <v>8.5</v>
      </c>
      <c r="K35" s="1" t="s">
        <v>280</v>
      </c>
      <c r="L35" s="1" t="str">
        <f>IFERROR(__xludf.DUMMYFUNCTION("GOOGLETRANSLATE(K35,""en"", ""pt-br"")"),"Na cidade de Gotham, mentalmente perturbada comediante Arthur Fleck é desconsiderada e maltratada pela sociedade. Ele então embarca em uma espiral descendente de revolução e crime ensanguentado. Este caminho leva-o cara a cara com o seu alter-ego: o corin"&amp;"ga.")</f>
        <v>Na cidade de Gotham, mentalmente perturbada comediante Arthur Fleck é desconsiderada e maltratada pela sociedade. Ele então embarca em uma espiral descendente de revolução e crime ensanguentado. Este caminho leva-o cara a cara com o seu alter-ego: o coringa.</v>
      </c>
      <c r="M35" s="1">
        <v>59.0</v>
      </c>
      <c r="N35" s="1" t="s">
        <v>281</v>
      </c>
      <c r="O35" s="1" t="s">
        <v>282</v>
      </c>
      <c r="P35" s="1" t="s">
        <v>49</v>
      </c>
      <c r="Q35" s="1" t="s">
        <v>283</v>
      </c>
      <c r="R35" s="1" t="s">
        <v>284</v>
      </c>
      <c r="S35" s="1">
        <v>939252.0</v>
      </c>
      <c r="T35" s="7" t="str">
        <f>VLOOKUP(A35,Posters!A35:B1034,2)</f>
        <v>https://m.media-amazon.com/images/M/MV5BNGVjNWI4ZGUtNzE0MS00YTJmLWE0ZDctN2ZiYTk2YmI3NTYyXkEyXkFqcGdeQXVyMTkxNjUyNQ@@._V1_UX67_CR0,0,67,98_AL_.jpg</v>
      </c>
      <c r="U35" s="8">
        <f>'Inflation Adjusted Gross'!F35</f>
        <v>343792549</v>
      </c>
      <c r="V35" s="5">
        <f t="shared" si="1"/>
        <v>2020</v>
      </c>
    </row>
    <row r="36">
      <c r="A36" s="1">
        <v>35.0</v>
      </c>
      <c r="B36" s="1" t="s">
        <v>285</v>
      </c>
      <c r="C36" s="6">
        <f>Gross_cleaning!E36</f>
        <v>13092000</v>
      </c>
      <c r="D36" s="1">
        <v>2014.0</v>
      </c>
      <c r="E36" s="1" t="s">
        <v>18</v>
      </c>
      <c r="F36" s="1" t="str">
        <f>VLOOKUP(Filmes_raw!E36,Rating_systems!$A$2:$C$29,3,FALSE)</f>
        <v>Adulto</v>
      </c>
      <c r="G36" s="2">
        <f>Gross_cleaning!F36</f>
        <v>106</v>
      </c>
      <c r="H36" s="1" t="s">
        <v>286</v>
      </c>
      <c r="I36" s="1" t="s">
        <v>287</v>
      </c>
      <c r="J36" s="1">
        <v>8.5</v>
      </c>
      <c r="K36" s="1" t="s">
        <v>288</v>
      </c>
      <c r="L36" s="1" t="str">
        <f>IFERROR(__xludf.DUMMYFUNCTION("GOOGLETRANSLATE(K36,""en"", ""pt-br"")"),"Um jovem baterista promissor se matricula em um conservatório de música de garganta recorta, onde seus sonhos de grandeza são orientação por um instrutor que irá parar em nada para perceber o potencial de um aluno.")</f>
        <v>Um jovem baterista promissor se matricula em um conservatório de música de garganta recorta, onde seus sonhos de grandeza são orientação por um instrutor que irá parar em nada para perceber o potencial de um aluno.</v>
      </c>
      <c r="M36" s="1">
        <v>88.0</v>
      </c>
      <c r="N36" s="1" t="s">
        <v>289</v>
      </c>
      <c r="O36" s="1" t="s">
        <v>290</v>
      </c>
      <c r="P36" s="1" t="s">
        <v>291</v>
      </c>
      <c r="Q36" s="1" t="s">
        <v>292</v>
      </c>
      <c r="R36" s="1" t="s">
        <v>293</v>
      </c>
      <c r="S36" s="1">
        <v>717585.0</v>
      </c>
      <c r="T36" s="7" t="str">
        <f>VLOOKUP(A36,Posters!A36:B1035,2)</f>
        <v>https://m.media-amazon.com/images/M/MV5BOTA5NDZlZGUtMjAxOS00YTRkLTkwYmMtYWQ0NWEwZDZiNjEzXkEyXkFqcGdeQXVyMTMxODk2OTU@._V1_UX67_CR0,0,67,98_AL_.jpg</v>
      </c>
      <c r="U36" s="8">
        <f>'Inflation Adjusted Gross'!F36</f>
        <v>14438330</v>
      </c>
      <c r="V36" s="5">
        <f t="shared" si="1"/>
        <v>2020</v>
      </c>
    </row>
    <row r="37">
      <c r="A37" s="1">
        <v>36.0</v>
      </c>
      <c r="B37" s="1" t="s">
        <v>294</v>
      </c>
      <c r="C37" s="6">
        <f>Gross_cleaning!E37</f>
        <v>13182281</v>
      </c>
      <c r="D37" s="1">
        <v>2011.0</v>
      </c>
      <c r="E37" s="1" t="s">
        <v>37</v>
      </c>
      <c r="F37" s="1" t="str">
        <f>VLOOKUP(Filmes_raw!E37,Rating_systems!$A$2:$C$29,3,FALSE)</f>
        <v>Criança</v>
      </c>
      <c r="G37" s="2">
        <f>Gross_cleaning!F37</f>
        <v>112</v>
      </c>
      <c r="H37" s="1" t="s">
        <v>295</v>
      </c>
      <c r="I37" s="1" t="s">
        <v>296</v>
      </c>
      <c r="J37" s="1">
        <v>8.5</v>
      </c>
      <c r="K37" s="1" t="s">
        <v>297</v>
      </c>
      <c r="L37" s="1" t="str">
        <f>IFERROR(__xludf.DUMMYFUNCTION("GOOGLETRANSLATE(K37,""en"", ""pt-br"")"),"Depois que ele se torna um quadriplégico de um acidente de parapente, um aristocrata contrata um jovem dos projetos para ser seu cuidador.")</f>
        <v>Depois que ele se torna um quadriplégico de um acidente de parapente, um aristocrata contrata um jovem dos projetos para ser seu cuidador.</v>
      </c>
      <c r="M37" s="1">
        <v>57.0</v>
      </c>
      <c r="N37" s="1" t="s">
        <v>298</v>
      </c>
      <c r="O37" s="1" t="s">
        <v>299</v>
      </c>
      <c r="P37" s="1" t="s">
        <v>300</v>
      </c>
      <c r="Q37" s="1" t="s">
        <v>301</v>
      </c>
      <c r="R37" s="1" t="s">
        <v>302</v>
      </c>
      <c r="S37" s="1">
        <v>760360.0</v>
      </c>
      <c r="T37" s="7" t="str">
        <f>VLOOKUP(A37,Posters!A37:B1036,2)</f>
        <v>https://m.media-amazon.com/images/M/MV5BMTYxNDA3MDQwNl5BMl5BanBnXkFtZTcwNTU4Mzc1Nw@@._V1_UX67_CR0,0,67,98_AL_.jpg</v>
      </c>
      <c r="U37" s="8">
        <f>'Inflation Adjusted Gross'!F37</f>
        <v>15441830</v>
      </c>
      <c r="V37" s="5">
        <f t="shared" si="1"/>
        <v>2020</v>
      </c>
    </row>
    <row r="38">
      <c r="A38" s="1">
        <v>37.0</v>
      </c>
      <c r="B38" s="1" t="s">
        <v>303</v>
      </c>
      <c r="C38" s="6">
        <f>Gross_cleaning!E38</f>
        <v>53089891</v>
      </c>
      <c r="D38" s="1">
        <v>2006.0</v>
      </c>
      <c r="E38" s="1" t="s">
        <v>52</v>
      </c>
      <c r="F38" s="1" t="str">
        <f>VLOOKUP(Filmes_raw!E38,Rating_systems!$A$2:$C$29,3,FALSE)</f>
        <v>Criança</v>
      </c>
      <c r="G38" s="2">
        <f>Gross_cleaning!F38</f>
        <v>130</v>
      </c>
      <c r="H38" s="1" t="s">
        <v>195</v>
      </c>
      <c r="I38" s="1" t="s">
        <v>304</v>
      </c>
      <c r="J38" s="1">
        <v>8.5</v>
      </c>
      <c r="K38" s="1" t="s">
        <v>305</v>
      </c>
      <c r="L38" s="1" t="str">
        <f>IFERROR(__xludf.DUMMYFUNCTION("GOOGLETRANSLATE(K38,""en"", ""pt-br"")"),"Depois de um acidente trágico, dois mágicos de palco se envolvem em uma batalha para criar a ilusão final, enquanto sacrificando tudo o que eles têm para se derrubar.")</f>
        <v>Depois de um acidente trágico, dois mágicos de palco se envolvem em uma batalha para criar a ilusão final, enquanto sacrificando tudo o que eles têm para se derrubar.</v>
      </c>
      <c r="M38" s="1">
        <v>66.0</v>
      </c>
      <c r="N38" s="1" t="s">
        <v>41</v>
      </c>
      <c r="O38" s="1" t="s">
        <v>42</v>
      </c>
      <c r="P38" s="1" t="s">
        <v>306</v>
      </c>
      <c r="Q38" s="1" t="s">
        <v>307</v>
      </c>
      <c r="R38" s="1" t="s">
        <v>45</v>
      </c>
      <c r="S38" s="1">
        <v>1190259.0</v>
      </c>
      <c r="T38" s="7" t="str">
        <f>VLOOKUP(A38,Posters!A38:B1037,2)</f>
        <v>https://m.media-amazon.com/images/M/MV5BMjA4NDI0MTIxNF5BMl5BanBnXkFtZTYwNTM0MzY2._V1_UX67_CR0,0,67,98_AL_.jpg</v>
      </c>
      <c r="U38" s="8">
        <f>'Inflation Adjusted Gross'!F38</f>
        <v>69065317</v>
      </c>
      <c r="V38" s="5">
        <f t="shared" si="1"/>
        <v>2020</v>
      </c>
    </row>
    <row r="39">
      <c r="A39" s="1">
        <v>38.0</v>
      </c>
      <c r="B39" s="1" t="s">
        <v>308</v>
      </c>
      <c r="C39" s="6">
        <f>Gross_cleaning!E39</f>
        <v>132384315</v>
      </c>
      <c r="D39" s="1">
        <v>2006.0</v>
      </c>
      <c r="E39" s="1" t="s">
        <v>18</v>
      </c>
      <c r="F39" s="1" t="str">
        <f>VLOOKUP(Filmes_raw!E39,Rating_systems!$A$2:$C$29,3,FALSE)</f>
        <v>Adulto</v>
      </c>
      <c r="G39" s="2">
        <f>Gross_cleaning!F39</f>
        <v>151</v>
      </c>
      <c r="H39" s="1" t="s">
        <v>309</v>
      </c>
      <c r="I39" s="1" t="s">
        <v>241</v>
      </c>
      <c r="J39" s="1">
        <v>8.5</v>
      </c>
      <c r="K39" s="1" t="s">
        <v>310</v>
      </c>
      <c r="L39" s="1" t="str">
        <f>IFERROR(__xludf.DUMMYFUNCTION("GOOGLETRANSLATE(K39,""en"", ""pt-br"")"),"Um policial disfarçado e uma toupeira na polícia tentam se identificar uns aos outros enquanto infiltrava uma gangue irlandesa no sul de Boston.")</f>
        <v>Um policial disfarçado e uma toupeira na polícia tentam se identificar uns aos outros enquanto infiltrava uma gangue irlandesa no sul de Boston.</v>
      </c>
      <c r="M39" s="1">
        <v>85.0</v>
      </c>
      <c r="N39" s="1" t="s">
        <v>139</v>
      </c>
      <c r="O39" s="1" t="s">
        <v>90</v>
      </c>
      <c r="P39" s="1" t="s">
        <v>215</v>
      </c>
      <c r="Q39" s="1" t="s">
        <v>156</v>
      </c>
      <c r="R39" s="1" t="s">
        <v>311</v>
      </c>
      <c r="S39" s="1">
        <v>1189773.0</v>
      </c>
      <c r="T39" s="7" t="str">
        <f>VLOOKUP(A39,Posters!A39:B1038,2)</f>
        <v>https://m.media-amazon.com/images/M/MV5BMTI1MTY2OTIxNV5BMl5BanBnXkFtZTYwNjQ4NjY3._V1_UX67_CR0,0,67,98_AL_.jpg</v>
      </c>
      <c r="U39" s="8">
        <f>'Inflation Adjusted Gross'!F39</f>
        <v>172220445</v>
      </c>
      <c r="V39" s="5">
        <f t="shared" si="1"/>
        <v>2020</v>
      </c>
    </row>
    <row r="40">
      <c r="A40" s="1">
        <v>39.0</v>
      </c>
      <c r="B40" s="1" t="s">
        <v>312</v>
      </c>
      <c r="C40" s="6">
        <f>Gross_cleaning!E40</f>
        <v>32572577</v>
      </c>
      <c r="D40" s="1">
        <v>2002.0</v>
      </c>
      <c r="E40" s="1" t="s">
        <v>212</v>
      </c>
      <c r="F40" s="1" t="str">
        <f>VLOOKUP(Filmes_raw!E40,Rating_systems!$A$2:$C$29,3,FALSE)</f>
        <v>Adulto</v>
      </c>
      <c r="G40" s="2">
        <f>Gross_cleaning!F40</f>
        <v>150</v>
      </c>
      <c r="H40" s="1" t="s">
        <v>313</v>
      </c>
      <c r="I40" s="1" t="s">
        <v>314</v>
      </c>
      <c r="J40" s="1">
        <v>8.5</v>
      </c>
      <c r="K40" s="1" t="s">
        <v>315</v>
      </c>
      <c r="L40" s="1" t="str">
        <f>IFERROR(__xludf.DUMMYFUNCTION("GOOGLETRANSLATE(K40,""en"", ""pt-br"")"),"Um músico judeu polonês lutas para sobreviver à destruição do gueto de Varsóvia da Segunda Guerra Mundial.")</f>
        <v>Um músico judeu polonês lutas para sobreviver à destruição do gueto de Varsóvia da Segunda Guerra Mundial.</v>
      </c>
      <c r="M40" s="1">
        <v>85.0</v>
      </c>
      <c r="N40" s="1" t="s">
        <v>316</v>
      </c>
      <c r="O40" s="1" t="s">
        <v>317</v>
      </c>
      <c r="P40" s="1" t="s">
        <v>318</v>
      </c>
      <c r="Q40" s="1" t="s">
        <v>319</v>
      </c>
      <c r="R40" s="1" t="s">
        <v>320</v>
      </c>
      <c r="S40" s="1">
        <v>729603.0</v>
      </c>
      <c r="T40" s="7" t="str">
        <f>VLOOKUP(A40,Posters!A40:B1039,2)</f>
        <v>https://m.media-amazon.com/images/M/MV5BOWRiZDIxZjktMTA1NC00MDQ2LWEzMjUtMTliZmY3NjQ3ODJiXkEyXkFqcGdeQXVyNjU0OTQ0OTY@._V1_UY98_CR2,0,67,98_AL_.jpg</v>
      </c>
      <c r="U40" s="8">
        <f>'Inflation Adjusted Gross'!F40</f>
        <v>47446529</v>
      </c>
      <c r="V40" s="5">
        <f t="shared" si="1"/>
        <v>2020</v>
      </c>
    </row>
    <row r="41">
      <c r="A41" s="1">
        <v>40.0</v>
      </c>
      <c r="B41" s="1" t="s">
        <v>321</v>
      </c>
      <c r="C41" s="6">
        <f>Gross_cleaning!E41</f>
        <v>187705427</v>
      </c>
      <c r="D41" s="1">
        <v>2000.0</v>
      </c>
      <c r="E41" s="1" t="s">
        <v>37</v>
      </c>
      <c r="F41" s="1" t="str">
        <f>VLOOKUP(Filmes_raw!E41,Rating_systems!$A$2:$C$29,3,FALSE)</f>
        <v>Criança</v>
      </c>
      <c r="G41" s="2">
        <f>Gross_cleaning!F41</f>
        <v>155</v>
      </c>
      <c r="H41" s="1" t="s">
        <v>322</v>
      </c>
      <c r="I41" s="1" t="s">
        <v>62</v>
      </c>
      <c r="J41" s="1">
        <v>8.5</v>
      </c>
      <c r="K41" s="1" t="s">
        <v>323</v>
      </c>
      <c r="L41" s="1" t="str">
        <f>IFERROR(__xludf.DUMMYFUNCTION("GOOGLETRANSLATE(K41,""en"", ""pt-br"")"),"Um ex-general romano se estabelece para a vingança exata contra o imperador corrupto que assassinou sua família e o enviou para a escravidão.")</f>
        <v>Um ex-general romano se estabelece para a vingança exata contra o imperador corrupto que assassinou sua família e o enviou para a escravidão.</v>
      </c>
      <c r="M41" s="1">
        <v>67.0</v>
      </c>
      <c r="N41" s="1" t="s">
        <v>324</v>
      </c>
      <c r="O41" s="1" t="s">
        <v>325</v>
      </c>
      <c r="P41" s="1" t="s">
        <v>282</v>
      </c>
      <c r="Q41" s="1" t="s">
        <v>326</v>
      </c>
      <c r="R41" s="1" t="s">
        <v>327</v>
      </c>
      <c r="S41" s="1">
        <v>1341460.0</v>
      </c>
      <c r="T41" s="7" t="str">
        <f>VLOOKUP(A41,Posters!A41:B1040,2)</f>
        <v>https://m.media-amazon.com/images/M/MV5BMDliMmNhNDEtODUyOS00MjNlLTgxODEtN2U3NzIxMGVkZTA1L2ltYWdlXkEyXkFqcGdeQXVyNjU0OTQ0OTY@._V1_UX67_CR0,0,67,98_AL_.jpg</v>
      </c>
      <c r="U41" s="8">
        <f>'Inflation Adjusted Gross'!F41</f>
        <v>286863488</v>
      </c>
      <c r="V41" s="5">
        <f t="shared" si="1"/>
        <v>2020</v>
      </c>
    </row>
    <row r="42">
      <c r="A42" s="1">
        <v>41.0</v>
      </c>
      <c r="B42" s="1" t="s">
        <v>328</v>
      </c>
      <c r="C42" s="6">
        <f>Gross_cleaning!E42</f>
        <v>6719864</v>
      </c>
      <c r="D42" s="1">
        <v>1998.0</v>
      </c>
      <c r="E42" s="1" t="s">
        <v>212</v>
      </c>
      <c r="F42" s="1" t="str">
        <f>VLOOKUP(Filmes_raw!E42,Rating_systems!$A$2:$C$29,3,FALSE)</f>
        <v>Adulto</v>
      </c>
      <c r="G42" s="2">
        <f>Gross_cleaning!F42</f>
        <v>119</v>
      </c>
      <c r="H42" s="1" t="s">
        <v>329</v>
      </c>
      <c r="I42" s="1" t="s">
        <v>20</v>
      </c>
      <c r="J42" s="1">
        <v>8.5</v>
      </c>
      <c r="K42" s="1" t="s">
        <v>330</v>
      </c>
      <c r="L42" s="1" t="str">
        <f>IFERROR(__xludf.DUMMYFUNCTION("GOOGLETRANSLATE(K42,""en"", ""pt-br"")"),"Um ex-skinhead neo-nazista tenta impedir que seu irmão mais novo desce o mesmo caminho errado que ele fez.")</f>
        <v>Um ex-skinhead neo-nazista tenta impedir que seu irmão mais novo desce o mesmo caminho errado que ele fez.</v>
      </c>
      <c r="M42" s="1">
        <v>62.0</v>
      </c>
      <c r="N42" s="1" t="s">
        <v>331</v>
      </c>
      <c r="O42" s="1" t="s">
        <v>99</v>
      </c>
      <c r="P42" s="1" t="s">
        <v>332</v>
      </c>
      <c r="Q42" s="1" t="s">
        <v>333</v>
      </c>
      <c r="R42" s="1" t="s">
        <v>334</v>
      </c>
      <c r="S42" s="1">
        <v>1034705.0</v>
      </c>
      <c r="T42" s="7" t="str">
        <f>VLOOKUP(A42,Posters!A42:B1041,2)</f>
        <v>https://m.media-amazon.com/images/M/MV5BZjA0MTM4MTQtNzY5MC00NzY3LWI1ZTgtYzcxMjkyMzU4MDZiXkEyXkFqcGdeQXVyNDYyMDk5MTU@._V1_UX67_CR0,0,67,98_AL_.jpg</v>
      </c>
      <c r="U42" s="8">
        <f>'Inflation Adjusted Gross'!F42</f>
        <v>10727290</v>
      </c>
      <c r="V42" s="5">
        <f t="shared" si="1"/>
        <v>2020</v>
      </c>
    </row>
    <row r="43">
      <c r="A43" s="1">
        <v>42.0</v>
      </c>
      <c r="B43" s="1" t="s">
        <v>335</v>
      </c>
      <c r="C43" s="6">
        <f>Gross_cleaning!E43</f>
        <v>23341568</v>
      </c>
      <c r="D43" s="1">
        <v>1995.0</v>
      </c>
      <c r="E43" s="1" t="s">
        <v>18</v>
      </c>
      <c r="F43" s="1" t="str">
        <f>VLOOKUP(Filmes_raw!E43,Rating_systems!$A$2:$C$29,3,FALSE)</f>
        <v>Adulto</v>
      </c>
      <c r="G43" s="2">
        <f>Gross_cleaning!F43</f>
        <v>106</v>
      </c>
      <c r="H43" s="1" t="s">
        <v>286</v>
      </c>
      <c r="I43" s="1" t="s">
        <v>336</v>
      </c>
      <c r="J43" s="1">
        <v>8.5</v>
      </c>
      <c r="K43" s="1" t="s">
        <v>337</v>
      </c>
      <c r="L43" s="1" t="str">
        <f>IFERROR(__xludf.DUMMYFUNCTION("GOOGLETRANSLATE(K43,""en"", ""pt-br"")"),"Um único sobrevivente fala dos eventos twisty que levam a uma batalha de armas horrível em um barco, que começou quando cinco criminosos se encontraram em uma linha de polícia aparentemente aleatória.")</f>
        <v>Um único sobrevivente fala dos eventos twisty que levam a uma batalha de armas horrível em um barco, que começou quando cinco criminosos se encontraram em uma linha de polícia aparentemente aleatória.</v>
      </c>
      <c r="M43" s="1">
        <v>77.0</v>
      </c>
      <c r="N43" s="1" t="s">
        <v>338</v>
      </c>
      <c r="O43" s="1" t="s">
        <v>237</v>
      </c>
      <c r="P43" s="1" t="s">
        <v>339</v>
      </c>
      <c r="Q43" s="1" t="s">
        <v>340</v>
      </c>
      <c r="R43" s="1" t="s">
        <v>341</v>
      </c>
      <c r="S43" s="1">
        <v>991208.0</v>
      </c>
      <c r="T43" s="7" t="str">
        <f>VLOOKUP(A43,Posters!A43:B1042,2)</f>
        <v>https://m.media-amazon.com/images/M/MV5BYTViNjMyNmUtNDFkNC00ZDRlLThmMDUtZDU2YWE4NGI2ZjVmXkEyXkFqcGdeQXVyNjU0OTQ0OTY@._V1_UX67_CR0,0,67,98_AL_.jpg</v>
      </c>
      <c r="U43" s="8">
        <f>'Inflation Adjusted Gross'!F43</f>
        <v>40062859</v>
      </c>
      <c r="V43" s="5">
        <f t="shared" si="1"/>
        <v>2020</v>
      </c>
    </row>
    <row r="44">
      <c r="A44" s="1">
        <v>43.0</v>
      </c>
      <c r="B44" s="1" t="s">
        <v>342</v>
      </c>
      <c r="C44" s="6">
        <f>Gross_cleaning!E44</f>
        <v>19501238</v>
      </c>
      <c r="D44" s="1">
        <v>1994.0</v>
      </c>
      <c r="E44" s="1" t="s">
        <v>18</v>
      </c>
      <c r="F44" s="1" t="str">
        <f>VLOOKUP(Filmes_raw!E44,Rating_systems!$A$2:$C$29,3,FALSE)</f>
        <v>Adulto</v>
      </c>
      <c r="G44" s="2">
        <f>Gross_cleaning!F44</f>
        <v>110</v>
      </c>
      <c r="H44" s="1" t="s">
        <v>343</v>
      </c>
      <c r="I44" s="1" t="s">
        <v>39</v>
      </c>
      <c r="J44" s="1">
        <v>8.5</v>
      </c>
      <c r="K44" s="1" t="s">
        <v>344</v>
      </c>
      <c r="L44" s="1" t="str">
        <f>IFERROR(__xludf.DUMMYFUNCTION("GOOGLETRANSLATE(K44,""en"", ""pt-br"")"),"Mathilda, uma menina de 12 anos, é relutantemente tomada por Léon, um assassino profissional, depois que sua família é assassinada. Uma relação incomum forma como ela se torna seu protégée e aprende o comércio de Assassino.")</f>
        <v>Mathilda, uma menina de 12 anos, é relutantemente tomada por Léon, um assassino profissional, depois que sua família é assassinada. Uma relação incomum forma como ela se torna seu protégée e aprende o comércio de Assassino.</v>
      </c>
      <c r="M44" s="1">
        <v>64.0</v>
      </c>
      <c r="N44" s="1" t="s">
        <v>345</v>
      </c>
      <c r="O44" s="1" t="s">
        <v>346</v>
      </c>
      <c r="P44" s="1" t="s">
        <v>347</v>
      </c>
      <c r="Q44" s="1" t="s">
        <v>348</v>
      </c>
      <c r="R44" s="1" t="s">
        <v>349</v>
      </c>
      <c r="S44" s="1">
        <v>1035236.0</v>
      </c>
      <c r="T44" s="7" t="str">
        <f>VLOOKUP(A44,Posters!A44:B1043,2)</f>
        <v>https://m.media-amazon.com/images/M/MV5BODllNWE0MmEtYjUwZi00ZjY3LThmNmQtZjZlMjI2YTZjYmQ0XkEyXkFqcGdeQXVyNTc1NTQxODI@._V1_UX67_CR0,0,67,98_AL_.jpg</v>
      </c>
      <c r="U44" s="8">
        <f>'Inflation Adjusted Gross'!F44</f>
        <v>34410081</v>
      </c>
      <c r="V44" s="5">
        <f t="shared" si="1"/>
        <v>2020</v>
      </c>
    </row>
    <row r="45">
      <c r="A45" s="1">
        <v>44.0</v>
      </c>
      <c r="B45" s="1" t="s">
        <v>350</v>
      </c>
      <c r="C45" s="6">
        <f>Gross_cleaning!E45</f>
        <v>422783777</v>
      </c>
      <c r="D45" s="1">
        <v>1994.0</v>
      </c>
      <c r="E45" s="1" t="s">
        <v>52</v>
      </c>
      <c r="F45" s="1" t="str">
        <f>VLOOKUP(Filmes_raw!E45,Rating_systems!$A$2:$C$29,3,FALSE)</f>
        <v>Criança</v>
      </c>
      <c r="G45" s="2">
        <f>Gross_cleaning!F45</f>
        <v>88</v>
      </c>
      <c r="H45" s="1" t="s">
        <v>351</v>
      </c>
      <c r="I45" s="1" t="s">
        <v>352</v>
      </c>
      <c r="J45" s="1">
        <v>8.5</v>
      </c>
      <c r="K45" s="1" t="s">
        <v>353</v>
      </c>
      <c r="L45" s="1" t="str">
        <f>IFERROR(__xludf.DUMMYFUNCTION("GOOGLETRANSLATE(K45,""en"", ""pt-br"")"),"O Lion Prince Simba e seu pai são alvo de seu tio amargo, que quer subir o próprio trono.")</f>
        <v>O Lion Prince Simba e seu pai são alvo de seu tio amargo, que quer subir o próprio trono.</v>
      </c>
      <c r="M45" s="1">
        <v>88.0</v>
      </c>
      <c r="N45" s="1" t="s">
        <v>354</v>
      </c>
      <c r="O45" s="1" t="s">
        <v>355</v>
      </c>
      <c r="P45" s="1" t="s">
        <v>356</v>
      </c>
      <c r="Q45" s="1" t="s">
        <v>357</v>
      </c>
      <c r="R45" s="1" t="s">
        <v>358</v>
      </c>
      <c r="S45" s="1">
        <v>942045.0</v>
      </c>
      <c r="T45" s="7" t="str">
        <f>VLOOKUP(A45,Posters!A45:B1044,2)</f>
        <v>https://m.media-amazon.com/images/M/MV5BYTYxNGMyZTYtMjE3MS00MzNjLWFjNmYtMDk3N2FmM2JiM2M1XkEyXkFqcGdeQXVyNjY5NDU4NzI@._V1_UX67_CR0,0,67,98_AL_.jpg</v>
      </c>
      <c r="U45" s="8">
        <f>'Inflation Adjusted Gross'!F45</f>
        <v>746005154</v>
      </c>
      <c r="V45" s="5">
        <f t="shared" si="1"/>
        <v>2020</v>
      </c>
    </row>
    <row r="46">
      <c r="A46" s="1">
        <v>45.0</v>
      </c>
      <c r="B46" s="1" t="s">
        <v>359</v>
      </c>
      <c r="C46" s="6">
        <f>Gross_cleaning!E46</f>
        <v>204843350</v>
      </c>
      <c r="D46" s="1">
        <v>1991.0</v>
      </c>
      <c r="E46" s="1" t="s">
        <v>52</v>
      </c>
      <c r="F46" s="1" t="str">
        <f>VLOOKUP(Filmes_raw!E46,Rating_systems!$A$2:$C$29,3,FALSE)</f>
        <v>Criança</v>
      </c>
      <c r="G46" s="2">
        <f>Gross_cleaning!F46</f>
        <v>137</v>
      </c>
      <c r="H46" s="1" t="s">
        <v>360</v>
      </c>
      <c r="I46" s="1" t="s">
        <v>128</v>
      </c>
      <c r="J46" s="1">
        <v>8.5</v>
      </c>
      <c r="K46" s="1" t="s">
        <v>361</v>
      </c>
      <c r="L46" s="1" t="str">
        <f>IFERROR(__xludf.DUMMYFUNCTION("GOOGLETRANSLATE(K46,""en"", ""pt-br"")"),"Um ciborgue, idêntico àquele que não matou Sarah Connor, deve agora proteger seu filho adolescente, John Connor, de um ciborg mais avançado e poderoso.")</f>
        <v>Um ciborgue, idêntico àquele que não matou Sarah Connor, deve agora proteger seu filho adolescente, John Connor, de um ciborg mais avançado e poderoso.</v>
      </c>
      <c r="M46" s="1">
        <v>75.0</v>
      </c>
      <c r="N46" s="1" t="s">
        <v>362</v>
      </c>
      <c r="O46" s="1" t="s">
        <v>363</v>
      </c>
      <c r="P46" s="1" t="s">
        <v>364</v>
      </c>
      <c r="Q46" s="1" t="s">
        <v>332</v>
      </c>
      <c r="R46" s="1" t="s">
        <v>365</v>
      </c>
      <c r="S46" s="1">
        <v>995506.0</v>
      </c>
      <c r="T46" s="7" t="str">
        <f>VLOOKUP(A46,Posters!A46:B1045,2)</f>
        <v>https://m.media-amazon.com/images/M/MV5BMGU2NzRmZjUtOGUxYS00ZjdjLWEwZWItY2NlM2JhNjkxNTFmXkEyXkFqcGdeQXVyNjU0OTQ0OTY@._V1_UX67_CR0,0,67,98_AL_.jpg</v>
      </c>
      <c r="U46" s="8">
        <f>'Inflation Adjusted Gross'!F46</f>
        <v>392597652</v>
      </c>
      <c r="V46" s="5">
        <f t="shared" si="1"/>
        <v>2020</v>
      </c>
    </row>
    <row r="47">
      <c r="A47" s="1">
        <v>46.0</v>
      </c>
      <c r="B47" s="1" t="s">
        <v>366</v>
      </c>
      <c r="C47" s="6">
        <f>Gross_cleaning!E47</f>
        <v>11990401</v>
      </c>
      <c r="D47" s="1">
        <v>1988.0</v>
      </c>
      <c r="E47" s="1" t="s">
        <v>52</v>
      </c>
      <c r="F47" s="1" t="str">
        <f>VLOOKUP(Filmes_raw!E47,Rating_systems!$A$2:$C$29,3,FALSE)</f>
        <v>Criança</v>
      </c>
      <c r="G47" s="2">
        <f>Gross_cleaning!F47</f>
        <v>155</v>
      </c>
      <c r="H47" s="1" t="s">
        <v>322</v>
      </c>
      <c r="I47" s="1" t="s">
        <v>107</v>
      </c>
      <c r="J47" s="1">
        <v>8.5</v>
      </c>
      <c r="K47" s="1" t="s">
        <v>367</v>
      </c>
      <c r="L47" s="1" t="str">
        <f>IFERROR(__xludf.DUMMYFUNCTION("GOOGLETRANSLATE(K47,""en"", ""pt-br"")"),"Um cineasta lembra sua infância quando se apaixonando pelas fotos no cinema de sua aldeia de casa e forma uma profunda amizade com o projecionista do cinema.")</f>
        <v>Um cineasta lembra sua infância quando se apaixonando pelas fotos no cinema de sua aldeia de casa e forma uma profunda amizade com o projecionista do cinema.</v>
      </c>
      <c r="M47" s="1">
        <v>80.0</v>
      </c>
      <c r="N47" s="1" t="s">
        <v>368</v>
      </c>
      <c r="O47" s="1" t="s">
        <v>369</v>
      </c>
      <c r="P47" s="1" t="s">
        <v>370</v>
      </c>
      <c r="Q47" s="1" t="s">
        <v>371</v>
      </c>
      <c r="R47" s="1" t="s">
        <v>372</v>
      </c>
      <c r="S47" s="1">
        <v>230763.0</v>
      </c>
      <c r="T47" s="7" t="str">
        <f>VLOOKUP(A47,Posters!A47:B1046,2)</f>
        <v>https://m.media-amazon.com/images/M/MV5BM2FhYjEyYmYtMDI1Yy00YTdlLWI2NWQtYmEzNzAxOGY1NjY2XkEyXkFqcGdeQXVyNTA3NTIyNDg@._V1_UX67_CR0,0,67,98_AL_.jpg</v>
      </c>
      <c r="U47" s="8">
        <f>'Inflation Adjusted Gross'!F47</f>
        <v>26734449</v>
      </c>
      <c r="V47" s="5">
        <f t="shared" si="1"/>
        <v>2020</v>
      </c>
    </row>
    <row r="48">
      <c r="A48" s="1">
        <v>47.0</v>
      </c>
      <c r="B48" s="1" t="s">
        <v>373</v>
      </c>
      <c r="C48" s="6">
        <f>Gross_cleaning!E48</f>
        <v>516962</v>
      </c>
      <c r="D48" s="1">
        <v>1988.0</v>
      </c>
      <c r="E48" s="1" t="s">
        <v>52</v>
      </c>
      <c r="F48" s="1" t="str">
        <f>VLOOKUP(Filmes_raw!E48,Rating_systems!$A$2:$C$29,3,FALSE)</f>
        <v>Criança</v>
      </c>
      <c r="G48" s="2">
        <f>Gross_cleaning!F48</f>
        <v>89</v>
      </c>
      <c r="H48" s="1" t="s">
        <v>374</v>
      </c>
      <c r="I48" s="1" t="s">
        <v>375</v>
      </c>
      <c r="J48" s="1">
        <v>8.5</v>
      </c>
      <c r="K48" s="1" t="s">
        <v>376</v>
      </c>
      <c r="L48" s="1" t="str">
        <f>IFERROR(__xludf.DUMMYFUNCTION("GOOGLETRANSLATE(K48,""en"", ""pt-br"")"),"Um menino e sua irmãzinha lutam para sobreviver no Japão durante a Segunda Guerra Mundial.")</f>
        <v>Um menino e sua irmãzinha lutam para sobreviver no Japão durante a Segunda Guerra Mundial.</v>
      </c>
      <c r="M48" s="1">
        <v>94.0</v>
      </c>
      <c r="N48" s="1" t="s">
        <v>377</v>
      </c>
      <c r="O48" s="1" t="s">
        <v>378</v>
      </c>
      <c r="P48" s="1" t="s">
        <v>379</v>
      </c>
      <c r="Q48" s="1" t="s">
        <v>380</v>
      </c>
      <c r="R48" s="1" t="s">
        <v>381</v>
      </c>
      <c r="S48" s="1">
        <v>235231.0</v>
      </c>
      <c r="T48" s="7" t="str">
        <f>VLOOKUP(A48,Posters!A48:B1047,2)</f>
        <v>https://m.media-amazon.com/images/M/MV5BZmY2NjUzNDQtNTgxNC00M2Q4LTljOWQtMjNjNDBjNWUxNmJlXkEyXkFqcGdeQXVyNTA4NzY1MzY@._V1_UX67_CR0,0,67,98_AL_.jpg</v>
      </c>
      <c r="U48" s="8">
        <f>'Inflation Adjusted Gross'!F48</f>
        <v>1152647</v>
      </c>
      <c r="V48" s="5">
        <f t="shared" si="1"/>
        <v>2020</v>
      </c>
    </row>
    <row r="49">
      <c r="A49" s="1">
        <v>48.0</v>
      </c>
      <c r="B49" s="1" t="s">
        <v>382</v>
      </c>
      <c r="C49" s="6">
        <f>Gross_cleaning!E49</f>
        <v>210609762</v>
      </c>
      <c r="D49" s="1">
        <v>1985.0</v>
      </c>
      <c r="E49" s="1" t="s">
        <v>52</v>
      </c>
      <c r="F49" s="1" t="str">
        <f>VLOOKUP(Filmes_raw!E49,Rating_systems!$A$2:$C$29,3,FALSE)</f>
        <v>Criança</v>
      </c>
      <c r="G49" s="2">
        <f>Gross_cleaning!F49</f>
        <v>116</v>
      </c>
      <c r="H49" s="1" t="s">
        <v>226</v>
      </c>
      <c r="I49" s="1" t="s">
        <v>383</v>
      </c>
      <c r="J49" s="1">
        <v>8.5</v>
      </c>
      <c r="K49" s="1" t="s">
        <v>384</v>
      </c>
      <c r="L49" s="1" t="str">
        <f>IFERROR(__xludf.DUMMYFUNCTION("GOOGLETRANSLATE(K49,""en"", ""pt-br"")"),"Marty McFly, um estudante do ensino médio de 17 anos, é acidentalmente enviado trinta anos para o passado em um deloreno de viagem de tempo inventado por seu amigo íntimo, o cientista excêntrico Doc Brown.")</f>
        <v>Marty McFly, um estudante do ensino médio de 17 anos, é acidentalmente enviado trinta anos para o passado em um deloreno de viagem de tempo inventado por seu amigo íntimo, o cientista excêntrico Doc Brown.</v>
      </c>
      <c r="M49" s="1">
        <v>87.0</v>
      </c>
      <c r="N49" s="1" t="s">
        <v>109</v>
      </c>
      <c r="O49" s="1" t="s">
        <v>385</v>
      </c>
      <c r="P49" s="1" t="s">
        <v>386</v>
      </c>
      <c r="Q49" s="1" t="s">
        <v>387</v>
      </c>
      <c r="R49" s="1" t="s">
        <v>388</v>
      </c>
      <c r="S49" s="1">
        <v>1058081.0</v>
      </c>
      <c r="T49" s="7" t="str">
        <f>VLOOKUP(A49,Posters!A49:B1048,2)</f>
        <v>https://m.media-amazon.com/images/M/MV5BZmU0M2Y1OGUtZjIxNi00ZjBkLTg1MjgtOWIyNThiZWIwYjRiXkEyXkFqcGdeQXVyMTQxNzMzNDI@._V1_UX67_CR0,0,67,98_AL_.jpg</v>
      </c>
      <c r="U49" s="8">
        <f>'Inflation Adjusted Gross'!F49</f>
        <v>514987781</v>
      </c>
      <c r="V49" s="5">
        <f t="shared" si="1"/>
        <v>2020</v>
      </c>
    </row>
    <row r="50">
      <c r="A50" s="1">
        <v>49.0</v>
      </c>
      <c r="B50" s="1" t="s">
        <v>389</v>
      </c>
      <c r="C50" s="6">
        <f>Gross_cleaning!E50</f>
        <v>5321508</v>
      </c>
      <c r="D50" s="1">
        <v>1968.0</v>
      </c>
      <c r="E50" s="1" t="s">
        <v>52</v>
      </c>
      <c r="F50" s="1" t="str">
        <f>VLOOKUP(Filmes_raw!E50,Rating_systems!$A$2:$C$29,3,FALSE)</f>
        <v>Criança</v>
      </c>
      <c r="G50" s="2">
        <f>Gross_cleaning!F50</f>
        <v>165</v>
      </c>
      <c r="H50" s="1" t="s">
        <v>390</v>
      </c>
      <c r="I50" s="1" t="s">
        <v>116</v>
      </c>
      <c r="J50" s="1">
        <v>8.5</v>
      </c>
      <c r="K50" s="1" t="s">
        <v>391</v>
      </c>
      <c r="L50" s="1" t="str">
        <f>IFERROR(__xludf.DUMMYFUNCTION("GOOGLETRANSLATE(K50,""en"", ""pt-br"")"),"Um misterioso estranho com uma gaita junta as forças com um notório desesperado para proteger uma linda viúva de um assassino implacável que trabalha para a ferrovia.")</f>
        <v>Um misterioso estranho com uma gaita junta as forças com um notório desesperado para proteger uma linda viúva de um assassino implacável que trabalha para a ferrovia.</v>
      </c>
      <c r="M50" s="1">
        <v>80.0</v>
      </c>
      <c r="N50" s="1" t="s">
        <v>118</v>
      </c>
      <c r="O50" s="1" t="s">
        <v>56</v>
      </c>
      <c r="P50" s="1" t="s">
        <v>392</v>
      </c>
      <c r="Q50" s="1" t="s">
        <v>393</v>
      </c>
      <c r="R50" s="1" t="s">
        <v>394</v>
      </c>
      <c r="S50" s="1">
        <v>302844.0</v>
      </c>
      <c r="T50" s="7" t="str">
        <f>VLOOKUP(A50,Posters!A50:B1049,2)</f>
        <v>https://m.media-amazon.com/images/M/MV5BZGI5MjBmYzYtMzJhZi00NGI1LTk3MzItYjBjMzcxM2U3MDdiXkEyXkFqcGdeQXVyNzkwMjQ5NzM@._V1_UX67_CR0,0,67,98_AL_.jpg</v>
      </c>
      <c r="U50" s="8">
        <f>'Inflation Adjusted Gross'!F50</f>
        <v>40257910</v>
      </c>
      <c r="V50" s="5">
        <f t="shared" si="1"/>
        <v>2020</v>
      </c>
    </row>
    <row r="51">
      <c r="A51" s="1">
        <v>50.0</v>
      </c>
      <c r="B51" s="1" t="s">
        <v>395</v>
      </c>
      <c r="C51" s="6">
        <f>Gross_cleaning!E51</f>
        <v>32000000</v>
      </c>
      <c r="D51" s="1">
        <v>1960.0</v>
      </c>
      <c r="E51" s="1" t="s">
        <v>18</v>
      </c>
      <c r="F51" s="1" t="str">
        <f>VLOOKUP(Filmes_raw!E51,Rating_systems!$A$2:$C$29,3,FALSE)</f>
        <v>Adulto</v>
      </c>
      <c r="G51" s="2">
        <f>Gross_cleaning!F51</f>
        <v>109</v>
      </c>
      <c r="H51" s="1" t="s">
        <v>396</v>
      </c>
      <c r="I51" s="1" t="s">
        <v>397</v>
      </c>
      <c r="J51" s="1">
        <v>8.5</v>
      </c>
      <c r="K51" s="1" t="s">
        <v>398</v>
      </c>
      <c r="L51" s="1" t="str">
        <f>IFERROR(__xludf.DUMMYFUNCTION("GOOGLETRANSLATE(K51,""en"", ""pt-br"")"),"Um secretário de Phoenix empalhadas US $ 40.000 do cliente de seu empregador, passa a correr, e checas em um motel remoto corrido por um jovem sob a dominação de sua mãe.")</f>
        <v>Um secretário de Phoenix empalhadas US $ 40.000 do cliente de seu empregador, passa a correr, e checas em um motel remoto corrido por um jovem sob a dominação de sua mãe.</v>
      </c>
      <c r="M51" s="1">
        <v>97.0</v>
      </c>
      <c r="N51" s="1" t="s">
        <v>399</v>
      </c>
      <c r="O51" s="1" t="s">
        <v>400</v>
      </c>
      <c r="P51" s="1" t="s">
        <v>401</v>
      </c>
      <c r="Q51" s="1" t="s">
        <v>402</v>
      </c>
      <c r="R51" s="1" t="s">
        <v>403</v>
      </c>
      <c r="S51" s="1">
        <v>604211.0</v>
      </c>
      <c r="T51" s="7" t="str">
        <f>VLOOKUP(A51,Posters!A51:B1050,2)</f>
        <v>https://m.media-amazon.com/images/M/MV5BNTQwNDM1YzItNDAxZC00NWY2LTk0M2UtNDIwNWI5OGUyNWUxXkEyXkFqcGdeQXVyNzkwMjQ5NzM@._V1_UX67_CR0,0,67,98_AL_.jpg</v>
      </c>
      <c r="U51" s="8">
        <f>'Inflation Adjusted Gross'!F51</f>
        <v>281743072</v>
      </c>
      <c r="V51" s="5">
        <f t="shared" si="1"/>
        <v>2020</v>
      </c>
    </row>
    <row r="52">
      <c r="A52" s="1">
        <v>51.0</v>
      </c>
      <c r="B52" s="1" t="s">
        <v>404</v>
      </c>
      <c r="C52" s="6">
        <f>Gross_cleaning!E52</f>
        <v>1024560</v>
      </c>
      <c r="D52" s="1">
        <v>1942.0</v>
      </c>
      <c r="E52" s="1" t="s">
        <v>52</v>
      </c>
      <c r="F52" s="1" t="str">
        <f>VLOOKUP(Filmes_raw!E52,Rating_systems!$A$2:$C$29,3,FALSE)</f>
        <v>Criança</v>
      </c>
      <c r="G52" s="2">
        <f>Gross_cleaning!F52</f>
        <v>102</v>
      </c>
      <c r="H52" s="1" t="s">
        <v>405</v>
      </c>
      <c r="I52" s="1" t="s">
        <v>406</v>
      </c>
      <c r="J52" s="1">
        <v>8.5</v>
      </c>
      <c r="K52" s="1" t="s">
        <v>407</v>
      </c>
      <c r="L52" s="1" t="str">
        <f>IFERROR(__xludf.DUMMYFUNCTION("GOOGLETRANSLATE(K52,""en"", ""pt-br"")"),"Um dono cínico expatriado do café americano luta para decidir se deve ou não ajudar seu ex-amante e seu marido fugitivo escapar dos nazistas em Marrocos francês.")</f>
        <v>Um dono cínico expatriado do café americano luta para decidir se deve ou não ajudar seu ex-amante e seu marido fugitivo escapar dos nazistas em Marrocos francês.</v>
      </c>
      <c r="M52" s="1">
        <v>100.0</v>
      </c>
      <c r="N52" s="1" t="s">
        <v>408</v>
      </c>
      <c r="O52" s="1" t="s">
        <v>409</v>
      </c>
      <c r="P52" s="1" t="s">
        <v>410</v>
      </c>
      <c r="Q52" s="1" t="s">
        <v>411</v>
      </c>
      <c r="R52" s="1" t="s">
        <v>412</v>
      </c>
      <c r="S52" s="1">
        <v>522093.0</v>
      </c>
      <c r="T52" s="7" t="str">
        <f>VLOOKUP(A52,Posters!A52:B1051,2)</f>
        <v>https://m.media-amazon.com/images/M/MV5BY2IzZGY2YmEtYzljNS00NTM5LTgwMzUtMzM1NjQ4NGI0OTk0XkEyXkFqcGdeQXVyNDYyMDk5MTU@._V1_UX67_CR0,0,67,98_AL_.jpg</v>
      </c>
      <c r="U52" s="8">
        <f>'Inflation Adjusted Gross'!F52</f>
        <v>16834826</v>
      </c>
      <c r="V52" s="5">
        <f t="shared" si="1"/>
        <v>2020</v>
      </c>
    </row>
    <row r="53">
      <c r="A53" s="1">
        <v>52.0</v>
      </c>
      <c r="B53" s="1" t="s">
        <v>413</v>
      </c>
      <c r="C53" s="6">
        <f>Gross_cleaning!E53</f>
        <v>163245</v>
      </c>
      <c r="D53" s="1">
        <v>1936.0</v>
      </c>
      <c r="E53" s="1" t="s">
        <v>414</v>
      </c>
      <c r="F53" s="1" t="str">
        <f>VLOOKUP(Filmes_raw!E53,Rating_systems!$A$2:$C$29,3,FALSE)</f>
        <v>Criança</v>
      </c>
      <c r="G53" s="2">
        <f>Gross_cleaning!F53</f>
        <v>87</v>
      </c>
      <c r="H53" s="1" t="s">
        <v>415</v>
      </c>
      <c r="I53" s="1" t="s">
        <v>416</v>
      </c>
      <c r="J53" s="1">
        <v>8.5</v>
      </c>
      <c r="K53" s="1" t="s">
        <v>417</v>
      </c>
      <c r="L53" s="1" t="str">
        <f>IFERROR(__xludf.DUMMYFUNCTION("GOOGLETRANSLATE(K53,""en"", ""pt-br"")"),"O vagabundo lutas para viver na moderna sociedade industrial com a ajuda de uma jovem mulher desabrigada.")</f>
        <v>O vagabundo lutas para viver na moderna sociedade industrial com a ajuda de uma jovem mulher desabrigada.</v>
      </c>
      <c r="M53" s="1">
        <v>96.0</v>
      </c>
      <c r="N53" s="1" t="s">
        <v>418</v>
      </c>
      <c r="O53" s="1" t="s">
        <v>418</v>
      </c>
      <c r="P53" s="1" t="s">
        <v>419</v>
      </c>
      <c r="Q53" s="1" t="s">
        <v>420</v>
      </c>
      <c r="R53" s="1" t="s">
        <v>421</v>
      </c>
      <c r="S53" s="1">
        <v>217881.0</v>
      </c>
      <c r="T53" s="7" t="str">
        <f>VLOOKUP(A53,Posters!A53:B1052,2)</f>
        <v>https://m.media-amazon.com/images/M/MV5BYjJiZjMzYzktNjU0NS00OTkxLWEwYzItYzdhYWJjN2QzMTRlL2ltYWdlL2ltYWdlXkEyXkFqcGdeQXVyNjU0OTQ0OTY@._V1_UX67_CR0,0,67,98_AL_.jpg</v>
      </c>
      <c r="U53" s="8">
        <f>'Inflation Adjusted Gross'!F53</f>
        <v>3051629</v>
      </c>
      <c r="V53" s="5">
        <f t="shared" si="1"/>
        <v>2020</v>
      </c>
    </row>
    <row r="54">
      <c r="A54" s="1">
        <v>53.0</v>
      </c>
      <c r="B54" s="1" t="s">
        <v>422</v>
      </c>
      <c r="C54" s="6">
        <f>Gross_cleaning!E54</f>
        <v>47017</v>
      </c>
      <c r="D54" s="1">
        <v>1931.0</v>
      </c>
      <c r="E54" s="1" t="s">
        <v>414</v>
      </c>
      <c r="F54" s="1" t="str">
        <f>VLOOKUP(Filmes_raw!E54,Rating_systems!$A$2:$C$29,3,FALSE)</f>
        <v>Criança</v>
      </c>
      <c r="G54" s="2">
        <f>Gross_cleaning!F54</f>
        <v>87</v>
      </c>
      <c r="H54" s="1" t="s">
        <v>415</v>
      </c>
      <c r="I54" s="1" t="s">
        <v>227</v>
      </c>
      <c r="J54" s="1">
        <v>8.5</v>
      </c>
      <c r="K54" s="1" t="s">
        <v>423</v>
      </c>
      <c r="L54" s="1" t="str">
        <f>IFERROR(__xludf.DUMMYFUNCTION("GOOGLETRANSLATE(K54,""en"", ""pt-br"")"),"Com o auxílio de um típico errático rico, um vagabundo de olhos orovos que se apaixonou por uma flor de visto acumula dinheiro para ajudá-la medicamente.")</f>
        <v>Com o auxílio de um típico errático rico, um vagabundo de olhos orovos que se apaixonou por uma flor de visto acumula dinheiro para ajudá-la medicamente.</v>
      </c>
      <c r="M54" s="1">
        <v>99.0</v>
      </c>
      <c r="N54" s="1" t="s">
        <v>418</v>
      </c>
      <c r="O54" s="1" t="s">
        <v>418</v>
      </c>
      <c r="P54" s="1" t="s">
        <v>424</v>
      </c>
      <c r="Q54" s="1" t="s">
        <v>425</v>
      </c>
      <c r="R54" s="1" t="s">
        <v>426</v>
      </c>
      <c r="S54" s="1">
        <v>167839.0</v>
      </c>
      <c r="T54" s="7" t="str">
        <f>VLOOKUP(A54,Posters!A54:B1053,2)</f>
        <v>https://m.media-amazon.com/images/M/MV5BY2I4MmM1N2EtM2YzOS00OWUzLTkzYzctNDc5NDg2N2IyODJmXkEyXkFqcGdeQXVyNzkwMjQ5NzM@._V1_UX67_CR0,0,67,98_AL_.jpg</v>
      </c>
      <c r="U54" s="8">
        <f>'Inflation Adjusted Gross'!F54</f>
        <v>762832</v>
      </c>
      <c r="V54" s="5">
        <f t="shared" si="1"/>
        <v>2020</v>
      </c>
    </row>
    <row r="55">
      <c r="A55" s="1">
        <v>54.0</v>
      </c>
      <c r="B55" s="1" t="s">
        <v>427</v>
      </c>
      <c r="C55" s="6">
        <f>Gross_cleaning!E55</f>
        <v>1661096</v>
      </c>
      <c r="D55" s="1">
        <v>2018.0</v>
      </c>
      <c r="E55" s="1" t="s">
        <v>18</v>
      </c>
      <c r="F55" s="1" t="str">
        <f>VLOOKUP(Filmes_raw!E55,Rating_systems!$A$2:$C$29,3,FALSE)</f>
        <v>Adulto</v>
      </c>
      <c r="G55" s="2">
        <f>Gross_cleaning!F55</f>
        <v>126</v>
      </c>
      <c r="H55" s="1" t="s">
        <v>428</v>
      </c>
      <c r="I55" s="1" t="s">
        <v>20</v>
      </c>
      <c r="J55" s="1">
        <v>8.4</v>
      </c>
      <c r="K55" s="1" t="s">
        <v>429</v>
      </c>
      <c r="L55" s="1" t="str">
        <f>IFERROR(__xludf.DUMMYFUNCTION("GOOGLETRANSLATE(K55,""en"", ""pt-br"")"),"Ao servir uma sentença de cinco anos por um crime violento, um menino de 12 anos processa seus pais por negligência.")</f>
        <v>Ao servir uma sentença de cinco anos por um crime violento, um menino de 12 anos processa seus pais por negligência.</v>
      </c>
      <c r="M55" s="1">
        <v>75.0</v>
      </c>
      <c r="N55" s="1" t="s">
        <v>430</v>
      </c>
      <c r="O55" s="1" t="s">
        <v>431</v>
      </c>
      <c r="P55" s="1" t="s">
        <v>432</v>
      </c>
      <c r="Q55" s="1" t="s">
        <v>433</v>
      </c>
      <c r="R55" s="1" t="s">
        <v>434</v>
      </c>
      <c r="S55" s="1">
        <v>62635.0</v>
      </c>
      <c r="T55" s="7" t="str">
        <f>VLOOKUP(A55,Posters!A55:B1054,2)</f>
        <v>https://m.media-amazon.com/images/M/MV5BMmExNzU2ZWMtYzUwYi00YmM2LTkxZTQtNmVhNjY0NTMyMWI2XkEyXkFqcGdeQXVyMTMxODk2OTU@._V1_UX67_CR0,0,67,98_AL_.jpg</v>
      </c>
      <c r="U55" s="8">
        <f>'Inflation Adjusted Gross'!F55</f>
        <v>1728809</v>
      </c>
      <c r="V55" s="5">
        <f t="shared" si="1"/>
        <v>2020</v>
      </c>
    </row>
    <row r="56">
      <c r="A56" s="1">
        <v>55.0</v>
      </c>
      <c r="B56" s="1" t="s">
        <v>435</v>
      </c>
      <c r="C56" s="6">
        <f>Gross_cleaning!E56</f>
        <v>946947</v>
      </c>
      <c r="D56" s="1">
        <v>2017.0</v>
      </c>
      <c r="E56" s="1" t="s">
        <v>270</v>
      </c>
      <c r="F56" s="1" t="str">
        <f>VLOOKUP(Filmes_raw!E56,Rating_systems!$A$2:$C$29,3,FALSE)</f>
        <v>Criança</v>
      </c>
      <c r="G56" s="2">
        <f>Gross_cleaning!F56</f>
        <v>125</v>
      </c>
      <c r="H56" s="1" t="s">
        <v>203</v>
      </c>
      <c r="I56" s="1" t="s">
        <v>79</v>
      </c>
      <c r="J56" s="1">
        <v>8.4</v>
      </c>
      <c r="K56" s="1" t="s">
        <v>436</v>
      </c>
      <c r="L56" s="1" t="str">
        <f>IFERROR(__xludf.DUMMYFUNCTION("GOOGLETRANSLATE(K56,""en"", ""pt-br"")"),"Em 1950, em meio a estagia da Guerra da Coréia, Sargento Süleyman tropeça sobre uma menina meio congelada, sem pais nem ajuda à vista. Frenética, assustada e à beira da morte, ... ver resumo completo »")</f>
        <v>Em 1950, em meio a estagia da Guerra da Coréia, Sargento Süleyman tropeça sobre uma menina meio congelada, sem pais nem ajuda à vista. Frenética, assustada e à beira da morte, ... ver resumo completo »</v>
      </c>
      <c r="N56" s="1" t="s">
        <v>437</v>
      </c>
      <c r="O56" s="1" t="s">
        <v>438</v>
      </c>
      <c r="P56" s="1" t="s">
        <v>439</v>
      </c>
      <c r="Q56" s="1" t="s">
        <v>440</v>
      </c>
      <c r="R56" s="1" t="s">
        <v>441</v>
      </c>
      <c r="S56" s="1">
        <v>34112.0</v>
      </c>
      <c r="T56" s="7" t="str">
        <f>VLOOKUP(A56,Posters!A56:B1055,2)</f>
        <v>https://m.media-amazon.com/images/M/MV5BNWJhMDlmZGUtYzcxNS00NDRiLWIwNjktNDY1Mjg3ZjBkYzY0XkEyXkFqcGdeQXVyMTU4MjUwMjI@._V1_UY98_CR2,0,67,98_AL_.jpg</v>
      </c>
      <c r="U56" s="8">
        <f>'Inflation Adjusted Gross'!F56</f>
        <v>1005954</v>
      </c>
      <c r="V56" s="5">
        <f t="shared" si="1"/>
        <v>2020</v>
      </c>
    </row>
    <row r="57">
      <c r="A57" s="1">
        <v>56.0</v>
      </c>
      <c r="B57" s="1" t="s">
        <v>442</v>
      </c>
      <c r="C57" s="6">
        <f>Gross_cleaning!E57</f>
        <v>546792</v>
      </c>
      <c r="D57" s="1">
        <v>2017.0</v>
      </c>
      <c r="E57" s="1" t="s">
        <v>37</v>
      </c>
      <c r="F57" s="1" t="str">
        <f>VLOOKUP(Filmes_raw!E57,Rating_systems!$A$2:$C$29,3,FALSE)</f>
        <v>Criança</v>
      </c>
      <c r="G57" s="2">
        <f>Gross_cleaning!F57</f>
        <v>147</v>
      </c>
      <c r="H57" s="1" t="s">
        <v>443</v>
      </c>
      <c r="I57" s="1" t="s">
        <v>39</v>
      </c>
      <c r="J57" s="1">
        <v>8.4</v>
      </c>
      <c r="K57" s="1" t="s">
        <v>444</v>
      </c>
      <c r="L57" s="1" t="str">
        <f>IFERROR(__xludf.DUMMYFUNCTION("GOOGLETRANSLATE(K57,""en"", ""pt-br"")"),"Vikram, um policial sem sentido, acompanhado por Simon, seu parceiro, está na caçada de capturar Vedha, um contrabandista e um assassino. Vedha tenta mudar a vida de Vikram, o que leva a um conflito.")</f>
        <v>Vikram, um policial sem sentido, acompanhado por Simon, seu parceiro, está na caçada de capturar Vedha, um contrabandista e um assassino. Vedha tenta mudar a vida de Vikram, o que leva a um conflito.</v>
      </c>
      <c r="N57" s="1" t="s">
        <v>445</v>
      </c>
      <c r="O57" s="1" t="s">
        <v>446</v>
      </c>
      <c r="P57" s="1" t="s">
        <v>183</v>
      </c>
      <c r="Q57" s="1" t="s">
        <v>447</v>
      </c>
      <c r="R57" s="1" t="s">
        <v>448</v>
      </c>
      <c r="S57" s="1">
        <v>28401.0</v>
      </c>
      <c r="T57" s="7" t="str">
        <f>VLOOKUP(A57,Posters!A57:B1056,2)</f>
        <v>https://m.media-amazon.com/images/M/MV5BY2FiMTFmMzMtZDI2ZC00NDQyLWExYTUtOWNmZWM1ZDg5YjVjXkEyXkFqcGdeQXVyODIwMDI1NjM@._V1_UX67_CR0,0,67,98_AL_.jpg</v>
      </c>
      <c r="U57" s="8">
        <f>'Inflation Adjusted Gross'!F57</f>
        <v>580864</v>
      </c>
      <c r="V57" s="5">
        <f t="shared" si="1"/>
        <v>2020</v>
      </c>
    </row>
    <row r="58">
      <c r="A58" s="1">
        <v>57.0</v>
      </c>
      <c r="B58" s="1" t="s">
        <v>449</v>
      </c>
      <c r="C58" s="6">
        <f>Gross_cleaning!E58</f>
        <v>5017246</v>
      </c>
      <c r="D58" s="1">
        <v>2016.0</v>
      </c>
      <c r="E58" s="1" t="s">
        <v>52</v>
      </c>
      <c r="F58" s="1" t="str">
        <f>VLOOKUP(Filmes_raw!E58,Rating_systems!$A$2:$C$29,3,FALSE)</f>
        <v>Criança</v>
      </c>
      <c r="G58" s="2">
        <f>Gross_cleaning!F58</f>
        <v>106</v>
      </c>
      <c r="H58" s="1" t="s">
        <v>286</v>
      </c>
      <c r="I58" s="1" t="s">
        <v>450</v>
      </c>
      <c r="J58" s="1">
        <v>8.4</v>
      </c>
      <c r="K58" s="1" t="s">
        <v>451</v>
      </c>
      <c r="L58" s="1" t="str">
        <f>IFERROR(__xludf.DUMMYFUNCTION("GOOGLETRANSLATE(K58,""en"", ""pt-br"")"),"Dois estranhos se encontram ligados de maneira bizarra. Quando uma conexão formas, a distância será a única coisa para mantê-los separados?")</f>
        <v>Dois estranhos se encontram ligados de maneira bizarra. Quando uma conexão formas, a distância será a única coisa para mantê-los separados?</v>
      </c>
      <c r="M58" s="1">
        <v>79.0</v>
      </c>
      <c r="N58" s="1" t="s">
        <v>452</v>
      </c>
      <c r="O58" s="1" t="s">
        <v>453</v>
      </c>
      <c r="P58" s="1" t="s">
        <v>454</v>
      </c>
      <c r="Q58" s="1" t="s">
        <v>455</v>
      </c>
      <c r="R58" s="1" t="s">
        <v>456</v>
      </c>
      <c r="S58" s="1">
        <v>194838.0</v>
      </c>
      <c r="T58" s="7" t="str">
        <f>VLOOKUP(A58,Posters!A58:B1057,2)</f>
        <v>https://m.media-amazon.com/images/M/MV5BODRmZDVmNzUtZDA4ZC00NjhkLWI2M2UtN2M0ZDIzNDcxYThjL2ltYWdlXkEyXkFqcGdeQXVyNTk0MzMzODA@._V1_UX67_CR0,0,67,98_AL_.jpg</v>
      </c>
      <c r="U58" s="8">
        <f>'Inflation Adjusted Gross'!F58</f>
        <v>5463134</v>
      </c>
      <c r="V58" s="5">
        <f t="shared" si="1"/>
        <v>2020</v>
      </c>
    </row>
    <row r="59">
      <c r="A59" s="1">
        <v>58.0</v>
      </c>
      <c r="B59" s="1" t="s">
        <v>457</v>
      </c>
      <c r="C59" s="6">
        <f>Gross_cleaning!E59</f>
        <v>12391761</v>
      </c>
      <c r="D59" s="1">
        <v>2016.0</v>
      </c>
      <c r="E59" s="1" t="s">
        <v>52</v>
      </c>
      <c r="F59" s="1" t="str">
        <f>VLOOKUP(Filmes_raw!E59,Rating_systems!$A$2:$C$29,3,FALSE)</f>
        <v>Criança</v>
      </c>
      <c r="G59" s="2">
        <f>Gross_cleaning!F59</f>
        <v>161</v>
      </c>
      <c r="H59" s="1" t="s">
        <v>115</v>
      </c>
      <c r="I59" s="1" t="s">
        <v>458</v>
      </c>
      <c r="J59" s="1">
        <v>8.4</v>
      </c>
      <c r="K59" s="1" t="s">
        <v>459</v>
      </c>
      <c r="L59" s="1" t="str">
        <f>IFERROR(__xludf.DUMMYFUNCTION("GOOGLETRANSLATE(K59,""en"", ""pt-br"")"),"O ex-lutador Mahavir Singh Phogat e suas duas filhas de wrestler lutam para a glória nos jogos da Commonwealth em face da opressão da sociedade.")</f>
        <v>O ex-lutador Mahavir Singh Phogat e suas duas filhas de wrestler lutam para a glória nos jogos da Commonwealth em face da opressão da sociedade.</v>
      </c>
      <c r="N59" s="1" t="s">
        <v>460</v>
      </c>
      <c r="O59" s="1" t="s">
        <v>461</v>
      </c>
      <c r="P59" s="1" t="s">
        <v>462</v>
      </c>
      <c r="Q59" s="1" t="s">
        <v>463</v>
      </c>
      <c r="R59" s="1" t="s">
        <v>464</v>
      </c>
      <c r="S59" s="1">
        <v>156479.0</v>
      </c>
      <c r="T59" s="7" t="str">
        <f>VLOOKUP(A59,Posters!A59:B1058,2)</f>
        <v>https://m.media-amazon.com/images/M/MV5BMTQ4MzQzMzM2Nl5BMl5BanBnXkFtZTgwMTQ1NzU3MDI@._V1_UY98_CR1,0,67,98_AL_.jpg</v>
      </c>
      <c r="U59" s="8">
        <f>'Inflation Adjusted Gross'!F59</f>
        <v>13493031</v>
      </c>
      <c r="V59" s="5">
        <f t="shared" si="1"/>
        <v>2020</v>
      </c>
    </row>
    <row r="60">
      <c r="A60" s="1">
        <v>59.0</v>
      </c>
      <c r="B60" s="1" t="s">
        <v>465</v>
      </c>
      <c r="C60" s="6">
        <f>Gross_cleaning!E60</f>
        <v>190241310</v>
      </c>
      <c r="D60" s="1">
        <v>2018.0</v>
      </c>
      <c r="E60" s="1" t="s">
        <v>52</v>
      </c>
      <c r="F60" s="1" t="str">
        <f>VLOOKUP(Filmes_raw!E60,Rating_systems!$A$2:$C$29,3,FALSE)</f>
        <v>Criança</v>
      </c>
      <c r="G60" s="2">
        <f>Gross_cleaning!F60</f>
        <v>117</v>
      </c>
      <c r="H60" s="1" t="s">
        <v>466</v>
      </c>
      <c r="I60" s="1" t="s">
        <v>467</v>
      </c>
      <c r="J60" s="1">
        <v>8.4</v>
      </c>
      <c r="K60" s="1" t="s">
        <v>468</v>
      </c>
      <c r="L60" s="1" t="str">
        <f>IFERROR(__xludf.DUMMYFUNCTION("GOOGLETRANSLATE(K60,""en"", ""pt-br"")"),"O adolescente Miles Morales torna-se o homem-aranha do universo e deve se juntar a cinco indivíduos alimentados por aranha de outras dimensões para impedir uma ameaça para todas as realidades.")</f>
        <v>O adolescente Miles Morales torna-se o homem-aranha do universo e deve se juntar a cinco indivíduos alimentados por aranha de outras dimensões para impedir uma ameaça para todas as realidades.</v>
      </c>
      <c r="M60" s="1">
        <v>87.0</v>
      </c>
      <c r="N60" s="1" t="s">
        <v>469</v>
      </c>
      <c r="O60" s="1" t="s">
        <v>470</v>
      </c>
      <c r="P60" s="1" t="s">
        <v>471</v>
      </c>
      <c r="Q60" s="1" t="s">
        <v>472</v>
      </c>
      <c r="R60" s="1" t="s">
        <v>473</v>
      </c>
      <c r="S60" s="1">
        <v>375110.0</v>
      </c>
      <c r="T60" s="7" t="str">
        <f>VLOOKUP(A60,Posters!A60:B1059,2)</f>
        <v>https://m.media-amazon.com/images/M/MV5BMjMwNDkxMTgzOF5BMl5BanBnXkFtZTgwNTkwNTQ3NjM@._V1_UX67_CR0,0,67,98_AL_.jpg</v>
      </c>
      <c r="U60" s="8">
        <f>'Inflation Adjusted Gross'!F60</f>
        <v>197996269</v>
      </c>
      <c r="V60" s="5">
        <f t="shared" si="1"/>
        <v>2020</v>
      </c>
    </row>
    <row r="61">
      <c r="A61" s="1">
        <v>60.0</v>
      </c>
      <c r="B61" s="1" t="s">
        <v>474</v>
      </c>
      <c r="C61" s="6">
        <f>Gross_cleaning!E61</f>
        <v>858373000</v>
      </c>
      <c r="D61" s="1">
        <v>2019.0</v>
      </c>
      <c r="E61" s="1" t="s">
        <v>37</v>
      </c>
      <c r="F61" s="1" t="str">
        <f>VLOOKUP(Filmes_raw!E61,Rating_systems!$A$2:$C$29,3,FALSE)</f>
        <v>Criança</v>
      </c>
      <c r="G61" s="2">
        <f>Gross_cleaning!F61</f>
        <v>181</v>
      </c>
      <c r="H61" s="1" t="s">
        <v>475</v>
      </c>
      <c r="I61" s="1" t="s">
        <v>62</v>
      </c>
      <c r="J61" s="1">
        <v>8.4</v>
      </c>
      <c r="K61" s="1" t="s">
        <v>476</v>
      </c>
      <c r="L61" s="1" t="str">
        <f>IFERROR(__xludf.DUMMYFUNCTION("GOOGLETRANSLATE(K61,""en"", ""pt-br"")"),"Após os eventos devastadores dos vingadores: Guerra da Infinity (2018), o universo está em ruínas. Com a ajuda de aliados restantes, os vingadores se montam mais uma vez para reverter as ações de Thanos e restaurar o equilíbrio ao universo.")</f>
        <v>Após os eventos devastadores dos vingadores: Guerra da Infinity (2018), o universo está em ruínas. Com a ajuda de aliados restantes, os vingadores se montam mais uma vez para reverter as ações de Thanos e restaurar o equilíbrio ao universo.</v>
      </c>
      <c r="M61" s="1">
        <v>78.0</v>
      </c>
      <c r="N61" s="1" t="s">
        <v>477</v>
      </c>
      <c r="O61" s="1" t="s">
        <v>478</v>
      </c>
      <c r="P61" s="1" t="s">
        <v>479</v>
      </c>
      <c r="Q61" s="1" t="s">
        <v>480</v>
      </c>
      <c r="R61" s="1" t="s">
        <v>481</v>
      </c>
      <c r="S61" s="1">
        <v>809955.0</v>
      </c>
      <c r="T61" s="7" t="str">
        <f>VLOOKUP(A61,Posters!A61:B1060,2)</f>
        <v>https://m.media-amazon.com/images/M/MV5BMTc5MDE2ODcwNV5BMl5BanBnXkFtZTgwMzI2NzQ2NzM@._V1_UX67_CR0,0,67,98_AL_.jpg</v>
      </c>
      <c r="U61" s="8">
        <f>'Inflation Adjusted Gross'!F61</f>
        <v>879717063</v>
      </c>
      <c r="V61" s="5">
        <f t="shared" si="1"/>
        <v>2020</v>
      </c>
    </row>
    <row r="62">
      <c r="A62" s="1">
        <v>61.0</v>
      </c>
      <c r="B62" s="1" t="s">
        <v>482</v>
      </c>
      <c r="C62" s="6">
        <f>Gross_cleaning!E62</f>
        <v>678815482</v>
      </c>
      <c r="D62" s="1">
        <v>2018.0</v>
      </c>
      <c r="E62" s="1" t="s">
        <v>37</v>
      </c>
      <c r="F62" s="1" t="str">
        <f>VLOOKUP(Filmes_raw!E62,Rating_systems!$A$2:$C$29,3,FALSE)</f>
        <v>Criança</v>
      </c>
      <c r="G62" s="2">
        <f>Gross_cleaning!F62</f>
        <v>149</v>
      </c>
      <c r="H62" s="1" t="s">
        <v>483</v>
      </c>
      <c r="I62" s="1" t="s">
        <v>88</v>
      </c>
      <c r="J62" s="1">
        <v>8.4</v>
      </c>
      <c r="K62" s="1" t="s">
        <v>484</v>
      </c>
      <c r="L62" s="1" t="str">
        <f>IFERROR(__xludf.DUMMYFUNCTION("GOOGLETRANSLATE(K62,""en"", ""pt-br"")"),"Os vingadores e seus aliados devem estar dispostos a sacrificar tudo em uma tentativa de derrotar os poderosos Thanos antes que sua blitz de devastação e ruína coloque um fim ao universo.")</f>
        <v>Os vingadores e seus aliados devem estar dispostos a sacrificar tudo em uma tentativa de derrotar os poderosos Thanos antes que sua blitz de devastação e ruína coloque um fim ao universo.</v>
      </c>
      <c r="M62" s="1">
        <v>68.0</v>
      </c>
      <c r="N62" s="1" t="s">
        <v>477</v>
      </c>
      <c r="O62" s="1" t="s">
        <v>478</v>
      </c>
      <c r="P62" s="1" t="s">
        <v>479</v>
      </c>
      <c r="Q62" s="1" t="s">
        <v>485</v>
      </c>
      <c r="R62" s="1" t="s">
        <v>481</v>
      </c>
      <c r="S62" s="1">
        <v>834477.0</v>
      </c>
      <c r="T62" s="7" t="str">
        <f>VLOOKUP(A62,Posters!A62:B1061,2)</f>
        <v>https://m.media-amazon.com/images/M/MV5BMjMxNjY2MDU1OV5BMl5BanBnXkFtZTgwNzY1MTUwNTM@._V1_UX67_CR0,0,67,98_AL_.jpg</v>
      </c>
      <c r="U62" s="8">
        <f>'Inflation Adjusted Gross'!F62</f>
        <v>706486581</v>
      </c>
      <c r="V62" s="5">
        <f t="shared" si="1"/>
        <v>2020</v>
      </c>
    </row>
    <row r="63">
      <c r="A63" s="1">
        <v>62.0</v>
      </c>
      <c r="B63" s="1" t="s">
        <v>486</v>
      </c>
      <c r="C63" s="6">
        <f>Gross_cleaning!E63</f>
        <v>209726015</v>
      </c>
      <c r="D63" s="1">
        <v>2017.0</v>
      </c>
      <c r="E63" s="1" t="s">
        <v>52</v>
      </c>
      <c r="F63" s="1" t="str">
        <f>VLOOKUP(Filmes_raw!E63,Rating_systems!$A$2:$C$29,3,FALSE)</f>
        <v>Criança</v>
      </c>
      <c r="G63" s="2">
        <f>Gross_cleaning!F63</f>
        <v>105</v>
      </c>
      <c r="H63" s="1" t="s">
        <v>487</v>
      </c>
      <c r="I63" s="1" t="s">
        <v>204</v>
      </c>
      <c r="J63" s="1">
        <v>8.4</v>
      </c>
      <c r="K63" s="1" t="s">
        <v>488</v>
      </c>
      <c r="L63" s="1" t="str">
        <f>IFERROR(__xludf.DUMMYFUNCTION("GOOGLETRANSLATE(K63,""en"", ""pt-br"")"),"Aspirante a músico Miguel, confrontada com a proibição ancestral de sua família, entra na terra dos mortos para encontrar seu grande bisavô, uma cantora lendária.")</f>
        <v>Aspirante a músico Miguel, confrontada com a proibição ancestral de sua família, entra na terra dos mortos para encontrar seu grande bisavô, uma cantora lendária.</v>
      </c>
      <c r="M63" s="1">
        <v>81.0</v>
      </c>
      <c r="N63" s="1" t="s">
        <v>489</v>
      </c>
      <c r="O63" s="1" t="s">
        <v>490</v>
      </c>
      <c r="P63" s="1" t="s">
        <v>491</v>
      </c>
      <c r="Q63" s="1" t="s">
        <v>492</v>
      </c>
      <c r="R63" s="1" t="s">
        <v>493</v>
      </c>
      <c r="S63" s="1">
        <v>384171.0</v>
      </c>
      <c r="T63" s="7" t="str">
        <f>VLOOKUP(A63,Posters!A63:B1062,2)</f>
        <v>https://m.media-amazon.com/images/M/MV5BYjQ5NjM0Y2YtNjZkNC00ZDhkLWJjMWItN2QyNzFkMDE3ZjAxXkEyXkFqcGdeQXVyODIxMzk5NjA@._V1_UY98_CR1,0,67,98_AL_.jpg</v>
      </c>
      <c r="U63" s="8">
        <f>'Inflation Adjusted Gross'!F63</f>
        <v>222794649</v>
      </c>
      <c r="V63" s="5">
        <f t="shared" si="1"/>
        <v>2020</v>
      </c>
    </row>
    <row r="64">
      <c r="A64" s="1">
        <v>63.0</v>
      </c>
      <c r="B64" s="1" t="s">
        <v>494</v>
      </c>
      <c r="C64" s="6">
        <f>Gross_cleaning!E64</f>
        <v>162805434</v>
      </c>
      <c r="D64" s="1">
        <v>2012.0</v>
      </c>
      <c r="E64" s="1" t="s">
        <v>18</v>
      </c>
      <c r="F64" s="1" t="str">
        <f>VLOOKUP(Filmes_raw!E64,Rating_systems!$A$2:$C$29,3,FALSE)</f>
        <v>Adulto</v>
      </c>
      <c r="G64" s="2">
        <f>Gross_cleaning!F64</f>
        <v>165</v>
      </c>
      <c r="H64" s="1" t="s">
        <v>390</v>
      </c>
      <c r="I64" s="1" t="s">
        <v>495</v>
      </c>
      <c r="J64" s="1">
        <v>8.4</v>
      </c>
      <c r="K64" s="1" t="s">
        <v>496</v>
      </c>
      <c r="L64" s="1" t="str">
        <f>IFERROR(__xludf.DUMMYFUNCTION("GOOGLETRANSLATE(K64,""en"", ""pt-br"")"),"Com a ajuda de um caçador alemão de recompensas, um escravo liberto se propõe a resgatar sua esposa de um proprietário de plantação brutal de Mississippi.")</f>
        <v>Com a ajuda de um caçador alemão de recompensas, um escravo liberto se propõe a resgatar sua esposa de um proprietário de plantação brutal de Mississippi.</v>
      </c>
      <c r="M64" s="1">
        <v>81.0</v>
      </c>
      <c r="N64" s="1" t="s">
        <v>72</v>
      </c>
      <c r="O64" s="1" t="s">
        <v>497</v>
      </c>
      <c r="P64" s="1" t="s">
        <v>498</v>
      </c>
      <c r="Q64" s="1" t="s">
        <v>90</v>
      </c>
      <c r="R64" s="1" t="s">
        <v>499</v>
      </c>
      <c r="S64" s="1">
        <v>1357682.0</v>
      </c>
      <c r="T64" s="7" t="str">
        <f>VLOOKUP(A64,Posters!A64:B1063,2)</f>
        <v>https://m.media-amazon.com/images/M/MV5BMjIyNTQ5NjQ1OV5BMl5BanBnXkFtZTcwODg1MDU4OA@@._V1_UX67_CR0,0,67,98_AL_.jpg</v>
      </c>
      <c r="U64" s="8">
        <f>'Inflation Adjusted Gross'!F64</f>
        <v>185291424</v>
      </c>
      <c r="V64" s="5">
        <f t="shared" si="1"/>
        <v>2020</v>
      </c>
    </row>
    <row r="65">
      <c r="A65" s="1">
        <v>64.0</v>
      </c>
      <c r="B65" s="1" t="s">
        <v>500</v>
      </c>
      <c r="C65" s="6">
        <f>Gross_cleaning!E65</f>
        <v>448139099</v>
      </c>
      <c r="D65" s="1">
        <v>2012.0</v>
      </c>
      <c r="E65" s="1" t="s">
        <v>37</v>
      </c>
      <c r="F65" s="1" t="str">
        <f>VLOOKUP(Filmes_raw!E65,Rating_systems!$A$2:$C$29,3,FALSE)</f>
        <v>Criança</v>
      </c>
      <c r="G65" s="2">
        <f>Gross_cleaning!F65</f>
        <v>164</v>
      </c>
      <c r="H65" s="1" t="s">
        <v>501</v>
      </c>
      <c r="I65" s="1" t="s">
        <v>502</v>
      </c>
      <c r="J65" s="1">
        <v>8.4</v>
      </c>
      <c r="K65" s="1" t="s">
        <v>503</v>
      </c>
      <c r="L65" s="1" t="str">
        <f>IFERROR(__xludf.DUMMYFUNCTION("GOOGLETRANSLATE(K65,""en"", ""pt-br"")"),"Oito anos após o reinado de Anarquia, Batman, com a ajuda da enigmática Catwoman, é forçado de seu exílio a salvar a cidade de Gotham da brutal guerrilha terrorista.")</f>
        <v>Oito anos após o reinado de Anarquia, Batman, com a ajuda da enigmática Catwoman, é forçado de seu exílio a salvar a cidade de Gotham da brutal guerrilha terrorista.</v>
      </c>
      <c r="M65" s="1">
        <v>78.0</v>
      </c>
      <c r="N65" s="1" t="s">
        <v>41</v>
      </c>
      <c r="O65" s="1" t="s">
        <v>42</v>
      </c>
      <c r="P65" s="1" t="s">
        <v>504</v>
      </c>
      <c r="Q65" s="1" t="s">
        <v>191</v>
      </c>
      <c r="R65" s="1" t="s">
        <v>347</v>
      </c>
      <c r="S65" s="1">
        <v>1516346.0</v>
      </c>
      <c r="T65" s="7" t="str">
        <f>VLOOKUP(A65,Posters!A65:B1064,2)</f>
        <v>https://m.media-amazon.com/images/M/MV5BMTk4ODQzNDY3Ml5BMl5BanBnXkFtZTcwODA0NTM4Nw@@._V1_UX67_CR0,0,67,98_AL_.jpg</v>
      </c>
      <c r="U65" s="8">
        <f>'Inflation Adjusted Gross'!F65</f>
        <v>510034153</v>
      </c>
      <c r="V65" s="5">
        <f t="shared" si="1"/>
        <v>2020</v>
      </c>
    </row>
    <row r="66">
      <c r="A66" s="1">
        <v>65.0</v>
      </c>
      <c r="B66" s="1" t="s">
        <v>505</v>
      </c>
      <c r="C66" s="6">
        <f>Gross_cleaning!E66</f>
        <v>6532908</v>
      </c>
      <c r="D66" s="1">
        <v>2009.0</v>
      </c>
      <c r="E66" s="1" t="s">
        <v>37</v>
      </c>
      <c r="F66" s="1" t="str">
        <f>VLOOKUP(Filmes_raw!E66,Rating_systems!$A$2:$C$29,3,FALSE)</f>
        <v>Criança</v>
      </c>
      <c r="G66" s="2">
        <f>Gross_cleaning!F66</f>
        <v>170</v>
      </c>
      <c r="H66" s="1" t="s">
        <v>506</v>
      </c>
      <c r="I66" s="1" t="s">
        <v>507</v>
      </c>
      <c r="J66" s="1">
        <v>8.4</v>
      </c>
      <c r="K66" s="1" t="s">
        <v>508</v>
      </c>
      <c r="L66" s="1" t="str">
        <f>IFERROR(__xludf.DUMMYFUNCTION("GOOGLETRANSLATE(K66,""en"", ""pt-br"")"),"Dois amigos estão procurando por seu longo companheiro perdido. Eles revisitam seus dias universitários e lembram as memórias de sua amiga que os inspiraram a pensar de forma diferente, mesmo que o resto do mundo os chamasse de ""idiotas"".")</f>
        <v>Dois amigos estão procurando por seu longo companheiro perdido. Eles revisitam seus dias universitários e lembram as memórias de sua amiga que os inspiraram a pensar de forma diferente, mesmo que o resto do mundo os chamasse de "idiotas".</v>
      </c>
      <c r="M66" s="1">
        <v>67.0</v>
      </c>
      <c r="N66" s="1" t="s">
        <v>509</v>
      </c>
      <c r="O66" s="1" t="s">
        <v>461</v>
      </c>
      <c r="P66" s="1" t="s">
        <v>183</v>
      </c>
      <c r="Q66" s="1" t="s">
        <v>510</v>
      </c>
      <c r="R66" s="1" t="s">
        <v>511</v>
      </c>
      <c r="S66" s="1">
        <v>344445.0</v>
      </c>
      <c r="T66" s="7" t="str">
        <f>VLOOKUP(A66,Posters!A66:B1065,2)</f>
        <v>https://m.media-amazon.com/images/M/MV5BNTkyOGVjMGEtNmQzZi00NzFlLTlhOWQtODYyMDc2ZGJmYzFhXkEyXkFqcGdeQXVyNjU0OTQ0OTY@._V1_UY98_CR0,0,67,98_AL_.jpg</v>
      </c>
      <c r="U66" s="8">
        <f>'Inflation Adjusted Gross'!F66</f>
        <v>7981798</v>
      </c>
      <c r="V66" s="5">
        <f t="shared" si="1"/>
        <v>2020</v>
      </c>
    </row>
    <row r="67">
      <c r="A67" s="1">
        <v>66.0</v>
      </c>
      <c r="B67" s="1" t="s">
        <v>512</v>
      </c>
      <c r="C67" s="6">
        <f>Gross_cleaning!E67</f>
        <v>1223869</v>
      </c>
      <c r="D67" s="1">
        <v>2007.0</v>
      </c>
      <c r="E67" s="1" t="s">
        <v>52</v>
      </c>
      <c r="F67" s="1" t="str">
        <f>VLOOKUP(Filmes_raw!E67,Rating_systems!$A$2:$C$29,3,FALSE)</f>
        <v>Criança</v>
      </c>
      <c r="G67" s="2">
        <f>Gross_cleaning!F67</f>
        <v>165</v>
      </c>
      <c r="H67" s="1" t="s">
        <v>390</v>
      </c>
      <c r="I67" s="1" t="s">
        <v>513</v>
      </c>
      <c r="J67" s="1">
        <v>8.4</v>
      </c>
      <c r="K67" s="1" t="s">
        <v>514</v>
      </c>
      <c r="L67" s="1" t="str">
        <f>IFERROR(__xludf.DUMMYFUNCTION("GOOGLETRANSLATE(K67,""en"", ""pt-br"")"),"Um menino de oito anos é pensado para ser um makeper preguiçoso, até que a nova professora de arte tenha paciência e compaixão para descobrir o verdadeiro problema por trás de suas lutas na escola.")</f>
        <v>Um menino de oito anos é pensado para ser um makeper preguiçoso, até que a nova professora de arte tenha paciência e compaixão para descobrir o verdadeiro problema por trás de suas lutas na escola.</v>
      </c>
      <c r="N67" s="1" t="s">
        <v>461</v>
      </c>
      <c r="O67" s="1" t="s">
        <v>515</v>
      </c>
      <c r="P67" s="1" t="s">
        <v>516</v>
      </c>
      <c r="Q67" s="1" t="s">
        <v>461</v>
      </c>
      <c r="R67" s="1" t="s">
        <v>517</v>
      </c>
      <c r="S67" s="1">
        <v>168895.0</v>
      </c>
      <c r="T67" s="7" t="str">
        <f>VLOOKUP(A67,Posters!A67:B1066,2)</f>
        <v>https://m.media-amazon.com/images/M/MV5BMDhjZWViN2MtNzgxOS00NmI4LThiZDQtZDI3MzM4MDE4NTc0XkEyXkFqcGdeQXVyMTMxODk2OTU@._V1_UY98_CR1,0,67,98_AL_.jpg</v>
      </c>
      <c r="U67" s="8">
        <f>'Inflation Adjusted Gross'!F67</f>
        <v>1559772</v>
      </c>
      <c r="V67" s="5">
        <f t="shared" si="1"/>
        <v>2020</v>
      </c>
    </row>
    <row r="68">
      <c r="A68" s="1">
        <v>67.0</v>
      </c>
      <c r="B68" s="1" t="s">
        <v>518</v>
      </c>
      <c r="C68" s="6">
        <f>Gross_cleaning!E68</f>
        <v>223808164</v>
      </c>
      <c r="D68" s="1">
        <v>2008.0</v>
      </c>
      <c r="E68" s="1" t="s">
        <v>52</v>
      </c>
      <c r="F68" s="1" t="str">
        <f>VLOOKUP(Filmes_raw!E68,Rating_systems!$A$2:$C$29,3,FALSE)</f>
        <v>Criança</v>
      </c>
      <c r="G68" s="2">
        <f>Gross_cleaning!F68</f>
        <v>98</v>
      </c>
      <c r="H68" s="1" t="s">
        <v>519</v>
      </c>
      <c r="I68" s="1" t="s">
        <v>204</v>
      </c>
      <c r="J68" s="1">
        <v>8.4</v>
      </c>
      <c r="K68" s="1" t="s">
        <v>520</v>
      </c>
      <c r="L68" s="1" t="str">
        <f>IFERROR(__xludf.DUMMYFUNCTION("GOOGLETRANSLATE(K68,""en"", ""pt-br"")"),"No futuro distante, um pequeno robô de coleta de resíduos inadvertidamente embarca em uma jornada espacial que finalmente decidirá o destino da humanidade.")</f>
        <v>No futuro distante, um pequeno robô de coleta de resíduos inadvertidamente embarca em uma jornada espacial que finalmente decidirá o destino da humanidade.</v>
      </c>
      <c r="M68" s="1">
        <v>95.0</v>
      </c>
      <c r="N68" s="1" t="s">
        <v>521</v>
      </c>
      <c r="O68" s="1" t="s">
        <v>522</v>
      </c>
      <c r="P68" s="1" t="s">
        <v>523</v>
      </c>
      <c r="Q68" s="1" t="s">
        <v>524</v>
      </c>
      <c r="R68" s="1" t="s">
        <v>525</v>
      </c>
      <c r="S68" s="1">
        <v>999790.0</v>
      </c>
      <c r="T68" s="7" t="str">
        <f>VLOOKUP(A68,Posters!A68:B1067,2)</f>
        <v>https://m.media-amazon.com/images/M/MV5BMjExMTg5OTU0NF5BMl5BanBnXkFtZTcwMjMxMzMzMw@@._V1_UX67_CR0,0,67,98_AL_.jpg</v>
      </c>
      <c r="U68" s="8">
        <f>'Inflation Adjusted Gross'!F68</f>
        <v>273526700</v>
      </c>
      <c r="V68" s="5">
        <f t="shared" si="1"/>
        <v>2020</v>
      </c>
    </row>
    <row r="69">
      <c r="A69" s="1">
        <v>68.0</v>
      </c>
      <c r="B69" s="1" t="s">
        <v>526</v>
      </c>
      <c r="C69" s="6">
        <f>Gross_cleaning!E69</f>
        <v>11286112</v>
      </c>
      <c r="D69" s="1">
        <v>2006.0</v>
      </c>
      <c r="E69" s="1" t="s">
        <v>18</v>
      </c>
      <c r="F69" s="1" t="str">
        <f>VLOOKUP(Filmes_raw!E69,Rating_systems!$A$2:$C$29,3,FALSE)</f>
        <v>Adulto</v>
      </c>
      <c r="G69" s="2">
        <f>Gross_cleaning!F69</f>
        <v>137</v>
      </c>
      <c r="H69" s="1" t="s">
        <v>360</v>
      </c>
      <c r="I69" s="1" t="s">
        <v>527</v>
      </c>
      <c r="J69" s="1">
        <v>8.4</v>
      </c>
      <c r="K69" s="1" t="s">
        <v>528</v>
      </c>
      <c r="L69" s="1" t="str">
        <f>IFERROR(__xludf.DUMMYFUNCTION("GOOGLETRANSLATE(K69,""en"", ""pt-br"")"),"Em 1984, Berlim Oriental, um agente da polícia secreta, conduzindo a vigilância em um escritor e seu amante, se torna cada vez mais absorvido por suas vidas.")</f>
        <v>Em 1984, Berlim Oriental, um agente da polícia secreta, conduzindo a vigilância em um escritor e seu amante, se torna cada vez mais absorvido por suas vidas.</v>
      </c>
      <c r="M69" s="1">
        <v>89.0</v>
      </c>
      <c r="N69" s="1" t="s">
        <v>529</v>
      </c>
      <c r="O69" s="1" t="s">
        <v>530</v>
      </c>
      <c r="P69" s="1" t="s">
        <v>531</v>
      </c>
      <c r="Q69" s="1" t="s">
        <v>532</v>
      </c>
      <c r="R69" s="1" t="s">
        <v>533</v>
      </c>
      <c r="S69" s="1">
        <v>358685.0</v>
      </c>
      <c r="T69" s="7" t="str">
        <f>VLOOKUP(A69,Posters!A69:B1068,2)</f>
        <v>https://m.media-amazon.com/images/M/MV5BOThkM2EzYmMtNDE3NS00NjlhLTg4YzktYTdhNzgyOWY3ZDYzXkEyXkFqcGdeQXVyNzQzNzQxNzI@._V1_UY98_CR1,0,67,98_AL_.jpg</v>
      </c>
      <c r="U69" s="8">
        <f>'Inflation Adjusted Gross'!F69</f>
        <v>14682247</v>
      </c>
      <c r="V69" s="5">
        <f t="shared" si="1"/>
        <v>2020</v>
      </c>
    </row>
    <row r="70">
      <c r="A70" s="1">
        <v>69.0</v>
      </c>
      <c r="B70" s="1" t="s">
        <v>534</v>
      </c>
      <c r="C70" s="6">
        <f>Gross_cleaning!E70</f>
        <v>707481</v>
      </c>
      <c r="D70" s="1">
        <v>2003.0</v>
      </c>
      <c r="E70" s="1" t="s">
        <v>18</v>
      </c>
      <c r="F70" s="1" t="str">
        <f>VLOOKUP(Filmes_raw!E70,Rating_systems!$A$2:$C$29,3,FALSE)</f>
        <v>Adulto</v>
      </c>
      <c r="G70" s="2">
        <f>Gross_cleaning!F70</f>
        <v>101</v>
      </c>
      <c r="H70" s="1" t="s">
        <v>535</v>
      </c>
      <c r="I70" s="1" t="s">
        <v>254</v>
      </c>
      <c r="J70" s="1">
        <v>8.4</v>
      </c>
      <c r="K70" s="1" t="s">
        <v>536</v>
      </c>
      <c r="L70" s="1" t="str">
        <f>IFERROR(__xludf.DUMMYFUNCTION("GOOGLETRANSLATE(K70,""en"", ""pt-br"")"),"Depois de sequestrar e aprisionado por quinze anos, Oh Dae-Su é liberado, apenas para descobrir que ele deve encontrar seu captor em cinco dias.")</f>
        <v>Depois de sequestrar e aprisionado por quinze anos, Oh Dae-Su é liberado, apenas para descobrir que ele deve encontrar seu captor em cinco dias.</v>
      </c>
      <c r="M70" s="1">
        <v>77.0</v>
      </c>
      <c r="N70" s="1" t="s">
        <v>537</v>
      </c>
      <c r="O70" s="1" t="s">
        <v>538</v>
      </c>
      <c r="P70" s="1" t="s">
        <v>539</v>
      </c>
      <c r="Q70" s="1" t="s">
        <v>540</v>
      </c>
      <c r="R70" s="1" t="s">
        <v>541</v>
      </c>
      <c r="S70" s="1">
        <v>515451.0</v>
      </c>
      <c r="T70" s="7" t="str">
        <f>VLOOKUP(A70,Posters!A70:B1069,2)</f>
        <v>https://m.media-amazon.com/images/M/MV5BMTI3NTQyMzU5M15BMl5BanBnXkFtZTcwMTM2MjgyMQ@@._V1_UX67_CR0,0,67,98_AL_.jpg</v>
      </c>
      <c r="U70" s="8">
        <f>'Inflation Adjusted Gross'!F70</f>
        <v>1004456</v>
      </c>
      <c r="V70" s="5">
        <f t="shared" si="1"/>
        <v>2020</v>
      </c>
    </row>
    <row r="71">
      <c r="A71" s="1">
        <v>70.0</v>
      </c>
      <c r="B71" s="1" t="s">
        <v>542</v>
      </c>
      <c r="C71" s="6">
        <f>Gross_cleaning!E71</f>
        <v>25544867</v>
      </c>
      <c r="D71" s="1">
        <v>2000.0</v>
      </c>
      <c r="E71" s="1" t="s">
        <v>37</v>
      </c>
      <c r="F71" s="1" t="str">
        <f>VLOOKUP(Filmes_raw!E71,Rating_systems!$A$2:$C$29,3,FALSE)</f>
        <v>Criança</v>
      </c>
      <c r="G71" s="2">
        <f>Gross_cleaning!F71</f>
        <v>113</v>
      </c>
      <c r="H71" s="1" t="s">
        <v>543</v>
      </c>
      <c r="I71" s="1" t="s">
        <v>544</v>
      </c>
      <c r="J71" s="1">
        <v>8.4</v>
      </c>
      <c r="K71" s="1" t="s">
        <v>545</v>
      </c>
      <c r="L71" s="1" t="str">
        <f>IFERROR(__xludf.DUMMYFUNCTION("GOOGLETRANSLATE(K71,""en"", ""pt-br"")"),"Um homem com perda de memória de curto prazo tentativas de rastrear o assassino de sua esposa.")</f>
        <v>Um homem com perda de memória de curto prazo tentativas de rastrear o assassino de sua esposa.</v>
      </c>
      <c r="M71" s="1">
        <v>80.0</v>
      </c>
      <c r="N71" s="1" t="s">
        <v>41</v>
      </c>
      <c r="O71" s="1" t="s">
        <v>546</v>
      </c>
      <c r="P71" s="1" t="s">
        <v>134</v>
      </c>
      <c r="Q71" s="1" t="s">
        <v>547</v>
      </c>
      <c r="R71" s="1" t="s">
        <v>548</v>
      </c>
      <c r="S71" s="1">
        <v>1125712.0</v>
      </c>
      <c r="T71" s="7" t="str">
        <f>VLOOKUP(A71,Posters!A71:B1070,2)</f>
        <v>https://m.media-amazon.com/images/M/MV5BZTcyNjk1MjgtOWI3Mi00YzQwLWI5MTktMzY4ZmI2NDAyNzYzXkEyXkFqcGdeQXVyNjU0OTQ0OTY@._V1_UX67_CR0,0,67,98_AL_.jpg</v>
      </c>
      <c r="U71" s="8">
        <f>'Inflation Adjusted Gross'!F71</f>
        <v>39039306</v>
      </c>
      <c r="V71" s="5">
        <f t="shared" si="1"/>
        <v>2020</v>
      </c>
    </row>
    <row r="72">
      <c r="A72" s="1">
        <v>71.0</v>
      </c>
      <c r="B72" s="1" t="s">
        <v>549</v>
      </c>
      <c r="C72" s="6">
        <f>Gross_cleaning!E72</f>
        <v>2375308</v>
      </c>
      <c r="D72" s="1">
        <v>1997.0</v>
      </c>
      <c r="E72" s="1" t="s">
        <v>52</v>
      </c>
      <c r="F72" s="1" t="str">
        <f>VLOOKUP(Filmes_raw!E72,Rating_systems!$A$2:$C$29,3,FALSE)</f>
        <v>Criança</v>
      </c>
      <c r="G72" s="2">
        <f>Gross_cleaning!F72</f>
        <v>134</v>
      </c>
      <c r="H72" s="1" t="s">
        <v>550</v>
      </c>
      <c r="I72" s="1" t="s">
        <v>467</v>
      </c>
      <c r="J72" s="1">
        <v>8.4</v>
      </c>
      <c r="K72" s="1" t="s">
        <v>551</v>
      </c>
      <c r="L72" s="1" t="str">
        <f>IFERROR(__xludf.DUMMYFUNCTION("GOOGLETRANSLATE(K72,""en"", ""pt-br"")"),"Em uma jornada para encontrar a cura para uma maldição de Tatarigami, Ashitaka se encontra no meio de uma guerra entre os deuses da floresta e Tatara, uma colônia de mineração. Nesta missão, ele também conhece San, o Hime Mononoke.")</f>
        <v>Em uma jornada para encontrar a cura para uma maldição de Tatarigami, Ashitaka se encontra no meio de uma guerra entre os deuses da floresta e Tatara, uma colônia de mineração. Nesta missão, ele também conhece San, o Hime Mononoke.</v>
      </c>
      <c r="M72" s="1">
        <v>76.0</v>
      </c>
      <c r="N72" s="1" t="s">
        <v>206</v>
      </c>
      <c r="O72" s="1" t="s">
        <v>552</v>
      </c>
      <c r="P72" s="1" t="s">
        <v>553</v>
      </c>
      <c r="Q72" s="1" t="s">
        <v>554</v>
      </c>
      <c r="R72" s="1" t="s">
        <v>555</v>
      </c>
      <c r="S72" s="1">
        <v>343171.0</v>
      </c>
      <c r="T72" s="7" t="str">
        <f>VLOOKUP(A72,Posters!A72:B1071,2)</f>
        <v>https://m.media-amazon.com/images/M/MV5BNGIzY2IzODQtNThmMi00ZDE4LWI5YzAtNzNlZTM1ZjYyYjUyXkEyXkFqcGdeQXVyODEzNjM5OTQ@._V1_UX67_CR0,0,67,98_AL_.jpg</v>
      </c>
      <c r="U72" s="8">
        <f>'Inflation Adjusted Gross'!F72</f>
        <v>3851418</v>
      </c>
      <c r="V72" s="5">
        <f t="shared" si="1"/>
        <v>2020</v>
      </c>
    </row>
    <row r="73">
      <c r="A73" s="1">
        <v>72.0</v>
      </c>
      <c r="B73" s="1" t="s">
        <v>556</v>
      </c>
      <c r="C73" s="6">
        <f>Gross_cleaning!E73</f>
        <v>5321508</v>
      </c>
      <c r="D73" s="1">
        <v>1984.0</v>
      </c>
      <c r="E73" s="1" t="s">
        <v>18</v>
      </c>
      <c r="F73" s="1" t="str">
        <f>VLOOKUP(Filmes_raw!E73,Rating_systems!$A$2:$C$29,3,FALSE)</f>
        <v>Adulto</v>
      </c>
      <c r="G73" s="2">
        <f>Gross_cleaning!F73</f>
        <v>229</v>
      </c>
      <c r="H73" s="1" t="s">
        <v>557</v>
      </c>
      <c r="I73" s="1" t="s">
        <v>29</v>
      </c>
      <c r="J73" s="1">
        <v>8.4</v>
      </c>
      <c r="K73" s="1" t="s">
        <v>558</v>
      </c>
      <c r="L73" s="1" t="str">
        <f>IFERROR(__xludf.DUMMYFUNCTION("GOOGLETRANSLATE(K73,""en"", ""pt-br"")"),"Um antigo gângster judeu da era da proibição retorna ao Lower East Side de Manhattan ao longo de trinta anos depois, onde mais uma vez deve confrontar os fantasmas e arrependimentos de sua vida antiga.")</f>
        <v>Um antigo gângster judeu da era da proibição retorna ao Lower East Side de Manhattan ao longo de trinta anos depois, onde mais uma vez deve confrontar os fantasmas e arrependimentos de sua vida antiga.</v>
      </c>
      <c r="N73" s="1" t="s">
        <v>118</v>
      </c>
      <c r="O73" s="1" t="s">
        <v>49</v>
      </c>
      <c r="P73" s="1" t="s">
        <v>559</v>
      </c>
      <c r="Q73" s="1" t="s">
        <v>560</v>
      </c>
      <c r="R73" s="1" t="s">
        <v>561</v>
      </c>
      <c r="S73" s="1">
        <v>311365.0</v>
      </c>
      <c r="T73" s="7" t="str">
        <f>VLOOKUP(A73,Posters!A73:B1072,2)</f>
        <v>https://m.media-amazon.com/images/M/MV5BMGFkNWI4MTMtNGQ0OC00MWVmLTk3MTktOGYxN2Y2YWVkZWE2XkEyXkFqcGdeQXVyNjU0OTQ0OTY@._V1_UX67_CR0,0,67,98_AL_.jpg</v>
      </c>
      <c r="U73" s="8">
        <f>'Inflation Adjusted Gross'!F73</f>
        <v>13471980</v>
      </c>
      <c r="V73" s="5">
        <f t="shared" si="1"/>
        <v>2020</v>
      </c>
    </row>
    <row r="74">
      <c r="A74" s="1">
        <v>73.0</v>
      </c>
      <c r="B74" s="1" t="s">
        <v>562</v>
      </c>
      <c r="C74" s="6">
        <f>Gross_cleaning!E74</f>
        <v>248159971</v>
      </c>
      <c r="D74" s="1">
        <v>1981.0</v>
      </c>
      <c r="E74" s="1" t="s">
        <v>18</v>
      </c>
      <c r="F74" s="1" t="str">
        <f>VLOOKUP(Filmes_raw!E74,Rating_systems!$A$2:$C$29,3,FALSE)</f>
        <v>Adulto</v>
      </c>
      <c r="G74" s="2">
        <f>Gross_cleaning!F74</f>
        <v>115</v>
      </c>
      <c r="H74" s="1" t="s">
        <v>563</v>
      </c>
      <c r="I74" s="1" t="s">
        <v>502</v>
      </c>
      <c r="J74" s="1">
        <v>8.4</v>
      </c>
      <c r="K74" s="1" t="s">
        <v>564</v>
      </c>
      <c r="L74" s="1" t="str">
        <f>IFERROR(__xludf.DUMMYFUNCTION("GOOGLETRANSLATE(K74,""en"", ""pt-br"")"),"Em 1936, o arqueólogo e o aventureiro Indiana Jones são contratados pelo governo dos EUA para encontrar a arca da aliança antes que os nazistas de Adolf Hitler possam obter seus poderes incríveis.")</f>
        <v>Em 1936, o arqueólogo e o aventureiro Indiana Jones são contratados pelo governo dos EUA para encontrar a arca da aliança antes que os nazistas de Adolf Hitler possam obter seus poderes incríveis.</v>
      </c>
      <c r="M74" s="1">
        <v>85.0</v>
      </c>
      <c r="N74" s="1" t="s">
        <v>81</v>
      </c>
      <c r="O74" s="1" t="s">
        <v>149</v>
      </c>
      <c r="P74" s="1" t="s">
        <v>565</v>
      </c>
      <c r="Q74" s="1" t="s">
        <v>566</v>
      </c>
      <c r="R74" s="1" t="s">
        <v>567</v>
      </c>
      <c r="S74" s="1">
        <v>884112.0</v>
      </c>
      <c r="T74" s="7" t="str">
        <f>VLOOKUP(A74,Posters!A74:B1073,2)</f>
        <v>https://m.media-amazon.com/images/M/MV5BMjA0ODEzMTc1Nl5BMl5BanBnXkFtZTcwODM2MjAxNA@@._V1_UX67_CR0,0,67,98_AL_.jpg</v>
      </c>
      <c r="U74" s="8">
        <f>'Inflation Adjusted Gross'!F74</f>
        <v>735839953</v>
      </c>
      <c r="V74" s="5">
        <f t="shared" si="1"/>
        <v>2020</v>
      </c>
    </row>
    <row r="75">
      <c r="A75" s="1">
        <v>74.0</v>
      </c>
      <c r="B75" s="1" t="s">
        <v>568</v>
      </c>
      <c r="C75" s="6">
        <f>Gross_cleaning!E75</f>
        <v>44017374</v>
      </c>
      <c r="D75" s="1">
        <v>1980.0</v>
      </c>
      <c r="E75" s="1" t="s">
        <v>18</v>
      </c>
      <c r="F75" s="1" t="str">
        <f>VLOOKUP(Filmes_raw!E75,Rating_systems!$A$2:$C$29,3,FALSE)</f>
        <v>Adulto</v>
      </c>
      <c r="G75" s="2">
        <f>Gross_cleaning!F75</f>
        <v>146</v>
      </c>
      <c r="H75" s="1" t="s">
        <v>136</v>
      </c>
      <c r="I75" s="1" t="s">
        <v>569</v>
      </c>
      <c r="J75" s="1">
        <v>8.4</v>
      </c>
      <c r="K75" s="1" t="s">
        <v>570</v>
      </c>
      <c r="L75" s="1" t="str">
        <f>IFERROR(__xludf.DUMMYFUNCTION("GOOGLETRANSLATE(K75,""en"", ""pt-br"")"),"Uma família se dirige para um hotel isolado para o inverno, onde uma presença sinistra influencia o pai em violência, enquanto seu filho psíquico vê pressentimento horrível tanto do passado quanto no futuro.")</f>
        <v>Uma família se dirige para um hotel isolado para o inverno, onde uma presença sinistra influencia o pai em violência, enquanto seu filho psíquico vê pressentimento horrível tanto do passado quanto no futuro.</v>
      </c>
      <c r="M75" s="1">
        <v>66.0</v>
      </c>
      <c r="N75" s="1" t="s">
        <v>571</v>
      </c>
      <c r="O75" s="1" t="s">
        <v>156</v>
      </c>
      <c r="P75" s="1" t="s">
        <v>572</v>
      </c>
      <c r="Q75" s="1" t="s">
        <v>573</v>
      </c>
      <c r="R75" s="1" t="s">
        <v>574</v>
      </c>
      <c r="S75" s="1">
        <v>898237.0</v>
      </c>
      <c r="T75" s="7" t="str">
        <f>VLOOKUP(A75,Posters!A75:B1074,2)</f>
        <v>https://m.media-amazon.com/images/M/MV5BZWFlYmY2MGEtZjVkYS00YzU4LTg0YjQtYzY1ZGE3NTA5NGQxXkEyXkFqcGdeQXVyMTQxNzMzNDI@._V1_UX67_CR0,0,67,98_AL_.jpg</v>
      </c>
      <c r="U75" s="8">
        <f>'Inflation Adjusted Gross'!F75</f>
        <v>145953804</v>
      </c>
      <c r="V75" s="5">
        <f t="shared" si="1"/>
        <v>2020</v>
      </c>
    </row>
    <row r="76">
      <c r="A76" s="1">
        <v>75.0</v>
      </c>
      <c r="B76" s="1" t="s">
        <v>575</v>
      </c>
      <c r="C76" s="6">
        <f>Gross_cleaning!E76</f>
        <v>83471511</v>
      </c>
      <c r="D76" s="1">
        <v>1979.0</v>
      </c>
      <c r="E76" s="1" t="s">
        <v>212</v>
      </c>
      <c r="F76" s="1" t="str">
        <f>VLOOKUP(Filmes_raw!E76,Rating_systems!$A$2:$C$29,3,FALSE)</f>
        <v>Adulto</v>
      </c>
      <c r="G76" s="2">
        <f>Gross_cleaning!F76</f>
        <v>147</v>
      </c>
      <c r="H76" s="1" t="s">
        <v>443</v>
      </c>
      <c r="I76" s="1" t="s">
        <v>576</v>
      </c>
      <c r="J76" s="1">
        <v>8.4</v>
      </c>
      <c r="K76" s="1" t="s">
        <v>577</v>
      </c>
      <c r="L76" s="1" t="str">
        <f>IFERROR(__xludf.DUMMYFUNCTION("GOOGLETRANSLATE(K76,""en"", ""pt-br"")"),"Um oficial de exército dos EUA que serve no Vietnã é encarregado de assassinar uma coronel de forças especiais renegadas que se vê como um deus.")</f>
        <v>Um oficial de exército dos EUA que serve no Vietnã é encarregado de assassinar uma coronel de forças especiais renegadas que se vê como um deus.</v>
      </c>
      <c r="M76" s="1">
        <v>94.0</v>
      </c>
      <c r="N76" s="1" t="s">
        <v>31</v>
      </c>
      <c r="O76" s="1" t="s">
        <v>578</v>
      </c>
      <c r="P76" s="1" t="s">
        <v>32</v>
      </c>
      <c r="Q76" s="1" t="s">
        <v>50</v>
      </c>
      <c r="R76" s="1" t="s">
        <v>579</v>
      </c>
      <c r="S76" s="1">
        <v>606398.0</v>
      </c>
      <c r="T76" s="7" t="str">
        <f>VLOOKUP(A76,Posters!A76:B1075,2)</f>
        <v>https://m.media-amazon.com/images/M/MV5BMDdhODg0MjYtYzBiOS00ZmI5LWEwZGYtZDEyNDU4MmQyNzFkXkEyXkFqcGdeQXVyNzkwMjQ5NzM@._V1_UX67_CR0,0,67,98_AL_.jpg</v>
      </c>
      <c r="U76" s="8">
        <f>'Inflation Adjusted Gross'!F76</f>
        <v>315274219</v>
      </c>
      <c r="V76" s="5">
        <f t="shared" si="1"/>
        <v>2020</v>
      </c>
    </row>
    <row r="77">
      <c r="A77" s="1">
        <v>76.0</v>
      </c>
      <c r="B77" s="1" t="s">
        <v>580</v>
      </c>
      <c r="C77" s="6">
        <f>Gross_cleaning!E77</f>
        <v>78900000</v>
      </c>
      <c r="D77" s="1">
        <v>1979.0</v>
      </c>
      <c r="E77" s="1" t="s">
        <v>212</v>
      </c>
      <c r="F77" s="1" t="str">
        <f>VLOOKUP(Filmes_raw!E77,Rating_systems!$A$2:$C$29,3,FALSE)</f>
        <v>Adulto</v>
      </c>
      <c r="G77" s="2">
        <f>Gross_cleaning!F77</f>
        <v>117</v>
      </c>
      <c r="H77" s="1" t="s">
        <v>466</v>
      </c>
      <c r="I77" s="1" t="s">
        <v>581</v>
      </c>
      <c r="J77" s="1">
        <v>8.4</v>
      </c>
      <c r="K77" s="1" t="s">
        <v>582</v>
      </c>
      <c r="L77" s="1" t="str">
        <f>IFERROR(__xludf.DUMMYFUNCTION("GOOGLETRANSLATE(K77,""en"", ""pt-br"")"),"Depois que um navio mercante de espaço recebe uma transmissão desconhecida como uma chamada de sofrimento, uma das tripulações é atacada por uma misteriosa forma de vida e eles logo percebem que seu ciclo de vida simplesmente começou.")</f>
        <v>Depois que um navio mercante de espaço recebe uma transmissão desconhecida como uma chamada de sofrimento, uma das tripulações é atacada por uma misteriosa forma de vida e eles logo percebem que seu ciclo de vida simplesmente começou.</v>
      </c>
      <c r="M77" s="1">
        <v>89.0</v>
      </c>
      <c r="N77" s="1" t="s">
        <v>324</v>
      </c>
      <c r="O77" s="1" t="s">
        <v>583</v>
      </c>
      <c r="P77" s="1" t="s">
        <v>584</v>
      </c>
      <c r="Q77" s="1" t="s">
        <v>585</v>
      </c>
      <c r="R77" s="1" t="s">
        <v>586</v>
      </c>
      <c r="S77" s="1">
        <v>787806.0</v>
      </c>
      <c r="T77" s="7" t="str">
        <f>VLOOKUP(A77,Posters!A77:B1076,2)</f>
        <v>https://m.media-amazon.com/images/M/MV5BMmQ2MmU3NzktZjAxOC00ZDZhLTk4YzEtMDMyMzcxY2IwMDAyXkEyXkFqcGdeQXVyNzkwMjQ5NzM@._V1_UX67_CR0,0,67,98_AL_.jpg</v>
      </c>
      <c r="U77" s="8">
        <f>'Inflation Adjusted Gross'!F77</f>
        <v>298007495</v>
      </c>
      <c r="V77" s="5">
        <f t="shared" si="1"/>
        <v>2020</v>
      </c>
    </row>
    <row r="78">
      <c r="A78" s="1">
        <v>77.0</v>
      </c>
      <c r="B78" s="1" t="s">
        <v>587</v>
      </c>
      <c r="C78" s="6">
        <f>Gross_cleaning!E78</f>
        <v>3000000</v>
      </c>
      <c r="D78" s="1">
        <v>1971.0</v>
      </c>
      <c r="E78" s="1" t="s">
        <v>52</v>
      </c>
      <c r="F78" s="1" t="str">
        <f>VLOOKUP(Filmes_raw!E78,Rating_systems!$A$2:$C$29,3,FALSE)</f>
        <v>Criança</v>
      </c>
      <c r="G78" s="2">
        <f>Gross_cleaning!F78</f>
        <v>122</v>
      </c>
      <c r="H78" s="1" t="s">
        <v>279</v>
      </c>
      <c r="I78" s="1" t="s">
        <v>588</v>
      </c>
      <c r="J78" s="1">
        <v>8.4</v>
      </c>
      <c r="K78" s="1" t="s">
        <v>589</v>
      </c>
      <c r="L78" s="1" t="str">
        <f>IFERROR(__xludf.DUMMYFUNCTION("GOOGLETRANSLATE(K78,""en"", ""pt-br"")"),"A história de um homem terminal que deseja viver a vida ao máximo antes que o inevitável ocorra, como contado por seu melhor amigo.")</f>
        <v>A história de um homem terminal que deseja viver a vida ao máximo antes que o inevitável ocorra, como contado por seu melhor amigo.</v>
      </c>
      <c r="N78" s="1" t="s">
        <v>590</v>
      </c>
      <c r="O78" s="1" t="s">
        <v>591</v>
      </c>
      <c r="P78" s="1" t="s">
        <v>592</v>
      </c>
      <c r="Q78" s="1" t="s">
        <v>593</v>
      </c>
      <c r="R78" s="1" t="s">
        <v>594</v>
      </c>
      <c r="S78" s="1">
        <v>30273.0</v>
      </c>
      <c r="T78" s="7" t="str">
        <f>VLOOKUP(A78,Posters!A78:B1077,2)</f>
        <v>https://m.media-amazon.com/images/M/MV5BYmYzNmM2MDctZGY3Yi00NjRiLWIxZjctYjgzYTcxYTNhYTMyXkEyXkFqcGdeQXVyMjUxMTY3ODM@._V1_UY98_CR1,0,67,98_AL_.jpg</v>
      </c>
      <c r="U78" s="8">
        <f>'Inflation Adjusted Gross'!F78</f>
        <v>19445050</v>
      </c>
      <c r="V78" s="5">
        <f t="shared" si="1"/>
        <v>2020</v>
      </c>
    </row>
    <row r="79">
      <c r="A79" s="1">
        <v>78.0</v>
      </c>
      <c r="B79" s="1" t="s">
        <v>595</v>
      </c>
      <c r="C79" s="6">
        <f>Gross_cleaning!E79</f>
        <v>46808</v>
      </c>
      <c r="D79" s="1">
        <v>1963.0</v>
      </c>
      <c r="E79" s="1" t="s">
        <v>18</v>
      </c>
      <c r="F79" s="1" t="str">
        <f>VLOOKUP(Filmes_raw!E79,Rating_systems!$A$2:$C$29,3,FALSE)</f>
        <v>Adulto</v>
      </c>
      <c r="G79" s="2">
        <f>Gross_cleaning!F79</f>
        <v>143</v>
      </c>
      <c r="H79" s="1" t="s">
        <v>596</v>
      </c>
      <c r="I79" s="1" t="s">
        <v>235</v>
      </c>
      <c r="J79" s="1">
        <v>8.4</v>
      </c>
      <c r="K79" s="1" t="s">
        <v>597</v>
      </c>
      <c r="L79" s="1" t="str">
        <f>IFERROR(__xludf.DUMMYFUNCTION("GOOGLETRANSLATE(K79,""en"", ""pt-br"")"),"Um executivo de uma empresa de sapatos se torna vítima de extorsão quando o filho do motorista é sequestrado e mantido por resgate.")</f>
        <v>Um executivo de uma empresa de sapatos se torna vítima de extorsão quando o filho do motorista é sequestrado e mantido por resgate.</v>
      </c>
      <c r="N79" s="1" t="s">
        <v>264</v>
      </c>
      <c r="O79" s="1" t="s">
        <v>265</v>
      </c>
      <c r="P79" s="1" t="s">
        <v>598</v>
      </c>
      <c r="Q79" s="1" t="s">
        <v>257</v>
      </c>
      <c r="R79" s="1" t="s">
        <v>599</v>
      </c>
      <c r="S79" s="1">
        <v>34357.0</v>
      </c>
      <c r="T79" s="7" t="str">
        <f>VLOOKUP(A79,Posters!A79:B1078,2)</f>
        <v>https://m.media-amazon.com/images/M/MV5BOTI4NTNhZDMtMWNkZi00MTRmLWJmZDQtMmJkMGVmZTEzODlhXkEyXkFqcGdeQXVyNjc1NTYyMjg@._V1_UX67_CR0,0,67,98_AL_.jpg</v>
      </c>
      <c r="U79" s="8">
        <f>'Inflation Adjusted Gross'!F79</f>
        <v>397207</v>
      </c>
      <c r="V79" s="5">
        <f t="shared" si="1"/>
        <v>2020</v>
      </c>
    </row>
    <row r="80">
      <c r="A80" s="1">
        <v>79.0</v>
      </c>
      <c r="B80" s="1" t="s">
        <v>600</v>
      </c>
      <c r="C80" s="6">
        <f>Gross_cleaning!E80</f>
        <v>275902</v>
      </c>
      <c r="D80" s="1">
        <v>1964.0</v>
      </c>
      <c r="E80" s="1" t="s">
        <v>18</v>
      </c>
      <c r="F80" s="1" t="str">
        <f>VLOOKUP(Filmes_raw!E80,Rating_systems!$A$2:$C$29,3,FALSE)</f>
        <v>Adulto</v>
      </c>
      <c r="G80" s="2">
        <f>Gross_cleaning!F80</f>
        <v>95</v>
      </c>
      <c r="H80" s="1" t="s">
        <v>601</v>
      </c>
      <c r="I80" s="1" t="s">
        <v>602</v>
      </c>
      <c r="J80" s="1">
        <v>8.4</v>
      </c>
      <c r="K80" s="1" t="s">
        <v>603</v>
      </c>
      <c r="L80" s="1" t="str">
        <f>IFERROR(__xludf.DUMMYFUNCTION("GOOGLETRANSLATE(K80,""en"", ""pt-br"")"),"Um general insano desencadeia um caminho para o holocausto nuclear que uma sala de guerra cheia de políticos e generais tenta freneticamente para parar.")</f>
        <v>Um general insano desencadeia um caminho para o holocausto nuclear que uma sala de guerra cheia de políticos e generais tenta freneticamente para parar.</v>
      </c>
      <c r="M80" s="1">
        <v>97.0</v>
      </c>
      <c r="N80" s="1" t="s">
        <v>571</v>
      </c>
      <c r="O80" s="1" t="s">
        <v>604</v>
      </c>
      <c r="P80" s="1" t="s">
        <v>605</v>
      </c>
      <c r="Q80" s="1" t="s">
        <v>606</v>
      </c>
      <c r="R80" s="1" t="s">
        <v>607</v>
      </c>
      <c r="S80" s="1">
        <v>450474.0</v>
      </c>
      <c r="T80" s="7" t="str">
        <f>VLOOKUP(A80,Posters!A80:B1079,2)</f>
        <v>https://m.media-amazon.com/images/M/MV5BZWI3ZTMxNjctMjdlNS00NmUwLWFiM2YtZDUyY2I3N2MxYTE0XkEyXkFqcGdeQXVyNzkwMjQ5NzM@._V1_UX67_CR0,0,67,98_AL_.jpg</v>
      </c>
      <c r="U80" s="8">
        <f>'Inflation Adjusted Gross'!F80</f>
        <v>2303389</v>
      </c>
      <c r="V80" s="5">
        <f t="shared" si="1"/>
        <v>2020</v>
      </c>
    </row>
    <row r="81">
      <c r="A81" s="1">
        <v>80.0</v>
      </c>
      <c r="B81" s="1" t="s">
        <v>608</v>
      </c>
      <c r="C81" s="6">
        <f>Gross_cleaning!E81</f>
        <v>8175000</v>
      </c>
      <c r="D81" s="1">
        <v>1957.0</v>
      </c>
      <c r="E81" s="1" t="s">
        <v>52</v>
      </c>
      <c r="F81" s="1" t="str">
        <f>VLOOKUP(Filmes_raw!E81,Rating_systems!$A$2:$C$29,3,FALSE)</f>
        <v>Criança</v>
      </c>
      <c r="G81" s="2">
        <f>Gross_cleaning!F81</f>
        <v>116</v>
      </c>
      <c r="H81" s="1" t="s">
        <v>226</v>
      </c>
      <c r="I81" s="1" t="s">
        <v>235</v>
      </c>
      <c r="J81" s="1">
        <v>8.4</v>
      </c>
      <c r="K81" s="1" t="s">
        <v>609</v>
      </c>
      <c r="L81" s="1" t="str">
        <f>IFERROR(__xludf.DUMMYFUNCTION("GOOGLETRANSLATE(K81,""en"", ""pt-br"")"),"Um veterano British Barrister deve defender seu cliente em um julgamento de assassinato que tenha surpresa depois de surpresa.")</f>
        <v>Um veterano British Barrister deve defender seu cliente em um julgamento de assassinato que tenha surpresa depois de surpresa.</v>
      </c>
      <c r="N81" s="1" t="s">
        <v>610</v>
      </c>
      <c r="O81" s="1" t="s">
        <v>611</v>
      </c>
      <c r="P81" s="1" t="s">
        <v>612</v>
      </c>
      <c r="Q81" s="1" t="s">
        <v>613</v>
      </c>
      <c r="R81" s="1" t="s">
        <v>614</v>
      </c>
      <c r="S81" s="1">
        <v>108862.0</v>
      </c>
      <c r="T81" s="7" t="str">
        <f>VLOOKUP(A81,Posters!A81:B1080,2)</f>
        <v>https://m.media-amazon.com/images/M/MV5BNDQwODU5OWYtNDcyNi00MDQ1LThiOGMtZDkwNWJiM2Y3MDg0XkEyXkFqcGdeQXVyMDI2NDg0NQ@@._V1_UX67_CR0,0,67,98_AL_.jpg</v>
      </c>
      <c r="U81" s="8">
        <f>'Inflation Adjusted Gross'!F81</f>
        <v>76409889</v>
      </c>
      <c r="V81" s="5">
        <f t="shared" si="1"/>
        <v>2020</v>
      </c>
    </row>
    <row r="82">
      <c r="A82" s="1">
        <v>81.0</v>
      </c>
      <c r="B82" s="1" t="s">
        <v>615</v>
      </c>
      <c r="C82" s="6">
        <f>Gross_cleaning!E82</f>
        <v>5252</v>
      </c>
      <c r="D82" s="1">
        <v>1957.0</v>
      </c>
      <c r="E82" s="1" t="s">
        <v>18</v>
      </c>
      <c r="F82" s="1" t="str">
        <f>VLOOKUP(Filmes_raw!E82,Rating_systems!$A$2:$C$29,3,FALSE)</f>
        <v>Adulto</v>
      </c>
      <c r="G82" s="2">
        <f>Gross_cleaning!F82</f>
        <v>88</v>
      </c>
      <c r="H82" s="1" t="s">
        <v>351</v>
      </c>
      <c r="I82" s="1" t="s">
        <v>213</v>
      </c>
      <c r="J82" s="1">
        <v>8.4</v>
      </c>
      <c r="K82" s="1" t="s">
        <v>616</v>
      </c>
      <c r="L82" s="1" t="str">
        <f>IFERROR(__xludf.DUMMYFUNCTION("GOOGLETRANSLATE(K82,""en"", ""pt-br"")"),"Depois de se recusar a atacar uma posição inimiga, um general acusa os soldados da covardia e seu oficial de comando deve defendê-los.")</f>
        <v>Depois de se recusar a atacar uma posição inimiga, um general acusa os soldados da covardia e seu oficial de comando deve defendê-los.</v>
      </c>
      <c r="M82" s="1">
        <v>90.0</v>
      </c>
      <c r="N82" s="1" t="s">
        <v>571</v>
      </c>
      <c r="O82" s="1" t="s">
        <v>617</v>
      </c>
      <c r="P82" s="1" t="s">
        <v>618</v>
      </c>
      <c r="Q82" s="1" t="s">
        <v>619</v>
      </c>
      <c r="R82" s="1" t="s">
        <v>620</v>
      </c>
      <c r="S82" s="1">
        <v>178092.0</v>
      </c>
      <c r="T82" s="7" t="str">
        <f>VLOOKUP(A82,Posters!A82:B1081,2)</f>
        <v>https://m.media-amazon.com/images/M/MV5BNjViMmRkOTEtM2ViOS00ODg0LWJhYWEtNTBlOGQxNDczOGY3XkEyXkFqcGdeQXVyMDI2NDg0NQ@@._V1_UY98_CR2,0,67,98_AL_.jpg</v>
      </c>
      <c r="U82" s="8">
        <f>'Inflation Adjusted Gross'!F82</f>
        <v>49089</v>
      </c>
      <c r="V82" s="5">
        <f t="shared" si="1"/>
        <v>2020</v>
      </c>
    </row>
    <row r="83">
      <c r="A83" s="1">
        <v>82.0</v>
      </c>
      <c r="B83" s="1" t="s">
        <v>621</v>
      </c>
      <c r="C83" s="6">
        <f>Gross_cleaning!E83</f>
        <v>36764313</v>
      </c>
      <c r="D83" s="1">
        <v>1954.0</v>
      </c>
      <c r="E83" s="1" t="s">
        <v>52</v>
      </c>
      <c r="F83" s="1" t="str">
        <f>VLOOKUP(Filmes_raw!E83,Rating_systems!$A$2:$C$29,3,FALSE)</f>
        <v>Criança</v>
      </c>
      <c r="G83" s="2">
        <f>Gross_cleaning!F83</f>
        <v>112</v>
      </c>
      <c r="H83" s="1" t="s">
        <v>295</v>
      </c>
      <c r="I83" s="1" t="s">
        <v>544</v>
      </c>
      <c r="J83" s="1">
        <v>8.4</v>
      </c>
      <c r="K83" s="1" t="s">
        <v>622</v>
      </c>
      <c r="L83" s="1" t="str">
        <f>IFERROR(__xludf.DUMMYFUNCTION("GOOGLETRANSLATE(K83,""en"", ""pt-br"")"),"Um fotógrafo ligado à cadeira de rodas espia em seus vizinhos de sua janela de apartamentos e se torna convencido de um deles cometeu assassinato.")</f>
        <v>Um fotógrafo ligado à cadeira de rodas espia em seus vizinhos de sua janela de apartamentos e se torna convencido de um deles cometeu assassinato.</v>
      </c>
      <c r="M83" s="1">
        <v>100.0</v>
      </c>
      <c r="N83" s="1" t="s">
        <v>399</v>
      </c>
      <c r="O83" s="1" t="s">
        <v>274</v>
      </c>
      <c r="P83" s="1" t="s">
        <v>623</v>
      </c>
      <c r="Q83" s="1" t="s">
        <v>624</v>
      </c>
      <c r="R83" s="1" t="s">
        <v>625</v>
      </c>
      <c r="S83" s="1">
        <v>444074.0</v>
      </c>
      <c r="T83" s="7" t="str">
        <f>VLOOKUP(A83,Posters!A83:B1082,2)</f>
        <v>https://m.media-amazon.com/images/M/MV5BNGUxYWM3M2MtMGM3Mi00ZmRiLWE0NGQtZjE5ODI2OTJhNTU0XkEyXkFqcGdeQXVyMTQxNzMzNDI@._V1_UX67_CR0,0,67,98_AL_.jpg</v>
      </c>
      <c r="U83" s="8">
        <f>'Inflation Adjusted Gross'!F83</f>
        <v>352569762</v>
      </c>
      <c r="V83" s="5">
        <f t="shared" si="1"/>
        <v>2020</v>
      </c>
    </row>
    <row r="84">
      <c r="A84" s="1">
        <v>83.0</v>
      </c>
      <c r="B84" s="1" t="s">
        <v>626</v>
      </c>
      <c r="C84" s="6">
        <f>Gross_cleaning!E84</f>
        <v>299645</v>
      </c>
      <c r="D84" s="1">
        <v>1950.0</v>
      </c>
      <c r="E84" s="1" t="s">
        <v>627</v>
      </c>
      <c r="F84" s="1" t="str">
        <f>VLOOKUP(Filmes_raw!E84,Rating_systems!$A$2:$C$29,3,FALSE)</f>
        <v>Adulto</v>
      </c>
      <c r="G84" s="2">
        <f>Gross_cleaning!F84</f>
        <v>110</v>
      </c>
      <c r="H84" s="1" t="s">
        <v>343</v>
      </c>
      <c r="I84" s="1" t="s">
        <v>628</v>
      </c>
      <c r="J84" s="1">
        <v>8.4</v>
      </c>
      <c r="K84" s="1" t="s">
        <v>629</v>
      </c>
      <c r="L84" s="1" t="str">
        <f>IFERROR(__xludf.DUMMYFUNCTION("GOOGLETRANSLATE(K84,""en"", ""pt-br"")"),"Um roteirista desenvolve um relacionamento perigoso com uma estrela de cinema desbotada determinada a fazer um retorno triunfante.")</f>
        <v>Um roteirista desenvolve um relacionamento perigoso com uma estrela de cinema desbotada determinada a fazer um retorno triunfante.</v>
      </c>
      <c r="N84" s="1" t="s">
        <v>610</v>
      </c>
      <c r="O84" s="1" t="s">
        <v>630</v>
      </c>
      <c r="P84" s="1" t="s">
        <v>631</v>
      </c>
      <c r="Q84" s="1" t="s">
        <v>632</v>
      </c>
      <c r="R84" s="1" t="s">
        <v>633</v>
      </c>
      <c r="S84" s="1">
        <v>201632.0</v>
      </c>
      <c r="T84" s="7" t="str">
        <f>VLOOKUP(A84,Posters!A84:B1083,2)</f>
        <v>https://m.media-amazon.com/images/M/MV5BMTU0NTkyNzYwMF5BMl5BanBnXkFtZTgwMDU0NDk5MTI@._V1_UX67_CR0,0,67,98_AL_.jpg</v>
      </c>
      <c r="U84" s="8">
        <f>'Inflation Adjusted Gross'!F84</f>
        <v>3289350</v>
      </c>
      <c r="V84" s="5">
        <f t="shared" si="1"/>
        <v>2020</v>
      </c>
    </row>
    <row r="85">
      <c r="A85" s="1">
        <v>84.0</v>
      </c>
      <c r="B85" s="1" t="s">
        <v>634</v>
      </c>
      <c r="C85" s="6">
        <f>Gross_cleaning!E85</f>
        <v>288475</v>
      </c>
      <c r="D85" s="1">
        <v>1940.0</v>
      </c>
      <c r="E85" s="1" t="s">
        <v>627</v>
      </c>
      <c r="F85" s="1" t="str">
        <f>VLOOKUP(Filmes_raw!E85,Rating_systems!$A$2:$C$29,3,FALSE)</f>
        <v>Adulto</v>
      </c>
      <c r="G85" s="2">
        <f>Gross_cleaning!F85</f>
        <v>125</v>
      </c>
      <c r="H85" s="1" t="s">
        <v>203</v>
      </c>
      <c r="I85" s="1" t="s">
        <v>635</v>
      </c>
      <c r="J85" s="1">
        <v>8.4</v>
      </c>
      <c r="K85" s="1" t="s">
        <v>636</v>
      </c>
      <c r="L85" s="1" t="str">
        <f>IFERROR(__xludf.DUMMYFUNCTION("GOOGLETRANSLATE(K85,""en"", ""pt-br"")"),"O ditador Adenóide Hynkel tenta expandir seu império enquanto um barbeiro judeu pobre tenta evitar a perseguição do regime de Hynkel.")</f>
        <v>O ditador Adenóide Hynkel tenta expandir seu império enquanto um barbeiro judeu pobre tenta evitar a perseguição do regime de Hynkel.</v>
      </c>
      <c r="N85" s="1" t="s">
        <v>418</v>
      </c>
      <c r="O85" s="1" t="s">
        <v>418</v>
      </c>
      <c r="P85" s="1" t="s">
        <v>419</v>
      </c>
      <c r="Q85" s="1" t="s">
        <v>637</v>
      </c>
      <c r="R85" s="1" t="s">
        <v>638</v>
      </c>
      <c r="S85" s="1">
        <v>203150.0</v>
      </c>
      <c r="T85" s="7" t="str">
        <f>VLOOKUP(A85,Posters!A85:B1084,2)</f>
        <v>https://m.media-amazon.com/images/M/MV5BMmExYWJjNTktNGUyZS00ODhmLTkxYzAtNWIzOGEyMGNiMmUwXkEyXkFqcGdeQXVyNjU0OTQ0OTY@._V1_UX67_CR0,0,67,98_AL_.jpg</v>
      </c>
      <c r="U85" s="8">
        <f>'Inflation Adjusted Gross'!F85</f>
        <v>5353826</v>
      </c>
      <c r="V85" s="5">
        <f t="shared" si="1"/>
        <v>2020</v>
      </c>
    </row>
    <row r="86">
      <c r="A86" s="1">
        <v>85.0</v>
      </c>
      <c r="B86" s="1">
        <v>1917.0</v>
      </c>
      <c r="C86" s="6">
        <f>Gross_cleaning!E86</f>
        <v>159227644</v>
      </c>
      <c r="D86" s="1">
        <v>2019.0</v>
      </c>
      <c r="E86" s="1" t="s">
        <v>212</v>
      </c>
      <c r="F86" s="1" t="str">
        <f>VLOOKUP(Filmes_raw!E86,Rating_systems!$A$2:$C$29,3,FALSE)</f>
        <v>Adulto</v>
      </c>
      <c r="G86" s="2">
        <f>Gross_cleaning!F86</f>
        <v>119</v>
      </c>
      <c r="H86" s="1" t="s">
        <v>329</v>
      </c>
      <c r="I86" s="1" t="s">
        <v>639</v>
      </c>
      <c r="J86" s="1">
        <v>8.3</v>
      </c>
      <c r="K86" s="1" t="s">
        <v>640</v>
      </c>
      <c r="L86" s="1" t="str">
        <f>IFERROR(__xludf.DUMMYFUNCTION("GOOGLETRANSLATE(K86,""en"", ""pt-br"")"),"6 de abril de 1917. Como um regimento monta a guerra salarial profundamente no território inimigo, dois soldados são designados para correr contra o tempo e entregar uma mensagem que irá parar 1.600 homens a pé em uma armadilha mortal.")</f>
        <v>6 de abril de 1917. Como um regimento monta a guerra salarial profundamente no território inimigo, dois soldados são designados para correr contra o tempo e entregar uma mensagem que irá parar 1.600 homens a pé em uma armadilha mortal.</v>
      </c>
      <c r="M86" s="1">
        <v>78.0</v>
      </c>
      <c r="N86" s="1" t="s">
        <v>641</v>
      </c>
      <c r="O86" s="1" t="s">
        <v>642</v>
      </c>
      <c r="P86" s="1" t="s">
        <v>643</v>
      </c>
      <c r="Q86" s="1" t="s">
        <v>644</v>
      </c>
      <c r="R86" s="1" t="s">
        <v>645</v>
      </c>
      <c r="S86" s="1">
        <v>425844.0</v>
      </c>
      <c r="T86" s="7" t="str">
        <f>VLOOKUP(A86,Posters!A86:B1085,2)</f>
        <v>https://m.media-amazon.com/images/M/MV5BOTdmNTFjNDEtNzg0My00ZjkxLTg1ZDAtZTdkMDc2ZmFiNWQ1XkEyXkFqcGdeQXVyNTAzNzgwNTg@._V1_UX67_CR0,0,67,98_AL_.jpg</v>
      </c>
      <c r="U86" s="8">
        <f>'Inflation Adjusted Gross'!F86</f>
        <v>163186954</v>
      </c>
      <c r="V86" s="5">
        <f t="shared" si="1"/>
        <v>2020</v>
      </c>
    </row>
    <row r="87">
      <c r="A87" s="1">
        <v>86.0</v>
      </c>
      <c r="B87" s="1" t="s">
        <v>646</v>
      </c>
      <c r="C87" s="6">
        <f>Gross_cleaning!E87</f>
        <v>1691980</v>
      </c>
      <c r="D87" s="1">
        <v>2018.0</v>
      </c>
      <c r="E87" s="1" t="s">
        <v>18</v>
      </c>
      <c r="F87" s="1" t="str">
        <f>VLOOKUP(Filmes_raw!E87,Rating_systems!$A$2:$C$29,3,FALSE)</f>
        <v>Adulto</v>
      </c>
      <c r="G87" s="2">
        <f>Gross_cleaning!F87</f>
        <v>104</v>
      </c>
      <c r="H87" s="1" t="s">
        <v>647</v>
      </c>
      <c r="I87" s="1" t="s">
        <v>648</v>
      </c>
      <c r="J87" s="1">
        <v>8.3</v>
      </c>
      <c r="K87" s="1" t="s">
        <v>649</v>
      </c>
      <c r="L87" s="1" t="str">
        <f>IFERROR(__xludf.DUMMYFUNCTION("GOOGLETRANSLATE(K87,""en"", ""pt-br"")"),"Uma história mitológica sobre uma deusa que criou todo o universo. O enredo gira em torno das conseqüências quando os humanos constroem um templo para sua primeira nascida.")</f>
        <v>Uma história mitológica sobre uma deusa que criou todo o universo. O enredo gira em torno das conseqüências quando os humanos constroem um templo para sua primeira nascida.</v>
      </c>
      <c r="N87" s="1" t="s">
        <v>650</v>
      </c>
      <c r="O87" s="1" t="s">
        <v>651</v>
      </c>
      <c r="P87" s="1" t="s">
        <v>652</v>
      </c>
      <c r="Q87" s="1" t="s">
        <v>653</v>
      </c>
      <c r="R87" s="1" t="s">
        <v>654</v>
      </c>
      <c r="S87" s="1">
        <v>27793.0</v>
      </c>
      <c r="T87" s="7" t="str">
        <f>VLOOKUP(A87,Posters!A87:B1086,2)</f>
        <v>https://m.media-amazon.com/images/M/MV5BYmQxNmU4ZjgtYzE5Mi00ZDlhLTlhOTctMzJkNjk2ZGUyZGEwXkEyXkFqcGdeQXVyMzgxMDA0Nzk@._V1_UY98_CR1,0,67,98_AL_.jpg</v>
      </c>
      <c r="U87" s="8">
        <f>'Inflation Adjusted Gross'!F87</f>
        <v>1760952</v>
      </c>
      <c r="V87" s="5">
        <f t="shared" si="1"/>
        <v>2020</v>
      </c>
    </row>
    <row r="88">
      <c r="A88" s="1">
        <v>87.0</v>
      </c>
      <c r="B88" s="1" t="s">
        <v>655</v>
      </c>
      <c r="C88" s="6">
        <f>Gross_cleaning!E88</f>
        <v>1373943</v>
      </c>
      <c r="D88" s="1">
        <v>2018.0</v>
      </c>
      <c r="E88" s="1" t="s">
        <v>37</v>
      </c>
      <c r="F88" s="1" t="str">
        <f>VLOOKUP(Filmes_raw!E88,Rating_systems!$A$2:$C$29,3,FALSE)</f>
        <v>Criança</v>
      </c>
      <c r="G88" s="2">
        <f>Gross_cleaning!F88</f>
        <v>139</v>
      </c>
      <c r="H88" s="1" t="s">
        <v>95</v>
      </c>
      <c r="I88" s="1" t="s">
        <v>656</v>
      </c>
      <c r="J88" s="1">
        <v>8.3</v>
      </c>
      <c r="K88" s="1" t="s">
        <v>657</v>
      </c>
      <c r="L88" s="1" t="str">
        <f>IFERROR(__xludf.DUMMYFUNCTION("GOOGLETRANSLATE(K88,""en"", ""pt-br"")"),"Uma série de eventos misteriosos mudam a vida de um pianista cego, que deve agora relatar um crime que ele não sabe tecnicamente nada.")</f>
        <v>Uma série de eventos misteriosos mudam a vida de um pianista cego, que deve agora relatar um crime que ele não sabe tecnicamente nada.</v>
      </c>
      <c r="N88" s="1" t="s">
        <v>658</v>
      </c>
      <c r="O88" s="1" t="s">
        <v>659</v>
      </c>
      <c r="P88" s="1" t="s">
        <v>660</v>
      </c>
      <c r="Q88" s="1" t="s">
        <v>661</v>
      </c>
      <c r="R88" s="1" t="s">
        <v>662</v>
      </c>
      <c r="S88" s="1">
        <v>71875.0</v>
      </c>
      <c r="T88" s="7" t="str">
        <f>VLOOKUP(A88,Posters!A88:B1087,2)</f>
        <v>https://m.media-amazon.com/images/M/MV5BZWZhMjhhZmYtOTIzOC00MGYzLWI1OGYtM2ZkN2IxNTI4ZWI3XkEyXkFqcGdeQXVyNDAzNDk0MTQ@._V1_UY98_CR0,0,67,98_AL_.jpg</v>
      </c>
      <c r="U88" s="8">
        <f>'Inflation Adjusted Gross'!F88</f>
        <v>1429950</v>
      </c>
      <c r="V88" s="5">
        <f t="shared" si="1"/>
        <v>2020</v>
      </c>
    </row>
    <row r="89">
      <c r="A89" s="1">
        <v>88.0</v>
      </c>
      <c r="B89" s="1" t="s">
        <v>663</v>
      </c>
      <c r="C89" s="6">
        <f>Gross_cleaning!E89</f>
        <v>3841</v>
      </c>
      <c r="D89" s="1">
        <v>2013.0</v>
      </c>
      <c r="E89" s="1" t="s">
        <v>52</v>
      </c>
      <c r="F89" s="1" t="str">
        <f>VLOOKUP(Filmes_raw!E89,Rating_systems!$A$2:$C$29,3,FALSE)</f>
        <v>Criança</v>
      </c>
      <c r="G89" s="2">
        <f>Gross_cleaning!F89</f>
        <v>160</v>
      </c>
      <c r="H89" s="1" t="s">
        <v>162</v>
      </c>
      <c r="I89" s="1" t="s">
        <v>241</v>
      </c>
      <c r="J89" s="1">
        <v>8.3</v>
      </c>
      <c r="K89" s="1" t="s">
        <v>664</v>
      </c>
      <c r="L89" s="1" t="str">
        <f>IFERROR(__xludf.DUMMYFUNCTION("GOOGLETRANSLATE(K89,""en"", ""pt-br"")"),"Um homem vai a extremos comprimentos para salvar sua família de punição depois que a família cometer um crime acidental.")</f>
        <v>Um homem vai a extremos comprimentos para salvar sua família de punição depois que a família cometer um crime acidental.</v>
      </c>
      <c r="N89" s="1" t="s">
        <v>665</v>
      </c>
      <c r="O89" s="1" t="s">
        <v>666</v>
      </c>
      <c r="P89" s="1" t="s">
        <v>667</v>
      </c>
      <c r="Q89" s="1" t="s">
        <v>668</v>
      </c>
      <c r="R89" s="1" t="s">
        <v>669</v>
      </c>
      <c r="S89" s="1">
        <v>30722.0</v>
      </c>
      <c r="T89" s="7" t="str">
        <f>VLOOKUP(A89,Posters!A89:B1088,2)</f>
        <v>https://m.media-amazon.com/images/M/MV5BYmY3MzYwMGUtOWMxYS00OGVhLWFjNmUtYzlkNGVmY2ZkMjA3XkEyXkFqcGdeQXVyMTExNDQ2MTI@._V1_UY98_CR4,0,67,98_AL_.jpg</v>
      </c>
      <c r="U89" s="8">
        <f>'Inflation Adjusted Gross'!F89</f>
        <v>4303</v>
      </c>
      <c r="V89" s="5">
        <f t="shared" si="1"/>
        <v>2020</v>
      </c>
    </row>
    <row r="90">
      <c r="A90" s="1">
        <v>89.0</v>
      </c>
      <c r="B90" s="1" t="s">
        <v>670</v>
      </c>
      <c r="C90" s="6">
        <f>Gross_cleaning!E90</f>
        <v>687185</v>
      </c>
      <c r="D90" s="1">
        <v>2012.0</v>
      </c>
      <c r="E90" s="1" t="s">
        <v>212</v>
      </c>
      <c r="F90" s="1" t="str">
        <f>VLOOKUP(Filmes_raw!E90,Rating_systems!$A$2:$C$29,3,FALSE)</f>
        <v>Adulto</v>
      </c>
      <c r="G90" s="2">
        <f>Gross_cleaning!F90</f>
        <v>115</v>
      </c>
      <c r="H90" s="1" t="s">
        <v>563</v>
      </c>
      <c r="I90" s="1" t="s">
        <v>20</v>
      </c>
      <c r="J90" s="1">
        <v>8.3</v>
      </c>
      <c r="K90" s="1" t="s">
        <v>671</v>
      </c>
      <c r="L90" s="1" t="str">
        <f>IFERROR(__xludf.DUMMYFUNCTION("GOOGLETRANSLATE(K90,""en"", ""pt-br"")"),"Um professor vive uma vida solitária, todo o tempo lutando por custódia de seu filho. Sua vida fica lentamente melhor quando ele encontra amor e recebe boas notícias de seu filho, mas sua nova sorte está prestes a ser brutalmente quebrada por uma pequena "&amp;"mentira inocente.")</f>
        <v>Um professor vive uma vida solitária, todo o tempo lutando por custódia de seu filho. Sua vida fica lentamente melhor quando ele encontra amor e recebe boas notícias de seu filho, mas sua nova sorte está prestes a ser brutalmente quebrada por uma pequena mentira inocente.</v>
      </c>
      <c r="M90" s="1">
        <v>77.0</v>
      </c>
      <c r="N90" s="1" t="s">
        <v>672</v>
      </c>
      <c r="O90" s="1" t="s">
        <v>673</v>
      </c>
      <c r="P90" s="1" t="s">
        <v>674</v>
      </c>
      <c r="Q90" s="1" t="s">
        <v>675</v>
      </c>
      <c r="R90" s="1" t="s">
        <v>676</v>
      </c>
      <c r="S90" s="1">
        <v>281623.0</v>
      </c>
      <c r="T90" s="7" t="str">
        <f>VLOOKUP(A90,Posters!A90:B1089,2)</f>
        <v>https://m.media-amazon.com/images/M/MV5BMTg2NDg3ODg4NF5BMl5BanBnXkFtZTcwNzk3NTc3Nw@@._V1_UY98_CR1,0,67,98_AL_.jpg</v>
      </c>
      <c r="U90" s="8">
        <f>'Inflation Adjusted Gross'!F90</f>
        <v>782096</v>
      </c>
      <c r="V90" s="5">
        <f t="shared" si="1"/>
        <v>2020</v>
      </c>
    </row>
    <row r="91">
      <c r="A91" s="1">
        <v>90.0</v>
      </c>
      <c r="B91" s="1" t="s">
        <v>677</v>
      </c>
      <c r="C91" s="6">
        <f>Gross_cleaning!E91</f>
        <v>7098492</v>
      </c>
      <c r="D91" s="1">
        <v>2011.0</v>
      </c>
      <c r="E91" s="1" t="s">
        <v>161</v>
      </c>
      <c r="F91" s="1" t="str">
        <f>VLOOKUP(Filmes_raw!E91,Rating_systems!$A$2:$C$29,3,FALSE)</f>
        <v>Criança</v>
      </c>
      <c r="G91" s="2">
        <f>Gross_cleaning!F91</f>
        <v>123</v>
      </c>
      <c r="H91" s="1" t="s">
        <v>678</v>
      </c>
      <c r="I91" s="1" t="s">
        <v>20</v>
      </c>
      <c r="J91" s="1">
        <v>8.3</v>
      </c>
      <c r="K91" s="1" t="s">
        <v>679</v>
      </c>
      <c r="L91" s="1" t="str">
        <f>IFERROR(__xludf.DUMMYFUNCTION("GOOGLETRANSLATE(K91,""en"", ""pt-br"")"),"Um casal é confrontado com uma decisão difícil - para melhorar a vida de seu filho, movendo-se para outro país ou para ficar no Irã e cuidar de um pai que deteriora a doença de Alzheimer.")</f>
        <v>Um casal é confrontado com uma decisão difícil - para melhorar a vida de seu filho, movendo-se para outro país ou para ficar no Irã e cuidar de um pai que deteriora a doença de Alzheimer.</v>
      </c>
      <c r="M91" s="1">
        <v>95.0</v>
      </c>
      <c r="N91" s="1" t="s">
        <v>680</v>
      </c>
      <c r="O91" s="1" t="s">
        <v>681</v>
      </c>
      <c r="P91" s="1" t="s">
        <v>682</v>
      </c>
      <c r="Q91" s="1" t="s">
        <v>683</v>
      </c>
      <c r="R91" s="1" t="s">
        <v>684</v>
      </c>
      <c r="S91" s="1">
        <v>220002.0</v>
      </c>
      <c r="T91" s="7" t="str">
        <f>VLOOKUP(A91,Posters!A91:B1090,2)</f>
        <v>https://m.media-amazon.com/images/M/MV5BN2JmMjViMjMtZTM5Mi00ZGZkLTk5YzctZDg5MjFjZDE4NjNkXkEyXkFqcGdeQXVyMTMxODk2OTU@._V1_UX67_CR0,0,67,98_AL_.jpg</v>
      </c>
      <c r="U91" s="8">
        <f>'Inflation Adjusted Gross'!F91</f>
        <v>8315231</v>
      </c>
      <c r="V91" s="5">
        <f t="shared" si="1"/>
        <v>2020</v>
      </c>
    </row>
    <row r="92">
      <c r="A92" s="1">
        <v>91.0</v>
      </c>
      <c r="B92" s="1" t="s">
        <v>685</v>
      </c>
      <c r="C92" s="6">
        <f>Gross_cleaning!E92</f>
        <v>6857096</v>
      </c>
      <c r="D92" s="1">
        <v>2010.0</v>
      </c>
      <c r="E92" s="1" t="s">
        <v>212</v>
      </c>
      <c r="F92" s="1" t="str">
        <f>VLOOKUP(Filmes_raw!E92,Rating_systems!$A$2:$C$29,3,FALSE)</f>
        <v>Adulto</v>
      </c>
      <c r="G92" s="2">
        <f>Gross_cleaning!F92</f>
        <v>131</v>
      </c>
      <c r="H92" s="1" t="s">
        <v>686</v>
      </c>
      <c r="I92" s="1" t="s">
        <v>576</v>
      </c>
      <c r="J92" s="1">
        <v>8.3</v>
      </c>
      <c r="K92" s="1" t="s">
        <v>687</v>
      </c>
      <c r="L92" s="1" t="str">
        <f>IFERROR(__xludf.DUMMYFUNCTION("GOOGLETRANSLATE(K92,""en"", ""pt-br"")"),"Gêmeos jornada para o Oriente para descobrir sua história familiar e cumprir os últimos desejos da mãe.")</f>
        <v>Gêmeos jornada para o Oriente para descobrir sua história familiar e cumprir os últimos desejos da mãe.</v>
      </c>
      <c r="M92" s="1">
        <v>80.0</v>
      </c>
      <c r="N92" s="1" t="s">
        <v>688</v>
      </c>
      <c r="O92" s="1" t="s">
        <v>689</v>
      </c>
      <c r="P92" s="1" t="s">
        <v>690</v>
      </c>
      <c r="Q92" s="1" t="s">
        <v>691</v>
      </c>
      <c r="R92" s="1" t="s">
        <v>692</v>
      </c>
      <c r="S92" s="1">
        <v>150023.0</v>
      </c>
      <c r="T92" s="7" t="str">
        <f>VLOOKUP(A92,Posters!A92:B1091,2)</f>
        <v>https://m.media-amazon.com/images/M/MV5BMWE3MGYzZjktY2Q5Mi00Y2NiLWIyYWUtMmIyNzA3YmZlMGFhXkEyXkFqcGdeQXVyMTMxODk2OTU@._V1_UX67_CR0,0,67,98_AL_.jpg</v>
      </c>
      <c r="U92" s="8">
        <f>'Inflation Adjusted Gross'!F92</f>
        <v>8163535</v>
      </c>
      <c r="V92" s="5">
        <f t="shared" si="1"/>
        <v>2020</v>
      </c>
    </row>
    <row r="93">
      <c r="A93" s="1">
        <v>92.0</v>
      </c>
      <c r="B93" s="1" t="s">
        <v>693</v>
      </c>
      <c r="C93" s="6">
        <f>Gross_cleaning!E93</f>
        <v>17163660</v>
      </c>
      <c r="D93" s="1">
        <v>2019.0</v>
      </c>
      <c r="E93" s="1" t="s">
        <v>694</v>
      </c>
      <c r="F93" s="1" t="str">
        <f>VLOOKUP(Filmes_raw!E93,Rating_systems!$A$2:$C$29,3,FALSE)</f>
        <v>Adolescente</v>
      </c>
      <c r="G93" s="2">
        <f>Gross_cleaning!F93</f>
        <v>132</v>
      </c>
      <c r="H93" s="1" t="s">
        <v>170</v>
      </c>
      <c r="I93" s="1" t="s">
        <v>20</v>
      </c>
      <c r="J93" s="1">
        <v>8.3</v>
      </c>
      <c r="K93" s="1" t="s">
        <v>695</v>
      </c>
      <c r="L93" s="1" t="str">
        <f>IFERROR(__xludf.DUMMYFUNCTION("GOOGLETRANSLATE(K93,""en"", ""pt-br"")"),"Uma história de amor entre um pai mentalmente doente que era erroneamente acusado de assassinato e sua linda filha de seis anos. A prisão seria sua casa. Baseado no filme coreano de 2013 7-Bon-Bang-Ui Seon-Mul (2013).")</f>
        <v>Uma história de amor entre um pai mentalmente doente que era erroneamente acusado de assassinato e sua linda filha de seis anos. A prisão seria sua casa. Baseado no filme coreano de 2013 7-Bon-Bang-Ui Seon-Mul (2013).</v>
      </c>
      <c r="N93" s="1" t="s">
        <v>696</v>
      </c>
      <c r="O93" s="1" t="s">
        <v>697</v>
      </c>
      <c r="P93" s="1" t="s">
        <v>698</v>
      </c>
      <c r="Q93" s="1" t="s">
        <v>699</v>
      </c>
      <c r="R93" s="1" t="s">
        <v>700</v>
      </c>
      <c r="S93" s="1">
        <v>33935.0</v>
      </c>
      <c r="T93" s="7" t="str">
        <f>VLOOKUP(A93,Posters!A93:B1092,2)</f>
        <v>https://m.media-amazon.com/images/M/MV5BOGE3N2QxN2YtM2ZlNS00MWIyLWE1NDAtYWFlN2FiYjY1MjczXkEyXkFqcGdeQXVyOTUwNzc0ODc@._V1_UY98_CR1,0,67,98_AL_.jpg</v>
      </c>
      <c r="U93" s="8">
        <f>'Inflation Adjusted Gross'!F93</f>
        <v>17590447</v>
      </c>
      <c r="V93" s="5">
        <f t="shared" si="1"/>
        <v>2020</v>
      </c>
    </row>
    <row r="94">
      <c r="A94" s="1">
        <v>93.0</v>
      </c>
      <c r="B94" s="1" t="s">
        <v>701</v>
      </c>
      <c r="C94" s="6">
        <f>Gross_cleaning!E94</f>
        <v>18612999</v>
      </c>
      <c r="D94" s="1">
        <v>2005.0</v>
      </c>
      <c r="E94" s="1" t="s">
        <v>270</v>
      </c>
      <c r="F94" s="1" t="str">
        <f>VLOOKUP(Filmes_raw!E94,Rating_systems!$A$2:$C$29,3,FALSE)</f>
        <v>Criança</v>
      </c>
      <c r="G94" s="2">
        <f>Gross_cleaning!F94</f>
        <v>112</v>
      </c>
      <c r="H94" s="1" t="s">
        <v>295</v>
      </c>
      <c r="I94" s="1" t="s">
        <v>513</v>
      </c>
      <c r="J94" s="1">
        <v>8.3</v>
      </c>
      <c r="K94" s="1" t="s">
        <v>702</v>
      </c>
      <c r="L94" s="1" t="str">
        <f>IFERROR(__xludf.DUMMYFUNCTION("GOOGLETRANSLATE(K94,""en"", ""pt-br"")"),"A família de um jornalista de esquerda é dilacerada após o golpe militar da Turquia em 1980.")</f>
        <v>A família de um jornalista de esquerda é dilacerada após o golpe militar da Turquia em 1980.</v>
      </c>
      <c r="N94" s="1" t="s">
        <v>703</v>
      </c>
      <c r="O94" s="1" t="s">
        <v>439</v>
      </c>
      <c r="P94" s="1" t="s">
        <v>704</v>
      </c>
      <c r="Q94" s="1" t="s">
        <v>705</v>
      </c>
      <c r="R94" s="1" t="s">
        <v>706</v>
      </c>
      <c r="S94" s="1">
        <v>78925.0</v>
      </c>
      <c r="T94" s="7" t="str">
        <f>VLOOKUP(A94,Posters!A94:B1093,2)</f>
        <v>https://m.media-amazon.com/images/M/MV5BNjAzMzEwYzctNjc1MC00Nzg5LWFmMGItMTgzYmMyNTY2OTQ4XkEyXkFqcGdeQXVyNjU0OTQ0OTY@._V1_UY98_CR0,0,67,98_AL_.jpg</v>
      </c>
      <c r="U94" s="8">
        <f>'Inflation Adjusted Gross'!F94</f>
        <v>25178888</v>
      </c>
      <c r="V94" s="5">
        <f t="shared" si="1"/>
        <v>2020</v>
      </c>
    </row>
    <row r="95">
      <c r="A95" s="1">
        <v>94.0</v>
      </c>
      <c r="B95" s="1" t="s">
        <v>707</v>
      </c>
      <c r="C95" s="6">
        <f>Gross_cleaning!E95</f>
        <v>120540719</v>
      </c>
      <c r="D95" s="1">
        <v>2009.0</v>
      </c>
      <c r="E95" s="1" t="s">
        <v>18</v>
      </c>
      <c r="F95" s="1" t="str">
        <f>VLOOKUP(Filmes_raw!E95,Rating_systems!$A$2:$C$29,3,FALSE)</f>
        <v>Adulto</v>
      </c>
      <c r="G95" s="2">
        <f>Gross_cleaning!F95</f>
        <v>153</v>
      </c>
      <c r="H95" s="1" t="s">
        <v>179</v>
      </c>
      <c r="I95" s="1" t="s">
        <v>708</v>
      </c>
      <c r="J95" s="1">
        <v>8.3</v>
      </c>
      <c r="K95" s="1" t="s">
        <v>709</v>
      </c>
      <c r="L95" s="1" t="str">
        <f>IFERROR(__xludf.DUMMYFUNCTION("GOOGLETRANSLATE(K95,""en"", ""pt-br"")"),"Na França Nazi, ocupada durante a Segunda Guerra Mundial, um plano para assassinar os líderes nazistas por um grupo de soldados judeus de U.S. coincide com os planos vingativos de um dono de teatro para o mesmo.")</f>
        <v>Na França Nazi, ocupada durante a Segunda Guerra Mundial, um plano para assassinar os líderes nazistas por um grupo de soldados judeus de U.S. coincide com os planos vingativos de um dono de teatro para o mesmo.</v>
      </c>
      <c r="M95" s="1">
        <v>69.0</v>
      </c>
      <c r="N95" s="1" t="s">
        <v>72</v>
      </c>
      <c r="O95" s="1" t="s">
        <v>98</v>
      </c>
      <c r="P95" s="1" t="s">
        <v>710</v>
      </c>
      <c r="Q95" s="1" t="s">
        <v>711</v>
      </c>
      <c r="R95" s="1" t="s">
        <v>712</v>
      </c>
      <c r="S95" s="1">
        <v>1267869.0</v>
      </c>
      <c r="T95" s="7" t="str">
        <f>VLOOKUP(A95,Posters!A95:B1094,2)</f>
        <v>https://m.media-amazon.com/images/M/MV5BOTJiNDEzOWYtMTVjOC00ZjlmLWE0NGMtZmE1OWVmZDQ2OWJhXkEyXkFqcGdeQXVyNTIzOTk5ODM@._V1_UX67_CR0,0,67,98_AL_.jpg</v>
      </c>
      <c r="U95" s="8">
        <f>'Inflation Adjusted Gross'!F95</f>
        <v>147274642</v>
      </c>
      <c r="V95" s="5">
        <f t="shared" si="1"/>
        <v>2020</v>
      </c>
    </row>
    <row r="96">
      <c r="A96" s="1">
        <v>95.0</v>
      </c>
      <c r="B96" s="1" t="s">
        <v>713</v>
      </c>
      <c r="C96" s="6">
        <f>Gross_cleaning!E96</f>
        <v>34400301</v>
      </c>
      <c r="D96" s="1">
        <v>2004.0</v>
      </c>
      <c r="E96" s="1" t="s">
        <v>37</v>
      </c>
      <c r="F96" s="1" t="str">
        <f>VLOOKUP(Filmes_raw!E96,Rating_systems!$A$2:$C$29,3,FALSE)</f>
        <v>Criança</v>
      </c>
      <c r="G96" s="2">
        <f>Gross_cleaning!F96</f>
        <v>108</v>
      </c>
      <c r="H96" s="1" t="s">
        <v>714</v>
      </c>
      <c r="I96" s="1" t="s">
        <v>715</v>
      </c>
      <c r="J96" s="1">
        <v>8.3</v>
      </c>
      <c r="K96" s="1" t="s">
        <v>716</v>
      </c>
      <c r="L96" s="1" t="str">
        <f>IFERROR(__xludf.DUMMYFUNCTION("GOOGLETRANSLATE(K96,""en"", ""pt-br"")"),"Quando seu relacionamento se transforma, um casal passa por um procedimento médico para ter um ao outro apagado de suas memórias.")</f>
        <v>Quando seu relacionamento se transforma, um casal passa por um procedimento médico para ter um ao outro apagado de suas memórias.</v>
      </c>
      <c r="M96" s="1">
        <v>89.0</v>
      </c>
      <c r="N96" s="1" t="s">
        <v>717</v>
      </c>
      <c r="O96" s="1" t="s">
        <v>718</v>
      </c>
      <c r="P96" s="1" t="s">
        <v>719</v>
      </c>
      <c r="Q96" s="1" t="s">
        <v>720</v>
      </c>
      <c r="R96" s="1" t="s">
        <v>721</v>
      </c>
      <c r="S96" s="1">
        <v>911664.0</v>
      </c>
      <c r="T96" s="7" t="str">
        <f>VLOOKUP(A96,Posters!A96:B1095,2)</f>
        <v>https://m.media-amazon.com/images/M/MV5BMTY4NzcwODg3Nl5BMl5BanBnXkFtZTcwNTEwOTMyMw@@._V1_UX67_CR0,0,67,98_AL_.jpg</v>
      </c>
      <c r="U96" s="8">
        <f>'Inflation Adjusted Gross'!F96</f>
        <v>47917279</v>
      </c>
      <c r="V96" s="5">
        <f t="shared" si="1"/>
        <v>2020</v>
      </c>
    </row>
    <row r="97">
      <c r="A97" s="1">
        <v>96.0</v>
      </c>
      <c r="B97" s="1" t="s">
        <v>722</v>
      </c>
      <c r="C97" s="6">
        <f>Gross_cleaning!E97</f>
        <v>33225499</v>
      </c>
      <c r="D97" s="1">
        <v>2001.0</v>
      </c>
      <c r="E97" s="1" t="s">
        <v>52</v>
      </c>
      <c r="F97" s="1" t="str">
        <f>VLOOKUP(Filmes_raw!E97,Rating_systems!$A$2:$C$29,3,FALSE)</f>
        <v>Criança</v>
      </c>
      <c r="G97" s="2">
        <f>Gross_cleaning!F97</f>
        <v>122</v>
      </c>
      <c r="H97" s="1" t="s">
        <v>279</v>
      </c>
      <c r="I97" s="1" t="s">
        <v>723</v>
      </c>
      <c r="J97" s="1">
        <v>8.3</v>
      </c>
      <c r="K97" s="1" t="s">
        <v>724</v>
      </c>
      <c r="L97" s="1" t="str">
        <f>IFERROR(__xludf.DUMMYFUNCTION("GOOGLETRANSLATE(K97,""en"", ""pt-br"")"),"Amélie é uma garota inocente e ingênua em Paris com seu próprio senso de justiça. Ela decide ajudar aqueles ao seu redor e, ao longo do caminho, descobre o amor.")</f>
        <v>Amélie é uma garota inocente e ingênua em Paris com seu próprio senso de justiça. Ela decide ajudar aqueles ao seu redor e, ao longo do caminho, descobre o amor.</v>
      </c>
      <c r="M97" s="1">
        <v>69.0</v>
      </c>
      <c r="N97" s="1" t="s">
        <v>725</v>
      </c>
      <c r="O97" s="1" t="s">
        <v>726</v>
      </c>
      <c r="P97" s="1" t="s">
        <v>727</v>
      </c>
      <c r="Q97" s="1" t="s">
        <v>728</v>
      </c>
      <c r="R97" s="1" t="s">
        <v>729</v>
      </c>
      <c r="S97" s="1">
        <v>703810.0</v>
      </c>
      <c r="T97" s="7" t="str">
        <f>VLOOKUP(A97,Posters!A97:B1096,2)</f>
        <v>https://m.media-amazon.com/images/M/MV5BNDg4NjM1YjMtYmNhZC00MjM0LWFiZmYtNGY1YjA3MzZmODc5XkEyXkFqcGdeQXVyNDk3NzU2MTQ@._V1_UX67_CR0,0,67,98_AL_.jpg</v>
      </c>
      <c r="U97" s="8">
        <f>'Inflation Adjusted Gross'!F97</f>
        <v>48950401</v>
      </c>
      <c r="V97" s="5">
        <f t="shared" si="1"/>
        <v>2020</v>
      </c>
    </row>
    <row r="98">
      <c r="A98" s="1">
        <v>97.0</v>
      </c>
      <c r="B98" s="1" t="s">
        <v>730</v>
      </c>
      <c r="C98" s="6">
        <f>Gross_cleaning!E98</f>
        <v>30328156</v>
      </c>
      <c r="D98" s="1">
        <v>2000.0</v>
      </c>
      <c r="E98" s="1" t="s">
        <v>37</v>
      </c>
      <c r="F98" s="1" t="str">
        <f>VLOOKUP(Filmes_raw!E98,Rating_systems!$A$2:$C$29,3,FALSE)</f>
        <v>Criança</v>
      </c>
      <c r="G98" s="2">
        <f>Gross_cleaning!F98</f>
        <v>104</v>
      </c>
      <c r="H98" s="1" t="s">
        <v>647</v>
      </c>
      <c r="I98" s="1" t="s">
        <v>731</v>
      </c>
      <c r="J98" s="1">
        <v>8.3</v>
      </c>
      <c r="K98" s="1" t="s">
        <v>732</v>
      </c>
      <c r="L98" s="1" t="str">
        <f>IFERROR(__xludf.DUMMYFUNCTION("GOOGLETRANSLATE(K98,""en"", ""pt-br"")"),"Promotores de boxe inescrupulosos, bookmakers violentos, um gangster russo, ladrões amadores incompetentes e joalheiros supostamente judeus lutam para rastrear um diamante roubado inestimável.")</f>
        <v>Promotores de boxe inescrupulosos, bookmakers violentos, um gangster russo, ladrões amadores incompetentes e joalheiros supostamente judeus lutam para rastrear um diamante roubado inestimável.</v>
      </c>
      <c r="M98" s="1">
        <v>55.0</v>
      </c>
      <c r="N98" s="1" t="s">
        <v>733</v>
      </c>
      <c r="O98" s="1" t="s">
        <v>734</v>
      </c>
      <c r="P98" s="1" t="s">
        <v>98</v>
      </c>
      <c r="Q98" s="1" t="s">
        <v>735</v>
      </c>
      <c r="R98" s="1" t="s">
        <v>736</v>
      </c>
      <c r="S98" s="1">
        <v>782001.0</v>
      </c>
      <c r="T98" s="7" t="str">
        <f>VLOOKUP(A98,Posters!A98:B1097,2)</f>
        <v>https://m.media-amazon.com/images/M/MV5BMTA2NDYxOGYtYjU1Mi00Y2QzLTgxMTQtMWI1MGI0ZGQ5MmU4XkEyXkFqcGdeQXVyNDk3NzU2MTQ@._V1_UY98_CR0,0,67,98_AL_.jpg</v>
      </c>
      <c r="U98" s="8">
        <f>'Inflation Adjusted Gross'!F98</f>
        <v>46349436</v>
      </c>
      <c r="V98" s="5">
        <f t="shared" si="1"/>
        <v>2020</v>
      </c>
    </row>
    <row r="99">
      <c r="A99" s="1">
        <v>98.0</v>
      </c>
      <c r="B99" s="1" t="s">
        <v>737</v>
      </c>
      <c r="C99" s="6">
        <f>Gross_cleaning!E99</f>
        <v>3635482</v>
      </c>
      <c r="D99" s="1">
        <v>2000.0</v>
      </c>
      <c r="E99" s="1" t="s">
        <v>18</v>
      </c>
      <c r="F99" s="1" t="str">
        <f>VLOOKUP(Filmes_raw!E99,Rating_systems!$A$2:$C$29,3,FALSE)</f>
        <v>Adulto</v>
      </c>
      <c r="G99" s="2">
        <f>Gross_cleaning!F99</f>
        <v>102</v>
      </c>
      <c r="H99" s="1" t="s">
        <v>405</v>
      </c>
      <c r="I99" s="1" t="s">
        <v>20</v>
      </c>
      <c r="J99" s="1">
        <v>8.3</v>
      </c>
      <c r="K99" s="1" t="s">
        <v>738</v>
      </c>
      <c r="L99" s="1" t="str">
        <f>IFERROR(__xludf.DUMMYFUNCTION("GOOGLETRANSLATE(K99,""en"", ""pt-br"")"),"As utopias induzidas por drogas de quatro pessoas Coney Island são quebradas quando seus vícios correm profundamente.")</f>
        <v>As utopias induzidas por drogas de quatro pessoas Coney Island são quebradas quando seus vícios correm profundamente.</v>
      </c>
      <c r="M99" s="1">
        <v>68.0</v>
      </c>
      <c r="N99" s="1" t="s">
        <v>739</v>
      </c>
      <c r="O99" s="1" t="s">
        <v>740</v>
      </c>
      <c r="P99" s="1" t="s">
        <v>741</v>
      </c>
      <c r="Q99" s="1" t="s">
        <v>742</v>
      </c>
      <c r="R99" s="1" t="s">
        <v>743</v>
      </c>
      <c r="S99" s="1">
        <v>766870.0</v>
      </c>
      <c r="T99" s="7" t="str">
        <f>VLOOKUP(A99,Posters!A99:B1098,2)</f>
        <v>https://m.media-amazon.com/images/M/MV5BOTdiNzJlOWUtNWMwNS00NmFlLWI0YTEtZmI3YjIzZWUyY2Y3XkEyXkFqcGdeQXVyNjU0OTQ0OTY@._V1_UX67_CR0,0,67,98_AL_.jpg</v>
      </c>
      <c r="U99" s="8">
        <f>'Inflation Adjusted Gross'!F99</f>
        <v>5555977</v>
      </c>
      <c r="V99" s="5">
        <f t="shared" si="1"/>
        <v>2020</v>
      </c>
    </row>
    <row r="100">
      <c r="A100" s="1">
        <v>99.0</v>
      </c>
      <c r="B100" s="1" t="s">
        <v>744</v>
      </c>
      <c r="C100" s="6">
        <f>Gross_cleaning!E100</f>
        <v>130096601</v>
      </c>
      <c r="D100" s="1">
        <v>1999.0</v>
      </c>
      <c r="E100" s="1" t="s">
        <v>37</v>
      </c>
      <c r="F100" s="1" t="str">
        <f>VLOOKUP(Filmes_raw!E100,Rating_systems!$A$2:$C$29,3,FALSE)</f>
        <v>Criança</v>
      </c>
      <c r="G100" s="2">
        <f>Gross_cleaning!F100</f>
        <v>122</v>
      </c>
      <c r="H100" s="1" t="s">
        <v>279</v>
      </c>
      <c r="I100" s="1" t="s">
        <v>20</v>
      </c>
      <c r="J100" s="1">
        <v>8.3</v>
      </c>
      <c r="K100" s="1" t="s">
        <v>745</v>
      </c>
      <c r="L100" s="1" t="str">
        <f>IFERROR(__xludf.DUMMYFUNCTION("GOOGLETRANSLATE(K100,""en"", ""pt-br"")"),"Um pai suburbano sexualmente frustrado tem uma crise de meia-idade depois de se apaixonar com a melhor amiga da filha.")</f>
        <v>Um pai suburbano sexualmente frustrado tem uma crise de meia-idade depois de se apaixonar com a melhor amiga da filha.</v>
      </c>
      <c r="M100" s="1">
        <v>84.0</v>
      </c>
      <c r="N100" s="1" t="s">
        <v>641</v>
      </c>
      <c r="O100" s="1" t="s">
        <v>237</v>
      </c>
      <c r="P100" s="1" t="s">
        <v>746</v>
      </c>
      <c r="Q100" s="1" t="s">
        <v>747</v>
      </c>
      <c r="R100" s="1" t="s">
        <v>748</v>
      </c>
      <c r="S100" s="1">
        <v>1069738.0</v>
      </c>
      <c r="T100" s="7" t="str">
        <f>VLOOKUP(A100,Posters!A100:B1099,2)</f>
        <v>https://m.media-amazon.com/images/M/MV5BNTBmZWJkNjctNDhiNC00MGE2LWEwOTctZTk5OGVhMWMyNmVhXkEyXkFqcGdeQXVyMTMxODk2OTU@._V1_UX67_CR0,0,67,98_AL_.jpg</v>
      </c>
      <c r="U100" s="8">
        <f>'Inflation Adjusted Gross'!F100</f>
        <v>204267500</v>
      </c>
      <c r="V100" s="5">
        <f t="shared" si="1"/>
        <v>2020</v>
      </c>
    </row>
    <row r="101">
      <c r="A101" s="1">
        <v>100.0</v>
      </c>
      <c r="B101" s="1" t="s">
        <v>749</v>
      </c>
      <c r="C101" s="6">
        <f>Gross_cleaning!E101</f>
        <v>138433435</v>
      </c>
      <c r="D101" s="1">
        <v>1997.0</v>
      </c>
      <c r="E101" s="1" t="s">
        <v>52</v>
      </c>
      <c r="F101" s="1" t="str">
        <f>VLOOKUP(Filmes_raw!E101,Rating_systems!$A$2:$C$29,3,FALSE)</f>
        <v>Criança</v>
      </c>
      <c r="G101" s="2">
        <f>Gross_cleaning!F101</f>
        <v>126</v>
      </c>
      <c r="H101" s="1" t="s">
        <v>428</v>
      </c>
      <c r="I101" s="1" t="s">
        <v>107</v>
      </c>
      <c r="J101" s="1">
        <v>8.3</v>
      </c>
      <c r="K101" s="1" t="s">
        <v>750</v>
      </c>
      <c r="L101" s="1" t="str">
        <f>IFERROR(__xludf.DUMMYFUNCTION("GOOGLETRANSLATE(K101,""en"", ""pt-br"")"),"Vai caçar, um zelador na m.i.t., tem um presente para a matemática, mas precisa de ajuda de um psicólogo para encontrar a direção em sua vida.")</f>
        <v>Vai caçar, um zelador na m.i.t., tem um presente para a matemática, mas precisa de ajuda de um psicólogo para encontrar a direção em sua vida.</v>
      </c>
      <c r="M101" s="1">
        <v>70.0</v>
      </c>
      <c r="N101" s="1" t="s">
        <v>751</v>
      </c>
      <c r="O101" s="1" t="s">
        <v>752</v>
      </c>
      <c r="P101" s="1" t="s">
        <v>215</v>
      </c>
      <c r="Q101" s="1" t="s">
        <v>753</v>
      </c>
      <c r="R101" s="1" t="s">
        <v>754</v>
      </c>
      <c r="S101" s="1">
        <v>861606.0</v>
      </c>
      <c r="T101" s="7" t="str">
        <f>VLOOKUP(A101,Posters!A101:B1100,2)</f>
        <v>https://m.media-amazon.com/images/M/MV5BOTI0MzcxMTYtZDVkMy00NjY1LTgyMTYtZmUxN2M3NmQ2NWJhXkEyXkFqcGdeQXVyMTQxNzMzNDI@._V1_UX67_CR0,0,67,98_AL_.jpg</v>
      </c>
      <c r="U101" s="8">
        <f>'Inflation Adjusted Gross'!F101</f>
        <v>224461419</v>
      </c>
      <c r="V101" s="5">
        <f t="shared" si="1"/>
        <v>2020</v>
      </c>
    </row>
    <row r="102">
      <c r="A102" s="1">
        <v>101.0</v>
      </c>
      <c r="B102" s="1" t="s">
        <v>755</v>
      </c>
      <c r="C102" s="6">
        <f>Gross_cleaning!E102</f>
        <v>933933</v>
      </c>
      <c r="D102" s="1">
        <v>1997.0</v>
      </c>
      <c r="E102" s="1" t="s">
        <v>270</v>
      </c>
      <c r="F102" s="1" t="str">
        <f>VLOOKUP(Filmes_raw!E102,Rating_systems!$A$2:$C$29,3,FALSE)</f>
        <v>Criança</v>
      </c>
      <c r="G102" s="2">
        <f>Gross_cleaning!F102</f>
        <v>89</v>
      </c>
      <c r="H102" s="1" t="s">
        <v>374</v>
      </c>
      <c r="I102" s="1" t="s">
        <v>756</v>
      </c>
      <c r="J102" s="1">
        <v>8.3</v>
      </c>
      <c r="K102" s="1" t="s">
        <v>757</v>
      </c>
      <c r="L102" s="1" t="str">
        <f>IFERROR(__xludf.DUMMYFUNCTION("GOOGLETRANSLATE(K102,""en"", ""pt-br"")"),"Depois que um menino perde o par de sapatos de sua irmã, ele vai em uma série de aventuras para encontrá-los. Quando ele não pode, ele tenta uma nova maneira de ""ganhar"" um novo par.")</f>
        <v>Depois que um menino perde o par de sapatos de sua irmã, ele vai em uma série de aventuras para encontrá-los. Quando ele não pode, ele tenta uma nova maneira de "ganhar" um novo par.</v>
      </c>
      <c r="M102" s="1">
        <v>77.0</v>
      </c>
      <c r="N102" s="1" t="s">
        <v>758</v>
      </c>
      <c r="O102" s="1" t="s">
        <v>759</v>
      </c>
      <c r="P102" s="1" t="s">
        <v>760</v>
      </c>
      <c r="Q102" s="1" t="s">
        <v>761</v>
      </c>
      <c r="R102" s="1" t="s">
        <v>762</v>
      </c>
      <c r="S102" s="1">
        <v>65341.0</v>
      </c>
      <c r="T102" s="7" t="str">
        <f>VLOOKUP(A102,Posters!A102:B1101,2)</f>
        <v>https://m.media-amazon.com/images/M/MV5BZTYwZWQ4ZTQtZWU0MS00N2YwLWEzMDItZWFkZWY0MWVjODVhXkEyXkFqcGdeQXVyNjU0OTQ0OTY@._V1_UX67_CR0,0,67,98_AL_.jpg</v>
      </c>
      <c r="U102" s="8">
        <f>'Inflation Adjusted Gross'!F102</f>
        <v>1514316</v>
      </c>
      <c r="V102" s="5">
        <f t="shared" si="1"/>
        <v>2020</v>
      </c>
    </row>
    <row r="103">
      <c r="A103" s="1">
        <v>102.0</v>
      </c>
      <c r="B103" s="1" t="s">
        <v>763</v>
      </c>
      <c r="C103" s="6">
        <f>Gross_cleaning!E103</f>
        <v>191796233</v>
      </c>
      <c r="D103" s="1">
        <v>1995.0</v>
      </c>
      <c r="E103" s="1" t="s">
        <v>52</v>
      </c>
      <c r="F103" s="1" t="str">
        <f>VLOOKUP(Filmes_raw!E103,Rating_systems!$A$2:$C$29,3,FALSE)</f>
        <v>Criança</v>
      </c>
      <c r="G103" s="2">
        <f>Gross_cleaning!F103</f>
        <v>81</v>
      </c>
      <c r="H103" s="1" t="s">
        <v>764</v>
      </c>
      <c r="I103" s="1" t="s">
        <v>765</v>
      </c>
      <c r="J103" s="1">
        <v>8.3</v>
      </c>
      <c r="K103" s="1" t="s">
        <v>766</v>
      </c>
      <c r="L103" s="1" t="str">
        <f>IFERROR(__xludf.DUMMYFUNCTION("GOOGLETRANSLATE(K103,""en"", ""pt-br"")"),"Uma boneca de cowboy é profundamente ameaçada e com ciúmes quando uma nova figura de navegação o supõe como topete no quarto de um menino.")</f>
        <v>Uma boneca de cowboy é profundamente ameaçada e com ciúmes quando uma nova figura de navegação o supõe como topete no quarto de um menino.</v>
      </c>
      <c r="M103" s="1">
        <v>95.0</v>
      </c>
      <c r="N103" s="1" t="s">
        <v>767</v>
      </c>
      <c r="O103" s="1" t="s">
        <v>110</v>
      </c>
      <c r="P103" s="1" t="s">
        <v>768</v>
      </c>
      <c r="Q103" s="1" t="s">
        <v>769</v>
      </c>
      <c r="R103" s="1" t="s">
        <v>770</v>
      </c>
      <c r="S103" s="1">
        <v>887429.0</v>
      </c>
      <c r="T103" s="7" t="str">
        <f>VLOOKUP(A103,Posters!A103:B1102,2)</f>
        <v>https://m.media-amazon.com/images/M/MV5BMDU2ZWJlMjktMTRhMy00ZTA5LWEzNDgtYmNmZTEwZTViZWJkXkEyXkFqcGdeQXVyNDQ2OTk4MzI@._V1_UX67_CR0,0,67,98_AL_.jpg</v>
      </c>
      <c r="U103" s="8">
        <f>'Inflation Adjusted Gross'!F103</f>
        <v>329194052</v>
      </c>
      <c r="V103" s="5">
        <f t="shared" si="1"/>
        <v>2020</v>
      </c>
    </row>
    <row r="104">
      <c r="A104" s="1">
        <v>103.0</v>
      </c>
      <c r="B104" s="1" t="s">
        <v>771</v>
      </c>
      <c r="C104" s="6">
        <f>Gross_cleaning!E104</f>
        <v>75600000</v>
      </c>
      <c r="D104" s="1">
        <v>1995.0</v>
      </c>
      <c r="E104" s="1" t="s">
        <v>18</v>
      </c>
      <c r="F104" s="1" t="str">
        <f>VLOOKUP(Filmes_raw!E104,Rating_systems!$A$2:$C$29,3,FALSE)</f>
        <v>Adulto</v>
      </c>
      <c r="G104" s="2">
        <f>Gross_cleaning!F104</f>
        <v>178</v>
      </c>
      <c r="H104" s="1" t="s">
        <v>103</v>
      </c>
      <c r="I104" s="1" t="s">
        <v>79</v>
      </c>
      <c r="J104" s="1">
        <v>8.3</v>
      </c>
      <c r="K104" s="1" t="s">
        <v>772</v>
      </c>
      <c r="L104" s="1" t="str">
        <f>IFERROR(__xludf.DUMMYFUNCTION("GOOGLETRANSLATE(K104,""en"", ""pt-br"")"),"Guerreiro escocês William Wallace leva seus compatriotas em uma rebelião para libertar sua terra natal da tirania do rei Edward I da Inglaterra.")</f>
        <v>Guerreiro escocês William Wallace leva seus compatriotas em uma rebelião para libertar sua terra natal da tirania do rei Edward I da Inglaterra.</v>
      </c>
      <c r="M104" s="1">
        <v>68.0</v>
      </c>
      <c r="N104" s="1" t="s">
        <v>773</v>
      </c>
      <c r="O104" s="1" t="s">
        <v>773</v>
      </c>
      <c r="P104" s="1" t="s">
        <v>774</v>
      </c>
      <c r="Q104" s="1" t="s">
        <v>775</v>
      </c>
      <c r="R104" s="1" t="s">
        <v>776</v>
      </c>
      <c r="S104" s="1">
        <v>959181.0</v>
      </c>
      <c r="T104" s="7" t="str">
        <f>VLOOKUP(A104,Posters!A104:B1103,2)</f>
        <v>https://m.media-amazon.com/images/M/MV5BMzkzMmU0YTYtOWM3My00YzBmLWI0YzctOGYyNTkwMWE5MTJkXkEyXkFqcGdeQXVyNzkwMjQ5NzM@._V1_UX67_CR0,0,67,98_AL_.jpg</v>
      </c>
      <c r="U104" s="8">
        <f>'Inflation Adjusted Gross'!F104</f>
        <v>129757868</v>
      </c>
      <c r="V104" s="5">
        <f t="shared" si="1"/>
        <v>2020</v>
      </c>
    </row>
    <row r="105">
      <c r="A105" s="1">
        <v>104.0</v>
      </c>
      <c r="B105" s="1" t="s">
        <v>777</v>
      </c>
      <c r="C105" s="6">
        <f>Gross_cleaning!E105</f>
        <v>2832029</v>
      </c>
      <c r="D105" s="1">
        <v>1992.0</v>
      </c>
      <c r="E105" s="1" t="s">
        <v>212</v>
      </c>
      <c r="F105" s="1" t="str">
        <f>VLOOKUP(Filmes_raw!E105,Rating_systems!$A$2:$C$29,3,FALSE)</f>
        <v>Adulto</v>
      </c>
      <c r="G105" s="2">
        <f>Gross_cleaning!F105</f>
        <v>99</v>
      </c>
      <c r="H105" s="1" t="s">
        <v>778</v>
      </c>
      <c r="I105" s="1" t="s">
        <v>241</v>
      </c>
      <c r="J105" s="1">
        <v>8.3</v>
      </c>
      <c r="K105" s="1" t="s">
        <v>779</v>
      </c>
      <c r="L105" s="1" t="str">
        <f>IFERROR(__xludf.DUMMYFUNCTION("GOOGLETRANSLATE(K105,""en"", ""pt-br"")"),"Quando um heist de jóias simples vai terrivelmente errado, os criminosos sobreviventes começam a suspeitar que um deles é um informante da polícia.")</f>
        <v>Quando um heist de jóias simples vai terrivelmente errado, os criminosos sobreviventes começam a suspeitar que um deles é um informante da polícia.</v>
      </c>
      <c r="M105" s="1">
        <v>79.0</v>
      </c>
      <c r="N105" s="1" t="s">
        <v>72</v>
      </c>
      <c r="O105" s="1" t="s">
        <v>780</v>
      </c>
      <c r="P105" s="1" t="s">
        <v>781</v>
      </c>
      <c r="Q105" s="1" t="s">
        <v>782</v>
      </c>
      <c r="R105" s="1" t="s">
        <v>783</v>
      </c>
      <c r="S105" s="1">
        <v>918562.0</v>
      </c>
      <c r="T105" s="7" t="str">
        <f>VLOOKUP(A105,Posters!A105:B1104,2)</f>
        <v>https://m.media-amazon.com/images/M/MV5BZmExNmEwYWItYmQzOS00YjA5LTk2MjktZjEyZDE1Y2QxNjA1XkEyXkFqcGdeQXVyMTQxNzMzNDI@._V1_UX67_CR0,0,67,98_AL_.jpg</v>
      </c>
      <c r="U105" s="8">
        <f>'Inflation Adjusted Gross'!F105</f>
        <v>5290234</v>
      </c>
      <c r="V105" s="5">
        <f t="shared" si="1"/>
        <v>2020</v>
      </c>
    </row>
    <row r="106">
      <c r="A106" s="1">
        <v>105.0</v>
      </c>
      <c r="B106" s="1" t="s">
        <v>784</v>
      </c>
      <c r="C106" s="6">
        <f>Gross_cleaning!E106</f>
        <v>46357676</v>
      </c>
      <c r="D106" s="1">
        <v>1987.0</v>
      </c>
      <c r="E106" s="1" t="s">
        <v>37</v>
      </c>
      <c r="F106" s="1" t="str">
        <f>VLOOKUP(Filmes_raw!E106,Rating_systems!$A$2:$C$29,3,FALSE)</f>
        <v>Criança</v>
      </c>
      <c r="G106" s="2">
        <f>Gross_cleaning!F106</f>
        <v>116</v>
      </c>
      <c r="H106" s="1" t="s">
        <v>226</v>
      </c>
      <c r="I106" s="1" t="s">
        <v>213</v>
      </c>
      <c r="J106" s="1">
        <v>8.3</v>
      </c>
      <c r="K106" s="1" t="s">
        <v>785</v>
      </c>
      <c r="L106" s="1" t="str">
        <f>IFERROR(__xludf.DUMMYFUNCTION("GOOGLETRANSLATE(K106,""en"", ""pt-br"")"),"Um pragmático U.S. Marine observa os efeitos desumanizantes que a Guerra do Vietnã tem em seus colegas recrutas de seu treinamento brutal de bota-bota para a bloody street lutando em matiz.")</f>
        <v>Um pragmático U.S. Marine observa os efeitos desumanizantes que a Guerra do Vietnã tem em seus colegas recrutas de seu treinamento brutal de bota-bota para a bloody street lutando em matiz.</v>
      </c>
      <c r="M106" s="1">
        <v>76.0</v>
      </c>
      <c r="N106" s="1" t="s">
        <v>571</v>
      </c>
      <c r="O106" s="1" t="s">
        <v>786</v>
      </c>
      <c r="P106" s="1" t="s">
        <v>787</v>
      </c>
      <c r="Q106" s="1" t="s">
        <v>788</v>
      </c>
      <c r="R106" s="1" t="s">
        <v>789</v>
      </c>
      <c r="S106" s="1">
        <v>675146.0</v>
      </c>
      <c r="T106" s="7" t="str">
        <f>VLOOKUP(A106,Posters!A106:B1105,2)</f>
        <v>https://m.media-amazon.com/images/M/MV5BNzkxODk0NjEtYjc4Mi00ZDI0LTgyYjEtYzc1NDkxY2YzYTgyXkEyXkFqcGdeQXVyNzkwMjQ5NzM@._V1_UX67_CR0,0,67,98_AL_.jpg</v>
      </c>
      <c r="U106" s="8">
        <f>'Inflation Adjusted Gross'!F106</f>
        <v>107544389</v>
      </c>
      <c r="V106" s="5">
        <f t="shared" si="1"/>
        <v>2020</v>
      </c>
    </row>
    <row r="107">
      <c r="A107" s="1">
        <v>106.0</v>
      </c>
      <c r="B107" s="1" t="s">
        <v>790</v>
      </c>
      <c r="C107" s="6">
        <f>Gross_cleaning!E107</f>
        <v>71909</v>
      </c>
      <c r="D107" s="1">
        <v>1985.0</v>
      </c>
      <c r="E107" s="1" t="s">
        <v>18</v>
      </c>
      <c r="F107" s="1" t="str">
        <f>VLOOKUP(Filmes_raw!E107,Rating_systems!$A$2:$C$29,3,FALSE)</f>
        <v>Adulto</v>
      </c>
      <c r="G107" s="2">
        <f>Gross_cleaning!F107</f>
        <v>142</v>
      </c>
      <c r="H107" s="1" t="s">
        <v>19</v>
      </c>
      <c r="I107" s="1" t="s">
        <v>639</v>
      </c>
      <c r="J107" s="1">
        <v>8.3</v>
      </c>
      <c r="K107" s="1" t="s">
        <v>791</v>
      </c>
      <c r="L107" s="1" t="str">
        <f>IFERROR(__xludf.DUMMYFUNCTION("GOOGLETRANSLATE(K107,""en"", ""pt-br"")"),"Depois de encontrar um rifle antigo, um menino se junta ao movimento da resistência soviética contra forças alemãs implacáveis ​​e experimenta os horrores da Segunda Guerra Mundial.")</f>
        <v>Depois de encontrar um rifle antigo, um menino se junta ao movimento da resistência soviética contra forças alemãs implacáveis ​​e experimenta os horrores da Segunda Guerra Mundial.</v>
      </c>
      <c r="N107" s="1" t="s">
        <v>792</v>
      </c>
      <c r="O107" s="1" t="s">
        <v>793</v>
      </c>
      <c r="P107" s="1" t="s">
        <v>794</v>
      </c>
      <c r="Q107" s="1" t="s">
        <v>795</v>
      </c>
      <c r="R107" s="1" t="s">
        <v>796</v>
      </c>
      <c r="S107" s="1">
        <v>59056.0</v>
      </c>
      <c r="T107" s="7" t="str">
        <f>VLOOKUP(A107,Posters!A107:B1106,2)</f>
        <v>https://m.media-amazon.com/images/M/MV5BODM4Njg0NTAtYjI5Ny00ZjAxLTkwNmItZTMxMWU5M2U3M2RjXkEyXkFqcGdeQXVyNzkwMjQ5NzM@._V1_UX67_CR0,0,67,98_AL_.jpg</v>
      </c>
      <c r="U107" s="8">
        <f>'Inflation Adjusted Gross'!F107</f>
        <v>175834</v>
      </c>
      <c r="V107" s="5">
        <f t="shared" si="1"/>
        <v>2020</v>
      </c>
    </row>
    <row r="108">
      <c r="A108" s="1">
        <v>107.0</v>
      </c>
      <c r="B108" s="1" t="s">
        <v>797</v>
      </c>
      <c r="C108" s="6">
        <f>Gross_cleaning!E108</f>
        <v>85160248</v>
      </c>
      <c r="D108" s="1">
        <v>1986.0</v>
      </c>
      <c r="E108" s="1" t="s">
        <v>52</v>
      </c>
      <c r="F108" s="1" t="str">
        <f>VLOOKUP(Filmes_raw!E108,Rating_systems!$A$2:$C$29,3,FALSE)</f>
        <v>Criança</v>
      </c>
      <c r="G108" s="2">
        <f>Gross_cleaning!F108</f>
        <v>137</v>
      </c>
      <c r="H108" s="1" t="s">
        <v>360</v>
      </c>
      <c r="I108" s="1" t="s">
        <v>88</v>
      </c>
      <c r="J108" s="1">
        <v>8.3</v>
      </c>
      <c r="K108" s="1" t="s">
        <v>798</v>
      </c>
      <c r="L108" s="1" t="str">
        <f>IFERROR(__xludf.DUMMYFUNCTION("GOOGLETRANSLATE(K108,""en"", ""pt-br"")"),"Cinqüenta e sete anos depois de sobreviver a um ataque apocalíptico a bordo de sua embarcação espacial por criaturas espaciais impiedosas, o oficial Ripley desperta de Hyper-sono e tenta avisar quem vai ouvir sobre os predadores.")</f>
        <v>Cinqüenta e sete anos depois de sobreviver a um ataque apocalíptico a bordo de sua embarcação espacial por criaturas espaciais impiedosas, o oficial Ripley desperta de Hyper-sono e tenta avisar quem vai ouvir sobre os predadores.</v>
      </c>
      <c r="M108" s="1">
        <v>84.0</v>
      </c>
      <c r="N108" s="1" t="s">
        <v>362</v>
      </c>
      <c r="O108" s="1" t="s">
        <v>583</v>
      </c>
      <c r="P108" s="1" t="s">
        <v>799</v>
      </c>
      <c r="Q108" s="1" t="s">
        <v>800</v>
      </c>
      <c r="R108" s="1" t="s">
        <v>293</v>
      </c>
      <c r="S108" s="1">
        <v>652719.0</v>
      </c>
      <c r="T108" s="7" t="str">
        <f>VLOOKUP(A108,Posters!A108:B1107,2)</f>
        <v>https://m.media-amazon.com/images/M/MV5BZGU2OGY5ZTYtMWNhYy00NjZiLWI0NjUtZmNhY2JhNDRmODU3XkEyXkFqcGdeQXVyNzkwMjQ5NzM@._V1_UX67_CR0,0,67,98_AL_.jpg</v>
      </c>
      <c r="U108" s="8">
        <f>'Inflation Adjusted Gross'!F108</f>
        <v>200445934</v>
      </c>
      <c r="V108" s="5">
        <f t="shared" si="1"/>
        <v>2020</v>
      </c>
    </row>
    <row r="109">
      <c r="A109" s="1">
        <v>108.0</v>
      </c>
      <c r="B109" s="1" t="s">
        <v>801</v>
      </c>
      <c r="C109" s="6">
        <f>Gross_cleaning!E109</f>
        <v>51973029</v>
      </c>
      <c r="D109" s="1">
        <v>1984.0</v>
      </c>
      <c r="E109" s="1" t="s">
        <v>212</v>
      </c>
      <c r="F109" s="1" t="str">
        <f>VLOOKUP(Filmes_raw!E109,Rating_systems!$A$2:$C$29,3,FALSE)</f>
        <v>Adulto</v>
      </c>
      <c r="G109" s="2">
        <f>Gross_cleaning!F109</f>
        <v>160</v>
      </c>
      <c r="H109" s="1" t="s">
        <v>162</v>
      </c>
      <c r="I109" s="1" t="s">
        <v>79</v>
      </c>
      <c r="J109" s="1">
        <v>8.3</v>
      </c>
      <c r="K109" s="1" t="s">
        <v>802</v>
      </c>
      <c r="L109" s="1" t="str">
        <f>IFERROR(__xludf.DUMMYFUNCTION("GOOGLETRANSLATE(K109,""en"", ""pt-br"")"),"A vida, sucesso e problemas de Wolfgang Amadeus Mozart, como contado por Antonio Salieri, o compositor contemporâneo que estava insanamente ciumento do talento de Mozart e alegou que o assassinou.")</f>
        <v>A vida, sucesso e problemas de Wolfgang Amadeus Mozart, como contado por Antonio Salieri, o compositor contemporâneo que estava insanamente ciumento do talento de Mozart e alegou que o assassinou.</v>
      </c>
      <c r="M109" s="1">
        <v>88.0</v>
      </c>
      <c r="N109" s="1" t="s">
        <v>155</v>
      </c>
      <c r="O109" s="1" t="s">
        <v>803</v>
      </c>
      <c r="P109" s="1" t="s">
        <v>804</v>
      </c>
      <c r="Q109" s="1" t="s">
        <v>805</v>
      </c>
      <c r="R109" s="1" t="s">
        <v>806</v>
      </c>
      <c r="S109" s="1">
        <v>369007.0</v>
      </c>
      <c r="T109" s="7" t="str">
        <f>VLOOKUP(A109,Posters!A109:B1108,2)</f>
        <v>https://m.media-amazon.com/images/M/MV5BNWJlNzUzNGMtYTAwMS00ZjI2LWFmNWQtODcxNWUxODA5YmU1XkEyXkFqcGdeQXVyNTIzOTk5ODM@._V1_UX67_CR0,0,67,98_AL_.jpg</v>
      </c>
      <c r="U109" s="8">
        <f>'Inflation Adjusted Gross'!F109</f>
        <v>131575410</v>
      </c>
      <c r="V109" s="5">
        <f t="shared" si="1"/>
        <v>2020</v>
      </c>
    </row>
    <row r="110">
      <c r="A110" s="1">
        <v>109.0</v>
      </c>
      <c r="B110" s="1" t="s">
        <v>807</v>
      </c>
      <c r="C110" s="6">
        <f>Gross_cleaning!E110</f>
        <v>45598982</v>
      </c>
      <c r="D110" s="1">
        <v>1983.0</v>
      </c>
      <c r="E110" s="1" t="s">
        <v>18</v>
      </c>
      <c r="F110" s="1" t="str">
        <f>VLOOKUP(Filmes_raw!E110,Rating_systems!$A$2:$C$29,3,FALSE)</f>
        <v>Adulto</v>
      </c>
      <c r="G110" s="2">
        <f>Gross_cleaning!F110</f>
        <v>170</v>
      </c>
      <c r="H110" s="1" t="s">
        <v>506</v>
      </c>
      <c r="I110" s="1" t="s">
        <v>29</v>
      </c>
      <c r="J110" s="1">
        <v>8.3</v>
      </c>
      <c r="K110" s="1" t="s">
        <v>808</v>
      </c>
      <c r="L110" s="1" t="str">
        <f>IFERROR(__xludf.DUMMYFUNCTION("GOOGLETRANSLATE(K110,""en"", ""pt-br"")"),"Em 1980, Miami, um imigrante cubano determinado assume um cartel de drogas e sucumba à ganância.")</f>
        <v>Em 1980, Miami, um imigrante cubano determinado assume um cartel de drogas e sucumba à ganância.</v>
      </c>
      <c r="M110" s="1">
        <v>65.0</v>
      </c>
      <c r="N110" s="1" t="s">
        <v>809</v>
      </c>
      <c r="O110" s="1" t="s">
        <v>33</v>
      </c>
      <c r="P110" s="1" t="s">
        <v>810</v>
      </c>
      <c r="Q110" s="1" t="s">
        <v>811</v>
      </c>
      <c r="R110" s="1" t="s">
        <v>812</v>
      </c>
      <c r="S110" s="1">
        <v>740911.0</v>
      </c>
      <c r="T110" s="7" t="str">
        <f>VLOOKUP(A110,Posters!A110:B1109,2)</f>
        <v>https://m.media-amazon.com/images/M/MV5BNjdjNGQ4NDEtNTEwYS00MTgxLTliYzQtYzE2ZDRiZjFhZmNlXkEyXkFqcGdeQXVyNjU0OTQ0OTY@._V1_UX67_CR0,0,67,98_AL_.jpg</v>
      </c>
      <c r="U110" s="8">
        <f>'Inflation Adjusted Gross'!F110</f>
        <v>120278272</v>
      </c>
      <c r="V110" s="5">
        <f t="shared" si="1"/>
        <v>2020</v>
      </c>
    </row>
    <row r="111">
      <c r="A111" s="1">
        <v>110.0</v>
      </c>
      <c r="B111" s="1" t="s">
        <v>813</v>
      </c>
      <c r="C111" s="6">
        <f>Gross_cleaning!E111</f>
        <v>309125409</v>
      </c>
      <c r="D111" s="1">
        <v>1983.0</v>
      </c>
      <c r="E111" s="1" t="s">
        <v>52</v>
      </c>
      <c r="F111" s="1" t="str">
        <f>VLOOKUP(Filmes_raw!E111,Rating_systems!$A$2:$C$29,3,FALSE)</f>
        <v>Criança</v>
      </c>
      <c r="G111" s="2">
        <f>Gross_cleaning!F111</f>
        <v>131</v>
      </c>
      <c r="H111" s="1" t="s">
        <v>686</v>
      </c>
      <c r="I111" s="1" t="s">
        <v>145</v>
      </c>
      <c r="J111" s="1">
        <v>8.3</v>
      </c>
      <c r="K111" s="1" t="s">
        <v>814</v>
      </c>
      <c r="L111" s="1" t="str">
        <f>IFERROR(__xludf.DUMMYFUNCTION("GOOGLETRANSLATE(K111,""en"", ""pt-br"")"),"Depois de uma missão ousada para resgatar Han Solo de Jabba, o Hutt, os rebeldes despacharem para enverrar para destruir a segunda estrela da morte. Enquanto isso, Luke luta para ajudar a Darth Vader de volta do lado negro sem cair na armadilha do imperad"&amp;"or.")</f>
        <v>Depois de uma missão ousada para resgatar Han Solo de Jabba, o Hutt, os rebeldes despacharem para enverrar para destruir a segunda estrela da morte. Enquanto isso, Luke luta para ajudar a Darth Vader de volta do lado negro sem cair na armadilha do imperador.</v>
      </c>
      <c r="M111" s="1">
        <v>58.0</v>
      </c>
      <c r="N111" s="1" t="s">
        <v>815</v>
      </c>
      <c r="O111" s="1" t="s">
        <v>148</v>
      </c>
      <c r="P111" s="1" t="s">
        <v>149</v>
      </c>
      <c r="Q111" s="1" t="s">
        <v>150</v>
      </c>
      <c r="R111" s="1" t="s">
        <v>151</v>
      </c>
      <c r="S111" s="1">
        <v>950470.0</v>
      </c>
      <c r="T111" s="7" t="str">
        <f>VLOOKUP(A111,Posters!A111:B1110,2)</f>
        <v>https://m.media-amazon.com/images/M/MV5BOWZlMjFiYzgtMTUzNC00Y2IzLTk1NTMtZmNhMTczNTk0ODk1XkEyXkFqcGdeQXVyNTAyODkwOQ@@._V1_UX67_CR0,0,67,98_AL_.jpg</v>
      </c>
      <c r="U111" s="8">
        <f>'Inflation Adjusted Gross'!F111</f>
        <v>815392546</v>
      </c>
      <c r="V111" s="5">
        <f t="shared" si="1"/>
        <v>2020</v>
      </c>
    </row>
    <row r="112">
      <c r="A112" s="1">
        <v>111.0</v>
      </c>
      <c r="B112" s="1" t="s">
        <v>816</v>
      </c>
      <c r="C112" s="6">
        <f>Gross_cleaning!E112</f>
        <v>11487676</v>
      </c>
      <c r="D112" s="1">
        <v>1981.0</v>
      </c>
      <c r="E112" s="1" t="s">
        <v>212</v>
      </c>
      <c r="F112" s="1" t="str">
        <f>VLOOKUP(Filmes_raw!E112,Rating_systems!$A$2:$C$29,3,FALSE)</f>
        <v>Adulto</v>
      </c>
      <c r="G112" s="2">
        <f>Gross_cleaning!F112</f>
        <v>149</v>
      </c>
      <c r="H112" s="1" t="s">
        <v>483</v>
      </c>
      <c r="I112" s="1" t="s">
        <v>817</v>
      </c>
      <c r="J112" s="1">
        <v>8.3</v>
      </c>
      <c r="K112" s="1" t="s">
        <v>818</v>
      </c>
      <c r="L112" s="1" t="str">
        <f>IFERROR(__xludf.DUMMYFUNCTION("GOOGLETRANSLATE(K112,""en"", ""pt-br"")"),"O mundo claustrofóbico de uma WWII alemão U-barco; Tédio, sujeira e puro terror.")</f>
        <v>O mundo claustrofóbico de uma WWII alemão U-barco; Tédio, sujeira e puro terror.</v>
      </c>
      <c r="M112" s="1">
        <v>86.0</v>
      </c>
      <c r="N112" s="1" t="s">
        <v>819</v>
      </c>
      <c r="O112" s="1" t="s">
        <v>820</v>
      </c>
      <c r="P112" s="1" t="s">
        <v>821</v>
      </c>
      <c r="Q112" s="1" t="s">
        <v>822</v>
      </c>
      <c r="R112" s="1" t="s">
        <v>823</v>
      </c>
      <c r="S112" s="1">
        <v>231855.0</v>
      </c>
      <c r="T112" s="7" t="str">
        <f>VLOOKUP(A112,Posters!A112:B1111,2)</f>
        <v>https://m.media-amazon.com/images/M/MV5BOGZhZDIzNWMtNjkxMS00MDQ1LThkMTYtZWQzYWU3MWMxMGU5XkEyXkFqcGdeQXVyNjc1NTYyMjg@._V1_UX67_CR0,0,67,98_AL_.jpg</v>
      </c>
      <c r="U112" s="8">
        <f>'Inflation Adjusted Gross'!F112</f>
        <v>34063072</v>
      </c>
      <c r="V112" s="5">
        <f t="shared" si="1"/>
        <v>2020</v>
      </c>
    </row>
    <row r="113">
      <c r="A113" s="1">
        <v>112.0</v>
      </c>
      <c r="B113" s="1" t="s">
        <v>824</v>
      </c>
      <c r="C113" s="6">
        <f>Gross_cleaning!E113</f>
        <v>28262574</v>
      </c>
      <c r="D113" s="1">
        <v>1976.0</v>
      </c>
      <c r="E113" s="1" t="s">
        <v>18</v>
      </c>
      <c r="F113" s="1" t="str">
        <f>VLOOKUP(Filmes_raw!E113,Rating_systems!$A$2:$C$29,3,FALSE)</f>
        <v>Adulto</v>
      </c>
      <c r="G113" s="2">
        <f>Gross_cleaning!F113</f>
        <v>114</v>
      </c>
      <c r="H113" s="1" t="s">
        <v>825</v>
      </c>
      <c r="I113" s="1" t="s">
        <v>29</v>
      </c>
      <c r="J113" s="1">
        <v>8.3</v>
      </c>
      <c r="K113" s="1" t="s">
        <v>826</v>
      </c>
      <c r="L113" s="1" t="str">
        <f>IFERROR(__xludf.DUMMYFUNCTION("GOOGLETRANSLATE(K113,""en"", ""pt-br"")"),"Um veterano mentalmente instável funciona como um motorista de táxi noturno em Nova York, onde a decadência percebida e a sleaze alimenta sua vontade de ação violenta, tentando liberar um trabalhador de campanha presidencial e uma prostituta menor.")</f>
        <v>Um veterano mentalmente instável funciona como um motorista de táxi noturno em Nova York, onde a decadência percebida e a sleaze alimenta sua vontade de ação violenta, tentando liberar um trabalhador de campanha presidencial e uma prostituta menor.</v>
      </c>
      <c r="M113" s="1">
        <v>94.0</v>
      </c>
      <c r="N113" s="1" t="s">
        <v>139</v>
      </c>
      <c r="O113" s="1" t="s">
        <v>49</v>
      </c>
      <c r="P113" s="1" t="s">
        <v>244</v>
      </c>
      <c r="Q113" s="1" t="s">
        <v>827</v>
      </c>
      <c r="R113" s="1" t="s">
        <v>828</v>
      </c>
      <c r="S113" s="1">
        <v>724636.0</v>
      </c>
      <c r="T113" s="7" t="str">
        <f>VLOOKUP(A113,Posters!A113:B1112,2)</f>
        <v>https://m.media-amazon.com/images/M/MV5BM2M1MmVhNDgtNmI0YS00ZDNmLTkyNjctNTJiYTQ2N2NmYzc2XkEyXkFqcGdeQXVyNzkwMjQ5NzM@._V1_UX67_CR0,0,67,98_AL_.jpg</v>
      </c>
      <c r="U113" s="8">
        <f>'Inflation Adjusted Gross'!F113</f>
        <v>131131735</v>
      </c>
      <c r="V113" s="5">
        <f t="shared" si="1"/>
        <v>2020</v>
      </c>
    </row>
    <row r="114">
      <c r="A114" s="1">
        <v>113.0</v>
      </c>
      <c r="B114" s="1" t="s">
        <v>829</v>
      </c>
      <c r="C114" s="6">
        <f>Gross_cleaning!E114</f>
        <v>159600000</v>
      </c>
      <c r="D114" s="1">
        <v>1973.0</v>
      </c>
      <c r="E114" s="1" t="s">
        <v>52</v>
      </c>
      <c r="F114" s="1" t="str">
        <f>VLOOKUP(Filmes_raw!E114,Rating_systems!$A$2:$C$29,3,FALSE)</f>
        <v>Criança</v>
      </c>
      <c r="G114" s="2">
        <f>Gross_cleaning!F114</f>
        <v>129</v>
      </c>
      <c r="H114" s="1" t="s">
        <v>830</v>
      </c>
      <c r="I114" s="1" t="s">
        <v>831</v>
      </c>
      <c r="J114" s="1">
        <v>8.3</v>
      </c>
      <c r="K114" s="1" t="s">
        <v>832</v>
      </c>
      <c r="L114" s="1" t="str">
        <f>IFERROR(__xludf.DUMMYFUNCTION("GOOGLETRANSLATE(K114,""en"", ""pt-br"")"),"Dois bosques da equipe para retirar o melhor con.")</f>
        <v>Dois bosques da equipe para retirar o melhor con.</v>
      </c>
      <c r="M114" s="1">
        <v>83.0</v>
      </c>
      <c r="N114" s="1" t="s">
        <v>833</v>
      </c>
      <c r="O114" s="1" t="s">
        <v>834</v>
      </c>
      <c r="P114" s="1" t="s">
        <v>835</v>
      </c>
      <c r="Q114" s="1" t="s">
        <v>836</v>
      </c>
      <c r="R114" s="1" t="s">
        <v>837</v>
      </c>
      <c r="S114" s="1">
        <v>241513.0</v>
      </c>
      <c r="T114" s="7" t="str">
        <f>VLOOKUP(A114,Posters!A114:B1113,2)</f>
        <v>https://m.media-amazon.com/images/M/MV5BNGU3NjQ4YTMtZGJjOS00YTQ3LThmNmItMTI5MDE2ODI3NzY3XkEyXkFqcGdeQXVyMjUzOTY1NTc@._V1_UX67_CR0,0,67,98_AL_.jpg</v>
      </c>
      <c r="U114" s="8">
        <f>'Inflation Adjusted Gross'!F114</f>
        <v>966482902</v>
      </c>
      <c r="V114" s="5">
        <f t="shared" si="1"/>
        <v>2020</v>
      </c>
    </row>
    <row r="115">
      <c r="A115" s="1">
        <v>114.0</v>
      </c>
      <c r="B115" s="1" t="s">
        <v>838</v>
      </c>
      <c r="C115" s="6">
        <f>Gross_cleaning!E115</f>
        <v>6207725</v>
      </c>
      <c r="D115" s="1">
        <v>1971.0</v>
      </c>
      <c r="E115" s="1" t="s">
        <v>18</v>
      </c>
      <c r="F115" s="1" t="str">
        <f>VLOOKUP(Filmes_raw!E115,Rating_systems!$A$2:$C$29,3,FALSE)</f>
        <v>Adulto</v>
      </c>
      <c r="G115" s="2">
        <f>Gross_cleaning!F115</f>
        <v>136</v>
      </c>
      <c r="H115" s="1" t="s">
        <v>127</v>
      </c>
      <c r="I115" s="1" t="s">
        <v>839</v>
      </c>
      <c r="J115" s="1">
        <v>8.3</v>
      </c>
      <c r="K115" s="1" t="s">
        <v>840</v>
      </c>
      <c r="L115" s="1" t="str">
        <f>IFERROR(__xludf.DUMMYFUNCTION("GOOGLETRANSLATE(K115,""en"", ""pt-br"")"),"No futuro, um líder de gangue sádico é aprisionado e voluntários para um experimento de conduta-aversão, mas não é planejado.")</f>
        <v>No futuro, um líder de gangue sádico é aprisionado e voluntários para um experimento de conduta-aversão, mas não é planejado.</v>
      </c>
      <c r="M115" s="1">
        <v>77.0</v>
      </c>
      <c r="N115" s="1" t="s">
        <v>571</v>
      </c>
      <c r="O115" s="1" t="s">
        <v>841</v>
      </c>
      <c r="P115" s="1" t="s">
        <v>842</v>
      </c>
      <c r="Q115" s="1" t="s">
        <v>843</v>
      </c>
      <c r="R115" s="1" t="s">
        <v>844</v>
      </c>
      <c r="S115" s="1">
        <v>757904.0</v>
      </c>
      <c r="T115" s="7" t="str">
        <f>VLOOKUP(A115,Posters!A115:B1114,2)</f>
        <v>https://m.media-amazon.com/images/M/MV5BMTY3MjM1Mzc4N15BMl5BanBnXkFtZTgwODM0NzAxMDE@._V1_UX67_CR0,0,67,98_AL_.jpg</v>
      </c>
      <c r="U115" s="8">
        <f>'Inflation Adjusted Gross'!F115</f>
        <v>40236508</v>
      </c>
      <c r="V115" s="5">
        <f t="shared" si="1"/>
        <v>2020</v>
      </c>
    </row>
    <row r="116">
      <c r="A116" s="1">
        <v>115.0</v>
      </c>
      <c r="B116" s="1" t="s">
        <v>845</v>
      </c>
      <c r="C116" s="6">
        <f>Gross_cleaning!E116</f>
        <v>56954992</v>
      </c>
      <c r="D116" s="1">
        <v>1968.0</v>
      </c>
      <c r="E116" s="1" t="s">
        <v>52</v>
      </c>
      <c r="F116" s="1" t="str">
        <f>VLOOKUP(Filmes_raw!E116,Rating_systems!$A$2:$C$29,3,FALSE)</f>
        <v>Criança</v>
      </c>
      <c r="G116" s="2">
        <f>Gross_cleaning!F116</f>
        <v>149</v>
      </c>
      <c r="H116" s="1" t="s">
        <v>483</v>
      </c>
      <c r="I116" s="1" t="s">
        <v>846</v>
      </c>
      <c r="J116" s="1">
        <v>8.3</v>
      </c>
      <c r="K116" s="1" t="s">
        <v>847</v>
      </c>
      <c r="L116" s="1" t="str">
        <f>IFERROR(__xludf.DUMMYFUNCTION("GOOGLETRANSLATE(K116,""en"", ""pt-br"")"),"Depois de descobrir um misterioso artefato enterrado sob a superfície lunar, a humanidade sai em uma missão para encontrar suas origens com ajuda de supercomputador inteligente H.A.L. 9000.")</f>
        <v>Depois de descobrir um misterioso artefato enterrado sob a superfície lunar, a humanidade sai em uma missão para encontrar suas origens com ajuda de supercomputador inteligente H.A.L. 9000.</v>
      </c>
      <c r="M116" s="1">
        <v>84.0</v>
      </c>
      <c r="N116" s="1" t="s">
        <v>571</v>
      </c>
      <c r="O116" s="1" t="s">
        <v>848</v>
      </c>
      <c r="P116" s="1" t="s">
        <v>849</v>
      </c>
      <c r="Q116" s="1" t="s">
        <v>850</v>
      </c>
      <c r="R116" s="1" t="s">
        <v>851</v>
      </c>
      <c r="S116" s="1">
        <v>603517.0</v>
      </c>
      <c r="T116" s="7" t="str">
        <f>VLOOKUP(A116,Posters!A116:B1115,2)</f>
        <v>https://m.media-amazon.com/images/M/MV5BMmNlYzRiNDctZWNhMi00MzI4LThkZTctMTUzMmZkMmFmNThmXkEyXkFqcGdeQXVyNzkwMjQ5NzM@._V1_UX67_CR0,0,67,98_AL_.jpg</v>
      </c>
      <c r="U116" s="8">
        <f>'Inflation Adjusted Gross'!F116</f>
        <v>430872030</v>
      </c>
      <c r="V116" s="5">
        <f t="shared" si="1"/>
        <v>2020</v>
      </c>
    </row>
    <row r="117">
      <c r="A117" s="1">
        <v>116.0</v>
      </c>
      <c r="B117" s="1" t="s">
        <v>852</v>
      </c>
      <c r="C117" s="6">
        <f>Gross_cleaning!E117</f>
        <v>15000000</v>
      </c>
      <c r="D117" s="1">
        <v>1965.0</v>
      </c>
      <c r="E117" s="1" t="s">
        <v>52</v>
      </c>
      <c r="F117" s="1" t="str">
        <f>VLOOKUP(Filmes_raw!E117,Rating_systems!$A$2:$C$29,3,FALSE)</f>
        <v>Criança</v>
      </c>
      <c r="G117" s="2">
        <f>Gross_cleaning!F117</f>
        <v>132</v>
      </c>
      <c r="H117" s="1" t="s">
        <v>170</v>
      </c>
      <c r="I117" s="1" t="s">
        <v>116</v>
      </c>
      <c r="J117" s="1">
        <v>8.3</v>
      </c>
      <c r="K117" s="1" t="s">
        <v>853</v>
      </c>
      <c r="L117" s="1" t="str">
        <f>IFERROR(__xludf.DUMMYFUNCTION("GOOGLETRANSLATE(K117,""en"", ""pt-br"")"),"Dois caçadores de recompensas com as mesmas intenções que se juntam a um outnow ocidental.")</f>
        <v>Dois caçadores de recompensas com as mesmas intenções que se juntam a um outnow ocidental.</v>
      </c>
      <c r="M117" s="1">
        <v>74.0</v>
      </c>
      <c r="N117" s="1" t="s">
        <v>118</v>
      </c>
      <c r="O117" s="1" t="s">
        <v>119</v>
      </c>
      <c r="P117" s="1" t="s">
        <v>121</v>
      </c>
      <c r="Q117" s="1" t="s">
        <v>854</v>
      </c>
      <c r="R117" s="1" t="s">
        <v>855</v>
      </c>
      <c r="S117" s="1">
        <v>232772.0</v>
      </c>
      <c r="T117" s="7" t="str">
        <f>VLOOKUP(A117,Posters!A117:B1116,2)</f>
        <v>https://m.media-amazon.com/images/M/MV5BNWM1NmYyM2ItMTFhNy00NDU0LThlYWUtYjQyYTJmOTY0ZmM0XkEyXkFqcGdeQXVyNjU0OTQ0OTY@._V1_UX67_CR0,0,67,98_AL_.jpg</v>
      </c>
      <c r="U117" s="8">
        <f>'Inflation Adjusted Gross'!F117</f>
        <v>124024519</v>
      </c>
      <c r="V117" s="5">
        <f t="shared" si="1"/>
        <v>2020</v>
      </c>
    </row>
    <row r="118">
      <c r="A118" s="1">
        <v>117.0</v>
      </c>
      <c r="B118" s="1" t="s">
        <v>856</v>
      </c>
      <c r="C118" s="6">
        <f>Gross_cleaning!E118</f>
        <v>44824144</v>
      </c>
      <c r="D118" s="1">
        <v>1962.0</v>
      </c>
      <c r="E118" s="1" t="s">
        <v>52</v>
      </c>
      <c r="F118" s="1" t="str">
        <f>VLOOKUP(Filmes_raw!E118,Rating_systems!$A$2:$C$29,3,FALSE)</f>
        <v>Criança</v>
      </c>
      <c r="G118" s="2">
        <f>Gross_cleaning!F118</f>
        <v>228</v>
      </c>
      <c r="H118" s="1" t="s">
        <v>857</v>
      </c>
      <c r="I118" s="1" t="s">
        <v>858</v>
      </c>
      <c r="J118" s="1">
        <v>8.3</v>
      </c>
      <c r="K118" s="1" t="s">
        <v>859</v>
      </c>
      <c r="L118" s="1" t="str">
        <f>IFERROR(__xludf.DUMMYFUNCTION("GOOGLETRANSLATE(K118,""en"", ""pt-br"")"),"A história de t.e. Lawrence, o policial inglês que unido com sucesso e levou as diversas tribos árabes, muitas vezes guerreiras, durante a Primeira Guerra Mundial, a fim de lutar contra os turcos.")</f>
        <v>A história de t.e. Lawrence, o policial inglês que unido com sucesso e levou as diversas tribos árabes, muitas vezes guerreiras, durante a Primeira Guerra Mundial, a fim de lutar contra os turcos.</v>
      </c>
      <c r="M118" s="1">
        <v>100.0</v>
      </c>
      <c r="N118" s="1" t="s">
        <v>860</v>
      </c>
      <c r="O118" s="1" t="s">
        <v>861</v>
      </c>
      <c r="P118" s="1" t="s">
        <v>252</v>
      </c>
      <c r="Q118" s="1" t="s">
        <v>862</v>
      </c>
      <c r="R118" s="1" t="s">
        <v>863</v>
      </c>
      <c r="S118" s="1">
        <v>268085.0</v>
      </c>
      <c r="T118" s="7" t="str">
        <f>VLOOKUP(A118,Posters!A118:B1117,2)</f>
        <v>https://m.media-amazon.com/images/M/MV5BYWY5ZjhjNGYtZmI2Ny00ODM0LWFkNzgtZmI1YzA2N2MxMzA0XkEyXkFqcGdeQXVyNjUwNzk3NDc@._V1_UY98_CR0,0,67,98_AL_.jpg</v>
      </c>
      <c r="U118" s="8">
        <f>'Inflation Adjusted Gross'!F118</f>
        <v>385444308</v>
      </c>
      <c r="V118" s="5">
        <f t="shared" si="1"/>
        <v>2020</v>
      </c>
    </row>
    <row r="119">
      <c r="A119" s="1">
        <v>118.0</v>
      </c>
      <c r="B119" s="1" t="s">
        <v>864</v>
      </c>
      <c r="C119" s="6">
        <f>Gross_cleaning!E119</f>
        <v>18600000</v>
      </c>
      <c r="D119" s="1">
        <v>1960.0</v>
      </c>
      <c r="E119" s="1" t="s">
        <v>52</v>
      </c>
      <c r="F119" s="1" t="str">
        <f>VLOOKUP(Filmes_raw!E119,Rating_systems!$A$2:$C$29,3,FALSE)</f>
        <v>Criança</v>
      </c>
      <c r="G119" s="2">
        <f>Gross_cleaning!F119</f>
        <v>125</v>
      </c>
      <c r="H119" s="1" t="s">
        <v>203</v>
      </c>
      <c r="I119" s="1" t="s">
        <v>227</v>
      </c>
      <c r="J119" s="1">
        <v>8.3</v>
      </c>
      <c r="K119" s="1" t="s">
        <v>865</v>
      </c>
      <c r="L119" s="1" t="str">
        <f>IFERROR(__xludf.DUMMYFUNCTION("GOOGLETRANSLATE(K119,""en"", ""pt-br"")"),"Um homem tenta subir em sua empresa, deixando seus executivos usar seu apartamento para o encontro, mas complicações e um romance próprio se seguiram.")</f>
        <v>Um homem tenta subir em sua empresa, deixando seus executivos usar seu apartamento para o encontro, mas complicações e um romance próprio se seguiram.</v>
      </c>
      <c r="M119" s="1">
        <v>94.0</v>
      </c>
      <c r="N119" s="1" t="s">
        <v>610</v>
      </c>
      <c r="O119" s="1" t="s">
        <v>866</v>
      </c>
      <c r="P119" s="1" t="s">
        <v>867</v>
      </c>
      <c r="Q119" s="1" t="s">
        <v>868</v>
      </c>
      <c r="R119" s="1" t="s">
        <v>869</v>
      </c>
      <c r="S119" s="1">
        <v>164363.0</v>
      </c>
      <c r="T119" s="7" t="str">
        <f>VLOOKUP(A119,Posters!A119:B1118,2)</f>
        <v>https://m.media-amazon.com/images/M/MV5BNzkwODFjNzItMmMwNi00MTU5LWE2MzktM2M4ZDczZGM1MmViXkEyXkFqcGdeQXVyNDY2MTk1ODk@._V1_UX67_CR0,0,67,98_AL_.jpg</v>
      </c>
      <c r="U119" s="8">
        <f>'Inflation Adjusted Gross'!F119</f>
        <v>163763160</v>
      </c>
      <c r="V119" s="5">
        <f t="shared" si="1"/>
        <v>2020</v>
      </c>
    </row>
    <row r="120">
      <c r="A120" s="1">
        <v>119.0</v>
      </c>
      <c r="B120" s="1" t="s">
        <v>870</v>
      </c>
      <c r="C120" s="6">
        <f>Gross_cleaning!E120</f>
        <v>13275000</v>
      </c>
      <c r="D120" s="1">
        <v>1959.0</v>
      </c>
      <c r="E120" s="1" t="s">
        <v>52</v>
      </c>
      <c r="F120" s="1" t="str">
        <f>VLOOKUP(Filmes_raw!E120,Rating_systems!$A$2:$C$29,3,FALSE)</f>
        <v>Criança</v>
      </c>
      <c r="G120" s="2">
        <f>Gross_cleaning!F120</f>
        <v>136</v>
      </c>
      <c r="H120" s="1" t="s">
        <v>127</v>
      </c>
      <c r="I120" s="1" t="s">
        <v>871</v>
      </c>
      <c r="J120" s="1">
        <v>8.3</v>
      </c>
      <c r="K120" s="1" t="s">
        <v>872</v>
      </c>
      <c r="L120" s="1" t="str">
        <f>IFERROR(__xludf.DUMMYFUNCTION("GOOGLETRANSLATE(K120,""en"", ""pt-br"")"),"Um executivo de publicidade da cidade de Nova York vai na corrida depois de ser confundido com um agente do governo por um grupo de espiões estrangeiros.")</f>
        <v>Um executivo de publicidade da cidade de Nova York vai na corrida depois de ser confundido com um agente do governo por um grupo de espiões estrangeiros.</v>
      </c>
      <c r="M120" s="1">
        <v>98.0</v>
      </c>
      <c r="N120" s="1" t="s">
        <v>399</v>
      </c>
      <c r="O120" s="1" t="s">
        <v>873</v>
      </c>
      <c r="P120" s="1" t="s">
        <v>874</v>
      </c>
      <c r="Q120" s="1" t="s">
        <v>875</v>
      </c>
      <c r="R120" s="1" t="s">
        <v>876</v>
      </c>
      <c r="S120" s="1">
        <v>299198.0</v>
      </c>
      <c r="T120" s="7" t="str">
        <f>VLOOKUP(A120,Posters!A120:B1119,2)</f>
        <v>https://m.media-amazon.com/images/M/MV5BZDA3NDExMTUtMDlhOC00MmQ5LWExZGUtYmI1NGVlZWI4OWNiXkEyXkFqcGdeQXVyNjc1NTYyMjg@._V1_UX67_CR0,0,67,98_AL_.jpg</v>
      </c>
      <c r="U120" s="8">
        <f>'Inflation Adjusted Gross'!F120</f>
        <v>118088449</v>
      </c>
      <c r="V120" s="5">
        <f t="shared" si="1"/>
        <v>2020</v>
      </c>
    </row>
    <row r="121">
      <c r="A121" s="1">
        <v>120.0</v>
      </c>
      <c r="B121" s="1" t="s">
        <v>877</v>
      </c>
      <c r="C121" s="6">
        <f>Gross_cleaning!E121</f>
        <v>3200000</v>
      </c>
      <c r="D121" s="1">
        <v>1958.0</v>
      </c>
      <c r="E121" s="1" t="s">
        <v>18</v>
      </c>
      <c r="F121" s="1" t="str">
        <f>VLOOKUP(Filmes_raw!E121,Rating_systems!$A$2:$C$29,3,FALSE)</f>
        <v>Adulto</v>
      </c>
      <c r="G121" s="2">
        <f>Gross_cleaning!F121</f>
        <v>128</v>
      </c>
      <c r="H121" s="1" t="s">
        <v>878</v>
      </c>
      <c r="I121" s="1" t="s">
        <v>879</v>
      </c>
      <c r="J121" s="1">
        <v>8.3</v>
      </c>
      <c r="K121" s="1" t="s">
        <v>880</v>
      </c>
      <c r="L121" s="1" t="str">
        <f>IFERROR(__xludf.DUMMYFUNCTION("GOOGLETRANSLATE(K121,""en"", ""pt-br"")"),"Um ex-detetive policial manipula wrestling com seus demônios pessoais e ficar obcecado com uma mulher assombrosamente bonita.")</f>
        <v>Um ex-detetive policial manipula wrestling com seus demônios pessoais e ficar obcecado com uma mulher assombrosamente bonita.</v>
      </c>
      <c r="M121" s="1">
        <v>100.0</v>
      </c>
      <c r="N121" s="1" t="s">
        <v>399</v>
      </c>
      <c r="O121" s="1" t="s">
        <v>274</v>
      </c>
      <c r="P121" s="1" t="s">
        <v>881</v>
      </c>
      <c r="Q121" s="1" t="s">
        <v>882</v>
      </c>
      <c r="R121" s="1" t="s">
        <v>883</v>
      </c>
      <c r="S121" s="1">
        <v>364368.0</v>
      </c>
      <c r="T121" s="7" t="str">
        <f>VLOOKUP(A121,Posters!A121:B1120,2)</f>
        <v>https://m.media-amazon.com/images/M/MV5BYTE4ODEwZDUtNDFjOC00NjAxLWEzYTQtYTI1NGVmZmFlNjdiL2ltYWdlL2ltYWdlXkEyXkFqcGdeQXVyNjc1NTYyMjg@._V1_UX67_CR0,0,67,98_AL_.jpg</v>
      </c>
      <c r="U121" s="8">
        <f>'Inflation Adjusted Gross'!F121</f>
        <v>28863888</v>
      </c>
      <c r="V121" s="5">
        <f t="shared" si="1"/>
        <v>2020</v>
      </c>
    </row>
    <row r="122">
      <c r="A122" s="1">
        <v>121.0</v>
      </c>
      <c r="B122" s="1" t="s">
        <v>884</v>
      </c>
      <c r="C122" s="6">
        <f>Gross_cleaning!E122</f>
        <v>8819028</v>
      </c>
      <c r="D122" s="1">
        <v>1952.0</v>
      </c>
      <c r="E122" s="1" t="s">
        <v>414</v>
      </c>
      <c r="F122" s="1" t="str">
        <f>VLOOKUP(Filmes_raw!E122,Rating_systems!$A$2:$C$29,3,FALSE)</f>
        <v>Criança</v>
      </c>
      <c r="G122" s="2">
        <f>Gross_cleaning!F122</f>
        <v>103</v>
      </c>
      <c r="H122" s="1" t="s">
        <v>885</v>
      </c>
      <c r="I122" s="1" t="s">
        <v>886</v>
      </c>
      <c r="J122" s="1">
        <v>8.3</v>
      </c>
      <c r="K122" s="1" t="s">
        <v>887</v>
      </c>
      <c r="L122" s="1" t="str">
        <f>IFERROR(__xludf.DUMMYFUNCTION("GOOGLETRANSLATE(K122,""en"", ""pt-br"")"),"Uma empresa de produção de filmes silenciosa e elenco faz uma transição difícil para o som.")</f>
        <v>Uma empresa de produção de filmes silenciosa e elenco faz uma transição difícil para o som.</v>
      </c>
      <c r="M122" s="1">
        <v>99.0</v>
      </c>
      <c r="N122" s="1" t="s">
        <v>888</v>
      </c>
      <c r="O122" s="1" t="s">
        <v>889</v>
      </c>
      <c r="P122" s="1" t="s">
        <v>889</v>
      </c>
      <c r="Q122" s="1" t="s">
        <v>890</v>
      </c>
      <c r="R122" s="1" t="s">
        <v>891</v>
      </c>
      <c r="S122" s="1">
        <v>218957.0</v>
      </c>
      <c r="T122" s="7" t="str">
        <f>VLOOKUP(A122,Posters!A122:B1121,2)</f>
        <v>https://m.media-amazon.com/images/M/MV5BZDRjNGViMjQtOThlMi00MTA3LThkYzQtNzJkYjBkMGE0YzE1XkEyXkFqcGdeQXVyNDYyMDk5MTU@._V1_UY98_CR0,0,67,98_AL_.jpg</v>
      </c>
      <c r="U122" s="8">
        <f>'Inflation Adjusted Gross'!F122</f>
        <v>85851074</v>
      </c>
      <c r="V122" s="5">
        <f t="shared" si="1"/>
        <v>2020</v>
      </c>
    </row>
    <row r="123">
      <c r="A123" s="1">
        <v>122.0</v>
      </c>
      <c r="B123" s="1" t="s">
        <v>892</v>
      </c>
      <c r="C123" s="6">
        <f>Gross_cleaning!E123</f>
        <v>55240</v>
      </c>
      <c r="D123" s="1">
        <v>1952.0</v>
      </c>
      <c r="E123" s="1" t="s">
        <v>270</v>
      </c>
      <c r="F123" s="1" t="str">
        <f>VLOOKUP(Filmes_raw!E123,Rating_systems!$A$2:$C$29,3,FALSE)</f>
        <v>Criança</v>
      </c>
      <c r="G123" s="2">
        <f>Gross_cleaning!F123</f>
        <v>143</v>
      </c>
      <c r="H123" s="1" t="s">
        <v>596</v>
      </c>
      <c r="I123" s="1" t="s">
        <v>20</v>
      </c>
      <c r="J123" s="1">
        <v>8.3</v>
      </c>
      <c r="K123" s="1" t="s">
        <v>894</v>
      </c>
      <c r="L123" s="1" t="str">
        <f>IFERROR(__xludf.DUMMYFUNCTION("GOOGLETRANSLATE(K123,""en"", ""pt-br"")"),"Um burocrata tenta encontrar um significado em sua vida depois que ele descobre que ele tem câncer de terminal.")</f>
        <v>Um burocrata tenta encontrar um significado em sua vida depois que ele descobre que ele tem câncer de terminal.</v>
      </c>
      <c r="N123" s="1" t="s">
        <v>264</v>
      </c>
      <c r="O123" s="1" t="s">
        <v>266</v>
      </c>
      <c r="P123" s="1" t="s">
        <v>895</v>
      </c>
      <c r="Q123" s="1" t="s">
        <v>896</v>
      </c>
      <c r="R123" s="1" t="s">
        <v>897</v>
      </c>
      <c r="S123" s="1">
        <v>68463.0</v>
      </c>
      <c r="T123" s="7" t="str">
        <f>VLOOKUP(A123,Posters!A123:B1122,2)</f>
        <v>https://m.media-amazon.com/images/M/MV5BZmM0NGY3Y2MtMTA1YS00YmQzLTk2YTctYWFhMDkzMDRjZWQzXkEyXkFqcGdeQXVyNTA4NzY1MzY@._V1_UX67_CR0,0,67,98_AL_.jpg</v>
      </c>
      <c r="U123" s="8">
        <f>'Inflation Adjusted Gross'!F123</f>
        <v>537748</v>
      </c>
      <c r="V123" s="5">
        <f t="shared" si="1"/>
        <v>2020</v>
      </c>
    </row>
    <row r="124">
      <c r="A124" s="1">
        <v>123.0</v>
      </c>
      <c r="B124" s="1" t="s">
        <v>898</v>
      </c>
      <c r="C124" s="6">
        <f>Gross_cleaning!E124</f>
        <v>332930</v>
      </c>
      <c r="D124" s="1">
        <v>1948.0</v>
      </c>
      <c r="E124" s="1">
        <v>10.0</v>
      </c>
      <c r="F124" s="1" t="str">
        <f>VLOOKUP(Filmes_raw!E124,Rating_systems!$A$2:$C$29,3,FALSE)</f>
        <v>Criança</v>
      </c>
      <c r="G124" s="2">
        <f>Gross_cleaning!F124</f>
        <v>89</v>
      </c>
      <c r="H124" s="1" t="s">
        <v>374</v>
      </c>
      <c r="I124" s="1" t="s">
        <v>20</v>
      </c>
      <c r="J124" s="1">
        <v>8.3</v>
      </c>
      <c r="K124" s="1" t="s">
        <v>900</v>
      </c>
      <c r="L124" s="1" t="str">
        <f>IFERROR(__xludf.DUMMYFUNCTION("GOOGLETRANSLATE(K124,""en"", ""pt-br"")"),"Na Itália pós-guerra, uma bicicleta de homem de classe trabalhadora é roubada. Ele e seu filho partiram para encontrá-lo.")</f>
        <v>Na Itália pós-guerra, uma bicicleta de homem de classe trabalhadora é roubada. Ele e seu filho partiram para encontrá-lo.</v>
      </c>
      <c r="N124" s="1" t="s">
        <v>901</v>
      </c>
      <c r="O124" s="1" t="s">
        <v>902</v>
      </c>
      <c r="P124" s="1" t="s">
        <v>903</v>
      </c>
      <c r="Q124" s="1" t="s">
        <v>904</v>
      </c>
      <c r="R124" s="1" t="s">
        <v>905</v>
      </c>
      <c r="S124" s="1">
        <v>146427.0</v>
      </c>
      <c r="T124" s="7" t="str">
        <f>VLOOKUP(A124,Posters!A124:B1123,2)</f>
        <v>https://m.media-amazon.com/images/M/MV5BNmI1ODdjODctMDlmMC00ZWViLWI5MzYtYzRhNDdjYmM3MzFjXkEyXkFqcGdeQXVyMTMxODk2OTU@._V1_UY98_CR0,0,67,98_AL_.jpg</v>
      </c>
      <c r="U124" s="8">
        <f>'Inflation Adjusted Gross'!F124</f>
        <v>3623894</v>
      </c>
      <c r="V124" s="5">
        <f t="shared" si="1"/>
        <v>2020</v>
      </c>
    </row>
    <row r="125">
      <c r="A125" s="1">
        <v>124.0</v>
      </c>
      <c r="B125" s="1" t="s">
        <v>906</v>
      </c>
      <c r="C125" s="6">
        <f>Gross_cleaning!E125</f>
        <v>5720000</v>
      </c>
      <c r="D125" s="1">
        <v>1944.0</v>
      </c>
      <c r="E125" s="1" t="s">
        <v>627</v>
      </c>
      <c r="F125" s="1" t="str">
        <f>VLOOKUP(Filmes_raw!E125,Rating_systems!$A$2:$C$29,3,FALSE)</f>
        <v>Adulto</v>
      </c>
      <c r="G125" s="2">
        <f>Gross_cleaning!F125</f>
        <v>107</v>
      </c>
      <c r="H125" s="1" t="s">
        <v>907</v>
      </c>
      <c r="I125" s="1" t="s">
        <v>908</v>
      </c>
      <c r="J125" s="1">
        <v>8.3</v>
      </c>
      <c r="K125" s="1" t="s">
        <v>909</v>
      </c>
      <c r="L125" s="1" t="str">
        <f>IFERROR(__xludf.DUMMYFUNCTION("GOOGLETRANSLATE(K125,""en"", ""pt-br"")"),"Um representante de seguro permite-se ser falado por uma dona de casa sedutora em um esquema de fraude de assassinato / seguro que desperta a suspeita de um investigador de seguro.")</f>
        <v>Um representante de seguro permite-se ser falado por uma dona de casa sedutora em um esquema de fraude de assassinato / seguro que desperta a suspeita de um investigador de seguro.</v>
      </c>
      <c r="M125" s="1">
        <v>95.0</v>
      </c>
      <c r="N125" s="1" t="s">
        <v>610</v>
      </c>
      <c r="O125" s="1" t="s">
        <v>868</v>
      </c>
      <c r="P125" s="1" t="s">
        <v>910</v>
      </c>
      <c r="Q125" s="1" t="s">
        <v>911</v>
      </c>
      <c r="R125" s="1" t="s">
        <v>912</v>
      </c>
      <c r="S125" s="1">
        <v>143525.0</v>
      </c>
      <c r="T125" s="7" t="str">
        <f>VLOOKUP(A125,Posters!A125:B1124,2)</f>
        <v>https://m.media-amazon.com/images/M/MV5BOTdlNjgyZGUtOTczYi00MDdhLTljZmMtYTEwZmRiOWFkYjRhXkEyXkFqcGdeQXVyNDY2MTk1ODk@._V1_UX67_CR0,0,67,98_AL_.jpg</v>
      </c>
      <c r="U125" s="8">
        <f>'Inflation Adjusted Gross'!F125</f>
        <v>84804260</v>
      </c>
      <c r="V125" s="5">
        <f t="shared" si="1"/>
        <v>2020</v>
      </c>
    </row>
    <row r="126">
      <c r="A126" s="1">
        <v>125.0</v>
      </c>
      <c r="B126" s="1" t="s">
        <v>913</v>
      </c>
      <c r="C126" s="6">
        <f>Gross_cleaning!E126</f>
        <v>1585634</v>
      </c>
      <c r="D126" s="1">
        <v>1941.0</v>
      </c>
      <c r="E126" s="1" t="s">
        <v>37</v>
      </c>
      <c r="F126" s="1" t="str">
        <f>VLOOKUP(Filmes_raw!E126,Rating_systems!$A$2:$C$29,3,FALSE)</f>
        <v>Criança</v>
      </c>
      <c r="G126" s="2">
        <f>Gross_cleaning!F126</f>
        <v>119</v>
      </c>
      <c r="H126" s="1" t="s">
        <v>329</v>
      </c>
      <c r="I126" s="1" t="s">
        <v>914</v>
      </c>
      <c r="J126" s="1">
        <v>8.3</v>
      </c>
      <c r="K126" s="1" t="s">
        <v>915</v>
      </c>
      <c r="L126" s="1" t="str">
        <f>IFERROR(__xludf.DUMMYFUNCTION("GOOGLETRANSLATE(K126,""en"", ""pt-br"")"),"Após a morte de publicar Tycoon Charles Foster Kane, os repórteres embaralharam para descobrir o significado de seu enunciado final; ""Rosebud"".")</f>
        <v>Após a morte de publicar Tycoon Charles Foster Kane, os repórteres embaralharam para descobrir o significado de seu enunciado final; "Rosebud".</v>
      </c>
      <c r="M126" s="1">
        <v>100.0</v>
      </c>
      <c r="N126" s="1" t="s">
        <v>916</v>
      </c>
      <c r="O126" s="1" t="s">
        <v>916</v>
      </c>
      <c r="P126" s="1" t="s">
        <v>917</v>
      </c>
      <c r="Q126" s="1" t="s">
        <v>918</v>
      </c>
      <c r="R126" s="1" t="s">
        <v>919</v>
      </c>
      <c r="S126" s="1">
        <v>403351.0</v>
      </c>
      <c r="T126" s="7" t="str">
        <f>VLOOKUP(A126,Posters!A126:B1125,2)</f>
        <v>https://m.media-amazon.com/images/M/MV5BYjBiOTYxZWItMzdiZi00NjlkLWIzZTYtYmFhZjhiMTljOTdkXkEyXkFqcGdeQXVyNzkwMjQ5NzM@._V1_UX67_CR0,0,67,98_AL_.jpg</v>
      </c>
      <c r="U126" s="8">
        <f>'Inflation Adjusted Gross'!F126</f>
        <v>29010467</v>
      </c>
      <c r="V126" s="5">
        <f t="shared" si="1"/>
        <v>2020</v>
      </c>
    </row>
    <row r="127">
      <c r="A127" s="1">
        <v>126.0</v>
      </c>
      <c r="B127" s="1" t="s">
        <v>920</v>
      </c>
      <c r="C127" s="6">
        <f>Gross_cleaning!E127</f>
        <v>28877</v>
      </c>
      <c r="D127" s="1">
        <v>1931.0</v>
      </c>
      <c r="E127" s="1" t="s">
        <v>627</v>
      </c>
      <c r="F127" s="1" t="str">
        <f>VLOOKUP(Filmes_raw!E127,Rating_systems!$A$2:$C$29,3,FALSE)</f>
        <v>Adulto</v>
      </c>
      <c r="G127" s="2">
        <f>Gross_cleaning!F127</f>
        <v>117</v>
      </c>
      <c r="H127" s="1" t="s">
        <v>466</v>
      </c>
      <c r="I127" s="1" t="s">
        <v>336</v>
      </c>
      <c r="J127" s="1">
        <v>8.3</v>
      </c>
      <c r="K127" s="1" t="s">
        <v>921</v>
      </c>
      <c r="L127" s="1" t="str">
        <f>IFERROR(__xludf.DUMMYFUNCTION("GOOGLETRANSLATE(K127,""en"", ""pt-br"")"),"Quando a polícia em uma cidade alemã é incapaz de pegar um assassino para crianças, outros criminosos se juntam ao manhunt.")</f>
        <v>Quando a polícia em uma cidade alemã é incapaz de pegar um assassino para crianças, outros criminosos se juntam ao manhunt.</v>
      </c>
      <c r="N127" s="1" t="s">
        <v>922</v>
      </c>
      <c r="O127" s="1" t="s">
        <v>923</v>
      </c>
      <c r="P127" s="1" t="s">
        <v>924</v>
      </c>
      <c r="Q127" s="1" t="s">
        <v>925</v>
      </c>
      <c r="R127" s="1" t="s">
        <v>926</v>
      </c>
      <c r="S127" s="1">
        <v>143434.0</v>
      </c>
      <c r="T127" s="7" t="str">
        <f>VLOOKUP(A127,Posters!A127:B1126,2)</f>
        <v>https://m.media-amazon.com/images/M/MV5BODA4ODk3OTEzMF5BMl5BanBnXkFtZTgwMTQ2ODMwMzE@._V1_UX67_CR0,0,67,98_AL_.jpg</v>
      </c>
      <c r="U127" s="8">
        <f>'Inflation Adjusted Gross'!F127</f>
        <v>468518</v>
      </c>
      <c r="V127" s="5">
        <f t="shared" si="1"/>
        <v>2020</v>
      </c>
    </row>
    <row r="128">
      <c r="A128" s="1">
        <v>127.0</v>
      </c>
      <c r="B128" s="1" t="s">
        <v>927</v>
      </c>
      <c r="C128" s="6">
        <f>Gross_cleaning!E128</f>
        <v>1236166</v>
      </c>
      <c r="D128" s="1">
        <v>1927.0</v>
      </c>
      <c r="E128" s="1">
        <v>16.0</v>
      </c>
      <c r="F128" s="1" t="str">
        <f>VLOOKUP(Filmes_raw!E128,Rating_systems!$A$2:$C$29,3,FALSE)</f>
        <v>Adolescente</v>
      </c>
      <c r="G128" s="2">
        <f>Gross_cleaning!F128</f>
        <v>153</v>
      </c>
      <c r="H128" s="1" t="s">
        <v>179</v>
      </c>
      <c r="I128" s="1" t="s">
        <v>928</v>
      </c>
      <c r="J128" s="1">
        <v>8.3</v>
      </c>
      <c r="K128" s="1" t="s">
        <v>929</v>
      </c>
      <c r="L128" s="1" t="str">
        <f>IFERROR(__xludf.DUMMYFUNCTION("GOOGLETRANSLATE(K128,""en"", ""pt-br"")"),"Em uma cidade futurista, dividida ditamente entre a classe trabalhadora e os planejadores da cidade, o filho do mestre da cidade se apaixona por um profeta de classe trabalhadora que prevê a vinda de um salvador para mediar suas diferenças.")</f>
        <v>Em uma cidade futurista, dividida ditamente entre a classe trabalhadora e os planejadores da cidade, o filho do mestre da cidade se apaixona por um profeta de classe trabalhadora que prevê a vinda de um salvador para mediar suas diferenças.</v>
      </c>
      <c r="M128" s="1">
        <v>98.0</v>
      </c>
      <c r="N128" s="1" t="s">
        <v>922</v>
      </c>
      <c r="O128" s="1" t="s">
        <v>930</v>
      </c>
      <c r="P128" s="1" t="s">
        <v>931</v>
      </c>
      <c r="Q128" s="1" t="s">
        <v>932</v>
      </c>
      <c r="R128" s="1" t="s">
        <v>933</v>
      </c>
      <c r="S128" s="1">
        <v>159992.0</v>
      </c>
      <c r="T128" s="7" t="str">
        <f>VLOOKUP(A128,Posters!A128:B1127,2)</f>
        <v>https://m.media-amazon.com/images/M/MV5BMTg5YWIyMWUtZDY5My00Zjc1LTljOTctYmI0MWRmY2M2NmRkXkEyXkFqcGdeQXVyMTMxODk2OTU@._V1_UX67_CR0,0,67,98_AL_.jpg</v>
      </c>
      <c r="U128" s="8">
        <f>'Inflation Adjusted Gross'!F128</f>
        <v>18222570</v>
      </c>
      <c r="V128" s="5">
        <f t="shared" si="1"/>
        <v>2020</v>
      </c>
    </row>
    <row r="129">
      <c r="A129" s="1">
        <v>128.0</v>
      </c>
      <c r="B129" s="1" t="s">
        <v>934</v>
      </c>
      <c r="C129" s="6">
        <f>Gross_cleaning!E129</f>
        <v>5450000</v>
      </c>
      <c r="D129" s="1">
        <v>1921.0</v>
      </c>
      <c r="E129" s="1" t="s">
        <v>627</v>
      </c>
      <c r="F129" s="1" t="str">
        <f>VLOOKUP(Filmes_raw!E129,Rating_systems!$A$2:$C$29,3,FALSE)</f>
        <v>Adulto</v>
      </c>
      <c r="G129" s="2">
        <f>Gross_cleaning!F129</f>
        <v>68</v>
      </c>
      <c r="H129" s="1" t="s">
        <v>935</v>
      </c>
      <c r="I129" s="1" t="s">
        <v>416</v>
      </c>
      <c r="J129" s="1">
        <v>8.3</v>
      </c>
      <c r="K129" s="1" t="s">
        <v>936</v>
      </c>
      <c r="L129" s="1" t="str">
        <f>IFERROR(__xludf.DUMMYFUNCTION("GOOGLETRANSLATE(K129,""en"", ""pt-br"")"),"O vagabundo se preocupa com uma criança abandonada, mas os eventos colocam essa relação em risco.")</f>
        <v>O vagabundo se preocupa com uma criança abandonada, mas os eventos colocam essa relação em risco.</v>
      </c>
      <c r="N129" s="1" t="s">
        <v>418</v>
      </c>
      <c r="O129" s="1" t="s">
        <v>418</v>
      </c>
      <c r="P129" s="1" t="s">
        <v>937</v>
      </c>
      <c r="Q129" s="1" t="s">
        <v>938</v>
      </c>
      <c r="R129" s="1" t="s">
        <v>939</v>
      </c>
      <c r="S129" s="1">
        <v>113314.0</v>
      </c>
      <c r="T129" s="7" t="str">
        <f>VLOOKUP(A129,Posters!A129:B1128,2)</f>
        <v>https://m.media-amazon.com/images/M/MV5BZjhhMThhNDItNTY2MC00MmU1LTliNDEtNDdhZjdlNTY5ZDQ1XkEyXkFqcGdeQXVyNjc1NTYyMjg@._V1_UX67_CR0,0,67,98_AL_.jpg</v>
      </c>
      <c r="U129" s="8">
        <f>'Inflation Adjusted Gross'!F129</f>
        <v>73996945</v>
      </c>
      <c r="V129" s="5">
        <f t="shared" si="1"/>
        <v>2020</v>
      </c>
    </row>
    <row r="130">
      <c r="A130" s="1">
        <v>129.0</v>
      </c>
      <c r="B130" s="1" t="s">
        <v>940</v>
      </c>
      <c r="C130" s="6">
        <f>Gross_cleaning!E130</f>
        <v>898575</v>
      </c>
      <c r="D130" s="1">
        <v>2019.0</v>
      </c>
      <c r="E130" s="1" t="s">
        <v>37</v>
      </c>
      <c r="F130" s="1" t="str">
        <f>VLOOKUP(Filmes_raw!E130,Rating_systems!$A$2:$C$29,3,FALSE)</f>
        <v>Criança</v>
      </c>
      <c r="G130" s="2">
        <f>Gross_cleaning!F130</f>
        <v>143</v>
      </c>
      <c r="H130" s="1" t="s">
        <v>596</v>
      </c>
      <c r="I130" s="1" t="s">
        <v>507</v>
      </c>
      <c r="J130" s="1">
        <v>8.2</v>
      </c>
      <c r="K130" s="1" t="s">
        <v>941</v>
      </c>
      <c r="L130" s="1" t="str">
        <f>IFERROR(__xludf.DUMMYFUNCTION("GOOGLETRANSLATE(K130,""en"", ""pt-br"")"),"Um incidente trágico força Anirudh, um homem de meia-idade, para tirar uma viagem pela pista de memória e reminescer seus dias de faculdade junto com seus amigos, que foram rotulados como perdedores.")</f>
        <v>Um incidente trágico força Anirudh, um homem de meia-idade, para tirar uma viagem pela pista de memória e reminescer seus dias de faculdade junto com seus amigos, que foram rotulados como perdedores.</v>
      </c>
      <c r="N130" s="1" t="s">
        <v>460</v>
      </c>
      <c r="O130" s="1" t="s">
        <v>942</v>
      </c>
      <c r="P130" s="1" t="s">
        <v>943</v>
      </c>
      <c r="Q130" s="1" t="s">
        <v>944</v>
      </c>
      <c r="R130" s="1" t="s">
        <v>945</v>
      </c>
      <c r="S130" s="1">
        <v>33893.0</v>
      </c>
      <c r="T130" s="7" t="str">
        <f>VLOOKUP(A130,Posters!A130:B1129,2)</f>
        <v>https://m.media-amazon.com/images/M/MV5BYjg2ZDI2YTYtN2EwYi00YWI5LTgyMWQtMWFkYmE3NmJkOGVhXkEyXkFqcGdeQXVyODE5NzE3OTE@._V1_UY98_CR0,0,67,98_AL_.jpg</v>
      </c>
      <c r="U130" s="8">
        <f>'Inflation Adjusted Gross'!F130</f>
        <v>920919</v>
      </c>
      <c r="V130" s="5">
        <f t="shared" si="1"/>
        <v>2020</v>
      </c>
    </row>
    <row r="131">
      <c r="A131" s="1">
        <v>130.0</v>
      </c>
      <c r="B131" s="1" t="s">
        <v>946</v>
      </c>
      <c r="C131" s="6">
        <f>Gross_cleaning!E131</f>
        <v>4186168</v>
      </c>
      <c r="D131" s="1">
        <v>2018.0</v>
      </c>
      <c r="E131" s="1" t="s">
        <v>37</v>
      </c>
      <c r="F131" s="1" t="str">
        <f>VLOOKUP(Filmes_raw!E131,Rating_systems!$A$2:$C$29,3,FALSE)</f>
        <v>Criança</v>
      </c>
      <c r="G131" s="2">
        <f>Gross_cleaning!F131</f>
        <v>138</v>
      </c>
      <c r="H131" s="1" t="s">
        <v>947</v>
      </c>
      <c r="I131" s="1" t="s">
        <v>948</v>
      </c>
      <c r="J131" s="1">
        <v>8.2</v>
      </c>
      <c r="K131" s="1" t="s">
        <v>949</v>
      </c>
      <c r="L131" s="1" t="str">
        <f>IFERROR(__xludf.DUMMYFUNCTION("GOOGLETRANSLATE(K131,""en"", ""pt-br"")"),"As forças especiais do exército indiano executam uma operação secreta, vingando a matança de homens do exército em sua base por um grupo terrorista.")</f>
        <v>As forças especiais do exército indiano executam uma operação secreta, vingando a matança de homens do exército em sua base por um grupo terrorista.</v>
      </c>
      <c r="N131" s="1" t="s">
        <v>950</v>
      </c>
      <c r="O131" s="1" t="s">
        <v>951</v>
      </c>
      <c r="P131" s="1" t="s">
        <v>184</v>
      </c>
      <c r="Q131" s="1" t="s">
        <v>952</v>
      </c>
      <c r="R131" s="1" t="s">
        <v>953</v>
      </c>
      <c r="S131" s="1">
        <v>43444.0</v>
      </c>
      <c r="T131" s="7" t="str">
        <f>VLOOKUP(A131,Posters!A131:B1130,2)</f>
        <v>https://m.media-amazon.com/images/M/MV5BMWU4ZjNlNTQtOGE2MS00NDI0LWFlYjMtMmY3ZWVkMjJkNGRmXkEyXkFqcGdeQXVyNjE1OTQ0NjA@._V1_UY98_CR0,0,67,98_AL_.jpg</v>
      </c>
      <c r="U131" s="8">
        <f>'Inflation Adjusted Gross'!F131</f>
        <v>4356812</v>
      </c>
      <c r="V131" s="5">
        <f t="shared" si="1"/>
        <v>2020</v>
      </c>
    </row>
    <row r="132">
      <c r="A132" s="1">
        <v>131.0</v>
      </c>
      <c r="B132" s="1" t="s">
        <v>954</v>
      </c>
      <c r="C132" s="6">
        <f>Gross_cleaning!E132</f>
        <v>6421597</v>
      </c>
      <c r="D132" s="1">
        <v>2018.0</v>
      </c>
      <c r="E132" s="1" t="s">
        <v>37</v>
      </c>
      <c r="F132" s="1" t="str">
        <f>VLOOKUP(Filmes_raw!E132,Rating_systems!$A$2:$C$29,3,FALSE)</f>
        <v>Criança</v>
      </c>
      <c r="G132" s="2">
        <f>Gross_cleaning!F132</f>
        <v>156</v>
      </c>
      <c r="H132" s="1" t="s">
        <v>955</v>
      </c>
      <c r="I132" s="1" t="s">
        <v>956</v>
      </c>
      <c r="J132" s="1">
        <v>8.2</v>
      </c>
      <c r="K132" s="1" t="s">
        <v>957</v>
      </c>
      <c r="L132" s="1" t="str">
        <f>IFERROR(__xludf.DUMMYFUNCTION("GOOGLETRANSLATE(K132,""en"", ""pt-br"")"),"Na década de 1970, um rebelde feroz se levanta contra a opressão brutal e se torna o símbolo da esperança para legiões de pessoas downtren.")</f>
        <v>Na década de 1970, um rebelde feroz se levanta contra a opressão brutal e se torna o símbolo da esperança para legiões de pessoas downtren.</v>
      </c>
      <c r="N132" s="1" t="s">
        <v>958</v>
      </c>
      <c r="O132" s="1" t="s">
        <v>959</v>
      </c>
      <c r="P132" s="1" t="s">
        <v>960</v>
      </c>
      <c r="Q132" s="1" t="s">
        <v>961</v>
      </c>
      <c r="R132" s="1" t="s">
        <v>962</v>
      </c>
      <c r="S132" s="1">
        <v>36680.0</v>
      </c>
      <c r="T132" s="7" t="str">
        <f>VLOOKUP(A132,Posters!A132:B1131,2)</f>
        <v>https://m.media-amazon.com/images/M/MV5BZDNlNzBjMGUtYTA0Yy00OTI2LWJmZjMtODliYmUyYTI0OGFmXkEyXkFqcGdeQXVyODIwMDI1NjM@._V1_UX67_CR0,0,67,98_AL_.jpg</v>
      </c>
      <c r="U132" s="8">
        <f>'Inflation Adjusted Gross'!F132</f>
        <v>6683366</v>
      </c>
      <c r="V132" s="5">
        <f t="shared" si="1"/>
        <v>2020</v>
      </c>
    </row>
    <row r="133">
      <c r="A133" s="1">
        <v>132.0</v>
      </c>
      <c r="B133" s="1" t="s">
        <v>963</v>
      </c>
      <c r="C133" s="6">
        <f>Gross_cleaning!E133</f>
        <v>85080171</v>
      </c>
      <c r="D133" s="1">
        <v>2018.0</v>
      </c>
      <c r="E133" s="1" t="s">
        <v>37</v>
      </c>
      <c r="F133" s="1" t="str">
        <f>VLOOKUP(Filmes_raw!E133,Rating_systems!$A$2:$C$29,3,FALSE)</f>
        <v>Criança</v>
      </c>
      <c r="G133" s="2">
        <f>Gross_cleaning!F133</f>
        <v>130</v>
      </c>
      <c r="H133" s="1" t="s">
        <v>195</v>
      </c>
      <c r="I133" s="1" t="s">
        <v>296</v>
      </c>
      <c r="J133" s="1">
        <v>8.2</v>
      </c>
      <c r="K133" s="1" t="s">
        <v>964</v>
      </c>
      <c r="L133" s="1" t="str">
        <f>IFERROR(__xludf.DUMMYFUNCTION("GOOGLETRANSLATE(K133,""en"", ""pt-br"")"),"Um bouncer italiano-americano de classe trabalhadora torna-se o motorista de um pianista clássico afro-americano em uma turnê de locais através do sul da década de 1960.")</f>
        <v>Um bouncer italiano-americano de classe trabalhadora torna-se o motorista de um pianista clássico afro-americano em uma turnê de locais através do sul da década de 1960.</v>
      </c>
      <c r="M133" s="1">
        <v>69.0</v>
      </c>
      <c r="N133" s="1" t="s">
        <v>965</v>
      </c>
      <c r="O133" s="1" t="s">
        <v>66</v>
      </c>
      <c r="P133" s="1" t="s">
        <v>966</v>
      </c>
      <c r="Q133" s="1" t="s">
        <v>967</v>
      </c>
      <c r="R133" s="1" t="s">
        <v>968</v>
      </c>
      <c r="S133" s="1">
        <v>377884.0</v>
      </c>
      <c r="T133" s="7" t="str">
        <f>VLOOKUP(A133,Posters!A133:B1132,2)</f>
        <v>https://m.media-amazon.com/images/M/MV5BYzIzYmJlYTYtNGNiYy00N2EwLTk4ZjItMGYyZTJiOTVkM2RlXkEyXkFqcGdeQXVyODY1NDk1NjE@._V1_UX67_CR0,0,67,98_AL_.jpg</v>
      </c>
      <c r="U133" s="8">
        <f>'Inflation Adjusted Gross'!F133</f>
        <v>88548362</v>
      </c>
      <c r="V133" s="5">
        <f t="shared" si="1"/>
        <v>2020</v>
      </c>
    </row>
    <row r="134">
      <c r="A134" s="1">
        <v>133.0</v>
      </c>
      <c r="B134" s="1" t="s">
        <v>969</v>
      </c>
      <c r="C134" s="6">
        <f>Gross_cleaning!E134</f>
        <v>54513740</v>
      </c>
      <c r="D134" s="1">
        <v>2017.0</v>
      </c>
      <c r="E134" s="1" t="s">
        <v>18</v>
      </c>
      <c r="F134" s="1" t="str">
        <f>VLOOKUP(Filmes_raw!E134,Rating_systems!$A$2:$C$29,3,FALSE)</f>
        <v>Adulto</v>
      </c>
      <c r="G134" s="2">
        <f>Gross_cleaning!F134</f>
        <v>115</v>
      </c>
      <c r="H134" s="1" t="s">
        <v>563</v>
      </c>
      <c r="I134" s="1" t="s">
        <v>831</v>
      </c>
      <c r="J134" s="1">
        <v>8.2</v>
      </c>
      <c r="K134" s="1" t="s">
        <v>970</v>
      </c>
      <c r="L134" s="1" t="str">
        <f>IFERROR(__xludf.DUMMYFUNCTION("GOOGLETRANSLATE(K134,""en"", ""pt-br"")"),"Uma mãe desafia pessoalmente as autoridades locais a resolver o assassinato de sua filha quando eles não conseguem pegar o culpado.")</f>
        <v>Uma mãe desafia pessoalmente as autoridades locais a resolver o assassinato de sua filha quando eles não conseguem pegar o culpado.</v>
      </c>
      <c r="M134" s="1">
        <v>88.0</v>
      </c>
      <c r="N134" s="1" t="s">
        <v>971</v>
      </c>
      <c r="O134" s="1" t="s">
        <v>972</v>
      </c>
      <c r="P134" s="1" t="s">
        <v>973</v>
      </c>
      <c r="Q134" s="1" t="s">
        <v>974</v>
      </c>
      <c r="R134" s="1" t="s">
        <v>975</v>
      </c>
      <c r="S134" s="1">
        <v>432610.0</v>
      </c>
      <c r="T134" s="7" t="str">
        <f>VLOOKUP(A134,Posters!A134:B1133,2)</f>
        <v>https://m.media-amazon.com/images/M/MV5BMjI0ODcxNzM1N15BMl5BanBnXkFtZTgwMzIwMTEwNDI@._V1_UX67_CR0,0,67,98_AL_.jpg</v>
      </c>
      <c r="U134" s="8">
        <f>'Inflation Adjusted Gross'!F134</f>
        <v>57910649</v>
      </c>
      <c r="V134" s="5">
        <f t="shared" si="1"/>
        <v>2020</v>
      </c>
    </row>
    <row r="135">
      <c r="A135" s="1">
        <v>134.0</v>
      </c>
      <c r="B135" s="1" t="s">
        <v>976</v>
      </c>
      <c r="C135" s="6">
        <f>Gross_cleaning!E135</f>
        <v>342370</v>
      </c>
      <c r="D135" s="1">
        <v>2015.0</v>
      </c>
      <c r="E135" s="1" t="s">
        <v>37</v>
      </c>
      <c r="F135" s="1" t="str">
        <f>VLOOKUP(Filmes_raw!E135,Rating_systems!$A$2:$C$29,3,FALSE)</f>
        <v>Criança</v>
      </c>
      <c r="G135" s="2">
        <f>Gross_cleaning!F135</f>
        <v>132</v>
      </c>
      <c r="H135" s="1" t="s">
        <v>170</v>
      </c>
      <c r="I135" s="1" t="s">
        <v>235</v>
      </c>
      <c r="J135" s="1">
        <v>8.2</v>
      </c>
      <c r="K135" s="1" t="s">
        <v>978</v>
      </c>
      <c r="L135" s="1" t="str">
        <f>IFERROR(__xludf.DUMMYFUNCTION("GOOGLETRANSLATE(K135,""en"", ""pt-br"")"),"Um investigador experiente confronta várias teorias conflitantes sobre os perpetradores de um violento homicídio duplo.")</f>
        <v>Um investigador experiente confronta várias teorias conflitantes sobre os perpetradores de um violento homicídio duplo.</v>
      </c>
      <c r="N135" s="1" t="s">
        <v>979</v>
      </c>
      <c r="O135" s="1" t="s">
        <v>980</v>
      </c>
      <c r="P135" s="1" t="s">
        <v>981</v>
      </c>
      <c r="Q135" s="1" t="s">
        <v>982</v>
      </c>
      <c r="R135" s="1" t="s">
        <v>653</v>
      </c>
      <c r="S135" s="1">
        <v>31142.0</v>
      </c>
      <c r="T135" s="7" t="str">
        <f>VLOOKUP(A135,Posters!A135:B1134,2)</f>
        <v>https://m.media-amazon.com/images/M/MV5BMTYzODg0Mjc4M15BMl5BanBnXkFtZTgwNzY4Mzc3NjE@._V1_UY98_CR2,0,67,98_AL_.jpg</v>
      </c>
      <c r="U135" s="8">
        <f>'Inflation Adjusted Gross'!F135</f>
        <v>377916</v>
      </c>
      <c r="V135" s="5">
        <f t="shared" si="1"/>
        <v>2020</v>
      </c>
    </row>
    <row r="136">
      <c r="A136" s="1">
        <v>135.0</v>
      </c>
      <c r="B136" s="1" t="s">
        <v>983</v>
      </c>
      <c r="C136" s="6">
        <f>Gross_cleaning!E136</f>
        <v>20186659</v>
      </c>
      <c r="D136" s="1">
        <v>2017.0</v>
      </c>
      <c r="E136" s="1" t="s">
        <v>37</v>
      </c>
      <c r="F136" s="1" t="str">
        <f>VLOOKUP(Filmes_raw!E136,Rating_systems!$A$2:$C$29,3,FALSE)</f>
        <v>Criança</v>
      </c>
      <c r="G136" s="2">
        <f>Gross_cleaning!F136</f>
        <v>167</v>
      </c>
      <c r="H136" s="1" t="s">
        <v>984</v>
      </c>
      <c r="I136" s="1" t="s">
        <v>956</v>
      </c>
      <c r="J136" s="1">
        <v>8.2</v>
      </c>
      <c r="K136" s="1" t="s">
        <v>985</v>
      </c>
      <c r="L136" s="1" t="str">
        <f>IFERROR(__xludf.DUMMYFUNCTION("GOOGLETRANSLATE(K136,""en"", ""pt-br"")"),"Quando Shiva, filho de Bahubali, aprende sobre sua herança, ele começa a procurar respostas. Sua história é justaposta com eventos passados ​​que se desdobrou no Reino Mahishmati.")</f>
        <v>Quando Shiva, filho de Bahubali, aprende sobre sua herança, ele começa a procurar respostas. Sua história é justaposta com eventos passados ​​que se desdobrou no Reino Mahishmati.</v>
      </c>
      <c r="N136" s="1" t="s">
        <v>986</v>
      </c>
      <c r="O136" s="1" t="s">
        <v>987</v>
      </c>
      <c r="P136" s="1" t="s">
        <v>988</v>
      </c>
      <c r="Q136" s="1" t="s">
        <v>989</v>
      </c>
      <c r="R136" s="1" t="s">
        <v>990</v>
      </c>
      <c r="S136" s="1">
        <v>75348.0</v>
      </c>
      <c r="T136" s="7" t="str">
        <f>VLOOKUP(A136,Posters!A136:B1135,2)</f>
        <v>https://m.media-amazon.com/images/M/MV5BOGNlNmRkMjctNDgxMC00NzFhLWIzY2YtZDk3ZDE0NWZhZDBlXkEyXkFqcGdeQXVyODIwMDI1NjM@._V1_UX67_CR0,0,67,98_AL_.jpg</v>
      </c>
      <c r="U136" s="8">
        <f>'Inflation Adjusted Gross'!F136</f>
        <v>21444548</v>
      </c>
      <c r="V136" s="5">
        <f t="shared" si="1"/>
        <v>2020</v>
      </c>
    </row>
    <row r="137">
      <c r="A137" s="1">
        <v>136.0</v>
      </c>
      <c r="B137" s="1" t="s">
        <v>991</v>
      </c>
      <c r="C137" s="6">
        <f>Gross_cleaning!E137</f>
        <v>40000000</v>
      </c>
      <c r="D137" s="1">
        <v>2019.0</v>
      </c>
      <c r="E137" s="1" t="s">
        <v>270</v>
      </c>
      <c r="F137" s="1" t="str">
        <f>VLOOKUP(Filmes_raw!E137,Rating_systems!$A$2:$C$29,3,FALSE)</f>
        <v>Criança</v>
      </c>
      <c r="G137" s="2">
        <f>Gross_cleaning!F137</f>
        <v>96</v>
      </c>
      <c r="H137" s="1" t="s">
        <v>53</v>
      </c>
      <c r="I137" s="1" t="s">
        <v>765</v>
      </c>
      <c r="J137" s="1">
        <v>8.2</v>
      </c>
      <c r="K137" s="1" t="s">
        <v>992</v>
      </c>
      <c r="L137" s="1" t="str">
        <f>IFERROR(__xludf.DUMMYFUNCTION("GOOGLETRANSLATE(K137,""en"", ""pt-br"")"),"Um simples ato de bondade sempre despedaça outro, mesmo em um lugar congelado e distante. Quando o novo carteiro de Smarsburg, Jesper, Befriends Toymaker Klaus, seus presentes derretem uma feia de idade e entregar um trenó cheio de tradições de férias.")</f>
        <v>Um simples ato de bondade sempre despedaça outro, mesmo em um lugar congelado e distante. Quando o novo carteiro de Smarsburg, Jesper, Befriends Toymaker Klaus, seus presentes derretem uma feia de idade e entregar um trenó cheio de tradições de férias.</v>
      </c>
      <c r="M137" s="1">
        <v>65.0</v>
      </c>
      <c r="N137" s="1" t="s">
        <v>993</v>
      </c>
      <c r="O137" s="1" t="s">
        <v>994</v>
      </c>
      <c r="P137" s="1" t="s">
        <v>995</v>
      </c>
      <c r="Q137" s="1" t="s">
        <v>291</v>
      </c>
      <c r="R137" s="1" t="s">
        <v>996</v>
      </c>
      <c r="S137" s="1">
        <v>104761.0</v>
      </c>
      <c r="T137" s="7" t="str">
        <f>VLOOKUP(A137,Posters!A137:B1136,2)</f>
        <v>https://m.media-amazon.com/images/M/MV5BMWYwOThjM2ItZGYxNy00NTQwLWFlZWEtM2MzM2Q5MmY3NDU5XkEyXkFqcGdeQXVyMTkxNjUyNQ@@._V1_UX67_CR0,0,67,98_AL_.jpg</v>
      </c>
      <c r="U137" s="8">
        <f>'Inflation Adjusted Gross'!F137</f>
        <v>40994629</v>
      </c>
      <c r="V137" s="5">
        <f t="shared" si="1"/>
        <v>2020</v>
      </c>
    </row>
    <row r="138">
      <c r="A138" s="1">
        <v>137.0</v>
      </c>
      <c r="B138" s="1" t="s">
        <v>663</v>
      </c>
      <c r="C138" s="6">
        <f>Gross_cleaning!E138</f>
        <v>739478</v>
      </c>
      <c r="D138" s="1">
        <v>2015.0</v>
      </c>
      <c r="E138" s="1" t="s">
        <v>37</v>
      </c>
      <c r="F138" s="1" t="str">
        <f>VLOOKUP(Filmes_raw!E138,Rating_systems!$A$2:$C$29,3,FALSE)</f>
        <v>Criança</v>
      </c>
      <c r="G138" s="2">
        <f>Gross_cleaning!F138</f>
        <v>163</v>
      </c>
      <c r="H138" s="1" t="s">
        <v>997</v>
      </c>
      <c r="I138" s="1" t="s">
        <v>235</v>
      </c>
      <c r="J138" s="1">
        <v>8.2</v>
      </c>
      <c r="K138" s="1" t="s">
        <v>998</v>
      </c>
      <c r="L138" s="1" t="str">
        <f>IFERROR(__xludf.DUMMYFUNCTION("GOOGLETRANSLATE(K138,""en"", ""pt-br"")"),"Medidas desesperadas são tomadas por um homem que tenta salvar sua família do lado negro da lei, depois de cometer um crime inesperado.")</f>
        <v>Medidas desesperadas são tomadas por um homem que tenta salvar sua família do lado negro da lei, depois de cometer um crime inesperado.</v>
      </c>
      <c r="N138" s="1" t="s">
        <v>999</v>
      </c>
      <c r="O138" s="1" t="s">
        <v>1000</v>
      </c>
      <c r="P138" s="1" t="s">
        <v>1001</v>
      </c>
      <c r="Q138" s="1" t="s">
        <v>660</v>
      </c>
      <c r="R138" s="1" t="s">
        <v>1002</v>
      </c>
      <c r="S138" s="1">
        <v>70367.0</v>
      </c>
      <c r="T138" s="7" t="str">
        <f>VLOOKUP(A138,Posters!A138:B1137,2)</f>
        <v>https://m.media-amazon.com/images/M/MV5BYmJhZmJlYTItZmZlNy00MGY0LTg0ZGMtNWFkYWU5NTA1YTNhXkEyXkFqcGdeQXVyODE5NzE3OTE@._V1_UY98_CR0,0,67,98_AL_.jpg</v>
      </c>
      <c r="U138" s="8">
        <f>'Inflation Adjusted Gross'!F138</f>
        <v>816252</v>
      </c>
      <c r="V138" s="5">
        <f t="shared" si="1"/>
        <v>2020</v>
      </c>
    </row>
    <row r="139">
      <c r="A139" s="1">
        <v>138.0</v>
      </c>
      <c r="B139" s="1" t="s">
        <v>1003</v>
      </c>
      <c r="C139" s="6">
        <f>Gross_cleaning!E139</f>
        <v>1429534</v>
      </c>
      <c r="D139" s="1">
        <v>2013.0</v>
      </c>
      <c r="E139" s="1" t="s">
        <v>37</v>
      </c>
      <c r="F139" s="1" t="str">
        <f>VLOOKUP(Filmes_raw!E139,Rating_systems!$A$2:$C$29,3,FALSE)</f>
        <v>Criança</v>
      </c>
      <c r="G139" s="2">
        <f>Gross_cleaning!F139</f>
        <v>146</v>
      </c>
      <c r="H139" s="1" t="s">
        <v>136</v>
      </c>
      <c r="I139" s="1" t="s">
        <v>1004</v>
      </c>
      <c r="J139" s="1">
        <v>8.2</v>
      </c>
      <c r="K139" s="1" t="s">
        <v>1005</v>
      </c>
      <c r="L139" s="1" t="str">
        <f>IFERROR(__xludf.DUMMYFUNCTION("GOOGLETRANSLATE(K139,""en"", ""pt-br"")"),"Uma garota de Delhi de uma família tradicional estabelece-se em uma lua de mel solo depois que seu casamento é cancelado.")</f>
        <v>Uma garota de Delhi de uma família tradicional estabelece-se em uma lua de mel solo depois que seu casamento é cancelado.</v>
      </c>
      <c r="N139" s="1" t="s">
        <v>1006</v>
      </c>
      <c r="O139" s="1" t="s">
        <v>1007</v>
      </c>
      <c r="P139" s="1" t="s">
        <v>1008</v>
      </c>
      <c r="Q139" s="1" t="s">
        <v>1009</v>
      </c>
      <c r="R139" s="1" t="s">
        <v>1010</v>
      </c>
      <c r="S139" s="1">
        <v>60701.0</v>
      </c>
      <c r="T139" s="7" t="str">
        <f>VLOOKUP(A139,Posters!A139:B1138,2)</f>
        <v>https://m.media-amazon.com/images/M/MV5BNWYyOWRlOWItZWM5MS00ZjJkLWI0MTUtYTE3NTI5MDAwYjgyXkEyXkFqcGdeQXVyODE5NzE3OTE@._V1_UY98_CR0,0,67,98_AL_.jpg</v>
      </c>
      <c r="U139" s="8">
        <f>'Inflation Adjusted Gross'!F139</f>
        <v>1601434</v>
      </c>
      <c r="V139" s="5">
        <f t="shared" si="1"/>
        <v>2020</v>
      </c>
    </row>
    <row r="140">
      <c r="A140" s="1">
        <v>139.0</v>
      </c>
      <c r="B140" s="1" t="s">
        <v>1011</v>
      </c>
      <c r="C140" s="6">
        <f>Gross_cleaning!E140</f>
        <v>144501</v>
      </c>
      <c r="D140" s="1">
        <v>2013.0</v>
      </c>
      <c r="E140" s="1">
        <v>16.0</v>
      </c>
      <c r="F140" s="1" t="str">
        <f>VLOOKUP(Filmes_raw!E140,Rating_systems!$A$2:$C$29,3,FALSE)</f>
        <v>Adolescente</v>
      </c>
      <c r="G140" s="2">
        <f>Gross_cleaning!F140</f>
        <v>87</v>
      </c>
      <c r="H140" s="1" t="s">
        <v>415</v>
      </c>
      <c r="I140" s="1" t="s">
        <v>213</v>
      </c>
      <c r="J140" s="1">
        <v>8.2</v>
      </c>
      <c r="K140" s="1" t="s">
        <v>1012</v>
      </c>
      <c r="L140" s="1" t="str">
        <f>IFERROR(__xludf.DUMMYFUNCTION("GOOGLETRANSLATE(K140,""en"", ""pt-br"")"),"Em 1992, as raivas da guerra na Abkhazia, região quebra de Geórgia. Um homem estoniano IVO decidiu ficar para trás e colheita suas colheitas de tangerinas. Em um conflito sangrento em sua porta, um homem ferido é deixado para trás, e Ivo o leva.")</f>
        <v>Em 1992, as raivas da guerra na Abkhazia, região quebra de Geórgia. Um homem estoniano IVO decidiu ficar para trás e colheita suas colheitas de tangerinas. Em um conflito sangrento em sua porta, um homem ferido é deixado para trás, e Ivo o leva.</v>
      </c>
      <c r="M140" s="1">
        <v>73.0</v>
      </c>
      <c r="N140" s="1" t="s">
        <v>1013</v>
      </c>
      <c r="O140" s="1" t="s">
        <v>1014</v>
      </c>
      <c r="P140" s="1" t="s">
        <v>1015</v>
      </c>
      <c r="Q140" s="1" t="s">
        <v>1016</v>
      </c>
      <c r="R140" s="1" t="s">
        <v>1017</v>
      </c>
      <c r="S140" s="1">
        <v>40382.0</v>
      </c>
      <c r="T140" s="7" t="str">
        <f>VLOOKUP(A140,Posters!A140:B1139,2)</f>
        <v>https://m.media-amazon.com/images/M/MV5BMTgwNzA3MDQzOV5BMl5BanBnXkFtZTgwNTE5MDE5NDE@._V1_UX67_CR0,0,67,98_AL_.jpg</v>
      </c>
      <c r="U140" s="8">
        <f>'Inflation Adjusted Gross'!F140</f>
        <v>161877</v>
      </c>
      <c r="V140" s="5">
        <f t="shared" si="1"/>
        <v>2020</v>
      </c>
    </row>
    <row r="141">
      <c r="A141" s="1">
        <v>140.0</v>
      </c>
      <c r="B141" s="1" t="s">
        <v>1018</v>
      </c>
      <c r="C141" s="6">
        <f>Gross_cleaning!E141</f>
        <v>1626289</v>
      </c>
      <c r="D141" s="1">
        <v>2013.0</v>
      </c>
      <c r="E141" s="1" t="s">
        <v>52</v>
      </c>
      <c r="F141" s="1" t="str">
        <f>VLOOKUP(Filmes_raw!E141,Rating_systems!$A$2:$C$29,3,FALSE)</f>
        <v>Criança</v>
      </c>
      <c r="G141" s="2">
        <f>Gross_cleaning!F141</f>
        <v>186</v>
      </c>
      <c r="H141" s="1" t="s">
        <v>1019</v>
      </c>
      <c r="I141" s="1" t="s">
        <v>1020</v>
      </c>
      <c r="J141" s="1">
        <v>8.2</v>
      </c>
      <c r="K141" s="1" t="s">
        <v>1021</v>
      </c>
      <c r="L141" s="1" t="str">
        <f>IFERROR(__xludf.DUMMYFUNCTION("GOOGLETRANSLATE(K141,""en"", ""pt-br"")"),"A verdade por trás da ascensão de Milkha Singh, que foi marcada por causa da partição da Índia-Paquistão.")</f>
        <v>A verdade por trás da ascensão de Milkha Singh, que foi marcada por causa da partição da Índia-Paquistão.</v>
      </c>
      <c r="N141" s="1" t="s">
        <v>1022</v>
      </c>
      <c r="O141" s="1" t="s">
        <v>1023</v>
      </c>
      <c r="P141" s="1" t="s">
        <v>1024</v>
      </c>
      <c r="Q141" s="1" t="s">
        <v>1025</v>
      </c>
      <c r="R141" s="1" t="s">
        <v>1026</v>
      </c>
      <c r="S141" s="1">
        <v>61137.0</v>
      </c>
      <c r="T141" s="7" t="str">
        <f>VLOOKUP(A141,Posters!A141:B1140,2)</f>
        <v>https://m.media-amazon.com/images/M/MV5BMTY1Nzg4MjcwN15BMl5BanBnXkFtZTcwOTc1NTk1OQ@@._V1_UY98_CR0,0,67,98_AL_.jpg</v>
      </c>
      <c r="U141" s="8">
        <f>'Inflation Adjusted Gross'!F141</f>
        <v>1821849</v>
      </c>
      <c r="V141" s="5">
        <f t="shared" si="1"/>
        <v>2020</v>
      </c>
    </row>
    <row r="142">
      <c r="A142" s="1">
        <v>141.0</v>
      </c>
      <c r="B142" s="1" t="s">
        <v>1027</v>
      </c>
      <c r="C142" s="6">
        <f>Gross_cleaning!E142</f>
        <v>4384642</v>
      </c>
      <c r="D142" s="1">
        <v>2012.0</v>
      </c>
      <c r="E142" s="1" t="s">
        <v>18</v>
      </c>
      <c r="F142" s="1" t="str">
        <f>VLOOKUP(Filmes_raw!E142,Rating_systems!$A$2:$C$29,3,FALSE)</f>
        <v>Adulto</v>
      </c>
      <c r="G142" s="2">
        <f>Gross_cleaning!F142</f>
        <v>321</v>
      </c>
      <c r="H142" s="1" t="s">
        <v>1028</v>
      </c>
      <c r="I142" s="1" t="s">
        <v>1029</v>
      </c>
      <c r="J142" s="1">
        <v>8.2</v>
      </c>
      <c r="K142" s="1" t="s">
        <v>1030</v>
      </c>
      <c r="L142" s="1" t="str">
        <f>IFERROR(__xludf.DUMMYFUNCTION("GOOGLETRANSLATE(K142,""en"", ""pt-br"")"),"Um confronto entre sultão e shahid Khan leva à expulsão de Khan de Wasseypur, e inflama uma disputa de sangue mortal que abrange três gerações.")</f>
        <v>Um confronto entre sultão e shahid Khan leva à expulsão de Khan de Wasseypur, e inflama uma disputa de sangue mortal que abrange três gerações.</v>
      </c>
      <c r="M142" s="1">
        <v>89.0</v>
      </c>
      <c r="N142" s="1" t="s">
        <v>1031</v>
      </c>
      <c r="O142" s="1" t="s">
        <v>1032</v>
      </c>
      <c r="P142" s="1" t="s">
        <v>1033</v>
      </c>
      <c r="Q142" s="1" t="s">
        <v>1034</v>
      </c>
      <c r="R142" s="1" t="s">
        <v>1035</v>
      </c>
      <c r="S142" s="1">
        <v>82365.0</v>
      </c>
      <c r="T142" s="7" t="str">
        <f>VLOOKUP(A142,Posters!A142:B1141,2)</f>
        <v>https://m.media-amazon.com/images/M/MV5BMTc5NjY4MjUwNF5BMl5BanBnXkFtZTgwODM3NzM5MzE@._V1_UX67_CR0,0,67,98_AL_.jpg</v>
      </c>
      <c r="U142" s="8">
        <f>'Inflation Adjusted Gross'!F142</f>
        <v>4990230</v>
      </c>
      <c r="V142" s="5">
        <f t="shared" si="1"/>
        <v>2020</v>
      </c>
    </row>
    <row r="143">
      <c r="A143" s="1">
        <v>142.0</v>
      </c>
      <c r="B143" s="1" t="s">
        <v>1036</v>
      </c>
      <c r="C143" s="6">
        <f>Gross_cleaning!E143</f>
        <v>7461</v>
      </c>
      <c r="D143" s="1">
        <v>2010.0</v>
      </c>
      <c r="E143" s="1" t="s">
        <v>37</v>
      </c>
      <c r="F143" s="1" t="str">
        <f>VLOOKUP(Filmes_raw!E143,Rating_systems!$A$2:$C$29,3,FALSE)</f>
        <v>Criança</v>
      </c>
      <c r="G143" s="2">
        <f>Gross_cleaning!F143</f>
        <v>134</v>
      </c>
      <c r="H143" s="1" t="s">
        <v>550</v>
      </c>
      <c r="I143" s="1" t="s">
        <v>20</v>
      </c>
      <c r="J143" s="1">
        <v>8.2</v>
      </c>
      <c r="K143" s="1" t="s">
        <v>1037</v>
      </c>
      <c r="L143" s="1" t="str">
        <f>IFERROR(__xludf.DUMMYFUNCTION("GOOGLETRANSLATE(K143,""en"", ""pt-br"")"),"Expulso de sua escola, um menino de 16 anos voltou para casa seu pai abusivo e opressivo.")</f>
        <v>Expulso de sua escola, um menino de 16 anos voltou para casa seu pai abusivo e opressivo.</v>
      </c>
      <c r="N143" s="1" t="s">
        <v>1038</v>
      </c>
      <c r="O143" s="1" t="s">
        <v>1039</v>
      </c>
      <c r="P143" s="1" t="s">
        <v>1040</v>
      </c>
      <c r="Q143" s="1" t="s">
        <v>1041</v>
      </c>
      <c r="R143" s="1" t="s">
        <v>1042</v>
      </c>
      <c r="S143" s="1">
        <v>42341.0</v>
      </c>
      <c r="T143" s="7" t="str">
        <f>VLOOKUP(A143,Posters!A143:B1142,2)</f>
        <v>https://m.media-amazon.com/images/M/MV5BNzgxMzExMzUwNV5BMl5BanBnXkFtZTcwMDc2MjUwNA@@._V1_UY98_CR0,0,67,98_AL_.jpg</v>
      </c>
      <c r="U143" s="8">
        <f>'Inflation Adjusted Gross'!F143</f>
        <v>8882</v>
      </c>
      <c r="V143" s="5">
        <f t="shared" si="1"/>
        <v>2020</v>
      </c>
    </row>
    <row r="144">
      <c r="A144" s="1">
        <v>143.0</v>
      </c>
      <c r="B144" s="1" t="s">
        <v>1043</v>
      </c>
      <c r="C144" s="6">
        <f>Gross_cleaning!E144</f>
        <v>39567</v>
      </c>
      <c r="D144" s="1">
        <v>2012.0</v>
      </c>
      <c r="E144" s="1" t="s">
        <v>37</v>
      </c>
      <c r="F144" s="1" t="str">
        <f>VLOOKUP(Filmes_raw!E144,Rating_systems!$A$2:$C$29,3,FALSE)</f>
        <v>Criança</v>
      </c>
      <c r="G144" s="2">
        <f>Gross_cleaning!F144</f>
        <v>135</v>
      </c>
      <c r="H144" s="1" t="s">
        <v>1044</v>
      </c>
      <c r="I144" s="1" t="s">
        <v>1045</v>
      </c>
      <c r="J144" s="1">
        <v>8.2</v>
      </c>
      <c r="K144" s="1" t="s">
        <v>1046</v>
      </c>
      <c r="L144" s="1" t="str">
        <f>IFERROR(__xludf.DUMMYFUNCTION("GOOGLETRANSLATE(K144,""en"", ""pt-br"")"),"A história de Paan Singh Tomar, um atleta indiano e campeão de steeplechase nacional de sete vezes que se torna um dos dacoits mais temidos no vale de Chambal após sua aposentadoria.")</f>
        <v>A história de Paan Singh Tomar, um atleta indiano e campeão de steeplechase nacional de sete vezes que se torna um dos dacoits mais temidos no vale de Chambal após sua aposentadoria.</v>
      </c>
      <c r="N144" s="1" t="s">
        <v>1035</v>
      </c>
      <c r="O144" s="1" t="s">
        <v>980</v>
      </c>
      <c r="P144" s="1" t="s">
        <v>1047</v>
      </c>
      <c r="Q144" s="1" t="s">
        <v>1048</v>
      </c>
      <c r="R144" s="1" t="s">
        <v>1049</v>
      </c>
      <c r="S144" s="1">
        <v>33237.0</v>
      </c>
      <c r="T144" s="7" t="str">
        <f>VLOOKUP(A144,Posters!A144:B1143,2)</f>
        <v>https://m.media-amazon.com/images/M/MV5BNTgwODM5OTMzN15BMl5BanBnXkFtZTcwMTA3NzI1Nw@@._V1_UY98_CR0,0,67,98_AL_.jpg</v>
      </c>
      <c r="U144" s="8">
        <f>'Inflation Adjusted Gross'!F144</f>
        <v>45032</v>
      </c>
      <c r="V144" s="5">
        <f t="shared" si="1"/>
        <v>2020</v>
      </c>
    </row>
    <row r="145">
      <c r="A145" s="1">
        <v>144.0</v>
      </c>
      <c r="B145" s="1" t="s">
        <v>1050</v>
      </c>
      <c r="C145" s="6">
        <f>Gross_cleaning!E145</f>
        <v>6391436</v>
      </c>
      <c r="D145" s="1">
        <v>2009.0</v>
      </c>
      <c r="E145" s="1" t="s">
        <v>212</v>
      </c>
      <c r="F145" s="1" t="str">
        <f>VLOOKUP(Filmes_raw!E145,Rating_systems!$A$2:$C$29,3,FALSE)</f>
        <v>Adulto</v>
      </c>
      <c r="G145" s="2">
        <f>Gross_cleaning!F145</f>
        <v>129</v>
      </c>
      <c r="H145" s="1" t="s">
        <v>830</v>
      </c>
      <c r="I145" s="1" t="s">
        <v>1051</v>
      </c>
      <c r="J145" s="1">
        <v>8.2</v>
      </c>
      <c r="K145" s="1" t="s">
        <v>1052</v>
      </c>
      <c r="L145" s="1" t="str">
        <f>IFERROR(__xludf.DUMMYFUNCTION("GOOGLETRANSLATE(K145,""en"", ""pt-br"")"),"Um conselheiro jurídico aposentado escreve uma nova esperança de encontrar o fechamento para um dos seus casos de homicídio não resolvidos e por seu amor irreciprocado com seu superior - ambos os quais ainda assombram décadas depois.")</f>
        <v>Um conselheiro jurídico aposentado escreve uma nova esperança de encontrar o fechamento para um dos seus casos de homicídio não resolvidos e por seu amor irreciprocado com seu superior - ambos os quais ainda assombram décadas depois.</v>
      </c>
      <c r="M145" s="1">
        <v>80.0</v>
      </c>
      <c r="N145" s="1" t="s">
        <v>1053</v>
      </c>
      <c r="O145" s="1" t="s">
        <v>1054</v>
      </c>
      <c r="P145" s="1" t="s">
        <v>1055</v>
      </c>
      <c r="Q145" s="1" t="s">
        <v>1056</v>
      </c>
      <c r="R145" s="1" t="s">
        <v>1057</v>
      </c>
      <c r="S145" s="1">
        <v>193217.0</v>
      </c>
      <c r="T145" s="7" t="str">
        <f>VLOOKUP(A145,Posters!A145:B1144,2)</f>
        <v>https://m.media-amazon.com/images/M/MV5BY2FhZGI5M2QtZWFiZS00NjkwLWE4NWQtMzg3ZDZjNjdkYTJiXkEyXkFqcGdeQXVyMTMxODk2OTU@._V1_UX67_CR0,0,67,98_AL_.jpg</v>
      </c>
      <c r="U145" s="8">
        <f>'Inflation Adjusted Gross'!F145</f>
        <v>7808950</v>
      </c>
      <c r="V145" s="5">
        <f t="shared" si="1"/>
        <v>2020</v>
      </c>
    </row>
    <row r="146">
      <c r="A146" s="1">
        <v>145.0</v>
      </c>
      <c r="B146" s="1" t="s">
        <v>1058</v>
      </c>
      <c r="C146" s="6">
        <f>Gross_cleaning!E146</f>
        <v>13657115</v>
      </c>
      <c r="D146" s="1">
        <v>2011.0</v>
      </c>
      <c r="E146" s="1" t="s">
        <v>37</v>
      </c>
      <c r="F146" s="1" t="str">
        <f>VLOOKUP(Filmes_raw!E146,Rating_systems!$A$2:$C$29,3,FALSE)</f>
        <v>Criança</v>
      </c>
      <c r="G146" s="2">
        <f>Gross_cleaning!F146</f>
        <v>140</v>
      </c>
      <c r="H146" s="1" t="s">
        <v>1059</v>
      </c>
      <c r="I146" s="1" t="s">
        <v>1060</v>
      </c>
      <c r="J146" s="1">
        <v>8.2</v>
      </c>
      <c r="K146" s="1" t="s">
        <v>1061</v>
      </c>
      <c r="L146" s="1" t="str">
        <f>IFERROR(__xludf.DUMMYFUNCTION("GOOGLETRANSLATE(K146,""en"", ""pt-br"")"),"O filho mais novo de um ex-boxeador alcoólico retorna para casa, onde ele é treinado por seu pai para competir em um torneio de artes marciais mistas - um caminho que coloca o lutador em um curso de colisão com seu irmão mais velho, irmão mais velho.")</f>
        <v>O filho mais novo de um ex-boxeador alcoólico retorna para casa, onde ele é treinado por seu pai para competir em um torneio de artes marciais mistas - um caminho que coloca o lutador em um curso de colisão com seu irmão mais velho, irmão mais velho.</v>
      </c>
      <c r="M146" s="1">
        <v>71.0</v>
      </c>
      <c r="N146" s="1" t="s">
        <v>1062</v>
      </c>
      <c r="O146" s="1" t="s">
        <v>504</v>
      </c>
      <c r="P146" s="1" t="s">
        <v>1063</v>
      </c>
      <c r="Q146" s="1" t="s">
        <v>1064</v>
      </c>
      <c r="R146" s="1" t="s">
        <v>1065</v>
      </c>
      <c r="S146" s="1">
        <v>435950.0</v>
      </c>
      <c r="T146" s="7" t="str">
        <f>VLOOKUP(A146,Posters!A146:B1145,2)</f>
        <v>https://m.media-amazon.com/images/M/MV5BMTk4ODk5MTMyNV5BMl5BanBnXkFtZTcwMDMyNTg0Ng@@._V1_UX67_CR0,0,67,98_AL_.jpg</v>
      </c>
      <c r="U146" s="8">
        <f>'Inflation Adjusted Gross'!F146</f>
        <v>15998055</v>
      </c>
      <c r="V146" s="5">
        <f t="shared" si="1"/>
        <v>2020</v>
      </c>
    </row>
    <row r="147">
      <c r="A147" s="1">
        <v>146.0</v>
      </c>
      <c r="B147" s="1" t="s">
        <v>1066</v>
      </c>
      <c r="C147" s="6">
        <f>Gross_cleaning!E147</f>
        <v>128012934</v>
      </c>
      <c r="D147" s="1">
        <v>2010.0</v>
      </c>
      <c r="E147" s="1" t="s">
        <v>18</v>
      </c>
      <c r="F147" s="1" t="str">
        <f>VLOOKUP(Filmes_raw!E147,Rating_systems!$A$2:$C$29,3,FALSE)</f>
        <v>Adulto</v>
      </c>
      <c r="G147" s="2">
        <f>Gross_cleaning!F147</f>
        <v>138</v>
      </c>
      <c r="H147" s="1" t="s">
        <v>947</v>
      </c>
      <c r="I147" s="1" t="s">
        <v>544</v>
      </c>
      <c r="J147" s="1">
        <v>8.2</v>
      </c>
      <c r="K147" s="1" t="s">
        <v>1067</v>
      </c>
      <c r="L147" s="1" t="str">
        <f>IFERROR(__xludf.DUMMYFUNCTION("GOOGLETRANSLATE(K147,""en"", ""pt-br"")"),"Em 1954, um marechal de U.S. investiga o desaparecimento de um assassino que escapou de um hospital para o insano criminalmente.")</f>
        <v>Em 1954, um marechal de U.S. investiga o desaparecimento de um assassino que escapou de um hospital para o insano criminalmente.</v>
      </c>
      <c r="M147" s="1">
        <v>63.0</v>
      </c>
      <c r="N147" s="1" t="s">
        <v>139</v>
      </c>
      <c r="O147" s="1" t="s">
        <v>90</v>
      </c>
      <c r="P147" s="1" t="s">
        <v>1068</v>
      </c>
      <c r="Q147" s="1" t="s">
        <v>481</v>
      </c>
      <c r="R147" s="1" t="s">
        <v>84</v>
      </c>
      <c r="S147" s="1">
        <v>1129894.0</v>
      </c>
      <c r="T147" s="7" t="str">
        <f>VLOOKUP(A147,Posters!A147:B1146,2)</f>
        <v>https://m.media-amazon.com/images/M/MV5BYzhiNDkyNzktNTZmYS00ZTBkLTk2MDAtM2U0YjU1MzgxZjgzXkEyXkFqcGdeQXVyMTMxODk2OTU@._V1_UX67_CR0,0,67,98_AL_.jpg</v>
      </c>
      <c r="U147" s="8">
        <f>'Inflation Adjusted Gross'!F147</f>
        <v>152402427</v>
      </c>
      <c r="V147" s="5">
        <f t="shared" si="1"/>
        <v>2020</v>
      </c>
    </row>
    <row r="148">
      <c r="A148" s="1">
        <v>147.0</v>
      </c>
      <c r="B148" s="1" t="s">
        <v>1069</v>
      </c>
      <c r="C148" s="6">
        <f>Gross_cleaning!E148</f>
        <v>293004164</v>
      </c>
      <c r="D148" s="1">
        <v>2009.0</v>
      </c>
      <c r="E148" s="1" t="s">
        <v>52</v>
      </c>
      <c r="F148" s="1" t="str">
        <f>VLOOKUP(Filmes_raw!E148,Rating_systems!$A$2:$C$29,3,FALSE)</f>
        <v>Criança</v>
      </c>
      <c r="G148" s="2">
        <f>Gross_cleaning!F148</f>
        <v>96</v>
      </c>
      <c r="H148" s="1" t="s">
        <v>53</v>
      </c>
      <c r="I148" s="1" t="s">
        <v>765</v>
      </c>
      <c r="J148" s="1">
        <v>8.2</v>
      </c>
      <c r="K148" s="1" t="s">
        <v>1070</v>
      </c>
      <c r="L148" s="1" t="str">
        <f>IFERROR(__xludf.DUMMYFUNCTION("GOOGLETRANSLATE(K148,""en"", ""pt-br"")"),"78 anos de idade Carl Fredricksen viaja para o paraíso cai em sua casa equipada com balões, inadvertidamente tomando um jovem solto.")</f>
        <v>78 anos de idade Carl Fredricksen viaja para o paraíso cai em sua casa equipada com balões, inadvertidamente tomando um jovem solto.</v>
      </c>
      <c r="M148" s="1">
        <v>88.0</v>
      </c>
      <c r="N148" s="1" t="s">
        <v>1071</v>
      </c>
      <c r="O148" s="1" t="s">
        <v>1072</v>
      </c>
      <c r="P148" s="1" t="s">
        <v>1073</v>
      </c>
      <c r="Q148" s="1" t="s">
        <v>1074</v>
      </c>
      <c r="R148" s="1" t="s">
        <v>1075</v>
      </c>
      <c r="S148" s="1">
        <v>935507.0</v>
      </c>
      <c r="T148" s="7" t="str">
        <f>VLOOKUP(A148,Posters!A148:B1147,2)</f>
        <v>https://m.media-amazon.com/images/M/MV5BMTk3NDE2NzI4NF5BMl5BanBnXkFtZTgwNzE1MzEyMTE@._V1_UX67_CR0,0,67,98_AL_.jpg</v>
      </c>
      <c r="U148" s="8">
        <f>'Inflation Adjusted Gross'!F148</f>
        <v>357987606</v>
      </c>
      <c r="V148" s="5">
        <f t="shared" si="1"/>
        <v>2020</v>
      </c>
    </row>
    <row r="149">
      <c r="A149" s="1">
        <v>148.0</v>
      </c>
      <c r="B149" s="1" t="s">
        <v>1076</v>
      </c>
      <c r="C149" s="6">
        <f>Gross_cleaning!E149</f>
        <v>116900694</v>
      </c>
      <c r="D149" s="1">
        <v>2013.0</v>
      </c>
      <c r="E149" s="1" t="s">
        <v>18</v>
      </c>
      <c r="F149" s="1" t="str">
        <f>VLOOKUP(Filmes_raw!E149,Rating_systems!$A$2:$C$29,3,FALSE)</f>
        <v>Adulto</v>
      </c>
      <c r="G149" s="2">
        <f>Gross_cleaning!F149</f>
        <v>180</v>
      </c>
      <c r="H149" s="1" t="s">
        <v>1077</v>
      </c>
      <c r="I149" s="1" t="s">
        <v>137</v>
      </c>
      <c r="J149" s="1">
        <v>8.2</v>
      </c>
      <c r="K149" s="1" t="s">
        <v>1078</v>
      </c>
      <c r="L149" s="1" t="str">
        <f>IFERROR(__xludf.DUMMYFUNCTION("GOOGLETRANSLATE(K149,""en"", ""pt-br"")"),"Com base na verdadeira história de Jordan Belfort, de sua ascensão a um corretor de estoque rico vivendo a vida alta à sua queda envolvendo crime, corrupção e governo federal.")</f>
        <v>Com base na verdadeira história de Jordan Belfort, de sua ascensão a um corretor de estoque rico vivendo a vida alta à sua queda envolvendo crime, corrupção e governo federal.</v>
      </c>
      <c r="M149" s="1">
        <v>75.0</v>
      </c>
      <c r="N149" s="1" t="s">
        <v>139</v>
      </c>
      <c r="O149" s="1" t="s">
        <v>90</v>
      </c>
      <c r="P149" s="1" t="s">
        <v>1079</v>
      </c>
      <c r="Q149" s="1" t="s">
        <v>1080</v>
      </c>
      <c r="R149" s="1" t="s">
        <v>190</v>
      </c>
      <c r="S149" s="1">
        <v>1187498.0</v>
      </c>
      <c r="T149" s="7" t="str">
        <f>VLOOKUP(A149,Posters!A149:B1148,2)</f>
        <v>https://m.media-amazon.com/images/M/MV5BMjIxMjgxNTk0MF5BMl5BanBnXkFtZTgwNjIyOTg2MDE@._V1_UX67_CR0,0,67,98_AL_.jpg</v>
      </c>
      <c r="U149" s="8">
        <f>'Inflation Adjusted Gross'!F149</f>
        <v>130957916</v>
      </c>
      <c r="V149" s="5">
        <f t="shared" si="1"/>
        <v>2020</v>
      </c>
    </row>
    <row r="150">
      <c r="A150" s="1">
        <v>149.0</v>
      </c>
      <c r="B150" s="1" t="s">
        <v>1081</v>
      </c>
      <c r="C150" s="6">
        <f>Gross_cleaning!E150</f>
        <v>1113541</v>
      </c>
      <c r="D150" s="1">
        <v>2007.0</v>
      </c>
      <c r="E150" s="1" t="s">
        <v>52</v>
      </c>
      <c r="F150" s="1" t="str">
        <f>VLOOKUP(Filmes_raw!E150,Rating_systems!$A$2:$C$29,3,FALSE)</f>
        <v>Criança</v>
      </c>
      <c r="G150" s="2">
        <f>Gross_cleaning!F150</f>
        <v>153</v>
      </c>
      <c r="H150" s="1" t="s">
        <v>179</v>
      </c>
      <c r="I150" s="1" t="s">
        <v>756</v>
      </c>
      <c r="J150" s="1">
        <v>8.2</v>
      </c>
      <c r="K150" s="1" t="s">
        <v>1082</v>
      </c>
      <c r="L150" s="1" t="str">
        <f>IFERROR(__xludf.DUMMYFUNCTION("GOOGLETRANSLATE(K150,""en"", ""pt-br"")"),"Kabir Khan é o treinador da equipe de hóquei nacional das mulheres indianas e seu sonho é fazer sua equipe de garotas emergem vitoriosa contra todas as probabilidades.")</f>
        <v>Kabir Khan é o treinador da equipe de hóquei nacional das mulheres indianas e seu sonho é fazer sua equipe de garotas emergem vitoriosa contra todas as probabilidades.</v>
      </c>
      <c r="M150" s="1">
        <v>68.0</v>
      </c>
      <c r="N150" s="1" t="s">
        <v>1083</v>
      </c>
      <c r="O150" s="1" t="s">
        <v>1084</v>
      </c>
      <c r="P150" s="1" t="s">
        <v>1085</v>
      </c>
      <c r="Q150" s="1" t="s">
        <v>1086</v>
      </c>
      <c r="R150" s="1" t="s">
        <v>1087</v>
      </c>
      <c r="S150" s="1">
        <v>74129.0</v>
      </c>
      <c r="T150" s="7" t="str">
        <f>VLOOKUP(A150,Posters!A150:B1149,2)</f>
        <v>https://m.media-amazon.com/images/M/MV5BMTUzODMyNzk4NV5BMl5BanBnXkFtZTgwNTk1NTYyNTM@._V1_UY98_CR3,0,67,98_AL_.jpg</v>
      </c>
      <c r="U150" s="8">
        <f>'Inflation Adjusted Gross'!F150</f>
        <v>1419163</v>
      </c>
      <c r="V150" s="5">
        <f t="shared" si="1"/>
        <v>2020</v>
      </c>
    </row>
    <row r="151">
      <c r="A151" s="1">
        <v>150.0</v>
      </c>
      <c r="B151" s="1" t="s">
        <v>1088</v>
      </c>
      <c r="C151" s="6">
        <f>Gross_cleaning!E151</f>
        <v>40222514</v>
      </c>
      <c r="D151" s="1">
        <v>2007.0</v>
      </c>
      <c r="E151" s="1" t="s">
        <v>18</v>
      </c>
      <c r="F151" s="1" t="str">
        <f>VLOOKUP(Filmes_raw!E151,Rating_systems!$A$2:$C$29,3,FALSE)</f>
        <v>Adulto</v>
      </c>
      <c r="G151" s="2">
        <f>Gross_cleaning!F151</f>
        <v>158</v>
      </c>
      <c r="H151" s="1" t="s">
        <v>1089</v>
      </c>
      <c r="I151" s="1" t="s">
        <v>20</v>
      </c>
      <c r="J151" s="1">
        <v>8.2</v>
      </c>
      <c r="K151" s="1" t="s">
        <v>1090</v>
      </c>
      <c r="L151" s="1" t="str">
        <f>IFERROR(__xludf.DUMMYFUNCTION("GOOGLETRANSLATE(K151,""en"", ""pt-br"")"),"Uma história de família, religião, ódio, óleo e loucura, concentrando-se em um prospetor turno-do-século nos primeiros dias do negócio.")</f>
        <v>Uma história de família, religião, ódio, óleo e loucura, concentrando-se em um prospetor turno-do-século nos primeiros dias do negócio.</v>
      </c>
      <c r="M151" s="1">
        <v>93.0</v>
      </c>
      <c r="N151" s="1" t="s">
        <v>1091</v>
      </c>
      <c r="O151" s="1" t="s">
        <v>1092</v>
      </c>
      <c r="P151" s="1" t="s">
        <v>1093</v>
      </c>
      <c r="Q151" s="1" t="s">
        <v>1094</v>
      </c>
      <c r="R151" s="1" t="s">
        <v>1095</v>
      </c>
      <c r="S151" s="1">
        <v>517359.0</v>
      </c>
      <c r="T151" s="7" t="str">
        <f>VLOOKUP(A151,Posters!A151:B1150,2)</f>
        <v>https://m.media-amazon.com/images/M/MV5BMjAxODQ4MDU5NV5BMl5BanBnXkFtZTcwMDU4MjU1MQ@@._V1_UX67_CR0,0,67,98_AL_.jpg</v>
      </c>
      <c r="U151" s="8">
        <f>'Inflation Adjusted Gross'!F151</f>
        <v>51261966</v>
      </c>
      <c r="V151" s="5">
        <f t="shared" si="1"/>
        <v>2020</v>
      </c>
    </row>
    <row r="152">
      <c r="A152" s="1">
        <v>151.0</v>
      </c>
      <c r="B152" s="1" t="s">
        <v>1096</v>
      </c>
      <c r="C152" s="6">
        <f>Gross_cleaning!E152</f>
        <v>37634615</v>
      </c>
      <c r="D152" s="1">
        <v>2006.0</v>
      </c>
      <c r="E152" s="1" t="s">
        <v>37</v>
      </c>
      <c r="F152" s="1" t="str">
        <f>VLOOKUP(Filmes_raw!E152,Rating_systems!$A$2:$C$29,3,FALSE)</f>
        <v>Criança</v>
      </c>
      <c r="G152" s="2">
        <f>Gross_cleaning!F152</f>
        <v>118</v>
      </c>
      <c r="H152" s="1" t="s">
        <v>240</v>
      </c>
      <c r="I152" s="1" t="s">
        <v>1097</v>
      </c>
      <c r="J152" s="1">
        <v>8.2</v>
      </c>
      <c r="K152" s="1" t="s">
        <v>1098</v>
      </c>
      <c r="L152" s="1" t="str">
        <f>IFERROR(__xludf.DUMMYFUNCTION("GOOGLETRANSLATE(K152,""en"", ""pt-br"")"),"Na Falangist, Espanha de 1944, a jovem enteada frontal de um oficial do exército sádico escapa para um mundo de fantasia simples, mas cativante.")</f>
        <v>Na Falangist, Espanha de 1944, a jovem enteada frontal de um oficial do exército sádico escapa para um mundo de fantasia simples, mas cativante.</v>
      </c>
      <c r="M152" s="1">
        <v>98.0</v>
      </c>
      <c r="N152" s="1" t="s">
        <v>1099</v>
      </c>
      <c r="O152" s="1" t="s">
        <v>1100</v>
      </c>
      <c r="P152" s="1" t="s">
        <v>1101</v>
      </c>
      <c r="Q152" s="1" t="s">
        <v>1102</v>
      </c>
      <c r="R152" s="1" t="s">
        <v>1103</v>
      </c>
      <c r="S152" s="1">
        <v>618623.0</v>
      </c>
      <c r="T152" s="7" t="str">
        <f>VLOOKUP(A152,Posters!A152:B1151,2)</f>
        <v>https://m.media-amazon.com/images/M/MV5BMTU3ODg2NjQ5NF5BMl5BanBnXkFtZTcwMDEwODgzMQ@@._V1_UX67_CR0,0,67,98_AL_.jpg</v>
      </c>
      <c r="U152" s="8">
        <f>'Inflation Adjusted Gross'!F152</f>
        <v>48959351</v>
      </c>
      <c r="V152" s="5">
        <f t="shared" si="1"/>
        <v>2020</v>
      </c>
    </row>
    <row r="153">
      <c r="A153" s="1">
        <v>152.0</v>
      </c>
      <c r="B153" s="1" t="s">
        <v>1104</v>
      </c>
      <c r="C153" s="6">
        <f>Gross_cleaning!E153</f>
        <v>415004880</v>
      </c>
      <c r="D153" s="1">
        <v>2010.0</v>
      </c>
      <c r="E153" s="1" t="s">
        <v>52</v>
      </c>
      <c r="F153" s="1" t="str">
        <f>VLOOKUP(Filmes_raw!E153,Rating_systems!$A$2:$C$29,3,FALSE)</f>
        <v>Criança</v>
      </c>
      <c r="G153" s="2">
        <f>Gross_cleaning!F153</f>
        <v>103</v>
      </c>
      <c r="H153" s="1" t="s">
        <v>885</v>
      </c>
      <c r="I153" s="1" t="s">
        <v>765</v>
      </c>
      <c r="J153" s="1">
        <v>8.2</v>
      </c>
      <c r="K153" s="1" t="s">
        <v>1105</v>
      </c>
      <c r="L153" s="1" t="str">
        <f>IFERROR(__xludf.DUMMYFUNCTION("GOOGLETRANSLATE(K153,""en"", ""pt-br"")"),"Os brinquedos são erroneamente entregues a um centro de atendimento ao dia em vez do sótão antes de Andy sai para a faculdade, e cabe a Woody convencer os outros brinquedos que não foram abandonados e voltar para casa.")</f>
        <v>Os brinquedos são erroneamente entregues a um centro de atendimento ao dia em vez do sótão antes de Andy sai para a faculdade, e cabe a Woody convencer os outros brinquedos que não foram abandonados e voltar para casa.</v>
      </c>
      <c r="M153" s="1">
        <v>92.0</v>
      </c>
      <c r="N153" s="1" t="s">
        <v>489</v>
      </c>
      <c r="O153" s="1" t="s">
        <v>110</v>
      </c>
      <c r="P153" s="1" t="s">
        <v>768</v>
      </c>
      <c r="Q153" s="1" t="s">
        <v>1106</v>
      </c>
      <c r="R153" s="1" t="s">
        <v>1107</v>
      </c>
      <c r="S153" s="1">
        <v>757032.0</v>
      </c>
      <c r="T153" s="7" t="str">
        <f>VLOOKUP(A153,Posters!A153:B1152,2)</f>
        <v>https://m.media-amazon.com/images/M/MV5BMTgxOTY4Mjc0MF5BMl5BanBnXkFtZTcwNTA4MDQyMw@@._V1_UY98_CR1,0,67,98_AL_.jpg</v>
      </c>
      <c r="U153" s="8">
        <f>'Inflation Adjusted Gross'!F153</f>
        <v>494073129</v>
      </c>
      <c r="V153" s="5">
        <f t="shared" si="1"/>
        <v>2020</v>
      </c>
    </row>
    <row r="154">
      <c r="A154" s="1">
        <v>153.0</v>
      </c>
      <c r="B154" s="1" t="s">
        <v>1108</v>
      </c>
      <c r="C154" s="6">
        <f>Gross_cleaning!E154</f>
        <v>70511035</v>
      </c>
      <c r="D154" s="1">
        <v>2005.0</v>
      </c>
      <c r="E154" s="1" t="s">
        <v>18</v>
      </c>
      <c r="F154" s="1" t="str">
        <f>VLOOKUP(Filmes_raw!E154,Rating_systems!$A$2:$C$29,3,FALSE)</f>
        <v>Adulto</v>
      </c>
      <c r="G154" s="2">
        <f>Gross_cleaning!F154</f>
        <v>132</v>
      </c>
      <c r="H154" s="1" t="s">
        <v>170</v>
      </c>
      <c r="I154" s="1" t="s">
        <v>1109</v>
      </c>
      <c r="J154" s="1">
        <v>8.2</v>
      </c>
      <c r="K154" s="1" t="s">
        <v>1110</v>
      </c>
      <c r="L154" s="1" t="str">
        <f>IFERROR(__xludf.DUMMYFUNCTION("GOOGLETRANSLATE(K154,""en"", ""pt-br"")"),"Em uma futura tirania britânica, um lutador de liberdade sombrio, conhecido apenas pelo alias de ""V"", parcelas para derrubá-lo com a ajuda de uma jovem.")</f>
        <v>Em uma futura tirania britânica, um lutador de liberdade sombrio, conhecido apenas pelo alias de "V", parcelas para derrubá-lo com a ajuda de uma jovem.</v>
      </c>
      <c r="M154" s="1">
        <v>62.0</v>
      </c>
      <c r="N154" s="1" t="s">
        <v>1111</v>
      </c>
      <c r="O154" s="1" t="s">
        <v>1112</v>
      </c>
      <c r="P154" s="1" t="s">
        <v>348</v>
      </c>
      <c r="Q154" s="1" t="s">
        <v>1113</v>
      </c>
      <c r="R154" s="1" t="s">
        <v>1114</v>
      </c>
      <c r="S154" s="1">
        <v>1032749.0</v>
      </c>
      <c r="T154" s="7" t="str">
        <f>VLOOKUP(A154,Posters!A154:B1153,2)</f>
        <v>https://m.media-amazon.com/images/M/MV5BOTI5ODc3NzExNV5BMl5BanBnXkFtZTcwNzYxNzQzMw@@._V1_UX67_CR0,0,67,98_AL_.jpg</v>
      </c>
      <c r="U154" s="8">
        <f>'Inflation Adjusted Gross'!F154</f>
        <v>95384385</v>
      </c>
      <c r="V154" s="5">
        <f t="shared" si="1"/>
        <v>2020</v>
      </c>
    </row>
    <row r="155">
      <c r="A155" s="1">
        <v>154.0</v>
      </c>
      <c r="B155" s="1" t="s">
        <v>1115</v>
      </c>
      <c r="C155" s="6">
        <f>Gross_cleaning!E155</f>
        <v>2197331</v>
      </c>
      <c r="D155" s="1">
        <v>2006.0</v>
      </c>
      <c r="E155" s="1" t="s">
        <v>37</v>
      </c>
      <c r="F155" s="1" t="str">
        <f>VLOOKUP(Filmes_raw!E155,Rating_systems!$A$2:$C$29,3,FALSE)</f>
        <v>Criança</v>
      </c>
      <c r="G155" s="2">
        <f>Gross_cleaning!F155</f>
        <v>167</v>
      </c>
      <c r="H155" s="1" t="s">
        <v>984</v>
      </c>
      <c r="I155" s="1" t="s">
        <v>831</v>
      </c>
      <c r="J155" s="1">
        <v>8.2</v>
      </c>
      <c r="K155" s="1" t="s">
        <v>1116</v>
      </c>
      <c r="L155" s="1" t="str">
        <f>IFERROR(__xludf.DUMMYFUNCTION("GOOGLETRANSLATE(K155,""en"", ""pt-br"")"),"A história de seis jovens indianos que auxiliam uma mulher inglesa a filmar um documentário sobre os combatentes da liberdade de seu passado, e os eventos que os levam a reviver a longa saga de liberdade.")</f>
        <v>A história de seis jovens indianos que auxiliam uma mulher inglesa a filmar um documentário sobre os combatentes da liberdade de seu passado, e os eventos que os levam a reviver a longa saga de liberdade.</v>
      </c>
      <c r="N155" s="1" t="s">
        <v>1022</v>
      </c>
      <c r="O155" s="1" t="s">
        <v>461</v>
      </c>
      <c r="P155" s="1" t="s">
        <v>1117</v>
      </c>
      <c r="Q155" s="1" t="s">
        <v>1118</v>
      </c>
      <c r="R155" s="1" t="s">
        <v>511</v>
      </c>
      <c r="S155" s="1">
        <v>111937.0</v>
      </c>
      <c r="T155" s="7" t="str">
        <f>VLOOKUP(A155,Posters!A155:B1154,2)</f>
        <v>https://m.media-amazon.com/images/M/MV5BYThmZDA0YmQtMWJhNy00MDQwLTk0Y2YtMDhmZTE5ZjhlNjliXkEyXkFqcGdeQXVyODE5NzE3OTE@._V1_UY98_CR1,0,67,98_AL_.jpg</v>
      </c>
      <c r="U155" s="8">
        <f>'Inflation Adjusted Gross'!F155</f>
        <v>2858536</v>
      </c>
      <c r="V155" s="5">
        <f t="shared" si="1"/>
        <v>2020</v>
      </c>
    </row>
    <row r="156">
      <c r="A156" s="1">
        <v>155.0</v>
      </c>
      <c r="B156" s="1" t="s">
        <v>1119</v>
      </c>
      <c r="C156" s="6">
        <f>Gross_cleaning!E156</f>
        <v>733094</v>
      </c>
      <c r="D156" s="1">
        <v>2005.0</v>
      </c>
      <c r="E156" s="1" t="s">
        <v>52</v>
      </c>
      <c r="F156" s="1" t="str">
        <f>VLOOKUP(Filmes_raw!E156,Rating_systems!$A$2:$C$29,3,FALSE)</f>
        <v>Criança</v>
      </c>
      <c r="G156" s="2">
        <f>Gross_cleaning!F156</f>
        <v>122</v>
      </c>
      <c r="H156" s="1" t="s">
        <v>279</v>
      </c>
      <c r="I156" s="1" t="s">
        <v>20</v>
      </c>
      <c r="J156" s="1">
        <v>8.2</v>
      </c>
      <c r="K156" s="1" t="s">
        <v>1120</v>
      </c>
      <c r="L156" s="1" t="str">
        <f>IFERROR(__xludf.DUMMYFUNCTION("GOOGLETRANSLATE(K156,""en"", ""pt-br"")"),"O conto catártico de uma jovem que não pode ver, ouvir ou falar e o professor que traz um raio de luz em seu mundo escuro.")</f>
        <v>O conto catártico de uma jovem que não pode ver, ouvir ou falar e o professor que traz um raio de luz em seu mundo escuro.</v>
      </c>
      <c r="N156" s="1" t="s">
        <v>1121</v>
      </c>
      <c r="O156" s="1" t="s">
        <v>592</v>
      </c>
      <c r="P156" s="1" t="s">
        <v>1122</v>
      </c>
      <c r="Q156" s="1" t="s">
        <v>1123</v>
      </c>
      <c r="R156" s="1" t="s">
        <v>1124</v>
      </c>
      <c r="S156" s="1">
        <v>33354.0</v>
      </c>
      <c r="T156" s="7" t="str">
        <f>VLOOKUP(A156,Posters!A156:B1155,2)</f>
        <v>https://m.media-amazon.com/images/M/MV5BNTI5MmE5M2UtZjIzYS00M2JjLWIwNDItYTY2ZWNiODBmYTBiXkEyXkFqcGdeQXVyNjQ2MjQ5NzM@._V1_UY98_CR0,0,67,98_AL_.jpg</v>
      </c>
      <c r="U156" s="8">
        <f>'Inflation Adjusted Gross'!F156</f>
        <v>991699</v>
      </c>
      <c r="V156" s="5">
        <f t="shared" si="1"/>
        <v>2020</v>
      </c>
    </row>
    <row r="157">
      <c r="A157" s="1">
        <v>156.0</v>
      </c>
      <c r="B157" s="1" t="s">
        <v>1125</v>
      </c>
      <c r="C157" s="6">
        <f>Gross_cleaning!E157</f>
        <v>206852432</v>
      </c>
      <c r="D157" s="1">
        <v>2005.0</v>
      </c>
      <c r="E157" s="1" t="s">
        <v>37</v>
      </c>
      <c r="F157" s="1" t="str">
        <f>VLOOKUP(Filmes_raw!E157,Rating_systems!$A$2:$C$29,3,FALSE)</f>
        <v>Criança</v>
      </c>
      <c r="G157" s="2">
        <f>Gross_cleaning!F157</f>
        <v>140</v>
      </c>
      <c r="H157" s="1" t="s">
        <v>1059</v>
      </c>
      <c r="I157" s="1" t="s">
        <v>502</v>
      </c>
      <c r="J157" s="1">
        <v>8.2</v>
      </c>
      <c r="K157" s="1" t="s">
        <v>1126</v>
      </c>
      <c r="L157" s="1" t="str">
        <f>IFERROR(__xludf.DUMMYFUNCTION("GOOGLETRANSLATE(K157,""en"", ""pt-br"")"),"Depois de treinar com seu mentor, Batman começa sua luta para libertar a cidade gotham ridicularizada da corrupção.")</f>
        <v>Depois de treinar com seu mentor, Batman começa sua luta para libertar a cidade gotham ridicularizada da corrupção.</v>
      </c>
      <c r="M157" s="1">
        <v>70.0</v>
      </c>
      <c r="N157" s="1" t="s">
        <v>41</v>
      </c>
      <c r="O157" s="1" t="s">
        <v>42</v>
      </c>
      <c r="P157" s="1" t="s">
        <v>45</v>
      </c>
      <c r="Q157" s="1" t="s">
        <v>93</v>
      </c>
      <c r="R157" s="1" t="s">
        <v>82</v>
      </c>
      <c r="S157" s="1">
        <v>1308302.0</v>
      </c>
      <c r="T157" s="7" t="str">
        <f>VLOOKUP(A157,Posters!A157:B1156,2)</f>
        <v>https://m.media-amazon.com/images/M/MV5BOTY4YjI2N2MtYmFlMC00ZjcyLTg3YjEtMDQyM2ZjYzQ5YWFkXkEyXkFqcGdeQXVyMTQxNzMzNDI@._V1_UX67_CR0,0,67,98_AL_.jpg</v>
      </c>
      <c r="U157" s="8">
        <f>'Inflation Adjusted Gross'!F157</f>
        <v>279821336</v>
      </c>
      <c r="V157" s="5">
        <f t="shared" si="1"/>
        <v>2020</v>
      </c>
    </row>
    <row r="158">
      <c r="A158" s="1">
        <v>157.0</v>
      </c>
      <c r="B158" s="1" t="s">
        <v>1127</v>
      </c>
      <c r="C158" s="6">
        <f>Gross_cleaning!E158</f>
        <v>1223240</v>
      </c>
      <c r="D158" s="1">
        <v>2004.0</v>
      </c>
      <c r="E158" s="1" t="s">
        <v>52</v>
      </c>
      <c r="F158" s="1" t="str">
        <f>VLOOKUP(Filmes_raw!E158,Rating_systems!$A$2:$C$29,3,FALSE)</f>
        <v>Criança</v>
      </c>
      <c r="G158" s="2">
        <f>Gross_cleaning!F158</f>
        <v>210</v>
      </c>
      <c r="H158" s="1" t="s">
        <v>1128</v>
      </c>
      <c r="I158" s="1" t="s">
        <v>20</v>
      </c>
      <c r="J158" s="1">
        <v>8.2</v>
      </c>
      <c r="K158" s="1" t="s">
        <v>1129</v>
      </c>
      <c r="L158" s="1" t="str">
        <f>IFERROR(__xludf.DUMMYFUNCTION("GOOGLETRANSLATE(K158,""en"", ""pt-br"")"),"Um cientista indiano bem sucedido retorna a uma aldeia indiana para tirar sua babá para a América com ele e no processo redescobri suas raízes.")</f>
        <v>Um cientista indiano bem sucedido retorna a uma aldeia indiana para tirar sua babá para a América com ele e no processo redescobri suas raízes.</v>
      </c>
      <c r="N158" s="1" t="s">
        <v>1130</v>
      </c>
      <c r="O158" s="1" t="s">
        <v>1084</v>
      </c>
      <c r="P158" s="1" t="s">
        <v>1131</v>
      </c>
      <c r="Q158" s="1" t="s">
        <v>1132</v>
      </c>
      <c r="R158" s="1" t="s">
        <v>1133</v>
      </c>
      <c r="S158" s="1">
        <v>83005.0</v>
      </c>
      <c r="T158" s="7" t="str">
        <f>VLOOKUP(A158,Posters!A158:B1157,2)</f>
        <v>https://m.media-amazon.com/images/M/MV5BYzExOTcwNjYtZTljMC00YTQ2LWI2YjYtNWFlYzQ0YTJhNzJmXkEyXkFqcGdeQXVyNjQ2MjQ5NzM@._V1_UY98_CR0,0,67,98_AL_.jpg</v>
      </c>
      <c r="U158" s="8">
        <f>'Inflation Adjusted Gross'!F158</f>
        <v>1703890</v>
      </c>
      <c r="V158" s="5">
        <f t="shared" si="1"/>
        <v>2020</v>
      </c>
    </row>
    <row r="159">
      <c r="A159" s="1">
        <v>158.0</v>
      </c>
      <c r="B159" s="1" t="s">
        <v>1134</v>
      </c>
      <c r="C159" s="6">
        <f>Gross_cleaning!E159</f>
        <v>5509040</v>
      </c>
      <c r="D159" s="1">
        <v>2004.0</v>
      </c>
      <c r="E159" s="1" t="s">
        <v>212</v>
      </c>
      <c r="F159" s="1" t="str">
        <f>VLOOKUP(Filmes_raw!E159,Rating_systems!$A$2:$C$29,3,FALSE)</f>
        <v>Adulto</v>
      </c>
      <c r="G159" s="2">
        <f>Gross_cleaning!F159</f>
        <v>156</v>
      </c>
      <c r="H159" s="1" t="s">
        <v>955</v>
      </c>
      <c r="I159" s="1" t="s">
        <v>79</v>
      </c>
      <c r="J159" s="1">
        <v>8.2</v>
      </c>
      <c r="K159" s="1" t="s">
        <v>1135</v>
      </c>
      <c r="L159" s="1" t="str">
        <f>IFERROR(__xludf.DUMMYFUNCTION("GOOGLETRANSLATE(K159,""en"", ""pt-br"")"),"Traudl Junge, a secretária final de Adolf Hitler, conta os últimos dias do ditador nazista em seu bunker de Berlim no final da Segunda Guerra Mundial.")</f>
        <v>Traudl Junge, a secretária final de Adolf Hitler, conta os últimos dias do ditador nazista em seu bunker de Berlim no final da Segunda Guerra Mundial.</v>
      </c>
      <c r="M159" s="1">
        <v>82.0</v>
      </c>
      <c r="N159" s="1" t="s">
        <v>1136</v>
      </c>
      <c r="O159" s="1" t="s">
        <v>1137</v>
      </c>
      <c r="P159" s="1" t="s">
        <v>1138</v>
      </c>
      <c r="Q159" s="1" t="s">
        <v>1139</v>
      </c>
      <c r="R159" s="1" t="s">
        <v>1140</v>
      </c>
      <c r="S159" s="1">
        <v>331308.0</v>
      </c>
      <c r="T159" s="7" t="str">
        <f>VLOOKUP(A159,Posters!A159:B1158,2)</f>
        <v>https://m.media-amazon.com/images/M/MV5BMTU0NTU5NTAyMl5BMl5BanBnXkFtZTYwNzYwMDg2._V1_UX67_CR0,0,67,98_AL_.jpg</v>
      </c>
      <c r="U159" s="8">
        <f>'Inflation Adjusted Gross'!F159</f>
        <v>7673718</v>
      </c>
      <c r="V159" s="5">
        <f t="shared" si="1"/>
        <v>2020</v>
      </c>
    </row>
    <row r="160">
      <c r="A160" s="1">
        <v>159.0</v>
      </c>
      <c r="B160" s="1" t="s">
        <v>1141</v>
      </c>
      <c r="C160" s="6">
        <f>Gross_cleaning!E160</f>
        <v>4711096</v>
      </c>
      <c r="D160" s="1">
        <v>2004.0</v>
      </c>
      <c r="E160" s="1" t="s">
        <v>52</v>
      </c>
      <c r="F160" s="1" t="str">
        <f>VLOOKUP(Filmes_raw!E160,Rating_systems!$A$2:$C$29,3,FALSE)</f>
        <v>Criança</v>
      </c>
      <c r="G160" s="2">
        <f>Gross_cleaning!F160</f>
        <v>119</v>
      </c>
      <c r="H160" s="1" t="s">
        <v>329</v>
      </c>
      <c r="I160" s="1" t="s">
        <v>204</v>
      </c>
      <c r="J160" s="1">
        <v>8.2</v>
      </c>
      <c r="K160" s="1" t="s">
        <v>1142</v>
      </c>
      <c r="L160" s="1" t="str">
        <f>IFERROR(__xludf.DUMMYFUNCTION("GOOGLETRANSLATE(K160,""en"", ""pt-br"")"),"Quando uma jovem não confidente é amaldiçoada com um corpo velho por uma bruxa rancorosa, sua única chance de quebrar o feitiço mentiras com um self-indulgente e inseguro jovem bruxo e seus companheiros em seu castelo de pernas e caminhadas.")</f>
        <v>Quando uma jovem não confidente é amaldiçoada com um corpo velho por uma bruxa rancorosa, sua única chance de quebrar o feitiço mentiras com um self-indulgente e inseguro jovem bruxo e seus companheiros em seu castelo de pernas e caminhadas.</v>
      </c>
      <c r="M160" s="1">
        <v>80.0</v>
      </c>
      <c r="N160" s="1" t="s">
        <v>206</v>
      </c>
      <c r="O160" s="1" t="s">
        <v>1143</v>
      </c>
      <c r="P160" s="1" t="s">
        <v>1144</v>
      </c>
      <c r="Q160" s="1" t="s">
        <v>1145</v>
      </c>
      <c r="R160" s="1" t="s">
        <v>1146</v>
      </c>
      <c r="S160" s="1">
        <v>333915.0</v>
      </c>
      <c r="T160" s="7" t="str">
        <f>VLOOKUP(A160,Posters!A160:B1159,2)</f>
        <v>https://m.media-amazon.com/images/M/MV5BNmM4YTFmMmItMGE3Yy00MmRkLTlmZGEtMzZlOTQzYjk3MzA2XkEyXkFqcGdeQXVyMTMxODk2OTU@._V1_UX67_CR0,0,67,98_AL_.jpg</v>
      </c>
      <c r="U160" s="8">
        <f>'Inflation Adjusted Gross'!F160</f>
        <v>6562236</v>
      </c>
      <c r="V160" s="5">
        <f t="shared" si="1"/>
        <v>2020</v>
      </c>
    </row>
    <row r="161">
      <c r="A161" s="1">
        <v>160.0</v>
      </c>
      <c r="B161" s="1" t="s">
        <v>1147</v>
      </c>
      <c r="C161" s="6">
        <f>Gross_cleaning!E161</f>
        <v>170742341</v>
      </c>
      <c r="D161" s="1">
        <v>2001.0</v>
      </c>
      <c r="E161" s="1" t="s">
        <v>37</v>
      </c>
      <c r="F161" s="1" t="str">
        <f>VLOOKUP(Filmes_raw!E161,Rating_systems!$A$2:$C$29,3,FALSE)</f>
        <v>Criança</v>
      </c>
      <c r="G161" s="2">
        <f>Gross_cleaning!F161</f>
        <v>135</v>
      </c>
      <c r="H161" s="1" t="s">
        <v>1044</v>
      </c>
      <c r="I161" s="1" t="s">
        <v>1148</v>
      </c>
      <c r="J161" s="1">
        <v>8.2</v>
      </c>
      <c r="K161" s="1" t="s">
        <v>1149</v>
      </c>
      <c r="L161" s="1" t="str">
        <f>IFERROR(__xludf.DUMMYFUNCTION("GOOGLETRANSLATE(K161,""en"", ""pt-br"")"),"Depois de John Nash, um matemático brilhante, mas asocial, aceita trabalho secreto em criptografia, sua vida se dá uma volta para o pesadelo.")</f>
        <v>Depois de John Nash, um matemático brilhante, mas asocial, aceita trabalho secreto em criptografia, sua vida se dá uma volta para o pesadelo.</v>
      </c>
      <c r="M161" s="1">
        <v>72.0</v>
      </c>
      <c r="N161" s="1" t="s">
        <v>1150</v>
      </c>
      <c r="O161" s="1" t="s">
        <v>325</v>
      </c>
      <c r="P161" s="1" t="s">
        <v>1151</v>
      </c>
      <c r="Q161" s="1" t="s">
        <v>742</v>
      </c>
      <c r="R161" s="1" t="s">
        <v>1152</v>
      </c>
      <c r="S161" s="1">
        <v>848920.0</v>
      </c>
      <c r="T161" s="7" t="str">
        <f>VLOOKUP(A161,Posters!A161:B1160,2)</f>
        <v>https://m.media-amazon.com/images/M/MV5BMzcwYWFkYzktZjAzNC00OGY1LWI4YTgtNzc5MzVjMDVmNjY0XkEyXkFqcGdeQXVyMTQxNzMzNDI@._V1_UX67_CR0,0,67,98_AL_.jpg</v>
      </c>
      <c r="U161" s="8">
        <f>'Inflation Adjusted Gross'!F161</f>
        <v>251550957</v>
      </c>
      <c r="V161" s="5">
        <f t="shared" si="1"/>
        <v>2020</v>
      </c>
    </row>
    <row r="162">
      <c r="A162" s="1">
        <v>161.0</v>
      </c>
      <c r="B162" s="1" t="s">
        <v>1153</v>
      </c>
      <c r="C162" s="6">
        <f>Gross_cleaning!E162</f>
        <v>0</v>
      </c>
      <c r="D162" s="1">
        <v>2000.0</v>
      </c>
      <c r="E162" s="1" t="s">
        <v>52</v>
      </c>
      <c r="F162" s="1" t="str">
        <f>VLOOKUP(Filmes_raw!E162,Rating_systems!$A$2:$C$29,3,FALSE)</f>
        <v>Criança</v>
      </c>
      <c r="G162" s="2">
        <f>Gross_cleaning!F162</f>
        <v>156</v>
      </c>
      <c r="H162" s="1" t="s">
        <v>955</v>
      </c>
      <c r="I162" s="1" t="s">
        <v>1029</v>
      </c>
      <c r="J162" s="1">
        <v>8.2</v>
      </c>
      <c r="K162" s="1" t="s">
        <v>1154</v>
      </c>
      <c r="L162" s="1" t="str">
        <f>IFERROR(__xludf.DUMMYFUNCTION("GOOGLETRANSLATE(K162,""en"", ""pt-br"")"),"Três homens desempregados procuram respostas a todos os seus problemas de dinheiro - mas quando sua oportunidade chega, eles saberão o que fazer com isso?")</f>
        <v>Três homens desempregados procuram respostas a todos os seus problemas de dinheiro - mas quando sua oportunidade chega, eles saberão o que fazer com isso?</v>
      </c>
      <c r="N162" s="1" t="s">
        <v>1155</v>
      </c>
      <c r="O162" s="1" t="s">
        <v>1156</v>
      </c>
      <c r="P162" s="1" t="s">
        <v>1157</v>
      </c>
      <c r="Q162" s="1" t="s">
        <v>184</v>
      </c>
      <c r="R162" s="1" t="s">
        <v>660</v>
      </c>
      <c r="S162" s="1">
        <v>57057.0</v>
      </c>
      <c r="T162" s="7" t="str">
        <f>VLOOKUP(A162,Posters!A162:B1161,2)</f>
        <v>https://m.media-amazon.com/images/M/MV5BMGMzZjY2ZWQtZjQxYS00NWY3LThhNjItNWQzNTkzOTllODljXkEyXkFqcGdeQXVyNjY1MTg4Mzc@._V1_UY98_CR1,0,67,98_AL_.jpg</v>
      </c>
      <c r="U162" s="8">
        <f>'Inflation Adjusted Gross'!F162</f>
        <v>0</v>
      </c>
      <c r="V162" s="5">
        <f t="shared" si="1"/>
        <v>2020</v>
      </c>
    </row>
    <row r="163">
      <c r="A163" s="1">
        <v>162.0</v>
      </c>
      <c r="B163" s="1" t="s">
        <v>1158</v>
      </c>
      <c r="C163" s="6">
        <f>Gross_cleaning!E163</f>
        <v>3897569</v>
      </c>
      <c r="D163" s="1">
        <v>1998.0</v>
      </c>
      <c r="E163" s="1" t="s">
        <v>18</v>
      </c>
      <c r="F163" s="1" t="str">
        <f>VLOOKUP(Filmes_raw!E163,Rating_systems!$A$2:$C$29,3,FALSE)</f>
        <v>Adulto</v>
      </c>
      <c r="G163" s="2">
        <f>Gross_cleaning!F163</f>
        <v>107</v>
      </c>
      <c r="H163" s="1" t="s">
        <v>907</v>
      </c>
      <c r="I163" s="1" t="s">
        <v>1029</v>
      </c>
      <c r="J163" s="1">
        <v>8.2</v>
      </c>
      <c r="K163" s="1" t="s">
        <v>1159</v>
      </c>
      <c r="L163" s="1" t="str">
        <f>IFERROR(__xludf.DUMMYFUNCTION("GOOGLETRANSLATE(K163,""en"", ""pt-br"")"),"Um jogo de cartas em Londres aciona quatro amigos, bandidos, ervas daninhas, gangsters duros, tubarões de empréstimo e colecionadores de dívida para colidir uns com os outros em uma série de eventos inesperados, tudo por uma questão de ervas daninhas, din"&amp;"heiro e duas espingardas antigas.")</f>
        <v>Um jogo de cartas em Londres aciona quatro amigos, bandidos, ervas daninhas, gangsters duros, tubarões de empréstimo e colecionadores de dívida para colidir uns com os outros em uma série de eventos inesperados, tudo por uma questão de ervas daninhas, dinheiro e duas espingardas antigas.</v>
      </c>
      <c r="M163" s="1">
        <v>66.0</v>
      </c>
      <c r="N163" s="1" t="s">
        <v>733</v>
      </c>
      <c r="O163" s="1" t="s">
        <v>1160</v>
      </c>
      <c r="P163" s="1" t="s">
        <v>1161</v>
      </c>
      <c r="Q163" s="1" t="s">
        <v>1162</v>
      </c>
      <c r="R163" s="1" t="s">
        <v>734</v>
      </c>
      <c r="S163" s="1">
        <v>535216.0</v>
      </c>
      <c r="T163" s="7" t="str">
        <f>VLOOKUP(A163,Posters!A163:B1162,2)</f>
        <v>https://m.media-amazon.com/images/M/MV5BMTAyN2JmZmEtNjAyMy00NzYwLThmY2MtYWQ3OGNhNjExMmM4XkEyXkFqcGdeQXVyNDk3NzU2MTQ@._V1_UX67_CR0,0,67,98_AL_.jpg</v>
      </c>
      <c r="U163" s="8">
        <f>'Inflation Adjusted Gross'!F163</f>
        <v>6221905</v>
      </c>
      <c r="V163" s="5">
        <f t="shared" si="1"/>
        <v>2020</v>
      </c>
    </row>
    <row r="164">
      <c r="A164" s="1">
        <v>163.0</v>
      </c>
      <c r="B164" s="1" t="s">
        <v>1163</v>
      </c>
      <c r="C164" s="6">
        <f>Gross_cleaning!E164</f>
        <v>64616940</v>
      </c>
      <c r="D164" s="1">
        <v>1997.0</v>
      </c>
      <c r="E164" s="1" t="s">
        <v>18</v>
      </c>
      <c r="F164" s="1" t="str">
        <f>VLOOKUP(Filmes_raw!E164,Rating_systems!$A$2:$C$29,3,FALSE)</f>
        <v>Adulto</v>
      </c>
      <c r="G164" s="2">
        <f>Gross_cleaning!F164</f>
        <v>138</v>
      </c>
      <c r="H164" s="1" t="s">
        <v>947</v>
      </c>
      <c r="I164" s="1" t="s">
        <v>235</v>
      </c>
      <c r="J164" s="1">
        <v>8.2</v>
      </c>
      <c r="K164" s="1" t="s">
        <v>1164</v>
      </c>
      <c r="L164" s="1" t="str">
        <f>IFERROR(__xludf.DUMMYFUNCTION("GOOGLETRANSLATE(K164,""en"", ""pt-br"")"),"Como a corrupção cresce em 1950, Los Angeles, três policiais - um passo-atado, um brutal e um sleazy - investigar uma série de assassinatos com sua própria marca de justiça.")</f>
        <v>Como a corrupção cresce em 1950, Los Angeles, três policiais - um passo-atado, um brutal e um sleazy - investigar uma série de assassinatos com sua própria marca de justiça.</v>
      </c>
      <c r="M164" s="1">
        <v>90.0</v>
      </c>
      <c r="N164" s="1" t="s">
        <v>1165</v>
      </c>
      <c r="O164" s="1" t="s">
        <v>237</v>
      </c>
      <c r="P164" s="1" t="s">
        <v>325</v>
      </c>
      <c r="Q164" s="1" t="s">
        <v>546</v>
      </c>
      <c r="R164" s="1" t="s">
        <v>1166</v>
      </c>
      <c r="S164" s="1">
        <v>531967.0</v>
      </c>
      <c r="T164" s="7" t="str">
        <f>VLOOKUP(A164,Posters!A164:B1163,2)</f>
        <v>https://m.media-amazon.com/images/M/MV5BMDQ2YzEyZGItYWRhOS00MjBmLTkzMDUtMTdjYzkyMmQxZTJlXkEyXkFqcGdeQXVyNjU0OTQ0OTY@._V1_UX67_CR0,0,67,98_AL_.jpg</v>
      </c>
      <c r="U164" s="8">
        <f>'Inflation Adjusted Gross'!F164</f>
        <v>104772449</v>
      </c>
      <c r="V164" s="5">
        <f t="shared" si="1"/>
        <v>2020</v>
      </c>
    </row>
    <row r="165">
      <c r="A165" s="1">
        <v>164.0</v>
      </c>
      <c r="B165" s="1" t="s">
        <v>1167</v>
      </c>
      <c r="C165" s="6">
        <f>Gross_cleaning!E165</f>
        <v>1200000</v>
      </c>
      <c r="D165" s="1">
        <v>1996.0</v>
      </c>
      <c r="E165" s="1">
        <v>12.0</v>
      </c>
      <c r="F165" s="1" t="str">
        <f>VLOOKUP(Filmes_raw!E165,Rating_systems!$A$2:$C$29,3,FALSE)</f>
        <v>Criança</v>
      </c>
      <c r="G165" s="2">
        <f>Gross_cleaning!F165</f>
        <v>128</v>
      </c>
      <c r="H165" s="1" t="s">
        <v>878</v>
      </c>
      <c r="I165" s="1" t="s">
        <v>241</v>
      </c>
      <c r="J165" s="1">
        <v>8.2</v>
      </c>
      <c r="K165" s="1" t="s">
        <v>1168</v>
      </c>
      <c r="L165" s="1" t="str">
        <f>IFERROR(__xludf.DUMMYFUNCTION("GOOGLETRANSLATE(K165,""en"", ""pt-br"")"),"Baran o bandido, liberado da prisão após 35 anos, procura a vingança e seu amante.")</f>
        <v>Baran o bandido, liberado da prisão após 35 anos, procura a vingança e seu amante.</v>
      </c>
      <c r="N165" s="1" t="s">
        <v>1169</v>
      </c>
      <c r="O165" s="1" t="s">
        <v>1170</v>
      </c>
      <c r="P165" s="1" t="s">
        <v>1171</v>
      </c>
      <c r="Q165" s="1" t="s">
        <v>1172</v>
      </c>
      <c r="R165" s="1" t="s">
        <v>1173</v>
      </c>
      <c r="S165" s="1">
        <v>64118.0</v>
      </c>
      <c r="T165" s="7" t="str">
        <f>VLOOKUP(A165,Posters!A165:B1164,2)</f>
        <v>https://m.media-amazon.com/images/M/MV5BOGQ4ZjFmYjktOGNkNS00OWYyLWIyZjgtMGJjM2U1ZTA0ZTlhXkEyXkFqcGdeQXVyNTA4NzY1MzY@._V1_UY98_CR1,0,67,98_AL_.jpg</v>
      </c>
      <c r="U165" s="8">
        <f>'Inflation Adjusted Gross'!F165</f>
        <v>2004956</v>
      </c>
      <c r="V165" s="5">
        <f t="shared" si="1"/>
        <v>2020</v>
      </c>
    </row>
    <row r="166">
      <c r="A166" s="1">
        <v>165.0</v>
      </c>
      <c r="B166" s="1" t="s">
        <v>1174</v>
      </c>
      <c r="C166" s="6">
        <f>Gross_cleaning!E166</f>
        <v>67436818</v>
      </c>
      <c r="D166" s="1">
        <v>1995.0</v>
      </c>
      <c r="E166" s="1" t="s">
        <v>18</v>
      </c>
      <c r="F166" s="1" t="str">
        <f>VLOOKUP(Filmes_raw!E166,Rating_systems!$A$2:$C$29,3,FALSE)</f>
        <v>Adulto</v>
      </c>
      <c r="G166" s="2">
        <f>Gross_cleaning!F166</f>
        <v>170</v>
      </c>
      <c r="H166" s="1" t="s">
        <v>506</v>
      </c>
      <c r="I166" s="1" t="s">
        <v>241</v>
      </c>
      <c r="J166" s="1">
        <v>8.2</v>
      </c>
      <c r="K166" s="1" t="s">
        <v>1175</v>
      </c>
      <c r="L166" s="1" t="str">
        <f>IFERROR(__xludf.DUMMYFUNCTION("GOOGLETRANSLATE(K166,""en"", ""pt-br"")"),"Um grupo de ladrões de banco profissional começam a sentir o calor da polícia quando sem saber, deixam uma pista em seu mais recente Heist.")</f>
        <v>Um grupo de ladrões de banco profissional começam a sentir o calor da polícia quando sem saber, deixam uma pista em seu mais recente Heist.</v>
      </c>
      <c r="M166" s="1">
        <v>76.0</v>
      </c>
      <c r="N166" s="1" t="s">
        <v>1176</v>
      </c>
      <c r="O166" s="1" t="s">
        <v>33</v>
      </c>
      <c r="P166" s="1" t="s">
        <v>49</v>
      </c>
      <c r="Q166" s="1" t="s">
        <v>1177</v>
      </c>
      <c r="R166" s="1" t="s">
        <v>1178</v>
      </c>
      <c r="S166" s="1">
        <v>577113.0</v>
      </c>
      <c r="T166" s="7" t="str">
        <f>VLOOKUP(A166,Posters!A166:B1165,2)</f>
        <v>https://m.media-amazon.com/images/M/MV5BNGMwNzUwNjYtZWM5NS00YzMyLWI4NjAtNjM0ZDBiMzE1YWExXkEyXkFqcGdeQXVyNDk3NzU2MTQ@._V1_UX67_CR0,0,67,98_AL_.jpg</v>
      </c>
      <c r="U166" s="8">
        <f>'Inflation Adjusted Gross'!F166</f>
        <v>115746796</v>
      </c>
      <c r="V166" s="5">
        <f t="shared" si="1"/>
        <v>2020</v>
      </c>
    </row>
    <row r="167">
      <c r="A167" s="1">
        <v>166.0</v>
      </c>
      <c r="B167" s="1" t="s">
        <v>1179</v>
      </c>
      <c r="C167" s="6">
        <f>Gross_cleaning!E167</f>
        <v>42438300</v>
      </c>
      <c r="D167" s="1">
        <v>1995.0</v>
      </c>
      <c r="E167" s="1" t="s">
        <v>18</v>
      </c>
      <c r="F167" s="1" t="str">
        <f>VLOOKUP(Filmes_raw!E167,Rating_systems!$A$2:$C$29,3,FALSE)</f>
        <v>Adulto</v>
      </c>
      <c r="G167" s="2">
        <f>Gross_cleaning!F167</f>
        <v>178</v>
      </c>
      <c r="H167" s="1" t="s">
        <v>103</v>
      </c>
      <c r="I167" s="1" t="s">
        <v>29</v>
      </c>
      <c r="J167" s="1">
        <v>8.2</v>
      </c>
      <c r="K167" s="1" t="s">
        <v>1180</v>
      </c>
      <c r="L167" s="1" t="str">
        <f>IFERROR(__xludf.DUMMYFUNCTION("GOOGLETRANSLATE(K167,""en"", ""pt-br"")"),"Um conto de ganância, engano, dinheiro, poder e assassinato ocorre entre os dois melhores amigos: um executivo da máfia e um executivo de cassino competem uns contra os outros sobre um império de jogo, e sobre uma socialite de vida rápida e amorosa.")</f>
        <v>Um conto de ganância, engano, dinheiro, poder e assassinato ocorre entre os dois melhores amigos: um executivo da máfia e um executivo de cassino competem uns contra os outros sobre um império de jogo, e sobre uma socialite de vida rápida e amorosa.</v>
      </c>
      <c r="M167" s="1">
        <v>73.0</v>
      </c>
      <c r="N167" s="1" t="s">
        <v>139</v>
      </c>
      <c r="O167" s="1" t="s">
        <v>49</v>
      </c>
      <c r="P167" s="1" t="s">
        <v>1181</v>
      </c>
      <c r="Q167" s="1" t="s">
        <v>141</v>
      </c>
      <c r="R167" s="1" t="s">
        <v>559</v>
      </c>
      <c r="S167" s="1">
        <v>466276.0</v>
      </c>
      <c r="T167" s="7" t="str">
        <f>VLOOKUP(A167,Posters!A167:B1166,2)</f>
        <v>https://m.media-amazon.com/images/M/MV5BMTcxOWYzNDYtYmM4YS00N2NkLTk0NTAtNjg1ODgwZjAxYzI3XkEyXkFqcGdeQXVyNTA4NzY1MzY@._V1_UX67_CR0,0,67,98_AL_.jpg</v>
      </c>
      <c r="U167" s="8">
        <f>'Inflation Adjusted Gross'!F167</f>
        <v>72839991</v>
      </c>
      <c r="V167" s="5">
        <f t="shared" si="1"/>
        <v>2020</v>
      </c>
    </row>
    <row r="168">
      <c r="A168" s="1">
        <v>167.0</v>
      </c>
      <c r="B168" s="1" t="s">
        <v>1182</v>
      </c>
      <c r="C168" s="6">
        <f>Gross_cleaning!E168</f>
        <v>0</v>
      </c>
      <c r="D168" s="1">
        <v>1994.0</v>
      </c>
      <c r="E168" s="1" t="s">
        <v>52</v>
      </c>
      <c r="F168" s="1" t="str">
        <f>VLOOKUP(Filmes_raw!E168,Rating_systems!$A$2:$C$29,3,FALSE)</f>
        <v>Criança</v>
      </c>
      <c r="G168" s="2">
        <f>Gross_cleaning!F168</f>
        <v>160</v>
      </c>
      <c r="H168" s="1" t="s">
        <v>162</v>
      </c>
      <c r="I168" s="1" t="s">
        <v>1183</v>
      </c>
      <c r="J168" s="1">
        <v>8.2</v>
      </c>
      <c r="K168" s="1" t="s">
        <v>1184</v>
      </c>
      <c r="L168" s="1" t="str">
        <f>IFERROR(__xludf.DUMMYFUNCTION("GOOGLETRANSLATE(K168,""en"", ""pt-br"")"),"Dois calçados competindo para as afeições de uma herdeira inadvertidamente se tornam seus protetores de um criminoso maligno.")</f>
        <v>Dois calçados competindo para as afeições de uma herdeira inadvertidamente se tornam seus protetores de um criminoso maligno.</v>
      </c>
      <c r="N168" s="1" t="s">
        <v>1185</v>
      </c>
      <c r="O168" s="1" t="s">
        <v>461</v>
      </c>
      <c r="P168" s="1" t="s">
        <v>1186</v>
      </c>
      <c r="Q168" s="1" t="s">
        <v>1187</v>
      </c>
      <c r="R168" s="1" t="s">
        <v>1188</v>
      </c>
      <c r="S168" s="1">
        <v>49300.0</v>
      </c>
      <c r="T168" s="7" t="str">
        <f>VLOOKUP(A168,Posters!A168:B1167,2)</f>
        <v>https://m.media-amazon.com/images/M/MV5BZTIwYzRjMGYtZWQ0Ni00NDZhLThhZDYtOGViZGJiZTkwMzk2XkEyXkFqcGdeQXVyODE5NzE3OTE@._V1_UY98_CR3,0,67,98_AL_.jpg</v>
      </c>
      <c r="U168" s="8">
        <f>'Inflation Adjusted Gross'!F168</f>
        <v>0</v>
      </c>
      <c r="V168" s="5">
        <f t="shared" si="1"/>
        <v>2020</v>
      </c>
    </row>
    <row r="169">
      <c r="A169" s="1">
        <v>168.0</v>
      </c>
      <c r="B169" s="1" t="s">
        <v>1189</v>
      </c>
      <c r="C169" s="6">
        <f>Gross_cleaning!E169</f>
        <v>101157447</v>
      </c>
      <c r="D169" s="1">
        <v>1992.0</v>
      </c>
      <c r="E169" s="1" t="s">
        <v>18</v>
      </c>
      <c r="F169" s="1" t="str">
        <f>VLOOKUP(Filmes_raw!E169,Rating_systems!$A$2:$C$29,3,FALSE)</f>
        <v>Adulto</v>
      </c>
      <c r="G169" s="2">
        <f>Gross_cleaning!F169</f>
        <v>130</v>
      </c>
      <c r="H169" s="1" t="s">
        <v>195</v>
      </c>
      <c r="I169" s="1" t="s">
        <v>495</v>
      </c>
      <c r="J169" s="1">
        <v>8.2</v>
      </c>
      <c r="K169" s="1" t="s">
        <v>1190</v>
      </c>
      <c r="L169" s="1" t="str">
        <f>IFERROR(__xludf.DUMMYFUNCTION("GOOGLETRANSLATE(K169,""en"", ""pt-br"")"),"Aposentado Velho West Gunslinger William Munny Relutantemente assume um último emprego, com a ajuda de seu velho parceiro Logan e um jovem, o ""Kid Schofield"".")</f>
        <v>Aposentado Velho West Gunslinger William Munny Relutantemente assume um último emprego, com a ajuda de seu velho parceiro Logan e um jovem, o "Kid Schofield".</v>
      </c>
      <c r="M169" s="1">
        <v>85.0</v>
      </c>
      <c r="N169" s="1" t="s">
        <v>119</v>
      </c>
      <c r="O169" s="1" t="s">
        <v>119</v>
      </c>
      <c r="P169" s="1" t="s">
        <v>1191</v>
      </c>
      <c r="Q169" s="1" t="s">
        <v>24</v>
      </c>
      <c r="R169" s="1" t="s">
        <v>1192</v>
      </c>
      <c r="S169" s="1">
        <v>375935.0</v>
      </c>
      <c r="T169" s="7" t="str">
        <f>VLOOKUP(A169,Posters!A169:B1168,2)</f>
        <v>https://m.media-amazon.com/images/M/MV5BODM3YWY4NmQtN2Y3Ni00OTg0LWFhZGQtZWE3ZWY4MTJlOWU4XkEyXkFqcGdeQXVyNjU0OTQ0OTY@._V1_UX67_CR0,0,67,98_AL_.jpg</v>
      </c>
      <c r="U169" s="8">
        <f>'Inflation Adjusted Gross'!F169</f>
        <v>188962258</v>
      </c>
      <c r="V169" s="5">
        <f t="shared" si="1"/>
        <v>2020</v>
      </c>
    </row>
    <row r="170">
      <c r="A170" s="1">
        <v>169.0</v>
      </c>
      <c r="B170" s="1" t="s">
        <v>1193</v>
      </c>
      <c r="C170" s="6">
        <f>Gross_cleaning!E170</f>
        <v>197171806</v>
      </c>
      <c r="D170" s="1">
        <v>1989.0</v>
      </c>
      <c r="E170" s="1" t="s">
        <v>52</v>
      </c>
      <c r="F170" s="1" t="str">
        <f>VLOOKUP(Filmes_raw!E170,Rating_systems!$A$2:$C$29,3,FALSE)</f>
        <v>Criança</v>
      </c>
      <c r="G170" s="2">
        <f>Gross_cleaning!F170</f>
        <v>127</v>
      </c>
      <c r="H170" s="1" t="s">
        <v>234</v>
      </c>
      <c r="I170" s="1" t="s">
        <v>502</v>
      </c>
      <c r="J170" s="1">
        <v>8.2</v>
      </c>
      <c r="K170" s="1" t="s">
        <v>1194</v>
      </c>
      <c r="L170" s="1" t="str">
        <f>IFERROR(__xludf.DUMMYFUNCTION("GOOGLETRANSLATE(K170,""en"", ""pt-br"")"),"Em 1938, depois de seu Padre Professor Henry Jones, Sr. desaparece enquanto persegue o Santo Graal, o professor Henry ""Indiana"" Jones, Jr. se encontra contra os nazistas de Adolf Hitler novamente para impedi-los de obter seus poderes.")</f>
        <v>Em 1938, depois de seu Padre Professor Henry Jones, Sr. desaparece enquanto persegue o Santo Graal, o professor Henry "Indiana" Jones, Jr. se encontra contra os nazistas de Adolf Hitler novamente para impedi-los de obter seus poderes.</v>
      </c>
      <c r="M170" s="1">
        <v>65.0</v>
      </c>
      <c r="N170" s="1" t="s">
        <v>81</v>
      </c>
      <c r="O170" s="1" t="s">
        <v>149</v>
      </c>
      <c r="P170" s="1" t="s">
        <v>1195</v>
      </c>
      <c r="Q170" s="1" t="s">
        <v>1196</v>
      </c>
      <c r="R170" s="1" t="s">
        <v>1197</v>
      </c>
      <c r="S170" s="1">
        <v>692366.0</v>
      </c>
      <c r="T170" s="7" t="str">
        <f>VLOOKUP(A170,Posters!A170:B1169,2)</f>
        <v>https://m.media-amazon.com/images/M/MV5BMjNkMzc2N2QtNjVlNS00ZTk5LTg0MTgtODY2MDAwNTMwZjBjXkEyXkFqcGdeQXVyNDk3NzU2MTQ@._V1_UX67_CR0,0,67,98_AL_.jpg</v>
      </c>
      <c r="U170" s="8">
        <f>'Inflation Adjusted Gross'!F170</f>
        <v>420021535</v>
      </c>
      <c r="V170" s="5">
        <f t="shared" si="1"/>
        <v>2020</v>
      </c>
    </row>
    <row r="171">
      <c r="A171" s="1">
        <v>170.0</v>
      </c>
      <c r="B171" s="1" t="s">
        <v>1198</v>
      </c>
      <c r="C171" s="6">
        <f>Gross_cleaning!E171</f>
        <v>280015</v>
      </c>
      <c r="D171" s="1">
        <v>1988.0</v>
      </c>
      <c r="E171" s="1" t="s">
        <v>212</v>
      </c>
      <c r="F171" s="1" t="str">
        <f>VLOOKUP(Filmes_raw!E171,Rating_systems!$A$2:$C$29,3,FALSE)</f>
        <v>Adulto</v>
      </c>
      <c r="G171" s="2">
        <f>Gross_cleaning!F171</f>
        <v>142</v>
      </c>
      <c r="H171" s="1" t="s">
        <v>19</v>
      </c>
      <c r="I171" s="1" t="s">
        <v>831</v>
      </c>
      <c r="J171" s="1">
        <v>8.2</v>
      </c>
      <c r="K171" s="1" t="s">
        <v>1199</v>
      </c>
      <c r="L171" s="1" t="str">
        <f>IFERROR(__xludf.DUMMYFUNCTION("GOOGLETRANSLATE(K171,""en"", ""pt-br"")"),"Neste conto luminoso situado na área ao redor de Sarajevo e na Itália, Perhan, um jovem romani real (cigano) com poderes teleinéticos, é seduzido pelo mundo de dinheiro rápido do crime mesquinho, que ameaça destruí-lo e aqueles que ele ama.")</f>
        <v>Neste conto luminoso situado na área ao redor de Sarajevo e na Itália, Perhan, um jovem romani real (cigano) com poderes teleinéticos, é seduzido pelo mundo de dinheiro rápido do crime mesquinho, que ameaça destruí-lo e aqueles que ele ama.</v>
      </c>
      <c r="N171" s="1" t="s">
        <v>1200</v>
      </c>
      <c r="O171" s="1" t="s">
        <v>1201</v>
      </c>
      <c r="P171" s="1" t="s">
        <v>1202</v>
      </c>
      <c r="Q171" s="1" t="s">
        <v>1203</v>
      </c>
      <c r="R171" s="1" t="s">
        <v>1204</v>
      </c>
      <c r="S171" s="1">
        <v>26402.0</v>
      </c>
      <c r="T171" s="7" t="str">
        <f>VLOOKUP(A171,Posters!A171:B1170,2)</f>
        <v>https://m.media-amazon.com/images/M/MV5BODI2ZjVlMGQtMWE5ZS00MjJiLWIyMWYtMGU5NmIxNDc0OTMyXkEyXkFqcGdeQXVyMTQ3Njg3MQ@@._V1_UX67_CR0,0,67,98_AL_.jpg</v>
      </c>
      <c r="U171" s="8">
        <f>'Inflation Adjusted Gross'!F171</f>
        <v>624337</v>
      </c>
      <c r="V171" s="5">
        <f t="shared" si="1"/>
        <v>2020</v>
      </c>
    </row>
    <row r="172">
      <c r="A172" s="1">
        <v>171.0</v>
      </c>
      <c r="B172" s="1" t="s">
        <v>1205</v>
      </c>
      <c r="C172" s="6">
        <f>Gross_cleaning!E172</f>
        <v>1105564</v>
      </c>
      <c r="D172" s="1">
        <v>1988.0</v>
      </c>
      <c r="E172" s="1" t="s">
        <v>52</v>
      </c>
      <c r="F172" s="1" t="str">
        <f>VLOOKUP(Filmes_raw!E172,Rating_systems!$A$2:$C$29,3,FALSE)</f>
        <v>Criança</v>
      </c>
      <c r="G172" s="2">
        <f>Gross_cleaning!F172</f>
        <v>86</v>
      </c>
      <c r="H172" s="1" t="s">
        <v>1206</v>
      </c>
      <c r="I172" s="1" t="s">
        <v>1207</v>
      </c>
      <c r="J172" s="1">
        <v>8.2</v>
      </c>
      <c r="K172" s="1" t="s">
        <v>1208</v>
      </c>
      <c r="L172" s="1" t="str">
        <f>IFERROR(__xludf.DUMMYFUNCTION("GOOGLETRANSLATE(K172,""en"", ""pt-br"")"),"Quando duas meninas se mudam para o país para estar perto de sua mãe doente, eles têm aventuras com os maravilhosos espíritos florestais que vivem nas proximidades.")</f>
        <v>Quando duas meninas se mudam para o país para estar perto de sua mãe doente, eles têm aventuras com os maravilhosos espíritos florestais que vivem nas proximidades.</v>
      </c>
      <c r="M172" s="1">
        <v>86.0</v>
      </c>
      <c r="N172" s="1" t="s">
        <v>206</v>
      </c>
      <c r="O172" s="1" t="s">
        <v>1209</v>
      </c>
      <c r="P172" s="1" t="s">
        <v>1210</v>
      </c>
      <c r="Q172" s="1" t="s">
        <v>1211</v>
      </c>
      <c r="R172" s="1" t="s">
        <v>1212</v>
      </c>
      <c r="S172" s="1">
        <v>291180.0</v>
      </c>
      <c r="T172" s="7" t="str">
        <f>VLOOKUP(A172,Posters!A172:B1171,2)</f>
        <v>https://m.media-amazon.com/images/M/MV5BYzJjMTYyMjQtZDI0My00ZjE2LTkyNGYtOTllNGQxNDMyZjE0XkEyXkFqcGdeQXVyMTMxODk2OTU@._V1_UY98_CR1,0,67,98_AL_.jpg</v>
      </c>
      <c r="U172" s="8">
        <f>'Inflation Adjusted Gross'!F172</f>
        <v>2465026</v>
      </c>
      <c r="V172" s="5">
        <f t="shared" si="1"/>
        <v>2020</v>
      </c>
    </row>
    <row r="173">
      <c r="A173" s="1">
        <v>172.0</v>
      </c>
      <c r="B173" s="1" t="s">
        <v>1213</v>
      </c>
      <c r="C173" s="6">
        <f>Gross_cleaning!E173</f>
        <v>83008852</v>
      </c>
      <c r="D173" s="1">
        <v>1988.0</v>
      </c>
      <c r="E173" s="1" t="s">
        <v>18</v>
      </c>
      <c r="F173" s="1" t="str">
        <f>VLOOKUP(Filmes_raw!E173,Rating_systems!$A$2:$C$29,3,FALSE)</f>
        <v>Adulto</v>
      </c>
      <c r="G173" s="2">
        <f>Gross_cleaning!F173</f>
        <v>132</v>
      </c>
      <c r="H173" s="1" t="s">
        <v>170</v>
      </c>
      <c r="I173" s="1" t="s">
        <v>1214</v>
      </c>
      <c r="J173" s="1">
        <v>8.2</v>
      </c>
      <c r="K173" s="1" t="s">
        <v>1215</v>
      </c>
      <c r="L173" s="1" t="str">
        <f>IFERROR(__xludf.DUMMYFUNCTION("GOOGLETRANSLATE(K173,""en"", ""pt-br"")"),"Um oficial do NYPD tenta salvar sua esposa e vários outros tomaram reféns por terroristas alemãs durante uma festa de Natal na Plaza Nakatomi em Los Angeles.")</f>
        <v>Um oficial do NYPD tenta salvar sua esposa e vários outros tomaram reféns por terroristas alemãs durante uma festa de Natal na Plaza Nakatomi em Los Angeles.</v>
      </c>
      <c r="M173" s="1">
        <v>72.0</v>
      </c>
      <c r="N173" s="1" t="s">
        <v>1216</v>
      </c>
      <c r="O173" s="1" t="s">
        <v>76</v>
      </c>
      <c r="P173" s="1" t="s">
        <v>1217</v>
      </c>
      <c r="Q173" s="1" t="s">
        <v>1218</v>
      </c>
      <c r="R173" s="1" t="s">
        <v>1219</v>
      </c>
      <c r="S173" s="1">
        <v>793164.0</v>
      </c>
      <c r="T173" s="7" t="str">
        <f>VLOOKUP(A173,Posters!A173:B1172,2)</f>
        <v>https://m.media-amazon.com/images/M/MV5BZjRlNDUxZjAtOGQ4OC00OTNlLTgxNmQtYTBmMDgwZmNmNjkxXkEyXkFqcGdeQXVyNzkwMjQ5NzM@._V1_UX67_CR0,0,67,98_AL_.jpg</v>
      </c>
      <c r="U173" s="8">
        <f>'Inflation Adjusted Gross'!F173</f>
        <v>185081042</v>
      </c>
      <c r="V173" s="5">
        <f t="shared" si="1"/>
        <v>2020</v>
      </c>
    </row>
    <row r="174">
      <c r="A174" s="1">
        <v>173.0</v>
      </c>
      <c r="B174" s="1" t="s">
        <v>1220</v>
      </c>
      <c r="C174" s="6">
        <f>Gross_cleaning!E174</f>
        <v>4135750</v>
      </c>
      <c r="D174" s="1">
        <v>1985.0</v>
      </c>
      <c r="E174" s="1" t="s">
        <v>52</v>
      </c>
      <c r="F174" s="1" t="str">
        <f>VLOOKUP(Filmes_raw!E174,Rating_systems!$A$2:$C$29,3,FALSE)</f>
        <v>Criança</v>
      </c>
      <c r="G174" s="2">
        <f>Gross_cleaning!F174</f>
        <v>162</v>
      </c>
      <c r="H174" s="1" t="s">
        <v>1221</v>
      </c>
      <c r="I174" s="1" t="s">
        <v>948</v>
      </c>
      <c r="J174" s="1">
        <v>8.2</v>
      </c>
      <c r="K174" s="1" t="s">
        <v>1222</v>
      </c>
      <c r="L174" s="1" t="str">
        <f>IFERROR(__xludf.DUMMYFUNCTION("GOOGLETRANSLATE(K174,""en"", ""pt-br"")"),"No Japão medieval, uma senhora idosa se aposenta, entregando seu império para seus três filhos. No entanto, ele subestima vastamente como o poder de novo encontrado irá corrompá-los e fazê-los se virar um ao outro ... e ele.")</f>
        <v>No Japão medieval, uma senhora idosa se aposenta, entregando seu império para seus três filhos. No entanto, ele subestima vastamente como o poder de novo encontrado irá corrompá-los e fazê-los se virar um ao outro ... e ele.</v>
      </c>
      <c r="M174" s="1">
        <v>96.0</v>
      </c>
      <c r="N174" s="1" t="s">
        <v>264</v>
      </c>
      <c r="O174" s="1" t="s">
        <v>257</v>
      </c>
      <c r="P174" s="1" t="s">
        <v>1223</v>
      </c>
      <c r="Q174" s="1" t="s">
        <v>1224</v>
      </c>
      <c r="R174" s="1" t="s">
        <v>1225</v>
      </c>
      <c r="S174" s="1">
        <v>112505.0</v>
      </c>
      <c r="T174" s="7" t="str">
        <f>VLOOKUP(A174,Posters!A174:B1173,2)</f>
        <v>https://m.media-amazon.com/images/M/MV5BZDBjZTM4ZmEtOTA5ZC00NTQzLTkyNzYtMmUxNGU2YjI5YjU5L2ltYWdlXkEyXkFqcGdeQXVyNTAyODkwOQ@@._V1_UY98_CR1,0,67,98_AL_.jpg</v>
      </c>
      <c r="U174" s="8">
        <f>'Inflation Adjusted Gross'!F174</f>
        <v>10112830</v>
      </c>
      <c r="V174" s="5">
        <f t="shared" si="1"/>
        <v>2020</v>
      </c>
    </row>
    <row r="175">
      <c r="A175" s="1">
        <v>174.0</v>
      </c>
      <c r="B175" s="1" t="s">
        <v>1226</v>
      </c>
      <c r="C175" s="6">
        <f>Gross_cleaning!E175</f>
        <v>23383987</v>
      </c>
      <c r="D175" s="1">
        <v>1980.0</v>
      </c>
      <c r="E175" s="1" t="s">
        <v>18</v>
      </c>
      <c r="F175" s="1" t="str">
        <f>VLOOKUP(Filmes_raw!E175,Rating_systems!$A$2:$C$29,3,FALSE)</f>
        <v>Adulto</v>
      </c>
      <c r="G175" s="2">
        <f>Gross_cleaning!F175</f>
        <v>129</v>
      </c>
      <c r="H175" s="1" t="s">
        <v>830</v>
      </c>
      <c r="I175" s="1" t="s">
        <v>1020</v>
      </c>
      <c r="J175" s="1">
        <v>8.2</v>
      </c>
      <c r="K175" s="1" t="s">
        <v>1227</v>
      </c>
      <c r="L175" s="1" t="str">
        <f>IFERROR(__xludf.DUMMYFUNCTION("GOOGLETRANSLATE(K175,""en"", ""pt-br"")"),"A vida do Boxer Jake Lamotta, cuja violência e temperamento que o levaram ao topo do anel destruíram sua vida fora dela.")</f>
        <v>A vida do Boxer Jake Lamotta, cuja violência e temperamento que o levaram ao topo do anel destruíram sua vida fora dela.</v>
      </c>
      <c r="M175" s="1">
        <v>89.0</v>
      </c>
      <c r="N175" s="1" t="s">
        <v>139</v>
      </c>
      <c r="O175" s="1" t="s">
        <v>49</v>
      </c>
      <c r="P175" s="1" t="s">
        <v>1228</v>
      </c>
      <c r="Q175" s="1" t="s">
        <v>141</v>
      </c>
      <c r="R175" s="1" t="s">
        <v>1229</v>
      </c>
      <c r="S175" s="1">
        <v>321860.0</v>
      </c>
      <c r="T175" s="7" t="str">
        <f>VLOOKUP(A175,Posters!A175:B1174,2)</f>
        <v>https://m.media-amazon.com/images/M/MV5BYjRmODkzNDItMTNhNi00YjJlLTg0ZjAtODlhZTM0YzgzYThlXkEyXkFqcGdeQXVyNzQ1ODk3MTQ@._V1_UX67_CR0,0,67,98_AL_.jpg</v>
      </c>
      <c r="U175" s="8">
        <f>'Inflation Adjusted Gross'!F175</f>
        <v>77537153</v>
      </c>
      <c r="V175" s="5">
        <f t="shared" si="1"/>
        <v>2020</v>
      </c>
    </row>
    <row r="176">
      <c r="A176" s="1">
        <v>175.0</v>
      </c>
      <c r="B176" s="1" t="s">
        <v>1230</v>
      </c>
      <c r="C176" s="6">
        <f>Gross_cleaning!E176</f>
        <v>234723</v>
      </c>
      <c r="D176" s="1">
        <v>1979.0</v>
      </c>
      <c r="E176" s="1" t="s">
        <v>52</v>
      </c>
      <c r="F176" s="1" t="str">
        <f>VLOOKUP(Filmes_raw!E176,Rating_systems!$A$2:$C$29,3,FALSE)</f>
        <v>Criança</v>
      </c>
      <c r="G176" s="2">
        <f>Gross_cleaning!F176</f>
        <v>162</v>
      </c>
      <c r="H176" s="1" t="s">
        <v>1221</v>
      </c>
      <c r="I176" s="1" t="s">
        <v>928</v>
      </c>
      <c r="J176" s="1">
        <v>8.2</v>
      </c>
      <c r="K176" s="1" t="s">
        <v>1231</v>
      </c>
      <c r="L176" s="1" t="str">
        <f>IFERROR(__xludf.DUMMYFUNCTION("GOOGLETRANSLATE(K176,""en"", ""pt-br"")"),"Um guia leva dois homens através de uma área conhecida como a zona para encontrar um quarto que concede desejos.")</f>
        <v>Um guia leva dois homens através de uma área conhecida como a zona para encontrar um quarto que concede desejos.</v>
      </c>
      <c r="N176" s="1" t="s">
        <v>1232</v>
      </c>
      <c r="O176" s="1" t="s">
        <v>1233</v>
      </c>
      <c r="P176" s="1" t="s">
        <v>1234</v>
      </c>
      <c r="Q176" s="1" t="s">
        <v>1235</v>
      </c>
      <c r="R176" s="1" t="s">
        <v>1236</v>
      </c>
      <c r="S176" s="1">
        <v>116945.0</v>
      </c>
      <c r="T176" s="7" t="str">
        <f>VLOOKUP(A176,Posters!A176:B1175,2)</f>
        <v>https://m.media-amazon.com/images/M/MV5BMDgwODNmMGItMDcwYi00OWZjLTgyZjAtMGYwMmI4N2Q0NmJmXkEyXkFqcGdeQXVyNzY1MTU0Njk@._V1_UY98_CR1,0,67,98_AL_.jpg</v>
      </c>
      <c r="U176" s="8">
        <f>'Inflation Adjusted Gross'!F176</f>
        <v>886555</v>
      </c>
      <c r="V176" s="5">
        <f t="shared" si="1"/>
        <v>2020</v>
      </c>
    </row>
    <row r="177">
      <c r="A177" s="1">
        <v>176.0</v>
      </c>
      <c r="B177" s="1" t="s">
        <v>1237</v>
      </c>
      <c r="C177" s="6">
        <f>Gross_cleaning!E177</f>
        <v>14338</v>
      </c>
      <c r="D177" s="1">
        <v>1978.0</v>
      </c>
      <c r="E177" s="1" t="s">
        <v>52</v>
      </c>
      <c r="F177" s="1" t="str">
        <f>VLOOKUP(Filmes_raw!E177,Rating_systems!$A$2:$C$29,3,FALSE)</f>
        <v>Criança</v>
      </c>
      <c r="G177" s="2">
        <f>Gross_cleaning!F177</f>
        <v>99</v>
      </c>
      <c r="H177" s="1" t="s">
        <v>778</v>
      </c>
      <c r="I177" s="1" t="s">
        <v>287</v>
      </c>
      <c r="J177" s="1">
        <v>8.2</v>
      </c>
      <c r="K177" s="1" t="s">
        <v>1238</v>
      </c>
      <c r="L177" s="1" t="str">
        <f>IFERROR(__xludf.DUMMYFUNCTION("GOOGLETRANSLATE(K177,""en"", ""pt-br"")"),"Uma filha casada que anseia pelo amor de sua mãe é visitada por este último, um pianista de sucesso.")</f>
        <v>Uma filha casada que anseia pelo amor de sua mãe é visitada por este último, um pianista de sucesso.</v>
      </c>
      <c r="N177" s="1" t="s">
        <v>1239</v>
      </c>
      <c r="O177" s="1" t="s">
        <v>410</v>
      </c>
      <c r="P177" s="1" t="s">
        <v>1240</v>
      </c>
      <c r="Q177" s="1" t="s">
        <v>1241</v>
      </c>
      <c r="R177" s="1" t="s">
        <v>1242</v>
      </c>
      <c r="S177" s="1">
        <v>26875.0</v>
      </c>
      <c r="T177" s="7" t="str">
        <f>VLOOKUP(A177,Posters!A177:B1176,2)</f>
        <v>https://m.media-amazon.com/images/M/MV5BNGIyMWRlYTctMWNlMi00ZGIzLThjOTgtZjQzZjRjNmRhMDdlXkEyXkFqcGdeQXVyMTAwMzUyOTc@._V1_UX67_CR0,0,67,98_AL_.jpg</v>
      </c>
      <c r="U177" s="8">
        <f>'Inflation Adjusted Gross'!F177</f>
        <v>59181</v>
      </c>
      <c r="V177" s="5">
        <f t="shared" si="1"/>
        <v>2020</v>
      </c>
    </row>
    <row r="178">
      <c r="A178" s="1">
        <v>177.0</v>
      </c>
      <c r="B178" s="1" t="s">
        <v>1243</v>
      </c>
      <c r="C178" s="6">
        <f>Gross_cleaning!E178</f>
        <v>10000000</v>
      </c>
      <c r="D178" s="1">
        <v>1976.0</v>
      </c>
      <c r="E178" s="1" t="s">
        <v>270</v>
      </c>
      <c r="F178" s="1" t="str">
        <f>VLOOKUP(Filmes_raw!E178,Rating_systems!$A$2:$C$29,3,FALSE)</f>
        <v>Criança</v>
      </c>
      <c r="G178" s="2">
        <f>Gross_cleaning!F178</f>
        <v>177</v>
      </c>
      <c r="H178" s="1" t="s">
        <v>1244</v>
      </c>
      <c r="I178" s="1" t="s">
        <v>79</v>
      </c>
      <c r="J178" s="1">
        <v>8.2</v>
      </c>
      <c r="K178" s="1" t="s">
        <v>1245</v>
      </c>
      <c r="L178" s="1" t="str">
        <f>IFERROR(__xludf.DUMMYFUNCTION("GOOGLETRANSLATE(K178,""en"", ""pt-br"")"),"Este drama histórico épico narra a vida e os tempos do Profeta Muhammad e serve como uma introdução à história islâmica precoce.")</f>
        <v>Este drama histórico épico narra a vida e os tempos do Profeta Muhammad e serve como uma introdução à história islâmica precoce.</v>
      </c>
      <c r="N178" s="1" t="s">
        <v>1246</v>
      </c>
      <c r="O178" s="1" t="s">
        <v>862</v>
      </c>
      <c r="P178" s="1" t="s">
        <v>1247</v>
      </c>
      <c r="Q178" s="1" t="s">
        <v>1248</v>
      </c>
      <c r="R178" s="1" t="s">
        <v>1249</v>
      </c>
      <c r="S178" s="1">
        <v>43885.0</v>
      </c>
      <c r="T178" s="7" t="str">
        <f>VLOOKUP(A178,Posters!A178:B1177,2)</f>
        <v>https://m.media-amazon.com/images/M/MV5BMjk3YjJmYTctMTAzZC00MzE4LWFlZGMtNDM5OTMyMDEzZWIxXkEyXkFqcGdeQXVyNTI4MjkwNjA@._V1_UX67_CR0,0,67,98_AL_.jpg</v>
      </c>
      <c r="U178" s="8">
        <f>'Inflation Adjusted Gross'!F178</f>
        <v>46397662</v>
      </c>
      <c r="V178" s="5">
        <f t="shared" si="1"/>
        <v>2020</v>
      </c>
    </row>
    <row r="179">
      <c r="A179" s="1">
        <v>178.0</v>
      </c>
      <c r="B179" s="1" t="s">
        <v>1250</v>
      </c>
      <c r="C179" s="6">
        <f>Gross_cleaning!E179</f>
        <v>0</v>
      </c>
      <c r="D179" s="1">
        <v>1975.0</v>
      </c>
      <c r="E179" s="1" t="s">
        <v>52</v>
      </c>
      <c r="F179" s="1" t="str">
        <f>VLOOKUP(Filmes_raw!E179,Rating_systems!$A$2:$C$29,3,FALSE)</f>
        <v>Criança</v>
      </c>
      <c r="G179" s="2">
        <f>Gross_cleaning!F179</f>
        <v>204</v>
      </c>
      <c r="H179" s="1" t="s">
        <v>1251</v>
      </c>
      <c r="I179" s="1" t="s">
        <v>1252</v>
      </c>
      <c r="J179" s="1">
        <v>8.2</v>
      </c>
      <c r="K179" s="1" t="s">
        <v>1253</v>
      </c>
      <c r="L179" s="1" t="str">
        <f>IFERROR(__xludf.DUMMYFUNCTION("GOOGLETRANSLATE(K179,""en"", ""pt-br"")"),"Depois que sua família é assassinada por um bandido notório e implacante, um ex-agente policial impede os serviços de dois outlaws para capturar o bandido.")</f>
        <v>Depois que sua família é assassinada por um bandido notório e implacante, um ex-agente policial impede os serviços de dois outlaws para capturar o bandido.</v>
      </c>
      <c r="N179" s="1" t="s">
        <v>1254</v>
      </c>
      <c r="O179" s="1" t="s">
        <v>1255</v>
      </c>
      <c r="P179" s="1" t="s">
        <v>1256</v>
      </c>
      <c r="Q179" s="1" t="s">
        <v>592</v>
      </c>
      <c r="R179" s="1" t="s">
        <v>1257</v>
      </c>
      <c r="S179" s="1">
        <v>51284.0</v>
      </c>
      <c r="T179" s="7" t="str">
        <f>VLOOKUP(A179,Posters!A179:B1178,2)</f>
        <v>https://m.media-amazon.com/images/M/MV5BOGZiM2IwODktNTdiMC00MGU1LWEyZTYtOTk4NTkwYmJkNmI1L2ltYWdlL2ltYWdlXkEyXkFqcGdeQXVyNjU0OTQ0OTY@._V1_UY98_CR2,0,67,98_AL_.jpg</v>
      </c>
      <c r="U179" s="8">
        <f>'Inflation Adjusted Gross'!F179</f>
        <v>0</v>
      </c>
      <c r="V179" s="5">
        <f t="shared" si="1"/>
        <v>2020</v>
      </c>
    </row>
    <row r="180">
      <c r="A180" s="1">
        <v>179.0</v>
      </c>
      <c r="B180" s="1" t="s">
        <v>1258</v>
      </c>
      <c r="C180" s="6">
        <f>Gross_cleaning!E180</f>
        <v>1229197</v>
      </c>
      <c r="D180" s="1">
        <v>1975.0</v>
      </c>
      <c r="E180" s="1" t="s">
        <v>270</v>
      </c>
      <c r="F180" s="1" t="str">
        <f>VLOOKUP(Filmes_raw!E180,Rating_systems!$A$2:$C$29,3,FALSE)</f>
        <v>Criança</v>
      </c>
      <c r="G180" s="2">
        <f>Gross_cleaning!F180</f>
        <v>91</v>
      </c>
      <c r="H180" s="1" t="s">
        <v>1259</v>
      </c>
      <c r="I180" s="1" t="s">
        <v>1260</v>
      </c>
      <c r="J180" s="1">
        <v>8.2</v>
      </c>
      <c r="K180" s="1" t="s">
        <v>1261</v>
      </c>
      <c r="L180" s="1" t="str">
        <f>IFERROR(__xludf.DUMMYFUNCTION("GOOGLETRANSLATE(K180,""en"", ""pt-br"")"),"O rei Arthur e seus cavaleiros da mesa redonda embarcam em uma busca surreal e de baixo orçamento pelo Santo Graal, encontrando muitos obstáculos muito bobos.")</f>
        <v>O rei Arthur e seus cavaleiros da mesa redonda embarcam em uma busca surreal e de baixo orçamento pelo Santo Graal, encontrando muitos obstáculos muito bobos.</v>
      </c>
      <c r="M180" s="1">
        <v>91.0</v>
      </c>
      <c r="N180" s="1" t="s">
        <v>1262</v>
      </c>
      <c r="O180" s="1" t="s">
        <v>1263</v>
      </c>
      <c r="P180" s="1" t="s">
        <v>1264</v>
      </c>
      <c r="Q180" s="1" t="s">
        <v>1265</v>
      </c>
      <c r="R180" s="1" t="s">
        <v>1266</v>
      </c>
      <c r="S180" s="1">
        <v>500875.0</v>
      </c>
      <c r="T180" s="7" t="str">
        <f>VLOOKUP(A180,Posters!A180:B1179,2)</f>
        <v>https://m.media-amazon.com/images/M/MV5BN2IyNTE4YzUtZWU0Mi00MGIwLTgyMmQtMzQ4YzQxYWNlYWE2XkEyXkFqcGdeQXVyNjU0OTQ0OTY@._V1_UX67_CR0,0,67,98_AL_.jpg</v>
      </c>
      <c r="U180" s="8">
        <f>'Inflation Adjusted Gross'!F180</f>
        <v>6086318</v>
      </c>
      <c r="V180" s="5">
        <f t="shared" si="1"/>
        <v>2020</v>
      </c>
    </row>
    <row r="181">
      <c r="A181" s="1">
        <v>180.0</v>
      </c>
      <c r="B181" s="1" t="s">
        <v>1267</v>
      </c>
      <c r="C181" s="6">
        <f>Gross_cleaning!E181</f>
        <v>12100000</v>
      </c>
      <c r="D181" s="1">
        <v>1963.0</v>
      </c>
      <c r="E181" s="1" t="s">
        <v>52</v>
      </c>
      <c r="F181" s="1" t="str">
        <f>VLOOKUP(Filmes_raw!E181,Rating_systems!$A$2:$C$29,3,FALSE)</f>
        <v>Criança</v>
      </c>
      <c r="G181" s="2">
        <f>Gross_cleaning!F181</f>
        <v>172</v>
      </c>
      <c r="H181" s="1" t="s">
        <v>1268</v>
      </c>
      <c r="I181" s="1" t="s">
        <v>1269</v>
      </c>
      <c r="J181" s="1">
        <v>8.2</v>
      </c>
      <c r="K181" s="1" t="s">
        <v>1270</v>
      </c>
      <c r="L181" s="1" t="str">
        <f>IFERROR(__xludf.DUMMYFUNCTION("GOOGLETRANSLATE(K181,""en"", ""pt-br"")"),"Prisioneiros aliados do plano de guerra por várias centenas de seu número para escapar de um campo alemão durante a Segunda Guerra Mundial.")</f>
        <v>Prisioneiros aliados do plano de guerra por várias centenas de seu número para escapar de um campo alemão durante a Segunda Guerra Mundial.</v>
      </c>
      <c r="M181" s="1">
        <v>86.0</v>
      </c>
      <c r="N181" s="1" t="s">
        <v>1271</v>
      </c>
      <c r="O181" s="1" t="s">
        <v>1272</v>
      </c>
      <c r="P181" s="1" t="s">
        <v>1273</v>
      </c>
      <c r="Q181" s="1" t="s">
        <v>1274</v>
      </c>
      <c r="R181" s="1" t="s">
        <v>392</v>
      </c>
      <c r="S181" s="1">
        <v>224730.0</v>
      </c>
      <c r="T181" s="7" t="str">
        <f>VLOOKUP(A181,Posters!A181:B1180,2)</f>
        <v>https://m.media-amazon.com/images/M/MV5BNzA2NmYxMWUtNzBlMC00MWM2LTkwNmQtYTFlZjQwODNhOWE0XkEyXkFqcGdeQXVyNTIzOTk5ODM@._V1_UX67_CR0,0,67,98_AL_.jpg</v>
      </c>
      <c r="U181" s="8">
        <f>'Inflation Adjusted Gross'!F181</f>
        <v>102679247</v>
      </c>
      <c r="V181" s="5">
        <f t="shared" si="1"/>
        <v>2020</v>
      </c>
    </row>
    <row r="182">
      <c r="A182" s="1">
        <v>181.0</v>
      </c>
      <c r="B182" s="1" t="s">
        <v>1275</v>
      </c>
      <c r="C182" s="6">
        <f>Gross_cleaning!E182</f>
        <v>599146</v>
      </c>
      <c r="D182" s="1">
        <v>1962.0</v>
      </c>
      <c r="E182" s="1" t="s">
        <v>52</v>
      </c>
      <c r="F182" s="1" t="str">
        <f>VLOOKUP(Filmes_raw!E182,Rating_systems!$A$2:$C$29,3,FALSE)</f>
        <v>Criança</v>
      </c>
      <c r="G182" s="2">
        <f>Gross_cleaning!F182</f>
        <v>129</v>
      </c>
      <c r="H182" s="1" t="s">
        <v>830</v>
      </c>
      <c r="I182" s="1" t="s">
        <v>29</v>
      </c>
      <c r="J182" s="1">
        <v>8.2</v>
      </c>
      <c r="K182" s="1" t="s">
        <v>1276</v>
      </c>
      <c r="L182" s="1" t="str">
        <f>IFERROR(__xludf.DUMMYFUNCTION("GOOGLETRANSLATE(K182,""en"", ""pt-br"")"),"Atticus Finch, advogado na era da depressão sul, defende um homem negro contra uma taxa de estupro indignada e seus filhos contra o preconceito.")</f>
        <v>Atticus Finch, advogado na era da depressão sul, defende um homem negro contra uma taxa de estupro indignada e seus filhos contra o preconceito.</v>
      </c>
      <c r="M182" s="1">
        <v>88.0</v>
      </c>
      <c r="N182" s="1" t="s">
        <v>1277</v>
      </c>
      <c r="O182" s="1" t="s">
        <v>1278</v>
      </c>
      <c r="P182" s="1" t="s">
        <v>1279</v>
      </c>
      <c r="Q182" s="1" t="s">
        <v>1280</v>
      </c>
      <c r="R182" s="1" t="s">
        <v>1281</v>
      </c>
      <c r="S182" s="1">
        <v>293811.0</v>
      </c>
      <c r="T182" s="7" t="str">
        <f>VLOOKUP(A182,Posters!A182:B1181,2)</f>
        <v>https://m.media-amazon.com/images/M/MV5BNmVmYzcwNzMtMWM1NS00MWIyLThlMDEtYzUwZDgzODE1NmE2XkEyXkFqcGdeQXVyNzkwMjQ5NzM@._V1_UX67_CR0,0,67,98_AL_.jpg</v>
      </c>
      <c r="U182" s="8">
        <f>'Inflation Adjusted Gross'!F182</f>
        <v>5152076</v>
      </c>
      <c r="V182" s="5">
        <f t="shared" si="1"/>
        <v>2020</v>
      </c>
    </row>
    <row r="183">
      <c r="A183" s="1">
        <v>182.0</v>
      </c>
      <c r="B183" s="1" t="s">
        <v>1282</v>
      </c>
      <c r="C183" s="6">
        <f>Gross_cleaning!E183</f>
        <v>46808</v>
      </c>
      <c r="D183" s="1">
        <v>1961.0</v>
      </c>
      <c r="E183" s="1">
        <v>16.0</v>
      </c>
      <c r="F183" s="1" t="str">
        <f>VLOOKUP(Filmes_raw!E183,Rating_systems!$A$2:$C$29,3,FALSE)</f>
        <v>Adolescente</v>
      </c>
      <c r="G183" s="2">
        <f>Gross_cleaning!F183</f>
        <v>110</v>
      </c>
      <c r="H183" s="1" t="s">
        <v>343</v>
      </c>
      <c r="I183" s="1" t="s">
        <v>1283</v>
      </c>
      <c r="J183" s="1">
        <v>8.2</v>
      </c>
      <c r="K183" s="1" t="s">
        <v>1284</v>
      </c>
      <c r="L183" s="1" t="str">
        <f>IFERROR(__xludf.DUMMYFUNCTION("GOOGLETRANSLATE(K183,""en"", ""pt-br"")"),"Um ronin crafty vem a uma cidade dividida por duas gangues criminosas e decide jogá-las umas contra as outras para libertar a cidade.")</f>
        <v>Um ronin crafty vem a uma cidade dividida por duas gangues criminosas e decide jogá-las umas contra as outras para libertar a cidade.</v>
      </c>
      <c r="N183" s="1" t="s">
        <v>264</v>
      </c>
      <c r="O183" s="1" t="s">
        <v>265</v>
      </c>
      <c r="P183" s="1" t="s">
        <v>1285</v>
      </c>
      <c r="Q183" s="1" t="s">
        <v>257</v>
      </c>
      <c r="R183" s="1" t="s">
        <v>1286</v>
      </c>
      <c r="S183" s="1">
        <v>111244.0</v>
      </c>
      <c r="T183" s="7" t="str">
        <f>VLOOKUP(A183,Posters!A183:B1182,2)</f>
        <v>https://m.media-amazon.com/images/M/MV5BZThiZjAzZjgtNDU3MC00YThhLThjYWUtZGRkYjc2ZWZlOTVjXkEyXkFqcGdeQXVyNTA4NzY1MzY@._V1_UX67_CR0,0,67,98_AL_.jpg</v>
      </c>
      <c r="U183" s="8">
        <f>'Inflation Adjusted Gross'!F183</f>
        <v>405205</v>
      </c>
      <c r="V183" s="5">
        <f t="shared" si="1"/>
        <v>2020</v>
      </c>
    </row>
    <row r="184">
      <c r="A184" s="1">
        <v>183.0</v>
      </c>
      <c r="B184" s="1" t="s">
        <v>1287</v>
      </c>
      <c r="C184" s="6">
        <f>Gross_cleaning!E184</f>
        <v>12180</v>
      </c>
      <c r="D184" s="1">
        <v>1961.0</v>
      </c>
      <c r="E184" s="1" t="s">
        <v>18</v>
      </c>
      <c r="F184" s="1" t="str">
        <f>VLOOKUP(Filmes_raw!E184,Rating_systems!$A$2:$C$29,3,FALSE)</f>
        <v>Adulto</v>
      </c>
      <c r="G184" s="2">
        <f>Gross_cleaning!F184</f>
        <v>179</v>
      </c>
      <c r="H184" s="1" t="s">
        <v>124</v>
      </c>
      <c r="I184" s="1" t="s">
        <v>213</v>
      </c>
      <c r="J184" s="1">
        <v>8.2</v>
      </c>
      <c r="K184" s="1" t="s">
        <v>1289</v>
      </c>
      <c r="L184" s="1" t="str">
        <f>IFERROR(__xludf.DUMMYFUNCTION("GOOGLETRANSLATE(K184,""en"", ""pt-br"")"),"Em 1948, um tribunal americano na Alemanha ocupada tenta quatro nazistas julgados por crimes de guerra.")</f>
        <v>Em 1948, um tribunal americano na Alemanha ocupada tenta quatro nazistas julgados por crimes de guerra.</v>
      </c>
      <c r="M184" s="1">
        <v>60.0</v>
      </c>
      <c r="N184" s="1" t="s">
        <v>1290</v>
      </c>
      <c r="O184" s="1" t="s">
        <v>1291</v>
      </c>
      <c r="P184" s="1" t="s">
        <v>1292</v>
      </c>
      <c r="Q184" s="1" t="s">
        <v>1293</v>
      </c>
      <c r="R184" s="1" t="s">
        <v>612</v>
      </c>
      <c r="S184" s="1">
        <v>69458.0</v>
      </c>
      <c r="T184" s="7" t="str">
        <f>VLOOKUP(A184,Posters!A184:B1183,2)</f>
        <v>https://m.media-amazon.com/images/M/MV5BNDc2ODQ5NTE2MV5BMl5BanBnXkFtZTcwODExMjUyNA@@._V1_UX67_CR0,0,67,98_AL_.jpg</v>
      </c>
      <c r="U184" s="8">
        <f>'Inflation Adjusted Gross'!F184</f>
        <v>105439</v>
      </c>
      <c r="V184" s="5">
        <f t="shared" si="1"/>
        <v>2020</v>
      </c>
    </row>
    <row r="185">
      <c r="A185" s="1">
        <v>184.0</v>
      </c>
      <c r="B185" s="1" t="s">
        <v>1294</v>
      </c>
      <c r="C185" s="6">
        <f>Gross_cleaning!E185</f>
        <v>25000000</v>
      </c>
      <c r="D185" s="1">
        <v>1959.0</v>
      </c>
      <c r="E185" s="1" t="s">
        <v>52</v>
      </c>
      <c r="F185" s="1" t="str">
        <f>VLOOKUP(Filmes_raw!E185,Rating_systems!$A$2:$C$29,3,FALSE)</f>
        <v>Criança</v>
      </c>
      <c r="G185" s="2">
        <f>Gross_cleaning!F185</f>
        <v>121</v>
      </c>
      <c r="H185" s="1" t="s">
        <v>249</v>
      </c>
      <c r="I185" s="1" t="s">
        <v>1295</v>
      </c>
      <c r="J185" s="1">
        <v>8.2</v>
      </c>
      <c r="K185" s="1" t="s">
        <v>1296</v>
      </c>
      <c r="L185" s="1" t="str">
        <f>IFERROR(__xludf.DUMMYFUNCTION("GOOGLETRANSLATE(K185,""en"", ""pt-br"")"),"Depois que dois músicos masculinos testemunham uma multidão, eles fogem o estado em uma banda all-feminina disfarçada de mulheres, mas complicações adicionais estabelecidas.")</f>
        <v>Depois que dois músicos masculinos testemunham uma multidão, eles fogem o estado em uma banda all-feminina disfarçada de mulheres, mas complicações adicionais estabelecidas.</v>
      </c>
      <c r="M185" s="1">
        <v>98.0</v>
      </c>
      <c r="N185" s="1" t="s">
        <v>610</v>
      </c>
      <c r="O185" s="1" t="s">
        <v>1297</v>
      </c>
      <c r="P185" s="1" t="s">
        <v>1298</v>
      </c>
      <c r="Q185" s="1" t="s">
        <v>866</v>
      </c>
      <c r="R185" s="1" t="s">
        <v>1299</v>
      </c>
      <c r="S185" s="1">
        <v>243943.0</v>
      </c>
      <c r="T185" s="7" t="str">
        <f>VLOOKUP(A185,Posters!A185:B1184,2)</f>
        <v>https://m.media-amazon.com/images/M/MV5BNzAyOGIxYjAtMGY2NC00ZTgyLWIwMWEtYzY0OWQ4NDFjOTc5XkEyXkFqcGdeQXVyNjU0OTQ0OTY@._V1_UX67_CR0,0,67,98_AL_.jpg</v>
      </c>
      <c r="U185" s="8">
        <f>'Inflation Adjusted Gross'!F185</f>
        <v>222388793</v>
      </c>
      <c r="V185" s="5">
        <f t="shared" si="1"/>
        <v>2020</v>
      </c>
    </row>
    <row r="186">
      <c r="A186" s="1">
        <v>185.0</v>
      </c>
      <c r="B186" s="1" t="s">
        <v>1300</v>
      </c>
      <c r="C186" s="6">
        <f>Gross_cleaning!E186</f>
        <v>14524</v>
      </c>
      <c r="D186" s="1">
        <v>1957.0</v>
      </c>
      <c r="E186" s="1" t="s">
        <v>52</v>
      </c>
      <c r="F186" s="1" t="str">
        <f>VLOOKUP(Filmes_raw!E186,Rating_systems!$A$2:$C$29,3,FALSE)</f>
        <v>Criança</v>
      </c>
      <c r="G186" s="2">
        <f>Gross_cleaning!F186</f>
        <v>91</v>
      </c>
      <c r="H186" s="1" t="s">
        <v>1259</v>
      </c>
      <c r="I186" s="1" t="s">
        <v>107</v>
      </c>
      <c r="J186" s="1">
        <v>8.2</v>
      </c>
      <c r="K186" s="1" t="s">
        <v>1301</v>
      </c>
      <c r="L186" s="1" t="str">
        <f>IFERROR(__xludf.DUMMYFUNCTION("GOOGLETRANSLATE(K186,""en"", ""pt-br"")"),"Depois de viver uma vida marcada pela frieza, um professor envelhecido é forçado a enfrentar o vazio de sua existência.")</f>
        <v>Depois de viver uma vida marcada pela frieza, um professor envelhecido é forçado a enfrentar o vazio de sua existência.</v>
      </c>
      <c r="M186" s="1">
        <v>88.0</v>
      </c>
      <c r="N186" s="1" t="s">
        <v>1239</v>
      </c>
      <c r="O186" s="1" t="s">
        <v>1302</v>
      </c>
      <c r="P186" s="1" t="s">
        <v>1303</v>
      </c>
      <c r="Q186" s="1" t="s">
        <v>1304</v>
      </c>
      <c r="R186" s="1" t="s">
        <v>1305</v>
      </c>
      <c r="S186" s="1">
        <v>96381.0</v>
      </c>
      <c r="T186" s="7" t="str">
        <f>VLOOKUP(A186,Posters!A186:B1185,2)</f>
        <v>https://m.media-amazon.com/images/M/MV5BZjJhNTBmNTgtMDViOC00NDY2LWE4N2ItMDJiM2ZiYmQzYzliXkEyXkFqcGdeQXVyMzg1ODEwNQ@@._V1_UY98_CR0,0,67,98_AL_.jpg</v>
      </c>
      <c r="U186" s="8">
        <f>'Inflation Adjusted Gross'!F186</f>
        <v>135753</v>
      </c>
      <c r="V186" s="5">
        <f t="shared" si="1"/>
        <v>2020</v>
      </c>
    </row>
    <row r="187">
      <c r="A187" s="1">
        <v>186.0</v>
      </c>
      <c r="B187" s="1" t="s">
        <v>1306</v>
      </c>
      <c r="C187" s="6">
        <f>Gross_cleaning!E187</f>
        <v>230571</v>
      </c>
      <c r="D187" s="1">
        <v>1957.0</v>
      </c>
      <c r="E187" s="1" t="s">
        <v>18</v>
      </c>
      <c r="F187" s="1" t="str">
        <f>VLOOKUP(Filmes_raw!E187,Rating_systems!$A$2:$C$29,3,FALSE)</f>
        <v>Adulto</v>
      </c>
      <c r="G187" s="2">
        <f>Gross_cleaning!F187</f>
        <v>96</v>
      </c>
      <c r="H187" s="1" t="s">
        <v>53</v>
      </c>
      <c r="I187" s="1" t="s">
        <v>1307</v>
      </c>
      <c r="J187" s="1">
        <v>8.2</v>
      </c>
      <c r="K187" s="1" t="s">
        <v>1308</v>
      </c>
      <c r="L187" s="1" t="str">
        <f>IFERROR(__xludf.DUMMYFUNCTION("GOOGLETRANSLATE(K187,""en"", ""pt-br"")"),"Um homem busca respostas sobre a vida, a morte e a existência de Deus como ele joga xadrez contra o resfriador durante a praga negra.")</f>
        <v>Um homem busca respostas sobre a vida, a morte e a existência de Deus como ele joga xadrez contra o resfriador durante a praga negra.</v>
      </c>
      <c r="M187" s="1">
        <v>88.0</v>
      </c>
      <c r="N187" s="1" t="s">
        <v>1239</v>
      </c>
      <c r="O187" s="1" t="s">
        <v>1309</v>
      </c>
      <c r="P187" s="1" t="s">
        <v>1305</v>
      </c>
      <c r="Q187" s="1" t="s">
        <v>1310</v>
      </c>
      <c r="R187" s="1" t="s">
        <v>1311</v>
      </c>
      <c r="S187" s="1">
        <v>164939.0</v>
      </c>
      <c r="T187" s="7" t="str">
        <f>VLOOKUP(A187,Posters!A187:B1186,2)</f>
        <v>https://m.media-amazon.com/images/M/MV5BM2I1ZWU4YjMtYzU0My00YmMzLWFmNTAtZDJhZGYwMmI3YWQ5XkEyXkFqcGdeQXVyNjU0OTQ0OTY@._V1_UX67_CR0,0,67,98_AL_.jpg</v>
      </c>
      <c r="U187" s="8">
        <f>'Inflation Adjusted Gross'!F187</f>
        <v>2155095</v>
      </c>
      <c r="V187" s="5">
        <f t="shared" si="1"/>
        <v>2020</v>
      </c>
    </row>
    <row r="188">
      <c r="A188" s="1">
        <v>187.0</v>
      </c>
      <c r="B188" s="1" t="s">
        <v>1312</v>
      </c>
      <c r="C188" s="6">
        <f>Gross_cleaning!E188</f>
        <v>57226</v>
      </c>
      <c r="D188" s="1">
        <v>1955.0</v>
      </c>
      <c r="E188" s="1">
        <v>16.0</v>
      </c>
      <c r="F188" s="1" t="str">
        <f>VLOOKUP(Filmes_raw!E188,Rating_systems!$A$2:$C$29,3,FALSE)</f>
        <v>Adolescente</v>
      </c>
      <c r="G188" s="2">
        <f>Gross_cleaning!F188</f>
        <v>118</v>
      </c>
      <c r="H188" s="1" t="s">
        <v>240</v>
      </c>
      <c r="I188" s="1" t="s">
        <v>241</v>
      </c>
      <c r="J188" s="1">
        <v>8.2</v>
      </c>
      <c r="K188" s="1" t="s">
        <v>1313</v>
      </c>
      <c r="L188" s="1" t="str">
        <f>IFERROR(__xludf.DUMMYFUNCTION("GOOGLETRANSLATE(K188,""en"", ""pt-br"")"),"Quatro homens planejam um crime tecnicamente perfeito, mas o elemento humano intervém ...")</f>
        <v>Quatro homens planejam um crime tecnicamente perfeito, mas o elemento humano intervém ...</v>
      </c>
      <c r="M188" s="1">
        <v>97.0</v>
      </c>
      <c r="N188" s="1" t="s">
        <v>1314</v>
      </c>
      <c r="O188" s="1" t="s">
        <v>1315</v>
      </c>
      <c r="P188" s="1" t="s">
        <v>1316</v>
      </c>
      <c r="Q188" s="1" t="s">
        <v>1317</v>
      </c>
      <c r="R188" s="1" t="s">
        <v>1318</v>
      </c>
      <c r="S188" s="1">
        <v>28810.0</v>
      </c>
      <c r="T188" s="7" t="str">
        <f>VLOOKUP(A188,Posters!A188:B1187,2)</f>
        <v>https://m.media-amazon.com/images/M/MV5BNjZmZGRiMDgtNDkwNi00OTZhLWFhZmMtYTdkYjgyNThhOWY3XkEyXkFqcGdeQXVyMTA1NTM1NDI2._V1_UX67_CR0,0,67,98_AL_.jpg</v>
      </c>
      <c r="U188" s="8">
        <f>'Inflation Adjusted Gross'!F188</f>
        <v>552908</v>
      </c>
      <c r="V188" s="5">
        <f t="shared" si="1"/>
        <v>2020</v>
      </c>
    </row>
    <row r="189">
      <c r="A189" s="1">
        <v>188.0</v>
      </c>
      <c r="B189" s="1" t="s">
        <v>1319</v>
      </c>
      <c r="C189" s="6">
        <f>Gross_cleaning!E189</f>
        <v>12562</v>
      </c>
      <c r="D189" s="1">
        <v>1954.0</v>
      </c>
      <c r="E189" s="1" t="s">
        <v>18</v>
      </c>
      <c r="F189" s="1" t="str">
        <f>VLOOKUP(Filmes_raw!E189,Rating_systems!$A$2:$C$29,3,FALSE)</f>
        <v>Adulto</v>
      </c>
      <c r="G189" s="2">
        <f>Gross_cleaning!F189</f>
        <v>105</v>
      </c>
      <c r="H189" s="1" t="s">
        <v>487</v>
      </c>
      <c r="I189" s="1" t="s">
        <v>1320</v>
      </c>
      <c r="J189" s="1">
        <v>8.2</v>
      </c>
      <c r="K189" s="1" t="s">
        <v>1321</v>
      </c>
      <c r="L189" s="1" t="str">
        <f>IFERROR(__xludf.DUMMYFUNCTION("GOOGLETRANSLATE(K189,""en"", ""pt-br"")"),"Um ex-tenista tenta arranjar o assassinato de sua esposa depois de aprender seu caso.")</f>
        <v>Um ex-tenista tenta arranjar o assassinato de sua esposa depois de aprender seu caso.</v>
      </c>
      <c r="M189" s="1">
        <v>75.0</v>
      </c>
      <c r="N189" s="1" t="s">
        <v>399</v>
      </c>
      <c r="O189" s="1" t="s">
        <v>1322</v>
      </c>
      <c r="P189" s="1" t="s">
        <v>623</v>
      </c>
      <c r="Q189" s="1" t="s">
        <v>1323</v>
      </c>
      <c r="R189" s="1" t="s">
        <v>1324</v>
      </c>
      <c r="S189" s="1">
        <v>158335.0</v>
      </c>
      <c r="T189" s="7" t="str">
        <f>VLOOKUP(A189,Posters!A189:B1188,2)</f>
        <v>https://m.media-amazon.com/images/M/MV5BOWIwODIxYWItZDI4MS00YzhhLWE3MmYtMzlhZDIwOTMzZmE5L2ltYWdlXkEyXkFqcGdeQXVyNjc1NTYyMjg@._V1_UX67_CR0,0,67,98_AL_.jpg</v>
      </c>
      <c r="U189" s="8">
        <f>'Inflation Adjusted Gross'!F189</f>
        <v>120470</v>
      </c>
      <c r="V189" s="5">
        <f t="shared" si="1"/>
        <v>2020</v>
      </c>
    </row>
    <row r="190">
      <c r="A190" s="1">
        <v>189.0</v>
      </c>
      <c r="B190" s="1" t="s">
        <v>1325</v>
      </c>
      <c r="C190" s="6">
        <f>Gross_cleaning!E190</f>
        <v>40468</v>
      </c>
      <c r="D190" s="1">
        <v>1953.0</v>
      </c>
      <c r="E190" s="1" t="s">
        <v>52</v>
      </c>
      <c r="F190" s="1" t="str">
        <f>VLOOKUP(Filmes_raw!E190,Rating_systems!$A$2:$C$29,3,FALSE)</f>
        <v>Criança</v>
      </c>
      <c r="G190" s="2">
        <f>Gross_cleaning!F190</f>
        <v>136</v>
      </c>
      <c r="H190" s="1" t="s">
        <v>127</v>
      </c>
      <c r="I190" s="1" t="s">
        <v>20</v>
      </c>
      <c r="J190" s="1">
        <v>8.2</v>
      </c>
      <c r="K190" s="1" t="s">
        <v>1326</v>
      </c>
      <c r="L190" s="1" t="str">
        <f>IFERROR(__xludf.DUMMYFUNCTION("GOOGLETRANSLATE(K190,""en"", ""pt-br"")"),"Um casal velho visita seus filhos e netos na cidade, mas recebem pouca atenção.")</f>
        <v>Um casal velho visita seus filhos e netos na cidade, mas recebem pouca atenção.</v>
      </c>
      <c r="N190" s="1" t="s">
        <v>1327</v>
      </c>
      <c r="O190" s="1" t="s">
        <v>1328</v>
      </c>
      <c r="P190" s="1" t="s">
        <v>1329</v>
      </c>
      <c r="Q190" s="1" t="s">
        <v>1330</v>
      </c>
      <c r="R190" s="1" t="s">
        <v>1331</v>
      </c>
      <c r="S190" s="1">
        <v>53153.0</v>
      </c>
      <c r="T190" s="7" t="str">
        <f>VLOOKUP(A190,Posters!A190:B1189,2)</f>
        <v>https://m.media-amazon.com/images/M/MV5BYWQ4ZTRiODktNjAzZC00Nzg1LTk1YWQtNDFmNDI0NmZiNGIwXkEyXkFqcGdeQXVyNzkwMjQ5NzM@._V1_UY98_CR0,0,67,98_AL_.jpg</v>
      </c>
      <c r="U190" s="8">
        <f>'Inflation Adjusted Gross'!F190</f>
        <v>392465</v>
      </c>
      <c r="V190" s="5">
        <f t="shared" si="1"/>
        <v>2020</v>
      </c>
    </row>
    <row r="191">
      <c r="A191" s="1">
        <v>190.0</v>
      </c>
      <c r="B191" s="1" t="s">
        <v>1332</v>
      </c>
      <c r="C191" s="6">
        <f>Gross_cleaning!E191</f>
        <v>96568</v>
      </c>
      <c r="D191" s="1">
        <v>1950.0</v>
      </c>
      <c r="E191" s="1">
        <v>14.0</v>
      </c>
      <c r="F191" s="1" t="str">
        <f>VLOOKUP(Filmes_raw!E191,Rating_systems!$A$2:$C$29,3,FALSE)</f>
        <v>Adolescente</v>
      </c>
      <c r="G191" s="2">
        <f>Gross_cleaning!F191</f>
        <v>88</v>
      </c>
      <c r="H191" s="1" t="s">
        <v>351</v>
      </c>
      <c r="I191" s="1" t="s">
        <v>235</v>
      </c>
      <c r="J191" s="1">
        <v>8.2</v>
      </c>
      <c r="K191" s="1" t="s">
        <v>1333</v>
      </c>
      <c r="L191" s="1" t="str">
        <f>IFERROR(__xludf.DUMMYFUNCTION("GOOGLETRANSLATE(K191,""en"", ""pt-br"")"),"O estupro de uma noiva e o assassinato de seu marido samurai são lembrados das perspectivas de um bandido, a noiva, o fantasma do samurai e um lenhador.")</f>
        <v>O estupro de uma noiva e o assassinato de seu marido samurai são lembrados das perspectivas de um bandido, a noiva, o fantasma do samurai e um lenhador.</v>
      </c>
      <c r="M191" s="1">
        <v>98.0</v>
      </c>
      <c r="N191" s="1" t="s">
        <v>264</v>
      </c>
      <c r="O191" s="1" t="s">
        <v>265</v>
      </c>
      <c r="P191" s="1" t="s">
        <v>1334</v>
      </c>
      <c r="Q191" s="1" t="s">
        <v>1335</v>
      </c>
      <c r="R191" s="1" t="s">
        <v>266</v>
      </c>
      <c r="S191" s="1">
        <v>152572.0</v>
      </c>
      <c r="T191" s="7" t="str">
        <f>VLOOKUP(A191,Posters!A191:B1190,2)</f>
        <v>https://m.media-amazon.com/images/M/MV5BMjEzMzA4NDE2OF5BMl5BanBnXkFtZTcwNTc5MDI2NQ@@._V1_UX67_CR0,0,67,98_AL_.jpg</v>
      </c>
      <c r="U191" s="8">
        <f>'Inflation Adjusted Gross'!F191</f>
        <v>1060074</v>
      </c>
      <c r="V191" s="5">
        <f t="shared" si="1"/>
        <v>2020</v>
      </c>
    </row>
    <row r="192">
      <c r="A192" s="1">
        <v>191.0</v>
      </c>
      <c r="B192" s="1" t="s">
        <v>1336</v>
      </c>
      <c r="C192" s="6">
        <f>Gross_cleaning!E192</f>
        <v>10177</v>
      </c>
      <c r="D192" s="1">
        <v>1950.0</v>
      </c>
      <c r="E192" s="1" t="s">
        <v>627</v>
      </c>
      <c r="F192" s="1" t="str">
        <f>VLOOKUP(Filmes_raw!E192,Rating_systems!$A$2:$C$29,3,FALSE)</f>
        <v>Adulto</v>
      </c>
      <c r="G192" s="2">
        <f>Gross_cleaning!F192</f>
        <v>138</v>
      </c>
      <c r="H192" s="1" t="s">
        <v>947</v>
      </c>
      <c r="I192" s="1" t="s">
        <v>20</v>
      </c>
      <c r="J192" s="1">
        <v>8.2</v>
      </c>
      <c r="K192" s="1" t="s">
        <v>1337</v>
      </c>
      <c r="L192" s="1" t="str">
        <f>IFERROR(__xludf.DUMMYFUNCTION("GOOGLETRANSLATE(K192,""en"", ""pt-br"")"),"Um ingénue aparentemente tímido, mas secretamente implacável, insinua-se para a vida de uma estrela do envelhecimento da Broadway e seu círculo de amigos do teatro.")</f>
        <v>Um ingénue aparentemente tímido, mas secretamente implacável, insinua-se para a vida de uma estrela do envelhecimento da Broadway e seu círculo de amigos do teatro.</v>
      </c>
      <c r="M192" s="1">
        <v>98.0</v>
      </c>
      <c r="N192" s="1" t="s">
        <v>1338</v>
      </c>
      <c r="O192" s="1" t="s">
        <v>1339</v>
      </c>
      <c r="P192" s="1" t="s">
        <v>1340</v>
      </c>
      <c r="Q192" s="1" t="s">
        <v>1341</v>
      </c>
      <c r="R192" s="1" t="s">
        <v>1342</v>
      </c>
      <c r="S192" s="1">
        <v>120539.0</v>
      </c>
      <c r="T192" s="7" t="str">
        <f>VLOOKUP(A192,Posters!A192:B1191,2)</f>
        <v>https://m.media-amazon.com/images/M/MV5BMTY2MTAzODI5NV5BMl5BanBnXkFtZTgwMjM4NzQ0MjE@._V1_UX67_CR0,0,67,98_AL_.jpg</v>
      </c>
      <c r="U192" s="8">
        <f>'Inflation Adjusted Gross'!F192</f>
        <v>111718</v>
      </c>
      <c r="V192" s="5">
        <f t="shared" si="1"/>
        <v>2020</v>
      </c>
    </row>
    <row r="193">
      <c r="A193" s="1">
        <v>192.0</v>
      </c>
      <c r="B193" s="1" t="s">
        <v>1343</v>
      </c>
      <c r="C193" s="6">
        <f>Gross_cleaning!E193</f>
        <v>5014000</v>
      </c>
      <c r="D193" s="1">
        <v>1948.0</v>
      </c>
      <c r="E193" s="1" t="s">
        <v>627</v>
      </c>
      <c r="F193" s="1" t="str">
        <f>VLOOKUP(Filmes_raw!E193,Rating_systems!$A$2:$C$29,3,FALSE)</f>
        <v>Adulto</v>
      </c>
      <c r="G193" s="2">
        <f>Gross_cleaning!F193</f>
        <v>126</v>
      </c>
      <c r="H193" s="1" t="s">
        <v>428</v>
      </c>
      <c r="I193" s="1" t="s">
        <v>1344</v>
      </c>
      <c r="J193" s="1">
        <v>8.2</v>
      </c>
      <c r="K193" s="1" t="s">
        <v>1345</v>
      </c>
      <c r="L193" s="1" t="str">
        <f>IFERROR(__xludf.DUMMYFUNCTION("GOOGLETRANSLATE(K193,""en"", ""pt-br"")"),"Dois americanos que procuram trabalho no México convencem um antigo prospetor para ajudá-los a mina para ouro nas montanhas de Sierra Madre.")</f>
        <v>Dois americanos que procuram trabalho no México convencem um antigo prospetor para ajudá-los a mina para ouro nas montanhas de Sierra Madre.</v>
      </c>
      <c r="M193" s="1">
        <v>98.0</v>
      </c>
      <c r="N193" s="1" t="s">
        <v>1346</v>
      </c>
      <c r="O193" s="1" t="s">
        <v>409</v>
      </c>
      <c r="P193" s="1" t="s">
        <v>1347</v>
      </c>
      <c r="Q193" s="1" t="s">
        <v>1348</v>
      </c>
      <c r="R193" s="1" t="s">
        <v>1349</v>
      </c>
      <c r="S193" s="1">
        <v>114304.0</v>
      </c>
      <c r="T193" s="7" t="str">
        <f>VLOOKUP(A193,Posters!A193:B1192,2)</f>
        <v>https://m.media-amazon.com/images/M/MV5BOTJlZWMxYzEtMjlkMS00ODE0LThlM2ItMDI3NGQ2YjhmMzkxXkEyXkFqcGdeQXVyMDI2NDg0NQ@@._V1_UX67_CR0,0,67,98_AL_.jpg</v>
      </c>
      <c r="U193" s="8">
        <f>'Inflation Adjusted Gross'!F193</f>
        <v>54576650</v>
      </c>
      <c r="V193" s="5">
        <f t="shared" si="1"/>
        <v>2020</v>
      </c>
    </row>
    <row r="194">
      <c r="A194" s="1">
        <v>193.0</v>
      </c>
      <c r="B194" s="1" t="s">
        <v>1350</v>
      </c>
      <c r="C194" s="6">
        <f>Gross_cleaning!E194</f>
        <v>4578000</v>
      </c>
      <c r="D194" s="1">
        <v>1942.0</v>
      </c>
      <c r="E194" s="1" t="s">
        <v>627</v>
      </c>
      <c r="F194" s="1" t="str">
        <f>VLOOKUP(Filmes_raw!E194,Rating_systems!$A$2:$C$29,3,FALSE)</f>
        <v>Adulto</v>
      </c>
      <c r="G194" s="2">
        <f>Gross_cleaning!F194</f>
        <v>99</v>
      </c>
      <c r="H194" s="1" t="s">
        <v>778</v>
      </c>
      <c r="I194" s="1" t="s">
        <v>1351</v>
      </c>
      <c r="J194" s="1">
        <v>8.2</v>
      </c>
      <c r="K194" s="1" t="s">
        <v>1352</v>
      </c>
      <c r="L194" s="1" t="str">
        <f>IFERROR(__xludf.DUMMYFUNCTION("GOOGLETRANSLATE(K194,""en"", ""pt-br"")"),"Durante a ocupação nazista da Polônia, uma trupe atuante se envolve nos esforços de um soldado polonês para rastrear um espião alemão.")</f>
        <v>Durante a ocupação nazista da Polônia, uma trupe atuante se envolve nos esforços de um soldado polonês para rastrear um espião alemão.</v>
      </c>
      <c r="M194" s="1">
        <v>86.0</v>
      </c>
      <c r="N194" s="1" t="s">
        <v>1353</v>
      </c>
      <c r="O194" s="1" t="s">
        <v>1354</v>
      </c>
      <c r="P194" s="1" t="s">
        <v>1355</v>
      </c>
      <c r="Q194" s="1" t="s">
        <v>1356</v>
      </c>
      <c r="R194" s="1" t="s">
        <v>1357</v>
      </c>
      <c r="S194" s="1">
        <v>29915.0</v>
      </c>
      <c r="T194" s="7" t="str">
        <f>VLOOKUP(A194,Posters!A194:B1193,2)</f>
        <v>https://m.media-amazon.com/images/M/MV5BYTIwNDcyMjktMTczMy00NDM5LTlhNDEtMmE3NGVjOTM2YjQ3XkEyXkFqcGdeQXVyNjc0MzMzNjA@._V1_UX67_CR0,0,67,98_AL_.jpg</v>
      </c>
      <c r="U194" s="8">
        <f>'Inflation Adjusted Gross'!F194</f>
        <v>75222372</v>
      </c>
      <c r="V194" s="5">
        <f t="shared" si="1"/>
        <v>2020</v>
      </c>
    </row>
    <row r="195">
      <c r="A195" s="1">
        <v>194.0</v>
      </c>
      <c r="B195" s="1" t="s">
        <v>1358</v>
      </c>
      <c r="C195" s="6">
        <f>Gross_cleaning!E195</f>
        <v>5450000</v>
      </c>
      <c r="D195" s="1">
        <v>1925.0</v>
      </c>
      <c r="E195" s="1" t="s">
        <v>627</v>
      </c>
      <c r="F195" s="1" t="str">
        <f>VLOOKUP(Filmes_raw!E195,Rating_systems!$A$2:$C$29,3,FALSE)</f>
        <v>Adulto</v>
      </c>
      <c r="G195" s="2">
        <f>Gross_cleaning!F195</f>
        <v>95</v>
      </c>
      <c r="H195" s="1" t="s">
        <v>601</v>
      </c>
      <c r="I195" s="1" t="s">
        <v>1004</v>
      </c>
      <c r="J195" s="1">
        <v>8.2</v>
      </c>
      <c r="K195" s="1" t="s">
        <v>1359</v>
      </c>
      <c r="L195" s="1" t="str">
        <f>IFERROR(__xludf.DUMMYFUNCTION("GOOGLETRANSLATE(K195,""en"", ""pt-br"")"),"Um prospector vai para o Klondike em busca de ouro e encontra e mais.")</f>
        <v>Um prospector vai para o Klondike em busca de ouro e encontra e mais.</v>
      </c>
      <c r="N195" s="1" t="s">
        <v>418</v>
      </c>
      <c r="O195" s="1" t="s">
        <v>418</v>
      </c>
      <c r="P195" s="1" t="s">
        <v>1360</v>
      </c>
      <c r="Q195" s="1" t="s">
        <v>1361</v>
      </c>
      <c r="R195" s="1" t="s">
        <v>420</v>
      </c>
      <c r="S195" s="1">
        <v>101053.0</v>
      </c>
      <c r="T195" s="7" t="str">
        <f>VLOOKUP(A195,Posters!A195:B1194,2)</f>
        <v>https://m.media-amazon.com/images/M/MV5BZjEyOTE4MzMtNmMzMy00Mzc3LWJlOTQtOGJiNDE0ZmJiOTU4L2ltYWdlXkEyXkFqcGdeQXVyNTAyODkwOQ@@._V1_UY98_CR2,0,67,98_AL_.jpg</v>
      </c>
      <c r="U195" s="8">
        <f>'Inflation Adjusted Gross'!F195</f>
        <v>81268321</v>
      </c>
      <c r="V195" s="5">
        <f t="shared" si="1"/>
        <v>2020</v>
      </c>
    </row>
    <row r="196">
      <c r="A196" s="1">
        <v>195.0</v>
      </c>
      <c r="B196" s="1" t="s">
        <v>1362</v>
      </c>
      <c r="C196" s="6">
        <f>Gross_cleaning!E196</f>
        <v>977375</v>
      </c>
      <c r="D196" s="1">
        <v>1924.0</v>
      </c>
      <c r="E196" s="1" t="s">
        <v>627</v>
      </c>
      <c r="F196" s="1" t="str">
        <f>VLOOKUP(Filmes_raw!E196,Rating_systems!$A$2:$C$29,3,FALSE)</f>
        <v>Adulto</v>
      </c>
      <c r="G196" s="2">
        <f>Gross_cleaning!F196</f>
        <v>45</v>
      </c>
      <c r="H196" s="1" t="s">
        <v>1363</v>
      </c>
      <c r="I196" s="1" t="s">
        <v>1183</v>
      </c>
      <c r="J196" s="1">
        <v>8.2</v>
      </c>
      <c r="K196" s="1" t="s">
        <v>1364</v>
      </c>
      <c r="L196" s="1" t="str">
        <f>IFERROR(__xludf.DUMMYFUNCTION("GOOGLETRANSLATE(K196,""en"", ""pt-br"")"),"Um projecionista de cinema é um detetive, e coloca suas habilidades escassas para trabalhar quando ele é enquadrado por um rival para roubar o pocketwatch do pai da namorada.")</f>
        <v>Um projecionista de cinema é um detetive, e coloca suas habilidades escassas para trabalhar quando ele é enquadrado por um rival para roubar o pocketwatch do pai da namorada.</v>
      </c>
      <c r="N196" s="1" t="s">
        <v>1365</v>
      </c>
      <c r="O196" s="1" t="s">
        <v>1365</v>
      </c>
      <c r="P196" s="1" t="s">
        <v>1366</v>
      </c>
      <c r="Q196" s="1" t="s">
        <v>1367</v>
      </c>
      <c r="R196" s="1" t="s">
        <v>1368</v>
      </c>
      <c r="S196" s="1">
        <v>41985.0</v>
      </c>
      <c r="T196" s="7" t="str">
        <f>VLOOKUP(A196,Posters!A196:B1195,2)</f>
        <v>https://m.media-amazon.com/images/M/MV5BZWFhOGU5NDctY2Q3YS00Y2VlLWI1NzEtZmIwY2ZiZjY4OTA2XkEyXkFqcGdeQXVyMDI2NDg0NQ@@._V1_UX67_CR0,0,67,98_AL_.jpg</v>
      </c>
      <c r="U196" s="8">
        <f>'Inflation Adjusted Gross'!F196</f>
        <v>14574243</v>
      </c>
      <c r="V196" s="5">
        <f t="shared" si="1"/>
        <v>2020</v>
      </c>
    </row>
    <row r="197">
      <c r="A197" s="1">
        <v>196.0</v>
      </c>
      <c r="B197" s="1" t="s">
        <v>1369</v>
      </c>
      <c r="C197" s="6">
        <f>Gross_cleaning!E197</f>
        <v>3759854</v>
      </c>
      <c r="D197" s="1">
        <v>2019.0</v>
      </c>
      <c r="E197" s="1" t="s">
        <v>212</v>
      </c>
      <c r="F197" s="1" t="str">
        <f>VLOOKUP(Filmes_raw!E197,Rating_systems!$A$2:$C$29,3,FALSE)</f>
        <v>Adulto</v>
      </c>
      <c r="G197" s="2">
        <f>Gross_cleaning!F197</f>
        <v>122</v>
      </c>
      <c r="H197" s="1" t="s">
        <v>279</v>
      </c>
      <c r="I197" s="1" t="s">
        <v>107</v>
      </c>
      <c r="J197" s="1">
        <v>8.1</v>
      </c>
      <c r="K197" s="1" t="s">
        <v>1370</v>
      </c>
      <c r="L197" s="1" t="str">
        <f>IFERROR(__xludf.DUMMYFUNCTION("GOOGLETRANSLATE(K197,""en"", ""pt-br"")"),"Em uma ilha isolada na Bretanha no final do século XVIII, uma pintora é obrigada a pintar um retrato de casamento de uma jovem.")</f>
        <v>Em uma ilha isolada na Bretanha no final do século XVIII, uma pintora é obrigada a pintar um retrato de casamento de uma jovem.</v>
      </c>
      <c r="M197" s="1">
        <v>95.0</v>
      </c>
      <c r="N197" s="1" t="s">
        <v>1371</v>
      </c>
      <c r="O197" s="1" t="s">
        <v>1372</v>
      </c>
      <c r="P197" s="1" t="s">
        <v>1373</v>
      </c>
      <c r="Q197" s="1" t="s">
        <v>1374</v>
      </c>
      <c r="R197" s="1" t="s">
        <v>1375</v>
      </c>
      <c r="S197" s="1">
        <v>63134.0</v>
      </c>
      <c r="T197" s="7" t="str">
        <f>VLOOKUP(A197,Posters!A197:B1196,2)</f>
        <v>https://m.media-amazon.com/images/M/MV5BNjgwNjkwOWYtYmM3My00NzI1LTk5OGItYWY0OTMyZTY4OTg2XkEyXkFqcGdeQXVyODk4OTc3MTY@._V1_UX67_CR0,0,67,98_AL_.jpg</v>
      </c>
      <c r="U197" s="8">
        <f>'Inflation Adjusted Gross'!F197</f>
        <v>3853345</v>
      </c>
      <c r="V197" s="5">
        <f t="shared" si="1"/>
        <v>2020</v>
      </c>
    </row>
    <row r="198">
      <c r="A198" s="1">
        <v>197.0</v>
      </c>
      <c r="B198" s="1" t="s">
        <v>1376</v>
      </c>
      <c r="C198" s="6">
        <f>Gross_cleaning!E198</f>
        <v>1241223</v>
      </c>
      <c r="D198" s="1">
        <v>2016.0</v>
      </c>
      <c r="E198" s="1" t="s">
        <v>37</v>
      </c>
      <c r="F198" s="1" t="str">
        <f>VLOOKUP(Filmes_raw!E198,Rating_systems!$A$2:$C$29,3,FALSE)</f>
        <v>Criança</v>
      </c>
      <c r="G198" s="2">
        <f>Gross_cleaning!F198</f>
        <v>136</v>
      </c>
      <c r="H198" s="1" t="s">
        <v>127</v>
      </c>
      <c r="I198" s="1" t="s">
        <v>1377</v>
      </c>
      <c r="J198" s="1">
        <v>8.1</v>
      </c>
      <c r="K198" s="1" t="s">
        <v>1378</v>
      </c>
      <c r="L198" s="1" t="str">
        <f>IFERROR(__xludf.DUMMYFUNCTION("GOOGLETRANSLATE(K198,""en"", ""pt-br"")"),"Quando três jovens mulheres estão implicadas em um crime, um advogado aposentado avança para ajudá-los a limpar seus nomes.")</f>
        <v>Quando três jovens mulheres estão implicadas em um crime, um advogado aposentado avança para ajudá-los a limpar seus nomes.</v>
      </c>
      <c r="N198" s="1" t="s">
        <v>1379</v>
      </c>
      <c r="O198" s="1" t="s">
        <v>1380</v>
      </c>
      <c r="P198" s="1" t="s">
        <v>592</v>
      </c>
      <c r="Q198" s="1" t="s">
        <v>1381</v>
      </c>
      <c r="R198" s="1" t="s">
        <v>1382</v>
      </c>
      <c r="S198" s="1">
        <v>39216.0</v>
      </c>
      <c r="T198" s="7" t="str">
        <f>VLOOKUP(A198,Posters!A198:B1197,2)</f>
        <v>https://m.media-amazon.com/images/M/MV5BNGI1MTI1YTQtY2QwYi00YzUzLTg3NWYtNzExZDlhOTZmZWU0XkEyXkFqcGdeQXVyMDkwNTkwNg@@._V1_UY98_CR3,0,67,98_AL_.jpg</v>
      </c>
      <c r="U198" s="8">
        <f>'Inflation Adjusted Gross'!F198</f>
        <v>1351532</v>
      </c>
      <c r="V198" s="5">
        <f t="shared" si="1"/>
        <v>2020</v>
      </c>
    </row>
    <row r="199">
      <c r="A199" s="1">
        <v>198.0</v>
      </c>
      <c r="B199" s="1" t="s">
        <v>1383</v>
      </c>
      <c r="C199" s="6">
        <f>Gross_cleaning!E199</f>
        <v>30518948</v>
      </c>
      <c r="D199" s="1">
        <v>2016.0</v>
      </c>
      <c r="E199" s="1">
        <v>16.0</v>
      </c>
      <c r="F199" s="1" t="str">
        <f>VLOOKUP(Filmes_raw!E199,Rating_systems!$A$2:$C$29,3,FALSE)</f>
        <v>Adolescente</v>
      </c>
      <c r="G199" s="2">
        <f>Gross_cleaning!F199</f>
        <v>130</v>
      </c>
      <c r="H199" s="1" t="s">
        <v>195</v>
      </c>
      <c r="I199" s="1" t="s">
        <v>1384</v>
      </c>
      <c r="J199" s="1">
        <v>8.1</v>
      </c>
      <c r="K199" s="1" t="s">
        <v>1385</v>
      </c>
      <c r="L199" s="1" t="str">
        <f>IFERROR(__xludf.DUMMYFUNCTION("GOOGLETRANSLATE(K199,""en"", ""pt-br"")"),"Um jovem é ostracizado por seus colegas depois que ele intimida uma garota surda a ponto de se afasta. Anos depois, ele sai em um caminho para a redenção.")</f>
        <v>Um jovem é ostracizado por seus colegas depois que ele intimida uma garota surda a ponto de se afasta. Anos depois, ele sai em um caminho para a redenção.</v>
      </c>
      <c r="M199" s="1">
        <v>78.0</v>
      </c>
      <c r="N199" s="1" t="s">
        <v>1386</v>
      </c>
      <c r="O199" s="1" t="s">
        <v>209</v>
      </c>
      <c r="P199" s="1" t="s">
        <v>1387</v>
      </c>
      <c r="Q199" s="1" t="s">
        <v>456</v>
      </c>
      <c r="R199" s="1" t="s">
        <v>1388</v>
      </c>
      <c r="S199" s="1">
        <v>47708.0</v>
      </c>
      <c r="T199" s="7" t="str">
        <f>VLOOKUP(A199,Posters!A199:B1198,2)</f>
        <v>https://m.media-amazon.com/images/M/MV5BZGRkOGMxYTUtZTBhYS00NzI3LWEzMDQtOWRhMmNjNjJjMzM4XkEyXkFqcGdeQXVyMTMxODk2OTU@._V1_UY98_CR0,0,67,98_AL_.jpg</v>
      </c>
      <c r="U199" s="8">
        <f>'Inflation Adjusted Gross'!F199</f>
        <v>33231202</v>
      </c>
      <c r="V199" s="5">
        <f t="shared" si="1"/>
        <v>2020</v>
      </c>
    </row>
    <row r="200">
      <c r="A200" s="1">
        <v>199.0</v>
      </c>
      <c r="B200" s="1" t="s">
        <v>1389</v>
      </c>
      <c r="C200" s="6">
        <f>Gross_cleaning!E200</f>
        <v>0</v>
      </c>
      <c r="D200" s="1">
        <v>2016.0</v>
      </c>
      <c r="E200" s="1" t="s">
        <v>1390</v>
      </c>
      <c r="F200" s="1" t="str">
        <f>VLOOKUP(Filmes_raw!E200,Rating_systems!$A$2:$C$29,3,FALSE)</f>
        <v>Adolescente</v>
      </c>
      <c r="G200" s="2">
        <f>Gross_cleaning!F200</f>
        <v>106</v>
      </c>
      <c r="H200" s="1" t="s">
        <v>286</v>
      </c>
      <c r="I200" s="1" t="s">
        <v>235</v>
      </c>
      <c r="J200" s="1">
        <v>8.1</v>
      </c>
      <c r="K200" s="1" t="s">
        <v>1391</v>
      </c>
      <c r="L200" s="1" t="str">
        <f>IFERROR(__xludf.DUMMYFUNCTION("GOOGLETRANSLATE(K200,""en"", ""pt-br"")"),"Um empresário bem sucedido acusado de assassinato e um perito de preparação de testemunhas têm menos de três horas para criar uma defesa inexpugnável.")</f>
        <v>Um empresário bem sucedido acusado de assassinato e um perito de preparação de testemunhas têm menos de três horas para criar uma defesa inexpugnável.</v>
      </c>
      <c r="N200" s="1" t="s">
        <v>1392</v>
      </c>
      <c r="O200" s="1" t="s">
        <v>1393</v>
      </c>
      <c r="P200" s="1" t="s">
        <v>1394</v>
      </c>
      <c r="Q200" s="1" t="s">
        <v>1395</v>
      </c>
      <c r="R200" s="1" t="s">
        <v>1396</v>
      </c>
      <c r="S200" s="1">
        <v>141516.0</v>
      </c>
      <c r="T200" s="7" t="str">
        <f>VLOOKUP(A200,Posters!A200:B1199,2)</f>
        <v>https://m.media-amazon.com/images/M/MV5BMDk0YzAwYjktMWFiZi00Y2FmLWJmMmMtMzUyZDZmMmU5MjkzXkEyXkFqcGdeQXVyMTMxODk2OTU@._V1_UY98_CR1,0,67,98_AL_.jpg</v>
      </c>
      <c r="U200" s="8">
        <f>'Inflation Adjusted Gross'!F200</f>
        <v>0</v>
      </c>
      <c r="V200" s="5">
        <f t="shared" si="1"/>
        <v>2020</v>
      </c>
    </row>
    <row r="201">
      <c r="A201" s="1">
        <v>200.0</v>
      </c>
      <c r="B201" s="1" t="s">
        <v>1397</v>
      </c>
      <c r="C201" s="6">
        <f>Gross_cleaning!E201</f>
        <v>2006788</v>
      </c>
      <c r="D201" s="1">
        <v>2016.0</v>
      </c>
      <c r="E201" s="1" t="s">
        <v>18</v>
      </c>
      <c r="F201" s="1" t="str">
        <f>VLOOKUP(Filmes_raw!E201,Rating_systems!$A$2:$C$29,3,FALSE)</f>
        <v>Adulto</v>
      </c>
      <c r="G201" s="2">
        <f>Gross_cleaning!F201</f>
        <v>145</v>
      </c>
      <c r="H201" s="1" t="s">
        <v>1398</v>
      </c>
      <c r="I201" s="1" t="s">
        <v>1399</v>
      </c>
      <c r="J201" s="1">
        <v>8.1</v>
      </c>
      <c r="K201" s="1" t="s">
        <v>1400</v>
      </c>
      <c r="L201" s="1" t="str">
        <f>IFERROR(__xludf.DUMMYFUNCTION("GOOGLETRANSLATE(K201,""en"", ""pt-br"")"),"Uma mulher é contratada como uma Handmaiden para uma herdeira japonesa, mas secretamente ela está envolvida em uma parcela para defraudá-la.")</f>
        <v>Uma mulher é contratada como uma Handmaiden para uma herdeira japonesa, mas secretamente ela está envolvida em uma parcela para defraudá-la.</v>
      </c>
      <c r="M201" s="1">
        <v>84.0</v>
      </c>
      <c r="N201" s="1" t="s">
        <v>537</v>
      </c>
      <c r="O201" s="1" t="s">
        <v>1401</v>
      </c>
      <c r="P201" s="1" t="s">
        <v>1402</v>
      </c>
      <c r="Q201" s="1" t="s">
        <v>1403</v>
      </c>
      <c r="R201" s="1" t="s">
        <v>1404</v>
      </c>
      <c r="S201" s="1">
        <v>113649.0</v>
      </c>
      <c r="T201" s="7" t="str">
        <f>VLOOKUP(A201,Posters!A201:B1200,2)</f>
        <v>https://m.media-amazon.com/images/M/MV5BNDJhYTk2MTctZmVmOS00OTViLTgxNjQtMzQxOTRiMDdmNGRjXkEyXkFqcGdeQXVyMTMxODk2OTU@._V1_UY98_CR0,0,67,98_AL_.jpg</v>
      </c>
      <c r="U201" s="8">
        <f>'Inflation Adjusted Gross'!F201</f>
        <v>2185134</v>
      </c>
      <c r="V201" s="5">
        <f t="shared" si="1"/>
        <v>2020</v>
      </c>
    </row>
    <row r="202">
      <c r="A202" s="1">
        <v>201.0</v>
      </c>
      <c r="B202" s="1" t="s">
        <v>1405</v>
      </c>
      <c r="C202" s="6">
        <f>Gross_cleaning!E202</f>
        <v>3492754</v>
      </c>
      <c r="D202" s="1">
        <v>2014.0</v>
      </c>
      <c r="E202" s="1" t="s">
        <v>212</v>
      </c>
      <c r="F202" s="1" t="str">
        <f>VLOOKUP(Filmes_raw!E202,Rating_systems!$A$2:$C$29,3,FALSE)</f>
        <v>Adulto</v>
      </c>
      <c r="G202" s="2">
        <f>Gross_cleaning!F202</f>
        <v>139</v>
      </c>
      <c r="H202" s="1" t="s">
        <v>95</v>
      </c>
      <c r="I202" s="1" t="s">
        <v>20</v>
      </c>
      <c r="J202" s="1">
        <v>8.1</v>
      </c>
      <c r="K202" s="1" t="s">
        <v>1406</v>
      </c>
      <c r="L202" s="1" t="str">
        <f>IFERROR(__xludf.DUMMYFUNCTION("GOOGLETRANSLATE(K202,""en"", ""pt-br"")"),"Uma mãe solteira viúva, levantando seu filho violento sozinho, encontra nova esperança quando um vizinho misterioso se insere em sua casa.")</f>
        <v>Uma mãe solteira viúva, levantando seu filho violento sozinho, encontra nova esperança quando um vizinho misterioso se insere em sua casa.</v>
      </c>
      <c r="M202" s="1">
        <v>74.0</v>
      </c>
      <c r="N202" s="1" t="s">
        <v>1407</v>
      </c>
      <c r="O202" s="1" t="s">
        <v>1408</v>
      </c>
      <c r="P202" s="1" t="s">
        <v>1409</v>
      </c>
      <c r="Q202" s="1" t="s">
        <v>1410</v>
      </c>
      <c r="R202" s="1" t="s">
        <v>1411</v>
      </c>
      <c r="S202" s="1">
        <v>50700.0</v>
      </c>
      <c r="T202" s="7" t="str">
        <f>VLOOKUP(A202,Posters!A202:B1201,2)</f>
        <v>https://m.media-amazon.com/images/M/MV5BMGI3YWFmNDQtNjc0Ny00ZDBjLThlNjYtZTc1ZTk5MzU2YTVjXkEyXkFqcGdeQXVyNzA4ODc3ODU@._V1_UY98_CR1,0,67,98_AL_.jpg</v>
      </c>
      <c r="U202" s="8">
        <f>'Inflation Adjusted Gross'!F202</f>
        <v>3851935</v>
      </c>
      <c r="V202" s="5">
        <f t="shared" si="1"/>
        <v>2020</v>
      </c>
    </row>
    <row r="203">
      <c r="A203" s="1">
        <v>202.0</v>
      </c>
      <c r="B203" s="1" t="s">
        <v>1412</v>
      </c>
      <c r="C203" s="6">
        <f>Gross_cleaning!E203</f>
        <v>901610</v>
      </c>
      <c r="D203" s="1">
        <v>2014.0</v>
      </c>
      <c r="E203" s="1" t="s">
        <v>37</v>
      </c>
      <c r="F203" s="1" t="str">
        <f>VLOOKUP(Filmes_raw!E203,Rating_systems!$A$2:$C$29,3,FALSE)</f>
        <v>Criança</v>
      </c>
      <c r="G203" s="2">
        <f>Gross_cleaning!F203</f>
        <v>160</v>
      </c>
      <c r="H203" s="1" t="s">
        <v>162</v>
      </c>
      <c r="I203" s="1" t="s">
        <v>39</v>
      </c>
      <c r="J203" s="1">
        <v>8.1</v>
      </c>
      <c r="K203" s="1" t="s">
        <v>1414</v>
      </c>
      <c r="L203" s="1" t="str">
        <f>IFERROR(__xludf.DUMMYFUNCTION("GOOGLETRANSLATE(K203,""en"", ""pt-br"")"),"Um jovem retorna a Kashmir depois do desaparecimento de seu pai para confrontar seu tio, a quem ele suspeita de desempenhar um papel no destino de seu pai.")</f>
        <v>Um jovem retorna a Kashmir depois do desaparecimento de seu pai para confrontar seu tio, a quem ele suspeita de desempenhar um papel no destino de seu pai.</v>
      </c>
      <c r="N203" s="1" t="s">
        <v>1415</v>
      </c>
      <c r="O203" s="1" t="s">
        <v>1416</v>
      </c>
      <c r="P203" s="1" t="s">
        <v>660</v>
      </c>
      <c r="Q203" s="1" t="s">
        <v>943</v>
      </c>
      <c r="R203" s="1" t="s">
        <v>1417</v>
      </c>
      <c r="S203" s="1">
        <v>50445.0</v>
      </c>
      <c r="T203" s="7" t="str">
        <f>VLOOKUP(A203,Posters!A203:B1202,2)</f>
        <v>https://m.media-amazon.com/images/M/MV5BMjA1NTEwMDMxMF5BMl5BanBnXkFtZTgwODkzMzI0MjE@._V1_UY98_CR0,0,67,98_AL_.jpg</v>
      </c>
      <c r="U203" s="8">
        <f>'Inflation Adjusted Gross'!F203</f>
        <v>994328</v>
      </c>
      <c r="V203" s="5">
        <f t="shared" si="1"/>
        <v>2020</v>
      </c>
    </row>
    <row r="204">
      <c r="A204" s="1">
        <v>203.0</v>
      </c>
      <c r="B204" s="1" t="s">
        <v>1418</v>
      </c>
      <c r="C204" s="6">
        <f>Gross_cleaning!E204</f>
        <v>226277068</v>
      </c>
      <c r="D204" s="1">
        <v>2017.0</v>
      </c>
      <c r="E204" s="1" t="s">
        <v>18</v>
      </c>
      <c r="F204" s="1" t="str">
        <f>VLOOKUP(Filmes_raw!E204,Rating_systems!$A$2:$C$29,3,FALSE)</f>
        <v>Adulto</v>
      </c>
      <c r="G204" s="2">
        <f>Gross_cleaning!F204</f>
        <v>137</v>
      </c>
      <c r="H204" s="1" t="s">
        <v>360</v>
      </c>
      <c r="I204" s="1" t="s">
        <v>1109</v>
      </c>
      <c r="J204" s="1">
        <v>8.1</v>
      </c>
      <c r="K204" s="1" t="s">
        <v>1419</v>
      </c>
      <c r="L204" s="1" t="str">
        <f>IFERROR(__xludf.DUMMYFUNCTION("GOOGLETRANSLATE(K204,""en"", ""pt-br"")"),"Em um futuro onde os mutantes são quase extintos, um idoso e cansado Logan lidera uma vida tranquila. Mas quando Laura, uma criança mutante prosseguida pelos cientistas, chega a ele por ajuda, ele deve levá-la à segurança.")</f>
        <v>Em um futuro onde os mutantes são quase extintos, um idoso e cansado Logan lidera uma vida tranquila. Mas quando Laura, uma criança mutante prosseguida pelos cientistas, chega a ele por ajuda, ele deve levá-la à segurança.</v>
      </c>
      <c r="M204" s="1">
        <v>77.0</v>
      </c>
      <c r="N204" s="1" t="s">
        <v>1420</v>
      </c>
      <c r="O204" s="1" t="s">
        <v>306</v>
      </c>
      <c r="P204" s="1" t="s">
        <v>1421</v>
      </c>
      <c r="Q204" s="1" t="s">
        <v>1422</v>
      </c>
      <c r="R204" s="1" t="s">
        <v>1423</v>
      </c>
      <c r="S204" s="1">
        <v>647884.0</v>
      </c>
      <c r="T204" s="7" t="str">
        <f>VLOOKUP(A204,Posters!A204:B1203,2)</f>
        <v>https://m.media-amazon.com/images/M/MV5BYzc5MTU4N2EtYTkyMi00NjdhLTg3NWEtMTY4OTEyMzJhZTAzXkEyXkFqcGdeQXVyNjc1NTYyMjg@._V1_UX67_CR0,0,67,98_AL_.jpg</v>
      </c>
      <c r="U204" s="8">
        <f>'Inflation Adjusted Gross'!F204</f>
        <v>240377046</v>
      </c>
      <c r="V204" s="5">
        <f t="shared" si="1"/>
        <v>2020</v>
      </c>
    </row>
    <row r="205">
      <c r="A205" s="1">
        <v>204.0</v>
      </c>
      <c r="B205" s="1" t="s">
        <v>1424</v>
      </c>
      <c r="C205" s="6">
        <f>Gross_cleaning!E205</f>
        <v>14677674</v>
      </c>
      <c r="D205" s="1">
        <v>2015.0</v>
      </c>
      <c r="E205" s="1" t="s">
        <v>212</v>
      </c>
      <c r="F205" s="1" t="str">
        <f>VLOOKUP(Filmes_raw!E205,Rating_systems!$A$2:$C$29,3,FALSE)</f>
        <v>Adulto</v>
      </c>
      <c r="G205" s="2">
        <f>Gross_cleaning!F205</f>
        <v>118</v>
      </c>
      <c r="H205" s="1" t="s">
        <v>240</v>
      </c>
      <c r="I205" s="1" t="s">
        <v>1377</v>
      </c>
      <c r="J205" s="1">
        <v>8.1</v>
      </c>
      <c r="K205" s="1" t="s">
        <v>1425</v>
      </c>
      <c r="L205" s="1" t="str">
        <f>IFERROR(__xludf.DUMMYFUNCTION("GOOGLETRANSLATE(K205,""en"", ""pt-br"")"),"Segurado em cativeiro por 7 anos em um espaço fechado, uma mulher e seu filho finalmente ganham sua liberdade, permitindo que o menino experimente o mundo exterior pela primeira vez.")</f>
        <v>Segurado em cativeiro por 7 anos em um espaço fechado, uma mulher e seu filho finalmente ganham sua liberdade, permitindo que o menino experimente o mundo exterior pela primeira vez.</v>
      </c>
      <c r="M205" s="1">
        <v>86.0</v>
      </c>
      <c r="N205" s="1" t="s">
        <v>1426</v>
      </c>
      <c r="O205" s="1" t="s">
        <v>1427</v>
      </c>
      <c r="P205" s="1" t="s">
        <v>1428</v>
      </c>
      <c r="Q205" s="1" t="s">
        <v>1429</v>
      </c>
      <c r="R205" s="1" t="s">
        <v>1430</v>
      </c>
      <c r="S205" s="1">
        <v>371538.0</v>
      </c>
      <c r="T205" s="7" t="str">
        <f>VLOOKUP(A205,Posters!A205:B1204,2)</f>
        <v>https://m.media-amazon.com/images/M/MV5BMjE4NzgzNzEwMl5BMl5BanBnXkFtZTgwMTMzMDE0NjE@._V1_UX67_CR0,0,67,98_AL_.jpg</v>
      </c>
      <c r="U205" s="8">
        <f>'Inflation Adjusted Gross'!F205</f>
        <v>16201544</v>
      </c>
      <c r="V205" s="5">
        <f t="shared" si="1"/>
        <v>2020</v>
      </c>
    </row>
    <row r="206">
      <c r="A206" s="1">
        <v>205.0</v>
      </c>
      <c r="B206" s="1" t="s">
        <v>1431</v>
      </c>
      <c r="C206" s="6">
        <f>Gross_cleaning!E206</f>
        <v>3107072</v>
      </c>
      <c r="D206" s="1">
        <v>2014.0</v>
      </c>
      <c r="E206" s="1" t="s">
        <v>212</v>
      </c>
      <c r="F206" s="1" t="str">
        <f>VLOOKUP(Filmes_raw!E206,Rating_systems!$A$2:$C$29,3,FALSE)</f>
        <v>Adulto</v>
      </c>
      <c r="G206" s="2">
        <f>Gross_cleaning!F206</f>
        <v>122</v>
      </c>
      <c r="H206" s="1" t="s">
        <v>279</v>
      </c>
      <c r="I206" s="1" t="s">
        <v>171</v>
      </c>
      <c r="J206" s="1">
        <v>8.1</v>
      </c>
      <c r="K206" s="1" t="s">
        <v>1432</v>
      </c>
      <c r="L206" s="1" t="str">
        <f>IFERROR(__xludf.DUMMYFUNCTION("GOOGLETRANSLATE(K206,""en"", ""pt-br"")"),"Seis histórias curtas que exploram as extremidades do comportamento humano envolvendo pessoas em perigo.")</f>
        <v>Seis histórias curtas que exploram as extremidades do comportamento humano envolvendo pessoas em perigo.</v>
      </c>
      <c r="M206" s="1">
        <v>77.0</v>
      </c>
      <c r="N206" s="1" t="s">
        <v>1433</v>
      </c>
      <c r="O206" s="1" t="s">
        <v>1434</v>
      </c>
      <c r="P206" s="1" t="s">
        <v>1435</v>
      </c>
      <c r="Q206" s="1" t="s">
        <v>1436</v>
      </c>
      <c r="R206" s="1" t="s">
        <v>1437</v>
      </c>
      <c r="S206" s="1">
        <v>177059.0</v>
      </c>
      <c r="T206" s="7" t="str">
        <f>VLOOKUP(A206,Posters!A206:B1205,2)</f>
        <v>https://m.media-amazon.com/images/M/MV5BNGQzY2Y0MTgtMDA4OC00NjM3LWI0ZGQtNTJlM2UxZDQxZjI0XkEyXkFqcGdeQXVyNDUzOTQ5MjY@._V1_UY98_CR1,0,67,98_AL_.jpg</v>
      </c>
      <c r="U206" s="8">
        <f>'Inflation Adjusted Gross'!F206</f>
        <v>3426591</v>
      </c>
      <c r="V206" s="5">
        <f t="shared" si="1"/>
        <v>2020</v>
      </c>
    </row>
    <row r="207">
      <c r="A207" s="1">
        <v>206.0</v>
      </c>
      <c r="B207" s="1" t="s">
        <v>1438</v>
      </c>
      <c r="C207" s="6">
        <f>Gross_cleaning!E207</f>
        <v>120957731</v>
      </c>
      <c r="D207" s="1">
        <v>2020.0</v>
      </c>
      <c r="E207" s="1" t="s">
        <v>52</v>
      </c>
      <c r="F207" s="1" t="str">
        <f>VLOOKUP(Filmes_raw!E207,Rating_systems!$A$2:$C$29,3,FALSE)</f>
        <v>Criança</v>
      </c>
      <c r="G207" s="2">
        <f>Gross_cleaning!F207</f>
        <v>100</v>
      </c>
      <c r="H207" s="1" t="s">
        <v>1439</v>
      </c>
      <c r="I207" s="1" t="s">
        <v>765</v>
      </c>
      <c r="J207" s="1">
        <v>8.1</v>
      </c>
      <c r="K207" s="1" t="s">
        <v>1440</v>
      </c>
      <c r="L207" s="1" t="str">
        <f>IFERROR(__xludf.DUMMYFUNCTION("GOOGLETRANSLATE(K207,""en"", ""pt-br"")"),"Depois de pousar o show de uma vida, um pianista de jazz de Nova York repentinamente se encontra preso em uma terra estranha entre a Terra e a vida após a morte.")</f>
        <v>Depois de pousar o show de uma vida, um pianista de jazz de Nova York repentinamente se encontra preso em uma terra estranha entre a Terra e a vida após a morte.</v>
      </c>
      <c r="M207" s="1">
        <v>83.0</v>
      </c>
      <c r="N207" s="1" t="s">
        <v>1071</v>
      </c>
      <c r="O207" s="1" t="s">
        <v>1441</v>
      </c>
      <c r="P207" s="1" t="s">
        <v>497</v>
      </c>
      <c r="Q207" s="1" t="s">
        <v>1442</v>
      </c>
      <c r="R207" s="1" t="s">
        <v>1443</v>
      </c>
      <c r="S207" s="1">
        <v>159171.0</v>
      </c>
      <c r="T207" s="7" t="str">
        <f>VLOOKUP(A207,Posters!A207:B1206,2)</f>
        <v>https://m.media-amazon.com/images/M/MV5BZGE1MDg5M2MtNTkyZS00MTY5LTg1YzUtZTlhZmM1Y2EwNmFmXkEyXkFqcGdeQXVyNjA3OTI0MDc@._V1_UX67_CR0,0,67,98_AL_.jpg</v>
      </c>
      <c r="U207" s="8">
        <f>'Inflation Adjusted Gross'!F207</f>
        <v>120957731</v>
      </c>
      <c r="V207" s="5">
        <f t="shared" si="1"/>
        <v>2020</v>
      </c>
    </row>
    <row r="208">
      <c r="A208" s="1">
        <v>207.0</v>
      </c>
      <c r="B208" s="1" t="s">
        <v>1444</v>
      </c>
      <c r="C208" s="6">
        <f>Gross_cleaning!E208</f>
        <v>165520</v>
      </c>
      <c r="D208" s="1">
        <v>2014.0</v>
      </c>
      <c r="E208" s="1">
        <v>14.0</v>
      </c>
      <c r="F208" s="1" t="str">
        <f>VLOOKUP(Filmes_raw!E208,Rating_systems!$A$2:$C$29,3,FALSE)</f>
        <v>Adolescente</v>
      </c>
      <c r="G208" s="2">
        <f>Gross_cleaning!F208</f>
        <v>196</v>
      </c>
      <c r="H208" s="1" t="s">
        <v>1446</v>
      </c>
      <c r="I208" s="1" t="s">
        <v>20</v>
      </c>
      <c r="J208" s="1">
        <v>8.1</v>
      </c>
      <c r="K208" s="1" t="s">
        <v>1447</v>
      </c>
      <c r="L208" s="1" t="str">
        <f>IFERROR(__xludf.DUMMYFUNCTION("GOOGLETRANSLATE(K208,""en"", ""pt-br"")"),"Um proprietário do hotel e proprietário em uma vila turca remota ofertas com conflitos dentro de sua família e um inquilino para trás em seu aluguel.")</f>
        <v>Um proprietário do hotel e proprietário em uma vila turca remota ofertas com conflitos dentro de sua família e um inquilino para trás em seu aluguel.</v>
      </c>
      <c r="M208" s="1">
        <v>88.0</v>
      </c>
      <c r="N208" s="1" t="s">
        <v>1448</v>
      </c>
      <c r="O208" s="1" t="s">
        <v>1449</v>
      </c>
      <c r="P208" s="1" t="s">
        <v>1450</v>
      </c>
      <c r="Q208" s="1" t="s">
        <v>1451</v>
      </c>
      <c r="R208" s="1" t="s">
        <v>1452</v>
      </c>
      <c r="S208" s="1">
        <v>46547.0</v>
      </c>
      <c r="T208" s="7" t="str">
        <f>VLOOKUP(A208,Posters!A208:B1207,2)</f>
        <v>https://m.media-amazon.com/images/M/MV5BYzE2MjEwMTQtOTQ2Mi00ZWExLTkyMjUtNmJjMjBlYWFjZDdlXkEyXkFqcGdeQXVyMTI3ODAyMzE2._V1_UY98_CR0,0,67,98_AL_.jpg</v>
      </c>
      <c r="U208" s="8">
        <f>'Inflation Adjusted Gross'!F208</f>
        <v>182541</v>
      </c>
      <c r="V208" s="5">
        <f t="shared" si="1"/>
        <v>2020</v>
      </c>
    </row>
    <row r="209">
      <c r="A209" s="1">
        <v>208.0</v>
      </c>
      <c r="B209" s="1" t="s">
        <v>1453</v>
      </c>
      <c r="C209" s="6">
        <f>Gross_cleaning!E209</f>
        <v>10616104</v>
      </c>
      <c r="D209" s="1">
        <v>2014.0</v>
      </c>
      <c r="E209" s="1" t="s">
        <v>37</v>
      </c>
      <c r="F209" s="1" t="str">
        <f>VLOOKUP(Filmes_raw!E209,Rating_systems!$A$2:$C$29,3,FALSE)</f>
        <v>Criança</v>
      </c>
      <c r="G209" s="2">
        <f>Gross_cleaning!F209</f>
        <v>153</v>
      </c>
      <c r="H209" s="1" t="s">
        <v>179</v>
      </c>
      <c r="I209" s="1" t="s">
        <v>1454</v>
      </c>
      <c r="J209" s="1">
        <v>8.1</v>
      </c>
      <c r="K209" s="1" t="s">
        <v>1455</v>
      </c>
      <c r="L209" s="1" t="str">
        <f>IFERROR(__xludf.DUMMYFUNCTION("GOOGLETRANSLATE(K209,""en"", ""pt-br"")"),"Um alienígena na Terra perde o único dispositivo que ele pode usar para se comunicar com sua nave espacial. Sua natureza inocente e questões semelhantes a crianças forçam o país a avaliar o impacto da religião em seu povo.")</f>
        <v>Um alienígena na Terra perde o único dispositivo que ele pode usar para se comunicar com sua nave espacial. Sua natureza inocente e questões semelhantes a crianças forçam o país a avaliar o impacto da religião em seu povo.</v>
      </c>
      <c r="N209" s="1" t="s">
        <v>509</v>
      </c>
      <c r="O209" s="1" t="s">
        <v>461</v>
      </c>
      <c r="P209" s="1" t="s">
        <v>1456</v>
      </c>
      <c r="Q209" s="1" t="s">
        <v>1457</v>
      </c>
      <c r="R209" s="1" t="s">
        <v>1458</v>
      </c>
      <c r="S209" s="1">
        <v>163061.0</v>
      </c>
      <c r="T209" s="7" t="str">
        <f>VLOOKUP(A209,Posters!A209:B1208,2)</f>
        <v>https://m.media-amazon.com/images/M/MV5BMTYzOTE2NjkxN15BMl5BanBnXkFtZTgwMDgzMTg0MzE@._V1_UY98_CR0,0,67,98_AL_.jpg</v>
      </c>
      <c r="U209" s="8">
        <f>'Inflation Adjusted Gross'!F209</f>
        <v>11707822</v>
      </c>
      <c r="V209" s="5">
        <f t="shared" si="1"/>
        <v>2020</v>
      </c>
    </row>
    <row r="210">
      <c r="A210" s="1">
        <v>209.0</v>
      </c>
      <c r="B210" s="1" t="s">
        <v>1459</v>
      </c>
      <c r="C210" s="6">
        <f>Gross_cleaning!E210</f>
        <v>923221</v>
      </c>
      <c r="D210" s="1">
        <v>2012.0</v>
      </c>
      <c r="E210" s="1" t="s">
        <v>52</v>
      </c>
      <c r="F210" s="1" t="str">
        <f>VLOOKUP(Filmes_raw!E210,Rating_systems!$A$2:$C$29,3,FALSE)</f>
        <v>Criança</v>
      </c>
      <c r="G210" s="2">
        <f>Gross_cleaning!F210</f>
        <v>125</v>
      </c>
      <c r="H210" s="1" t="s">
        <v>203</v>
      </c>
      <c r="I210" s="1" t="s">
        <v>1460</v>
      </c>
      <c r="J210" s="1">
        <v>8.1</v>
      </c>
      <c r="K210" s="1" t="s">
        <v>1461</v>
      </c>
      <c r="L210" s="1" t="str">
        <f>IFERROR(__xludf.DUMMYFUNCTION("GOOGLETRANSLATE(K210,""en"", ""pt-br"")"),"Um lojista leva a Deus ao tribunal quando sua loja é destruída por um terremoto.")</f>
        <v>Um lojista leva a Deus ao tribunal quando sua loja é destruída por um terremoto.</v>
      </c>
      <c r="N210" s="1" t="s">
        <v>1462</v>
      </c>
      <c r="O210" s="1" t="s">
        <v>184</v>
      </c>
      <c r="P210" s="1" t="s">
        <v>1156</v>
      </c>
      <c r="Q210" s="1" t="s">
        <v>1463</v>
      </c>
      <c r="R210" s="1" t="s">
        <v>1464</v>
      </c>
      <c r="S210" s="1">
        <v>51739.0</v>
      </c>
      <c r="T210" s="7" t="str">
        <f>VLOOKUP(A210,Posters!A210:B1209,2)</f>
        <v>https://m.media-amazon.com/images/M/MV5BMGNhYjUwNmYtNDQxNi00NDdmLTljMDAtZWM1NDQyZTk3ZDYwXkEyXkFqcGdeQXVyODE5NzE3OTE@._V1_UY98_CR0,0,67,98_AL_.jpg</v>
      </c>
      <c r="U210" s="8">
        <f>'Inflation Adjusted Gross'!F210</f>
        <v>1050732</v>
      </c>
      <c r="V210" s="5">
        <f t="shared" si="1"/>
        <v>2020</v>
      </c>
    </row>
    <row r="211">
      <c r="A211" s="1">
        <v>210.0</v>
      </c>
      <c r="B211" s="1" t="s">
        <v>1465</v>
      </c>
      <c r="C211" s="6">
        <f>Gross_cleaning!E211</f>
        <v>59100318</v>
      </c>
      <c r="D211" s="1">
        <v>2014.0</v>
      </c>
      <c r="E211" s="1" t="s">
        <v>37</v>
      </c>
      <c r="F211" s="1" t="str">
        <f>VLOOKUP(Filmes_raw!E211,Rating_systems!$A$2:$C$29,3,FALSE)</f>
        <v>Criança</v>
      </c>
      <c r="G211" s="2">
        <f>Gross_cleaning!F211</f>
        <v>99</v>
      </c>
      <c r="H211" s="1" t="s">
        <v>778</v>
      </c>
      <c r="I211" s="1" t="s">
        <v>1466</v>
      </c>
      <c r="J211" s="1">
        <v>8.1</v>
      </c>
      <c r="K211" s="1" t="s">
        <v>1467</v>
      </c>
      <c r="L211" s="1" t="str">
        <f>IFERROR(__xludf.DUMMYFUNCTION("GOOGLETRANSLATE(K211,""en"", ""pt-br"")"),"Um escritor encontra o proprietário de um hotel de alta classe, que diz a ele de seus primeiros anos servindo como um garoto do lobby nos gloriosos anos do hotel sob um concierge excepcional.")</f>
        <v>Um escritor encontra o proprietário de um hotel de alta classe, que diz a ele de seus primeiros anos servindo como um garoto do lobby nos gloriosos anos do hotel sob um concierge excepcional.</v>
      </c>
      <c r="M211" s="1">
        <v>88.0</v>
      </c>
      <c r="N211" s="1" t="s">
        <v>1468</v>
      </c>
      <c r="O211" s="1" t="s">
        <v>83</v>
      </c>
      <c r="P211" s="1" t="s">
        <v>803</v>
      </c>
      <c r="Q211" s="1" t="s">
        <v>1469</v>
      </c>
      <c r="R211" s="1" t="s">
        <v>317</v>
      </c>
      <c r="S211" s="1">
        <v>707630.0</v>
      </c>
      <c r="T211" s="7" t="str">
        <f>VLOOKUP(A211,Posters!A211:B1210,2)</f>
        <v>https://m.media-amazon.com/images/M/MV5BMzM5NjUxOTEyMl5BMl5BanBnXkFtZTgwNjEyMDM0MDE@._V1_UX67_CR0,0,67,98_AL_.jpg</v>
      </c>
      <c r="U211" s="8">
        <f>'Inflation Adjusted Gross'!F211</f>
        <v>65177962</v>
      </c>
      <c r="V211" s="5">
        <f t="shared" si="1"/>
        <v>2020</v>
      </c>
    </row>
    <row r="212">
      <c r="A212" s="1">
        <v>211.0</v>
      </c>
      <c r="B212" s="1" t="s">
        <v>1470</v>
      </c>
      <c r="C212" s="6">
        <f>Gross_cleaning!E212</f>
        <v>167767189</v>
      </c>
      <c r="D212" s="1">
        <v>2014.0</v>
      </c>
      <c r="E212" s="1" t="s">
        <v>18</v>
      </c>
      <c r="F212" s="1" t="str">
        <f>VLOOKUP(Filmes_raw!E212,Rating_systems!$A$2:$C$29,3,FALSE)</f>
        <v>Adulto</v>
      </c>
      <c r="G212" s="2">
        <f>Gross_cleaning!F212</f>
        <v>149</v>
      </c>
      <c r="H212" s="1" t="s">
        <v>483</v>
      </c>
      <c r="I212" s="1" t="s">
        <v>527</v>
      </c>
      <c r="J212" s="1">
        <v>8.1</v>
      </c>
      <c r="K212" s="1" t="s">
        <v>1471</v>
      </c>
      <c r="L212" s="1" t="str">
        <f>IFERROR(__xludf.DUMMYFUNCTION("GOOGLETRANSLATE(K212,""en"", ""pt-br"")"),"Com o desaparecimento de sua esposa, tendo se tornado o foco de um intenso circo de mídia, um homem vê os holofotes voltados para ele quando se suspeita que ele não pode ser inocente.")</f>
        <v>Com o desaparecimento de sua esposa, tendo se tornado o foco de um intenso circo de mídia, um homem vê os holofotes voltados para ele quando se suspeita que ele não pode ser inocente.</v>
      </c>
      <c r="M212" s="1">
        <v>79.0</v>
      </c>
      <c r="N212" s="1" t="s">
        <v>97</v>
      </c>
      <c r="O212" s="1" t="s">
        <v>753</v>
      </c>
      <c r="P212" s="1" t="s">
        <v>1472</v>
      </c>
      <c r="Q212" s="1" t="s">
        <v>1473</v>
      </c>
      <c r="R212" s="1" t="s">
        <v>1474</v>
      </c>
      <c r="S212" s="1">
        <v>859695.0</v>
      </c>
      <c r="T212" s="7" t="str">
        <f>VLOOKUP(A212,Posters!A212:B1211,2)</f>
        <v>https://m.media-amazon.com/images/M/MV5BMTk0MDQ3MzAzOV5BMl5BanBnXkFtZTgwNzU1NzE3MjE@._V1_UX67_CR0,0,67,98_AL_.jpg</v>
      </c>
      <c r="U212" s="8">
        <f>'Inflation Adjusted Gross'!F212</f>
        <v>185019706</v>
      </c>
      <c r="V212" s="5">
        <f t="shared" si="1"/>
        <v>2020</v>
      </c>
    </row>
    <row r="213">
      <c r="A213" s="1">
        <v>212.0</v>
      </c>
      <c r="B213" s="1" t="s">
        <v>1475</v>
      </c>
      <c r="C213" s="6">
        <f>Gross_cleaning!E213</f>
        <v>55060661</v>
      </c>
      <c r="D213" s="1">
        <v>2012.0</v>
      </c>
      <c r="E213" s="1" t="s">
        <v>52</v>
      </c>
      <c r="F213" s="1" t="str">
        <f>VLOOKUP(Filmes_raw!E213,Rating_systems!$A$2:$C$29,3,FALSE)</f>
        <v>Criança</v>
      </c>
      <c r="G213" s="2">
        <f>Gross_cleaning!F213</f>
        <v>117</v>
      </c>
      <c r="H213" s="1" t="s">
        <v>466</v>
      </c>
      <c r="I213" s="1" t="s">
        <v>450</v>
      </c>
      <c r="J213" s="1">
        <v>8.1</v>
      </c>
      <c r="K213" s="1" t="s">
        <v>1476</v>
      </c>
      <c r="L213" s="1" t="str">
        <f>IFERROR(__xludf.DUMMYFUNCTION("GOOGLETRANSLATE(K213,""en"", ""pt-br"")"),"Depois que seu amante de lobisomem, inesperadamente, morre em um acidente enquanto caça por comida para seus filhos, uma jovem deve encontrar maneiras de levantar o filho do lobisomem e filha que ela tinha com ele enquanto mantinha seu traço escondido da "&amp;"sociedade.")</f>
        <v>Depois que seu amante de lobisomem, inesperadamente, morre em um acidente enquanto caça por comida para seus filhos, uma jovem deve encontrar maneiras de levantar o filho do lobisomem e filha que ela tinha com ele enquanto mantinha seu traço escondido da sociedade.</v>
      </c>
      <c r="M213" s="1">
        <v>71.0</v>
      </c>
      <c r="N213" s="1" t="s">
        <v>1477</v>
      </c>
      <c r="O213" s="1" t="s">
        <v>1478</v>
      </c>
      <c r="P213" s="1" t="s">
        <v>1479</v>
      </c>
      <c r="Q213" s="1" t="s">
        <v>1480</v>
      </c>
      <c r="R213" s="1" t="s">
        <v>1481</v>
      </c>
      <c r="S213" s="1">
        <v>38803.0</v>
      </c>
      <c r="T213" s="7" t="str">
        <f>VLOOKUP(A213,Posters!A213:B1212,2)</f>
        <v>https://m.media-amazon.com/images/M/MV5BYzQxNDZhNDUtNDUwOC00NjQyLTg2OWUtZWVlYThjYjYyMTc2XkEyXkFqcGdeQXVyNTAyODkwOQ@@._V1_UY98_CR1,0,67,98_AL_.jpg</v>
      </c>
      <c r="U213" s="8">
        <f>'Inflation Adjusted Gross'!F213</f>
        <v>62665404</v>
      </c>
      <c r="V213" s="5">
        <f t="shared" si="1"/>
        <v>2020</v>
      </c>
    </row>
    <row r="214">
      <c r="A214" s="1">
        <v>213.0</v>
      </c>
      <c r="B214" s="1" t="s">
        <v>1482</v>
      </c>
      <c r="C214" s="6">
        <f>Gross_cleaning!E214</f>
        <v>67209615</v>
      </c>
      <c r="D214" s="1">
        <v>2016.0</v>
      </c>
      <c r="E214" s="1" t="s">
        <v>18</v>
      </c>
      <c r="F214" s="1" t="str">
        <f>VLOOKUP(Filmes_raw!E214,Rating_systems!$A$2:$C$29,3,FALSE)</f>
        <v>Adulto</v>
      </c>
      <c r="G214" s="2">
        <f>Gross_cleaning!F214</f>
        <v>139</v>
      </c>
      <c r="H214" s="1" t="s">
        <v>95</v>
      </c>
      <c r="I214" s="1" t="s">
        <v>79</v>
      </c>
      <c r="J214" s="1">
        <v>8.1</v>
      </c>
      <c r="K214" s="1" t="s">
        <v>1483</v>
      </c>
      <c r="L214" s="1" t="str">
        <f>IFERROR(__xludf.DUMMYFUNCTION("GOOGLETRANSLATE(K214,""en"", ""pt-br"")"),"Segunda Guerra Mundial do Exército Americano Desmond T. Doss, que serviu durante a Batalha de Okinawa, se recusa a matar as pessoas, e se torna o primeiro homem da história americana a receber a medalha de honra sem disparar um tiro.")</f>
        <v>Segunda Guerra Mundial do Exército Americano Desmond T. Doss, que serviu durante a Batalha de Okinawa, se recusa a matar as pessoas, e se torna o primeiro homem da história americana a receber a medalha de honra sem disparar um tiro.</v>
      </c>
      <c r="M214" s="1">
        <v>71.0</v>
      </c>
      <c r="N214" s="1" t="s">
        <v>773</v>
      </c>
      <c r="O214" s="1" t="s">
        <v>1484</v>
      </c>
      <c r="P214" s="1" t="s">
        <v>1485</v>
      </c>
      <c r="Q214" s="1" t="s">
        <v>1486</v>
      </c>
      <c r="R214" s="1" t="s">
        <v>1487</v>
      </c>
      <c r="S214" s="1">
        <v>435928.0</v>
      </c>
      <c r="T214" s="7" t="str">
        <f>VLOOKUP(A214,Posters!A214:B1213,2)</f>
        <v>https://m.media-amazon.com/images/M/MV5BMjQ1NjM3MTUxNV5BMl5BanBnXkFtZTgwMDc5MTY5OTE@._V1_UX67_CR0,0,67,98_AL_.jpg</v>
      </c>
      <c r="U214" s="8">
        <f>'Inflation Adjusted Gross'!F214</f>
        <v>73182611</v>
      </c>
      <c r="V214" s="5">
        <f t="shared" si="1"/>
        <v>2020</v>
      </c>
    </row>
    <row r="215">
      <c r="A215" s="1">
        <v>214.0</v>
      </c>
      <c r="B215" s="1" t="s">
        <v>1488</v>
      </c>
      <c r="C215" s="6">
        <f>Gross_cleaning!E215</f>
        <v>356461711</v>
      </c>
      <c r="D215" s="1">
        <v>2015.0</v>
      </c>
      <c r="E215" s="1" t="s">
        <v>52</v>
      </c>
      <c r="F215" s="1" t="str">
        <f>VLOOKUP(Filmes_raw!E215,Rating_systems!$A$2:$C$29,3,FALSE)</f>
        <v>Criança</v>
      </c>
      <c r="G215" s="2">
        <f>Gross_cleaning!F215</f>
        <v>95</v>
      </c>
      <c r="H215" s="1" t="s">
        <v>601</v>
      </c>
      <c r="I215" s="1" t="s">
        <v>765</v>
      </c>
      <c r="J215" s="1">
        <v>8.1</v>
      </c>
      <c r="K215" s="1" t="s">
        <v>1489</v>
      </c>
      <c r="L215" s="1" t="str">
        <f>IFERROR(__xludf.DUMMYFUNCTION("GOOGLETRANSLATE(K215,""en"", ""pt-br"")"),"Depois que o jovem Riley é desenraizado de sua vida mid inheste e mudou-se para São Francisco, suas emoções - alegria, medo, raiva, desgosto e tristeza - conflito sobre a melhor maneira de navegar em uma nova cidade, casa e escola.")</f>
        <v>Depois que o jovem Riley é desenraizado de sua vida mid inheste e mudou-se para São Francisco, suas emoções - alegria, medo, raiva, desgosto e tristeza - conflito sobre a melhor maneira de navegar em uma nova cidade, casa e escola.</v>
      </c>
      <c r="M215" s="1">
        <v>94.0</v>
      </c>
      <c r="N215" s="1" t="s">
        <v>1071</v>
      </c>
      <c r="O215" s="1" t="s">
        <v>1490</v>
      </c>
      <c r="P215" s="1" t="s">
        <v>1491</v>
      </c>
      <c r="Q215" s="1" t="s">
        <v>1492</v>
      </c>
      <c r="R215" s="1" t="s">
        <v>1493</v>
      </c>
      <c r="S215" s="1">
        <v>616228.0</v>
      </c>
      <c r="T215" s="7" t="str">
        <f>VLOOKUP(A215,Posters!A215:B1214,2)</f>
        <v>https://m.media-amazon.com/images/M/MV5BOTgxMDQwMDk0OF5BMl5BanBnXkFtZTgwNjU5OTg2NDE@._V1_UX67_CR0,0,67,98_AL_.jpg</v>
      </c>
      <c r="U215" s="8">
        <f>'Inflation Adjusted Gross'!F215</f>
        <v>393470389</v>
      </c>
      <c r="V215" s="5">
        <f t="shared" si="1"/>
        <v>2020</v>
      </c>
    </row>
    <row r="216">
      <c r="A216" s="1">
        <v>215.0</v>
      </c>
      <c r="B216" s="1" t="s">
        <v>1494</v>
      </c>
      <c r="C216" s="6">
        <f>Gross_cleaning!E216</f>
        <v>2804874</v>
      </c>
      <c r="D216" s="1">
        <v>2012.0</v>
      </c>
      <c r="E216" s="1" t="s">
        <v>52</v>
      </c>
      <c r="F216" s="1" t="str">
        <f>VLOOKUP(Filmes_raw!E216,Rating_systems!$A$2:$C$29,3,FALSE)</f>
        <v>Criança</v>
      </c>
      <c r="G216" s="2">
        <f>Gross_cleaning!F216</f>
        <v>151</v>
      </c>
      <c r="H216" s="1" t="s">
        <v>309</v>
      </c>
      <c r="I216" s="1" t="s">
        <v>227</v>
      </c>
      <c r="J216" s="1">
        <v>8.1</v>
      </c>
      <c r="K216" s="1" t="s">
        <v>1495</v>
      </c>
      <c r="L216" s="1" t="str">
        <f>IFERROR(__xludf.DUMMYFUNCTION("GOOGLETRANSLATE(K216,""en"", ""pt-br"")"),"Três jovens aprendem que o amor não pode ser definido nem contido pela definição da sociedade de normal e anormal.")</f>
        <v>Três jovens aprendem que o amor não pode ser definido nem contido pela definição da sociedade de normal e anormal.</v>
      </c>
      <c r="N216" s="1" t="s">
        <v>1496</v>
      </c>
      <c r="O216" s="1" t="s">
        <v>1497</v>
      </c>
      <c r="P216" s="1" t="s">
        <v>1498</v>
      </c>
      <c r="Q216" s="1" t="s">
        <v>1499</v>
      </c>
      <c r="R216" s="1" t="s">
        <v>1500</v>
      </c>
      <c r="S216" s="1">
        <v>75721.0</v>
      </c>
      <c r="T216" s="7" t="str">
        <f>VLOOKUP(A216,Posters!A216:B1215,2)</f>
        <v>https://m.media-amazon.com/images/M/MV5BMTQzMTEyODY2Ml5BMl5BanBnXkFtZTgwMjA0MDUyMjE@._V1_UY98_CR0,0,67,98_AL_.jpg</v>
      </c>
      <c r="U216" s="8">
        <f>'Inflation Adjusted Gross'!F216</f>
        <v>3192271</v>
      </c>
      <c r="V216" s="5">
        <f t="shared" si="1"/>
        <v>2020</v>
      </c>
    </row>
    <row r="217">
      <c r="A217" s="1">
        <v>216.0</v>
      </c>
      <c r="B217" s="1" t="s">
        <v>1501</v>
      </c>
      <c r="C217" s="6">
        <f>Gross_cleaning!E217</f>
        <v>56671993</v>
      </c>
      <c r="D217" s="1">
        <v>2013.0</v>
      </c>
      <c r="E217" s="1" t="s">
        <v>18</v>
      </c>
      <c r="F217" s="1" t="str">
        <f>VLOOKUP(Filmes_raw!E217,Rating_systems!$A$2:$C$29,3,FALSE)</f>
        <v>Adulto</v>
      </c>
      <c r="G217" s="2">
        <f>Gross_cleaning!F217</f>
        <v>134</v>
      </c>
      <c r="H217" s="1" t="s">
        <v>550</v>
      </c>
      <c r="I217" s="1" t="s">
        <v>79</v>
      </c>
      <c r="J217" s="1">
        <v>8.1</v>
      </c>
      <c r="K217" s="1" t="s">
        <v>1502</v>
      </c>
      <c r="L217" s="1" t="str">
        <f>IFERROR(__xludf.DUMMYFUNCTION("GOOGLETRANSLATE(K217,""en"", ""pt-br"")"),"No Antebellum Estados Unidos, Solomon Northup, um homem negro livre do Upstate New York, é sequestrado e vendido na escravidão.")</f>
        <v>No Antebellum Estados Unidos, Solomon Northup, um homem negro livre do Upstate New York, é sequestrado e vendido na escravidão.</v>
      </c>
      <c r="M217" s="1">
        <v>96.0</v>
      </c>
      <c r="N217" s="1" t="s">
        <v>1272</v>
      </c>
      <c r="O217" s="1" t="s">
        <v>1503</v>
      </c>
      <c r="P217" s="1" t="s">
        <v>1504</v>
      </c>
      <c r="Q217" s="1" t="s">
        <v>1505</v>
      </c>
      <c r="R217" s="1" t="s">
        <v>98</v>
      </c>
      <c r="S217" s="1">
        <v>640533.0</v>
      </c>
      <c r="T217" s="7" t="str">
        <f>VLOOKUP(A217,Posters!A217:B1216,2)</f>
        <v>https://m.media-amazon.com/images/M/MV5BMjExMTEzODkyN15BMl5BanBnXkFtZTcwNTU4NTc4OQ@@._V1_UX67_CR0,0,67,98_AL_.jpg</v>
      </c>
      <c r="U217" s="8">
        <f>'Inflation Adjusted Gross'!F217</f>
        <v>63486758</v>
      </c>
      <c r="V217" s="5">
        <f t="shared" si="1"/>
        <v>2020</v>
      </c>
    </row>
    <row r="218">
      <c r="A218" s="1">
        <v>217.0</v>
      </c>
      <c r="B218" s="1" t="s">
        <v>1506</v>
      </c>
      <c r="C218" s="6">
        <f>Gross_cleaning!E218</f>
        <v>26947624</v>
      </c>
      <c r="D218" s="1">
        <v>2013.0</v>
      </c>
      <c r="E218" s="1" t="s">
        <v>37</v>
      </c>
      <c r="F218" s="1" t="str">
        <f>VLOOKUP(Filmes_raw!E218,Rating_systems!$A$2:$C$29,3,FALSE)</f>
        <v>Criança</v>
      </c>
      <c r="G218" s="2">
        <f>Gross_cleaning!F218</f>
        <v>123</v>
      </c>
      <c r="H218" s="1" t="s">
        <v>678</v>
      </c>
      <c r="I218" s="1" t="s">
        <v>458</v>
      </c>
      <c r="J218" s="1">
        <v>8.1</v>
      </c>
      <c r="K218" s="1" t="s">
        <v>1507</v>
      </c>
      <c r="L218" s="1" t="str">
        <f>IFERROR(__xludf.DUMMYFUNCTION("GOOGLETRANSLATE(K218,""en"", ""pt-br"")"),"A rivalidade impiedosa da década de 1970 entre os rivais de Fórmula 1 James Hunt e Niki Lauda.")</f>
        <v>A rivalidade impiedosa da década de 1970 entre os rivais de Fórmula 1 James Hunt e Niki Lauda.</v>
      </c>
      <c r="M218" s="1">
        <v>74.0</v>
      </c>
      <c r="N218" s="1" t="s">
        <v>1150</v>
      </c>
      <c r="O218" s="1" t="s">
        <v>1508</v>
      </c>
      <c r="P218" s="1" t="s">
        <v>485</v>
      </c>
      <c r="Q218" s="1" t="s">
        <v>1509</v>
      </c>
      <c r="R218" s="1" t="s">
        <v>1138</v>
      </c>
      <c r="S218" s="1">
        <v>432811.0</v>
      </c>
      <c r="T218" s="7" t="str">
        <f>VLOOKUP(A218,Posters!A218:B1217,2)</f>
        <v>https://m.media-amazon.com/images/M/MV5BOWEwODJmZDItYTNmZC00OGM4LThlNDktOTQzZjIzMGQxODA4XkEyXkFqcGdeQXVyNjU0OTQ0OTY@._V1_UX67_CR0,0,67,98_AL_.jpg</v>
      </c>
      <c r="U218" s="8">
        <f>'Inflation Adjusted Gross'!F218</f>
        <v>30188056</v>
      </c>
      <c r="V218" s="5">
        <f t="shared" si="1"/>
        <v>2020</v>
      </c>
    </row>
    <row r="219">
      <c r="A219" s="1">
        <v>218.0</v>
      </c>
      <c r="B219" s="1" t="s">
        <v>1510</v>
      </c>
      <c r="C219" s="6">
        <f>Gross_cleaning!E219</f>
        <v>117624028</v>
      </c>
      <c r="D219" s="1">
        <v>2019.0</v>
      </c>
      <c r="E219" s="1" t="s">
        <v>37</v>
      </c>
      <c r="F219" s="1" t="str">
        <f>VLOOKUP(Filmes_raw!E219,Rating_systems!$A$2:$C$29,3,FALSE)</f>
        <v>Criança</v>
      </c>
      <c r="G219" s="2">
        <f>Gross_cleaning!F219</f>
        <v>152</v>
      </c>
      <c r="H219" s="1" t="s">
        <v>38</v>
      </c>
      <c r="I219" s="1" t="s">
        <v>458</v>
      </c>
      <c r="J219" s="1">
        <v>8.1</v>
      </c>
      <c r="K219" s="1" t="s">
        <v>1511</v>
      </c>
      <c r="L219" s="1" t="str">
        <f>IFERROR(__xludf.DUMMYFUNCTION("GOOGLETRANSLATE(K219,""en"", ""pt-br"")"),"American Car Designer Carroll Shelby e Driver Ken Miles Battle Interferência Corporativa e as leis da física para construir um carro de corrida revolucionário para a Ford, a fim de derrotar a Ferrari nas 24 horas de Le Mans em 1966.")</f>
        <v>American Car Designer Carroll Shelby e Driver Ken Miles Battle Interferência Corporativa e as leis da física para construir um carro de corrida revolucionário para a Ford, a fim de derrotar a Ferrari nas 24 horas de Le Mans em 1966.</v>
      </c>
      <c r="M219" s="1">
        <v>81.0</v>
      </c>
      <c r="N219" s="1" t="s">
        <v>1420</v>
      </c>
      <c r="O219" s="1" t="s">
        <v>215</v>
      </c>
      <c r="P219" s="1" t="s">
        <v>42</v>
      </c>
      <c r="Q219" s="1" t="s">
        <v>1512</v>
      </c>
      <c r="R219" s="1" t="s">
        <v>1513</v>
      </c>
      <c r="S219" s="1">
        <v>291289.0</v>
      </c>
      <c r="T219" s="7" t="str">
        <f>VLOOKUP(A219,Posters!A219:B1218,2)</f>
        <v>https://m.media-amazon.com/images/M/MV5BM2UwMDVmMDItM2I2Yi00NGZmLTk4ZTUtY2JjNTQ3OGQ5ZjM2XkEyXkFqcGdeQXVyMTA1OTYzOTUx._V1_UX67_CR0,0,67,98_AL_.jpg</v>
      </c>
      <c r="U219" s="8">
        <f>'Inflation Adjusted Gross'!F219</f>
        <v>120548834</v>
      </c>
      <c r="V219" s="5">
        <f t="shared" si="1"/>
        <v>2020</v>
      </c>
    </row>
    <row r="220">
      <c r="A220" s="1">
        <v>219.0</v>
      </c>
      <c r="B220" s="1" t="s">
        <v>1514</v>
      </c>
      <c r="C220" s="6">
        <f>Gross_cleaning!E220</f>
        <v>45055776</v>
      </c>
      <c r="D220" s="1">
        <v>2015.0</v>
      </c>
      <c r="E220" s="1" t="s">
        <v>18</v>
      </c>
      <c r="F220" s="1" t="str">
        <f>VLOOKUP(Filmes_raw!E220,Rating_systems!$A$2:$C$29,3,FALSE)</f>
        <v>Adulto</v>
      </c>
      <c r="G220" s="2">
        <f>Gross_cleaning!F220</f>
        <v>129</v>
      </c>
      <c r="H220" s="1" t="s">
        <v>830</v>
      </c>
      <c r="I220" s="1" t="s">
        <v>137</v>
      </c>
      <c r="J220" s="1">
        <v>8.1</v>
      </c>
      <c r="K220" s="1" t="s">
        <v>1515</v>
      </c>
      <c r="L220" s="1" t="str">
        <f>IFERROR(__xludf.DUMMYFUNCTION("GOOGLETRANSLATE(K220,""en"", ""pt-br"")"),"A verdadeira história de como o globo de Boston descobriu o enorme escândalo de molestação infantil e encobrir dentro da arquidiocese católica local, sacudindo toda a Igreja Católica ao seu núcleo.")</f>
        <v>A verdadeira história de como o globo de Boston descobriu o enorme escândalo de molestação infantil e encobrir dentro da arquidiocese católica local, sacudindo toda a Igreja Católica ao seu núcleo.</v>
      </c>
      <c r="M220" s="1">
        <v>93.0</v>
      </c>
      <c r="N220" s="1" t="s">
        <v>1516</v>
      </c>
      <c r="O220" s="1" t="s">
        <v>481</v>
      </c>
      <c r="P220" s="1" t="s">
        <v>1517</v>
      </c>
      <c r="Q220" s="1" t="s">
        <v>1518</v>
      </c>
      <c r="R220" s="1" t="s">
        <v>1519</v>
      </c>
      <c r="S220" s="1">
        <v>420316.0</v>
      </c>
      <c r="T220" s="7" t="str">
        <f>VLOOKUP(A220,Posters!A220:B1219,2)</f>
        <v>https://m.media-amazon.com/images/M/MV5BMjIyOTM5OTIzNV5BMl5BanBnXkFtZTgwMDkzODE2NjE@._V1_UX67_CR0,0,67,98_AL_.jpg</v>
      </c>
      <c r="U220" s="8">
        <f>'Inflation Adjusted Gross'!F220</f>
        <v>49733571</v>
      </c>
      <c r="V220" s="5">
        <f t="shared" si="1"/>
        <v>2020</v>
      </c>
    </row>
    <row r="221">
      <c r="A221" s="1">
        <v>220.0</v>
      </c>
      <c r="B221" s="1" t="s">
        <v>1520</v>
      </c>
      <c r="C221" s="6">
        <f>Gross_cleaning!E221</f>
        <v>857524</v>
      </c>
      <c r="D221" s="1">
        <v>2014.0</v>
      </c>
      <c r="E221" s="1" t="s">
        <v>270</v>
      </c>
      <c r="F221" s="1" t="str">
        <f>VLOOKUP(Filmes_raw!E221,Rating_systems!$A$2:$C$29,3,FALSE)</f>
        <v>Criança</v>
      </c>
      <c r="G221" s="2">
        <f>Gross_cleaning!F221</f>
        <v>93</v>
      </c>
      <c r="H221" s="1" t="s">
        <v>1521</v>
      </c>
      <c r="I221" s="1" t="s">
        <v>352</v>
      </c>
      <c r="J221" s="1">
        <v>8.1</v>
      </c>
      <c r="K221" s="1" t="s">
        <v>1522</v>
      </c>
      <c r="L221" s="1" t="str">
        <f>IFERROR(__xludf.DUMMYFUNCTION("GOOGLETRANSLATE(K221,""en"", ""pt-br"")"),"Ben, um jovem garoto irlandês, e sua irmãzinha Saoirse, uma garota que pode se transformar em um selo, ir em uma aventura para libertar as fadas e salvar o mundo espiritual.")</f>
        <v>Ben, um jovem garoto irlandês, e sua irmãzinha Saoirse, uma garota que pode se transformar em um selo, ir em uma aventura para libertar as fadas e salvar o mundo espiritual.</v>
      </c>
      <c r="M221" s="1">
        <v>85.0</v>
      </c>
      <c r="N221" s="1" t="s">
        <v>1523</v>
      </c>
      <c r="O221" s="1" t="s">
        <v>1524</v>
      </c>
      <c r="P221" s="1" t="s">
        <v>1525</v>
      </c>
      <c r="Q221" s="1" t="s">
        <v>1526</v>
      </c>
      <c r="R221" s="1" t="s">
        <v>1527</v>
      </c>
      <c r="S221" s="1">
        <v>51679.0</v>
      </c>
      <c r="T221" s="7" t="str">
        <f>VLOOKUP(A221,Posters!A221:B1220,2)</f>
        <v>https://m.media-amazon.com/images/M/MV5BMTQ2MDMwNjEwNV5BMl5BanBnXkFtZTgwOTkxMzI0MzE@._V1_UY98_CR0,0,67,98_AL_.jpg</v>
      </c>
      <c r="U221" s="8">
        <f>'Inflation Adjusted Gross'!F221</f>
        <v>945708</v>
      </c>
      <c r="V221" s="5">
        <f t="shared" si="1"/>
        <v>2020</v>
      </c>
    </row>
    <row r="222">
      <c r="A222" s="1">
        <v>221.0</v>
      </c>
      <c r="B222" s="1" t="s">
        <v>1528</v>
      </c>
      <c r="C222" s="6">
        <f>Gross_cleaning!E222</f>
        <v>1035953</v>
      </c>
      <c r="D222" s="1">
        <v>2012.0</v>
      </c>
      <c r="E222" s="1" t="s">
        <v>37</v>
      </c>
      <c r="F222" s="1" t="str">
        <f>VLOOKUP(Filmes_raw!E222,Rating_systems!$A$2:$C$29,3,FALSE)</f>
        <v>Criança</v>
      </c>
      <c r="G222" s="2">
        <f>Gross_cleaning!F222</f>
        <v>122</v>
      </c>
      <c r="H222" s="1" t="s">
        <v>279</v>
      </c>
      <c r="I222" s="1" t="s">
        <v>544</v>
      </c>
      <c r="J222" s="1">
        <v>8.1</v>
      </c>
      <c r="K222" s="1" t="s">
        <v>1529</v>
      </c>
      <c r="L222" s="1" t="str">
        <f>IFERROR(__xludf.DUMMYFUNCTION("GOOGLETRANSLATE(K222,""en"", ""pt-br"")"),"A busca de uma mulher grávida por seu marido desaparecida a leva de Londres para Kolkata, mas todo mundo que ela perguntas nega ter encontrado ele.")</f>
        <v>A busca de uma mulher grávida por seu marido desaparecida a leva de Londres para Kolkata, mas todo mundo que ela perguntas nega ter encontrado ele.</v>
      </c>
      <c r="N222" s="1" t="s">
        <v>1530</v>
      </c>
      <c r="O222" s="1" t="s">
        <v>1531</v>
      </c>
      <c r="P222" s="1" t="s">
        <v>1532</v>
      </c>
      <c r="Q222" s="1" t="s">
        <v>1533</v>
      </c>
      <c r="R222" s="1" t="s">
        <v>1034</v>
      </c>
      <c r="S222" s="1">
        <v>57806.0</v>
      </c>
      <c r="T222" s="7" t="str">
        <f>VLOOKUP(A222,Posters!A222:B1221,2)</f>
        <v>https://m.media-amazon.com/images/M/MV5BMTQ1NDI0NzkyOF5BMl5BanBnXkFtZTcwNzAyNzE2Nw@@._V1_UY98_CR0,0,67,98_AL_.jpg</v>
      </c>
      <c r="U222" s="8">
        <f>'Inflation Adjusted Gross'!F222</f>
        <v>1179034</v>
      </c>
      <c r="V222" s="5">
        <f t="shared" si="1"/>
        <v>2020</v>
      </c>
    </row>
    <row r="223">
      <c r="A223" s="1">
        <v>222.0</v>
      </c>
      <c r="B223" s="1" t="s">
        <v>1534</v>
      </c>
      <c r="C223" s="6">
        <f>Gross_cleaning!E223</f>
        <v>3108485</v>
      </c>
      <c r="D223" s="1">
        <v>2011.0</v>
      </c>
      <c r="E223" s="1" t="s">
        <v>52</v>
      </c>
      <c r="F223" s="1" t="str">
        <f>VLOOKUP(Filmes_raw!E223,Rating_systems!$A$2:$C$29,3,FALSE)</f>
        <v>Criança</v>
      </c>
      <c r="G223" s="2">
        <f>Gross_cleaning!F223</f>
        <v>155</v>
      </c>
      <c r="H223" s="1" t="s">
        <v>322</v>
      </c>
      <c r="I223" s="1" t="s">
        <v>507</v>
      </c>
      <c r="J223" s="1">
        <v>8.1</v>
      </c>
      <c r="K223" s="1" t="s">
        <v>1535</v>
      </c>
      <c r="L223" s="1" t="str">
        <f>IFERROR(__xludf.DUMMYFUNCTION("GOOGLETRANSLATE(K223,""en"", ""pt-br"")"),"Três amigos decidem transformar suas férias de fantasia em realidade depois que um dos seus amigos se encaixam.")</f>
        <v>Três amigos decidem transformar suas férias de fantasia em realidade depois que um dos seus amigos se encaixam.</v>
      </c>
      <c r="N223" s="1" t="s">
        <v>1536</v>
      </c>
      <c r="O223" s="1" t="s">
        <v>1537</v>
      </c>
      <c r="P223" s="1" t="s">
        <v>1023</v>
      </c>
      <c r="Q223" s="1" t="s">
        <v>1538</v>
      </c>
      <c r="R223" s="1" t="s">
        <v>1539</v>
      </c>
      <c r="S223" s="1">
        <v>67927.0</v>
      </c>
      <c r="T223" s="7" t="str">
        <f>VLOOKUP(A223,Posters!A223:B1222,2)</f>
        <v>https://m.media-amazon.com/images/M/MV5BZGFmMjM5OWMtZTRiNC00ODhlLThlYTItYTcyZDMyYmMyYjFjXkEyXkFqcGdeQXVyNDUzOTQ5MjY@._V1_UY98_CR0,0,67,98_AL_.jpg</v>
      </c>
      <c r="U223" s="8">
        <f>'Inflation Adjusted Gross'!F223</f>
        <v>3641304</v>
      </c>
      <c r="V223" s="5">
        <f t="shared" si="1"/>
        <v>2020</v>
      </c>
    </row>
    <row r="224">
      <c r="A224" s="1">
        <v>223.0</v>
      </c>
      <c r="B224" s="1" t="s">
        <v>1540</v>
      </c>
      <c r="C224" s="6">
        <f>Gross_cleaning!E224</f>
        <v>61002302</v>
      </c>
      <c r="D224" s="1">
        <v>2013.0</v>
      </c>
      <c r="E224" s="1" t="s">
        <v>18</v>
      </c>
      <c r="F224" s="1" t="str">
        <f>VLOOKUP(Filmes_raw!E224,Rating_systems!$A$2:$C$29,3,FALSE)</f>
        <v>Adulto</v>
      </c>
      <c r="G224" s="2">
        <f>Gross_cleaning!F224</f>
        <v>153</v>
      </c>
      <c r="H224" s="1" t="s">
        <v>179</v>
      </c>
      <c r="I224" s="1" t="s">
        <v>235</v>
      </c>
      <c r="J224" s="1">
        <v>8.1</v>
      </c>
      <c r="K224" s="1" t="s">
        <v>1541</v>
      </c>
      <c r="L224" s="1" t="str">
        <f>IFERROR(__xludf.DUMMYFUNCTION("GOOGLETRANSLATE(K224,""en"", ""pt-br"")"),"Quando a filha de Keller Dover e sua amiga desaparecem, ele assume assuntos em suas próprias mãos à medida que a polícia busca vários leads e as montagens de pressão.")</f>
        <v>Quando a filha de Keller Dover e sua amiga desaparecem, ele assume assuntos em suas próprias mãos à medida que a polícia busca vários leads e as montagens de pressão.</v>
      </c>
      <c r="M224" s="1">
        <v>70.0</v>
      </c>
      <c r="N224" s="1" t="s">
        <v>688</v>
      </c>
      <c r="O224" s="1" t="s">
        <v>306</v>
      </c>
      <c r="P224" s="1" t="s">
        <v>1542</v>
      </c>
      <c r="Q224" s="1" t="s">
        <v>1543</v>
      </c>
      <c r="R224" s="1" t="s">
        <v>1544</v>
      </c>
      <c r="S224" s="1">
        <v>601149.0</v>
      </c>
      <c r="T224" s="7" t="str">
        <f>VLOOKUP(A224,Posters!A224:B1223,2)</f>
        <v>https://m.media-amazon.com/images/M/MV5BMTg0NTIzMjQ1NV5BMl5BanBnXkFtZTcwNDc3MzM5OQ@@._V1_UX67_CR0,0,67,98_AL_.jpg</v>
      </c>
      <c r="U224" s="8">
        <f>'Inflation Adjusted Gross'!F224</f>
        <v>68337784</v>
      </c>
      <c r="V224" s="5">
        <f t="shared" si="1"/>
        <v>2020</v>
      </c>
    </row>
    <row r="225">
      <c r="A225" s="1">
        <v>224.0</v>
      </c>
      <c r="B225" s="1" t="s">
        <v>1545</v>
      </c>
      <c r="C225" s="6">
        <f>Gross_cleaning!E225</f>
        <v>154058340</v>
      </c>
      <c r="D225" s="1">
        <v>2015.0</v>
      </c>
      <c r="E225" s="1" t="s">
        <v>37</v>
      </c>
      <c r="F225" s="1" t="str">
        <f>VLOOKUP(Filmes_raw!E225,Rating_systems!$A$2:$C$29,3,FALSE)</f>
        <v>Criança</v>
      </c>
      <c r="G225" s="2">
        <f>Gross_cleaning!F225</f>
        <v>120</v>
      </c>
      <c r="H225" s="1" t="s">
        <v>1546</v>
      </c>
      <c r="I225" s="1" t="s">
        <v>88</v>
      </c>
      <c r="J225" s="1">
        <v>8.1</v>
      </c>
      <c r="K225" s="1" t="s">
        <v>1547</v>
      </c>
      <c r="L225" s="1" t="str">
        <f>IFERROR(__xludf.DUMMYFUNCTION("GOOGLETRANSLATE(K225,""en"", ""pt-br"")"),"Em um deserto pós-apocalíptico, uma mulher se rebela contra um governante tirânico em busca de sua terra natal com a ajuda de um grupo de prisioneiros femininos, um adorador psicótico, e um vagabundo chamado Max.")</f>
        <v>Em um deserto pós-apocalíptico, uma mulher se rebela contra um governante tirânico em busca de sua terra natal com a ajuda de um grupo de prisioneiros femininos, um adorador psicótico, e um vagabundo chamado Max.</v>
      </c>
      <c r="M225" s="1">
        <v>90.0</v>
      </c>
      <c r="N225" s="1" t="s">
        <v>1548</v>
      </c>
      <c r="O225" s="1" t="s">
        <v>504</v>
      </c>
      <c r="P225" s="1" t="s">
        <v>1549</v>
      </c>
      <c r="Q225" s="1" t="s">
        <v>1550</v>
      </c>
      <c r="R225" s="1" t="s">
        <v>1551</v>
      </c>
      <c r="S225" s="1">
        <v>882316.0</v>
      </c>
      <c r="T225" s="7" t="str">
        <f>VLOOKUP(A225,Posters!A225:B1224,2)</f>
        <v>https://m.media-amazon.com/images/M/MV5BN2EwM2I5OWMtMGQyMi00Zjg1LWJkNTctZTdjYTA4OGUwZjMyXkEyXkFqcGdeQXVyMTMxODk2OTU@._V1_UX67_CR0,0,67,98_AL_.jpg</v>
      </c>
      <c r="U225" s="8">
        <f>'Inflation Adjusted Gross'!F225</f>
        <v>170053033</v>
      </c>
      <c r="V225" s="5">
        <f t="shared" si="1"/>
        <v>2020</v>
      </c>
    </row>
    <row r="226">
      <c r="A226" s="1">
        <v>225.0</v>
      </c>
      <c r="B226" s="1" t="s">
        <v>1552</v>
      </c>
      <c r="C226" s="6">
        <f>Gross_cleaning!E226</f>
        <v>3256911</v>
      </c>
      <c r="D226" s="1">
        <v>2008.0</v>
      </c>
      <c r="E226" s="1" t="s">
        <v>37</v>
      </c>
      <c r="F226" s="1" t="str">
        <f>VLOOKUP(Filmes_raw!E226,Rating_systems!$A$2:$C$29,3,FALSE)</f>
        <v>Criança</v>
      </c>
      <c r="G226" s="2">
        <f>Gross_cleaning!F226</f>
        <v>104</v>
      </c>
      <c r="H226" s="1" t="s">
        <v>647</v>
      </c>
      <c r="I226" s="1" t="s">
        <v>39</v>
      </c>
      <c r="J226" s="1">
        <v>8.1</v>
      </c>
      <c r="K226" s="1" t="s">
        <v>1553</v>
      </c>
      <c r="L226" s="1" t="str">
        <f>IFERROR(__xludf.DUMMYFUNCTION("GOOGLETRANSLATE(K226,""en"", ""pt-br"")"),"Um policial aposentado lembra o dia mais surpreendente de sua carreira. Sobre um caso que nunca foi arquivado, mas continua a assombrá-lo em suas memórias - o caso de um homem e uma quarta-feira.")</f>
        <v>Um policial aposentado lembra o dia mais surpreendente de sua carreira. Sobre um caso que nunca foi arquivado, mas continua a assombrá-lo em suas memórias - o caso de um homem e uma quarta-feira.</v>
      </c>
      <c r="N226" s="1" t="s">
        <v>1554</v>
      </c>
      <c r="O226" s="1" t="s">
        <v>1555</v>
      </c>
      <c r="P226" s="1" t="s">
        <v>1556</v>
      </c>
      <c r="Q226" s="1" t="s">
        <v>1557</v>
      </c>
      <c r="R226" s="1" t="s">
        <v>1558</v>
      </c>
      <c r="S226" s="1">
        <v>73891.0</v>
      </c>
      <c r="T226" s="7" t="str">
        <f>VLOOKUP(A226,Posters!A226:B1225,2)</f>
        <v>https://m.media-amazon.com/images/M/MV5BOTcwMzdiMWItMjZlOS00MzAzLTg5OTItNTA4OGYyMjBhMmRiXkEyXkFqcGdeQXVyODE5NzE3OTE@._V1_UY98_CR1,0,67,98_AL_.jpg</v>
      </c>
      <c r="U226" s="8">
        <f>'Inflation Adjusted Gross'!F226</f>
        <v>3980427</v>
      </c>
      <c r="V226" s="5">
        <f t="shared" si="1"/>
        <v>2020</v>
      </c>
    </row>
    <row r="227">
      <c r="A227" s="1">
        <v>226.0</v>
      </c>
      <c r="B227" s="1" t="s">
        <v>1559</v>
      </c>
      <c r="C227" s="6">
        <f>Gross_cleaning!E227</f>
        <v>148095302</v>
      </c>
      <c r="D227" s="1">
        <v>2008.0</v>
      </c>
      <c r="E227" s="1" t="s">
        <v>212</v>
      </c>
      <c r="F227" s="1" t="str">
        <f>VLOOKUP(Filmes_raw!E227,Rating_systems!$A$2:$C$29,3,FALSE)</f>
        <v>Adulto</v>
      </c>
      <c r="G227" s="2">
        <f>Gross_cleaning!F227</f>
        <v>116</v>
      </c>
      <c r="H227" s="1" t="s">
        <v>226</v>
      </c>
      <c r="I227" s="1" t="s">
        <v>20</v>
      </c>
      <c r="J227" s="1">
        <v>8.1</v>
      </c>
      <c r="K227" s="1" t="s">
        <v>1560</v>
      </c>
      <c r="L227" s="1" t="str">
        <f>IFERROR(__xludf.DUMMYFUNCTION("GOOGLETRANSLATE(K227,""en"", ""pt-br"")"),"A Walt Kowalski desgrenhado da Guerra Coreana se propõe a reformar seu vizinho, Thao Lor, um adolescente de Hmong que tentou roubar a posse premiada de Kowalski: um Gran Torino de 1972.")</f>
        <v>A Walt Kowalski desgrenhado da Guerra Coreana se propõe a reformar seu vizinho, Thao Lor, um adolescente de Hmong que tentou roubar a posse premiada de Kowalski: um Gran Torino de 1972.</v>
      </c>
      <c r="M227" s="1">
        <v>72.0</v>
      </c>
      <c r="N227" s="1" t="s">
        <v>119</v>
      </c>
      <c r="O227" s="1" t="s">
        <v>119</v>
      </c>
      <c r="P227" s="1" t="s">
        <v>1561</v>
      </c>
      <c r="Q227" s="1" t="s">
        <v>1562</v>
      </c>
      <c r="R227" s="1" t="s">
        <v>1563</v>
      </c>
      <c r="S227" s="1">
        <v>720450.0</v>
      </c>
      <c r="T227" s="7" t="str">
        <f>VLOOKUP(A227,Posters!A227:B1226,2)</f>
        <v>https://m.media-amazon.com/images/M/MV5BMTc5NTk2OTU1Nl5BMl5BanBnXkFtZTcwMDc3NjAwMg@@._V1_UX67_CR0,0,67,98_AL_.jpg</v>
      </c>
      <c r="U227" s="8">
        <f>'Inflation Adjusted Gross'!F227</f>
        <v>180994377</v>
      </c>
      <c r="V227" s="5">
        <f t="shared" si="1"/>
        <v>2020</v>
      </c>
    </row>
    <row r="228">
      <c r="A228" s="1">
        <v>227.0</v>
      </c>
      <c r="B228" s="1" t="s">
        <v>1564</v>
      </c>
      <c r="C228" s="6">
        <f>Gross_cleaning!E228</f>
        <v>381011219</v>
      </c>
      <c r="D228" s="1">
        <v>2011.0</v>
      </c>
      <c r="E228" s="1" t="s">
        <v>37</v>
      </c>
      <c r="F228" s="1" t="str">
        <f>VLOOKUP(Filmes_raw!E228,Rating_systems!$A$2:$C$29,3,FALSE)</f>
        <v>Criança</v>
      </c>
      <c r="G228" s="2">
        <f>Gross_cleaning!F228</f>
        <v>130</v>
      </c>
      <c r="H228" s="1" t="s">
        <v>195</v>
      </c>
      <c r="I228" s="1" t="s">
        <v>1565</v>
      </c>
      <c r="J228" s="1">
        <v>8.1</v>
      </c>
      <c r="K228" s="1" t="s">
        <v>1566</v>
      </c>
      <c r="L228" s="1" t="str">
        <f>IFERROR(__xludf.DUMMYFUNCTION("GOOGLETRANSLATE(K228,""en"", ""pt-br"")"),"Harry, Ron e Hermione buscam os Horcruxes remanescentes de Voldemort em seu esforço para destruir o Senhor das Trevas enquanto a batalha final se enfrentam em Hogwarts.")</f>
        <v>Harry, Ron e Hermione buscam os Horcruxes remanescentes de Voldemort em seu esforço para destruir o Senhor das Trevas enquanto a batalha final se enfrentam em Hogwarts.</v>
      </c>
      <c r="M228" s="1">
        <v>85.0</v>
      </c>
      <c r="N228" s="1" t="s">
        <v>1567</v>
      </c>
      <c r="O228" s="1" t="s">
        <v>1568</v>
      </c>
      <c r="P228" s="1" t="s">
        <v>1569</v>
      </c>
      <c r="Q228" s="1" t="s">
        <v>1570</v>
      </c>
      <c r="R228" s="1" t="s">
        <v>1571</v>
      </c>
      <c r="S228" s="1">
        <v>764493.0</v>
      </c>
      <c r="T228" s="7" t="str">
        <f>VLOOKUP(A228,Posters!A228:B1227,2)</f>
        <v>https://m.media-amazon.com/images/M/MV5BMGVmMWNiMDktYjQ0Mi00MWIxLTk0N2UtN2ZlYTdkN2IzNDNlXkEyXkFqcGdeQXVyODE5NzE3OTE@._V1_UX67_CR0,0,67,98_AL_.jpg</v>
      </c>
      <c r="U228" s="8">
        <f>'Inflation Adjusted Gross'!F228</f>
        <v>446319617</v>
      </c>
      <c r="V228" s="5">
        <f t="shared" si="1"/>
        <v>2020</v>
      </c>
    </row>
    <row r="229">
      <c r="A229" s="1">
        <v>228.0</v>
      </c>
      <c r="B229" s="1" t="s">
        <v>1572</v>
      </c>
      <c r="C229" s="6">
        <f>Gross_cleaning!E229</f>
        <v>1498210</v>
      </c>
      <c r="D229" s="1">
        <v>2008.0</v>
      </c>
      <c r="E229" s="1" t="s">
        <v>161</v>
      </c>
      <c r="F229" s="1" t="str">
        <f>VLOOKUP(Filmes_raw!E229,Rating_systems!$A$2:$C$29,3,FALSE)</f>
        <v>Criança</v>
      </c>
      <c r="G229" s="2">
        <f>Gross_cleaning!F229</f>
        <v>130</v>
      </c>
      <c r="H229" s="1" t="s">
        <v>195</v>
      </c>
      <c r="I229" s="1" t="s">
        <v>287</v>
      </c>
      <c r="J229" s="1">
        <v>8.1</v>
      </c>
      <c r="K229" s="1" t="s">
        <v>1573</v>
      </c>
      <c r="L229" s="1" t="str">
        <f>IFERROR(__xludf.DUMMYFUNCTION("GOOGLETRANSLATE(K229,""en"", ""pt-br"")"),"Um recém-desempregado tem um emprego preparando os mortos para funerais.")</f>
        <v>Um recém-desempregado tem um emprego preparando os mortos para funerais.</v>
      </c>
      <c r="M229" s="1">
        <v>68.0</v>
      </c>
      <c r="N229" s="1" t="s">
        <v>1574</v>
      </c>
      <c r="O229" s="1" t="s">
        <v>1575</v>
      </c>
      <c r="P229" s="1" t="s">
        <v>1576</v>
      </c>
      <c r="Q229" s="1" t="s">
        <v>1577</v>
      </c>
      <c r="R229" s="1" t="s">
        <v>1578</v>
      </c>
      <c r="S229" s="1">
        <v>48582.0</v>
      </c>
      <c r="T229" s="7" t="str">
        <f>VLOOKUP(A229,Posters!A229:B1228,2)</f>
        <v>https://m.media-amazon.com/images/M/MV5BMTUzOTcwOTA2NV5BMl5BanBnXkFtZTcwNDczMzczMg@@._V1_UY98_CR0,0,67,98_AL_.jpg</v>
      </c>
      <c r="U229" s="8">
        <f>'Inflation Adjusted Gross'!F229</f>
        <v>1831034</v>
      </c>
      <c r="V229" s="5">
        <f t="shared" si="1"/>
        <v>2020</v>
      </c>
    </row>
    <row r="230">
      <c r="A230" s="1">
        <v>229.0</v>
      </c>
      <c r="B230" s="1" t="s">
        <v>1579</v>
      </c>
      <c r="C230" s="6">
        <f>Gross_cleaning!E230</f>
        <v>46749646</v>
      </c>
      <c r="D230" s="1">
        <v>2009.0</v>
      </c>
      <c r="E230" s="1" t="s">
        <v>414</v>
      </c>
      <c r="F230" s="1" t="str">
        <f>VLOOKUP(Filmes_raw!E230,Rating_systems!$A$2:$C$29,3,FALSE)</f>
        <v>Criança</v>
      </c>
      <c r="G230" s="2">
        <f>Gross_cleaning!F230</f>
        <v>93</v>
      </c>
      <c r="H230" s="1" t="s">
        <v>1521</v>
      </c>
      <c r="I230" s="1" t="s">
        <v>1580</v>
      </c>
      <c r="J230" s="1">
        <v>8.1</v>
      </c>
      <c r="K230" s="1" t="s">
        <v>1581</v>
      </c>
      <c r="L230" s="1" t="str">
        <f>IFERROR(__xludf.DUMMYFUNCTION("GOOGLETRANSLATE(K230,""en"", ""pt-br"")"),"Um professor universitário ligue com um cão abandonado que ele leva em sua casa.")</f>
        <v>Um professor universitário ligue com um cão abandonado que ele leva em sua casa.</v>
      </c>
      <c r="N230" s="1" t="s">
        <v>1582</v>
      </c>
      <c r="O230" s="1" t="s">
        <v>1583</v>
      </c>
      <c r="P230" s="1" t="s">
        <v>1584</v>
      </c>
      <c r="Q230" s="1" t="s">
        <v>1585</v>
      </c>
      <c r="R230" s="1" t="s">
        <v>1586</v>
      </c>
      <c r="S230" s="1">
        <v>253575.0</v>
      </c>
      <c r="T230" s="7" t="str">
        <f>VLOOKUP(A230,Posters!A230:B1229,2)</f>
        <v>https://m.media-amazon.com/images/M/MV5BNzE4NDg5OWMtMzg3NC00ZDRjLTllMDMtZTRjNWZmNjBmMGZlXkEyXkFqcGdeQXVyMTMxODk2OTU@._V1_UY98_CR1,0,67,98_AL_.jpg</v>
      </c>
      <c r="U230" s="8">
        <f>'Inflation Adjusted Gross'!F230</f>
        <v>57117939</v>
      </c>
      <c r="V230" s="5">
        <f t="shared" si="1"/>
        <v>2020</v>
      </c>
    </row>
    <row r="231">
      <c r="A231" s="1">
        <v>230.0</v>
      </c>
      <c r="B231" s="1" t="s">
        <v>1587</v>
      </c>
      <c r="C231" s="6">
        <f>Gross_cleaning!E231</f>
        <v>1740429</v>
      </c>
      <c r="D231" s="1">
        <v>2009.0</v>
      </c>
      <c r="E231" s="1">
        <v>12.0</v>
      </c>
      <c r="F231" s="1" t="str">
        <f>VLOOKUP(Filmes_raw!E231,Rating_systems!$A$2:$C$29,3,FALSE)</f>
        <v>Criança</v>
      </c>
      <c r="G231" s="2">
        <f>Gross_cleaning!F231</f>
        <v>92</v>
      </c>
      <c r="H231" s="1" t="s">
        <v>1588</v>
      </c>
      <c r="I231" s="1" t="s">
        <v>1589</v>
      </c>
      <c r="J231" s="1">
        <v>8.1</v>
      </c>
      <c r="K231" s="1" t="s">
        <v>1590</v>
      </c>
      <c r="L231" s="1" t="str">
        <f>IFERROR(__xludf.DUMMYFUNCTION("GOOGLETRANSLATE(K231,""en"", ""pt-br"")"),"Um conto de amizade entre dois amigos de caneta improváveis: Maria, uma menina solitária e de oito anos que vivem nos subúrbios de Melbourne, e Max, um homem de quarenta e quatro anos, gravemente obeso que vive em Nova York.")</f>
        <v>Um conto de amizade entre dois amigos de caneta improváveis: Maria, uma menina solitária e de oito anos que vivem nos subúrbios de Melbourne, e Max, um homem de quarenta e quatro anos, gravemente obeso que vive em Nova York.</v>
      </c>
      <c r="N231" s="1" t="s">
        <v>1591</v>
      </c>
      <c r="O231" s="1" t="s">
        <v>1592</v>
      </c>
      <c r="P231" s="1" t="s">
        <v>1593</v>
      </c>
      <c r="Q231" s="1" t="s">
        <v>1594</v>
      </c>
      <c r="R231" s="1" t="s">
        <v>1595</v>
      </c>
      <c r="S231" s="1">
        <v>164462.0</v>
      </c>
      <c r="T231" s="7" t="str">
        <f>VLOOKUP(A231,Posters!A231:B1230,2)</f>
        <v>https://m.media-amazon.com/images/M/MV5BMDgzYjQwMDMtNGUzYi00MTRmLWIyMGMtNjE1OGZkNzY2YWIzL2ltYWdlXkEyXkFqcGdeQXVyNjU0OTQ0OTY@._V1_UY98_CR1,0,67,98_AL_.jpg</v>
      </c>
      <c r="U231" s="8">
        <f>'Inflation Adjusted Gross'!F231</f>
        <v>2126427</v>
      </c>
      <c r="V231" s="5">
        <f t="shared" si="1"/>
        <v>2020</v>
      </c>
    </row>
    <row r="232">
      <c r="A232" s="1">
        <v>231.0</v>
      </c>
      <c r="B232" s="1" t="s">
        <v>1596</v>
      </c>
      <c r="C232" s="6">
        <f>Gross_cleaning!E232</f>
        <v>217581231</v>
      </c>
      <c r="D232" s="1">
        <v>2010.0</v>
      </c>
      <c r="E232" s="1" t="s">
        <v>52</v>
      </c>
      <c r="F232" s="1" t="str">
        <f>VLOOKUP(Filmes_raw!E232,Rating_systems!$A$2:$C$29,3,FALSE)</f>
        <v>Criança</v>
      </c>
      <c r="G232" s="2">
        <f>Gross_cleaning!F232</f>
        <v>98</v>
      </c>
      <c r="H232" s="1" t="s">
        <v>519</v>
      </c>
      <c r="I232" s="1" t="s">
        <v>467</v>
      </c>
      <c r="J232" s="1">
        <v>8.1</v>
      </c>
      <c r="K232" s="1" t="s">
        <v>1597</v>
      </c>
      <c r="L232" s="1" t="str">
        <f>IFERROR(__xludf.DUMMYFUNCTION("GOOGLETRANSLATE(K232,""en"", ""pt-br"")"),"Um jovem viking que aspira a caçar dragões se torna improvável amigo de um jovem dragão, e aprende, pode haver mais para as criaturas do que ele assumiu.")</f>
        <v>Um jovem viking que aspira a caçar dragões se torna improvável amigo de um jovem dragão, e aprende, pode haver mais para as criaturas do que ele assumiu.</v>
      </c>
      <c r="M232" s="1">
        <v>75.0</v>
      </c>
      <c r="N232" s="1" t="s">
        <v>1598</v>
      </c>
      <c r="O232" s="1" t="s">
        <v>1599</v>
      </c>
      <c r="P232" s="1" t="s">
        <v>1600</v>
      </c>
      <c r="Q232" s="1" t="s">
        <v>1601</v>
      </c>
      <c r="R232" s="1" t="s">
        <v>1602</v>
      </c>
      <c r="S232" s="1">
        <v>666773.0</v>
      </c>
      <c r="T232" s="7" t="str">
        <f>VLOOKUP(A232,Posters!A232:B1231,2)</f>
        <v>https://m.media-amazon.com/images/M/MV5BMjA5NDQyMjc2NF5BMl5BanBnXkFtZTcwMjg5ODcyMw@@._V1_UX67_CR0,0,67,98_AL_.jpg</v>
      </c>
      <c r="U232" s="8">
        <f>'Inflation Adjusted Gross'!F232</f>
        <v>259035603</v>
      </c>
      <c r="V232" s="5">
        <f t="shared" si="1"/>
        <v>2020</v>
      </c>
    </row>
    <row r="233">
      <c r="A233" s="1">
        <v>232.0</v>
      </c>
      <c r="B233" s="1" t="s">
        <v>1603</v>
      </c>
      <c r="C233" s="6">
        <f>Gross_cleaning!E233</f>
        <v>18354356</v>
      </c>
      <c r="D233" s="1">
        <v>2007.0</v>
      </c>
      <c r="E233" s="1" t="s">
        <v>212</v>
      </c>
      <c r="F233" s="1" t="str">
        <f>VLOOKUP(Filmes_raw!E233,Rating_systems!$A$2:$C$29,3,FALSE)</f>
        <v>Adulto</v>
      </c>
      <c r="G233" s="2">
        <f>Gross_cleaning!F233</f>
        <v>148</v>
      </c>
      <c r="H233" s="1" t="s">
        <v>87</v>
      </c>
      <c r="I233" s="1" t="s">
        <v>858</v>
      </c>
      <c r="J233" s="1">
        <v>8.1</v>
      </c>
      <c r="K233" s="1" t="s">
        <v>1604</v>
      </c>
      <c r="L233" s="1" t="str">
        <f>IFERROR(__xludf.DUMMYFUNCTION("GOOGLETRANSLATE(K233,""en"", ""pt-br"")"),"Depois de se formar na Universidade Emory, estudante e atleta Christopher McCandless abandona suas posses, dá toda a sua conta de desconto de US $ 24.000 para caridade e carona para o Alasca para viver no deserto. Ao longo do caminho, Christopher encontra"&amp;" uma série de personagens que moldam sua vida.")</f>
        <v>Depois de se formar na Universidade Emory, estudante e atleta Christopher McCandless abandona suas posses, dá toda a sua conta de desconto de US $ 24.000 para caridade e carona para o Alasca para viver no deserto. Ao longo do caminho, Christopher encontra uma série de personagens que moldam sua vida.</v>
      </c>
      <c r="M233" s="1">
        <v>73.0</v>
      </c>
      <c r="N233" s="1" t="s">
        <v>1605</v>
      </c>
      <c r="O233" s="1" t="s">
        <v>1606</v>
      </c>
      <c r="P233" s="1" t="s">
        <v>1607</v>
      </c>
      <c r="Q233" s="1" t="s">
        <v>1608</v>
      </c>
      <c r="R233" s="1" t="s">
        <v>1609</v>
      </c>
      <c r="S233" s="1">
        <v>572921.0</v>
      </c>
      <c r="T233" s="7" t="str">
        <f>VLOOKUP(A233,Posters!A233:B1232,2)</f>
        <v>https://m.media-amazon.com/images/M/MV5BMTAwNDEyODU1MjheQTJeQWpwZ15BbWU2MDc3NDQwNw@@._V1_UX67_CR0,0,67,98_AL_.jpg</v>
      </c>
      <c r="U233" s="8">
        <f>'Inflation Adjusted Gross'!F233</f>
        <v>23391884</v>
      </c>
      <c r="V233" s="5">
        <f t="shared" si="1"/>
        <v>2020</v>
      </c>
    </row>
    <row r="234">
      <c r="A234" s="1">
        <v>233.0</v>
      </c>
      <c r="B234" s="1" t="s">
        <v>1610</v>
      </c>
      <c r="C234" s="6">
        <f>Gross_cleaning!E234</f>
        <v>74283625</v>
      </c>
      <c r="D234" s="1">
        <v>2007.0</v>
      </c>
      <c r="E234" s="1" t="s">
        <v>212</v>
      </c>
      <c r="F234" s="1" t="str">
        <f>VLOOKUP(Filmes_raw!E234,Rating_systems!$A$2:$C$29,3,FALSE)</f>
        <v>Adulto</v>
      </c>
      <c r="G234" s="2">
        <f>Gross_cleaning!F234</f>
        <v>122</v>
      </c>
      <c r="H234" s="1" t="s">
        <v>279</v>
      </c>
      <c r="I234" s="1" t="s">
        <v>241</v>
      </c>
      <c r="J234" s="1">
        <v>8.1</v>
      </c>
      <c r="K234" s="1" t="s">
        <v>1611</v>
      </c>
      <c r="L234" s="1" t="str">
        <f>IFERROR(__xludf.DUMMYFUNCTION("GOOGLETRANSLATE(K234,""en"", ""pt-br"")"),"A violência e o caos seguem depois que um caçador tropeça sobre um acordo de drogas deu errado e mais de dois milhões de dólares em dinheiro perto do Rio Grande.")</f>
        <v>A violência e o caos seguem depois que um caçador tropeça sobre um acordo de drogas deu errado e mais de dois milhões de dólares em dinheiro perto do Rio Grande.</v>
      </c>
      <c r="M234" s="1">
        <v>91.0</v>
      </c>
      <c r="N234" s="1" t="s">
        <v>1612</v>
      </c>
      <c r="O234" s="1" t="s">
        <v>1613</v>
      </c>
      <c r="P234" s="1" t="s">
        <v>1614</v>
      </c>
      <c r="Q234" s="1" t="s">
        <v>1615</v>
      </c>
      <c r="R234" s="1" t="s">
        <v>1616</v>
      </c>
      <c r="S234" s="1">
        <v>856916.0</v>
      </c>
      <c r="T234" s="7" t="str">
        <f>VLOOKUP(A234,Posters!A234:B1233,2)</f>
        <v>https://m.media-amazon.com/images/M/MV5BMjA5Njk3MjM4OV5BMl5BanBnXkFtZTcwMTc5MTE1MQ@@._V1_UX67_CR0,0,67,98_AL_.jpg</v>
      </c>
      <c r="U234" s="8">
        <f>'Inflation Adjusted Gross'!F234</f>
        <v>94671474</v>
      </c>
      <c r="V234" s="5">
        <f t="shared" si="1"/>
        <v>2020</v>
      </c>
    </row>
    <row r="235">
      <c r="A235" s="1">
        <v>234.0</v>
      </c>
      <c r="B235" s="1" t="s">
        <v>1617</v>
      </c>
      <c r="C235" s="6">
        <f>Gross_cleaning!E235</f>
        <v>2217561</v>
      </c>
      <c r="D235" s="1">
        <v>2006.0</v>
      </c>
      <c r="E235" s="1" t="s">
        <v>52</v>
      </c>
      <c r="F235" s="1" t="str">
        <f>VLOOKUP(Filmes_raw!E235,Rating_systems!$A$2:$C$29,3,FALSE)</f>
        <v>Criança</v>
      </c>
      <c r="G235" s="2">
        <f>Gross_cleaning!F235</f>
        <v>144</v>
      </c>
      <c r="H235" s="1" t="s">
        <v>1618</v>
      </c>
      <c r="I235" s="1" t="s">
        <v>227</v>
      </c>
      <c r="J235" s="1">
        <v>8.1</v>
      </c>
      <c r="K235" s="1" t="s">
        <v>1619</v>
      </c>
      <c r="L235" s="1" t="str">
        <f>IFERROR(__xludf.DUMMYFUNCTION("GOOGLETRANSLATE(K235,""en"", ""pt-br"")"),"Munna Bhai embarca em uma jornada com Mahatma Gandhi, a fim de lutar contra um revendedor de propriedades corruptas.")</f>
        <v>Munna Bhai embarca em uma jornada com Mahatma Gandhi, a fim de lutar contra um revendedor de propriedades corruptas.</v>
      </c>
      <c r="N235" s="1" t="s">
        <v>509</v>
      </c>
      <c r="O235" s="1" t="s">
        <v>1457</v>
      </c>
      <c r="P235" s="1" t="s">
        <v>1620</v>
      </c>
      <c r="Q235" s="1" t="s">
        <v>1531</v>
      </c>
      <c r="R235" s="1" t="s">
        <v>1458</v>
      </c>
      <c r="S235" s="1">
        <v>43137.0</v>
      </c>
      <c r="T235" s="7" t="str">
        <f>VLOOKUP(A235,Posters!A235:B1234,2)</f>
        <v>https://m.media-amazon.com/images/M/MV5BN2ZmMDMwODgtMzA5MS00MGU0LWEyYTgtYzQ5MmQzMzU2NTVkXkEyXkFqcGdeQXVyODE5NzE3OTE@._V1_UY98_CR0,0,67,98_AL_.jpg</v>
      </c>
      <c r="U235" s="8">
        <f>'Inflation Adjusted Gross'!F235</f>
        <v>2884853</v>
      </c>
      <c r="V235" s="5">
        <f t="shared" si="1"/>
        <v>2020</v>
      </c>
    </row>
    <row r="236">
      <c r="A236" s="1">
        <v>235.0</v>
      </c>
      <c r="B236" s="1" t="s">
        <v>1621</v>
      </c>
      <c r="C236" s="6">
        <f>Gross_cleaning!E236</f>
        <v>100492203</v>
      </c>
      <c r="D236" s="1">
        <v>2004.0</v>
      </c>
      <c r="E236" s="1" t="s">
        <v>37</v>
      </c>
      <c r="F236" s="1" t="str">
        <f>VLOOKUP(Filmes_raw!E236,Rating_systems!$A$2:$C$29,3,FALSE)</f>
        <v>Criança</v>
      </c>
      <c r="G236" s="2">
        <f>Gross_cleaning!F236</f>
        <v>132</v>
      </c>
      <c r="H236" s="1" t="s">
        <v>170</v>
      </c>
      <c r="I236" s="1" t="s">
        <v>1622</v>
      </c>
      <c r="J236" s="1">
        <v>8.1</v>
      </c>
      <c r="K236" s="1" t="s">
        <v>1623</v>
      </c>
      <c r="L236" s="1" t="str">
        <f>IFERROR(__xludf.DUMMYFUNCTION("GOOGLETRANSLATE(K236,""en"", ""pt-br"")"),"Uma mulher determinada trabalha com um treinador de boxe endurecido para se tornar profissional.")</f>
        <v>Uma mulher determinada trabalha com um treinador de boxe endurecido para se tornar profissional.</v>
      </c>
      <c r="M236" s="1">
        <v>86.0</v>
      </c>
      <c r="N236" s="1" t="s">
        <v>119</v>
      </c>
      <c r="O236" s="1" t="s">
        <v>1624</v>
      </c>
      <c r="P236" s="1" t="s">
        <v>119</v>
      </c>
      <c r="Q236" s="1" t="s">
        <v>24</v>
      </c>
      <c r="R236" s="1" t="s">
        <v>1600</v>
      </c>
      <c r="S236" s="1">
        <v>635975.0</v>
      </c>
      <c r="T236" s="7" t="str">
        <f>VLOOKUP(A236,Posters!A236:B1235,2)</f>
        <v>https://m.media-amazon.com/images/M/MV5BMTkxNzA1NDQxOV5BMl5BanBnXkFtZTcwNTkyMTIzMw@@._V1_UX67_CR0,0,67,98_AL_.jpg</v>
      </c>
      <c r="U236" s="8">
        <f>'Inflation Adjusted Gross'!F236</f>
        <v>139978802</v>
      </c>
      <c r="V236" s="5">
        <f t="shared" si="1"/>
        <v>2020</v>
      </c>
    </row>
    <row r="237">
      <c r="A237" s="1">
        <v>236.0</v>
      </c>
      <c r="B237" s="1" t="s">
        <v>1625</v>
      </c>
      <c r="C237" s="6">
        <f>Gross_cleaning!E237</f>
        <v>23530892</v>
      </c>
      <c r="D237" s="1">
        <v>2004.0</v>
      </c>
      <c r="E237" s="1" t="s">
        <v>161</v>
      </c>
      <c r="F237" s="1" t="str">
        <f>VLOOKUP(Filmes_raw!E237,Rating_systems!$A$2:$C$29,3,FALSE)</f>
        <v>Criança</v>
      </c>
      <c r="G237" s="2">
        <f>Gross_cleaning!F237</f>
        <v>121</v>
      </c>
      <c r="H237" s="1" t="s">
        <v>249</v>
      </c>
      <c r="I237" s="1" t="s">
        <v>79</v>
      </c>
      <c r="J237" s="1">
        <v>8.1</v>
      </c>
      <c r="K237" s="1" t="s">
        <v>1626</v>
      </c>
      <c r="L237" s="1" t="str">
        <f>IFERROR(__xludf.DUMMYFUNCTION("GOOGLETRANSLATE(K237,""en"", ""pt-br"")"),"Paul Rusesabagina, um gerente de hotel, abriga mais de mil refugiados de tutsi durante a luta contra a Milícia de Hutu em Ruanda, África.")</f>
        <v>Paul Rusesabagina, um gerente de hotel, abriga mais de mil refugiados de tutsi durante a luta contra a Milícia de Hutu em Ruanda, África.</v>
      </c>
      <c r="M237" s="1">
        <v>79.0</v>
      </c>
      <c r="N237" s="1" t="s">
        <v>1627</v>
      </c>
      <c r="O237" s="1" t="s">
        <v>1628</v>
      </c>
      <c r="P237" s="1" t="s">
        <v>1629</v>
      </c>
      <c r="Q237" s="1" t="s">
        <v>282</v>
      </c>
      <c r="R237" s="1" t="s">
        <v>1630</v>
      </c>
      <c r="S237" s="1">
        <v>334320.0</v>
      </c>
      <c r="T237" s="7" t="str">
        <f>VLOOKUP(A237,Posters!A237:B1236,2)</f>
        <v>https://m.media-amazon.com/images/M/MV5BZGJjYmIzZmQtNWE4Yy00ZGVmLWJkZGEtMzUzNmQ4ZWFlMjRhXkEyXkFqcGdeQXVyMTMxODk2OTU@._V1_UX67_CR0,0,67,98_AL_.jpg</v>
      </c>
      <c r="U237" s="8">
        <f>'Inflation Adjusted Gross'!F237</f>
        <v>32776932</v>
      </c>
      <c r="V237" s="5">
        <f t="shared" si="1"/>
        <v>2020</v>
      </c>
    </row>
    <row r="238">
      <c r="A238" s="1">
        <v>237.0</v>
      </c>
      <c r="B238" s="1" t="s">
        <v>1631</v>
      </c>
      <c r="C238" s="6">
        <f>Gross_cleaning!E238</f>
        <v>1111061</v>
      </c>
      <c r="D238" s="1">
        <v>2004.0</v>
      </c>
      <c r="E238" s="1" t="s">
        <v>212</v>
      </c>
      <c r="F238" s="1" t="str">
        <f>VLOOKUP(Filmes_raw!E238,Rating_systems!$A$2:$C$29,3,FALSE)</f>
        <v>Adulto</v>
      </c>
      <c r="G238" s="2">
        <f>Gross_cleaning!F238</f>
        <v>140</v>
      </c>
      <c r="H238" s="1" t="s">
        <v>1059</v>
      </c>
      <c r="I238" s="1" t="s">
        <v>948</v>
      </c>
      <c r="J238" s="1">
        <v>8.1</v>
      </c>
      <c r="K238" s="1" t="s">
        <v>1632</v>
      </c>
      <c r="L238" s="1" t="str">
        <f>IFERROR(__xludf.DUMMYFUNCTION("GOOGLETRANSLATE(K238,""en"", ""pt-br"")"),"Quando dois irmãos são forçados a lutar na guerra coreana, o ancião decide tirar as missões mais arriscadas se ajudará a proteger o mais jovem da batalha.")</f>
        <v>Quando dois irmãos são forçados a lutar na guerra coreana, o ancião decide tirar as missões mais arriscadas se ajudará a proteger o mais jovem da batalha.</v>
      </c>
      <c r="M238" s="1">
        <v>64.0</v>
      </c>
      <c r="N238" s="1" t="s">
        <v>1633</v>
      </c>
      <c r="O238" s="1" t="s">
        <v>1634</v>
      </c>
      <c r="P238" s="1" t="s">
        <v>1635</v>
      </c>
      <c r="Q238" s="1" t="s">
        <v>1636</v>
      </c>
      <c r="R238" s="1" t="s">
        <v>1637</v>
      </c>
      <c r="S238" s="1">
        <v>37820.0</v>
      </c>
      <c r="T238" s="7" t="str">
        <f>VLOOKUP(A238,Posters!A238:B1237,2)</f>
        <v>https://m.media-amazon.com/images/M/MV5BNjAxZTEzNzQtYjdlNy00ZTJmLTkwZDUtOTAwNTM3YjI2MWUyL2ltYWdlXkEyXkFqcGdeQXVyNTAyODkwOQ@@._V1_UX67_CR0,0,67,98_AL_.jpg</v>
      </c>
      <c r="U238" s="8">
        <f>'Inflation Adjusted Gross'!F238</f>
        <v>1547632</v>
      </c>
      <c r="V238" s="5">
        <f t="shared" si="1"/>
        <v>2020</v>
      </c>
    </row>
    <row r="239">
      <c r="A239" s="1">
        <v>238.0</v>
      </c>
      <c r="B239" s="1" t="s">
        <v>1638</v>
      </c>
      <c r="C239" s="6">
        <f>Gross_cleaning!E239</f>
        <v>5820649</v>
      </c>
      <c r="D239" s="1">
        <v>2004.0</v>
      </c>
      <c r="E239" s="1" t="s">
        <v>212</v>
      </c>
      <c r="F239" s="1" t="str">
        <f>VLOOKUP(Filmes_raw!E239,Rating_systems!$A$2:$C$29,3,FALSE)</f>
        <v>Adulto</v>
      </c>
      <c r="G239" s="2">
        <f>Gross_cleaning!F239</f>
        <v>80</v>
      </c>
      <c r="H239" s="1" t="s">
        <v>1639</v>
      </c>
      <c r="I239" s="1" t="s">
        <v>107</v>
      </c>
      <c r="J239" s="1">
        <v>8.1</v>
      </c>
      <c r="K239" s="1" t="s">
        <v>1640</v>
      </c>
      <c r="L239" s="1" t="str">
        <f>IFERROR(__xludf.DUMMYFUNCTION("GOOGLETRANSLATE(K239,""en"", ""pt-br"")"),"Nove anos depois que Jesse e Celine se conheceram, eles se encontram novamente na perna francesa da turnê de Jesse.")</f>
        <v>Nove anos depois que Jesse e Celine se conheceram, eles se encontram novamente na perna francesa da turnê de Jesse.</v>
      </c>
      <c r="M239" s="1">
        <v>90.0</v>
      </c>
      <c r="N239" s="1" t="s">
        <v>1641</v>
      </c>
      <c r="O239" s="1" t="s">
        <v>1642</v>
      </c>
      <c r="P239" s="1" t="s">
        <v>1643</v>
      </c>
      <c r="Q239" s="1" t="s">
        <v>1644</v>
      </c>
      <c r="R239" s="1" t="s">
        <v>1645</v>
      </c>
      <c r="S239" s="1">
        <v>236311.0</v>
      </c>
      <c r="T239" s="7" t="str">
        <f>VLOOKUP(A239,Posters!A239:B1238,2)</f>
        <v>https://m.media-amazon.com/images/M/MV5BMTQ1MjAwNTM5Ml5BMl5BanBnXkFtZTYwNDM0MTc3._V1_UX67_CR0,0,67,98_AL_.jpg</v>
      </c>
      <c r="U239" s="8">
        <f>'Inflation Adjusted Gross'!F239</f>
        <v>8107768</v>
      </c>
      <c r="V239" s="5">
        <f t="shared" si="1"/>
        <v>2020</v>
      </c>
    </row>
    <row r="240">
      <c r="A240" s="1">
        <v>239.0</v>
      </c>
      <c r="B240" s="1" t="s">
        <v>1646</v>
      </c>
      <c r="C240" s="6">
        <f>Gross_cleaning!E240</f>
        <v>3137716</v>
      </c>
      <c r="D240" s="1">
        <v>2003.0</v>
      </c>
      <c r="E240" s="1" t="s">
        <v>52</v>
      </c>
      <c r="F240" s="1" t="str">
        <f>VLOOKUP(Filmes_raw!E240,Rating_systems!$A$2:$C$29,3,FALSE)</f>
        <v>Criança</v>
      </c>
      <c r="G240" s="2">
        <f>Gross_cleaning!F240</f>
        <v>156</v>
      </c>
      <c r="H240" s="1" t="s">
        <v>955</v>
      </c>
      <c r="I240" s="1" t="s">
        <v>1454</v>
      </c>
      <c r="J240" s="1">
        <v>8.1</v>
      </c>
      <c r="K240" s="1" t="s">
        <v>1647</v>
      </c>
      <c r="L240" s="1" t="str">
        <f>IFERROR(__xludf.DUMMYFUNCTION("GOOGLETRANSLATE(K240,""en"", ""pt-br"")"),"Um gângster se propõe a cumprir o sonho de seu pai de se tornar um médico.")</f>
        <v>Um gângster se propõe a cumprir o sonho de seu pai de se tornar um médico.</v>
      </c>
      <c r="N240" s="1" t="s">
        <v>509</v>
      </c>
      <c r="O240" s="1" t="s">
        <v>1457</v>
      </c>
      <c r="P240" s="1" t="s">
        <v>1620</v>
      </c>
      <c r="Q240" s="1" t="s">
        <v>1648</v>
      </c>
      <c r="R240" s="1" t="s">
        <v>1649</v>
      </c>
      <c r="S240" s="1">
        <v>73992.0</v>
      </c>
      <c r="T240" s="7" t="str">
        <f>VLOOKUP(A240,Posters!A240:B1239,2)</f>
        <v>https://m.media-amazon.com/images/M/MV5BMzQ4MTBlYTQtMzJkYS00OGNjLTk1MWYtNzQ0OTQ0OWEyOWU1XkEyXkFqcGdeQXVyNDgyODgxNjE@._V1_UY98_CR1,0,67,98_AL_.jpg</v>
      </c>
      <c r="U240" s="8">
        <f>'Inflation Adjusted Gross'!F240</f>
        <v>4454814</v>
      </c>
      <c r="V240" s="5">
        <f t="shared" si="1"/>
        <v>2020</v>
      </c>
    </row>
    <row r="241">
      <c r="A241" s="1">
        <v>240.0</v>
      </c>
      <c r="B241" s="1" t="s">
        <v>1650</v>
      </c>
      <c r="C241" s="6">
        <f>Gross_cleaning!E241</f>
        <v>14131</v>
      </c>
      <c r="D241" s="1">
        <v>2003.0</v>
      </c>
      <c r="E241" s="1" t="s">
        <v>37</v>
      </c>
      <c r="F241" s="1" t="str">
        <f>VLOOKUP(Filmes_raw!E241,Rating_systems!$A$2:$C$29,3,FALSE)</f>
        <v>Criança</v>
      </c>
      <c r="G241" s="2">
        <f>Gross_cleaning!F241</f>
        <v>131</v>
      </c>
      <c r="H241" s="1" t="s">
        <v>686</v>
      </c>
      <c r="I241" s="1" t="s">
        <v>235</v>
      </c>
      <c r="J241" s="1">
        <v>8.1</v>
      </c>
      <c r="K241" s="1" t="s">
        <v>1651</v>
      </c>
      <c r="L241" s="1" t="str">
        <f>IFERROR(__xludf.DUMMYFUNCTION("GOOGLETRANSLATE(K241,""en"", ""pt-br"")"),"Em uma pequena província coreana em 1986, dois detetives lutam com o caso de várias jovens mulheres encontradas estupradas e assassinadas por um culpado desconhecido.")</f>
        <v>Em uma pequena província coreana em 1986, dois detetives lutam com o caso de várias jovens mulheres encontradas estupradas e assassinadas por um culpado desconhecido.</v>
      </c>
      <c r="M241" s="1">
        <v>82.0</v>
      </c>
      <c r="N241" s="1" t="s">
        <v>173</v>
      </c>
      <c r="O241" s="1" t="s">
        <v>174</v>
      </c>
      <c r="P241" s="1" t="s">
        <v>1652</v>
      </c>
      <c r="Q241" s="1" t="s">
        <v>1653</v>
      </c>
      <c r="R241" s="1" t="s">
        <v>1654</v>
      </c>
      <c r="S241" s="1">
        <v>139558.0</v>
      </c>
      <c r="T241" s="7" t="str">
        <f>VLOOKUP(A241,Posters!A241:B1240,2)</f>
        <v>https://m.media-amazon.com/images/M/MV5BOGViNTg4YTktYTQ2Ni00MTU0LTk2NWUtMTI4OTc1YTM0NzQ2XkEyXkFqcGdeQXVyMDM2NDM2MQ@@._V1_UX67_CR0,0,67,98_AL_.jpg</v>
      </c>
      <c r="U241" s="8">
        <f>'Inflation Adjusted Gross'!F241</f>
        <v>20063</v>
      </c>
      <c r="V241" s="5">
        <f t="shared" si="1"/>
        <v>2020</v>
      </c>
    </row>
    <row r="242">
      <c r="A242" s="1">
        <v>241.0</v>
      </c>
      <c r="B242" s="1" t="s">
        <v>1655</v>
      </c>
      <c r="C242" s="6">
        <f>Gross_cleaning!E242</f>
        <v>300</v>
      </c>
      <c r="D242" s="1">
        <v>2001.0</v>
      </c>
      <c r="E242" s="1" t="s">
        <v>1656</v>
      </c>
      <c r="F242" s="1" t="str">
        <f>VLOOKUP(Filmes_raw!E242,Rating_systems!$A$2:$C$29,3,FALSE)</f>
        <v>Desconhecido</v>
      </c>
      <c r="G242" s="2">
        <f>Gross_cleaning!F242</f>
        <v>183</v>
      </c>
      <c r="H242" s="1" t="s">
        <v>1657</v>
      </c>
      <c r="I242" s="1" t="s">
        <v>227</v>
      </c>
      <c r="J242" s="1">
        <v>8.1</v>
      </c>
      <c r="K242" s="1" t="s">
        <v>1658</v>
      </c>
      <c r="L242" s="1" t="str">
        <f>IFERROR(__xludf.DUMMYFUNCTION("GOOGLETRANSLATE(K242,""en"", ""pt-br"")"),"Três amigos de infância inseparáveis ​​estão fora da faculdade. Nada vem entre eles - até cada um se apaixonar, e suas abordagens descontroladamente diferentes para os relacionamentos cria tensão.")</f>
        <v>Três amigos de infância inseparáveis ​​estão fora da faculdade. Nada vem entre eles - até cada um se apaixonar, e suas abordagens descontroladamente diferentes para os relacionamentos cria tensão.</v>
      </c>
      <c r="N242" s="1" t="s">
        <v>1023</v>
      </c>
      <c r="O242" s="1" t="s">
        <v>461</v>
      </c>
      <c r="P242" s="1" t="s">
        <v>1659</v>
      </c>
      <c r="Q242" s="1" t="s">
        <v>1660</v>
      </c>
      <c r="R242" s="1" t="s">
        <v>1661</v>
      </c>
      <c r="S242" s="1">
        <v>66803.0</v>
      </c>
      <c r="T242" s="7" t="str">
        <f>VLOOKUP(A242,Posters!A242:B1241,2)</f>
        <v>https://m.media-amazon.com/images/M/MV5BMjRjMTYwMTYtMmRkNi00MmVkLWE0MjQtNmM3YjI0NWFhZDNmXkEyXkFqcGdeQXVyODE5NzE3OTE@._V1_UX67_CR0,0,67,98_AL_.jpg</v>
      </c>
      <c r="U242" s="8">
        <f>'Inflation Adjusted Gross'!F242</f>
        <v>442</v>
      </c>
      <c r="V242" s="5">
        <f t="shared" si="1"/>
        <v>2020</v>
      </c>
    </row>
    <row r="243">
      <c r="A243" s="1">
        <v>242.0</v>
      </c>
      <c r="B243" s="1" t="s">
        <v>1662</v>
      </c>
      <c r="C243" s="6">
        <f>Gross_cleaning!E243</f>
        <v>70099045</v>
      </c>
      <c r="D243" s="1">
        <v>2003.0</v>
      </c>
      <c r="E243" s="1" t="s">
        <v>212</v>
      </c>
      <c r="F243" s="1" t="str">
        <f>VLOOKUP(Filmes_raw!E243,Rating_systems!$A$2:$C$29,3,FALSE)</f>
        <v>Adulto</v>
      </c>
      <c r="G243" s="2">
        <f>Gross_cleaning!F243</f>
        <v>111</v>
      </c>
      <c r="H243" s="1" t="s">
        <v>1663</v>
      </c>
      <c r="I243" s="1" t="s">
        <v>39</v>
      </c>
      <c r="J243" s="1">
        <v>8.1</v>
      </c>
      <c r="K243" s="1" t="s">
        <v>1664</v>
      </c>
      <c r="L243" s="1" t="str">
        <f>IFERROR(__xludf.DUMMYFUNCTION("GOOGLETRANSLATE(K243,""en"", ""pt-br"")"),"Depois de despertar de um coma de quatro anos, um ex-assassino enreda vingança na equipe de assassinos que a traiu.")</f>
        <v>Depois de despertar de um coma de quatro anos, um ex-assassino enreda vingança na equipe de assassinos que a traiu.</v>
      </c>
      <c r="M243" s="1">
        <v>69.0</v>
      </c>
      <c r="N243" s="1" t="s">
        <v>72</v>
      </c>
      <c r="O243" s="1" t="s">
        <v>74</v>
      </c>
      <c r="P243" s="1" t="s">
        <v>1665</v>
      </c>
      <c r="Q243" s="1" t="s">
        <v>1666</v>
      </c>
      <c r="R243" s="1" t="s">
        <v>782</v>
      </c>
      <c r="S243" s="1">
        <v>1000639.0</v>
      </c>
      <c r="T243" s="7" t="str">
        <f>VLOOKUP(A243,Posters!A243:B1242,2)</f>
        <v>https://m.media-amazon.com/images/M/MV5BNzM3NDFhYTAtYmU5Mi00NGRmLTljYjgtMDkyODQ4MjNkMGY2XkEyXkFqcGdeQXVyNzkwMjQ5NzM@._V1_UX67_CR0,0,67,98_AL_.jpg</v>
      </c>
      <c r="U243" s="8">
        <f>'Inflation Adjusted Gross'!F243</f>
        <v>99524055</v>
      </c>
      <c r="V243" s="5">
        <f t="shared" si="1"/>
        <v>2020</v>
      </c>
    </row>
    <row r="244">
      <c r="A244" s="1">
        <v>243.0</v>
      </c>
      <c r="B244" s="1" t="s">
        <v>1667</v>
      </c>
      <c r="C244" s="6">
        <f>Gross_cleaning!E244</f>
        <v>380843261</v>
      </c>
      <c r="D244" s="1">
        <v>2003.0</v>
      </c>
      <c r="E244" s="1" t="s">
        <v>52</v>
      </c>
      <c r="F244" s="1" t="str">
        <f>VLOOKUP(Filmes_raw!E244,Rating_systems!$A$2:$C$29,3,FALSE)</f>
        <v>Criança</v>
      </c>
      <c r="G244" s="2">
        <f>Gross_cleaning!F244</f>
        <v>100</v>
      </c>
      <c r="H244" s="1" t="s">
        <v>1439</v>
      </c>
      <c r="I244" s="1" t="s">
        <v>765</v>
      </c>
      <c r="J244" s="1">
        <v>8.1</v>
      </c>
      <c r="K244" s="1" t="s">
        <v>1668</v>
      </c>
      <c r="L244" s="1" t="str">
        <f>IFERROR(__xludf.DUMMYFUNCTION("GOOGLETRANSLATE(K244,""en"", ""pt-br"")"),"Depois que seu filho é capturado no Grande Recife de Barreira e levado para Sydney, um peixe-palhaço tímido se apresenta em uma jornada para trazê-lo para casa.")</f>
        <v>Depois que seu filho é capturado no Grande Recife de Barreira e levado para Sydney, um peixe-palhaço tímido se apresenta em uma jornada para trazê-lo para casa.</v>
      </c>
      <c r="M244" s="1">
        <v>90.0</v>
      </c>
      <c r="N244" s="1" t="s">
        <v>521</v>
      </c>
      <c r="O244" s="1" t="s">
        <v>489</v>
      </c>
      <c r="P244" s="1" t="s">
        <v>828</v>
      </c>
      <c r="Q244" s="1" t="s">
        <v>1669</v>
      </c>
      <c r="R244" s="1" t="s">
        <v>1670</v>
      </c>
      <c r="S244" s="1">
        <v>949565.0</v>
      </c>
      <c r="T244" s="7" t="str">
        <f>VLOOKUP(A244,Posters!A244:B1243,2)</f>
        <v>https://m.media-amazon.com/images/M/MV5BZTAzNWZlNmUtZDEzYi00ZjA5LWIwYjEtZGM1NWE1MjE4YWRhXkEyXkFqcGdeQXVyNjU0OTQ0OTY@._V1_UX67_CR0,0,67,98_AL_.jpg</v>
      </c>
      <c r="U244" s="8">
        <f>'Inflation Adjusted Gross'!F244</f>
        <v>540707304</v>
      </c>
      <c r="V244" s="5">
        <f t="shared" si="1"/>
        <v>2020</v>
      </c>
    </row>
    <row r="245">
      <c r="A245" s="1">
        <v>244.0</v>
      </c>
      <c r="B245" s="1" t="s">
        <v>1671</v>
      </c>
      <c r="C245" s="6">
        <f>Gross_cleaning!E245</f>
        <v>164615351</v>
      </c>
      <c r="D245" s="1">
        <v>2002.0</v>
      </c>
      <c r="E245" s="1" t="s">
        <v>18</v>
      </c>
      <c r="F245" s="1" t="str">
        <f>VLOOKUP(Filmes_raw!E245,Rating_systems!$A$2:$C$29,3,FALSE)</f>
        <v>Adulto</v>
      </c>
      <c r="G245" s="2">
        <f>Gross_cleaning!F245</f>
        <v>141</v>
      </c>
      <c r="H245" s="1" t="s">
        <v>1672</v>
      </c>
      <c r="I245" s="1" t="s">
        <v>137</v>
      </c>
      <c r="J245" s="1">
        <v>8.1</v>
      </c>
      <c r="K245" s="1" t="s">
        <v>1673</v>
      </c>
      <c r="L245" s="1" t="str">
        <f>IFERROR(__xludf.DUMMYFUNCTION("GOOGLETRANSLATE(K245,""en"", ""pt-br"")"),"Apenas 21 anos, Frank é um falador especializado que passou como médico, advogado e piloto. O FBI Agent Carl fica obcecado com o rastreamento do homem, que só se revela na busca.")</f>
        <v>Apenas 21 anos, Frank é um falador especializado que passou como médico, advogado e piloto. O FBI Agent Carl fica obcecado com o rastreamento do homem, que só se revela na busca.</v>
      </c>
      <c r="M245" s="1">
        <v>75.0</v>
      </c>
      <c r="N245" s="1" t="s">
        <v>81</v>
      </c>
      <c r="O245" s="1" t="s">
        <v>90</v>
      </c>
      <c r="P245" s="1" t="s">
        <v>110</v>
      </c>
      <c r="Q245" s="1" t="s">
        <v>1674</v>
      </c>
      <c r="R245" s="1" t="s">
        <v>578</v>
      </c>
      <c r="S245" s="1">
        <v>832846.0</v>
      </c>
      <c r="T245" s="7" t="str">
        <f>VLOOKUP(A245,Posters!A245:B1244,2)</f>
        <v>https://m.media-amazon.com/images/M/MV5BMTY5MzYzNjc5NV5BMl5BanBnXkFtZTYwNTUyNTc2._V1_UX67_CR0,0,67,98_AL_.jpg</v>
      </c>
      <c r="U245" s="8">
        <f>'Inflation Adjusted Gross'!F245</f>
        <v>239785358</v>
      </c>
      <c r="V245" s="5">
        <f t="shared" si="1"/>
        <v>2020</v>
      </c>
    </row>
    <row r="246">
      <c r="A246" s="1">
        <v>245.0</v>
      </c>
      <c r="B246" s="1" t="s">
        <v>1675</v>
      </c>
      <c r="C246" s="6">
        <f>Gross_cleaning!E246</f>
        <v>5383834</v>
      </c>
      <c r="D246" s="1">
        <v>2000.0</v>
      </c>
      <c r="E246" s="1" t="s">
        <v>18</v>
      </c>
      <c r="F246" s="1" t="str">
        <f>VLOOKUP(Filmes_raw!E246,Rating_systems!$A$2:$C$29,3,FALSE)</f>
        <v>Adulto</v>
      </c>
      <c r="G246" s="2">
        <f>Gross_cleaning!F246</f>
        <v>154</v>
      </c>
      <c r="H246" s="1" t="s">
        <v>70</v>
      </c>
      <c r="I246" s="1" t="s">
        <v>1377</v>
      </c>
      <c r="J246" s="1">
        <v>8.1</v>
      </c>
      <c r="K246" s="1" t="s">
        <v>1676</v>
      </c>
      <c r="L246" s="1" t="str">
        <f>IFERROR(__xludf.DUMMYFUNCTION("GOOGLETRANSLATE(K246,""en"", ""pt-br"")"),"Um horrível acidente de carro conecta três histórias, cada uma envolvendo personagens que lidam com perda, arrependimento e realidades duras da vida, tudo em nome do amor.")</f>
        <v>Um horrível acidente de carro conecta três histórias, cada uma envolvendo personagens que lidam com perda, arrependimento e realidades duras da vida, tudo em nome do amor.</v>
      </c>
      <c r="M246" s="1">
        <v>83.0</v>
      </c>
      <c r="N246" s="1" t="s">
        <v>1677</v>
      </c>
      <c r="O246" s="1" t="s">
        <v>1678</v>
      </c>
      <c r="P246" s="1" t="s">
        <v>492</v>
      </c>
      <c r="Q246" s="1" t="s">
        <v>1679</v>
      </c>
      <c r="R246" s="1" t="s">
        <v>1680</v>
      </c>
      <c r="S246" s="1">
        <v>223741.0</v>
      </c>
      <c r="T246" s="7" t="str">
        <f>VLOOKUP(A246,Posters!A246:B1245,2)</f>
        <v>https://m.media-amazon.com/images/M/MV5BMjQxMWJhMzMtMzllZi00NzMwLTllYjktNTcwZmU4ZmU3NTA0XkEyXkFqcGdeQXVyMTAzMDM4MjM0._V1_UY98_CR3,0,67,98_AL_.jpg</v>
      </c>
      <c r="U246" s="8">
        <f>'Inflation Adjusted Gross'!F246</f>
        <v>8227921</v>
      </c>
      <c r="V246" s="5">
        <f t="shared" si="1"/>
        <v>2020</v>
      </c>
    </row>
    <row r="247">
      <c r="A247" s="1">
        <v>246.0</v>
      </c>
      <c r="B247" s="1" t="s">
        <v>1681</v>
      </c>
      <c r="C247" s="6">
        <f>Gross_cleaning!E247</f>
        <v>289916256</v>
      </c>
      <c r="D247" s="1">
        <v>2001.0</v>
      </c>
      <c r="E247" s="1" t="s">
        <v>52</v>
      </c>
      <c r="F247" s="1" t="str">
        <f>VLOOKUP(Filmes_raw!E247,Rating_systems!$A$2:$C$29,3,FALSE)</f>
        <v>Criança</v>
      </c>
      <c r="G247" s="2">
        <f>Gross_cleaning!F247</f>
        <v>92</v>
      </c>
      <c r="H247" s="1" t="s">
        <v>1588</v>
      </c>
      <c r="I247" s="1" t="s">
        <v>765</v>
      </c>
      <c r="J247" s="1">
        <v>8.1</v>
      </c>
      <c r="K247" s="1" t="s">
        <v>1682</v>
      </c>
      <c r="L247" s="1" t="str">
        <f>IFERROR(__xludf.DUMMYFUNCTION("GOOGLETRANSLATE(K247,""en"", ""pt-br"")"),"A fim de poder a cidade, os monstros têm que assustar as crianças para que eles gritam. No entanto, as crianças são tóxicas para os monstros, e depois que uma criança passa, 2 monstros percebem que as coisas podem não ser o que pensam.")</f>
        <v>A fim de poder a cidade, os monstros têm que assustar as crianças para que eles gritam. No entanto, as crianças são tóxicas para os monstros, e depois que uma criança passa, 2 monstros percebem que as coisas podem não ser o que pensam.</v>
      </c>
      <c r="M247" s="1">
        <v>79.0</v>
      </c>
      <c r="N247" s="1" t="s">
        <v>1071</v>
      </c>
      <c r="O247" s="1" t="s">
        <v>1683</v>
      </c>
      <c r="P247" s="1" t="s">
        <v>489</v>
      </c>
      <c r="Q247" s="1" t="s">
        <v>1684</v>
      </c>
      <c r="R247" s="1" t="s">
        <v>1685</v>
      </c>
      <c r="S247" s="1">
        <v>815505.0</v>
      </c>
      <c r="T247" s="7" t="str">
        <f>VLOOKUP(A247,Posters!A247:B1246,2)</f>
        <v>https://m.media-amazon.com/images/M/MV5BMTY1NTI0ODUyOF5BMl5BanBnXkFtZTgwNTEyNjQ0MDE@._V1_UX67_CR0,0,67,98_AL_.jpg</v>
      </c>
      <c r="U247" s="8">
        <f>'Inflation Adjusted Gross'!F247</f>
        <v>427127279</v>
      </c>
      <c r="V247" s="5">
        <f t="shared" si="1"/>
        <v>2020</v>
      </c>
    </row>
    <row r="248">
      <c r="A248" s="1">
        <v>247.0</v>
      </c>
      <c r="B248" s="1" t="s">
        <v>1686</v>
      </c>
      <c r="C248" s="6">
        <f>Gross_cleaning!E248</f>
        <v>0</v>
      </c>
      <c r="D248" s="1">
        <v>1997.0</v>
      </c>
      <c r="E248" s="1" t="s">
        <v>37</v>
      </c>
      <c r="F248" s="1" t="str">
        <f>VLOOKUP(Filmes_raw!E248,Rating_systems!$A$2:$C$29,3,FALSE)</f>
        <v>Criança</v>
      </c>
      <c r="G248" s="2">
        <f>Gross_cleaning!F248</f>
        <v>87</v>
      </c>
      <c r="H248" s="1" t="s">
        <v>415</v>
      </c>
      <c r="I248" s="1" t="s">
        <v>1687</v>
      </c>
      <c r="J248" s="1">
        <v>8.1</v>
      </c>
      <c r="K248" s="1" t="s">
        <v>1688</v>
      </c>
      <c r="L248" s="1" t="str">
        <f>IFERROR(__xludf.DUMMYFUNCTION("GOOGLETRANSLATE(K248,""en"", ""pt-br"")"),"Fim teatral concorrente da série de TV Shin Seiki Evangerion (1995).")</f>
        <v>Fim teatral concorrente da série de TV Shin Seiki Evangerion (1995).</v>
      </c>
      <c r="N248" s="1" t="s">
        <v>1689</v>
      </c>
      <c r="O248" s="1" t="s">
        <v>1690</v>
      </c>
      <c r="P248" s="1" t="s">
        <v>1691</v>
      </c>
      <c r="Q248" s="1" t="s">
        <v>1692</v>
      </c>
      <c r="R248" s="1" t="s">
        <v>1693</v>
      </c>
      <c r="S248" s="1">
        <v>38847.0</v>
      </c>
      <c r="T248" s="7" t="str">
        <f>VLOOKUP(A248,Posters!A248:B1247,2)</f>
        <v>https://m.media-amazon.com/images/M/MV5BZjJhMThkNTQtNjkxNy00MDdjLTg4MWQtMTI2MmQ3MDVmODUzXkEyXkFqcGdeQXVyMTAwOTA3NzY3._V1_UY98_CR1,0,67,98_AL_.jpg</v>
      </c>
      <c r="U248" s="8">
        <f>'Inflation Adjusted Gross'!F248</f>
        <v>0</v>
      </c>
      <c r="V248" s="5">
        <f t="shared" si="1"/>
        <v>2020</v>
      </c>
    </row>
    <row r="249">
      <c r="A249" s="1">
        <v>248.0</v>
      </c>
      <c r="B249" s="1" t="s">
        <v>1694</v>
      </c>
      <c r="C249" s="6">
        <f>Gross_cleaning!E249</f>
        <v>70147</v>
      </c>
      <c r="D249" s="1">
        <v>2001.0</v>
      </c>
      <c r="E249" s="1" t="s">
        <v>52</v>
      </c>
      <c r="F249" s="1" t="str">
        <f>VLOOKUP(Filmes_raw!E249,Rating_systems!$A$2:$C$29,3,FALSE)</f>
        <v>Criança</v>
      </c>
      <c r="G249" s="2">
        <f>Gross_cleaning!F249</f>
        <v>224</v>
      </c>
      <c r="H249" s="1" t="s">
        <v>1695</v>
      </c>
      <c r="I249" s="1" t="s">
        <v>1696</v>
      </c>
      <c r="J249" s="1">
        <v>8.1</v>
      </c>
      <c r="K249" s="1" t="s">
        <v>1697</v>
      </c>
      <c r="L249" s="1" t="str">
        <f>IFERROR(__xludf.DUMMYFUNCTION("GOOGLETRANSLATE(K249,""en"", ""pt-br"")"),"O povo de uma pequena aldeia na Índia vitoriana apostou seu futuro em um jogo de críquete contra seus governantes britânicos implacáveis.")</f>
        <v>O povo de uma pequena aldeia na Índia vitoriana apostou seu futuro em um jogo de críquete contra seus governantes britânicos implacáveis.</v>
      </c>
      <c r="M249" s="1">
        <v>84.0</v>
      </c>
      <c r="N249" s="1" t="s">
        <v>1130</v>
      </c>
      <c r="O249" s="1" t="s">
        <v>461</v>
      </c>
      <c r="P249" s="1" t="s">
        <v>1698</v>
      </c>
      <c r="Q249" s="1" t="s">
        <v>1648</v>
      </c>
      <c r="R249" s="1" t="s">
        <v>1699</v>
      </c>
      <c r="S249" s="1">
        <v>105036.0</v>
      </c>
      <c r="T249" s="7" t="str">
        <f>VLOOKUP(A249,Posters!A249:B1248,2)</f>
        <v>https://m.media-amazon.com/images/M/MV5BNDYxNWUzZmYtOGQxMC00MTdkLTkxOTctYzkyOGIwNWQxZjhmXkEyXkFqcGdeQXVyNjU0OTQ0OTY@._V1_UX67_CR0,0,67,98_AL_.jpg</v>
      </c>
      <c r="U249" s="8">
        <f>'Inflation Adjusted Gross'!F249</f>
        <v>103346</v>
      </c>
      <c r="V249" s="5">
        <f t="shared" si="1"/>
        <v>2020</v>
      </c>
    </row>
    <row r="250">
      <c r="A250" s="1">
        <v>249.0</v>
      </c>
      <c r="B250" s="1" t="s">
        <v>1700</v>
      </c>
      <c r="C250" s="6">
        <f>Gross_cleaning!E250</f>
        <v>293506292</v>
      </c>
      <c r="D250" s="1">
        <v>1999.0</v>
      </c>
      <c r="E250" s="1" t="s">
        <v>18</v>
      </c>
      <c r="F250" s="1" t="str">
        <f>VLOOKUP(Filmes_raw!E250,Rating_systems!$A$2:$C$29,3,FALSE)</f>
        <v>Adulto</v>
      </c>
      <c r="G250" s="2">
        <f>Gross_cleaning!F250</f>
        <v>107</v>
      </c>
      <c r="H250" s="1" t="s">
        <v>907</v>
      </c>
      <c r="I250" s="1" t="s">
        <v>527</v>
      </c>
      <c r="J250" s="1">
        <v>8.1</v>
      </c>
      <c r="K250" s="1" t="s">
        <v>1701</v>
      </c>
      <c r="L250" s="1" t="str">
        <f>IFERROR(__xludf.DUMMYFUNCTION("GOOGLETRANSLATE(K250,""en"", ""pt-br"")"),"Um menino que se comunica com os espíritos buscam a ajuda de um psicólogo infantil desanimado.")</f>
        <v>Um menino que se comunica com os espíritos buscam a ajuda de um psicólogo infantil desanimado.</v>
      </c>
      <c r="M250" s="1">
        <v>64.0</v>
      </c>
      <c r="N250" s="1" t="s">
        <v>1702</v>
      </c>
      <c r="O250" s="1" t="s">
        <v>76</v>
      </c>
      <c r="P250" s="1" t="s">
        <v>1703</v>
      </c>
      <c r="Q250" s="1" t="s">
        <v>1592</v>
      </c>
      <c r="R250" s="1" t="s">
        <v>1704</v>
      </c>
      <c r="S250" s="1">
        <v>911573.0</v>
      </c>
      <c r="T250" s="7" t="str">
        <f>VLOOKUP(A250,Posters!A250:B1249,2)</f>
        <v>https://m.media-amazon.com/images/M/MV5BMWM4NTFhYjctNzUyNi00NGMwLTk3NTYtMDIyNTZmMzRlYmQyXkEyXkFqcGdeQXVyMTAwMzUyOTc@._V1_UX67_CR0,0,67,98_AL_.jpg</v>
      </c>
      <c r="U250" s="8">
        <f>'Inflation Adjusted Gross'!F250</f>
        <v>460840607</v>
      </c>
      <c r="V250" s="5">
        <f t="shared" si="1"/>
        <v>2020</v>
      </c>
    </row>
    <row r="251">
      <c r="A251" s="1">
        <v>250.0</v>
      </c>
      <c r="B251" s="1" t="s">
        <v>1705</v>
      </c>
      <c r="C251" s="6">
        <f>Gross_cleaning!E251</f>
        <v>259127</v>
      </c>
      <c r="D251" s="1">
        <v>1998.0</v>
      </c>
      <c r="E251" s="1" t="s">
        <v>52</v>
      </c>
      <c r="F251" s="1" t="str">
        <f>VLOOKUP(Filmes_raw!E251,Rating_systems!$A$2:$C$29,3,FALSE)</f>
        <v>Criança</v>
      </c>
      <c r="G251" s="2">
        <f>Gross_cleaning!F251</f>
        <v>169</v>
      </c>
      <c r="H251" s="1" t="s">
        <v>187</v>
      </c>
      <c r="I251" s="1" t="s">
        <v>1706</v>
      </c>
      <c r="J251" s="1">
        <v>8.1</v>
      </c>
      <c r="K251" s="1" t="s">
        <v>1707</v>
      </c>
      <c r="L251" s="1" t="str">
        <f>IFERROR(__xludf.DUMMYFUNCTION("GOOGLETRANSLATE(K251,""en"", ""pt-br"")"),"Um bebê, descoberto em 1900 em um forro do oceano, cresce em um prodígio musical, nunca se pondo em terra.")</f>
        <v>Um bebê, descoberto em 1900 em um forro do oceano, cresce em um prodígio musical, nunca se pondo em terra.</v>
      </c>
      <c r="M251" s="1">
        <v>58.0</v>
      </c>
      <c r="N251" s="1" t="s">
        <v>368</v>
      </c>
      <c r="O251" s="1" t="s">
        <v>781</v>
      </c>
      <c r="P251" s="1" t="s">
        <v>1708</v>
      </c>
      <c r="Q251" s="1" t="s">
        <v>1709</v>
      </c>
      <c r="R251" s="1" t="s">
        <v>1710</v>
      </c>
      <c r="S251" s="1">
        <v>59020.0</v>
      </c>
      <c r="T251" s="7" t="str">
        <f>VLOOKUP(A251,Posters!A251:B1250,2)</f>
        <v>https://m.media-amazon.com/images/M/MV5BMzIwOTdmNjQtOWQ1ZS00ZWQ4LWIxYTMtOWFkM2NjODJiMGY4L2ltYWdlL2ltYWdlXkEyXkFqcGdeQXVyNTI4MjkwNjA@._V1_UX67_CR0,0,67,98_AL_.jpg</v>
      </c>
      <c r="U251" s="8">
        <f>'Inflation Adjusted Gross'!F251</f>
        <v>413659</v>
      </c>
      <c r="V251" s="5">
        <f t="shared" si="1"/>
        <v>2020</v>
      </c>
    </row>
    <row r="252">
      <c r="A252" s="1">
        <v>251.0</v>
      </c>
      <c r="B252" s="1" t="s">
        <v>1711</v>
      </c>
      <c r="C252" s="6">
        <f>Gross_cleaning!E252</f>
        <v>125618201</v>
      </c>
      <c r="D252" s="1">
        <v>1998.0</v>
      </c>
      <c r="E252" s="1" t="s">
        <v>52</v>
      </c>
      <c r="F252" s="1" t="str">
        <f>VLOOKUP(Filmes_raw!E252,Rating_systems!$A$2:$C$29,3,FALSE)</f>
        <v>Criança</v>
      </c>
      <c r="G252" s="2">
        <f>Gross_cleaning!F252</f>
        <v>103</v>
      </c>
      <c r="H252" s="1" t="s">
        <v>885</v>
      </c>
      <c r="I252" s="1" t="s">
        <v>507</v>
      </c>
      <c r="J252" s="1">
        <v>8.1</v>
      </c>
      <c r="K252" s="1" t="s">
        <v>1712</v>
      </c>
      <c r="L252" s="1" t="str">
        <f>IFERROR(__xludf.DUMMYFUNCTION("GOOGLETRANSLATE(K252,""en"", ""pt-br"")"),"Um vendedor de seguros descobre que toda a sua vida é, na verdade, um programa de TV reality.")</f>
        <v>Um vendedor de seguros descobre que toda a sua vida é, na verdade, um programa de TV reality.</v>
      </c>
      <c r="M252" s="1">
        <v>90.0</v>
      </c>
      <c r="N252" s="1" t="s">
        <v>1713</v>
      </c>
      <c r="O252" s="1" t="s">
        <v>718</v>
      </c>
      <c r="P252" s="1" t="s">
        <v>1151</v>
      </c>
      <c r="Q252" s="1" t="s">
        <v>1714</v>
      </c>
      <c r="R252" s="1" t="s">
        <v>1715</v>
      </c>
      <c r="S252" s="1">
        <v>939631.0</v>
      </c>
      <c r="T252" s="7" t="str">
        <f>VLOOKUP(A252,Posters!A252:B1251,2)</f>
        <v>https://m.media-amazon.com/images/M/MV5BMDIzODcyY2EtMmY2MC00ZWVlLTgwMzAtMjQwOWUyNmJjNTYyXkEyXkFqcGdeQXVyNDk3NzU2MTQ@._V1_UX67_CR0,0,67,98_AL_.jpg</v>
      </c>
      <c r="U252" s="8">
        <f>'Inflation Adjusted Gross'!F252</f>
        <v>200531268</v>
      </c>
      <c r="V252" s="5">
        <f t="shared" si="1"/>
        <v>2020</v>
      </c>
    </row>
    <row r="253">
      <c r="A253" s="1">
        <v>252.0</v>
      </c>
      <c r="B253" s="1" t="s">
        <v>1716</v>
      </c>
      <c r="C253" s="6">
        <f>Gross_cleaning!E253</f>
        <v>348660</v>
      </c>
      <c r="D253" s="1">
        <v>1998.0</v>
      </c>
      <c r="E253" s="1" t="s">
        <v>212</v>
      </c>
      <c r="F253" s="1" t="str">
        <f>VLOOKUP(Filmes_raw!E253,Rating_systems!$A$2:$C$29,3,FALSE)</f>
        <v>Adulto</v>
      </c>
      <c r="G253" s="2">
        <f>Gross_cleaning!F253</f>
        <v>127</v>
      </c>
      <c r="H253" s="1" t="s">
        <v>234</v>
      </c>
      <c r="I253" s="1" t="s">
        <v>1718</v>
      </c>
      <c r="J253" s="1">
        <v>8.1</v>
      </c>
      <c r="K253" s="1" t="s">
        <v>1719</v>
      </c>
      <c r="L253" s="1" t="str">
        <f>IFERROR(__xludf.DUMMYFUNCTION("GOOGLETRANSLATE(K253,""en"", ""pt-br"")"),"Matko e seu filho Zare vivem nas margens do rio Danúbio e passam por correr e basicamente fazendo qualquer coisa para ganhar a vida. A fim de pagar uma dívida empresarial, Matko concorda em se casar com Zare à irmã de um gângster local.")</f>
        <v>Matko e seu filho Zare vivem nas margens do rio Danúbio e passam por correr e basicamente fazendo qualquer coisa para ganhar a vida. A fim de pagar uma dívida empresarial, Matko concorda em se casar com Zare à irmã de um gângster local.</v>
      </c>
      <c r="M253" s="1">
        <v>73.0</v>
      </c>
      <c r="N253" s="1" t="s">
        <v>1200</v>
      </c>
      <c r="O253" s="1" t="s">
        <v>1720</v>
      </c>
      <c r="P253" s="1" t="s">
        <v>1721</v>
      </c>
      <c r="Q253" s="1" t="s">
        <v>1722</v>
      </c>
      <c r="R253" s="1" t="s">
        <v>1723</v>
      </c>
      <c r="S253" s="1">
        <v>50862.0</v>
      </c>
      <c r="T253" s="7" t="str">
        <f>VLOOKUP(A253,Posters!A253:B1252,2)</f>
        <v>https://m.media-amazon.com/images/M/MV5BMmExZTZhN2QtMzg5Mi00Y2M5LTlmMWYtNTUzMzUwMGM2OGQ3XkEyXkFqcGdeQXVyNTA4NzY1MzY@._V1_UX67_CR0,0,67,98_AL_.jpg</v>
      </c>
      <c r="U253" s="8">
        <f>'Inflation Adjusted Gross'!F253</f>
        <v>556585</v>
      </c>
      <c r="V253" s="5">
        <f t="shared" si="1"/>
        <v>2020</v>
      </c>
    </row>
    <row r="254">
      <c r="A254" s="1">
        <v>253.0</v>
      </c>
      <c r="B254" s="1" t="s">
        <v>1724</v>
      </c>
      <c r="C254" s="6">
        <f>Gross_cleaning!E254</f>
        <v>17498804</v>
      </c>
      <c r="D254" s="1">
        <v>1998.0</v>
      </c>
      <c r="E254" s="1" t="s">
        <v>212</v>
      </c>
      <c r="F254" s="1" t="str">
        <f>VLOOKUP(Filmes_raw!E254,Rating_systems!$A$2:$C$29,3,FALSE)</f>
        <v>Adulto</v>
      </c>
      <c r="G254" s="2">
        <f>Gross_cleaning!F254</f>
        <v>117</v>
      </c>
      <c r="H254" s="1" t="s">
        <v>466</v>
      </c>
      <c r="I254" s="1" t="s">
        <v>1725</v>
      </c>
      <c r="J254" s="1">
        <v>8.1</v>
      </c>
      <c r="K254" s="1" t="s">
        <v>1726</v>
      </c>
      <c r="L254" s="1" t="str">
        <f>IFERROR(__xludf.DUMMYFUNCTION("GOOGLETRANSLATE(K254,""en"", ""pt-br"")"),"Jeff ""O cara"" Lebowski, confundido com um milionário do mesmo nome, busca restituição por seu tapete arruinado e encorações seus amigos de boliche para ajudar a obtê-lo.")</f>
        <v>Jeff "O cara" Lebowski, confundido com um milionário do mesmo nome, busca restituição por seu tapete arruinado e encorações seus amigos de boliche para ajudar a obtê-lo.</v>
      </c>
      <c r="M254" s="1">
        <v>71.0</v>
      </c>
      <c r="N254" s="1" t="s">
        <v>1613</v>
      </c>
      <c r="O254" s="1" t="s">
        <v>1612</v>
      </c>
      <c r="P254" s="1" t="s">
        <v>1727</v>
      </c>
      <c r="Q254" s="1" t="s">
        <v>1685</v>
      </c>
      <c r="R254" s="1" t="s">
        <v>1728</v>
      </c>
      <c r="S254" s="1">
        <v>732620.0</v>
      </c>
      <c r="T254" s="7" t="str">
        <f>VLOOKUP(A254,Posters!A254:B1253,2)</f>
        <v>https://m.media-amazon.com/images/M/MV5BMTQ0NjUzMDMyOF5BMl5BanBnXkFtZTgwODA1OTU0MDE@._V1_UX67_CR0,0,67,98_AL_.jpg</v>
      </c>
      <c r="U254" s="8">
        <f>'Inflation Adjusted Gross'!F254</f>
        <v>27934307</v>
      </c>
      <c r="V254" s="5">
        <f t="shared" si="1"/>
        <v>2020</v>
      </c>
    </row>
    <row r="255">
      <c r="A255" s="1">
        <v>254.0</v>
      </c>
      <c r="B255" s="1" t="s">
        <v>1729</v>
      </c>
      <c r="C255" s="6">
        <f>Gross_cleaning!E255</f>
        <v>2734044</v>
      </c>
      <c r="D255" s="1">
        <v>2000.0</v>
      </c>
      <c r="E255" s="1" t="s">
        <v>52</v>
      </c>
      <c r="F255" s="1" t="str">
        <f>VLOOKUP(Filmes_raw!E255,Rating_systems!$A$2:$C$29,3,FALSE)</f>
        <v>Criança</v>
      </c>
      <c r="G255" s="2">
        <f>Gross_cleaning!F255</f>
        <v>98</v>
      </c>
      <c r="H255" s="1" t="s">
        <v>519</v>
      </c>
      <c r="I255" s="1" t="s">
        <v>107</v>
      </c>
      <c r="J255" s="1">
        <v>8.1</v>
      </c>
      <c r="K255" s="1" t="s">
        <v>1730</v>
      </c>
      <c r="L255" s="1" t="str">
        <f>IFERROR(__xludf.DUMMYFUNCTION("GOOGLETRANSLATE(K255,""en"", ""pt-br"")"),"Dois vizinhos, uma mulher e um homem, formam um forte vínculo depois que ambos suspeitam atividades extraconjugadas de seus cônjuges. No entanto, eles concordam em manter sua ligação platônica para não cometer erros semelhantes.")</f>
        <v>Dois vizinhos, uma mulher e um homem, formam um forte vínculo depois que ambos suspeitam atividades extraconjugadas de seus cônjuges. No entanto, eles concordam em manter sua ligação platônica para não cometer erros semelhantes.</v>
      </c>
      <c r="M255" s="1">
        <v>85.0</v>
      </c>
      <c r="N255" s="1" t="s">
        <v>1731</v>
      </c>
      <c r="O255" s="1" t="s">
        <v>1732</v>
      </c>
      <c r="P255" s="1" t="s">
        <v>1733</v>
      </c>
      <c r="Q255" s="1" t="s">
        <v>1734</v>
      </c>
      <c r="R255" s="1" t="s">
        <v>1735</v>
      </c>
      <c r="S255" s="1">
        <v>124383.0</v>
      </c>
      <c r="T255" s="7" t="str">
        <f>VLOOKUP(A255,Posters!A255:B1254,2)</f>
        <v>https://m.media-amazon.com/images/M/MV5BYjZjODRlMjQtMjJlYy00ZDBjLTkyYTQtZGQxZTk5NzJhYmNmXkEyXkFqcGdeQXVyMTQxNzMzNDI@._V1_UY98_CR1,0,67,98_AL_.jpg</v>
      </c>
      <c r="U255" s="8">
        <f>'Inflation Adjusted Gross'!F255</f>
        <v>4178342</v>
      </c>
      <c r="V255" s="5">
        <f t="shared" si="1"/>
        <v>2020</v>
      </c>
    </row>
    <row r="256">
      <c r="A256" s="1">
        <v>255.0</v>
      </c>
      <c r="B256" s="1" t="s">
        <v>1736</v>
      </c>
      <c r="C256" s="6">
        <f>Gross_cleaning!E256</f>
        <v>16501785</v>
      </c>
      <c r="D256" s="1">
        <v>1996.0</v>
      </c>
      <c r="E256" s="1" t="s">
        <v>18</v>
      </c>
      <c r="F256" s="1" t="str">
        <f>VLOOKUP(Filmes_raw!E256,Rating_systems!$A$2:$C$29,3,FALSE)</f>
        <v>Adulto</v>
      </c>
      <c r="G256" s="2">
        <f>Gross_cleaning!F256</f>
        <v>93</v>
      </c>
      <c r="H256" s="1" t="s">
        <v>1521</v>
      </c>
      <c r="I256" s="1" t="s">
        <v>20</v>
      </c>
      <c r="J256" s="1">
        <v>8.1</v>
      </c>
      <c r="K256" s="1" t="s">
        <v>1737</v>
      </c>
      <c r="L256" s="1" t="str">
        <f>IFERROR(__xludf.DUMMYFUNCTION("GOOGLETRANSLATE(K256,""en"", ""pt-br"")"),"Renton, profundamente imerso na cena de drogas de Edimburgo, tenta limpar e sair, apesar do fascínio das drogas e da influência de amigos.")</f>
        <v>Renton, profundamente imerso na cena de drogas de Edimburgo, tenta limpar e sair, apesar do fascínio das drogas e da influência de amigos.</v>
      </c>
      <c r="M256" s="1">
        <v>83.0</v>
      </c>
      <c r="N256" s="1" t="s">
        <v>1738</v>
      </c>
      <c r="O256" s="1" t="s">
        <v>1739</v>
      </c>
      <c r="P256" s="1" t="s">
        <v>1740</v>
      </c>
      <c r="Q256" s="1" t="s">
        <v>1741</v>
      </c>
      <c r="R256" s="1" t="s">
        <v>1742</v>
      </c>
      <c r="S256" s="1">
        <v>634716.0</v>
      </c>
      <c r="T256" s="7" t="str">
        <f>VLOOKUP(A256,Posters!A256:B1255,2)</f>
        <v>https://m.media-amazon.com/images/M/MV5BMzA5Zjc3ZTMtMmU5YS00YTMwLWI4MWUtYTU0YTVmNjVmODZhXkEyXkFqcGdeQXVyNjU0OTQ0OTY@._V1_UX67_CR0,0,67,98_AL_.jpg</v>
      </c>
      <c r="U256" s="8">
        <f>'Inflation Adjusted Gross'!F256</f>
        <v>27571127</v>
      </c>
      <c r="V256" s="5">
        <f t="shared" si="1"/>
        <v>2020</v>
      </c>
    </row>
    <row r="257">
      <c r="A257" s="1">
        <v>256.0</v>
      </c>
      <c r="B257" s="1" t="s">
        <v>1743</v>
      </c>
      <c r="C257" s="6">
        <f>Gross_cleaning!E257</f>
        <v>24611975</v>
      </c>
      <c r="D257" s="1">
        <v>1996.0</v>
      </c>
      <c r="E257" s="1" t="s">
        <v>18</v>
      </c>
      <c r="F257" s="1" t="str">
        <f>VLOOKUP(Filmes_raw!E257,Rating_systems!$A$2:$C$29,3,FALSE)</f>
        <v>Adulto</v>
      </c>
      <c r="G257" s="2">
        <f>Gross_cleaning!F257</f>
        <v>98</v>
      </c>
      <c r="H257" s="1" t="s">
        <v>519</v>
      </c>
      <c r="I257" s="1" t="s">
        <v>241</v>
      </c>
      <c r="J257" s="1">
        <v>8.1</v>
      </c>
      <c r="K257" s="1" t="s">
        <v>1744</v>
      </c>
      <c r="L257" s="1" t="str">
        <f>IFERROR(__xludf.DUMMYFUNCTION("GOOGLETRANSLATE(K257,""en"", ""pt-br"")"),"O crime inepto de Jerry Lundegaard se desfaz devido ao seu brungeiro e do persistente trabalho policial do Bastante Grávida Marge Gunderson.")</f>
        <v>O crime inepto de Jerry Lundegaard se desfaz devido ao seu brungeiro e do persistente trabalho policial do Bastante Grávida Marge Gunderson.</v>
      </c>
      <c r="M257" s="1">
        <v>85.0</v>
      </c>
      <c r="N257" s="1" t="s">
        <v>1613</v>
      </c>
      <c r="O257" s="1" t="s">
        <v>1612</v>
      </c>
      <c r="P257" s="1" t="s">
        <v>1745</v>
      </c>
      <c r="Q257" s="1" t="s">
        <v>972</v>
      </c>
      <c r="R257" s="1" t="s">
        <v>1746</v>
      </c>
      <c r="S257" s="1">
        <v>617444.0</v>
      </c>
      <c r="T257" s="7" t="str">
        <f>VLOOKUP(A257,Posters!A257:B1256,2)</f>
        <v>https://m.media-amazon.com/images/M/MV5BNDJiZDgyZjctYmRjMS00ZjdkLTkwMTEtNGU1NDg3NDQ0Yzk1XkEyXkFqcGdeQXVyNzkwMjQ5NzM@._V1_UX67_CR0,0,67,98_AL_.jpg</v>
      </c>
      <c r="U257" s="8">
        <f>'Inflation Adjusted Gross'!F257</f>
        <v>41121605</v>
      </c>
      <c r="V257" s="5">
        <f t="shared" si="1"/>
        <v>2020</v>
      </c>
    </row>
    <row r="258">
      <c r="A258" s="1">
        <v>257.0</v>
      </c>
      <c r="B258" s="1" t="s">
        <v>1747</v>
      </c>
      <c r="C258" s="6">
        <f>Gross_cleaning!E258</f>
        <v>171082</v>
      </c>
      <c r="D258" s="1">
        <v>1995.0</v>
      </c>
      <c r="E258" s="1">
        <v>16.0</v>
      </c>
      <c r="F258" s="1" t="str">
        <f>VLOOKUP(Filmes_raw!E258,Rating_systems!$A$2:$C$29,3,FALSE)</f>
        <v>Adolescente</v>
      </c>
      <c r="G258" s="2">
        <f>Gross_cleaning!F258</f>
        <v>170</v>
      </c>
      <c r="H258" s="1" t="s">
        <v>506</v>
      </c>
      <c r="I258" s="1" t="s">
        <v>635</v>
      </c>
      <c r="J258" s="1">
        <v>8.1</v>
      </c>
      <c r="K258" s="1" t="s">
        <v>1748</v>
      </c>
      <c r="L258" s="1" t="str">
        <f>IFERROR(__xludf.DUMMYFUNCTION("GOOGLETRANSLATE(K258,""en"", ""pt-br"")"),"Um grupo de socialistas sérvios se prepara para a guerra em um subsolo surreal cheio de festas, tragédias, amor e ódio.")</f>
        <v>Um grupo de socialistas sérvios se prepara para a guerra em um subsolo surreal cheio de festas, tragédias, amor e ódio.</v>
      </c>
      <c r="N258" s="1" t="s">
        <v>1200</v>
      </c>
      <c r="O258" s="1" t="s">
        <v>1749</v>
      </c>
      <c r="P258" s="1" t="s">
        <v>1750</v>
      </c>
      <c r="Q258" s="1" t="s">
        <v>1751</v>
      </c>
      <c r="R258" s="1" t="s">
        <v>1752</v>
      </c>
      <c r="S258" s="1">
        <v>55220.0</v>
      </c>
      <c r="T258" s="7" t="str">
        <f>VLOOKUP(A258,Posters!A258:B1257,2)</f>
        <v>https://m.media-amazon.com/images/M/MV5BNzI4YTVmMWEtMWQ3MS00OGE1LWE5YjMtNjc4NWJmYjRmZTQyXkEyXkFqcGdeQXVyNTA4NzY1MzY@._V1_UY98_CR0,0,67,98_AL_.jpg</v>
      </c>
      <c r="U258" s="8">
        <f>'Inflation Adjusted Gross'!F258</f>
        <v>293641</v>
      </c>
      <c r="V258" s="5">
        <f t="shared" si="1"/>
        <v>2020</v>
      </c>
    </row>
    <row r="259">
      <c r="A259" s="1">
        <v>258.0</v>
      </c>
      <c r="B259" s="1" t="s">
        <v>1753</v>
      </c>
      <c r="C259" s="6">
        <f>Gross_cleaning!E259</f>
        <v>309811</v>
      </c>
      <c r="D259" s="1">
        <v>1995.0</v>
      </c>
      <c r="E259" s="1" t="s">
        <v>37</v>
      </c>
      <c r="F259" s="1" t="str">
        <f>VLOOKUP(Filmes_raw!E259,Rating_systems!$A$2:$C$29,3,FALSE)</f>
        <v>Criança</v>
      </c>
      <c r="G259" s="2">
        <f>Gross_cleaning!F259</f>
        <v>98</v>
      </c>
      <c r="H259" s="1" t="s">
        <v>519</v>
      </c>
      <c r="I259" s="1" t="s">
        <v>29</v>
      </c>
      <c r="J259" s="1">
        <v>8.1</v>
      </c>
      <c r="K259" s="1" t="s">
        <v>1754</v>
      </c>
      <c r="L259" s="1" t="str">
        <f>IFERROR(__xludf.DUMMYFUNCTION("GOOGLETRANSLATE(K259,""en"", ""pt-br"")"),"24 horas na vida de três jovens nos subúrbios franceses no dia seguinte ao violento.")</f>
        <v>24 horas na vida de três jovens nos subúrbios franceses no dia seguinte ao violento.</v>
      </c>
      <c r="N259" s="1" t="s">
        <v>727</v>
      </c>
      <c r="O259" s="1" t="s">
        <v>1755</v>
      </c>
      <c r="P259" s="1" t="s">
        <v>1756</v>
      </c>
      <c r="Q259" s="1" t="s">
        <v>1757</v>
      </c>
      <c r="R259" s="1" t="s">
        <v>1758</v>
      </c>
      <c r="S259" s="1">
        <v>150345.0</v>
      </c>
      <c r="T259" s="7" t="str">
        <f>VLOOKUP(A259,Posters!A259:B1258,2)</f>
        <v>https://m.media-amazon.com/images/M/MV5BNDNiOTA5YjktY2Q0Ni00ODgzLWE5MWItNGExOWRlYjY2MjBlXkEyXkFqcGdeQXVyNjQ2MjQ5NzM@._V1_UY98_CR1,0,67,98_AL_.jpg</v>
      </c>
      <c r="U259" s="8">
        <f>'Inflation Adjusted Gross'!F259</f>
        <v>531752</v>
      </c>
      <c r="V259" s="5">
        <f t="shared" si="1"/>
        <v>2020</v>
      </c>
    </row>
    <row r="260">
      <c r="A260" s="1">
        <v>259.0</v>
      </c>
      <c r="B260" s="1" t="s">
        <v>1759</v>
      </c>
      <c r="C260" s="6">
        <f>Gross_cleaning!E260</f>
        <v>74965</v>
      </c>
      <c r="D260" s="1">
        <v>1995.0</v>
      </c>
      <c r="E260" s="1" t="s">
        <v>52</v>
      </c>
      <c r="F260" s="1" t="str">
        <f>VLOOKUP(Filmes_raw!E260,Rating_systems!$A$2:$C$29,3,FALSE)</f>
        <v>Criança</v>
      </c>
      <c r="G260" s="2">
        <f>Gross_cleaning!F260</f>
        <v>189</v>
      </c>
      <c r="H260" s="1" t="s">
        <v>219</v>
      </c>
      <c r="I260" s="1" t="s">
        <v>107</v>
      </c>
      <c r="J260" s="1">
        <v>8.1</v>
      </c>
      <c r="K260" s="1" t="s">
        <v>1760</v>
      </c>
      <c r="L260" s="1" t="str">
        <f>IFERROR(__xludf.DUMMYFUNCTION("GOOGLETRANSLATE(K260,""en"", ""pt-br"")"),"Quando Raj encontra Simran na Europa, não é amor à primeira vista, mas quando Simran se move para a Índia para um casamento arranjado, o amor faz sua presença sentida.")</f>
        <v>Quando Raj encontra Simran na Europa, não é amor à primeira vista, mas quando Simran se move para a Índia para um casamento arranjado, o amor faz sua presença sentida.</v>
      </c>
      <c r="N260" s="1" t="s">
        <v>1761</v>
      </c>
      <c r="O260" s="1" t="s">
        <v>1084</v>
      </c>
      <c r="P260" s="1" t="s">
        <v>1762</v>
      </c>
      <c r="Q260" s="1" t="s">
        <v>1763</v>
      </c>
      <c r="R260" s="1" t="s">
        <v>1764</v>
      </c>
      <c r="S260" s="1">
        <v>63516.0</v>
      </c>
      <c r="T260" s="7" t="str">
        <f>VLOOKUP(A260,Posters!A260:B1259,2)</f>
        <v>https://m.media-amazon.com/images/M/MV5BYmNjYzRlM2YtZTZjZC00ODVmLTljZWMtODg1YmYyNDBiNzU3XkEyXkFqcGdeQXVyNTkzNDQ4ODc@._V1_UY98_CR3,0,67,98_AL_.jpg</v>
      </c>
      <c r="U260" s="8">
        <f>'Inflation Adjusted Gross'!F260</f>
        <v>128668</v>
      </c>
      <c r="V260" s="5">
        <f t="shared" si="1"/>
        <v>2020</v>
      </c>
    </row>
    <row r="261">
      <c r="A261" s="1">
        <v>260.0</v>
      </c>
      <c r="B261" s="1" t="s">
        <v>1765</v>
      </c>
      <c r="C261" s="6">
        <f>Gross_cleaning!E261</f>
        <v>5535405</v>
      </c>
      <c r="D261" s="1">
        <v>1995.0</v>
      </c>
      <c r="E261" s="1" t="s">
        <v>212</v>
      </c>
      <c r="F261" s="1" t="str">
        <f>VLOOKUP(Filmes_raw!E261,Rating_systems!$A$2:$C$29,3,FALSE)</f>
        <v>Adulto</v>
      </c>
      <c r="G261" s="2">
        <f>Gross_cleaning!F261</f>
        <v>101</v>
      </c>
      <c r="H261" s="1" t="s">
        <v>535</v>
      </c>
      <c r="I261" s="1" t="s">
        <v>107</v>
      </c>
      <c r="J261" s="1">
        <v>8.1</v>
      </c>
      <c r="K261" s="1" t="s">
        <v>1766</v>
      </c>
      <c r="L261" s="1" t="str">
        <f>IFERROR(__xludf.DUMMYFUNCTION("GOOGLETRANSLATE(K261,""en"", ""pt-br"")"),"Um jovem e mulher se encontram em um trem na Europa, e acabam passando uma noite juntos em Viena. Infelizmente, ambos sabem que isso provavelmente será sua única noite juntos.")</f>
        <v>Um jovem e mulher se encontram em um trem na Europa, e acabam passando uma noite juntos em Viena. Infelizmente, ambos sabem que isso provavelmente será sua única noite juntos.</v>
      </c>
      <c r="M261" s="1">
        <v>77.0</v>
      </c>
      <c r="N261" s="1" t="s">
        <v>1641</v>
      </c>
      <c r="O261" s="1" t="s">
        <v>1642</v>
      </c>
      <c r="P261" s="1" t="s">
        <v>1643</v>
      </c>
      <c r="Q261" s="1" t="s">
        <v>1767</v>
      </c>
      <c r="R261" s="1" t="s">
        <v>1768</v>
      </c>
      <c r="S261" s="1">
        <v>272291.0</v>
      </c>
      <c r="T261" s="7" t="str">
        <f>VLOOKUP(A261,Posters!A261:B1260,2)</f>
        <v>https://m.media-amazon.com/images/M/MV5BZDdiZTAwYzAtMDI3Ni00OTRjLTkzN2UtMGE3MDMyZmU4NTU4XkEyXkFqcGdeQXVyNjU0OTQ0OTY@._V1_UX67_CR0,0,67,98_AL_.jpg</v>
      </c>
      <c r="U261" s="8">
        <f>'Inflation Adjusted Gross'!F261</f>
        <v>9500825</v>
      </c>
      <c r="V261" s="5">
        <f t="shared" si="1"/>
        <v>2020</v>
      </c>
    </row>
    <row r="262">
      <c r="A262" s="1">
        <v>261.0</v>
      </c>
      <c r="B262" s="1" t="s">
        <v>1769</v>
      </c>
      <c r="C262" s="6">
        <f>Gross_cleaning!E262</f>
        <v>4043686</v>
      </c>
      <c r="D262" s="1">
        <v>1994.0</v>
      </c>
      <c r="E262" s="1" t="s">
        <v>52</v>
      </c>
      <c r="F262" s="1" t="str">
        <f>VLOOKUP(Filmes_raw!E262,Rating_systems!$A$2:$C$29,3,FALSE)</f>
        <v>Criança</v>
      </c>
      <c r="G262" s="2">
        <f>Gross_cleaning!F262</f>
        <v>99</v>
      </c>
      <c r="H262" s="1" t="s">
        <v>778</v>
      </c>
      <c r="I262" s="1" t="s">
        <v>1051</v>
      </c>
      <c r="J262" s="1">
        <v>8.1</v>
      </c>
      <c r="K262" s="1" t="s">
        <v>1770</v>
      </c>
      <c r="L262" s="1" t="str">
        <f>IFERROR(__xludf.DUMMYFUNCTION("GOOGLETRANSLATE(K262,""en"", ""pt-br"")"),"Um modelo descobre que um juiz aposentado está interessado em invadir a privacidade das pessoas.")</f>
        <v>Um modelo descobre que um juiz aposentado está interessado em invadir a privacidade das pessoas.</v>
      </c>
      <c r="M262" s="1">
        <v>100.0</v>
      </c>
      <c r="N262" s="1" t="s">
        <v>1771</v>
      </c>
      <c r="O262" s="1" t="s">
        <v>1772</v>
      </c>
      <c r="P262" s="1" t="s">
        <v>1773</v>
      </c>
      <c r="Q262" s="1" t="s">
        <v>1774</v>
      </c>
      <c r="R262" s="1" t="s">
        <v>1775</v>
      </c>
      <c r="S262" s="1">
        <v>90729.0</v>
      </c>
      <c r="T262" s="7" t="str">
        <f>VLOOKUP(A262,Posters!A262:B1261,2)</f>
        <v>https://m.media-amazon.com/images/M/MV5BYTg1MmNiMjItMmY4Yy00ZDQ3LThjMzYtZGQ0ZTQzNTdkMGQ1L2ltYWdlL2ltYWdlXkEyXkFqcGdeQXVyMTQxNzMzNDI@._V1_UX67_CR0,0,67,98_AL_.jpg</v>
      </c>
      <c r="U262" s="8">
        <f>'Inflation Adjusted Gross'!F262</f>
        <v>7135114</v>
      </c>
      <c r="V262" s="5">
        <f t="shared" si="1"/>
        <v>2020</v>
      </c>
    </row>
    <row r="263">
      <c r="A263" s="1">
        <v>262.0</v>
      </c>
      <c r="B263" s="1" t="s">
        <v>1776</v>
      </c>
      <c r="C263" s="6">
        <f>Gross_cleaning!E263</f>
        <v>600200</v>
      </c>
      <c r="D263" s="1">
        <v>1994.0</v>
      </c>
      <c r="E263" s="1" t="s">
        <v>52</v>
      </c>
      <c r="F263" s="1" t="str">
        <f>VLOOKUP(Filmes_raw!E263,Rating_systems!$A$2:$C$29,3,FALSE)</f>
        <v>Criança</v>
      </c>
      <c r="G263" s="2">
        <f>Gross_cleaning!F263</f>
        <v>102</v>
      </c>
      <c r="H263" s="1" t="s">
        <v>405</v>
      </c>
      <c r="I263" s="1" t="s">
        <v>831</v>
      </c>
      <c r="J263" s="1">
        <v>8.1</v>
      </c>
      <c r="K263" s="1" t="s">
        <v>1778</v>
      </c>
      <c r="L263" s="1" t="str">
        <f>IFERROR(__xludf.DUMMYFUNCTION("GOOGLETRANSLATE(K263,""en"", ""pt-br"")"),"Dois políticos melancólicos de Hong Kong se apaixonam: um com uma misteriosa figura do submundo feminino, a outra com um servidor bonito e etéreo em um restaurante tardio de noite, ele freqüenta.")</f>
        <v>Dois políticos melancólicos de Hong Kong se apaixonam: um com uma misteriosa figura do submundo feminino, a outra com um servidor bonito e etéreo em um restaurante tardio de noite, ele freqüenta.</v>
      </c>
      <c r="M263" s="1">
        <v>77.0</v>
      </c>
      <c r="N263" s="1" t="s">
        <v>1731</v>
      </c>
      <c r="O263" s="1" t="s">
        <v>1779</v>
      </c>
      <c r="P263" s="1" t="s">
        <v>1780</v>
      </c>
      <c r="Q263" s="1" t="s">
        <v>1732</v>
      </c>
      <c r="R263" s="1" t="s">
        <v>1781</v>
      </c>
      <c r="S263" s="1">
        <v>63122.0</v>
      </c>
      <c r="T263" s="7" t="str">
        <f>VLOOKUP(A263,Posters!A263:B1262,2)</f>
        <v>https://m.media-amazon.com/images/M/MV5BMGQ5MzljNzYtMDM1My00NmI0LThlYzQtMTg0ZmQ0MTk1YjkxXkEyXkFqcGdeQXVyNTAyODkwOQ@@._V1_UY98_CR1,0,67,98_AL_.jpg</v>
      </c>
      <c r="U263" s="8">
        <f>'Inflation Adjusted Gross'!F263</f>
        <v>1059057</v>
      </c>
      <c r="V263" s="5">
        <f t="shared" si="1"/>
        <v>2020</v>
      </c>
    </row>
    <row r="264">
      <c r="A264" s="1">
        <v>263.0</v>
      </c>
      <c r="B264" s="1" t="s">
        <v>1782</v>
      </c>
      <c r="C264" s="6">
        <f>Gross_cleaning!E264</f>
        <v>402453882</v>
      </c>
      <c r="D264" s="1">
        <v>1993.0</v>
      </c>
      <c r="E264" s="1" t="s">
        <v>37</v>
      </c>
      <c r="F264" s="1" t="str">
        <f>VLOOKUP(Filmes_raw!E264,Rating_systems!$A$2:$C$29,3,FALSE)</f>
        <v>Criança</v>
      </c>
      <c r="G264" s="2">
        <f>Gross_cleaning!F264</f>
        <v>127</v>
      </c>
      <c r="H264" s="1" t="s">
        <v>234</v>
      </c>
      <c r="I264" s="1" t="s">
        <v>88</v>
      </c>
      <c r="J264" s="1">
        <v>8.1</v>
      </c>
      <c r="K264" s="1" t="s">
        <v>1783</v>
      </c>
      <c r="L264" s="1" t="str">
        <f>IFERROR(__xludf.DUMMYFUNCTION("GOOGLETRANSLATE(K264,""en"", ""pt-br"")"),"Um paleontologista pragmático que visita um parque temático quase completo é encarregado de proteger um par de crianças depois que uma falha de energia faz com que os dinossauros clonados do parque se soltassem.")</f>
        <v>Um paleontologista pragmático que visita um parque temático quase completo é encarregado de proteger um par de crianças depois que uma falha de energia faz com que os dinossauros clonados do parque se soltassem.</v>
      </c>
      <c r="M264" s="1">
        <v>68.0</v>
      </c>
      <c r="N264" s="1" t="s">
        <v>81</v>
      </c>
      <c r="O264" s="1" t="s">
        <v>1784</v>
      </c>
      <c r="P264" s="1" t="s">
        <v>1785</v>
      </c>
      <c r="Q264" s="1" t="s">
        <v>1786</v>
      </c>
      <c r="R264" s="1" t="s">
        <v>1274</v>
      </c>
      <c r="S264" s="1">
        <v>867615.0</v>
      </c>
      <c r="T264" s="7" t="str">
        <f>VLOOKUP(A264,Posters!A264:B1263,2)</f>
        <v>https://m.media-amazon.com/images/M/MV5BMjM2MDgxMDg0Nl5BMl5BanBnXkFtZTgwNTM2OTM5NDE@._V1_UX67_CR0,0,67,98_AL_.jpg</v>
      </c>
      <c r="U264" s="8">
        <f>'Inflation Adjusted Gross'!F264</f>
        <v>728060523</v>
      </c>
      <c r="V264" s="5">
        <f t="shared" si="1"/>
        <v>2020</v>
      </c>
    </row>
    <row r="265">
      <c r="A265" s="1">
        <v>264.0</v>
      </c>
      <c r="B265" s="1" t="s">
        <v>1787</v>
      </c>
      <c r="C265" s="6">
        <f>Gross_cleaning!E265</f>
        <v>25010410</v>
      </c>
      <c r="D265" s="1">
        <v>1993.0</v>
      </c>
      <c r="E265" s="1" t="s">
        <v>37</v>
      </c>
      <c r="F265" s="1" t="str">
        <f>VLOOKUP(Filmes_raw!E265,Rating_systems!$A$2:$C$29,3,FALSE)</f>
        <v>Criança</v>
      </c>
      <c r="G265" s="2">
        <f>Gross_cleaning!F265</f>
        <v>133</v>
      </c>
      <c r="H265" s="1" t="s">
        <v>153</v>
      </c>
      <c r="I265" s="1" t="s">
        <v>137</v>
      </c>
      <c r="J265" s="1">
        <v>8.1</v>
      </c>
      <c r="K265" s="1" t="s">
        <v>1788</v>
      </c>
      <c r="L265" s="1" t="str">
        <f>IFERROR(__xludf.DUMMYFUNCTION("GOOGLETRANSLATE(K265,""en"", ""pt-br"")"),"Confissão de uma coagida de um homem a um i.r.a. Bombardeio ele não cometer resultados na prisão de seu pai também. Um advogado inglês lutas para libertá-los.")</f>
        <v>Confissão de uma coagida de um homem a um i.r.a. Bombardeio ele não cometer resultados na prisão de seu pai também. Um advogado inglês lutas para libertá-los.</v>
      </c>
      <c r="M265" s="1">
        <v>84.0</v>
      </c>
      <c r="N265" s="1" t="s">
        <v>1789</v>
      </c>
      <c r="O265" s="1" t="s">
        <v>1092</v>
      </c>
      <c r="P265" s="1" t="s">
        <v>1790</v>
      </c>
      <c r="Q265" s="1" t="s">
        <v>1791</v>
      </c>
      <c r="R265" s="1" t="s">
        <v>1792</v>
      </c>
      <c r="S265" s="1">
        <v>156842.0</v>
      </c>
      <c r="T265" s="7" t="str">
        <f>VLOOKUP(A265,Posters!A265:B1264,2)</f>
        <v>https://m.media-amazon.com/images/M/MV5BMmYyOTgwYWItYmU3Ny00M2E2LTk0NWMtMDVlNmQ0MWZiMTMxXkEyXkFqcGdeQXVyNzkwMjQ5NzM@._V1_UX67_CR0,0,67,98_AL_.jpg</v>
      </c>
      <c r="U265" s="8">
        <f>'Inflation Adjusted Gross'!F265</f>
        <v>45245165</v>
      </c>
      <c r="V265" s="5">
        <f t="shared" si="1"/>
        <v>2020</v>
      </c>
    </row>
    <row r="266">
      <c r="A266" s="1">
        <v>265.0</v>
      </c>
      <c r="B266" s="1" t="s">
        <v>1793</v>
      </c>
      <c r="C266" s="6">
        <f>Gross_cleaning!E266</f>
        <v>5216888</v>
      </c>
      <c r="D266" s="1">
        <v>1993.0</v>
      </c>
      <c r="E266" s="1" t="s">
        <v>212</v>
      </c>
      <c r="F266" s="1" t="str">
        <f>VLOOKUP(Filmes_raw!E266,Rating_systems!$A$2:$C$29,3,FALSE)</f>
        <v>Adulto</v>
      </c>
      <c r="G266" s="2">
        <f>Gross_cleaning!F266</f>
        <v>171</v>
      </c>
      <c r="H266" s="1" t="s">
        <v>1794</v>
      </c>
      <c r="I266" s="1" t="s">
        <v>1706</v>
      </c>
      <c r="J266" s="1">
        <v>8.1</v>
      </c>
      <c r="K266" s="1" t="s">
        <v>1795</v>
      </c>
      <c r="L266" s="1" t="str">
        <f>IFERROR(__xludf.DUMMYFUNCTION("GOOGLETRANSLATE(K266,""en"", ""pt-br"")"),"Dois meninos se encontram em uma escola de treinamento de ópera em Pequim em 1924. Sua amizade resultante vai se aproximar de quase 70 anos e suportará alguns dos momentos mais problemáticos da história da China.")</f>
        <v>Dois meninos se encontram em uma escola de treinamento de ópera em Pequim em 1924. Sua amizade resultante vai se aproximar de quase 70 anos e suportará alguns dos momentos mais problemáticos da história da China.</v>
      </c>
      <c r="N266" s="1" t="s">
        <v>1796</v>
      </c>
      <c r="O266" s="1" t="s">
        <v>1797</v>
      </c>
      <c r="P266" s="1" t="s">
        <v>1798</v>
      </c>
      <c r="Q266" s="1" t="s">
        <v>1799</v>
      </c>
      <c r="R266" s="1" t="s">
        <v>1800</v>
      </c>
      <c r="S266" s="1">
        <v>25088.0</v>
      </c>
      <c r="T266" s="7" t="str">
        <f>VLOOKUP(A266,Posters!A266:B1265,2)</f>
        <v>https://m.media-amazon.com/images/M/MV5BYmFhZmM3Y2MtNDA1Ny00NjkzLWJkM2EtYWU1ZjEwYmNjZDQ0XkEyXkFqcGdeQXVyMTMxMTY0OTQ@._V1_UX67_CR0,0,67,98_AL_.jpg</v>
      </c>
      <c r="U266" s="8">
        <f>'Inflation Adjusted Gross'!F266</f>
        <v>9437628</v>
      </c>
      <c r="V266" s="5">
        <f t="shared" si="1"/>
        <v>2020</v>
      </c>
    </row>
    <row r="267">
      <c r="A267" s="1">
        <v>266.0</v>
      </c>
      <c r="B267" s="1" t="s">
        <v>1801</v>
      </c>
      <c r="C267" s="6">
        <f>Gross_cleaning!E267</f>
        <v>2603061</v>
      </c>
      <c r="D267" s="1">
        <v>1991.0</v>
      </c>
      <c r="E267" s="1" t="s">
        <v>270</v>
      </c>
      <c r="F267" s="1" t="str">
        <f>VLOOKUP(Filmes_raw!E267,Rating_systems!$A$2:$C$29,3,FALSE)</f>
        <v>Criança</v>
      </c>
      <c r="G267" s="2">
        <f>Gross_cleaning!F267</f>
        <v>125</v>
      </c>
      <c r="H267" s="1" t="s">
        <v>203</v>
      </c>
      <c r="I267" s="1" t="s">
        <v>1802</v>
      </c>
      <c r="J267" s="1">
        <v>8.1</v>
      </c>
      <c r="K267" s="1" t="s">
        <v>1803</v>
      </c>
      <c r="L267" s="1" t="str">
        <f>IFERROR(__xludf.DUMMYFUNCTION("GOOGLETRANSLATE(K267,""en"", ""pt-br"")"),"Uma jovem se torna a quarta esposa de um lorde rico e deve aprender a viver com as rigorosas regras e tensões dentro da casa.")</f>
        <v>Uma jovem se torna a quarta esposa de um lorde rico e deve aprender a viver com as rigorosas regras e tensões dentro da casa.</v>
      </c>
      <c r="N267" s="1" t="s">
        <v>1804</v>
      </c>
      <c r="O267" s="1" t="s">
        <v>1799</v>
      </c>
      <c r="P267" s="1" t="s">
        <v>1805</v>
      </c>
      <c r="Q267" s="1" t="s">
        <v>1806</v>
      </c>
      <c r="R267" s="1" t="s">
        <v>1807</v>
      </c>
      <c r="S267" s="1">
        <v>29662.0</v>
      </c>
      <c r="T267" s="7" t="str">
        <f>VLOOKUP(A267,Posters!A267:B1266,2)</f>
        <v>https://m.media-amazon.com/images/M/MV5BMjEzNjY5NDcwNV5BMl5BanBnXkFtZTcwNzEwMzg4NA@@._V1_UX67_CR0,0,67,98_AL_.jpg</v>
      </c>
      <c r="U267" s="8">
        <f>'Inflation Adjusted Gross'!F267</f>
        <v>4988962</v>
      </c>
      <c r="V267" s="5">
        <f t="shared" si="1"/>
        <v>2020</v>
      </c>
    </row>
    <row r="268">
      <c r="A268" s="1">
        <v>267.0</v>
      </c>
      <c r="B268" s="1" t="s">
        <v>1808</v>
      </c>
      <c r="C268" s="6">
        <f>Gross_cleaning!E268</f>
        <v>95860116</v>
      </c>
      <c r="D268" s="1">
        <v>1989.0</v>
      </c>
      <c r="E268" s="1" t="s">
        <v>52</v>
      </c>
      <c r="F268" s="1" t="str">
        <f>VLOOKUP(Filmes_raw!E268,Rating_systems!$A$2:$C$29,3,FALSE)</f>
        <v>Criança</v>
      </c>
      <c r="G268" s="2">
        <f>Gross_cleaning!F268</f>
        <v>128</v>
      </c>
      <c r="H268" s="1" t="s">
        <v>878</v>
      </c>
      <c r="I268" s="1" t="s">
        <v>507</v>
      </c>
      <c r="J268" s="1">
        <v>8.1</v>
      </c>
      <c r="K268" s="1" t="s">
        <v>1809</v>
      </c>
      <c r="L268" s="1" t="str">
        <f>IFERROR(__xludf.DUMMYFUNCTION("GOOGLETRANSLATE(K268,""en"", ""pt-br"")"),"Maverick Professor John Keating usa poesia para encorajar seus estudantes de embarque para novas alturas de auto-expressão.")</f>
        <v>Maverick Professor John Keating usa poesia para encorajar seus estudantes de embarque para novas alturas de auto-expressão.</v>
      </c>
      <c r="M268" s="1">
        <v>79.0</v>
      </c>
      <c r="N268" s="1" t="s">
        <v>1713</v>
      </c>
      <c r="O268" s="1" t="s">
        <v>752</v>
      </c>
      <c r="P268" s="1" t="s">
        <v>1810</v>
      </c>
      <c r="Q268" s="1" t="s">
        <v>1642</v>
      </c>
      <c r="R268" s="1" t="s">
        <v>1811</v>
      </c>
      <c r="S268" s="1">
        <v>425457.0</v>
      </c>
      <c r="T268" s="7" t="str">
        <f>VLOOKUP(A268,Posters!A268:B1267,2)</f>
        <v>https://m.media-amazon.com/images/M/MV5BOGYwYWNjMzgtNGU4ZC00NWQ2LWEwZjUtMzE1Zjc3NjY3YTU1XkEyXkFqcGdeQXVyMTQxNzMzNDI@._V1_UX67_CR0,0,67,98_AL_.jpg</v>
      </c>
      <c r="U268" s="8">
        <f>'Inflation Adjusted Gross'!F268</f>
        <v>204204211</v>
      </c>
      <c r="V268" s="5">
        <f t="shared" si="1"/>
        <v>2020</v>
      </c>
    </row>
    <row r="269">
      <c r="A269" s="1">
        <v>268.0</v>
      </c>
      <c r="B269" s="1" t="s">
        <v>1812</v>
      </c>
      <c r="C269" s="6">
        <f>Gross_cleaning!E269</f>
        <v>52287414</v>
      </c>
      <c r="D269" s="1">
        <v>1986.0</v>
      </c>
      <c r="E269" s="1" t="s">
        <v>52</v>
      </c>
      <c r="F269" s="1" t="str">
        <f>VLOOKUP(Filmes_raw!E269,Rating_systems!$A$2:$C$29,3,FALSE)</f>
        <v>Criança</v>
      </c>
      <c r="G269" s="2">
        <f>Gross_cleaning!F269</f>
        <v>89</v>
      </c>
      <c r="H269" s="1" t="s">
        <v>374</v>
      </c>
      <c r="I269" s="1" t="s">
        <v>1813</v>
      </c>
      <c r="J269" s="1">
        <v>8.1</v>
      </c>
      <c r="K269" s="1" t="s">
        <v>1814</v>
      </c>
      <c r="L269" s="1" t="str">
        <f>IFERROR(__xludf.DUMMYFUNCTION("GOOGLETRANSLATE(K269,""en"", ""pt-br"")"),"Após a morte de um de seus amigos, um escritor reconta uma jornada de infância com seus amigos para encontrar o corpo de um menino desaparecido.")</f>
        <v>Após a morte de um de seus amigos, um escritor reconta uma jornada de infância com seus amigos para encontrar o corpo de um menino desaparecido.</v>
      </c>
      <c r="M269" s="1">
        <v>75.0</v>
      </c>
      <c r="N269" s="1" t="s">
        <v>1815</v>
      </c>
      <c r="O269" s="1" t="s">
        <v>1816</v>
      </c>
      <c r="P269" s="1" t="s">
        <v>1817</v>
      </c>
      <c r="Q269" s="1" t="s">
        <v>1818</v>
      </c>
      <c r="R269" s="1" t="s">
        <v>1819</v>
      </c>
      <c r="S269" s="1">
        <v>363401.0</v>
      </c>
      <c r="T269" s="7" t="str">
        <f>VLOOKUP(A269,Posters!A269:B1268,2)</f>
        <v>https://m.media-amazon.com/images/M/MV5BODJmY2Y2OGQtMDg2My00N2Q3LWJmZTUtYTc2ODBjZDVlNDlhXkEyXkFqcGdeQXVyMTQxNzMzNDI@._V1_UX67_CR0,0,67,98_AL_.jpg</v>
      </c>
      <c r="U269" s="8">
        <f>'Inflation Adjusted Gross'!F269</f>
        <v>123071501</v>
      </c>
      <c r="V269" s="5">
        <f t="shared" si="1"/>
        <v>2020</v>
      </c>
    </row>
    <row r="270">
      <c r="A270" s="1">
        <v>269.0</v>
      </c>
      <c r="B270" s="1" t="s">
        <v>1820</v>
      </c>
      <c r="C270" s="6">
        <f>Gross_cleaning!E270</f>
        <v>138530565</v>
      </c>
      <c r="D270" s="1">
        <v>1986.0</v>
      </c>
      <c r="E270" s="1" t="s">
        <v>18</v>
      </c>
      <c r="F270" s="1" t="str">
        <f>VLOOKUP(Filmes_raw!E270,Rating_systems!$A$2:$C$29,3,FALSE)</f>
        <v>Adulto</v>
      </c>
      <c r="G270" s="2">
        <f>Gross_cleaning!F270</f>
        <v>120</v>
      </c>
      <c r="H270" s="1" t="s">
        <v>1546</v>
      </c>
      <c r="I270" s="1" t="s">
        <v>213</v>
      </c>
      <c r="J270" s="1">
        <v>8.1</v>
      </c>
      <c r="K270" s="1" t="s">
        <v>1821</v>
      </c>
      <c r="L270" s="1" t="str">
        <f>IFERROR(__xludf.DUMMYFUNCTION("GOOGLETRANSLATE(K270,""en"", ""pt-br"")"),"Chris Taylor, um recruta neófito no Vietnã, se encontra preso em uma batalha de vontades entre dois sargentos, um bom e outro mal. Um exame perspicaz da brutalidade da guerra e da dualidade do homem em conflito.")</f>
        <v>Chris Taylor, um recruta neófito no Vietnã, se encontra preso em uma batalha de vontades entre dois sargentos, um bom e outro mal. Um exame perspicaz da brutalidade da guerra e da dualidade do homem em conflito.</v>
      </c>
      <c r="M270" s="1">
        <v>92.0</v>
      </c>
      <c r="N270" s="1" t="s">
        <v>1822</v>
      </c>
      <c r="O270" s="1" t="s">
        <v>1823</v>
      </c>
      <c r="P270" s="1" t="s">
        <v>1824</v>
      </c>
      <c r="Q270" s="1" t="s">
        <v>1825</v>
      </c>
      <c r="R270" s="1" t="s">
        <v>1826</v>
      </c>
      <c r="S270" s="1">
        <v>381222.0</v>
      </c>
      <c r="T270" s="7" t="str">
        <f>VLOOKUP(A270,Posters!A270:B1269,2)</f>
        <v>https://m.media-amazon.com/images/M/MV5BMzRjZjdlMjQtODVkYS00N2YzLWJlYWYtMGVlN2E5MWEwMWQzXkEyXkFqcGdeQXVyMTQxNzMzNDI@._V1_UX67_CR0,0,67,98_AL_.jpg</v>
      </c>
      <c r="U270" s="8">
        <f>'Inflation Adjusted Gross'!F270</f>
        <v>326066317</v>
      </c>
      <c r="V270" s="5">
        <f t="shared" si="1"/>
        <v>2020</v>
      </c>
    </row>
    <row r="271">
      <c r="A271" s="1">
        <v>270.0</v>
      </c>
      <c r="B271" s="1" t="s">
        <v>1827</v>
      </c>
      <c r="C271" s="6">
        <f>Gross_cleaning!E271</f>
        <v>2181987</v>
      </c>
      <c r="D271" s="1">
        <v>1984.0</v>
      </c>
      <c r="E271" s="1" t="s">
        <v>52</v>
      </c>
      <c r="F271" s="1" t="str">
        <f>VLOOKUP(Filmes_raw!E271,Rating_systems!$A$2:$C$29,3,FALSE)</f>
        <v>Criança</v>
      </c>
      <c r="G271" s="2">
        <f>Gross_cleaning!F271</f>
        <v>145</v>
      </c>
      <c r="H271" s="1" t="s">
        <v>1398</v>
      </c>
      <c r="I271" s="1" t="s">
        <v>20</v>
      </c>
      <c r="J271" s="1">
        <v>8.1</v>
      </c>
      <c r="K271" s="1" t="s">
        <v>1828</v>
      </c>
      <c r="L271" s="1" t="str">
        <f>IFERROR(__xludf.DUMMYFUNCTION("GOOGLETRANSLATE(K271,""en"", ""pt-br"")"),"Travis Henderson, um vagão sem objetivo que está desaparecido por quatro anos, vagueia do deserto e deve se reconectar com a sociedade, ele mesmo, sua vida e sua família.")</f>
        <v>Travis Henderson, um vagão sem objetivo que está desaparecido por quatro anos, vagueia do deserto e deve se reconectar com a sociedade, ele mesmo, sua vida e sua família.</v>
      </c>
      <c r="M271" s="1">
        <v>78.0</v>
      </c>
      <c r="N271" s="1" t="s">
        <v>1829</v>
      </c>
      <c r="O271" s="1" t="s">
        <v>1830</v>
      </c>
      <c r="P271" s="1" t="s">
        <v>1831</v>
      </c>
      <c r="Q271" s="1" t="s">
        <v>1832</v>
      </c>
      <c r="R271" s="1" t="s">
        <v>1833</v>
      </c>
      <c r="S271" s="1">
        <v>91188.0</v>
      </c>
      <c r="T271" s="7" t="str">
        <f>VLOOKUP(A271,Posters!A271:B1270,2)</f>
        <v>https://m.media-amazon.com/images/M/MV5BM2RjMmU3ZWItYzBlMy00ZmJkLWE5YzgtNTVkODdhOWM3NGZhXkEyXkFqcGdeQXVyNDA5Mjg5MjA@._V1_UX67_CR0,0,67,98_AL_.jpg</v>
      </c>
      <c r="U271" s="8">
        <f>'Inflation Adjusted Gross'!F271</f>
        <v>5523939</v>
      </c>
      <c r="V271" s="5">
        <f t="shared" si="1"/>
        <v>2020</v>
      </c>
    </row>
    <row r="272">
      <c r="A272" s="1">
        <v>271.0</v>
      </c>
      <c r="B272" s="1" t="s">
        <v>1834</v>
      </c>
      <c r="C272" s="6">
        <f>Gross_cleaning!E272</f>
        <v>495770</v>
      </c>
      <c r="D272" s="1">
        <v>1984.0</v>
      </c>
      <c r="E272" s="1" t="s">
        <v>52</v>
      </c>
      <c r="F272" s="1" t="str">
        <f>VLOOKUP(Filmes_raw!E272,Rating_systems!$A$2:$C$29,3,FALSE)</f>
        <v>Criança</v>
      </c>
      <c r="G272" s="2">
        <f>Gross_cleaning!F272</f>
        <v>117</v>
      </c>
      <c r="H272" s="1" t="s">
        <v>466</v>
      </c>
      <c r="I272" s="1" t="s">
        <v>1836</v>
      </c>
      <c r="J272" s="1">
        <v>8.1</v>
      </c>
      <c r="K272" s="1" t="s">
        <v>1837</v>
      </c>
      <c r="L272" s="1" t="str">
        <f>IFERROR(__xludf.DUMMYFUNCTION("GOOGLETRANSLATE(K272,""en"", ""pt-br"")"),"Guerreiro e pacifista princesa Nausicaä lutas desesperadamente para evitar que duas nações guerreiras se destruam e seu planeta morrendo.")</f>
        <v>Guerreiro e pacifista princesa Nausicaä lutas desesperadamente para evitar que duas nações guerreiras se destruam e seu planeta morrendo.</v>
      </c>
      <c r="M272" s="1">
        <v>86.0</v>
      </c>
      <c r="N272" s="1" t="s">
        <v>206</v>
      </c>
      <c r="O272" s="1" t="s">
        <v>1838</v>
      </c>
      <c r="P272" s="1" t="s">
        <v>1839</v>
      </c>
      <c r="Q272" s="1" t="s">
        <v>1840</v>
      </c>
      <c r="R272" s="1" t="s">
        <v>1841</v>
      </c>
      <c r="S272" s="1">
        <v>150924.0</v>
      </c>
      <c r="T272" s="7" t="str">
        <f>VLOOKUP(A272,Posters!A272:B1271,2)</f>
        <v>https://m.media-amazon.com/images/M/MV5BZWFkN2ZhODAtYTNkZS00Y2NjLWIzNDYtNzJjNDNlMzAyNTIyXkEyXkFqcGdeQXVyODEzNjM5OTQ@._V1_UY98_CR1,0,67,98_AL_.jpg</v>
      </c>
      <c r="U272" s="8">
        <f>'Inflation Adjusted Gross'!F272</f>
        <v>1255096</v>
      </c>
      <c r="V272" s="5">
        <f t="shared" si="1"/>
        <v>2020</v>
      </c>
    </row>
    <row r="273">
      <c r="A273" s="1">
        <v>272.0</v>
      </c>
      <c r="B273" s="1" t="s">
        <v>1842</v>
      </c>
      <c r="C273" s="6">
        <f>Gross_cleaning!E273</f>
        <v>13782838</v>
      </c>
      <c r="D273" s="1">
        <v>1982.0</v>
      </c>
      <c r="E273" s="1" t="s">
        <v>18</v>
      </c>
      <c r="F273" s="1" t="str">
        <f>VLOOKUP(Filmes_raw!E273,Rating_systems!$A$2:$C$29,3,FALSE)</f>
        <v>Adulto</v>
      </c>
      <c r="G273" s="2">
        <f>Gross_cleaning!F273</f>
        <v>109</v>
      </c>
      <c r="H273" s="1" t="s">
        <v>396</v>
      </c>
      <c r="I273" s="1" t="s">
        <v>1843</v>
      </c>
      <c r="J273" s="1">
        <v>8.1</v>
      </c>
      <c r="K273" s="1" t="s">
        <v>1844</v>
      </c>
      <c r="L273" s="1" t="str">
        <f>IFERROR(__xludf.DUMMYFUNCTION("GOOGLETRANSLATE(K273,""en"", ""pt-br"")"),"Uma equipe de pesquisa na Antártida é caçada por um alienígena que muda de forma que assume a aparência de suas vítimas.")</f>
        <v>Uma equipe de pesquisa na Antártida é caçada por um alienígena que muda de forma que assume a aparência de suas vítimas.</v>
      </c>
      <c r="M273" s="1">
        <v>57.0</v>
      </c>
      <c r="N273" s="1" t="s">
        <v>1845</v>
      </c>
      <c r="O273" s="1" t="s">
        <v>1846</v>
      </c>
      <c r="P273" s="1" t="s">
        <v>1847</v>
      </c>
      <c r="Q273" s="1" t="s">
        <v>1826</v>
      </c>
      <c r="R273" s="1" t="s">
        <v>1848</v>
      </c>
      <c r="S273" s="1">
        <v>371271.0</v>
      </c>
      <c r="T273" s="7" t="str">
        <f>VLOOKUP(A273,Posters!A273:B1272,2)</f>
        <v>https://m.media-amazon.com/images/M/MV5BNGViZWZmM2EtNGYzZi00ZDAyLTk3ODMtNzIyZTBjN2Y1NmM1XkEyXkFqcGdeQXVyNTAyODkwOQ@@._V1_UX67_CR0,0,67,98_AL_.jpg</v>
      </c>
      <c r="U273" s="8">
        <f>'Inflation Adjusted Gross'!F273</f>
        <v>37704905</v>
      </c>
      <c r="V273" s="5">
        <f t="shared" si="1"/>
        <v>2020</v>
      </c>
    </row>
    <row r="274">
      <c r="A274" s="1">
        <v>273.0</v>
      </c>
      <c r="B274" s="1" t="s">
        <v>1849</v>
      </c>
      <c r="C274" s="6">
        <f>Gross_cleaning!E274</f>
        <v>22244207</v>
      </c>
      <c r="D274" s="1">
        <v>1982.0</v>
      </c>
      <c r="E274" s="1" t="s">
        <v>37</v>
      </c>
      <c r="F274" s="1" t="str">
        <f>VLOOKUP(Filmes_raw!E274,Rating_systems!$A$2:$C$29,3,FALSE)</f>
        <v>Criança</v>
      </c>
      <c r="G274" s="2">
        <f>Gross_cleaning!F274</f>
        <v>95</v>
      </c>
      <c r="H274" s="1" t="s">
        <v>601</v>
      </c>
      <c r="I274" s="1" t="s">
        <v>1850</v>
      </c>
      <c r="J274" s="1">
        <v>8.1</v>
      </c>
      <c r="K274" s="1" t="s">
        <v>1851</v>
      </c>
      <c r="L274" s="1" t="str">
        <f>IFERROR(__xludf.DUMMYFUNCTION("GOOGLETRANSLATE(K274,""en"", ""pt-br"")"),"Uma estrela de rock confinada, mas problemática, desce a loucura no meio de seu isolamento físico e social de todos.")</f>
        <v>Uma estrela de rock confinada, mas problemática, desce a loucura no meio de seu isolamento físico e social de todos.</v>
      </c>
      <c r="M274" s="1">
        <v>47.0</v>
      </c>
      <c r="N274" s="1" t="s">
        <v>1852</v>
      </c>
      <c r="O274" s="1" t="s">
        <v>1853</v>
      </c>
      <c r="P274" s="1" t="s">
        <v>1854</v>
      </c>
      <c r="Q274" s="1" t="s">
        <v>1855</v>
      </c>
      <c r="R274" s="1" t="s">
        <v>1856</v>
      </c>
      <c r="S274" s="1">
        <v>76081.0</v>
      </c>
      <c r="T274" s="7" t="str">
        <f>VLOOKUP(A274,Posters!A274:B1273,2)</f>
        <v>https://m.media-amazon.com/images/M/MV5BZDhlZTYxOTYtYTk3Ny00ZDljLTk3ZmItZTcxZWU5YTIyYmFkXkEyXkFqcGdeQXVyMTQxNzMzNDI@._V1_UX67_CR0,0,67,98_AL_.jpg</v>
      </c>
      <c r="U274" s="8">
        <f>'Inflation Adjusted Gross'!F274</f>
        <v>60852177</v>
      </c>
      <c r="V274" s="5">
        <f t="shared" si="1"/>
        <v>2020</v>
      </c>
    </row>
    <row r="275">
      <c r="A275" s="1">
        <v>274.0</v>
      </c>
      <c r="B275" s="1" t="s">
        <v>1857</v>
      </c>
      <c r="C275" s="6">
        <f>Gross_cleaning!E275</f>
        <v>2874</v>
      </c>
      <c r="D275" s="1">
        <v>1982.0</v>
      </c>
      <c r="E275" s="1" t="s">
        <v>212</v>
      </c>
      <c r="F275" s="1" t="str">
        <f>VLOOKUP(Filmes_raw!E275,Rating_systems!$A$2:$C$29,3,FALSE)</f>
        <v>Adulto</v>
      </c>
      <c r="G275" s="2">
        <f>Gross_cleaning!F275</f>
        <v>158</v>
      </c>
      <c r="H275" s="1" t="s">
        <v>1089</v>
      </c>
      <c r="I275" s="1" t="s">
        <v>1813</v>
      </c>
      <c r="J275" s="1">
        <v>8.1</v>
      </c>
      <c r="K275" s="1" t="s">
        <v>1858</v>
      </c>
      <c r="L275" s="1" t="str">
        <f>IFERROR(__xludf.DUMMYFUNCTION("GOOGLETRANSLATE(K275,""en"", ""pt-br"")"),"A história de Brian Sweeney Fitzgerald, um homem extremamente determinado que pretende construir uma casa de ópera no meio de uma selva.")</f>
        <v>A história de Brian Sweeney Fitzgerald, um homem extremamente determinado que pretende construir uma casa de ópera no meio de uma selva.</v>
      </c>
      <c r="N275" s="1" t="s">
        <v>1859</v>
      </c>
      <c r="O275" s="1" t="s">
        <v>1860</v>
      </c>
      <c r="P275" s="1" t="s">
        <v>393</v>
      </c>
      <c r="Q275" s="1" t="s">
        <v>1861</v>
      </c>
      <c r="R275" s="1" t="s">
        <v>1862</v>
      </c>
      <c r="S275" s="1">
        <v>31595.0</v>
      </c>
      <c r="T275" s="7" t="str">
        <f>VLOOKUP(A275,Posters!A275:B1274,2)</f>
        <v>https://m.media-amazon.com/images/M/MV5BYjIzNTYxMTctZjAwNS00YzI3LWExMGMtMGQxNGM5ZTc1NzhlXkEyXkFqcGdeQXVyMTQxNzMzNDI@._V1_UX67_CR0,0,67,98_AL_.jpg</v>
      </c>
      <c r="U275" s="8">
        <f>'Inflation Adjusted Gross'!F275</f>
        <v>7862</v>
      </c>
      <c r="V275" s="5">
        <f t="shared" si="1"/>
        <v>2020</v>
      </c>
    </row>
    <row r="276">
      <c r="A276" s="1">
        <v>275.0</v>
      </c>
      <c r="B276" s="1" t="s">
        <v>1863</v>
      </c>
      <c r="C276" s="6">
        <f>Gross_cleaning!E276</f>
        <v>4971340</v>
      </c>
      <c r="D276" s="1">
        <v>1982.0</v>
      </c>
      <c r="E276" s="1" t="s">
        <v>18</v>
      </c>
      <c r="F276" s="1" t="str">
        <f>VLOOKUP(Filmes_raw!E276,Rating_systems!$A$2:$C$29,3,FALSE)</f>
        <v>Adulto</v>
      </c>
      <c r="G276" s="2">
        <f>Gross_cleaning!F276</f>
        <v>188</v>
      </c>
      <c r="H276" s="1" t="s">
        <v>1864</v>
      </c>
      <c r="I276" s="1" t="s">
        <v>20</v>
      </c>
      <c r="J276" s="1">
        <v>8.1</v>
      </c>
      <c r="K276" s="1" t="s">
        <v>1865</v>
      </c>
      <c r="L276" s="1" t="str">
        <f>IFERROR(__xludf.DUMMYFUNCTION("GOOGLETRANSLATE(K276,""en"", ""pt-br"")"),"Duas jovens crianças suecas experimentam muitas comédias e tragédias de sua família, os Ekdahls.")</f>
        <v>Duas jovens crianças suecas experimentam muitas comédias e tragédias de sua família, os Ekdahls.</v>
      </c>
      <c r="M276" s="1">
        <v>100.0</v>
      </c>
      <c r="N276" s="1" t="s">
        <v>1239</v>
      </c>
      <c r="O276" s="1" t="s">
        <v>1866</v>
      </c>
      <c r="P276" s="1" t="s">
        <v>1867</v>
      </c>
      <c r="Q276" s="1" t="s">
        <v>1868</v>
      </c>
      <c r="R276" s="1" t="s">
        <v>1869</v>
      </c>
      <c r="S276" s="1">
        <v>57784.0</v>
      </c>
      <c r="T276" s="7" t="str">
        <f>VLOOKUP(A276,Posters!A276:B1275,2)</f>
        <v>https://m.media-amazon.com/images/M/MV5BZmQzMDE5ZWQtOTU3ZS00ZjdhLWI0OTctZDNkODk4YThmOTRhL2ltYWdlXkEyXkFqcGdeQXVyNjc1NTYyMjg@._V1_UX67_CR0,0,67,98_AL_.jpg</v>
      </c>
      <c r="U276" s="8">
        <f>'Inflation Adjusted Gross'!F276</f>
        <v>13599804</v>
      </c>
      <c r="V276" s="5">
        <f t="shared" si="1"/>
        <v>2020</v>
      </c>
    </row>
    <row r="277">
      <c r="A277" s="1">
        <v>276.0</v>
      </c>
      <c r="B277" s="1" t="s">
        <v>1870</v>
      </c>
      <c r="C277" s="6">
        <f>Gross_cleaning!E277</f>
        <v>32868943</v>
      </c>
      <c r="D277" s="1">
        <v>1982.0</v>
      </c>
      <c r="E277" s="1" t="s">
        <v>37</v>
      </c>
      <c r="F277" s="1" t="str">
        <f>VLOOKUP(Filmes_raw!E277,Rating_systems!$A$2:$C$29,3,FALSE)</f>
        <v>Criança</v>
      </c>
      <c r="G277" s="2">
        <f>Gross_cleaning!F277</f>
        <v>117</v>
      </c>
      <c r="H277" s="1" t="s">
        <v>466</v>
      </c>
      <c r="I277" s="1" t="s">
        <v>1871</v>
      </c>
      <c r="J277" s="1">
        <v>8.1</v>
      </c>
      <c r="K277" s="1" t="s">
        <v>1872</v>
      </c>
      <c r="L277" s="1" t="str">
        <f>IFERROR(__xludf.DUMMYFUNCTION("GOOGLETRANSLATE(K277,""en"", ""pt-br"")"),"Um corredor de lâmina deve prosseguir e terminar quatro replicantes que roubaram um navio no espaço e retornaram à Terra para encontrar seu criador.")</f>
        <v>Um corredor de lâmina deve prosseguir e terminar quatro replicantes que roubaram um navio no espaço e retornaram à Terra para encontrar seu criador.</v>
      </c>
      <c r="M277" s="1">
        <v>84.0</v>
      </c>
      <c r="N277" s="1" t="s">
        <v>324</v>
      </c>
      <c r="O277" s="1" t="s">
        <v>149</v>
      </c>
      <c r="P277" s="1" t="s">
        <v>1873</v>
      </c>
      <c r="Q277" s="1" t="s">
        <v>1874</v>
      </c>
      <c r="R277" s="1" t="s">
        <v>1875</v>
      </c>
      <c r="S277" s="1">
        <v>693827.0</v>
      </c>
      <c r="T277" s="7" t="str">
        <f>VLOOKUP(A277,Posters!A277:B1276,2)</f>
        <v>https://m.media-amazon.com/images/M/MV5BNzQzMzJhZTEtOWM4NS00MTdhLTg0YjgtMjM4MDRkZjUwZDBlXkEyXkFqcGdeQXVyNjU0OTQ0OTY@._V1_UX67_CR0,0,67,98_AL_.jpg</v>
      </c>
      <c r="U277" s="8">
        <f>'Inflation Adjusted Gross'!F277</f>
        <v>89917647</v>
      </c>
      <c r="V277" s="5">
        <f t="shared" si="1"/>
        <v>2020</v>
      </c>
    </row>
    <row r="278">
      <c r="A278" s="1">
        <v>277.0</v>
      </c>
      <c r="B278" s="1" t="s">
        <v>1876</v>
      </c>
      <c r="C278" s="6">
        <f>Gross_cleaning!E278</f>
        <v>26010864</v>
      </c>
      <c r="D278" s="1">
        <v>1980.0</v>
      </c>
      <c r="E278" s="1" t="s">
        <v>37</v>
      </c>
      <c r="F278" s="1" t="str">
        <f>VLOOKUP(Filmes_raw!E278,Rating_systems!$A$2:$C$29,3,FALSE)</f>
        <v>Criança</v>
      </c>
      <c r="G278" s="2">
        <f>Gross_cleaning!F278</f>
        <v>124</v>
      </c>
      <c r="H278" s="1" t="s">
        <v>144</v>
      </c>
      <c r="I278" s="1" t="s">
        <v>1148</v>
      </c>
      <c r="J278" s="1">
        <v>8.1</v>
      </c>
      <c r="K278" s="1" t="s">
        <v>1877</v>
      </c>
      <c r="L278" s="1" t="str">
        <f>IFERROR(__xludf.DUMMYFUNCTION("GOOGLETRANSLATE(K278,""en"", ""pt-br"")"),"Um cirurgião vitoriano resgata um homem fortemente desfigurado que é maltratado enquanto raspa a vida como uma aberração do lado. Por trás de sua fachada monstruosa, é revelado uma pessoa de bondade, inteligência e sofisticação.")</f>
        <v>Um cirurgião vitoriano resgata um homem fortemente desfigurado que é maltratado enquanto raspa a vida como uma aberração do lado. Por trás de sua fachada monstruosa, é revelado uma pessoa de bondade, inteligência e sofisticação.</v>
      </c>
      <c r="M278" s="1">
        <v>78.0</v>
      </c>
      <c r="N278" s="1" t="s">
        <v>1878</v>
      </c>
      <c r="O278" s="1" t="s">
        <v>245</v>
      </c>
      <c r="P278" s="1" t="s">
        <v>585</v>
      </c>
      <c r="Q278" s="1" t="s">
        <v>1879</v>
      </c>
      <c r="R278" s="1" t="s">
        <v>1880</v>
      </c>
      <c r="S278" s="1">
        <v>220078.0</v>
      </c>
      <c r="T278" s="7" t="str">
        <f>VLOOKUP(A278,Posters!A278:B1277,2)</f>
        <v>https://m.media-amazon.com/images/M/MV5BMDVjNjIwOGItNDE3Ny00OThjLWE0NzQtZTU3YjMzZTZjMzhkXkEyXkFqcGdeQXVyMTQxNzMzNDI@._V1_UX67_CR0,0,67,98_AL_.jpg</v>
      </c>
      <c r="U278" s="8">
        <f>'Inflation Adjusted Gross'!F278</f>
        <v>86247411</v>
      </c>
      <c r="V278" s="5">
        <f t="shared" si="1"/>
        <v>2020</v>
      </c>
    </row>
    <row r="279">
      <c r="A279" s="1">
        <v>278.0</v>
      </c>
      <c r="B279" s="1" t="s">
        <v>1881</v>
      </c>
      <c r="C279" s="6">
        <f>Gross_cleaning!E279</f>
        <v>20045115</v>
      </c>
      <c r="D279" s="1">
        <v>1979.0</v>
      </c>
      <c r="E279" s="1" t="s">
        <v>212</v>
      </c>
      <c r="F279" s="1" t="str">
        <f>VLOOKUP(Filmes_raw!E279,Rating_systems!$A$2:$C$29,3,FALSE)</f>
        <v>Adulto</v>
      </c>
      <c r="G279" s="2">
        <f>Gross_cleaning!F279</f>
        <v>94</v>
      </c>
      <c r="H279" s="1" t="s">
        <v>1882</v>
      </c>
      <c r="I279" s="1" t="s">
        <v>602</v>
      </c>
      <c r="J279" s="1">
        <v>8.1</v>
      </c>
      <c r="K279" s="1" t="s">
        <v>1883</v>
      </c>
      <c r="L279" s="1" t="str">
        <f>IFERROR(__xludf.DUMMYFUNCTION("GOOGLETRANSLATE(K279,""en"", ""pt-br"")"),"Nascido no Natal original no estábulo ao lado de Jesus Cristo, Brian de Nazaré passa sua vida sendo confundida com um Messias.")</f>
        <v>Nascido no Natal original no estábulo ao lado de Jesus Cristo, Brian de Nazaré passa sua vida sendo confundida com um Messias.</v>
      </c>
      <c r="M279" s="1">
        <v>77.0</v>
      </c>
      <c r="N279" s="1" t="s">
        <v>1263</v>
      </c>
      <c r="O279" s="1" t="s">
        <v>1264</v>
      </c>
      <c r="P279" s="1" t="s">
        <v>1265</v>
      </c>
      <c r="Q279" s="1" t="s">
        <v>1884</v>
      </c>
      <c r="R279" s="1" t="s">
        <v>1262</v>
      </c>
      <c r="S279" s="1">
        <v>367250.0</v>
      </c>
      <c r="T279" s="7" t="str">
        <f>VLOOKUP(A279,Posters!A279:B1278,2)</f>
        <v>https://m.media-amazon.com/images/M/MV5BMzAwNjU1OTktYjY3Mi00NDY5LWFlZWUtZjhjNGE0OTkwZDkwXkEyXkFqcGdeQXVyMTQxNzMzNDI@._V1_UX67_CR0,0,67,98_AL_.jpg</v>
      </c>
      <c r="U279" s="8">
        <f>'Inflation Adjusted Gross'!F279</f>
        <v>75710957</v>
      </c>
      <c r="V279" s="5">
        <f t="shared" si="1"/>
        <v>2020</v>
      </c>
    </row>
    <row r="280">
      <c r="A280" s="1">
        <v>279.0</v>
      </c>
      <c r="B280" s="1" t="s">
        <v>1885</v>
      </c>
      <c r="C280" s="6">
        <f>Gross_cleaning!E280</f>
        <v>48979328</v>
      </c>
      <c r="D280" s="1">
        <v>1978.0</v>
      </c>
      <c r="E280" s="1" t="s">
        <v>18</v>
      </c>
      <c r="F280" s="1" t="str">
        <f>VLOOKUP(Filmes_raw!E280,Rating_systems!$A$2:$C$29,3,FALSE)</f>
        <v>Adulto</v>
      </c>
      <c r="G280" s="2">
        <f>Gross_cleaning!F280</f>
        <v>183</v>
      </c>
      <c r="H280" s="1" t="s">
        <v>1657</v>
      </c>
      <c r="I280" s="1" t="s">
        <v>213</v>
      </c>
      <c r="J280" s="1">
        <v>8.1</v>
      </c>
      <c r="K280" s="1" t="s">
        <v>1886</v>
      </c>
      <c r="L280" s="1" t="str">
        <f>IFERROR(__xludf.DUMMYFUNCTION("GOOGLETRANSLATE(K280,""en"", ""pt-br"")"),"Um exame aprofundado das formas em que a guerra do Vietnã dos EUA impacta e interrompe a vida das pessoas em uma pequena cidade industrial na Pensilvânia.")</f>
        <v>Um exame aprofundado das formas em que a guerra do Vietnã dos EUA impacta e interrompe a vida das pessoas em uma pequena cidade industrial na Pensilvânia.</v>
      </c>
      <c r="M280" s="1">
        <v>86.0</v>
      </c>
      <c r="N280" s="1" t="s">
        <v>1887</v>
      </c>
      <c r="O280" s="1" t="s">
        <v>49</v>
      </c>
      <c r="P280" s="1" t="s">
        <v>1674</v>
      </c>
      <c r="Q280" s="1" t="s">
        <v>1888</v>
      </c>
      <c r="R280" s="1" t="s">
        <v>1889</v>
      </c>
      <c r="S280" s="1">
        <v>311361.0</v>
      </c>
      <c r="T280" s="7" t="str">
        <f>VLOOKUP(A280,Posters!A280:B1279,2)</f>
        <v>https://m.media-amazon.com/images/M/MV5BNDhmNTA0ZDMtYjhkNS00NzEzLWIzYTItOGNkMTVmYjE2YmI3XkEyXkFqcGdeQXVyNzkwMjQ5NzM@._V1_UX67_CR0,0,67,98_AL_.jpg</v>
      </c>
      <c r="U280" s="8">
        <f>'Inflation Adjusted Gross'!F280</f>
        <v>202163940</v>
      </c>
      <c r="V280" s="5">
        <f t="shared" si="1"/>
        <v>2020</v>
      </c>
    </row>
    <row r="281">
      <c r="A281" s="1">
        <v>280.0</v>
      </c>
      <c r="B281" s="1" t="s">
        <v>1890</v>
      </c>
      <c r="C281" s="6">
        <f>Gross_cleaning!E281</f>
        <v>117235247</v>
      </c>
      <c r="D281" s="1">
        <v>1976.0</v>
      </c>
      <c r="E281" s="1" t="s">
        <v>52</v>
      </c>
      <c r="F281" s="1" t="str">
        <f>VLOOKUP(Filmes_raw!E281,Rating_systems!$A$2:$C$29,3,FALSE)</f>
        <v>Criança</v>
      </c>
      <c r="G281" s="2">
        <f>Gross_cleaning!F281</f>
        <v>120</v>
      </c>
      <c r="H281" s="1" t="s">
        <v>1546</v>
      </c>
      <c r="I281" s="1" t="s">
        <v>1622</v>
      </c>
      <c r="J281" s="1">
        <v>8.1</v>
      </c>
      <c r="K281" s="1" t="s">
        <v>1891</v>
      </c>
      <c r="L281" s="1" t="str">
        <f>IFERROR(__xludf.DUMMYFUNCTION("GOOGLETRANSLATE(K281,""en"", ""pt-br"")"),"Um pequeno boxeador é uma chance extraamente rara de lutar contra um campeão pesado em uma luta em que ele se esforça para ir a distância por seu respeito próprio.")</f>
        <v>Um pequeno boxeador é uma chance extraamente rara de lutar contra um campeão pesado em uma luta em que ele se esforça para ir a distância por seu respeito próprio.</v>
      </c>
      <c r="M281" s="1">
        <v>70.0</v>
      </c>
      <c r="N281" s="1" t="s">
        <v>1892</v>
      </c>
      <c r="O281" s="1" t="s">
        <v>1893</v>
      </c>
      <c r="P281" s="1" t="s">
        <v>1894</v>
      </c>
      <c r="Q281" s="1" t="s">
        <v>1895</v>
      </c>
      <c r="R281" s="1" t="s">
        <v>1896</v>
      </c>
      <c r="S281" s="1">
        <v>518546.0</v>
      </c>
      <c r="T281" s="7" t="str">
        <f>VLOOKUP(A281,Posters!A281:B1280,2)</f>
        <v>https://m.media-amazon.com/images/M/MV5BMTY5MDMzODUyOF5BMl5BanBnXkFtZTcwMTQ3NTMyNA@@._V1_UX67_CR0,0,67,98_AL_.jpg</v>
      </c>
      <c r="U281" s="8">
        <f>'Inflation Adjusted Gross'!F281</f>
        <v>543944135</v>
      </c>
      <c r="V281" s="5">
        <f t="shared" si="1"/>
        <v>2020</v>
      </c>
    </row>
    <row r="282">
      <c r="A282" s="1">
        <v>281.0</v>
      </c>
      <c r="B282" s="1" t="s">
        <v>1897</v>
      </c>
      <c r="C282" s="6">
        <f>Gross_cleaning!E282</f>
        <v>23689877</v>
      </c>
      <c r="D282" s="1">
        <v>1976.0</v>
      </c>
      <c r="E282" s="1" t="s">
        <v>37</v>
      </c>
      <c r="F282" s="1" t="str">
        <f>VLOOKUP(Filmes_raw!E282,Rating_systems!$A$2:$C$29,3,FALSE)</f>
        <v>Criança</v>
      </c>
      <c r="G282" s="2">
        <f>Gross_cleaning!F282</f>
        <v>121</v>
      </c>
      <c r="H282" s="1" t="s">
        <v>249</v>
      </c>
      <c r="I282" s="1" t="s">
        <v>20</v>
      </c>
      <c r="J282" s="1">
        <v>8.1</v>
      </c>
      <c r="K282" s="1" t="s">
        <v>1898</v>
      </c>
      <c r="L282" s="1" t="str">
        <f>IFERROR(__xludf.DUMMYFUNCTION("GOOGLETRANSLATE(K282,""en"", ""pt-br"")"),"Uma rede de televisão exploits cinnicamente a delírio e revelações do ex-âncora enlouquecida sobre a mídia de notícias para seu próprio lucro.")</f>
        <v>Uma rede de televisão exploits cinnicamente a delírio e revelações do ex-âncora enlouquecida sobre a mídia de notícias para seu próprio lucro.</v>
      </c>
      <c r="M282" s="1">
        <v>83.0</v>
      </c>
      <c r="N282" s="1" t="s">
        <v>55</v>
      </c>
      <c r="O282" s="1" t="s">
        <v>1899</v>
      </c>
      <c r="P282" s="1" t="s">
        <v>630</v>
      </c>
      <c r="Q282" s="1" t="s">
        <v>1900</v>
      </c>
      <c r="R282" s="1" t="s">
        <v>50</v>
      </c>
      <c r="S282" s="1">
        <v>144911.0</v>
      </c>
      <c r="T282" s="7" t="str">
        <f>VLOOKUP(A282,Posters!A282:B1281,2)</f>
        <v>https://m.media-amazon.com/images/M/MV5BZGNjYjM2MzItZGQzZi00NmY3LTgxOGUtMTQ2MWQxNWQ2MmMwXkEyXkFqcGdeQXVyNzM0MTUwNTY@._V1_UX67_CR0,0,67,98_AL_.jpg</v>
      </c>
      <c r="U282" s="8">
        <f>'Inflation Adjusted Gross'!F282</f>
        <v>109915490</v>
      </c>
      <c r="V282" s="5">
        <f t="shared" si="1"/>
        <v>2020</v>
      </c>
    </row>
    <row r="283">
      <c r="A283" s="1">
        <v>282.0</v>
      </c>
      <c r="B283" s="1" t="s">
        <v>1901</v>
      </c>
      <c r="C283" s="6">
        <f>Gross_cleaning!E283</f>
        <v>198992</v>
      </c>
      <c r="D283" s="1">
        <v>1975.0</v>
      </c>
      <c r="E283" s="1" t="s">
        <v>270</v>
      </c>
      <c r="F283" s="1" t="str">
        <f>VLOOKUP(Filmes_raw!E283,Rating_systems!$A$2:$C$29,3,FALSE)</f>
        <v>Criança</v>
      </c>
      <c r="G283" s="2">
        <f>Gross_cleaning!F283</f>
        <v>185</v>
      </c>
      <c r="H283" s="1" t="s">
        <v>1902</v>
      </c>
      <c r="I283" s="1" t="s">
        <v>1269</v>
      </c>
      <c r="J283" s="1">
        <v>8.1</v>
      </c>
      <c r="K283" s="1" t="s">
        <v>1903</v>
      </c>
      <c r="L283" s="1" t="str">
        <f>IFERROR(__xludf.DUMMYFUNCTION("GOOGLETRANSLATE(K283,""en"", ""pt-br"")"),"Um desonesto irlandês ganha o coração de uma rica viúva e assume a posição aristocrática do marido morto na Inglaterra do século XVIII.")</f>
        <v>Um desonesto irlandês ganha o coração de uma rica viúva e assume a posição aristocrática do marido morto na Inglaterra do século XVIII.</v>
      </c>
      <c r="M283" s="1">
        <v>89.0</v>
      </c>
      <c r="N283" s="1" t="s">
        <v>571</v>
      </c>
      <c r="O283" s="1" t="s">
        <v>1904</v>
      </c>
      <c r="P283" s="1" t="s">
        <v>1905</v>
      </c>
      <c r="Q283" s="1" t="s">
        <v>842</v>
      </c>
      <c r="R283" s="1" t="s">
        <v>1906</v>
      </c>
      <c r="S283" s="1">
        <v>149843.0</v>
      </c>
      <c r="T283" s="7" t="str">
        <f>VLOOKUP(A283,Posters!A283:B1282,2)</f>
        <v>https://m.media-amazon.com/images/M/MV5BNmY0MWY2NDctZDdmMi00MjA1LTk0ZTQtZDMyZTQ1NTNlYzVjXkEyXkFqcGdeQXVyMjUzOTY1NTc@._V1_UX67_CR0,0,67,98_AL_.jpg</v>
      </c>
      <c r="U283" s="8">
        <f>'Inflation Adjusted Gross'!F283</f>
        <v>985301</v>
      </c>
      <c r="V283" s="5">
        <f t="shared" si="1"/>
        <v>2020</v>
      </c>
    </row>
    <row r="284">
      <c r="A284" s="1">
        <v>283.0</v>
      </c>
      <c r="B284" s="1" t="s">
        <v>1907</v>
      </c>
      <c r="C284" s="6">
        <f>Gross_cleaning!E284</f>
        <v>177345</v>
      </c>
      <c r="D284" s="1">
        <v>1975.0</v>
      </c>
      <c r="E284" s="1" t="s">
        <v>414</v>
      </c>
      <c r="F284" s="1" t="str">
        <f>VLOOKUP(Filmes_raw!E284,Rating_systems!$A$2:$C$29,3,FALSE)</f>
        <v>Criança</v>
      </c>
      <c r="G284" s="2">
        <f>Gross_cleaning!F284</f>
        <v>107</v>
      </c>
      <c r="H284" s="1" t="s">
        <v>907</v>
      </c>
      <c r="I284" s="1" t="s">
        <v>1148</v>
      </c>
      <c r="J284" s="1">
        <v>8.1</v>
      </c>
      <c r="K284" s="1" t="s">
        <v>1908</v>
      </c>
      <c r="L284" s="1" t="str">
        <f>IFERROR(__xludf.DUMMYFUNCTION("GOOGLETRANSLATE(K284,""en"", ""pt-br"")"),"Um moribundo em seus quarenta anos lembra seu passado. Sua infância, sua mãe, a guerra, momentos pessoais e coisas que contam sobre a história recente de toda a nação russa.")</f>
        <v>Um moribundo em seus quarenta anos lembra seu passado. Sua infância, sua mãe, a guerra, momentos pessoais e coisas que contam sobre a história recente de toda a nação russa.</v>
      </c>
      <c r="N284" s="1" t="s">
        <v>1232</v>
      </c>
      <c r="O284" s="1" t="s">
        <v>1909</v>
      </c>
      <c r="P284" s="1" t="s">
        <v>1910</v>
      </c>
      <c r="Q284" s="1" t="s">
        <v>1911</v>
      </c>
      <c r="R284" s="1" t="s">
        <v>1912</v>
      </c>
      <c r="S284" s="1">
        <v>40081.0</v>
      </c>
      <c r="T284" s="7" t="str">
        <f>VLOOKUP(A284,Posters!A284:B1283,2)</f>
        <v>https://m.media-amazon.com/images/M/MV5BMTg1MDg3OTk3M15BMl5BanBnXkFtZTgwMDEzMzE5MTE@._V1_UY98_CR0,0,67,98_AL_.jpg</v>
      </c>
      <c r="U284" s="8">
        <f>'Inflation Adjusted Gross'!F284</f>
        <v>878116</v>
      </c>
      <c r="V284" s="5">
        <f t="shared" si="1"/>
        <v>2020</v>
      </c>
    </row>
    <row r="285">
      <c r="A285" s="1">
        <v>284.0</v>
      </c>
      <c r="B285" s="1" t="s">
        <v>1913</v>
      </c>
      <c r="C285" s="6">
        <f>Gross_cleaning!E285</f>
        <v>29000000</v>
      </c>
      <c r="D285" s="1">
        <v>1974.0</v>
      </c>
      <c r="E285" s="1" t="s">
        <v>37</v>
      </c>
      <c r="F285" s="1" t="str">
        <f>VLOOKUP(Filmes_raw!E285,Rating_systems!$A$2:$C$29,3,FALSE)</f>
        <v>Criança</v>
      </c>
      <c r="G285" s="2">
        <f>Gross_cleaning!F285</f>
        <v>130</v>
      </c>
      <c r="H285" s="1" t="s">
        <v>195</v>
      </c>
      <c r="I285" s="1" t="s">
        <v>527</v>
      </c>
      <c r="J285" s="1">
        <v>8.1</v>
      </c>
      <c r="K285" s="1" t="s">
        <v>1914</v>
      </c>
      <c r="L285" s="1" t="str">
        <f>IFERROR(__xludf.DUMMYFUNCTION("GOOGLETRANSLATE(K285,""en"", ""pt-br"")"),"Um detetive privado contratado para expor um adulterador se encontra preso em uma teia de engano, corrupção e assassinato.")</f>
        <v>Um detetive privado contratado para expor um adulterador se encontra preso em uma teia de engano, corrupção e assassinato.</v>
      </c>
      <c r="M285" s="1">
        <v>92.0</v>
      </c>
      <c r="N285" s="1" t="s">
        <v>316</v>
      </c>
      <c r="O285" s="1" t="s">
        <v>156</v>
      </c>
      <c r="P285" s="1" t="s">
        <v>1899</v>
      </c>
      <c r="Q285" s="1" t="s">
        <v>1346</v>
      </c>
      <c r="R285" s="1" t="s">
        <v>1915</v>
      </c>
      <c r="S285" s="1">
        <v>294230.0</v>
      </c>
      <c r="T285" s="7" t="str">
        <f>VLOOKUP(A285,Posters!A285:B1284,2)</f>
        <v>https://m.media-amazon.com/images/M/MV5BOGMwYmY5ZmEtMzY1Yi00OWJiLTk1Y2MtMzI2MjBhYmZkNTQ0XkEyXkFqcGdeQXVyNzkwMjQ5NzM@._V1_UX67_CR0,0,67,98_AL_.jpg</v>
      </c>
      <c r="U285" s="8">
        <f>'Inflation Adjusted Gross'!F285</f>
        <v>160539893</v>
      </c>
      <c r="V285" s="5">
        <f t="shared" si="1"/>
        <v>2020</v>
      </c>
    </row>
    <row r="286">
      <c r="A286" s="1">
        <v>285.0</v>
      </c>
      <c r="B286" s="1" t="s">
        <v>1916</v>
      </c>
      <c r="C286" s="6">
        <f>Gross_cleaning!E286</f>
        <v>30933743</v>
      </c>
      <c r="D286" s="1">
        <v>1973.0</v>
      </c>
      <c r="E286" s="1" t="s">
        <v>52</v>
      </c>
      <c r="F286" s="1" t="str">
        <f>VLOOKUP(Filmes_raw!E286,Rating_systems!$A$2:$C$29,3,FALSE)</f>
        <v>Criança</v>
      </c>
      <c r="G286" s="2">
        <f>Gross_cleaning!F286</f>
        <v>102</v>
      </c>
      <c r="H286" s="1" t="s">
        <v>405</v>
      </c>
      <c r="I286" s="1" t="s">
        <v>831</v>
      </c>
      <c r="J286" s="1">
        <v>8.1</v>
      </c>
      <c r="K286" s="1" t="s">
        <v>1917</v>
      </c>
      <c r="L286" s="1" t="str">
        <f>IFERROR(__xludf.DUMMYFUNCTION("GOOGLETRANSLATE(K286,""en"", ""pt-br"")"),"Durante a Grande Depressão, um homem se encontra selimado com uma jovem que pode ou não ser sua filha, e as duas forças uma parceria improvável.")</f>
        <v>Durante a Grande Depressão, um homem se encontra selimado com uma jovem que pode ou não ser sua filha, e as duas forças uma parceria improvável.</v>
      </c>
      <c r="M286" s="1">
        <v>77.0</v>
      </c>
      <c r="N286" s="1" t="s">
        <v>1918</v>
      </c>
      <c r="O286" s="1" t="s">
        <v>1904</v>
      </c>
      <c r="P286" s="1" t="s">
        <v>1919</v>
      </c>
      <c r="Q286" s="1" t="s">
        <v>1920</v>
      </c>
      <c r="R286" s="1" t="s">
        <v>1921</v>
      </c>
      <c r="S286" s="1">
        <v>42285.0</v>
      </c>
      <c r="T286" s="7" t="str">
        <f>VLOOKUP(A286,Posters!A286:B1285,2)</f>
        <v>https://m.media-amazon.com/images/M/MV5BOWVmYzQwY2MtOTBjNi00MDNhLWI5OGMtN2RiMDYxODI3MjU5XkEyXkFqcGdeQXVyMjUzOTY1NTc@._V1_UX67_CR0,0,67,98_AL_.jpg</v>
      </c>
      <c r="U286" s="8">
        <f>'Inflation Adjusted Gross'!F286</f>
        <v>187324146</v>
      </c>
      <c r="V286" s="5">
        <f t="shared" si="1"/>
        <v>2020</v>
      </c>
    </row>
    <row r="287">
      <c r="A287" s="1">
        <v>286.0</v>
      </c>
      <c r="B287" s="1" t="s">
        <v>1922</v>
      </c>
      <c r="C287" s="6">
        <f>Gross_cleaning!E287</f>
        <v>1742348</v>
      </c>
      <c r="D287" s="1">
        <v>1972.0</v>
      </c>
      <c r="E287" s="1" t="s">
        <v>18</v>
      </c>
      <c r="F287" s="1" t="str">
        <f>VLOOKUP(Filmes_raw!E287,Rating_systems!$A$2:$C$29,3,FALSE)</f>
        <v>Adulto</v>
      </c>
      <c r="G287" s="2">
        <f>Gross_cleaning!F287</f>
        <v>91</v>
      </c>
      <c r="H287" s="1" t="s">
        <v>1259</v>
      </c>
      <c r="I287" s="1" t="s">
        <v>20</v>
      </c>
      <c r="J287" s="1">
        <v>8.1</v>
      </c>
      <c r="K287" s="1" t="s">
        <v>1923</v>
      </c>
      <c r="L287" s="1" t="str">
        <f>IFERROR(__xludf.DUMMYFUNCTION("GOOGLETRANSLATE(K287,""en"", ""pt-br"")"),"Quando uma mulher morrendo de câncer no início do século XX, a Suécia é visitada por suas duas irmãs, sentimentos de longa duração entre os irmãos sobem para a superfície.")</f>
        <v>Quando uma mulher morrendo de câncer no início do século XX, a Suécia é visitada por suas duas irmãs, sentimentos de longa duração entre os irmãos sobem para a superfície.</v>
      </c>
      <c r="N287" s="1" t="s">
        <v>1239</v>
      </c>
      <c r="O287" s="1" t="s">
        <v>1924</v>
      </c>
      <c r="P287" s="1" t="s">
        <v>1240</v>
      </c>
      <c r="Q287" s="1" t="s">
        <v>1925</v>
      </c>
      <c r="R287" s="1" t="s">
        <v>1304</v>
      </c>
      <c r="S287" s="1">
        <v>30206.0</v>
      </c>
      <c r="T287" s="7" t="str">
        <f>VLOOKUP(A287,Posters!A287:B1286,2)</f>
        <v>https://m.media-amazon.com/images/M/MV5BMTg3NzYzOTEtNmE2Ni00M2EyLWJhMjctNjMyMTk4ZTViOGUzXkEyXkFqcGdeQXVyNzQxNDExNTU@._V1_UY98_CR0,0,67,98_AL_.jpg</v>
      </c>
      <c r="U287" s="8">
        <f>'Inflation Adjusted Gross'!F287</f>
        <v>10936138</v>
      </c>
      <c r="V287" s="5">
        <f t="shared" si="1"/>
        <v>2020</v>
      </c>
    </row>
    <row r="288">
      <c r="A288" s="1">
        <v>287.0</v>
      </c>
      <c r="B288" s="1" t="s">
        <v>1926</v>
      </c>
      <c r="C288" s="6">
        <f>Gross_cleaning!E288</f>
        <v>135289</v>
      </c>
      <c r="D288" s="1">
        <v>1972.0</v>
      </c>
      <c r="E288" s="1" t="s">
        <v>270</v>
      </c>
      <c r="F288" s="1" t="str">
        <f>VLOOKUP(Filmes_raw!E288,Rating_systems!$A$2:$C$29,3,FALSE)</f>
        <v>Criança</v>
      </c>
      <c r="G288" s="2">
        <f>Gross_cleaning!F288</f>
        <v>167</v>
      </c>
      <c r="H288" s="1" t="s">
        <v>984</v>
      </c>
      <c r="I288" s="1" t="s">
        <v>304</v>
      </c>
      <c r="J288" s="1">
        <v>8.1</v>
      </c>
      <c r="K288" s="1" t="s">
        <v>1927</v>
      </c>
      <c r="L288" s="1" t="str">
        <f>IFERROR(__xludf.DUMMYFUNCTION("GOOGLETRANSLATE(K288,""en"", ""pt-br"")"),"Um psicólogo é enviado para uma estação orbitando um planeta distante para descobrir o que fez com que a tripulação fosse insana.")</f>
        <v>Um psicólogo é enviado para uma estação orbitando um planeta distante para descobrir o que fez com que a tripulação fosse insana.</v>
      </c>
      <c r="M288" s="1">
        <v>90.0</v>
      </c>
      <c r="N288" s="1" t="s">
        <v>1232</v>
      </c>
      <c r="O288" s="1" t="s">
        <v>1928</v>
      </c>
      <c r="P288" s="1" t="s">
        <v>1929</v>
      </c>
      <c r="Q288" s="1" t="s">
        <v>1930</v>
      </c>
      <c r="R288" s="1" t="s">
        <v>1931</v>
      </c>
      <c r="S288" s="1">
        <v>81021.0</v>
      </c>
      <c r="T288" s="7" t="str">
        <f>VLOOKUP(A288,Posters!A288:B1287,2)</f>
        <v>https://m.media-amazon.com/images/M/MV5BZmY4Yjc0OWQtZDRhMy00ODc2LWI2NGYtMWFlODYyN2VlNDQyXkEyXkFqcGdeQXVyNjU0OTQ0OTY@._V1_UY98_CR1,0,67,98_AL_.jpg</v>
      </c>
      <c r="U288" s="8">
        <f>'Inflation Adjusted Gross'!F288</f>
        <v>849164</v>
      </c>
      <c r="V288" s="5">
        <f t="shared" si="1"/>
        <v>2020</v>
      </c>
    </row>
    <row r="289">
      <c r="A289" s="1">
        <v>288.0</v>
      </c>
      <c r="B289" s="1" t="s">
        <v>1932</v>
      </c>
      <c r="C289" s="6">
        <f>Gross_cleaning!E289</f>
        <v>39481</v>
      </c>
      <c r="D289" s="1">
        <v>1967.0</v>
      </c>
      <c r="E289" s="1" t="s">
        <v>1933</v>
      </c>
      <c r="F289" s="1" t="str">
        <f>VLOOKUP(Filmes_raw!E289,Rating_systems!$A$2:$C$29,3,FALSE)</f>
        <v>Criança</v>
      </c>
      <c r="G289" s="2">
        <f>Gross_cleaning!F289</f>
        <v>105</v>
      </c>
      <c r="H289" s="1" t="s">
        <v>487</v>
      </c>
      <c r="I289" s="1" t="s">
        <v>235</v>
      </c>
      <c r="J289" s="1">
        <v>8.1</v>
      </c>
      <c r="K289" s="1" t="s">
        <v>1934</v>
      </c>
      <c r="L289" s="1" t="str">
        <f>IFERROR(__xludf.DUMMYFUNCTION("GOOGLETRANSLATE(K289,""en"", ""pt-br"")"),"Depois que o Hitman Profissional Jef Costello é visto por testemunhas seus esforços para se fornecer um alibi o impulsionou mais em um canto.")</f>
        <v>Depois que o Hitman Profissional Jef Costello é visto por testemunhas seus esforços para se fornecer um alibi o impulsionou mais em um canto.</v>
      </c>
      <c r="N289" s="1" t="s">
        <v>1935</v>
      </c>
      <c r="O289" s="1" t="s">
        <v>1936</v>
      </c>
      <c r="P289" s="1" t="s">
        <v>1937</v>
      </c>
      <c r="Q289" s="1" t="s">
        <v>1938</v>
      </c>
      <c r="R289" s="1" t="s">
        <v>1939</v>
      </c>
      <c r="S289" s="1">
        <v>45434.0</v>
      </c>
      <c r="T289" s="7" t="str">
        <f>VLOOKUP(A289,Posters!A289:B1288,2)</f>
        <v>https://m.media-amazon.com/images/M/MV5BMWFjZjRiM2QtZmRkOC00MDUxLTlhYmQtYmY5ZTNiMTI5Nzc2L2ltYWdlXkEyXkFqcGdeQXVyNTAyODkwOQ@@._V1_UX67_CR0,0,67,98_AL_.jpg</v>
      </c>
      <c r="U289" s="8">
        <f>'Inflation Adjusted Gross'!F289</f>
        <v>309573</v>
      </c>
      <c r="V289" s="5">
        <f t="shared" si="1"/>
        <v>2020</v>
      </c>
    </row>
    <row r="290">
      <c r="A290" s="1">
        <v>289.0</v>
      </c>
      <c r="B290" s="1" t="s">
        <v>1940</v>
      </c>
      <c r="C290" s="6">
        <f>Gross_cleaning!E290</f>
        <v>16217773</v>
      </c>
      <c r="D290" s="1">
        <v>1967.0</v>
      </c>
      <c r="E290" s="1" t="s">
        <v>18</v>
      </c>
      <c r="F290" s="1" t="str">
        <f>VLOOKUP(Filmes_raw!E290,Rating_systems!$A$2:$C$29,3,FALSE)</f>
        <v>Adulto</v>
      </c>
      <c r="G290" s="2">
        <f>Gross_cleaning!F290</f>
        <v>127</v>
      </c>
      <c r="H290" s="1" t="s">
        <v>234</v>
      </c>
      <c r="I290" s="1" t="s">
        <v>29</v>
      </c>
      <c r="J290" s="1">
        <v>8.1</v>
      </c>
      <c r="K290" s="1" t="s">
        <v>1941</v>
      </c>
      <c r="L290" s="1" t="str">
        <f>IFERROR(__xludf.DUMMYFUNCTION("GOOGLETRANSLATE(K290,""en"", ""pt-br"")"),"Um homem do sul descontraído é condenado a dois anos em uma prisão rural, mas se recusa a se conformar.")</f>
        <v>Um homem do sul descontraído é condenado a dois anos em uma prisão rural, mas se recusa a se conformar.</v>
      </c>
      <c r="M290" s="1">
        <v>92.0</v>
      </c>
      <c r="N290" s="1" t="s">
        <v>1942</v>
      </c>
      <c r="O290" s="1" t="s">
        <v>834</v>
      </c>
      <c r="P290" s="1" t="s">
        <v>1943</v>
      </c>
      <c r="Q290" s="1" t="s">
        <v>1944</v>
      </c>
      <c r="R290" s="1" t="s">
        <v>1945</v>
      </c>
      <c r="S290" s="1">
        <v>161984.0</v>
      </c>
      <c r="T290" s="7" t="str">
        <f>VLOOKUP(A290,Posters!A290:B1289,2)</f>
        <v>https://m.media-amazon.com/images/M/MV5BOWFlNzZhYmYtYTI5YS00MDQyLWIyNTUtNTRjMWUwNTEzNjA0XkEyXkFqcGdeQXVyNjUwNzk3NDc@._V1_UX67_CR0,0,67,98_AL_.jpg</v>
      </c>
      <c r="U290" s="8">
        <f>'Inflation Adjusted Gross'!F290</f>
        <v>127164593</v>
      </c>
      <c r="V290" s="5">
        <f t="shared" si="1"/>
        <v>2020</v>
      </c>
    </row>
    <row r="291">
      <c r="A291" s="1">
        <v>290.0</v>
      </c>
      <c r="B291" s="1" t="s">
        <v>1946</v>
      </c>
      <c r="C291" s="6">
        <f>Gross_cleaning!E291</f>
        <v>90556</v>
      </c>
      <c r="D291" s="1">
        <v>1966.0</v>
      </c>
      <c r="E291" s="1">
        <v>18.0</v>
      </c>
      <c r="F291" s="1" t="str">
        <f>VLOOKUP(Filmes_raw!E291,Rating_systems!$A$2:$C$29,3,FALSE)</f>
        <v>Adulto</v>
      </c>
      <c r="G291" s="2">
        <f>Gross_cleaning!F291</f>
        <v>85</v>
      </c>
      <c r="H291" s="1" t="s">
        <v>1947</v>
      </c>
      <c r="I291" s="1" t="s">
        <v>1377</v>
      </c>
      <c r="J291" s="1">
        <v>8.1</v>
      </c>
      <c r="K291" s="1" t="s">
        <v>1948</v>
      </c>
      <c r="L291" s="1" t="str">
        <f>IFERROR(__xludf.DUMMYFUNCTION("GOOGLETRANSLATE(K291,""en"", ""pt-br"")"),"Uma enfermeira é encarregada de uma atriz muda e descobre que suas personagens estão se fundindo.")</f>
        <v>Uma enfermeira é encarregada de uma atriz muda e descobre que suas personagens estão se fundindo.</v>
      </c>
      <c r="M291" s="1">
        <v>86.0</v>
      </c>
      <c r="N291" s="1" t="s">
        <v>1239</v>
      </c>
      <c r="O291" s="1" t="s">
        <v>1303</v>
      </c>
      <c r="P291" s="1" t="s">
        <v>1240</v>
      </c>
      <c r="Q291" s="1" t="s">
        <v>1949</v>
      </c>
      <c r="R291" s="1" t="s">
        <v>1305</v>
      </c>
      <c r="S291" s="1">
        <v>103191.0</v>
      </c>
      <c r="T291" s="7" t="str">
        <f>VLOOKUP(A291,Posters!A291:B1290,2)</f>
        <v>https://m.media-amazon.com/images/M/MV5BMTM0YzExY2EtMjUyZi00ZmIwLWFkYTktNjY5NmVkYTdkMjI5XkEyXkFqcGdeQXVyNzQxNDExNTU@._V1_UY98_CR0,0,67,98_AL_.jpg</v>
      </c>
      <c r="U291" s="8">
        <f>'Inflation Adjusted Gross'!F291</f>
        <v>734617</v>
      </c>
      <c r="V291" s="5">
        <f t="shared" si="1"/>
        <v>2020</v>
      </c>
    </row>
    <row r="292">
      <c r="A292" s="1">
        <v>291.0</v>
      </c>
      <c r="B292" s="1" t="s">
        <v>1950</v>
      </c>
      <c r="C292" s="6">
        <f>Gross_cleaning!E292</f>
        <v>102021</v>
      </c>
      <c r="D292" s="1">
        <v>1966.0</v>
      </c>
      <c r="E292" s="1" t="s">
        <v>212</v>
      </c>
      <c r="F292" s="1" t="str">
        <f>VLOOKUP(Filmes_raw!E292,Rating_systems!$A$2:$C$29,3,FALSE)</f>
        <v>Adulto</v>
      </c>
      <c r="G292" s="2">
        <f>Gross_cleaning!F292</f>
        <v>205</v>
      </c>
      <c r="H292" s="1" t="s">
        <v>1951</v>
      </c>
      <c r="I292" s="1" t="s">
        <v>79</v>
      </c>
      <c r="J292" s="1">
        <v>8.1</v>
      </c>
      <c r="K292" s="1" t="s">
        <v>1952</v>
      </c>
      <c r="L292" s="1" t="str">
        <f>IFERROR(__xludf.DUMMYFUNCTION("GOOGLETRANSLATE(K292,""en"", ""pt-br"")"),"A vida, os tempos e as aflições do icógrafo russo do século XV St. Andrei Rubblev.")</f>
        <v>A vida, os tempos e as aflições do icógrafo russo do século XV St. Andrei Rubblev.</v>
      </c>
      <c r="N292" s="1" t="s">
        <v>1232</v>
      </c>
      <c r="O292" s="1" t="s">
        <v>1235</v>
      </c>
      <c r="P292" s="1" t="s">
        <v>1953</v>
      </c>
      <c r="Q292" s="1" t="s">
        <v>1236</v>
      </c>
      <c r="R292" s="1" t="s">
        <v>1954</v>
      </c>
      <c r="S292" s="1">
        <v>46947.0</v>
      </c>
      <c r="T292" s="7" t="str">
        <f>VLOOKUP(A292,Posters!A292:B1291,2)</f>
        <v>https://m.media-amazon.com/images/M/MV5BNjM2MjMwNzUzN15BMl5BanBnXkFtZTgwMjEzMzE5MTE@._V1_UY98_CR2,0,67,98_AL_.jpg</v>
      </c>
      <c r="U292" s="8">
        <f>'Inflation Adjusted Gross'!F292</f>
        <v>827625</v>
      </c>
      <c r="V292" s="5">
        <f t="shared" si="1"/>
        <v>2020</v>
      </c>
    </row>
    <row r="293">
      <c r="A293" s="1">
        <v>292.0</v>
      </c>
      <c r="B293" s="1" t="s">
        <v>1955</v>
      </c>
      <c r="C293" s="6">
        <f>Gross_cleaning!E293</f>
        <v>55908</v>
      </c>
      <c r="D293" s="1">
        <v>1966.0</v>
      </c>
      <c r="E293" s="1">
        <v>14.0</v>
      </c>
      <c r="F293" s="1" t="str">
        <f>VLOOKUP(Filmes_raw!E293,Rating_systems!$A$2:$C$29,3,FALSE)</f>
        <v>Adolescente</v>
      </c>
      <c r="G293" s="2">
        <f>Gross_cleaning!F293</f>
        <v>121</v>
      </c>
      <c r="H293" s="1" t="s">
        <v>249</v>
      </c>
      <c r="I293" s="1" t="s">
        <v>213</v>
      </c>
      <c r="J293" s="1">
        <v>8.1</v>
      </c>
      <c r="K293" s="1" t="s">
        <v>1956</v>
      </c>
      <c r="L293" s="1" t="str">
        <f>IFERROR(__xludf.DUMMYFUNCTION("GOOGLETRANSLATE(K293,""en"", ""pt-br"")"),"Na década de 1950, o medo e a violência se escalam como o povo de Algiers lutam pela independência do governo francês.")</f>
        <v>Na década de 1950, o medo e a violência se escalam como o povo de Algiers lutam pela independência do governo francês.</v>
      </c>
      <c r="M293" s="1">
        <v>96.0</v>
      </c>
      <c r="N293" s="1" t="s">
        <v>1957</v>
      </c>
      <c r="O293" s="1" t="s">
        <v>1958</v>
      </c>
      <c r="P293" s="1" t="s">
        <v>1959</v>
      </c>
      <c r="Q293" s="1" t="s">
        <v>1960</v>
      </c>
      <c r="R293" s="1" t="s">
        <v>1961</v>
      </c>
      <c r="S293" s="1">
        <v>53089.0</v>
      </c>
      <c r="T293" s="7" t="str">
        <f>VLOOKUP(A293,Posters!A293:B1292,2)</f>
        <v>https://m.media-amazon.com/images/M/MV5BZWEzMGY4OTQtYTdmMy00M2QwLTliYTQtYWUzYzc3OTA5YzIwXkEyXkFqcGdeQXVyNjc1NTYyMjg@._V1_UY98_CR1,0,67,98_AL_.jpg</v>
      </c>
      <c r="U293" s="8">
        <f>'Inflation Adjusted Gross'!F293</f>
        <v>453542</v>
      </c>
      <c r="V293" s="5">
        <f t="shared" si="1"/>
        <v>2020</v>
      </c>
    </row>
    <row r="294">
      <c r="A294" s="1">
        <v>293.0</v>
      </c>
      <c r="B294" s="1" t="s">
        <v>1962</v>
      </c>
      <c r="C294" s="6">
        <f>Gross_cleaning!E294</f>
        <v>1843</v>
      </c>
      <c r="D294" s="1">
        <v>1962.0</v>
      </c>
      <c r="E294" s="1" t="s">
        <v>1963</v>
      </c>
      <c r="F294" s="1" t="str">
        <f>VLOOKUP(Filmes_raw!E294,Rating_systems!$A$2:$C$29,3,FALSE)</f>
        <v>Desconhecido</v>
      </c>
      <c r="G294" s="2">
        <f>Gross_cleaning!F294</f>
        <v>95</v>
      </c>
      <c r="H294" s="1" t="s">
        <v>601</v>
      </c>
      <c r="I294" s="1" t="s">
        <v>1964</v>
      </c>
      <c r="J294" s="1">
        <v>8.1</v>
      </c>
      <c r="K294" s="1" t="s">
        <v>1965</v>
      </c>
      <c r="L294" s="1" t="str">
        <f>IFERROR(__xludf.DUMMYFUNCTION("GOOGLETRANSLATE(K294,""en"", ""pt-br"")"),"Os convidados em uma festa de classe alta encontram-se incapazes de sair.")</f>
        <v>Os convidados em uma festa de classe alta encontram-se incapazes de sair.</v>
      </c>
      <c r="N294" s="1" t="s">
        <v>1966</v>
      </c>
      <c r="O294" s="1" t="s">
        <v>1967</v>
      </c>
      <c r="P294" s="1" t="s">
        <v>1968</v>
      </c>
      <c r="Q294" s="1" t="s">
        <v>1969</v>
      </c>
      <c r="R294" s="1" t="s">
        <v>1970</v>
      </c>
      <c r="S294" s="1">
        <v>29682.0</v>
      </c>
      <c r="T294" s="7" t="str">
        <f>VLOOKUP(A294,Posters!A294:B1293,2)</f>
        <v>https://m.media-amazon.com/images/M/MV5BZTg3M2ExY2EtZmI5Yy00YWM1LTg4NzItZWEzZTgxNzE2MjhhXkEyXkFqcGdeQXVyNDE5MTU2MDE@._V1_UX67_CR0,0,67,98_AL_.jpg</v>
      </c>
      <c r="U294" s="8">
        <f>'Inflation Adjusted Gross'!F294</f>
        <v>15848</v>
      </c>
      <c r="V294" s="5">
        <f t="shared" si="1"/>
        <v>2020</v>
      </c>
    </row>
    <row r="295">
      <c r="A295" s="1">
        <v>294.0</v>
      </c>
      <c r="B295" s="1" t="s">
        <v>1971</v>
      </c>
      <c r="C295" s="6">
        <f>Gross_cleaning!E295</f>
        <v>4050000</v>
      </c>
      <c r="D295" s="1">
        <v>1962.0</v>
      </c>
      <c r="E295" s="1" t="s">
        <v>627</v>
      </c>
      <c r="F295" s="1" t="str">
        <f>VLOOKUP(Filmes_raw!E295,Rating_systems!$A$2:$C$29,3,FALSE)</f>
        <v>Adulto</v>
      </c>
      <c r="G295" s="2">
        <f>Gross_cleaning!F295</f>
        <v>134</v>
      </c>
      <c r="H295" s="1" t="s">
        <v>550</v>
      </c>
      <c r="I295" s="1" t="s">
        <v>1972</v>
      </c>
      <c r="J295" s="1">
        <v>8.1</v>
      </c>
      <c r="K295" s="1" t="s">
        <v>1973</v>
      </c>
      <c r="L295" s="1" t="str">
        <f>IFERROR(__xludf.DUMMYFUNCTION("GOOGLETRANSLATE(K295,""en"", ""pt-br"")"),"Uma antiga estrela infantil atormenta sua irmã paraplégica em sua decomposição de Hollywood Mansion.")</f>
        <v>Uma antiga estrela infantil atormenta sua irmã paraplégica em sua decomposição de Hollywood Mansion.</v>
      </c>
      <c r="M295" s="1">
        <v>75.0</v>
      </c>
      <c r="N295" s="1" t="s">
        <v>1974</v>
      </c>
      <c r="O295" s="1" t="s">
        <v>1339</v>
      </c>
      <c r="P295" s="1" t="s">
        <v>1975</v>
      </c>
      <c r="Q295" s="1" t="s">
        <v>1976</v>
      </c>
      <c r="R295" s="1" t="s">
        <v>1977</v>
      </c>
      <c r="S295" s="1">
        <v>50058.0</v>
      </c>
      <c r="T295" s="7" t="str">
        <f>VLOOKUP(A295,Posters!A295:B1294,2)</f>
        <v>https://m.media-amazon.com/images/M/MV5BZmI0M2VmNTgtMWVhYS00Zjg1LTk1YTYtNmJmMjRkZmMwYTc2XkEyXkFqcGdeQXVyNTA4NzY1MzY@._V1_UX67_CR0,0,67,98_AL_.jpg</v>
      </c>
      <c r="U295" s="8">
        <f>'Inflation Adjusted Gross'!F295</f>
        <v>34826085</v>
      </c>
      <c r="V295" s="5">
        <f t="shared" si="1"/>
        <v>2020</v>
      </c>
    </row>
    <row r="296">
      <c r="A296" s="1">
        <v>295.0</v>
      </c>
      <c r="B296" s="1" t="s">
        <v>1978</v>
      </c>
      <c r="C296" s="6">
        <f>Gross_cleaning!E296</f>
        <v>55528</v>
      </c>
      <c r="D296" s="1">
        <v>1962.0</v>
      </c>
      <c r="E296" s="1" t="s">
        <v>52</v>
      </c>
      <c r="F296" s="1" t="str">
        <f>VLOOKUP(Filmes_raw!E296,Rating_systems!$A$2:$C$29,3,FALSE)</f>
        <v>Criança</v>
      </c>
      <c r="G296" s="2">
        <f>Gross_cleaning!F296</f>
        <v>96</v>
      </c>
      <c r="H296" s="1" t="s">
        <v>53</v>
      </c>
      <c r="I296" s="1" t="s">
        <v>1029</v>
      </c>
      <c r="J296" s="1">
        <v>8.1</v>
      </c>
      <c r="K296" s="1" t="s">
        <v>1979</v>
      </c>
      <c r="L296" s="1" t="str">
        <f>IFERROR(__xludf.DUMMYFUNCTION("GOOGLETRANSLATE(K296,""en"", ""pt-br"")"),"Um samurai crafty ajuda um jovem e seus colegas grupos salvo seu tio, que foi enquadrado e preso por um superintendente corrupto.")</f>
        <v>Um samurai crafty ajuda um jovem e seus colegas grupos salvo seu tio, que foi enquadrado e preso por um superintendente corrupto.</v>
      </c>
      <c r="N296" s="1" t="s">
        <v>264</v>
      </c>
      <c r="O296" s="1" t="s">
        <v>265</v>
      </c>
      <c r="P296" s="1" t="s">
        <v>257</v>
      </c>
      <c r="Q296" s="1" t="s">
        <v>1980</v>
      </c>
      <c r="R296" s="1" t="s">
        <v>1981</v>
      </c>
      <c r="S296" s="1">
        <v>33044.0</v>
      </c>
      <c r="T296" s="7" t="str">
        <f>VLOOKUP(A296,Posters!A296:B1295,2)</f>
        <v>https://m.media-amazon.com/images/M/MV5BZmY3MDlmODctYTY3Yi00NzYyLWIxNTUtYjVlZWZjMmMwZTBkXkEyXkFqcGdeQXVyMzAxNjg3MjQ@._V1_UX67_CR0,0,67,98_AL_.jpg</v>
      </c>
      <c r="U296" s="8">
        <f>'Inflation Adjusted Gross'!F296</f>
        <v>477487</v>
      </c>
      <c r="V296" s="5">
        <f t="shared" si="1"/>
        <v>2020</v>
      </c>
    </row>
    <row r="297">
      <c r="A297" s="1">
        <v>296.0</v>
      </c>
      <c r="B297" s="1" t="s">
        <v>1982</v>
      </c>
      <c r="C297" s="6">
        <f>Gross_cleaning!E297</f>
        <v>3200000</v>
      </c>
      <c r="D297" s="1">
        <v>1962.0</v>
      </c>
      <c r="E297" s="1">
        <v>12.0</v>
      </c>
      <c r="F297" s="1" t="str">
        <f>VLOOKUP(Filmes_raw!E297,Rating_systems!$A$2:$C$29,3,FALSE)</f>
        <v>Criança</v>
      </c>
      <c r="G297" s="2">
        <f>Gross_cleaning!F297</f>
        <v>123</v>
      </c>
      <c r="H297" s="1" t="s">
        <v>678</v>
      </c>
      <c r="I297" s="1" t="s">
        <v>495</v>
      </c>
      <c r="J297" s="1">
        <v>8.1</v>
      </c>
      <c r="K297" s="1" t="s">
        <v>1983</v>
      </c>
      <c r="L297" s="1" t="str">
        <f>IFERROR(__xludf.DUMMYFUNCTION("GOOGLETRANSLATE(K297,""en"", ""pt-br"")"),"Um senador retorna a uma cidade ocidental para o funeral de um velho amigo e conta a história de suas origens.")</f>
        <v>Um senador retorna a uma cidade ocidental para o funeral de um velho amigo e conta a história de suas origens.</v>
      </c>
      <c r="M297" s="1">
        <v>94.0</v>
      </c>
      <c r="N297" s="1" t="s">
        <v>1984</v>
      </c>
      <c r="O297" s="1" t="s">
        <v>274</v>
      </c>
      <c r="P297" s="1" t="s">
        <v>1985</v>
      </c>
      <c r="Q297" s="1" t="s">
        <v>402</v>
      </c>
      <c r="R297" s="1" t="s">
        <v>1986</v>
      </c>
      <c r="S297" s="1">
        <v>68827.0</v>
      </c>
      <c r="T297" s="7" t="str">
        <f>VLOOKUP(A297,Posters!A297:B1296,2)</f>
        <v>https://m.media-amazon.com/images/M/MV5BMGEyNzhkYzktMGMyZS00YzRiLWJlYjktZjJkOTU5ZDY0ZGI4XkEyXkFqcGdeQXVyNjUwNzk3NDc@._V1_UX67_CR0,0,67,98_AL_.jpg</v>
      </c>
      <c r="U297" s="8">
        <f>'Inflation Adjusted Gross'!F297</f>
        <v>27516907</v>
      </c>
      <c r="V297" s="5">
        <f t="shared" si="1"/>
        <v>2020</v>
      </c>
    </row>
    <row r="298">
      <c r="A298" s="1">
        <v>297.0</v>
      </c>
      <c r="B298" s="1" t="s">
        <v>1987</v>
      </c>
      <c r="C298" s="6">
        <f>Gross_cleaning!E298</f>
        <v>22168</v>
      </c>
      <c r="D298" s="1">
        <v>1962.0</v>
      </c>
      <c r="E298" s="1" t="s">
        <v>1963</v>
      </c>
      <c r="F298" s="1" t="str">
        <f>VLOOKUP(Filmes_raw!E298,Rating_systems!$A$2:$C$29,3,FALSE)</f>
        <v>Desconhecido</v>
      </c>
      <c r="G298" s="2">
        <f>Gross_cleaning!F298</f>
        <v>95</v>
      </c>
      <c r="H298" s="1" t="s">
        <v>601</v>
      </c>
      <c r="I298" s="1" t="s">
        <v>213</v>
      </c>
      <c r="J298" s="1">
        <v>8.1</v>
      </c>
      <c r="K298" s="1" t="s">
        <v>1988</v>
      </c>
      <c r="L298" s="1" t="str">
        <f>IFERROR(__xludf.DUMMYFUNCTION("GOOGLETRANSLATE(K298,""en"", ""pt-br"")"),"Em WW2, doze anos o órfão soviético Ivan Bondarev funciona para o exército soviético como um escoteiro atrás das linhas alemãs e atinge uma amizade com três oficiais soviéticos simpáticos.")</f>
        <v>Em WW2, doze anos o órfão soviético Ivan Bondarev funciona para o exército soviético como um escoteiro atrás das linhas alemãs e atinge uma amizade com três oficiais soviéticos simpáticos.</v>
      </c>
      <c r="N298" s="1" t="s">
        <v>1232</v>
      </c>
      <c r="O298" s="1" t="s">
        <v>1989</v>
      </c>
      <c r="P298" s="1" t="s">
        <v>1990</v>
      </c>
      <c r="Q298" s="1" t="s">
        <v>1991</v>
      </c>
      <c r="R298" s="1" t="s">
        <v>1992</v>
      </c>
      <c r="S298" s="1">
        <v>31728.0</v>
      </c>
      <c r="T298" s="7" t="str">
        <f>VLOOKUP(A298,Posters!A298:B1297,2)</f>
        <v>https://m.media-amazon.com/images/M/MV5BYTYzYzBhYjQtNDQxYS00MmUwLTkyZjgtZWVkOWFjNzE5OTI2XkEyXkFqcGdeQXVyNjMxMjkwMjI@._V1_UX67_CR0,0,67,98_AL_.jpg</v>
      </c>
      <c r="U298" s="8">
        <f>'Inflation Adjusted Gross'!F298</f>
        <v>190623</v>
      </c>
      <c r="V298" s="5">
        <f t="shared" si="1"/>
        <v>2020</v>
      </c>
    </row>
    <row r="299">
      <c r="A299" s="1">
        <v>298.0</v>
      </c>
      <c r="B299" s="1" t="s">
        <v>1993</v>
      </c>
      <c r="C299" s="6">
        <f>Gross_cleaning!E299</f>
        <v>1526000</v>
      </c>
      <c r="D299" s="1">
        <v>1960.0</v>
      </c>
      <c r="E299" s="1" t="s">
        <v>18</v>
      </c>
      <c r="F299" s="1" t="str">
        <f>VLOOKUP(Filmes_raw!E299,Rating_systems!$A$2:$C$29,3,FALSE)</f>
        <v>Adulto</v>
      </c>
      <c r="G299" s="2">
        <f>Gross_cleaning!F299</f>
        <v>89</v>
      </c>
      <c r="H299" s="1" t="s">
        <v>374</v>
      </c>
      <c r="I299" s="1" t="s">
        <v>20</v>
      </c>
      <c r="J299" s="1">
        <v>8.1</v>
      </c>
      <c r="K299" s="1" t="s">
        <v>1994</v>
      </c>
      <c r="L299" s="1" t="str">
        <f>IFERROR(__xludf.DUMMYFUNCTION("GOOGLETRANSLATE(K299,""en"", ""pt-br"")"),"Um inocente ainda mimado jovem Virgem e seu servo grávido e ciumento de sua família partiu para entregar velas à igreja, mas apenas um retorna de eventos que aconteciam na floresta ao longo do caminho.")</f>
        <v>Um inocente ainda mimado jovem Virgem e seu servo grávido e ciumento de sua família partiu para entregar velas à igreja, mas apenas um retorna de eventos que aconteciam na floresta ao longo do caminho.</v>
      </c>
      <c r="N299" s="1" t="s">
        <v>1239</v>
      </c>
      <c r="O299" s="1" t="s">
        <v>1309</v>
      </c>
      <c r="P299" s="1" t="s">
        <v>1995</v>
      </c>
      <c r="Q299" s="1" t="s">
        <v>1996</v>
      </c>
      <c r="R299" s="1" t="s">
        <v>1997</v>
      </c>
      <c r="S299" s="1">
        <v>26697.0</v>
      </c>
      <c r="T299" s="7" t="str">
        <f>VLOOKUP(A299,Posters!A299:B1298,2)</f>
        <v>https://m.media-amazon.com/images/M/MV5BZjgyMzZkMGUtNTBhZC00OTkzLWI4ZmMtYzcwMzc5MjQ0YTM3XkEyXkFqcGdeQXVyMTMxMTY0OTQ@._V1_UY98_CR3,0,67,98_AL_.jpg</v>
      </c>
      <c r="U299" s="8">
        <f>'Inflation Adjusted Gross'!F299</f>
        <v>13435623</v>
      </c>
      <c r="V299" s="5">
        <f t="shared" si="1"/>
        <v>2020</v>
      </c>
    </row>
    <row r="300">
      <c r="A300" s="1">
        <v>299.0</v>
      </c>
      <c r="B300" s="1" t="s">
        <v>1998</v>
      </c>
      <c r="C300" s="6">
        <f>Gross_cleaning!E300</f>
        <v>2000000</v>
      </c>
      <c r="D300" s="1">
        <v>1960.0</v>
      </c>
      <c r="E300" s="1" t="s">
        <v>627</v>
      </c>
      <c r="F300" s="1" t="str">
        <f>VLOOKUP(Filmes_raw!E300,Rating_systems!$A$2:$C$29,3,FALSE)</f>
        <v>Adulto</v>
      </c>
      <c r="G300" s="2">
        <f>Gross_cleaning!F300</f>
        <v>128</v>
      </c>
      <c r="H300" s="1" t="s">
        <v>878</v>
      </c>
      <c r="I300" s="1" t="s">
        <v>79</v>
      </c>
      <c r="J300" s="1">
        <v>8.1</v>
      </c>
      <c r="K300" s="1" t="s">
        <v>1999</v>
      </c>
      <c r="L300" s="1" t="str">
        <f>IFERROR(__xludf.DUMMYFUNCTION("GOOGLETRANSLATE(K300,""en"", ""pt-br"")"),"Com base em um caso de vida real em 1925, dois grandes advogados argumentam o caso e contra um professor de ciências acusado do crime de ensino de evolução.")</f>
        <v>Com base em um caso de vida real em 1925, dois grandes advogados argumentam o caso e contra um professor de ciências acusado do crime de ensino de evolução.</v>
      </c>
      <c r="M300" s="1">
        <v>75.0</v>
      </c>
      <c r="N300" s="1" t="s">
        <v>1290</v>
      </c>
      <c r="O300" s="1" t="s">
        <v>1291</v>
      </c>
      <c r="P300" s="1" t="s">
        <v>2000</v>
      </c>
      <c r="Q300" s="1" t="s">
        <v>889</v>
      </c>
      <c r="R300" s="1" t="s">
        <v>2001</v>
      </c>
      <c r="S300" s="1">
        <v>27254.0</v>
      </c>
      <c r="T300" s="7" t="str">
        <f>VLOOKUP(A300,Posters!A300:B1299,2)</f>
        <v>https://m.media-amazon.com/images/M/MV5BMGQ5ODNkNWYtYTgxZS00YjJkLThhODAtYzUwNGNiYjRmNjdkXkEyXkFqcGdeQXVyMTg2NTc4MzA@._V1_UY98_CR4,0,67,98_AL_.jpg</v>
      </c>
      <c r="U300" s="8">
        <f>'Inflation Adjusted Gross'!F300</f>
        <v>17608942</v>
      </c>
      <c r="V300" s="5">
        <f t="shared" si="1"/>
        <v>2020</v>
      </c>
    </row>
    <row r="301">
      <c r="A301" s="1">
        <v>300.0</v>
      </c>
      <c r="B301" s="1" t="s">
        <v>2002</v>
      </c>
      <c r="C301" s="6">
        <f>Gross_cleaning!E301</f>
        <v>127244</v>
      </c>
      <c r="D301" s="1">
        <v>1959.0</v>
      </c>
      <c r="E301" s="1">
        <v>12.0</v>
      </c>
      <c r="F301" s="1" t="str">
        <f>VLOOKUP(Filmes_raw!E301,Rating_systems!$A$2:$C$29,3,FALSE)</f>
        <v>Criança</v>
      </c>
      <c r="G301" s="2">
        <f>Gross_cleaning!F301</f>
        <v>99</v>
      </c>
      <c r="H301" s="1" t="s">
        <v>778</v>
      </c>
      <c r="I301" s="1" t="s">
        <v>29</v>
      </c>
      <c r="J301" s="1">
        <v>8.1</v>
      </c>
      <c r="K301" s="1" t="s">
        <v>2003</v>
      </c>
      <c r="L301" s="1" t="str">
        <f>IFERROR(__xludf.DUMMYFUNCTION("GOOGLETRANSLATE(K301,""en"", ""pt-br"")"),"Um menino, deixado sem atenção, mergulha em uma vida de pequenas crime.")</f>
        <v>Um menino, deixado sem atenção, mergulha em uma vida de pequenas crime.</v>
      </c>
      <c r="N301" s="1" t="s">
        <v>2004</v>
      </c>
      <c r="O301" s="1" t="s">
        <v>2005</v>
      </c>
      <c r="P301" s="1" t="s">
        <v>2006</v>
      </c>
      <c r="Q301" s="1" t="s">
        <v>2007</v>
      </c>
      <c r="R301" s="1" t="s">
        <v>2008</v>
      </c>
      <c r="S301" s="1">
        <v>105291.0</v>
      </c>
      <c r="T301" s="7" t="str">
        <f>VLOOKUP(A301,Posters!A301:B1300,2)</f>
        <v>https://m.media-amazon.com/images/M/MV5BYTQ4MjA4NmYtYjRhNi00MTEwLTg0NjgtNjk3ODJlZGU4NjRkL2ltYWdlL2ltYWdlXkEyXkFqcGdeQXVyNjU0OTQ0OTY@._V1_UY98_CR3,0,67,98_AL_.jpg</v>
      </c>
      <c r="U301" s="8">
        <f>'Inflation Adjusted Gross'!F301</f>
        <v>1131906</v>
      </c>
      <c r="V301" s="5">
        <f t="shared" si="1"/>
        <v>2020</v>
      </c>
    </row>
    <row r="302">
      <c r="A302" s="1">
        <v>301.0</v>
      </c>
      <c r="B302" s="1" t="s">
        <v>2009</v>
      </c>
      <c r="C302" s="6">
        <f>Gross_cleaning!E302</f>
        <v>74700000</v>
      </c>
      <c r="D302" s="1">
        <v>1959.0</v>
      </c>
      <c r="E302" s="1" t="s">
        <v>52</v>
      </c>
      <c r="F302" s="1" t="str">
        <f>VLOOKUP(Filmes_raw!E302,Rating_systems!$A$2:$C$29,3,FALSE)</f>
        <v>Criança</v>
      </c>
      <c r="G302" s="2">
        <f>Gross_cleaning!F302</f>
        <v>212</v>
      </c>
      <c r="H302" s="1" t="s">
        <v>2010</v>
      </c>
      <c r="I302" s="1" t="s">
        <v>1269</v>
      </c>
      <c r="J302" s="1">
        <v>8.1</v>
      </c>
      <c r="K302" s="1" t="s">
        <v>2011</v>
      </c>
      <c r="L302" s="1" t="str">
        <f>IFERROR(__xludf.DUMMYFUNCTION("GOOGLETRANSLATE(K302,""en"", ""pt-br"")"),"Depois que um príncipe judeu é traído e enviado para a escravidão por um amigo romano, ele recupera sua liberdade e volta para vingança.")</f>
        <v>Depois que um príncipe judeu é traído e enviado para a escravidão por um amigo romano, ele recupera sua liberdade e volta para vingança.</v>
      </c>
      <c r="M302" s="1">
        <v>90.0</v>
      </c>
      <c r="N302" s="1" t="s">
        <v>2012</v>
      </c>
      <c r="O302" s="1" t="s">
        <v>2013</v>
      </c>
      <c r="P302" s="1" t="s">
        <v>863</v>
      </c>
      <c r="Q302" s="1" t="s">
        <v>2014</v>
      </c>
      <c r="R302" s="1" t="s">
        <v>2015</v>
      </c>
      <c r="S302" s="1">
        <v>219466.0</v>
      </c>
      <c r="T302" s="7" t="str">
        <f>VLOOKUP(A302,Posters!A302:B1301,2)</f>
        <v>https://m.media-amazon.com/images/M/MV5BNjgxY2JiZDYtZmMwOC00ZmJjLWJmODUtMTNmNWNmYWI5ODkwL2ltYWdlL2ltYWdlXkEyXkFqcGdeQXVyNjc1NTYyMjg@._V1_UX67_CR0,0,67,98_AL_.jpg</v>
      </c>
      <c r="U302" s="8">
        <f>'Inflation Adjusted Gross'!F302</f>
        <v>664497713</v>
      </c>
      <c r="V302" s="5">
        <f t="shared" si="1"/>
        <v>2020</v>
      </c>
    </row>
    <row r="303">
      <c r="A303" s="1">
        <v>302.0</v>
      </c>
      <c r="B303" s="1" t="s">
        <v>2016</v>
      </c>
      <c r="C303" s="6">
        <f>Gross_cleaning!E303</f>
        <v>46808</v>
      </c>
      <c r="D303" s="1">
        <v>1958.0</v>
      </c>
      <c r="E303" s="1">
        <v>14.0</v>
      </c>
      <c r="F303" s="1" t="str">
        <f>VLOOKUP(Filmes_raw!E303,Rating_systems!$A$2:$C$29,3,FALSE)</f>
        <v>Adolescente</v>
      </c>
      <c r="G303" s="2">
        <f>Gross_cleaning!F303</f>
        <v>139</v>
      </c>
      <c r="H303" s="1" t="s">
        <v>95</v>
      </c>
      <c r="I303" s="1" t="s">
        <v>1813</v>
      </c>
      <c r="J303" s="1">
        <v>8.1</v>
      </c>
      <c r="K303" s="1" t="s">
        <v>2017</v>
      </c>
      <c r="L303" s="1" t="str">
        <f>IFERROR(__xludf.DUMMYFUNCTION("GOOGLETRANSLATE(K303,""en"", ""pt-br"")"),"Lured por ouro, dois camponeses gananciosos escoltam inconscientemente uma princesa e seu geral entre linhas inimigas.")</f>
        <v>Lured por ouro, dois camponeses gananciosos escoltam inconscientemente uma princesa e seu geral entre linhas inimigas.</v>
      </c>
      <c r="N303" s="1" t="s">
        <v>264</v>
      </c>
      <c r="O303" s="1" t="s">
        <v>265</v>
      </c>
      <c r="P303" s="1" t="s">
        <v>2018</v>
      </c>
      <c r="Q303" s="1" t="s">
        <v>2019</v>
      </c>
      <c r="R303" s="1" t="s">
        <v>2020</v>
      </c>
      <c r="S303" s="1">
        <v>34797.0</v>
      </c>
      <c r="T303" s="7" t="str">
        <f>VLOOKUP(A303,Posters!A303:B1302,2)</f>
        <v>https://m.media-amazon.com/images/M/MV5BYjJkN2Y5MTktZDRhOS00NTUwLWFiMzEtMTVlNWU4ODM0Y2E5XkEyXkFqcGdeQXVyNjc1NTYyMjg@._V1_UY98_CR1,0,67,98_AL_.jpg</v>
      </c>
      <c r="U303" s="8">
        <f>'Inflation Adjusted Gross'!F303</f>
        <v>422207</v>
      </c>
      <c r="V303" s="5">
        <f t="shared" si="1"/>
        <v>2020</v>
      </c>
    </row>
    <row r="304">
      <c r="A304" s="1">
        <v>303.0</v>
      </c>
      <c r="B304" s="1" t="s">
        <v>2021</v>
      </c>
      <c r="C304" s="6">
        <f>Gross_cleaning!E304</f>
        <v>752045</v>
      </c>
      <c r="D304" s="1">
        <v>1957.0</v>
      </c>
      <c r="E304" s="1" t="s">
        <v>270</v>
      </c>
      <c r="F304" s="1" t="str">
        <f>VLOOKUP(Filmes_raw!E304,Rating_systems!$A$2:$C$29,3,FALSE)</f>
        <v>Criança</v>
      </c>
      <c r="G304" s="2">
        <f>Gross_cleaning!F304</f>
        <v>110</v>
      </c>
      <c r="H304" s="1" t="s">
        <v>343</v>
      </c>
      <c r="I304" s="1" t="s">
        <v>20</v>
      </c>
      <c r="J304" s="1">
        <v>8.1</v>
      </c>
      <c r="K304" s="1" t="s">
        <v>2022</v>
      </c>
      <c r="L304" s="1" t="str">
        <f>IFERROR(__xludf.DUMMYFUNCTION("GOOGLETRANSLATE(K304,""en"", ""pt-br"")"),"Uma prostituta waifish vagueia as ruas de Roma à procura de amor verdadeiro, mas encontra apenas desgosto.")</f>
        <v>Uma prostituta waifish vagueia as ruas de Roma à procura de amor verdadeiro, mas encontra apenas desgosto.</v>
      </c>
      <c r="N304" s="1" t="s">
        <v>2023</v>
      </c>
      <c r="O304" s="1" t="s">
        <v>2024</v>
      </c>
      <c r="P304" s="1" t="s">
        <v>1937</v>
      </c>
      <c r="Q304" s="1" t="s">
        <v>2025</v>
      </c>
      <c r="R304" s="1" t="s">
        <v>2026</v>
      </c>
      <c r="S304" s="1">
        <v>42940.0</v>
      </c>
      <c r="T304" s="7" t="str">
        <f>VLOOKUP(A304,Posters!A304:B1303,2)</f>
        <v>https://m.media-amazon.com/images/M/MV5BOTdhNmUxZmQtNmMwNC00MzE3LWE1MTUtZDgxZTYwYjEzZjcwXkEyXkFqcGdeQXVyNTA1NjYyMDk@._V1_UY98_CR0,0,67,98_AL_.jpg</v>
      </c>
      <c r="U304" s="8">
        <f>'Inflation Adjusted Gross'!F304</f>
        <v>7029196</v>
      </c>
      <c r="V304" s="5">
        <f t="shared" si="1"/>
        <v>2020</v>
      </c>
    </row>
    <row r="305">
      <c r="A305" s="1">
        <v>304.0</v>
      </c>
      <c r="B305" s="1" t="s">
        <v>2027</v>
      </c>
      <c r="C305" s="6">
        <f>Gross_cleaning!E305</f>
        <v>46808</v>
      </c>
      <c r="D305" s="1">
        <v>1957.0</v>
      </c>
      <c r="E305" s="1">
        <v>12.0</v>
      </c>
      <c r="F305" s="1" t="str">
        <f>VLOOKUP(Filmes_raw!E305,Rating_systems!$A$2:$C$29,3,FALSE)</f>
        <v>Criança</v>
      </c>
      <c r="G305" s="2">
        <f>Gross_cleaning!F305</f>
        <v>110</v>
      </c>
      <c r="H305" s="1" t="s">
        <v>343</v>
      </c>
      <c r="I305" s="1" t="s">
        <v>2028</v>
      </c>
      <c r="J305" s="1">
        <v>8.1</v>
      </c>
      <c r="K305" s="1" t="s">
        <v>2029</v>
      </c>
      <c r="L305" s="1" t="str">
        <f>IFERROR(__xludf.DUMMYFUNCTION("GOOGLETRANSLATE(K305,""en"", ""pt-br"")"),"Um general endurecido pela guerra, eged por sua ambiciosa esposa, trabalha para cumprir uma profecia que ele se tornaria senhor do castelo da Web da Aranha.")</f>
        <v>Um general endurecido pela guerra, eged por sua ambiciosa esposa, trabalha para cumprir uma profecia que ele se tornaria senhor do castelo da Web da Aranha.</v>
      </c>
      <c r="N305" s="1" t="s">
        <v>264</v>
      </c>
      <c r="O305" s="1" t="s">
        <v>265</v>
      </c>
      <c r="P305" s="1" t="s">
        <v>2019</v>
      </c>
      <c r="Q305" s="1" t="s">
        <v>2030</v>
      </c>
      <c r="R305" s="1" t="s">
        <v>266</v>
      </c>
      <c r="S305" s="1">
        <v>46678.0</v>
      </c>
      <c r="T305" s="7" t="str">
        <f>VLOOKUP(A305,Posters!A305:B1304,2)</f>
        <v>https://m.media-amazon.com/images/M/MV5BNGYxZjA2M2ItYTRmNS00NzRmLWJkYzgtYTdiNGFlZDI5ZjNmXkEyXkFqcGdeQXVyNDE5MTU2MDE@._V1_UY98_CR0,0,67,98_AL_.jpg</v>
      </c>
      <c r="U305" s="8">
        <f>'Inflation Adjusted Gross'!F305</f>
        <v>437504</v>
      </c>
      <c r="V305" s="5">
        <f t="shared" si="1"/>
        <v>2020</v>
      </c>
    </row>
    <row r="306">
      <c r="A306" s="1">
        <v>305.0</v>
      </c>
      <c r="B306" s="1" t="s">
        <v>2031</v>
      </c>
      <c r="C306" s="6">
        <f>Gross_cleaning!E306</f>
        <v>44908000</v>
      </c>
      <c r="D306" s="1">
        <v>1957.0</v>
      </c>
      <c r="E306" s="1" t="s">
        <v>270</v>
      </c>
      <c r="F306" s="1" t="str">
        <f>VLOOKUP(Filmes_raw!E306,Rating_systems!$A$2:$C$29,3,FALSE)</f>
        <v>Criança</v>
      </c>
      <c r="G306" s="2">
        <f>Gross_cleaning!F306</f>
        <v>161</v>
      </c>
      <c r="H306" s="1" t="s">
        <v>115</v>
      </c>
      <c r="I306" s="1" t="s">
        <v>708</v>
      </c>
      <c r="J306" s="1">
        <v>8.1</v>
      </c>
      <c r="K306" s="1" t="s">
        <v>2032</v>
      </c>
      <c r="L306" s="1" t="str">
        <f>IFERROR(__xludf.DUMMYFUNCTION("GOOGLETRANSLATE(K306,""en"", ""pt-br"")"),"Brown Britânicos são forçados a construir uma ponte ferroviária do outro lado do rio Kwai para seus captores japoneses, sem saber que as forças aliadas estão planejando destruí-lo.")</f>
        <v>Brown Britânicos são forçados a construir uma ponte ferroviária do outro lado do rio Kwai para seus captores japoneses, sem saber que as forças aliadas estão planejando destruí-lo.</v>
      </c>
      <c r="M306" s="1">
        <v>87.0</v>
      </c>
      <c r="N306" s="1" t="s">
        <v>860</v>
      </c>
      <c r="O306" s="1" t="s">
        <v>630</v>
      </c>
      <c r="P306" s="1" t="s">
        <v>252</v>
      </c>
      <c r="Q306" s="1" t="s">
        <v>863</v>
      </c>
      <c r="R306" s="1" t="s">
        <v>2033</v>
      </c>
      <c r="S306" s="1">
        <v>203463.0</v>
      </c>
      <c r="T306" s="7" t="str">
        <f>VLOOKUP(A306,Posters!A306:B1305,2)</f>
        <v>https://m.media-amazon.com/images/M/MV5BMGVhNjhjODktODgxYS00MDdhLTlkZjktYTkyNzQxMTU0ZDYxXkEyXkFqcGdeQXVyNzkwMjQ5NzM@._V1_UX67_CR0,0,67,98_AL_.jpg</v>
      </c>
      <c r="U306" s="8">
        <f>'Inflation Adjusted Gross'!F306</f>
        <v>419744988</v>
      </c>
      <c r="V306" s="5">
        <f t="shared" si="1"/>
        <v>2020</v>
      </c>
    </row>
    <row r="307">
      <c r="A307" s="1">
        <v>306.0</v>
      </c>
      <c r="B307" s="1" t="s">
        <v>2034</v>
      </c>
      <c r="C307" s="6">
        <f>Gross_cleaning!E307</f>
        <v>9600000</v>
      </c>
      <c r="D307" s="1">
        <v>1954.0</v>
      </c>
      <c r="E307" s="1" t="s">
        <v>18</v>
      </c>
      <c r="F307" s="1" t="str">
        <f>VLOOKUP(Filmes_raw!E307,Rating_systems!$A$2:$C$29,3,FALSE)</f>
        <v>Adulto</v>
      </c>
      <c r="G307" s="2">
        <f>Gross_cleaning!F307</f>
        <v>108</v>
      </c>
      <c r="H307" s="1" t="s">
        <v>714</v>
      </c>
      <c r="I307" s="1" t="s">
        <v>241</v>
      </c>
      <c r="J307" s="1">
        <v>8.1</v>
      </c>
      <c r="K307" s="1" t="s">
        <v>2035</v>
      </c>
      <c r="L307" s="1" t="str">
        <f>IFERROR(__xludf.DUMMYFUNCTION("GOOGLETRANSLATE(K307,""en"", ""pt-br"")"),"Um lutador ex-prêmio tornou as lutas longshoreman para enfrentar seus chefes union corruptos.")</f>
        <v>Um lutador ex-prêmio tornou as lutas longshoreman para enfrentar seus chefes union corruptos.</v>
      </c>
      <c r="M307" s="1">
        <v>91.0</v>
      </c>
      <c r="N307" s="1" t="s">
        <v>2036</v>
      </c>
      <c r="O307" s="1" t="s">
        <v>32</v>
      </c>
      <c r="P307" s="1" t="s">
        <v>2037</v>
      </c>
      <c r="Q307" s="1" t="s">
        <v>57</v>
      </c>
      <c r="R307" s="1" t="s">
        <v>2038</v>
      </c>
      <c r="S307" s="1">
        <v>142107.0</v>
      </c>
      <c r="T307" s="7" t="str">
        <f>VLOOKUP(A307,Posters!A307:B1306,2)</f>
        <v>https://m.media-amazon.com/images/M/MV5BY2I0MWFiZDMtNWQyYy00Njk5LTk3MDktZjZjNTNmZmVkYjkxXkEyXkFqcGdeQXVyNjc1NTYyMjg@._V1_UX67_CR0,0,67,98_AL_.jpg</v>
      </c>
      <c r="U307" s="8">
        <f>'Inflation Adjusted Gross'!F307</f>
        <v>92064000</v>
      </c>
      <c r="V307" s="5">
        <f t="shared" si="1"/>
        <v>2020</v>
      </c>
    </row>
    <row r="308">
      <c r="A308" s="1">
        <v>307.0</v>
      </c>
      <c r="B308" s="1" t="s">
        <v>2039</v>
      </c>
      <c r="C308" s="6">
        <f>Gross_cleaning!E308</f>
        <v>1098</v>
      </c>
      <c r="D308" s="1">
        <v>1953.0</v>
      </c>
      <c r="E308" s="1" t="s">
        <v>52</v>
      </c>
      <c r="F308" s="1" t="str">
        <f>VLOOKUP(Filmes_raw!E308,Rating_systems!$A$2:$C$29,3,FALSE)</f>
        <v>Criança</v>
      </c>
      <c r="G308" s="2">
        <f>Gross_cleaning!F308</f>
        <v>131</v>
      </c>
      <c r="H308" s="1" t="s">
        <v>686</v>
      </c>
      <c r="I308" s="1" t="s">
        <v>817</v>
      </c>
      <c r="J308" s="1">
        <v>8.1</v>
      </c>
      <c r="K308" s="1" t="s">
        <v>2040</v>
      </c>
      <c r="L308" s="1" t="str">
        <f>IFERROR(__xludf.DUMMYFUNCTION("GOOGLETRANSLATE(K308,""en"", ""pt-br"")"),"Em uma aldeia decrépita sul-americana, quatro homens são contratados para transportar uma remessa de nitroglicerina urgente sem o equipamento que o tornaria seguro.")</f>
        <v>Em uma aldeia decrépita sul-americana, quatro homens são contratados para transportar uma remessa de nitroglicerina urgente sem o equipamento que o tornaria seguro.</v>
      </c>
      <c r="M308" s="1">
        <v>85.0</v>
      </c>
      <c r="N308" s="1" t="s">
        <v>2041</v>
      </c>
      <c r="O308" s="1" t="s">
        <v>2042</v>
      </c>
      <c r="P308" s="1" t="s">
        <v>2043</v>
      </c>
      <c r="Q308" s="1" t="s">
        <v>2044</v>
      </c>
      <c r="R308" s="1" t="s">
        <v>2045</v>
      </c>
      <c r="S308" s="1">
        <v>54588.0</v>
      </c>
      <c r="T308" s="7" t="str">
        <f>VLOOKUP(A308,Posters!A308:B1307,2)</f>
        <v>https://m.media-amazon.com/images/M/MV5BZDdkNzMwZmUtY2Q5MS00ZmM2LWJhYjItYTBjMWY0MGM4MDRjXkEyXkFqcGdeQXVyNTA4NzY1MzY@._V1_UY98_CR0,0,67,98_AL_.jpg</v>
      </c>
      <c r="U308" s="8">
        <f>'Inflation Adjusted Gross'!F308</f>
        <v>10649</v>
      </c>
      <c r="V308" s="5">
        <f t="shared" si="1"/>
        <v>2020</v>
      </c>
    </row>
    <row r="309">
      <c r="A309" s="1">
        <v>308.0</v>
      </c>
      <c r="B309" s="1" t="s">
        <v>2046</v>
      </c>
      <c r="C309" s="6">
        <f>Gross_cleaning!E309</f>
        <v>3969893</v>
      </c>
      <c r="D309" s="1">
        <v>1951.0</v>
      </c>
      <c r="E309" s="1" t="s">
        <v>2047</v>
      </c>
      <c r="F309" s="1" t="str">
        <f>VLOOKUP(Filmes_raw!E309,Rating_systems!$A$2:$C$29,3,FALSE)</f>
        <v>Adulto</v>
      </c>
      <c r="G309" s="2">
        <f>Gross_cleaning!F309</f>
        <v>111</v>
      </c>
      <c r="H309" s="1" t="s">
        <v>1663</v>
      </c>
      <c r="I309" s="1" t="s">
        <v>628</v>
      </c>
      <c r="J309" s="1">
        <v>8.1</v>
      </c>
      <c r="K309" s="1" t="s">
        <v>2048</v>
      </c>
      <c r="L309" s="1" t="str">
        <f>IFERROR(__xludf.DUMMYFUNCTION("GOOGLETRANSLATE(K309,""en"", ""pt-br"")"),"Um ex-jornalista frustrado da cidade grande agora preso a trabalhar para um jornal de albuquerque explora uma história sobre um homem preso em uma caverna para reacender sua carreira, mas a situação rapidamente se escala em um circo fora de controle.")</f>
        <v>Um ex-jornalista frustrado da cidade grande agora preso a trabalhar para um jornal de albuquerque explora uma história sobre um homem preso em uma caverna para reacender sua carreira, mas a situação rapidamente se escala em um circo fora de controle.</v>
      </c>
      <c r="M309" s="1">
        <v>72.0</v>
      </c>
      <c r="N309" s="1" t="s">
        <v>610</v>
      </c>
      <c r="O309" s="1" t="s">
        <v>617</v>
      </c>
      <c r="P309" s="1" t="s">
        <v>2049</v>
      </c>
      <c r="Q309" s="1" t="s">
        <v>2050</v>
      </c>
      <c r="R309" s="1" t="s">
        <v>2051</v>
      </c>
      <c r="S309" s="1">
        <v>31568.0</v>
      </c>
      <c r="T309" s="7" t="str">
        <f>VLOOKUP(A309,Posters!A309:B1308,2)</f>
        <v>https://m.media-amazon.com/images/M/MV5BNDUzZjlhZTYtN2E5MS00ODQ3LWI1ZjgtNzdiZmI0NTZiZTljXkEyXkFqcGdeQXVyMjI4MjA5MzA@._V1_UX67_CR0,0,67,98_AL_.jpg</v>
      </c>
      <c r="U309" s="8">
        <f>'Inflation Adjusted Gross'!F309</f>
        <v>40319577</v>
      </c>
      <c r="V309" s="5">
        <f t="shared" si="1"/>
        <v>2020</v>
      </c>
    </row>
    <row r="310">
      <c r="A310" s="1">
        <v>309.0</v>
      </c>
      <c r="B310" s="1" t="s">
        <v>2052</v>
      </c>
      <c r="C310" s="6">
        <f>Gross_cleaning!E310</f>
        <v>5534</v>
      </c>
      <c r="D310" s="1">
        <v>1949.0</v>
      </c>
      <c r="E310" s="1">
        <v>12.0</v>
      </c>
      <c r="F310" s="1" t="str">
        <f>VLOOKUP(Filmes_raw!E310,Rating_systems!$A$2:$C$29,3,FALSE)</f>
        <v>Criança</v>
      </c>
      <c r="G310" s="2">
        <f>Gross_cleaning!F310</f>
        <v>114</v>
      </c>
      <c r="H310" s="1" t="s">
        <v>825</v>
      </c>
      <c r="I310" s="1" t="s">
        <v>39</v>
      </c>
      <c r="J310" s="1">
        <v>8.1</v>
      </c>
      <c r="K310" s="1" t="s">
        <v>2053</v>
      </c>
      <c r="L310" s="1" t="str">
        <f>IFERROR(__xludf.DUMMYFUNCTION("GOOGLETRANSLATE(K310,""en"", ""pt-br"")"),"Um criminoso psicopático com um complexo mãe faz uma pausa ousada da prisão e lidera sua velha gangue em uma folha de folha de folha de folha química.")</f>
        <v>Um criminoso psicopático com um complexo mãe faz uma pausa ousada da prisão e lidera sua velha gangue em uma folha de folha de folha de folha química.</v>
      </c>
      <c r="N310" s="1" t="s">
        <v>2054</v>
      </c>
      <c r="O310" s="1" t="s">
        <v>2055</v>
      </c>
      <c r="P310" s="1" t="s">
        <v>2056</v>
      </c>
      <c r="Q310" s="1" t="s">
        <v>2057</v>
      </c>
      <c r="R310" s="1" t="s">
        <v>2058</v>
      </c>
      <c r="S310" s="1">
        <v>29807.0</v>
      </c>
      <c r="T310" s="7" t="str">
        <f>VLOOKUP(A310,Posters!A310:B1309,2)</f>
        <v>https://m.media-amazon.com/images/M/MV5BZmI5NTA3MjItYzdhMi00MWMxLTg3OWMtYWQyYjg5MTFmM2U0L2ltYWdlL2ltYWdlXkEyXkFqcGdeQXVyNjc1NTYyMjg@._V1_UX67_CR0,0,67,98_AL_.jpg</v>
      </c>
      <c r="U310" s="8">
        <f>'Inflation Adjusted Gross'!F310</f>
        <v>59484</v>
      </c>
      <c r="V310" s="5">
        <f t="shared" si="1"/>
        <v>2020</v>
      </c>
    </row>
    <row r="311">
      <c r="A311" s="1">
        <v>310.0</v>
      </c>
      <c r="B311" s="1" t="s">
        <v>2059</v>
      </c>
      <c r="C311" s="6">
        <f>Gross_cleaning!E311</f>
        <v>449191</v>
      </c>
      <c r="D311" s="1">
        <v>1949.0</v>
      </c>
      <c r="E311" s="1" t="s">
        <v>2047</v>
      </c>
      <c r="F311" s="1" t="str">
        <f>VLOOKUP(Filmes_raw!E311,Rating_systems!$A$2:$C$29,3,FALSE)</f>
        <v>Adulto</v>
      </c>
      <c r="G311" s="2">
        <f>Gross_cleaning!F311</f>
        <v>104</v>
      </c>
      <c r="H311" s="1" t="s">
        <v>647</v>
      </c>
      <c r="I311" s="1" t="s">
        <v>2060</v>
      </c>
      <c r="J311" s="1">
        <v>8.1</v>
      </c>
      <c r="K311" s="1" t="s">
        <v>2061</v>
      </c>
      <c r="L311" s="1" t="str">
        <f>IFERROR(__xludf.DUMMYFUNCTION("GOOGLETRANSLATE(K311,""en"", ""pt-br"")"),"O romancista de celulose Holly Martins viaja a sombria, pós-guerra Viena, apenas para se encontrar investigando a misteriosa morte de um velho amigo, Harry Lime.")</f>
        <v>O romancista de celulose Holly Martins viaja a sombria, pós-guerra Viena, apenas para se encontrar investigando a misteriosa morte de um velho amigo, Harry Lime.</v>
      </c>
      <c r="M311" s="1">
        <v>97.0</v>
      </c>
      <c r="N311" s="1" t="s">
        <v>2062</v>
      </c>
      <c r="O311" s="1" t="s">
        <v>916</v>
      </c>
      <c r="P311" s="1" t="s">
        <v>917</v>
      </c>
      <c r="Q311" s="1" t="s">
        <v>2063</v>
      </c>
      <c r="R311" s="1" t="s">
        <v>2064</v>
      </c>
      <c r="S311" s="1">
        <v>158731.0</v>
      </c>
      <c r="T311" s="7" t="str">
        <f>VLOOKUP(A311,Posters!A311:B1310,2)</f>
        <v>https://m.media-amazon.com/images/M/MV5BYjE2OTdhMWUtOGJlMy00ZDViLWIzZjgtYjZkZGZmMDZjYmEyXkEyXkFqcGdeQXVyNzkwMjQ5NzM@._V1_UX67_CR0,0,67,98_AL_.jpg</v>
      </c>
      <c r="U311" s="8">
        <f>'Inflation Adjusted Gross'!F311</f>
        <v>4828260</v>
      </c>
      <c r="V311" s="5">
        <f t="shared" si="1"/>
        <v>2020</v>
      </c>
    </row>
    <row r="312">
      <c r="A312" s="1">
        <v>311.0</v>
      </c>
      <c r="B312" s="1" t="s">
        <v>2065</v>
      </c>
      <c r="C312" s="6">
        <f>Gross_cleaning!E312</f>
        <v>10900000</v>
      </c>
      <c r="D312" s="1">
        <v>1948.0</v>
      </c>
      <c r="E312" s="1" t="s">
        <v>2066</v>
      </c>
      <c r="F312" s="1" t="str">
        <f>VLOOKUP(Filmes_raw!E312,Rating_systems!$A$2:$C$29,3,FALSE)</f>
        <v>Desconhecido</v>
      </c>
      <c r="G312" s="2">
        <f>Gross_cleaning!F312</f>
        <v>135</v>
      </c>
      <c r="H312" s="1" t="s">
        <v>1044</v>
      </c>
      <c r="I312" s="1" t="s">
        <v>1706</v>
      </c>
      <c r="J312" s="1">
        <v>8.1</v>
      </c>
      <c r="K312" s="1" t="s">
        <v>2067</v>
      </c>
      <c r="L312" s="1" t="str">
        <f>IFERROR(__xludf.DUMMYFUNCTION("GOOGLETRANSLATE(K312,""en"", ""pt-br"")"),"Um jovem bailarino é dividido entre o homem que ela ama e sua busca para se tornar uma bailarina prima.")</f>
        <v>Um jovem bailarino é dividido entre o homem que ela ama e sua busca para se tornar uma bailarina prima.</v>
      </c>
      <c r="N312" s="1" t="s">
        <v>2068</v>
      </c>
      <c r="O312" s="1" t="s">
        <v>2069</v>
      </c>
      <c r="P312" s="1" t="s">
        <v>2070</v>
      </c>
      <c r="Q312" s="1" t="s">
        <v>2071</v>
      </c>
      <c r="R312" s="1" t="s">
        <v>2072</v>
      </c>
      <c r="S312" s="1">
        <v>30935.0</v>
      </c>
      <c r="T312" s="7" t="str">
        <f>VLOOKUP(A312,Posters!A312:B1311,2)</f>
        <v>https://m.media-amazon.com/images/M/MV5BOWRmNGEwZjUtZjEwNS00OGZmLThhMmEtZTJlMTU5MGQ3ZWUwXkEyXkFqcGdeQXVyNjc1NTYyMjg@._V1_UX67_CR0,0,67,98_AL_.jpg</v>
      </c>
      <c r="U312" s="8">
        <f>'Inflation Adjusted Gross'!F312</f>
        <v>118644890</v>
      </c>
      <c r="V312" s="5">
        <f t="shared" si="1"/>
        <v>2020</v>
      </c>
    </row>
    <row r="313">
      <c r="A313" s="1">
        <v>312.0</v>
      </c>
      <c r="B313" s="1" t="s">
        <v>2073</v>
      </c>
      <c r="C313" s="6">
        <f>Gross_cleaning!E313</f>
        <v>203300</v>
      </c>
      <c r="D313" s="1">
        <v>1940.0</v>
      </c>
      <c r="E313" s="1" t="s">
        <v>270</v>
      </c>
      <c r="F313" s="1" t="str">
        <f>VLOOKUP(Filmes_raw!E313,Rating_systems!$A$2:$C$29,3,FALSE)</f>
        <v>Criança</v>
      </c>
      <c r="G313" s="2">
        <f>Gross_cleaning!F313</f>
        <v>99</v>
      </c>
      <c r="H313" s="1" t="s">
        <v>778</v>
      </c>
      <c r="I313" s="1" t="s">
        <v>227</v>
      </c>
      <c r="J313" s="1">
        <v>8.1</v>
      </c>
      <c r="K313" s="1" t="s">
        <v>2075</v>
      </c>
      <c r="L313" s="1" t="str">
        <f>IFERROR(__xludf.DUMMYFUNCTION("GOOGLETRANSLATE(K313,""en"", ""pt-br"")"),"Dois funcionários em uma loja de presentes mal podem ficar uns aos outros, sem perceber que estão se apaixonando pelo poste como amigo anônimo do outro.")</f>
        <v>Dois funcionários em uma loja de presentes mal podem ficar uns aos outros, sem perceber que estão se apaixonando pelo poste como amigo anônimo do outro.</v>
      </c>
      <c r="M313" s="1">
        <v>96.0</v>
      </c>
      <c r="N313" s="1" t="s">
        <v>1353</v>
      </c>
      <c r="O313" s="1" t="s">
        <v>2076</v>
      </c>
      <c r="P313" s="1" t="s">
        <v>274</v>
      </c>
      <c r="Q313" s="1" t="s">
        <v>2077</v>
      </c>
      <c r="R313" s="1" t="s">
        <v>2078</v>
      </c>
      <c r="S313" s="1">
        <v>28450.0</v>
      </c>
      <c r="T313" s="7" t="str">
        <f>VLOOKUP(A313,Posters!A313:B1312,2)</f>
        <v>https://m.media-amazon.com/images/M/MV5BNzc1MTcyNTQ5N15BMl5BanBnXkFtZTgwMzgwMDI0MjE@._V1_UX67_CR0,0,67,98_AL_.jpg</v>
      </c>
      <c r="U313" s="8">
        <f>'Inflation Adjusted Gross'!F313</f>
        <v>3773058</v>
      </c>
      <c r="V313" s="5">
        <f t="shared" si="1"/>
        <v>2020</v>
      </c>
    </row>
    <row r="314">
      <c r="A314" s="1">
        <v>313.0</v>
      </c>
      <c r="B314" s="1" t="s">
        <v>2079</v>
      </c>
      <c r="C314" s="6">
        <f>Gross_cleaning!E314</f>
        <v>4360000</v>
      </c>
      <c r="D314" s="1">
        <v>1940.0</v>
      </c>
      <c r="E314" s="1" t="s">
        <v>2047</v>
      </c>
      <c r="F314" s="1" t="str">
        <f>VLOOKUP(Filmes_raw!E314,Rating_systems!$A$2:$C$29,3,FALSE)</f>
        <v>Adulto</v>
      </c>
      <c r="G314" s="2">
        <f>Gross_cleaning!F314</f>
        <v>130</v>
      </c>
      <c r="H314" s="1" t="s">
        <v>195</v>
      </c>
      <c r="I314" s="1" t="s">
        <v>1051</v>
      </c>
      <c r="J314" s="1">
        <v>8.1</v>
      </c>
      <c r="K314" s="1" t="s">
        <v>2080</v>
      </c>
      <c r="L314" s="1" t="str">
        <f>IFERROR(__xludf.DUMMYFUNCTION("GOOGLETRANSLATE(K314,""en"", ""pt-br"")"),"Uma mulher autoconsciente manipula se ajustando a seu novo papel como esposa de um aristocrata e evitando ser intimidado pela presença espectral de sua primeira esposa.")</f>
        <v>Uma mulher autoconsciente manipula se ajustando a seu novo papel como esposa de um aristocrata e evitando ser intimidado pela presença espectral de sua primeira esposa.</v>
      </c>
      <c r="M314" s="1">
        <v>86.0</v>
      </c>
      <c r="N314" s="1" t="s">
        <v>399</v>
      </c>
      <c r="O314" s="1" t="s">
        <v>2081</v>
      </c>
      <c r="P314" s="1" t="s">
        <v>2082</v>
      </c>
      <c r="Q314" s="1" t="s">
        <v>1341</v>
      </c>
      <c r="R314" s="1" t="s">
        <v>2083</v>
      </c>
      <c r="S314" s="1">
        <v>123942.0</v>
      </c>
      <c r="T314" s="7" t="str">
        <f>VLOOKUP(A314,Posters!A314:B1313,2)</f>
        <v>https://m.media-amazon.com/images/M/MV5BYTcxYWExOTMtMWFmYy00ZjgzLWI0YjktNWEzYzJkZTg0NDdmL2ltYWdlXkEyXkFqcGdeQXVyNjc1NTYyMjg@._V1_UY98_CR0,0,67,98_AL_.jpg</v>
      </c>
      <c r="U314" s="8">
        <f>'Inflation Adjusted Gross'!F314</f>
        <v>80917522</v>
      </c>
      <c r="V314" s="5">
        <f t="shared" si="1"/>
        <v>2020</v>
      </c>
    </row>
    <row r="315">
      <c r="A315" s="1">
        <v>314.0</v>
      </c>
      <c r="B315" s="1" t="s">
        <v>2084</v>
      </c>
      <c r="C315" s="6">
        <f>Gross_cleaning!E315</f>
        <v>9600000</v>
      </c>
      <c r="D315" s="1">
        <v>1939.0</v>
      </c>
      <c r="E315" s="1" t="s">
        <v>627</v>
      </c>
      <c r="F315" s="1" t="str">
        <f>VLOOKUP(Filmes_raw!E315,Rating_systems!$A$2:$C$29,3,FALSE)</f>
        <v>Adulto</v>
      </c>
      <c r="G315" s="2">
        <f>Gross_cleaning!F315</f>
        <v>129</v>
      </c>
      <c r="H315" s="1" t="s">
        <v>830</v>
      </c>
      <c r="I315" s="1" t="s">
        <v>507</v>
      </c>
      <c r="J315" s="1">
        <v>8.1</v>
      </c>
      <c r="K315" s="1" t="s">
        <v>2085</v>
      </c>
      <c r="L315" s="1" t="str">
        <f>IFERROR(__xludf.DUMMYFUNCTION("GOOGLETRANSLATE(K315,""en"", ""pt-br"")"),"Um homem ingênuo é nomeado para preencher uma vaga no Senado dos Estados Unidos. Seus planos prontamente colidem com a corrupção política, mas ele não recua.")</f>
        <v>Um homem ingênuo é nomeado para preencher uma vaga no Senado dos Estados Unidos. Seus planos prontamente colidem com a corrupção política, mas ele não recua.</v>
      </c>
      <c r="M315" s="1">
        <v>73.0</v>
      </c>
      <c r="N315" s="1" t="s">
        <v>273</v>
      </c>
      <c r="O315" s="1" t="s">
        <v>274</v>
      </c>
      <c r="P315" s="1" t="s">
        <v>2086</v>
      </c>
      <c r="Q315" s="1" t="s">
        <v>412</v>
      </c>
      <c r="R315" s="1" t="s">
        <v>2087</v>
      </c>
      <c r="S315" s="1">
        <v>107017.0</v>
      </c>
      <c r="T315" s="7" t="str">
        <f>VLOOKUP(A315,Posters!A315:B1314,2)</f>
        <v>https://m.media-amazon.com/images/M/MV5BZTYwYjYxYzgtMDE1Ni00NzU4LWJlMTEtODQ5YmJmMGJhZjI5L2ltYWdlXkEyXkFqcGdeQXVyMDI2NDg0NQ@@._V1_UX67_CR0,0,67,98_AL_.jpg</v>
      </c>
      <c r="U315" s="8">
        <f>'Inflation Adjusted Gross'!F315</f>
        <v>176894400</v>
      </c>
      <c r="V315" s="5">
        <f t="shared" si="1"/>
        <v>2020</v>
      </c>
    </row>
    <row r="316">
      <c r="A316" s="1">
        <v>315.0</v>
      </c>
      <c r="B316" s="1" t="s">
        <v>2088</v>
      </c>
      <c r="C316" s="6">
        <f>Gross_cleaning!E316</f>
        <v>198676459</v>
      </c>
      <c r="D316" s="1">
        <v>1939.0</v>
      </c>
      <c r="E316" s="1" t="s">
        <v>52</v>
      </c>
      <c r="F316" s="1" t="str">
        <f>VLOOKUP(Filmes_raw!E316,Rating_systems!$A$2:$C$29,3,FALSE)</f>
        <v>Criança</v>
      </c>
      <c r="G316" s="2">
        <f>Gross_cleaning!F316</f>
        <v>238</v>
      </c>
      <c r="H316" s="1" t="s">
        <v>2089</v>
      </c>
      <c r="I316" s="1" t="s">
        <v>1802</v>
      </c>
      <c r="J316" s="1">
        <v>8.1</v>
      </c>
      <c r="K316" s="1" t="s">
        <v>2090</v>
      </c>
      <c r="L316" s="1" t="str">
        <f>IFERROR(__xludf.DUMMYFUNCTION("GOOGLETRANSLATE(K316,""en"", ""pt-br"")"),"Uma mulher manipuladora e um homem de roguish realizam um romance turbulento durante os períodos americanos da guerra civil e da reconstrução.")</f>
        <v>Uma mulher manipuladora e um homem de roguish realizam um romance turbulento durante os períodos americanos da guerra civil e da reconstrução.</v>
      </c>
      <c r="M316" s="1">
        <v>97.0</v>
      </c>
      <c r="N316" s="1" t="s">
        <v>2091</v>
      </c>
      <c r="O316" s="1" t="s">
        <v>2092</v>
      </c>
      <c r="P316" s="1" t="s">
        <v>2093</v>
      </c>
      <c r="Q316" s="1" t="s">
        <v>2094</v>
      </c>
      <c r="R316" s="1" t="s">
        <v>2095</v>
      </c>
      <c r="S316" s="1">
        <v>290074.0</v>
      </c>
      <c r="T316" s="7" t="str">
        <f>VLOOKUP(A316,Posters!A316:B1315,2)</f>
        <v>https://m.media-amazon.com/images/M/MV5BYjUyZWZkM2UtMzYxYy00ZmQ3LWFmZTQtOGE2YjBkNjA3YWZlXkEyXkFqcGdeQXVyNzkwMjQ5NzM@._V1_UX67_CR0,0,67,98_AL_.jpg</v>
      </c>
      <c r="U316" s="8">
        <f>'Inflation Adjusted Gross'!F316</f>
        <v>3660911772</v>
      </c>
      <c r="V316" s="5">
        <f t="shared" si="1"/>
        <v>2020</v>
      </c>
    </row>
    <row r="317">
      <c r="A317" s="1">
        <v>316.0</v>
      </c>
      <c r="B317" s="1" t="s">
        <v>2096</v>
      </c>
      <c r="C317" s="6">
        <f>Gross_cleaning!E317</f>
        <v>172885</v>
      </c>
      <c r="D317" s="1">
        <v>1937.0</v>
      </c>
      <c r="E317" s="1" t="s">
        <v>2097</v>
      </c>
      <c r="F317" s="1" t="str">
        <f>VLOOKUP(Filmes_raw!E317,Rating_systems!$A$2:$C$29,3,FALSE)</f>
        <v>Criança</v>
      </c>
      <c r="G317" s="2">
        <f>Gross_cleaning!F317</f>
        <v>113</v>
      </c>
      <c r="H317" s="1" t="s">
        <v>543</v>
      </c>
      <c r="I317" s="1" t="s">
        <v>213</v>
      </c>
      <c r="J317" s="1">
        <v>8.1</v>
      </c>
      <c r="K317" s="1" t="s">
        <v>2098</v>
      </c>
      <c r="L317" s="1" t="str">
        <f>IFERROR(__xludf.DUMMYFUNCTION("GOOGLETRANSLATE(K317,""en"", ""pt-br"")"),"Durante a Segunda Guerra Mundial, dois soldados franceses são capturados e presos em um P.O.W alemão. acampamento. Várias tentativas de fuga seguem até que elas sejam enviadas para uma fortaleza aparentemente inescapável.")</f>
        <v>Durante a Segunda Guerra Mundial, dois soldados franceses são capturados e presos em um P.O.W alemão. acampamento. Várias tentativas de fuga seguem até que elas sejam enviadas para uma fortaleza aparentemente inescapável.</v>
      </c>
      <c r="N317" s="1" t="s">
        <v>2099</v>
      </c>
      <c r="O317" s="1" t="s">
        <v>2100</v>
      </c>
      <c r="P317" s="1" t="s">
        <v>2101</v>
      </c>
      <c r="Q317" s="1" t="s">
        <v>2102</v>
      </c>
      <c r="R317" s="1" t="s">
        <v>632</v>
      </c>
      <c r="S317" s="1">
        <v>33829.0</v>
      </c>
      <c r="T317" s="7" t="str">
        <f>VLOOKUP(A317,Posters!A317:B1316,2)</f>
        <v>https://m.media-amazon.com/images/M/MV5BMTg3MTI5NTk0N15BMl5BanBnXkFtZTgwMjU1MDM5MTE@._V1_UY98_CR2,0,67,98_AL_.jpg</v>
      </c>
      <c r="U317" s="8">
        <f>'Inflation Adjusted Gross'!F317</f>
        <v>3163072</v>
      </c>
      <c r="V317" s="5">
        <f t="shared" si="1"/>
        <v>2020</v>
      </c>
    </row>
    <row r="318">
      <c r="A318" s="1">
        <v>317.0</v>
      </c>
      <c r="B318" s="1" t="s">
        <v>2103</v>
      </c>
      <c r="C318" s="6">
        <f>Gross_cleaning!E318</f>
        <v>4360000</v>
      </c>
      <c r="D318" s="1">
        <v>1934.0</v>
      </c>
      <c r="E318" s="1" t="s">
        <v>2047</v>
      </c>
      <c r="F318" s="1" t="str">
        <f>VLOOKUP(Filmes_raw!E318,Rating_systems!$A$2:$C$29,3,FALSE)</f>
        <v>Adulto</v>
      </c>
      <c r="G318" s="2">
        <f>Gross_cleaning!F318</f>
        <v>105</v>
      </c>
      <c r="H318" s="1" t="s">
        <v>487</v>
      </c>
      <c r="I318" s="1" t="s">
        <v>723</v>
      </c>
      <c r="J318" s="1">
        <v>8.1</v>
      </c>
      <c r="K318" s="1" t="s">
        <v>2104</v>
      </c>
      <c r="L318" s="1" t="str">
        <f>IFERROR(__xludf.DUMMYFUNCTION("GOOGLETRANSLATE(K318,""en"", ""pt-br"")"),"Um repórter renegado e uma jovem herdeira louca se encontram em um ônibus para Nova York, e acabam preso um com o outro quando o ônibus os deixa para trás em uma das paradas.")</f>
        <v>Um repórter renegado e uma jovem herdeira louca se encontram em um ônibus para Nova York, e acabam preso um com o outro quando o ônibus os deixa para trás em uma das paradas.</v>
      </c>
      <c r="M318" s="1">
        <v>87.0</v>
      </c>
      <c r="N318" s="1" t="s">
        <v>273</v>
      </c>
      <c r="O318" s="1" t="s">
        <v>2094</v>
      </c>
      <c r="P318" s="1" t="s">
        <v>2105</v>
      </c>
      <c r="Q318" s="1" t="s">
        <v>2106</v>
      </c>
      <c r="R318" s="1" t="s">
        <v>2107</v>
      </c>
      <c r="S318" s="1">
        <v>94016.0</v>
      </c>
      <c r="T318" s="7" t="str">
        <f>VLOOKUP(A318,Posters!A318:B1317,2)</f>
        <v>https://m.media-amazon.com/images/M/MV5BYzJmMWE5NjAtNWMyZS00NmFiLWIwMDgtZDE2NzczYWFhNzIzXkEyXkFqcGdeQXVyNjc1NTYyMjg@._V1_UX67_CR0,0,67,98_AL_.jpg</v>
      </c>
      <c r="U318" s="8">
        <f>'Inflation Adjusted Gross'!F318</f>
        <v>85208603</v>
      </c>
      <c r="V318" s="5">
        <f t="shared" si="1"/>
        <v>2020</v>
      </c>
    </row>
    <row r="319">
      <c r="A319" s="1">
        <v>318.0</v>
      </c>
      <c r="B319" s="1" t="s">
        <v>2108</v>
      </c>
      <c r="C319" s="6">
        <f>Gross_cleaning!E319</f>
        <v>21877</v>
      </c>
      <c r="D319" s="1">
        <v>1928.0</v>
      </c>
      <c r="E319" s="1" t="s">
        <v>627</v>
      </c>
      <c r="F319" s="1" t="str">
        <f>VLOOKUP(Filmes_raw!E319,Rating_systems!$A$2:$C$29,3,FALSE)</f>
        <v>Adulto</v>
      </c>
      <c r="G319" s="2">
        <f>Gross_cleaning!F319</f>
        <v>110</v>
      </c>
      <c r="H319" s="1" t="s">
        <v>343</v>
      </c>
      <c r="I319" s="1" t="s">
        <v>79</v>
      </c>
      <c r="J319" s="1">
        <v>8.1</v>
      </c>
      <c r="K319" s="1" t="s">
        <v>2109</v>
      </c>
      <c r="L319" s="1" t="str">
        <f>IFERROR(__xludf.DUMMYFUNCTION("GOOGLETRANSLATE(K319,""en"", ""pt-br"")"),"Em 1431, Jeanne d'Arc é colocado em julgamento sobre acusações de heresia. Os juristas eclesiásticos tentam forçar Jeanne a recantar suas reivindicações de visões sagradas.")</f>
        <v>Em 1431, Jeanne d'Arc é colocado em julgamento sobre acusações de heresia. Os juristas eclesiásticos tentam forçar Jeanne a recantar suas reivindicações de visões sagradas.</v>
      </c>
      <c r="N319" s="1" t="s">
        <v>2110</v>
      </c>
      <c r="O319" s="1" t="s">
        <v>2111</v>
      </c>
      <c r="P319" s="1" t="s">
        <v>2112</v>
      </c>
      <c r="Q319" s="1" t="s">
        <v>2113</v>
      </c>
      <c r="R319" s="1" t="s">
        <v>2114</v>
      </c>
      <c r="S319" s="1">
        <v>47676.0</v>
      </c>
      <c r="T319" s="7" t="str">
        <f>VLOOKUP(A319,Posters!A319:B1318,2)</f>
        <v>https://m.media-amazon.com/images/M/MV5BNjBjNDJiYTUtOWY0OS00OGVmLTg2YzctMTE0NzVhODM1ZWJmXkEyXkFqcGdeQXVyNjU0OTQ0OTY@._V1_UX67_CR0,0,67,98_AL_.jpg</v>
      </c>
      <c r="U319" s="8">
        <f>'Inflation Adjusted Gross'!F319</f>
        <v>326221</v>
      </c>
      <c r="V319" s="5">
        <f t="shared" si="1"/>
        <v>2020</v>
      </c>
    </row>
    <row r="320">
      <c r="A320" s="1">
        <v>319.0</v>
      </c>
      <c r="B320" s="1" t="s">
        <v>2115</v>
      </c>
      <c r="C320" s="6">
        <f>Gross_cleaning!E320</f>
        <v>27410</v>
      </c>
      <c r="D320" s="1">
        <v>1928.0</v>
      </c>
      <c r="E320" s="1" t="s">
        <v>627</v>
      </c>
      <c r="F320" s="1" t="str">
        <f>VLOOKUP(Filmes_raw!E320,Rating_systems!$A$2:$C$29,3,FALSE)</f>
        <v>Adulto</v>
      </c>
      <c r="G320" s="2">
        <f>Gross_cleaning!F320</f>
        <v>72</v>
      </c>
      <c r="H320" s="1" t="s">
        <v>2117</v>
      </c>
      <c r="I320" s="1" t="s">
        <v>723</v>
      </c>
      <c r="J320" s="1">
        <v>8.1</v>
      </c>
      <c r="K320" s="1" t="s">
        <v>2118</v>
      </c>
      <c r="L320" s="1" t="str">
        <f>IFERROR(__xludf.DUMMYFUNCTION("GOOGLETRANSLATE(K320,""en"", ""pt-br"")"),"O vagabundo encontra o trabalho e a garota de seus sonhos em um circo.")</f>
        <v>O vagabundo encontra o trabalho e a garota de seus sonhos em um circo.</v>
      </c>
      <c r="M320" s="1">
        <v>90.0</v>
      </c>
      <c r="N320" s="1" t="s">
        <v>418</v>
      </c>
      <c r="O320" s="1" t="s">
        <v>418</v>
      </c>
      <c r="P320" s="1" t="s">
        <v>2119</v>
      </c>
      <c r="Q320" s="1" t="s">
        <v>2120</v>
      </c>
      <c r="R320" s="1" t="s">
        <v>2121</v>
      </c>
      <c r="S320" s="1">
        <v>30205.0</v>
      </c>
      <c r="T320" s="7" t="str">
        <f>VLOOKUP(A320,Posters!A320:B1319,2)</f>
        <v>https://m.media-amazon.com/images/M/MV5BM2QwYWQ0MWMtNzcwOC00N2Q2LWE1MDEtZmQxZjhiM2U1YzFhXkEyXkFqcGdeQXVyMTQxNzMzNDI@._V1_UX67_CR0,0,67,98_AL_.jpg</v>
      </c>
      <c r="U320" s="8">
        <f>'Inflation Adjusted Gross'!F320</f>
        <v>408727</v>
      </c>
      <c r="V320" s="5">
        <f t="shared" si="1"/>
        <v>2020</v>
      </c>
    </row>
    <row r="321">
      <c r="A321" s="1">
        <v>320.0</v>
      </c>
      <c r="B321" s="1" t="s">
        <v>2122</v>
      </c>
      <c r="C321" s="6">
        <f>Gross_cleaning!E321</f>
        <v>539540</v>
      </c>
      <c r="D321" s="1">
        <v>1927.0</v>
      </c>
      <c r="E321" s="1" t="s">
        <v>627</v>
      </c>
      <c r="F321" s="1" t="str">
        <f>VLOOKUP(Filmes_raw!E321,Rating_systems!$A$2:$C$29,3,FALSE)</f>
        <v>Adulto</v>
      </c>
      <c r="G321" s="2">
        <f>Gross_cleaning!F321</f>
        <v>94</v>
      </c>
      <c r="H321" s="1" t="s">
        <v>1882</v>
      </c>
      <c r="I321" s="1" t="s">
        <v>107</v>
      </c>
      <c r="J321" s="1">
        <v>8.1</v>
      </c>
      <c r="K321" s="1" t="s">
        <v>2124</v>
      </c>
      <c r="L321" s="1" t="str">
        <f>IFERROR(__xludf.DUMMYFUNCTION("GOOGLETRANSLATE(K321,""en"", ""pt-br"")"),"Um conto alegórico sobre um homem lutando o bem e o mal dentro dele. Ambos os lados são feitos carne - uma mulher sofisticada que ele é atraído e a outra sua esposa.")</f>
        <v>Um conto alegórico sobre um homem lutando o bem e o mal dentro dele. Ambos os lados são feitos carne - uma mulher sofisticada que ele é atraído e a outra sua esposa.</v>
      </c>
      <c r="N321" s="1" t="s">
        <v>2125</v>
      </c>
      <c r="O321" s="1" t="s">
        <v>2126</v>
      </c>
      <c r="P321" s="1" t="s">
        <v>2127</v>
      </c>
      <c r="Q321" s="1" t="s">
        <v>2128</v>
      </c>
      <c r="R321" s="1" t="s">
        <v>2129</v>
      </c>
      <c r="S321" s="1">
        <v>46865.0</v>
      </c>
      <c r="T321" s="7" t="str">
        <f>VLOOKUP(A321,Posters!A321:B1320,2)</f>
        <v>https://m.media-amazon.com/images/M/MV5BNDVkYmYwM2ItNzRiMy00NWQ4LTlhMjMtNDI1ZDYyOGVmMzJjXkEyXkFqcGdeQXVyNTgzMzU5MDI@._V1_UX67_CR0,0,67,98_AL_.jpg</v>
      </c>
      <c r="U321" s="8">
        <f>'Inflation Adjusted Gross'!F321</f>
        <v>7953467</v>
      </c>
      <c r="V321" s="5">
        <f t="shared" si="1"/>
        <v>2020</v>
      </c>
    </row>
    <row r="322">
      <c r="A322" s="1">
        <v>321.0</v>
      </c>
      <c r="B322" s="1" t="s">
        <v>2130</v>
      </c>
      <c r="C322" s="6">
        <f>Gross_cleaning!E322</f>
        <v>1033895</v>
      </c>
      <c r="D322" s="1">
        <v>1926.0</v>
      </c>
      <c r="E322" s="1" t="s">
        <v>627</v>
      </c>
      <c r="F322" s="1" t="str">
        <f>VLOOKUP(Filmes_raw!E322,Rating_systems!$A$2:$C$29,3,FALSE)</f>
        <v>Adulto</v>
      </c>
      <c r="G322" s="2">
        <f>Gross_cleaning!F322</f>
        <v>67</v>
      </c>
      <c r="H322" s="1" t="s">
        <v>2131</v>
      </c>
      <c r="I322" s="1" t="s">
        <v>1252</v>
      </c>
      <c r="J322" s="1">
        <v>8.1</v>
      </c>
      <c r="K322" s="1" t="s">
        <v>2132</v>
      </c>
      <c r="L322" s="1" t="str">
        <f>IFERROR(__xludf.DUMMYFUNCTION("GOOGLETRANSLATE(K322,""en"", ""pt-br"")"),"Quando a Union Spies roubam a amada locomotiva de um engenheiro, ele o prossegue com a mão e diretamente através das linhas inimigas.")</f>
        <v>Quando a Union Spies roubam a amada locomotiva de um engenheiro, ele o prossegue com a mão e diretamente através das linhas inimigas.</v>
      </c>
      <c r="N322" s="1" t="s">
        <v>2133</v>
      </c>
      <c r="O322" s="1" t="s">
        <v>1365</v>
      </c>
      <c r="P322" s="1" t="s">
        <v>1365</v>
      </c>
      <c r="Q322" s="1" t="s">
        <v>2134</v>
      </c>
      <c r="R322" s="1" t="s">
        <v>2135</v>
      </c>
      <c r="S322" s="1">
        <v>81156.0</v>
      </c>
      <c r="T322" s="7" t="str">
        <f>VLOOKUP(A322,Posters!A322:B1321,2)</f>
        <v>https://m.media-amazon.com/images/M/MV5BYmRiMDFlYjYtOTMwYy00OGY2LWE0Y2QtYzQxOGNhZmUwNTIxXkEyXkFqcGdeQXVyNzkwMjQ5NzM@._V1_UX67_CR0,0,67,98_AL_.jpg</v>
      </c>
      <c r="U322" s="8">
        <f>'Inflation Adjusted Gross'!F322</f>
        <v>14900275</v>
      </c>
      <c r="V322" s="5">
        <f t="shared" si="1"/>
        <v>2020</v>
      </c>
    </row>
    <row r="323">
      <c r="A323" s="1">
        <v>322.0</v>
      </c>
      <c r="B323" s="1" t="s">
        <v>2136</v>
      </c>
      <c r="C323" s="6">
        <f>Gross_cleaning!E323</f>
        <v>8811</v>
      </c>
      <c r="D323" s="1">
        <v>1920.0</v>
      </c>
      <c r="E323" s="1">
        <v>12.0</v>
      </c>
      <c r="F323" s="1" t="str">
        <f>VLOOKUP(Filmes_raw!E323,Rating_systems!$A$2:$C$29,3,FALSE)</f>
        <v>Criança</v>
      </c>
      <c r="G323" s="2">
        <f>Gross_cleaning!F323</f>
        <v>76</v>
      </c>
      <c r="H323" s="1" t="s">
        <v>2137</v>
      </c>
      <c r="I323" s="1" t="s">
        <v>2138</v>
      </c>
      <c r="J323" s="1">
        <v>8.1</v>
      </c>
      <c r="K323" s="1" t="s">
        <v>2139</v>
      </c>
      <c r="L323" s="1" t="str">
        <f>IFERROR(__xludf.DUMMYFUNCTION("GOOGLETRANSLATE(K323,""en"", ""pt-br"")"),"O Hypnotist Dr. Caligari usa um sonambulista, Cesare, para cometer assassinatos.")</f>
        <v>O Hypnotist Dr. Caligari usa um sonambulista, Cesare, para cometer assassinatos.</v>
      </c>
      <c r="N323" s="1" t="s">
        <v>2140</v>
      </c>
      <c r="O323" s="1" t="s">
        <v>2141</v>
      </c>
      <c r="P323" s="1" t="s">
        <v>2142</v>
      </c>
      <c r="Q323" s="1" t="s">
        <v>2143</v>
      </c>
      <c r="R323" s="1" t="s">
        <v>2144</v>
      </c>
      <c r="S323" s="1">
        <v>57428.0</v>
      </c>
      <c r="T323" s="7" t="str">
        <f>VLOOKUP(A323,Posters!A323:B1322,2)</f>
        <v>https://m.media-amazon.com/images/M/MV5BNWJiNGJiMTEtMGM3OC00ZWNlLTgwZTgtMzdhNTRiZjk5MTQ1XkEyXkFqcGdeQXVyMTMxODk2OTU@._V1_UY98_CR1,0,67,98_AL_.jpg</v>
      </c>
      <c r="U323" s="8">
        <f>'Inflation Adjusted Gross'!F323</f>
        <v>117771</v>
      </c>
      <c r="V323" s="5">
        <f t="shared" si="1"/>
        <v>2020</v>
      </c>
    </row>
    <row r="324">
      <c r="A324" s="1">
        <v>323.0</v>
      </c>
      <c r="B324" s="1" t="s">
        <v>2145</v>
      </c>
      <c r="C324" s="6">
        <f>Gross_cleaning!E324</f>
        <v>26125610</v>
      </c>
      <c r="D324" s="1">
        <v>2018.0</v>
      </c>
      <c r="E324" s="1" t="s">
        <v>37</v>
      </c>
      <c r="F324" s="1" t="str">
        <f>VLOOKUP(Filmes_raw!E324,Rating_systems!$A$2:$C$29,3,FALSE)</f>
        <v>Criança</v>
      </c>
      <c r="G324" s="2">
        <f>Gross_cleaning!F324</f>
        <v>124</v>
      </c>
      <c r="H324" s="1" t="s">
        <v>144</v>
      </c>
      <c r="I324" s="1" t="s">
        <v>507</v>
      </c>
      <c r="J324" s="1">
        <v>8.0</v>
      </c>
      <c r="K324" s="1" t="s">
        <v>2146</v>
      </c>
      <c r="L324" s="1" t="str">
        <f>IFERROR(__xludf.DUMMYFUNCTION("GOOGLETRANSLATE(K324,""en"", ""pt-br"")"),"Um homem é envergonhado quando descobre que sua mãe está grávida.")</f>
        <v>Um homem é envergonhado quando descobre que sua mãe está grávida.</v>
      </c>
      <c r="N324" s="1" t="s">
        <v>2147</v>
      </c>
      <c r="O324" s="1" t="s">
        <v>659</v>
      </c>
      <c r="P324" s="1" t="s">
        <v>2148</v>
      </c>
      <c r="Q324" s="1" t="s">
        <v>2149</v>
      </c>
      <c r="R324" s="1" t="s">
        <v>464</v>
      </c>
      <c r="S324" s="1">
        <v>27978.0</v>
      </c>
      <c r="T324" s="7" t="str">
        <f>VLOOKUP(A324,Posters!A324:B1323,2)</f>
        <v>https://m.media-amazon.com/images/M/MV5BNjZlMDdmN2YtYThmZi00NGQzLTk0ZTQtNTUyZDFmODExOGNiXkEyXkFqcGdeQXVyODE5NzE3OTE@._V1_UY98_CR0,0,67,98_AL_.jpg</v>
      </c>
      <c r="U324" s="8">
        <f>'Inflation Adjusted Gross'!F324</f>
        <v>27190589</v>
      </c>
      <c r="V324" s="5">
        <f t="shared" si="1"/>
        <v>2020</v>
      </c>
    </row>
    <row r="325">
      <c r="A325" s="1">
        <v>324.0</v>
      </c>
      <c r="B325" s="1" t="s">
        <v>2150</v>
      </c>
      <c r="C325" s="6">
        <f>Gross_cleaning!E325</f>
        <v>0</v>
      </c>
      <c r="D325" s="1">
        <v>2019.0</v>
      </c>
      <c r="E325" s="1" t="s">
        <v>52</v>
      </c>
      <c r="F325" s="1" t="str">
        <f>VLOOKUP(Filmes_raw!E325,Rating_systems!$A$2:$C$29,3,FALSE)</f>
        <v>Criança</v>
      </c>
      <c r="G325" s="2">
        <f>Gross_cleaning!F325</f>
        <v>113</v>
      </c>
      <c r="H325" s="1" t="s">
        <v>543</v>
      </c>
      <c r="I325" s="1" t="s">
        <v>858</v>
      </c>
      <c r="J325" s="1">
        <v>8.0</v>
      </c>
      <c r="K325" s="1" t="s">
        <v>2151</v>
      </c>
      <c r="L325" s="1" t="str">
        <f>IFERROR(__xludf.DUMMYFUNCTION("GOOGLETRANSLATE(K325,""en"", ""pt-br"")"),"A história do Togo, o cão de trenó que liderou a corrida sérica de 1925 ainda foi considerada pela maioria para ser muito pequena e fraca para levar uma corrida tão intensa.")</f>
        <v>A história do Togo, o cão de trenó que liderou a corrida sérica de 1925 ainda foi considerada pela maioria para ser muito pequena e fraca para levar uma corrida tão intensa.</v>
      </c>
      <c r="M325" s="1">
        <v>69.0</v>
      </c>
      <c r="N325" s="1" t="s">
        <v>2152</v>
      </c>
      <c r="O325" s="1" t="s">
        <v>1825</v>
      </c>
      <c r="P325" s="1" t="s">
        <v>2153</v>
      </c>
      <c r="Q325" s="1" t="s">
        <v>2154</v>
      </c>
      <c r="R325" s="1" t="s">
        <v>2155</v>
      </c>
      <c r="S325" s="1">
        <v>37556.0</v>
      </c>
      <c r="T325" s="7" t="str">
        <f>VLOOKUP(A325,Posters!A325:B1324,2)</f>
        <v>https://m.media-amazon.com/images/M/MV5BNjJkYTc5N2UtMGRlMC00M2FmLTk0ZWMtOTYxNDUwNjI2YzljXkEyXkFqcGdeQXVyNDg4NjY5OTQ@._V1_UX67_CR0,0,67,98_AL_.jpg</v>
      </c>
      <c r="U325" s="8">
        <f>'Inflation Adjusted Gross'!F325</f>
        <v>0</v>
      </c>
      <c r="V325" s="5">
        <f t="shared" si="1"/>
        <v>2020</v>
      </c>
    </row>
    <row r="326">
      <c r="A326" s="1">
        <v>325.0</v>
      </c>
      <c r="B326" s="1" t="s">
        <v>2156</v>
      </c>
      <c r="C326" s="6">
        <f>Gross_cleaning!E326</f>
        <v>9323484</v>
      </c>
      <c r="D326" s="1">
        <v>2016.0</v>
      </c>
      <c r="E326" s="1" t="s">
        <v>37</v>
      </c>
      <c r="F326" s="1" t="str">
        <f>VLOOKUP(Filmes_raw!E326,Rating_systems!$A$2:$C$29,3,FALSE)</f>
        <v>Criança</v>
      </c>
      <c r="G326" s="2">
        <f>Gross_cleaning!F326</f>
        <v>130</v>
      </c>
      <c r="H326" s="1" t="s">
        <v>195</v>
      </c>
      <c r="I326" s="1" t="s">
        <v>2028</v>
      </c>
      <c r="J326" s="1">
        <v>8.0</v>
      </c>
      <c r="K326" s="1" t="s">
        <v>2157</v>
      </c>
      <c r="L326" s="1" t="str">
        <f>IFERROR(__xludf.DUMMYFUNCTION("GOOGLETRANSLATE(K326,""en"", ""pt-br"")"),"Quando o Iraque invade o Kuwait em agosto de 1990, um convencido empresário indiano torna-se o porta-voz por mais de 170.000 compensadores encalhados.")</f>
        <v>Quando o Iraque invade o Kuwait em agosto de 1990, um convencido empresário indiano torna-se o porta-voz por mais de 170.000 compensadores encalhados.</v>
      </c>
      <c r="N326" s="1" t="s">
        <v>2158</v>
      </c>
      <c r="O326" s="1" t="s">
        <v>1156</v>
      </c>
      <c r="P326" s="1" t="s">
        <v>2159</v>
      </c>
      <c r="Q326" s="1" t="s">
        <v>2160</v>
      </c>
      <c r="R326" s="1" t="s">
        <v>2161</v>
      </c>
      <c r="S326" s="1">
        <v>52897.0</v>
      </c>
      <c r="T326" s="7" t="str">
        <f>VLOOKUP(A326,Posters!A326:B1325,2)</f>
        <v>https://m.media-amazon.com/images/M/MV5BMGE1ZTkyOTMtMTdiZS00YzI2LTlmYWQtOTE5YWY0NWVlNjlmXkEyXkFqcGdeQXVyNjQ3ODkxMjE@._V1_UY98_CR0,0,67,98_AL_.jpg</v>
      </c>
      <c r="U326" s="8">
        <f>'Inflation Adjusted Gross'!F326</f>
        <v>10152073</v>
      </c>
      <c r="V326" s="5">
        <f t="shared" si="1"/>
        <v>2020</v>
      </c>
    </row>
    <row r="327">
      <c r="A327" s="1">
        <v>326.0</v>
      </c>
      <c r="B327" s="1" t="s">
        <v>2162</v>
      </c>
      <c r="C327" s="6">
        <f>Gross_cleaning!E327</f>
        <v>8178001</v>
      </c>
      <c r="D327" s="1">
        <v>2015.0</v>
      </c>
      <c r="E327" s="1" t="s">
        <v>37</v>
      </c>
      <c r="F327" s="1" t="str">
        <f>VLOOKUP(Filmes_raw!E327,Rating_systems!$A$2:$C$29,3,FALSE)</f>
        <v>Criança</v>
      </c>
      <c r="G327" s="2">
        <f>Gross_cleaning!F327</f>
        <v>163</v>
      </c>
      <c r="H327" s="1" t="s">
        <v>997</v>
      </c>
      <c r="I327" s="1" t="s">
        <v>1252</v>
      </c>
      <c r="J327" s="1">
        <v>8.0</v>
      </c>
      <c r="K327" s="1" t="s">
        <v>2163</v>
      </c>
      <c r="L327" s="1" t="str">
        <f>IFERROR(__xludf.DUMMYFUNCTION("GOOGLETRANSLATE(K327,""en"", ""pt-br"")"),"Um homem indiano com um coração magnânimo leva uma jovem garota paquistanesa muda de volta para sua terra natal para reuni-la com sua família.")</f>
        <v>Um homem indiano com um coração magnânimo leva uma jovem garota paquistanesa muda de volta para sua terra natal para reuni-la com sua família.</v>
      </c>
      <c r="N327" s="1" t="s">
        <v>2164</v>
      </c>
      <c r="O327" s="1" t="s">
        <v>1186</v>
      </c>
      <c r="P327" s="1" t="s">
        <v>2165</v>
      </c>
      <c r="Q327" s="1" t="s">
        <v>1034</v>
      </c>
      <c r="R327" s="1" t="s">
        <v>2166</v>
      </c>
      <c r="S327" s="1">
        <v>72245.0</v>
      </c>
      <c r="T327" s="7" t="str">
        <f>VLOOKUP(A327,Posters!A327:B1326,2)</f>
        <v>https://m.media-amazon.com/images/M/MV5BMjE1NjQ5ODc2NV5BMl5BanBnXkFtZTgwOTM5ODIxNjE@._V1_UY98_CR0,0,67,98_AL_.jpg</v>
      </c>
      <c r="U327" s="8">
        <f>'Inflation Adjusted Gross'!F327</f>
        <v>9027060</v>
      </c>
      <c r="V327" s="5">
        <f t="shared" si="1"/>
        <v>2020</v>
      </c>
    </row>
    <row r="328">
      <c r="A328" s="1">
        <v>327.0</v>
      </c>
      <c r="B328" s="1" t="s">
        <v>2167</v>
      </c>
      <c r="C328" s="6">
        <f>Gross_cleaning!E328</f>
        <v>11533057</v>
      </c>
      <c r="D328" s="1">
        <v>2015.0</v>
      </c>
      <c r="E328" s="1" t="s">
        <v>37</v>
      </c>
      <c r="F328" s="1" t="str">
        <f>VLOOKUP(Filmes_raw!E328,Rating_systems!$A$2:$C$29,3,FALSE)</f>
        <v>Criança</v>
      </c>
      <c r="G328" s="2">
        <f>Gross_cleaning!F328</f>
        <v>159</v>
      </c>
      <c r="H328" s="1" t="s">
        <v>2168</v>
      </c>
      <c r="I328" s="1" t="s">
        <v>2169</v>
      </c>
      <c r="J328" s="1">
        <v>8.0</v>
      </c>
      <c r="K328" s="1" t="s">
        <v>2170</v>
      </c>
      <c r="L328" s="1" t="str">
        <f>IFERROR(__xludf.DUMMYFUNCTION("GOOGLETRANSLATE(K328,""en"", ""pt-br"")"),"Uma unidade de contra-inteligência de elite aprende um enredo, masterminado por um louco maníaco. Com o relógio, cabe a eles rastrear os tentáculos internacionais dos terroristas e impedir que eles atinjam no coração da Índia.")</f>
        <v>Uma unidade de contra-inteligência de elite aprende um enredo, masterminado por um louco maníaco. Com o relógio, cabe a eles rastrear os tentáculos internacionais dos terroristas e impedir que eles atinjam no coração da Índia.</v>
      </c>
      <c r="N328" s="1" t="s">
        <v>1554</v>
      </c>
      <c r="O328" s="1" t="s">
        <v>1156</v>
      </c>
      <c r="P328" s="1" t="s">
        <v>2171</v>
      </c>
      <c r="Q328" s="1" t="s">
        <v>988</v>
      </c>
      <c r="R328" s="1" t="s">
        <v>1380</v>
      </c>
      <c r="S328" s="1">
        <v>52848.0</v>
      </c>
      <c r="T328" s="7" t="str">
        <f>VLOOKUP(A328,Posters!A328:B1327,2)</f>
        <v>https://m.media-amazon.com/images/M/MV5BYTdhNjBjZDctYTlkYy00ZGIxLWFjYTktODk5ZjNlMzI4NjI3XkEyXkFqcGdeQXVyMjY1MjkzMjE@._V1_UY98_CR0,0,67,98_AL_.jpg</v>
      </c>
      <c r="U328" s="8">
        <f>'Inflation Adjusted Gross'!F328</f>
        <v>12730446</v>
      </c>
      <c r="V328" s="5">
        <f t="shared" si="1"/>
        <v>2020</v>
      </c>
    </row>
    <row r="329">
      <c r="A329" s="1">
        <v>328.0</v>
      </c>
      <c r="B329" s="1" t="s">
        <v>2172</v>
      </c>
      <c r="C329" s="6">
        <f>Gross_cleaning!E329</f>
        <v>151101803</v>
      </c>
      <c r="D329" s="1">
        <v>2016.0</v>
      </c>
      <c r="E329" s="1" t="s">
        <v>18</v>
      </c>
      <c r="F329" s="1" t="str">
        <f>VLOOKUP(Filmes_raw!E329,Rating_systems!$A$2:$C$29,3,FALSE)</f>
        <v>Adulto</v>
      </c>
      <c r="G329" s="2">
        <f>Gross_cleaning!F329</f>
        <v>128</v>
      </c>
      <c r="H329" s="1" t="s">
        <v>878</v>
      </c>
      <c r="I329" s="1" t="s">
        <v>2173</v>
      </c>
      <c r="J329" s="1">
        <v>8.0</v>
      </c>
      <c r="K329" s="1" t="s">
        <v>2174</v>
      </c>
      <c r="L329" s="1" t="str">
        <f>IFERROR(__xludf.DUMMYFUNCTION("GOOGLETRANSLATE(K329,""en"", ""pt-br"")"),"Enquanto navega suas carreiras em Los Angeles, um pianista e uma atriz se apaixonam enquanto tentam conciliar suas aspirações para o futuro.")</f>
        <v>Enquanto navega suas carreiras em Los Angeles, um pianista e uma atriz se apaixonam enquanto tentam conciliar suas aspirações para o futuro.</v>
      </c>
      <c r="M329" s="1">
        <v>94.0</v>
      </c>
      <c r="N329" s="1" t="s">
        <v>289</v>
      </c>
      <c r="O329" s="1" t="s">
        <v>2175</v>
      </c>
      <c r="P329" s="1" t="s">
        <v>2176</v>
      </c>
      <c r="Q329" s="1" t="s">
        <v>2177</v>
      </c>
      <c r="R329" s="1" t="s">
        <v>291</v>
      </c>
      <c r="S329" s="1">
        <v>505918.0</v>
      </c>
      <c r="T329" s="7" t="str">
        <f>VLOOKUP(A329,Posters!A329:B1328,2)</f>
        <v>https://m.media-amazon.com/images/M/MV5BMzUzNDM2NzM2MV5BMl5BanBnXkFtZTgwNTM3NTg4OTE@._V1_UX67_CR0,0,67,98_AL_.jpg</v>
      </c>
      <c r="U329" s="8">
        <f>'Inflation Adjusted Gross'!F329</f>
        <v>164530396</v>
      </c>
      <c r="V329" s="5">
        <f t="shared" si="1"/>
        <v>2020</v>
      </c>
    </row>
    <row r="330">
      <c r="A330" s="1">
        <v>329.0</v>
      </c>
      <c r="B330" s="1" t="s">
        <v>2178</v>
      </c>
      <c r="C330" s="6">
        <f>Gross_cleaning!E330</f>
        <v>51739495</v>
      </c>
      <c r="D330" s="1">
        <v>2016.0</v>
      </c>
      <c r="E330" s="1" t="s">
        <v>52</v>
      </c>
      <c r="F330" s="1" t="str">
        <f>VLOOKUP(Filmes_raw!E330,Rating_systems!$A$2:$C$29,3,FALSE)</f>
        <v>Criança</v>
      </c>
      <c r="G330" s="2">
        <f>Gross_cleaning!F330</f>
        <v>118</v>
      </c>
      <c r="H330" s="1" t="s">
        <v>240</v>
      </c>
      <c r="I330" s="1" t="s">
        <v>1148</v>
      </c>
      <c r="J330" s="1">
        <v>8.0</v>
      </c>
      <c r="K330" s="1" t="s">
        <v>2179</v>
      </c>
      <c r="L330" s="1" t="str">
        <f>IFERROR(__xludf.DUMMYFUNCTION("GOOGLETRANSLATE(K330,""en"", ""pt-br"")"),"Um menino indiano de cinco anos é adotado por um casal australiano depois de se perder em centenas de quilômetros de casa. 25 anos depois, ele se propõe a encontrar sua família perdida.")</f>
        <v>Um menino indiano de cinco anos é adotado por um casal australiano depois de se perder em centenas de quilômetros de casa. 25 anos depois, ele se propõe a encontrar sua família perdida.</v>
      </c>
      <c r="M330" s="1">
        <v>69.0</v>
      </c>
      <c r="N330" s="1" t="s">
        <v>2180</v>
      </c>
      <c r="O330" s="1" t="s">
        <v>2181</v>
      </c>
      <c r="P330" s="1" t="s">
        <v>2182</v>
      </c>
      <c r="Q330" s="1" t="s">
        <v>2183</v>
      </c>
      <c r="R330" s="1" t="s">
        <v>2184</v>
      </c>
      <c r="S330" s="1">
        <v>213970.0</v>
      </c>
      <c r="T330" s="7" t="str">
        <f>VLOOKUP(A330,Posters!A330:B1329,2)</f>
        <v>https://m.media-amazon.com/images/M/MV5BMjA3NjkzNjg2MF5BMl5BanBnXkFtZTgwMDkyMzgzMDI@._V1_UX67_CR0,0,67,98_AL_.jpg</v>
      </c>
      <c r="U330" s="8">
        <f>'Inflation Adjusted Gross'!F330</f>
        <v>56337644</v>
      </c>
      <c r="V330" s="5">
        <f t="shared" si="1"/>
        <v>2020</v>
      </c>
    </row>
    <row r="331">
      <c r="A331" s="1">
        <v>330.0</v>
      </c>
      <c r="B331" s="1" t="s">
        <v>2185</v>
      </c>
      <c r="C331" s="6">
        <f>Gross_cleaning!E331</f>
        <v>228433663</v>
      </c>
      <c r="D331" s="1">
        <v>2015.0</v>
      </c>
      <c r="E331" s="1" t="s">
        <v>37</v>
      </c>
      <c r="F331" s="1" t="str">
        <f>VLOOKUP(Filmes_raw!E331,Rating_systems!$A$2:$C$29,3,FALSE)</f>
        <v>Criança</v>
      </c>
      <c r="G331" s="2">
        <f>Gross_cleaning!F331</f>
        <v>144</v>
      </c>
      <c r="H331" s="1" t="s">
        <v>1618</v>
      </c>
      <c r="I331" s="1" t="s">
        <v>188</v>
      </c>
      <c r="J331" s="1">
        <v>8.0</v>
      </c>
      <c r="K331" s="1" t="s">
        <v>2186</v>
      </c>
      <c r="L331" s="1" t="str">
        <f>IFERROR(__xludf.DUMMYFUNCTION("GOOGLETRANSLATE(K331,""en"", ""pt-br"")"),"Um astronauta fica encalhado em Marte depois que sua equipe assumi-lo morto e deve confiar em sua engenhosidade para encontrar uma maneira de sinalizar para a terra que ele está vivo.")</f>
        <v>Um astronauta fica encalhado em Marte depois que sua equipe assumi-lo morto e deve confiar em sua engenhosidade para encontrar uma maneira de sinalizar para a terra que ele está vivo.</v>
      </c>
      <c r="M331" s="1">
        <v>80.0</v>
      </c>
      <c r="N331" s="1" t="s">
        <v>324</v>
      </c>
      <c r="O331" s="1" t="s">
        <v>215</v>
      </c>
      <c r="P331" s="1" t="s">
        <v>192</v>
      </c>
      <c r="Q331" s="1" t="s">
        <v>2187</v>
      </c>
      <c r="R331" s="1" t="s">
        <v>2188</v>
      </c>
      <c r="S331" s="1">
        <v>760094.0</v>
      </c>
      <c r="T331" s="7" t="str">
        <f>VLOOKUP(A331,Posters!A331:B1330,2)</f>
        <v>https://m.media-amazon.com/images/M/MV5BMTc2MTQ3MDA1Nl5BMl5BanBnXkFtZTgwODA3OTI4NjE@._V1_UX67_CR0,0,67,98_AL_.jpg</v>
      </c>
      <c r="U331" s="8">
        <f>'Inflation Adjusted Gross'!F331</f>
        <v>252150174</v>
      </c>
      <c r="V331" s="5">
        <f t="shared" si="1"/>
        <v>2020</v>
      </c>
    </row>
    <row r="332">
      <c r="A332" s="1">
        <v>331.0</v>
      </c>
      <c r="B332" s="1" t="s">
        <v>2189</v>
      </c>
      <c r="C332" s="6">
        <f>Gross_cleaning!E332</f>
        <v>341268248</v>
      </c>
      <c r="D332" s="1">
        <v>2016.0</v>
      </c>
      <c r="E332" s="1" t="s">
        <v>52</v>
      </c>
      <c r="F332" s="1" t="str">
        <f>VLOOKUP(Filmes_raw!E332,Rating_systems!$A$2:$C$29,3,FALSE)</f>
        <v>Criança</v>
      </c>
      <c r="G332" s="2">
        <f>Gross_cleaning!F332</f>
        <v>108</v>
      </c>
      <c r="H332" s="1" t="s">
        <v>714</v>
      </c>
      <c r="I332" s="1" t="s">
        <v>765</v>
      </c>
      <c r="J332" s="1">
        <v>8.0</v>
      </c>
      <c r="K332" s="1" t="s">
        <v>2190</v>
      </c>
      <c r="L332" s="1" t="str">
        <f>IFERROR(__xludf.DUMMYFUNCTION("GOOGLETRANSLATE(K332,""en"", ""pt-br"")"),"Em uma cidade de animais antropomórficos, um coelho de rookie e uma raposa cínica do artista deve trabalhar em conjunto para descobrir uma conspiração.")</f>
        <v>Em uma cidade de animais antropomórficos, um coelho de rookie e uma raposa cínica do artista deve trabalhar em conjunto para descobrir uma conspiração.</v>
      </c>
      <c r="M332" s="1">
        <v>78.0</v>
      </c>
      <c r="N332" s="1" t="s">
        <v>2191</v>
      </c>
      <c r="O332" s="1" t="s">
        <v>2192</v>
      </c>
      <c r="P332" s="1" t="s">
        <v>2193</v>
      </c>
      <c r="Q332" s="1" t="s">
        <v>2194</v>
      </c>
      <c r="R332" s="1" t="s">
        <v>2195</v>
      </c>
      <c r="S332" s="1">
        <v>434143.0</v>
      </c>
      <c r="T332" s="7" t="str">
        <f>VLOOKUP(A332,Posters!A332:B1331,2)</f>
        <v>https://m.media-amazon.com/images/M/MV5BOTMyMjEyNzIzMV5BMl5BanBnXkFtZTgwNzIyNjU0NzE@._V1_UX67_CR0,0,67,98_AL_.jpg</v>
      </c>
      <c r="U332" s="8">
        <f>'Inflation Adjusted Gross'!F332</f>
        <v>371597153</v>
      </c>
      <c r="V332" s="5">
        <f t="shared" si="1"/>
        <v>2020</v>
      </c>
    </row>
    <row r="333">
      <c r="A333" s="1">
        <v>332.0</v>
      </c>
      <c r="B333" s="1" t="s">
        <v>2196</v>
      </c>
      <c r="C333" s="6">
        <f>Gross_cleaning!E333</f>
        <v>6738000</v>
      </c>
      <c r="D333" s="1">
        <v>2015.0</v>
      </c>
      <c r="E333" s="1" t="s">
        <v>37</v>
      </c>
      <c r="F333" s="1" t="str">
        <f>VLOOKUP(Filmes_raw!E333,Rating_systems!$A$2:$C$29,3,FALSE)</f>
        <v>Criança</v>
      </c>
      <c r="G333" s="2">
        <f>Gross_cleaning!F333</f>
        <v>159</v>
      </c>
      <c r="H333" s="1" t="s">
        <v>2168</v>
      </c>
      <c r="I333" s="1" t="s">
        <v>956</v>
      </c>
      <c r="J333" s="1">
        <v>8.0</v>
      </c>
      <c r="K333" s="1" t="s">
        <v>2197</v>
      </c>
      <c r="L333" s="1" t="str">
        <f>IFERROR(__xludf.DUMMYFUNCTION("GOOGLETRANSLATE(K333,""en"", ""pt-br"")"),"Na antiga Índia, um homem aventureiro e ousado se envolve em uma disputa de décadas entre dois povos em guerra.")</f>
        <v>Na antiga Índia, um homem aventureiro e ousado se envolve em uma disputa de décadas entre dois povos em guerra.</v>
      </c>
      <c r="N333" s="1" t="s">
        <v>986</v>
      </c>
      <c r="O333" s="1" t="s">
        <v>987</v>
      </c>
      <c r="P333" s="1" t="s">
        <v>988</v>
      </c>
      <c r="Q333" s="1" t="s">
        <v>2198</v>
      </c>
      <c r="R333" s="1" t="s">
        <v>2199</v>
      </c>
      <c r="S333" s="1">
        <v>102972.0</v>
      </c>
      <c r="T333" s="7" t="str">
        <f>VLOOKUP(A333,Posters!A333:B1332,2)</f>
        <v>https://m.media-amazon.com/images/M/MV5BYWVlMjVhZWYtNWViNC00ODFkLTk1MmItYjU1MDY5ZDdhMTU3XkEyXkFqcGdeQXVyODIwMDI1NjM@._V1_UX67_CR0,0,67,98_AL_.jpg</v>
      </c>
      <c r="U333" s="8">
        <f>'Inflation Adjusted Gross'!F333</f>
        <v>7437555</v>
      </c>
      <c r="V333" s="5">
        <f t="shared" si="1"/>
        <v>2020</v>
      </c>
    </row>
    <row r="334">
      <c r="A334" s="1">
        <v>333.0</v>
      </c>
      <c r="B334" s="1" t="s">
        <v>2200</v>
      </c>
      <c r="C334" s="6">
        <f>Gross_cleaning!E334</f>
        <v>1506975</v>
      </c>
      <c r="D334" s="1">
        <v>2013.0</v>
      </c>
      <c r="E334" s="1" t="s">
        <v>52</v>
      </c>
      <c r="F334" s="1" t="str">
        <f>VLOOKUP(Filmes_raw!E334,Rating_systems!$A$2:$C$29,3,FALSE)</f>
        <v>Criança</v>
      </c>
      <c r="G334" s="2">
        <f>Gross_cleaning!F334</f>
        <v>137</v>
      </c>
      <c r="H334" s="1" t="s">
        <v>360</v>
      </c>
      <c r="I334" s="1" t="s">
        <v>352</v>
      </c>
      <c r="J334" s="1">
        <v>8.0</v>
      </c>
      <c r="K334" s="1" t="s">
        <v>2201</v>
      </c>
      <c r="L334" s="1" t="str">
        <f>IFERROR(__xludf.DUMMYFUNCTION("GOOGLETRANSLATE(K334,""en"", ""pt-br"")"),"Encontrado dentro de um talo brilhante de bambu por um velho cortador de bambu e sua esposa, uma minúscula garota cresce rapidamente em uma jovem requintada. A misteriosa jovem princesa enthralls todos que o encontraram, mas, em última análise, ela deve c"&amp;"onfrontar seu destino, a punição por seu crime.")</f>
        <v>Encontrado dentro de um talo brilhante de bambu por um velho cortador de bambu e sua esposa, uma minúscula garota cresce rapidamente em uma jovem requintada. A misteriosa jovem princesa enthralls todos que o encontraram, mas, em última análise, ela deve confrontar seu destino, a punição por seu crime.</v>
      </c>
      <c r="M334" s="1">
        <v>89.0</v>
      </c>
      <c r="N334" s="1" t="s">
        <v>377</v>
      </c>
      <c r="O334" s="1" t="s">
        <v>2202</v>
      </c>
      <c r="P334" s="1" t="s">
        <v>34</v>
      </c>
      <c r="Q334" s="1" t="s">
        <v>2203</v>
      </c>
      <c r="R334" s="1" t="s">
        <v>2204</v>
      </c>
      <c r="S334" s="1">
        <v>38746.0</v>
      </c>
      <c r="T334" s="7" t="str">
        <f>VLOOKUP(A334,Posters!A334:B1333,2)</f>
        <v>https://m.media-amazon.com/images/M/MV5BNThmMWMyMWMtOWRiNy00MGY0LTg1OTUtNjYzODg2MjdlZGU5XkEyXkFqcGdeQXVyMTMxODk2OTU@._V1_UY98_CR1,0,67,98_AL_.jpg</v>
      </c>
      <c r="U334" s="8">
        <f>'Inflation Adjusted Gross'!F334</f>
        <v>1688188</v>
      </c>
      <c r="V334" s="5">
        <f t="shared" si="1"/>
        <v>2020</v>
      </c>
    </row>
    <row r="335">
      <c r="A335" s="1">
        <v>334.0</v>
      </c>
      <c r="B335" s="1" t="s">
        <v>2205</v>
      </c>
      <c r="C335" s="6">
        <f>Gross_cleaning!E335</f>
        <v>132422809</v>
      </c>
      <c r="D335" s="1">
        <v>2017.0</v>
      </c>
      <c r="E335" s="1" t="s">
        <v>52</v>
      </c>
      <c r="F335" s="1" t="str">
        <f>VLOOKUP(Filmes_raw!E335,Rating_systems!$A$2:$C$29,3,FALSE)</f>
        <v>Criança</v>
      </c>
      <c r="G335" s="2">
        <f>Gross_cleaning!F335</f>
        <v>113</v>
      </c>
      <c r="H335" s="1" t="s">
        <v>543</v>
      </c>
      <c r="I335" s="1" t="s">
        <v>513</v>
      </c>
      <c r="J335" s="1">
        <v>8.0</v>
      </c>
      <c r="K335" s="1" t="s">
        <v>2206</v>
      </c>
      <c r="L335" s="1" t="str">
        <f>IFERROR(__xludf.DUMMYFUNCTION("GOOGLETRANSLATE(K335,""en"", ""pt-br"")"),"Com base no Bestseller do New York Times, este filme conta a incrivelmente inspiradora e sincerosa história de agosto de puxar, um menino com diferenças faciais que entra na quinta série, participando de uma escola primária principal pela primeira vez.")</f>
        <v>Com base no Bestseller do New York Times, este filme conta a incrivelmente inspiradora e sincerosa história de agosto de puxar, um menino com diferenças faciais que entra na quinta série, participando de uma escola primária principal pela primeira vez.</v>
      </c>
      <c r="M335" s="1">
        <v>66.0</v>
      </c>
      <c r="N335" s="1" t="s">
        <v>2207</v>
      </c>
      <c r="O335" s="1" t="s">
        <v>1428</v>
      </c>
      <c r="P335" s="1" t="s">
        <v>2208</v>
      </c>
      <c r="Q335" s="1" t="s">
        <v>2209</v>
      </c>
      <c r="R335" s="1" t="s">
        <v>2210</v>
      </c>
      <c r="S335" s="1">
        <v>141923.0</v>
      </c>
      <c r="T335" s="7" t="str">
        <f>VLOOKUP(A335,Posters!A335:B1334,2)</f>
        <v>https://m.media-amazon.com/images/M/MV5BYjFhOWY0OTgtNDkzMC00YWJkLTk1NGEtYWUxNjhmMmQ5ZjYyXkEyXkFqcGdeQXVyMjMxOTE0ODA@._V1_UX67_CR0,0,67,98_AL_.jpg</v>
      </c>
      <c r="U335" s="8">
        <f>'Inflation Adjusted Gross'!F335</f>
        <v>140674457</v>
      </c>
      <c r="V335" s="5">
        <f t="shared" si="1"/>
        <v>2020</v>
      </c>
    </row>
    <row r="336">
      <c r="A336" s="1">
        <v>335.0</v>
      </c>
      <c r="B336" s="1" t="s">
        <v>2211</v>
      </c>
      <c r="C336" s="6">
        <f>Gross_cleaning!E336</f>
        <v>5566534</v>
      </c>
      <c r="D336" s="1">
        <v>2019.0</v>
      </c>
      <c r="E336" s="1" t="s">
        <v>37</v>
      </c>
      <c r="F336" s="1" t="str">
        <f>VLOOKUP(Filmes_raw!E336,Rating_systems!$A$2:$C$29,3,FALSE)</f>
        <v>Criança</v>
      </c>
      <c r="G336" s="2">
        <f>Gross_cleaning!F336</f>
        <v>154</v>
      </c>
      <c r="H336" s="1" t="s">
        <v>70</v>
      </c>
      <c r="I336" s="1" t="s">
        <v>1706</v>
      </c>
      <c r="J336" s="1">
        <v>8.0</v>
      </c>
      <c r="K336" s="1" t="s">
        <v>2212</v>
      </c>
      <c r="L336" s="1" t="str">
        <f>IFERROR(__xludf.DUMMYFUNCTION("GOOGLETRANSLATE(K336,""en"", ""pt-br"")"),"Uma história de vinda de idade baseada na vida dos rappers em Mumbai.")</f>
        <v>Uma história de vinda de idade baseada na vida dos rappers em Mumbai.</v>
      </c>
      <c r="M336" s="1">
        <v>65.0</v>
      </c>
      <c r="N336" s="1" t="s">
        <v>1536</v>
      </c>
      <c r="O336" s="1" t="s">
        <v>2213</v>
      </c>
      <c r="P336" s="1" t="s">
        <v>2214</v>
      </c>
      <c r="Q336" s="1" t="s">
        <v>2215</v>
      </c>
      <c r="R336" s="1" t="s">
        <v>2216</v>
      </c>
      <c r="S336" s="1">
        <v>31886.0</v>
      </c>
      <c r="T336" s="7" t="str">
        <f>VLOOKUP(A336,Posters!A336:B1335,2)</f>
        <v>https://m.media-amazon.com/images/M/MV5BZDkzMTQ1YTMtMWY4Ny00MzExLTkzYzEtNzZhOTczNzU2NTU1XkEyXkFqcGdeQXVyODY3NjMyMDU@._V1_UY98_CR4,0,67,98_AL_.jpg</v>
      </c>
      <c r="U336" s="8">
        <f>'Inflation Adjusted Gross'!F336</f>
        <v>5704950</v>
      </c>
      <c r="V336" s="5">
        <f t="shared" si="1"/>
        <v>2020</v>
      </c>
    </row>
    <row r="337">
      <c r="A337" s="1">
        <v>336.0</v>
      </c>
      <c r="B337" s="1" t="s">
        <v>2217</v>
      </c>
      <c r="C337" s="6">
        <f>Gross_cleaning!E337</f>
        <v>1079369</v>
      </c>
      <c r="D337" s="1">
        <v>2013.0</v>
      </c>
      <c r="E337" s="1" t="s">
        <v>37</v>
      </c>
      <c r="F337" s="1" t="str">
        <f>VLOOKUP(Filmes_raw!E337,Rating_systems!$A$2:$C$29,3,FALSE)</f>
        <v>Criança</v>
      </c>
      <c r="G337" s="2">
        <f>Gross_cleaning!F337</f>
        <v>144</v>
      </c>
      <c r="H337" s="1" t="s">
        <v>1618</v>
      </c>
      <c r="I337" s="1" t="s">
        <v>241</v>
      </c>
      <c r="J337" s="1">
        <v>8.0</v>
      </c>
      <c r="K337" s="1" t="s">
        <v>2218</v>
      </c>
      <c r="L337" s="1" t="str">
        <f>IFERROR(__xludf.DUMMYFUNCTION("GOOGLETRANSLATE(K337,""en"", ""pt-br"")"),"Uma gangue de Con-Men Rob proeminente empresários ricos e políticos, posando como c.b.i e diretores de imposto de renda.")</f>
        <v>Uma gangue de Con-Men Rob proeminente empresários ricos e políticos, posando como c.b.i e diretores de imposto de renda.</v>
      </c>
      <c r="N337" s="1" t="s">
        <v>1554</v>
      </c>
      <c r="O337" s="1" t="s">
        <v>1156</v>
      </c>
      <c r="P337" s="1" t="s">
        <v>1555</v>
      </c>
      <c r="Q337" s="1" t="s">
        <v>1032</v>
      </c>
      <c r="R337" s="1" t="s">
        <v>1557</v>
      </c>
      <c r="S337" s="1">
        <v>51069.0</v>
      </c>
      <c r="T337" s="7" t="str">
        <f>VLOOKUP(A337,Posters!A337:B1336,2)</f>
        <v>https://m.media-amazon.com/images/M/MV5BMTQ1NDI5MjMzNF5BMl5BanBnXkFtZTcwMTc0MDQwOQ@@._V1_UY98_CR0,0,67,98_AL_.jpg</v>
      </c>
      <c r="U337" s="8">
        <f>'Inflation Adjusted Gross'!F337</f>
        <v>1209162</v>
      </c>
      <c r="V337" s="5">
        <f t="shared" si="1"/>
        <v>2020</v>
      </c>
    </row>
    <row r="338">
      <c r="A338" s="1">
        <v>337.0</v>
      </c>
      <c r="B338" s="1" t="s">
        <v>2219</v>
      </c>
      <c r="C338" s="6">
        <f>Gross_cleaning!E338</f>
        <v>1010414</v>
      </c>
      <c r="D338" s="1">
        <v>2013.0</v>
      </c>
      <c r="E338" s="1" t="s">
        <v>212</v>
      </c>
      <c r="F338" s="1" t="str">
        <f>VLOOKUP(Filmes_raw!E338,Rating_systems!$A$2:$C$29,3,FALSE)</f>
        <v>Adulto</v>
      </c>
      <c r="G338" s="2">
        <f>Gross_cleaning!F338</f>
        <v>96</v>
      </c>
      <c r="H338" s="1" t="s">
        <v>53</v>
      </c>
      <c r="I338" s="1" t="s">
        <v>20</v>
      </c>
      <c r="J338" s="1">
        <v>8.0</v>
      </c>
      <c r="K338" s="1" t="s">
        <v>2220</v>
      </c>
      <c r="L338" s="1" t="str">
        <f>IFERROR(__xludf.DUMMYFUNCTION("GOOGLETRANSLATE(K338,""en"", ""pt-br"")"),"Um membro da equipe de supervisão de 20 algo de uma instalação de tratamento residencial navega as águas problemáticas desse mundo ao lado de seu colega de trabalho e namorado de longa data.")</f>
        <v>Um membro da equipe de supervisão de 20 algo de uma instalação de tratamento residencial navega as águas problemáticas desse mundo ao lado de seu colega de trabalho e namorado de longa data.</v>
      </c>
      <c r="M338" s="1">
        <v>82.0</v>
      </c>
      <c r="N338" s="1" t="s">
        <v>2221</v>
      </c>
      <c r="O338" s="1" t="s">
        <v>1427</v>
      </c>
      <c r="P338" s="1" t="s">
        <v>2222</v>
      </c>
      <c r="Q338" s="1" t="s">
        <v>2223</v>
      </c>
      <c r="R338" s="1" t="s">
        <v>2224</v>
      </c>
      <c r="S338" s="1">
        <v>81770.0</v>
      </c>
      <c r="T338" s="7" t="str">
        <f>VLOOKUP(A338,Posters!A338:B1337,2)</f>
        <v>https://m.media-amazon.com/images/M/MV5BMTEwNjE2OTM4NDZeQTJeQWpwZ15BbWU3MDE2MTE4OTk@._V1_UX67_CR0,0,67,98_AL_.jpg</v>
      </c>
      <c r="U338" s="8">
        <f>'Inflation Adjusted Gross'!F338</f>
        <v>1131916</v>
      </c>
      <c r="V338" s="5">
        <f t="shared" si="1"/>
        <v>2020</v>
      </c>
    </row>
    <row r="339">
      <c r="A339" s="1">
        <v>338.0</v>
      </c>
      <c r="B339" s="1" t="s">
        <v>2225</v>
      </c>
      <c r="C339" s="6">
        <f>Gross_cleaning!E339</f>
        <v>2625803</v>
      </c>
      <c r="D339" s="1">
        <v>2014.0</v>
      </c>
      <c r="E339" s="1" t="s">
        <v>18</v>
      </c>
      <c r="F339" s="1" t="str">
        <f>VLOOKUP(Filmes_raw!E339,Rating_systems!$A$2:$C$29,3,FALSE)</f>
        <v>Adulto</v>
      </c>
      <c r="G339" s="2">
        <f>Gross_cleaning!F339</f>
        <v>150</v>
      </c>
      <c r="H339" s="1" t="s">
        <v>313</v>
      </c>
      <c r="I339" s="1" t="s">
        <v>2169</v>
      </c>
      <c r="J339" s="1">
        <v>8.0</v>
      </c>
      <c r="K339" s="1" t="s">
        <v>2226</v>
      </c>
      <c r="L339" s="1" t="str">
        <f>IFERROR(__xludf.DUMMYFUNCTION("GOOGLETRANSLATE(K339,""en"", ""pt-br"")"),"Apenas um curto período de tempo após o primeiro ataque, Rama fica disfarçado com os bandidos de Jacarta e planeja derrubar o sindicato e descobrir a corrupção dentro de sua força policial.")</f>
        <v>Apenas um curto período de tempo após o primeiro ataque, Rama fica disfarçado com os bandidos de Jacarta e planeja derrubar o sindicato e descobrir a corrupção dentro de sua força policial.</v>
      </c>
      <c r="M339" s="1">
        <v>71.0</v>
      </c>
      <c r="N339" s="1" t="s">
        <v>2227</v>
      </c>
      <c r="O339" s="1" t="s">
        <v>2228</v>
      </c>
      <c r="P339" s="1" t="s">
        <v>2229</v>
      </c>
      <c r="Q339" s="1" t="s">
        <v>2230</v>
      </c>
      <c r="R339" s="1" t="s">
        <v>2231</v>
      </c>
      <c r="S339" s="1">
        <v>114316.0</v>
      </c>
      <c r="T339" s="7" t="str">
        <f>VLOOKUP(A339,Posters!A339:B1338,2)</f>
        <v>https://m.media-amazon.com/images/M/MV5BMTg5MTE2NjA4OV5BMl5BanBnXkFtZTgwMTUyMjczMTE@._V1_UX67_CR0,0,67,98_AL_.jpg</v>
      </c>
      <c r="U339" s="8">
        <f>'Inflation Adjusted Gross'!F339</f>
        <v>2895830</v>
      </c>
      <c r="V339" s="5">
        <f t="shared" si="1"/>
        <v>2020</v>
      </c>
    </row>
    <row r="340">
      <c r="A340" s="1">
        <v>339.0</v>
      </c>
      <c r="B340" s="1" t="s">
        <v>2232</v>
      </c>
      <c r="C340" s="6">
        <f>Gross_cleaning!E340</f>
        <v>91125683</v>
      </c>
      <c r="D340" s="1">
        <v>2014.0</v>
      </c>
      <c r="E340" s="1" t="s">
        <v>37</v>
      </c>
      <c r="F340" s="1" t="str">
        <f>VLOOKUP(Filmes_raw!E340,Rating_systems!$A$2:$C$29,3,FALSE)</f>
        <v>Criança</v>
      </c>
      <c r="G340" s="2">
        <f>Gross_cleaning!F340</f>
        <v>114</v>
      </c>
      <c r="H340" s="1" t="s">
        <v>825</v>
      </c>
      <c r="I340" s="1" t="s">
        <v>2233</v>
      </c>
      <c r="J340" s="1">
        <v>8.0</v>
      </c>
      <c r="K340" s="1" t="s">
        <v>2234</v>
      </c>
      <c r="L340" s="1" t="str">
        <f>IFERROR(__xludf.DUMMYFUNCTION("GOOGLETRANSLATE(K340,""en"", ""pt-br"")"),"Durante a Segunda Guerra Mundial, o Gênio Matemático Inglês Alan Turing tenta quebrar o Código Alemão Enigma com ajuda de outros matemáticos.")</f>
        <v>Durante a Segunda Guerra Mundial, o Gênio Matemático Inglês Alan Turing tenta quebrar o Código Alemão Enigma com ajuda de outros matemáticos.</v>
      </c>
      <c r="M340" s="1">
        <v>73.0</v>
      </c>
      <c r="N340" s="1" t="s">
        <v>2235</v>
      </c>
      <c r="O340" s="1" t="s">
        <v>2236</v>
      </c>
      <c r="P340" s="1" t="s">
        <v>2237</v>
      </c>
      <c r="Q340" s="1" t="s">
        <v>2238</v>
      </c>
      <c r="R340" s="1" t="s">
        <v>2239</v>
      </c>
      <c r="S340" s="1">
        <v>685201.0</v>
      </c>
      <c r="T340" s="7" t="str">
        <f>VLOOKUP(A340,Posters!A340:B1339,2)</f>
        <v>https://m.media-amazon.com/images/M/MV5BOTgwMzFiMWYtZDhlNS00ODNkLWJiODAtZDVhNzgyNzJhYjQ4L2ltYWdlXkEyXkFqcGdeQXVyNzEzOTYxNTQ@._V1_UX67_CR0,0,67,98_AL_.jpg</v>
      </c>
      <c r="U340" s="8">
        <f>'Inflation Adjusted Gross'!F340</f>
        <v>100496689</v>
      </c>
      <c r="V340" s="5">
        <f t="shared" si="1"/>
        <v>2020</v>
      </c>
    </row>
    <row r="341">
      <c r="A341" s="1">
        <v>340.0</v>
      </c>
      <c r="B341" s="1" t="s">
        <v>2240</v>
      </c>
      <c r="C341" s="6">
        <f>Gross_cleaning!E341</f>
        <v>333176600</v>
      </c>
      <c r="D341" s="1">
        <v>2014.0</v>
      </c>
      <c r="E341" s="1" t="s">
        <v>37</v>
      </c>
      <c r="F341" s="1" t="str">
        <f>VLOOKUP(Filmes_raw!E341,Rating_systems!$A$2:$C$29,3,FALSE)</f>
        <v>Criança</v>
      </c>
      <c r="G341" s="2">
        <f>Gross_cleaning!F341</f>
        <v>121</v>
      </c>
      <c r="H341" s="1" t="s">
        <v>249</v>
      </c>
      <c r="I341" s="1" t="s">
        <v>1252</v>
      </c>
      <c r="J341" s="1">
        <v>8.0</v>
      </c>
      <c r="K341" s="1" t="s">
        <v>2241</v>
      </c>
      <c r="L341" s="1" t="str">
        <f>IFERROR(__xludf.DUMMYFUNCTION("GOOGLETRANSLATE(K341,""en"", ""pt-br"")"),"Um grupo de criminosos intergalácticos deve se reunir para impedir um guerreiro fanático com planos para purgar o universo.")</f>
        <v>Um grupo de criminosos intergalácticos deve se reunir para impedir um guerreiro fanático com planos para purgar o universo.</v>
      </c>
      <c r="M341" s="1">
        <v>76.0</v>
      </c>
      <c r="N341" s="1" t="s">
        <v>2242</v>
      </c>
      <c r="O341" s="1" t="s">
        <v>2243</v>
      </c>
      <c r="P341" s="1" t="s">
        <v>2244</v>
      </c>
      <c r="Q341" s="1" t="s">
        <v>2245</v>
      </c>
      <c r="R341" s="1" t="s">
        <v>2246</v>
      </c>
      <c r="S341" s="1">
        <v>1043455.0</v>
      </c>
      <c r="T341" s="7" t="str">
        <f>VLOOKUP(A341,Posters!A341:B1340,2)</f>
        <v>https://m.media-amazon.com/images/M/MV5BMTAwMjU5OTgxNjZeQTJeQWpwZ15BbWU4MDUxNDYxODEx._V1_UX67_CR0,0,67,98_AL_.jpg</v>
      </c>
      <c r="U341" s="8">
        <f>'Inflation Adjusted Gross'!F341</f>
        <v>367439169</v>
      </c>
      <c r="V341" s="5">
        <f t="shared" si="1"/>
        <v>2020</v>
      </c>
    </row>
    <row r="342">
      <c r="A342" s="1">
        <v>341.0</v>
      </c>
      <c r="B342" s="1" t="s">
        <v>2247</v>
      </c>
      <c r="C342" s="6">
        <f>Gross_cleaning!E342</f>
        <v>92054159</v>
      </c>
      <c r="D342" s="1">
        <v>2017.0</v>
      </c>
      <c r="E342" s="1" t="s">
        <v>37</v>
      </c>
      <c r="F342" s="1" t="str">
        <f>VLOOKUP(Filmes_raw!E342,Rating_systems!$A$2:$C$29,3,FALSE)</f>
        <v>Criança</v>
      </c>
      <c r="G342" s="2">
        <f>Gross_cleaning!F342</f>
        <v>164</v>
      </c>
      <c r="H342" s="1" t="s">
        <v>501</v>
      </c>
      <c r="I342" s="1" t="s">
        <v>254</v>
      </c>
      <c r="J342" s="1">
        <v>8.0</v>
      </c>
      <c r="K342" s="1" t="s">
        <v>2248</v>
      </c>
      <c r="L342" s="1" t="str">
        <f>IFERROR(__xludf.DUMMYFUNCTION("GOOGLETRANSLATE(K342,""en"", ""pt-br"")"),"A descoberta de Jovem Lâmina de Runner K de um segredo de longo enterrado leva-o a rastrear o ex-corredor de Blade Rick Deckard, que está faltando há trinta anos.")</f>
        <v>A descoberta de Jovem Lâmina de Runner K de um segredo de longo enterrado leva-o a rastrear o ex-corredor de Blade Rick Deckard, que está faltando há trinta anos.</v>
      </c>
      <c r="M342" s="1">
        <v>81.0</v>
      </c>
      <c r="N342" s="1" t="s">
        <v>688</v>
      </c>
      <c r="O342" s="1" t="s">
        <v>149</v>
      </c>
      <c r="P342" s="1" t="s">
        <v>2175</v>
      </c>
      <c r="Q342" s="1" t="s">
        <v>2249</v>
      </c>
      <c r="R342" s="1" t="s">
        <v>2250</v>
      </c>
      <c r="S342" s="1">
        <v>461823.0</v>
      </c>
      <c r="T342" s="7" t="str">
        <f>VLOOKUP(A342,Posters!A342:B1341,2)</f>
        <v>https://m.media-amazon.com/images/M/MV5BNzA1Njg4NzYxOV5BMl5BanBnXkFtZTgwODk5NjU3MzI@._V1_UX67_CR0,0,67,98_AL_.jpg</v>
      </c>
      <c r="U342" s="8">
        <f>'Inflation Adjusted Gross'!F342</f>
        <v>97790320</v>
      </c>
      <c r="V342" s="5">
        <f t="shared" si="1"/>
        <v>2020</v>
      </c>
    </row>
    <row r="343">
      <c r="A343" s="1">
        <v>342.0</v>
      </c>
      <c r="B343" s="1" t="s">
        <v>2251</v>
      </c>
      <c r="C343" s="6">
        <f>Gross_cleaning!E343</f>
        <v>25568251</v>
      </c>
      <c r="D343" s="1">
        <v>2013.0</v>
      </c>
      <c r="E343" s="1" t="s">
        <v>18</v>
      </c>
      <c r="F343" s="1" t="str">
        <f>VLOOKUP(Filmes_raw!E343,Rating_systems!$A$2:$C$29,3,FALSE)</f>
        <v>Adulto</v>
      </c>
      <c r="G343" s="2">
        <f>Gross_cleaning!F343</f>
        <v>126</v>
      </c>
      <c r="H343" s="1" t="s">
        <v>428</v>
      </c>
      <c r="I343" s="1" t="s">
        <v>715</v>
      </c>
      <c r="J343" s="1">
        <v>8.0</v>
      </c>
      <c r="K343" s="1" t="s">
        <v>2252</v>
      </c>
      <c r="L343" s="1" t="str">
        <f>IFERROR(__xludf.DUMMYFUNCTION("GOOGLETRANSLATE(K343,""en"", ""pt-br"")"),"Em um futuro próximo, um escritor solitário desenvolve um relacionamento improvável com um sistema operacional projetado para atender a todas as suas necessidades.")</f>
        <v>Em um futuro próximo, um escritor solitário desenvolve um relacionamento improvável com um sistema operacional projetado para atender a todas as suas necessidades.</v>
      </c>
      <c r="M343" s="1">
        <v>90.0</v>
      </c>
      <c r="N343" s="1" t="s">
        <v>2253</v>
      </c>
      <c r="O343" s="1" t="s">
        <v>282</v>
      </c>
      <c r="P343" s="1" t="s">
        <v>2254</v>
      </c>
      <c r="Q343" s="1" t="s">
        <v>307</v>
      </c>
      <c r="R343" s="1" t="s">
        <v>2183</v>
      </c>
      <c r="S343" s="1">
        <v>540772.0</v>
      </c>
      <c r="T343" s="7" t="str">
        <f>VLOOKUP(A343,Posters!A343:B1342,2)</f>
        <v>https://m.media-amazon.com/images/M/MV5BMjA1Nzk0OTM2OF5BMl5BanBnXkFtZTgwNjU2NjEwMDE@._V1_UX67_CR0,0,67,98_AL_.jpg</v>
      </c>
      <c r="U343" s="8">
        <f>'Inflation Adjusted Gross'!F343</f>
        <v>28642814</v>
      </c>
      <c r="V343" s="5">
        <f t="shared" si="1"/>
        <v>2020</v>
      </c>
    </row>
    <row r="344">
      <c r="A344" s="1">
        <v>343.0</v>
      </c>
      <c r="B344" s="1" t="s">
        <v>2255</v>
      </c>
      <c r="C344" s="6">
        <f>Gross_cleaning!E344</f>
        <v>216428042</v>
      </c>
      <c r="D344" s="1">
        <v>2018.0</v>
      </c>
      <c r="E344" s="1" t="s">
        <v>37</v>
      </c>
      <c r="F344" s="1" t="str">
        <f>VLOOKUP(Filmes_raw!E344,Rating_systems!$A$2:$C$29,3,FALSE)</f>
        <v>Criança</v>
      </c>
      <c r="G344" s="2">
        <f>Gross_cleaning!F344</f>
        <v>134</v>
      </c>
      <c r="H344" s="1" t="s">
        <v>550</v>
      </c>
      <c r="I344" s="1" t="s">
        <v>314</v>
      </c>
      <c r="J344" s="1">
        <v>8.0</v>
      </c>
      <c r="K344" s="1" t="s">
        <v>2256</v>
      </c>
      <c r="L344" s="1" t="str">
        <f>IFERROR(__xludf.DUMMYFUNCTION("GOOGLETRANSLATE(K344,""en"", ""pt-br"")"),"A história da lendária British Band Banda Rainha e lidera o cantor Freddie Mercury, levando até o famoso desempenho em Ajuda ao vivo (1985).")</f>
        <v>A história da lendária British Band Banda Rainha e lidera o cantor Freddie Mercury, levando até o famoso desempenho em Ajuda ao vivo (1985).</v>
      </c>
      <c r="M344" s="1">
        <v>49.0</v>
      </c>
      <c r="N344" s="1" t="s">
        <v>338</v>
      </c>
      <c r="O344" s="1" t="s">
        <v>2257</v>
      </c>
      <c r="P344" s="1" t="s">
        <v>2258</v>
      </c>
      <c r="Q344" s="1" t="s">
        <v>2259</v>
      </c>
      <c r="R344" s="1" t="s">
        <v>2260</v>
      </c>
      <c r="S344" s="1">
        <v>450349.0</v>
      </c>
      <c r="T344" s="7" t="str">
        <f>VLOOKUP(A344,Posters!A344:B1343,2)</f>
        <v>https://m.media-amazon.com/images/M/MV5BMTA2NDc3Njg5NDVeQTJeQWpwZ15BbWU4MDc1NDcxNTUz._V1_UX67_CR0,0,67,98_AL_.jpg</v>
      </c>
      <c r="U344" s="8">
        <f>'Inflation Adjusted Gross'!F344</f>
        <v>225250471</v>
      </c>
      <c r="V344" s="5">
        <f t="shared" si="1"/>
        <v>2020</v>
      </c>
    </row>
    <row r="345">
      <c r="A345" s="1">
        <v>344.0</v>
      </c>
      <c r="B345" s="1" t="s">
        <v>2261</v>
      </c>
      <c r="C345" s="6">
        <f>Gross_cleaning!E345</f>
        <v>183637894</v>
      </c>
      <c r="D345" s="1">
        <v>2015.0</v>
      </c>
      <c r="E345" s="1" t="s">
        <v>18</v>
      </c>
      <c r="F345" s="1" t="str">
        <f>VLOOKUP(Filmes_raw!E345,Rating_systems!$A$2:$C$29,3,FALSE)</f>
        <v>Adulto</v>
      </c>
      <c r="G345" s="2">
        <f>Gross_cleaning!F345</f>
        <v>156</v>
      </c>
      <c r="H345" s="1" t="s">
        <v>955</v>
      </c>
      <c r="I345" s="1" t="s">
        <v>62</v>
      </c>
      <c r="J345" s="1">
        <v>8.0</v>
      </c>
      <c r="K345" s="1" t="s">
        <v>2262</v>
      </c>
      <c r="L345" s="1" t="str">
        <f>IFERROR(__xludf.DUMMYFUNCTION("GOOGLETRANSLATE(K345,""en"", ""pt-br"")"),"Uma fronteira em uma expedição de negociação de peles na década de 1820 lutas pela sobrevivência depois de ser atacada por um urso e deixada para mortos por membros de sua própria equipe de caça.")</f>
        <v>Uma fronteira em uma expedição de negociação de peles na década de 1820 lutas pela sobrevivência depois de ser atacada por um urso e deixada para mortos por membros de sua própria equipe de caça.</v>
      </c>
      <c r="M345" s="1">
        <v>76.0</v>
      </c>
      <c r="N345" s="1" t="s">
        <v>1677</v>
      </c>
      <c r="O345" s="1" t="s">
        <v>90</v>
      </c>
      <c r="P345" s="1" t="s">
        <v>504</v>
      </c>
      <c r="Q345" s="1" t="s">
        <v>2263</v>
      </c>
      <c r="R345" s="1" t="s">
        <v>2264</v>
      </c>
      <c r="S345" s="1">
        <v>705589.0</v>
      </c>
      <c r="T345" s="7" t="str">
        <f>VLOOKUP(A345,Posters!A345:B1344,2)</f>
        <v>https://m.media-amazon.com/images/M/MV5BMDE5OWMzM2QtOTU2ZS00NzAyLWI2MDEtOTRlYjIxZGM0OWRjXkEyXkFqcGdeQXVyODE5NzE3OTE@._V1_UX67_CR0,0,67,98_AL_.jpg</v>
      </c>
      <c r="U345" s="8">
        <f>'Inflation Adjusted Gross'!F345</f>
        <v>202703604</v>
      </c>
      <c r="V345" s="5">
        <f t="shared" si="1"/>
        <v>2020</v>
      </c>
    </row>
    <row r="346">
      <c r="A346" s="1">
        <v>345.0</v>
      </c>
      <c r="B346" s="1" t="s">
        <v>2265</v>
      </c>
      <c r="C346" s="6">
        <f>Gross_cleaning!E346</f>
        <v>17738570</v>
      </c>
      <c r="D346" s="1">
        <v>2012.0</v>
      </c>
      <c r="E346" s="1" t="s">
        <v>37</v>
      </c>
      <c r="F346" s="1" t="str">
        <f>VLOOKUP(Filmes_raw!E346,Rating_systems!$A$2:$C$29,3,FALSE)</f>
        <v>Criança</v>
      </c>
      <c r="G346" s="2">
        <f>Gross_cleaning!F346</f>
        <v>103</v>
      </c>
      <c r="H346" s="1" t="s">
        <v>885</v>
      </c>
      <c r="I346" s="1" t="s">
        <v>107</v>
      </c>
      <c r="J346" s="1">
        <v>8.0</v>
      </c>
      <c r="K346" s="1" t="s">
        <v>2266</v>
      </c>
      <c r="L346" s="1" t="str">
        <f>IFERROR(__xludf.DUMMYFUNCTION("GOOGLETRANSLATE(K346,""en"", ""pt-br"")"),"Um calouro introvertido é tomado sob as asas de dois idosos que o recebem ao mundo real")</f>
        <v>Um calouro introvertido é tomado sob as asas de dois idosos que o recebem ao mundo real</v>
      </c>
      <c r="M346" s="1">
        <v>67.0</v>
      </c>
      <c r="N346" s="1" t="s">
        <v>2207</v>
      </c>
      <c r="O346" s="1" t="s">
        <v>2267</v>
      </c>
      <c r="P346" s="1" t="s">
        <v>1569</v>
      </c>
      <c r="Q346" s="1" t="s">
        <v>2268</v>
      </c>
      <c r="R346" s="1" t="s">
        <v>2269</v>
      </c>
      <c r="S346" s="1">
        <v>462252.0</v>
      </c>
      <c r="T346" s="7" t="str">
        <f>VLOOKUP(A346,Posters!A346:B1345,2)</f>
        <v>https://m.media-amazon.com/images/M/MV5BZThjMmQ5YjktMTUyMC00MjljLWJmMTAtOWIzNDIzY2VhNzQ0XkEyXkFqcGdeQXVyMTAyNjg4NjE0._V1_UX67_CR0,0,67,98_AL_.jpg</v>
      </c>
      <c r="U346" s="8">
        <f>'Inflation Adjusted Gross'!F346</f>
        <v>20188545</v>
      </c>
      <c r="V346" s="5">
        <f t="shared" si="1"/>
        <v>2020</v>
      </c>
    </row>
    <row r="347">
      <c r="A347" s="1">
        <v>346.0</v>
      </c>
      <c r="B347" s="1" t="s">
        <v>2270</v>
      </c>
      <c r="C347" s="6">
        <f>Gross_cleaning!E347</f>
        <v>100119</v>
      </c>
      <c r="D347" s="1">
        <v>2010.0</v>
      </c>
      <c r="E347" s="1">
        <v>16.0</v>
      </c>
      <c r="F347" s="1" t="str">
        <f>VLOOKUP(Filmes_raw!E347,Rating_systems!$A$2:$C$29,3,FALSE)</f>
        <v>Adolescente</v>
      </c>
      <c r="G347" s="2">
        <f>Gross_cleaning!F347</f>
        <v>115</v>
      </c>
      <c r="H347" s="1" t="s">
        <v>563</v>
      </c>
      <c r="I347" s="1" t="s">
        <v>39</v>
      </c>
      <c r="J347" s="1">
        <v>8.0</v>
      </c>
      <c r="K347" s="1" t="s">
        <v>2271</v>
      </c>
      <c r="L347" s="1" t="str">
        <f>IFERROR(__xludf.DUMMYFUNCTION("GOOGLETRANSLATE(K347,""en"", ""pt-br"")"),"Depois de um tumulto de prisão, o ex-capitão Nascimento, agora um alto oficial de segurança no Rio de Janeiro, é varrido em uma disputa política sangrenta que envolve funcionários do governo e grupos paramilitares.")</f>
        <v>Depois de um tumulto de prisão, o ex-capitão Nascimento, agora um alto oficial de segurança no Rio de Janeiro, é varrido em uma disputa política sangrenta que envolve funcionários do governo e grupos paramilitares.</v>
      </c>
      <c r="M347" s="1">
        <v>71.0</v>
      </c>
      <c r="N347" s="1" t="s">
        <v>2272</v>
      </c>
      <c r="O347" s="1" t="s">
        <v>2273</v>
      </c>
      <c r="P347" s="1" t="s">
        <v>2274</v>
      </c>
      <c r="Q347" s="1" t="s">
        <v>2275</v>
      </c>
      <c r="R347" s="1" t="s">
        <v>2276</v>
      </c>
      <c r="S347" s="1">
        <v>79200.0</v>
      </c>
      <c r="T347" s="7" t="str">
        <f>VLOOKUP(A347,Posters!A347:B1346,2)</f>
        <v>https://m.media-amazon.com/images/M/MV5BMjEzMzMxOTUyNV5BMl5BanBnXkFtZTcwNjI3MDc5Ng@@._V1_UX67_CR0,0,67,98_AL_.jpg</v>
      </c>
      <c r="U347" s="8">
        <f>'Inflation Adjusted Gross'!F347</f>
        <v>119194</v>
      </c>
      <c r="V347" s="5">
        <f t="shared" si="1"/>
        <v>2020</v>
      </c>
    </row>
    <row r="348">
      <c r="A348" s="1">
        <v>347.0</v>
      </c>
      <c r="B348" s="1" t="s">
        <v>2277</v>
      </c>
      <c r="C348" s="6">
        <f>Gross_cleaning!E348</f>
        <v>138797449</v>
      </c>
      <c r="D348" s="1">
        <v>2010.0</v>
      </c>
      <c r="E348" s="1" t="s">
        <v>52</v>
      </c>
      <c r="F348" s="1" t="str">
        <f>VLOOKUP(Filmes_raw!E348,Rating_systems!$A$2:$C$29,3,FALSE)</f>
        <v>Criança</v>
      </c>
      <c r="G348" s="2">
        <f>Gross_cleaning!F348</f>
        <v>118</v>
      </c>
      <c r="H348" s="1" t="s">
        <v>240</v>
      </c>
      <c r="I348" s="1" t="s">
        <v>79</v>
      </c>
      <c r="J348" s="1">
        <v>8.0</v>
      </c>
      <c r="K348" s="1" t="s">
        <v>2278</v>
      </c>
      <c r="L348" s="1" t="str">
        <f>IFERROR(__xludf.DUMMYFUNCTION("GOOGLETRANSLATE(K348,""en"", ""pt-br"")"),"A história do rei George VI, sua ascensão improvisada ao trono do Império Britânico em 1936, e o fonoaudiólogo que ajudou o monarca inseguro a superar seu galhado.")</f>
        <v>A história do rei George VI, sua ascensão improvisada ao trono do Império Britânico em 1936, e o fonoaudiólogo que ajudou o monarca inseguro a superar seu galhado.</v>
      </c>
      <c r="M348" s="1">
        <v>88.0</v>
      </c>
      <c r="N348" s="1" t="s">
        <v>2279</v>
      </c>
      <c r="O348" s="1" t="s">
        <v>645</v>
      </c>
      <c r="P348" s="1" t="s">
        <v>2280</v>
      </c>
      <c r="Q348" s="1" t="s">
        <v>2281</v>
      </c>
      <c r="R348" s="1" t="s">
        <v>2282</v>
      </c>
      <c r="S348" s="1">
        <v>639603.0</v>
      </c>
      <c r="T348" s="7" t="str">
        <f>VLOOKUP(A348,Posters!A348:B1347,2)</f>
        <v>https://m.media-amazon.com/images/M/MV5BMzU5MjEwMTg2Nl5BMl5BanBnXkFtZTcwNzM3MTYxNA@@._V1_UY98_CR0,0,67,98_AL_.jpg</v>
      </c>
      <c r="U348" s="8">
        <f>'Inflation Adjusted Gross'!F348</f>
        <v>165241647</v>
      </c>
      <c r="V348" s="5">
        <f t="shared" si="1"/>
        <v>2020</v>
      </c>
    </row>
    <row r="349">
      <c r="A349" s="1">
        <v>348.0</v>
      </c>
      <c r="B349" s="1" t="s">
        <v>2283</v>
      </c>
      <c r="C349" s="6">
        <f>Gross_cleaning!E349</f>
        <v>169708112</v>
      </c>
      <c r="D349" s="1">
        <v>2011.0</v>
      </c>
      <c r="E349" s="1" t="s">
        <v>37</v>
      </c>
      <c r="F349" s="1" t="str">
        <f>VLOOKUP(Filmes_raw!E349,Rating_systems!$A$2:$C$29,3,FALSE)</f>
        <v>Criança</v>
      </c>
      <c r="G349" s="2">
        <f>Gross_cleaning!F349</f>
        <v>146</v>
      </c>
      <c r="H349" s="1" t="s">
        <v>136</v>
      </c>
      <c r="I349" s="1" t="s">
        <v>20</v>
      </c>
      <c r="J349" s="1">
        <v>8.0</v>
      </c>
      <c r="K349" s="1" t="s">
        <v>2284</v>
      </c>
      <c r="L349" s="1" t="str">
        <f>IFERROR(__xludf.DUMMYFUNCTION("GOOGLETRANSLATE(K349,""en"", ""pt-br"")"),"Um autor aspirante durante o movimento dos direitos civis da década de 1960 decide escrever um livro detalhando o ponto de vista das empregadas afro-americanas sobre as famílias brancas para as quais trabalham, e as dificuldades que passam diariamente.")</f>
        <v>Um autor aspirante durante o movimento dos direitos civis da década de 1960 decide escrever um livro detalhando o ponto de vista das empregadas afro-americanas sobre as famílias brancas para as quais trabalham, e as dificuldades que passam diariamente.</v>
      </c>
      <c r="M349" s="1">
        <v>62.0</v>
      </c>
      <c r="N349" s="1" t="s">
        <v>2285</v>
      </c>
      <c r="O349" s="1" t="s">
        <v>2176</v>
      </c>
      <c r="P349" s="1" t="s">
        <v>1543</v>
      </c>
      <c r="Q349" s="1" t="s">
        <v>2286</v>
      </c>
      <c r="R349" s="1" t="s">
        <v>2287</v>
      </c>
      <c r="S349" s="1">
        <v>428521.0</v>
      </c>
      <c r="T349" s="7" t="str">
        <f>VLOOKUP(A349,Posters!A349:B1348,2)</f>
        <v>https://m.media-amazon.com/images/M/MV5BMTM5OTMyMjIxOV5BMl5BanBnXkFtZTcwNzU4MjIwNQ@@._V1_UX67_CR0,0,67,98_AL_.jpg</v>
      </c>
      <c r="U349" s="8">
        <f>'Inflation Adjusted Gross'!F349</f>
        <v>198797452</v>
      </c>
      <c r="V349" s="5">
        <f t="shared" si="1"/>
        <v>2020</v>
      </c>
    </row>
    <row r="350">
      <c r="A350" s="1">
        <v>349.0</v>
      </c>
      <c r="B350" s="1" t="s">
        <v>2288</v>
      </c>
      <c r="C350" s="6">
        <f>Gross_cleaning!E350</f>
        <v>363070709</v>
      </c>
      <c r="D350" s="1">
        <v>2016.0</v>
      </c>
      <c r="E350" s="1" t="s">
        <v>212</v>
      </c>
      <c r="F350" s="1" t="str">
        <f>VLOOKUP(Filmes_raw!E350,Rating_systems!$A$2:$C$29,3,FALSE)</f>
        <v>Adulto</v>
      </c>
      <c r="G350" s="2">
        <f>Gross_cleaning!F350</f>
        <v>108</v>
      </c>
      <c r="H350" s="1" t="s">
        <v>714</v>
      </c>
      <c r="I350" s="1" t="s">
        <v>1252</v>
      </c>
      <c r="J350" s="1">
        <v>8.0</v>
      </c>
      <c r="K350" s="1" t="s">
        <v>2289</v>
      </c>
      <c r="L350" s="1" t="str">
        <f>IFERROR(__xludf.DUMMYFUNCTION("GOOGLETRANSLATE(K350,""en"", ""pt-br"")"),"Um mercenário do wisecracking é experimentado e se torna imortal, mas feio, e se propõe a rastrear o homem que arruinou sua aparência.")</f>
        <v>Um mercenário do wisecracking é experimentado e se torna imortal, mas feio, e se propõe a rastrear o homem que arruinou sua aparência.</v>
      </c>
      <c r="M350" s="1">
        <v>65.0</v>
      </c>
      <c r="N350" s="1" t="s">
        <v>2290</v>
      </c>
      <c r="O350" s="1" t="s">
        <v>2291</v>
      </c>
      <c r="P350" s="1" t="s">
        <v>2292</v>
      </c>
      <c r="Q350" s="1" t="s">
        <v>2293</v>
      </c>
      <c r="R350" s="1" t="s">
        <v>2294</v>
      </c>
      <c r="S350" s="1">
        <v>902669.0</v>
      </c>
      <c r="T350" s="7" t="str">
        <f>VLOOKUP(A350,Posters!A350:B1349,2)</f>
        <v>https://m.media-amazon.com/images/M/MV5BYzE5MjY1ZDgtMTkyNC00MTMyLThhMjAtZGI5OTE1NzFlZGJjXkEyXkFqcGdeQXVyNjU0OTQ0OTY@._V1_UX67_CR0,0,67,98_AL_.jpg</v>
      </c>
      <c r="U350" s="8">
        <f>'Inflation Adjusted Gross'!F350</f>
        <v>395337224</v>
      </c>
      <c r="V350" s="5">
        <f t="shared" si="1"/>
        <v>2020</v>
      </c>
    </row>
    <row r="351">
      <c r="A351" s="1">
        <v>350.0</v>
      </c>
      <c r="B351" s="1" t="s">
        <v>2295</v>
      </c>
      <c r="C351" s="6">
        <f>Gross_cleaning!E351</f>
        <v>106662</v>
      </c>
      <c r="D351" s="1">
        <v>2009.0</v>
      </c>
      <c r="E351" s="1" t="s">
        <v>2296</v>
      </c>
      <c r="F351" s="1" t="str">
        <f>VLOOKUP(Filmes_raw!E351,Rating_systems!$A$2:$C$29,3,FALSE)</f>
        <v>Criança</v>
      </c>
      <c r="G351" s="2">
        <f>Gross_cleaning!F351</f>
        <v>119</v>
      </c>
      <c r="H351" s="1" t="s">
        <v>329</v>
      </c>
      <c r="I351" s="1" t="s">
        <v>914</v>
      </c>
      <c r="J351" s="1">
        <v>8.0</v>
      </c>
      <c r="K351" s="1" t="s">
        <v>2297</v>
      </c>
      <c r="L351" s="1" t="str">
        <f>IFERROR(__xludf.DUMMYFUNCTION("GOOGLETRANSLATE(K351,""en"", ""pt-br"")"),"O misterioso desaparecimento de um professor de jardim de infância durante um piquenique no norte do Irã é seguido por uma série de desventuras para seus companheiros de viagem.")</f>
        <v>O misterioso desaparecimento de um professor de jardim de infância durante um piquenique no norte do Irã é seguido por uma série de desventuras para seus companheiros de viagem.</v>
      </c>
      <c r="M351" s="1">
        <v>87.0</v>
      </c>
      <c r="N351" s="1" t="s">
        <v>680</v>
      </c>
      <c r="O351" s="1" t="s">
        <v>2298</v>
      </c>
      <c r="P351" s="1" t="s">
        <v>684</v>
      </c>
      <c r="Q351" s="1" t="s">
        <v>2299</v>
      </c>
      <c r="R351" s="1" t="s">
        <v>2300</v>
      </c>
      <c r="S351" s="1">
        <v>45803.0</v>
      </c>
      <c r="T351" s="7" t="str">
        <f>VLOOKUP(A351,Posters!A351:B1350,2)</f>
        <v>https://m.media-amazon.com/images/M/MV5BMTQ0MzQxODQ0MV5BMl5BanBnXkFtZTgwNTQ0NzY4NDE@._V1_UX67_CR0,0,67,98_AL_.jpg</v>
      </c>
      <c r="U351" s="8">
        <f>'Inflation Adjusted Gross'!F351</f>
        <v>130318</v>
      </c>
      <c r="V351" s="5">
        <f t="shared" si="1"/>
        <v>2020</v>
      </c>
    </row>
    <row r="352">
      <c r="A352" s="1">
        <v>351.0</v>
      </c>
      <c r="B352" s="1" t="s">
        <v>2301</v>
      </c>
      <c r="C352" s="6">
        <f>Gross_cleaning!E352</f>
        <v>10950</v>
      </c>
      <c r="D352" s="1">
        <v>2009.0</v>
      </c>
      <c r="E352" s="1" t="s">
        <v>18</v>
      </c>
      <c r="F352" s="1" t="str">
        <f>VLOOKUP(Filmes_raw!E352,Rating_systems!$A$2:$C$29,3,FALSE)</f>
        <v>Adulto</v>
      </c>
      <c r="G352" s="2">
        <f>Gross_cleaning!F352</f>
        <v>144</v>
      </c>
      <c r="H352" s="1" t="s">
        <v>1618</v>
      </c>
      <c r="I352" s="1" t="s">
        <v>107</v>
      </c>
      <c r="J352" s="1">
        <v>8.0</v>
      </c>
      <c r="K352" s="1" t="s">
        <v>2303</v>
      </c>
      <c r="L352" s="1" t="str">
        <f>IFERROR(__xludf.DUMMYFUNCTION("GOOGLETRANSLATE(K352,""en"", ""pt-br"")"),"Depois de romper com sua namorada de infância, um jovem encontra consolo em drogas. Enquanto isso, uma adolescente é pega no mundo da prostituição. Eles serão destruídos ou encontrarão redenção?")</f>
        <v>Depois de romper com sua namorada de infância, um jovem encontra consolo em drogas. Enquanto isso, uma adolescente é pega no mundo da prostituição. Eles serão destruídos ou encontrarão redenção?</v>
      </c>
      <c r="N352" s="1" t="s">
        <v>1031</v>
      </c>
      <c r="O352" s="1" t="s">
        <v>1538</v>
      </c>
      <c r="P352" s="1" t="s">
        <v>1047</v>
      </c>
      <c r="Q352" s="1" t="s">
        <v>2304</v>
      </c>
      <c r="R352" s="1" t="s">
        <v>2305</v>
      </c>
      <c r="S352" s="1">
        <v>28749.0</v>
      </c>
      <c r="T352" s="7" t="str">
        <f>VLOOKUP(A352,Posters!A352:B1351,2)</f>
        <v>https://m.media-amazon.com/images/M/MV5BYjU1NjczNzYtYmFjOC00NzkxLTg4YTUtNGYzMTk3NTU0ZDE3XkEyXkFqcGdeQXVyNDUzOTQ5MjY@._V1_UY98_CR0,0,67,98_AL_.jpg</v>
      </c>
      <c r="U352" s="8">
        <f>'Inflation Adjusted Gross'!F352</f>
        <v>13379</v>
      </c>
      <c r="V352" s="5">
        <f t="shared" si="1"/>
        <v>2020</v>
      </c>
    </row>
    <row r="353">
      <c r="A353" s="1">
        <v>352.0</v>
      </c>
      <c r="B353" s="1" t="s">
        <v>2306</v>
      </c>
      <c r="C353" s="6">
        <f>Gross_cleaning!E353</f>
        <v>22108789</v>
      </c>
      <c r="D353" s="1">
        <v>2008.0</v>
      </c>
      <c r="E353" s="1" t="s">
        <v>212</v>
      </c>
      <c r="F353" s="1" t="str">
        <f>VLOOKUP(Filmes_raw!E353,Rating_systems!$A$2:$C$29,3,FALSE)</f>
        <v>Adulto</v>
      </c>
      <c r="G353" s="2">
        <f>Gross_cleaning!F353</f>
        <v>106</v>
      </c>
      <c r="H353" s="1" t="s">
        <v>286</v>
      </c>
      <c r="I353" s="1" t="s">
        <v>458</v>
      </c>
      <c r="J353" s="1">
        <v>8.0</v>
      </c>
      <c r="K353" s="1" t="s">
        <v>2307</v>
      </c>
      <c r="L353" s="1" t="str">
        <f>IFERROR(__xludf.DUMMYFUNCTION("GOOGLETRANSLATE(K353,""en"", ""pt-br"")"),"Durante a invasão japonesa da China, um rico artista marcial é forçado a deixar sua casa quando sua cidade estiver ocupada. Com pouco meio de fornecer para si, o homem IP e os membros restantes da cidade devem encontrar uma maneira de sobreviver.")</f>
        <v>Durante a invasão japonesa da China, um rico artista marcial é forçado a deixar sua casa quando sua cidade estiver ocupada. Com pouco meio de fornecer para si, o homem IP e os membros restantes da cidade devem encontrar uma maneira de sobreviver.</v>
      </c>
      <c r="M353" s="1">
        <v>59.0</v>
      </c>
      <c r="N353" s="1" t="s">
        <v>2308</v>
      </c>
      <c r="O353" s="1" t="s">
        <v>2309</v>
      </c>
      <c r="P353" s="1" t="s">
        <v>2310</v>
      </c>
      <c r="Q353" s="1" t="s">
        <v>2311</v>
      </c>
      <c r="R353" s="1" t="s">
        <v>2312</v>
      </c>
      <c r="S353" s="1">
        <v>211427.0</v>
      </c>
      <c r="T353" s="7" t="str">
        <f>VLOOKUP(A353,Posters!A353:B1352,2)</f>
        <v>https://m.media-amazon.com/images/M/MV5BNTFmMjM3M2UtOTIyZC00Zjk3LTkzODUtYTdhNGRmNzFhYzcyXkEyXkFqcGdeQXVyMTMxODk2OTU@._V1_UX67_CR0,0,67,98_AL_.jpg</v>
      </c>
      <c r="U353" s="8">
        <f>'Inflation Adjusted Gross'!F353</f>
        <v>27020212</v>
      </c>
      <c r="V353" s="5">
        <f t="shared" si="1"/>
        <v>2020</v>
      </c>
    </row>
    <row r="354">
      <c r="A354" s="1">
        <v>353.0</v>
      </c>
      <c r="B354" s="1" t="s">
        <v>2313</v>
      </c>
      <c r="C354" s="6">
        <f>Gross_cleaning!E354</f>
        <v>4018695</v>
      </c>
      <c r="D354" s="1">
        <v>2010.0</v>
      </c>
      <c r="E354" s="1" t="s">
        <v>37</v>
      </c>
      <c r="F354" s="1" t="str">
        <f>VLOOKUP(Filmes_raw!E354,Rating_systems!$A$2:$C$29,3,FALSE)</f>
        <v>Criança</v>
      </c>
      <c r="G354" s="2">
        <f>Gross_cleaning!F354</f>
        <v>165</v>
      </c>
      <c r="H354" s="1" t="s">
        <v>390</v>
      </c>
      <c r="I354" s="1" t="s">
        <v>20</v>
      </c>
      <c r="J354" s="1">
        <v>8.0</v>
      </c>
      <c r="K354" s="1" t="s">
        <v>2314</v>
      </c>
      <c r="L354" s="1" t="str">
        <f>IFERROR(__xludf.DUMMYFUNCTION("GOOGLETRANSLATE(K354,""en"", ""pt-br"")"),"Um homem muçulmano indiano com a síndrome de Asperger recebe um desafio para falar com o presidente dos Estados Unidos a sério e embarca em uma jornada de cross-country.")</f>
        <v>Um homem muçulmano indiano com a síndrome de Asperger recebe um desafio para falar com o presidente dos Estados Unidos a sério e embarca em uma jornada de cross-country.</v>
      </c>
      <c r="M354" s="1">
        <v>50.0</v>
      </c>
      <c r="N354" s="1" t="s">
        <v>2315</v>
      </c>
      <c r="O354" s="1" t="s">
        <v>1084</v>
      </c>
      <c r="P354" s="1" t="s">
        <v>1762</v>
      </c>
      <c r="Q354" s="1" t="s">
        <v>2316</v>
      </c>
      <c r="R354" s="1" t="s">
        <v>2317</v>
      </c>
      <c r="S354" s="1">
        <v>98575.0</v>
      </c>
      <c r="T354" s="7" t="str">
        <f>VLOOKUP(A354,Posters!A354:B1353,2)</f>
        <v>https://m.media-amazon.com/images/M/MV5BMTUyMTA4NDYzMV5BMl5BanBnXkFtZTcwMjk5MzcxMw@@._V1_UX67_CR0,0,67,98_AL_.jpg</v>
      </c>
      <c r="U354" s="8">
        <f>'Inflation Adjusted Gross'!F354</f>
        <v>4784351</v>
      </c>
      <c r="V354" s="5">
        <f t="shared" si="1"/>
        <v>2020</v>
      </c>
    </row>
    <row r="355">
      <c r="A355" s="1">
        <v>354.0</v>
      </c>
      <c r="B355" s="1" t="s">
        <v>2318</v>
      </c>
      <c r="C355" s="6">
        <f>Gross_cleaning!E355</f>
        <v>15291338</v>
      </c>
      <c r="D355" s="1">
        <v>2009.0</v>
      </c>
      <c r="E355" s="1">
        <v>16.0</v>
      </c>
      <c r="F355" s="1" t="str">
        <f>VLOOKUP(Filmes_raw!E355,Rating_systems!$A$2:$C$29,3,FALSE)</f>
        <v>Adolescente</v>
      </c>
      <c r="G355" s="2">
        <f>Gross_cleaning!F355</f>
        <v>128</v>
      </c>
      <c r="H355" s="1" t="s">
        <v>878</v>
      </c>
      <c r="I355" s="1" t="s">
        <v>1283</v>
      </c>
      <c r="J355" s="1">
        <v>8.0</v>
      </c>
      <c r="K355" s="1" t="s">
        <v>2319</v>
      </c>
      <c r="L355" s="1" t="str">
        <f>IFERROR(__xludf.DUMMYFUNCTION("GOOGLETRANSLATE(K355,""en"", ""pt-br"")"),"História da Força-Tarefa Turca de 40 homens que deve defender uma estação de relé.")</f>
        <v>História da Força-Tarefa Turca de 40 homens que deve defender uma estação de relé.</v>
      </c>
      <c r="N355" s="1" t="s">
        <v>2320</v>
      </c>
      <c r="O355" s="1" t="s">
        <v>438</v>
      </c>
      <c r="P355" s="1" t="s">
        <v>2321</v>
      </c>
      <c r="Q355" s="1" t="s">
        <v>2322</v>
      </c>
      <c r="R355" s="1" t="s">
        <v>2323</v>
      </c>
      <c r="S355" s="1">
        <v>31838.0</v>
      </c>
      <c r="T355" s="7" t="str">
        <f>VLOOKUP(A355,Posters!A355:B1354,2)</f>
        <v>https://m.media-amazon.com/images/M/MV5BMjE2NjEyMDg0M15BMl5BanBnXkFtZTcwODYyODg5Mg@@._V1_UY98_CR0,0,67,98_AL_.jpg</v>
      </c>
      <c r="U355" s="8">
        <f>'Inflation Adjusted Gross'!F355</f>
        <v>18682702</v>
      </c>
      <c r="V355" s="5">
        <f t="shared" si="1"/>
        <v>2020</v>
      </c>
    </row>
    <row r="356">
      <c r="A356" s="1">
        <v>355.0</v>
      </c>
      <c r="B356" s="1" t="s">
        <v>2324</v>
      </c>
      <c r="C356" s="6">
        <f>Gross_cleaning!E356</f>
        <v>141319928</v>
      </c>
      <c r="D356" s="1">
        <v>2008.0</v>
      </c>
      <c r="E356" s="1" t="s">
        <v>37</v>
      </c>
      <c r="F356" s="1" t="str">
        <f>VLOOKUP(Filmes_raw!E356,Rating_systems!$A$2:$C$29,3,FALSE)</f>
        <v>Criança</v>
      </c>
      <c r="G356" s="2">
        <f>Gross_cleaning!F356</f>
        <v>120</v>
      </c>
      <c r="H356" s="1" t="s">
        <v>1546</v>
      </c>
      <c r="I356" s="1" t="s">
        <v>107</v>
      </c>
      <c r="J356" s="1">
        <v>8.0</v>
      </c>
      <c r="K356" s="1" t="s">
        <v>2325</v>
      </c>
      <c r="L356" s="1" t="str">
        <f>IFERROR(__xludf.DUMMYFUNCTION("GOOGLETRANSLATE(K356,""en"", ""pt-br"")"),"Um adolescente de Mumbai reflete em sua vida depois de ser acusado de trair a versão indiana de ""Quem quer ser um milionário?"".")</f>
        <v>Um adolescente de Mumbai reflete em sua vida depois de ser acusado de trair a versão indiana de "Quem quer ser um milionário?".</v>
      </c>
      <c r="M356" s="1">
        <v>84.0</v>
      </c>
      <c r="N356" s="1" t="s">
        <v>1738</v>
      </c>
      <c r="O356" s="1" t="s">
        <v>2326</v>
      </c>
      <c r="P356" s="1" t="s">
        <v>2181</v>
      </c>
      <c r="Q356" s="1" t="s">
        <v>2327</v>
      </c>
      <c r="R356" s="1" t="s">
        <v>1500</v>
      </c>
      <c r="S356" s="1">
        <v>798882.0</v>
      </c>
      <c r="T356" s="7" t="str">
        <f>VLOOKUP(A356,Posters!A356:B1355,2)</f>
        <v>https://m.media-amazon.com/images/M/MV5BZmNjZWI3NzktYWI1Mi00OTAyLWJkNTYtMzUwYTFlZDA0Y2UwXkEyXkFqcGdeQXVyNjU0OTQ0OTY@._V1_UX67_CR0,0,67,98_AL_.jpg</v>
      </c>
      <c r="U356" s="8">
        <f>'Inflation Adjusted Gross'!F356</f>
        <v>172713867</v>
      </c>
      <c r="V356" s="5">
        <f t="shared" si="1"/>
        <v>2020</v>
      </c>
    </row>
    <row r="357">
      <c r="A357" s="1">
        <v>356.0</v>
      </c>
      <c r="B357" s="1" t="s">
        <v>2328</v>
      </c>
      <c r="C357" s="6">
        <f>Gross_cleaning!E357</f>
        <v>106954678</v>
      </c>
      <c r="D357" s="1">
        <v>2010.0</v>
      </c>
      <c r="E357" s="1" t="s">
        <v>18</v>
      </c>
      <c r="F357" s="1" t="str">
        <f>VLOOKUP(Filmes_raw!E357,Rating_systems!$A$2:$C$29,3,FALSE)</f>
        <v>Adulto</v>
      </c>
      <c r="G357" s="2">
        <f>Gross_cleaning!F357</f>
        <v>108</v>
      </c>
      <c r="H357" s="1" t="s">
        <v>714</v>
      </c>
      <c r="I357" s="1" t="s">
        <v>1377</v>
      </c>
      <c r="J357" s="1">
        <v>8.0</v>
      </c>
      <c r="K357" s="1" t="s">
        <v>2329</v>
      </c>
      <c r="L357" s="1" t="str">
        <f>IFERROR(__xludf.DUMMYFUNCTION("GOOGLETRANSLATE(K357,""en"", ""pt-br"")"),"Uma dançarina comprometida lutas para manter sua sanidade depois de ganhar o papel principal em uma produção do ""Lago Swan"" de Tchaikovsky.")</f>
        <v>Uma dançarina comprometida lutas para manter sua sanidade depois de ganhar o papel principal em uma produção do "Lago Swan" de Tchaikovsky.</v>
      </c>
      <c r="M357" s="1">
        <v>79.0</v>
      </c>
      <c r="N357" s="1" t="s">
        <v>739</v>
      </c>
      <c r="O357" s="1" t="s">
        <v>348</v>
      </c>
      <c r="P357" s="1" t="s">
        <v>2330</v>
      </c>
      <c r="Q357" s="1" t="s">
        <v>1755</v>
      </c>
      <c r="R357" s="1" t="s">
        <v>2331</v>
      </c>
      <c r="S357" s="1">
        <v>699673.0</v>
      </c>
      <c r="T357" s="7" t="str">
        <f>VLOOKUP(A357,Posters!A357:B1356,2)</f>
        <v>https://m.media-amazon.com/images/M/MV5BNzY2NzI4OTE5MF5BMl5BanBnXkFtZTcwMjMyNDY4Mw@@._V1_UX67_CR0,0,67,98_AL_.jpg</v>
      </c>
      <c r="U357" s="8">
        <f>'Inflation Adjusted Gross'!F357</f>
        <v>127332075</v>
      </c>
      <c r="V357" s="5">
        <f t="shared" si="1"/>
        <v>2020</v>
      </c>
    </row>
    <row r="358">
      <c r="A358" s="1">
        <v>357.0</v>
      </c>
      <c r="B358" s="1" t="s">
        <v>2332</v>
      </c>
      <c r="C358" s="6">
        <f>Gross_cleaning!E358</f>
        <v>8060</v>
      </c>
      <c r="D358" s="1">
        <v>2007.0</v>
      </c>
      <c r="E358" s="1" t="s">
        <v>212</v>
      </c>
      <c r="F358" s="1" t="str">
        <f>VLOOKUP(Filmes_raw!E358,Rating_systems!$A$2:$C$29,3,FALSE)</f>
        <v>Adulto</v>
      </c>
      <c r="G358" s="2">
        <f>Gross_cleaning!F358</f>
        <v>115</v>
      </c>
      <c r="H358" s="1" t="s">
        <v>563</v>
      </c>
      <c r="I358" s="1" t="s">
        <v>39</v>
      </c>
      <c r="J358" s="1">
        <v>8.0</v>
      </c>
      <c r="K358" s="1" t="s">
        <v>2334</v>
      </c>
      <c r="L358" s="1" t="str">
        <f>IFERROR(__xludf.DUMMYFUNCTION("GOOGLETRANSLATE(K358,""en"", ""pt-br"")"),"Em 1997, o Rio de Janeiro, o capitão Nascimento tem que encontrar um substituto para sua posição, tentando derrubar traficantes de drogas e criminosos antes dos visitas do Papa.")</f>
        <v>Em 1997, o Rio de Janeiro, o capitão Nascimento tem que encontrar um substituto para sua posição, tentando derrubar traficantes de drogas e criminosos antes dos visitas do Papa.</v>
      </c>
      <c r="M358" s="1">
        <v>33.0</v>
      </c>
      <c r="N358" s="1" t="s">
        <v>2272</v>
      </c>
      <c r="O358" s="1" t="s">
        <v>2273</v>
      </c>
      <c r="P358" s="1" t="s">
        <v>2275</v>
      </c>
      <c r="Q358" s="1" t="s">
        <v>2335</v>
      </c>
      <c r="R358" s="1" t="s">
        <v>2276</v>
      </c>
      <c r="S358" s="1">
        <v>98097.0</v>
      </c>
      <c r="T358" s="7" t="str">
        <f>VLOOKUP(A358,Posters!A358:B1357,2)</f>
        <v>https://m.media-amazon.com/images/M/MV5BYmI1ODU5ZjMtNWUyNC00YzllLThjNzktODE1M2E4OTVmY2E5XkEyXkFqcGdeQXVyMTExNzQzMDE0._V1_UY98_CR1,0,67,98_AL_.jpg</v>
      </c>
      <c r="U358" s="8">
        <f>'Inflation Adjusted Gross'!F358</f>
        <v>10272</v>
      </c>
      <c r="V358" s="5">
        <f t="shared" si="1"/>
        <v>2020</v>
      </c>
    </row>
    <row r="359">
      <c r="A359" s="1">
        <v>358.0</v>
      </c>
      <c r="B359" s="1" t="s">
        <v>2336</v>
      </c>
      <c r="C359" s="6">
        <f>Gross_cleaning!E359</f>
        <v>623279547</v>
      </c>
      <c r="D359" s="1">
        <v>2012.0</v>
      </c>
      <c r="E359" s="1" t="s">
        <v>37</v>
      </c>
      <c r="F359" s="1" t="str">
        <f>VLOOKUP(Filmes_raw!E359,Rating_systems!$A$2:$C$29,3,FALSE)</f>
        <v>Criança</v>
      </c>
      <c r="G359" s="2">
        <f>Gross_cleaning!F359</f>
        <v>143</v>
      </c>
      <c r="H359" s="1" t="s">
        <v>596</v>
      </c>
      <c r="I359" s="1" t="s">
        <v>88</v>
      </c>
      <c r="J359" s="1">
        <v>8.0</v>
      </c>
      <c r="K359" s="1" t="s">
        <v>2337</v>
      </c>
      <c r="L359" s="1" t="str">
        <f>IFERROR(__xludf.DUMMYFUNCTION("GOOGLETRANSLATE(K359,""en"", ""pt-br"")"),"Os heróis mais poderosos da Terra devem se unir e aprender a lutar como uma equipe se eles vão parar o Loki travesso e seu exército alienígena de escravizar a humanidade.")</f>
        <v>Os heróis mais poderosos da Terra devem se unir e aprender a lutar como uma equipe se eles vão parar o Loki travesso e seu exército alienígena de escravizar a humanidade.</v>
      </c>
      <c r="M359" s="1">
        <v>69.0</v>
      </c>
      <c r="N359" s="1" t="s">
        <v>2338</v>
      </c>
      <c r="O359" s="1" t="s">
        <v>479</v>
      </c>
      <c r="P359" s="1" t="s">
        <v>480</v>
      </c>
      <c r="Q359" s="1" t="s">
        <v>307</v>
      </c>
      <c r="R359" s="1" t="s">
        <v>2339</v>
      </c>
      <c r="S359" s="1">
        <v>1260806.0</v>
      </c>
      <c r="T359" s="7" t="str">
        <f>VLOOKUP(A359,Posters!A359:B1358,2)</f>
        <v>https://m.media-amazon.com/images/M/MV5BNDYxNjQyMjAtNTdiOS00NGYwLWFmNTAtNThmYjU5ZGI2YTI1XkEyXkFqcGdeQXVyMTMxODk2OTU@._V1_UX67_CR0,0,67,98_AL_.jpg</v>
      </c>
      <c r="U359" s="8">
        <f>'Inflation Adjusted Gross'!F359</f>
        <v>709364250</v>
      </c>
      <c r="V359" s="5">
        <f t="shared" si="1"/>
        <v>2020</v>
      </c>
    </row>
    <row r="360">
      <c r="A360" s="1">
        <v>359.0</v>
      </c>
      <c r="B360" s="1" t="s">
        <v>2340</v>
      </c>
      <c r="C360" s="6">
        <f>Gross_cleaning!E360</f>
        <v>4445756</v>
      </c>
      <c r="D360" s="1">
        <v>2007.0</v>
      </c>
      <c r="E360" s="1" t="s">
        <v>161</v>
      </c>
      <c r="F360" s="1" t="str">
        <f>VLOOKUP(Filmes_raw!E360,Rating_systems!$A$2:$C$29,3,FALSE)</f>
        <v>Criança</v>
      </c>
      <c r="G360" s="2">
        <f>Gross_cleaning!F360</f>
        <v>96</v>
      </c>
      <c r="H360" s="1" t="s">
        <v>53</v>
      </c>
      <c r="I360" s="1" t="s">
        <v>2341</v>
      </c>
      <c r="J360" s="1">
        <v>8.0</v>
      </c>
      <c r="K360" s="1" t="s">
        <v>2342</v>
      </c>
      <c r="L360" s="1" t="str">
        <f>IFERROR(__xludf.DUMMYFUNCTION("GOOGLETRANSLATE(K360,""en"", ""pt-br"")"),"Uma garota iraniana precoce e franco cresce durante a revolução islâmica.")</f>
        <v>Uma garota iraniana precoce e franco cresce durante a revolução islâmica.</v>
      </c>
      <c r="M360" s="1">
        <v>90.0</v>
      </c>
      <c r="N360" s="1" t="s">
        <v>2343</v>
      </c>
      <c r="O360" s="1" t="s">
        <v>2344</v>
      </c>
      <c r="P360" s="1" t="s">
        <v>2345</v>
      </c>
      <c r="Q360" s="1" t="s">
        <v>2346</v>
      </c>
      <c r="R360" s="1" t="s">
        <v>2347</v>
      </c>
      <c r="S360" s="1">
        <v>88656.0</v>
      </c>
      <c r="T360" s="7" t="str">
        <f>VLOOKUP(A360,Posters!A360:B1359,2)</f>
        <v>https://m.media-amazon.com/images/M/MV5BMGRkZThmYzEtYjQxZC00OWEzLThjYjAtYzFkMjY0NGZkZWI4XkEyXkFqcGdeQXVyNTAyODkwOQ@@._V1_UX67_CR0,0,67,98_AL_.jpg</v>
      </c>
      <c r="U360" s="8">
        <f>'Inflation Adjusted Gross'!F360</f>
        <v>5665936</v>
      </c>
      <c r="V360" s="5">
        <f t="shared" si="1"/>
        <v>2020</v>
      </c>
    </row>
    <row r="361">
      <c r="A361" s="1">
        <v>360.0</v>
      </c>
      <c r="B361" s="1" t="s">
        <v>2348</v>
      </c>
      <c r="C361" s="6">
        <f>Gross_cleaning!E361</f>
        <v>27298285</v>
      </c>
      <c r="D361" s="1">
        <v>2013.0</v>
      </c>
      <c r="E361" s="1" t="s">
        <v>212</v>
      </c>
      <c r="F361" s="1" t="str">
        <f>VLOOKUP(Filmes_raw!E361,Rating_systems!$A$2:$C$29,3,FALSE)</f>
        <v>Adulto</v>
      </c>
      <c r="G361" s="2">
        <f>Gross_cleaning!F361</f>
        <v>117</v>
      </c>
      <c r="H361" s="1" t="s">
        <v>466</v>
      </c>
      <c r="I361" s="1" t="s">
        <v>1148</v>
      </c>
      <c r="J361" s="1">
        <v>8.0</v>
      </c>
      <c r="K361" s="1" t="s">
        <v>2349</v>
      </c>
      <c r="L361" s="1" t="str">
        <f>IFERROR(__xludf.DUMMYFUNCTION("GOOGLETRANSLATE(K361,""en"", ""pt-br"")"),"Em 1985, Dallas, Eletricista e Hustler Ron WoodroOf trabalha em torno do sistema para ajudar os pacientes com AIDS a obterem a medicação que precisam depois que ele é diagnosticado com a doença.")</f>
        <v>Em 1985, Dallas, Eletricista e Hustler Ron WoodroOf trabalha em torno do sistema para ajudar os pacientes com AIDS a obterem a medicação que precisam depois que ele é diagnosticado com a doença.</v>
      </c>
      <c r="M361" s="1">
        <v>80.0</v>
      </c>
      <c r="N361" s="1" t="s">
        <v>2350</v>
      </c>
      <c r="O361" s="1" t="s">
        <v>190</v>
      </c>
      <c r="P361" s="1" t="s">
        <v>2351</v>
      </c>
      <c r="Q361" s="1" t="s">
        <v>741</v>
      </c>
      <c r="R361" s="1" t="s">
        <v>2352</v>
      </c>
      <c r="S361" s="1">
        <v>441614.0</v>
      </c>
      <c r="T361" s="7" t="str">
        <f>VLOOKUP(A361,Posters!A361:B1360,2)</f>
        <v>https://m.media-amazon.com/images/M/MV5BMTYwMTA4MzgyNF5BMl5BanBnXkFtZTgwMjEyMjE0MDE@._V1_UX67_CR0,0,67,98_AL_.jpg</v>
      </c>
      <c r="U361" s="8">
        <f>'Inflation Adjusted Gross'!F361</f>
        <v>30580884</v>
      </c>
      <c r="V361" s="5">
        <f t="shared" si="1"/>
        <v>2020</v>
      </c>
    </row>
    <row r="362">
      <c r="A362" s="1">
        <v>361.0</v>
      </c>
      <c r="B362" s="1" t="s">
        <v>2353</v>
      </c>
      <c r="C362" s="6">
        <f>Gross_cleaning!E362</f>
        <v>163566459</v>
      </c>
      <c r="D362" s="1">
        <v>2006.0</v>
      </c>
      <c r="E362" s="1" t="s">
        <v>52</v>
      </c>
      <c r="F362" s="1" t="str">
        <f>VLOOKUP(Filmes_raw!E362,Rating_systems!$A$2:$C$29,3,FALSE)</f>
        <v>Criança</v>
      </c>
      <c r="G362" s="2">
        <f>Gross_cleaning!F362</f>
        <v>117</v>
      </c>
      <c r="H362" s="1" t="s">
        <v>466</v>
      </c>
      <c r="I362" s="1" t="s">
        <v>1148</v>
      </c>
      <c r="J362" s="1">
        <v>8.0</v>
      </c>
      <c r="K362" s="1" t="s">
        <v>2354</v>
      </c>
      <c r="L362" s="1" t="str">
        <f>IFERROR(__xludf.DUMMYFUNCTION("GOOGLETRANSLATE(K362,""en"", ""pt-br"")"),"Um vendedor em dificuldades assume a custódia de seu filho enquanto ele está pronto para começar uma carreira profissional que muda de vida.")</f>
        <v>Um vendedor em dificuldades assume a custódia de seu filho enquanto ele está pronto para começar uma carreira profissional que muda de vida.</v>
      </c>
      <c r="M362" s="1">
        <v>64.0</v>
      </c>
      <c r="N362" s="1" t="s">
        <v>2355</v>
      </c>
      <c r="O362" s="1" t="s">
        <v>2356</v>
      </c>
      <c r="P362" s="1" t="s">
        <v>2357</v>
      </c>
      <c r="Q362" s="1" t="s">
        <v>2358</v>
      </c>
      <c r="R362" s="1" t="s">
        <v>2359</v>
      </c>
      <c r="S362" s="1">
        <v>448930.0</v>
      </c>
      <c r="T362" s="7" t="str">
        <f>VLOOKUP(A362,Posters!A362:B1361,2)</f>
        <v>https://m.media-amazon.com/images/M/MV5BMTQ5NjQ0NDI3NF5BMl5BanBnXkFtZTcwNDI0MjEzMw@@._V1_UX67_CR0,0,67,98_AL_.jpg</v>
      </c>
      <c r="U362" s="8">
        <f>'Inflation Adjusted Gross'!F362</f>
        <v>212785694</v>
      </c>
      <c r="V362" s="5">
        <f t="shared" si="1"/>
        <v>2020</v>
      </c>
    </row>
    <row r="363">
      <c r="A363" s="1">
        <v>362.0</v>
      </c>
      <c r="B363" s="1" t="s">
        <v>2360</v>
      </c>
      <c r="C363" s="6">
        <f>Gross_cleaning!E363</f>
        <v>57366262</v>
      </c>
      <c r="D363" s="1">
        <v>2006.0</v>
      </c>
      <c r="E363" s="1" t="s">
        <v>18</v>
      </c>
      <c r="F363" s="1" t="str">
        <f>VLOOKUP(Filmes_raw!E363,Rating_systems!$A$2:$C$29,3,FALSE)</f>
        <v>Adulto</v>
      </c>
      <c r="G363" s="2">
        <f>Gross_cleaning!F363</f>
        <v>143</v>
      </c>
      <c r="H363" s="1" t="s">
        <v>596</v>
      </c>
      <c r="I363" s="1" t="s">
        <v>817</v>
      </c>
      <c r="J363" s="1">
        <v>8.0</v>
      </c>
      <c r="K363" s="1" t="s">
        <v>2361</v>
      </c>
      <c r="L363" s="1" t="str">
        <f>IFERROR(__xludf.DUMMYFUNCTION("GOOGLETRANSLATE(K363,""en"", ""pt-br"")"),"Um pescador, um contrabandista e um sindicato de empresários combinam com a posse de um diamante inestimável.")</f>
        <v>Um pescador, um contrabandista e um sindicato de empresários combinam com a posse de um diamante inestimável.</v>
      </c>
      <c r="M363" s="1">
        <v>64.0</v>
      </c>
      <c r="N363" s="1" t="s">
        <v>2362</v>
      </c>
      <c r="O363" s="1" t="s">
        <v>90</v>
      </c>
      <c r="P363" s="1" t="s">
        <v>2363</v>
      </c>
      <c r="Q363" s="1" t="s">
        <v>742</v>
      </c>
      <c r="R363" s="1" t="s">
        <v>2364</v>
      </c>
      <c r="S363" s="1">
        <v>499439.0</v>
      </c>
      <c r="T363" s="7" t="str">
        <f>VLOOKUP(A363,Posters!A363:B1362,2)</f>
        <v>https://m.media-amazon.com/images/M/MV5BZDMxOGZhNWYtMzRlYy00Mzk5LWJjMjEtNmQ4NDU4M2QxM2UzXkEyXkFqcGdeQXVyNTA4NzY1MzY@._V1_UX67_CR0,0,67,98_AL_.jpg</v>
      </c>
      <c r="U363" s="8">
        <f>'Inflation Adjusted Gross'!F363</f>
        <v>74628502</v>
      </c>
      <c r="V363" s="5">
        <f t="shared" si="1"/>
        <v>2020</v>
      </c>
    </row>
    <row r="364">
      <c r="A364" s="1">
        <v>363.0</v>
      </c>
      <c r="B364" s="1" t="s">
        <v>2365</v>
      </c>
      <c r="C364" s="6">
        <f>Gross_cleaning!E364</f>
        <v>227471070</v>
      </c>
      <c r="D364" s="1">
        <v>2007.0</v>
      </c>
      <c r="E364" s="1" t="s">
        <v>37</v>
      </c>
      <c r="F364" s="1" t="str">
        <f>VLOOKUP(Filmes_raw!E364,Rating_systems!$A$2:$C$29,3,FALSE)</f>
        <v>Criança</v>
      </c>
      <c r="G364" s="2">
        <f>Gross_cleaning!F364</f>
        <v>115</v>
      </c>
      <c r="H364" s="1" t="s">
        <v>563</v>
      </c>
      <c r="I364" s="1" t="s">
        <v>2366</v>
      </c>
      <c r="J364" s="1">
        <v>8.0</v>
      </c>
      <c r="K364" s="1" t="s">
        <v>2367</v>
      </c>
      <c r="L364" s="1" t="str">
        <f>IFERROR(__xludf.DUMMYFUNCTION("GOOGLETRANSLATE(K364,""en"", ""pt-br"")"),"Jason Bourne se esquiva de uma cião implacável. Oficial e seus agentes de um novo programa de assassinato enquanto procuram as origens de sua vida como um assassino treinado.")</f>
        <v>Jason Bourne se esquiva de uma cião implacável. Oficial e seus agentes de um novo programa de assassinato enquanto procuram as origens de sua vida como um assassino treinado.</v>
      </c>
      <c r="M364" s="1">
        <v>85.0</v>
      </c>
      <c r="N364" s="1" t="s">
        <v>2368</v>
      </c>
      <c r="O364" s="1" t="s">
        <v>215</v>
      </c>
      <c r="P364" s="1" t="s">
        <v>2369</v>
      </c>
      <c r="Q364" s="1" t="s">
        <v>1584</v>
      </c>
      <c r="R364" s="1" t="s">
        <v>2370</v>
      </c>
      <c r="S364" s="1">
        <v>604694.0</v>
      </c>
      <c r="T364" s="7" t="str">
        <f>VLOOKUP(A364,Posters!A364:B1363,2)</f>
        <v>https://m.media-amazon.com/images/M/MV5BNGNiNmU2YTMtZmU4OS00MjM0LTlmYWUtMjVlYjAzYjE2N2RjXkEyXkFqcGdeQXVyNDk3NzU2MTQ@._V1_UX67_CR0,0,67,98_AL_.jpg</v>
      </c>
      <c r="U364" s="8">
        <f>'Inflation Adjusted Gross'!F364</f>
        <v>289902673</v>
      </c>
      <c r="V364" s="5">
        <f t="shared" si="1"/>
        <v>2020</v>
      </c>
    </row>
    <row r="365">
      <c r="A365" s="1">
        <v>364.0</v>
      </c>
      <c r="B365" s="1" t="s">
        <v>2371</v>
      </c>
      <c r="C365" s="6">
        <f>Gross_cleaning!E365</f>
        <v>238507</v>
      </c>
      <c r="D365" s="1">
        <v>2004.0</v>
      </c>
      <c r="E365" s="1" t="s">
        <v>52</v>
      </c>
      <c r="F365" s="1" t="str">
        <f>VLOOKUP(Filmes_raw!E365,Rating_systems!$A$2:$C$29,3,FALSE)</f>
        <v>Criança</v>
      </c>
      <c r="G365" s="2">
        <f>Gross_cleaning!F365</f>
        <v>88</v>
      </c>
      <c r="H365" s="1" t="s">
        <v>351</v>
      </c>
      <c r="I365" s="1" t="s">
        <v>2372</v>
      </c>
      <c r="J365" s="1">
        <v>8.0</v>
      </c>
      <c r="K365" s="1" t="s">
        <v>2373</v>
      </c>
      <c r="L365" s="1" t="str">
        <f>IFERROR(__xludf.DUMMYFUNCTION("GOOGLETRANSLATE(K365,""en"", ""pt-br"")"),"Um jovem transitório se rompe em casas vazias para participar da vida dos residentes de férias por alguns dias.")</f>
        <v>Um jovem transitório se rompe em casas vazias para participar da vida dos residentes de férias por alguns dias.</v>
      </c>
      <c r="M365" s="1">
        <v>72.0</v>
      </c>
      <c r="N365" s="1" t="s">
        <v>2374</v>
      </c>
      <c r="O365" s="1" t="s">
        <v>2375</v>
      </c>
      <c r="P365" s="1" t="s">
        <v>2376</v>
      </c>
      <c r="Q365" s="1" t="s">
        <v>2377</v>
      </c>
      <c r="R365" s="1" t="s">
        <v>2378</v>
      </c>
      <c r="S365" s="1">
        <v>50610.0</v>
      </c>
      <c r="T365" s="7" t="str">
        <f>VLOOKUP(A365,Posters!A365:B1364,2)</f>
        <v>https://m.media-amazon.com/images/M/MV5BMTM1ODIwNzM5OV5BMl5BanBnXkFtZTcwNjk5MDkyMQ@@._V1_UX67_CR0,0,67,98_AL_.jpg</v>
      </c>
      <c r="U365" s="8">
        <f>'Inflation Adjusted Gross'!F365</f>
        <v>332224</v>
      </c>
      <c r="V365" s="5">
        <f t="shared" si="1"/>
        <v>2020</v>
      </c>
    </row>
    <row r="366">
      <c r="A366" s="1">
        <v>365.0</v>
      </c>
      <c r="B366" s="1" t="s">
        <v>2379</v>
      </c>
      <c r="C366" s="6">
        <f>Gross_cleaning!E366</f>
        <v>74103820</v>
      </c>
      <c r="D366" s="1">
        <v>2005.0</v>
      </c>
      <c r="E366" s="1" t="s">
        <v>18</v>
      </c>
      <c r="F366" s="1" t="str">
        <f>VLOOKUP(Filmes_raw!E366,Rating_systems!$A$2:$C$29,3,FALSE)</f>
        <v>Adulto</v>
      </c>
      <c r="G366" s="2">
        <f>Gross_cleaning!F366</f>
        <v>124</v>
      </c>
      <c r="H366" s="1" t="s">
        <v>144</v>
      </c>
      <c r="I366" s="1" t="s">
        <v>1320</v>
      </c>
      <c r="J366" s="1">
        <v>8.0</v>
      </c>
      <c r="K366" s="1" t="s">
        <v>2380</v>
      </c>
      <c r="L366" s="1" t="str">
        <f>IFERROR(__xludf.DUMMYFUNCTION("GOOGLETRANSLATE(K366,""en"", ""pt-br"")"),"Um filme que explora a cidade escura e miserável, a Basin City, conta a história de três pessoas diferentes, todas pegadas em uma corrupção violenta.")</f>
        <v>Um filme que explora a cidade escura e miserável, a Basin City, conta a história de três pessoas diferentes, todas pegadas em uma corrupção violenta.</v>
      </c>
      <c r="M366" s="1">
        <v>74.0</v>
      </c>
      <c r="N366" s="1" t="s">
        <v>2381</v>
      </c>
      <c r="O366" s="1" t="s">
        <v>72</v>
      </c>
      <c r="P366" s="1" t="s">
        <v>2382</v>
      </c>
      <c r="Q366" s="1" t="s">
        <v>2383</v>
      </c>
      <c r="R366" s="1" t="s">
        <v>2384</v>
      </c>
      <c r="S366" s="1">
        <v>738512.0</v>
      </c>
      <c r="T366" s="7" t="str">
        <f>VLOOKUP(A366,Posters!A366:B1365,2)</f>
        <v>https://m.media-amazon.com/images/M/MV5BODZmYjMwNzEtNzVhNC00ZTRmLTk2M2UtNzE1MTQ2ZDAxNjc2XkEyXkFqcGdeQXVyMTQxNzMzNDI@._V1_UX67_CR0,0,67,98_AL_.jpg</v>
      </c>
      <c r="U366" s="8">
        <f>'Inflation Adjusted Gross'!F366</f>
        <v>100244555</v>
      </c>
      <c r="V366" s="5">
        <f t="shared" si="1"/>
        <v>2020</v>
      </c>
    </row>
    <row r="367">
      <c r="A367" s="1">
        <v>366.0</v>
      </c>
      <c r="B367" s="1" t="s">
        <v>2385</v>
      </c>
      <c r="C367" s="6">
        <f>Gross_cleaning!E367</f>
        <v>5990075</v>
      </c>
      <c r="D367" s="1">
        <v>2007.0</v>
      </c>
      <c r="E367" s="1" t="s">
        <v>161</v>
      </c>
      <c r="F367" s="1" t="str">
        <f>VLOOKUP(Filmes_raw!E367,Rating_systems!$A$2:$C$29,3,FALSE)</f>
        <v>Criança</v>
      </c>
      <c r="G367" s="2">
        <f>Gross_cleaning!F367</f>
        <v>112</v>
      </c>
      <c r="H367" s="1" t="s">
        <v>295</v>
      </c>
      <c r="I367" s="1" t="s">
        <v>1148</v>
      </c>
      <c r="J367" s="1">
        <v>8.0</v>
      </c>
      <c r="K367" s="1" t="s">
        <v>2386</v>
      </c>
      <c r="L367" s="1" t="str">
        <f>IFERROR(__xludf.DUMMYFUNCTION("GOOGLETRANSLATE(K367,""en"", ""pt-br"")"),"A verdadeira história do editor Elle Jean-Dominique Bauby que sofre um derrame e tem que viver com um corpo quase totalmente paralisado; Apenas o olho esquerdo não está paralisado.")</f>
        <v>A verdadeira história do editor Elle Jean-Dominique Bauby que sofre um derrame e tem que viver com um corpo quase totalmente paralisado; Apenas o olho esquerdo não está paralisado.</v>
      </c>
      <c r="M367" s="1">
        <v>92.0</v>
      </c>
      <c r="N367" s="1" t="s">
        <v>2387</v>
      </c>
      <c r="O367" s="1" t="s">
        <v>2388</v>
      </c>
      <c r="P367" s="1" t="s">
        <v>1469</v>
      </c>
      <c r="Q367" s="1" t="s">
        <v>2389</v>
      </c>
      <c r="R367" s="1" t="s">
        <v>2390</v>
      </c>
      <c r="S367" s="1">
        <v>103284.0</v>
      </c>
      <c r="T367" s="7" t="str">
        <f>VLOOKUP(A367,Posters!A367:B1366,2)</f>
        <v>https://m.media-amazon.com/images/M/MV5BMTc3MjkzMDkxN15BMl5BanBnXkFtZTcwODAyMTU1MQ@@._V1_UX67_CR0,0,67,98_AL_.jpg</v>
      </c>
      <c r="U367" s="8">
        <f>'Inflation Adjusted Gross'!F367</f>
        <v>7634108</v>
      </c>
      <c r="V367" s="5">
        <f t="shared" si="1"/>
        <v>2020</v>
      </c>
    </row>
    <row r="368">
      <c r="A368" s="1">
        <v>367.0</v>
      </c>
      <c r="B368" s="1" t="s">
        <v>2391</v>
      </c>
      <c r="C368" s="6">
        <f>Gross_cleaning!E368</f>
        <v>20839049</v>
      </c>
      <c r="D368" s="1">
        <v>2004.0</v>
      </c>
      <c r="E368" s="1">
        <v>16.0</v>
      </c>
      <c r="F368" s="1" t="str">
        <f>VLOOKUP(Filmes_raw!E368,Rating_systems!$A$2:$C$29,3,FALSE)</f>
        <v>Adolescente</v>
      </c>
      <c r="G368" s="2">
        <f>Gross_cleaning!F368</f>
        <v>127</v>
      </c>
      <c r="H368" s="1" t="s">
        <v>234</v>
      </c>
      <c r="I368" s="1" t="s">
        <v>383</v>
      </c>
      <c r="J368" s="1">
        <v>8.0</v>
      </c>
      <c r="K368" s="1" t="s">
        <v>2392</v>
      </c>
      <c r="L368" s="1" t="str">
        <f>IFERROR(__xludf.DUMMYFUNCTION("GOOGLETRANSLATE(K368,""en"", ""pt-br"")"),"Um jovem liso Turk seqüestrado por extraterrestres mostra seu grande «espírito humanitário», saindo do mal mandante no chefe do planeta de G.O.R.a.")</f>
        <v>Um jovem liso Turk seqüestrado por extraterrestres mostra seu grande «espírito humanitário», saindo do mal mandante no chefe do planeta de G.O.R.a.</v>
      </c>
      <c r="N368" s="1" t="s">
        <v>2393</v>
      </c>
      <c r="O368" s="1" t="s">
        <v>2394</v>
      </c>
      <c r="P368" s="1" t="s">
        <v>2395</v>
      </c>
      <c r="Q368" s="1" t="s">
        <v>2396</v>
      </c>
      <c r="R368" s="1" t="s">
        <v>2397</v>
      </c>
      <c r="S368" s="1">
        <v>56960.0</v>
      </c>
      <c r="T368" s="7" t="str">
        <f>VLOOKUP(A368,Posters!A368:B1367,2)</f>
        <v>https://m.media-amazon.com/images/M/MV5BMjE0MTY2MDI3NV5BMl5BanBnXkFtZTcwNTc1MzEzMQ@@._V1_UY98_CR2,0,67,98_AL_.jpg</v>
      </c>
      <c r="U368" s="8">
        <f>'Inflation Adjusted Gross'!F368</f>
        <v>29027378</v>
      </c>
      <c r="V368" s="5">
        <f t="shared" si="1"/>
        <v>2020</v>
      </c>
    </row>
    <row r="369">
      <c r="A369" s="1">
        <v>368.0</v>
      </c>
      <c r="B369" s="1" t="s">
        <v>2398</v>
      </c>
      <c r="C369" s="6">
        <f>Gross_cleaning!E369</f>
        <v>206445654</v>
      </c>
      <c r="D369" s="1">
        <v>2007.0</v>
      </c>
      <c r="E369" s="1" t="s">
        <v>52</v>
      </c>
      <c r="F369" s="1" t="str">
        <f>VLOOKUP(Filmes_raw!E369,Rating_systems!$A$2:$C$29,3,FALSE)</f>
        <v>Criança</v>
      </c>
      <c r="G369" s="2">
        <f>Gross_cleaning!F369</f>
        <v>111</v>
      </c>
      <c r="H369" s="1" t="s">
        <v>1663</v>
      </c>
      <c r="I369" s="1" t="s">
        <v>765</v>
      </c>
      <c r="J369" s="1">
        <v>8.0</v>
      </c>
      <c r="K369" s="1" t="s">
        <v>2399</v>
      </c>
      <c r="L369" s="1" t="str">
        <f>IFERROR(__xludf.DUMMYFUNCTION("GOOGLETRANSLATE(K369,""en"", ""pt-br"")"),"Um rato que pode cozinhar faz uma aliança incomum com um jovem trabalhador de cozinha em um restaurante famoso.")</f>
        <v>Um rato que pode cozinhar faz uma aliança incomum com um jovem trabalhador de cozinha em um restaurante famoso.</v>
      </c>
      <c r="M369" s="1">
        <v>96.0</v>
      </c>
      <c r="N369" s="1" t="s">
        <v>2400</v>
      </c>
      <c r="O369" s="1" t="s">
        <v>2401</v>
      </c>
      <c r="P369" s="1" t="s">
        <v>2402</v>
      </c>
      <c r="Q369" s="1" t="s">
        <v>2403</v>
      </c>
      <c r="R369" s="1" t="s">
        <v>2404</v>
      </c>
      <c r="S369" s="1">
        <v>641645.0</v>
      </c>
      <c r="T369" s="7" t="str">
        <f>VLOOKUP(A369,Posters!A369:B1368,2)</f>
        <v>https://m.media-amazon.com/images/M/MV5BMTMzODU0NTkxMF5BMl5BanBnXkFtZTcwMjQ4MzMzMw@@._V1_UX67_CR0,0,67,98_AL_.jpg</v>
      </c>
      <c r="U369" s="8">
        <f>'Inflation Adjusted Gross'!F369</f>
        <v>263106631</v>
      </c>
      <c r="V369" s="5">
        <f t="shared" si="1"/>
        <v>2020</v>
      </c>
    </row>
    <row r="370">
      <c r="A370" s="1">
        <v>369.0</v>
      </c>
      <c r="B370" s="1" t="s">
        <v>2405</v>
      </c>
      <c r="C370" s="6">
        <f>Gross_cleaning!E370</f>
        <v>167445960</v>
      </c>
      <c r="D370" s="1">
        <v>2006.0</v>
      </c>
      <c r="E370" s="1" t="s">
        <v>161</v>
      </c>
      <c r="F370" s="1" t="str">
        <f>VLOOKUP(Filmes_raw!E370,Rating_systems!$A$2:$C$29,3,FALSE)</f>
        <v>Criança</v>
      </c>
      <c r="G370" s="2">
        <f>Gross_cleaning!F370</f>
        <v>144</v>
      </c>
      <c r="H370" s="1" t="s">
        <v>1618</v>
      </c>
      <c r="I370" s="1" t="s">
        <v>2406</v>
      </c>
      <c r="J370" s="1">
        <v>8.0</v>
      </c>
      <c r="K370" s="1" t="s">
        <v>2407</v>
      </c>
      <c r="L370" s="1" t="str">
        <f>IFERROR(__xludf.DUMMYFUNCTION("GOOGLETRANSLATE(K370,""en"", ""pt-br"")"),"Depois de ganhar 00 status e uma licença para matar, o agente secreto James Bond se apresenta em sua primeira missão como 007. Bond deve derrotar um banqueiro privado financiando terroristas em um jogo de poker de High-Stakes no Casino Royale, Montenegro.")</f>
        <v>Depois de ganhar 00 status e uma licença para matar, o agente secreto James Bond se apresenta em sua primeira missão como 007. Bond deve derrotar um banqueiro privado financiando terroristas em um jogo de poker de High-Stakes no Casino Royale, Montenegro.</v>
      </c>
      <c r="M370" s="1">
        <v>80.0</v>
      </c>
      <c r="N370" s="1" t="s">
        <v>2408</v>
      </c>
      <c r="O370" s="1" t="s">
        <v>2409</v>
      </c>
      <c r="P370" s="1" t="s">
        <v>2410</v>
      </c>
      <c r="Q370" s="1" t="s">
        <v>2411</v>
      </c>
      <c r="R370" s="1" t="s">
        <v>2412</v>
      </c>
      <c r="S370" s="1">
        <v>582239.0</v>
      </c>
      <c r="T370" s="7" t="str">
        <f>VLOOKUP(A370,Posters!A370:B1369,2)</f>
        <v>https://m.media-amazon.com/images/M/MV5BMDI5ZWJhOWItYTlhOC00YWNhLTlkNzctNDU5YTI1M2E1MWZhXkEyXkFqcGdeQXVyNTIzOTk5ODM@._V1_UX67_CR0,0,67,98_AL_.jpg</v>
      </c>
      <c r="U370" s="8">
        <f>'Inflation Adjusted Gross'!F370</f>
        <v>217832586</v>
      </c>
      <c r="V370" s="5">
        <f t="shared" si="1"/>
        <v>2020</v>
      </c>
    </row>
    <row r="371">
      <c r="A371" s="1">
        <v>370.0</v>
      </c>
      <c r="B371" s="1" t="s">
        <v>2413</v>
      </c>
      <c r="C371" s="6">
        <f>Gross_cleaning!E371</f>
        <v>66208183</v>
      </c>
      <c r="D371" s="1">
        <v>2004.0</v>
      </c>
      <c r="E371" s="1" t="s">
        <v>18</v>
      </c>
      <c r="F371" s="1" t="str">
        <f>VLOOKUP(Filmes_raw!E371,Rating_systems!$A$2:$C$29,3,FALSE)</f>
        <v>Adulto</v>
      </c>
      <c r="G371" s="2">
        <f>Gross_cleaning!F371</f>
        <v>137</v>
      </c>
      <c r="H371" s="1" t="s">
        <v>360</v>
      </c>
      <c r="I371" s="1" t="s">
        <v>2169</v>
      </c>
      <c r="J371" s="1">
        <v>8.0</v>
      </c>
      <c r="K371" s="1" t="s">
        <v>2414</v>
      </c>
      <c r="L371" s="1" t="str">
        <f>IFERROR(__xludf.DUMMYFUNCTION("GOOGLETRANSLATE(K371,""en"", ""pt-br"")"),"A noiva continua sua busca de vingança contra seu antigo chefe e amante Bill, o bouncio reclusivo, e o traiçoeiro e um elle de olhos.")</f>
        <v>A noiva continua sua busca de vingança contra seu antigo chefe e amante Bill, o bouncio reclusivo, e o traiçoeiro e um elle de olhos.</v>
      </c>
      <c r="M371" s="1">
        <v>83.0</v>
      </c>
      <c r="N371" s="1" t="s">
        <v>72</v>
      </c>
      <c r="O371" s="1" t="s">
        <v>74</v>
      </c>
      <c r="P371" s="1" t="s">
        <v>1665</v>
      </c>
      <c r="Q371" s="1" t="s">
        <v>782</v>
      </c>
      <c r="R371" s="1" t="s">
        <v>1666</v>
      </c>
      <c r="S371" s="1">
        <v>683900.0</v>
      </c>
      <c r="T371" s="7" t="str">
        <f>VLOOKUP(A371,Posters!A371:B1370,2)</f>
        <v>https://m.media-amazon.com/images/M/MV5BNmFiYmJmN2QtNWQwMi00MzliLThiOWMtZjQxNGRhZTQ1MjgyXkEyXkFqcGdeQXVyNzQ1ODk3MTQ@._V1_UX67_CR0,0,67,98_AL_.jpg</v>
      </c>
      <c r="U371" s="8">
        <f>'Inflation Adjusted Gross'!F371</f>
        <v>92223495</v>
      </c>
      <c r="V371" s="5">
        <f t="shared" si="1"/>
        <v>2020</v>
      </c>
    </row>
    <row r="372">
      <c r="A372" s="1">
        <v>371.0</v>
      </c>
      <c r="B372" s="1" t="s">
        <v>2415</v>
      </c>
      <c r="C372" s="6">
        <f>Gross_cleaning!E372</f>
        <v>502028</v>
      </c>
      <c r="D372" s="1">
        <v>2003.0</v>
      </c>
      <c r="E372" s="1">
        <v>16.0</v>
      </c>
      <c r="F372" s="1" t="str">
        <f>VLOOKUP(Filmes_raw!E372,Rating_systems!$A$2:$C$29,3,FALSE)</f>
        <v>Adolescente</v>
      </c>
      <c r="G372" s="2">
        <f>Gross_cleaning!F372</f>
        <v>110</v>
      </c>
      <c r="H372" s="1" t="s">
        <v>343</v>
      </c>
      <c r="I372" s="1" t="s">
        <v>20</v>
      </c>
      <c r="J372" s="1">
        <v>8.0</v>
      </c>
      <c r="K372" s="1" t="s">
        <v>2416</v>
      </c>
      <c r="L372" s="1" t="str">
        <f>IFERROR(__xludf.DUMMYFUNCTION("GOOGLETRANSLATE(K372,""en"", ""pt-br"")"),"No deserto russo, dois irmãos enfrentam uma série de emoções novas e conflitantes quando seu pai - um homem que eles conhecem apenas através de uma única fotografia - resurfaces.")</f>
        <v>No deserto russo, dois irmãos enfrentam uma série de emoções novas e conflitantes quando seu pai - um homem que eles conhecem apenas através de uma única fotografia - resurfaces.</v>
      </c>
      <c r="M372" s="1">
        <v>82.0</v>
      </c>
      <c r="N372" s="1" t="s">
        <v>2417</v>
      </c>
      <c r="O372" s="1" t="s">
        <v>2418</v>
      </c>
      <c r="P372" s="1" t="s">
        <v>2419</v>
      </c>
      <c r="Q372" s="1" t="s">
        <v>2420</v>
      </c>
      <c r="R372" s="1" t="s">
        <v>2421</v>
      </c>
      <c r="S372" s="1">
        <v>42399.0</v>
      </c>
      <c r="T372" s="7" t="str">
        <f>VLOOKUP(A372,Posters!A372:B1371,2)</f>
        <v>https://m.media-amazon.com/images/M/MV5BYmViZTY1OWEtMTQxMy00OGQ5LTgzZjAtYTQzOTYxNjliYTI4XkEyXkFqcGdeQXVyNjkxOTM4ODY@._V1_UY98_CR1,0,67,98_AL_.jpg</v>
      </c>
      <c r="U372" s="8">
        <f>'Inflation Adjusted Gross'!F372</f>
        <v>712761</v>
      </c>
      <c r="V372" s="5">
        <f t="shared" si="1"/>
        <v>2020</v>
      </c>
    </row>
    <row r="373">
      <c r="A373" s="1">
        <v>372.0</v>
      </c>
      <c r="B373" s="1" t="s">
        <v>2422</v>
      </c>
      <c r="C373" s="6">
        <f>Gross_cleaning!E373</f>
        <v>2380788</v>
      </c>
      <c r="D373" s="1">
        <v>2003.0</v>
      </c>
      <c r="E373" s="1" t="s">
        <v>212</v>
      </c>
      <c r="F373" s="1" t="str">
        <f>VLOOKUP(Filmes_raw!E373,Rating_systems!$A$2:$C$29,3,FALSE)</f>
        <v>Adulto</v>
      </c>
      <c r="G373" s="2">
        <f>Gross_cleaning!F373</f>
        <v>103</v>
      </c>
      <c r="H373" s="1" t="s">
        <v>885</v>
      </c>
      <c r="I373" s="1" t="s">
        <v>107</v>
      </c>
      <c r="J373" s="1">
        <v>8.0</v>
      </c>
      <c r="K373" s="1" t="s">
        <v>2423</v>
      </c>
      <c r="L373" s="1" t="str">
        <f>IFERROR(__xludf.DUMMYFUNCTION("GOOGLETRANSLATE(K373,""en"", ""pt-br"")"),"Um menino é levantado por um monge budista em um templo flutuante isolado, onde os anos passam como as estações.")</f>
        <v>Um menino é levantado por um monge budista em um templo flutuante isolado, onde os anos passam como as estações.</v>
      </c>
      <c r="M373" s="1">
        <v>85.0</v>
      </c>
      <c r="N373" s="1" t="s">
        <v>2374</v>
      </c>
      <c r="O373" s="1" t="s">
        <v>2374</v>
      </c>
      <c r="P373" s="1" t="s">
        <v>2424</v>
      </c>
      <c r="Q373" s="1" t="s">
        <v>2425</v>
      </c>
      <c r="R373" s="1" t="s">
        <v>2426</v>
      </c>
      <c r="S373" s="1">
        <v>77520.0</v>
      </c>
      <c r="T373" s="7" t="str">
        <f>VLOOKUP(A373,Posters!A373:B1372,2)</f>
        <v>https://m.media-amazon.com/images/M/MV5BZGYxOTRlM2MtNWRjZS00NDk2LWExM2EtMDFiYTgyMGJkZGYyXkEyXkFqcGdeQXVyMTA1NTM1NDI2._V1_UY98_CR1,0,67,98_AL_.jpg</v>
      </c>
      <c r="U373" s="8">
        <f>'Inflation Adjusted Gross'!F373</f>
        <v>3380156</v>
      </c>
      <c r="V373" s="5">
        <f t="shared" si="1"/>
        <v>2020</v>
      </c>
    </row>
    <row r="374">
      <c r="A374" s="1">
        <v>373.0</v>
      </c>
      <c r="B374" s="1" t="s">
        <v>2427</v>
      </c>
      <c r="C374" s="6">
        <f>Gross_cleaning!E374</f>
        <v>2086345</v>
      </c>
      <c r="D374" s="1">
        <v>2014.0</v>
      </c>
      <c r="E374" s="1" t="s">
        <v>52</v>
      </c>
      <c r="F374" s="1" t="str">
        <f>VLOOKUP(Filmes_raw!E374,Rating_systems!$A$2:$C$29,3,FALSE)</f>
        <v>Criança</v>
      </c>
      <c r="G374" s="2">
        <f>Gross_cleaning!F374</f>
        <v>126</v>
      </c>
      <c r="H374" s="1" t="s">
        <v>428</v>
      </c>
      <c r="I374" s="1" t="s">
        <v>1148</v>
      </c>
      <c r="J374" s="1">
        <v>8.0</v>
      </c>
      <c r="K374" s="1" t="s">
        <v>2428</v>
      </c>
      <c r="L374" s="1" t="str">
        <f>IFERROR(__xludf.DUMMYFUNCTION("GOOGLETRANSLATE(K374,""en"", ""pt-br"")"),"A história factual do espanhol Ramon Sampedro, que lutou uma campanha de trinta anos em favor da eutanásia e do seu direito de morrer.")</f>
        <v>A história factual do espanhol Ramon Sampedro, que lutou uma campanha de trinta anos em favor da eutanásia e do seu direito de morrer.</v>
      </c>
      <c r="M374" s="1">
        <v>74.0</v>
      </c>
      <c r="N374" s="1" t="s">
        <v>2429</v>
      </c>
      <c r="O374" s="1" t="s">
        <v>1615</v>
      </c>
      <c r="P374" s="1" t="s">
        <v>2430</v>
      </c>
      <c r="Q374" s="1" t="s">
        <v>2431</v>
      </c>
      <c r="R374" s="1" t="s">
        <v>2432</v>
      </c>
      <c r="S374" s="1">
        <v>77554.0</v>
      </c>
      <c r="T374" s="7" t="str">
        <f>VLOOKUP(A374,Posters!A374:B1373,2)</f>
        <v>https://m.media-amazon.com/images/M/MV5BMjE0NDk2NjgwMV5BMl5BanBnXkFtZTYwMTgyMzA3._V1_UX67_CR0,0,67,98_AL_.jpg</v>
      </c>
      <c r="U374" s="8">
        <f>'Inflation Adjusted Gross'!F374</f>
        <v>2300896</v>
      </c>
      <c r="V374" s="5">
        <f t="shared" si="1"/>
        <v>2020</v>
      </c>
    </row>
    <row r="375">
      <c r="A375" s="1">
        <v>374.0</v>
      </c>
      <c r="B375" s="1" t="s">
        <v>2433</v>
      </c>
      <c r="C375" s="6">
        <f>Gross_cleaning!E375</f>
        <v>61649911</v>
      </c>
      <c r="D375" s="1">
        <v>2005.0</v>
      </c>
      <c r="E375" s="1" t="s">
        <v>37</v>
      </c>
      <c r="F375" s="1" t="str">
        <f>VLOOKUP(Filmes_raw!E375,Rating_systems!$A$2:$C$29,3,FALSE)</f>
        <v>Criança</v>
      </c>
      <c r="G375" s="2">
        <f>Gross_cleaning!F375</f>
        <v>144</v>
      </c>
      <c r="H375" s="1" t="s">
        <v>1618</v>
      </c>
      <c r="I375" s="1" t="s">
        <v>79</v>
      </c>
      <c r="J375" s="1">
        <v>8.0</v>
      </c>
      <c r="K375" s="1" t="s">
        <v>2434</v>
      </c>
      <c r="L375" s="1" t="str">
        <f>IFERROR(__xludf.DUMMYFUNCTION("GOOGLETRANSLATE(K375,""en"", ""pt-br"")"),"A história de James J. Braddock, um boxeador supostamente lavado que voltou a se tornar um campeão e uma inspiração nos anos 1930.")</f>
        <v>A história de James J. Braddock, um boxeador supostamente lavado que voltou a se tornar um campeão e uma inspiração nos anos 1930.</v>
      </c>
      <c r="M375" s="1">
        <v>69.0</v>
      </c>
      <c r="N375" s="1" t="s">
        <v>1150</v>
      </c>
      <c r="O375" s="1" t="s">
        <v>325</v>
      </c>
      <c r="P375" s="1" t="s">
        <v>2435</v>
      </c>
      <c r="Q375" s="1" t="s">
        <v>2436</v>
      </c>
      <c r="R375" s="1" t="s">
        <v>2437</v>
      </c>
      <c r="S375" s="1">
        <v>176151.0</v>
      </c>
      <c r="T375" s="7" t="str">
        <f>VLOOKUP(A375,Posters!A375:B1374,2)</f>
        <v>https://m.media-amazon.com/images/M/MV5BODEyYmQxZjUtZGQ0NS00ZTAwLTkwOGQtNGY2NzEwMWE0MDc3XkEyXkFqcGdeQXVyMTQxNzMzNDI@._V1_UX67_CR0,0,67,98_AL_.jpg</v>
      </c>
      <c r="U375" s="8">
        <f>'Inflation Adjusted Gross'!F375</f>
        <v>83397426</v>
      </c>
      <c r="V375" s="5">
        <f t="shared" si="1"/>
        <v>2020</v>
      </c>
    </row>
    <row r="376">
      <c r="A376" s="1">
        <v>375.0</v>
      </c>
      <c r="B376" s="1" t="s">
        <v>2438</v>
      </c>
      <c r="C376" s="6">
        <f>Gross_cleaning!E376</f>
        <v>1787378</v>
      </c>
      <c r="D376" s="1">
        <v>2003.0</v>
      </c>
      <c r="E376" s="1" t="s">
        <v>52</v>
      </c>
      <c r="F376" s="1" t="str">
        <f>VLOOKUP(Filmes_raw!E376,Rating_systems!$A$2:$C$29,3,FALSE)</f>
        <v>Criança</v>
      </c>
      <c r="G376" s="2">
        <f>Gross_cleaning!F376</f>
        <v>186</v>
      </c>
      <c r="H376" s="1" t="s">
        <v>1019</v>
      </c>
      <c r="I376" s="1" t="s">
        <v>1454</v>
      </c>
      <c r="J376" s="1">
        <v>8.0</v>
      </c>
      <c r="K376" s="1" t="s">
        <v>2439</v>
      </c>
      <c r="L376" s="1" t="str">
        <f>IFERROR(__xludf.DUMMYFUNCTION("GOOGLETRANSLATE(K376,""en"", ""pt-br"")"),"Naina, uma vida de menina introvertida, perpetuamente deprimida quando ela conhece Aman. Mas Aman tem um segredo de si mesmo que muda suas vidas para sempre. Embora em tudo isso é Rohit, o melhor amigo de Naina que esconde seu amor por ela.")</f>
        <v>Naina, uma vida de menina introvertida, perpetuamente deprimida quando ela conhece Aman. Mas Aman tem um segredo de si mesmo que muda suas vidas para sempre. Embora em tudo isso é Rohit, o melhor amigo de Naina que esconde seu amor por ela.</v>
      </c>
      <c r="M376" s="1">
        <v>54.0</v>
      </c>
      <c r="N376" s="1" t="s">
        <v>2440</v>
      </c>
      <c r="O376" s="1" t="s">
        <v>1661</v>
      </c>
      <c r="P376" s="1" t="s">
        <v>1084</v>
      </c>
      <c r="Q376" s="1" t="s">
        <v>1659</v>
      </c>
      <c r="R376" s="1" t="s">
        <v>2441</v>
      </c>
      <c r="S376" s="1">
        <v>63460.0</v>
      </c>
      <c r="T376" s="7" t="str">
        <f>VLOOKUP(A376,Posters!A376:B1375,2)</f>
        <v>https://m.media-amazon.com/images/M/MV5BYmVjNDIxODAtNWZiZi00ZDBlLWJmOTUtNDNjMGExNTViMzE1XkEyXkFqcGdeQXVyNTE0MDc0NTM@._V1_UX67_CR0,0,67,98_AL_.jpg</v>
      </c>
      <c r="U376" s="8">
        <f>'Inflation Adjusted Gross'!F376</f>
        <v>2537654</v>
      </c>
      <c r="V376" s="5">
        <f t="shared" si="1"/>
        <v>2020</v>
      </c>
    </row>
    <row r="377">
      <c r="A377" s="1">
        <v>376.0</v>
      </c>
      <c r="B377" s="1" t="s">
        <v>2442</v>
      </c>
      <c r="C377" s="6">
        <f>Gross_cleaning!E377</f>
        <v>169659</v>
      </c>
      <c r="D377" s="1">
        <v>2002.0</v>
      </c>
      <c r="E377" s="1" t="s">
        <v>37</v>
      </c>
      <c r="F377" s="1" t="str">
        <f>VLOOKUP(Filmes_raw!E377,Rating_systems!$A$2:$C$29,3,FALSE)</f>
        <v>Criança</v>
      </c>
      <c r="G377" s="2">
        <f>Gross_cleaning!F377</f>
        <v>101</v>
      </c>
      <c r="H377" s="1" t="s">
        <v>535</v>
      </c>
      <c r="I377" s="1" t="s">
        <v>39</v>
      </c>
      <c r="J377" s="1">
        <v>8.0</v>
      </c>
      <c r="K377" s="1" t="s">
        <v>2443</v>
      </c>
      <c r="L377" s="1" t="str">
        <f>IFERROR(__xludf.DUMMYFUNCTION("GOOGLETRANSLATE(K377,""en"", ""pt-br"")"),"Uma história entre uma toupeira no departamento de polícia e um policial disfarçado. Seus objetivos são os mesmos: descobrir quem é a toupeira, e quem é o policial.")</f>
        <v>Uma história entre uma toupeira no departamento de polícia e um policial disfarçado. Seus objetivos são os mesmos: descobrir quem é a toupeira, e quem é o policial.</v>
      </c>
      <c r="M377" s="1">
        <v>75.0</v>
      </c>
      <c r="N377" s="1" t="s">
        <v>2444</v>
      </c>
      <c r="O377" s="1" t="s">
        <v>2445</v>
      </c>
      <c r="P377" s="1" t="s">
        <v>2446</v>
      </c>
      <c r="Q377" s="1" t="s">
        <v>1732</v>
      </c>
      <c r="R377" s="1" t="s">
        <v>2447</v>
      </c>
      <c r="S377" s="1">
        <v>117857.0</v>
      </c>
      <c r="T377" s="7" t="str">
        <f>VLOOKUP(A377,Posters!A377:B1376,2)</f>
        <v>https://m.media-amazon.com/images/M/MV5BM2U0NTcxOTktN2MwZS00N2Q2LWJlYWItMTg0NWIyMDIxNzU5L2ltYWdlXkEyXkFqcGdeQXVyNTAyODkwOQ@@._V1_UY98_CR1,0,67,98_AL_.jpg</v>
      </c>
      <c r="U377" s="8">
        <f>'Inflation Adjusted Gross'!F377</f>
        <v>247132</v>
      </c>
      <c r="V377" s="5">
        <f t="shared" si="1"/>
        <v>2020</v>
      </c>
    </row>
    <row r="378">
      <c r="A378" s="1">
        <v>377.0</v>
      </c>
      <c r="B378" s="1" t="s">
        <v>2448</v>
      </c>
      <c r="C378" s="6">
        <f>Gross_cleaning!E378</f>
        <v>305413918</v>
      </c>
      <c r="D378" s="1">
        <v>2003.0</v>
      </c>
      <c r="E378" s="1" t="s">
        <v>37</v>
      </c>
      <c r="F378" s="1" t="str">
        <f>VLOOKUP(Filmes_raw!E378,Rating_systems!$A$2:$C$29,3,FALSE)</f>
        <v>Criança</v>
      </c>
      <c r="G378" s="2">
        <f>Gross_cleaning!F378</f>
        <v>143</v>
      </c>
      <c r="H378" s="1" t="s">
        <v>596</v>
      </c>
      <c r="I378" s="1" t="s">
        <v>145</v>
      </c>
      <c r="J378" s="1">
        <v>8.0</v>
      </c>
      <c r="K378" s="1" t="s">
        <v>2449</v>
      </c>
      <c r="L378" s="1" t="str">
        <f>IFERROR(__xludf.DUMMYFUNCTION("GOOGLETRANSLATE(K378,""en"", ""pt-br"")"),"O Blacksmith Will Turner se une com o excêntrico pirata ""capitão"" Jack Sparrow para salvar seu amor, a filha do governador, dos antigos aliados de Jack, que agora são mortos-vivos.")</f>
        <v>O Blacksmith Will Turner se une com o excêntrico pirata "capitão" Jack Sparrow para salvar seu amor, a filha do governador, dos antigos aliados de Jack, que agora são mortos-vivos.</v>
      </c>
      <c r="M378" s="1">
        <v>63.0</v>
      </c>
      <c r="N378" s="1" t="s">
        <v>2450</v>
      </c>
      <c r="O378" s="1" t="s">
        <v>2451</v>
      </c>
      <c r="P378" s="1" t="s">
        <v>2280</v>
      </c>
      <c r="Q378" s="1" t="s">
        <v>68</v>
      </c>
      <c r="R378" s="1" t="s">
        <v>2237</v>
      </c>
      <c r="S378" s="1">
        <v>1015122.0</v>
      </c>
      <c r="T378" s="7" t="str">
        <f>VLOOKUP(A378,Posters!A378:B1377,2)</f>
        <v>https://m.media-amazon.com/images/M/MV5BNGYyZGM5MGMtYTY2Ni00M2Y1LWIzNjQtYWUzM2VlNGVhMDNhXkEyXkFqcGdeQXVyMTMxODk2OTU@._V1_UX67_CR0,0,67,98_AL_.jpg</v>
      </c>
      <c r="U378" s="8">
        <f>'Inflation Adjusted Gross'!F378</f>
        <v>433615487</v>
      </c>
      <c r="V378" s="5">
        <f t="shared" si="1"/>
        <v>2020</v>
      </c>
    </row>
    <row r="379">
      <c r="A379" s="1">
        <v>378.0</v>
      </c>
      <c r="B379" s="1" t="s">
        <v>2452</v>
      </c>
      <c r="C379" s="6">
        <f>Gross_cleaning!E379</f>
        <v>66257002</v>
      </c>
      <c r="D379" s="1">
        <v>2003.0</v>
      </c>
      <c r="E379" s="1" t="s">
        <v>52</v>
      </c>
      <c r="F379" s="1" t="str">
        <f>VLOOKUP(Filmes_raw!E379,Rating_systems!$A$2:$C$29,3,FALSE)</f>
        <v>Criança</v>
      </c>
      <c r="G379" s="2">
        <f>Gross_cleaning!F379</f>
        <v>125</v>
      </c>
      <c r="H379" s="1" t="s">
        <v>203</v>
      </c>
      <c r="I379" s="1" t="s">
        <v>1565</v>
      </c>
      <c r="J379" s="1">
        <v>8.0</v>
      </c>
      <c r="K379" s="1" t="s">
        <v>2453</v>
      </c>
      <c r="L379" s="1" t="str">
        <f>IFERROR(__xludf.DUMMYFUNCTION("GOOGLETRANSLATE(K379,""en"", ""pt-br"")"),"Um filho frustrado tenta determinar o fato da ficção em sua vida do pai.")</f>
        <v>Um filho frustrado tenta determinar o fato da ficção em sua vida do pai.</v>
      </c>
      <c r="M379" s="1">
        <v>58.0</v>
      </c>
      <c r="N379" s="1" t="s">
        <v>2454</v>
      </c>
      <c r="O379" s="1" t="s">
        <v>1739</v>
      </c>
      <c r="P379" s="1" t="s">
        <v>2455</v>
      </c>
      <c r="Q379" s="1" t="s">
        <v>555</v>
      </c>
      <c r="R379" s="1" t="s">
        <v>2456</v>
      </c>
      <c r="S379" s="1">
        <v>415218.0</v>
      </c>
      <c r="T379" s="7" t="str">
        <f>VLOOKUP(A379,Posters!A379:B1378,2)</f>
        <v>https://m.media-amazon.com/images/M/MV5BMmU3NzIyODctYjVhOC00NzBmLTlhNWItMzBlODEwZTlmMjUzXkEyXkFqcGdeQXVyNTIzOTk5ODM@._V1_UX67_CR0,0,67,98_AL_.jpg</v>
      </c>
      <c r="U379" s="8">
        <f>'Inflation Adjusted Gross'!F379</f>
        <v>94069263</v>
      </c>
      <c r="V379" s="5">
        <f t="shared" si="1"/>
        <v>2020</v>
      </c>
    </row>
    <row r="380">
      <c r="A380" s="1">
        <v>379.0</v>
      </c>
      <c r="B380" s="1" t="s">
        <v>2457</v>
      </c>
      <c r="C380" s="6">
        <f>Gross_cleaning!E380</f>
        <v>261441092</v>
      </c>
      <c r="D380" s="1">
        <v>2004.0</v>
      </c>
      <c r="E380" s="1" t="s">
        <v>52</v>
      </c>
      <c r="F380" s="1" t="str">
        <f>VLOOKUP(Filmes_raw!E380,Rating_systems!$A$2:$C$29,3,FALSE)</f>
        <v>Criança</v>
      </c>
      <c r="G380" s="2">
        <f>Gross_cleaning!F380</f>
        <v>115</v>
      </c>
      <c r="H380" s="1" t="s">
        <v>563</v>
      </c>
      <c r="I380" s="1" t="s">
        <v>467</v>
      </c>
      <c r="J380" s="1">
        <v>8.0</v>
      </c>
      <c r="K380" s="1" t="s">
        <v>2458</v>
      </c>
      <c r="L380" s="1" t="str">
        <f>IFERROR(__xludf.DUMMYFUNCTION("GOOGLETRANSLATE(K380,""en"", ""pt-br"")"),"Uma família de super-heróis disfarçados, ao tentar viver a vida suburbana tranquila, são forçadas a em ação para salvar o mundo.")</f>
        <v>Uma família de super-heróis disfarçados, ao tentar viver a vida suburbana tranquila, são forçadas a em ação para salvar o mundo.</v>
      </c>
      <c r="M380" s="1">
        <v>90.0</v>
      </c>
      <c r="N380" s="1" t="s">
        <v>2400</v>
      </c>
      <c r="O380" s="1" t="s">
        <v>2459</v>
      </c>
      <c r="P380" s="1" t="s">
        <v>75</v>
      </c>
      <c r="Q380" s="1" t="s">
        <v>2460</v>
      </c>
      <c r="R380" s="1" t="s">
        <v>2461</v>
      </c>
      <c r="S380" s="1">
        <v>657047.0</v>
      </c>
      <c r="T380" s="7" t="str">
        <f>VLOOKUP(A380,Posters!A380:B1379,2)</f>
        <v>https://m.media-amazon.com/images/M/MV5BMTY5OTU0OTc2NV5BMl5BanBnXkFtZTcwMzU4MDcyMQ@@._V1_UX67_CR0,0,67,98_AL_.jpg</v>
      </c>
      <c r="U380" s="8">
        <f>'Inflation Adjusted Gross'!F380</f>
        <v>364169655</v>
      </c>
      <c r="V380" s="5">
        <f t="shared" si="1"/>
        <v>2020</v>
      </c>
    </row>
    <row r="381">
      <c r="A381" s="1">
        <v>380.0</v>
      </c>
      <c r="B381" s="1" t="s">
        <v>2462</v>
      </c>
      <c r="C381" s="6">
        <f>Gross_cleaning!E381</f>
        <v>365429</v>
      </c>
      <c r="D381" s="1">
        <v>2001.0</v>
      </c>
      <c r="E381" s="1" t="s">
        <v>2066</v>
      </c>
      <c r="F381" s="1" t="str">
        <f>VLOOKUP(Filmes_raw!E381,Rating_systems!$A$2:$C$29,3,FALSE)</f>
        <v>Desconhecido</v>
      </c>
      <c r="G381" s="2">
        <f>Gross_cleaning!F381</f>
        <v>137</v>
      </c>
      <c r="H381" s="1" t="s">
        <v>360</v>
      </c>
      <c r="I381" s="1" t="s">
        <v>227</v>
      </c>
      <c r="J381" s="1">
        <v>8.0</v>
      </c>
      <c r="K381" s="1" t="s">
        <v>2463</v>
      </c>
      <c r="L381" s="1" t="str">
        <f>IFERROR(__xludf.DUMMYFUNCTION("GOOGLETRANSLATE(K381,""en"", ""pt-br"")"),"Um jovem vê uma mulher bêbada, bonita em pé demasiado perto das trilhas em uma estação de metro em Seul e puxa as costas. Ela acaba colocando-o em problemas repetidamente depois disso, começando no trem.")</f>
        <v>Um jovem vê uma mulher bêbada, bonita em pé demasiado perto das trilhas em uma estação de metro em Seul e puxa as costas. Ela acaba colocando-o em problemas repetidamente depois disso, começando no trem.</v>
      </c>
      <c r="N381" s="1" t="s">
        <v>2464</v>
      </c>
      <c r="O381" s="1" t="s">
        <v>2465</v>
      </c>
      <c r="P381" s="1" t="s">
        <v>2466</v>
      </c>
      <c r="Q381" s="1" t="s">
        <v>2467</v>
      </c>
      <c r="R381" s="1" t="s">
        <v>2468</v>
      </c>
      <c r="S381" s="1">
        <v>45403.0</v>
      </c>
      <c r="T381" s="7" t="str">
        <f>VLOOKUP(A381,Posters!A381:B1380,2)</f>
        <v>https://m.media-amazon.com/images/M/MV5BMjM2NTYxMTE3OV5BMl5BanBnXkFtZTgwNDgwNjgwMzE@._V1_UY98_CR3,0,67,98_AL_.jpg</v>
      </c>
      <c r="U381" s="8">
        <f>'Inflation Adjusted Gross'!F381</f>
        <v>538379</v>
      </c>
      <c r="V381" s="5">
        <f t="shared" si="1"/>
        <v>2020</v>
      </c>
    </row>
    <row r="382">
      <c r="A382" s="1">
        <v>381.0</v>
      </c>
      <c r="B382" s="1" t="s">
        <v>2469</v>
      </c>
      <c r="C382" s="6">
        <f>Gross_cleaning!E382</f>
        <v>1530386</v>
      </c>
      <c r="D382" s="1">
        <v>2003.0</v>
      </c>
      <c r="E382" s="1" t="s">
        <v>212</v>
      </c>
      <c r="F382" s="1" t="str">
        <f>VLOOKUP(Filmes_raw!E382,Rating_systems!$A$2:$C$29,3,FALSE)</f>
        <v>Adulto</v>
      </c>
      <c r="G382" s="2">
        <f>Gross_cleaning!F382</f>
        <v>178</v>
      </c>
      <c r="H382" s="1" t="s">
        <v>103</v>
      </c>
      <c r="I382" s="1" t="s">
        <v>29</v>
      </c>
      <c r="J382" s="1">
        <v>8.0</v>
      </c>
      <c r="K382" s="1" t="s">
        <v>2470</v>
      </c>
      <c r="L382" s="1" t="str">
        <f>IFERROR(__xludf.DUMMYFUNCTION("GOOGLETRANSLATE(K382,""en"", ""pt-br"")"),"Uma mulher na corrida da multidão é relutantemente aceita em uma pequena comunidade de Colorado em troca de trabalho, mas quando uma busca visita a cidade, descobre que seu apoio tem um preço.")</f>
        <v>Uma mulher na corrida da multidão é relutantemente aceita em uma pequena comunidade de Colorado em troca de trabalho, mas quando uma busca visita a cidade, descobre que seu apoio tem um preço.</v>
      </c>
      <c r="M382" s="1">
        <v>60.0</v>
      </c>
      <c r="N382" s="1" t="s">
        <v>2471</v>
      </c>
      <c r="O382" s="1" t="s">
        <v>2182</v>
      </c>
      <c r="P382" s="1" t="s">
        <v>2472</v>
      </c>
      <c r="Q382" s="1" t="s">
        <v>2473</v>
      </c>
      <c r="R382" s="1" t="s">
        <v>1924</v>
      </c>
      <c r="S382" s="1">
        <v>137963.0</v>
      </c>
      <c r="T382" s="7" t="str">
        <f>VLOOKUP(A382,Posters!A382:B1381,2)</f>
        <v>https://m.media-amazon.com/images/M/MV5BMTkwNTg2MTI1NF5BMl5BanBnXkFtZTcwMDM1MzUyMQ@@._V1_UX67_CR0,0,67,98_AL_.jpg</v>
      </c>
      <c r="U382" s="8">
        <f>'Inflation Adjusted Gross'!F382</f>
        <v>2172786</v>
      </c>
      <c r="V382" s="5">
        <f t="shared" si="1"/>
        <v>2020</v>
      </c>
    </row>
    <row r="383">
      <c r="A383" s="1">
        <v>382.0</v>
      </c>
      <c r="B383" s="1" t="s">
        <v>2474</v>
      </c>
      <c r="C383" s="6">
        <f>Gross_cleaning!E383</f>
        <v>968318</v>
      </c>
      <c r="D383" s="1">
        <v>2001.0</v>
      </c>
      <c r="E383" s="1" t="s">
        <v>52</v>
      </c>
      <c r="F383" s="1" t="str">
        <f>VLOOKUP(Filmes_raw!E383,Rating_systems!$A$2:$C$29,3,FALSE)</f>
        <v>Criança</v>
      </c>
      <c r="G383" s="2">
        <f>Gross_cleaning!F383</f>
        <v>110</v>
      </c>
      <c r="H383" s="1" t="s">
        <v>343</v>
      </c>
      <c r="I383" s="1" t="s">
        <v>507</v>
      </c>
      <c r="J383" s="1">
        <v>8.0</v>
      </c>
      <c r="K383" s="1" t="s">
        <v>2475</v>
      </c>
      <c r="L383" s="1" t="str">
        <f>IFERROR(__xludf.DUMMYFUNCTION("GOOGLETRANSLATE(K383,""en"", ""pt-br"")"),"Vidas de residentes em uma pequena aldeia anatólia mudam quando a televisão é apresentada a eles")</f>
        <v>Vidas de residentes em uma pequena aldeia anatólia mudam quando a televisão é apresentada a eles</v>
      </c>
      <c r="N383" s="1" t="s">
        <v>2476</v>
      </c>
      <c r="O383" s="1" t="s">
        <v>2393</v>
      </c>
      <c r="P383" s="1" t="s">
        <v>2476</v>
      </c>
      <c r="Q383" s="1" t="s">
        <v>1451</v>
      </c>
      <c r="R383" s="1" t="s">
        <v>2477</v>
      </c>
      <c r="S383" s="1">
        <v>33592.0</v>
      </c>
      <c r="T383" s="7" t="str">
        <f>VLOOKUP(A383,Posters!A383:B1382,2)</f>
        <v>https://m.media-amazon.com/images/M/MV5BMjA2MzM4NjkyMF5BMl5BanBnXkFtZTYwMTQ2ODc5._V1_UY98_CR2,0,67,98_AL_.jpg</v>
      </c>
      <c r="U383" s="8">
        <f>'Inflation Adjusted Gross'!F383</f>
        <v>1426602</v>
      </c>
      <c r="V383" s="5">
        <f t="shared" si="1"/>
        <v>2020</v>
      </c>
    </row>
    <row r="384">
      <c r="A384" s="1">
        <v>383.0</v>
      </c>
      <c r="B384" s="1" t="s">
        <v>2478</v>
      </c>
      <c r="C384" s="6">
        <f>Gross_cleaning!E384</f>
        <v>1480006</v>
      </c>
      <c r="D384" s="1">
        <v>2001.0</v>
      </c>
      <c r="E384" s="1" t="s">
        <v>212</v>
      </c>
      <c r="F384" s="1" t="str">
        <f>VLOOKUP(Filmes_raw!E384,Rating_systems!$A$2:$C$29,3,FALSE)</f>
        <v>Adulto</v>
      </c>
      <c r="G384" s="2">
        <f>Gross_cleaning!F384</f>
        <v>113</v>
      </c>
      <c r="H384" s="1" t="s">
        <v>543</v>
      </c>
      <c r="I384" s="1" t="s">
        <v>304</v>
      </c>
      <c r="J384" s="1">
        <v>8.0</v>
      </c>
      <c r="K384" s="1" t="s">
        <v>2479</v>
      </c>
      <c r="L384" s="1" t="str">
        <f>IFERROR(__xludf.DUMMYFUNCTION("GOOGLETRANSLATE(K384,""en"", ""pt-br"")"),"Depois de escapar pouco de um acidente bizarro, um adolescente problemático é atormentado por visões de um homem em um grande terno de coelho que manipula-o a cometer uma série de crimes.")</f>
        <v>Depois de escapar pouco de um acidente bizarro, um adolescente problemático é atormentado por visões de um homem em um grande terno de coelho que manipula-o a cometer uma série de crimes.</v>
      </c>
      <c r="M384" s="1">
        <v>88.0</v>
      </c>
      <c r="N384" s="1" t="s">
        <v>2480</v>
      </c>
      <c r="O384" s="1" t="s">
        <v>1542</v>
      </c>
      <c r="P384" s="1" t="s">
        <v>2481</v>
      </c>
      <c r="Q384" s="1" t="s">
        <v>2482</v>
      </c>
      <c r="R384" s="1" t="s">
        <v>2483</v>
      </c>
      <c r="S384" s="1">
        <v>740086.0</v>
      </c>
      <c r="T384" s="7" t="str">
        <f>VLOOKUP(A384,Posters!A384:B1383,2)</f>
        <v>https://m.media-amazon.com/images/M/MV5BZjZlZDlkYTktMmU1My00ZDBiLWFlNjEtYTBhNjVhOTM4ZjJjXkEyXkFqcGdeQXVyMTMxODk2OTU@._V1_UX67_CR0,0,67,98_AL_.jpg</v>
      </c>
      <c r="U384" s="8">
        <f>'Inflation Adjusted Gross'!F384</f>
        <v>2180460</v>
      </c>
      <c r="V384" s="5">
        <f t="shared" si="1"/>
        <v>2020</v>
      </c>
    </row>
    <row r="385">
      <c r="A385" s="1">
        <v>384.0</v>
      </c>
      <c r="B385" s="1" t="s">
        <v>2484</v>
      </c>
      <c r="C385" s="6">
        <f>Gross_cleaning!E385</f>
        <v>22455976</v>
      </c>
      <c r="D385" s="1">
        <v>1999.0</v>
      </c>
      <c r="E385" s="1" t="s">
        <v>212</v>
      </c>
      <c r="F385" s="1" t="str">
        <f>VLOOKUP(Filmes_raw!E385,Rating_systems!$A$2:$C$29,3,FALSE)</f>
        <v>Adulto</v>
      </c>
      <c r="G385" s="2">
        <f>Gross_cleaning!F385</f>
        <v>188</v>
      </c>
      <c r="H385" s="1" t="s">
        <v>1864</v>
      </c>
      <c r="I385" s="1" t="s">
        <v>20</v>
      </c>
      <c r="J385" s="1">
        <v>8.0</v>
      </c>
      <c r="K385" s="1" t="s">
        <v>2485</v>
      </c>
      <c r="L385" s="1" t="str">
        <f>IFERROR(__xludf.DUMMYFUNCTION("GOOGLETRANSLATE(K385,""en"", ""pt-br"")"),"Um mosaico épico de personagens inter-relacionados em busca de amor, perdão e significado no vale de San Fernando.")</f>
        <v>Um mosaico épico de personagens inter-relacionados em busca de amor, perdão e significado no vale de San Fernando.</v>
      </c>
      <c r="M385" s="1">
        <v>77.0</v>
      </c>
      <c r="N385" s="1" t="s">
        <v>1091</v>
      </c>
      <c r="O385" s="1" t="s">
        <v>2486</v>
      </c>
      <c r="P385" s="1" t="s">
        <v>394</v>
      </c>
      <c r="Q385" s="1" t="s">
        <v>1728</v>
      </c>
      <c r="R385" s="1" t="s">
        <v>1593</v>
      </c>
      <c r="S385" s="1">
        <v>289742.0</v>
      </c>
      <c r="T385" s="7" t="str">
        <f>VLOOKUP(A385,Posters!A385:B1384,2)</f>
        <v>https://m.media-amazon.com/images/M/MV5BZjk3YThkNDktNjZjMS00MTBiLTllNTAtYzkzMTU0N2QwYjJjXkEyXkFqcGdeQXVyMTMxODk2OTU@._V1_UX67_CR0,0,67,98_AL_.jpg</v>
      </c>
      <c r="U385" s="8">
        <f>'Inflation Adjusted Gross'!F385</f>
        <v>35258616</v>
      </c>
      <c r="V385" s="5">
        <f t="shared" si="1"/>
        <v>2020</v>
      </c>
    </row>
    <row r="386">
      <c r="A386" s="1">
        <v>385.0</v>
      </c>
      <c r="B386" s="1" t="s">
        <v>2487</v>
      </c>
      <c r="C386" s="6">
        <f>Gross_cleaning!E386</f>
        <v>4184036</v>
      </c>
      <c r="D386" s="1">
        <v>2000.0</v>
      </c>
      <c r="E386" s="1" t="s">
        <v>52</v>
      </c>
      <c r="F386" s="1" t="str">
        <f>VLOOKUP(Filmes_raw!E386,Rating_systems!$A$2:$C$29,3,FALSE)</f>
        <v>Criança</v>
      </c>
      <c r="G386" s="2">
        <f>Gross_cleaning!F386</f>
        <v>140</v>
      </c>
      <c r="H386" s="1" t="s">
        <v>1059</v>
      </c>
      <c r="I386" s="1" t="s">
        <v>2488</v>
      </c>
      <c r="J386" s="1">
        <v>8.0</v>
      </c>
      <c r="K386" s="1" t="s">
        <v>2489</v>
      </c>
      <c r="L386" s="1" t="str">
        <f>IFERROR(__xludf.DUMMYFUNCTION("GOOGLETRANSLATE(K386,""en"", ""pt-br"")"),"Uma menina da Europa Oriental viaja para os Estados Unidos com seu filho, esperando que seja como um filme de Hollywood.")</f>
        <v>Uma menina da Europa Oriental viaja para os Estados Unidos com seu filho, esperando que seja como um filme de Hollywood.</v>
      </c>
      <c r="M386" s="1">
        <v>61.0</v>
      </c>
      <c r="N386" s="1" t="s">
        <v>2471</v>
      </c>
      <c r="O386" s="1" t="s">
        <v>2490</v>
      </c>
      <c r="P386" s="1" t="s">
        <v>2346</v>
      </c>
      <c r="Q386" s="1" t="s">
        <v>223</v>
      </c>
      <c r="R386" s="1" t="s">
        <v>2491</v>
      </c>
      <c r="S386" s="1">
        <v>102285.0</v>
      </c>
      <c r="T386" s="7" t="str">
        <f>VLOOKUP(A386,Posters!A386:B1385,2)</f>
        <v>https://m.media-amazon.com/images/M/MV5BNDVkYWMxNWEtNjc2MC00OGI5LWI3NmUtYWUwNDQyOTc3YmY5XkEyXkFqcGdeQXVyMTQxNzMzNDI@._V1_UX67_CR0,0,67,98_AL_.jpg</v>
      </c>
      <c r="U386" s="8">
        <f>'Inflation Adjusted Gross'!F386</f>
        <v>6394313</v>
      </c>
      <c r="V386" s="5">
        <f t="shared" si="1"/>
        <v>2020</v>
      </c>
    </row>
    <row r="387">
      <c r="A387" s="1">
        <v>386.0</v>
      </c>
      <c r="B387" s="1" t="s">
        <v>2492</v>
      </c>
      <c r="C387" s="6">
        <f>Gross_cleaning!E387</f>
        <v>6203044</v>
      </c>
      <c r="D387" s="1">
        <v>1999.0</v>
      </c>
      <c r="E387" s="1" t="s">
        <v>52</v>
      </c>
      <c r="F387" s="1" t="str">
        <f>VLOOKUP(Filmes_raw!E387,Rating_systems!$A$2:$C$29,3,FALSE)</f>
        <v>Criança</v>
      </c>
      <c r="G387" s="2">
        <f>Gross_cleaning!F387</f>
        <v>112</v>
      </c>
      <c r="H387" s="1" t="s">
        <v>295</v>
      </c>
      <c r="I387" s="1" t="s">
        <v>1148</v>
      </c>
      <c r="J387" s="1">
        <v>8.0</v>
      </c>
      <c r="K387" s="1" t="s">
        <v>2493</v>
      </c>
      <c r="L387" s="1" t="str">
        <f>IFERROR(__xludf.DUMMYFUNCTION("GOOGLETRANSLATE(K387,""en"", ""pt-br"")"),"Um velho faz uma longa jornada pelo lawnmower para consertar seu relacionamento com um irmão doente.")</f>
        <v>Um velho faz uma longa jornada pelo lawnmower para consertar seu relacionamento com um irmão doente.</v>
      </c>
      <c r="M387" s="1">
        <v>86.0</v>
      </c>
      <c r="N387" s="1" t="s">
        <v>1878</v>
      </c>
      <c r="O387" s="1" t="s">
        <v>2494</v>
      </c>
      <c r="P387" s="1" t="s">
        <v>2495</v>
      </c>
      <c r="Q387" s="1" t="s">
        <v>2496</v>
      </c>
      <c r="R387" s="1" t="s">
        <v>2497</v>
      </c>
      <c r="S387" s="1">
        <v>82002.0</v>
      </c>
      <c r="T387" s="7" t="str">
        <f>VLOOKUP(A387,Posters!A387:B1386,2)</f>
        <v>https://m.media-amazon.com/images/M/MV5BNmE1MDk4OWEtYjk1NS00MWU2LTk5ZWItYjZhYmRkODRjMDc0XkEyXkFqcGdeQXVyNjE5MjUyOTM@._V1_UX67_CR0,0,67,98_AL_.jpg</v>
      </c>
      <c r="U387" s="8">
        <f>'Inflation Adjusted Gross'!F387</f>
        <v>9739534</v>
      </c>
      <c r="V387" s="5">
        <f t="shared" si="1"/>
        <v>2020</v>
      </c>
    </row>
    <row r="388">
      <c r="A388" s="1">
        <v>387.0</v>
      </c>
      <c r="B388" s="1" t="s">
        <v>2498</v>
      </c>
      <c r="C388" s="6">
        <f>Gross_cleaning!E388</f>
        <v>776665</v>
      </c>
      <c r="D388" s="1">
        <v>1997.0</v>
      </c>
      <c r="E388" s="1" t="s">
        <v>18</v>
      </c>
      <c r="F388" s="1" t="str">
        <f>VLOOKUP(Filmes_raw!E388,Rating_systems!$A$2:$C$29,3,FALSE)</f>
        <v>Adulto</v>
      </c>
      <c r="G388" s="2">
        <f>Gross_cleaning!F388</f>
        <v>81</v>
      </c>
      <c r="H388" s="1" t="s">
        <v>764</v>
      </c>
      <c r="I388" s="1" t="s">
        <v>2499</v>
      </c>
      <c r="J388" s="1">
        <v>8.0</v>
      </c>
      <c r="K388" s="1" t="s">
        <v>2500</v>
      </c>
      <c r="L388" s="1" t="str">
        <f>IFERROR(__xludf.DUMMYFUNCTION("GOOGLETRANSLATE(K388,""en"", ""pt-br"")"),"Um cantor pop desiste de sua carreira para se tornar atriz, mas ela lentamente fica louca quando começa a ser perseguida por um fã obcecado e o que parece ser um fantasma de seu passado.")</f>
        <v>Um cantor pop desiste de sua carreira para se tornar atriz, mas ela lentamente fica louca quando começa a ser perseguida por um fã obcecado e o que parece ser um fantasma de seu passado.</v>
      </c>
      <c r="N388" s="1" t="s">
        <v>2501</v>
      </c>
      <c r="O388" s="1" t="s">
        <v>2502</v>
      </c>
      <c r="P388" s="1" t="s">
        <v>2503</v>
      </c>
      <c r="Q388" s="1" t="s">
        <v>2504</v>
      </c>
      <c r="R388" s="1" t="s">
        <v>2505</v>
      </c>
      <c r="S388" s="1">
        <v>58192.0</v>
      </c>
      <c r="T388" s="7" t="str">
        <f>VLOOKUP(A388,Posters!A388:B1387,2)</f>
        <v>https://m.media-amazon.com/images/M/MV5BMmMzOWNhNTYtYmY0My00OGJiLWIzNDUtZWRhNGY0NWFjNzFmXkEyXkFqcGdeQXVyNjUxMDQ0MTg@._V1_UX67_CR0,0,67,98_AL_.jpg</v>
      </c>
      <c r="U388" s="8">
        <f>'Inflation Adjusted Gross'!F388</f>
        <v>1259315</v>
      </c>
      <c r="V388" s="5">
        <f t="shared" si="1"/>
        <v>2020</v>
      </c>
    </row>
    <row r="389">
      <c r="A389" s="1">
        <v>388.0</v>
      </c>
      <c r="B389" s="1" t="s">
        <v>2506</v>
      </c>
      <c r="C389" s="6">
        <f>Gross_cleaning!E389</f>
        <v>1647780</v>
      </c>
      <c r="D389" s="1">
        <v>1998.0</v>
      </c>
      <c r="E389" s="1" t="s">
        <v>212</v>
      </c>
      <c r="F389" s="1" t="str">
        <f>VLOOKUP(Filmes_raw!E389,Rating_systems!$A$2:$C$29,3,FALSE)</f>
        <v>Adulto</v>
      </c>
      <c r="G389" s="2">
        <f>Gross_cleaning!F389</f>
        <v>105</v>
      </c>
      <c r="H389" s="1" t="s">
        <v>487</v>
      </c>
      <c r="I389" s="1" t="s">
        <v>20</v>
      </c>
      <c r="J389" s="1">
        <v>8.0</v>
      </c>
      <c r="K389" s="1" t="s">
        <v>2507</v>
      </c>
      <c r="L389" s="1" t="str">
        <f>IFERROR(__xludf.DUMMYFUNCTION("GOOGLETRANSLATE(K389,""en"", ""pt-br"")"),"Na 60ª festa de aniversário de Helge, algumas verdades familiares desagradáveis ​​são reveladas.")</f>
        <v>Na 60ª festa de aniversário de Helge, algumas verdades familiares desagradáveis ​​são reveladas.</v>
      </c>
      <c r="M389" s="1">
        <v>82.0</v>
      </c>
      <c r="N389" s="1" t="s">
        <v>672</v>
      </c>
      <c r="O389" s="1" t="s">
        <v>2508</v>
      </c>
      <c r="P389" s="1" t="s">
        <v>2509</v>
      </c>
      <c r="Q389" s="1" t="s">
        <v>674</v>
      </c>
      <c r="R389" s="1" t="s">
        <v>2510</v>
      </c>
      <c r="S389" s="1">
        <v>78341.0</v>
      </c>
      <c r="T389" s="7" t="str">
        <f>VLOOKUP(A389,Posters!A389:B1388,2)</f>
        <v>https://m.media-amazon.com/images/M/MV5BYTg3Yjc4N2QtZDdlNC00NmU2LWFiYjktYjI3NTMwMjk4M2FmXkEyXkFqcGdeQXVyMjgyNjk3MzE@._V1_UY98_CR4,0,67,98_AL_.jpg</v>
      </c>
      <c r="U389" s="8">
        <f>'Inflation Adjusted Gross'!F389</f>
        <v>2630442</v>
      </c>
      <c r="V389" s="5">
        <f t="shared" si="1"/>
        <v>2020</v>
      </c>
    </row>
    <row r="390">
      <c r="A390" s="1">
        <v>389.0</v>
      </c>
      <c r="B390" s="1" t="s">
        <v>2511</v>
      </c>
      <c r="C390" s="6">
        <f>Gross_cleaning!E390</f>
        <v>5595428</v>
      </c>
      <c r="D390" s="1">
        <v>1998.0</v>
      </c>
      <c r="E390" s="1" t="s">
        <v>212</v>
      </c>
      <c r="F390" s="1" t="str">
        <f>VLOOKUP(Filmes_raw!E390,Rating_systems!$A$2:$C$29,3,FALSE)</f>
        <v>Adulto</v>
      </c>
      <c r="G390" s="2">
        <f>Gross_cleaning!F390</f>
        <v>110</v>
      </c>
      <c r="H390" s="1" t="s">
        <v>343</v>
      </c>
      <c r="I390" s="1" t="s">
        <v>20</v>
      </c>
      <c r="J390" s="1">
        <v>8.0</v>
      </c>
      <c r="K390" s="1" t="s">
        <v>2512</v>
      </c>
      <c r="L390" s="1" t="str">
        <f>IFERROR(__xludf.DUMMYFUNCTION("GOOGLETRANSLATE(K390,""en"", ""pt-br"")"),"Uma jornada emotiva de um ex-professor da escola, que escreve cartas para pessoas analfabetas, e um menino, cuja mãe acabou de morrer, enquanto procuram pelo Pai que ele nunca conhecia.")</f>
        <v>Uma jornada emotiva de um ex-professor da escola, que escreve cartas para pessoas analfabetas, e um menino, cuja mãe acabou de morrer, enquanto procuram pelo Pai que ele nunca conhecia.</v>
      </c>
      <c r="M390" s="1">
        <v>80.0</v>
      </c>
      <c r="N390" s="1" t="s">
        <v>2513</v>
      </c>
      <c r="O390" s="1" t="s">
        <v>2514</v>
      </c>
      <c r="P390" s="1" t="s">
        <v>2515</v>
      </c>
      <c r="Q390" s="1" t="s">
        <v>2516</v>
      </c>
      <c r="R390" s="1" t="s">
        <v>2517</v>
      </c>
      <c r="S390" s="1">
        <v>36419.0</v>
      </c>
      <c r="T390" s="7" t="str">
        <f>VLOOKUP(A390,Posters!A390:B1389,2)</f>
        <v>https://m.media-amazon.com/images/M/MV5BMjE3ZDA5ZmUtYTk1ZS00NmZmLWJhNTItYjIwZjUwN2RjNzIyXkEyXkFqcGdeQXVyMTkzODUwNzk@._V1_UX67_CR0,0,67,98_AL_.jpg</v>
      </c>
      <c r="U390" s="8">
        <f>'Inflation Adjusted Gross'!F390</f>
        <v>8932291</v>
      </c>
      <c r="V390" s="5">
        <f t="shared" si="1"/>
        <v>2020</v>
      </c>
    </row>
    <row r="391">
      <c r="A391" s="1">
        <v>390.0</v>
      </c>
      <c r="B391" s="1" t="s">
        <v>2518</v>
      </c>
      <c r="C391" s="6">
        <f>Gross_cleaning!E391</f>
        <v>23159305</v>
      </c>
      <c r="D391" s="1">
        <v>1999.0</v>
      </c>
      <c r="E391" s="1" t="s">
        <v>270</v>
      </c>
      <c r="F391" s="1" t="str">
        <f>VLOOKUP(Filmes_raw!E391,Rating_systems!$A$2:$C$29,3,FALSE)</f>
        <v>Criança</v>
      </c>
      <c r="G391" s="2">
        <f>Gross_cleaning!F391</f>
        <v>86</v>
      </c>
      <c r="H391" s="1" t="s">
        <v>1206</v>
      </c>
      <c r="I391" s="1" t="s">
        <v>467</v>
      </c>
      <c r="J391" s="1">
        <v>8.0</v>
      </c>
      <c r="K391" s="1" t="s">
        <v>2519</v>
      </c>
      <c r="L391" s="1" t="str">
        <f>IFERROR(__xludf.DUMMYFUNCTION("GOOGLETRANSLATE(K391,""en"", ""pt-br"")"),"Um jovem rapaz faz amizade com um robô gigante do espaço exterior que um agente do governo paranóico quer destruir.")</f>
        <v>Um jovem rapaz faz amizade com um robô gigante do espaço exterior que um agente do governo paranóico quer destruir.</v>
      </c>
      <c r="M391" s="1">
        <v>85.0</v>
      </c>
      <c r="N391" s="1" t="s">
        <v>2400</v>
      </c>
      <c r="O391" s="1" t="s">
        <v>2520</v>
      </c>
      <c r="P391" s="1" t="s">
        <v>2521</v>
      </c>
      <c r="Q391" s="1" t="s">
        <v>2522</v>
      </c>
      <c r="R391" s="1" t="s">
        <v>2244</v>
      </c>
      <c r="S391" s="1">
        <v>172083.0</v>
      </c>
      <c r="T391" s="7" t="str">
        <f>VLOOKUP(A391,Posters!A391:B1390,2)</f>
        <v>https://m.media-amazon.com/images/M/MV5BMjIxNDU2Njk0OV5BMl5BanBnXkFtZTgwODc3Njc3NjE@._V1_UX67_CR0,0,67,98_AL_.jpg</v>
      </c>
      <c r="U391" s="8">
        <f>'Inflation Adjusted Gross'!F391</f>
        <v>36362928</v>
      </c>
      <c r="V391" s="5">
        <f t="shared" si="1"/>
        <v>2020</v>
      </c>
    </row>
    <row r="392">
      <c r="A392" s="1">
        <v>391.0</v>
      </c>
      <c r="B392" s="1" t="s">
        <v>2523</v>
      </c>
      <c r="C392" s="6">
        <f>Gross_cleaning!E392</f>
        <v>3296</v>
      </c>
      <c r="D392" s="1">
        <v>1997.0</v>
      </c>
      <c r="E392" s="1">
        <v>16.0</v>
      </c>
      <c r="F392" s="1" t="str">
        <f>VLOOKUP(Filmes_raw!E392,Rating_systems!$A$2:$C$29,3,FALSE)</f>
        <v>Adolescente</v>
      </c>
      <c r="G392" s="2">
        <f>Gross_cleaning!F392</f>
        <v>87</v>
      </c>
      <c r="H392" s="1" t="s">
        <v>415</v>
      </c>
      <c r="I392" s="1" t="s">
        <v>2524</v>
      </c>
      <c r="J392" s="1">
        <v>8.0</v>
      </c>
      <c r="K392" s="1" t="s">
        <v>2525</v>
      </c>
      <c r="L392" s="1" t="str">
        <f>IFERROR(__xludf.DUMMYFUNCTION("GOOGLETRANSLATE(K392,""en"", ""pt-br"")"),"Dois pacientes terminalmente doentes escaparam de um hospital, roubam um carro e correm para o mar.")</f>
        <v>Dois pacientes terminalmente doentes escaparam de um hospital, roubam um carro e correm para o mar.</v>
      </c>
      <c r="N392" s="1" t="s">
        <v>2526</v>
      </c>
      <c r="O392" s="1" t="s">
        <v>2527</v>
      </c>
      <c r="P392" s="1" t="s">
        <v>2528</v>
      </c>
      <c r="Q392" s="1" t="s">
        <v>2529</v>
      </c>
      <c r="R392" s="1" t="s">
        <v>2530</v>
      </c>
      <c r="S392" s="1">
        <v>27721.0</v>
      </c>
      <c r="T392" s="7" t="str">
        <f>VLOOKUP(A392,Posters!A392:B1391,2)</f>
        <v>https://m.media-amazon.com/images/M/MV5BMTk2MjcxNjMzN15BMl5BanBnXkFtZTgwMTE3OTEwNjE@._V1_UY98_CR3,0,67,98_AL_.jpg</v>
      </c>
      <c r="U392" s="8">
        <f>'Inflation Adjusted Gross'!F392</f>
        <v>5344</v>
      </c>
      <c r="V392" s="5">
        <f t="shared" si="1"/>
        <v>2020</v>
      </c>
    </row>
    <row r="393">
      <c r="A393" s="1">
        <v>392.0</v>
      </c>
      <c r="B393" s="1" t="s">
        <v>2531</v>
      </c>
      <c r="C393" s="6">
        <f>Gross_cleaning!E393</f>
        <v>24475416</v>
      </c>
      <c r="D393" s="1">
        <v>1996.0</v>
      </c>
      <c r="E393" s="1" t="s">
        <v>212</v>
      </c>
      <c r="F393" s="1" t="str">
        <f>VLOOKUP(Filmes_raw!E393,Rating_systems!$A$2:$C$29,3,FALSE)</f>
        <v>Adulto</v>
      </c>
      <c r="G393" s="2">
        <f>Gross_cleaning!F393</f>
        <v>135</v>
      </c>
      <c r="H393" s="1" t="s">
        <v>1044</v>
      </c>
      <c r="I393" s="1" t="s">
        <v>20</v>
      </c>
      <c r="J393" s="1">
        <v>8.0</v>
      </c>
      <c r="K393" s="1" t="s">
        <v>2532</v>
      </c>
      <c r="L393" s="1" t="str">
        <f>IFERROR(__xludf.DUMMYFUNCTION("GOOGLETRANSLATE(K393,""en"", ""pt-br"")"),"Karl Childers, um homem simples hospitalizado desde que seu assassinato de infância de sua mãe e seu amante, é liberado para começar uma nova vida em uma cidade pequena.")</f>
        <v>Karl Childers, um homem simples hospitalizado desde que seu assassinato de infância de sua mãe e seu amante, é liberado para começar uma nova vida em uma cidade pequena.</v>
      </c>
      <c r="M393" s="1">
        <v>84.0</v>
      </c>
      <c r="N393" s="1" t="s">
        <v>2533</v>
      </c>
      <c r="O393" s="1" t="s">
        <v>2533</v>
      </c>
      <c r="P393" s="1" t="s">
        <v>2534</v>
      </c>
      <c r="Q393" s="1" t="s">
        <v>2535</v>
      </c>
      <c r="R393" s="1" t="s">
        <v>2536</v>
      </c>
      <c r="S393" s="1">
        <v>86838.0</v>
      </c>
      <c r="T393" s="7" t="str">
        <f>VLOOKUP(A393,Posters!A393:B1392,2)</f>
        <v>https://m.media-amazon.com/images/M/MV5BNGY5NWIxMjAtODBjNC00MmZhLTk1ZTAtNGRhYThlOTNjMTQwXkEyXkFqcGdeQXVyNTc1NTQxODI@._V1_UX67_CR0,0,67,98_AL_.jpg</v>
      </c>
      <c r="U393" s="8">
        <f>'Inflation Adjusted Gross'!F393</f>
        <v>40893443</v>
      </c>
      <c r="V393" s="5">
        <f t="shared" si="1"/>
        <v>2020</v>
      </c>
    </row>
    <row r="394">
      <c r="A394" s="1">
        <v>393.0</v>
      </c>
      <c r="B394" s="1" t="s">
        <v>2537</v>
      </c>
      <c r="C394" s="6">
        <f>Gross_cleaning!E394</f>
        <v>13417292</v>
      </c>
      <c r="D394" s="1">
        <v>1996.0</v>
      </c>
      <c r="E394" s="1" t="s">
        <v>52</v>
      </c>
      <c r="F394" s="1" t="str">
        <f>VLOOKUP(Filmes_raw!E394,Rating_systems!$A$2:$C$29,3,FALSE)</f>
        <v>Criança</v>
      </c>
      <c r="G394" s="2">
        <f>Gross_cleaning!F394</f>
        <v>136</v>
      </c>
      <c r="H394" s="1" t="s">
        <v>127</v>
      </c>
      <c r="I394" s="1" t="s">
        <v>507</v>
      </c>
      <c r="J394" s="1">
        <v>8.0</v>
      </c>
      <c r="K394" s="1" t="s">
        <v>2538</v>
      </c>
      <c r="L394" s="1" t="str">
        <f>IFERROR(__xludf.DUMMYFUNCTION("GOOGLETRANSLATE(K394,""en"", ""pt-br"")"),"Após a morte de seus pais adotivos, um jovem optometrista negro jovem estabelece contato com sua mãe biológica - um trabalhador de fábrica branco solitário que morava na pobreza em London London.")</f>
        <v>Após a morte de seus pais adotivos, um jovem optometrista negro jovem estabelece contato com sua mãe biológica - um trabalhador de fábrica branco solitário que morava na pobreza em London London.</v>
      </c>
      <c r="M394" s="1">
        <v>91.0</v>
      </c>
      <c r="N394" s="1" t="s">
        <v>2539</v>
      </c>
      <c r="O394" s="1" t="s">
        <v>2540</v>
      </c>
      <c r="P394" s="1" t="s">
        <v>2541</v>
      </c>
      <c r="Q394" s="1" t="s">
        <v>2542</v>
      </c>
      <c r="R394" s="1" t="s">
        <v>2543</v>
      </c>
      <c r="S394" s="1">
        <v>37564.0</v>
      </c>
      <c r="T394" s="7" t="str">
        <f>VLOOKUP(A394,Posters!A394:B1393,2)</f>
        <v>https://m.media-amazon.com/images/M/MV5BY2QzMTIxNjItNGQyNy00MjQzLWJiYTItMzIyZjdkYjYyYjRlXkEyXkFqcGdeQXVyMTAwMzUyOTc@._V1_UX67_CR0,0,67,98_AL_.jpg</v>
      </c>
      <c r="U394" s="8">
        <f>'Inflation Adjusted Gross'!F394</f>
        <v>22417566</v>
      </c>
      <c r="V394" s="5">
        <f t="shared" si="1"/>
        <v>2020</v>
      </c>
    </row>
    <row r="395">
      <c r="A395" s="1">
        <v>394.0</v>
      </c>
      <c r="B395" s="1" t="s">
        <v>2544</v>
      </c>
      <c r="C395" s="6">
        <f>Gross_cleaning!E395</f>
        <v>57141459</v>
      </c>
      <c r="D395" s="1">
        <v>1995.0</v>
      </c>
      <c r="E395" s="1" t="s">
        <v>18</v>
      </c>
      <c r="F395" s="1" t="str">
        <f>VLOOKUP(Filmes_raw!E395,Rating_systems!$A$2:$C$29,3,FALSE)</f>
        <v>Adulto</v>
      </c>
      <c r="G395" s="2">
        <f>Gross_cleaning!F395</f>
        <v>129</v>
      </c>
      <c r="H395" s="1" t="s">
        <v>830</v>
      </c>
      <c r="I395" s="1" t="s">
        <v>2545</v>
      </c>
      <c r="J395" s="1">
        <v>8.0</v>
      </c>
      <c r="K395" s="1" t="s">
        <v>2546</v>
      </c>
      <c r="L395" s="1" t="str">
        <f>IFERROR(__xludf.DUMMYFUNCTION("GOOGLETRANSLATE(K395,""en"", ""pt-br"")"),"Em um mundo futuro devastado por doença, um condenado é enviado no tempo para reunir informações sobre o vírus feito pelo homem que eliminou a maior parte da população humana no planeta.")</f>
        <v>Em um mundo futuro devastado por doença, um condenado é enviado no tempo para reunir informações sobre o vírus feito pelo homem que eliminou a maior parte da população humana no planeta.</v>
      </c>
      <c r="M395" s="1">
        <v>74.0</v>
      </c>
      <c r="N395" s="1" t="s">
        <v>1262</v>
      </c>
      <c r="O395" s="1" t="s">
        <v>76</v>
      </c>
      <c r="P395" s="1" t="s">
        <v>2547</v>
      </c>
      <c r="Q395" s="1" t="s">
        <v>98</v>
      </c>
      <c r="R395" s="1" t="s">
        <v>2548</v>
      </c>
      <c r="S395" s="1">
        <v>578443.0</v>
      </c>
      <c r="T395" s="7" t="str">
        <f>VLOOKUP(A395,Posters!A395:B1394,2)</f>
        <v>https://m.media-amazon.com/images/M/MV5BN2Y2OWU4MWMtNmIyMy00YzMyLWI0Y2ItMTcyZDc3MTdmZDU4XkEyXkFqcGdeQXVyMTQxNzMzNDI@._V1_UX67_CR0,0,67,98_AL_.jpg</v>
      </c>
      <c r="U395" s="8">
        <f>'Inflation Adjusted Gross'!F395</f>
        <v>98076110</v>
      </c>
      <c r="V395" s="5">
        <f t="shared" si="1"/>
        <v>2020</v>
      </c>
    </row>
    <row r="396">
      <c r="A396" s="1">
        <v>395.0</v>
      </c>
      <c r="B396" s="1" t="s">
        <v>2549</v>
      </c>
      <c r="C396" s="6">
        <f>Gross_cleaning!E396</f>
        <v>515905</v>
      </c>
      <c r="D396" s="1">
        <v>1995.0</v>
      </c>
      <c r="E396" s="1" t="s">
        <v>37</v>
      </c>
      <c r="F396" s="1" t="str">
        <f>VLOOKUP(Filmes_raw!E396,Rating_systems!$A$2:$C$29,3,FALSE)</f>
        <v>Criança</v>
      </c>
      <c r="G396" s="2">
        <f>Gross_cleaning!F396</f>
        <v>83</v>
      </c>
      <c r="H396" s="1" t="s">
        <v>2550</v>
      </c>
      <c r="I396" s="1" t="s">
        <v>2551</v>
      </c>
      <c r="J396" s="1">
        <v>8.0</v>
      </c>
      <c r="K396" s="1" t="s">
        <v>2552</v>
      </c>
      <c r="L396" s="1" t="str">
        <f>IFERROR(__xludf.DUMMYFUNCTION("GOOGLETRANSLATE(K396,""en"", ""pt-br"")"),"Uma policial ciborgue e seu parceiro caçam um hacker misterioso e poderoso chamado de mestre de marionetes.")</f>
        <v>Uma policial ciborgue e seu parceiro caçam um hacker misterioso e poderoso chamado de mestre de marionetes.</v>
      </c>
      <c r="M396" s="1">
        <v>76.0</v>
      </c>
      <c r="N396" s="1" t="s">
        <v>2553</v>
      </c>
      <c r="O396" s="1" t="s">
        <v>2554</v>
      </c>
      <c r="P396" s="1" t="s">
        <v>2555</v>
      </c>
      <c r="Q396" s="1" t="s">
        <v>2556</v>
      </c>
      <c r="R396" s="1" t="s">
        <v>2557</v>
      </c>
      <c r="S396" s="1">
        <v>129231.0</v>
      </c>
      <c r="T396" s="7" t="str">
        <f>VLOOKUP(A396,Posters!A396:B1395,2)</f>
        <v>https://m.media-amazon.com/images/M/MV5BYWRiYjQyOGItNzQ1Mi00MGI1LWE3NjItNTg1ZDQwNjUwNDM2XkEyXkFqcGdeQXVyNTAyODkwOQ@@._V1_UX67_CR0,0,67,98_AL_.jpg</v>
      </c>
      <c r="U396" s="8">
        <f>'Inflation Adjusted Gross'!F396</f>
        <v>885486</v>
      </c>
      <c r="V396" s="5">
        <f t="shared" si="1"/>
        <v>2020</v>
      </c>
    </row>
    <row r="397">
      <c r="A397" s="1">
        <v>396.0</v>
      </c>
      <c r="B397" s="1" t="s">
        <v>2558</v>
      </c>
      <c r="C397" s="6">
        <f>Gross_cleaning!E397</f>
        <v>75082668</v>
      </c>
      <c r="D397" s="1">
        <v>1993.0</v>
      </c>
      <c r="E397" s="1" t="s">
        <v>52</v>
      </c>
      <c r="F397" s="1" t="str">
        <f>VLOOKUP(Filmes_raw!E397,Rating_systems!$A$2:$C$29,3,FALSE)</f>
        <v>Criança</v>
      </c>
      <c r="G397" s="2">
        <f>Gross_cleaning!F397</f>
        <v>76</v>
      </c>
      <c r="H397" s="1" t="s">
        <v>2137</v>
      </c>
      <c r="I397" s="1" t="s">
        <v>1207</v>
      </c>
      <c r="J397" s="1">
        <v>8.0</v>
      </c>
      <c r="K397" s="1" t="s">
        <v>2559</v>
      </c>
      <c r="L397" s="1" t="str">
        <f>IFERROR(__xludf.DUMMYFUNCTION("GOOGLETRANSLATE(K397,""en"", ""pt-br"")"),"Jack Skellington, rei da cidade de Halloween, descobre cidade de Natal, mas suas tentativas de trazer o Natal para sua casa causa confusão.")</f>
        <v>Jack Skellington, rei da cidade de Halloween, descobre cidade de Natal, mas suas tentativas de trazer o Natal para sua casa causa confusão.</v>
      </c>
      <c r="M397" s="1">
        <v>82.0</v>
      </c>
      <c r="N397" s="1" t="s">
        <v>2560</v>
      </c>
      <c r="O397" s="1" t="s">
        <v>2561</v>
      </c>
      <c r="P397" s="1" t="s">
        <v>2562</v>
      </c>
      <c r="Q397" s="1" t="s">
        <v>2563</v>
      </c>
      <c r="R397" s="1" t="s">
        <v>2564</v>
      </c>
      <c r="S397" s="1">
        <v>300208.0</v>
      </c>
      <c r="T397" s="7" t="str">
        <f>VLOOKUP(A397,Posters!A397:B1396,2)</f>
        <v>https://m.media-amazon.com/images/M/MV5BNWE4OTNiM2ItMjY4Ni00ZTViLWFiZmEtZGEyNGY2ZmNlMzIyXkEyXkFqcGdeQXVyMDU5NDcxNw@@._V1_UX67_CR0,0,67,98_AL_.jpg</v>
      </c>
      <c r="U397" s="8">
        <f>'Inflation Adjusted Gross'!F397</f>
        <v>135828548</v>
      </c>
      <c r="V397" s="5">
        <f t="shared" si="1"/>
        <v>2020</v>
      </c>
    </row>
    <row r="398">
      <c r="A398" s="1">
        <v>397.0</v>
      </c>
      <c r="B398" s="1" t="s">
        <v>2565</v>
      </c>
      <c r="C398" s="6">
        <f>Gross_cleaning!E398</f>
        <v>70906973</v>
      </c>
      <c r="D398" s="1">
        <v>1993.0</v>
      </c>
      <c r="E398" s="1" t="s">
        <v>52</v>
      </c>
      <c r="F398" s="1" t="str">
        <f>VLOOKUP(Filmes_raw!E398,Rating_systems!$A$2:$C$29,3,FALSE)</f>
        <v>Criança</v>
      </c>
      <c r="G398" s="2">
        <f>Gross_cleaning!F398</f>
        <v>101</v>
      </c>
      <c r="H398" s="1" t="s">
        <v>535</v>
      </c>
      <c r="I398" s="1" t="s">
        <v>2566</v>
      </c>
      <c r="J398" s="1">
        <v>8.0</v>
      </c>
      <c r="K398" s="1" t="s">
        <v>2567</v>
      </c>
      <c r="L398" s="1" t="str">
        <f>IFERROR(__xludf.DUMMYFUNCTION("GOOGLETRANSLATE(K398,""en"", ""pt-br"")"),"Um meteorologista se encontra inexplicavelmente vivendo no mesmo dia várias vezes.")</f>
        <v>Um meteorologista se encontra inexplicavelmente vivendo no mesmo dia várias vezes.</v>
      </c>
      <c r="M398" s="1">
        <v>72.0</v>
      </c>
      <c r="N398" s="1" t="s">
        <v>2568</v>
      </c>
      <c r="O398" s="1" t="s">
        <v>2569</v>
      </c>
      <c r="P398" s="1" t="s">
        <v>2570</v>
      </c>
      <c r="Q398" s="1" t="s">
        <v>2571</v>
      </c>
      <c r="R398" s="1" t="s">
        <v>2572</v>
      </c>
      <c r="S398" s="1">
        <v>577991.0</v>
      </c>
      <c r="T398" s="7" t="str">
        <f>VLOOKUP(A398,Posters!A398:B1397,2)</f>
        <v>https://m.media-amazon.com/images/M/MV5BZWIxNzM5YzQtY2FmMS00Yjc3LWI1ZjUtNGVjMjMzZTIxZTIxXkEyXkFqcGdeQXVyNjU0OTQ0OTY@._V1_UX67_CR0,0,67,98_AL_.jpg</v>
      </c>
      <c r="U398" s="8">
        <f>'Inflation Adjusted Gross'!F398</f>
        <v>128274493</v>
      </c>
      <c r="V398" s="5">
        <f t="shared" si="1"/>
        <v>2020</v>
      </c>
    </row>
    <row r="399">
      <c r="A399" s="1">
        <v>398.0</v>
      </c>
      <c r="B399" s="1" t="s">
        <v>2573</v>
      </c>
      <c r="C399" s="6">
        <f>Gross_cleaning!E399</f>
        <v>4496583</v>
      </c>
      <c r="D399" s="1">
        <v>1993.0</v>
      </c>
      <c r="E399" s="1" t="s">
        <v>212</v>
      </c>
      <c r="F399" s="1" t="str">
        <f>VLOOKUP(Filmes_raw!E399,Rating_systems!$A$2:$C$29,3,FALSE)</f>
        <v>Adulto</v>
      </c>
      <c r="G399" s="2">
        <f>Gross_cleaning!F399</f>
        <v>180</v>
      </c>
      <c r="H399" s="1" t="s">
        <v>1077</v>
      </c>
      <c r="I399" s="1" t="s">
        <v>29</v>
      </c>
      <c r="J399" s="1">
        <v>8.0</v>
      </c>
      <c r="K399" s="1" t="s">
        <v>2574</v>
      </c>
      <c r="L399" s="1" t="str">
        <f>IFERROR(__xludf.DUMMYFUNCTION("GOOGLETRANSLATE(K399,""en"", ""pt-br"")"),"Com base nas experiências verdadeiras da vida do poeta Jimmy Santiago Baca, o filme se concentra no passo-irmãos Paco e Cruz, e seu primo bi-racial miklo.")</f>
        <v>Com base nas experiências verdadeiras da vida do poeta Jimmy Santiago Baca, o filme se concentra no passo-irmãos Paco e Cruz, e seu primo bi-racial miklo.</v>
      </c>
      <c r="M399" s="1">
        <v>47.0</v>
      </c>
      <c r="N399" s="1" t="s">
        <v>2575</v>
      </c>
      <c r="O399" s="1" t="s">
        <v>2576</v>
      </c>
      <c r="P399" s="1" t="s">
        <v>2577</v>
      </c>
      <c r="Q399" s="1" t="s">
        <v>493</v>
      </c>
      <c r="R399" s="1" t="s">
        <v>2578</v>
      </c>
      <c r="S399" s="1">
        <v>28825.0</v>
      </c>
      <c r="T399" s="7" t="str">
        <f>VLOOKUP(A399,Posters!A399:B1398,2)</f>
        <v>https://m.media-amazon.com/images/M/MV5BNzZmMjAxNjQtZjQzOS00NjU4LWI0NDktZjlkZTgwNjVmNzU3XkEyXkFqcGdeQXVyNTI4MjkwNjA@._V1_UX67_CR0,0,67,98_AL_.jpg</v>
      </c>
      <c r="U399" s="8">
        <f>'Inflation Adjusted Gross'!F399</f>
        <v>8134558</v>
      </c>
      <c r="V399" s="5">
        <f t="shared" si="1"/>
        <v>2020</v>
      </c>
    </row>
    <row r="400">
      <c r="A400" s="1">
        <v>399.0</v>
      </c>
      <c r="B400" s="1" t="s">
        <v>2579</v>
      </c>
      <c r="C400" s="6">
        <f>Gross_cleaning!E400</f>
        <v>63895607</v>
      </c>
      <c r="D400" s="1">
        <v>1992.0</v>
      </c>
      <c r="E400" s="1" t="s">
        <v>37</v>
      </c>
      <c r="F400" s="1" t="str">
        <f>VLOOKUP(Filmes_raw!E400,Rating_systems!$A$2:$C$29,3,FALSE)</f>
        <v>Criança</v>
      </c>
      <c r="G400" s="2">
        <f>Gross_cleaning!F400</f>
        <v>156</v>
      </c>
      <c r="H400" s="1" t="s">
        <v>955</v>
      </c>
      <c r="I400" s="1" t="s">
        <v>20</v>
      </c>
      <c r="J400" s="1">
        <v>8.0</v>
      </c>
      <c r="K400" s="1" t="s">
        <v>2580</v>
      </c>
      <c r="L400" s="1" t="str">
        <f>IFERROR(__xludf.DUMMYFUNCTION("GOOGLETRANSLATE(K400,""en"", ""pt-br"")"),"Um estudante escolar preparatório que precisa de dinheiro concorda em ""babá"" um homem cego, mas o trabalho não é nada o que ele previa.")</f>
        <v>Um estudante escolar preparatório que precisa de dinheiro concorda em "babá" um homem cego, mas o trabalho não é nada o que ele previa.</v>
      </c>
      <c r="M400" s="1">
        <v>59.0</v>
      </c>
      <c r="N400" s="1" t="s">
        <v>2581</v>
      </c>
      <c r="O400" s="1" t="s">
        <v>33</v>
      </c>
      <c r="P400" s="1" t="s">
        <v>2582</v>
      </c>
      <c r="Q400" s="1" t="s">
        <v>2583</v>
      </c>
      <c r="R400" s="1" t="s">
        <v>2584</v>
      </c>
      <c r="S400" s="1">
        <v>263918.0</v>
      </c>
      <c r="T400" s="7" t="str">
        <f>VLOOKUP(A400,Posters!A400:B1399,2)</f>
        <v>https://m.media-amazon.com/images/M/MV5BZTM3ZjA3NTctZThkYy00ODYyLTk2ZjItZmE0MmZlMTk3YjQwXkEyXkFqcGdeQXVyNTA4NzY1MzY@._V1_UX67_CR0,0,67,98_AL_.jpg</v>
      </c>
      <c r="U400" s="8">
        <f>'Inflation Adjusted Gross'!F400</f>
        <v>119357087</v>
      </c>
      <c r="V400" s="5">
        <f t="shared" si="1"/>
        <v>2020</v>
      </c>
    </row>
    <row r="401">
      <c r="A401" s="1">
        <v>400.0</v>
      </c>
      <c r="B401" s="1" t="s">
        <v>2585</v>
      </c>
      <c r="C401" s="6">
        <f>Gross_cleaning!E401</f>
        <v>217350219</v>
      </c>
      <c r="D401" s="1">
        <v>1992.0</v>
      </c>
      <c r="E401" s="1" t="s">
        <v>52</v>
      </c>
      <c r="F401" s="1" t="str">
        <f>VLOOKUP(Filmes_raw!E401,Rating_systems!$A$2:$C$29,3,FALSE)</f>
        <v>Criança</v>
      </c>
      <c r="G401" s="2">
        <f>Gross_cleaning!F401</f>
        <v>90</v>
      </c>
      <c r="H401" s="1" t="s">
        <v>2586</v>
      </c>
      <c r="I401" s="1" t="s">
        <v>765</v>
      </c>
      <c r="J401" s="1">
        <v>8.0</v>
      </c>
      <c r="K401" s="1" t="s">
        <v>2587</v>
      </c>
      <c r="L401" s="1" t="str">
        <f>IFERROR(__xludf.DUMMYFUNCTION("GOOGLETRANSLATE(K401,""en"", ""pt-br"")"),"Um ounchino de rua cada vez maior e um grande vizier de poder vizier para uma lâmpada mágica que tem o poder de tornar seus desejos mais profundos.")</f>
        <v>Um ounchino de rua cada vez maior e um grande vizier de poder vizier para uma lâmpada mágica que tem o poder de tornar seus desejos mais profundos.</v>
      </c>
      <c r="M401" s="1">
        <v>86.0</v>
      </c>
      <c r="N401" s="1" t="s">
        <v>2588</v>
      </c>
      <c r="O401" s="1" t="s">
        <v>2589</v>
      </c>
      <c r="P401" s="1" t="s">
        <v>2590</v>
      </c>
      <c r="Q401" s="1" t="s">
        <v>752</v>
      </c>
      <c r="R401" s="1" t="s">
        <v>2591</v>
      </c>
      <c r="S401" s="1">
        <v>373845.0</v>
      </c>
      <c r="T401" s="7" t="str">
        <f>VLOOKUP(A401,Posters!A401:B1400,2)</f>
        <v>https://m.media-amazon.com/images/M/MV5BY2Q2NDI1MjUtM2Q5ZS00MTFlLWJiYWEtNTZmNjQ3OGJkZDgxXkEyXkFqcGdeQXVyNTI4MjkwNjA@._V1_UX67_CR0,0,67,98_AL_.jpg</v>
      </c>
      <c r="U401" s="8">
        <f>'Inflation Adjusted Gross'!F401</f>
        <v>406010524</v>
      </c>
      <c r="V401" s="5">
        <f t="shared" si="1"/>
        <v>2020</v>
      </c>
    </row>
    <row r="402">
      <c r="A402" s="1">
        <v>401.0</v>
      </c>
      <c r="B402" s="1" t="s">
        <v>2592</v>
      </c>
      <c r="C402" s="6">
        <f>Gross_cleaning!E402</f>
        <v>70405498</v>
      </c>
      <c r="D402" s="1">
        <v>1991.0</v>
      </c>
      <c r="E402" s="1" t="s">
        <v>37</v>
      </c>
      <c r="F402" s="1" t="str">
        <f>VLOOKUP(Filmes_raw!E402,Rating_systems!$A$2:$C$29,3,FALSE)</f>
        <v>Criança</v>
      </c>
      <c r="G402" s="2">
        <f>Gross_cleaning!F402</f>
        <v>189</v>
      </c>
      <c r="H402" s="1" t="s">
        <v>219</v>
      </c>
      <c r="I402" s="1" t="s">
        <v>2593</v>
      </c>
      <c r="J402" s="1">
        <v>8.0</v>
      </c>
      <c r="K402" s="1" t="s">
        <v>2594</v>
      </c>
      <c r="L402" s="1" t="str">
        <f>IFERROR(__xludf.DUMMYFUNCTION("GOOGLETRANSLATE(K402,""en"", ""pt-br"")"),"New Orleans District Procurador Jim Garrison descobre que há mais para o assassinato Kennedy do que a história oficial.")</f>
        <v>New Orleans District Procurador Jim Garrison descobre que há mais para o assassinato Kennedy do que a história oficial.</v>
      </c>
      <c r="M402" s="1">
        <v>72.0</v>
      </c>
      <c r="N402" s="1" t="s">
        <v>1822</v>
      </c>
      <c r="O402" s="1" t="s">
        <v>2595</v>
      </c>
      <c r="P402" s="1" t="s">
        <v>347</v>
      </c>
      <c r="Q402" s="1" t="s">
        <v>866</v>
      </c>
      <c r="R402" s="1" t="s">
        <v>2596</v>
      </c>
      <c r="S402" s="1">
        <v>142110.0</v>
      </c>
      <c r="T402" s="7" t="str">
        <f>VLOOKUP(A402,Posters!A402:B1401,2)</f>
        <v>https://m.media-amazon.com/images/M/MV5BYjYyODExMDctZjgwYy00ZjQwLWI4OWYtOGFlYjA4ZjEzNmY1XkEyXkFqcGdeQXVyNTAyODkwOQ@@._V1_UX67_CR0,0,67,98_AL_.jpg</v>
      </c>
      <c r="U402" s="8">
        <f>'Inflation Adjusted Gross'!F402</f>
        <v>134937420</v>
      </c>
      <c r="V402" s="5">
        <f t="shared" si="1"/>
        <v>2020</v>
      </c>
    </row>
    <row r="403">
      <c r="A403" s="1">
        <v>402.0</v>
      </c>
      <c r="B403" s="1" t="s">
        <v>2597</v>
      </c>
      <c r="C403" s="6">
        <f>Gross_cleaning!E403</f>
        <v>218967620</v>
      </c>
      <c r="D403" s="1">
        <v>1991.0</v>
      </c>
      <c r="E403" s="1" t="s">
        <v>414</v>
      </c>
      <c r="F403" s="1" t="str">
        <f>VLOOKUP(Filmes_raw!E403,Rating_systems!$A$2:$C$29,3,FALSE)</f>
        <v>Criança</v>
      </c>
      <c r="G403" s="2">
        <f>Gross_cleaning!F403</f>
        <v>84</v>
      </c>
      <c r="H403" s="1" t="s">
        <v>2598</v>
      </c>
      <c r="I403" s="1" t="s">
        <v>1207</v>
      </c>
      <c r="J403" s="1">
        <v>8.0</v>
      </c>
      <c r="K403" s="1" t="s">
        <v>2599</v>
      </c>
      <c r="L403" s="1" t="str">
        <f>IFERROR(__xludf.DUMMYFUNCTION("GOOGLETRANSLATE(K403,""en"", ""pt-br"")"),"Um príncipe amaldiçoado para passar seus dias como um monstro horrível se propõe a recuperar sua humanidade, ganhando o amor de uma jovem mulher.")</f>
        <v>Um príncipe amaldiçoado para passar seus dias como um monstro horrível se propõe a recuperar sua humanidade, ganhando o amor de uma jovem mulher.</v>
      </c>
      <c r="M403" s="1">
        <v>95.0</v>
      </c>
      <c r="N403" s="1" t="s">
        <v>2600</v>
      </c>
      <c r="O403" s="1" t="s">
        <v>2601</v>
      </c>
      <c r="P403" s="1" t="s">
        <v>2602</v>
      </c>
      <c r="Q403" s="1" t="s">
        <v>2603</v>
      </c>
      <c r="R403" s="1" t="s">
        <v>2604</v>
      </c>
      <c r="S403" s="1">
        <v>417178.0</v>
      </c>
      <c r="T403" s="7" t="str">
        <f>VLOOKUP(A403,Posters!A403:B1402,2)</f>
        <v>https://m.media-amazon.com/images/M/MV5BMzE5MDM1NDktY2I0OC00YWI5LTk2NzUtYjczNDczOWQxYjM0XkEyXkFqcGdeQXVyMTQxNzMzNDI@._V1_UX67_CR0,0,67,98_AL_.jpg</v>
      </c>
      <c r="U403" s="8">
        <f>'Inflation Adjusted Gross'!F403</f>
        <v>419667875</v>
      </c>
      <c r="V403" s="5">
        <f t="shared" si="1"/>
        <v>2020</v>
      </c>
    </row>
    <row r="404">
      <c r="A404" s="1">
        <v>403.0</v>
      </c>
      <c r="B404" s="1" t="s">
        <v>2605</v>
      </c>
      <c r="C404" s="6">
        <f>Gross_cleaning!E404</f>
        <v>184208848</v>
      </c>
      <c r="D404" s="1">
        <v>1990.0</v>
      </c>
      <c r="E404" s="1" t="s">
        <v>52</v>
      </c>
      <c r="F404" s="1" t="str">
        <f>VLOOKUP(Filmes_raw!E404,Rating_systems!$A$2:$C$29,3,FALSE)</f>
        <v>Criança</v>
      </c>
      <c r="G404" s="2">
        <f>Gross_cleaning!F404</f>
        <v>181</v>
      </c>
      <c r="H404" s="1" t="s">
        <v>475</v>
      </c>
      <c r="I404" s="1" t="s">
        <v>1344</v>
      </c>
      <c r="J404" s="1">
        <v>8.0</v>
      </c>
      <c r="K404" s="1" t="s">
        <v>2606</v>
      </c>
      <c r="L404" s="1" t="str">
        <f>IFERROR(__xludf.DUMMYFUNCTION("GOOGLETRANSLATE(K404,""en"", ""pt-br"")"),"O tenente John Dunbar, atribuído a um posto avançado de guerra civil ocidental remoto, fazer amizade com lobos e índios, tornando-o uma aberração intolerável nas forças armadas.")</f>
        <v>O tenente John Dunbar, atribuído a um posto avançado de guerra civil ocidental remoto, fazer amizade com lobos e índios, tornando-o uma aberração intolerável nas forças armadas.</v>
      </c>
      <c r="M404" s="1">
        <v>72.0</v>
      </c>
      <c r="N404" s="1" t="s">
        <v>2595</v>
      </c>
      <c r="O404" s="1" t="s">
        <v>2595</v>
      </c>
      <c r="P404" s="1" t="s">
        <v>2482</v>
      </c>
      <c r="Q404" s="1" t="s">
        <v>2607</v>
      </c>
      <c r="R404" s="1" t="s">
        <v>2608</v>
      </c>
      <c r="S404" s="1">
        <v>240266.0</v>
      </c>
      <c r="T404" s="7" t="str">
        <f>VLOOKUP(A404,Posters!A404:B1403,2)</f>
        <v>https://m.media-amazon.com/images/M/MV5BMTY3OTI5NDczN15BMl5BanBnXkFtZTcwNDA0NDY3Mw@@._V1_UX67_CR0,0,67,98_AL_.jpg</v>
      </c>
      <c r="U404" s="8">
        <f>'Inflation Adjusted Gross'!F404</f>
        <v>373002674</v>
      </c>
      <c r="V404" s="5">
        <f t="shared" si="1"/>
        <v>2020</v>
      </c>
    </row>
    <row r="405">
      <c r="A405" s="1">
        <v>404.0</v>
      </c>
      <c r="B405" s="1" t="s">
        <v>2609</v>
      </c>
      <c r="C405" s="6">
        <f>Gross_cleaning!E405</f>
        <v>27545445</v>
      </c>
      <c r="D405" s="1">
        <v>1989.0</v>
      </c>
      <c r="E405" s="1" t="s">
        <v>212</v>
      </c>
      <c r="F405" s="1" t="str">
        <f>VLOOKUP(Filmes_raw!E405,Rating_systems!$A$2:$C$29,3,FALSE)</f>
        <v>Adulto</v>
      </c>
      <c r="G405" s="2">
        <f>Gross_cleaning!F405</f>
        <v>120</v>
      </c>
      <c r="H405" s="1" t="s">
        <v>1546</v>
      </c>
      <c r="I405" s="1" t="s">
        <v>507</v>
      </c>
      <c r="J405" s="1">
        <v>8.0</v>
      </c>
      <c r="K405" s="1" t="s">
        <v>2610</v>
      </c>
      <c r="L405" s="1" t="str">
        <f>IFERROR(__xludf.DUMMYFUNCTION("GOOGLETRANSLATE(K405,""en"", ""pt-br"")"),"No dia mais quente do ano em uma rua na seção Bedford-Stuyvesant de Brooklyn, o ódio de todos e Bigotry Smolders e constrói até explodir a violência.")</f>
        <v>No dia mais quente do ano em uma rua na seção Bedford-Stuyvesant de Brooklyn, o ódio de todos e Bigotry Smolders e constrói até explodir a violência.</v>
      </c>
      <c r="M405" s="1">
        <v>93.0</v>
      </c>
      <c r="N405" s="1" t="s">
        <v>2611</v>
      </c>
      <c r="O405" s="1" t="s">
        <v>349</v>
      </c>
      <c r="P405" s="1" t="s">
        <v>2612</v>
      </c>
      <c r="Q405" s="1" t="s">
        <v>2613</v>
      </c>
      <c r="R405" s="1" t="s">
        <v>2614</v>
      </c>
      <c r="S405" s="1">
        <v>89429.0</v>
      </c>
      <c r="T405" s="7" t="str">
        <f>VLOOKUP(A405,Posters!A405:B1404,2)</f>
        <v>https://m.media-amazon.com/images/M/MV5BODA2MjU1NTI1MV5BMl5BanBnXkFtZTgwOTU4ODIwMjE@._V1_UX67_CR0,0,67,98_AL_.jpg</v>
      </c>
      <c r="U405" s="8">
        <f>'Inflation Adjusted Gross'!F405</f>
        <v>58678167</v>
      </c>
      <c r="V405" s="5">
        <f t="shared" si="1"/>
        <v>2020</v>
      </c>
    </row>
    <row r="406">
      <c r="A406" s="1">
        <v>405.0</v>
      </c>
      <c r="B406" s="1" t="s">
        <v>2615</v>
      </c>
      <c r="C406" s="6">
        <f>Gross_cleaning!E406</f>
        <v>178800000</v>
      </c>
      <c r="D406" s="1">
        <v>1988.0</v>
      </c>
      <c r="E406" s="1" t="s">
        <v>52</v>
      </c>
      <c r="F406" s="1" t="str">
        <f>VLOOKUP(Filmes_raw!E406,Rating_systems!$A$2:$C$29,3,FALSE)</f>
        <v>Criança</v>
      </c>
      <c r="G406" s="2">
        <f>Gross_cleaning!F406</f>
        <v>133</v>
      </c>
      <c r="H406" s="1" t="s">
        <v>153</v>
      </c>
      <c r="I406" s="1" t="s">
        <v>20</v>
      </c>
      <c r="J406" s="1">
        <v>8.0</v>
      </c>
      <c r="K406" s="1" t="s">
        <v>2616</v>
      </c>
      <c r="L406" s="1" t="str">
        <f>IFERROR(__xludf.DUMMYFUNCTION("GOOGLETRANSLATE(K406,""en"", ""pt-br"")"),"O pai egoísta Yuppie Charlie Babbitt deixou uma fortuna para seu irmão Savant Raymond e uma ninharia para Charlie; eles viajam cross-country.")</f>
        <v>O pai egoísta Yuppie Charlie Babbitt deixou uma fortuna para seu irmão Savant Raymond e uma ninharia para Charlie; eles viajam cross-country.</v>
      </c>
      <c r="M406" s="1">
        <v>65.0</v>
      </c>
      <c r="N406" s="1" t="s">
        <v>2617</v>
      </c>
      <c r="O406" s="1" t="s">
        <v>2618</v>
      </c>
      <c r="P406" s="1" t="s">
        <v>2486</v>
      </c>
      <c r="Q406" s="1" t="s">
        <v>1375</v>
      </c>
      <c r="R406" s="1" t="s">
        <v>2619</v>
      </c>
      <c r="S406" s="1">
        <v>473064.0</v>
      </c>
      <c r="T406" s="7" t="str">
        <f>VLOOKUP(A406,Posters!A406:B1405,2)</f>
        <v>https://m.media-amazon.com/images/M/MV5BMzVjNzI4NzYtMjE4NS00M2IzLWFkOWMtOTYwMWUzN2ZlNGVjL2ltYWdlL2ltYWdlXkEyXkFqcGdeQXVyMTQxNzMzNDI@._V1_UX67_CR0,0,67,98_AL_.jpg</v>
      </c>
      <c r="U406" s="8">
        <f>'Inflation Adjusted Gross'!F406</f>
        <v>398662185</v>
      </c>
      <c r="V406" s="5">
        <f t="shared" si="1"/>
        <v>2020</v>
      </c>
    </row>
    <row r="407">
      <c r="A407" s="1">
        <v>406.0</v>
      </c>
      <c r="B407" s="1" t="s">
        <v>2620</v>
      </c>
      <c r="C407" s="6">
        <f>Gross_cleaning!E407</f>
        <v>553171</v>
      </c>
      <c r="D407" s="1">
        <v>1988.0</v>
      </c>
      <c r="E407" s="1" t="s">
        <v>37</v>
      </c>
      <c r="F407" s="1" t="str">
        <f>VLOOKUP(Filmes_raw!E407,Rating_systems!$A$2:$C$29,3,FALSE)</f>
        <v>Criança</v>
      </c>
      <c r="G407" s="2">
        <f>Gross_cleaning!F407</f>
        <v>124</v>
      </c>
      <c r="H407" s="1" t="s">
        <v>144</v>
      </c>
      <c r="I407" s="1" t="s">
        <v>2621</v>
      </c>
      <c r="J407" s="1">
        <v>8.0</v>
      </c>
      <c r="K407" s="1" t="s">
        <v>2622</v>
      </c>
      <c r="L407" s="1" t="str">
        <f>IFERROR(__xludf.DUMMYFUNCTION("GOOGLETRANSLATE(K407,""en"", ""pt-br"")"),"Um projeto militar secreto põe em risco Neo-tokyo quando transforma um membro de gangue de motociclista em um psicopata psíquico furtivo que só pode ser parado por dois adolescentes e um grupo de psíquicos.")</f>
        <v>Um projeto militar secreto põe em risco Neo-tokyo quando transforma um membro de gangue de motociclista em um psicopata psíquico furtivo que só pode ser parado por dois adolescentes e um grupo de psíquicos.</v>
      </c>
      <c r="N407" s="1" t="s">
        <v>2623</v>
      </c>
      <c r="O407" s="1" t="s">
        <v>2624</v>
      </c>
      <c r="P407" s="1" t="s">
        <v>2625</v>
      </c>
      <c r="Q407" s="1" t="s">
        <v>2626</v>
      </c>
      <c r="R407" s="1" t="s">
        <v>2627</v>
      </c>
      <c r="S407" s="1">
        <v>164918.0</v>
      </c>
      <c r="T407" s="7" t="str">
        <f>VLOOKUP(A407,Posters!A407:B1406,2)</f>
        <v>https://m.media-amazon.com/images/M/MV5BM2ZiZTk1ODgtMTZkNS00NTYxLWIxZTUtNWExZGYwZTRjODViXkEyXkFqcGdeQXVyMTE2MzA3MDM@._V1_UX67_CR0,0,67,98_AL_.jpg</v>
      </c>
      <c r="U407" s="8">
        <f>'Inflation Adjusted Gross'!F407</f>
        <v>1233380</v>
      </c>
      <c r="V407" s="5">
        <f t="shared" si="1"/>
        <v>2020</v>
      </c>
    </row>
    <row r="408">
      <c r="A408" s="1">
        <v>407.0</v>
      </c>
      <c r="B408" s="1" t="s">
        <v>2628</v>
      </c>
      <c r="C408" s="6">
        <f>Gross_cleaning!E408</f>
        <v>30857814</v>
      </c>
      <c r="D408" s="1">
        <v>1987.0</v>
      </c>
      <c r="E408" s="1" t="s">
        <v>52</v>
      </c>
      <c r="F408" s="1" t="str">
        <f>VLOOKUP(Filmes_raw!E408,Rating_systems!$A$2:$C$29,3,FALSE)</f>
        <v>Criança</v>
      </c>
      <c r="G408" s="2">
        <f>Gross_cleaning!F408</f>
        <v>98</v>
      </c>
      <c r="H408" s="1" t="s">
        <v>519</v>
      </c>
      <c r="I408" s="1" t="s">
        <v>2629</v>
      </c>
      <c r="J408" s="1">
        <v>8.0</v>
      </c>
      <c r="K408" s="1" t="s">
        <v>2630</v>
      </c>
      <c r="L408" s="1" t="str">
        <f>IFERROR(__xludf.DUMMYFUNCTION("GOOGLETRANSLATE(K408,""en"", ""pt-br"")"),"Enquanto casa doente na cama, o avô de um menino lê-lo a história de um pirata que encontra inúmeros obstáculos, inimigos e aliados em sua busca para se reunir com seu verdadeiro amor.")</f>
        <v>Enquanto casa doente na cama, o avô de um menino lê-lo a história de um pirata que encontra inúmeros obstáculos, inimigos e aliados em sua busca para se reunir com seu verdadeiro amor.</v>
      </c>
      <c r="M408" s="1">
        <v>77.0</v>
      </c>
      <c r="N408" s="1" t="s">
        <v>1815</v>
      </c>
      <c r="O408" s="1" t="s">
        <v>2631</v>
      </c>
      <c r="P408" s="1" t="s">
        <v>2632</v>
      </c>
      <c r="Q408" s="1" t="s">
        <v>111</v>
      </c>
      <c r="R408" s="1" t="s">
        <v>2562</v>
      </c>
      <c r="S408" s="1">
        <v>393899.0</v>
      </c>
      <c r="T408" s="7" t="str">
        <f>VLOOKUP(A408,Posters!A408:B1407,2)</f>
        <v>https://m.media-amazon.com/images/M/MV5BMGM4M2Q5N2MtNThkZS00NTc1LTk1NTItNWEyZjJjNDRmNDk5XkEyXkFqcGdeQXVyMjA0MDQ0Mjc@._V1_UX67_CR0,0,67,98_AL_.jpg</v>
      </c>
      <c r="U408" s="8">
        <f>'Inflation Adjusted Gross'!F408</f>
        <v>71586521</v>
      </c>
      <c r="V408" s="5">
        <f t="shared" si="1"/>
        <v>2020</v>
      </c>
    </row>
    <row r="409">
      <c r="A409" s="1">
        <v>408.0</v>
      </c>
      <c r="B409" s="1" t="s">
        <v>2633</v>
      </c>
      <c r="C409" s="6">
        <f>Gross_cleaning!E409</f>
        <v>3333969</v>
      </c>
      <c r="D409" s="1">
        <v>1987.0</v>
      </c>
      <c r="E409" s="1" t="s">
        <v>52</v>
      </c>
      <c r="F409" s="1" t="str">
        <f>VLOOKUP(Filmes_raw!E409,Rating_systems!$A$2:$C$29,3,FALSE)</f>
        <v>Criança</v>
      </c>
      <c r="G409" s="2">
        <f>Gross_cleaning!F409</f>
        <v>128</v>
      </c>
      <c r="H409" s="1" t="s">
        <v>878</v>
      </c>
      <c r="I409" s="1" t="s">
        <v>2634</v>
      </c>
      <c r="J409" s="1">
        <v>8.0</v>
      </c>
      <c r="K409" s="1" t="s">
        <v>2635</v>
      </c>
      <c r="L409" s="1" t="str">
        <f>IFERROR(__xludf.DUMMYFUNCTION("GOOGLETRANSLATE(K409,""en"", ""pt-br"")"),"Um anjo pneus de supervisionar a atividade humana e deseja se tornar humano quando ele se apaixona por um mortal.")</f>
        <v>Um anjo pneus de supervisionar a atividade humana e deseja se tornar humano quando ele se apaixona por um mortal.</v>
      </c>
      <c r="M409" s="1">
        <v>79.0</v>
      </c>
      <c r="N409" s="1" t="s">
        <v>1829</v>
      </c>
      <c r="O409" s="1" t="s">
        <v>1137</v>
      </c>
      <c r="P409" s="1" t="s">
        <v>2636</v>
      </c>
      <c r="Q409" s="1" t="s">
        <v>2637</v>
      </c>
      <c r="R409" s="1" t="s">
        <v>2638</v>
      </c>
      <c r="S409" s="1">
        <v>64722.0</v>
      </c>
      <c r="T409" s="7" t="str">
        <f>VLOOKUP(A409,Posters!A409:B1408,2)</f>
        <v>https://m.media-amazon.com/images/M/MV5BMzMxZjUzOGQtOTFlOS00MzliLWJhNTUtOTgyNzYzMWQ2YzhmXkEyXkFqcGdeQXVyNjQ2MjQ5NzM@._V1_UY98_CR0,0,67,98_AL_.jpg</v>
      </c>
      <c r="U409" s="8">
        <f>'Inflation Adjusted Gross'!F409</f>
        <v>7734418</v>
      </c>
      <c r="V409" s="5">
        <f t="shared" si="1"/>
        <v>2020</v>
      </c>
    </row>
    <row r="410">
      <c r="A410" s="1">
        <v>409.0</v>
      </c>
      <c r="B410" s="1" t="s">
        <v>2639</v>
      </c>
      <c r="C410" s="6">
        <f>Gross_cleaning!E410</f>
        <v>4542825</v>
      </c>
      <c r="D410" s="1">
        <v>1987.0</v>
      </c>
      <c r="E410" s="1" t="s">
        <v>52</v>
      </c>
      <c r="F410" s="1" t="str">
        <f>VLOOKUP(Filmes_raw!E410,Rating_systems!$A$2:$C$29,3,FALSE)</f>
        <v>Criança</v>
      </c>
      <c r="G410" s="2">
        <f>Gross_cleaning!F410</f>
        <v>104</v>
      </c>
      <c r="H410" s="1" t="s">
        <v>647</v>
      </c>
      <c r="I410" s="1" t="s">
        <v>213</v>
      </c>
      <c r="J410" s="1">
        <v>8.0</v>
      </c>
      <c r="K410" s="1" t="s">
        <v>2640</v>
      </c>
      <c r="L410" s="1" t="str">
        <f>IFERROR(__xludf.DUMMYFUNCTION("GOOGLETRANSLATE(K410,""en"", ""pt-br"")"),"Uma escola de embarque francesa administrada por sacerdotes parece ser um refúgio da Segunda Guerra Mundial até que um novo aluno chegue. Ele se torna a colega de quarto do aluno de sua classe. Rivais no início, os colegas de quarto formam um vínculo e co"&amp;"mpartilham um segredo.")</f>
        <v>Uma escola de embarque francesa administrada por sacerdotes parece ser um refúgio da Segunda Guerra Mundial até que um novo aluno chegue. Ele se torna a colega de quarto do aluno de sua classe. Rivais no início, os colegas de quarto formam um vínculo e compartilham um segredo.</v>
      </c>
      <c r="M410" s="1">
        <v>88.0</v>
      </c>
      <c r="N410" s="1" t="s">
        <v>2641</v>
      </c>
      <c r="O410" s="1" t="s">
        <v>2642</v>
      </c>
      <c r="P410" s="1" t="s">
        <v>2643</v>
      </c>
      <c r="Q410" s="1" t="s">
        <v>2644</v>
      </c>
      <c r="R410" s="1" t="s">
        <v>2645</v>
      </c>
      <c r="S410" s="1">
        <v>31163.0</v>
      </c>
      <c r="T410" s="7" t="str">
        <f>VLOOKUP(A410,Posters!A410:B1409,2)</f>
        <v>https://m.media-amazon.com/images/M/MV5BZmYxOTA5YTEtNDY3Ni00YTE5LWE1MTgtYjc4ZWUxNWY3ZTkxXkEyXkFqcGdeQXVyNjQ2MjQ5NzM@._V1_UX67_CR0,0,67,98_AL_.jpg</v>
      </c>
      <c r="U410" s="8">
        <f>'Inflation Adjusted Gross'!F410</f>
        <v>10538823</v>
      </c>
      <c r="V410" s="5">
        <f t="shared" si="1"/>
        <v>2020</v>
      </c>
    </row>
    <row r="411">
      <c r="A411" s="1">
        <v>410.0</v>
      </c>
      <c r="B411" s="1" t="s">
        <v>2646</v>
      </c>
      <c r="C411" s="6">
        <f>Gross_cleaning!E411</f>
        <v>523664</v>
      </c>
      <c r="D411" s="1">
        <v>1986.0</v>
      </c>
      <c r="E411" s="1" t="s">
        <v>52</v>
      </c>
      <c r="F411" s="1" t="str">
        <f>VLOOKUP(Filmes_raw!E411,Rating_systems!$A$2:$C$29,3,FALSE)</f>
        <v>Criança</v>
      </c>
      <c r="G411" s="2">
        <f>Gross_cleaning!F411</f>
        <v>125</v>
      </c>
      <c r="H411" s="1" t="s">
        <v>203</v>
      </c>
      <c r="I411" s="1" t="s">
        <v>352</v>
      </c>
      <c r="J411" s="1">
        <v>8.0</v>
      </c>
      <c r="K411" s="1" t="s">
        <v>2647</v>
      </c>
      <c r="L411" s="1" t="str">
        <f>IFERROR(__xludf.DUMMYFUNCTION("GOOGLETRANSLATE(K411,""en"", ""pt-br"")"),"Um menino e uma menina com um cristal mágico deve correr contra piratas e agentes estrangeiros em busca de um lendário castelo flutuante.")</f>
        <v>Um menino e uma menina com um cristal mágico deve correr contra piratas e agentes estrangeiros em busca de um lendário castelo flutuante.</v>
      </c>
      <c r="M411" s="1">
        <v>78.0</v>
      </c>
      <c r="N411" s="1" t="s">
        <v>206</v>
      </c>
      <c r="O411" s="1" t="s">
        <v>2648</v>
      </c>
      <c r="P411" s="1" t="s">
        <v>2649</v>
      </c>
      <c r="Q411" s="1" t="s">
        <v>2650</v>
      </c>
      <c r="R411" s="1" t="s">
        <v>2651</v>
      </c>
      <c r="S411" s="1">
        <v>150140.0</v>
      </c>
      <c r="T411" s="7" t="str">
        <f>VLOOKUP(A411,Posters!A411:B1410,2)</f>
        <v>https://m.media-amazon.com/images/M/MV5BNTg0NmI1ZGQtZTUxNC00NTgxLThjMDUtZmRlYmEzM2MwOWYwXkEyXkFqcGdeQXVyMzM4MjM0Nzg@._V1_UY98_CR1,0,67,98_AL_.jpg</v>
      </c>
      <c r="U411" s="8">
        <f>'Inflation Adjusted Gross'!F411</f>
        <v>1232574</v>
      </c>
      <c r="V411" s="5">
        <f t="shared" si="1"/>
        <v>2020</v>
      </c>
    </row>
    <row r="412">
      <c r="A412" s="1">
        <v>411.0</v>
      </c>
      <c r="B412" s="1" t="s">
        <v>2652</v>
      </c>
      <c r="C412" s="6">
        <f>Gross_cleaning!E412</f>
        <v>38400000</v>
      </c>
      <c r="D412" s="1">
        <v>1984.0</v>
      </c>
      <c r="E412" s="1" t="s">
        <v>37</v>
      </c>
      <c r="F412" s="1" t="str">
        <f>VLOOKUP(Filmes_raw!E412,Rating_systems!$A$2:$C$29,3,FALSE)</f>
        <v>Criança</v>
      </c>
      <c r="G412" s="2">
        <f>Gross_cleaning!F412</f>
        <v>107</v>
      </c>
      <c r="H412" s="1" t="s">
        <v>907</v>
      </c>
      <c r="I412" s="1" t="s">
        <v>128</v>
      </c>
      <c r="J412" s="1">
        <v>8.0</v>
      </c>
      <c r="K412" s="1" t="s">
        <v>2653</v>
      </c>
      <c r="L412" s="1" t="str">
        <f>IFERROR(__xludf.DUMMYFUNCTION("GOOGLETRANSLATE(K412,""en"", ""pt-br"")"),"Um soldado humano é enviado de 2029 a 1984 para impedir uma máquina de matança de cyborg quase indestrutível, enviada do mesmo ano, que foi programada para executar uma jovem cujo filho não nascido é a chave para a futura salvação da humanidade.")</f>
        <v>Um soldado humano é enviado de 2029 a 1984 para impedir uma máquina de matança de cyborg quase indestrutível, enviada do mesmo ano, que foi programada para executar uma jovem cujo filho não nascido é a chave para a futura salvação da humanidade.</v>
      </c>
      <c r="M412" s="1">
        <v>84.0</v>
      </c>
      <c r="N412" s="1" t="s">
        <v>362</v>
      </c>
      <c r="O412" s="1" t="s">
        <v>363</v>
      </c>
      <c r="P412" s="1" t="s">
        <v>364</v>
      </c>
      <c r="Q412" s="1" t="s">
        <v>799</v>
      </c>
      <c r="R412" s="1" t="s">
        <v>2654</v>
      </c>
      <c r="S412" s="1">
        <v>799795.0</v>
      </c>
      <c r="T412" s="7" t="str">
        <f>VLOOKUP(A412,Posters!A412:B1411,2)</f>
        <v>https://m.media-amazon.com/images/M/MV5BYTViNzMxZjEtZGEwNy00MDNiLWIzNGQtZDY2MjQ1OWViZjFmXkEyXkFqcGdeQXVyNzkwMjQ5NzM@._V1_UX67_CR0,0,67,98_AL_.jpg</v>
      </c>
      <c r="U412" s="8">
        <f>'Inflation Adjusted Gross'!F412</f>
        <v>97213802</v>
      </c>
      <c r="V412" s="5">
        <f t="shared" si="1"/>
        <v>2020</v>
      </c>
    </row>
    <row r="413">
      <c r="A413" s="1">
        <v>412.0</v>
      </c>
      <c r="B413" s="1" t="s">
        <v>2655</v>
      </c>
      <c r="C413" s="6">
        <f>Gross_cleaning!E413</f>
        <v>52767889</v>
      </c>
      <c r="D413" s="1">
        <v>1982.0</v>
      </c>
      <c r="E413" s="1" t="s">
        <v>52</v>
      </c>
      <c r="F413" s="1" t="str">
        <f>VLOOKUP(Filmes_raw!E413,Rating_systems!$A$2:$C$29,3,FALSE)</f>
        <v>Criança</v>
      </c>
      <c r="G413" s="2">
        <f>Gross_cleaning!F413</f>
        <v>191</v>
      </c>
      <c r="H413" s="1" t="s">
        <v>2656</v>
      </c>
      <c r="I413" s="1" t="s">
        <v>79</v>
      </c>
      <c r="J413" s="1">
        <v>8.0</v>
      </c>
      <c r="K413" s="1" t="s">
        <v>2657</v>
      </c>
      <c r="L413" s="1" t="str">
        <f>IFERROR(__xludf.DUMMYFUNCTION("GOOGLETRANSLATE(K413,""en"", ""pt-br"")"),"A vida do advogado que se tornou o famoso líder das revoltas indianas contra o domínio britânico através de sua filosofia de protesto não violento.")</f>
        <v>A vida do advogado que se tornou o famoso líder das revoltas indianas contra o domínio britânico através de sua filosofia de protesto não violento.</v>
      </c>
      <c r="M413" s="1">
        <v>79.0</v>
      </c>
      <c r="N413" s="1" t="s">
        <v>1274</v>
      </c>
      <c r="O413" s="1" t="s">
        <v>84</v>
      </c>
      <c r="P413" s="1" t="s">
        <v>1880</v>
      </c>
      <c r="Q413" s="1" t="s">
        <v>2658</v>
      </c>
      <c r="R413" s="1" t="s">
        <v>2659</v>
      </c>
      <c r="S413" s="1">
        <v>217664.0</v>
      </c>
      <c r="T413" s="7" t="str">
        <f>VLOOKUP(A413,Posters!A413:B1412,2)</f>
        <v>https://m.media-amazon.com/images/M/MV5BMzJiZDRmOWUtYjE2MS00Mjc1LTg1ZDYtNTQxYWJkZTg1OTM4XkEyXkFqcGdeQXVyNjUwNzk3NDc@._V1_UX67_CR0,0,67,98_AL_.jpg</v>
      </c>
      <c r="U413" s="8">
        <f>'Inflation Adjusted Gross'!F413</f>
        <v>144354031</v>
      </c>
      <c r="V413" s="5">
        <f t="shared" si="1"/>
        <v>2020</v>
      </c>
    </row>
    <row r="414">
      <c r="A414" s="1">
        <v>413.0</v>
      </c>
      <c r="B414" s="1" t="s">
        <v>2660</v>
      </c>
      <c r="C414" s="6">
        <f>Gross_cleaning!E414</f>
        <v>4000000</v>
      </c>
      <c r="D414" s="1">
        <v>1980.0</v>
      </c>
      <c r="E414" s="1" t="s">
        <v>52</v>
      </c>
      <c r="F414" s="1" t="str">
        <f>VLOOKUP(Filmes_raw!E414,Rating_systems!$A$2:$C$29,3,FALSE)</f>
        <v>Criança</v>
      </c>
      <c r="G414" s="2">
        <f>Gross_cleaning!F414</f>
        <v>180</v>
      </c>
      <c r="H414" s="1" t="s">
        <v>1077</v>
      </c>
      <c r="I414" s="1" t="s">
        <v>2661</v>
      </c>
      <c r="J414" s="1">
        <v>8.0</v>
      </c>
      <c r="K414" s="1" t="s">
        <v>2662</v>
      </c>
      <c r="L414" s="1" t="str">
        <f>IFERROR(__xludf.DUMMYFUNCTION("GOOGLETRANSLATE(K414,""en"", ""pt-br"")"),"Um pequeno ladrão com uma absoluta semelhança com um samurai Warlord é contratado como o duplo do Senhor. Quando o senhor da guerra mais tarde morre o ladrão é forçado a pegar os braços em seu lugar.")</f>
        <v>Um pequeno ladrão com uma absoluta semelhança com um samurai Warlord é contratado como o duplo do Senhor. Quando o senhor da guerra mais tarde morre o ladrão é forçado a pegar os braços em seu lugar.</v>
      </c>
      <c r="M414" s="1">
        <v>84.0</v>
      </c>
      <c r="N414" s="1" t="s">
        <v>264</v>
      </c>
      <c r="O414" s="1" t="s">
        <v>257</v>
      </c>
      <c r="P414" s="1" t="s">
        <v>1577</v>
      </c>
      <c r="Q414" s="1" t="s">
        <v>2663</v>
      </c>
      <c r="R414" s="1" t="s">
        <v>1224</v>
      </c>
      <c r="S414" s="1">
        <v>32195.0</v>
      </c>
      <c r="T414" s="7" t="str">
        <f>VLOOKUP(A414,Posters!A414:B1413,2)</f>
        <v>https://m.media-amazon.com/images/M/MV5BMzFhNWVmNWItNGM5OC00NjZhLTk3YTQtMjE1ODUyOThlMjNmL2ltYWdlXkEyXkFqcGdeQXVyNTAyODkwOQ@@._V1_UX67_CR0,0,67,98_AL_.jpg</v>
      </c>
      <c r="U414" s="8">
        <f>'Inflation Adjusted Gross'!F414</f>
        <v>13263290</v>
      </c>
      <c r="V414" s="5">
        <f t="shared" si="1"/>
        <v>2020</v>
      </c>
    </row>
    <row r="415">
      <c r="A415" s="1">
        <v>414.0</v>
      </c>
      <c r="B415" s="1" t="s">
        <v>2664</v>
      </c>
      <c r="C415" s="6">
        <f>Gross_cleaning!E415</f>
        <v>30177511</v>
      </c>
      <c r="D415" s="1">
        <v>1979.0</v>
      </c>
      <c r="E415" s="1" t="s">
        <v>270</v>
      </c>
      <c r="F415" s="1" t="str">
        <f>VLOOKUP(Filmes_raw!E415,Rating_systems!$A$2:$C$29,3,FALSE)</f>
        <v>Criança</v>
      </c>
      <c r="G415" s="2">
        <f>Gross_cleaning!F415</f>
        <v>130</v>
      </c>
      <c r="H415" s="1" t="s">
        <v>195</v>
      </c>
      <c r="I415" s="1" t="s">
        <v>507</v>
      </c>
      <c r="J415" s="1">
        <v>8.0</v>
      </c>
      <c r="K415" s="1" t="s">
        <v>2665</v>
      </c>
      <c r="L415" s="1" t="str">
        <f>IFERROR(__xludf.DUMMYFUNCTION("GOOGLETRANSLATE(K415,""en"", ""pt-br"")"),"Um jardineiro simplificado simplificado torna-se um conselheiro improvável de um empresário poderoso e um insider em Washington Politics.")</f>
        <v>Um jardineiro simplificado simplificado torna-se um conselheiro improvável de um empresário poderoso e um insider em Washington Politics.</v>
      </c>
      <c r="M415" s="1">
        <v>83.0</v>
      </c>
      <c r="N415" s="1" t="s">
        <v>2666</v>
      </c>
      <c r="O415" s="1" t="s">
        <v>604</v>
      </c>
      <c r="P415" s="1" t="s">
        <v>867</v>
      </c>
      <c r="Q415" s="1" t="s">
        <v>2667</v>
      </c>
      <c r="R415" s="1" t="s">
        <v>2668</v>
      </c>
      <c r="S415" s="1">
        <v>65625.0</v>
      </c>
      <c r="T415" s="7" t="str">
        <f>VLOOKUP(A415,Posters!A415:B1414,2)</f>
        <v>https://m.media-amazon.com/images/M/MV5BNjAzNzJjYzQtMGFmNS00ZjAzLTkwMjgtMWIzYzFkMzM4Njg3XkEyXkFqcGdeQXVyMTY5Nzc4MDY@._V1_UX67_CR0,0,67,98_AL_.jpg</v>
      </c>
      <c r="U415" s="8">
        <f>'Inflation Adjusted Gross'!F415</f>
        <v>113981299</v>
      </c>
      <c r="V415" s="5">
        <f t="shared" si="1"/>
        <v>2020</v>
      </c>
    </row>
    <row r="416">
      <c r="A416" s="1">
        <v>415.0</v>
      </c>
      <c r="B416" s="1" t="s">
        <v>2669</v>
      </c>
      <c r="C416" s="6">
        <f>Gross_cleaning!E416</f>
        <v>39200000</v>
      </c>
      <c r="D416" s="1">
        <v>1977.0</v>
      </c>
      <c r="E416" s="1" t="s">
        <v>18</v>
      </c>
      <c r="F416" s="1" t="str">
        <f>VLOOKUP(Filmes_raw!E416,Rating_systems!$A$2:$C$29,3,FALSE)</f>
        <v>Adulto</v>
      </c>
      <c r="G416" s="2">
        <f>Gross_cleaning!F416</f>
        <v>93</v>
      </c>
      <c r="H416" s="1" t="s">
        <v>1521</v>
      </c>
      <c r="I416" s="1" t="s">
        <v>723</v>
      </c>
      <c r="J416" s="1">
        <v>8.0</v>
      </c>
      <c r="K416" s="1" t="s">
        <v>2670</v>
      </c>
      <c r="L416" s="1" t="str">
        <f>IFERROR(__xludf.DUMMYFUNCTION("GOOGLETRANSLATE(K416,""en"", ""pt-br"")"),"O cantor de Neuroth New York comediante Alvy se apaixona ao amor com o Ditzy Annie Hall.")</f>
        <v>O cantor de Neuroth New York comediante Alvy se apaixona ao amor com o Ditzy Annie Hall.</v>
      </c>
      <c r="M416" s="1">
        <v>92.0</v>
      </c>
      <c r="N416" s="1" t="s">
        <v>2671</v>
      </c>
      <c r="O416" s="1" t="s">
        <v>2671</v>
      </c>
      <c r="P416" s="1" t="s">
        <v>35</v>
      </c>
      <c r="Q416" s="1" t="s">
        <v>2672</v>
      </c>
      <c r="R416" s="1" t="s">
        <v>2673</v>
      </c>
      <c r="S416" s="1">
        <v>251823.0</v>
      </c>
      <c r="T416" s="7" t="str">
        <f>VLOOKUP(A416,Posters!A416:B1415,2)</f>
        <v>https://m.media-amazon.com/images/M/MV5BZDg1OGQ4YzgtM2Y2NS00NjA3LWFjYTctMDRlMDI3NWE1OTUyXkEyXkFqcGdeQXVyMjUzOTY1NTc@._V1_UX67_CR0,0,67,98_AL_.jpg</v>
      </c>
      <c r="U416" s="8">
        <f>'Inflation Adjusted Gross'!F416</f>
        <v>172862619</v>
      </c>
      <c r="V416" s="5">
        <f t="shared" si="1"/>
        <v>2020</v>
      </c>
    </row>
    <row r="417">
      <c r="A417" s="1">
        <v>416.0</v>
      </c>
      <c r="B417" s="1" t="s">
        <v>2674</v>
      </c>
      <c r="C417" s="6">
        <f>Gross_cleaning!E417</f>
        <v>260000000</v>
      </c>
      <c r="D417" s="1">
        <v>1975.0</v>
      </c>
      <c r="E417" s="1" t="s">
        <v>18</v>
      </c>
      <c r="F417" s="1" t="str">
        <f>VLOOKUP(Filmes_raw!E417,Rating_systems!$A$2:$C$29,3,FALSE)</f>
        <v>Adulto</v>
      </c>
      <c r="G417" s="2">
        <f>Gross_cleaning!F417</f>
        <v>124</v>
      </c>
      <c r="H417" s="1" t="s">
        <v>144</v>
      </c>
      <c r="I417" s="1" t="s">
        <v>2675</v>
      </c>
      <c r="J417" s="1">
        <v>8.0</v>
      </c>
      <c r="K417" s="1" t="s">
        <v>2676</v>
      </c>
      <c r="L417" s="1" t="str">
        <f>IFERROR(__xludf.DUMMYFUNCTION("GOOGLETRANSLATE(K417,""en"", ""pt-br"")"),"Quando um tubarão assassino desencadeia o caos em uma comunidade de praia, cabe a um xerife local, um biólogo marinho e um velho marítimo para caçar a fera para baixo.")</f>
        <v>Quando um tubarão assassino desencadeia o caos em uma comunidade de praia, cabe a um xerife local, um biólogo marinho e um velho marítimo para caçar a fera para baixo.</v>
      </c>
      <c r="M417" s="1">
        <v>87.0</v>
      </c>
      <c r="N417" s="1" t="s">
        <v>81</v>
      </c>
      <c r="O417" s="1" t="s">
        <v>2677</v>
      </c>
      <c r="P417" s="1" t="s">
        <v>836</v>
      </c>
      <c r="Q417" s="1" t="s">
        <v>2678</v>
      </c>
      <c r="R417" s="1" t="s">
        <v>2679</v>
      </c>
      <c r="S417" s="1">
        <v>543388.0</v>
      </c>
      <c r="T417" s="7" t="str">
        <f>VLOOKUP(A417,Posters!A417:B1416,2)</f>
        <v>https://m.media-amazon.com/images/M/MV5BMmVmODY1MzEtYTMwZC00MzNhLWFkNDMtZjAwM2EwODUxZTA5XkEyXkFqcGdeQXVyNTAyODkwOQ@@._V1_UX67_CR0,0,67,98_AL_.jpg</v>
      </c>
      <c r="U417" s="8">
        <f>'Inflation Adjusted Gross'!F417</f>
        <v>1287379270</v>
      </c>
      <c r="V417" s="5">
        <f t="shared" si="1"/>
        <v>2020</v>
      </c>
    </row>
    <row r="418">
      <c r="A418" s="1">
        <v>417.0</v>
      </c>
      <c r="B418" s="1" t="s">
        <v>2680</v>
      </c>
      <c r="C418" s="6">
        <f>Gross_cleaning!E418</f>
        <v>50000000</v>
      </c>
      <c r="D418" s="1">
        <v>1975.0</v>
      </c>
      <c r="E418" s="1" t="s">
        <v>52</v>
      </c>
      <c r="F418" s="1" t="str">
        <f>VLOOKUP(Filmes_raw!E418,Rating_systems!$A$2:$C$29,3,FALSE)</f>
        <v>Criança</v>
      </c>
      <c r="G418" s="2">
        <f>Gross_cleaning!F418</f>
        <v>125</v>
      </c>
      <c r="H418" s="1" t="s">
        <v>203</v>
      </c>
      <c r="I418" s="1" t="s">
        <v>137</v>
      </c>
      <c r="J418" s="1">
        <v>8.0</v>
      </c>
      <c r="K418" s="1" t="s">
        <v>2681</v>
      </c>
      <c r="L418" s="1" t="str">
        <f>IFERROR(__xludf.DUMMYFUNCTION("GOOGLETRANSLATE(K418,""en"", ""pt-br"")"),"Três ladrões de banco amador planejam manter um banco. Um belo roubo simples: entre, pegue o dinheiro e corra. Infelizmente, o heist supostamente descomplicado de repente se torna um pesadelo bizarro como tudo o que poderia dar errado.")</f>
        <v>Três ladrões de banco amador planejam manter um banco. Um belo roubo simples: entre, pegue o dinheiro e corra. Infelizmente, o heist supostamente descomplicado de repente se torna um pesadelo bizarro como tudo o que poderia dar errado.</v>
      </c>
      <c r="M418" s="1">
        <v>86.0</v>
      </c>
      <c r="N418" s="1" t="s">
        <v>55</v>
      </c>
      <c r="O418" s="1" t="s">
        <v>33</v>
      </c>
      <c r="P418" s="1" t="s">
        <v>1888</v>
      </c>
      <c r="Q418" s="1" t="s">
        <v>2682</v>
      </c>
      <c r="R418" s="1" t="s">
        <v>2683</v>
      </c>
      <c r="S418" s="1">
        <v>235652.0</v>
      </c>
      <c r="T418" s="7" t="str">
        <f>VLOOKUP(A418,Posters!A418:B1417,2)</f>
        <v>https://m.media-amazon.com/images/M/MV5BODExZmE2ZWItYTIzOC00MzI1LTgyNTktMDBhNmFhY2Y4OTQ3XkEyXkFqcGdeQXVyNjU0OTQ0OTY@._V1_UX67_CR0,0,67,98_AL_.jpg</v>
      </c>
      <c r="U418" s="8">
        <f>'Inflation Adjusted Gross'!F418</f>
        <v>247572937</v>
      </c>
      <c r="V418" s="5">
        <f t="shared" si="1"/>
        <v>2020</v>
      </c>
    </row>
    <row r="419">
      <c r="A419" s="1">
        <v>418.0</v>
      </c>
      <c r="B419" s="1" t="s">
        <v>2684</v>
      </c>
      <c r="C419" s="6">
        <f>Gross_cleaning!E419</f>
        <v>86300000</v>
      </c>
      <c r="D419" s="1">
        <v>1974.0</v>
      </c>
      <c r="E419" s="1" t="s">
        <v>18</v>
      </c>
      <c r="F419" s="1" t="str">
        <f>VLOOKUP(Filmes_raw!E419,Rating_systems!$A$2:$C$29,3,FALSE)</f>
        <v>Adulto</v>
      </c>
      <c r="G419" s="2">
        <f>Gross_cleaning!F419</f>
        <v>106</v>
      </c>
      <c r="H419" s="1" t="s">
        <v>286</v>
      </c>
      <c r="I419" s="1" t="s">
        <v>602</v>
      </c>
      <c r="J419" s="1">
        <v>8.0</v>
      </c>
      <c r="K419" s="1" t="s">
        <v>2685</v>
      </c>
      <c r="L419" s="1" t="str">
        <f>IFERROR(__xludf.DUMMYFUNCTION("GOOGLETRANSLATE(K419,""en"", ""pt-br"")"),"Um neto americano do cientista infame, lutando para provar que seu avô não era tão insano quanto as pessoas acreditam, é convidado à Transilvânia, onde ele descobre o processo que reanima um corpo morto.")</f>
        <v>Um neto americano do cientista infame, lutando para provar que seu avô não era tão insano quanto as pessoas acreditam, é convidado à Transilvânia, onde ele descobre o processo que reanima um corpo morto.</v>
      </c>
      <c r="M419" s="1">
        <v>80.0</v>
      </c>
      <c r="N419" s="1" t="s">
        <v>2686</v>
      </c>
      <c r="O419" s="1" t="s">
        <v>2687</v>
      </c>
      <c r="P419" s="1" t="s">
        <v>1920</v>
      </c>
      <c r="Q419" s="1" t="s">
        <v>2688</v>
      </c>
      <c r="R419" s="1" t="s">
        <v>2689</v>
      </c>
      <c r="S419" s="1">
        <v>143359.0</v>
      </c>
      <c r="T419" s="7" t="str">
        <f>VLOOKUP(A419,Posters!A419:B1418,2)</f>
        <v>https://m.media-amazon.com/images/M/MV5BMTEwNjg2MjM2ODFeQTJeQWpwZ15BbWU4MDQ1MDU5OTEx._V1_UX67_CR0,0,67,98_AL_.jpg</v>
      </c>
      <c r="U419" s="8">
        <f>'Inflation Adjusted Gross'!F419</f>
        <v>477744577</v>
      </c>
      <c r="V419" s="5">
        <f t="shared" si="1"/>
        <v>2020</v>
      </c>
    </row>
    <row r="420">
      <c r="A420" s="1">
        <v>419.0</v>
      </c>
      <c r="B420" s="1" t="s">
        <v>2690</v>
      </c>
      <c r="C420" s="6">
        <f>Gross_cleaning!E420</f>
        <v>53267000</v>
      </c>
      <c r="D420" s="1">
        <v>1973.0</v>
      </c>
      <c r="E420" s="1" t="s">
        <v>212</v>
      </c>
      <c r="F420" s="1" t="str">
        <f>VLOOKUP(Filmes_raw!E420,Rating_systems!$A$2:$C$29,3,FALSE)</f>
        <v>Adulto</v>
      </c>
      <c r="G420" s="2">
        <f>Gross_cleaning!F420</f>
        <v>151</v>
      </c>
      <c r="H420" s="1" t="s">
        <v>309</v>
      </c>
      <c r="I420" s="1" t="s">
        <v>137</v>
      </c>
      <c r="J420" s="1">
        <v>8.0</v>
      </c>
      <c r="K420" s="1" t="s">
        <v>2691</v>
      </c>
      <c r="L420" s="1" t="str">
        <f>IFERROR(__xludf.DUMMYFUNCTION("GOOGLETRANSLATE(K420,""en"", ""pt-br"")"),"Um homem faz amiga de um colega criminoso quando os dois começam a servir sua sentença em uma terrível ilha de prisão, o que inspira o homem a traçar sua fuga.")</f>
        <v>Um homem faz amiga de um colega criminoso quando os dois começam a servir sua sentença em uma terrível ilha de prisão, o que inspira o homem a traçar sua fuga.</v>
      </c>
      <c r="M420" s="1">
        <v>58.0</v>
      </c>
      <c r="N420" s="1" t="s">
        <v>2692</v>
      </c>
      <c r="O420" s="1" t="s">
        <v>1272</v>
      </c>
      <c r="P420" s="1" t="s">
        <v>2618</v>
      </c>
      <c r="Q420" s="1" t="s">
        <v>2693</v>
      </c>
      <c r="R420" s="1" t="s">
        <v>2694</v>
      </c>
      <c r="S420" s="1">
        <v>121627.0</v>
      </c>
      <c r="T420" s="7" t="str">
        <f>VLOOKUP(A420,Posters!A420:B1419,2)</f>
        <v>https://m.media-amazon.com/images/M/MV5BZGRjZjQ0NzAtYmZlNS00Zjc1LTk1YWItMDY5YzQxMzA4MTAzXkEyXkFqcGdeQXVyMjI4MjA5MzA@._V1_UX67_CR0,0,67,98_AL_.jpg</v>
      </c>
      <c r="U420" s="8">
        <f>'Inflation Adjusted Gross'!F420</f>
        <v>322566696</v>
      </c>
      <c r="V420" s="5">
        <f t="shared" si="1"/>
        <v>2020</v>
      </c>
    </row>
    <row r="421">
      <c r="A421" s="1">
        <v>420.0</v>
      </c>
      <c r="B421" s="1" t="s">
        <v>2695</v>
      </c>
      <c r="C421" s="6">
        <f>Gross_cleaning!E421</f>
        <v>232906145</v>
      </c>
      <c r="D421" s="1">
        <v>1973.0</v>
      </c>
      <c r="E421" s="1" t="s">
        <v>18</v>
      </c>
      <c r="F421" s="1" t="str">
        <f>VLOOKUP(Filmes_raw!E421,Rating_systems!$A$2:$C$29,3,FALSE)</f>
        <v>Adulto</v>
      </c>
      <c r="G421" s="2">
        <f>Gross_cleaning!F421</f>
        <v>122</v>
      </c>
      <c r="H421" s="1" t="s">
        <v>279</v>
      </c>
      <c r="I421" s="1" t="s">
        <v>2696</v>
      </c>
      <c r="J421" s="1">
        <v>8.0</v>
      </c>
      <c r="K421" s="1" t="s">
        <v>2697</v>
      </c>
      <c r="L421" s="1" t="str">
        <f>IFERROR(__xludf.DUMMYFUNCTION("GOOGLETRANSLATE(K421,""en"", ""pt-br"")"),"Quando uma menina de 12 anos é possuída por uma misteriosa entidade, sua mãe busca a ajuda de dois sacerdotes para salvá-la.")</f>
        <v>Quando uma menina de 12 anos é possuída por uma misteriosa entidade, sua mãe busca a ajuda de dois sacerdotes para salvá-la.</v>
      </c>
      <c r="M421" s="1">
        <v>81.0</v>
      </c>
      <c r="N421" s="1" t="s">
        <v>2698</v>
      </c>
      <c r="O421" s="1" t="s">
        <v>740</v>
      </c>
      <c r="P421" s="1" t="s">
        <v>1309</v>
      </c>
      <c r="Q421" s="1" t="s">
        <v>2699</v>
      </c>
      <c r="R421" s="1" t="s">
        <v>57</v>
      </c>
      <c r="S421" s="1">
        <v>362393.0</v>
      </c>
      <c r="T421" s="7" t="str">
        <f>VLOOKUP(A421,Posters!A421:B1420,2)</f>
        <v>https://m.media-amazon.com/images/M/MV5BYjhmMGMxZDYtMTkyNy00YWVmLTgyYmUtYTU3ZjcwNTBjN2I1XkEyXkFqcGdeQXVyNzkwMjQ5NzM@._V1_UX67_CR0,0,67,98_AL_.jpg</v>
      </c>
      <c r="U421" s="8">
        <f>'Inflation Adjusted Gross'!F421</f>
        <v>1410399793</v>
      </c>
      <c r="V421" s="5">
        <f t="shared" si="1"/>
        <v>2020</v>
      </c>
    </row>
    <row r="422">
      <c r="A422" s="1">
        <v>421.0</v>
      </c>
      <c r="B422" s="1" t="s">
        <v>2700</v>
      </c>
      <c r="C422" s="6">
        <f>Gross_cleaning!E422</f>
        <v>4081254</v>
      </c>
      <c r="D422" s="1">
        <v>1972.0</v>
      </c>
      <c r="E422" s="1" t="s">
        <v>270</v>
      </c>
      <c r="F422" s="1" t="str">
        <f>VLOOKUP(Filmes_raw!E422,Rating_systems!$A$2:$C$29,3,FALSE)</f>
        <v>Criança</v>
      </c>
      <c r="G422" s="2">
        <f>Gross_cleaning!F422</f>
        <v>138</v>
      </c>
      <c r="H422" s="1" t="s">
        <v>947</v>
      </c>
      <c r="I422" s="1" t="s">
        <v>544</v>
      </c>
      <c r="J422" s="1">
        <v>8.0</v>
      </c>
      <c r="K422" s="1" t="s">
        <v>2701</v>
      </c>
      <c r="L422" s="1" t="str">
        <f>IFERROR(__xludf.DUMMYFUNCTION("GOOGLETRANSLATE(K422,""en"", ""pt-br"")"),"Um homem que ama jogos e teatro convida o amante de sua esposa para encontrá-lo, preparando uma batalha de inteligência com resultados potencialmente mortais.")</f>
        <v>Um homem que ama jogos e teatro convida o amante de sua esposa para encontrá-lo, preparando uma batalha de inteligência com resultados potencialmente mortais.</v>
      </c>
      <c r="N422" s="1" t="s">
        <v>1338</v>
      </c>
      <c r="O422" s="1" t="s">
        <v>2081</v>
      </c>
      <c r="P422" s="1" t="s">
        <v>45</v>
      </c>
      <c r="Q422" s="1" t="s">
        <v>2702</v>
      </c>
      <c r="R422" s="1" t="s">
        <v>2703</v>
      </c>
      <c r="S422" s="1">
        <v>44748.0</v>
      </c>
      <c r="T422" s="7" t="str">
        <f>VLOOKUP(A422,Posters!A422:B1421,2)</f>
        <v>https://m.media-amazon.com/images/M/MV5BM2EzZmFmMmItODY3Zi00NjdjLWE0MTYtZWQ3MGIyM2M4YjZhXkEyXkFqcGdeQXVyMzg2MzE2OTE@._V1_UX67_CR0,0,67,98_AL_.jpg</v>
      </c>
      <c r="U422" s="8">
        <f>'Inflation Adjusted Gross'!F422</f>
        <v>25616671</v>
      </c>
      <c r="V422" s="5">
        <f t="shared" si="1"/>
        <v>2020</v>
      </c>
    </row>
    <row r="423">
      <c r="A423" s="1">
        <v>422.0</v>
      </c>
      <c r="B423" s="1" t="s">
        <v>2704</v>
      </c>
      <c r="C423" s="6">
        <f>Gross_cleaning!E423</f>
        <v>29133000</v>
      </c>
      <c r="D423" s="1">
        <v>1971.0</v>
      </c>
      <c r="E423" s="1" t="s">
        <v>212</v>
      </c>
      <c r="F423" s="1" t="str">
        <f>VLOOKUP(Filmes_raw!E423,Rating_systems!$A$2:$C$29,3,FALSE)</f>
        <v>Adulto</v>
      </c>
      <c r="G423" s="2">
        <f>Gross_cleaning!F423</f>
        <v>118</v>
      </c>
      <c r="H423" s="1" t="s">
        <v>240</v>
      </c>
      <c r="I423" s="1" t="s">
        <v>107</v>
      </c>
      <c r="J423" s="1">
        <v>8.0</v>
      </c>
      <c r="K423" s="1" t="s">
        <v>2705</v>
      </c>
      <c r="L423" s="1" t="str">
        <f>IFERROR(__xludf.DUMMYFUNCTION("GOOGLETRANSLATE(K423,""en"", ""pt-br"")"),"Em 1951, um grupo de estudantes de idade vem de idade em uma cidade sombria, isolada e atrofiada do norte do Texas que está morrendo lentamente, tanto culturalmente quanto economicamente.")</f>
        <v>Em 1951, um grupo de estudantes de idade vem de idade em uma cidade sombria, isolada e atrofiada do norte do Texas que está morrendo lentamente, tanto culturalmente quanto economicamente.</v>
      </c>
      <c r="M423" s="1">
        <v>93.0</v>
      </c>
      <c r="N423" s="1" t="s">
        <v>1918</v>
      </c>
      <c r="O423" s="1" t="s">
        <v>2706</v>
      </c>
      <c r="P423" s="1" t="s">
        <v>1727</v>
      </c>
      <c r="Q423" s="1" t="s">
        <v>827</v>
      </c>
      <c r="R423" s="1" t="s">
        <v>2707</v>
      </c>
      <c r="S423" s="1">
        <v>42456.0</v>
      </c>
      <c r="T423" s="7" t="str">
        <f>VLOOKUP(A423,Posters!A423:B1422,2)</f>
        <v>https://m.media-amazon.com/images/M/MV5BNmVjNzZkZjQtYmM5ZC00M2I0LWJhNzktNDk3MGU1NWMxMjFjXkEyXkFqcGdeQXVyNjc1NTYyMjg@._V1_UX67_CR0,0,67,98_AL_.jpg</v>
      </c>
      <c r="U423" s="8">
        <f>'Inflation Adjusted Gross'!F423</f>
        <v>188830883</v>
      </c>
      <c r="V423" s="5">
        <f t="shared" si="1"/>
        <v>2020</v>
      </c>
    </row>
    <row r="424">
      <c r="A424" s="1">
        <v>423.0</v>
      </c>
      <c r="B424" s="1" t="s">
        <v>2708</v>
      </c>
      <c r="C424" s="6">
        <f>Gross_cleaning!E424</f>
        <v>80500000</v>
      </c>
      <c r="D424" s="1">
        <v>1971.0</v>
      </c>
      <c r="E424" s="1" t="s">
        <v>414</v>
      </c>
      <c r="F424" s="1" t="str">
        <f>VLOOKUP(Filmes_raw!E424,Rating_systems!$A$2:$C$29,3,FALSE)</f>
        <v>Criança</v>
      </c>
      <c r="G424" s="2">
        <f>Gross_cleaning!F424</f>
        <v>181</v>
      </c>
      <c r="H424" s="1" t="s">
        <v>475</v>
      </c>
      <c r="I424" s="1" t="s">
        <v>2709</v>
      </c>
      <c r="J424" s="1">
        <v>8.0</v>
      </c>
      <c r="K424" s="1" t="s">
        <v>2710</v>
      </c>
      <c r="L424" s="1" t="str">
        <f>IFERROR(__xludf.DUMMYFUNCTION("GOOGLETRANSLATE(K424,""en"", ""pt-br"")"),"Na rússia pré-revolucionária, um camponês judeu alega com se casar com três de suas filhas, enquanto o crescente sentimento anti-semita ameaça sua aldeia.")</f>
        <v>Na rússia pré-revolucionária, um camponês judeu alega com se casar com três de suas filhas, enquanto o crescente sentimento anti-semita ameaça sua aldeia.</v>
      </c>
      <c r="M424" s="1">
        <v>67.0</v>
      </c>
      <c r="N424" s="1" t="s">
        <v>2711</v>
      </c>
      <c r="O424" s="1" t="s">
        <v>2712</v>
      </c>
      <c r="P424" s="1" t="s">
        <v>2713</v>
      </c>
      <c r="Q424" s="1" t="s">
        <v>2714</v>
      </c>
      <c r="R424" s="1" t="s">
        <v>2715</v>
      </c>
      <c r="S424" s="1">
        <v>39491.0</v>
      </c>
      <c r="T424" s="7" t="str">
        <f>VLOOKUP(A424,Posters!A424:B1423,2)</f>
        <v>https://m.media-amazon.com/images/M/MV5BMWMxNDYzNmUtYjFmNC00MGM2LWFmNzMtODhlMGNkNDg5MjE5XkEyXkFqcGdeQXVyNjE5MjUyOTM@._V1_UX67_CR0,0,67,98_AL_.jpg</v>
      </c>
      <c r="U424" s="8">
        <f>'Inflation Adjusted Gross'!F424</f>
        <v>521775515</v>
      </c>
      <c r="V424" s="5">
        <f t="shared" si="1"/>
        <v>2020</v>
      </c>
    </row>
    <row r="425">
      <c r="A425" s="1">
        <v>424.0</v>
      </c>
      <c r="B425" s="1" t="s">
        <v>2716</v>
      </c>
      <c r="C425" s="6">
        <f>Gross_cleaning!E425</f>
        <v>541940</v>
      </c>
      <c r="D425" s="1">
        <v>1970.0</v>
      </c>
      <c r="E425" s="1" t="s">
        <v>37</v>
      </c>
      <c r="F425" s="1" t="str">
        <f>VLOOKUP(Filmes_raw!E425,Rating_systems!$A$2:$C$29,3,FALSE)</f>
        <v>Criança</v>
      </c>
      <c r="G425" s="2">
        <f>Gross_cleaning!F425</f>
        <v>113</v>
      </c>
      <c r="H425" s="1" t="s">
        <v>543</v>
      </c>
      <c r="I425" s="1" t="s">
        <v>20</v>
      </c>
      <c r="J425" s="1">
        <v>8.0</v>
      </c>
      <c r="K425" s="1" t="s">
        <v>2718</v>
      </c>
      <c r="L425" s="1" t="str">
        <f>IFERROR(__xludf.DUMMYFUNCTION("GOOGLETRANSLATE(K425,""en"", ""pt-br"")"),"Um homem italiano fraco se torna um flunky fascista que vai para o exterior para organizar o assassinato de seu velho professor, agora um dissidente político.")</f>
        <v>Um homem italiano fraco se torna um flunky fascista que vai para o exterior para organizar o assassinato de seu velho professor, agora um dissidente político.</v>
      </c>
      <c r="M425" s="1">
        <v>100.0</v>
      </c>
      <c r="N425" s="1" t="s">
        <v>2719</v>
      </c>
      <c r="O425" s="1" t="s">
        <v>1773</v>
      </c>
      <c r="P425" s="1" t="s">
        <v>2720</v>
      </c>
      <c r="Q425" s="1" t="s">
        <v>2721</v>
      </c>
      <c r="R425" s="1" t="s">
        <v>2722</v>
      </c>
      <c r="S425" s="1">
        <v>27067.0</v>
      </c>
      <c r="T425" s="7" t="str">
        <f>VLOOKUP(A425,Posters!A425:B1424,2)</f>
        <v>https://m.media-amazon.com/images/M/MV5BODFlYzU4YTItN2EwYi00ODI3LTkwNTQtMDdkNjM3YjMyMTgyXkEyXkFqcGdeQXVyNjc1NTYyMjg@._V1_UY98_CR0,0,67,98_AL_.jpg</v>
      </c>
      <c r="U425" s="8">
        <f>'Inflation Adjusted Gross'!F425</f>
        <v>3698540</v>
      </c>
      <c r="V425" s="5">
        <f t="shared" si="1"/>
        <v>2020</v>
      </c>
    </row>
    <row r="426">
      <c r="A426" s="1">
        <v>425.0</v>
      </c>
      <c r="B426" s="1" t="s">
        <v>2723</v>
      </c>
      <c r="C426" s="6">
        <f>Gross_cleaning!E426</f>
        <v>102308889</v>
      </c>
      <c r="D426" s="1">
        <v>1969.0</v>
      </c>
      <c r="E426" s="1" t="s">
        <v>270</v>
      </c>
      <c r="F426" s="1" t="str">
        <f>VLOOKUP(Filmes_raw!E426,Rating_systems!$A$2:$C$29,3,FALSE)</f>
        <v>Criança</v>
      </c>
      <c r="G426" s="2">
        <f>Gross_cleaning!F426</f>
        <v>110</v>
      </c>
      <c r="H426" s="1" t="s">
        <v>343</v>
      </c>
      <c r="I426" s="1" t="s">
        <v>137</v>
      </c>
      <c r="J426" s="1">
        <v>8.0</v>
      </c>
      <c r="K426" s="1" t="s">
        <v>2724</v>
      </c>
      <c r="L426" s="1" t="str">
        <f>IFERROR(__xludf.DUMMYFUNCTION("GOOGLETRANSLATE(K426,""en"", ""pt-br"")"),"Wyoming, início dos anos 1900. Butch Cassidy e o Miúdo Sundance são os líderes de uma banda de lei. Depois de um assalto por trem ficar errado, eles se encontram em fuga com uma posse com força em seus calcanhares. Sua solução - escape para a Bolívia.")</f>
        <v>Wyoming, início dos anos 1900. Butch Cassidy e o Miúdo Sundance são os líderes de uma banda de lei. Depois de um assalto por trem ficar errado, eles se encontram em fuga com uma posse com força em seus calcanhares. Sua solução - escape para a Bolívia.</v>
      </c>
      <c r="M426" s="1">
        <v>66.0</v>
      </c>
      <c r="N426" s="1" t="s">
        <v>833</v>
      </c>
      <c r="O426" s="1" t="s">
        <v>834</v>
      </c>
      <c r="P426" s="1" t="s">
        <v>835</v>
      </c>
      <c r="Q426" s="1" t="s">
        <v>2725</v>
      </c>
      <c r="R426" s="1" t="s">
        <v>1944</v>
      </c>
      <c r="S426" s="1">
        <v>201888.0</v>
      </c>
      <c r="T426" s="7" t="str">
        <f>VLOOKUP(A426,Posters!A426:B1425,2)</f>
        <v>https://m.media-amazon.com/images/M/MV5BMTkyMTM2NDk5Nl5BMl5BanBnXkFtZTgwNzY1NzEyMDE@._V1_UX67_CR0,0,67,98_AL_.jpg</v>
      </c>
      <c r="U426" s="8">
        <f>'Inflation Adjusted Gross'!F426</f>
        <v>741368719</v>
      </c>
      <c r="V426" s="5">
        <f t="shared" si="1"/>
        <v>2020</v>
      </c>
    </row>
    <row r="427">
      <c r="A427" s="1">
        <v>426.0</v>
      </c>
      <c r="B427" s="1" t="s">
        <v>2726</v>
      </c>
      <c r="C427" s="6">
        <f>Gross_cleaning!E427</f>
        <v>2300000</v>
      </c>
      <c r="D427" s="1">
        <v>1968.0</v>
      </c>
      <c r="E427" s="1" t="s">
        <v>18</v>
      </c>
      <c r="F427" s="1" t="str">
        <f>VLOOKUP(Filmes_raw!E427,Rating_systems!$A$2:$C$29,3,FALSE)</f>
        <v>Adulto</v>
      </c>
      <c r="G427" s="2">
        <f>Gross_cleaning!F427</f>
        <v>137</v>
      </c>
      <c r="H427" s="1" t="s">
        <v>360</v>
      </c>
      <c r="I427" s="1" t="s">
        <v>569</v>
      </c>
      <c r="J427" s="1">
        <v>8.0</v>
      </c>
      <c r="K427" s="1" t="s">
        <v>2727</v>
      </c>
      <c r="L427" s="1" t="str">
        <f>IFERROR(__xludf.DUMMYFUNCTION("GOOGLETRANSLATE(K427,""en"", ""pt-br"")"),"Um jovem casal tentando para um bebê se mover em um apartamento chique cercado por vizinhos peculiares.")</f>
        <v>Um jovem casal tentando para um bebê se mover em um apartamento chique cercado por vizinhos peculiares.</v>
      </c>
      <c r="M427" s="1">
        <v>96.0</v>
      </c>
      <c r="N427" s="1" t="s">
        <v>316</v>
      </c>
      <c r="O427" s="1" t="s">
        <v>2728</v>
      </c>
      <c r="P427" s="1" t="s">
        <v>2729</v>
      </c>
      <c r="Q427" s="1" t="s">
        <v>2730</v>
      </c>
      <c r="R427" s="1" t="s">
        <v>2731</v>
      </c>
      <c r="S427" s="1">
        <v>193674.0</v>
      </c>
      <c r="T427" s="7" t="str">
        <f>VLOOKUP(A427,Posters!A427:B1426,2)</f>
        <v>https://m.media-amazon.com/images/M/MV5BZmEwZGU2NzctYzlmNi00MGJkLWE3N2MtYjBlN2ZhMGJkZTZiXkEyXkFqcGdeQXVyMTQxNzMzNDI@._V1_UX67_CR0,0,67,98_AL_.jpg</v>
      </c>
      <c r="U427" s="8">
        <f>'Inflation Adjusted Gross'!F427</f>
        <v>17399804</v>
      </c>
      <c r="V427" s="5">
        <f t="shared" si="1"/>
        <v>2020</v>
      </c>
    </row>
    <row r="428">
      <c r="A428" s="1">
        <v>427.0</v>
      </c>
      <c r="B428" s="1" t="s">
        <v>2732</v>
      </c>
      <c r="C428" s="6">
        <f>Gross_cleaning!E428</f>
        <v>33395426</v>
      </c>
      <c r="D428" s="1">
        <v>1968.0</v>
      </c>
      <c r="E428" s="1" t="s">
        <v>52</v>
      </c>
      <c r="F428" s="1" t="str">
        <f>VLOOKUP(Filmes_raw!E428,Rating_systems!$A$2:$C$29,3,FALSE)</f>
        <v>Criança</v>
      </c>
      <c r="G428" s="2">
        <f>Gross_cleaning!F428</f>
        <v>112</v>
      </c>
      <c r="H428" s="1" t="s">
        <v>295</v>
      </c>
      <c r="I428" s="1" t="s">
        <v>846</v>
      </c>
      <c r="J428" s="1">
        <v>8.0</v>
      </c>
      <c r="K428" s="1" t="s">
        <v>2733</v>
      </c>
      <c r="L428" s="1" t="str">
        <f>IFERROR(__xludf.DUMMYFUNCTION("GOOGLETRANSLATE(K428,""en"", ""pt-br"")"),"Um acidente de tripulação de astronauta em um planeta no futuro distante, onde os macacos falantes inteligentes são as espécies dominantes, e os seres humanos são oprimidos e escravizados.")</f>
        <v>Um acidente de tripulação de astronauta em um planeta no futuro distante, onde os macacos falantes inteligentes são as espécies dominantes, e os seres humanos são oprimidos e escravizados.</v>
      </c>
      <c r="M428" s="1">
        <v>79.0</v>
      </c>
      <c r="N428" s="1" t="s">
        <v>2692</v>
      </c>
      <c r="O428" s="1" t="s">
        <v>2013</v>
      </c>
      <c r="P428" s="1" t="s">
        <v>2734</v>
      </c>
      <c r="Q428" s="1" t="s">
        <v>2735</v>
      </c>
      <c r="R428" s="1" t="s">
        <v>2736</v>
      </c>
      <c r="S428" s="1">
        <v>165167.0</v>
      </c>
      <c r="T428" s="7" t="str">
        <f>VLOOKUP(A428,Posters!A428:B1427,2)</f>
        <v>https://m.media-amazon.com/images/M/MV5BMTg0NjUwMzg5NF5BMl5BanBnXkFtZTgwNDQ0NjcwMTE@._V1_UX67_CR0,0,67,98_AL_.jpg</v>
      </c>
      <c r="U428" s="8">
        <f>'Inflation Adjusted Gross'!F428</f>
        <v>252640805</v>
      </c>
      <c r="V428" s="5">
        <f t="shared" si="1"/>
        <v>2020</v>
      </c>
    </row>
    <row r="429">
      <c r="A429" s="1">
        <v>428.0</v>
      </c>
      <c r="B429" s="1" t="s">
        <v>2737</v>
      </c>
      <c r="C429" s="6">
        <f>Gross_cleaning!E429</f>
        <v>104945305</v>
      </c>
      <c r="D429" s="1">
        <v>1967.0</v>
      </c>
      <c r="E429" s="1" t="s">
        <v>18</v>
      </c>
      <c r="F429" s="1" t="str">
        <f>VLOOKUP(Filmes_raw!E429,Rating_systems!$A$2:$C$29,3,FALSE)</f>
        <v>Adulto</v>
      </c>
      <c r="G429" s="2">
        <f>Gross_cleaning!F429</f>
        <v>106</v>
      </c>
      <c r="H429" s="1" t="s">
        <v>286</v>
      </c>
      <c r="I429" s="1" t="s">
        <v>227</v>
      </c>
      <c r="J429" s="1">
        <v>8.0</v>
      </c>
      <c r="K429" s="1" t="s">
        <v>2738</v>
      </c>
      <c r="L429" s="1" t="str">
        <f>IFERROR(__xludf.DUMMYFUNCTION("GOOGLETRANSLATE(K429,""en"", ""pt-br"")"),"Um graduado de faculdade desiludido se encontra dividido entre seu amante mais velho e sua filha.")</f>
        <v>Um graduado de faculdade desiludido se encontra dividido entre seu amante mais velho e sua filha.</v>
      </c>
      <c r="M429" s="1">
        <v>83.0</v>
      </c>
      <c r="N429" s="1" t="s">
        <v>2739</v>
      </c>
      <c r="O429" s="1" t="s">
        <v>2618</v>
      </c>
      <c r="P429" s="1" t="s">
        <v>1879</v>
      </c>
      <c r="Q429" s="1" t="s">
        <v>2725</v>
      </c>
      <c r="R429" s="1" t="s">
        <v>2740</v>
      </c>
      <c r="S429" s="1">
        <v>253676.0</v>
      </c>
      <c r="T429" s="7" t="str">
        <f>VLOOKUP(A429,Posters!A429:B1428,2)</f>
        <v>https://m.media-amazon.com/images/M/MV5BMTQ0ODc4MDk4Nl5BMl5BanBnXkFtZTcwMTEzNzgzNA@@._V1_UX67_CR0,0,67,98_AL_.jpg</v>
      </c>
      <c r="U429" s="8">
        <f>'Inflation Adjusted Gross'!F429</f>
        <v>822882835</v>
      </c>
      <c r="V429" s="5">
        <f t="shared" si="1"/>
        <v>2020</v>
      </c>
    </row>
    <row r="430">
      <c r="A430" s="1">
        <v>429.0</v>
      </c>
      <c r="B430" s="1" t="s">
        <v>2741</v>
      </c>
      <c r="C430" s="6">
        <f>Gross_cleaning!E430</f>
        <v>28000000</v>
      </c>
      <c r="D430" s="1">
        <v>1966.0</v>
      </c>
      <c r="E430" s="1" t="s">
        <v>18</v>
      </c>
      <c r="F430" s="1" t="str">
        <f>VLOOKUP(Filmes_raw!E430,Rating_systems!$A$2:$C$29,3,FALSE)</f>
        <v>Adulto</v>
      </c>
      <c r="G430" s="2">
        <f>Gross_cleaning!F430</f>
        <v>131</v>
      </c>
      <c r="H430" s="1" t="s">
        <v>686</v>
      </c>
      <c r="I430" s="1" t="s">
        <v>20</v>
      </c>
      <c r="J430" s="1">
        <v>8.0</v>
      </c>
      <c r="K430" s="1" t="s">
        <v>2742</v>
      </c>
      <c r="L430" s="1" t="str">
        <f>IFERROR(__xludf.DUMMYFUNCTION("GOOGLETRANSLATE(K430,""en"", ""pt-br"")"),"Um casal amargo, envelhecendo, com a ajuda de álcool, use seus jovens domésticos para combustizar angústia e dor emocional em direção ao outro lado de uma noite angustiante.")</f>
        <v>Um casal amargo, envelhecendo, com a ajuda de álcool, use seus jovens domésticos para combustizar angústia e dor emocional em direção ao outro lado de uma noite angustiante.</v>
      </c>
      <c r="M430" s="1">
        <v>75.0</v>
      </c>
      <c r="N430" s="1" t="s">
        <v>2739</v>
      </c>
      <c r="O430" s="1" t="s">
        <v>2743</v>
      </c>
      <c r="P430" s="1" t="s">
        <v>2744</v>
      </c>
      <c r="Q430" s="1" t="s">
        <v>2745</v>
      </c>
      <c r="R430" s="1" t="s">
        <v>2746</v>
      </c>
      <c r="S430" s="1">
        <v>68926.0</v>
      </c>
      <c r="T430" s="7" t="str">
        <f>VLOOKUP(A430,Posters!A430:B1429,2)</f>
        <v>https://m.media-amazon.com/images/M/MV5BMjQ5ODI1MjQtMDc0Zi00OGQ1LWE2NTYtMTg1YTkxM2E5NzFkXkEyXkFqcGdeQXVyNTA4NzY1MzY@._V1_UX67_CR0,0,67,98_AL_.jpg</v>
      </c>
      <c r="U430" s="8">
        <f>'Inflation Adjusted Gross'!F430</f>
        <v>227144277</v>
      </c>
      <c r="V430" s="5">
        <f t="shared" si="1"/>
        <v>2020</v>
      </c>
    </row>
    <row r="431">
      <c r="A431" s="1">
        <v>430.0</v>
      </c>
      <c r="B431" s="1" t="s">
        <v>2747</v>
      </c>
      <c r="C431" s="6">
        <f>Gross_cleaning!E431</f>
        <v>163214286</v>
      </c>
      <c r="D431" s="1">
        <v>1965.0</v>
      </c>
      <c r="E431" s="1" t="s">
        <v>52</v>
      </c>
      <c r="F431" s="1" t="str">
        <f>VLOOKUP(Filmes_raw!E431,Rating_systems!$A$2:$C$29,3,FALSE)</f>
        <v>Criança</v>
      </c>
      <c r="G431" s="2">
        <f>Gross_cleaning!F431</f>
        <v>172</v>
      </c>
      <c r="H431" s="1" t="s">
        <v>1268</v>
      </c>
      <c r="I431" s="1" t="s">
        <v>1580</v>
      </c>
      <c r="J431" s="1">
        <v>8.0</v>
      </c>
      <c r="K431" s="1" t="s">
        <v>2748</v>
      </c>
      <c r="L431" s="1" t="str">
        <f>IFERROR(__xludf.DUMMYFUNCTION("GOOGLETRANSLATE(K431,""en"", ""pt-br"")"),"Uma mulher deixa um convento austríaco para se tornar uma governanta para os filhos de um oficial do oficial naval.")</f>
        <v>Uma mulher deixa um convento austríaco para se tornar uma governanta para os filhos de um oficial do oficial naval.</v>
      </c>
      <c r="M431" s="1">
        <v>63.0</v>
      </c>
      <c r="N431" s="1" t="s">
        <v>2749</v>
      </c>
      <c r="O431" s="1" t="s">
        <v>2750</v>
      </c>
      <c r="P431" s="1" t="s">
        <v>1152</v>
      </c>
      <c r="Q431" s="1" t="s">
        <v>2751</v>
      </c>
      <c r="R431" s="1" t="s">
        <v>2752</v>
      </c>
      <c r="S431" s="1">
        <v>205425.0</v>
      </c>
      <c r="T431" s="7" t="str">
        <f>VLOOKUP(A431,Posters!A431:B1430,2)</f>
        <v>https://m.media-amazon.com/images/M/MV5BODIxNjhkYjEtYzUyMi00YTNjLWE1YjktNjAyY2I2MWNkNmNmL2ltYWdlL2ltYWdlXkEyXkFqcGdeQXVyMTQxNzMzNDI@._V1_UY98_CR1,0,67,98_AL_.jpg</v>
      </c>
      <c r="U431" s="8">
        <f>'Inflation Adjusted Gross'!F431</f>
        <v>1349504890</v>
      </c>
      <c r="V431" s="5">
        <f t="shared" si="1"/>
        <v>2020</v>
      </c>
    </row>
    <row r="432">
      <c r="A432" s="1">
        <v>431.0</v>
      </c>
      <c r="B432" s="1" t="s">
        <v>2753</v>
      </c>
      <c r="C432" s="6">
        <f>Gross_cleaning!E432</f>
        <v>111722000</v>
      </c>
      <c r="D432" s="1">
        <v>1965.0</v>
      </c>
      <c r="E432" s="1" t="s">
        <v>18</v>
      </c>
      <c r="F432" s="1" t="str">
        <f>VLOOKUP(Filmes_raw!E432,Rating_systems!$A$2:$C$29,3,FALSE)</f>
        <v>Adulto</v>
      </c>
      <c r="G432" s="2">
        <f>Gross_cleaning!F432</f>
        <v>197</v>
      </c>
      <c r="H432" s="1" t="s">
        <v>2754</v>
      </c>
      <c r="I432" s="1" t="s">
        <v>406</v>
      </c>
      <c r="J432" s="1">
        <v>8.0</v>
      </c>
      <c r="K432" s="1" t="s">
        <v>2755</v>
      </c>
      <c r="L432" s="1" t="str">
        <f>IFERROR(__xludf.DUMMYFUNCTION("GOOGLETRANSLATE(K432,""en"", ""pt-br"")"),"A vida de um médico russo e poeta que, embora casado com outro, se apaixonou por uma esposa e experiências do ativista político durante a Primeira Guerra Mundial e depois a Revolução de Outubro.")</f>
        <v>A vida de um médico russo e poeta que, embora casado com outro, se apaixonou por uma esposa e experiências do ativista político durante a Primeira Guerra Mundial e depois a Revolução de Outubro.</v>
      </c>
      <c r="M432" s="1">
        <v>69.0</v>
      </c>
      <c r="N432" s="1" t="s">
        <v>860</v>
      </c>
      <c r="O432" s="1" t="s">
        <v>2756</v>
      </c>
      <c r="P432" s="1" t="s">
        <v>2757</v>
      </c>
      <c r="Q432" s="1" t="s">
        <v>2758</v>
      </c>
      <c r="R432" s="1" t="s">
        <v>2038</v>
      </c>
      <c r="S432" s="1">
        <v>69903.0</v>
      </c>
      <c r="T432" s="7" t="str">
        <f>VLOOKUP(A432,Posters!A432:B1431,2)</f>
        <v>https://m.media-amazon.com/images/M/MV5BNzdmZTk4MTktZmExNi00OWEwLTgxZDctNTE4NWMwNjc1Nzg2XkEyXkFqcGdeQXVyNjc1NTYyMjg@._V1_UX67_CR0,0,67,98_AL_.jpg</v>
      </c>
      <c r="U432" s="8">
        <f>'Inflation Adjusted Gross'!F432</f>
        <v>923751156</v>
      </c>
      <c r="V432" s="5">
        <f t="shared" si="1"/>
        <v>2020</v>
      </c>
    </row>
    <row r="433">
      <c r="A433" s="1">
        <v>432.0</v>
      </c>
      <c r="B433" s="1" t="s">
        <v>2759</v>
      </c>
      <c r="C433" s="6">
        <f>Gross_cleaning!E433</f>
        <v>14500000</v>
      </c>
      <c r="D433" s="1">
        <v>1964.0</v>
      </c>
      <c r="E433" s="1" t="s">
        <v>18</v>
      </c>
      <c r="F433" s="1" t="str">
        <f>VLOOKUP(Filmes_raw!E433,Rating_systems!$A$2:$C$29,3,FALSE)</f>
        <v>Adulto</v>
      </c>
      <c r="G433" s="2">
        <f>Gross_cleaning!F433</f>
        <v>99</v>
      </c>
      <c r="H433" s="1" t="s">
        <v>778</v>
      </c>
      <c r="I433" s="1" t="s">
        <v>2760</v>
      </c>
      <c r="J433" s="1">
        <v>8.0</v>
      </c>
      <c r="K433" s="1" t="s">
        <v>2761</v>
      </c>
      <c r="L433" s="1" t="str">
        <f>IFERROR(__xludf.DUMMYFUNCTION("GOOGLETRANSLATE(K433,""en"", ""pt-br"")"),"Um gunfighter errante joga duas famílias rivais uns contra as outras em uma cidade dilacerada pela ganância, orgulho e vingança.")</f>
        <v>Um gunfighter errante joga duas famílias rivais uns contra as outras em uma cidade dilacerada pela ganância, orgulho e vingança.</v>
      </c>
      <c r="M433" s="1">
        <v>65.0</v>
      </c>
      <c r="N433" s="1" t="s">
        <v>118</v>
      </c>
      <c r="O433" s="1" t="s">
        <v>119</v>
      </c>
      <c r="P433" s="1" t="s">
        <v>854</v>
      </c>
      <c r="Q433" s="1" t="s">
        <v>2762</v>
      </c>
      <c r="R433" s="1" t="s">
        <v>2763</v>
      </c>
      <c r="S433" s="1">
        <v>198219.0</v>
      </c>
      <c r="T433" s="7" t="str">
        <f>VLOOKUP(A433,Posters!A433:B1432,2)</f>
        <v>https://m.media-amazon.com/images/M/MV5BYjA1MGVlMGItNzgxMC00OWY4LWI4YjEtNTNmYWIzMGUxOGQzXkEyXkFqcGdeQXVyNjc1NTYyMjg@._V1_UY98_CR0,0,67,98_AL_.jpg</v>
      </c>
      <c r="U433" s="8">
        <f>'Inflation Adjusted Gross'!F433</f>
        <v>121054353</v>
      </c>
      <c r="V433" s="5">
        <f t="shared" si="1"/>
        <v>2020</v>
      </c>
    </row>
    <row r="434">
      <c r="A434" s="1">
        <v>433.0</v>
      </c>
      <c r="B434" s="1" t="s">
        <v>2764</v>
      </c>
      <c r="C434" s="6">
        <f>Gross_cleaning!E434</f>
        <v>50690</v>
      </c>
      <c r="D434" s="1">
        <v>1963.0</v>
      </c>
      <c r="E434" s="1">
        <v>14.0</v>
      </c>
      <c r="F434" s="1" t="str">
        <f>VLOOKUP(Filmes_raw!E434,Rating_systems!$A$2:$C$29,3,FALSE)</f>
        <v>Adolescente</v>
      </c>
      <c r="G434" s="2">
        <f>Gross_cleaning!F434</f>
        <v>138</v>
      </c>
      <c r="H434" s="1" t="s">
        <v>947</v>
      </c>
      <c r="I434" s="1" t="s">
        <v>20</v>
      </c>
      <c r="J434" s="1">
        <v>8.0</v>
      </c>
      <c r="K434" s="1" t="s">
        <v>2766</v>
      </c>
      <c r="L434" s="1" t="str">
        <f>IFERROR(__xludf.DUMMYFUNCTION("GOOGLETRANSLATE(K434,""en"", ""pt-br"")"),"Um diretor de cinema HARRIED recuou em suas memórias e fantasias.")</f>
        <v>Um diretor de cinema HARRIED recuou em suas memórias e fantasias.</v>
      </c>
      <c r="M434" s="1">
        <v>91.0</v>
      </c>
      <c r="N434" s="1" t="s">
        <v>2023</v>
      </c>
      <c r="O434" s="1" t="s">
        <v>2767</v>
      </c>
      <c r="P434" s="1" t="s">
        <v>2768</v>
      </c>
      <c r="Q434" s="1" t="s">
        <v>393</v>
      </c>
      <c r="R434" s="1" t="s">
        <v>2769</v>
      </c>
      <c r="S434" s="1">
        <v>108844.0</v>
      </c>
      <c r="T434" s="7" t="str">
        <f>VLOOKUP(A434,Posters!A434:B1433,2)</f>
        <v>https://m.media-amazon.com/images/M/MV5BMTQ4MTA0NjEzMF5BMl5BanBnXkFtZTgwMDg4NDYxMzE@._V1_UY98_CR2,0,67,98_AL_.jpg</v>
      </c>
      <c r="U434" s="8">
        <f>'Inflation Adjusted Gross'!F434</f>
        <v>430150</v>
      </c>
      <c r="V434" s="5">
        <f t="shared" si="1"/>
        <v>2020</v>
      </c>
    </row>
    <row r="435">
      <c r="A435" s="1">
        <v>434.0</v>
      </c>
      <c r="B435" s="1" t="s">
        <v>2770</v>
      </c>
      <c r="C435" s="6">
        <f>Gross_cleaning!E435</f>
        <v>24517</v>
      </c>
      <c r="D435" s="1">
        <v>1962.0</v>
      </c>
      <c r="E435" s="1">
        <v>14.0</v>
      </c>
      <c r="F435" s="1" t="str">
        <f>VLOOKUP(Filmes_raw!E435,Rating_systems!$A$2:$C$29,3,FALSE)</f>
        <v>Adolescente</v>
      </c>
      <c r="G435" s="2">
        <f>Gross_cleaning!F435</f>
        <v>80</v>
      </c>
      <c r="H435" s="1" t="s">
        <v>1639</v>
      </c>
      <c r="I435" s="1" t="s">
        <v>20</v>
      </c>
      <c r="J435" s="1">
        <v>8.0</v>
      </c>
      <c r="K435" s="1" t="s">
        <v>2771</v>
      </c>
      <c r="L435" s="1" t="str">
        <f>IFERROR(__xludf.DUMMYFUNCTION("GOOGLETRANSLATE(K435,""en"", ""pt-br"")"),"Doze contos episódicos na vida de uma mulher parisiense e sua descendência lenta em prostituição.")</f>
        <v>Doze contos episódicos na vida de uma mulher parisiense e sua descendência lenta em prostituição.</v>
      </c>
      <c r="N435" s="1" t="s">
        <v>2772</v>
      </c>
      <c r="O435" s="1" t="s">
        <v>2773</v>
      </c>
      <c r="P435" s="1" t="s">
        <v>2774</v>
      </c>
      <c r="Q435" s="1" t="s">
        <v>2775</v>
      </c>
      <c r="R435" s="1" t="s">
        <v>2776</v>
      </c>
      <c r="S435" s="1">
        <v>28057.0</v>
      </c>
      <c r="T435" s="7" t="str">
        <f>VLOOKUP(A435,Posters!A435:B1434,2)</f>
        <v>https://m.media-amazon.com/images/M/MV5BNjMyZmI5NmItY2JlMi00NzU3LWI5ZGItZjhkOTE0YjEyN2Q4XkEyXkFqcGdeQXVyNDkzNTM2ODg@._V1_UX67_CR0,0,67,98_AL_.jpg</v>
      </c>
      <c r="U435" s="8">
        <f>'Inflation Adjusted Gross'!F435</f>
        <v>210823</v>
      </c>
      <c r="V435" s="5">
        <f t="shared" si="1"/>
        <v>2020</v>
      </c>
    </row>
    <row r="436">
      <c r="A436" s="1">
        <v>435.0</v>
      </c>
      <c r="B436" s="1" t="s">
        <v>2777</v>
      </c>
      <c r="C436" s="6">
        <f>Gross_cleaning!E436</f>
        <v>8284000</v>
      </c>
      <c r="D436" s="1">
        <v>1961.0</v>
      </c>
      <c r="E436" s="1" t="s">
        <v>18</v>
      </c>
      <c r="F436" s="1" t="str">
        <f>VLOOKUP(Filmes_raw!E436,Rating_systems!$A$2:$C$29,3,FALSE)</f>
        <v>Adulto</v>
      </c>
      <c r="G436" s="2">
        <f>Gross_cleaning!F436</f>
        <v>134</v>
      </c>
      <c r="H436" s="1" t="s">
        <v>550</v>
      </c>
      <c r="I436" s="1" t="s">
        <v>1622</v>
      </c>
      <c r="J436" s="1">
        <v>8.0</v>
      </c>
      <c r="K436" s="1" t="s">
        <v>2778</v>
      </c>
      <c r="L436" s="1" t="str">
        <f>IFERROR(__xludf.DUMMYFUNCTION("GOOGLETRANSLATE(K436,""en"", ""pt-br"")"),"Um jogador de piscina para cima e chegada joga um campeão de longa data em uma única partida de high-stakes.")</f>
        <v>Um jogador de piscina para cima e chegada joga um campeão de longa data em uma única partida de high-stakes.</v>
      </c>
      <c r="M436" s="1">
        <v>90.0</v>
      </c>
      <c r="N436" s="1" t="s">
        <v>2779</v>
      </c>
      <c r="O436" s="1" t="s">
        <v>834</v>
      </c>
      <c r="P436" s="1" t="s">
        <v>2780</v>
      </c>
      <c r="Q436" s="1" t="s">
        <v>2781</v>
      </c>
      <c r="R436" s="1" t="s">
        <v>605</v>
      </c>
      <c r="S436" s="1">
        <v>75067.0</v>
      </c>
      <c r="T436" s="7" t="str">
        <f>VLOOKUP(A436,Posters!A436:B1435,2)</f>
        <v>https://m.media-amazon.com/images/M/MV5BNjhjODI2NTItMGE1ZS00NThiLWE1MmYtOWE3YzcyNzY1MTJlXkEyXkFqcGdeQXVyNTc1NTQxODI@._V1_UX67_CR0,0,67,98_AL_.jpg</v>
      </c>
      <c r="U436" s="8">
        <f>'Inflation Adjusted Gross'!F436</f>
        <v>71712475</v>
      </c>
      <c r="V436" s="5">
        <f t="shared" si="1"/>
        <v>2020</v>
      </c>
    </row>
    <row r="437">
      <c r="A437" s="1">
        <v>436.0</v>
      </c>
      <c r="B437" s="1" t="s">
        <v>2782</v>
      </c>
      <c r="C437" s="6">
        <f>Gross_cleaning!E437</f>
        <v>19516000</v>
      </c>
      <c r="D437" s="1">
        <v>1960.0</v>
      </c>
      <c r="E437" s="1" t="s">
        <v>18</v>
      </c>
      <c r="F437" s="1" t="str">
        <f>VLOOKUP(Filmes_raw!E437,Rating_systems!$A$2:$C$29,3,FALSE)</f>
        <v>Adulto</v>
      </c>
      <c r="G437" s="2">
        <f>Gross_cleaning!F437</f>
        <v>174</v>
      </c>
      <c r="H437" s="1" t="s">
        <v>2783</v>
      </c>
      <c r="I437" s="1" t="s">
        <v>507</v>
      </c>
      <c r="J437" s="1">
        <v>8.0</v>
      </c>
      <c r="K437" s="1" t="s">
        <v>2784</v>
      </c>
      <c r="L437" s="1" t="str">
        <f>IFERROR(__xludf.DUMMYFUNCTION("GOOGLETRANSLATE(K437,""en"", ""pt-br"")"),"Uma série de histórias após uma semana na vida de um jornalista Philandering Paparazzo que vive em Roma.")</f>
        <v>Uma série de histórias após uma semana na vida de um jornalista Philandering Paparazzo que vive em Roma.</v>
      </c>
      <c r="M437" s="1">
        <v>95.0</v>
      </c>
      <c r="N437" s="1" t="s">
        <v>2023</v>
      </c>
      <c r="O437" s="1" t="s">
        <v>2767</v>
      </c>
      <c r="P437" s="1" t="s">
        <v>2785</v>
      </c>
      <c r="Q437" s="1" t="s">
        <v>2768</v>
      </c>
      <c r="R437" s="1" t="s">
        <v>2786</v>
      </c>
      <c r="S437" s="1">
        <v>66621.0</v>
      </c>
      <c r="T437" s="7" t="str">
        <f>VLOOKUP(A437,Posters!A437:B1436,2)</f>
        <v>https://m.media-amazon.com/images/M/MV5BODQ0NzY5NGEtYTc5NC00Yjg4LTg4Y2QtZjE2MTkyYTNmNmU2L2ltYWdlL2ltYWdlXkEyXkFqcGdeQXVyNjc1NTYyMjg@._V1_UY98_CR1,0,67,98_AL_.jpg</v>
      </c>
      <c r="U437" s="8">
        <f>'Inflation Adjusted Gross'!F437</f>
        <v>171828056</v>
      </c>
      <c r="V437" s="5">
        <f t="shared" si="1"/>
        <v>2020</v>
      </c>
    </row>
    <row r="438">
      <c r="A438" s="1">
        <v>437.0</v>
      </c>
      <c r="B438" s="1" t="s">
        <v>2787</v>
      </c>
      <c r="C438" s="6">
        <f>Gross_cleaning!E438</f>
        <v>12535000</v>
      </c>
      <c r="D438" s="1">
        <v>1959.0</v>
      </c>
      <c r="E438" s="1" t="s">
        <v>627</v>
      </c>
      <c r="F438" s="1" t="str">
        <f>VLOOKUP(Filmes_raw!E438,Rating_systems!$A$2:$C$29,3,FALSE)</f>
        <v>Adulto</v>
      </c>
      <c r="G438" s="2">
        <f>Gross_cleaning!F438</f>
        <v>141</v>
      </c>
      <c r="H438" s="1" t="s">
        <v>1672</v>
      </c>
      <c r="I438" s="1" t="s">
        <v>2760</v>
      </c>
      <c r="J438" s="1">
        <v>8.0</v>
      </c>
      <c r="K438" s="1" t="s">
        <v>2788</v>
      </c>
      <c r="L438" s="1" t="str">
        <f>IFERROR(__xludf.DUMMYFUNCTION("GOOGLETRANSLATE(K438,""en"", ""pt-br"")"),"Um xerife de cidade pequena no oeste americano encoraja a ajuda de um aleijado, um bêbado e um jovem gunfighter em seus esforços para se manter no irmão do Bad Guy local.")</f>
        <v>Um xerife de cidade pequena no oeste americano encoraja a ajuda de um aleijado, um bêbado e um jovem gunfighter em seus esforços para se manter no irmão do Bad Guy local.</v>
      </c>
      <c r="M438" s="1">
        <v>93.0</v>
      </c>
      <c r="N438" s="1" t="s">
        <v>2789</v>
      </c>
      <c r="O438" s="1" t="s">
        <v>1985</v>
      </c>
      <c r="P438" s="1" t="s">
        <v>2790</v>
      </c>
      <c r="Q438" s="1" t="s">
        <v>2791</v>
      </c>
      <c r="R438" s="1" t="s">
        <v>2792</v>
      </c>
      <c r="S438" s="1">
        <v>56305.0</v>
      </c>
      <c r="T438" s="7" t="str">
        <f>VLOOKUP(A438,Posters!A438:B1437,2)</f>
        <v>https://m.media-amazon.com/images/M/MV5BZDVhMTk1NjUtYjc0OS00OTE1LTk1NTYtYWMzMDI5OTlmYzU2XkEyXkFqcGdeQXVyNjc1NTYyMjg@._V1_UX67_CR0,0,67,98_AL_.jpg</v>
      </c>
      <c r="U438" s="8">
        <f>'Inflation Adjusted Gross'!F438</f>
        <v>111505741</v>
      </c>
      <c r="V438" s="5">
        <f t="shared" si="1"/>
        <v>2020</v>
      </c>
    </row>
    <row r="439">
      <c r="A439" s="1">
        <v>438.0</v>
      </c>
      <c r="B439" s="1" t="s">
        <v>2793</v>
      </c>
      <c r="C439" s="6">
        <f>Gross_cleaning!E439</f>
        <v>11900000</v>
      </c>
      <c r="D439" s="1">
        <v>1959.0</v>
      </c>
      <c r="E439" s="1">
        <v>12.0</v>
      </c>
      <c r="F439" s="1" t="str">
        <f>VLOOKUP(Filmes_raw!E439,Rating_systems!$A$2:$C$29,3,FALSE)</f>
        <v>Criança</v>
      </c>
      <c r="G439" s="2">
        <f>Gross_cleaning!F439</f>
        <v>161</v>
      </c>
      <c r="H439" s="1" t="s">
        <v>115</v>
      </c>
      <c r="I439" s="1" t="s">
        <v>235</v>
      </c>
      <c r="J439" s="1">
        <v>8.0</v>
      </c>
      <c r="K439" s="1" t="s">
        <v>2794</v>
      </c>
      <c r="L439" s="1" t="str">
        <f>IFERROR(__xludf.DUMMYFUNCTION("GOOGLETRANSLATE(K439,""en"", ""pt-br"")"),"Em um julgamento de assassinato, o réu diz que sofreu insanidade temporária depois que a vítima estuprou sua esposa. Qual é a verdade e ele vai ganhar seu caso?")</f>
        <v>Em um julgamento de assassinato, o réu diz que sofreu insanidade temporária depois que a vítima estuprou sua esposa. Qual é a verdade e ele vai ganhar seu caso?</v>
      </c>
      <c r="M439" s="1">
        <v>95.0</v>
      </c>
      <c r="N439" s="1" t="s">
        <v>2795</v>
      </c>
      <c r="O439" s="1" t="s">
        <v>274</v>
      </c>
      <c r="P439" s="1" t="s">
        <v>2796</v>
      </c>
      <c r="Q439" s="1" t="s">
        <v>2797</v>
      </c>
      <c r="R439" s="1" t="s">
        <v>2798</v>
      </c>
      <c r="S439" s="1">
        <v>59847.0</v>
      </c>
      <c r="T439" s="7" t="str">
        <f>VLOOKUP(A439,Posters!A439:B1438,2)</f>
        <v>https://m.media-amazon.com/images/M/MV5BMzM0MzE2ZTAtZTBjZS00MTk5LTg5OTEtNjNmYmQ5NzU2OTUyXkEyXkFqcGdeQXVyNDY2MTk1ODk@._V1_UX67_CR0,0,67,98_AL_.jpg</v>
      </c>
      <c r="U439" s="8">
        <f>'Inflation Adjusted Gross'!F439</f>
        <v>105857065</v>
      </c>
      <c r="V439" s="5">
        <f t="shared" si="1"/>
        <v>2020</v>
      </c>
    </row>
    <row r="440">
      <c r="A440" s="1">
        <v>439.0</v>
      </c>
      <c r="B440" s="1" t="s">
        <v>2799</v>
      </c>
      <c r="C440" s="6">
        <f>Gross_cleaning!E440</f>
        <v>2237659</v>
      </c>
      <c r="D440" s="1">
        <v>1958.0</v>
      </c>
      <c r="E440" s="1" t="s">
        <v>161</v>
      </c>
      <c r="F440" s="1" t="str">
        <f>VLOOKUP(Filmes_raw!E440,Rating_systems!$A$2:$C$29,3,FALSE)</f>
        <v>Criança</v>
      </c>
      <c r="G440" s="2">
        <f>Gross_cleaning!F440</f>
        <v>95</v>
      </c>
      <c r="H440" s="1" t="s">
        <v>601</v>
      </c>
      <c r="I440" s="1" t="s">
        <v>908</v>
      </c>
      <c r="J440" s="1">
        <v>8.0</v>
      </c>
      <c r="K440" s="1" t="s">
        <v>2800</v>
      </c>
      <c r="L440" s="1" t="str">
        <f>IFERROR(__xludf.DUMMYFUNCTION("GOOGLETRANSLATE(K440,""en"", ""pt-br"")"),"Uma história perversa de assassinato, seqüestro e corrupção policial em uma cidade fronteiriça mexicana.")</f>
        <v>Uma história perversa de assassinato, seqüestro e corrupção policial em uma cidade fronteiriça mexicana.</v>
      </c>
      <c r="M440" s="1">
        <v>99.0</v>
      </c>
      <c r="N440" s="1" t="s">
        <v>916</v>
      </c>
      <c r="O440" s="1" t="s">
        <v>2013</v>
      </c>
      <c r="P440" s="1" t="s">
        <v>916</v>
      </c>
      <c r="Q440" s="1" t="s">
        <v>401</v>
      </c>
      <c r="R440" s="1" t="s">
        <v>2801</v>
      </c>
      <c r="S440" s="1">
        <v>98431.0</v>
      </c>
      <c r="T440" s="7" t="str">
        <f>VLOOKUP(A440,Posters!A440:B1439,2)</f>
        <v>https://m.media-amazon.com/images/M/MV5BOTA1MjA3M2EtMmJjZS00OWViLTkwMTEtM2E5ZDk0NTAyNGJiXkEyXkFqcGdeQXVyNzkwMjQ5NzM@._V1_UX67_CR0,0,67,98_AL_.jpg</v>
      </c>
      <c r="U440" s="8">
        <f>'Inflation Adjusted Gross'!F440</f>
        <v>20183606</v>
      </c>
      <c r="V440" s="5">
        <f t="shared" si="1"/>
        <v>2020</v>
      </c>
    </row>
    <row r="441">
      <c r="A441" s="1">
        <v>440.0</v>
      </c>
      <c r="B441" s="1" t="s">
        <v>2802</v>
      </c>
      <c r="C441" s="6">
        <f>Gross_cleaning!E441</f>
        <v>17570324</v>
      </c>
      <c r="D441" s="1">
        <v>1958.0</v>
      </c>
      <c r="E441" s="1" t="s">
        <v>18</v>
      </c>
      <c r="F441" s="1" t="str">
        <f>VLOOKUP(Filmes_raw!E441,Rating_systems!$A$2:$C$29,3,FALSE)</f>
        <v>Adulto</v>
      </c>
      <c r="G441" s="2">
        <f>Gross_cleaning!F441</f>
        <v>108</v>
      </c>
      <c r="H441" s="1" t="s">
        <v>714</v>
      </c>
      <c r="I441" s="1" t="s">
        <v>20</v>
      </c>
      <c r="J441" s="1">
        <v>8.0</v>
      </c>
      <c r="K441" s="1" t="s">
        <v>2803</v>
      </c>
      <c r="L441" s="1" t="str">
        <f>IFERROR(__xludf.DUMMYFUNCTION("GOOGLETRANSLATE(K441,""en"", ""pt-br"")"),"O tijolo é um jogador alcoólico ex-futebol que bebe seus dias de distância e resiste às afeições de sua esposa. Uma reunião com seu pai terminal é uma série de memórias e revelações para o pai e o filho.")</f>
        <v>O tijolo é um jogador alcoólico ex-futebol que bebe seus dias de distância e resiste às afeições de sua esposa. Uma reunião com seu pai terminal é uma série de memórias e revelações para o pai e o filho.</v>
      </c>
      <c r="M441" s="1">
        <v>84.0</v>
      </c>
      <c r="N441" s="1" t="s">
        <v>2804</v>
      </c>
      <c r="O441" s="1" t="s">
        <v>2743</v>
      </c>
      <c r="P441" s="1" t="s">
        <v>834</v>
      </c>
      <c r="Q441" s="1" t="s">
        <v>2805</v>
      </c>
      <c r="R441" s="1" t="s">
        <v>2806</v>
      </c>
      <c r="S441" s="1">
        <v>45062.0</v>
      </c>
      <c r="T441" s="7" t="str">
        <f>VLOOKUP(A441,Posters!A441:B1440,2)</f>
        <v>https://m.media-amazon.com/images/M/MV5BMzFhNTMwNDMtZjY3Yy00NzY3LWI1ZWQtZTQxMWJmODVhZWFkXkEyXkFqcGdeQXVyNjQzNDI3NzY@._V1_UX67_CR0,0,67,98_AL_.jpg</v>
      </c>
      <c r="U441" s="8">
        <f>'Inflation Adjusted Gross'!F441</f>
        <v>158483708</v>
      </c>
      <c r="V441" s="5">
        <f t="shared" si="1"/>
        <v>2020</v>
      </c>
    </row>
    <row r="442">
      <c r="A442" s="1">
        <v>441.0</v>
      </c>
      <c r="B442" s="1" t="s">
        <v>2807</v>
      </c>
      <c r="C442" s="6">
        <f>Gross_cleaning!E442</f>
        <v>7704</v>
      </c>
      <c r="D442" s="1">
        <v>1957.0</v>
      </c>
      <c r="E442" s="1" t="s">
        <v>2047</v>
      </c>
      <c r="F442" s="1" t="str">
        <f>VLOOKUP(Filmes_raw!E442,Rating_systems!$A$2:$C$29,3,FALSE)</f>
        <v>Adulto</v>
      </c>
      <c r="G442" s="2">
        <f>Gross_cleaning!F442</f>
        <v>96</v>
      </c>
      <c r="H442" s="1" t="s">
        <v>53</v>
      </c>
      <c r="I442" s="1" t="s">
        <v>628</v>
      </c>
      <c r="J442" s="1">
        <v>8.0</v>
      </c>
      <c r="K442" s="1" t="s">
        <v>2808</v>
      </c>
      <c r="L442" s="1" t="str">
        <f>IFERROR(__xludf.DUMMYFUNCTION("GOOGLETRANSLATE(K442,""en"", ""pt-br"")"),"Colunista poderosa mas antiética da Broadway J.J. Hunsecker coage coage inescrupuloso agente de imprensa Sidney falco para romper o romance de sua irmã com um músico de jazz.")</f>
        <v>Colunista poderosa mas antiética da Broadway J.J. Hunsecker coage coage inescrupuloso agente de imprensa Sidney falco para romper o romance de sua irmã com um músico de jazz.</v>
      </c>
      <c r="M442" s="1">
        <v>100.0</v>
      </c>
      <c r="N442" s="1" t="s">
        <v>2809</v>
      </c>
      <c r="O442" s="1" t="s">
        <v>1292</v>
      </c>
      <c r="P442" s="1" t="s">
        <v>1298</v>
      </c>
      <c r="Q442" s="1" t="s">
        <v>2810</v>
      </c>
      <c r="R442" s="1" t="s">
        <v>2811</v>
      </c>
      <c r="S442" s="1">
        <v>28137.0</v>
      </c>
      <c r="T442" s="7" t="str">
        <f>VLOOKUP(A442,Posters!A442:B1441,2)</f>
        <v>https://m.media-amazon.com/images/M/MV5BMjE5NTU3YWYtOWIxNi00YWZhLTg2NzktYzVjZWY5MDQ4NzVlXkEyXkFqcGdeQXVyNjc1NTYyMjg@._V1_UX67_CR0,0,67,98_AL_.jpg</v>
      </c>
      <c r="U442" s="8">
        <f>'Inflation Adjusted Gross'!F442</f>
        <v>72008</v>
      </c>
      <c r="V442" s="5">
        <f t="shared" si="1"/>
        <v>2020</v>
      </c>
    </row>
    <row r="443">
      <c r="A443" s="1">
        <v>442.0</v>
      </c>
      <c r="B443" s="1" t="s">
        <v>2812</v>
      </c>
      <c r="C443" s="6">
        <f>Gross_cleaning!E443</f>
        <v>203</v>
      </c>
      <c r="D443" s="1">
        <v>1956.0</v>
      </c>
      <c r="E443" s="1" t="s">
        <v>2047</v>
      </c>
      <c r="F443" s="1" t="str">
        <f>VLOOKUP(Filmes_raw!E443,Rating_systems!$A$2:$C$29,3,FALSE)</f>
        <v>Adulto</v>
      </c>
      <c r="G443" s="2">
        <f>Gross_cleaning!F443</f>
        <v>84</v>
      </c>
      <c r="H443" s="1" t="s">
        <v>2598</v>
      </c>
      <c r="I443" s="1" t="s">
        <v>908</v>
      </c>
      <c r="J443" s="1">
        <v>8.0</v>
      </c>
      <c r="K443" s="1" t="s">
        <v>2813</v>
      </c>
      <c r="L443" s="1" t="str">
        <f>IFERROR(__xludf.DUMMYFUNCTION("GOOGLETRANSLATE(K443,""en"", ""pt-br"")"),"Crook Johnny Clay monta uma equipe de cinco homens para planejar e executar um assalto à régua ousada.")</f>
        <v>Crook Johnny Clay monta uma equipe de cinco homens para planejar e executar um assalto à régua ousada.</v>
      </c>
      <c r="M443" s="1">
        <v>91.0</v>
      </c>
      <c r="N443" s="1" t="s">
        <v>571</v>
      </c>
      <c r="O443" s="1" t="s">
        <v>606</v>
      </c>
      <c r="P443" s="1" t="s">
        <v>2814</v>
      </c>
      <c r="Q443" s="1" t="s">
        <v>2815</v>
      </c>
      <c r="R443" s="1" t="s">
        <v>2816</v>
      </c>
      <c r="S443" s="1">
        <v>81702.0</v>
      </c>
      <c r="T443" s="7" t="str">
        <f>VLOOKUP(A443,Posters!A443:B1442,2)</f>
        <v>https://m.media-amazon.com/images/M/MV5BMDE5ZjAwY2YtOWM5Yi00ZWNlLWE5ODQtYjA4NzA1NGFkZDU5XkEyXkFqcGdeQXVyNjc1NTYyMjg@._V1_UX67_CR0,0,67,98_AL_.jpg</v>
      </c>
      <c r="U443" s="8">
        <f>'Inflation Adjusted Gross'!F443</f>
        <v>1954</v>
      </c>
      <c r="V443" s="5">
        <f t="shared" si="1"/>
        <v>2020</v>
      </c>
    </row>
    <row r="444">
      <c r="A444" s="1">
        <v>443.0</v>
      </c>
      <c r="B444" s="1" t="s">
        <v>2817</v>
      </c>
      <c r="C444" s="6">
        <f>Gross_cleaning!E444</f>
        <v>654</v>
      </c>
      <c r="D444" s="1">
        <v>1955.0</v>
      </c>
      <c r="E444" s="1">
        <v>14.0</v>
      </c>
      <c r="F444" s="1" t="str">
        <f>VLOOKUP(Filmes_raw!E444,Rating_systems!$A$2:$C$29,3,FALSE)</f>
        <v>Adolescente</v>
      </c>
      <c r="G444" s="2">
        <f>Gross_cleaning!F444</f>
        <v>92</v>
      </c>
      <c r="H444" s="1" t="s">
        <v>1588</v>
      </c>
      <c r="I444" s="1" t="s">
        <v>908</v>
      </c>
      <c r="J444" s="1">
        <v>8.0</v>
      </c>
      <c r="K444" s="1" t="s">
        <v>2818</v>
      </c>
      <c r="L444" s="1" t="str">
        <f>IFERROR(__xludf.DUMMYFUNCTION("GOOGLETRANSLATE(K444,""en"", ""pt-br"")"),"Um fanático religioso se casa com uma viúva crédulos cujas crianças pequenas relutam em dizer a ele onde seu verdadeiro papai escondeu os US $ 10.000, ele roubou em um assalto.")</f>
        <v>Um fanático religioso se casa com uma viúva crédulos cujas crianças pequenas relutam em dizer a ele onde seu verdadeiro papai escondeu os US $ 10.000, ele roubou em um assalto.</v>
      </c>
      <c r="M444" s="1">
        <v>99.0</v>
      </c>
      <c r="N444" s="1" t="s">
        <v>613</v>
      </c>
      <c r="O444" s="1" t="s">
        <v>2819</v>
      </c>
      <c r="P444" s="1" t="s">
        <v>2820</v>
      </c>
      <c r="Q444" s="1" t="s">
        <v>2821</v>
      </c>
      <c r="R444" s="1" t="s">
        <v>2822</v>
      </c>
      <c r="S444" s="1">
        <v>81980.0</v>
      </c>
      <c r="T444" s="7" t="str">
        <f>VLOOKUP(A444,Posters!A444:B1443,2)</f>
        <v>https://m.media-amazon.com/images/M/MV5BYTNjN2M2MzYtZGEwMi00Mzc5LWEwYTMtODM1ZmRiZjFiNTU0L2ltYWdlL2ltYWdlXkEyXkFqcGdeQXVyNjc1NTYyMjg@._V1_UX67_CR0,0,67,98_AL_.jpg</v>
      </c>
      <c r="U444" s="8">
        <f>'Inflation Adjusted Gross'!F444</f>
        <v>6319</v>
      </c>
      <c r="V444" s="5">
        <f t="shared" si="1"/>
        <v>2020</v>
      </c>
    </row>
    <row r="445">
      <c r="A445" s="1">
        <v>444.0</v>
      </c>
      <c r="B445" s="1" t="s">
        <v>2823</v>
      </c>
      <c r="C445" s="6">
        <f>Gross_cleaning!E445</f>
        <v>17923</v>
      </c>
      <c r="D445" s="1">
        <v>1954.0</v>
      </c>
      <c r="E445" s="1">
        <v>14.0</v>
      </c>
      <c r="F445" s="1" t="str">
        <f>VLOOKUP(Filmes_raw!E445,Rating_systems!$A$2:$C$29,3,FALSE)</f>
        <v>Adolescente</v>
      </c>
      <c r="G445" s="2">
        <f>Gross_cleaning!F445</f>
        <v>108</v>
      </c>
      <c r="H445" s="1" t="s">
        <v>714</v>
      </c>
      <c r="I445" s="1" t="s">
        <v>20</v>
      </c>
      <c r="J445" s="1">
        <v>8.0</v>
      </c>
      <c r="K445" s="1" t="s">
        <v>2824</v>
      </c>
      <c r="L445" s="1" t="str">
        <f>IFERROR(__xludf.DUMMYFUNCTION("GOOGLETRANSLATE(K445,""en"", ""pt-br"")"),"Uma garota livre de cuidados é vendida para um artista de viagem, consequentemente, suportando a dor física e emocional ao longo do caminho.")</f>
        <v>Uma garota livre de cuidados é vendida para um artista de viagem, consequentemente, suportando a dor física e emocional ao longo do caminho.</v>
      </c>
      <c r="N445" s="1" t="s">
        <v>2023</v>
      </c>
      <c r="O445" s="1" t="s">
        <v>862</v>
      </c>
      <c r="P445" s="1" t="s">
        <v>2024</v>
      </c>
      <c r="Q445" s="1" t="s">
        <v>2825</v>
      </c>
      <c r="R445" s="1" t="s">
        <v>2826</v>
      </c>
      <c r="S445" s="1">
        <v>58314.0</v>
      </c>
      <c r="T445" s="7" t="str">
        <f>VLOOKUP(A445,Posters!A445:B1444,2)</f>
        <v>https://m.media-amazon.com/images/M/MV5BYjUyOGMyMTQtYTM5Yy00MjFiLTk2OGItMWYwMDc2YmM1YzhiXkEyXkFqcGdeQXVyMjA0MzYwMDY@._V1_UY98_CR2,0,67,98_AL_.jpg</v>
      </c>
      <c r="U445" s="8">
        <f>'Inflation Adjusted Gross'!F445</f>
        <v>171882</v>
      </c>
      <c r="V445" s="5">
        <f t="shared" si="1"/>
        <v>2020</v>
      </c>
    </row>
    <row r="446">
      <c r="A446" s="1">
        <v>445.0</v>
      </c>
      <c r="B446" s="1" t="s">
        <v>2827</v>
      </c>
      <c r="C446" s="6">
        <f>Gross_cleaning!E446</f>
        <v>12498</v>
      </c>
      <c r="D446" s="1">
        <v>1955.0</v>
      </c>
      <c r="E446" s="1">
        <v>16.0</v>
      </c>
      <c r="F446" s="1" t="str">
        <f>VLOOKUP(Filmes_raw!E446,Rating_systems!$A$2:$C$29,3,FALSE)</f>
        <v>Adolescente</v>
      </c>
      <c r="G446" s="2">
        <f>Gross_cleaning!F446</f>
        <v>117</v>
      </c>
      <c r="H446" s="1" t="s">
        <v>466</v>
      </c>
      <c r="I446" s="1" t="s">
        <v>2828</v>
      </c>
      <c r="J446" s="1">
        <v>8.0</v>
      </c>
      <c r="K446" s="1" t="s">
        <v>2829</v>
      </c>
      <c r="L446" s="1" t="str">
        <f>IFERROR(__xludf.DUMMYFUNCTION("GOOGLETRANSLATE(K446,""en"", ""pt-br"")"),"A esposa e a amante de um prêmio de escola repousante para matá-lo com o que eles acreditam é o álibi perfeito.")</f>
        <v>A esposa e a amante de um prêmio de escola repousante para matá-lo com o que eles acreditam é o álibi perfeito.</v>
      </c>
      <c r="N446" s="1" t="s">
        <v>2041</v>
      </c>
      <c r="O446" s="1" t="s">
        <v>2830</v>
      </c>
      <c r="P446" s="1" t="s">
        <v>2831</v>
      </c>
      <c r="Q446" s="1" t="s">
        <v>2832</v>
      </c>
      <c r="R446" s="1" t="s">
        <v>2043</v>
      </c>
      <c r="S446" s="1">
        <v>61503.0</v>
      </c>
      <c r="T446" s="7" t="str">
        <f>VLOOKUP(A446,Posters!A446:B1445,2)</f>
        <v>https://m.media-amazon.com/images/M/MV5BMGJmNmU5OTAtOTQyYy00MmM3LTk4MzUtMGFiZDYzODdmMmU4XkEyXkFqcGdeQXVyNjU0OTQ0OTY@._V1_UY98_CR3,0,67,98_AL_.jpg</v>
      </c>
      <c r="U446" s="8">
        <f>'Inflation Adjusted Gross'!F446</f>
        <v>120754</v>
      </c>
      <c r="V446" s="5">
        <f t="shared" si="1"/>
        <v>2020</v>
      </c>
    </row>
    <row r="447">
      <c r="A447" s="1">
        <v>446.0</v>
      </c>
      <c r="B447" s="1" t="s">
        <v>2833</v>
      </c>
      <c r="C447" s="6">
        <f>Gross_cleaning!E447</f>
        <v>1661530</v>
      </c>
      <c r="D447" s="1">
        <v>1953.0</v>
      </c>
      <c r="E447" s="1">
        <v>14.0</v>
      </c>
      <c r="F447" s="1" t="str">
        <f>VLOOKUP(Filmes_raw!E447,Rating_systems!$A$2:$C$29,3,FALSE)</f>
        <v>Adolescente</v>
      </c>
      <c r="G447" s="2">
        <f>Gross_cleaning!F447</f>
        <v>120</v>
      </c>
      <c r="H447" s="1" t="s">
        <v>1546</v>
      </c>
      <c r="I447" s="1" t="s">
        <v>635</v>
      </c>
      <c r="J447" s="1">
        <v>8.0</v>
      </c>
      <c r="K447" s="1" t="s">
        <v>2834</v>
      </c>
      <c r="L447" s="1" t="str">
        <f>IFERROR(__xludf.DUMMYFUNCTION("GOOGLETRANSLATE(K447,""en"", ""pt-br"")"),"Quando dois escapam nos prisioneiros da American World War II são mortos, o alemão P.O.W. Camp Barracks Black Marketeer, J.J. Sefton, é suspeito de ser um informante.")</f>
        <v>Quando dois escapam nos prisioneiros da American World War II são mortos, o alemão P.O.W. Camp Barracks Black Marketeer, J.J. Sefton, é suspeito de ser um informante.</v>
      </c>
      <c r="M447" s="1">
        <v>84.0</v>
      </c>
      <c r="N447" s="1" t="s">
        <v>610</v>
      </c>
      <c r="O447" s="1" t="s">
        <v>630</v>
      </c>
      <c r="P447" s="1" t="s">
        <v>2835</v>
      </c>
      <c r="Q447" s="1" t="s">
        <v>2795</v>
      </c>
      <c r="R447" s="1" t="s">
        <v>2836</v>
      </c>
      <c r="S447" s="1">
        <v>51046.0</v>
      </c>
      <c r="T447" s="7" t="str">
        <f>VLOOKUP(A447,Posters!A447:B1446,2)</f>
        <v>https://m.media-amazon.com/images/M/MV5BNDMyNGU0NjUtNTIxMC00ZmU2LWE0ZGItZTdkNGVlODI2ZDcyL2ltYWdlXkEyXkFqcGdeQXVyNjc1NTYyMjg@._V1_UX67_CR0,0,67,98_AL_.jpg</v>
      </c>
      <c r="U447" s="8">
        <f>'Inflation Adjusted Gross'!F447</f>
        <v>16113780</v>
      </c>
      <c r="V447" s="5">
        <f t="shared" si="1"/>
        <v>2020</v>
      </c>
    </row>
    <row r="448">
      <c r="A448" s="1">
        <v>447.0</v>
      </c>
      <c r="B448" s="1" t="s">
        <v>2837</v>
      </c>
      <c r="C448" s="6">
        <f>Gross_cleaning!E448</f>
        <v>1500000</v>
      </c>
      <c r="D448" s="1">
        <v>1953.0</v>
      </c>
      <c r="E448" s="1" t="s">
        <v>52</v>
      </c>
      <c r="F448" s="1" t="str">
        <f>VLOOKUP(Filmes_raw!E448,Rating_systems!$A$2:$C$29,3,FALSE)</f>
        <v>Criança</v>
      </c>
      <c r="G448" s="2">
        <f>Gross_cleaning!F448</f>
        <v>118</v>
      </c>
      <c r="H448" s="1" t="s">
        <v>240</v>
      </c>
      <c r="I448" s="1" t="s">
        <v>723</v>
      </c>
      <c r="J448" s="1">
        <v>8.0</v>
      </c>
      <c r="K448" s="1" t="s">
        <v>2838</v>
      </c>
      <c r="L448" s="1" t="str">
        <f>IFERROR(__xludf.DUMMYFUNCTION("GOOGLETRANSLATE(K448,""en"", ""pt-br"")"),"Uma princesa entediada e abrigada escapa dela guardiões e se apaixona por um jornaleiro americano em Roma.")</f>
        <v>Uma princesa entediada e abrigada escapa dela guardiões e se apaixona por um jornaleiro americano em Roma.</v>
      </c>
      <c r="M448" s="1">
        <v>78.0</v>
      </c>
      <c r="N448" s="1" t="s">
        <v>2012</v>
      </c>
      <c r="O448" s="1" t="s">
        <v>1278</v>
      </c>
      <c r="P448" s="1" t="s">
        <v>2839</v>
      </c>
      <c r="Q448" s="1" t="s">
        <v>2840</v>
      </c>
      <c r="R448" s="1" t="s">
        <v>2841</v>
      </c>
      <c r="S448" s="1">
        <v>127256.0</v>
      </c>
      <c r="T448" s="7" t="str">
        <f>VLOOKUP(A448,Posters!A448:B1447,2)</f>
        <v>https://m.media-amazon.com/images/M/MV5BMTE2MDM4MTMtZmNkZC00Y2QyLWE0YjUtMTAxZGJmODMxMDM0XkEyXkFqcGdeQXVyNjc1NTYyMjg@._V1_UX67_CR0,0,67,98_AL_.jpg</v>
      </c>
      <c r="U448" s="8">
        <f>'Inflation Adjusted Gross'!F448</f>
        <v>14547237</v>
      </c>
      <c r="V448" s="5">
        <f t="shared" si="1"/>
        <v>2020</v>
      </c>
    </row>
    <row r="449">
      <c r="A449" s="1">
        <v>448.0</v>
      </c>
      <c r="B449" s="1" t="s">
        <v>2842</v>
      </c>
      <c r="C449" s="6">
        <f>Gross_cleaning!E449</f>
        <v>8000000</v>
      </c>
      <c r="D449" s="1">
        <v>1951.0</v>
      </c>
      <c r="E449" s="1" t="s">
        <v>18</v>
      </c>
      <c r="F449" s="1" t="str">
        <f>VLOOKUP(Filmes_raw!E449,Rating_systems!$A$2:$C$29,3,FALSE)</f>
        <v>Adulto</v>
      </c>
      <c r="G449" s="2">
        <f>Gross_cleaning!F449</f>
        <v>122</v>
      </c>
      <c r="H449" s="1" t="s">
        <v>279</v>
      </c>
      <c r="I449" s="1" t="s">
        <v>20</v>
      </c>
      <c r="J449" s="1">
        <v>8.0</v>
      </c>
      <c r="K449" s="1" t="s">
        <v>2843</v>
      </c>
      <c r="L449" s="1" t="str">
        <f>IFERROR(__xludf.DUMMYFUNCTION("GOOGLETRANSLATE(K449,""en"", ""pt-br"")"),"Perturbado Blanche Dubois se move com sua irmã em Nova Orleans e é atormentado por seu irmão bruto, enquanto sua realidade desmorona em torno dela.")</f>
        <v>Perturbado Blanche Dubois se move com sua irmã em Nova Orleans e é atormentado por seu irmão bruto, enquanto sua realidade desmorona em torno dela.</v>
      </c>
      <c r="M449" s="1">
        <v>97.0</v>
      </c>
      <c r="N449" s="1" t="s">
        <v>2036</v>
      </c>
      <c r="O449" s="1" t="s">
        <v>2095</v>
      </c>
      <c r="P449" s="1" t="s">
        <v>32</v>
      </c>
      <c r="Q449" s="1" t="s">
        <v>2735</v>
      </c>
      <c r="R449" s="1" t="s">
        <v>2037</v>
      </c>
      <c r="S449" s="1">
        <v>99182.0</v>
      </c>
      <c r="T449" s="7" t="str">
        <f>VLOOKUP(A449,Posters!A449:B1448,2)</f>
        <v>https://m.media-amazon.com/images/M/MV5BNzk2M2Y3MzYtNGMzMi00Y2FjLTkwODQtNmExYWU3ZWY3NzExXkEyXkFqcGdeQXVyNTA4NzY1MzY@._V1_UX67_CR0,0,67,98_AL_.jpg</v>
      </c>
      <c r="U449" s="8">
        <f>'Inflation Adjusted Gross'!F449</f>
        <v>81250709</v>
      </c>
      <c r="V449" s="5">
        <f t="shared" si="1"/>
        <v>2020</v>
      </c>
    </row>
    <row r="450">
      <c r="A450" s="1">
        <v>449.0</v>
      </c>
      <c r="B450" s="1" t="s">
        <v>2844</v>
      </c>
      <c r="C450" s="6">
        <f>Gross_cleaning!E450</f>
        <v>21493</v>
      </c>
      <c r="D450" s="1">
        <v>1950.0</v>
      </c>
      <c r="E450" s="1">
        <v>14.0</v>
      </c>
      <c r="F450" s="1" t="str">
        <f>VLOOKUP(Filmes_raw!E450,Rating_systems!$A$2:$C$29,3,FALSE)</f>
        <v>Adolescente</v>
      </c>
      <c r="G450" s="2">
        <f>Gross_cleaning!F450</f>
        <v>94</v>
      </c>
      <c r="H450" s="1" t="s">
        <v>1882</v>
      </c>
      <c r="I450" s="1" t="s">
        <v>2845</v>
      </c>
      <c r="J450" s="1">
        <v>8.0</v>
      </c>
      <c r="K450" s="1" t="s">
        <v>2846</v>
      </c>
      <c r="L450" s="1" t="str">
        <f>IFERROR(__xludf.DUMMYFUNCTION("GOOGLETRANSLATE(K450,""en"", ""pt-br"")"),"Um roteirista potencialmente violento é um suspeito de assassinato até que seu lindo vizinho o limpe. No entanto, ela logo começa a ter suas dúvidas.")</f>
        <v>Um roteirista potencialmente violento é um suspeito de assassinato até que seu lindo vizinho o limpe. No entanto, ela logo começa a ter suas dúvidas.</v>
      </c>
      <c r="N450" s="1" t="s">
        <v>2847</v>
      </c>
      <c r="O450" s="1" t="s">
        <v>409</v>
      </c>
      <c r="P450" s="1" t="s">
        <v>2848</v>
      </c>
      <c r="Q450" s="1" t="s">
        <v>2849</v>
      </c>
      <c r="R450" s="1" t="s">
        <v>2850</v>
      </c>
      <c r="S450" s="1">
        <v>26784.0</v>
      </c>
      <c r="T450" s="7" t="str">
        <f>VLOOKUP(A450,Posters!A450:B1449,2)</f>
        <v>https://m.media-amazon.com/images/M/MV5BNjRmZjcwZTQtYWY0ZS00ODAwLTg4YTktZDhlZDMwMTM1MGFkXkEyXkFqcGdeQXVyNjc1NTYyMjg@._V1_UX67_CR0,0,67,98_AL_.jpg</v>
      </c>
      <c r="U450" s="8">
        <f>'Inflation Adjusted Gross'!F450</f>
        <v>235939</v>
      </c>
      <c r="V450" s="5">
        <f t="shared" si="1"/>
        <v>2020</v>
      </c>
    </row>
    <row r="451">
      <c r="A451" s="1">
        <v>450.0</v>
      </c>
      <c r="B451" s="1" t="s">
        <v>2851</v>
      </c>
      <c r="C451" s="6">
        <f>Gross_cleaning!E451</f>
        <v>145583</v>
      </c>
      <c r="D451" s="1">
        <v>1949.0</v>
      </c>
      <c r="E451" s="1" t="s">
        <v>52</v>
      </c>
      <c r="F451" s="1" t="str">
        <f>VLOOKUP(Filmes_raw!E451,Rating_systems!$A$2:$C$29,3,FALSE)</f>
        <v>Criança</v>
      </c>
      <c r="G451" s="2">
        <f>Gross_cleaning!F451</f>
        <v>106</v>
      </c>
      <c r="H451" s="1" t="s">
        <v>286</v>
      </c>
      <c r="I451" s="1" t="s">
        <v>731</v>
      </c>
      <c r="J451" s="1">
        <v>8.0</v>
      </c>
      <c r="K451" s="1" t="s">
        <v>2852</v>
      </c>
      <c r="L451" s="1" t="str">
        <f>IFERROR(__xludf.DUMMYFUNCTION("GOOGLETRANSLATE(K451,""en"", ""pt-br"")"),"Um pobre distante relativa dos terrenos de Duke D'Ascoyne para herdar o título assassinando os oito outros herdeiros que estão à frente dele na linha de sucessão.")</f>
        <v>Um pobre distante relativa dos terrenos de Duke D'Ascoyne para herdar o título assassinando os oito outros herdeiros que estão à frente dele na linha de sucessão.</v>
      </c>
      <c r="N451" s="1" t="s">
        <v>2853</v>
      </c>
      <c r="O451" s="1" t="s">
        <v>2854</v>
      </c>
      <c r="P451" s="1" t="s">
        <v>252</v>
      </c>
      <c r="Q451" s="1" t="s">
        <v>2855</v>
      </c>
      <c r="R451" s="1" t="s">
        <v>2856</v>
      </c>
      <c r="S451" s="1">
        <v>34485.0</v>
      </c>
      <c r="T451" s="7" t="str">
        <f>VLOOKUP(A451,Posters!A451:B1450,2)</f>
        <v>https://m.media-amazon.com/images/M/MV5BZjc1Yzc0ZmItMzU1OS00OWVlLThmYTctMWNlYmFlMjkxMzc0XkEyXkFqcGdeQXVyNTA1NjYyMDk@._V1_UY98_CR32,0,67,98_AL_.jpg</v>
      </c>
      <c r="U451" s="8">
        <f>'Inflation Adjusted Gross'!F451</f>
        <v>1564841</v>
      </c>
      <c r="V451" s="5">
        <f t="shared" si="1"/>
        <v>2020</v>
      </c>
    </row>
    <row r="452">
      <c r="A452" s="1">
        <v>451.0</v>
      </c>
      <c r="B452" s="1" t="s">
        <v>2857</v>
      </c>
      <c r="C452" s="6">
        <f>Gross_cleaning!E452</f>
        <v>10590</v>
      </c>
      <c r="D452" s="1">
        <v>1948.0</v>
      </c>
      <c r="E452" s="1" t="s">
        <v>18</v>
      </c>
      <c r="F452" s="1" t="str">
        <f>VLOOKUP(Filmes_raw!E452,Rating_systems!$A$2:$C$29,3,FALSE)</f>
        <v>Adulto</v>
      </c>
      <c r="G452" s="2">
        <f>Gross_cleaning!F452</f>
        <v>80</v>
      </c>
      <c r="H452" s="1" t="s">
        <v>1639</v>
      </c>
      <c r="I452" s="1" t="s">
        <v>235</v>
      </c>
      <c r="J452" s="1">
        <v>8.0</v>
      </c>
      <c r="K452" s="1" t="s">
        <v>2859</v>
      </c>
      <c r="L452" s="1" t="str">
        <f>IFERROR(__xludf.DUMMYFUNCTION("GOOGLETRANSLATE(K452,""en"", ""pt-br"")"),"Dois homens tentam provar que cometeram o crime perfeito, hospedando um jantar depois de estrangular seu ex-colega de classe até a morte.")</f>
        <v>Dois homens tentam provar que cometeram o crime perfeito, hospedando um jantar depois de estrangular seu ex-colega de classe até a morte.</v>
      </c>
      <c r="M452" s="1">
        <v>73.0</v>
      </c>
      <c r="N452" s="1" t="s">
        <v>399</v>
      </c>
      <c r="O452" s="1" t="s">
        <v>274</v>
      </c>
      <c r="P452" s="1" t="s">
        <v>2860</v>
      </c>
      <c r="Q452" s="1" t="s">
        <v>2861</v>
      </c>
      <c r="R452" s="1" t="s">
        <v>2862</v>
      </c>
      <c r="S452" s="1">
        <v>129783.0</v>
      </c>
      <c r="T452" s="7" t="str">
        <f>VLOOKUP(A452,Posters!A452:B1451,2)</f>
        <v>https://m.media-amazon.com/images/M/MV5BYWFjMDNlYzItY2VlMS00ZTRkLWJjYTEtYjI5NmFlMGE3MzQ2XkEyXkFqcGdeQXVyNjc1NTYyMjg@._V1_UX67_CR0,0,67,98_AL_.jpg</v>
      </c>
      <c r="U452" s="8">
        <f>'Inflation Adjusted Gross'!F452</f>
        <v>115271</v>
      </c>
      <c r="V452" s="5">
        <f t="shared" si="1"/>
        <v>2020</v>
      </c>
    </row>
    <row r="453">
      <c r="A453" s="1">
        <v>452.0</v>
      </c>
      <c r="B453" s="1" t="s">
        <v>2863</v>
      </c>
      <c r="C453" s="6">
        <f>Gross_cleaning!E453</f>
        <v>0</v>
      </c>
      <c r="D453" s="1">
        <v>1947.0</v>
      </c>
      <c r="E453" s="1" t="s">
        <v>2066</v>
      </c>
      <c r="F453" s="1" t="str">
        <f>VLOOKUP(Filmes_raw!E453,Rating_systems!$A$2:$C$29,3,FALSE)</f>
        <v>Desconhecido</v>
      </c>
      <c r="G453" s="2">
        <f>Gross_cleaning!F453</f>
        <v>97</v>
      </c>
      <c r="H453" s="1" t="s">
        <v>2864</v>
      </c>
      <c r="I453" s="1" t="s">
        <v>908</v>
      </c>
      <c r="J453" s="1">
        <v>8.0</v>
      </c>
      <c r="K453" s="1" t="s">
        <v>2865</v>
      </c>
      <c r="L453" s="1" t="str">
        <f>IFERROR(__xludf.DUMMYFUNCTION("GOOGLETRANSLATE(K453,""en"", ""pt-br"")"),"Um olho privado escapa do passado para administrar um posto de gasolina em uma cidade pequena, mas seu passado alcança com ele. Agora ele deve retornar ao mundo da cidade grande de perigo, corrupção, cruzes duplas e dalas duplicantes.")</f>
        <v>Um olho privado escapa do passado para administrar um posto de gasolina em uma cidade pequena, mas seu passado alcança com ele. Agora ele deve retornar ao mundo da cidade grande de perigo, corrupção, cruzes duplas e dalas duplicantes.</v>
      </c>
      <c r="N453" s="1" t="s">
        <v>2866</v>
      </c>
      <c r="O453" s="1" t="s">
        <v>2819</v>
      </c>
      <c r="P453" s="1" t="s">
        <v>2867</v>
      </c>
      <c r="Q453" s="1" t="s">
        <v>617</v>
      </c>
      <c r="R453" s="1" t="s">
        <v>2868</v>
      </c>
      <c r="S453" s="1">
        <v>32784.0</v>
      </c>
      <c r="T453" s="7" t="str">
        <f>VLOOKUP(A453,Posters!A453:B1452,2)</f>
        <v>https://m.media-amazon.com/images/M/MV5BMDE0MjYxYmMtM2VhMC00MjhiLTg5NjItMDkzZGM5MGVlYjMxL2ltYWdlL2ltYWdlXkEyXkFqcGdeQXVyNjc1NTYyMjg@._V1_UX67_CR0,0,67,98_AL_.jpg</v>
      </c>
      <c r="U453" s="8">
        <f>'Inflation Adjusted Gross'!F453</f>
        <v>0</v>
      </c>
      <c r="V453" s="5">
        <f t="shared" si="1"/>
        <v>2020</v>
      </c>
    </row>
    <row r="454">
      <c r="A454" s="1">
        <v>453.0</v>
      </c>
      <c r="B454" s="1" t="s">
        <v>2869</v>
      </c>
      <c r="C454" s="6">
        <f>Gross_cleaning!E454</f>
        <v>107384</v>
      </c>
      <c r="D454" s="1">
        <v>1945.0</v>
      </c>
      <c r="E454" s="1" t="s">
        <v>52</v>
      </c>
      <c r="F454" s="1" t="str">
        <f>VLOOKUP(Filmes_raw!E454,Rating_systems!$A$2:$C$29,3,FALSE)</f>
        <v>Criança</v>
      </c>
      <c r="G454" s="2">
        <f>Gross_cleaning!F454</f>
        <v>86</v>
      </c>
      <c r="H454" s="1" t="s">
        <v>1206</v>
      </c>
      <c r="I454" s="1" t="s">
        <v>107</v>
      </c>
      <c r="J454" s="1">
        <v>8.0</v>
      </c>
      <c r="K454" s="1" t="s">
        <v>2870</v>
      </c>
      <c r="L454" s="1" t="str">
        <f>IFERROR(__xludf.DUMMYFUNCTION("GOOGLETRANSLATE(K454,""en"", ""pt-br"")"),"Encontrando um estranho em uma estação ferroviária, uma mulher é tentada a trair seu marido.")</f>
        <v>Encontrando um estranho em uma estação ferroviária, uma mulher é tentada a trair seu marido.</v>
      </c>
      <c r="M454" s="1">
        <v>92.0</v>
      </c>
      <c r="N454" s="1" t="s">
        <v>860</v>
      </c>
      <c r="O454" s="1" t="s">
        <v>2871</v>
      </c>
      <c r="P454" s="1" t="s">
        <v>2064</v>
      </c>
      <c r="Q454" s="1" t="s">
        <v>2872</v>
      </c>
      <c r="R454" s="1" t="s">
        <v>2873</v>
      </c>
      <c r="S454" s="1">
        <v>35601.0</v>
      </c>
      <c r="T454" s="7" t="str">
        <f>VLOOKUP(A454,Posters!A454:B1453,2)</f>
        <v>https://m.media-amazon.com/images/M/MV5BYWQ0MGNjOTYtMWJlNi00YWMxLWFmMzktYjAyNTVkY2U1NWNhL2ltYWdlL2ltYWdlXkEyXkFqcGdeQXVyNjc1NTYyMjg@._V1_UX67_CR0,0,67,98_AL_.jpg</v>
      </c>
      <c r="U454" s="8">
        <f>'Inflation Adjusted Gross'!F454</f>
        <v>1556290</v>
      </c>
      <c r="V454" s="5">
        <f t="shared" si="1"/>
        <v>2020</v>
      </c>
    </row>
    <row r="455">
      <c r="A455" s="1">
        <v>454.0</v>
      </c>
      <c r="B455" s="1" t="s">
        <v>2874</v>
      </c>
      <c r="C455" s="6">
        <f>Gross_cleaning!E455</f>
        <v>4360000</v>
      </c>
      <c r="D455" s="1">
        <v>1944.0</v>
      </c>
      <c r="E455" s="1" t="s">
        <v>627</v>
      </c>
      <c r="F455" s="1" t="str">
        <f>VLOOKUP(Filmes_raw!E455,Rating_systems!$A$2:$C$29,3,FALSE)</f>
        <v>Adulto</v>
      </c>
      <c r="G455" s="2">
        <f>Gross_cleaning!F455</f>
        <v>88</v>
      </c>
      <c r="H455" s="1" t="s">
        <v>351</v>
      </c>
      <c r="I455" s="1" t="s">
        <v>2845</v>
      </c>
      <c r="J455" s="1">
        <v>8.0</v>
      </c>
      <c r="K455" s="1" t="s">
        <v>2875</v>
      </c>
      <c r="L455" s="1" t="str">
        <f>IFERROR(__xludf.DUMMYFUNCTION("GOOGLETRANSLATE(K455,""en"", ""pt-br"")"),"Um detetive policial se apaixona pela mulher cujo assassinato ele está investigando.")</f>
        <v>Um detetive policial se apaixona pela mulher cujo assassinato ele está investigando.</v>
      </c>
      <c r="N455" s="1" t="s">
        <v>2795</v>
      </c>
      <c r="O455" s="1" t="s">
        <v>2876</v>
      </c>
      <c r="P455" s="1" t="s">
        <v>2877</v>
      </c>
      <c r="Q455" s="1" t="s">
        <v>2878</v>
      </c>
      <c r="R455" s="1" t="s">
        <v>2879</v>
      </c>
      <c r="S455" s="1">
        <v>42725.0</v>
      </c>
      <c r="T455" s="7" t="str">
        <f>VLOOKUP(A455,Posters!A455:B1454,2)</f>
        <v>https://m.media-amazon.com/images/M/MV5BYjkxOGM5OTktNTRmZi00MjhlLWE2MDktNzY3NjY3NmRjNDUyXkEyXkFqcGdeQXVyNDY2MTk1ODk@._V1_UX67_CR0,0,67,98_AL_.jpg</v>
      </c>
      <c r="U455" s="8">
        <f>'Inflation Adjusted Gross'!F455</f>
        <v>64641009</v>
      </c>
      <c r="V455" s="5">
        <f t="shared" si="1"/>
        <v>2020</v>
      </c>
    </row>
    <row r="456">
      <c r="A456" s="1">
        <v>455.0</v>
      </c>
      <c r="B456" s="1" t="s">
        <v>2880</v>
      </c>
      <c r="C456" s="6">
        <f>Gross_cleaning!E456</f>
        <v>23650000</v>
      </c>
      <c r="D456" s="1">
        <v>1946.0</v>
      </c>
      <c r="E456" s="1" t="s">
        <v>2047</v>
      </c>
      <c r="F456" s="1" t="str">
        <f>VLOOKUP(Filmes_raw!E456,Rating_systems!$A$2:$C$29,3,FALSE)</f>
        <v>Adulto</v>
      </c>
      <c r="G456" s="2">
        <f>Gross_cleaning!F456</f>
        <v>170</v>
      </c>
      <c r="H456" s="1" t="s">
        <v>506</v>
      </c>
      <c r="I456" s="1" t="s">
        <v>406</v>
      </c>
      <c r="J456" s="1">
        <v>8.0</v>
      </c>
      <c r="K456" s="1" t="s">
        <v>2881</v>
      </c>
      <c r="L456" s="1" t="str">
        <f>IFERROR(__xludf.DUMMYFUNCTION("GOOGLETRANSLATE(K456,""en"", ""pt-br"")"),"Três veteranos da Segunda Guerra Mundial voltam para casa à pequena cidade para descobrir que elas e suas famílias foram irreparavelmente alteradas.")</f>
        <v>Três veteranos da Segunda Guerra Mundial voltam para casa à pequena cidade para descobrir que elas e suas famílias foram irreparavelmente alteradas.</v>
      </c>
      <c r="M456" s="1">
        <v>93.0</v>
      </c>
      <c r="N456" s="1" t="s">
        <v>2012</v>
      </c>
      <c r="O456" s="1" t="s">
        <v>2882</v>
      </c>
      <c r="P456" s="1" t="s">
        <v>2877</v>
      </c>
      <c r="Q456" s="1" t="s">
        <v>2000</v>
      </c>
      <c r="R456" s="1" t="s">
        <v>2883</v>
      </c>
      <c r="S456" s="1">
        <v>57259.0</v>
      </c>
      <c r="T456" s="7" t="str">
        <f>VLOOKUP(A456,Posters!A456:B1455,2)</f>
        <v>https://m.media-amazon.com/images/M/MV5BY2RmNTRjYzctODI4Ni00MzQyLWEyNTAtNjU0N2JkMTNhNjJkXkEyXkFqcGdeQXVyNjU0OTQ0OTY@._V1_UX67_CR0,0,67,98_AL_.jpg</v>
      </c>
      <c r="U456" s="8">
        <f>'Inflation Adjusted Gross'!F456</f>
        <v>335220558</v>
      </c>
      <c r="V456" s="5">
        <f t="shared" si="1"/>
        <v>2020</v>
      </c>
    </row>
    <row r="457">
      <c r="A457" s="1">
        <v>456.0</v>
      </c>
      <c r="B457" s="1" t="s">
        <v>2884</v>
      </c>
      <c r="C457" s="6">
        <f>Gross_cleaning!E457</f>
        <v>1164000</v>
      </c>
      <c r="D457" s="1">
        <v>1942.0</v>
      </c>
      <c r="E457" s="1">
        <v>14.0</v>
      </c>
      <c r="F457" s="1" t="str">
        <f>VLOOKUP(Filmes_raw!E457,Rating_systems!$A$2:$C$29,3,FALSE)</f>
        <v>Adolescente</v>
      </c>
      <c r="G457" s="2">
        <f>Gross_cleaning!F457</f>
        <v>118</v>
      </c>
      <c r="H457" s="1" t="s">
        <v>240</v>
      </c>
      <c r="I457" s="1" t="s">
        <v>2885</v>
      </c>
      <c r="J457" s="1">
        <v>8.0</v>
      </c>
      <c r="K457" s="1" t="s">
        <v>2886</v>
      </c>
      <c r="L457" s="1" t="str">
        <f>IFERROR(__xludf.DUMMYFUNCTION("GOOGLETRANSLATE(K457,""en"", ""pt-br"")"),"Um escritor de livros sobre a futilidade do casamento arrisca sua reputação quando ele decide se casar. As coisas ficam ainda mais complicadas quando aprende em seu dia do casamento que suas amadas tias donzelas são assassinos habituais.")</f>
        <v>Um escritor de livros sobre a futilidade do casamento arrisca sua reputação quando ele decide se casar. As coisas ficam ainda mais complicadas quando aprende em seu dia do casamento que suas amadas tias donzelas são assassinos habituais.</v>
      </c>
      <c r="N457" s="1" t="s">
        <v>273</v>
      </c>
      <c r="O457" s="1" t="s">
        <v>873</v>
      </c>
      <c r="P457" s="1" t="s">
        <v>2887</v>
      </c>
      <c r="Q457" s="1" t="s">
        <v>2888</v>
      </c>
      <c r="R457" s="1" t="s">
        <v>2806</v>
      </c>
      <c r="S457" s="1">
        <v>65101.0</v>
      </c>
      <c r="T457" s="7" t="str">
        <f>VLOOKUP(A457,Posters!A457:B1456,2)</f>
        <v>https://m.media-amazon.com/images/M/MV5BZDVlNTBjMjctNjAzNS00ZGJhLTg2NzMtNzIwYTIzYTBiMDkyXkEyXkFqcGdeQXVyNTA4NzY1MzY@._V1_UX67_CR0,0,67,98_AL_.jpg</v>
      </c>
      <c r="U457" s="8">
        <f>'Inflation Adjusted Gross'!F457</f>
        <v>19126003</v>
      </c>
      <c r="V457" s="5">
        <f t="shared" si="1"/>
        <v>2020</v>
      </c>
    </row>
    <row r="458">
      <c r="A458" s="1">
        <v>457.0</v>
      </c>
      <c r="B458" s="1" t="s">
        <v>2889</v>
      </c>
      <c r="C458" s="6">
        <f>Gross_cleaning!E458</f>
        <v>2108060</v>
      </c>
      <c r="D458" s="1">
        <v>1941.0</v>
      </c>
      <c r="E458" s="1" t="s">
        <v>2890</v>
      </c>
      <c r="F458" s="1" t="str">
        <f>VLOOKUP(Filmes_raw!E458,Rating_systems!$A$2:$C$29,3,FALSE)</f>
        <v>Criança</v>
      </c>
      <c r="G458" s="2">
        <f>Gross_cleaning!F458</f>
        <v>100</v>
      </c>
      <c r="H458" s="1" t="s">
        <v>1439</v>
      </c>
      <c r="I458" s="1" t="s">
        <v>2891</v>
      </c>
      <c r="J458" s="1">
        <v>8.0</v>
      </c>
      <c r="K458" s="1" t="s">
        <v>2892</v>
      </c>
      <c r="L458" s="1" t="str">
        <f>IFERROR(__xludf.DUMMYFUNCTION("GOOGLETRANSLATE(K458,""en"", ""pt-br"")"),"Um detetive privado assume um caso que o envolva com três criminosos excêntricos, um lindo mentiroso e sua busca por uma estúdio inestimável.")</f>
        <v>Um detetive privado assume um caso que o envolva com três criminosos excêntricos, um lindo mentiroso e sua busca por uma estúdio inestimável.</v>
      </c>
      <c r="M458" s="1">
        <v>96.0</v>
      </c>
      <c r="N458" s="1" t="s">
        <v>1346</v>
      </c>
      <c r="O458" s="1" t="s">
        <v>409</v>
      </c>
      <c r="P458" s="1" t="s">
        <v>2893</v>
      </c>
      <c r="Q458" s="1" t="s">
        <v>2894</v>
      </c>
      <c r="R458" s="1" t="s">
        <v>923</v>
      </c>
      <c r="S458" s="1">
        <v>148928.0</v>
      </c>
      <c r="T458" s="7" t="str">
        <f>VLOOKUP(A458,Posters!A458:B1457,2)</f>
        <v>https://m.media-amazon.com/images/M/MV5BZjIwNGM1ZTUtOThjYS00NDdiLTk2ZDYtNGY5YjJkNzliM2JjL2ltYWdlL2ltYWdlXkEyXkFqcGdeQXVyMDI2NDg0NQ@@._V1_UX67_CR0,0,67,98_AL_.jpg</v>
      </c>
      <c r="U458" s="8">
        <f>'Inflation Adjusted Gross'!F458</f>
        <v>38568677</v>
      </c>
      <c r="V458" s="5">
        <f t="shared" si="1"/>
        <v>2020</v>
      </c>
    </row>
    <row r="459">
      <c r="A459" s="1">
        <v>458.0</v>
      </c>
      <c r="B459" s="1" t="s">
        <v>2895</v>
      </c>
      <c r="C459" s="6">
        <f>Gross_cleaning!E459</f>
        <v>55</v>
      </c>
      <c r="D459" s="1">
        <v>1940.0</v>
      </c>
      <c r="E459" s="1" t="s">
        <v>627</v>
      </c>
      <c r="F459" s="1" t="str">
        <f>VLOOKUP(Filmes_raw!E459,Rating_systems!$A$2:$C$29,3,FALSE)</f>
        <v>Adulto</v>
      </c>
      <c r="G459" s="2">
        <f>Gross_cleaning!F459</f>
        <v>129</v>
      </c>
      <c r="H459" s="1" t="s">
        <v>830</v>
      </c>
      <c r="I459" s="1" t="s">
        <v>2028</v>
      </c>
      <c r="J459" s="1">
        <v>8.0</v>
      </c>
      <c r="K459" s="1" t="s">
        <v>2896</v>
      </c>
      <c r="L459" s="1" t="str">
        <f>IFERROR(__xludf.DUMMYFUNCTION("GOOGLETRANSLATE(K459,""en"", ""pt-br"")"),"Uma família midwest pobre é forçada fora de sua terra. Eles viajam para a Califórnia, sofrendo os infortúnios dos sem-teto na Grande Depressão.")</f>
        <v>Uma família midwest pobre é forçada fora de sua terra. Eles viajam para a Califórnia, sofrendo os infortúnios dos sem-teto na Grande Depressão.</v>
      </c>
      <c r="M459" s="1">
        <v>96.0</v>
      </c>
      <c r="N459" s="1" t="s">
        <v>1984</v>
      </c>
      <c r="O459" s="1" t="s">
        <v>56</v>
      </c>
      <c r="P459" s="1" t="s">
        <v>2897</v>
      </c>
      <c r="Q459" s="1" t="s">
        <v>2898</v>
      </c>
      <c r="R459" s="1" t="s">
        <v>2899</v>
      </c>
      <c r="S459" s="1">
        <v>85559.0</v>
      </c>
      <c r="T459" s="7" t="str">
        <f>VLOOKUP(A459,Posters!A459:B1458,2)</f>
        <v>https://m.media-amazon.com/images/M/MV5BNzJiOGI2MjctYjUyMS00ZjkzLWE2ZmUtOTg4NTZkOTNhZDc1L2ltYWdlXkEyXkFqcGdeQXVyNjc1NTYyMjg@._V1_UX67_CR0,0,67,98_AL_.jpg</v>
      </c>
      <c r="U459" s="8">
        <f>'Inflation Adjusted Gross'!F459</f>
        <v>1021</v>
      </c>
      <c r="V459" s="5">
        <f t="shared" si="1"/>
        <v>2020</v>
      </c>
    </row>
    <row r="460">
      <c r="A460" s="1">
        <v>459.0</v>
      </c>
      <c r="B460" s="1" t="s">
        <v>2900</v>
      </c>
      <c r="C460" s="6">
        <f>Gross_cleaning!E460</f>
        <v>2076020</v>
      </c>
      <c r="D460" s="1">
        <v>1939.0</v>
      </c>
      <c r="E460" s="1" t="s">
        <v>52</v>
      </c>
      <c r="F460" s="1" t="str">
        <f>VLOOKUP(Filmes_raw!E460,Rating_systems!$A$2:$C$29,3,FALSE)</f>
        <v>Criança</v>
      </c>
      <c r="G460" s="2">
        <f>Gross_cleaning!F460</f>
        <v>102</v>
      </c>
      <c r="H460" s="1" t="s">
        <v>405</v>
      </c>
      <c r="I460" s="1" t="s">
        <v>2629</v>
      </c>
      <c r="J460" s="1">
        <v>8.0</v>
      </c>
      <c r="K460" s="1" t="s">
        <v>2901</v>
      </c>
      <c r="L460" s="1" t="str">
        <f>IFERROR(__xludf.DUMMYFUNCTION("GOOGLETRANSLATE(K460,""en"", ""pt-br"")"),"Dorothy Gale é varrido de uma fazenda em Kansas para uma terra mágica de Oz em um tornado e embarca em uma missão com seus novos amigos para ver o mago que pode ajudá-la a voltar para casa para Kansas e ajudar seus amigos também.")</f>
        <v>Dorothy Gale é varrido de uma fazenda em Kansas para uma terra mágica de Oz em um tornado e embarca em uma missão com seus novos amigos para ver o mago que pode ajudá-la a voltar para casa para Kansas e ajudar seus amigos também.</v>
      </c>
      <c r="M460" s="1">
        <v>92.0</v>
      </c>
      <c r="N460" s="1" t="s">
        <v>2091</v>
      </c>
      <c r="O460" s="1" t="s">
        <v>2092</v>
      </c>
      <c r="P460" s="1" t="s">
        <v>2902</v>
      </c>
      <c r="Q460" s="1" t="s">
        <v>2903</v>
      </c>
      <c r="R460" s="1" t="s">
        <v>2904</v>
      </c>
      <c r="S460" s="1">
        <v>371379.0</v>
      </c>
      <c r="T460" s="7" t="str">
        <f>VLOOKUP(A460,Posters!A460:B1459,2)</f>
        <v>https://m.media-amazon.com/images/M/MV5BNjUyMTc4MDExMV5BMl5BanBnXkFtZTgwNDg0NDIwMjE@._V1_UX67_CR0,0,67,98_AL_.jpg</v>
      </c>
      <c r="U460" s="8">
        <f>'Inflation Adjusted Gross'!F460</f>
        <v>38253783</v>
      </c>
      <c r="V460" s="5">
        <f t="shared" si="1"/>
        <v>2020</v>
      </c>
    </row>
    <row r="461">
      <c r="A461" s="1">
        <v>460.0</v>
      </c>
      <c r="B461" s="1" t="s">
        <v>2905</v>
      </c>
      <c r="C461" s="6">
        <f>Gross_cleaning!E461</f>
        <v>273641</v>
      </c>
      <c r="D461" s="1">
        <v>1939.0</v>
      </c>
      <c r="E461" s="1">
        <v>14.0</v>
      </c>
      <c r="F461" s="1" t="str">
        <f>VLOOKUP(Filmes_raw!E461,Rating_systems!$A$2:$C$29,3,FALSE)</f>
        <v>Adolescente</v>
      </c>
      <c r="G461" s="2">
        <f>Gross_cleaning!F461</f>
        <v>110</v>
      </c>
      <c r="H461" s="1" t="s">
        <v>343</v>
      </c>
      <c r="I461" s="1" t="s">
        <v>507</v>
      </c>
      <c r="J461" s="1">
        <v>8.0</v>
      </c>
      <c r="K461" s="1" t="s">
        <v>2906</v>
      </c>
      <c r="L461" s="1" t="str">
        <f>IFERROR(__xludf.DUMMYFUNCTION("GOOGLETRANSLATE(K461,""en"", ""pt-br"")"),"Uma vida burguesa na França no início da Segunda Guerra Mundial, como os ricos e seus pobres servos se encontram em um castelo francês.")</f>
        <v>Uma vida burguesa na França no início da Segunda Guerra Mundial, como os ricos e seus pobres servos se encontram em um castelo francês.</v>
      </c>
      <c r="N461" s="1" t="s">
        <v>2099</v>
      </c>
      <c r="O461" s="1" t="s">
        <v>2907</v>
      </c>
      <c r="P461" s="1" t="s">
        <v>2908</v>
      </c>
      <c r="Q461" s="1" t="s">
        <v>2909</v>
      </c>
      <c r="R461" s="1" t="s">
        <v>2910</v>
      </c>
      <c r="S461" s="1">
        <v>26725.0</v>
      </c>
      <c r="T461" s="7" t="str">
        <f>VLOOKUP(A461,Posters!A461:B1460,2)</f>
        <v>https://m.media-amazon.com/images/M/MV5BYTE4NjYxMGEtZmQxZi00YWVmLWJjZTctYTJmNDFmZGEwNDVhXkEyXkFqcGdeQXVyNzkwMjQ5NzM@._V1_UY98_CR2,0,67,98_AL_.jpg</v>
      </c>
      <c r="U461" s="8">
        <f>'Inflation Adjusted Gross'!F461</f>
        <v>5042246</v>
      </c>
      <c r="V461" s="5">
        <f t="shared" si="1"/>
        <v>2020</v>
      </c>
    </row>
    <row r="462">
      <c r="A462" s="1">
        <v>461.0</v>
      </c>
      <c r="B462" s="1" t="s">
        <v>2911</v>
      </c>
      <c r="C462" s="6">
        <f>Gross_cleaning!E462</f>
        <v>226408</v>
      </c>
      <c r="D462" s="1">
        <v>1934.0</v>
      </c>
      <c r="E462" s="1" t="s">
        <v>2296</v>
      </c>
      <c r="F462" s="1" t="str">
        <f>VLOOKUP(Filmes_raw!E462,Rating_systems!$A$2:$C$29,3,FALSE)</f>
        <v>Criança</v>
      </c>
      <c r="G462" s="2">
        <f>Gross_cleaning!F462</f>
        <v>91</v>
      </c>
      <c r="H462" s="1" t="s">
        <v>1259</v>
      </c>
      <c r="I462" s="1" t="s">
        <v>2912</v>
      </c>
      <c r="J462" s="1">
        <v>8.0</v>
      </c>
      <c r="K462" s="1" t="s">
        <v>2913</v>
      </c>
      <c r="L462" s="1" t="str">
        <f>IFERROR(__xludf.DUMMYFUNCTION("GOOGLETRANSLATE(K462,""en"", ""pt-br"")"),"O ex-detetive Nick Charles e sua esposa rica Nora investigam um caso de assassinato, principalmente pela diversão.")</f>
        <v>O ex-detetive Nick Charles e sua esposa rica Nora investigam um caso de assassinato, principalmente pela diversão.</v>
      </c>
      <c r="M462" s="1">
        <v>86.0</v>
      </c>
      <c r="N462" s="1" t="s">
        <v>2914</v>
      </c>
      <c r="O462" s="1" t="s">
        <v>2915</v>
      </c>
      <c r="P462" s="1" t="s">
        <v>2882</v>
      </c>
      <c r="Q462" s="1" t="s">
        <v>2916</v>
      </c>
      <c r="R462" s="1" t="s">
        <v>2917</v>
      </c>
      <c r="S462" s="1">
        <v>26642.0</v>
      </c>
      <c r="T462" s="7" t="str">
        <f>VLOOKUP(A462,Posters!A462:B1461,2)</f>
        <v>https://m.media-amazon.com/images/M/MV5BYmFlOWMwMjAtMDMyMC00N2JjLTllODUtZjY3YWU3NGRkM2I2L2ltYWdlXkEyXkFqcGdeQXVyMjUxODE0MDY@._V1_UX67_CR0,0,67,98_AL_.jpg</v>
      </c>
      <c r="U462" s="8">
        <f>'Inflation Adjusted Gross'!F462</f>
        <v>4424750</v>
      </c>
      <c r="V462" s="5">
        <f t="shared" si="1"/>
        <v>2020</v>
      </c>
    </row>
    <row r="463">
      <c r="A463" s="1">
        <v>462.0</v>
      </c>
      <c r="B463" s="1" t="s">
        <v>2918</v>
      </c>
      <c r="C463" s="6">
        <f>Gross_cleaning!E463</f>
        <v>3270000</v>
      </c>
      <c r="D463" s="1">
        <v>1930.0</v>
      </c>
      <c r="E463" s="1" t="s">
        <v>52</v>
      </c>
      <c r="F463" s="1" t="str">
        <f>VLOOKUP(Filmes_raw!E463,Rating_systems!$A$2:$C$29,3,FALSE)</f>
        <v>Criança</v>
      </c>
      <c r="G463" s="2">
        <f>Gross_cleaning!F463</f>
        <v>152</v>
      </c>
      <c r="H463" s="1" t="s">
        <v>38</v>
      </c>
      <c r="I463" s="1" t="s">
        <v>213</v>
      </c>
      <c r="J463" s="1">
        <v>8.0</v>
      </c>
      <c r="K463" s="1" t="s">
        <v>2919</v>
      </c>
      <c r="L463" s="1" t="str">
        <f>IFERROR(__xludf.DUMMYFUNCTION("GOOGLETRANSLATE(K463,""en"", ""pt-br"")"),"Um jovem alemão entra ansiosamente a Primeira Guerra Mundial, mas seu entusiasmo queria quando ele recebe uma visão em primeira mão do horror.")</f>
        <v>Um jovem alemão entra ansiosamente a Primeira Guerra Mundial, mas seu entusiasmo queria quando ele recebe uma visão em primeira mão do horror.</v>
      </c>
      <c r="M463" s="1">
        <v>91.0</v>
      </c>
      <c r="N463" s="1" t="s">
        <v>2920</v>
      </c>
      <c r="O463" s="1" t="s">
        <v>2921</v>
      </c>
      <c r="P463" s="1" t="s">
        <v>2922</v>
      </c>
      <c r="Q463" s="1" t="s">
        <v>2923</v>
      </c>
      <c r="R463" s="1" t="s">
        <v>2924</v>
      </c>
      <c r="S463" s="1">
        <v>57318.0</v>
      </c>
      <c r="T463" s="7" t="str">
        <f>VLOOKUP(A463,Posters!A463:B1462,2)</f>
        <v>https://m.media-amazon.com/images/M/MV5BMzg2MWQ4MDEtOGZlNi00MTg0LWIwMjQtYWY5NTQwYmUzMWNmXkEyXkFqcGdeQXVyMzg2MzE2OTE@._V1_UX67_CR0,0,67,98_AL_.jpg</v>
      </c>
      <c r="U463" s="8">
        <f>'Inflation Adjusted Gross'!F463</f>
        <v>49331296</v>
      </c>
      <c r="V463" s="5">
        <f t="shared" si="1"/>
        <v>2020</v>
      </c>
    </row>
    <row r="464">
      <c r="A464" s="1">
        <v>463.0</v>
      </c>
      <c r="B464" s="1" t="s">
        <v>2925</v>
      </c>
      <c r="C464" s="6">
        <f>Gross_cleaning!E464</f>
        <v>50970</v>
      </c>
      <c r="D464" s="1">
        <v>1925.0</v>
      </c>
      <c r="E464" s="1">
        <v>14.0</v>
      </c>
      <c r="F464" s="1" t="str">
        <f>VLOOKUP(Filmes_raw!E464,Rating_systems!$A$2:$C$29,3,FALSE)</f>
        <v>Adolescente</v>
      </c>
      <c r="G464" s="2">
        <f>Gross_cleaning!F464</f>
        <v>75</v>
      </c>
      <c r="H464" s="1" t="s">
        <v>2927</v>
      </c>
      <c r="I464" s="1" t="s">
        <v>2593</v>
      </c>
      <c r="J464" s="1">
        <v>8.0</v>
      </c>
      <c r="K464" s="1" t="s">
        <v>2928</v>
      </c>
      <c r="L464" s="1" t="str">
        <f>IFERROR(__xludf.DUMMYFUNCTION("GOOGLETRANSLATE(K464,""en"", ""pt-br"")"),"No meio da Revolução Russa de 1905, a tripulação do Motim de Battleship Potemkin contra o regime brutal e tirânico dos oficiais da embarcação. A demonstração de rua resultante em Odessa traz um massacre da polícia.")</f>
        <v>No meio da Revolução Russa de 1905, a tripulação do Motim de Battleship Potemkin contra o regime brutal e tirânico dos oficiais da embarcação. A demonstração de rua resultante em Odessa traz um massacre da polícia.</v>
      </c>
      <c r="M464" s="1">
        <v>97.0</v>
      </c>
      <c r="N464" s="1" t="s">
        <v>2929</v>
      </c>
      <c r="O464" s="1" t="s">
        <v>2930</v>
      </c>
      <c r="P464" s="1" t="s">
        <v>2931</v>
      </c>
      <c r="Q464" s="1" t="s">
        <v>2932</v>
      </c>
      <c r="R464" s="1" t="s">
        <v>2933</v>
      </c>
      <c r="S464" s="1">
        <v>53054.0</v>
      </c>
      <c r="T464" s="7" t="str">
        <f>VLOOKUP(A464,Posters!A464:B1463,2)</f>
        <v>https://m.media-amazon.com/images/M/MV5BMTEyMTQzMjQ0MTJeQTJeQWpwZ15BbWU4MDcyMjg4OTEx._V1_UY98_CR1,0,67,98_AL_.jpg</v>
      </c>
      <c r="U464" s="8">
        <f>'Inflation Adjusted Gross'!F464</f>
        <v>760045</v>
      </c>
      <c r="V464" s="5">
        <f t="shared" si="1"/>
        <v>2020</v>
      </c>
    </row>
    <row r="465">
      <c r="A465" s="1">
        <v>464.0</v>
      </c>
      <c r="B465" s="1" t="s">
        <v>2934</v>
      </c>
      <c r="C465" s="6">
        <f>Gross_cleaning!E465</f>
        <v>165359751</v>
      </c>
      <c r="D465" s="1">
        <v>2019.0</v>
      </c>
      <c r="E465" s="1" t="s">
        <v>37</v>
      </c>
      <c r="F465" s="1" t="str">
        <f>VLOOKUP(Filmes_raw!E465,Rating_systems!$A$2:$C$29,3,FALSE)</f>
        <v>Criança</v>
      </c>
      <c r="G465" s="2">
        <f>Gross_cleaning!F465</f>
        <v>130</v>
      </c>
      <c r="H465" s="1" t="s">
        <v>195</v>
      </c>
      <c r="I465" s="1" t="s">
        <v>831</v>
      </c>
      <c r="J465" s="1">
        <v>7.9</v>
      </c>
      <c r="K465" s="1" t="s">
        <v>2935</v>
      </c>
      <c r="L465" s="1" t="str">
        <f>IFERROR(__xludf.DUMMYFUNCTION("GOOGLETRANSLATE(K465,""en"", ""pt-br"")"),"Um detetive investiga a morte de um patriarca de uma família combativa excêntrica.")</f>
        <v>Um detetive investiga a morte de um patriarca de uma família combativa excêntrica.</v>
      </c>
      <c r="M465" s="1">
        <v>82.0</v>
      </c>
      <c r="N465" s="1" t="s">
        <v>2936</v>
      </c>
      <c r="O465" s="1" t="s">
        <v>2409</v>
      </c>
      <c r="P465" s="1" t="s">
        <v>480</v>
      </c>
      <c r="Q465" s="1" t="s">
        <v>2249</v>
      </c>
      <c r="R465" s="1" t="s">
        <v>2937</v>
      </c>
      <c r="S465" s="1">
        <v>454203.0</v>
      </c>
      <c r="T465" s="7" t="str">
        <f>VLOOKUP(A465,Posters!A465:B1464,2)</f>
        <v>https://m.media-amazon.com/images/M/MV5BMGUwZjliMTAtNzAxZi00MWNiLWE2NzgtZGUxMGQxZjhhNDRiXkEyXkFqcGdeQXVyNjU1NzU3MzE@._V1_UX67_CR0,0,67,98_AL_.jpg</v>
      </c>
      <c r="U465" s="8">
        <f>'Inflation Adjusted Gross'!F465</f>
        <v>169471540</v>
      </c>
      <c r="V465" s="5">
        <f t="shared" si="1"/>
        <v>2020</v>
      </c>
    </row>
    <row r="466">
      <c r="A466" s="1">
        <v>465.0</v>
      </c>
      <c r="B466" s="1" t="s">
        <v>2938</v>
      </c>
      <c r="C466" s="6">
        <f>Gross_cleaning!E466</f>
        <v>45171</v>
      </c>
      <c r="D466" s="1">
        <v>2020.0</v>
      </c>
      <c r="E466" s="1" t="s">
        <v>37</v>
      </c>
      <c r="F466" s="1" t="str">
        <f>VLOOKUP(Filmes_raw!E466,Rating_systems!$A$2:$C$29,3,FALSE)</f>
        <v>Criança</v>
      </c>
      <c r="G466" s="2">
        <f>Gross_cleaning!F466</f>
        <v>101</v>
      </c>
      <c r="H466" s="1" t="s">
        <v>535</v>
      </c>
      <c r="I466" s="1" t="s">
        <v>227</v>
      </c>
      <c r="J466" s="1">
        <v>7.9</v>
      </c>
      <c r="K466" s="1" t="s">
        <v>2939</v>
      </c>
      <c r="L466" s="1" t="str">
        <f>IFERROR(__xludf.DUMMYFUNCTION("GOOGLETRANSLATE(K466,""en"", ""pt-br"")"),"A jornada emocional de dois jovens desesperadamente em amor, uma jovem, Kizie, sofrendo de câncer, e um menino, Manny, a quem ela se reúne em um grupo de apoio.")</f>
        <v>A jornada emocional de dois jovens desesperadamente em amor, uma jovem, Kizie, sofrendo de câncer, e um menino, Manny, a quem ela se reúne em um grupo de apoio.</v>
      </c>
      <c r="N466" s="1" t="s">
        <v>2940</v>
      </c>
      <c r="O466" s="1" t="s">
        <v>942</v>
      </c>
      <c r="P466" s="1" t="s">
        <v>2941</v>
      </c>
      <c r="Q466" s="1" t="s">
        <v>2942</v>
      </c>
      <c r="R466" s="1" t="s">
        <v>2943</v>
      </c>
      <c r="S466" s="1">
        <v>111478.0</v>
      </c>
      <c r="T466" s="7" t="str">
        <f>VLOOKUP(A466,Posters!A466:B1465,2)</f>
        <v>https://m.media-amazon.com/images/M/MV5BNmI0MTliMTAtMmJhNC00NTJmLTllMzQtMDI3NzA1ODMyZWI1XkEyXkFqcGdeQXVyODE5NzE3OTE@._V1_UY98_CR5,0,67,98_AL_.jpg</v>
      </c>
      <c r="U466" s="8">
        <f>'Inflation Adjusted Gross'!F466</f>
        <v>45171</v>
      </c>
      <c r="V466" s="5">
        <f t="shared" si="1"/>
        <v>2020</v>
      </c>
    </row>
    <row r="467">
      <c r="A467" s="1">
        <v>466.0</v>
      </c>
      <c r="B467" s="1" t="s">
        <v>2944</v>
      </c>
      <c r="C467" s="6">
        <f>Gross_cleaning!E467</f>
        <v>3313513</v>
      </c>
      <c r="D467" s="1">
        <v>2018.0</v>
      </c>
      <c r="E467" s="1" t="s">
        <v>18</v>
      </c>
      <c r="F467" s="1" t="str">
        <f>VLOOKUP(Filmes_raw!E467,Rating_systems!$A$2:$C$29,3,FALSE)</f>
        <v>Adulto</v>
      </c>
      <c r="G467" s="2">
        <f>Gross_cleaning!F467</f>
        <v>121</v>
      </c>
      <c r="H467" s="1" t="s">
        <v>249</v>
      </c>
      <c r="I467" s="1" t="s">
        <v>29</v>
      </c>
      <c r="J467" s="1">
        <v>7.9</v>
      </c>
      <c r="K467" s="1" t="s">
        <v>2945</v>
      </c>
      <c r="L467" s="1" t="str">
        <f>IFERROR(__xludf.DUMMYFUNCTION("GOOGLETRANSLATE(K467,""en"", ""pt-br"")"),"Uma família de pequenos bandidos leva em uma criança que encontram no frio.")</f>
        <v>Uma família de pequenos bandidos leva em uma criança que encontram no frio.</v>
      </c>
      <c r="M467" s="1">
        <v>93.0</v>
      </c>
      <c r="N467" s="1" t="s">
        <v>2946</v>
      </c>
      <c r="O467" s="1" t="s">
        <v>2947</v>
      </c>
      <c r="P467" s="1" t="s">
        <v>2948</v>
      </c>
      <c r="Q467" s="1" t="s">
        <v>2949</v>
      </c>
      <c r="R467" s="1" t="s">
        <v>2950</v>
      </c>
      <c r="S467" s="1">
        <v>62754.0</v>
      </c>
      <c r="T467" s="7" t="str">
        <f>VLOOKUP(A467,Posters!A467:B1466,2)</f>
        <v>https://m.media-amazon.com/images/M/MV5BYWZmOTY0MDAtMGRlMS00YjFlLWFkZTUtYmJhYWNlN2JjMmZkXkEyXkFqcGdeQXVyODAzODU1NDQ@._V1_UX67_CR0,0,67,98_AL_.jpg</v>
      </c>
      <c r="U467" s="8">
        <f>'Inflation Adjusted Gross'!F467</f>
        <v>3448584</v>
      </c>
      <c r="V467" s="5">
        <f t="shared" si="1"/>
        <v>2020</v>
      </c>
    </row>
    <row r="468">
      <c r="A468" s="1">
        <v>467.0</v>
      </c>
      <c r="B468" s="1" t="s">
        <v>2951</v>
      </c>
      <c r="C468" s="6">
        <f>Gross_cleaning!E468</f>
        <v>2000000</v>
      </c>
      <c r="D468" s="1">
        <v>2019.0</v>
      </c>
      <c r="E468" s="1" t="s">
        <v>52</v>
      </c>
      <c r="F468" s="1" t="str">
        <f>VLOOKUP(Filmes_raw!E468,Rating_systems!$A$2:$C$29,3,FALSE)</f>
        <v>Criança</v>
      </c>
      <c r="G468" s="2">
        <f>Gross_cleaning!F468</f>
        <v>137</v>
      </c>
      <c r="H468" s="1" t="s">
        <v>360</v>
      </c>
      <c r="I468" s="1" t="s">
        <v>227</v>
      </c>
      <c r="J468" s="1">
        <v>7.9</v>
      </c>
      <c r="K468" s="1" t="s">
        <v>2952</v>
      </c>
      <c r="L468" s="1" t="str">
        <f>IFERROR(__xludf.DUMMYFUNCTION("GOOGLETRANSLATE(K468,""en"", ""pt-br"")"),"Noah Baumbach é incisivo e compassivo olhar para um casamento quebrando e uma família ficando juntas.")</f>
        <v>Noah Baumbach é incisivo e compassivo olhar para um casamento quebrando e uma família ficando juntas.</v>
      </c>
      <c r="M468" s="1">
        <v>94.0</v>
      </c>
      <c r="N468" s="1" t="s">
        <v>2953</v>
      </c>
      <c r="O468" s="1" t="s">
        <v>2954</v>
      </c>
      <c r="P468" s="1" t="s">
        <v>307</v>
      </c>
      <c r="Q468" s="1" t="s">
        <v>2955</v>
      </c>
      <c r="R468" s="1" t="s">
        <v>2956</v>
      </c>
      <c r="S468" s="1">
        <v>246644.0</v>
      </c>
      <c r="T468" s="7" t="str">
        <f>VLOOKUP(A468,Posters!A468:B1467,2)</f>
        <v>https://m.media-amazon.com/images/M/MV5BZGVmY2RjNDgtMTc3Yy00YmY0LTgwODItYzBjNWJhNTRlYjdkXkEyXkFqcGdeQXVyMjM4NTM5NDY@._V1_UX67_CR0,0,67,98_AL_.jpg</v>
      </c>
      <c r="U468" s="8">
        <f>'Inflation Adjusted Gross'!F468</f>
        <v>2049731</v>
      </c>
      <c r="V468" s="5">
        <f t="shared" si="1"/>
        <v>2020</v>
      </c>
    </row>
    <row r="469">
      <c r="A469" s="1">
        <v>468.0</v>
      </c>
      <c r="B469" s="1" t="s">
        <v>2957</v>
      </c>
      <c r="C469" s="6">
        <f>Gross_cleaning!E469</f>
        <v>18095701</v>
      </c>
      <c r="D469" s="1">
        <v>2017.0</v>
      </c>
      <c r="E469" s="1" t="s">
        <v>37</v>
      </c>
      <c r="F469" s="1" t="str">
        <f>VLOOKUP(Filmes_raw!E469,Rating_systems!$A$2:$C$29,3,FALSE)</f>
        <v>Criança</v>
      </c>
      <c r="G469" s="2">
        <f>Gross_cleaning!F469</f>
        <v>132</v>
      </c>
      <c r="H469" s="1" t="s">
        <v>170</v>
      </c>
      <c r="I469" s="1" t="s">
        <v>107</v>
      </c>
      <c r="J469" s="1">
        <v>7.9</v>
      </c>
      <c r="K469" s="1" t="s">
        <v>2958</v>
      </c>
      <c r="L469" s="1" t="str">
        <f>IFERROR(__xludf.DUMMYFUNCTION("GOOGLETRANSLATE(K469,""en"", ""pt-br"")"),"Na década de 1980, a Itália, os romance florescem entre um estudante de dezessete anos e o homem mais velho contratou como assistente de pesquisa de seu pai.")</f>
        <v>Na década de 1980, a Itália, os romance florescem entre um estudante de dezessete anos e o homem mais velho contratou como assistente de pesquisa de seu pai.</v>
      </c>
      <c r="M469" s="1">
        <v>93.0</v>
      </c>
      <c r="N469" s="1" t="s">
        <v>2959</v>
      </c>
      <c r="O469" s="1" t="s">
        <v>2960</v>
      </c>
      <c r="P469" s="1" t="s">
        <v>2961</v>
      </c>
      <c r="Q469" s="1" t="s">
        <v>2962</v>
      </c>
      <c r="R469" s="1" t="s">
        <v>2963</v>
      </c>
      <c r="S469" s="1">
        <v>212651.0</v>
      </c>
      <c r="T469" s="7" t="str">
        <f>VLOOKUP(A469,Posters!A469:B1468,2)</f>
        <v>https://m.media-amazon.com/images/M/MV5BNDk3NTEwNjc0MV5BMl5BanBnXkFtZTgwNzYxNTMwMzI@._V1_UX67_CR0,0,67,98_AL_.jpg</v>
      </c>
      <c r="U469" s="8">
        <f>'Inflation Adjusted Gross'!F469</f>
        <v>19223296</v>
      </c>
      <c r="V469" s="5">
        <f t="shared" si="1"/>
        <v>2020</v>
      </c>
    </row>
    <row r="470">
      <c r="A470" s="1">
        <v>469.0</v>
      </c>
      <c r="B470" s="1" t="s">
        <v>2964</v>
      </c>
      <c r="C470" s="6">
        <f>Gross_cleaning!E470</f>
        <v>258168</v>
      </c>
      <c r="D470" s="1">
        <v>2016.0</v>
      </c>
      <c r="E470" s="1" t="s">
        <v>37</v>
      </c>
      <c r="F470" s="1" t="str">
        <f>VLOOKUP(Filmes_raw!E470,Rating_systems!$A$2:$C$29,3,FALSE)</f>
        <v>Criança</v>
      </c>
      <c r="G470" s="2">
        <f>Gross_cleaning!F470</f>
        <v>100</v>
      </c>
      <c r="H470" s="1" t="s">
        <v>1439</v>
      </c>
      <c r="I470" s="1" t="s">
        <v>20</v>
      </c>
      <c r="J470" s="1">
        <v>7.9</v>
      </c>
      <c r="K470" s="1" t="s">
        <v>2965</v>
      </c>
      <c r="L470" s="1" t="str">
        <f>IFERROR(__xludf.DUMMYFUNCTION("GOOGLETRANSLATE(K470,""en"", ""pt-br"")"),"Depois de ter sofrido um ataque cardíaco, um carpinteiro de 59 anos deve lutar contra as forças burocráticas do sistema, a fim de receber subsídio de emprego e apoio.")</f>
        <v>Depois de ter sofrido um ataque cardíaco, um carpinteiro de 59 anos deve lutar contra as forças burocráticas do sistema, a fim de receber subsídio de emprego e apoio.</v>
      </c>
      <c r="M470" s="1">
        <v>78.0</v>
      </c>
      <c r="N470" s="1" t="s">
        <v>2966</v>
      </c>
      <c r="O470" s="1" t="s">
        <v>2388</v>
      </c>
      <c r="P470" s="1" t="s">
        <v>2967</v>
      </c>
      <c r="Q470" s="1" t="s">
        <v>2968</v>
      </c>
      <c r="R470" s="1" t="s">
        <v>2969</v>
      </c>
      <c r="S470" s="1">
        <v>53818.0</v>
      </c>
      <c r="T470" s="7" t="str">
        <f>VLOOKUP(A470,Posters!A470:B1469,2)</f>
        <v>https://m.media-amazon.com/images/M/MV5BMTQ4NTMzMTk4NV5BMl5BanBnXkFtZTgwNTU5MjE4MDI@._V1_UX67_CR0,0,67,98_AL_.jpg</v>
      </c>
      <c r="U470" s="8">
        <f>'Inflation Adjusted Gross'!F470</f>
        <v>281112</v>
      </c>
      <c r="V470" s="5">
        <f t="shared" si="1"/>
        <v>2020</v>
      </c>
    </row>
    <row r="471">
      <c r="A471" s="1">
        <v>470.0</v>
      </c>
      <c r="B471" s="1" t="s">
        <v>2970</v>
      </c>
      <c r="C471" s="6">
        <f>Gross_cleaning!E471</f>
        <v>32015231</v>
      </c>
      <c r="D471" s="1">
        <v>2018.0</v>
      </c>
      <c r="E471" s="1" t="s">
        <v>52</v>
      </c>
      <c r="F471" s="1" t="str">
        <f>VLOOKUP(Filmes_raw!E471,Rating_systems!$A$2:$C$29,3,FALSE)</f>
        <v>Criança</v>
      </c>
      <c r="G471" s="2">
        <f>Gross_cleaning!F471</f>
        <v>101</v>
      </c>
      <c r="H471" s="1" t="s">
        <v>535</v>
      </c>
      <c r="I471" s="1" t="s">
        <v>765</v>
      </c>
      <c r="J471" s="1">
        <v>7.9</v>
      </c>
      <c r="K471" s="1" t="s">
        <v>2971</v>
      </c>
      <c r="L471" s="1" t="str">
        <f>IFERROR(__xludf.DUMMYFUNCTION("GOOGLETRANSLATE(K471,""en"", ""pt-br"")"),"Situado no Japão, Isle of Cogs segue a Odisséia de um menino em busca de seu cachorro perdido.")</f>
        <v>Situado no Japão, Isle of Cogs segue a Odisséia de um menino em busca de seu cachorro perdido.</v>
      </c>
      <c r="M471" s="1">
        <v>82.0</v>
      </c>
      <c r="N471" s="1" t="s">
        <v>1468</v>
      </c>
      <c r="O471" s="1" t="s">
        <v>2972</v>
      </c>
      <c r="P471" s="1" t="s">
        <v>2973</v>
      </c>
      <c r="Q471" s="1" t="s">
        <v>99</v>
      </c>
      <c r="R471" s="1" t="s">
        <v>2974</v>
      </c>
      <c r="S471" s="1">
        <v>139114.0</v>
      </c>
      <c r="T471" s="7" t="str">
        <f>VLOOKUP(A471,Posters!A471:B1470,2)</f>
        <v>https://m.media-amazon.com/images/M/MV5BZDQwOWQ2NmUtZThjZi00MGM0LTkzNDctMzcyMjcyOGI1OGRkXkEyXkFqcGdeQXVyMTA3MDk2NDg2._V1_UX67_CR0,0,67,98_AL_.jpg</v>
      </c>
      <c r="U471" s="8">
        <f>'Inflation Adjusted Gross'!F471</f>
        <v>33320293</v>
      </c>
      <c r="V471" s="5">
        <f t="shared" si="1"/>
        <v>2020</v>
      </c>
    </row>
    <row r="472">
      <c r="A472" s="1">
        <v>471.0</v>
      </c>
      <c r="B472" s="1" t="s">
        <v>2975</v>
      </c>
      <c r="C472" s="6">
        <f>Gross_cleaning!E472</f>
        <v>5202582</v>
      </c>
      <c r="D472" s="1">
        <v>2016.0</v>
      </c>
      <c r="E472" s="1" t="s">
        <v>37</v>
      </c>
      <c r="F472" s="1" t="str">
        <f>VLOOKUP(Filmes_raw!E472,Rating_systems!$A$2:$C$29,3,FALSE)</f>
        <v>Criança</v>
      </c>
      <c r="G472" s="2">
        <f>Gross_cleaning!F472</f>
        <v>101</v>
      </c>
      <c r="H472" s="1" t="s">
        <v>535</v>
      </c>
      <c r="I472" s="1" t="s">
        <v>1004</v>
      </c>
      <c r="J472" s="1">
        <v>7.9</v>
      </c>
      <c r="K472" s="1" t="s">
        <v>2976</v>
      </c>
      <c r="L472" s="1" t="str">
        <f>IFERROR(__xludf.DUMMYFUNCTION("GOOGLETRANSLATE(K472,""en"", ""pt-br"")"),"Uma manhunt nacional é encomendada para um garoto rebelde e seu tio adotivo que desaparece no arbusto selvagem da Nova Zelândia.")</f>
        <v>Uma manhunt nacional é encomendada para um garoto rebelde e seu tio adotivo que desaparece no arbusto selvagem da Nova Zelândia.</v>
      </c>
      <c r="M472" s="1">
        <v>81.0</v>
      </c>
      <c r="N472" s="1" t="s">
        <v>2977</v>
      </c>
      <c r="O472" s="1" t="s">
        <v>1784</v>
      </c>
      <c r="P472" s="1" t="s">
        <v>2978</v>
      </c>
      <c r="Q472" s="1" t="s">
        <v>2979</v>
      </c>
      <c r="R472" s="1" t="s">
        <v>2980</v>
      </c>
      <c r="S472" s="1">
        <v>111483.0</v>
      </c>
      <c r="T472" s="7" t="str">
        <f>VLOOKUP(A472,Posters!A472:B1471,2)</f>
        <v>https://m.media-amazon.com/images/M/MV5BMjI1MDQ2MDg5Ml5BMl5BanBnXkFtZTgwMjc2NjM5ODE@._V1_UX67_CR0,0,67,98_AL_.jpg</v>
      </c>
      <c r="U472" s="8">
        <f>'Inflation Adjusted Gross'!F472</f>
        <v>5664941</v>
      </c>
      <c r="V472" s="5">
        <f t="shared" si="1"/>
        <v>2020</v>
      </c>
    </row>
    <row r="473">
      <c r="A473" s="1">
        <v>472.0</v>
      </c>
      <c r="B473" s="1" t="s">
        <v>2981</v>
      </c>
      <c r="C473" s="6">
        <f>Gross_cleaning!E473</f>
        <v>5875006</v>
      </c>
      <c r="D473" s="1">
        <v>2016.0</v>
      </c>
      <c r="E473" s="1" t="s">
        <v>212</v>
      </c>
      <c r="F473" s="1" t="str">
        <f>VLOOKUP(Filmes_raw!E473,Rating_systems!$A$2:$C$29,3,FALSE)</f>
        <v>Adulto</v>
      </c>
      <c r="G473" s="2">
        <f>Gross_cleaning!F473</f>
        <v>118</v>
      </c>
      <c r="H473" s="1" t="s">
        <v>240</v>
      </c>
      <c r="I473" s="1" t="s">
        <v>507</v>
      </c>
      <c r="J473" s="1">
        <v>7.9</v>
      </c>
      <c r="K473" s="1" t="s">
        <v>2982</v>
      </c>
      <c r="L473" s="1" t="str">
        <f>IFERROR(__xludf.DUMMYFUNCTION("GOOGLETRANSLATE(K473,""en"", ""pt-br"")"),"Nas florestas do noroeste do Pacífico, um pai dedicado a levantar seis filhos com uma educação física e intelectual rigorosa é forçada a deixar seu paraíso e entrar no mundo, desafiando sua ideia do que significa ser pai.")</f>
        <v>Nas florestas do noroeste do Pacífico, um pai dedicado a levantar seis filhos com uma educação física e intelectual rigorosa é forçada a deixar seu paraíso e entrar no mundo, desafiando sua ideia do que significa ser pai.</v>
      </c>
      <c r="M473" s="1">
        <v>72.0</v>
      </c>
      <c r="N473" s="1" t="s">
        <v>2983</v>
      </c>
      <c r="O473" s="1" t="s">
        <v>66</v>
      </c>
      <c r="P473" s="1" t="s">
        <v>643</v>
      </c>
      <c r="Q473" s="1" t="s">
        <v>2984</v>
      </c>
      <c r="R473" s="1" t="s">
        <v>2985</v>
      </c>
      <c r="S473" s="1">
        <v>189400.0</v>
      </c>
      <c r="T473" s="7" t="str">
        <f>VLOOKUP(A473,Posters!A473:B1472,2)</f>
        <v>https://m.media-amazon.com/images/M/MV5BMjE5OTM0OTY5NF5BMl5BanBnXkFtZTgwMDcxOTQ3ODE@._V1_UX67_CR0,0,67,98_AL_.jpg</v>
      </c>
      <c r="U473" s="8">
        <f>'Inflation Adjusted Gross'!F473</f>
        <v>6397125</v>
      </c>
      <c r="V473" s="5">
        <f t="shared" si="1"/>
        <v>2020</v>
      </c>
    </row>
    <row r="474">
      <c r="A474" s="1">
        <v>473.0</v>
      </c>
      <c r="B474" s="1" t="s">
        <v>2986</v>
      </c>
      <c r="C474" s="6">
        <f>Gross_cleaning!E474</f>
        <v>3237118</v>
      </c>
      <c r="D474" s="1">
        <v>2016.0</v>
      </c>
      <c r="E474" s="1" t="s">
        <v>161</v>
      </c>
      <c r="F474" s="1" t="str">
        <f>VLOOKUP(Filmes_raw!E474,Rating_systems!$A$2:$C$29,3,FALSE)</f>
        <v>Criança</v>
      </c>
      <c r="G474" s="2">
        <f>Gross_cleaning!F474</f>
        <v>106</v>
      </c>
      <c r="H474" s="1" t="s">
        <v>286</v>
      </c>
      <c r="I474" s="1" t="s">
        <v>2173</v>
      </c>
      <c r="J474" s="1">
        <v>7.9</v>
      </c>
      <c r="K474" s="1" t="s">
        <v>2987</v>
      </c>
      <c r="L474" s="1" t="str">
        <f>IFERROR(__xludf.DUMMYFUNCTION("GOOGLETRANSLATE(K474,""en"", ""pt-br"")"),"Um menino crescendo em Dublin durante a década de 1980 escapa sua vida familiar tensa, começando uma banda para impressionar a misteriosa garota que ele gosta.")</f>
        <v>Um menino crescendo em Dublin durante a década de 1980 escapa sua vida familiar tensa, começando uma banda para impressionar a misteriosa garota que ele gosta.</v>
      </c>
      <c r="M474" s="1">
        <v>79.0</v>
      </c>
      <c r="N474" s="1" t="s">
        <v>2988</v>
      </c>
      <c r="O474" s="1" t="s">
        <v>2989</v>
      </c>
      <c r="P474" s="1" t="s">
        <v>2990</v>
      </c>
      <c r="Q474" s="1" t="s">
        <v>2991</v>
      </c>
      <c r="R474" s="1" t="s">
        <v>2992</v>
      </c>
      <c r="S474" s="1">
        <v>85109.0</v>
      </c>
      <c r="T474" s="7" t="str">
        <f>VLOOKUP(A474,Posters!A474:B1473,2)</f>
        <v>https://m.media-amazon.com/images/M/MV5BMjEzODA3MDcxMl5BMl5BanBnXkFtZTgwODgxNDk3NzE@._V1_UX67_CR0,0,67,98_AL_.jpg</v>
      </c>
      <c r="U474" s="8">
        <f>'Inflation Adjusted Gross'!F474</f>
        <v>3524804</v>
      </c>
      <c r="V474" s="5">
        <f t="shared" si="1"/>
        <v>2020</v>
      </c>
    </row>
    <row r="475">
      <c r="A475" s="1">
        <v>474.0</v>
      </c>
      <c r="B475" s="1" t="s">
        <v>2993</v>
      </c>
      <c r="C475" s="6">
        <f>Gross_cleaning!E475</f>
        <v>315058289</v>
      </c>
      <c r="D475" s="1">
        <v>2017.0</v>
      </c>
      <c r="E475" s="1" t="s">
        <v>37</v>
      </c>
      <c r="F475" s="1" t="str">
        <f>VLOOKUP(Filmes_raw!E475,Rating_systems!$A$2:$C$29,3,FALSE)</f>
        <v>Criança</v>
      </c>
      <c r="G475" s="2">
        <f>Gross_cleaning!F475</f>
        <v>130</v>
      </c>
      <c r="H475" s="1" t="s">
        <v>195</v>
      </c>
      <c r="I475" s="1" t="s">
        <v>1252</v>
      </c>
      <c r="J475" s="1">
        <v>7.9</v>
      </c>
      <c r="K475" s="1" t="s">
        <v>2994</v>
      </c>
      <c r="L475" s="1" t="str">
        <f>IFERROR(__xludf.DUMMYFUNCTION("GOOGLETRANSLATE(K475,""en"", ""pt-br"")"),"Preso no planeta Sakaar, Thor deve correr contra o tempo para voltar a Asgard e parar Ragnarök, a destruição de seu mundo, nas mãos do poderoso e implacável vilão Hapa.")</f>
        <v>Preso no planeta Sakaar, Thor deve correr contra o tempo para voltar a Asgard e parar Ragnarök, a destruição de seu mundo, nas mãos do poderoso e implacável vilão Hapa.</v>
      </c>
      <c r="M475" s="1">
        <v>74.0</v>
      </c>
      <c r="N475" s="1" t="s">
        <v>2977</v>
      </c>
      <c r="O475" s="1" t="s">
        <v>485</v>
      </c>
      <c r="P475" s="1" t="s">
        <v>2995</v>
      </c>
      <c r="Q475" s="1" t="s">
        <v>2996</v>
      </c>
      <c r="R475" s="1" t="s">
        <v>481</v>
      </c>
      <c r="S475" s="1">
        <v>587775.0</v>
      </c>
      <c r="T475" s="7" t="str">
        <f>VLOOKUP(A475,Posters!A475:B1474,2)</f>
        <v>https://m.media-amazon.com/images/M/MV5BMjMyNDkzMzI1OF5BMl5BanBnXkFtZTgwODcxODg5MjI@._V1_UX67_CR0,0,67,98_AL_.jpg</v>
      </c>
      <c r="U475" s="8">
        <f>'Inflation Adjusted Gross'!F475</f>
        <v>334690482</v>
      </c>
      <c r="V475" s="5">
        <f t="shared" si="1"/>
        <v>2020</v>
      </c>
    </row>
    <row r="476">
      <c r="A476" s="1">
        <v>475.0</v>
      </c>
      <c r="B476" s="1" t="s">
        <v>2997</v>
      </c>
      <c r="C476" s="6">
        <f>Gross_cleaning!E476</f>
        <v>32381218</v>
      </c>
      <c r="D476" s="1">
        <v>2014.0</v>
      </c>
      <c r="E476" s="1" t="s">
        <v>18</v>
      </c>
      <c r="F476" s="1" t="str">
        <f>VLOOKUP(Filmes_raw!E476,Rating_systems!$A$2:$C$29,3,FALSE)</f>
        <v>Adulto</v>
      </c>
      <c r="G476" s="2">
        <f>Gross_cleaning!F476</f>
        <v>117</v>
      </c>
      <c r="H476" s="1" t="s">
        <v>466</v>
      </c>
      <c r="I476" s="1" t="s">
        <v>241</v>
      </c>
      <c r="J476" s="1">
        <v>7.9</v>
      </c>
      <c r="K476" s="1" t="s">
        <v>2998</v>
      </c>
      <c r="L476" s="1" t="str">
        <f>IFERROR(__xludf.DUMMYFUNCTION("GOOGLETRANSLATE(K476,""en"", ""pt-br"")"),"Quando Louis Bloom, um homem desesperado para o trabalho, os músculos do mundo do jornalismo do crime, ele borrava a linha entre observador e participante de se tornar a estrela de sua própria história.")</f>
        <v>Quando Louis Bloom, um homem desesperado para o trabalho, os músculos do mundo do jornalismo do crime, ele borrava a linha entre observador e participante de se tornar a estrela de sua própria história.</v>
      </c>
      <c r="M476" s="1">
        <v>76.0</v>
      </c>
      <c r="N476" s="1" t="s">
        <v>2999</v>
      </c>
      <c r="O476" s="1" t="s">
        <v>1542</v>
      </c>
      <c r="P476" s="1" t="s">
        <v>3000</v>
      </c>
      <c r="Q476" s="1" t="s">
        <v>3001</v>
      </c>
      <c r="R476" s="1" t="s">
        <v>3002</v>
      </c>
      <c r="S476" s="1">
        <v>466134.0</v>
      </c>
      <c r="T476" s="7" t="str">
        <f>VLOOKUP(A476,Posters!A476:B1475,2)</f>
        <v>https://m.media-amazon.com/images/M/MV5BN2U1YzdhYWMtZWUzMi00OWI1LWFkM2ItNWVjM2YxMGQ2MmNhXkEyXkFqcGdeQXVyNjU0OTQ0OTY@._V1_UY98_CR0,0,67,98_AL_.jpg</v>
      </c>
      <c r="U476" s="8">
        <f>'Inflation Adjusted Gross'!F476</f>
        <v>35711175</v>
      </c>
      <c r="V476" s="5">
        <f t="shared" si="1"/>
        <v>2020</v>
      </c>
    </row>
    <row r="477">
      <c r="A477" s="1">
        <v>476.0</v>
      </c>
      <c r="B477" s="1" t="s">
        <v>3003</v>
      </c>
      <c r="C477" s="6">
        <f>Gross_cleaning!E477</f>
        <v>349555</v>
      </c>
      <c r="D477" s="1">
        <v>2019.0</v>
      </c>
      <c r="E477" s="1" t="s">
        <v>37</v>
      </c>
      <c r="F477" s="1" t="str">
        <f>VLOOKUP(Filmes_raw!E477,Rating_systems!$A$2:$C$29,3,FALSE)</f>
        <v>Criança</v>
      </c>
      <c r="G477" s="2">
        <f>Gross_cleaning!F477</f>
        <v>108</v>
      </c>
      <c r="H477" s="1" t="s">
        <v>714</v>
      </c>
      <c r="I477" s="1" t="s">
        <v>635</v>
      </c>
      <c r="J477" s="1">
        <v>7.9</v>
      </c>
      <c r="K477" s="1" t="s">
        <v>3004</v>
      </c>
      <c r="L477" s="1" t="str">
        <f>IFERROR(__xludf.DUMMYFUNCTION("GOOGLETRANSLATE(K477,""en"", ""pt-br"")"),"Um menino no exército de Hitler descobre que sua mãe está escondendo uma garota judaica em sua casa.")</f>
        <v>Um menino no exército de Hitler descobre que sua mãe está escondendo uma garota judaica em sua casa.</v>
      </c>
      <c r="M477" s="1">
        <v>58.0</v>
      </c>
      <c r="N477" s="1" t="s">
        <v>2977</v>
      </c>
      <c r="O477" s="1" t="s">
        <v>3005</v>
      </c>
      <c r="P477" s="1" t="s">
        <v>3006</v>
      </c>
      <c r="Q477" s="1" t="s">
        <v>307</v>
      </c>
      <c r="R477" s="1" t="s">
        <v>2977</v>
      </c>
      <c r="S477" s="1">
        <v>297918.0</v>
      </c>
      <c r="T477" s="7" t="str">
        <f>VLOOKUP(A477,Posters!A477:B1476,2)</f>
        <v>https://m.media-amazon.com/images/M/MV5BZjU0Yzk2MzEtMjAzYy00MzY0LTg2YmItM2RkNzdkY2ZhN2JkXkEyXkFqcGdeQXVyNDg4NjY5OTQ@._V1_UX67_CR0,0,67,98_AL_.jpg</v>
      </c>
      <c r="U477" s="8">
        <f>'Inflation Adjusted Gross'!F477</f>
        <v>358247</v>
      </c>
      <c r="V477" s="5">
        <f t="shared" si="1"/>
        <v>2020</v>
      </c>
    </row>
    <row r="478">
      <c r="A478" s="1">
        <v>477.0</v>
      </c>
      <c r="B478" s="1" t="s">
        <v>3007</v>
      </c>
      <c r="C478" s="6">
        <f>Gross_cleaning!E478</f>
        <v>100546139</v>
      </c>
      <c r="D478" s="1">
        <v>2016.0</v>
      </c>
      <c r="E478" s="1" t="s">
        <v>37</v>
      </c>
      <c r="F478" s="1" t="str">
        <f>VLOOKUP(Filmes_raw!E478,Rating_systems!$A$2:$C$29,3,FALSE)</f>
        <v>Criança</v>
      </c>
      <c r="G478" s="2">
        <f>Gross_cleaning!F478</f>
        <v>116</v>
      </c>
      <c r="H478" s="1" t="s">
        <v>226</v>
      </c>
      <c r="I478" s="1" t="s">
        <v>928</v>
      </c>
      <c r="J478" s="1">
        <v>7.9</v>
      </c>
      <c r="K478" s="1" t="s">
        <v>3008</v>
      </c>
      <c r="L478" s="1" t="str">
        <f>IFERROR(__xludf.DUMMYFUNCTION("GOOGLETRANSLATE(K478,""en"", ""pt-br"")"),"Um lingüista trabalha com os militares para se comunicar com formas de vida alienígenas depois que doze espaçonaves misteriosas aparecem ao redor do mundo.")</f>
        <v>Um lingüista trabalha com os militares para se comunicar com formas de vida alienígenas depois que doze espaçonaves misteriosas aparecem ao redor do mundo.</v>
      </c>
      <c r="M478" s="1">
        <v>81.0</v>
      </c>
      <c r="N478" s="1" t="s">
        <v>688</v>
      </c>
      <c r="O478" s="1" t="s">
        <v>2254</v>
      </c>
      <c r="P478" s="1" t="s">
        <v>2339</v>
      </c>
      <c r="Q478" s="1" t="s">
        <v>3009</v>
      </c>
      <c r="R478" s="1" t="s">
        <v>2962</v>
      </c>
      <c r="S478" s="1">
        <v>594181.0</v>
      </c>
      <c r="T478" s="7" t="str">
        <f>VLOOKUP(A478,Posters!A478:B1477,2)</f>
        <v>https://m.media-amazon.com/images/M/MV5BMTExMzU0ODcxNDheQTJeQWpwZ15BbWU4MDE1OTI4MzAy._V1_UX67_CR0,0,67,98_AL_.jpg</v>
      </c>
      <c r="U478" s="8">
        <f>'Inflation Adjusted Gross'!F478</f>
        <v>109481791</v>
      </c>
      <c r="V478" s="5">
        <f t="shared" si="1"/>
        <v>2020</v>
      </c>
    </row>
    <row r="479">
      <c r="A479" s="1">
        <v>478.0</v>
      </c>
      <c r="B479" s="1" t="s">
        <v>3010</v>
      </c>
      <c r="C479" s="6">
        <f>Gross_cleaning!E479</f>
        <v>936662225</v>
      </c>
      <c r="D479" s="1">
        <v>2015.0</v>
      </c>
      <c r="E479" s="1" t="s">
        <v>52</v>
      </c>
      <c r="F479" s="1" t="str">
        <f>VLOOKUP(Filmes_raw!E479,Rating_systems!$A$2:$C$29,3,FALSE)</f>
        <v>Criança</v>
      </c>
      <c r="G479" s="2">
        <f>Gross_cleaning!F479</f>
        <v>138</v>
      </c>
      <c r="H479" s="1" t="s">
        <v>947</v>
      </c>
      <c r="I479" s="1" t="s">
        <v>88</v>
      </c>
      <c r="J479" s="1">
        <v>7.9</v>
      </c>
      <c r="K479" s="1" t="s">
        <v>3011</v>
      </c>
      <c r="L479" s="1" t="str">
        <f>IFERROR(__xludf.DUMMYFUNCTION("GOOGLETRANSLATE(K479,""en"", ""pt-br"")"),"Como uma nova ameaça à galáxia sobe, Rey, um desertador, e Finn, um ex-stormtrooper, deve se juntar a Han Solo e Chewbacca para procurar a única esperança de restaurar a paz.")</f>
        <v>Como uma nova ameaça à galáxia sobe, Rey, um desertador, e Finn, um ex-stormtrooper, deve se juntar a Han Solo e Chewbacca para procurar a única esperança de restaurar a paz.</v>
      </c>
      <c r="M479" s="1">
        <v>80.0</v>
      </c>
      <c r="N479" s="1" t="s">
        <v>3012</v>
      </c>
      <c r="O479" s="1" t="s">
        <v>3013</v>
      </c>
      <c r="P479" s="1" t="s">
        <v>3014</v>
      </c>
      <c r="Q479" s="1" t="s">
        <v>3015</v>
      </c>
      <c r="R479" s="1" t="s">
        <v>2264</v>
      </c>
      <c r="S479" s="1">
        <v>860823.0</v>
      </c>
      <c r="T479" s="7" t="str">
        <f>VLOOKUP(A479,Posters!A479:B1478,2)</f>
        <v>https://m.media-amazon.com/images/M/MV5BOTAzODEzNDAzMl5BMl5BanBnXkFtZTgwMDU1MTgzNzE@._V1_UX67_CR0,0,67,98_AL_.jpg</v>
      </c>
      <c r="U479" s="8">
        <f>'Inflation Adjusted Gross'!F479</f>
        <v>1033908661</v>
      </c>
      <c r="V479" s="5">
        <f t="shared" si="1"/>
        <v>2020</v>
      </c>
    </row>
    <row r="480">
      <c r="A480" s="1">
        <v>479.0</v>
      </c>
      <c r="B480" s="1" t="s">
        <v>3016</v>
      </c>
      <c r="C480" s="6">
        <f>Gross_cleaning!E480</f>
        <v>8114627</v>
      </c>
      <c r="D480" s="1">
        <v>2013.0</v>
      </c>
      <c r="E480" s="1" t="s">
        <v>212</v>
      </c>
      <c r="F480" s="1" t="str">
        <f>VLOOKUP(Filmes_raw!E480,Rating_systems!$A$2:$C$29,3,FALSE)</f>
        <v>Adulto</v>
      </c>
      <c r="G480" s="2">
        <f>Gross_cleaning!F480</f>
        <v>109</v>
      </c>
      <c r="H480" s="1" t="s">
        <v>396</v>
      </c>
      <c r="I480" s="1" t="s">
        <v>107</v>
      </c>
      <c r="J480" s="1">
        <v>7.9</v>
      </c>
      <c r="K480" s="1" t="s">
        <v>3017</v>
      </c>
      <c r="L480" s="1" t="str">
        <f>IFERROR(__xludf.DUMMYFUNCTION("GOOGLETRANSLATE(K480,""en"", ""pt-br"")"),"Conhecemos Jesse e Celine nove anos na Grécia. Quase duas décadas se passaram desde a primeira reunião sobre esse trem ligado a Viena.")</f>
        <v>Conhecemos Jesse e Celine nove anos na Grécia. Quase duas décadas se passaram desde a primeira reunião sobre esse trem ligado a Viena.</v>
      </c>
      <c r="M480" s="1">
        <v>94.0</v>
      </c>
      <c r="N480" s="1" t="s">
        <v>1641</v>
      </c>
      <c r="O480" s="1" t="s">
        <v>1642</v>
      </c>
      <c r="P480" s="1" t="s">
        <v>1643</v>
      </c>
      <c r="Q480" s="1" t="s">
        <v>3018</v>
      </c>
      <c r="R480" s="1" t="s">
        <v>3019</v>
      </c>
      <c r="S480" s="1">
        <v>141457.0</v>
      </c>
      <c r="T480" s="7" t="str">
        <f>VLOOKUP(A480,Posters!A480:B1479,2)</f>
        <v>https://m.media-amazon.com/images/M/MV5BMjA5NzgxODE2NF5BMl5BanBnXkFtZTcwNTI1NTI0OQ@@._V1_UX67_CR0,0,67,98_AL_.jpg</v>
      </c>
      <c r="U480" s="8">
        <f>'Inflation Adjusted Gross'!F480</f>
        <v>9090405</v>
      </c>
      <c r="V480" s="5">
        <f t="shared" si="1"/>
        <v>2020</v>
      </c>
    </row>
    <row r="481">
      <c r="A481" s="1">
        <v>480.0</v>
      </c>
      <c r="B481" s="1" t="s">
        <v>3020</v>
      </c>
      <c r="C481" s="6">
        <f>Gross_cleaning!E481</f>
        <v>233921534</v>
      </c>
      <c r="D481" s="1">
        <v>2014.0</v>
      </c>
      <c r="E481" s="1" t="s">
        <v>37</v>
      </c>
      <c r="F481" s="1" t="str">
        <f>VLOOKUP(Filmes_raw!E481,Rating_systems!$A$2:$C$29,3,FALSE)</f>
        <v>Criança</v>
      </c>
      <c r="G481" s="2">
        <f>Gross_cleaning!F481</f>
        <v>132</v>
      </c>
      <c r="H481" s="1" t="s">
        <v>170</v>
      </c>
      <c r="I481" s="1" t="s">
        <v>88</v>
      </c>
      <c r="J481" s="1">
        <v>7.9</v>
      </c>
      <c r="K481" s="1" t="s">
        <v>3021</v>
      </c>
      <c r="L481" s="1" t="str">
        <f>IFERROR(__xludf.DUMMYFUNCTION("GOOGLETRANSLATE(K481,""en"", ""pt-br"")"),"Os X-Men enviam Wolverine para o passado em um esforço desesperado para mudar a história e impedir um evento que resulta em desgraça para os humanos e mutantes.")</f>
        <v>Os X-Men enviam Wolverine para o passado em um esforço desesperado para mudar a história e impedir um evento que resulta em desgraça para os humanos e mutantes.</v>
      </c>
      <c r="M481" s="1">
        <v>75.0</v>
      </c>
      <c r="N481" s="1" t="s">
        <v>338</v>
      </c>
      <c r="O481" s="1" t="s">
        <v>1421</v>
      </c>
      <c r="P481" s="1" t="s">
        <v>67</v>
      </c>
      <c r="Q481" s="1" t="s">
        <v>306</v>
      </c>
      <c r="R481" s="1" t="s">
        <v>3022</v>
      </c>
      <c r="S481" s="1">
        <v>659763.0</v>
      </c>
      <c r="T481" s="7" t="str">
        <f>VLOOKUP(A481,Posters!A481:B1480,2)</f>
        <v>https://m.media-amazon.com/images/M/MV5BZGIzNWYzN2YtMjcwYS00YjQ3LWI2NjMtOTNiYTUyYjE2MGNkXkEyXkFqcGdeQXVyMTQxNzMzNDI@._V1_UX67_CR0,0,67,98_AL_.jpg</v>
      </c>
      <c r="U481" s="8">
        <f>'Inflation Adjusted Gross'!F481</f>
        <v>257977103</v>
      </c>
      <c r="V481" s="5">
        <f t="shared" si="1"/>
        <v>2020</v>
      </c>
    </row>
    <row r="482">
      <c r="A482" s="1">
        <v>481.0</v>
      </c>
      <c r="B482" s="1" t="s">
        <v>3023</v>
      </c>
      <c r="C482" s="6">
        <f>Gross_cleaning!E482</f>
        <v>138730</v>
      </c>
      <c r="D482" s="1">
        <v>2011.0</v>
      </c>
      <c r="E482" s="1">
        <v>16.0</v>
      </c>
      <c r="F482" s="1" t="str">
        <f>VLOOKUP(Filmes_raw!E482,Rating_systems!$A$2:$C$29,3,FALSE)</f>
        <v>Adolescente</v>
      </c>
      <c r="G482" s="2">
        <f>Gross_cleaning!F482</f>
        <v>157</v>
      </c>
      <c r="H482" s="1" t="s">
        <v>3025</v>
      </c>
      <c r="I482" s="1" t="s">
        <v>29</v>
      </c>
      <c r="J482" s="1">
        <v>7.9</v>
      </c>
      <c r="K482" s="1" t="s">
        <v>3026</v>
      </c>
      <c r="L482" s="1" t="str">
        <f>IFERROR(__xludf.DUMMYFUNCTION("GOOGLETRANSLATE(K482,""en"", ""pt-br"")"),"Um grupo de homens partiu em busca de um corpo morto nas estepes da Anatólia.")</f>
        <v>Um grupo de homens partiu em busca de um corpo morto nas estepes da Anatólia.</v>
      </c>
      <c r="M482" s="1">
        <v>82.0</v>
      </c>
      <c r="N482" s="1" t="s">
        <v>1448</v>
      </c>
      <c r="O482" s="1" t="s">
        <v>3027</v>
      </c>
      <c r="P482" s="1" t="s">
        <v>2476</v>
      </c>
      <c r="Q482" s="1" t="s">
        <v>3028</v>
      </c>
      <c r="R482" s="1" t="s">
        <v>3029</v>
      </c>
      <c r="S482" s="1">
        <v>41995.0</v>
      </c>
      <c r="T482" s="7" t="str">
        <f>VLOOKUP(A482,Posters!A482:B1481,2)</f>
        <v>https://m.media-amazon.com/images/M/MV5BYTRkMDRiYmEtNGM4YS00NzM3LWI4MTMtYzk1MmVjMjM3ODg1XkEyXkFqcGdeQXVyMjgyNjk3MzE@._V1_UY98_CR1,0,67,98_AL_.jpg</v>
      </c>
      <c r="U482" s="8">
        <f>'Inflation Adjusted Gross'!F482</f>
        <v>162509</v>
      </c>
      <c r="V482" s="5">
        <f t="shared" si="1"/>
        <v>2020</v>
      </c>
    </row>
    <row r="483">
      <c r="A483" s="1">
        <v>482.0</v>
      </c>
      <c r="B483" s="1" t="s">
        <v>3030</v>
      </c>
      <c r="C483" s="6">
        <f>Gross_cleaning!E483</f>
        <v>44671682</v>
      </c>
      <c r="D483" s="1">
        <v>2011.0</v>
      </c>
      <c r="E483" s="1" t="s">
        <v>52</v>
      </c>
      <c r="F483" s="1" t="str">
        <f>VLOOKUP(Filmes_raw!E483,Rating_systems!$A$2:$C$29,3,FALSE)</f>
        <v>Criança</v>
      </c>
      <c r="G483" s="2">
        <f>Gross_cleaning!F483</f>
        <v>100</v>
      </c>
      <c r="H483" s="1" t="s">
        <v>1439</v>
      </c>
      <c r="I483" s="1" t="s">
        <v>227</v>
      </c>
      <c r="J483" s="1">
        <v>7.9</v>
      </c>
      <c r="K483" s="1" t="s">
        <v>3031</v>
      </c>
      <c r="L483" s="1" t="str">
        <f>IFERROR(__xludf.DUMMYFUNCTION("GOOGLETRANSLATE(K483,""en"", ""pt-br"")"),"Uma estrela de cinema egomaniacal desenvolve um relacionamento com uma jovem dançarina contra o pano de fundo da era silenciosa de Hollywood.")</f>
        <v>Uma estrela de cinema egomaniacal desenvolve um relacionamento com uma jovem dançarina contra o pano de fundo da era silenciosa de Hollywood.</v>
      </c>
      <c r="M483" s="1">
        <v>89.0</v>
      </c>
      <c r="N483" s="1" t="s">
        <v>3032</v>
      </c>
      <c r="O483" s="1" t="s">
        <v>3033</v>
      </c>
      <c r="P483" s="1" t="s">
        <v>3034</v>
      </c>
      <c r="Q483" s="1" t="s">
        <v>1685</v>
      </c>
      <c r="R483" s="1" t="s">
        <v>3035</v>
      </c>
      <c r="S483" s="1">
        <v>230624.0</v>
      </c>
      <c r="T483" s="7" t="str">
        <f>VLOOKUP(A483,Posters!A483:B1482,2)</f>
        <v>https://m.media-amazon.com/images/M/MV5BMDUyZWU5N2UtOWFlMy00MTI0LTk0ZDYtMzFhNjljODBhZDA5XkEyXkFqcGdeQXVyNzA4ODc3ODU@._V1_UY98_CR1,0,67,98_AL_.jpg</v>
      </c>
      <c r="U483" s="8">
        <f>'Inflation Adjusted Gross'!F483</f>
        <v>52328769</v>
      </c>
      <c r="V483" s="5">
        <f t="shared" si="1"/>
        <v>2020</v>
      </c>
    </row>
    <row r="484">
      <c r="A484" s="1">
        <v>483.0</v>
      </c>
      <c r="B484" s="1" t="s">
        <v>3036</v>
      </c>
      <c r="C484" s="6">
        <f>Gross_cleaning!E484</f>
        <v>100206256</v>
      </c>
      <c r="D484" s="1">
        <v>2014.0</v>
      </c>
      <c r="E484" s="1" t="s">
        <v>37</v>
      </c>
      <c r="F484" s="1" t="str">
        <f>VLOOKUP(Filmes_raw!E484,Rating_systems!$A$2:$C$29,3,FALSE)</f>
        <v>Criança</v>
      </c>
      <c r="G484" s="2">
        <f>Gross_cleaning!F484</f>
        <v>113</v>
      </c>
      <c r="H484" s="1" t="s">
        <v>543</v>
      </c>
      <c r="I484" s="1" t="s">
        <v>88</v>
      </c>
      <c r="J484" s="1">
        <v>7.9</v>
      </c>
      <c r="K484" s="1" t="s">
        <v>3037</v>
      </c>
      <c r="L484" s="1" t="str">
        <f>IFERROR(__xludf.DUMMYFUNCTION("GOOGLETRANSLATE(K484,""en"", ""pt-br"")"),"Um estrangeiro de luta de soldado consegue reviver o mesmo dia várias vezes, o dia reiniciando toda vez que ele morre.")</f>
        <v>Um estrangeiro de luta de soldado consegue reviver o mesmo dia várias vezes, o dia reiniciando toda vez que ele morre.</v>
      </c>
      <c r="M484" s="1">
        <v>71.0</v>
      </c>
      <c r="N484" s="1" t="s">
        <v>3038</v>
      </c>
      <c r="O484" s="1" t="s">
        <v>2486</v>
      </c>
      <c r="P484" s="1" t="s">
        <v>3039</v>
      </c>
      <c r="Q484" s="1" t="s">
        <v>3001</v>
      </c>
      <c r="R484" s="1" t="s">
        <v>1525</v>
      </c>
      <c r="S484" s="1">
        <v>600004.0</v>
      </c>
      <c r="T484" s="7" t="str">
        <f>VLOOKUP(A484,Posters!A484:B1483,2)</f>
        <v>https://m.media-amazon.com/images/M/MV5BMTc5OTk4MTM3M15BMl5BanBnXkFtZTgwODcxNjg3MDE@._V1_UX67_CR0,0,67,98_AL_.jpg</v>
      </c>
      <c r="U484" s="8">
        <f>'Inflation Adjusted Gross'!F484</f>
        <v>110511073</v>
      </c>
      <c r="V484" s="5">
        <f t="shared" si="1"/>
        <v>2020</v>
      </c>
    </row>
    <row r="485">
      <c r="A485" s="1">
        <v>484.0</v>
      </c>
      <c r="B485" s="1" t="s">
        <v>3040</v>
      </c>
      <c r="C485" s="6">
        <f>Gross_cleaning!E485</f>
        <v>6739492</v>
      </c>
      <c r="D485" s="1">
        <v>2012.0</v>
      </c>
      <c r="E485" s="1" t="s">
        <v>37</v>
      </c>
      <c r="F485" s="1" t="str">
        <f>VLOOKUP(Filmes_raw!E485,Rating_systems!$A$2:$C$29,3,FALSE)</f>
        <v>Criança</v>
      </c>
      <c r="G485" s="2">
        <f>Gross_cleaning!F485</f>
        <v>127</v>
      </c>
      <c r="H485" s="1" t="s">
        <v>234</v>
      </c>
      <c r="I485" s="1" t="s">
        <v>107</v>
      </c>
      <c r="J485" s="1">
        <v>7.9</v>
      </c>
      <c r="K485" s="1" t="s">
        <v>3041</v>
      </c>
      <c r="L485" s="1" t="str">
        <f>IFERROR(__xludf.DUMMYFUNCTION("GOOGLETRANSLATE(K485,""en"", ""pt-br"")"),"Georges e Anne são um casal de octogenário. Eles são cultivados, professores de música aposentados. Sua filha, também um músico, vive na Grã-Bretanha com sua família. Um dia, Anne tem um derrame, e o vínculo do amor do casal é severamente testado.")</f>
        <v>Georges e Anne são um casal de octogenário. Eles são cultivados, professores de música aposentados. Sua filha, também um músico, vive na Grã-Bretanha com sua família. Um dia, Anne tem um derrame, e o vínculo do amor do casal é severamente testado.</v>
      </c>
      <c r="M485" s="1">
        <v>94.0</v>
      </c>
      <c r="N485" s="1" t="s">
        <v>3042</v>
      </c>
      <c r="O485" s="1" t="s">
        <v>1773</v>
      </c>
      <c r="P485" s="1" t="s">
        <v>3043</v>
      </c>
      <c r="Q485" s="1" t="s">
        <v>3044</v>
      </c>
      <c r="R485" s="1" t="s">
        <v>3045</v>
      </c>
      <c r="S485" s="1">
        <v>93090.0</v>
      </c>
      <c r="T485" s="7" t="str">
        <f>VLOOKUP(A485,Posters!A485:B1484,2)</f>
        <v>https://m.media-amazon.com/images/M/MV5BMTk1NTc3NDc4MF5BMl5BanBnXkFtZTcwNjYwNDk0OA@@._V1_UX67_CR0,0,67,98_AL_.jpg</v>
      </c>
      <c r="U485" s="8">
        <f>'Inflation Adjusted Gross'!F485</f>
        <v>7670322</v>
      </c>
      <c r="V485" s="5">
        <f t="shared" si="1"/>
        <v>2020</v>
      </c>
    </row>
    <row r="486">
      <c r="A486" s="1">
        <v>485.0</v>
      </c>
      <c r="B486" s="1" t="s">
        <v>3046</v>
      </c>
      <c r="C486" s="6">
        <f>Gross_cleaning!E486</f>
        <v>7000000</v>
      </c>
      <c r="D486" s="1">
        <v>2019.0</v>
      </c>
      <c r="E486" s="1" t="s">
        <v>212</v>
      </c>
      <c r="F486" s="1" t="str">
        <f>VLOOKUP(Filmes_raw!E486,Rating_systems!$A$2:$C$29,3,FALSE)</f>
        <v>Adulto</v>
      </c>
      <c r="G486" s="2">
        <f>Gross_cleaning!F486</f>
        <v>209</v>
      </c>
      <c r="H486" s="1" t="s">
        <v>3047</v>
      </c>
      <c r="I486" s="1" t="s">
        <v>137</v>
      </c>
      <c r="J486" s="1">
        <v>7.9</v>
      </c>
      <c r="K486" s="1" t="s">
        <v>3048</v>
      </c>
      <c r="L486" s="1" t="str">
        <f>IFERROR(__xludf.DUMMYFUNCTION("GOOGLETRANSLATE(K486,""en"", ""pt-br"")"),"Um velho lembra suas casas de pintura de tempo para seu amigo, Jimmy Hoffa, através dos anos 50-70.")</f>
        <v>Um velho lembra suas casas de pintura de tempo para seu amigo, Jimmy Hoffa, através dos anos 50-70.</v>
      </c>
      <c r="M486" s="1">
        <v>94.0</v>
      </c>
      <c r="N486" s="1" t="s">
        <v>139</v>
      </c>
      <c r="O486" s="1" t="s">
        <v>49</v>
      </c>
      <c r="P486" s="1" t="s">
        <v>33</v>
      </c>
      <c r="Q486" s="1" t="s">
        <v>141</v>
      </c>
      <c r="R486" s="1" t="s">
        <v>780</v>
      </c>
      <c r="S486" s="1">
        <v>324720.0</v>
      </c>
      <c r="T486" s="7" t="str">
        <f>VLOOKUP(A486,Posters!A486:B1485,2)</f>
        <v>https://m.media-amazon.com/images/M/MV5BMGUyM2ZiZmUtMWY0OC00NTQ4LThkOGUtNjY2NjkzMDJiMWMwXkEyXkFqcGdeQXVyMzY0MTE3NzU@._V1_UX67_CR0,0,67,98_AL_.jpg</v>
      </c>
      <c r="U486" s="8">
        <f>'Inflation Adjusted Gross'!F486</f>
        <v>7174060</v>
      </c>
      <c r="V486" s="5">
        <f t="shared" si="1"/>
        <v>2020</v>
      </c>
    </row>
    <row r="487">
      <c r="A487" s="1">
        <v>486.0</v>
      </c>
      <c r="B487" s="1" t="s">
        <v>3049</v>
      </c>
      <c r="C487" s="6">
        <f>Gross_cleaning!E487</f>
        <v>2084637</v>
      </c>
      <c r="D487" s="1">
        <v>2009.0</v>
      </c>
      <c r="E487" s="1" t="s">
        <v>18</v>
      </c>
      <c r="F487" s="1" t="str">
        <f>VLOOKUP(Filmes_raw!E487,Rating_systems!$A$2:$C$29,3,FALSE)</f>
        <v>Adulto</v>
      </c>
      <c r="G487" s="2">
        <f>Gross_cleaning!F487</f>
        <v>155</v>
      </c>
      <c r="H487" s="1" t="s">
        <v>322</v>
      </c>
      <c r="I487" s="1" t="s">
        <v>29</v>
      </c>
      <c r="J487" s="1">
        <v>7.9</v>
      </c>
      <c r="K487" s="1" t="s">
        <v>3050</v>
      </c>
      <c r="L487" s="1" t="str">
        <f>IFERROR(__xludf.DUMMYFUNCTION("GOOGLETRANSLATE(K487,""en"", ""pt-br"")"),"Um jovem árabe é enviado para uma prisão francesa.")</f>
        <v>Um jovem árabe é enviado para uma prisão francesa.</v>
      </c>
      <c r="M487" s="1">
        <v>90.0</v>
      </c>
      <c r="N487" s="1" t="s">
        <v>3051</v>
      </c>
      <c r="O487" s="1" t="s">
        <v>3052</v>
      </c>
      <c r="P487" s="1" t="s">
        <v>3053</v>
      </c>
      <c r="Q487" s="1" t="s">
        <v>3054</v>
      </c>
      <c r="R487" s="1" t="s">
        <v>3055</v>
      </c>
      <c r="S487" s="1">
        <v>93560.0</v>
      </c>
      <c r="T487" s="7" t="str">
        <f>VLOOKUP(A487,Posters!A487:B1486,2)</f>
        <v>https://m.media-amazon.com/images/M/MV5BMTUyMjQ1MTY5OV5BMl5BanBnXkFtZTcwNzY5NjExMw@@._V1_UY98_CR1,0,67,98_AL_.jpg</v>
      </c>
      <c r="U487" s="8">
        <f>'Inflation Adjusted Gross'!F487</f>
        <v>2546975</v>
      </c>
      <c r="V487" s="5">
        <f t="shared" si="1"/>
        <v>2020</v>
      </c>
    </row>
    <row r="488">
      <c r="A488" s="1">
        <v>487.0</v>
      </c>
      <c r="B488" s="1" t="s">
        <v>3056</v>
      </c>
      <c r="C488" s="6">
        <f>Gross_cleaning!E488</f>
        <v>5009677</v>
      </c>
      <c r="D488" s="1">
        <v>2009.0</v>
      </c>
      <c r="E488" s="1" t="s">
        <v>212</v>
      </c>
      <c r="F488" s="1" t="str">
        <f>VLOOKUP(Filmes_raw!E488,Rating_systems!$A$2:$C$29,3,FALSE)</f>
        <v>Adulto</v>
      </c>
      <c r="G488" s="2">
        <f>Gross_cleaning!F488</f>
        <v>97</v>
      </c>
      <c r="H488" s="1" t="s">
        <v>2864</v>
      </c>
      <c r="I488" s="1" t="s">
        <v>304</v>
      </c>
      <c r="J488" s="1">
        <v>7.9</v>
      </c>
      <c r="K488" s="1" t="s">
        <v>3057</v>
      </c>
      <c r="L488" s="1" t="str">
        <f>IFERROR(__xludf.DUMMYFUNCTION("GOOGLETRANSLATE(K488,""en"", ""pt-br"")"),"O astronauta Sam Bell tem um encontro pessoal por fim de seu fim de seu período de três anos na lua, onde ele, trabalhando ao lado de seu computador, Gerty, envia de volta às parcelas de terra de um recurso que ajudou a diminuir os problemas de energia do"&amp;" nosso planeta.")</f>
        <v>O astronauta Sam Bell tem um encontro pessoal por fim de seu fim de seu período de três anos na lua, onde ele, trabalhando ao lado de seu computador, Gerty, envia de volta às parcelas de terra de um recurso que ajudou a diminuir os problemas de energia do nosso planeta.</v>
      </c>
      <c r="M488" s="1">
        <v>67.0</v>
      </c>
      <c r="N488" s="1" t="s">
        <v>3058</v>
      </c>
      <c r="O488" s="1" t="s">
        <v>974</v>
      </c>
      <c r="P488" s="1" t="s">
        <v>237</v>
      </c>
      <c r="Q488" s="1" t="s">
        <v>3059</v>
      </c>
      <c r="R488" s="1" t="s">
        <v>3060</v>
      </c>
      <c r="S488" s="1">
        <v>335152.0</v>
      </c>
      <c r="T488" s="7" t="str">
        <f>VLOOKUP(A488,Posters!A488:B1487,2)</f>
        <v>https://m.media-amazon.com/images/M/MV5BMTgzODgyNTQwOV5BMl5BanBnXkFtZTcwNzc0NTc0Mg@@._V1_UX67_CR0,0,67,98_AL_.jpg</v>
      </c>
      <c r="U488" s="8">
        <f>'Inflation Adjusted Gross'!F488</f>
        <v>6120740</v>
      </c>
      <c r="V488" s="5">
        <f t="shared" si="1"/>
        <v>2020</v>
      </c>
    </row>
    <row r="489">
      <c r="A489" s="1">
        <v>488.0</v>
      </c>
      <c r="B489" s="1" t="s">
        <v>3061</v>
      </c>
      <c r="C489" s="6">
        <f>Gross_cleaning!E489</f>
        <v>2122065</v>
      </c>
      <c r="D489" s="1">
        <v>2008.0</v>
      </c>
      <c r="E489" s="1" t="s">
        <v>212</v>
      </c>
      <c r="F489" s="1" t="str">
        <f>VLOOKUP(Filmes_raw!E489,Rating_systems!$A$2:$C$29,3,FALSE)</f>
        <v>Adulto</v>
      </c>
      <c r="G489" s="2">
        <f>Gross_cleaning!F489</f>
        <v>114</v>
      </c>
      <c r="H489" s="1" t="s">
        <v>825</v>
      </c>
      <c r="I489" s="1" t="s">
        <v>220</v>
      </c>
      <c r="J489" s="1">
        <v>7.9</v>
      </c>
      <c r="K489" s="1" t="s">
        <v>3062</v>
      </c>
      <c r="L489" s="1" t="str">
        <f>IFERROR(__xludf.DUMMYFUNCTION("GOOGLETRANSLATE(K489,""en"", ""pt-br"")"),"Oskar, um menino negligenciado e intimidado, encontra amor e vingança através de Eli, uma garota bonita, mas peculiar.")</f>
        <v>Oskar, um menino negligenciado e intimidado, encontra amor e vingança através de Eli, uma garota bonita, mas peculiar.</v>
      </c>
      <c r="M489" s="1">
        <v>82.0</v>
      </c>
      <c r="N489" s="1" t="s">
        <v>3063</v>
      </c>
      <c r="O489" s="1" t="s">
        <v>3064</v>
      </c>
      <c r="P489" s="1" t="s">
        <v>3065</v>
      </c>
      <c r="Q489" s="1" t="s">
        <v>3066</v>
      </c>
      <c r="R489" s="1" t="s">
        <v>3067</v>
      </c>
      <c r="S489" s="1">
        <v>205609.0</v>
      </c>
      <c r="T489" s="7" t="str">
        <f>VLOOKUP(A489,Posters!A489:B1488,2)</f>
        <v>https://m.media-amazon.com/images/M/MV5BOWM4NTY2NTMtZDZlZS00NTgyLWEzZDMtODE3ZGI1MzI3ZmU5XkEyXkFqcGdeQXVyNzI1NzMxNzM@._V1_UY98_CR1,0,67,98_AL_.jpg</v>
      </c>
      <c r="U489" s="8">
        <f>'Inflation Adjusted Gross'!F489</f>
        <v>2593477</v>
      </c>
      <c r="V489" s="5">
        <f t="shared" si="1"/>
        <v>2020</v>
      </c>
    </row>
    <row r="490">
      <c r="A490" s="1">
        <v>489.0</v>
      </c>
      <c r="B490" s="1" t="s">
        <v>3068</v>
      </c>
      <c r="C490" s="6">
        <f>Gross_cleaning!E490</f>
        <v>115646235</v>
      </c>
      <c r="D490" s="1">
        <v>2009.0</v>
      </c>
      <c r="E490" s="1" t="s">
        <v>18</v>
      </c>
      <c r="F490" s="1" t="str">
        <f>VLOOKUP(Filmes_raw!E490,Rating_systems!$A$2:$C$29,3,FALSE)</f>
        <v>Adulto</v>
      </c>
      <c r="G490" s="2">
        <f>Gross_cleaning!F490</f>
        <v>112</v>
      </c>
      <c r="H490" s="1" t="s">
        <v>295</v>
      </c>
      <c r="I490" s="1" t="s">
        <v>1871</v>
      </c>
      <c r="J490" s="1">
        <v>7.9</v>
      </c>
      <c r="K490" s="1" t="s">
        <v>3069</v>
      </c>
      <c r="L490" s="1" t="str">
        <f>IFERROR(__xludf.DUMMYFUNCTION("GOOGLETRANSLATE(K490,""en"", ""pt-br"")"),"A violência segue após uma raça extraterrestre forçada a viver em condições semelhantes a favelas na terra encontra um espírito parente em um agente do governo exposto à sua biotecnologia.")</f>
        <v>A violência segue após uma raça extraterrestre forçada a viver em condições semelhantes a favelas na terra encontra um espírito parente em um agente do governo exposto à sua biotecnologia.</v>
      </c>
      <c r="M490" s="1">
        <v>81.0</v>
      </c>
      <c r="N490" s="1" t="s">
        <v>3070</v>
      </c>
      <c r="O490" s="1" t="s">
        <v>3071</v>
      </c>
      <c r="P490" s="1" t="s">
        <v>3072</v>
      </c>
      <c r="Q490" s="1" t="s">
        <v>3073</v>
      </c>
      <c r="R490" s="1" t="s">
        <v>3074</v>
      </c>
      <c r="S490" s="1">
        <v>638202.0</v>
      </c>
      <c r="T490" s="7" t="str">
        <f>VLOOKUP(A490,Posters!A490:B1489,2)</f>
        <v>https://m.media-amazon.com/images/M/MV5BYmQ5MzFjYWMtMTMwNC00ZGU5LWI3YTQtYzhkMGExNGFlY2Q0XkEyXkFqcGdeQXVyNTIzOTk5ODM@._V1_UX67_CR0,0,67,98_AL_.jpg</v>
      </c>
      <c r="U490" s="8">
        <f>'Inflation Adjusted Gross'!F490</f>
        <v>141294643</v>
      </c>
      <c r="V490" s="5">
        <f t="shared" si="1"/>
        <v>2020</v>
      </c>
    </row>
    <row r="491">
      <c r="A491" s="1">
        <v>490.0</v>
      </c>
      <c r="B491" s="1" t="s">
        <v>3075</v>
      </c>
      <c r="C491" s="6">
        <f>Gross_cleaning!E491</f>
        <v>26236603</v>
      </c>
      <c r="D491" s="1">
        <v>2008.0</v>
      </c>
      <c r="E491" s="1" t="s">
        <v>37</v>
      </c>
      <c r="F491" s="1" t="str">
        <f>VLOOKUP(Filmes_raw!E491,Rating_systems!$A$2:$C$29,3,FALSE)</f>
        <v>Criança</v>
      </c>
      <c r="G491" s="2">
        <f>Gross_cleaning!F491</f>
        <v>109</v>
      </c>
      <c r="H491" s="1" t="s">
        <v>396</v>
      </c>
      <c r="I491" s="1" t="s">
        <v>1622</v>
      </c>
      <c r="J491" s="1">
        <v>7.9</v>
      </c>
      <c r="K491" s="1" t="s">
        <v>3076</v>
      </c>
      <c r="L491" s="1" t="str">
        <f>IFERROR(__xludf.DUMMYFUNCTION("GOOGLETRANSLATE(K491,""en"", ""pt-br"")"),"Um wrestler profissional desbotado deve se aposentar, mas encontra sua busca por uma nova vida fora do anel uma luta desalitária.")</f>
        <v>Um wrestler profissional desbotado deve se aposentar, mas encontra sua busca por uma nova vida fora do anel uma luta desalitária.</v>
      </c>
      <c r="M491" s="1">
        <v>80.0</v>
      </c>
      <c r="N491" s="1" t="s">
        <v>739</v>
      </c>
      <c r="O491" s="1" t="s">
        <v>2383</v>
      </c>
      <c r="P491" s="1" t="s">
        <v>3077</v>
      </c>
      <c r="Q491" s="1" t="s">
        <v>3078</v>
      </c>
      <c r="R491" s="1" t="s">
        <v>3079</v>
      </c>
      <c r="S491" s="1">
        <v>289415.0</v>
      </c>
      <c r="T491" s="7" t="str">
        <f>VLOOKUP(A491,Posters!A491:B1490,2)</f>
        <v>https://m.media-amazon.com/images/M/MV5BMTc5MjYyOTg4MF5BMl5BanBnXkFtZTcwNDc2MzQwMg@@._V1_UX67_CR0,0,67,98_AL_.jpg</v>
      </c>
      <c r="U491" s="8">
        <f>'Inflation Adjusted Gross'!F491</f>
        <v>32065012</v>
      </c>
      <c r="V491" s="5">
        <f t="shared" si="1"/>
        <v>2020</v>
      </c>
    </row>
    <row r="492">
      <c r="A492" s="1">
        <v>491.0</v>
      </c>
      <c r="B492" s="1" t="s">
        <v>3080</v>
      </c>
      <c r="C492" s="6">
        <f>Gross_cleaning!E492</f>
        <v>410800</v>
      </c>
      <c r="D492" s="1">
        <v>2007.0</v>
      </c>
      <c r="E492" s="1" t="s">
        <v>52</v>
      </c>
      <c r="F492" s="1" t="str">
        <f>VLOOKUP(Filmes_raw!E492,Rating_systems!$A$2:$C$29,3,FALSE)</f>
        <v>Criança</v>
      </c>
      <c r="G492" s="2">
        <f>Gross_cleaning!F492</f>
        <v>138</v>
      </c>
      <c r="H492" s="1" t="s">
        <v>947</v>
      </c>
      <c r="I492" s="1" t="s">
        <v>227</v>
      </c>
      <c r="J492" s="1">
        <v>7.9</v>
      </c>
      <c r="K492" s="1" t="s">
        <v>3082</v>
      </c>
      <c r="L492" s="1" t="str">
        <f>IFERROR(__xludf.DUMMYFUNCTION("GOOGLETRANSLATE(K492,""en"", ""pt-br"")"),"Um empresário rico deprimido encontra sua vida mudando depois que ele conhece uma jovem rajada e sem cuidado.")</f>
        <v>Um empresário rico deprimido encontra sua vida mudando depois que ele conhece uma jovem rajada e sem cuidado.</v>
      </c>
      <c r="N492" s="1" t="s">
        <v>3083</v>
      </c>
      <c r="O492" s="1" t="s">
        <v>1416</v>
      </c>
      <c r="P492" s="1" t="s">
        <v>2166</v>
      </c>
      <c r="Q492" s="1" t="s">
        <v>3084</v>
      </c>
      <c r="R492" s="1" t="s">
        <v>3085</v>
      </c>
      <c r="S492" s="1">
        <v>47720.0</v>
      </c>
      <c r="T492" s="7" t="str">
        <f>VLOOKUP(A492,Posters!A492:B1491,2)</f>
        <v>https://m.media-amazon.com/images/M/MV5BYmIzYmY4MGItM2I4YS00OWZhLWFmMzQtYzI2MWY1MmM3NGU1XkEyXkFqcGdeQXVyNjQ2MjQ5NzM@._V1_UY98_CR0,0,67,98_AL_.jpg</v>
      </c>
      <c r="U492" s="8">
        <f>'Inflation Adjusted Gross'!F492</f>
        <v>523548</v>
      </c>
      <c r="V492" s="5">
        <f t="shared" si="1"/>
        <v>2020</v>
      </c>
    </row>
    <row r="493">
      <c r="A493" s="1">
        <v>492.0</v>
      </c>
      <c r="B493" s="1" t="s">
        <v>3086</v>
      </c>
      <c r="C493" s="6">
        <f>Gross_cleaning!E493</f>
        <v>25379975</v>
      </c>
      <c r="D493" s="1">
        <v>2014.0</v>
      </c>
      <c r="E493" s="1" t="s">
        <v>18</v>
      </c>
      <c r="F493" s="1" t="str">
        <f>VLOOKUP(Filmes_raw!E493,Rating_systems!$A$2:$C$29,3,FALSE)</f>
        <v>Adulto</v>
      </c>
      <c r="G493" s="2">
        <f>Gross_cleaning!F493</f>
        <v>165</v>
      </c>
      <c r="H493" s="1" t="s">
        <v>390</v>
      </c>
      <c r="I493" s="1" t="s">
        <v>20</v>
      </c>
      <c r="J493" s="1">
        <v>7.9</v>
      </c>
      <c r="K493" s="1" t="s">
        <v>3087</v>
      </c>
      <c r="L493" s="1" t="str">
        <f>IFERROR(__xludf.DUMMYFUNCTION("GOOGLETRANSLATE(K493,""en"", ""pt-br"")"),"A vida de pedreiro, desde a primeira infância até a sua chegada à faculdade.")</f>
        <v>A vida de pedreiro, desde a primeira infância até a sua chegada à faculdade.</v>
      </c>
      <c r="M493" s="1">
        <v>100.0</v>
      </c>
      <c r="N493" s="1" t="s">
        <v>1641</v>
      </c>
      <c r="O493" s="1" t="s">
        <v>3088</v>
      </c>
      <c r="P493" s="1" t="s">
        <v>3089</v>
      </c>
      <c r="Q493" s="1" t="s">
        <v>1642</v>
      </c>
      <c r="R493" s="1" t="s">
        <v>3090</v>
      </c>
      <c r="S493" s="1">
        <v>335533.0</v>
      </c>
      <c r="T493" s="7" t="str">
        <f>VLOOKUP(A493,Posters!A493:B1492,2)</f>
        <v>https://m.media-amazon.com/images/M/MV5BMTYzNDc2MDc0N15BMl5BanBnXkFtZTgwOTcwMDQ5MTE@._V1_UX67_CR0,0,67,98_AL_.jpg</v>
      </c>
      <c r="U493" s="8">
        <f>'Inflation Adjusted Gross'!F493</f>
        <v>27989952</v>
      </c>
      <c r="V493" s="5">
        <f t="shared" si="1"/>
        <v>2020</v>
      </c>
    </row>
    <row r="494">
      <c r="A494" s="1">
        <v>493.0</v>
      </c>
      <c r="B494" s="1" t="s">
        <v>3091</v>
      </c>
      <c r="C494" s="6">
        <f>Gross_cleaning!E494</f>
        <v>1185783</v>
      </c>
      <c r="D494" s="1">
        <v>2007.0</v>
      </c>
      <c r="E494" s="1">
        <v>18.0</v>
      </c>
      <c r="F494" s="1" t="str">
        <f>VLOOKUP(Filmes_raw!E494,Rating_systems!$A$2:$C$29,3,FALSE)</f>
        <v>Adulto</v>
      </c>
      <c r="G494" s="2">
        <f>Gross_cleaning!F494</f>
        <v>113</v>
      </c>
      <c r="H494" s="1" t="s">
        <v>543</v>
      </c>
      <c r="I494" s="1" t="s">
        <v>20</v>
      </c>
      <c r="J494" s="1">
        <v>7.9</v>
      </c>
      <c r="K494" s="1" t="s">
        <v>3092</v>
      </c>
      <c r="L494" s="1" t="str">
        <f>IFERROR(__xludf.DUMMYFUNCTION("GOOGLETRANSLATE(K494,""en"", ""pt-br"")"),"Uma mulher ajuda sua amiga em organizar um aborto ilegal em 1980 Romênia.")</f>
        <v>Uma mulher ajuda sua amiga em organizar um aborto ilegal em 1980 Romênia.</v>
      </c>
      <c r="M494" s="1">
        <v>97.0</v>
      </c>
      <c r="N494" s="1" t="s">
        <v>3093</v>
      </c>
      <c r="O494" s="1" t="s">
        <v>3094</v>
      </c>
      <c r="P494" s="1" t="s">
        <v>3095</v>
      </c>
      <c r="Q494" s="1" t="s">
        <v>3096</v>
      </c>
      <c r="R494" s="1" t="s">
        <v>3097</v>
      </c>
      <c r="S494" s="1">
        <v>56625.0</v>
      </c>
      <c r="T494" s="7" t="str">
        <f>VLOOKUP(A494,Posters!A494:B1493,2)</f>
        <v>https://m.media-amazon.com/images/M/MV5BYzU1YWUzNjYtNmVhZi00ODUyLTg4M2ItMTFlMmU1Mzc5OTE5XkEyXkFqcGdeQXVyMTMxODk2OTU@._V1_UY98_CR1,0,67,98_AL_.jpg</v>
      </c>
      <c r="U494" s="8">
        <f>'Inflation Adjusted Gross'!F494</f>
        <v>1511232</v>
      </c>
      <c r="V494" s="5">
        <f t="shared" si="1"/>
        <v>2020</v>
      </c>
    </row>
    <row r="495">
      <c r="A495" s="1">
        <v>494.0</v>
      </c>
      <c r="B495" s="1" t="s">
        <v>3098</v>
      </c>
      <c r="C495" s="6">
        <f>Gross_cleaning!E495</f>
        <v>257730019</v>
      </c>
      <c r="D495" s="1">
        <v>2009.0</v>
      </c>
      <c r="E495" s="1" t="s">
        <v>37</v>
      </c>
      <c r="F495" s="1" t="str">
        <f>VLOOKUP(Filmes_raw!E495,Rating_systems!$A$2:$C$29,3,FALSE)</f>
        <v>Criança</v>
      </c>
      <c r="G495" s="2">
        <f>Gross_cleaning!F495</f>
        <v>127</v>
      </c>
      <c r="H495" s="1" t="s">
        <v>234</v>
      </c>
      <c r="I495" s="1" t="s">
        <v>88</v>
      </c>
      <c r="J495" s="1">
        <v>7.9</v>
      </c>
      <c r="K495" s="1" t="s">
        <v>3099</v>
      </c>
      <c r="L495" s="1" t="str">
        <f>IFERROR(__xludf.DUMMYFUNCTION("GOOGLETRANSLATE(K495,""en"", ""pt-br"")"),"O Brash James T. Kirk tenta viver até o legado do pai com o Sr. Spock, mantendo-o em cheque como um romulão vingativo do futuro cria buracos negros para destruir a federação um planeta de cada vez.")</f>
        <v>O Brash James T. Kirk tenta viver até o legado do pai com o Sr. Spock, mantendo-o em cheque como um romulão vingativo do futuro cria buracos negros para destruir a federação um planeta de cada vez.</v>
      </c>
      <c r="M495" s="1">
        <v>82.0</v>
      </c>
      <c r="N495" s="1" t="s">
        <v>3012</v>
      </c>
      <c r="O495" s="1" t="s">
        <v>3100</v>
      </c>
      <c r="P495" s="1" t="s">
        <v>3101</v>
      </c>
      <c r="Q495" s="1" t="s">
        <v>3102</v>
      </c>
      <c r="R495" s="1" t="s">
        <v>3103</v>
      </c>
      <c r="S495" s="1">
        <v>577336.0</v>
      </c>
      <c r="T495" s="7" t="str">
        <f>VLOOKUP(A495,Posters!A495:B1494,2)</f>
        <v>https://m.media-amazon.com/images/M/MV5BMjE5NDQ5OTE4Ml5BMl5BanBnXkFtZTcwOTE3NDIzMw@@._V1_UX67_CR0,0,67,98_AL_.jpg</v>
      </c>
      <c r="U495" s="8">
        <f>'Inflation Adjusted Gross'!F495</f>
        <v>314890243</v>
      </c>
      <c r="V495" s="5">
        <f t="shared" si="1"/>
        <v>2020</v>
      </c>
    </row>
    <row r="496">
      <c r="A496" s="1">
        <v>495.0</v>
      </c>
      <c r="B496" s="1" t="s">
        <v>3104</v>
      </c>
      <c r="C496" s="6">
        <f>Gross_cleaning!E496</f>
        <v>7757130</v>
      </c>
      <c r="D496" s="1">
        <v>2008.0</v>
      </c>
      <c r="E496" s="1" t="s">
        <v>212</v>
      </c>
      <c r="F496" s="1" t="str">
        <f>VLOOKUP(Filmes_raw!E496,Rating_systems!$A$2:$C$29,3,FALSE)</f>
        <v>Adulto</v>
      </c>
      <c r="G496" s="2">
        <f>Gross_cleaning!F496</f>
        <v>107</v>
      </c>
      <c r="H496" s="1" t="s">
        <v>907</v>
      </c>
      <c r="I496" s="1" t="s">
        <v>831</v>
      </c>
      <c r="J496" s="1">
        <v>7.9</v>
      </c>
      <c r="K496" s="1" t="s">
        <v>3105</v>
      </c>
      <c r="L496" s="1" t="str">
        <f>IFERROR(__xludf.DUMMYFUNCTION("GOOGLETRANSLATE(K496,""en"", ""pt-br"")"),"Guiltil-atingido depois de um emprego deu errado, Hitman Ray e seu parceiro aguarda ordens de seu chefe implacável em Bruges, Bélgica, o último lugar no mundo que Ray quer ser.")</f>
        <v>Guiltil-atingido depois de um emprego deu errado, Hitman Ray e seu parceiro aguarda ordens de seu chefe implacável em Bruges, Bélgica, o último lugar no mundo que Ray quer ser.</v>
      </c>
      <c r="M496" s="1">
        <v>67.0</v>
      </c>
      <c r="N496" s="1" t="s">
        <v>971</v>
      </c>
      <c r="O496" s="1" t="s">
        <v>3106</v>
      </c>
      <c r="P496" s="1" t="s">
        <v>1525</v>
      </c>
      <c r="Q496" s="1" t="s">
        <v>1094</v>
      </c>
      <c r="R496" s="1" t="s">
        <v>3107</v>
      </c>
      <c r="S496" s="1">
        <v>390334.0</v>
      </c>
      <c r="T496" s="7" t="str">
        <f>VLOOKUP(A496,Posters!A496:B1495,2)</f>
        <v>https://m.media-amazon.com/images/M/MV5BMTUwOGFiM2QtOWMxYS00MjU2LThmZDMtZDM2MWMzNzllNjdhXkEyXkFqcGdeQXVyMTMxODk2OTU@._V1_UX67_CR0,0,67,98_AL_.jpg</v>
      </c>
      <c r="U496" s="8">
        <f>'Inflation Adjusted Gross'!F496</f>
        <v>9480361</v>
      </c>
      <c r="V496" s="5">
        <f t="shared" si="1"/>
        <v>2020</v>
      </c>
    </row>
    <row r="497">
      <c r="A497" s="1">
        <v>496.0</v>
      </c>
      <c r="B497" s="1" t="s">
        <v>3108</v>
      </c>
      <c r="C497" s="6">
        <f>Gross_cleaning!E497</f>
        <v>200</v>
      </c>
      <c r="D497" s="1">
        <v>2007.0</v>
      </c>
      <c r="E497" s="1" t="s">
        <v>270</v>
      </c>
      <c r="F497" s="1" t="str">
        <f>VLOOKUP(Filmes_raw!E497,Rating_systems!$A$2:$C$29,3,FALSE)</f>
        <v>Criança</v>
      </c>
      <c r="G497" s="2">
        <f>Gross_cleaning!F497</f>
        <v>87</v>
      </c>
      <c r="H497" s="1" t="s">
        <v>415</v>
      </c>
      <c r="I497" s="1" t="s">
        <v>3109</v>
      </c>
      <c r="J497" s="1">
        <v>7.9</v>
      </c>
      <c r="K497" s="1" t="s">
        <v>3110</v>
      </c>
      <c r="L497" s="1" t="str">
        <f>IFERROR(__xludf.DUMMYFUNCTION("GOOGLETRANSLATE(K497,""en"", ""pt-br"")"),"Uma festa de adeus improvisada para o professor John Oldman torna-se uma misteriosa interrogação depois que o estudioso de aposentadoria revela aos seus colegas que ele tem um passado mais longo e estranho do que eles podem imaginar.")</f>
        <v>Uma festa de adeus improvisada para o professor John Oldman torna-se uma misteriosa interrogação depois que o estudioso de aposentadoria revela aos seus colegas que ele tem um passado mais longo e estranho do que eles podem imaginar.</v>
      </c>
      <c r="N497" s="1" t="s">
        <v>3111</v>
      </c>
      <c r="O497" s="1" t="s">
        <v>3112</v>
      </c>
      <c r="P497" s="1" t="s">
        <v>3113</v>
      </c>
      <c r="Q497" s="1" t="s">
        <v>3114</v>
      </c>
      <c r="R497" s="1" t="s">
        <v>3115</v>
      </c>
      <c r="S497" s="1">
        <v>174125.0</v>
      </c>
      <c r="T497" s="7" t="str">
        <f>VLOOKUP(A497,Posters!A497:B1496,2)</f>
        <v>https://m.media-amazon.com/images/M/MV5BMzQ5NGQwOTUtNWJlZi00ZTFiLWI0ZTEtOGU3MTA2ZGU5OWZiXkEyXkFqcGdeQXVyMTczNjQwOTY@._V1_UX67_CR0,0,67,98_AL_.jpg</v>
      </c>
      <c r="U497" s="8">
        <f>'Inflation Adjusted Gross'!F497</f>
        <v>255</v>
      </c>
      <c r="V497" s="5">
        <f t="shared" si="1"/>
        <v>2020</v>
      </c>
    </row>
    <row r="498">
      <c r="A498" s="1">
        <v>497.0</v>
      </c>
      <c r="B498" s="1" t="s">
        <v>3116</v>
      </c>
      <c r="C498" s="6">
        <f>Gross_cleaning!E498</f>
        <v>13756082</v>
      </c>
      <c r="D498" s="1">
        <v>2006.0</v>
      </c>
      <c r="E498" s="1" t="s">
        <v>37</v>
      </c>
      <c r="F498" s="1" t="str">
        <f>VLOOKUP(Filmes_raw!E498,Rating_systems!$A$2:$C$29,3,FALSE)</f>
        <v>Criança</v>
      </c>
      <c r="G498" s="2">
        <f>Gross_cleaning!F498</f>
        <v>141</v>
      </c>
      <c r="H498" s="1" t="s">
        <v>1672</v>
      </c>
      <c r="I498" s="1" t="s">
        <v>62</v>
      </c>
      <c r="J498" s="1">
        <v>7.9</v>
      </c>
      <c r="K498" s="1" t="s">
        <v>3117</v>
      </c>
      <c r="L498" s="1" t="str">
        <f>IFERROR(__xludf.DUMMYFUNCTION("GOOGLETRANSLATE(K498,""en"", ""pt-br"")"),"A história da Batalha de Iwo Jima entre os Estados Unidos e o Imperial Japão durante a Segunda Guerra Mundial, contada pela perspectiva dos japoneses que lutou.")</f>
        <v>A história da Batalha de Iwo Jima entre os Estados Unidos e o Imperial Japão durante a Segunda Guerra Mundial, contada pela perspectiva dos japoneses que lutou.</v>
      </c>
      <c r="M498" s="1">
        <v>89.0</v>
      </c>
      <c r="N498" s="1" t="s">
        <v>119</v>
      </c>
      <c r="O498" s="1" t="s">
        <v>93</v>
      </c>
      <c r="P498" s="1" t="s">
        <v>3118</v>
      </c>
      <c r="Q498" s="1" t="s">
        <v>3119</v>
      </c>
      <c r="R498" s="1" t="s">
        <v>3120</v>
      </c>
      <c r="S498" s="1">
        <v>154011.0</v>
      </c>
      <c r="T498" s="7" t="str">
        <f>VLOOKUP(A498,Posters!A498:B1497,2)</f>
        <v>https://m.media-amazon.com/images/M/MV5BMjE0NzgwODI4M15BMl5BanBnXkFtZTcwNjg3OTA0MQ@@._V1_UX67_CR0,0,67,98_AL_.jpg</v>
      </c>
      <c r="U498" s="8">
        <f>'Inflation Adjusted Gross'!F498</f>
        <v>17895463</v>
      </c>
      <c r="V498" s="5">
        <f t="shared" si="1"/>
        <v>2020</v>
      </c>
    </row>
    <row r="499">
      <c r="A499" s="1">
        <v>498.0</v>
      </c>
      <c r="B499" s="1" t="s">
        <v>3121</v>
      </c>
      <c r="C499" s="6">
        <f>Gross_cleaning!E499</f>
        <v>2280348</v>
      </c>
      <c r="D499" s="1">
        <v>2006.0</v>
      </c>
      <c r="E499" s="1" t="s">
        <v>212</v>
      </c>
      <c r="F499" s="1" t="str">
        <f>VLOOKUP(Filmes_raw!E499,Rating_systems!$A$2:$C$29,3,FALSE)</f>
        <v>Adulto</v>
      </c>
      <c r="G499" s="2">
        <f>Gross_cleaning!F499</f>
        <v>117</v>
      </c>
      <c r="H499" s="1" t="s">
        <v>466</v>
      </c>
      <c r="I499" s="1" t="s">
        <v>1565</v>
      </c>
      <c r="J499" s="1">
        <v>7.9</v>
      </c>
      <c r="K499" s="1" t="s">
        <v>3122</v>
      </c>
      <c r="L499" s="1" t="str">
        <f>IFERROR(__xludf.DUMMYFUNCTION("GOOGLETRANSLATE(K499,""en"", ""pt-br"")"),"Em um hospital nos arredores da década de 1920, Los Angeles, um dublê ferido começa a contar um paciente, uma garotinha com um braço quebrado, uma história fantástica de cinco heróis míticos. Graças ao seu estado de espírito fraturado e sua imaginação vív"&amp;"ida, a linha entre a ficção e a realidade borrão como o conto avança.")</f>
        <v>Em um hospital nos arredores da década de 1920, Los Angeles, um dublê ferido começa a contar um paciente, uma garotinha com um braço quebrado, uma história fantástica de cinco heróis míticos. Graças ao seu estado de espírito fraturado e sua imaginação vívida, a linha entre a ficção e a realidade borrão como o conto avança.</v>
      </c>
      <c r="M499" s="1">
        <v>64.0</v>
      </c>
      <c r="N499" s="1" t="s">
        <v>3123</v>
      </c>
      <c r="O499" s="1" t="s">
        <v>3124</v>
      </c>
      <c r="P499" s="1" t="s">
        <v>3125</v>
      </c>
      <c r="Q499" s="1" t="s">
        <v>3126</v>
      </c>
      <c r="R499" s="1" t="s">
        <v>3127</v>
      </c>
      <c r="S499" s="1">
        <v>107290.0</v>
      </c>
      <c r="T499" s="7" t="str">
        <f>VLOOKUP(A499,Posters!A499:B1498,2)</f>
        <v>https://m.media-amazon.com/images/M/MV5BMjAzODUwMjM1M15BMl5BanBnXkFtZTcwNjU2MjU2MQ@@._V1_UX67_CR0,0,67,98_AL_.jpg</v>
      </c>
      <c r="U499" s="8">
        <f>'Inflation Adjusted Gross'!F499</f>
        <v>2966534</v>
      </c>
      <c r="V499" s="5">
        <f t="shared" si="1"/>
        <v>2020</v>
      </c>
    </row>
    <row r="500">
      <c r="A500" s="1">
        <v>499.0</v>
      </c>
      <c r="B500" s="1" t="s">
        <v>3128</v>
      </c>
      <c r="C500" s="6">
        <f>Gross_cleaning!E500</f>
        <v>124987023</v>
      </c>
      <c r="D500" s="1">
        <v>2012.0</v>
      </c>
      <c r="E500" s="1" t="s">
        <v>52</v>
      </c>
      <c r="F500" s="1" t="str">
        <f>VLOOKUP(Filmes_raw!E500,Rating_systems!$A$2:$C$29,3,FALSE)</f>
        <v>Criança</v>
      </c>
      <c r="G500" s="2">
        <f>Gross_cleaning!F500</f>
        <v>127</v>
      </c>
      <c r="H500" s="1" t="s">
        <v>234</v>
      </c>
      <c r="I500" s="1" t="s">
        <v>1565</v>
      </c>
      <c r="J500" s="1">
        <v>7.9</v>
      </c>
      <c r="K500" s="1" t="s">
        <v>3129</v>
      </c>
      <c r="L500" s="1" t="str">
        <f>IFERROR(__xludf.DUMMYFUNCTION("GOOGLETRANSLATE(K500,""en"", ""pt-br"")"),"Um jovem que sobrevive a um desastre no mar é enrolado em uma jornada épica de aventura e descoberta. Enquanto elenco, ele forma uma conexão inesperada com outro sobrevivente: um tigre de bengala temível.")</f>
        <v>Um jovem que sobrevive a um desastre no mar é enrolado em uma jornada épica de aventura e descoberta. Enquanto elenco, ele forma uma conexão inesperada com outro sobrevivente: um tigre de bengala temível.</v>
      </c>
      <c r="M500" s="1">
        <v>79.0</v>
      </c>
      <c r="N500" s="1" t="s">
        <v>3130</v>
      </c>
      <c r="O500" s="1" t="s">
        <v>3131</v>
      </c>
      <c r="P500" s="1" t="s">
        <v>980</v>
      </c>
      <c r="Q500" s="1" t="s">
        <v>3132</v>
      </c>
      <c r="R500" s="1" t="s">
        <v>660</v>
      </c>
      <c r="S500" s="1">
        <v>580708.0</v>
      </c>
      <c r="T500" s="7" t="str">
        <f>VLOOKUP(A500,Posters!A500:B1499,2)</f>
        <v>https://m.media-amazon.com/images/M/MV5BNTg2OTY2ODg5OF5BMl5BanBnXkFtZTcwODM5MTYxOA@@._V1_UX67_CR0,0,67,98_AL_.jpg</v>
      </c>
      <c r="U500" s="8">
        <f>'Inflation Adjusted Gross'!F500</f>
        <v>142249696</v>
      </c>
      <c r="V500" s="5">
        <f t="shared" si="1"/>
        <v>2020</v>
      </c>
    </row>
    <row r="501">
      <c r="A501" s="1">
        <v>500.0</v>
      </c>
      <c r="B501" s="1" t="s">
        <v>3133</v>
      </c>
      <c r="C501" s="6">
        <f>Gross_cleaning!E501</f>
        <v>21002919</v>
      </c>
      <c r="D501" s="1">
        <v>2009.0</v>
      </c>
      <c r="E501" s="1" t="s">
        <v>270</v>
      </c>
      <c r="F501" s="1" t="str">
        <f>VLOOKUP(Filmes_raw!E501,Rating_systems!$A$2:$C$29,3,FALSE)</f>
        <v>Criança</v>
      </c>
      <c r="G501" s="2">
        <f>Gross_cleaning!F501</f>
        <v>87</v>
      </c>
      <c r="H501" s="1" t="s">
        <v>415</v>
      </c>
      <c r="I501" s="1" t="s">
        <v>765</v>
      </c>
      <c r="J501" s="1">
        <v>7.9</v>
      </c>
      <c r="K501" s="1" t="s">
        <v>3134</v>
      </c>
      <c r="L501" s="1" t="str">
        <f>IFERROR(__xludf.DUMMYFUNCTION("GOOGLETRANSLATE(K501,""en"", ""pt-br"")"),"Uma raposa urbana não pode resistir a retornar à sua fazenda invadindo maneiras e então deve ajudar sua comunidade a sobreviver à retaliação dos agricultores.")</f>
        <v>Uma raposa urbana não pode resistir a retornar à sua fazenda invadindo maneiras e então deve ajudar sua comunidade a sobreviver à retaliação dos agricultores.</v>
      </c>
      <c r="M501" s="1">
        <v>83.0</v>
      </c>
      <c r="N501" s="1" t="s">
        <v>1468</v>
      </c>
      <c r="O501" s="1" t="s">
        <v>3135</v>
      </c>
      <c r="P501" s="1" t="s">
        <v>3136</v>
      </c>
      <c r="Q501" s="1" t="s">
        <v>2569</v>
      </c>
      <c r="R501" s="1" t="s">
        <v>995</v>
      </c>
      <c r="S501" s="1">
        <v>199696.0</v>
      </c>
      <c r="T501" s="7" t="str">
        <f>VLOOKUP(A501,Posters!A501:B1500,2)</f>
        <v>https://m.media-amazon.com/images/M/MV5BOGUwYTU4NGEtNDM4MS00NDRjLTkwNmQtOTkwMWMyMjhmMjdlXkEyXkFqcGdeQXVyMTMxODk2OTU@._V1_UX67_CR0,0,67,98_AL_.jpg</v>
      </c>
      <c r="U501" s="8">
        <f>'Inflation Adjusted Gross'!F501</f>
        <v>25661017</v>
      </c>
      <c r="V501" s="5">
        <f t="shared" si="1"/>
        <v>2020</v>
      </c>
    </row>
    <row r="502">
      <c r="A502" s="1">
        <v>501.0</v>
      </c>
      <c r="B502" s="1" t="s">
        <v>3137</v>
      </c>
      <c r="C502" s="6">
        <f>Gross_cleaning!E502</f>
        <v>3710169</v>
      </c>
      <c r="D502" s="1">
        <v>2005.0</v>
      </c>
      <c r="E502" s="1">
        <v>16.0</v>
      </c>
      <c r="F502" s="1" t="str">
        <f>VLOOKUP(Filmes_raw!E502,Rating_systems!$A$2:$C$29,3,FALSE)</f>
        <v>Adolescente</v>
      </c>
      <c r="G502" s="2">
        <f>Gross_cleaning!F502</f>
        <v>129</v>
      </c>
      <c r="H502" s="1" t="s">
        <v>830</v>
      </c>
      <c r="I502" s="1" t="s">
        <v>507</v>
      </c>
      <c r="J502" s="1">
        <v>7.9</v>
      </c>
      <c r="K502" s="1" t="s">
        <v>3138</v>
      </c>
      <c r="L502" s="1" t="str">
        <f>IFERROR(__xludf.DUMMYFUNCTION("GOOGLETRANSLATE(K502,""en"", ""pt-br"")"),"Um jovem francês-canadense, crescendo nos anos 1960 e 1970, lutas para reconciliar sua homossexualidade emergente com os valores conservadores de seus pais e suas próprias crenças católicas.")</f>
        <v>Um jovem francês-canadense, crescendo nos anos 1960 e 1970, lutas para reconciliar sua homossexualidade emergente com os valores conservadores de seus pais e suas próprias crenças católicas.</v>
      </c>
      <c r="M502" s="1">
        <v>81.0</v>
      </c>
      <c r="N502" s="1" t="s">
        <v>2350</v>
      </c>
      <c r="O502" s="1" t="s">
        <v>3139</v>
      </c>
      <c r="P502" s="1" t="s">
        <v>3140</v>
      </c>
      <c r="Q502" s="1" t="s">
        <v>3141</v>
      </c>
      <c r="R502" s="1" t="s">
        <v>3142</v>
      </c>
      <c r="S502" s="1">
        <v>31476.0</v>
      </c>
      <c r="T502" s="7" t="str">
        <f>VLOOKUP(A502,Posters!A502:B1501,2)</f>
        <v>https://m.media-amazon.com/images/M/MV5BMTU3MDc2MjUwMV5BMl5BanBnXkFtZTcwNzQyMDAzMQ@@._V1_UY98_CR0,0,67,98_AL_.jpg</v>
      </c>
      <c r="U502" s="8">
        <f>'Inflation Adjusted Gross'!F502</f>
        <v>5018962</v>
      </c>
      <c r="V502" s="5">
        <f t="shared" si="1"/>
        <v>2020</v>
      </c>
    </row>
    <row r="503">
      <c r="A503" s="1">
        <v>502.0</v>
      </c>
      <c r="B503" s="1" t="s">
        <v>3143</v>
      </c>
      <c r="C503" s="6">
        <f>Gross_cleaning!E503</f>
        <v>3635164</v>
      </c>
      <c r="D503" s="1">
        <v>2004.0</v>
      </c>
      <c r="E503" s="1" t="s">
        <v>161</v>
      </c>
      <c r="F503" s="1" t="str">
        <f>VLOOKUP(Filmes_raw!E503,Rating_systems!$A$2:$C$29,3,FALSE)</f>
        <v>Criança</v>
      </c>
      <c r="G503" s="2">
        <f>Gross_cleaning!F503</f>
        <v>97</v>
      </c>
      <c r="H503" s="1" t="s">
        <v>2864</v>
      </c>
      <c r="I503" s="1" t="s">
        <v>287</v>
      </c>
      <c r="J503" s="1">
        <v>7.9</v>
      </c>
      <c r="K503" s="1" t="s">
        <v>3144</v>
      </c>
      <c r="L503" s="1" t="str">
        <f>IFERROR(__xludf.DUMMYFUNCTION("GOOGLETRANSLATE(K503,""en"", ""pt-br"")"),"O novo professor em uma escola de boardas de meninos severamente administrados funciona para afetar positivamente a vida dos alunos através da música.")</f>
        <v>O novo professor em uma escola de boardas de meninos severamente administrados funciona para afetar positivamente a vida dos alunos através da música.</v>
      </c>
      <c r="M503" s="1">
        <v>56.0</v>
      </c>
      <c r="N503" s="1" t="s">
        <v>3145</v>
      </c>
      <c r="O503" s="1" t="s">
        <v>3146</v>
      </c>
      <c r="P503" s="1" t="s">
        <v>3147</v>
      </c>
      <c r="Q503" s="1" t="s">
        <v>3148</v>
      </c>
      <c r="R503" s="1" t="s">
        <v>3149</v>
      </c>
      <c r="S503" s="1">
        <v>57430.0</v>
      </c>
      <c r="T503" s="7" t="str">
        <f>VLOOKUP(A503,Posters!A503:B1502,2)</f>
        <v>https://m.media-amazon.com/images/M/MV5BOGY1M2MwOTEtZDIyNi00YjNlLWExYmEtNzBjOGI3N2QzNTg5XkEyXkFqcGdeQXVyMTMxODk2OTU@._V1_UX67_CR0,0,67,98_AL_.jpg</v>
      </c>
      <c r="U503" s="8">
        <f>'Inflation Adjusted Gross'!F503</f>
        <v>5063536</v>
      </c>
      <c r="V503" s="5">
        <f t="shared" si="1"/>
        <v>2020</v>
      </c>
    </row>
    <row r="504">
      <c r="A504" s="1">
        <v>503.0</v>
      </c>
      <c r="B504" s="1" t="s">
        <v>3150</v>
      </c>
      <c r="C504" s="6">
        <f>Gross_cleaning!E504</f>
        <v>318412101</v>
      </c>
      <c r="D504" s="1">
        <v>2008.0</v>
      </c>
      <c r="E504" s="1" t="s">
        <v>37</v>
      </c>
      <c r="F504" s="1" t="str">
        <f>VLOOKUP(Filmes_raw!E504,Rating_systems!$A$2:$C$29,3,FALSE)</f>
        <v>Criança</v>
      </c>
      <c r="G504" s="2">
        <f>Gross_cleaning!F504</f>
        <v>126</v>
      </c>
      <c r="H504" s="1" t="s">
        <v>428</v>
      </c>
      <c r="I504" s="1" t="s">
        <v>88</v>
      </c>
      <c r="J504" s="1">
        <v>7.9</v>
      </c>
      <c r="K504" s="1" t="s">
        <v>3151</v>
      </c>
      <c r="L504" s="1" t="str">
        <f>IFERROR(__xludf.DUMMYFUNCTION("GOOGLETRANSLATE(K504,""en"", ""pt-br"")"),"Depois de ser mantido em cativeiro em uma caverna afegã, o engenheiro bilionário Tony Stark cria um terno armado único de armadura para combater o mal.")</f>
        <v>Depois de ser mantido em cativeiro em uma caverna afegã, o engenheiro bilionário Tony Stark cria um terno armado único de armadura para combater o mal.</v>
      </c>
      <c r="M504" s="1">
        <v>79.0</v>
      </c>
      <c r="N504" s="1" t="s">
        <v>3152</v>
      </c>
      <c r="O504" s="1" t="s">
        <v>479</v>
      </c>
      <c r="P504" s="1" t="s">
        <v>3153</v>
      </c>
      <c r="Q504" s="1" t="s">
        <v>3154</v>
      </c>
      <c r="R504" s="1" t="s">
        <v>1727</v>
      </c>
      <c r="S504" s="1">
        <v>939644.0</v>
      </c>
      <c r="T504" s="7" t="str">
        <f>VLOOKUP(A504,Posters!A504:B1503,2)</f>
        <v>https://m.media-amazon.com/images/M/MV5BMTczNTI2ODUwOF5BMl5BanBnXkFtZTcwMTU0NTIzMw@@._V1_UX67_CR0,0,67,98_AL_.jpg</v>
      </c>
      <c r="U504" s="8">
        <f>'Inflation Adjusted Gross'!F504</f>
        <v>389146712</v>
      </c>
      <c r="V504" s="5">
        <f t="shared" si="1"/>
        <v>2020</v>
      </c>
    </row>
    <row r="505">
      <c r="A505" s="1">
        <v>504.0</v>
      </c>
      <c r="B505" s="1" t="s">
        <v>3155</v>
      </c>
      <c r="C505" s="6">
        <f>Gross_cleaning!E505</f>
        <v>13542874</v>
      </c>
      <c r="D505" s="1">
        <v>2004.0</v>
      </c>
      <c r="E505" s="1" t="s">
        <v>37</v>
      </c>
      <c r="F505" s="1" t="str">
        <f>VLOOKUP(Filmes_raw!E505,Rating_systems!$A$2:$C$29,3,FALSE)</f>
        <v>Criança</v>
      </c>
      <c r="G505" s="2">
        <f>Gross_cleaning!F505</f>
        <v>99</v>
      </c>
      <c r="H505" s="1" t="s">
        <v>778</v>
      </c>
      <c r="I505" s="1" t="s">
        <v>3156</v>
      </c>
      <c r="J505" s="1">
        <v>7.9</v>
      </c>
      <c r="K505" s="1" t="s">
        <v>3157</v>
      </c>
      <c r="L505" s="1" t="str">
        <f>IFERROR(__xludf.DUMMYFUNCTION("GOOGLETRANSLATE(K505,""en"", ""pt-br"")"),"A vida inesperada de um homem é interrompida pelo apocalipse zumbi.")</f>
        <v>A vida inesperada de um homem é interrompida pelo apocalipse zumbi.</v>
      </c>
      <c r="M505" s="1">
        <v>76.0</v>
      </c>
      <c r="N505" s="1" t="s">
        <v>3158</v>
      </c>
      <c r="O505" s="1" t="s">
        <v>3102</v>
      </c>
      <c r="P505" s="1" t="s">
        <v>3159</v>
      </c>
      <c r="Q505" s="1" t="s">
        <v>3160</v>
      </c>
      <c r="R505" s="1" t="s">
        <v>3161</v>
      </c>
      <c r="S505" s="1">
        <v>512249.0</v>
      </c>
      <c r="T505" s="7" t="str">
        <f>VLOOKUP(A505,Posters!A505:B1504,2)</f>
        <v>https://m.media-amazon.com/images/M/MV5BMTg5Mjk2NDMtZTk0Ny00YTQ0LWIzYWEtMWI5MGQ0Mjg1OTNkXkEyXkFqcGdeQXVyNzkwMjQ5NzM@._V1_UX67_CR0,0,67,98_AL_.jpg</v>
      </c>
      <c r="U505" s="8">
        <f>'Inflation Adjusted Gross'!F505</f>
        <v>18864302</v>
      </c>
      <c r="V505" s="5">
        <f t="shared" si="1"/>
        <v>2020</v>
      </c>
    </row>
    <row r="506">
      <c r="A506" s="1">
        <v>505.0</v>
      </c>
      <c r="B506" s="1" t="s">
        <v>3162</v>
      </c>
      <c r="C506" s="6">
        <f>Gross_cleaning!E506</f>
        <v>11065801</v>
      </c>
      <c r="D506" s="1">
        <v>2004.0</v>
      </c>
      <c r="E506" s="1" t="s">
        <v>212</v>
      </c>
      <c r="F506" s="1" t="str">
        <f>VLOOKUP(Filmes_raw!E506,Rating_systems!$A$2:$C$29,3,FALSE)</f>
        <v>Adulto</v>
      </c>
      <c r="G506" s="2">
        <f>Gross_cleaning!F506</f>
        <v>121</v>
      </c>
      <c r="H506" s="1" t="s">
        <v>249</v>
      </c>
      <c r="I506" s="1" t="s">
        <v>107</v>
      </c>
      <c r="J506" s="1">
        <v>7.9</v>
      </c>
      <c r="K506" s="1" t="s">
        <v>3163</v>
      </c>
      <c r="L506" s="1" t="str">
        <f>IFERROR(__xludf.DUMMYFUNCTION("GOOGLETRANSLATE(K506,""en"", ""pt-br"")"),"Com a intenção de se libertar das restrições familiares estritas, uma jovem suicida estabelece um casamento de conveniência com um viciado de quarenta anos, um ato que levará a uma explosão de amor invejoso.")</f>
        <v>Com a intenção de se libertar das restrições familiares estritas, uma jovem suicida estabelece um casamento de conveniência com um viciado de quarenta anos, um ato que levará a uma explosão de amor invejoso.</v>
      </c>
      <c r="M506" s="1">
        <v>78.0</v>
      </c>
      <c r="N506" s="1" t="s">
        <v>3164</v>
      </c>
      <c r="O506" s="1" t="s">
        <v>3165</v>
      </c>
      <c r="P506" s="1" t="s">
        <v>3166</v>
      </c>
      <c r="Q506" s="1" t="s">
        <v>3167</v>
      </c>
      <c r="R506" s="1" t="s">
        <v>3168</v>
      </c>
      <c r="S506" s="1">
        <v>51325.0</v>
      </c>
      <c r="T506" s="7" t="str">
        <f>VLOOKUP(A506,Posters!A506:B1505,2)</f>
        <v>https://m.media-amazon.com/images/M/MV5BODBiNzYxNzYtMjkyMi00MjUyLWJkM2YtZjNkMDhhYmEwMTRiL2ltYWdlXkEyXkFqcGdeQXVyNTAyODkwOQ@@._V1_UY98_CR1,0,67,98_AL_.jpg</v>
      </c>
      <c r="U506" s="8">
        <f>'Inflation Adjusted Gross'!F506</f>
        <v>15413908</v>
      </c>
      <c r="V506" s="5">
        <f t="shared" si="1"/>
        <v>2020</v>
      </c>
    </row>
    <row r="507">
      <c r="A507" s="1">
        <v>506.0</v>
      </c>
      <c r="B507" s="1" t="s">
        <v>3169</v>
      </c>
      <c r="C507" s="6">
        <f>Gross_cleaning!E507</f>
        <v>90135191</v>
      </c>
      <c r="D507" s="1">
        <v>2003.0</v>
      </c>
      <c r="E507" s="1" t="s">
        <v>18</v>
      </c>
      <c r="F507" s="1" t="str">
        <f>VLOOKUP(Filmes_raw!E507,Rating_systems!$A$2:$C$29,3,FALSE)</f>
        <v>Adulto</v>
      </c>
      <c r="G507" s="2">
        <f>Gross_cleaning!F507</f>
        <v>138</v>
      </c>
      <c r="H507" s="1" t="s">
        <v>947</v>
      </c>
      <c r="I507" s="1" t="s">
        <v>235</v>
      </c>
      <c r="J507" s="1">
        <v>7.9</v>
      </c>
      <c r="K507" s="1" t="s">
        <v>3170</v>
      </c>
      <c r="L507" s="1" t="str">
        <f>IFERROR(__xludf.DUMMYFUNCTION("GOOGLETRANSLATE(K507,""en"", ""pt-br"")"),"A vida de três homens que eram amigos de infância são quebrados quando um deles tem uma tragédia familiar.")</f>
        <v>A vida de três homens que eram amigos de infância são quebrados quando um deles tem uma tragédia familiar.</v>
      </c>
      <c r="M507" s="1">
        <v>84.0</v>
      </c>
      <c r="N507" s="1" t="s">
        <v>119</v>
      </c>
      <c r="O507" s="1" t="s">
        <v>1605</v>
      </c>
      <c r="P507" s="1" t="s">
        <v>23</v>
      </c>
      <c r="Q507" s="1" t="s">
        <v>3171</v>
      </c>
      <c r="R507" s="1" t="s">
        <v>3172</v>
      </c>
      <c r="S507" s="1">
        <v>419420.0</v>
      </c>
      <c r="T507" s="7" t="str">
        <f>VLOOKUP(A507,Posters!A507:B1506,2)</f>
        <v>https://m.media-amazon.com/images/M/MV5BMTIzNDUyMjA4MV5BMl5BanBnXkFtZTYwNDc4ODM3._V1_UX67_CR0,0,67,98_AL_.jpg</v>
      </c>
      <c r="U507" s="8">
        <f>'Inflation Adjusted Gross'!F507</f>
        <v>127970641</v>
      </c>
      <c r="V507" s="5">
        <f t="shared" si="1"/>
        <v>2020</v>
      </c>
    </row>
    <row r="508">
      <c r="A508" s="1">
        <v>507.0</v>
      </c>
      <c r="B508" s="1" t="s">
        <v>3173</v>
      </c>
      <c r="C508" s="6">
        <f>Gross_cleaning!E508</f>
        <v>249358727</v>
      </c>
      <c r="D508" s="1">
        <v>2004.0</v>
      </c>
      <c r="E508" s="1" t="s">
        <v>52</v>
      </c>
      <c r="F508" s="1" t="str">
        <f>VLOOKUP(Filmes_raw!E508,Rating_systems!$A$2:$C$29,3,FALSE)</f>
        <v>Criança</v>
      </c>
      <c r="G508" s="2">
        <f>Gross_cleaning!F508</f>
        <v>142</v>
      </c>
      <c r="H508" s="1" t="s">
        <v>19</v>
      </c>
      <c r="I508" s="1" t="s">
        <v>2629</v>
      </c>
      <c r="J508" s="1">
        <v>7.9</v>
      </c>
      <c r="K508" s="1" t="s">
        <v>3174</v>
      </c>
      <c r="L508" s="1" t="str">
        <f>IFERROR(__xludf.DUMMYFUNCTION("GOOGLETRANSLATE(K508,""en"", ""pt-br"")"),"Harry Potter, Ron e Hermione retornam a Hogwarts School of Witchcraft e Wizardry por seu terceiro ano de estudo, onde eles mergulham no mistério em torno de um prisioneiro escapado que representa uma ameaça perigosa para o jovem bruxo.")</f>
        <v>Harry Potter, Ron e Hermione retornam a Hogwarts School of Witchcraft e Wizardry por seu terceiro ano de estudo, onde eles mergulham no mistério em torno de um prisioneiro escapado que representa uma ameaça perigosa para o jovem bruxo.</v>
      </c>
      <c r="M508" s="1">
        <v>82.0</v>
      </c>
      <c r="N508" s="1" t="s">
        <v>3175</v>
      </c>
      <c r="O508" s="1" t="s">
        <v>1568</v>
      </c>
      <c r="P508" s="1" t="s">
        <v>1569</v>
      </c>
      <c r="Q508" s="1" t="s">
        <v>1570</v>
      </c>
      <c r="R508" s="1" t="s">
        <v>3176</v>
      </c>
      <c r="S508" s="1">
        <v>552493.0</v>
      </c>
      <c r="T508" s="7" t="str">
        <f>VLOOKUP(A508,Posters!A508:B1507,2)</f>
        <v>https://m.media-amazon.com/images/M/MV5BMTY4NTIwODg0N15BMl5BanBnXkFtZTcwOTc0MjEzMw@@._V1_UX67_CR0,0,67,98_AL_.jpg</v>
      </c>
      <c r="U508" s="8">
        <f>'Inflation Adjusted Gross'!F508</f>
        <v>347339743</v>
      </c>
      <c r="V508" s="5">
        <f t="shared" si="1"/>
        <v>2020</v>
      </c>
    </row>
    <row r="509">
      <c r="A509" s="1">
        <v>508.0</v>
      </c>
      <c r="B509" s="1" t="s">
        <v>3177</v>
      </c>
      <c r="C509" s="6">
        <f>Gross_cleaning!E509</f>
        <v>53710019</v>
      </c>
      <c r="D509" s="1">
        <v>2002.0</v>
      </c>
      <c r="E509" s="1" t="s">
        <v>161</v>
      </c>
      <c r="F509" s="1" t="str">
        <f>VLOOKUP(Filmes_raw!E509,Rating_systems!$A$2:$C$29,3,FALSE)</f>
        <v>Criança</v>
      </c>
      <c r="G509" s="2">
        <f>Gross_cleaning!F509</f>
        <v>120</v>
      </c>
      <c r="H509" s="1" t="s">
        <v>1546</v>
      </c>
      <c r="I509" s="1" t="s">
        <v>3178</v>
      </c>
      <c r="J509" s="1">
        <v>7.9</v>
      </c>
      <c r="K509" s="1" t="s">
        <v>3179</v>
      </c>
      <c r="L509" s="1" t="str">
        <f>IFERROR(__xludf.DUMMYFUNCTION("GOOGLETRANSLATE(K509,""en"", ""pt-br"")"),"Um oficial de defesa, sem nome, foi convocado pelo rei de Qin em relação ao seu sucesso de terminar três guerreiros.")</f>
        <v>Um oficial de defesa, sem nome, foi convocado pelo rei de Qin em relação ao seu sucesso de terminar três guerreiros.</v>
      </c>
      <c r="M509" s="1">
        <v>85.0</v>
      </c>
      <c r="N509" s="1" t="s">
        <v>1804</v>
      </c>
      <c r="O509" s="1" t="s">
        <v>3180</v>
      </c>
      <c r="P509" s="1" t="s">
        <v>1732</v>
      </c>
      <c r="Q509" s="1" t="s">
        <v>1733</v>
      </c>
      <c r="R509" s="1" t="s">
        <v>3181</v>
      </c>
      <c r="S509" s="1">
        <v>173999.0</v>
      </c>
      <c r="T509" s="7" t="str">
        <f>VLOOKUP(A509,Posters!A509:B1508,2)</f>
        <v>https://m.media-amazon.com/images/M/MV5BMWQ2MjQ0OTctMWE1OC00NjZjLTk3ZDAtNTk3NTZiYWMxYTlmXkEyXkFqcGdeQXVyMTQxNzMzNDI@._V1_UX67_CR0,0,67,98_AL_.jpg</v>
      </c>
      <c r="U509" s="8">
        <f>'Inflation Adjusted Gross'!F509</f>
        <v>78236179</v>
      </c>
      <c r="V509" s="5">
        <f t="shared" si="1"/>
        <v>2020</v>
      </c>
    </row>
    <row r="510">
      <c r="A510" s="1">
        <v>509.0</v>
      </c>
      <c r="B510" s="1" t="s">
        <v>3182</v>
      </c>
      <c r="C510" s="6">
        <f>Gross_cleaning!E510</f>
        <v>9284265</v>
      </c>
      <c r="D510" s="1">
        <v>2002.0</v>
      </c>
      <c r="E510" s="1" t="s">
        <v>212</v>
      </c>
      <c r="F510" s="1" t="str">
        <f>VLOOKUP(Filmes_raw!E510,Rating_systems!$A$2:$C$29,3,FALSE)</f>
        <v>Adulto</v>
      </c>
      <c r="G510" s="2">
        <f>Gross_cleaning!F510</f>
        <v>112</v>
      </c>
      <c r="H510" s="1" t="s">
        <v>295</v>
      </c>
      <c r="I510" s="1" t="s">
        <v>1051</v>
      </c>
      <c r="J510" s="1">
        <v>7.9</v>
      </c>
      <c r="K510" s="1" t="s">
        <v>3183</v>
      </c>
      <c r="L510" s="1" t="str">
        <f>IFERROR(__xludf.DUMMYFUNCTION("GOOGLETRANSLATE(K510,""en"", ""pt-br"")"),"Dois homens compartilham uma amizade estranha enquanto se importam com duas mulheres que são ambas em comas profundas.")</f>
        <v>Dois homens compartilham uma amizade estranha enquanto se importam com duas mulheres que são ambas em comas profundas.</v>
      </c>
      <c r="M510" s="1">
        <v>86.0</v>
      </c>
      <c r="N510" s="1" t="s">
        <v>3184</v>
      </c>
      <c r="O510" s="1" t="s">
        <v>3185</v>
      </c>
      <c r="P510" s="1" t="s">
        <v>3186</v>
      </c>
      <c r="Q510" s="1" t="s">
        <v>1434</v>
      </c>
      <c r="R510" s="1" t="s">
        <v>3187</v>
      </c>
      <c r="S510" s="1">
        <v>104691.0</v>
      </c>
      <c r="T510" s="7" t="str">
        <f>VLOOKUP(A510,Posters!A510:B1509,2)</f>
        <v>https://m.media-amazon.com/images/M/MV5BYmVmMGQ3NzEtM2FiNi00YThhLWFkZjYtM2Y0MjZjNGE4NzM0XkEyXkFqcGdeQXVyODc0OTEyNDU@._V1_UY98_CR1,0,67,98_AL_.jpg</v>
      </c>
      <c r="U510" s="8">
        <f>'Inflation Adjusted Gross'!F510</f>
        <v>13523835</v>
      </c>
      <c r="V510" s="5">
        <f t="shared" si="1"/>
        <v>2020</v>
      </c>
    </row>
    <row r="511">
      <c r="A511" s="1">
        <v>510.0</v>
      </c>
      <c r="B511" s="1" t="s">
        <v>3188</v>
      </c>
      <c r="C511" s="6">
        <f>Gross_cleaning!E511</f>
        <v>1059830</v>
      </c>
      <c r="D511" s="1">
        <v>2001.0</v>
      </c>
      <c r="E511" s="1" t="s">
        <v>212</v>
      </c>
      <c r="F511" s="1" t="str">
        <f>VLOOKUP(Filmes_raw!E511,Rating_systems!$A$2:$C$29,3,FALSE)</f>
        <v>Adulto</v>
      </c>
      <c r="G511" s="2">
        <f>Gross_cleaning!F511</f>
        <v>98</v>
      </c>
      <c r="H511" s="1" t="s">
        <v>519</v>
      </c>
      <c r="I511" s="1" t="s">
        <v>635</v>
      </c>
      <c r="J511" s="1">
        <v>7.9</v>
      </c>
      <c r="K511" s="1" t="s">
        <v>3189</v>
      </c>
      <c r="L511" s="1" t="str">
        <f>IFERROR(__xludf.DUMMYFUNCTION("GOOGLETRANSLATE(K511,""en"", ""pt-br"")"),"Bósnia e Herzegovina durante 1993 no momento da luta mais pesada entre os dois lados em guerra. Dois soldados de lados opostos no conflito, Nino e Ciki, ficam presos em terra de ninguém, enquanto um terceiro soldado se torna uma armadilha viva.")</f>
        <v>Bósnia e Herzegovina durante 1993 no momento da luta mais pesada entre os dois lados em guerra. Dois soldados de lados opostos no conflito, Nino e Ciki, ficam presos em terra de ninguém, enquanto um terceiro soldado se torna uma armadilha viva.</v>
      </c>
      <c r="M511" s="1">
        <v>84.0</v>
      </c>
      <c r="N511" s="1" t="s">
        <v>3190</v>
      </c>
      <c r="O511" s="1" t="s">
        <v>3191</v>
      </c>
      <c r="P511" s="1" t="s">
        <v>3192</v>
      </c>
      <c r="Q511" s="1" t="s">
        <v>3193</v>
      </c>
      <c r="R511" s="1" t="s">
        <v>3194</v>
      </c>
      <c r="S511" s="1">
        <v>44618.0</v>
      </c>
      <c r="T511" s="7" t="str">
        <f>VLOOKUP(A511,Posters!A511:B1510,2)</f>
        <v>https://m.media-amazon.com/images/M/MV5BMGFkNjNmZWMtNDdiOS00ZWM3LWE1ZTMtZDU3MGQyMzIyNzZhXkEyXkFqcGdeQXVyMTMxODk2OTU@._V1_UX67_CR0,0,67,98_AL_.jpg</v>
      </c>
      <c r="U511" s="8">
        <f>'Inflation Adjusted Gross'!F511</f>
        <v>1561424</v>
      </c>
      <c r="V511" s="5">
        <f t="shared" si="1"/>
        <v>2020</v>
      </c>
    </row>
    <row r="512">
      <c r="A512" s="1">
        <v>511.0</v>
      </c>
      <c r="B512" s="1" t="s">
        <v>3195</v>
      </c>
      <c r="C512" s="6">
        <f>Gross_cleaning!E512</f>
        <v>1000045</v>
      </c>
      <c r="D512" s="1">
        <v>2001.0</v>
      </c>
      <c r="E512" s="1" t="s">
        <v>52</v>
      </c>
      <c r="F512" s="1" t="str">
        <f>VLOOKUP(Filmes_raw!E512,Rating_systems!$A$2:$C$29,3,FALSE)</f>
        <v>Criança</v>
      </c>
      <c r="G512" s="2">
        <f>Gross_cleaning!F512</f>
        <v>115</v>
      </c>
      <c r="H512" s="1" t="s">
        <v>563</v>
      </c>
      <c r="I512" s="1" t="s">
        <v>2551</v>
      </c>
      <c r="J512" s="1">
        <v>7.9</v>
      </c>
      <c r="K512" s="1" t="s">
        <v>3196</v>
      </c>
      <c r="L512" s="1" t="str">
        <f>IFERROR(__xludf.DUMMYFUNCTION("GOOGLETRANSLATE(K512,""en"", ""pt-br"")"),"Uma explosão terrorista libera um vírus mortal nas massas, e é até a tripulação de caça à recompensa para pegar o culpado de sangue frio.")</f>
        <v>Uma explosão terrorista libera um vírus mortal nas massas, e é até a tripulação de caça à recompensa para pegar o culpado de sangue frio.</v>
      </c>
      <c r="M512" s="1">
        <v>61.0</v>
      </c>
      <c r="N512" s="1" t="s">
        <v>3197</v>
      </c>
      <c r="O512" s="1" t="s">
        <v>3198</v>
      </c>
      <c r="P512" s="1" t="s">
        <v>3199</v>
      </c>
      <c r="Q512" s="1" t="s">
        <v>3200</v>
      </c>
      <c r="R512" s="1" t="s">
        <v>3201</v>
      </c>
      <c r="S512" s="1">
        <v>42897.0</v>
      </c>
      <c r="T512" s="7" t="str">
        <f>VLOOKUP(A512,Posters!A512:B1511,2)</f>
        <v>https://m.media-amazon.com/images/M/MV5BMjYzYWM4YTItZjJiMC00OTM5LTg3NDgtOGQ2Njk2ZWNhN2QwXkEyXkFqcGdeQXVyMzM4MjM0Nzg@._V1_UY98_CR0,0,67,98_AL_.jpg</v>
      </c>
      <c r="U512" s="8">
        <f>'Inflation Adjusted Gross'!F512</f>
        <v>1473344</v>
      </c>
      <c r="V512" s="5">
        <f t="shared" si="1"/>
        <v>2020</v>
      </c>
    </row>
    <row r="513">
      <c r="A513" s="1">
        <v>512.0</v>
      </c>
      <c r="B513" s="1" t="s">
        <v>3202</v>
      </c>
      <c r="C513" s="6">
        <f>Gross_cleaning!E513</f>
        <v>121661683</v>
      </c>
      <c r="D513" s="1">
        <v>2002.0</v>
      </c>
      <c r="E513" s="1" t="s">
        <v>37</v>
      </c>
      <c r="F513" s="1" t="str">
        <f>VLOOKUP(Filmes_raw!E513,Rating_systems!$A$2:$C$29,3,FALSE)</f>
        <v>Criança</v>
      </c>
      <c r="G513" s="2">
        <f>Gross_cleaning!F513</f>
        <v>119</v>
      </c>
      <c r="H513" s="1" t="s">
        <v>329</v>
      </c>
      <c r="I513" s="1" t="s">
        <v>2366</v>
      </c>
      <c r="J513" s="1">
        <v>7.9</v>
      </c>
      <c r="K513" s="1" t="s">
        <v>3203</v>
      </c>
      <c r="L513" s="1" t="str">
        <f>IFERROR(__xludf.DUMMYFUNCTION("GOOGLETRANSLATE(K513,""en"", ""pt-br"")"),"Um homem é apanhado por um barco de pesca, criação de bala e sofrendo de amnésia, antes de correr para eludar assassinos e tentar recuperar sua memória.")</f>
        <v>Um homem é apanhado por um barco de pesca, criação de bala e sofrendo de amnésia, antes de correr para eludar assassinos e tentar recuperar sua memória.</v>
      </c>
      <c r="M513" s="1">
        <v>68.0</v>
      </c>
      <c r="N513" s="1" t="s">
        <v>3038</v>
      </c>
      <c r="O513" s="1" t="s">
        <v>3204</v>
      </c>
      <c r="P513" s="1" t="s">
        <v>215</v>
      </c>
      <c r="Q513" s="1" t="s">
        <v>3205</v>
      </c>
      <c r="R513" s="1" t="s">
        <v>2384</v>
      </c>
      <c r="S513" s="1">
        <v>508771.0</v>
      </c>
      <c r="T513" s="7" t="str">
        <f>VLOOKUP(A513,Posters!A513:B1512,2)</f>
        <v>https://m.media-amazon.com/images/M/MV5BM2JkNGU0ZGMtZjVjNS00NjgyLWEyOWYtZmRmZGQyN2IxZjA2XkEyXkFqcGdeQXVyNTIzOTk5ODM@._V1_UX67_CR0,0,67,98_AL_.jpg</v>
      </c>
      <c r="U513" s="8">
        <f>'Inflation Adjusted Gross'!F513</f>
        <v>177217313</v>
      </c>
      <c r="V513" s="5">
        <f t="shared" si="1"/>
        <v>2020</v>
      </c>
    </row>
    <row r="514">
      <c r="A514" s="1">
        <v>513.0</v>
      </c>
      <c r="B514" s="1" t="s">
        <v>3206</v>
      </c>
      <c r="C514" s="6">
        <f>Gross_cleaning!E514</f>
        <v>1221261</v>
      </c>
      <c r="D514" s="1">
        <v>2000.0</v>
      </c>
      <c r="E514" s="1" t="s">
        <v>212</v>
      </c>
      <c r="F514" s="1" t="str">
        <f>VLOOKUP(Filmes_raw!E514,Rating_systems!$A$2:$C$29,3,FALSE)</f>
        <v>Adulto</v>
      </c>
      <c r="G514" s="2">
        <f>Gross_cleaning!F514</f>
        <v>114</v>
      </c>
      <c r="H514" s="1" t="s">
        <v>825</v>
      </c>
      <c r="I514" s="1" t="s">
        <v>241</v>
      </c>
      <c r="J514" s="1">
        <v>7.9</v>
      </c>
      <c r="K514" s="1" t="s">
        <v>3207</v>
      </c>
      <c r="L514" s="1" t="str">
        <f>IFERROR(__xludf.DUMMYFUNCTION("GOOGLETRANSLATE(K514,""en"", ""pt-br"")"),"Dois contistas tentam engolir um coletor de carimbo vendendo-lhe uma folha de selos raros falsificados (o ""nove rainhas"").")</f>
        <v>Dois contistas tentam engolir um coletor de carimbo vendendo-lhe uma folha de selos raros falsificados (o "nove rainhas").</v>
      </c>
      <c r="M514" s="1">
        <v>80.0</v>
      </c>
      <c r="N514" s="1" t="s">
        <v>3208</v>
      </c>
      <c r="O514" s="1" t="s">
        <v>1054</v>
      </c>
      <c r="P514" s="1" t="s">
        <v>3209</v>
      </c>
      <c r="Q514" s="1" t="s">
        <v>3210</v>
      </c>
      <c r="R514" s="1" t="s">
        <v>3211</v>
      </c>
      <c r="S514" s="1">
        <v>49721.0</v>
      </c>
      <c r="T514" s="7" t="str">
        <f>VLOOKUP(A514,Posters!A514:B1513,2)</f>
        <v>https://m.media-amazon.com/images/M/MV5BMTYxMDdlYjItMDVkYy00MjYzLThhMTYtYjIzZjZiODk1ZWRmXkEyXkFqcGdeQXVyNDk3NzU2MTQ@._V1_UX67_CR0,0,67,98_AL_.jpg</v>
      </c>
      <c r="U514" s="8">
        <f>'Inflation Adjusted Gross'!F514</f>
        <v>1866409</v>
      </c>
      <c r="V514" s="5">
        <f t="shared" si="1"/>
        <v>2020</v>
      </c>
    </row>
    <row r="515">
      <c r="A515" s="1">
        <v>514.0</v>
      </c>
      <c r="B515" s="1" t="s">
        <v>3212</v>
      </c>
      <c r="C515" s="6">
        <f>Gross_cleaning!E515</f>
        <v>35552383</v>
      </c>
      <c r="D515" s="1">
        <v>2006.0</v>
      </c>
      <c r="E515" s="1" t="s">
        <v>18</v>
      </c>
      <c r="F515" s="1" t="str">
        <f>VLOOKUP(Filmes_raw!E515,Rating_systems!$A$2:$C$29,3,FALSE)</f>
        <v>Adulto</v>
      </c>
      <c r="G515" s="2">
        <f>Gross_cleaning!F515</f>
        <v>109</v>
      </c>
      <c r="H515" s="1" t="s">
        <v>396</v>
      </c>
      <c r="I515" s="1" t="s">
        <v>188</v>
      </c>
      <c r="J515" s="1">
        <v>7.9</v>
      </c>
      <c r="K515" s="1" t="s">
        <v>3213</v>
      </c>
      <c r="L515" s="1" t="str">
        <f>IFERROR(__xludf.DUMMYFUNCTION("GOOGLETRANSLATE(K515,""en"", ""pt-br"")"),"Em 2027, em um mundo caótico em que as mulheres se tornaram de alguma forma inférteis, um ex-ativista concorda em ajudar a transportar uma mulher milagrulosamente grávida a um santuário no mar.")</f>
        <v>Em 2027, em um mundo caótico em que as mulheres se tornaram de alguma forma inférteis, um ex-ativista concorda em ajudar a transportar uma mulher milagrulosamente grávida a um santuário no mar.</v>
      </c>
      <c r="M515" s="1">
        <v>84.0</v>
      </c>
      <c r="N515" s="1" t="s">
        <v>3175</v>
      </c>
      <c r="O515" s="1" t="s">
        <v>1728</v>
      </c>
      <c r="P515" s="1" t="s">
        <v>2384</v>
      </c>
      <c r="Q515" s="1" t="s">
        <v>1503</v>
      </c>
      <c r="R515" s="1" t="s">
        <v>45</v>
      </c>
      <c r="S515" s="1">
        <v>465113.0</v>
      </c>
      <c r="T515" s="7" t="str">
        <f>VLOOKUP(A515,Posters!A515:B1514,2)</f>
        <v>https://m.media-amazon.com/images/M/MV5BMTQ5NTI2NTI4NF5BMl5BanBnXkFtZTcwNjk2NDA2OQ@@._V1_UX67_CR0,0,67,98_AL_.jpg</v>
      </c>
      <c r="U515" s="8">
        <f>'Inflation Adjusted Gross'!F515</f>
        <v>46250549</v>
      </c>
      <c r="V515" s="5">
        <f t="shared" si="1"/>
        <v>2020</v>
      </c>
    </row>
    <row r="516">
      <c r="A516" s="1">
        <v>515.0</v>
      </c>
      <c r="B516" s="1" t="s">
        <v>3214</v>
      </c>
      <c r="C516" s="6">
        <f>Gross_cleaning!E516</f>
        <v>32534850</v>
      </c>
      <c r="D516" s="1">
        <v>2000.0</v>
      </c>
      <c r="E516" s="1" t="s">
        <v>18</v>
      </c>
      <c r="F516" s="1" t="str">
        <f>VLOOKUP(Filmes_raw!E516,Rating_systems!$A$2:$C$29,3,FALSE)</f>
        <v>Adulto</v>
      </c>
      <c r="G516" s="2">
        <f>Gross_cleaning!F516</f>
        <v>122</v>
      </c>
      <c r="H516" s="1" t="s">
        <v>279</v>
      </c>
      <c r="I516" s="1" t="s">
        <v>1004</v>
      </c>
      <c r="J516" s="1">
        <v>7.9</v>
      </c>
      <c r="K516" s="1" t="s">
        <v>3215</v>
      </c>
      <c r="L516" s="1" t="str">
        <f>IFERROR(__xludf.DUMMYFUNCTION("GOOGLETRANSLATE(K516,""en"", ""pt-br"")"),"Um menino do ensino médio é dado a chance de escrever uma história para a revista Rolling Stone sobre uma banda de rock up e chegada enquanto ele os acompanha em seu tour de concerto.")</f>
        <v>Um menino do ensino médio é dado a chance de escrever uma história para a revista Rolling Stone sobre uma banda de rock up e chegada enquanto ele os acompanha em seu tour de concerto.</v>
      </c>
      <c r="M516" s="1">
        <v>90.0</v>
      </c>
      <c r="N516" s="1" t="s">
        <v>3216</v>
      </c>
      <c r="O516" s="1" t="s">
        <v>555</v>
      </c>
      <c r="P516" s="1" t="s">
        <v>3217</v>
      </c>
      <c r="Q516" s="1" t="s">
        <v>3218</v>
      </c>
      <c r="R516" s="1" t="s">
        <v>972</v>
      </c>
      <c r="S516" s="1">
        <v>252586.0</v>
      </c>
      <c r="T516" s="7" t="str">
        <f>VLOOKUP(A516,Posters!A516:B1515,2)</f>
        <v>https://m.media-amazon.com/images/M/MV5BMzY1ZjMwMGEtYTY1ZS00ZDllLTk0ZmUtYzA3ZTA4NmYwNGNkXkEyXkFqcGdeQXVyNDk3NzU2MTQ@._V1_UX67_CR0,0,67,98_AL_.jpg</v>
      </c>
      <c r="U516" s="8">
        <f>'Inflation Adjusted Gross'!F516</f>
        <v>49721847</v>
      </c>
      <c r="V516" s="5">
        <f t="shared" si="1"/>
        <v>2020</v>
      </c>
    </row>
    <row r="517">
      <c r="A517" s="1">
        <v>516.0</v>
      </c>
      <c r="B517" s="1" t="s">
        <v>3219</v>
      </c>
      <c r="C517" s="6">
        <f>Gross_cleaning!E517</f>
        <v>7220243</v>
      </c>
      <c r="D517" s="1">
        <v>2001.0</v>
      </c>
      <c r="E517" s="1" t="s">
        <v>212</v>
      </c>
      <c r="F517" s="1" t="str">
        <f>VLOOKUP(Filmes_raw!E517,Rating_systems!$A$2:$C$29,3,FALSE)</f>
        <v>Adulto</v>
      </c>
      <c r="G517" s="2">
        <f>Gross_cleaning!F517</f>
        <v>147</v>
      </c>
      <c r="H517" s="1" t="s">
        <v>443</v>
      </c>
      <c r="I517" s="1" t="s">
        <v>527</v>
      </c>
      <c r="J517" s="1">
        <v>7.9</v>
      </c>
      <c r="K517" s="1" t="s">
        <v>3220</v>
      </c>
      <c r="L517" s="1" t="str">
        <f>IFERROR(__xludf.DUMMYFUNCTION("GOOGLETRANSLATE(K517,""en"", ""pt-br"")"),"Depois de um acidente de carro no enrolamento Mulholland Drive renderiza uma mulher amnésica, ela e uma busca de Hollywood-esperado por pistas e respostas através de Los Angeles em um empreendimento torcido além dos sonhos e na realidade.")</f>
        <v>Depois de um acidente de carro no enrolamento Mulholland Drive renderiza uma mulher amnésica, ela e uma busca de Hollywood-esperado por pistas e respostas através de Los Angeles em um empreendimento torcido além dos sonhos e na realidade.</v>
      </c>
      <c r="M517" s="1">
        <v>85.0</v>
      </c>
      <c r="N517" s="1" t="s">
        <v>1878</v>
      </c>
      <c r="O517" s="1" t="s">
        <v>3221</v>
      </c>
      <c r="P517" s="1" t="s">
        <v>3222</v>
      </c>
      <c r="Q517" s="1" t="s">
        <v>3223</v>
      </c>
      <c r="R517" s="1" t="s">
        <v>3224</v>
      </c>
      <c r="S517" s="1">
        <v>322031.0</v>
      </c>
      <c r="T517" s="7" t="str">
        <f>VLOOKUP(A517,Posters!A517:B1516,2)</f>
        <v>https://m.media-amazon.com/images/M/MV5BYjBhZmViNTItMGExMy00MGNmLTkwZDItMDVlMTQ4ODVkYTMwXkEyXkFqcGdeQXVyNzM0MTUwNTY@._V1_UY98_CR1,0,67,98_AL_.jpg</v>
      </c>
      <c r="U517" s="8">
        <f>'Inflation Adjusted Gross'!F517</f>
        <v>10637426</v>
      </c>
      <c r="V517" s="5">
        <f t="shared" si="1"/>
        <v>2020</v>
      </c>
    </row>
    <row r="518">
      <c r="A518" s="1">
        <v>517.0</v>
      </c>
      <c r="B518" s="1" t="s">
        <v>3225</v>
      </c>
      <c r="C518" s="6">
        <f>Gross_cleaning!E518</f>
        <v>245852179</v>
      </c>
      <c r="D518" s="1">
        <v>1999.0</v>
      </c>
      <c r="E518" s="1" t="s">
        <v>52</v>
      </c>
      <c r="F518" s="1" t="str">
        <f>VLOOKUP(Filmes_raw!E518,Rating_systems!$A$2:$C$29,3,FALSE)</f>
        <v>Criança</v>
      </c>
      <c r="G518" s="2">
        <f>Gross_cleaning!F518</f>
        <v>92</v>
      </c>
      <c r="H518" s="1" t="s">
        <v>1588</v>
      </c>
      <c r="I518" s="1" t="s">
        <v>765</v>
      </c>
      <c r="J518" s="1">
        <v>7.9</v>
      </c>
      <c r="K518" s="1" t="s">
        <v>3226</v>
      </c>
      <c r="L518" s="1" t="str">
        <f>IFERROR(__xludf.DUMMYFUNCTION("GOOGLETRANSLATE(K518,""en"", ""pt-br"")"),"Quando Woody é roubado por um colecionador de brinquedos, Buzz e seus amigos partiram em uma missão de resgate para salvar Woody antes que ele se torne uma propriedade de brinquedo de museu com sua gangue de rodada Jessie, Prospector e Bullseye.")</f>
        <v>Quando Woody é roubado por um colecionador de brinquedos, Buzz e seus amigos partiram em uma missão de resgate para salvar Woody antes que ele se torne uma propriedade de brinquedo de museu com sua gangue de rodada Jessie, Prospector e Bullseye.</v>
      </c>
      <c r="M518" s="1">
        <v>88.0</v>
      </c>
      <c r="N518" s="1" t="s">
        <v>767</v>
      </c>
      <c r="O518" s="1" t="s">
        <v>3227</v>
      </c>
      <c r="P518" s="1" t="s">
        <v>489</v>
      </c>
      <c r="Q518" s="1" t="s">
        <v>110</v>
      </c>
      <c r="R518" s="1" t="s">
        <v>768</v>
      </c>
      <c r="S518" s="1">
        <v>527512.0</v>
      </c>
      <c r="T518" s="7" t="str">
        <f>VLOOKUP(A518,Posters!A518:B1517,2)</f>
        <v>https://m.media-amazon.com/images/M/MV5BMWM5ZDcxMTYtNTEyNS00MDRkLWI3YTItNThmMGExMWY4NDIwXkEyXkFqcGdeQXVyNjUwNzk3NDc@._V1_UX67_CR0,0,67,98_AL_.jpg</v>
      </c>
      <c r="U518" s="8">
        <f>'Inflation Adjusted Gross'!F518</f>
        <v>386017849</v>
      </c>
      <c r="V518" s="5">
        <f t="shared" si="1"/>
        <v>2020</v>
      </c>
    </row>
    <row r="519">
      <c r="A519" s="1">
        <v>518.0</v>
      </c>
      <c r="B519" s="1" t="s">
        <v>3228</v>
      </c>
      <c r="C519" s="6">
        <f>Gross_cleaning!E519</f>
        <v>26400640</v>
      </c>
      <c r="D519" s="1">
        <v>1997.0</v>
      </c>
      <c r="E519" s="1" t="s">
        <v>212</v>
      </c>
      <c r="F519" s="1" t="str">
        <f>VLOOKUP(Filmes_raw!E519,Rating_systems!$A$2:$C$29,3,FALSE)</f>
        <v>Adulto</v>
      </c>
      <c r="G519" s="2">
        <f>Gross_cleaning!F519</f>
        <v>155</v>
      </c>
      <c r="H519" s="1" t="s">
        <v>322</v>
      </c>
      <c r="I519" s="1" t="s">
        <v>20</v>
      </c>
      <c r="J519" s="1">
        <v>7.9</v>
      </c>
      <c r="K519" s="1" t="s">
        <v>3229</v>
      </c>
      <c r="L519" s="1" t="str">
        <f>IFERROR(__xludf.DUMMYFUNCTION("GOOGLETRANSLATE(K519,""en"", ""pt-br"")"),"Quando o sexo era seguro, o prazer era um negócio e negócios estava crescendo, um produtor idealista pornô aspira a elevar seu ofício para uma arte quando ele descobre um talento jovem quente.")</f>
        <v>Quando o sexo era seguro, o prazer era um negócio e negócios estava crescendo, um produtor idealista pornô aspira a elevar seu ofício para uma arte quando ele descobre um talento jovem quente.</v>
      </c>
      <c r="M519" s="1">
        <v>85.0</v>
      </c>
      <c r="N519" s="1" t="s">
        <v>1091</v>
      </c>
      <c r="O519" s="1" t="s">
        <v>311</v>
      </c>
      <c r="P519" s="1" t="s">
        <v>1728</v>
      </c>
      <c r="Q519" s="1" t="s">
        <v>3230</v>
      </c>
      <c r="R519" s="1" t="s">
        <v>3231</v>
      </c>
      <c r="S519" s="1">
        <v>239473.0</v>
      </c>
      <c r="T519" s="7" t="str">
        <f>VLOOKUP(A519,Posters!A519:B1518,2)</f>
        <v>https://m.media-amazon.com/images/M/MV5BY2E2YWYxY2QtZmJmZi00MjJlLWFiYWItZTk5Y2IyMWQ1ZThhXkEyXkFqcGdeQXVyMTMxODk2OTU@._V1_UX67_CR0,0,67,98_AL_.jpg</v>
      </c>
      <c r="U519" s="8">
        <f>'Inflation Adjusted Gross'!F519</f>
        <v>42807037</v>
      </c>
      <c r="V519" s="5">
        <f t="shared" si="1"/>
        <v>2020</v>
      </c>
    </row>
    <row r="520">
      <c r="A520" s="1">
        <v>519.0</v>
      </c>
      <c r="B520" s="1" t="s">
        <v>3232</v>
      </c>
      <c r="C520" s="6">
        <f>Gross_cleaning!E520</f>
        <v>585013</v>
      </c>
      <c r="D520" s="1">
        <v>1995.0</v>
      </c>
      <c r="E520" s="1" t="s">
        <v>52</v>
      </c>
      <c r="F520" s="1" t="str">
        <f>VLOOKUP(Filmes_raw!E520,Rating_systems!$A$2:$C$29,3,FALSE)</f>
        <v>Criança</v>
      </c>
      <c r="G520" s="2">
        <f>Gross_cleaning!F520</f>
        <v>111</v>
      </c>
      <c r="H520" s="1" t="s">
        <v>1663</v>
      </c>
      <c r="I520" s="1" t="s">
        <v>1384</v>
      </c>
      <c r="J520" s="1">
        <v>7.9</v>
      </c>
      <c r="K520" s="1" t="s">
        <v>3233</v>
      </c>
      <c r="L520" s="1" t="str">
        <f>IFERROR(__xludf.DUMMYFUNCTION("GOOGLETRANSLATE(K520,""en"", ""pt-br"")"),"Uma história de amor entre uma garota que ama ler livros, e um menino que tenha verificado anteriormente todos os livros da biblioteca que ela escolhe.")</f>
        <v>Uma história de amor entre uma garota que ama ler livros, e um menino que tenha verificado anteriormente todos os livros da biblioteca que ela escolhe.</v>
      </c>
      <c r="M520" s="1">
        <v>75.0</v>
      </c>
      <c r="N520" s="1" t="s">
        <v>3234</v>
      </c>
      <c r="O520" s="1" t="s">
        <v>3235</v>
      </c>
      <c r="P520" s="1" t="s">
        <v>3236</v>
      </c>
      <c r="Q520" s="1" t="s">
        <v>3237</v>
      </c>
      <c r="R520" s="1" t="s">
        <v>3238</v>
      </c>
      <c r="S520" s="1">
        <v>51943.0</v>
      </c>
      <c r="T520" s="7" t="str">
        <f>VLOOKUP(A520,Posters!A520:B1519,2)</f>
        <v>https://m.media-amazon.com/images/M/MV5BZDg0MWNmNjktMGEwZC00ZDlmLWI1MTUtMDBmNjQzMWM2NjBjXkEyXkFqcGdeQXVyMTMxODk2OTU@._V1_UX67_CR0,0,67,98_AL_.jpg</v>
      </c>
      <c r="U520" s="8">
        <f>'Inflation Adjusted Gross'!F520</f>
        <v>1004101</v>
      </c>
      <c r="V520" s="5">
        <f t="shared" si="1"/>
        <v>2020</v>
      </c>
    </row>
    <row r="521">
      <c r="A521" s="1">
        <v>520.0</v>
      </c>
      <c r="B521" s="1" t="s">
        <v>3239</v>
      </c>
      <c r="C521" s="6">
        <f>Gross_cleaning!E521</f>
        <v>2201126</v>
      </c>
      <c r="D521" s="1">
        <v>1994.0</v>
      </c>
      <c r="E521" s="1" t="s">
        <v>18</v>
      </c>
      <c r="F521" s="1" t="str">
        <f>VLOOKUP(Filmes_raw!E521,Rating_systems!$A$2:$C$29,3,FALSE)</f>
        <v>Adulto</v>
      </c>
      <c r="G521" s="2">
        <f>Gross_cleaning!F521</f>
        <v>102</v>
      </c>
      <c r="H521" s="1" t="s">
        <v>405</v>
      </c>
      <c r="I521" s="1" t="s">
        <v>29</v>
      </c>
      <c r="J521" s="1">
        <v>7.9</v>
      </c>
      <c r="K521" s="1" t="s">
        <v>3240</v>
      </c>
      <c r="L521" s="1" t="str">
        <f>IFERROR(__xludf.DUMMYFUNCTION("GOOGLETRANSLATE(K521,""en"", ""pt-br"")"),"Uma família descida de guerreiros maori é bedevilada por um pai violento e os problemas sociais de serem tratados como párias.")</f>
        <v>Uma família descida de guerreiros maori é bedevilada por um pai violento e os problemas sociais de serem tratados como párias.</v>
      </c>
      <c r="M521" s="1">
        <v>77.0</v>
      </c>
      <c r="N521" s="1" t="s">
        <v>3241</v>
      </c>
      <c r="O521" s="1" t="s">
        <v>3242</v>
      </c>
      <c r="P521" s="1" t="s">
        <v>3243</v>
      </c>
      <c r="Q521" s="1" t="s">
        <v>3244</v>
      </c>
      <c r="R521" s="1" t="s">
        <v>3245</v>
      </c>
      <c r="S521" s="1">
        <v>31590.0</v>
      </c>
      <c r="T521" s="7" t="str">
        <f>VLOOKUP(A521,Posters!A521:B1520,2)</f>
        <v>https://m.media-amazon.com/images/M/MV5BYTY4MTdjZDMtOTBiMC00MDEwLThhMjUtMjlhMjdlYTBmMzk3XkEyXkFqcGdeQXVyNjMwMjk0MTQ@._V1_UY98_CR1,0,67,98_AL_.jpg</v>
      </c>
      <c r="U521" s="8">
        <f>'Inflation Adjusted Gross'!F521</f>
        <v>3883903</v>
      </c>
      <c r="V521" s="5">
        <f t="shared" si="1"/>
        <v>2020</v>
      </c>
    </row>
    <row r="522">
      <c r="A522" s="1">
        <v>521.0</v>
      </c>
      <c r="B522" s="1" t="s">
        <v>3246</v>
      </c>
      <c r="C522" s="6">
        <f>Gross_cleaning!E522</f>
        <v>12281500</v>
      </c>
      <c r="D522" s="1">
        <v>1993.0</v>
      </c>
      <c r="E522" s="1" t="s">
        <v>212</v>
      </c>
      <c r="F522" s="1" t="str">
        <f>VLOOKUP(Filmes_raw!E522,Rating_systems!$A$2:$C$29,3,FALSE)</f>
        <v>Adulto</v>
      </c>
      <c r="G522" s="2">
        <f>Gross_cleaning!F522</f>
        <v>119</v>
      </c>
      <c r="H522" s="1" t="s">
        <v>329</v>
      </c>
      <c r="I522" s="1" t="s">
        <v>2372</v>
      </c>
      <c r="J522" s="1">
        <v>7.9</v>
      </c>
      <c r="K522" s="1" t="s">
        <v>3247</v>
      </c>
      <c r="L522" s="1" t="str">
        <f>IFERROR(__xludf.DUMMYFUNCTION("GOOGLETRANSLATE(K522,""en"", ""pt-br"")"),"Em Detroit, um geek de cultura pop solitário se casa com uma garota de chamadas, rouba cocaína de seu cafetão e tenta vendê-lo em Hollywood. Enquanto isso, os proprietários da cocaína, a turba, rastreando-os em uma tentativa de recuperá-lo.")</f>
        <v>Em Detroit, um geek de cultura pop solitário se casa com uma garota de chamadas, rouba cocaína de seu cafetão e tenta vendê-lo em Hollywood. Enquanto isso, os proprietários da cocaína, a turba, rastreando-os em uma tentativa de recuperá-lo.</v>
      </c>
      <c r="M522" s="1">
        <v>59.0</v>
      </c>
      <c r="N522" s="1" t="s">
        <v>3248</v>
      </c>
      <c r="O522" s="1" t="s">
        <v>3249</v>
      </c>
      <c r="P522" s="1" t="s">
        <v>3089</v>
      </c>
      <c r="Q522" s="1" t="s">
        <v>3250</v>
      </c>
      <c r="R522" s="1" t="s">
        <v>1177</v>
      </c>
      <c r="S522" s="1">
        <v>206918.0</v>
      </c>
      <c r="T522" s="7" t="str">
        <f>VLOOKUP(A522,Posters!A522:B1521,2)</f>
        <v>https://m.media-amazon.com/images/M/MV5BMDViNjFjOWMtZGZhMi00NmIyLThmYzktODA4MzJhZDZhMDc5XkEyXkFqcGdeQXVyNzkwMjQ5NzM@._V1_UY98_CR1,0,67,98_AL_.jpg</v>
      </c>
      <c r="U522" s="8">
        <f>'Inflation Adjusted Gross'!F522</f>
        <v>22217888</v>
      </c>
      <c r="V522" s="5">
        <f t="shared" si="1"/>
        <v>2020</v>
      </c>
    </row>
    <row r="523">
      <c r="A523" s="1">
        <v>522.0</v>
      </c>
      <c r="B523" s="1" t="s">
        <v>3251</v>
      </c>
      <c r="C523" s="6">
        <f>Gross_cleaning!E523</f>
        <v>1324974</v>
      </c>
      <c r="D523" s="1">
        <v>1993.0</v>
      </c>
      <c r="E523" s="1" t="s">
        <v>52</v>
      </c>
      <c r="F523" s="1" t="str">
        <f>VLOOKUP(Filmes_raw!E523,Rating_systems!$A$2:$C$29,3,FALSE)</f>
        <v>Criança</v>
      </c>
      <c r="G523" s="2">
        <f>Gross_cleaning!F523</f>
        <v>94</v>
      </c>
      <c r="H523" s="1" t="s">
        <v>1882</v>
      </c>
      <c r="I523" s="1" t="s">
        <v>3252</v>
      </c>
      <c r="J523" s="1">
        <v>7.9</v>
      </c>
      <c r="K523" s="1" t="s">
        <v>3253</v>
      </c>
      <c r="L523" s="1" t="str">
        <f>IFERROR(__xludf.DUMMYFUNCTION("GOOGLETRANSLATE(K523,""en"", ""pt-br"")"),"Uma mulher se esforça para encontrar uma maneira de viver sua vida após a morte de seu marido e filho.")</f>
        <v>Uma mulher se esforça para encontrar uma maneira de viver sua vida após a morte de seu marido e filho.</v>
      </c>
      <c r="M523" s="1">
        <v>85.0</v>
      </c>
      <c r="N523" s="1" t="s">
        <v>1771</v>
      </c>
      <c r="O523" s="1" t="s">
        <v>3254</v>
      </c>
      <c r="P523" s="1" t="s">
        <v>3255</v>
      </c>
      <c r="Q523" s="1" t="s">
        <v>1643</v>
      </c>
      <c r="R523" s="1" t="s">
        <v>3256</v>
      </c>
      <c r="S523" s="1">
        <v>89836.0</v>
      </c>
      <c r="T523" s="7" t="str">
        <f>VLOOKUP(A523,Posters!A523:B1522,2)</f>
        <v>https://m.media-amazon.com/images/M/MV5BMjg5OGU4OGYtNTZmNy00MjQ1LWIzYzgtMTllMGY2NzlkNzYwXkEyXkFqcGdeQXVyMTI3ODAyMzE2._V1_UY98_CR2,0,67,98_AL_.jpg</v>
      </c>
      <c r="U523" s="8">
        <f>'Inflation Adjusted Gross'!F523</f>
        <v>2396949</v>
      </c>
      <c r="V523" s="5">
        <f t="shared" si="1"/>
        <v>2020</v>
      </c>
    </row>
    <row r="524">
      <c r="A524" s="1">
        <v>523.0</v>
      </c>
      <c r="B524" s="1" t="s">
        <v>3257</v>
      </c>
      <c r="C524" s="6">
        <f>Gross_cleaning!E524</f>
        <v>1073</v>
      </c>
      <c r="D524" s="1">
        <v>1993.0</v>
      </c>
      <c r="E524" s="1" t="s">
        <v>18</v>
      </c>
      <c r="F524" s="1" t="str">
        <f>VLOOKUP(Filmes_raw!E524,Rating_systems!$A$2:$C$29,3,FALSE)</f>
        <v>Adulto</v>
      </c>
      <c r="G524" s="2">
        <f>Gross_cleaning!F524</f>
        <v>94</v>
      </c>
      <c r="H524" s="1" t="s">
        <v>1882</v>
      </c>
      <c r="I524" s="1" t="s">
        <v>467</v>
      </c>
      <c r="J524" s="1">
        <v>7.9</v>
      </c>
      <c r="K524" s="1" t="s">
        <v>3258</v>
      </c>
      <c r="L524" s="1" t="str">
        <f>IFERROR(__xludf.DUMMYFUNCTION("GOOGLETRANSLATE(K524,""en"", ""pt-br"")"),"Um vagabundo de vagabundo é auxiliado por uma linda garota ninja e um espião astoiro em confrontar um clã demoníaco de assassinos - com um fantasma de seu passado como seu líder - que estão empenhados em derrubar o togunato de Tokugawa.")</f>
        <v>Um vagabundo de vagabundo é auxiliado por uma linda garota ninja e um espião astoiro em confrontar um clã demoníaco de assassinos - com um fantasma de seu passado como seu líder - que estão empenhados em derrubar o togunato de Tokugawa.</v>
      </c>
      <c r="N524" s="1" t="s">
        <v>3259</v>
      </c>
      <c r="O524" s="1" t="s">
        <v>2557</v>
      </c>
      <c r="P524" s="1" t="s">
        <v>3260</v>
      </c>
      <c r="Q524" s="1" t="s">
        <v>3261</v>
      </c>
      <c r="R524" s="1" t="s">
        <v>3262</v>
      </c>
      <c r="S524" s="1">
        <v>34529.0</v>
      </c>
      <c r="T524" s="7" t="str">
        <f>VLOOKUP(A524,Posters!A524:B1523,2)</f>
        <v>https://m.media-amazon.com/images/M/MV5BOTMyZGI4N2YtMzdkNi00MDZmLTg4NmItMzg0ODY5NjdhZjYwL2ltYWdlL2ltYWdlXkEyXkFqcGdeQXVyMzM4MjM0Nzg@._V1_UY98_CR1,0,67,98_AL_.jpg</v>
      </c>
      <c r="U524" s="8">
        <f>'Inflation Adjusted Gross'!F524</f>
        <v>1941</v>
      </c>
      <c r="V524" s="5">
        <f t="shared" si="1"/>
        <v>2020</v>
      </c>
    </row>
    <row r="525">
      <c r="A525" s="1">
        <v>524.0</v>
      </c>
      <c r="B525" s="1" t="s">
        <v>3263</v>
      </c>
      <c r="C525" s="6">
        <f>Gross_cleaning!E525</f>
        <v>36948322</v>
      </c>
      <c r="D525" s="1">
        <v>1993.0</v>
      </c>
      <c r="E525" s="1" t="s">
        <v>18</v>
      </c>
      <c r="F525" s="1" t="str">
        <f>VLOOKUP(Filmes_raw!E525,Rating_systems!$A$2:$C$29,3,FALSE)</f>
        <v>Adulto</v>
      </c>
      <c r="G525" s="2">
        <f>Gross_cleaning!F525</f>
        <v>144</v>
      </c>
      <c r="H525" s="1" t="s">
        <v>1618</v>
      </c>
      <c r="I525" s="1" t="s">
        <v>241</v>
      </c>
      <c r="J525" s="1">
        <v>7.9</v>
      </c>
      <c r="K525" s="1" t="s">
        <v>3264</v>
      </c>
      <c r="L525" s="1" t="str">
        <f>IFERROR(__xludf.DUMMYFUNCTION("GOOGLETRANSLATE(K525,""en"", ""pt-br"")"),"Um ex-condenado porto-riquenho, apenas liberado da prisão, compromete-se a ficar longe de drogas e violência, apesar da pressão ao redor e leva a uma vida melhor fora de n.y.c.")</f>
        <v>Um ex-condenado porto-riquenho, apenas liberado da prisão, compromete-se a ficar longe de drogas e violência, apesar da pressão ao redor e leva a uma vida melhor fora de n.y.c.</v>
      </c>
      <c r="M525" s="1">
        <v>65.0</v>
      </c>
      <c r="N525" s="1" t="s">
        <v>809</v>
      </c>
      <c r="O525" s="1" t="s">
        <v>33</v>
      </c>
      <c r="P525" s="1" t="s">
        <v>1605</v>
      </c>
      <c r="Q525" s="1" t="s">
        <v>3265</v>
      </c>
      <c r="R525" s="1" t="s">
        <v>3266</v>
      </c>
      <c r="S525" s="1">
        <v>201000.0</v>
      </c>
      <c r="T525" s="7" t="str">
        <f>VLOOKUP(A525,Posters!A525:B1524,2)</f>
        <v>https://m.media-amazon.com/images/M/MV5BN2I2N2Q1YmMtMzZkMC00Y2JjLWJmOWUtNjc2OTM2ZTk1MjUyXkEyXkFqcGdeQXVyNzkwMjQ5NzM@._V1_UX67_CR0,0,67,98_AL_.jpg</v>
      </c>
      <c r="U525" s="8">
        <f>'Inflation Adjusted Gross'!F525</f>
        <v>66841484</v>
      </c>
      <c r="V525" s="5">
        <f t="shared" si="1"/>
        <v>2020</v>
      </c>
    </row>
    <row r="526">
      <c r="A526" s="1">
        <v>525.0</v>
      </c>
      <c r="B526" s="1" t="s">
        <v>3267</v>
      </c>
      <c r="C526" s="6">
        <f>Gross_cleaning!E526</f>
        <v>56362352</v>
      </c>
      <c r="D526" s="1">
        <v>1990.0</v>
      </c>
      <c r="E526" s="1" t="s">
        <v>52</v>
      </c>
      <c r="F526" s="1" t="str">
        <f>VLOOKUP(Filmes_raw!E526,Rating_systems!$A$2:$C$29,3,FALSE)</f>
        <v>Criança</v>
      </c>
      <c r="G526" s="2">
        <f>Gross_cleaning!F526</f>
        <v>105</v>
      </c>
      <c r="H526" s="1" t="s">
        <v>487</v>
      </c>
      <c r="I526" s="1" t="s">
        <v>2634</v>
      </c>
      <c r="J526" s="1">
        <v>7.9</v>
      </c>
      <c r="K526" s="1" t="s">
        <v>3268</v>
      </c>
      <c r="L526" s="1" t="str">
        <f>IFERROR(__xludf.DUMMYFUNCTION("GOOGLETRANSLATE(K526,""en"", ""pt-br"")"),"Um homem artificial, que foi incompletamente construído e tem uma tesoura para as mãos, leva uma vida solitária. Então, um dia, uma senhora suburbana o encontra e a apresenta ao mundo dela.")</f>
        <v>Um homem artificial, que foi incompletamente construído e tem uma tesoura para as mãos, leva uma vida solitária. Então, um dia, uma senhora suburbana o encontra e a apresenta ao mundo dela.</v>
      </c>
      <c r="M526" s="1">
        <v>74.0</v>
      </c>
      <c r="N526" s="1" t="s">
        <v>2454</v>
      </c>
      <c r="O526" s="1" t="s">
        <v>2451</v>
      </c>
      <c r="P526" s="1" t="s">
        <v>2331</v>
      </c>
      <c r="Q526" s="1" t="s">
        <v>3269</v>
      </c>
      <c r="R526" s="1" t="s">
        <v>3270</v>
      </c>
      <c r="S526" s="1">
        <v>447368.0</v>
      </c>
      <c r="T526" s="7" t="str">
        <f>VLOOKUP(A526,Posters!A526:B1525,2)</f>
        <v>https://m.media-amazon.com/images/M/MV5BNDUxN2I5NDUtZjdlMC00NjlmLTg0OTQtNjk0NjAxZjFmZTUzXkEyXkFqcGdeQXVyMTQxNzMzNDI@._V1_UX67_CR0,0,67,98_AL_.jpg</v>
      </c>
      <c r="U526" s="8">
        <f>'Inflation Adjusted Gross'!F526</f>
        <v>114127569</v>
      </c>
      <c r="V526" s="5">
        <f t="shared" si="1"/>
        <v>2020</v>
      </c>
    </row>
    <row r="527">
      <c r="A527" s="1">
        <v>526.0</v>
      </c>
      <c r="B527" s="1" t="s">
        <v>3271</v>
      </c>
      <c r="C527" s="6">
        <f>Gross_cleaning!E527</f>
        <v>14743391</v>
      </c>
      <c r="D527" s="1">
        <v>1989.0</v>
      </c>
      <c r="E527" s="1" t="s">
        <v>52</v>
      </c>
      <c r="F527" s="1" t="str">
        <f>VLOOKUP(Filmes_raw!E527,Rating_systems!$A$2:$C$29,3,FALSE)</f>
        <v>Criança</v>
      </c>
      <c r="G527" s="2">
        <f>Gross_cleaning!F527</f>
        <v>103</v>
      </c>
      <c r="H527" s="1" t="s">
        <v>885</v>
      </c>
      <c r="I527" s="1" t="s">
        <v>1148</v>
      </c>
      <c r="J527" s="1">
        <v>7.9</v>
      </c>
      <c r="K527" s="1" t="s">
        <v>3272</v>
      </c>
      <c r="L527" s="1" t="str">
        <f>IFERROR(__xludf.DUMMYFUNCTION("GOOGLETRANSLATE(K527,""en"", ""pt-br"")"),"Christy Brown, nascido com paralisia cerebral, aprende a pintar e escrever com seu único membro controlável - seu pé esquerdo.")</f>
        <v>Christy Brown, nascido com paralisia cerebral, aprende a pintar e escrever com seu único membro controlável - seu pé esquerdo.</v>
      </c>
      <c r="M527" s="1">
        <v>97.0</v>
      </c>
      <c r="N527" s="1" t="s">
        <v>1789</v>
      </c>
      <c r="O527" s="1" t="s">
        <v>1092</v>
      </c>
      <c r="P527" s="1" t="s">
        <v>3273</v>
      </c>
      <c r="Q527" s="1" t="s">
        <v>3274</v>
      </c>
      <c r="R527" s="1" t="s">
        <v>3275</v>
      </c>
      <c r="S527" s="1">
        <v>68076.0</v>
      </c>
      <c r="T527" s="7" t="str">
        <f>VLOOKUP(A527,Posters!A527:B1526,2)</f>
        <v>https://m.media-amazon.com/images/M/MV5BYjdkNzA4MzYtZThhOS00ZDgzLTlmMDItNmY1ZjI5YjkzZTE1XkEyXkFqcGdeQXVyMTQxNzMzNDI@._V1_UX67_CR0,0,67,98_AL_.jpg</v>
      </c>
      <c r="U527" s="8">
        <f>'Inflation Adjusted Gross'!F527</f>
        <v>31406832</v>
      </c>
      <c r="V527" s="5">
        <f t="shared" si="1"/>
        <v>2020</v>
      </c>
    </row>
    <row r="528">
      <c r="A528" s="1">
        <v>527.0</v>
      </c>
      <c r="B528" s="1" t="s">
        <v>3276</v>
      </c>
      <c r="C528" s="6">
        <f>Gross_cleaning!E528</f>
        <v>18254702</v>
      </c>
      <c r="D528" s="1">
        <v>1989.0</v>
      </c>
      <c r="E528" s="1" t="s">
        <v>161</v>
      </c>
      <c r="F528" s="1" t="str">
        <f>VLOOKUP(Filmes_raw!E528,Rating_systems!$A$2:$C$29,3,FALSE)</f>
        <v>Criança</v>
      </c>
      <c r="G528" s="2">
        <f>Gross_cleaning!F528</f>
        <v>104</v>
      </c>
      <c r="H528" s="1" t="s">
        <v>647</v>
      </c>
      <c r="I528" s="1" t="s">
        <v>507</v>
      </c>
      <c r="J528" s="1">
        <v>7.9</v>
      </c>
      <c r="K528" s="1" t="s">
        <v>3277</v>
      </c>
      <c r="L528" s="1" t="str">
        <f>IFERROR(__xludf.DUMMYFUNCTION("GOOGLETRANSLATE(K528,""en"", ""pt-br"")"),"A amante de um oftalmologista ameaça revelar seu caso para sua esposa, enquanto um documentário casado é apaixonado por outra mulher.")</f>
        <v>A amante de um oftalmologista ameaça revelar seu caso para sua esposa, enquanto um documentário casado é apaixonado por outra mulher.</v>
      </c>
      <c r="M528" s="1">
        <v>77.0</v>
      </c>
      <c r="N528" s="1" t="s">
        <v>2671</v>
      </c>
      <c r="O528" s="1" t="s">
        <v>3278</v>
      </c>
      <c r="P528" s="1" t="s">
        <v>2671</v>
      </c>
      <c r="Q528" s="1" t="s">
        <v>3279</v>
      </c>
      <c r="R528" s="1" t="s">
        <v>3280</v>
      </c>
      <c r="S528" s="1">
        <v>54670.0</v>
      </c>
      <c r="T528" s="7" t="str">
        <f>VLOOKUP(A528,Posters!A528:B1527,2)</f>
        <v>https://m.media-amazon.com/images/M/MV5BYWY3N2EyOWYtNDVhZi00MWRkLTg2OTUtODNkNDQ5ZTIwMGJkXkEyXkFqcGdeQXVyMTMxODk2OTU@._V1_UX67_CR0,0,67,98_AL_.jpg</v>
      </c>
      <c r="U528" s="8">
        <f>'Inflation Adjusted Gross'!F528</f>
        <v>38886736</v>
      </c>
      <c r="V528" s="5">
        <f t="shared" si="1"/>
        <v>2020</v>
      </c>
    </row>
    <row r="529">
      <c r="A529" s="1">
        <v>528.0</v>
      </c>
      <c r="B529" s="1" t="s">
        <v>3281</v>
      </c>
      <c r="C529" s="6">
        <f>Gross_cleaning!E529</f>
        <v>76270454</v>
      </c>
      <c r="D529" s="1">
        <v>1987.0</v>
      </c>
      <c r="E529" s="1" t="s">
        <v>18</v>
      </c>
      <c r="F529" s="1" t="str">
        <f>VLOOKUP(Filmes_raw!E529,Rating_systems!$A$2:$C$29,3,FALSE)</f>
        <v>Adulto</v>
      </c>
      <c r="G529" s="2">
        <f>Gross_cleaning!F529</f>
        <v>119</v>
      </c>
      <c r="H529" s="1" t="s">
        <v>329</v>
      </c>
      <c r="I529" s="1" t="s">
        <v>241</v>
      </c>
      <c r="J529" s="1">
        <v>7.9</v>
      </c>
      <c r="K529" s="1" t="s">
        <v>3282</v>
      </c>
      <c r="L529" s="1" t="str">
        <f>IFERROR(__xludf.DUMMYFUNCTION("GOOGLETRANSLATE(K529,""en"", ""pt-br"")"),"Durante a era da proibição nos Estados Unidos, o Agente Federal Eliot Ness estabelece para interromper o reputador Chicago Gangster Al Capone e, por causa da corrupção desenfreada, monta uma pequena equipe escolhida à mão para ajudá-lo.")</f>
        <v>Durante a era da proibição nos Estados Unidos, o Agente Federal Eliot Ness estabelece para interromper o reputador Chicago Gangster Al Capone e, por causa da corrupção desenfreada, monta uma pequena equipe escolhida à mão para ajudá-lo.</v>
      </c>
      <c r="M529" s="1">
        <v>79.0</v>
      </c>
      <c r="N529" s="1" t="s">
        <v>809</v>
      </c>
      <c r="O529" s="1" t="s">
        <v>2595</v>
      </c>
      <c r="P529" s="1" t="s">
        <v>1195</v>
      </c>
      <c r="Q529" s="1" t="s">
        <v>49</v>
      </c>
      <c r="R529" s="1" t="s">
        <v>3283</v>
      </c>
      <c r="S529" s="1">
        <v>281842.0</v>
      </c>
      <c r="T529" s="7" t="str">
        <f>VLOOKUP(A529,Posters!A529:B1528,2)</f>
        <v>https://m.media-amazon.com/images/M/MV5BYTVjYWJmMWQtYWU4Ni00MWY3LWI2YmMtNTI5MDE0MWVmMmEzL2ltYWdlXkEyXkFqcGdeQXVyMTQxNzMzNDI@._V1_UX67_CR0,0,67,98_AL_.jpg</v>
      </c>
      <c r="U529" s="8">
        <f>'Inflation Adjusted Gross'!F529</f>
        <v>176938537</v>
      </c>
      <c r="V529" s="5">
        <f t="shared" si="1"/>
        <v>2020</v>
      </c>
    </row>
    <row r="530">
      <c r="A530" s="1">
        <v>529.0</v>
      </c>
      <c r="B530" s="1" t="s">
        <v>3284</v>
      </c>
      <c r="C530" s="6">
        <f>Gross_cleaning!E530</f>
        <v>40084041</v>
      </c>
      <c r="D530" s="1">
        <v>1986.0</v>
      </c>
      <c r="E530" s="1" t="s">
        <v>161</v>
      </c>
      <c r="F530" s="1" t="str">
        <f>VLOOKUP(Filmes_raw!E530,Rating_systems!$A$2:$C$29,3,FALSE)</f>
        <v>Criança</v>
      </c>
      <c r="G530" s="2">
        <f>Gross_cleaning!F530</f>
        <v>107</v>
      </c>
      <c r="H530" s="1" t="s">
        <v>907</v>
      </c>
      <c r="I530" s="1" t="s">
        <v>507</v>
      </c>
      <c r="J530" s="1">
        <v>7.9</v>
      </c>
      <c r="K530" s="1" t="s">
        <v>3285</v>
      </c>
      <c r="L530" s="1" t="str">
        <f>IFERROR(__xludf.DUMMYFUNCTION("GOOGLETRANSLATE(K530,""en"", ""pt-br"")"),"Entre dois Ação de Graças, dois anos de intervalo, o marido de Hannah se apaixona por sua irmã Lee, enquanto seu ex-marido hipocondríaco reacende seu relacionamento com sua irmã Holly.")</f>
        <v>Entre dois Ação de Graças, dois anos de intervalo, o marido de Hannah se apaixona por sua irmã Lee, enquanto seu ex-marido hipocondríaco reacende seu relacionamento com sua irmã Holly.</v>
      </c>
      <c r="M530" s="1">
        <v>90.0</v>
      </c>
      <c r="N530" s="1" t="s">
        <v>2671</v>
      </c>
      <c r="O530" s="1" t="s">
        <v>2728</v>
      </c>
      <c r="P530" s="1" t="s">
        <v>3269</v>
      </c>
      <c r="Q530" s="1" t="s">
        <v>45</v>
      </c>
      <c r="R530" s="1" t="s">
        <v>3286</v>
      </c>
      <c r="S530" s="1">
        <v>67176.0</v>
      </c>
      <c r="T530" s="7" t="str">
        <f>VLOOKUP(A530,Posters!A530:B1529,2)</f>
        <v>https://m.media-amazon.com/images/M/MV5BMWZiNWUwYjMtM2Y1Yi00MTZmLWEwYzctNjVmYWM0OTFlZDFhXkEyXkFqcGdeQXVyMTMxODk2OTU@._V1_UX67_CR0,0,67,98_AL_.jpg</v>
      </c>
      <c r="U530" s="8">
        <f>'Inflation Adjusted Gross'!F530</f>
        <v>94347812</v>
      </c>
      <c r="V530" s="5">
        <f t="shared" si="1"/>
        <v>2020</v>
      </c>
    </row>
    <row r="531">
      <c r="A531" s="1">
        <v>530.0</v>
      </c>
      <c r="B531" s="1" t="s">
        <v>3287</v>
      </c>
      <c r="C531" s="6">
        <f>Gross_cleaning!E531</f>
        <v>9929135</v>
      </c>
      <c r="D531" s="1">
        <v>1985.0</v>
      </c>
      <c r="E531" s="1" t="s">
        <v>52</v>
      </c>
      <c r="F531" s="1" t="str">
        <f>VLOOKUP(Filmes_raw!E531,Rating_systems!$A$2:$C$29,3,FALSE)</f>
        <v>Criança</v>
      </c>
      <c r="G531" s="2">
        <f>Gross_cleaning!F531</f>
        <v>132</v>
      </c>
      <c r="H531" s="1" t="s">
        <v>170</v>
      </c>
      <c r="I531" s="1" t="s">
        <v>928</v>
      </c>
      <c r="J531" s="1">
        <v>7.9</v>
      </c>
      <c r="K531" s="1" t="s">
        <v>3288</v>
      </c>
      <c r="L531" s="1" t="str">
        <f>IFERROR(__xludf.DUMMYFUNCTION("GOOGLETRANSLATE(K531,""en"", ""pt-br"")"),"Um burocrata em uma sociedade distópica se torna um inimigo do estado enquanto persegue a mulher de seus sonhos.")</f>
        <v>Um burocrata em uma sociedade distópica se torna um inimigo do estado enquanto persegue a mulher de seus sonhos.</v>
      </c>
      <c r="M531" s="1">
        <v>84.0</v>
      </c>
      <c r="N531" s="1" t="s">
        <v>1262</v>
      </c>
      <c r="O531" s="1" t="s">
        <v>3289</v>
      </c>
      <c r="P531" s="1" t="s">
        <v>3290</v>
      </c>
      <c r="Q531" s="1" t="s">
        <v>49</v>
      </c>
      <c r="R531" s="1" t="s">
        <v>3291</v>
      </c>
      <c r="S531" s="1">
        <v>187567.0</v>
      </c>
      <c r="T531" s="7" t="str">
        <f>VLOOKUP(A531,Posters!A531:B1530,2)</f>
        <v>https://m.media-amazon.com/images/M/MV5BMzIwM2IwYTItYmM4Zi00OWMzLTkwNjAtYWRmYWNmY2RhMDk0XkEyXkFqcGdeQXVyNjU0OTQ0OTY@._V1_UX67_CR0,0,67,98_AL_.jpg</v>
      </c>
      <c r="U531" s="8">
        <f>'Inflation Adjusted Gross'!F531</f>
        <v>24278947</v>
      </c>
      <c r="V531" s="5">
        <f t="shared" si="1"/>
        <v>2020</v>
      </c>
    </row>
    <row r="532">
      <c r="A532" s="1">
        <v>531.0</v>
      </c>
      <c r="B532" s="1" t="s">
        <v>3292</v>
      </c>
      <c r="C532" s="6">
        <f>Gross_cleaning!E532</f>
        <v>188751</v>
      </c>
      <c r="D532" s="1">
        <v>1984.0</v>
      </c>
      <c r="E532" s="1" t="s">
        <v>212</v>
      </c>
      <c r="F532" s="1" t="str">
        <f>VLOOKUP(Filmes_raw!E532,Rating_systems!$A$2:$C$29,3,FALSE)</f>
        <v>Adulto</v>
      </c>
      <c r="G532" s="2">
        <f>Gross_cleaning!F532</f>
        <v>82</v>
      </c>
      <c r="H532" s="1" t="s">
        <v>3293</v>
      </c>
      <c r="I532" s="1" t="s">
        <v>3294</v>
      </c>
      <c r="J532" s="1">
        <v>7.9</v>
      </c>
      <c r="K532" s="1" t="s">
        <v>3295</v>
      </c>
      <c r="L532" s="1" t="str">
        <f>IFERROR(__xludf.DUMMYFUNCTION("GOOGLETRANSLATE(K532,""en"", ""pt-br"")"),"Spinal Tap, uma das bandas mais altas da Inglaterra, é croniculada pelo diretor cinematográfico Marty Dibergi no que prova ser uma excursão fatídica.")</f>
        <v>Spinal Tap, uma das bandas mais altas da Inglaterra, é croniculada pelo diretor cinematográfico Marty Dibergi no que prova ser uma excursão fatídica.</v>
      </c>
      <c r="M532" s="1">
        <v>92.0</v>
      </c>
      <c r="N532" s="1" t="s">
        <v>1815</v>
      </c>
      <c r="O532" s="1" t="s">
        <v>1815</v>
      </c>
      <c r="P532" s="1" t="s">
        <v>3296</v>
      </c>
      <c r="Q532" s="1" t="s">
        <v>3297</v>
      </c>
      <c r="R532" s="1" t="s">
        <v>3298</v>
      </c>
      <c r="S532" s="1">
        <v>128812.0</v>
      </c>
      <c r="T532" s="7" t="str">
        <f>VLOOKUP(A532,Posters!A532:B1531,2)</f>
        <v>https://m.media-amazon.com/images/M/MV5BMTQ2MTIzMzg5Nl5BMl5BanBnXkFtZTgwOTc5NDI1MDE@._V1_UX67_CR0,0,67,98_AL_.jpg</v>
      </c>
      <c r="U532" s="8">
        <f>'Inflation Adjusted Gross'!F532</f>
        <v>477844</v>
      </c>
      <c r="V532" s="5">
        <f t="shared" si="1"/>
        <v>2020</v>
      </c>
    </row>
    <row r="533">
      <c r="A533" s="1">
        <v>532.0</v>
      </c>
      <c r="B533" s="1" t="s">
        <v>3299</v>
      </c>
      <c r="C533" s="6">
        <f>Gross_cleaning!E533</f>
        <v>20605209</v>
      </c>
      <c r="D533" s="1">
        <v>1983.0</v>
      </c>
      <c r="E533" s="1" t="s">
        <v>52</v>
      </c>
      <c r="F533" s="1" t="str">
        <f>VLOOKUP(Filmes_raw!E533,Rating_systems!$A$2:$C$29,3,FALSE)</f>
        <v>Criança</v>
      </c>
      <c r="G533" s="2">
        <f>Gross_cleaning!F533</f>
        <v>93</v>
      </c>
      <c r="H533" s="1" t="s">
        <v>1521</v>
      </c>
      <c r="I533" s="1" t="s">
        <v>3300</v>
      </c>
      <c r="J533" s="1">
        <v>7.9</v>
      </c>
      <c r="K533" s="1" t="s">
        <v>3301</v>
      </c>
      <c r="L533" s="1" t="str">
        <f>IFERROR(__xludf.DUMMYFUNCTION("GOOGLETRANSLATE(K533,""en"", ""pt-br"")"),"Na década de 1940, um menino chamado Ralphie tenta convencer seus pais, seu professor e Santa que uma arma Red Ryder BB é o presente perfeito de Natal.")</f>
        <v>Na década de 1940, um menino chamado Ralphie tenta convencer seus pais, seu professor e Santa que uma arma Red Ryder BB é o presente perfeito de Natal.</v>
      </c>
      <c r="M533" s="1">
        <v>77.0</v>
      </c>
      <c r="N533" s="1" t="s">
        <v>3302</v>
      </c>
      <c r="O533" s="1" t="s">
        <v>3303</v>
      </c>
      <c r="P533" s="1" t="s">
        <v>3304</v>
      </c>
      <c r="Q533" s="1" t="s">
        <v>3305</v>
      </c>
      <c r="R533" s="1" t="s">
        <v>3306</v>
      </c>
      <c r="S533" s="1">
        <v>132947.0</v>
      </c>
      <c r="T533" s="7" t="str">
        <f>VLOOKUP(A533,Posters!A533:B1532,2)</f>
        <v>https://m.media-amazon.com/images/M/MV5BOWMyNjE0MzEtMzVjNy00NjIxLTg0ZjMtMWJhNGI1YmVjYTczL2ltYWdlXkEyXkFqcGdeQXVyNzc5MjA3OA@@._V1_UX67_CR0,0,67,98_AL_.jpg</v>
      </c>
      <c r="U533" s="8">
        <f>'Inflation Adjusted Gross'!F533</f>
        <v>54351190</v>
      </c>
      <c r="V533" s="5">
        <f t="shared" si="1"/>
        <v>2020</v>
      </c>
    </row>
    <row r="534">
      <c r="A534" s="1">
        <v>533.0</v>
      </c>
      <c r="B534" s="1" t="s">
        <v>3307</v>
      </c>
      <c r="C534" s="6">
        <f>Gross_cleaning!E534</f>
        <v>57229890</v>
      </c>
      <c r="D534" s="1">
        <v>1980.0</v>
      </c>
      <c r="E534" s="1" t="s">
        <v>52</v>
      </c>
      <c r="F534" s="1" t="str">
        <f>VLOOKUP(Filmes_raw!E534,Rating_systems!$A$2:$C$29,3,FALSE)</f>
        <v>Criança</v>
      </c>
      <c r="G534" s="2">
        <f>Gross_cleaning!F534</f>
        <v>133</v>
      </c>
      <c r="H534" s="1" t="s">
        <v>153</v>
      </c>
      <c r="I534" s="1" t="s">
        <v>1252</v>
      </c>
      <c r="J534" s="1">
        <v>7.9</v>
      </c>
      <c r="K534" s="1" t="s">
        <v>3308</v>
      </c>
      <c r="L534" s="1" t="str">
        <f>IFERROR(__xludf.DUMMYFUNCTION("GOOGLETRANSLATE(K534,""en"", ""pt-br"")"),"Jake Blues, apenas libertado da prisão, coloca sua antiga banda para salvar a casa católica, onde ele e seu irmão Elwood foram criados.")</f>
        <v>Jake Blues, apenas libertado da prisão, coloca sua antiga banda para salvar a casa católica, onde ele e seu irmão Elwood foram criados.</v>
      </c>
      <c r="M534" s="1">
        <v>60.0</v>
      </c>
      <c r="N534" s="1" t="s">
        <v>3309</v>
      </c>
      <c r="O534" s="1" t="s">
        <v>3310</v>
      </c>
      <c r="P534" s="1" t="s">
        <v>3311</v>
      </c>
      <c r="Q534" s="1" t="s">
        <v>3312</v>
      </c>
      <c r="R534" s="1" t="s">
        <v>3313</v>
      </c>
      <c r="S534" s="1">
        <v>183182.0</v>
      </c>
      <c r="T534" s="7" t="str">
        <f>VLOOKUP(A534,Posters!A534:B1533,2)</f>
        <v>https://m.media-amazon.com/images/M/MV5BYTdlMDExOGUtN2I3MS00MjY5LWE1NTAtYzc3MzIxN2M3OWY1XkEyXkFqcGdeQXVyNzkwMjQ5NzM@._V1_UX67_CR0,0,67,98_AL_.jpg</v>
      </c>
      <c r="U534" s="8">
        <f>'Inflation Adjusted Gross'!F534</f>
        <v>189764164</v>
      </c>
      <c r="V534" s="5">
        <f t="shared" si="1"/>
        <v>2020</v>
      </c>
    </row>
    <row r="535">
      <c r="A535" s="1">
        <v>534.0</v>
      </c>
      <c r="B535" s="1" t="s">
        <v>3314</v>
      </c>
      <c r="C535" s="6">
        <f>Gross_cleaning!E535</f>
        <v>45700000</v>
      </c>
      <c r="D535" s="1">
        <v>1979.0</v>
      </c>
      <c r="E535" s="1" t="s">
        <v>212</v>
      </c>
      <c r="F535" s="1" t="str">
        <f>VLOOKUP(Filmes_raw!E535,Rating_systems!$A$2:$C$29,3,FALSE)</f>
        <v>Adulto</v>
      </c>
      <c r="G535" s="2">
        <f>Gross_cleaning!F535</f>
        <v>96</v>
      </c>
      <c r="H535" s="1" t="s">
        <v>53</v>
      </c>
      <c r="I535" s="1" t="s">
        <v>227</v>
      </c>
      <c r="J535" s="1">
        <v>7.9</v>
      </c>
      <c r="K535" s="1" t="s">
        <v>3315</v>
      </c>
      <c r="L535" s="1" t="str">
        <f>IFERROR(__xludf.DUMMYFUNCTION("GOOGLETRANSLATE(K535,""en"", ""pt-br"")"),"A vida de um escritor de televisão divorciada que namora uma adolescente é mais complicada quando se apaixona pela amante de sua melhor amiga.")</f>
        <v>A vida de um escritor de televisão divorciada que namora uma adolescente é mais complicada quando se apaixona pela amante de sua melhor amiga.</v>
      </c>
      <c r="M535" s="1">
        <v>83.0</v>
      </c>
      <c r="N535" s="1" t="s">
        <v>2671</v>
      </c>
      <c r="O535" s="1" t="s">
        <v>2671</v>
      </c>
      <c r="P535" s="1" t="s">
        <v>35</v>
      </c>
      <c r="Q535" s="1" t="s">
        <v>3316</v>
      </c>
      <c r="R535" s="1" t="s">
        <v>3317</v>
      </c>
      <c r="S535" s="1">
        <v>131436.0</v>
      </c>
      <c r="T535" s="7" t="str">
        <f>VLOOKUP(A535,Posters!A535:B1534,2)</f>
        <v>https://m.media-amazon.com/images/M/MV5BMzdmY2I3MmEtOGFiZi00MTg1LWIxY2QtNWUwM2NmNWNlY2U5XkEyXkFqcGdeQXVyNDk3NzU2MTQ@._V1_UX67_CR0,0,67,98_AL_.jpg</v>
      </c>
      <c r="U535" s="8">
        <f>'Inflation Adjusted Gross'!F535</f>
        <v>172610171</v>
      </c>
      <c r="V535" s="5">
        <f t="shared" si="1"/>
        <v>2020</v>
      </c>
    </row>
    <row r="536">
      <c r="A536" s="1">
        <v>535.0</v>
      </c>
      <c r="B536" s="1" t="s">
        <v>3318</v>
      </c>
      <c r="C536" s="6">
        <f>Gross_cleaning!E536</f>
        <v>37823676</v>
      </c>
      <c r="D536" s="1">
        <v>1979.0</v>
      </c>
      <c r="E536" s="1" t="s">
        <v>18</v>
      </c>
      <c r="F536" s="1" t="str">
        <f>VLOOKUP(Filmes_raw!E536,Rating_systems!$A$2:$C$29,3,FALSE)</f>
        <v>Adulto</v>
      </c>
      <c r="G536" s="2">
        <f>Gross_cleaning!F536</f>
        <v>123</v>
      </c>
      <c r="H536" s="1" t="s">
        <v>678</v>
      </c>
      <c r="I536" s="1" t="s">
        <v>3319</v>
      </c>
      <c r="J536" s="1">
        <v>7.9</v>
      </c>
      <c r="K536" s="1" t="s">
        <v>3320</v>
      </c>
      <c r="L536" s="1" t="str">
        <f>IFERROR(__xludf.DUMMYFUNCTION("GOOGLETRANSLATE(K536,""en"", ""pt-br"")"),"Diretor / coreógrafo Bob Fosse conta sua própria história de vida enquanto ele detalha a carreira sórdida de Joe Gideon, uma dançarina de drogas com drogas.")</f>
        <v>Diretor / coreógrafo Bob Fosse conta sua própria história de vida enquanto ele detalha a carreira sórdida de Joe Gideon, uma dançarina de drogas com drogas.</v>
      </c>
      <c r="M536" s="1">
        <v>72.0</v>
      </c>
      <c r="N536" s="1" t="s">
        <v>3321</v>
      </c>
      <c r="O536" s="1" t="s">
        <v>2677</v>
      </c>
      <c r="P536" s="1" t="s">
        <v>2456</v>
      </c>
      <c r="Q536" s="1" t="s">
        <v>3322</v>
      </c>
      <c r="R536" s="1" t="s">
        <v>3323</v>
      </c>
      <c r="S536" s="1">
        <v>28223.0</v>
      </c>
      <c r="T536" s="7" t="str">
        <f>VLOOKUP(A536,Posters!A536:B1535,2)</f>
        <v>https://m.media-amazon.com/images/M/MV5BZWE4N2JkNDUtZDU4MC00ZjNhLTlkMjYtOTNkMjZhMDAwMDMyXkEyXkFqcGdeQXVyMTA0MjU0Ng@@._V1_UX67_CR0,0,67,98_AL_.jpg</v>
      </c>
      <c r="U536" s="8">
        <f>'Inflation Adjusted Gross'!F536</f>
        <v>142861077</v>
      </c>
      <c r="V536" s="5">
        <f t="shared" si="1"/>
        <v>2020</v>
      </c>
    </row>
    <row r="537">
      <c r="A537" s="1">
        <v>536.0</v>
      </c>
      <c r="B537" s="1" t="s">
        <v>3324</v>
      </c>
      <c r="C537" s="6">
        <f>Gross_cleaning!E537</f>
        <v>5100000</v>
      </c>
      <c r="D537" s="1">
        <v>1978.0</v>
      </c>
      <c r="E537" s="1" t="s">
        <v>18</v>
      </c>
      <c r="F537" s="1" t="str">
        <f>VLOOKUP(Filmes_raw!E537,Rating_systems!$A$2:$C$29,3,FALSE)</f>
        <v>Adulto</v>
      </c>
      <c r="G537" s="2">
        <f>Gross_cleaning!F537</f>
        <v>127</v>
      </c>
      <c r="H537" s="1" t="s">
        <v>234</v>
      </c>
      <c r="I537" s="1" t="s">
        <v>3325</v>
      </c>
      <c r="J537" s="1">
        <v>7.9</v>
      </c>
      <c r="K537" s="1" t="s">
        <v>3326</v>
      </c>
      <c r="L537" s="1" t="str">
        <f>IFERROR(__xludf.DUMMYFUNCTION("GOOGLETRANSLATE(K537,""en"", ""pt-br"")"),"Após uma epidemia sempre crescente de zumbis que se ressuscitam dos mortos, duas Filadélfia S.W.A.T. Membros da equipe, um repórter de tráfego e sua namorada executiva de televisão buscam refúgio em um shopping center isolado.")</f>
        <v>Após uma epidemia sempre crescente de zumbis que se ressuscitam dos mortos, duas Filadélfia S.W.A.T. Membros da equipe, um repórter de tráfego e sua namorada executiva de televisão buscam refúgio em um shopping center isolado.</v>
      </c>
      <c r="M537" s="1">
        <v>71.0</v>
      </c>
      <c r="N537" s="1" t="s">
        <v>3327</v>
      </c>
      <c r="O537" s="1" t="s">
        <v>3328</v>
      </c>
      <c r="P537" s="1" t="s">
        <v>3329</v>
      </c>
      <c r="Q537" s="1" t="s">
        <v>3330</v>
      </c>
      <c r="R537" s="1" t="s">
        <v>3331</v>
      </c>
      <c r="S537" s="1">
        <v>111512.0</v>
      </c>
      <c r="T537" s="7" t="str">
        <f>VLOOKUP(A537,Posters!A537:B1536,2)</f>
        <v>https://m.media-amazon.com/images/M/MV5BMzc1YTIyNjctYzhlNy00ZmYzLWI2ZWQtMzk4MmQwYzA0NGQ1XkEyXkFqcGdeQXVyMTQxNzMzNDI@._V1_UX67_CR0,0,67,98_AL_.jpg</v>
      </c>
      <c r="U537" s="8">
        <f>'Inflation Adjusted Gross'!F537</f>
        <v>21050434</v>
      </c>
      <c r="V537" s="5">
        <f t="shared" si="1"/>
        <v>2020</v>
      </c>
    </row>
    <row r="538">
      <c r="A538" s="1">
        <v>537.0</v>
      </c>
      <c r="B538" s="1" t="s">
        <v>3332</v>
      </c>
      <c r="C538" s="6">
        <f>Gross_cleaning!E538</f>
        <v>70600000</v>
      </c>
      <c r="D538" s="1">
        <v>1976.0</v>
      </c>
      <c r="E538" s="1" t="s">
        <v>52</v>
      </c>
      <c r="F538" s="1" t="str">
        <f>VLOOKUP(Filmes_raw!E538,Rating_systems!$A$2:$C$29,3,FALSE)</f>
        <v>Criança</v>
      </c>
      <c r="G538" s="2">
        <f>Gross_cleaning!F538</f>
        <v>138</v>
      </c>
      <c r="H538" s="1" t="s">
        <v>947</v>
      </c>
      <c r="I538" s="1" t="s">
        <v>79</v>
      </c>
      <c r="J538" s="1">
        <v>7.9</v>
      </c>
      <c r="K538" s="1" t="s">
        <v>3333</v>
      </c>
      <c r="L538" s="1" t="str">
        <f>IFERROR(__xludf.DUMMYFUNCTION("GOOGLETRANSLATE(K538,""en"", ""pt-br"")"),"""O Washington Post"" Repórteres Bob Woodward e Carl Bernstein descobrem os detalhes do escândalo de Watergate que leva à renúncia do presidente Richard Nixon.")</f>
        <v>"O Washington Post" Repórteres Bob Woodward e Carl Bernstein descobrem os detalhes do escândalo de Watergate que leva à renúncia do presidente Richard Nixon.</v>
      </c>
      <c r="M538" s="1">
        <v>84.0</v>
      </c>
      <c r="N538" s="1" t="s">
        <v>3334</v>
      </c>
      <c r="O538" s="1" t="s">
        <v>2618</v>
      </c>
      <c r="P538" s="1" t="s">
        <v>835</v>
      </c>
      <c r="Q538" s="1" t="s">
        <v>2668</v>
      </c>
      <c r="R538" s="1" t="s">
        <v>58</v>
      </c>
      <c r="S538" s="1">
        <v>103031.0</v>
      </c>
      <c r="T538" s="7" t="str">
        <f>VLOOKUP(A538,Posters!A538:B1537,2)</f>
        <v>https://m.media-amazon.com/images/M/MV5BOWI2YWQxM2MtY2U4Yi00YjgzLTgwNzktN2ExNTgzNTIzMmUzXkEyXkFqcGdeQXVyMTAwMzUyOTc@._V1_UX67_CR0,0,67,98_AL_.jpg</v>
      </c>
      <c r="U538" s="8">
        <f>'Inflation Adjusted Gross'!F538</f>
        <v>327567493</v>
      </c>
      <c r="V538" s="5">
        <f t="shared" si="1"/>
        <v>2020</v>
      </c>
    </row>
    <row r="539">
      <c r="A539" s="1">
        <v>538.0</v>
      </c>
      <c r="B539" s="1" t="s">
        <v>3335</v>
      </c>
      <c r="C539" s="6">
        <f>Gross_cleaning!E539</f>
        <v>61001</v>
      </c>
      <c r="D539" s="1">
        <v>1973.0</v>
      </c>
      <c r="E539" s="1" t="s">
        <v>212</v>
      </c>
      <c r="F539" s="1" t="str">
        <f>VLOOKUP(Filmes_raw!E539,Rating_systems!$A$2:$C$29,3,FALSE)</f>
        <v>Adulto</v>
      </c>
      <c r="G539" s="2">
        <f>Gross_cleaning!F539</f>
        <v>114</v>
      </c>
      <c r="H539" s="1" t="s">
        <v>825</v>
      </c>
      <c r="I539" s="1" t="s">
        <v>1565</v>
      </c>
      <c r="J539" s="1">
        <v>7.9</v>
      </c>
      <c r="K539" s="1" t="s">
        <v>3336</v>
      </c>
      <c r="L539" s="1" t="str">
        <f>IFERROR(__xludf.DUMMYFUNCTION("GOOGLETRANSLATE(K539,""en"", ""pt-br"")"),"Em um mundo corrupto, abastecido pela ganância, um poderoso alquimista leva um caráter messiânico e sete figuras materialistas à montanha sagrada, onde esperam alcançar a iluminação.")</f>
        <v>Em um mundo corrupto, abastecido pela ganância, um poderoso alquimista leva um caráter messiânico e sete figuras materialistas à montanha sagrada, onde esperam alcançar a iluminação.</v>
      </c>
      <c r="M539" s="1">
        <v>76.0</v>
      </c>
      <c r="N539" s="1" t="s">
        <v>3337</v>
      </c>
      <c r="O539" s="1" t="s">
        <v>3337</v>
      </c>
      <c r="P539" s="1" t="s">
        <v>3338</v>
      </c>
      <c r="Q539" s="1" t="s">
        <v>3339</v>
      </c>
      <c r="R539" s="1" t="s">
        <v>3340</v>
      </c>
      <c r="S539" s="1">
        <v>37183.0</v>
      </c>
      <c r="T539" s="7" t="str">
        <f>VLOOKUP(A539,Posters!A539:B1538,2)</f>
        <v>https://m.media-amazon.com/images/M/MV5BN2IzM2I5NTQtMTIyMy00YWM2LWI1OGMtNjI0MWIyNDZkZGFkXkEyXkFqcGdeQXVyMTQxNzMzNDI@._V1_UX67_CR0,0,67,98_AL_.jpg</v>
      </c>
      <c r="U539" s="8">
        <f>'Inflation Adjusted Gross'!F539</f>
        <v>369401</v>
      </c>
      <c r="V539" s="5">
        <f t="shared" si="1"/>
        <v>2020</v>
      </c>
    </row>
    <row r="540">
      <c r="A540" s="1">
        <v>539.0</v>
      </c>
      <c r="B540" s="1" t="s">
        <v>3341</v>
      </c>
      <c r="C540" s="6">
        <f>Gross_cleaning!E540</f>
        <v>196609</v>
      </c>
      <c r="D540" s="1">
        <v>1973.0</v>
      </c>
      <c r="E540" s="1" t="s">
        <v>212</v>
      </c>
      <c r="F540" s="1" t="str">
        <f>VLOOKUP(Filmes_raw!E540,Rating_systems!$A$2:$C$29,3,FALSE)</f>
        <v>Adulto</v>
      </c>
      <c r="G540" s="2">
        <f>Gross_cleaning!F540</f>
        <v>123</v>
      </c>
      <c r="H540" s="1" t="s">
        <v>678</v>
      </c>
      <c r="I540" s="1" t="s">
        <v>416</v>
      </c>
      <c r="J540" s="1">
        <v>7.9</v>
      </c>
      <c r="K540" s="1" t="s">
        <v>3342</v>
      </c>
      <c r="L540" s="1" t="str">
        <f>IFERROR(__xludf.DUMMYFUNCTION("GOOGLETRANSLATE(K540,""en"", ""pt-br"")"),"Uma série de vinhetas cômicas e nostálgicas estabelecidas em uma cidade costeira italiana de 1930.")</f>
        <v>Uma série de vinhetas cômicas e nostálgicas estabelecidas em uma cidade costeira italiana de 1930.</v>
      </c>
      <c r="N540" s="1" t="s">
        <v>2023</v>
      </c>
      <c r="O540" s="1" t="s">
        <v>3343</v>
      </c>
      <c r="P540" s="1" t="s">
        <v>3344</v>
      </c>
      <c r="Q540" s="1" t="s">
        <v>3345</v>
      </c>
      <c r="R540" s="1" t="s">
        <v>3346</v>
      </c>
      <c r="S540" s="1">
        <v>39897.0</v>
      </c>
      <c r="T540" s="7" t="str">
        <f>VLOOKUP(A540,Posters!A540:B1539,2)</f>
        <v>https://m.media-amazon.com/images/M/MV5BZDI2OTg2NDQtMzc0MC00MjRiLWI1NzAtMjY2ZDMwMmUyNzBiXkEyXkFqcGdeQXVyNzM0MTUwNTY@._V1_UX67_CR0,0,67,98_AL_.jpg</v>
      </c>
      <c r="U540" s="8">
        <f>'Inflation Adjusted Gross'!F540</f>
        <v>1190597</v>
      </c>
      <c r="V540" s="5">
        <f t="shared" si="1"/>
        <v>2020</v>
      </c>
    </row>
    <row r="541">
      <c r="A541" s="1">
        <v>540.0</v>
      </c>
      <c r="B541" s="1" t="s">
        <v>3347</v>
      </c>
      <c r="C541" s="6">
        <f>Gross_cleaning!E541</f>
        <v>198809</v>
      </c>
      <c r="D541" s="1">
        <v>1972.0</v>
      </c>
      <c r="E541" s="1" t="s">
        <v>270</v>
      </c>
      <c r="F541" s="1" t="str">
        <f>VLOOKUP(Filmes_raw!E541,Rating_systems!$A$2:$C$29,3,FALSE)</f>
        <v>Criança</v>
      </c>
      <c r="G541" s="2">
        <f>Gross_cleaning!F541</f>
        <v>102</v>
      </c>
      <c r="H541" s="1" t="s">
        <v>405</v>
      </c>
      <c r="I541" s="1" t="s">
        <v>602</v>
      </c>
      <c r="J541" s="1">
        <v>7.9</v>
      </c>
      <c r="K541" s="1" t="s">
        <v>3348</v>
      </c>
      <c r="L541" s="1" t="str">
        <f>IFERROR(__xludf.DUMMYFUNCTION("GOOGLETRANSLATE(K541,""en"", ""pt-br"")"),"Uma série surreal, praticamente sem plotamento de sonhos centrou-se em torno de seis pessoas de classe média e suas tentativas consistentemente interrompidas de ter uma refeição juntos.")</f>
        <v>Uma série surreal, praticamente sem plotamento de sonhos centrou-se em torno de seis pessoas de classe média e suas tentativas consistentemente interrompidas de ter uma refeição juntos.</v>
      </c>
      <c r="M541" s="1">
        <v>93.0</v>
      </c>
      <c r="N541" s="1" t="s">
        <v>1966</v>
      </c>
      <c r="O541" s="1" t="s">
        <v>3349</v>
      </c>
      <c r="P541" s="1" t="s">
        <v>3350</v>
      </c>
      <c r="Q541" s="1" t="s">
        <v>3351</v>
      </c>
      <c r="R541" s="1" t="s">
        <v>3352</v>
      </c>
      <c r="S541" s="1">
        <v>38737.0</v>
      </c>
      <c r="T541" s="7" t="str">
        <f>VLOOKUP(A541,Posters!A541:B1540,2)</f>
        <v>https://m.media-amazon.com/images/M/MV5BYzQ5NjJiYWQtYjAzMC00NGU0LWFlMDYtNGFiYjFlMWI1NWM0XkEyXkFqcGdeQXVyODQ0OTczOQ@@._V1_UY98_CR4,0,67,98_AL_.jpg</v>
      </c>
      <c r="U541" s="8">
        <f>'Inflation Adjusted Gross'!F541</f>
        <v>1247858</v>
      </c>
      <c r="V541" s="5">
        <f t="shared" si="1"/>
        <v>2020</v>
      </c>
    </row>
    <row r="542">
      <c r="A542" s="1">
        <v>541.0</v>
      </c>
      <c r="B542" s="1" t="s">
        <v>3353</v>
      </c>
      <c r="C542" s="6">
        <f>Gross_cleaning!E542</f>
        <v>37041</v>
      </c>
      <c r="D542" s="1">
        <v>1972.0</v>
      </c>
      <c r="E542" s="1" t="s">
        <v>270</v>
      </c>
      <c r="F542" s="1" t="str">
        <f>VLOOKUP(Filmes_raw!E542,Rating_systems!$A$2:$C$29,3,FALSE)</f>
        <v>Criança</v>
      </c>
      <c r="G542" s="2">
        <f>Gross_cleaning!F542</f>
        <v>95</v>
      </c>
      <c r="H542" s="1" t="s">
        <v>601</v>
      </c>
      <c r="I542" s="1" t="s">
        <v>3354</v>
      </c>
      <c r="J542" s="1">
        <v>7.9</v>
      </c>
      <c r="K542" s="1" t="s">
        <v>3355</v>
      </c>
      <c r="L542" s="1" t="str">
        <f>IFERROR(__xludf.DUMMYFUNCTION("GOOGLETRANSLATE(K542,""en"", ""pt-br"")"),"No século XVI, o implacável e insano Don Lope de Aguirre lidera uma expedição espanhola em busca de El Dorado.")</f>
        <v>No século XVI, o implacável e insano Don Lope de Aguirre lidera uma expedição espanhola em busca de El Dorado.</v>
      </c>
      <c r="N542" s="1" t="s">
        <v>1859</v>
      </c>
      <c r="O542" s="1" t="s">
        <v>1860</v>
      </c>
      <c r="P542" s="1" t="s">
        <v>3356</v>
      </c>
      <c r="Q542" s="1" t="s">
        <v>3357</v>
      </c>
      <c r="R542" s="1" t="s">
        <v>3358</v>
      </c>
      <c r="S542" s="1">
        <v>52397.0</v>
      </c>
      <c r="T542" s="7" t="str">
        <f>VLOOKUP(A542,Posters!A542:B1541,2)</f>
        <v>https://m.media-amazon.com/images/M/MV5BMjRkY2VhYzMtZWQyNS00OTY2LWE5NTAtYjlhNmQyYzE5MmUxXkEyXkFqcGdeQXVyMTQxNzMzNDI@._V1_UX67_CR0,0,67,98_AL_.jpg</v>
      </c>
      <c r="U542" s="8">
        <f>'Inflation Adjusted Gross'!F542</f>
        <v>232494</v>
      </c>
      <c r="V542" s="5">
        <f t="shared" si="1"/>
        <v>2020</v>
      </c>
    </row>
    <row r="543">
      <c r="A543" s="1">
        <v>542.0</v>
      </c>
      <c r="B543" s="1" t="s">
        <v>3359</v>
      </c>
      <c r="C543" s="6">
        <f>Gross_cleaning!E543</f>
        <v>1546</v>
      </c>
      <c r="D543" s="1">
        <v>1971.0</v>
      </c>
      <c r="E543" s="1" t="s">
        <v>270</v>
      </c>
      <c r="F543" s="1" t="str">
        <f>VLOOKUP(Filmes_raw!E543,Rating_systems!$A$2:$C$29,3,FALSE)</f>
        <v>Criança</v>
      </c>
      <c r="G543" s="2">
        <f>Gross_cleaning!F543</f>
        <v>91</v>
      </c>
      <c r="H543" s="1" t="s">
        <v>1259</v>
      </c>
      <c r="I543" s="1" t="s">
        <v>227</v>
      </c>
      <c r="J543" s="1">
        <v>7.9</v>
      </c>
      <c r="K543" s="1" t="s">
        <v>3360</v>
      </c>
      <c r="L543" s="1" t="str">
        <f>IFERROR(__xludf.DUMMYFUNCTION("GOOGLETRANSLATE(K543,""en"", ""pt-br"")"),"Jovem, rico e obcecado com a morte, Harold se encontra mudou para sempre quando ele atende a maude septuagenária animada em um funeral.")</f>
        <v>Jovem, rico e obcecado com a morte, Harold se encontra mudou para sempre quando ele atende a maude septuagenária animada em um funeral.</v>
      </c>
      <c r="M543" s="1">
        <v>62.0</v>
      </c>
      <c r="N543" s="1" t="s">
        <v>2666</v>
      </c>
      <c r="O543" s="1" t="s">
        <v>2730</v>
      </c>
      <c r="P543" s="1" t="s">
        <v>3361</v>
      </c>
      <c r="Q543" s="1" t="s">
        <v>3362</v>
      </c>
      <c r="R543" s="1" t="s">
        <v>3363</v>
      </c>
      <c r="S543" s="1">
        <v>70826.0</v>
      </c>
      <c r="T543" s="7" t="str">
        <f>VLOOKUP(A543,Posters!A543:B1542,2)</f>
        <v>https://m.media-amazon.com/images/M/MV5BY2M5Mzg3NjctZTlkNy00MTU0LWFlYTQtY2E2Y2M4NjNiNzllXkEyXkFqcGdeQXVyMTAwMzUyOTc@._V1_UX67_CR0,0,67,98_AL_.jpg</v>
      </c>
      <c r="U543" s="8">
        <f>'Inflation Adjusted Gross'!F543</f>
        <v>10021</v>
      </c>
      <c r="V543" s="5">
        <f t="shared" si="1"/>
        <v>2020</v>
      </c>
    </row>
    <row r="544">
      <c r="A544" s="1">
        <v>543.0</v>
      </c>
      <c r="B544" s="1" t="s">
        <v>3364</v>
      </c>
      <c r="C544" s="6">
        <f>Gross_cleaning!E544</f>
        <v>61700000</v>
      </c>
      <c r="D544" s="1">
        <v>1970.0</v>
      </c>
      <c r="E544" s="1" t="s">
        <v>52</v>
      </c>
      <c r="F544" s="1" t="str">
        <f>VLOOKUP(Filmes_raw!E544,Rating_systems!$A$2:$C$29,3,FALSE)</f>
        <v>Criança</v>
      </c>
      <c r="G544" s="2">
        <f>Gross_cleaning!F544</f>
        <v>172</v>
      </c>
      <c r="H544" s="1" t="s">
        <v>1268</v>
      </c>
      <c r="I544" s="1" t="s">
        <v>3365</v>
      </c>
      <c r="J544" s="1">
        <v>7.9</v>
      </c>
      <c r="K544" s="1" t="s">
        <v>3366</v>
      </c>
      <c r="L544" s="1" t="str">
        <f>IFERROR(__xludf.DUMMYFUNCTION("GOOGLETRANSLATE(K544,""en"", ""pt-br"")"),"A fase da Segunda Guerra Mundial da carreira de controverso General American George S. Patton.")</f>
        <v>A fase da Segunda Guerra Mundial da carreira de controverso General American George S. Patton.</v>
      </c>
      <c r="M544" s="1">
        <v>91.0</v>
      </c>
      <c r="N544" s="1" t="s">
        <v>2692</v>
      </c>
      <c r="O544" s="1" t="s">
        <v>605</v>
      </c>
      <c r="P544" s="1" t="s">
        <v>2037</v>
      </c>
      <c r="Q544" s="1" t="s">
        <v>3367</v>
      </c>
      <c r="R544" s="1" t="s">
        <v>3368</v>
      </c>
      <c r="S544" s="1">
        <v>93741.0</v>
      </c>
      <c r="T544" s="7" t="str">
        <f>VLOOKUP(A544,Posters!A544:B1543,2)</f>
        <v>https://m.media-amazon.com/images/M/MV5BMmNhZmJhMmYtNjlkMC00MjhjLTk1NzMtMTNlMzYzNjZlMjNiXkEyXkFqcGdeQXVyMTQxNzMzNDI@._V1_UX67_CR0,0,67,98_AL_.jpg</v>
      </c>
      <c r="U544" s="8">
        <f>'Inflation Adjusted Gross'!F544</f>
        <v>421079648</v>
      </c>
      <c r="V544" s="5">
        <f t="shared" si="1"/>
        <v>2020</v>
      </c>
    </row>
    <row r="545">
      <c r="A545" s="1">
        <v>544.0</v>
      </c>
      <c r="B545" s="1" t="s">
        <v>3369</v>
      </c>
      <c r="C545" s="6">
        <f>Gross_cleaning!E545</f>
        <v>12064472</v>
      </c>
      <c r="D545" s="1">
        <v>1969.0</v>
      </c>
      <c r="E545" s="1" t="s">
        <v>18</v>
      </c>
      <c r="F545" s="1" t="str">
        <f>VLOOKUP(Filmes_raw!E545,Rating_systems!$A$2:$C$29,3,FALSE)</f>
        <v>Adulto</v>
      </c>
      <c r="G545" s="2">
        <f>Gross_cleaning!F545</f>
        <v>145</v>
      </c>
      <c r="H545" s="1" t="s">
        <v>1398</v>
      </c>
      <c r="I545" s="1" t="s">
        <v>3370</v>
      </c>
      <c r="J545" s="1">
        <v>7.9</v>
      </c>
      <c r="K545" s="1" t="s">
        <v>3371</v>
      </c>
      <c r="L545" s="1" t="str">
        <f>IFERROR(__xludf.DUMMYFUNCTION("GOOGLETRANSLATE(K545,""en"", ""pt-br"")"),"Um grupo envelhecido de leias procuram uma última grande pontuação que o oeste americano ""tradicional"" está desaparecendo em torno deles.")</f>
        <v>Um grupo envelhecido de leias procuram uma última grande pontuação que o oeste americano "tradicional" está desaparecendo em torno deles.</v>
      </c>
      <c r="M545" s="1">
        <v>97.0</v>
      </c>
      <c r="N545" s="1" t="s">
        <v>3372</v>
      </c>
      <c r="O545" s="1" t="s">
        <v>630</v>
      </c>
      <c r="P545" s="1" t="s">
        <v>3373</v>
      </c>
      <c r="Q545" s="1" t="s">
        <v>3374</v>
      </c>
      <c r="R545" s="1" t="s">
        <v>2057</v>
      </c>
      <c r="S545" s="1">
        <v>77401.0</v>
      </c>
      <c r="T545" s="7" t="str">
        <f>VLOOKUP(A545,Posters!A545:B1544,2)</f>
        <v>https://m.media-amazon.com/images/M/MV5BNGUyYTZmOWItMDJhMi00N2IxLWIyNDMtNjUxM2ZiYmU5YWU1XkEyXkFqcGdeQXVyNjc1NTYyMjg@._V1_UX67_CR0,0,67,98_AL_.jpg</v>
      </c>
      <c r="U545" s="8">
        <f>'Inflation Adjusted Gross'!F545</f>
        <v>87423705</v>
      </c>
      <c r="V545" s="5">
        <f t="shared" si="1"/>
        <v>2020</v>
      </c>
    </row>
    <row r="546">
      <c r="A546" s="1">
        <v>545.0</v>
      </c>
      <c r="B546" s="1" t="s">
        <v>3375</v>
      </c>
      <c r="C546" s="6">
        <f>Gross_cleaning!E546</f>
        <v>89029</v>
      </c>
      <c r="D546" s="1">
        <v>1968.0</v>
      </c>
      <c r="E546" s="1" t="s">
        <v>694</v>
      </c>
      <c r="F546" s="1" t="str">
        <f>VLOOKUP(Filmes_raw!E546,Rating_systems!$A$2:$C$29,3,FALSE)</f>
        <v>Adolescente</v>
      </c>
      <c r="G546" s="2">
        <f>Gross_cleaning!F546</f>
        <v>96</v>
      </c>
      <c r="H546" s="1" t="s">
        <v>53</v>
      </c>
      <c r="I546" s="1" t="s">
        <v>3376</v>
      </c>
      <c r="J546" s="1">
        <v>7.9</v>
      </c>
      <c r="K546" s="1" t="s">
        <v>3377</v>
      </c>
      <c r="L546" s="1" t="str">
        <f>IFERROR(__xludf.DUMMYFUNCTION("GOOGLETRANSLATE(K546,""en"", ""pt-br"")"),"Um grupo de Ragtag de Pensilvânios se baseiam em uma antiga quinta para permanecer a salvo de uma horda de ghouls comendo carne que estão devorando a costa leste dos Estados Unidos.")</f>
        <v>Um grupo de Ragtag de Pensilvânios se baseiam em uma antiga quinta para permanecer a salvo de uma horda de ghouls comendo carne que estão devorando a costa leste dos Estados Unidos.</v>
      </c>
      <c r="M546" s="1">
        <v>89.0</v>
      </c>
      <c r="N546" s="1" t="s">
        <v>3327</v>
      </c>
      <c r="O546" s="1" t="s">
        <v>3378</v>
      </c>
      <c r="P546" s="1" t="s">
        <v>3379</v>
      </c>
      <c r="Q546" s="1" t="s">
        <v>3380</v>
      </c>
      <c r="R546" s="1" t="s">
        <v>3381</v>
      </c>
      <c r="S546" s="1">
        <v>116557.0</v>
      </c>
      <c r="T546" s="7" t="str">
        <f>VLOOKUP(A546,Posters!A546:B1545,2)</f>
        <v>https://m.media-amazon.com/images/M/MV5BMzRmN2E1ZDUtZDc2ZC00ZmI3LTkwOTctNzE2ZDIzMGJiMTYzXkEyXkFqcGdeQXVyMTQxNzMzNDI@._V1_UX67_CR0,0,67,98_AL_.jpg</v>
      </c>
      <c r="U546" s="8">
        <f>'Inflation Adjusted Gross'!F546</f>
        <v>673516</v>
      </c>
      <c r="V546" s="5">
        <f t="shared" si="1"/>
        <v>2020</v>
      </c>
    </row>
    <row r="547">
      <c r="A547" s="1">
        <v>546.0</v>
      </c>
      <c r="B547" s="1" t="s">
        <v>3382</v>
      </c>
      <c r="C547" s="6">
        <f>Gross_cleaning!E547</f>
        <v>22276975</v>
      </c>
      <c r="D547" s="1">
        <v>1968.0</v>
      </c>
      <c r="E547" s="1" t="s">
        <v>270</v>
      </c>
      <c r="F547" s="1" t="str">
        <f>VLOOKUP(Filmes_raw!E547,Rating_systems!$A$2:$C$29,3,FALSE)</f>
        <v>Criança</v>
      </c>
      <c r="G547" s="2">
        <f>Gross_cleaning!F547</f>
        <v>134</v>
      </c>
      <c r="H547" s="1" t="s">
        <v>550</v>
      </c>
      <c r="I547" s="1" t="s">
        <v>79</v>
      </c>
      <c r="J547" s="1">
        <v>7.9</v>
      </c>
      <c r="K547" s="1" t="s">
        <v>3383</v>
      </c>
      <c r="L547" s="1" t="str">
        <f>IFERROR(__xludf.DUMMYFUNCTION("GOOGLETRANSLATE(K547,""en"", ""pt-br"")"),"1183 A.d.: Os três filhos do rei Henry II querem herdar o trono, mas ele não se comprometerá com uma escolha. Eles e sua esposa variam altamente para forçá-lo.")</f>
        <v>1183 A.d.: Os três filhos do rei Henry II querem herdar o trono, mas ele não se comprometerá com uma escolha. Eles e sua esposa variam altamente para forçá-lo.</v>
      </c>
      <c r="N547" s="1" t="s">
        <v>3384</v>
      </c>
      <c r="O547" s="1" t="s">
        <v>861</v>
      </c>
      <c r="P547" s="1" t="s">
        <v>3385</v>
      </c>
      <c r="Q547" s="1" t="s">
        <v>245</v>
      </c>
      <c r="R547" s="1" t="s">
        <v>3386</v>
      </c>
      <c r="S547" s="1">
        <v>29003.0</v>
      </c>
      <c r="T547" s="7" t="str">
        <f>VLOOKUP(A547,Posters!A547:B1546,2)</f>
        <v>https://m.media-amazon.com/images/M/MV5BMTkzNzYyMzA5N15BMl5BanBnXkFtZTgwODcwODQ3MDI@._V1_UX67_CR0,0,67,98_AL_.jpg</v>
      </c>
      <c r="U547" s="8">
        <f>'Inflation Adjusted Gross'!F547</f>
        <v>168528256</v>
      </c>
      <c r="V547" s="5">
        <f t="shared" si="1"/>
        <v>2020</v>
      </c>
    </row>
    <row r="548">
      <c r="A548" s="1">
        <v>547.0</v>
      </c>
      <c r="B548" s="1" t="s">
        <v>3387</v>
      </c>
      <c r="C548" s="6">
        <f>Gross_cleaning!E548</f>
        <v>24379978</v>
      </c>
      <c r="D548" s="1">
        <v>1967.0</v>
      </c>
      <c r="E548" s="1" t="s">
        <v>52</v>
      </c>
      <c r="F548" s="1" t="str">
        <f>VLOOKUP(Filmes_raw!E548,Rating_systems!$A$2:$C$29,3,FALSE)</f>
        <v>Criança</v>
      </c>
      <c r="G548" s="2">
        <f>Gross_cleaning!F548</f>
        <v>110</v>
      </c>
      <c r="H548" s="1" t="s">
        <v>343</v>
      </c>
      <c r="I548" s="1" t="s">
        <v>235</v>
      </c>
      <c r="J548" s="1">
        <v>7.9</v>
      </c>
      <c r="K548" s="1" t="s">
        <v>3388</v>
      </c>
      <c r="L548" s="1" t="str">
        <f>IFERROR(__xludf.DUMMYFUNCTION("GOOGLETRANSLATE(K548,""en"", ""pt-br"")"),"Um detetive da polícia negra é solicitado a investigar um assassinato em uma cidade sul racialmente hostil.")</f>
        <v>Um detetive da polícia negra é solicitado a investigar um assassinato em uma cidade sul racialmente hostil.</v>
      </c>
      <c r="M548" s="1">
        <v>75.0</v>
      </c>
      <c r="N548" s="1" t="s">
        <v>2711</v>
      </c>
      <c r="O548" s="1" t="s">
        <v>3389</v>
      </c>
      <c r="P548" s="1" t="s">
        <v>2038</v>
      </c>
      <c r="Q548" s="1" t="s">
        <v>3390</v>
      </c>
      <c r="R548" s="1" t="s">
        <v>3391</v>
      </c>
      <c r="S548" s="1">
        <v>67804.0</v>
      </c>
      <c r="T548" s="7" t="str">
        <f>VLOOKUP(A548,Posters!A548:B1547,2)</f>
        <v>https://m.media-amazon.com/images/M/MV5BZjZhZTZkNWItZGE1My00MTRkLWI2ZDktMWZkZTIxZWYxOTgzXkEyXkFqcGdeQXVyNDY2MTk1ODk@._V1_UX67_CR0,0,67,98_AL_.jpg</v>
      </c>
      <c r="U548" s="8">
        <f>'Inflation Adjusted Gross'!F548</f>
        <v>191164964</v>
      </c>
      <c r="V548" s="5">
        <f t="shared" si="1"/>
        <v>2020</v>
      </c>
    </row>
    <row r="549">
      <c r="A549" s="1">
        <v>548.0</v>
      </c>
      <c r="B549" s="1" t="s">
        <v>3392</v>
      </c>
      <c r="C549" s="6">
        <f>Gross_cleaning!E549</f>
        <v>13474588</v>
      </c>
      <c r="D549" s="1">
        <v>1963.0</v>
      </c>
      <c r="E549" s="1" t="s">
        <v>52</v>
      </c>
      <c r="F549" s="1" t="str">
        <f>VLOOKUP(Filmes_raw!E549,Rating_systems!$A$2:$C$29,3,FALSE)</f>
        <v>Criança</v>
      </c>
      <c r="G549" s="2">
        <f>Gross_cleaning!F549</f>
        <v>113</v>
      </c>
      <c r="H549" s="1" t="s">
        <v>543</v>
      </c>
      <c r="I549" s="1" t="s">
        <v>3393</v>
      </c>
      <c r="J549" s="1">
        <v>7.9</v>
      </c>
      <c r="K549" s="1" t="s">
        <v>3394</v>
      </c>
      <c r="L549" s="1" t="str">
        <f>IFERROR(__xludf.DUMMYFUNCTION("GOOGLETRANSLATE(K549,""en"", ""pt-br"")"),"Romance e suspense segue em Paris como uma mulher é perseguida por vários homens que querem uma fortuna que seu marido assassinado havia roubado. Quem ela pode confiar?")</f>
        <v>Romance e suspense segue em Paris como uma mulher é perseguida por vários homens que querem uma fortuna que seu marido assassinado havia roubado. Quem ela pode confiar?</v>
      </c>
      <c r="M549" s="1">
        <v>83.0</v>
      </c>
      <c r="N549" s="1" t="s">
        <v>888</v>
      </c>
      <c r="O549" s="1" t="s">
        <v>873</v>
      </c>
      <c r="P549" s="1" t="s">
        <v>2839</v>
      </c>
      <c r="Q549" s="1" t="s">
        <v>2596</v>
      </c>
      <c r="R549" s="1" t="s">
        <v>3395</v>
      </c>
      <c r="S549" s="1">
        <v>68689.0</v>
      </c>
      <c r="T549" s="7" t="str">
        <f>VLOOKUP(A549,Posters!A549:B1548,2)</f>
        <v>https://m.media-amazon.com/images/M/MV5BMTA0Y2UyMDUtZGZiOS00ZmVkLTg3NmItODQyNTY1ZjU1MWE4L2ltYWdlL2ltYWdlXkEyXkFqcGdeQXVyNjc1NTYyMjg@._V1_UX67_CR0,0,67,98_AL_.jpg</v>
      </c>
      <c r="U549" s="8">
        <f>'Inflation Adjusted Gross'!F549</f>
        <v>114343847</v>
      </c>
      <c r="V549" s="5">
        <f t="shared" si="1"/>
        <v>2020</v>
      </c>
    </row>
    <row r="550">
      <c r="A550" s="1">
        <v>549.0</v>
      </c>
      <c r="B550" s="1" t="s">
        <v>3396</v>
      </c>
      <c r="C550" s="6">
        <f>Gross_cleaning!E550</f>
        <v>65955630</v>
      </c>
      <c r="D550" s="1">
        <v>1962.0</v>
      </c>
      <c r="E550" s="1" t="s">
        <v>161</v>
      </c>
      <c r="F550" s="1" t="str">
        <f>VLOOKUP(Filmes_raw!E550,Rating_systems!$A$2:$C$29,3,FALSE)</f>
        <v>Criança</v>
      </c>
      <c r="G550" s="2">
        <f>Gross_cleaning!F550</f>
        <v>126</v>
      </c>
      <c r="H550" s="1" t="s">
        <v>428</v>
      </c>
      <c r="I550" s="1" t="s">
        <v>1377</v>
      </c>
      <c r="J550" s="1">
        <v>7.9</v>
      </c>
      <c r="K550" s="1" t="s">
        <v>3397</v>
      </c>
      <c r="L550" s="1" t="str">
        <f>IFERROR(__xludf.DUMMYFUNCTION("GOOGLETRANSLATE(K550,""en"", ""pt-br"")"),"Um ex-prisioneiro de guerra é lavado cerrado como um assassino inconsciente para uma conspiração comunista internacional.")</f>
        <v>Um ex-prisioneiro de guerra é lavado cerrado como um assassino inconsciente para uma conspiração comunista internacional.</v>
      </c>
      <c r="M550" s="1">
        <v>94.0</v>
      </c>
      <c r="N550" s="1" t="s">
        <v>3398</v>
      </c>
      <c r="O550" s="1" t="s">
        <v>3399</v>
      </c>
      <c r="P550" s="1" t="s">
        <v>3400</v>
      </c>
      <c r="Q550" s="1" t="s">
        <v>401</v>
      </c>
      <c r="R550" s="1" t="s">
        <v>3401</v>
      </c>
      <c r="S550" s="1">
        <v>71122.0</v>
      </c>
      <c r="T550" s="7" t="str">
        <f>VLOOKUP(A550,Posters!A550:B1549,2)</f>
        <v>https://m.media-amazon.com/images/M/MV5BOTY0ZTA1ZjUtN2MyNi00ZGRmLWExYmMtOTkyNzI1NGQ2Y2RlXkEyXkFqcGdeQXVyNjc1NTYyMjg@._V1_UX67_CR0,0,67,98_AL_.jpg</v>
      </c>
      <c r="U550" s="8">
        <f>'Inflation Adjusted Gross'!F550</f>
        <v>567154661</v>
      </c>
      <c r="V550" s="5">
        <f t="shared" si="1"/>
        <v>2020</v>
      </c>
    </row>
    <row r="551">
      <c r="A551" s="1">
        <v>550.0</v>
      </c>
      <c r="B551" s="1" t="s">
        <v>3402</v>
      </c>
      <c r="C551" s="6">
        <f>Gross_cleaning!E551</f>
        <v>30000000</v>
      </c>
      <c r="D551" s="1">
        <v>1960.0</v>
      </c>
      <c r="E551" s="1" t="s">
        <v>18</v>
      </c>
      <c r="F551" s="1" t="str">
        <f>VLOOKUP(Filmes_raw!E551,Rating_systems!$A$2:$C$29,3,FALSE)</f>
        <v>Adulto</v>
      </c>
      <c r="G551" s="2">
        <f>Gross_cleaning!F551</f>
        <v>197</v>
      </c>
      <c r="H551" s="1" t="s">
        <v>2754</v>
      </c>
      <c r="I551" s="1" t="s">
        <v>858</v>
      </c>
      <c r="J551" s="1">
        <v>7.9</v>
      </c>
      <c r="K551" s="1" t="s">
        <v>3403</v>
      </c>
      <c r="L551" s="1" t="str">
        <f>IFERROR(__xludf.DUMMYFUNCTION("GOOGLETRANSLATE(K551,""en"", ""pt-br"")"),"O escravo Spartacus leva uma revolta violenta contra a República Romana Decadente.")</f>
        <v>O escravo Spartacus leva uma revolta violenta contra a República Romana Decadente.</v>
      </c>
      <c r="M551" s="1">
        <v>87.0</v>
      </c>
      <c r="N551" s="1" t="s">
        <v>571</v>
      </c>
      <c r="O551" s="1" t="s">
        <v>617</v>
      </c>
      <c r="P551" s="1" t="s">
        <v>2081</v>
      </c>
      <c r="Q551" s="1" t="s">
        <v>3404</v>
      </c>
      <c r="R551" s="1" t="s">
        <v>613</v>
      </c>
      <c r="S551" s="1">
        <v>124339.0</v>
      </c>
      <c r="T551" s="7" t="str">
        <f>VLOOKUP(A551,Posters!A551:B1550,2)</f>
        <v>https://m.media-amazon.com/images/M/MV5BMjc4MTUxN2UtMmU1NC00MjQyLTk3YTYtZTQ0YzEzZDc0Njc0XkEyXkFqcGdeQXVyNjU0OTQ0OTY@._V1_UX67_CR0,0,67,98_AL_.jpg</v>
      </c>
      <c r="U551" s="8">
        <f>'Inflation Adjusted Gross'!F551</f>
        <v>264134130</v>
      </c>
      <c r="V551" s="5">
        <f t="shared" si="1"/>
        <v>2020</v>
      </c>
    </row>
    <row r="552">
      <c r="A552" s="1">
        <v>551.0</v>
      </c>
      <c r="B552" s="1" t="s">
        <v>3405</v>
      </c>
      <c r="C552" s="6">
        <f>Gross_cleaning!E552</f>
        <v>2606</v>
      </c>
      <c r="D552" s="1">
        <v>1960.0</v>
      </c>
      <c r="E552" s="1" t="s">
        <v>52</v>
      </c>
      <c r="F552" s="1" t="str">
        <f>VLOOKUP(Filmes_raw!E552,Rating_systems!$A$2:$C$29,3,FALSE)</f>
        <v>Criança</v>
      </c>
      <c r="G552" s="2">
        <f>Gross_cleaning!F552</f>
        <v>144</v>
      </c>
      <c r="H552" s="1" t="s">
        <v>1618</v>
      </c>
      <c r="I552" s="1" t="s">
        <v>914</v>
      </c>
      <c r="J552" s="1">
        <v>7.9</v>
      </c>
      <c r="K552" s="1" t="s">
        <v>3406</v>
      </c>
      <c r="L552" s="1" t="str">
        <f>IFERROR(__xludf.DUMMYFUNCTION("GOOGLETRANSLATE(K552,""en"", ""pt-br"")"),"Uma mulher desaparece durante uma viagem de barco mediterrânea. Durante a busca, seu amante e seu melhor amigo se atrapalham um pelo outro.")</f>
        <v>Uma mulher desaparece durante uma viagem de barco mediterrânea. Durante a busca, seu amante e seu melhor amigo se atrapalham um pelo outro.</v>
      </c>
      <c r="N552" s="1" t="s">
        <v>3407</v>
      </c>
      <c r="O552" s="1" t="s">
        <v>3408</v>
      </c>
      <c r="P552" s="1" t="s">
        <v>3409</v>
      </c>
      <c r="Q552" s="1" t="s">
        <v>3410</v>
      </c>
      <c r="R552" s="1" t="s">
        <v>3411</v>
      </c>
      <c r="S552" s="1">
        <v>26542.0</v>
      </c>
      <c r="T552" s="7" t="str">
        <f>VLOOKUP(A552,Posters!A552:B1551,2)</f>
        <v>https://m.media-amazon.com/images/M/MV5BZDFlODBmZTYtMWU4MS00MzY4LWFmYzYtYzAzZmU1MGUzMDE5XkEyXkFqcGdeQXVyNTc1NDM0NDU@._V1_UY98_CR1,0,67,98_AL_.jpg</v>
      </c>
      <c r="U552" s="8">
        <f>'Inflation Adjusted Gross'!F552</f>
        <v>22944</v>
      </c>
      <c r="V552" s="5">
        <f t="shared" si="1"/>
        <v>2020</v>
      </c>
    </row>
    <row r="553">
      <c r="A553" s="1">
        <v>552.0</v>
      </c>
      <c r="B553" s="1" t="s">
        <v>3412</v>
      </c>
      <c r="C553" s="6">
        <f>Gross_cleaning!E553</f>
        <v>88300</v>
      </c>
      <c r="D553" s="1">
        <v>1959.0</v>
      </c>
      <c r="E553" s="1" t="s">
        <v>2066</v>
      </c>
      <c r="F553" s="1" t="str">
        <f>VLOOKUP(Filmes_raw!E553,Rating_systems!$A$2:$C$29,3,FALSE)</f>
        <v>Desconhecido</v>
      </c>
      <c r="G553" s="2">
        <f>Gross_cleaning!F553</f>
        <v>90</v>
      </c>
      <c r="H553" s="1" t="s">
        <v>2586</v>
      </c>
      <c r="I553" s="1" t="s">
        <v>107</v>
      </c>
      <c r="J553" s="1">
        <v>7.9</v>
      </c>
      <c r="K553" s="1" t="s">
        <v>3414</v>
      </c>
      <c r="L553" s="1" t="str">
        <f>IFERROR(__xludf.DUMMYFUNCTION("GOOGLETRANSLATE(K553,""en"", ""pt-br"")"),"Uma atriz francesa filmando um filme anti-guerra em Hiroshima tem um caso com um arquiteto japonês casado enquanto compartilham suas diferentes perspectivas sobre a guerra.")</f>
        <v>Uma atriz francesa filmando um filme anti-guerra em Hiroshima tem um caso com um arquiteto japonês casado enquanto compartilham suas diferentes perspectivas sobre a guerra.</v>
      </c>
      <c r="N553" s="1" t="s">
        <v>3415</v>
      </c>
      <c r="O553" s="1" t="s">
        <v>3043</v>
      </c>
      <c r="P553" s="1" t="s">
        <v>3416</v>
      </c>
      <c r="Q553" s="1" t="s">
        <v>3417</v>
      </c>
      <c r="R553" s="1" t="s">
        <v>3418</v>
      </c>
      <c r="S553" s="1">
        <v>28421.0</v>
      </c>
      <c r="T553" s="7" t="str">
        <f>VLOOKUP(A553,Posters!A553:B1552,2)</f>
        <v>https://m.media-amazon.com/images/M/MV5BMzY2NTA1MzUwN15BMl5BanBnXkFtZTgwOTc4NTU4MjE@._V1_UX67_CR0,0,67,98_AL_.jpg</v>
      </c>
      <c r="U553" s="8">
        <f>'Inflation Adjusted Gross'!F553</f>
        <v>785477</v>
      </c>
      <c r="V553" s="5">
        <f t="shared" si="1"/>
        <v>2020</v>
      </c>
    </row>
    <row r="554">
      <c r="A554" s="1">
        <v>553.0</v>
      </c>
      <c r="B554" s="1" t="s">
        <v>3419</v>
      </c>
      <c r="C554" s="6">
        <f>Gross_cleaning!E554</f>
        <v>93740000</v>
      </c>
      <c r="D554" s="1">
        <v>1956.0</v>
      </c>
      <c r="E554" s="1" t="s">
        <v>52</v>
      </c>
      <c r="F554" s="1" t="str">
        <f>VLOOKUP(Filmes_raw!E554,Rating_systems!$A$2:$C$29,3,FALSE)</f>
        <v>Criança</v>
      </c>
      <c r="G554" s="2">
        <f>Gross_cleaning!F554</f>
        <v>220</v>
      </c>
      <c r="H554" s="1" t="s">
        <v>3420</v>
      </c>
      <c r="I554" s="1" t="s">
        <v>1813</v>
      </c>
      <c r="J554" s="1">
        <v>7.9</v>
      </c>
      <c r="K554" s="1" t="s">
        <v>3421</v>
      </c>
      <c r="L554" s="1" t="str">
        <f>IFERROR(__xludf.DUMMYFUNCTION("GOOGLETRANSLATE(K554,""en"", ""pt-br"")"),"Moisés, um príncipe egípcio, aprende de sua verdadeira herança como hebraico e sua missão divina como o libertador do seu povo.")</f>
        <v>Moisés, um príncipe egípcio, aprende de sua verdadeira herança como hebraico e sua missão divina como o libertador do seu povo.</v>
      </c>
      <c r="N554" s="1" t="s">
        <v>3422</v>
      </c>
      <c r="O554" s="1" t="s">
        <v>2013</v>
      </c>
      <c r="P554" s="1" t="s">
        <v>3423</v>
      </c>
      <c r="Q554" s="1" t="s">
        <v>1340</v>
      </c>
      <c r="R554" s="1" t="s">
        <v>911</v>
      </c>
      <c r="S554" s="1">
        <v>63560.0</v>
      </c>
      <c r="T554" s="7" t="str">
        <f>VLOOKUP(A554,Posters!A554:B1553,2)</f>
        <v>https://m.media-amazon.com/images/M/MV5BODcxYjUxZDgtYTQ5Zi00YmQ1LWJmZmItODZkOTYyNDhiNWM3XkEyXkFqcGdeQXVyNjc1NTYyMjg@._V1_UX67_CR0,0,67,98_AL_.jpg</v>
      </c>
      <c r="U554" s="8">
        <f>'Inflation Adjusted Gross'!F554</f>
        <v>902320953</v>
      </c>
      <c r="V554" s="5">
        <f t="shared" si="1"/>
        <v>2020</v>
      </c>
    </row>
    <row r="555">
      <c r="A555" s="1">
        <v>554.0</v>
      </c>
      <c r="B555" s="1" t="s">
        <v>3424</v>
      </c>
      <c r="C555" s="6">
        <f>Gross_cleaning!E555</f>
        <v>3750000</v>
      </c>
      <c r="D555" s="1">
        <v>1956.0</v>
      </c>
      <c r="E555" s="1" t="s">
        <v>627</v>
      </c>
      <c r="F555" s="1" t="str">
        <f>VLOOKUP(Filmes_raw!E555,Rating_systems!$A$2:$C$29,3,FALSE)</f>
        <v>Adulto</v>
      </c>
      <c r="G555" s="2">
        <f>Gross_cleaning!F555</f>
        <v>119</v>
      </c>
      <c r="H555" s="1" t="s">
        <v>329</v>
      </c>
      <c r="I555" s="1" t="s">
        <v>1344</v>
      </c>
      <c r="J555" s="1">
        <v>7.9</v>
      </c>
      <c r="K555" s="1" t="s">
        <v>3425</v>
      </c>
      <c r="L555" s="1" t="str">
        <f>IFERROR(__xludf.DUMMYFUNCTION("GOOGLETRANSLATE(K555,""en"", ""pt-br"")"),"Um veterano da Guerra Civil Americana embarca em uma jornada para resgatar sua sobrinha dos comanches.")</f>
        <v>Um veterano da Guerra Civil Americana embarca em uma jornada para resgatar sua sobrinha dos comanches.</v>
      </c>
      <c r="M555" s="1">
        <v>94.0</v>
      </c>
      <c r="N555" s="1" t="s">
        <v>1984</v>
      </c>
      <c r="O555" s="1" t="s">
        <v>1985</v>
      </c>
      <c r="P555" s="1" t="s">
        <v>3426</v>
      </c>
      <c r="Q555" s="1" t="s">
        <v>402</v>
      </c>
      <c r="R555" s="1" t="s">
        <v>3427</v>
      </c>
      <c r="S555" s="1">
        <v>80316.0</v>
      </c>
      <c r="T555" s="7" t="str">
        <f>VLOOKUP(A555,Posters!A555:B1554,2)</f>
        <v>https://m.media-amazon.com/images/M/MV5BYWQ3YWJiMDEtMDBhNS00YjY1LTkzNmEtY2U4Njg4MjQ3YWE3XkEyXkFqcGdeQXVyNzkwMjQ5NzM@._V1_UX67_CR0,0,67,98_AL_.jpg</v>
      </c>
      <c r="U555" s="8">
        <f>'Inflation Adjusted Gross'!F555</f>
        <v>36096688</v>
      </c>
      <c r="V555" s="5">
        <f t="shared" si="1"/>
        <v>2020</v>
      </c>
    </row>
    <row r="556">
      <c r="A556" s="1">
        <v>555.0</v>
      </c>
      <c r="B556" s="1" t="s">
        <v>3428</v>
      </c>
      <c r="C556" s="6">
        <f>Gross_cleaning!E556</f>
        <v>24079</v>
      </c>
      <c r="D556" s="1">
        <v>1955.0</v>
      </c>
      <c r="E556" s="1" t="s">
        <v>52</v>
      </c>
      <c r="F556" s="1" t="str">
        <f>VLOOKUP(Filmes_raw!E556,Rating_systems!$A$2:$C$29,3,FALSE)</f>
        <v>Criança</v>
      </c>
      <c r="G556" s="2">
        <f>Gross_cleaning!F556</f>
        <v>118</v>
      </c>
      <c r="H556" s="1" t="s">
        <v>240</v>
      </c>
      <c r="I556" s="1" t="s">
        <v>20</v>
      </c>
      <c r="J556" s="1">
        <v>7.9</v>
      </c>
      <c r="K556" s="1" t="s">
        <v>3429</v>
      </c>
      <c r="L556" s="1" t="str">
        <f>IFERROR(__xludf.DUMMYFUNCTION("GOOGLETRANSLATE(K556,""en"", ""pt-br"")"),"Dois irmãos lutam para manter o favor do pai rigoroso e bíblico.")</f>
        <v>Dois irmãos lutam para manter o favor do pai rigoroso e bíblico.</v>
      </c>
      <c r="M556" s="1">
        <v>72.0</v>
      </c>
      <c r="N556" s="1" t="s">
        <v>2036</v>
      </c>
      <c r="O556" s="1" t="s">
        <v>3430</v>
      </c>
      <c r="P556" s="1" t="s">
        <v>2888</v>
      </c>
      <c r="Q556" s="1" t="s">
        <v>3431</v>
      </c>
      <c r="R556" s="1" t="s">
        <v>2805</v>
      </c>
      <c r="S556" s="1">
        <v>40313.0</v>
      </c>
      <c r="T556" s="7" t="str">
        <f>VLOOKUP(A556,Posters!A556:B1555,2)</f>
        <v>https://m.media-amazon.com/images/M/MV5BMzE1MzdjNmUtOWU5MS00OTgwLWIzYjYtYTYwYTM0NDkyOTU1XkEyXkFqcGdeQXVyMTY5Nzc4MDY@._V1_UX67_CR0,0,67,98_AL_.jpg</v>
      </c>
      <c r="U556" s="8">
        <f>'Inflation Adjusted Gross'!F556</f>
        <v>232647</v>
      </c>
      <c r="V556" s="5">
        <f t="shared" si="1"/>
        <v>2020</v>
      </c>
    </row>
    <row r="557">
      <c r="A557" s="1">
        <v>556.0</v>
      </c>
      <c r="B557" s="1" t="s">
        <v>3432</v>
      </c>
      <c r="C557" s="6">
        <f>Gross_cleaning!E557</f>
        <v>9450000</v>
      </c>
      <c r="D557" s="1">
        <v>1952.0</v>
      </c>
      <c r="E557" s="1" t="s">
        <v>270</v>
      </c>
      <c r="F557" s="1" t="str">
        <f>VLOOKUP(Filmes_raw!E557,Rating_systems!$A$2:$C$29,3,FALSE)</f>
        <v>Criança</v>
      </c>
      <c r="G557" s="2">
        <f>Gross_cleaning!F557</f>
        <v>85</v>
      </c>
      <c r="H557" s="1" t="s">
        <v>1947</v>
      </c>
      <c r="I557" s="1" t="s">
        <v>3433</v>
      </c>
      <c r="J557" s="1">
        <v>7.9</v>
      </c>
      <c r="K557" s="1" t="s">
        <v>3434</v>
      </c>
      <c r="L557" s="1" t="str">
        <f>IFERROR(__xludf.DUMMYFUNCTION("GOOGLETRANSLATE(K557,""en"", ""pt-br"")"),"Um marechal da cidade, apesar dos desentendimentos de sua noiva recém-casada e das pessoas da cidade ao redor dele, deve enfrentar uma gangue de assassinos mortais sozinhos no meio-dia, quando o líder de gangue, uma lei que ele enviou anos atrás, chega ao"&amp;" trem do meio-dia, chega no trem do meio-dia.")</f>
        <v>Um marechal da cidade, apesar dos desentendimentos de sua noiva recém-casada e das pessoas da cidade ao redor dele, deve enfrentar uma gangue de assassinos mortais sozinhos no meio-dia, quando o líder de gangue, uma lei que ele enviou anos atrás, chega ao trem do meio-dia, chega no trem do meio-dia.</v>
      </c>
      <c r="M557" s="1">
        <v>89.0</v>
      </c>
      <c r="N557" s="1" t="s">
        <v>3435</v>
      </c>
      <c r="O557" s="1" t="s">
        <v>3436</v>
      </c>
      <c r="P557" s="1" t="s">
        <v>623</v>
      </c>
      <c r="Q557" s="1" t="s">
        <v>277</v>
      </c>
      <c r="R557" s="1" t="s">
        <v>3437</v>
      </c>
      <c r="S557" s="1">
        <v>97222.0</v>
      </c>
      <c r="T557" s="7" t="str">
        <f>VLOOKUP(A557,Posters!A557:B1556,2)</f>
        <v>https://m.media-amazon.com/images/M/MV5BOWIzZGUxZmItOThkMS00Y2QxLTg0MTYtMDdhMjRlNTNlYTI3L2ltYWdlXkEyXkFqcGdeQXVyNjc1NTYyMjg@._V1_UX67_CR0,0,67,98_AL_.jpg</v>
      </c>
      <c r="U557" s="8">
        <f>'Inflation Adjusted Gross'!F557</f>
        <v>91993432</v>
      </c>
      <c r="V557" s="5">
        <f t="shared" si="1"/>
        <v>2020</v>
      </c>
    </row>
    <row r="558">
      <c r="A558" s="1">
        <v>557.0</v>
      </c>
      <c r="B558" s="1" t="s">
        <v>3438</v>
      </c>
      <c r="C558" s="6">
        <f>Gross_cleaning!E558</f>
        <v>7630000</v>
      </c>
      <c r="D558" s="1">
        <v>1951.0</v>
      </c>
      <c r="E558" s="1" t="s">
        <v>18</v>
      </c>
      <c r="F558" s="1" t="str">
        <f>VLOOKUP(Filmes_raw!E558,Rating_systems!$A$2:$C$29,3,FALSE)</f>
        <v>Adulto</v>
      </c>
      <c r="G558" s="2">
        <f>Gross_cleaning!F558</f>
        <v>101</v>
      </c>
      <c r="H558" s="1" t="s">
        <v>535</v>
      </c>
      <c r="I558" s="1" t="s">
        <v>3439</v>
      </c>
      <c r="J558" s="1">
        <v>7.9</v>
      </c>
      <c r="K558" s="1" t="s">
        <v>3440</v>
      </c>
      <c r="L558" s="1" t="str">
        <f>IFERROR(__xludf.DUMMYFUNCTION("GOOGLETRANSLATE(K558,""en"", ""pt-br"")"),"Um psicopata força uma estrela de tênis a cumprir sua teoria de que dois estranhos podem fugir com assassinato.")</f>
        <v>Um psicopata força uma estrela de tênis a cumprir sua teoria de que dois estranhos podem fugir com assassinato.</v>
      </c>
      <c r="M558" s="1">
        <v>88.0</v>
      </c>
      <c r="N558" s="1" t="s">
        <v>399</v>
      </c>
      <c r="O558" s="1" t="s">
        <v>2861</v>
      </c>
      <c r="P558" s="1" t="s">
        <v>3441</v>
      </c>
      <c r="Q558" s="1" t="s">
        <v>3442</v>
      </c>
      <c r="R558" s="1" t="s">
        <v>3443</v>
      </c>
      <c r="S558" s="1">
        <v>123341.0</v>
      </c>
      <c r="T558" s="7" t="str">
        <f>VLOOKUP(A558,Posters!A558:B1557,2)</f>
        <v>https://m.media-amazon.com/images/M/MV5BNzkwNjk4ODgtYjRmMi00ODdhLWIyNjUtNWQyMjg2N2E2NjlhXkEyXkFqcGdeQXVyNjE5MjUyOTM@._V1_UX67_CR0,0,67,98_AL_.jpg</v>
      </c>
      <c r="U558" s="8">
        <f>'Inflation Adjusted Gross'!F558</f>
        <v>77492863</v>
      </c>
      <c r="V558" s="5">
        <f t="shared" si="1"/>
        <v>2020</v>
      </c>
    </row>
    <row r="559">
      <c r="A559" s="1">
        <v>558.0</v>
      </c>
      <c r="B559" s="1" t="s">
        <v>3444</v>
      </c>
      <c r="C559" s="6">
        <f>Gross_cleaning!E559</f>
        <v>0</v>
      </c>
      <c r="D559" s="1">
        <v>1950.0</v>
      </c>
      <c r="E559" s="1" t="s">
        <v>2047</v>
      </c>
      <c r="F559" s="1" t="str">
        <f>VLOOKUP(Filmes_raw!E559,Rating_systems!$A$2:$C$29,3,FALSE)</f>
        <v>Adulto</v>
      </c>
      <c r="G559" s="2">
        <f>Gross_cleaning!F559</f>
        <v>104</v>
      </c>
      <c r="H559" s="1" t="s">
        <v>647</v>
      </c>
      <c r="I559" s="1" t="s">
        <v>1460</v>
      </c>
      <c r="J559" s="1">
        <v>7.9</v>
      </c>
      <c r="K559" s="1" t="s">
        <v>3445</v>
      </c>
      <c r="L559" s="1" t="str">
        <f>IFERROR(__xludf.DUMMYFUNCTION("GOOGLETRANSLATE(K559,""en"", ""pt-br"")"),"Devido à sua insistência que ele tem um coelho invisível de seis pés para um melhor amigo, um homem extravagante de meia-idade é pensado por sua família para ser insano - mas ele pode ser mais sábio do que qualquer um sabe.")</f>
        <v>Devido à sua insistência que ele tem um coelho invisível de seis pés para um melhor amigo, um homem extravagante de meia-idade é pensado por sua família para ser insano - mas ele pode ser mais sábio do que qualquer um sabe.</v>
      </c>
      <c r="N559" s="1" t="s">
        <v>3446</v>
      </c>
      <c r="O559" s="1" t="s">
        <v>274</v>
      </c>
      <c r="P559" s="1" t="s">
        <v>3447</v>
      </c>
      <c r="Q559" s="1" t="s">
        <v>3448</v>
      </c>
      <c r="R559" s="1" t="s">
        <v>3449</v>
      </c>
      <c r="S559" s="1">
        <v>52573.0</v>
      </c>
      <c r="T559" s="7" t="str">
        <f>VLOOKUP(A559,Posters!A559:B1558,2)</f>
        <v>https://m.media-amazon.com/images/M/MV5BMzg2YTFkNjgtM2ZkNS00MWVkLWIwMTEtZTgzMDM2MmUxNDE2XkEyXkFqcGdeQXVyMjI4MjA5MzA@._V1_UX67_CR0,0,67,98_AL_.jpg</v>
      </c>
      <c r="U559" s="8">
        <f>'Inflation Adjusted Gross'!F559</f>
        <v>0</v>
      </c>
      <c r="V559" s="5">
        <f t="shared" si="1"/>
        <v>2020</v>
      </c>
    </row>
    <row r="560">
      <c r="A560" s="1">
        <v>559.0</v>
      </c>
      <c r="B560" s="1" t="s">
        <v>3450</v>
      </c>
      <c r="C560" s="6">
        <f>Gross_cleaning!E560</f>
        <v>2650000</v>
      </c>
      <c r="D560" s="1">
        <v>1947.0</v>
      </c>
      <c r="E560" s="1" t="s">
        <v>270</v>
      </c>
      <c r="F560" s="1" t="str">
        <f>VLOOKUP(Filmes_raw!E560,Rating_systems!$A$2:$C$29,3,FALSE)</f>
        <v>Criança</v>
      </c>
      <c r="G560" s="2">
        <f>Gross_cleaning!F560</f>
        <v>96</v>
      </c>
      <c r="H560" s="1" t="s">
        <v>53</v>
      </c>
      <c r="I560" s="1" t="s">
        <v>416</v>
      </c>
      <c r="J560" s="1">
        <v>7.9</v>
      </c>
      <c r="K560" s="1" t="s">
        <v>3451</v>
      </c>
      <c r="L560" s="1" t="str">
        <f>IFERROR(__xludf.DUMMYFUNCTION("GOOGLETRANSLATE(K560,""en"", ""pt-br"")"),"Quando um velho velho que afirma ser o Papai Noel é institucionalizado como insano, um jovem advogado decide defendê-lo argumentando em tribunal que ele é a coisa real.")</f>
        <v>Quando um velho velho que afirma ser o Papai Noel é institucionalizado como insano, um jovem advogado decide defendê-lo argumentando em tribunal que ele é a coisa real.</v>
      </c>
      <c r="M560" s="1">
        <v>88.0</v>
      </c>
      <c r="N560" s="1" t="s">
        <v>3452</v>
      </c>
      <c r="O560" s="1" t="s">
        <v>3453</v>
      </c>
      <c r="P560" s="1" t="s">
        <v>3454</v>
      </c>
      <c r="Q560" s="1" t="s">
        <v>3455</v>
      </c>
      <c r="R560" s="1" t="s">
        <v>3456</v>
      </c>
      <c r="S560" s="1">
        <v>41625.0</v>
      </c>
      <c r="T560" s="7" t="str">
        <f>VLOOKUP(A560,Posters!A560:B1559,2)</f>
        <v>https://m.media-amazon.com/images/M/MV5BNjRkOGEwYTUtY2E5Yy00ODg4LTk2ZWItY2IyMzUxOGVhMTM1XkEyXkFqcGdeQXVyNDk0MDg4NDk@._V1_UX67_CR0,0,67,98_AL_.jpg</v>
      </c>
      <c r="U560" s="8">
        <f>'Inflation Adjusted Gross'!F560</f>
        <v>31796426</v>
      </c>
      <c r="V560" s="5">
        <f t="shared" si="1"/>
        <v>2020</v>
      </c>
    </row>
    <row r="561">
      <c r="A561" s="1">
        <v>560.0</v>
      </c>
      <c r="B561" s="1" t="s">
        <v>3457</v>
      </c>
      <c r="C561" s="6">
        <f>Gross_cleaning!E561</f>
        <v>10464000</v>
      </c>
      <c r="D561" s="1">
        <v>1946.0</v>
      </c>
      <c r="E561" s="1" t="s">
        <v>52</v>
      </c>
      <c r="F561" s="1" t="str">
        <f>VLOOKUP(Filmes_raw!E561,Rating_systems!$A$2:$C$29,3,FALSE)</f>
        <v>Criança</v>
      </c>
      <c r="G561" s="2">
        <f>Gross_cleaning!F561</f>
        <v>102</v>
      </c>
      <c r="H561" s="1" t="s">
        <v>405</v>
      </c>
      <c r="I561" s="1" t="s">
        <v>3458</v>
      </c>
      <c r="J561" s="1">
        <v>7.9</v>
      </c>
      <c r="K561" s="1" t="s">
        <v>3459</v>
      </c>
      <c r="L561" s="1" t="str">
        <f>IFERROR(__xludf.DUMMYFUNCTION("GOOGLETRANSLATE(K561,""en"", ""pt-br"")"),"Uma mulher é convidada a espionar um grupo de amigos nazistas na América do Sul. Quão longe ela terá que ir para se enganar com eles?")</f>
        <v>Uma mulher é convidada a espionar um grupo de amigos nazistas na América do Sul. Quão longe ela terá que ir para se enganar com eles?</v>
      </c>
      <c r="M561" s="1">
        <v>100.0</v>
      </c>
      <c r="N561" s="1" t="s">
        <v>399</v>
      </c>
      <c r="O561" s="1" t="s">
        <v>873</v>
      </c>
      <c r="P561" s="1" t="s">
        <v>410</v>
      </c>
      <c r="Q561" s="1" t="s">
        <v>412</v>
      </c>
      <c r="R561" s="1" t="s">
        <v>3460</v>
      </c>
      <c r="S561" s="1">
        <v>92306.0</v>
      </c>
      <c r="T561" s="7" t="str">
        <f>VLOOKUP(A561,Posters!A561:B1560,2)</f>
        <v>https://m.media-amazon.com/images/M/MV5BYTc1NGViOTMtNjZhNS00OGY2LWI4MmItOWQwNTY4MDMzNWI3L2ltYWdlXkEyXkFqcGdeQXVyNjc1NTYyMjg@._V1_UX67_CR0,0,67,98_AL_.jpg</v>
      </c>
      <c r="U561" s="8">
        <f>'Inflation Adjusted Gross'!F561</f>
        <v>148319151</v>
      </c>
      <c r="V561" s="5">
        <f t="shared" si="1"/>
        <v>2020</v>
      </c>
    </row>
    <row r="562">
      <c r="A562" s="1">
        <v>561.0</v>
      </c>
      <c r="B562" s="1" t="s">
        <v>3461</v>
      </c>
      <c r="C562" s="6">
        <f>Gross_cleaning!E562</f>
        <v>6540000</v>
      </c>
      <c r="D562" s="1">
        <v>1946.0</v>
      </c>
      <c r="E562" s="1" t="s">
        <v>627</v>
      </c>
      <c r="F562" s="1" t="str">
        <f>VLOOKUP(Filmes_raw!E562,Rating_systems!$A$2:$C$29,3,FALSE)</f>
        <v>Adulto</v>
      </c>
      <c r="G562" s="2">
        <f>Gross_cleaning!F562</f>
        <v>114</v>
      </c>
      <c r="H562" s="1" t="s">
        <v>825</v>
      </c>
      <c r="I562" s="1" t="s">
        <v>3462</v>
      </c>
      <c r="J562" s="1">
        <v>7.9</v>
      </c>
      <c r="K562" s="1" t="s">
        <v>3463</v>
      </c>
      <c r="L562" s="1" t="str">
        <f>IFERROR(__xludf.DUMMYFUNCTION("GOOGLETRANSLATE(K562,""en"", ""pt-br"")"),"O detetive privado Philip Marlowe é contratado por uma família rica. Antes que o caso complexo termine, ele viu assassinato, chantagem e o que poderia ser amor.")</f>
        <v>O detetive privado Philip Marlowe é contratado por uma família rica. Antes que o caso complexo termine, ele viu assassinato, chantagem e o que poderia ser amor.</v>
      </c>
      <c r="N562" s="1" t="s">
        <v>2789</v>
      </c>
      <c r="O562" s="1" t="s">
        <v>409</v>
      </c>
      <c r="P562" s="1" t="s">
        <v>2473</v>
      </c>
      <c r="Q562" s="1" t="s">
        <v>3464</v>
      </c>
      <c r="R562" s="1" t="s">
        <v>3465</v>
      </c>
      <c r="S562" s="1">
        <v>78796.0</v>
      </c>
      <c r="T562" s="7" t="str">
        <f>VLOOKUP(A562,Posters!A562:B1561,2)</f>
        <v>https://m.media-amazon.com/images/M/MV5BMjdiM2IyZmQtODJiYy00NDNkLTllYmItMmFjMDNiYTQyOGVkXkEyXkFqcGdeQXVyNDY2MTk1ODk@._V1_UX67_CR0,0,67,98_AL_.jpg</v>
      </c>
      <c r="U562" s="8">
        <f>'Inflation Adjusted Gross'!F562</f>
        <v>92699469</v>
      </c>
      <c r="V562" s="5">
        <f t="shared" si="1"/>
        <v>2020</v>
      </c>
    </row>
    <row r="563">
      <c r="A563" s="1">
        <v>562.0</v>
      </c>
      <c r="B563" s="1" t="s">
        <v>3466</v>
      </c>
      <c r="C563" s="6">
        <f>Gross_cleaning!E563</f>
        <v>9460000</v>
      </c>
      <c r="D563" s="1">
        <v>1945.0</v>
      </c>
      <c r="E563" s="1" t="s">
        <v>627</v>
      </c>
      <c r="F563" s="1" t="str">
        <f>VLOOKUP(Filmes_raw!E563,Rating_systems!$A$2:$C$29,3,FALSE)</f>
        <v>Adulto</v>
      </c>
      <c r="G563" s="2">
        <f>Gross_cleaning!F563</f>
        <v>101</v>
      </c>
      <c r="H563" s="1" t="s">
        <v>535</v>
      </c>
      <c r="I563" s="1" t="s">
        <v>628</v>
      </c>
      <c r="J563" s="1">
        <v>7.9</v>
      </c>
      <c r="K563" s="1" t="s">
        <v>3467</v>
      </c>
      <c r="L563" s="1" t="str">
        <f>IFERROR(__xludf.DUMMYFUNCTION("GOOGLETRANSLATE(K563,""en"", ""pt-br"")"),"A vida desesperada de um alcoólatra crônico é seguida por uma luta de quatro dias.")</f>
        <v>A vida desesperada de um alcoólatra crônico é seguida por uma luta de quatro dias.</v>
      </c>
      <c r="N563" s="1" t="s">
        <v>610</v>
      </c>
      <c r="O563" s="1" t="s">
        <v>1322</v>
      </c>
      <c r="P563" s="1" t="s">
        <v>3468</v>
      </c>
      <c r="Q563" s="1" t="s">
        <v>3469</v>
      </c>
      <c r="R563" s="1" t="s">
        <v>3470</v>
      </c>
      <c r="S563" s="1">
        <v>33549.0</v>
      </c>
      <c r="T563" s="7" t="str">
        <f>VLOOKUP(A563,Posters!A563:B1562,2)</f>
        <v>https://m.media-amazon.com/images/M/MV5BMTk4NDQ0NjgyNF5BMl5BanBnXkFtZTgwMTE3NTkxMTE@._V1_UX67_CR0,0,67,98_AL_.jpg</v>
      </c>
      <c r="U563" s="8">
        <f>'Inflation Adjusted Gross'!F563</f>
        <v>137101442</v>
      </c>
      <c r="V563" s="5">
        <f t="shared" si="1"/>
        <v>2020</v>
      </c>
    </row>
    <row r="564">
      <c r="A564" s="1">
        <v>563.0</v>
      </c>
      <c r="B564" s="1" t="s">
        <v>3471</v>
      </c>
      <c r="C564" s="6">
        <f>Gross_cleaning!E564</f>
        <v>411663</v>
      </c>
      <c r="D564" s="1">
        <v>1940.0</v>
      </c>
      <c r="E564" s="1" t="s">
        <v>270</v>
      </c>
      <c r="F564" s="1" t="str">
        <f>VLOOKUP(Filmes_raw!E564,Rating_systems!$A$2:$C$29,3,FALSE)</f>
        <v>Criança</v>
      </c>
      <c r="G564" s="2">
        <f>Gross_cleaning!F564</f>
        <v>112</v>
      </c>
      <c r="H564" s="1" t="s">
        <v>295</v>
      </c>
      <c r="I564" s="1" t="s">
        <v>723</v>
      </c>
      <c r="J564" s="1">
        <v>7.9</v>
      </c>
      <c r="K564" s="1" t="s">
        <v>3472</v>
      </c>
      <c r="L564" s="1" t="str">
        <f>IFERROR(__xludf.DUMMYFUNCTION("GOOGLETRANSLATE(K564,""en"", ""pt-br"")"),"Quando o ex-marido de uma mulher rica e um repórter do tipo tablóide aparecem logo antes de seu casamento planejado, ela começa a aprender a verdade sobre ela mesma.")</f>
        <v>Quando o ex-marido de uma mulher rica e um repórter do tipo tablóide aparecem logo antes de seu casamento planejado, ela começa a aprender a verdade sobre ela mesma.</v>
      </c>
      <c r="M564" s="1">
        <v>96.0</v>
      </c>
      <c r="N564" s="1" t="s">
        <v>2092</v>
      </c>
      <c r="O564" s="1" t="s">
        <v>873</v>
      </c>
      <c r="P564" s="1" t="s">
        <v>3385</v>
      </c>
      <c r="Q564" s="1" t="s">
        <v>274</v>
      </c>
      <c r="R564" s="1" t="s">
        <v>3473</v>
      </c>
      <c r="S564" s="1">
        <v>63550.0</v>
      </c>
      <c r="T564" s="7" t="str">
        <f>VLOOKUP(A564,Posters!A564:B1563,2)</f>
        <v>https://m.media-amazon.com/images/M/MV5BYjQ4ZDA4NGMtMTkwYi00NThiLThhZDUtZTEzNTAxOWYyY2E4XkEyXkFqcGdeQXVyMjUxODE0MDY@._V1_UX67_CR0,0,67,98_AL_.jpg</v>
      </c>
      <c r="U564" s="8">
        <f>'Inflation Adjusted Gross'!F564</f>
        <v>7640080</v>
      </c>
      <c r="V564" s="5">
        <f t="shared" si="1"/>
        <v>2020</v>
      </c>
    </row>
    <row r="565">
      <c r="A565" s="1">
        <v>564.0</v>
      </c>
      <c r="B565" s="1" t="s">
        <v>3474</v>
      </c>
      <c r="C565" s="6">
        <f>Gross_cleaning!E565</f>
        <v>296</v>
      </c>
      <c r="D565" s="1">
        <v>1940.0</v>
      </c>
      <c r="E565" s="1" t="s">
        <v>627</v>
      </c>
      <c r="F565" s="1" t="str">
        <f>VLOOKUP(Filmes_raw!E565,Rating_systems!$A$2:$C$29,3,FALSE)</f>
        <v>Adulto</v>
      </c>
      <c r="G565" s="2">
        <f>Gross_cleaning!F565</f>
        <v>92</v>
      </c>
      <c r="H565" s="1" t="s">
        <v>1588</v>
      </c>
      <c r="I565" s="1" t="s">
        <v>227</v>
      </c>
      <c r="J565" s="1">
        <v>7.9</v>
      </c>
      <c r="K565" s="1" t="s">
        <v>3475</v>
      </c>
      <c r="L565" s="1" t="str">
        <f>IFERROR(__xludf.DUMMYFUNCTION("GOOGLETRANSLATE(K565,""en"", ""pt-br"")"),"Um editor de jornais usa todos os truques no livro para manter sua ex-esposa do repórter ACE de sequer.")</f>
        <v>Um editor de jornais usa todos os truques no livro para manter sua ex-esposa do repórter ACE de sequer.</v>
      </c>
      <c r="N565" s="1" t="s">
        <v>2789</v>
      </c>
      <c r="O565" s="1" t="s">
        <v>873</v>
      </c>
      <c r="P565" s="1" t="s">
        <v>3476</v>
      </c>
      <c r="Q565" s="1" t="s">
        <v>3477</v>
      </c>
      <c r="R565" s="1" t="s">
        <v>3456</v>
      </c>
      <c r="S565" s="1">
        <v>53667.0</v>
      </c>
      <c r="T565" s="7" t="str">
        <f>VLOOKUP(A565,Posters!A565:B1564,2)</f>
        <v>https://m.media-amazon.com/images/M/MV5BZDVmZTZkYjMtNmViZC00ODEzLTgwNDAtNmQ3OGQwOWY5YjFmXkEyXkFqcGdeQXVyNDY2MTk1ODk@._V1_UX67_CR0,0,67,98_AL_.jpg</v>
      </c>
      <c r="U565" s="8">
        <f>'Inflation Adjusted Gross'!F565</f>
        <v>5493</v>
      </c>
      <c r="V565" s="5">
        <f t="shared" si="1"/>
        <v>2020</v>
      </c>
    </row>
    <row r="566">
      <c r="A566" s="1">
        <v>565.0</v>
      </c>
      <c r="B566" s="1" t="s">
        <v>3478</v>
      </c>
      <c r="C566" s="6">
        <f>Gross_cleaning!E566</f>
        <v>3981000</v>
      </c>
      <c r="D566" s="1">
        <v>1938.0</v>
      </c>
      <c r="E566" s="1" t="s">
        <v>270</v>
      </c>
      <c r="F566" s="1" t="str">
        <f>VLOOKUP(Filmes_raw!E566,Rating_systems!$A$2:$C$29,3,FALSE)</f>
        <v>Criança</v>
      </c>
      <c r="G566" s="2">
        <f>Gross_cleaning!F566</f>
        <v>102</v>
      </c>
      <c r="H566" s="1" t="s">
        <v>405</v>
      </c>
      <c r="I566" s="1" t="s">
        <v>3479</v>
      </c>
      <c r="J566" s="1">
        <v>7.9</v>
      </c>
      <c r="K566" s="1" t="s">
        <v>3480</v>
      </c>
      <c r="L566" s="1" t="str">
        <f>IFERROR(__xludf.DUMMYFUNCTION("GOOGLETRANSLATE(K566,""en"", ""pt-br"")"),"Quando o príncipe João e os senhores normandos começam a opressar as massas saxões na ausência do rei Richard, um senhor saxão lutas de volta como o líder fora de um exército de guerrilha rebelde.")</f>
        <v>Quando o príncipe João e os senhores normandos começam a opressar as massas saxões na ausência do rei Richard, um senhor saxão lutas de volta como o líder fora de um exército de guerrilha rebelde.</v>
      </c>
      <c r="M566" s="1">
        <v>97.0</v>
      </c>
      <c r="N566" s="1" t="s">
        <v>408</v>
      </c>
      <c r="O566" s="1" t="s">
        <v>3481</v>
      </c>
      <c r="P566" s="1" t="s">
        <v>3482</v>
      </c>
      <c r="Q566" s="1" t="s">
        <v>3483</v>
      </c>
      <c r="R566" s="1" t="s">
        <v>3484</v>
      </c>
      <c r="S566" s="1">
        <v>47175.0</v>
      </c>
      <c r="T566" s="7" t="str">
        <f>VLOOKUP(A566,Posters!A566:B1565,2)</f>
        <v>https://m.media-amazon.com/images/M/MV5BYjZjOTU3MTMtYTM5YS00YjZmLThmNmMtODcwOTM1NmRiMWM2XkEyXkFqcGdeQXVyNjc1NTYyMjg@._V1_UX67_CR0,0,67,98_AL_.jpg</v>
      </c>
      <c r="U566" s="8">
        <f>'Inflation Adjusted Gross'!F566</f>
        <v>72322715</v>
      </c>
      <c r="V566" s="5">
        <f t="shared" si="1"/>
        <v>2020</v>
      </c>
    </row>
    <row r="567">
      <c r="A567" s="1">
        <v>566.0</v>
      </c>
      <c r="B567" s="1" t="s">
        <v>3485</v>
      </c>
      <c r="C567" s="6">
        <f>Gross_cleaning!E567</f>
        <v>2537520</v>
      </c>
      <c r="D567" s="1">
        <v>1935.0</v>
      </c>
      <c r="E567" s="1" t="s">
        <v>627</v>
      </c>
      <c r="F567" s="1" t="str">
        <f>VLOOKUP(Filmes_raw!E567,Rating_systems!$A$2:$C$29,3,FALSE)</f>
        <v>Adulto</v>
      </c>
      <c r="G567" s="2">
        <f>Gross_cleaning!F567</f>
        <v>96</v>
      </c>
      <c r="H567" s="1" t="s">
        <v>53</v>
      </c>
      <c r="I567" s="1" t="s">
        <v>3486</v>
      </c>
      <c r="J567" s="1">
        <v>7.9</v>
      </c>
      <c r="K567" s="1" t="s">
        <v>3487</v>
      </c>
      <c r="L567" s="1" t="str">
        <f>IFERROR(__xludf.DUMMYFUNCTION("GOOGLETRANSLATE(K567,""en"", ""pt-br"")"),"Um gerente de negócios da Sly e dois amigos malucos de dois cantores de ópera os ajudam a alcançar o sucesso enquanto se humilham seus inimigos abafados e esnobes.")</f>
        <v>Um gerente de negócios da Sly e dois amigos malucos de dois cantores de ópera os ajudam a alcançar o sucesso enquanto se humilham seus inimigos abafados e esnobes.</v>
      </c>
      <c r="N567" s="1" t="s">
        <v>2093</v>
      </c>
      <c r="O567" s="1" t="s">
        <v>3488</v>
      </c>
      <c r="P567" s="1" t="s">
        <v>3489</v>
      </c>
      <c r="Q567" s="1" t="s">
        <v>3490</v>
      </c>
      <c r="R567" s="1" t="s">
        <v>3491</v>
      </c>
      <c r="S567" s="1">
        <v>30580.0</v>
      </c>
      <c r="T567" s="7" t="str">
        <f>VLOOKUP(A567,Posters!A567:B1566,2)</f>
        <v>https://m.media-amazon.com/images/M/MV5BYTJmNmQxNGItNDNlMC00MDU3LWFhNzMtZDQ2NDY0ZTVkNjE3XkEyXkFqcGdeQXVyMDI2NDg0NQ@@._V1_UX67_CR0,0,67,98_AL_.jpg</v>
      </c>
      <c r="U567" s="8">
        <f>'Inflation Adjusted Gross'!F567</f>
        <v>48132836</v>
      </c>
      <c r="V567" s="5">
        <f t="shared" si="1"/>
        <v>2020</v>
      </c>
    </row>
    <row r="568">
      <c r="A568" s="1">
        <v>567.0</v>
      </c>
      <c r="B568" s="1" t="s">
        <v>3492</v>
      </c>
      <c r="C568" s="6">
        <f>Gross_cleaning!E568</f>
        <v>10000000</v>
      </c>
      <c r="D568" s="1">
        <v>1933.0</v>
      </c>
      <c r="E568" s="1" t="s">
        <v>627</v>
      </c>
      <c r="F568" s="1" t="str">
        <f>VLOOKUP(Filmes_raw!E568,Rating_systems!$A$2:$C$29,3,FALSE)</f>
        <v>Adulto</v>
      </c>
      <c r="G568" s="2">
        <f>Gross_cleaning!F568</f>
        <v>100</v>
      </c>
      <c r="H568" s="1" t="s">
        <v>1439</v>
      </c>
      <c r="I568" s="1" t="s">
        <v>3493</v>
      </c>
      <c r="J568" s="1">
        <v>7.9</v>
      </c>
      <c r="K568" s="1" t="s">
        <v>3494</v>
      </c>
      <c r="L568" s="1" t="str">
        <f>IFERROR(__xludf.DUMMYFUNCTION("GOOGLETRANSLATE(K568,""en"", ""pt-br"")"),"Uma tripulação de filmes vai para uma ilha tropical para uma localização exótica e descobre um macaco colossal que leva um brilho à sua estrela loira feminina. Ele é então capturado e trazido de volta para Nova York para a exposição pública.")</f>
        <v>Uma tripulação de filmes vai para uma ilha tropical para uma localização exótica e descobre um macaco colossal que leva um brilho à sua estrela loira feminina. Ele é então capturado e trazido de volta para Nova York para a exposição pública.</v>
      </c>
      <c r="M568" s="1">
        <v>90.0</v>
      </c>
      <c r="N568" s="1" t="s">
        <v>3495</v>
      </c>
      <c r="O568" s="1" t="s">
        <v>3496</v>
      </c>
      <c r="P568" s="1" t="s">
        <v>3497</v>
      </c>
      <c r="Q568" s="1" t="s">
        <v>3498</v>
      </c>
      <c r="R568" s="1" t="s">
        <v>3499</v>
      </c>
      <c r="S568" s="1">
        <v>78991.0</v>
      </c>
      <c r="T568" s="7" t="str">
        <f>VLOOKUP(A568,Posters!A568:B1567,2)</f>
        <v>https://m.media-amazon.com/images/M/MV5BZTY3YjYxZGQtMTM2YS00ZmYwLWFlM2QtOWFlMTU1NTAyZDQ2XkEyXkFqcGdeQXVyNTgyNTA4MjM@._V1_UX67_CR0,0,67,98_AL_.jpg</v>
      </c>
      <c r="U568" s="8">
        <f>'Inflation Adjusted Gross'!F568</f>
        <v>199977519</v>
      </c>
      <c r="V568" s="5">
        <f t="shared" si="1"/>
        <v>2020</v>
      </c>
    </row>
    <row r="569">
      <c r="A569" s="1">
        <v>568.0</v>
      </c>
      <c r="B569" s="1" t="s">
        <v>3500</v>
      </c>
      <c r="C569" s="6">
        <f>Gross_cleaning!E569</f>
        <v>4072</v>
      </c>
      <c r="D569" s="1">
        <v>1932.0</v>
      </c>
      <c r="E569" s="1" t="s">
        <v>694</v>
      </c>
      <c r="F569" s="1" t="str">
        <f>VLOOKUP(Filmes_raw!E569,Rating_systems!$A$2:$C$29,3,FALSE)</f>
        <v>Adolescente</v>
      </c>
      <c r="G569" s="2">
        <f>Gross_cleaning!F569</f>
        <v>64</v>
      </c>
      <c r="H569" s="1" t="s">
        <v>3501</v>
      </c>
      <c r="I569" s="1" t="s">
        <v>569</v>
      </c>
      <c r="J569" s="1">
        <v>7.9</v>
      </c>
      <c r="K569" s="1" t="s">
        <v>3502</v>
      </c>
      <c r="L569" s="1" t="str">
        <f>IFERROR(__xludf.DUMMYFUNCTION("GOOGLETRANSLATE(K569,""en"", ""pt-br"")"),"Um lindo artista de trapézio de circo concorda em se casar com o líder dos artistas do show lateral, mas seus amigos deformados descobrem que ela só está se casando apenas por sua herança.")</f>
        <v>Um lindo artista de trapézio de circo concorda em se casar com o líder dos artistas do show lateral, mas seus amigos deformados descobrem que ela só está se casando apenas por sua herança.</v>
      </c>
      <c r="M569" s="1">
        <v>80.0</v>
      </c>
      <c r="N569" s="1" t="s">
        <v>3503</v>
      </c>
      <c r="O569" s="1" t="s">
        <v>3447</v>
      </c>
      <c r="P569" s="1" t="s">
        <v>3504</v>
      </c>
      <c r="Q569" s="1" t="s">
        <v>3505</v>
      </c>
      <c r="R569" s="1" t="s">
        <v>3506</v>
      </c>
      <c r="S569" s="1">
        <v>42117.0</v>
      </c>
      <c r="T569" s="7" t="str">
        <f>VLOOKUP(A569,Posters!A569:B1568,2)</f>
        <v>https://m.media-amazon.com/images/M/MV5BMjMyYjgyOTQtZDVlZS00NTQ0LWJiNDItNGRlZmM3Yzc0N2Y0XkEyXkFqcGdeQXVyNTA4NzY1MzY@._V1_UX67_CR0,0,67,98_AL_.jpg</v>
      </c>
      <c r="U569" s="8">
        <f>'Inflation Adjusted Gross'!F569</f>
        <v>73459</v>
      </c>
      <c r="V569" s="5">
        <f t="shared" si="1"/>
        <v>2020</v>
      </c>
    </row>
    <row r="570">
      <c r="A570" s="1">
        <v>569.0</v>
      </c>
      <c r="B570" s="1" t="s">
        <v>3507</v>
      </c>
      <c r="C570" s="6">
        <f>Gross_cleaning!E570</f>
        <v>19054</v>
      </c>
      <c r="D570" s="1">
        <v>1922.0</v>
      </c>
      <c r="E570" s="1" t="s">
        <v>270</v>
      </c>
      <c r="F570" s="1" t="str">
        <f>VLOOKUP(Filmes_raw!E570,Rating_systems!$A$2:$C$29,3,FALSE)</f>
        <v>Criança</v>
      </c>
      <c r="G570" s="2">
        <f>Gross_cleaning!F570</f>
        <v>94</v>
      </c>
      <c r="H570" s="1" t="s">
        <v>1882</v>
      </c>
      <c r="I570" s="1" t="s">
        <v>3508</v>
      </c>
      <c r="J570" s="1">
        <v>7.9</v>
      </c>
      <c r="K570" s="1" t="s">
        <v>3509</v>
      </c>
      <c r="L570" s="1" t="str">
        <f>IFERROR(__xludf.DUMMYFUNCTION("GOOGLETRANSLATE(K570,""en"", ""pt-br"")"),"O vampiro contagem orlok expressa interesse em uma nova residência e esposa do agente imobiliário da Hutter.")</f>
        <v>O vampiro contagem orlok expressa interesse em uma nova residência e esposa do agente imobiliário da Hutter.</v>
      </c>
      <c r="N570" s="1" t="s">
        <v>2125</v>
      </c>
      <c r="O570" s="1" t="s">
        <v>3510</v>
      </c>
      <c r="P570" s="1" t="s">
        <v>3511</v>
      </c>
      <c r="Q570" s="1" t="s">
        <v>3512</v>
      </c>
      <c r="R570" s="1" t="s">
        <v>3513</v>
      </c>
      <c r="S570" s="1">
        <v>88794.0</v>
      </c>
      <c r="T570" s="7" t="str">
        <f>VLOOKUP(A570,Posters!A570:B1569,2)</f>
        <v>https://m.media-amazon.com/images/M/MV5BMTAxYjEyMTctZTg3Ni00MGZmLWIxMmMtOGM2NTFiY2U3MmExXkEyXkFqcGdeQXVyNzkwMjQ5NzM@._V1_UX67_CR0,0,67,98_AL_.jpg</v>
      </c>
      <c r="U570" s="8">
        <f>'Inflation Adjusted Gross'!F570</f>
        <v>290851</v>
      </c>
      <c r="V570" s="5">
        <f t="shared" si="1"/>
        <v>2020</v>
      </c>
    </row>
    <row r="571">
      <c r="A571" s="1">
        <v>570.0</v>
      </c>
      <c r="B571" s="1" t="s">
        <v>3514</v>
      </c>
      <c r="C571" s="6">
        <f>Gross_cleaning!E571</f>
        <v>36471795</v>
      </c>
      <c r="D571" s="1">
        <v>2019.0</v>
      </c>
      <c r="E571" s="1" t="s">
        <v>18</v>
      </c>
      <c r="F571" s="1" t="str">
        <f>VLOOKUP(Filmes_raw!E571,Rating_systems!$A$2:$C$29,3,FALSE)</f>
        <v>Adulto</v>
      </c>
      <c r="G571" s="2">
        <f>Gross_cleaning!F571</f>
        <v>113</v>
      </c>
      <c r="H571" s="1" t="s">
        <v>543</v>
      </c>
      <c r="I571" s="1" t="s">
        <v>1029</v>
      </c>
      <c r="J571" s="1">
        <v>7.8</v>
      </c>
      <c r="K571" s="1" t="s">
        <v>3515</v>
      </c>
      <c r="L571" s="1" t="str">
        <f>IFERROR(__xludf.DUMMYFUNCTION("GOOGLETRANSLATE(K571,""en"", ""pt-br"")"),"Um expatégio americano tenta vender seu Império de Marijuana altamente lucrativo em Londres, desencadeando parcelas, esquemas, suborno e chantagem em uma tentativa de roubar seu domínio de debaixo dele.")</f>
        <v>Um expatégio americano tenta vender seu Império de Marijuana altamente lucrativo em Londres, desencadeando parcelas, esquemas, suborno e chantagem em uma tentativa de roubar seu domínio de debaixo dele.</v>
      </c>
      <c r="M571" s="1">
        <v>51.0</v>
      </c>
      <c r="N571" s="1" t="s">
        <v>733</v>
      </c>
      <c r="O571" s="1" t="s">
        <v>190</v>
      </c>
      <c r="P571" s="1" t="s">
        <v>3516</v>
      </c>
      <c r="Q571" s="1" t="s">
        <v>3517</v>
      </c>
      <c r="R571" s="1" t="s">
        <v>3518</v>
      </c>
      <c r="S571" s="1">
        <v>237392.0</v>
      </c>
      <c r="T571" s="7" t="str">
        <f>VLOOKUP(A571,Posters!A571:B1570,2)</f>
        <v>https://m.media-amazon.com/images/M/MV5BMTlkMmVmYjktYTc2NC00ZGZjLWEyOWUtMjc2MDMwMjQwOTA5XkEyXkFqcGdeQXVyNTI4MzE4MDU@._V1_UX67_CR0,0,67,98_AL_.jpg</v>
      </c>
      <c r="U571" s="8">
        <f>'Inflation Adjusted Gross'!F571</f>
        <v>37378692</v>
      </c>
      <c r="V571" s="5">
        <f t="shared" si="1"/>
        <v>2020</v>
      </c>
    </row>
    <row r="572">
      <c r="A572" s="1">
        <v>571.0</v>
      </c>
      <c r="B572" s="1" t="s">
        <v>3519</v>
      </c>
      <c r="C572" s="6">
        <f>Gross_cleaning!E572</f>
        <v>1812763</v>
      </c>
      <c r="D572" s="1">
        <v>2018.0</v>
      </c>
      <c r="E572" s="1" t="s">
        <v>37</v>
      </c>
      <c r="F572" s="1" t="str">
        <f>VLOOKUP(Filmes_raw!E572,Rating_systems!$A$2:$C$29,3,FALSE)</f>
        <v>Criança</v>
      </c>
      <c r="G572" s="2">
        <f>Gross_cleaning!F572</f>
        <v>138</v>
      </c>
      <c r="H572" s="1" t="s">
        <v>947</v>
      </c>
      <c r="I572" s="1" t="s">
        <v>1283</v>
      </c>
      <c r="J572" s="1">
        <v>7.8</v>
      </c>
      <c r="K572" s="1" t="s">
        <v>3520</v>
      </c>
      <c r="L572" s="1" t="str">
        <f>IFERROR(__xludf.DUMMYFUNCTION("GOOGLETRANSLATE(K572,""en"", ""pt-br"")"),"Uma mulher de Caxemira concorda em se casar com um oficial do exército paquistanês, a fim de espionar o Paquistão durante a Guerra Indo-Paquistão de 1971.")</f>
        <v>Uma mulher de Caxemira concorda em se casar com um oficial do exército paquistanês, a fim de espionar o Paquistão durante a Guerra Indo-Paquistão de 1971.</v>
      </c>
      <c r="N572" s="1" t="s">
        <v>979</v>
      </c>
      <c r="O572" s="1" t="s">
        <v>3521</v>
      </c>
      <c r="P572" s="1" t="s">
        <v>951</v>
      </c>
      <c r="Q572" s="1" t="s">
        <v>3522</v>
      </c>
      <c r="R572" s="1" t="s">
        <v>3523</v>
      </c>
      <c r="S572" s="1">
        <v>25344.0</v>
      </c>
      <c r="T572" s="7" t="str">
        <f>VLOOKUP(A572,Posters!A572:B1571,2)</f>
        <v>https://m.media-amazon.com/images/M/MV5BZmVhN2JlYjEtZWFkOS00YzE0LThiNDMtMGI3NDA1MTk2ZDQ2XkEyXkFqcGdeQXVyODE5NzE3OTE@._V1_UY98_CR0,0,67,98_AL_.jpg</v>
      </c>
      <c r="U572" s="8">
        <f>'Inflation Adjusted Gross'!F572</f>
        <v>1886658</v>
      </c>
      <c r="V572" s="5">
        <f t="shared" si="1"/>
        <v>2020</v>
      </c>
    </row>
    <row r="573">
      <c r="A573" s="1">
        <v>572.0</v>
      </c>
      <c r="B573" s="1" t="s">
        <v>3524</v>
      </c>
      <c r="C573" s="6">
        <f>Gross_cleaning!E573</f>
        <v>516520</v>
      </c>
      <c r="D573" s="1">
        <v>2019.0</v>
      </c>
      <c r="E573" s="1" t="s">
        <v>212</v>
      </c>
      <c r="F573" s="1" t="str">
        <f>VLOOKUP(Filmes_raw!E573,Rating_systems!$A$2:$C$29,3,FALSE)</f>
        <v>Adulto</v>
      </c>
      <c r="G573" s="2">
        <f>Gross_cleaning!F573</f>
        <v>120</v>
      </c>
      <c r="H573" s="1" t="s">
        <v>1546</v>
      </c>
      <c r="I573" s="1" t="s">
        <v>287</v>
      </c>
      <c r="J573" s="1">
        <v>7.8</v>
      </c>
      <c r="K573" s="1" t="s">
        <v>3526</v>
      </c>
      <c r="L573" s="1" t="str">
        <f>IFERROR(__xludf.DUMMYFUNCTION("GOOGLETRANSLATE(K573,""en"", ""pt-br"")"),"Uma vida de baterista de metal pesado é jogada em queda livre quando ele começa a perder sua audição.")</f>
        <v>Uma vida de baterista de metal pesado é jogada em queda livre quando ele começa a perder sua audição.</v>
      </c>
      <c r="M573" s="1">
        <v>81.0</v>
      </c>
      <c r="N573" s="1" t="s">
        <v>3527</v>
      </c>
      <c r="O573" s="1" t="s">
        <v>3002</v>
      </c>
      <c r="P573" s="1" t="s">
        <v>3528</v>
      </c>
      <c r="Q573" s="1" t="s">
        <v>3529</v>
      </c>
      <c r="R573" s="1" t="s">
        <v>3530</v>
      </c>
      <c r="S573" s="1">
        <v>27187.0</v>
      </c>
      <c r="T573" s="7" t="str">
        <f>VLOOKUP(A573,Posters!A573:B1572,2)</f>
        <v>https://m.media-amazon.com/images/M/MV5BNjcyYjg0M2ItMzMyZS00NmM1LTlhZDMtN2MxN2RhNWY4YTkwXkEyXkFqcGdeQXVyNjY1MTg4Mzc@._V1_UX67_CR0,0,67,98_AL_.jpg</v>
      </c>
      <c r="U573" s="8">
        <f>'Inflation Adjusted Gross'!F573</f>
        <v>529364</v>
      </c>
      <c r="V573" s="5">
        <f t="shared" si="1"/>
        <v>2020</v>
      </c>
    </row>
    <row r="574">
      <c r="A574" s="1">
        <v>573.0</v>
      </c>
      <c r="B574" s="1" t="s">
        <v>3531</v>
      </c>
      <c r="C574" s="6">
        <f>Gross_cleaning!E574</f>
        <v>2402067</v>
      </c>
      <c r="D574" s="1">
        <v>2016.0</v>
      </c>
      <c r="E574" s="1" t="s">
        <v>37</v>
      </c>
      <c r="F574" s="1" t="str">
        <f>VLOOKUP(Filmes_raw!E574,Rating_systems!$A$2:$C$29,3,FALSE)</f>
        <v>Criança</v>
      </c>
      <c r="G574" s="2">
        <f>Gross_cleaning!F574</f>
        <v>124</v>
      </c>
      <c r="H574" s="1" t="s">
        <v>144</v>
      </c>
      <c r="I574" s="1" t="s">
        <v>20</v>
      </c>
      <c r="J574" s="1">
        <v>7.8</v>
      </c>
      <c r="K574" s="1" t="s">
        <v>3532</v>
      </c>
      <c r="L574" s="1" t="str">
        <f>IFERROR(__xludf.DUMMYFUNCTION("GOOGLETRANSLATE(K574,""en"", ""pt-br"")"),"Enquanto ambos participam de uma produção de ""morte de um vendedor"", a esposa de um professor é agredida em sua nova casa, o que o deixa determinado a encontrar o perpetrador sobre as objeções traumatizadas de sua esposa.")</f>
        <v>Enquanto ambos participam de uma produção de "morte de um vendedor", a esposa de um professor é agredida em sua nova casa, o que o deixa determinado a encontrar o perpetrador sobre as objeções traumatizadas de sua esposa.</v>
      </c>
      <c r="M574" s="1">
        <v>85.0</v>
      </c>
      <c r="N574" s="1" t="s">
        <v>680</v>
      </c>
      <c r="O574" s="1" t="s">
        <v>684</v>
      </c>
      <c r="P574" s="1" t="s">
        <v>2299</v>
      </c>
      <c r="Q574" s="1" t="s">
        <v>3533</v>
      </c>
      <c r="R574" s="1" t="s">
        <v>3534</v>
      </c>
      <c r="S574" s="1">
        <v>51240.0</v>
      </c>
      <c r="T574" s="7" t="str">
        <f>VLOOKUP(A574,Posters!A574:B1573,2)</f>
        <v>https://m.media-amazon.com/images/M/MV5BMTBkMjMyN2UtNzVjNi00Y2ZiLTk2MDYtN2Y0MjgzYjAxNzE4XkEyXkFqcGdeQXVyNjkxOTM4ODY@._V1_UY98_CR1,0,67,98_AL_.jpg</v>
      </c>
      <c r="U574" s="8">
        <f>'Inflation Adjusted Gross'!F574</f>
        <v>2615541</v>
      </c>
      <c r="V574" s="5">
        <f t="shared" si="1"/>
        <v>2020</v>
      </c>
    </row>
    <row r="575">
      <c r="A575" s="1">
        <v>574.0</v>
      </c>
      <c r="B575" s="1" t="s">
        <v>3535</v>
      </c>
      <c r="C575" s="6">
        <f>Gross_cleaning!E575</f>
        <v>188373161</v>
      </c>
      <c r="D575" s="1">
        <v>2017.0</v>
      </c>
      <c r="E575" s="1" t="s">
        <v>37</v>
      </c>
      <c r="F575" s="1" t="str">
        <f>VLOOKUP(Filmes_raw!E575,Rating_systems!$A$2:$C$29,3,FALSE)</f>
        <v>Criança</v>
      </c>
      <c r="G575" s="2">
        <f>Gross_cleaning!F575</f>
        <v>106</v>
      </c>
      <c r="H575" s="1" t="s">
        <v>286</v>
      </c>
      <c r="I575" s="1" t="s">
        <v>3536</v>
      </c>
      <c r="J575" s="1">
        <v>7.8</v>
      </c>
      <c r="K575" s="1" t="s">
        <v>3537</v>
      </c>
      <c r="L575" s="1" t="str">
        <f>IFERROR(__xludf.DUMMYFUNCTION("GOOGLETRANSLATE(K575,""en"", ""pt-br"")"),"Soldados aliados da Bélgica, o Império Britânico, e a França estão cercados pelo exército alemão e evacuam-se durante uma feroz batalha na Segunda Guerra Mundial.")</f>
        <v>Soldados aliados da Bélgica, o Império Britânico, e a França estão cercados pelo exército alemão e evacuam-se durante uma feroz batalha na Segunda Guerra Mundial.</v>
      </c>
      <c r="M575" s="1">
        <v>94.0</v>
      </c>
      <c r="N575" s="1" t="s">
        <v>41</v>
      </c>
      <c r="O575" s="1" t="s">
        <v>3538</v>
      </c>
      <c r="P575" s="1" t="s">
        <v>3539</v>
      </c>
      <c r="Q575" s="1" t="s">
        <v>3540</v>
      </c>
      <c r="R575" s="1" t="s">
        <v>504</v>
      </c>
      <c r="S575" s="1">
        <v>555092.0</v>
      </c>
      <c r="T575" s="7" t="str">
        <f>VLOOKUP(A575,Posters!A575:B1574,2)</f>
        <v>https://m.media-amazon.com/images/M/MV5BN2YyZjQ0NTEtNzU5MS00NGZkLTg0MTEtYzJmMWY3MWRhZjM2XkEyXkFqcGdeQXVyMDA4NzMyOA@@._V1_UX67_CR0,0,67,98_AL_.jpg</v>
      </c>
      <c r="U575" s="8">
        <f>'Inflation Adjusted Gross'!F575</f>
        <v>200111237</v>
      </c>
      <c r="V575" s="5">
        <f t="shared" si="1"/>
        <v>2020</v>
      </c>
    </row>
    <row r="576">
      <c r="A576" s="1">
        <v>575.0</v>
      </c>
      <c r="B576" s="1" t="s">
        <v>3541</v>
      </c>
      <c r="C576" s="6">
        <f>Gross_cleaning!E576</f>
        <v>31640626</v>
      </c>
      <c r="D576" s="1">
        <v>2016.0</v>
      </c>
      <c r="E576" s="1" t="s">
        <v>3542</v>
      </c>
      <c r="F576" s="1" t="str">
        <f>VLOOKUP(Filmes_raw!E576,Rating_systems!$A$2:$C$29,3,FALSE)</f>
        <v>Criança</v>
      </c>
      <c r="G576" s="2">
        <f>Gross_cleaning!F576</f>
        <v>96</v>
      </c>
      <c r="H576" s="1" t="s">
        <v>53</v>
      </c>
      <c r="I576" s="1" t="s">
        <v>507</v>
      </c>
      <c r="J576" s="1">
        <v>7.8</v>
      </c>
      <c r="K576" s="1" t="s">
        <v>3543</v>
      </c>
      <c r="L576" s="1" t="str">
        <f>IFERROR(__xludf.DUMMYFUNCTION("GOOGLETRANSLATE(K576,""en"", ""pt-br"")"),"Sete amigos de longa data se reúnem para um jantar. Quando decidem compartilhar um com o outro, o conteúdo de cada mensagem de texto, e-mail e telefonema que recebem, muitos segredos começam a revelar e o equilíbrio treme.")</f>
        <v>Sete amigos de longa data se reúnem para um jantar. Quando decidem compartilhar um com o outro, o conteúdo de cada mensagem de texto, e-mail e telefonema que recebem, muitos segredos começam a revelar e o equilíbrio treme.</v>
      </c>
      <c r="N576" s="1" t="s">
        <v>3544</v>
      </c>
      <c r="O576" s="1" t="s">
        <v>3545</v>
      </c>
      <c r="P576" s="1" t="s">
        <v>3546</v>
      </c>
      <c r="Q576" s="1" t="s">
        <v>3547</v>
      </c>
      <c r="R576" s="1" t="s">
        <v>3548</v>
      </c>
      <c r="S576" s="1">
        <v>57168.0</v>
      </c>
      <c r="T576" s="7" t="str">
        <f>VLOOKUP(A576,Posters!A576:B1575,2)</f>
        <v>https://m.media-amazon.com/images/M/MV5BNDQzZmQ5MjItYmJlNy00MGI2LWExMDQtMjBiNjNmMzc5NTk1XkEyXkFqcGdeQXVyNjY1OTY4MTk@._V1_UY98_CR1,0,67,98_AL_.jpg</v>
      </c>
      <c r="U576" s="8">
        <f>'Inflation Adjusted Gross'!F576</f>
        <v>34452565</v>
      </c>
      <c r="V576" s="5">
        <f t="shared" si="1"/>
        <v>2020</v>
      </c>
    </row>
    <row r="577">
      <c r="A577" s="1">
        <v>576.0</v>
      </c>
      <c r="B577" s="1" t="s">
        <v>3549</v>
      </c>
      <c r="C577" s="6">
        <f>Gross_cleaning!E577</f>
        <v>169607287</v>
      </c>
      <c r="D577" s="1">
        <v>2016.0</v>
      </c>
      <c r="E577" s="1" t="s">
        <v>37</v>
      </c>
      <c r="F577" s="1" t="str">
        <f>VLOOKUP(Filmes_raw!E577,Rating_systems!$A$2:$C$29,3,FALSE)</f>
        <v>Criança</v>
      </c>
      <c r="G577" s="2">
        <f>Gross_cleaning!F577</f>
        <v>127</v>
      </c>
      <c r="H577" s="1" t="s">
        <v>234</v>
      </c>
      <c r="I577" s="1" t="s">
        <v>79</v>
      </c>
      <c r="J577" s="1">
        <v>7.8</v>
      </c>
      <c r="K577" s="1" t="s">
        <v>3550</v>
      </c>
      <c r="L577" s="1" t="str">
        <f>IFERROR(__xludf.DUMMYFUNCTION("GOOGLETRANSLATE(K577,""en"", ""pt-br"")"),"A história de uma equipe de matemáticos femininos afro-americanos que atendem a um papel vital na NASA durante os primeiros anos do Programa Espacial da U.S..")</f>
        <v>A história de uma equipe de matemáticos femininos afro-americanos que atendem a um papel vital na NASA durante os primeiros anos do Programa Espacial da U.S..</v>
      </c>
      <c r="M577" s="1">
        <v>74.0</v>
      </c>
      <c r="N577" s="1" t="s">
        <v>3551</v>
      </c>
      <c r="O577" s="1" t="s">
        <v>3552</v>
      </c>
      <c r="P577" s="1" t="s">
        <v>2286</v>
      </c>
      <c r="Q577" s="1" t="s">
        <v>3553</v>
      </c>
      <c r="R577" s="1" t="s">
        <v>2595</v>
      </c>
      <c r="S577" s="1">
        <v>200876.0</v>
      </c>
      <c r="T577" s="7" t="str">
        <f>VLOOKUP(A577,Posters!A577:B1576,2)</f>
        <v>https://m.media-amazon.com/images/M/MV5BMzg2Mzg4YmUtNDdkNy00NWY1LWE3NmEtZWMwNGNlMzE5YzU3XkEyXkFqcGdeQXVyMjA5MTIzMjQ@._V1_UX67_CR0,0,67,98_AL_.jpg</v>
      </c>
      <c r="U577" s="8">
        <f>'Inflation Adjusted Gross'!F577</f>
        <v>184680483</v>
      </c>
      <c r="V577" s="5">
        <f t="shared" si="1"/>
        <v>2020</v>
      </c>
    </row>
    <row r="578">
      <c r="A578" s="1">
        <v>577.0</v>
      </c>
      <c r="B578" s="1" t="s">
        <v>3554</v>
      </c>
      <c r="C578" s="6">
        <f>Gross_cleaning!E578</f>
        <v>40442052</v>
      </c>
      <c r="D578" s="1">
        <v>2017.0</v>
      </c>
      <c r="E578" s="1" t="s">
        <v>52</v>
      </c>
      <c r="F578" s="1" t="str">
        <f>VLOOKUP(Filmes_raw!E578,Rating_systems!$A$2:$C$29,3,FALSE)</f>
        <v>Criança</v>
      </c>
      <c r="G578" s="2">
        <f>Gross_cleaning!F578</f>
        <v>103</v>
      </c>
      <c r="H578" s="1" t="s">
        <v>885</v>
      </c>
      <c r="I578" s="1" t="s">
        <v>3555</v>
      </c>
      <c r="J578" s="1">
        <v>7.8</v>
      </c>
      <c r="K578" s="1" t="s">
        <v>3556</v>
      </c>
      <c r="L578" s="1" t="str">
        <f>IFERROR(__xludf.DUMMYFUNCTION("GOOGLETRANSLATE(K578,""en"", ""pt-br"")"),"Paddington (Ben Whishaw), agora felizmente se estabeleceu com a família marrom e um membro popular da comunidade local, pega uma série de trabalhos estranhos para comprar o presente perfeito para sua tia Lucy's's 100th aniversário, apenas para o presente "&amp;"ser roubado.")</f>
        <v>Paddington (Ben Whishaw), agora felizmente se estabeleceu com a família marrom e um membro popular da comunidade local, pega uma série de trabalhos estranhos para comprar o presente perfeito para sua tia Lucy's's 100th aniversário, apenas para o presente ser roubado.</v>
      </c>
      <c r="M578" s="1">
        <v>88.0</v>
      </c>
      <c r="N578" s="1" t="s">
        <v>3557</v>
      </c>
      <c r="O578" s="1" t="s">
        <v>3558</v>
      </c>
      <c r="P578" s="1" t="s">
        <v>3559</v>
      </c>
      <c r="Q578" s="1" t="s">
        <v>3560</v>
      </c>
      <c r="R578" s="1" t="s">
        <v>3561</v>
      </c>
      <c r="S578" s="1">
        <v>61594.0</v>
      </c>
      <c r="T578" s="7" t="str">
        <f>VLOOKUP(A578,Posters!A578:B1577,2)</f>
        <v>https://m.media-amazon.com/images/M/MV5BMmYwNWZlNzEtNjE4Zi00NzQ4LWI2YmUtOWZhNzZhZDYyNmVmXkEyXkFqcGdeQXVyNzYzODM3Mzg@._V1_UX67_CR0,0,67,98_AL_.jpg</v>
      </c>
      <c r="U578" s="8">
        <f>'Inflation Adjusted Gross'!F578</f>
        <v>42962113</v>
      </c>
      <c r="V578" s="5">
        <f t="shared" si="1"/>
        <v>2020</v>
      </c>
    </row>
    <row r="579">
      <c r="A579" s="1">
        <v>578.0</v>
      </c>
      <c r="B579" s="1" t="s">
        <v>3562</v>
      </c>
      <c r="C579" s="6">
        <f>Gross_cleaning!E579</f>
        <v>359891</v>
      </c>
      <c r="D579" s="1">
        <v>2016.0</v>
      </c>
      <c r="E579" s="1" t="s">
        <v>18</v>
      </c>
      <c r="F579" s="1" t="str">
        <f>VLOOKUP(Filmes_raw!E579,Rating_systems!$A$2:$C$29,3,FALSE)</f>
        <v>Adulto</v>
      </c>
      <c r="G579" s="2">
        <f>Gross_cleaning!F579</f>
        <v>148</v>
      </c>
      <c r="H579" s="1" t="s">
        <v>87</v>
      </c>
      <c r="I579" s="1" t="s">
        <v>39</v>
      </c>
      <c r="J579" s="1">
        <v>7.8</v>
      </c>
      <c r="K579" s="1" t="s">
        <v>3563</v>
      </c>
      <c r="L579" s="1" t="str">
        <f>IFERROR(__xludf.DUMMYFUNCTION("GOOGLETRANSLATE(K579,""en"", ""pt-br"")"),"Uma história que gira em torno do abuso de drogas no Affluent North Indian State of Punjab e como os jovens haviam sucumbido a ele en-masse, resultando em um declínio socioeconômico.")</f>
        <v>Uma história que gira em torno do abuso de drogas no Affluent North Indian State of Punjab e como os jovens haviam sucumbido a ele en-masse, resultando em um declínio socioeconômico.</v>
      </c>
      <c r="N579" s="1" t="s">
        <v>3564</v>
      </c>
      <c r="O579" s="1" t="s">
        <v>1416</v>
      </c>
      <c r="P579" s="1" t="s">
        <v>3521</v>
      </c>
      <c r="Q579" s="1" t="s">
        <v>2166</v>
      </c>
      <c r="R579" s="1" t="s">
        <v>3565</v>
      </c>
      <c r="S579" s="1">
        <v>27175.0</v>
      </c>
      <c r="T579" s="7" t="str">
        <f>VLOOKUP(A579,Posters!A579:B1578,2)</f>
        <v>https://m.media-amazon.com/images/M/MV5BY2YxNjQxYWYtYzNkMi00YTgyLWIwZTMtYzgyYjZlZmYzZTA0XkEyXkFqcGdeQXVyMTA4NjE0NjEy._V1_UX67_CR0,0,67,98_AL_.jpg</v>
      </c>
      <c r="U579" s="8">
        <f>'Inflation Adjusted Gross'!F579</f>
        <v>391875</v>
      </c>
      <c r="V579" s="5">
        <f t="shared" si="1"/>
        <v>2020</v>
      </c>
    </row>
    <row r="580">
      <c r="A580" s="1">
        <v>579.0</v>
      </c>
      <c r="B580" s="1" t="s">
        <v>3566</v>
      </c>
      <c r="C580" s="6">
        <f>Gross_cleaning!E580</f>
        <v>48023088</v>
      </c>
      <c r="D580" s="1">
        <v>2016.0</v>
      </c>
      <c r="E580" s="1" t="s">
        <v>270</v>
      </c>
      <c r="F580" s="1" t="str">
        <f>VLOOKUP(Filmes_raw!E580,Rating_systems!$A$2:$C$29,3,FALSE)</f>
        <v>Criança</v>
      </c>
      <c r="G580" s="2">
        <f>Gross_cleaning!F580</f>
        <v>101</v>
      </c>
      <c r="H580" s="1" t="s">
        <v>535</v>
      </c>
      <c r="I580" s="1" t="s">
        <v>467</v>
      </c>
      <c r="J580" s="1">
        <v>7.8</v>
      </c>
      <c r="K580" s="1" t="s">
        <v>3567</v>
      </c>
      <c r="L580" s="1" t="str">
        <f>IFERROR(__xludf.DUMMYFUNCTION("GOOGLETRANSLATE(K580,""en"", ""pt-br"")"),"Um menino chamado Kubo deve localizar uma roupa mágica de armadura usada pelo seu falecido pai, a fim de derrotar um espírito vingativo do passado.")</f>
        <v>Um menino chamado Kubo deve localizar uma roupa mágica de armadura usada pelo seu falecido pai, a fim de derrotar um espírito vingativo do passado.</v>
      </c>
      <c r="M580" s="1">
        <v>84.0</v>
      </c>
      <c r="N580" s="1" t="s">
        <v>3568</v>
      </c>
      <c r="O580" s="1" t="s">
        <v>1549</v>
      </c>
      <c r="P580" s="1" t="s">
        <v>3569</v>
      </c>
      <c r="Q580" s="1" t="s">
        <v>190</v>
      </c>
      <c r="R580" s="1" t="s">
        <v>83</v>
      </c>
      <c r="S580" s="1">
        <v>118035.0</v>
      </c>
      <c r="T580" s="7" t="str">
        <f>VLOOKUP(A580,Posters!A580:B1579,2)</f>
        <v>https://m.media-amazon.com/images/M/MV5BMjA2Mzg2NDMzNl5BMl5BanBnXkFtZTgwMjcwODUzOTE@._V1_UX67_CR0,0,67,98_AL_.jpg</v>
      </c>
      <c r="U580" s="8">
        <f>'Inflation Adjusted Gross'!F580</f>
        <v>52290956</v>
      </c>
      <c r="V580" s="5">
        <f t="shared" si="1"/>
        <v>2020</v>
      </c>
    </row>
    <row r="581">
      <c r="A581" s="1">
        <v>580.0</v>
      </c>
      <c r="B581" s="1" t="s">
        <v>3570</v>
      </c>
      <c r="C581" s="6">
        <f>Gross_cleaning!E581</f>
        <v>1782795</v>
      </c>
      <c r="D581" s="1">
        <v>2016.0</v>
      </c>
      <c r="E581" s="1" t="s">
        <v>52</v>
      </c>
      <c r="F581" s="1" t="str">
        <f>VLOOKUP(Filmes_raw!E581,Rating_systems!$A$2:$C$29,3,FALSE)</f>
        <v>Criança</v>
      </c>
      <c r="G581" s="2">
        <f>Gross_cleaning!F581</f>
        <v>184</v>
      </c>
      <c r="H581" s="1" t="s">
        <v>3571</v>
      </c>
      <c r="I581" s="1" t="s">
        <v>1020</v>
      </c>
      <c r="J581" s="1">
        <v>7.8</v>
      </c>
      <c r="K581" s="1" t="s">
        <v>3572</v>
      </c>
      <c r="L581" s="1" t="str">
        <f>IFERROR(__xludf.DUMMYFUNCTION("GOOGLETRANSLATE(K581,""en"", ""pt-br"")"),"A história incontorda da jornada de Mahendra Singh Dhoni do coletor de bilhetes para o troféu colecionador - o capitão vencedor da Taça da equipe de críquete indiano.")</f>
        <v>A história incontorda da jornada de Mahendra Singh Dhoni do coletor de bilhetes para o troféu colecionador - o capitão vencedor da Taça da equipe de críquete indiano.</v>
      </c>
      <c r="N581" s="1" t="s">
        <v>1554</v>
      </c>
      <c r="O581" s="1" t="s">
        <v>942</v>
      </c>
      <c r="P581" s="1" t="s">
        <v>3573</v>
      </c>
      <c r="Q581" s="1" t="s">
        <v>1555</v>
      </c>
      <c r="R581" s="1" t="s">
        <v>3574</v>
      </c>
      <c r="S581" s="1">
        <v>40416.0</v>
      </c>
      <c r="T581" s="7" t="str">
        <f>VLOOKUP(A581,Posters!A581:B1580,2)</f>
        <v>https://m.media-amazon.com/images/M/MV5BZjAzZjZiMmQtMDZmOC00NjVmLTkyNTItOGI2Mzg4NTBhZTA1XkEyXkFqcGdeQXVyODE5NzE3OTE@._V1_UY98_CR0,0,67,98_AL_.jpg</v>
      </c>
      <c r="U581" s="8">
        <f>'Inflation Adjusted Gross'!F581</f>
        <v>1941234</v>
      </c>
      <c r="V581" s="5">
        <f t="shared" si="1"/>
        <v>2020</v>
      </c>
    </row>
    <row r="582">
      <c r="A582" s="1">
        <v>581.0</v>
      </c>
      <c r="B582" s="1" t="s">
        <v>3575</v>
      </c>
      <c r="C582" s="6">
        <f>Gross_cleaning!E582</f>
        <v>47695120</v>
      </c>
      <c r="D582" s="1">
        <v>2016.0</v>
      </c>
      <c r="E582" s="1" t="s">
        <v>37</v>
      </c>
      <c r="F582" s="1" t="str">
        <f>VLOOKUP(Filmes_raw!E582,Rating_systems!$A$2:$C$29,3,FALSE)</f>
        <v>Criança</v>
      </c>
      <c r="G582" s="2">
        <f>Gross_cleaning!F582</f>
        <v>137</v>
      </c>
      <c r="H582" s="1" t="s">
        <v>360</v>
      </c>
      <c r="I582" s="1" t="s">
        <v>20</v>
      </c>
      <c r="J582" s="1">
        <v>7.8</v>
      </c>
      <c r="K582" s="1" t="s">
        <v>3576</v>
      </c>
      <c r="L582" s="1" t="str">
        <f>IFERROR(__xludf.DUMMYFUNCTION("GOOGLETRANSLATE(K582,""en"", ""pt-br"")"),"Um tio deprimido é convidado a cuidar de seu sobrinho adolescente depois do pai do menino morre.")</f>
        <v>Um tio deprimido é convidado a cuidar de seu sobrinho adolescente depois do pai do menino morre.</v>
      </c>
      <c r="M582" s="1">
        <v>96.0</v>
      </c>
      <c r="N582" s="1" t="s">
        <v>3577</v>
      </c>
      <c r="O582" s="1" t="s">
        <v>3578</v>
      </c>
      <c r="P582" s="1" t="s">
        <v>3579</v>
      </c>
      <c r="Q582" s="1" t="s">
        <v>3580</v>
      </c>
      <c r="R582" s="1" t="s">
        <v>3581</v>
      </c>
      <c r="S582" s="1">
        <v>246963.0</v>
      </c>
      <c r="T582" s="7" t="str">
        <f>VLOOKUP(A582,Posters!A582:B1581,2)</f>
        <v>https://m.media-amazon.com/images/M/MV5BMTYxMjk0NDg4Ml5BMl5BanBnXkFtZTgwODcyNjA5OTE@._V1_UX67_CR0,0,67,98_AL_.jpg</v>
      </c>
      <c r="U582" s="8">
        <f>'Inflation Adjusted Gross'!F582</f>
        <v>51933841</v>
      </c>
      <c r="V582" s="5">
        <f t="shared" si="1"/>
        <v>2020</v>
      </c>
    </row>
    <row r="583">
      <c r="A583" s="1">
        <v>582.0</v>
      </c>
      <c r="B583" s="1" t="s">
        <v>3582</v>
      </c>
      <c r="C583" s="6">
        <f>Gross_cleaning!E583</f>
        <v>435266</v>
      </c>
      <c r="D583" s="1">
        <v>2015.0</v>
      </c>
      <c r="E583" s="1" t="s">
        <v>212</v>
      </c>
      <c r="F583" s="1" t="str">
        <f>VLOOKUP(Filmes_raw!E583,Rating_systems!$A$2:$C$29,3,FALSE)</f>
        <v>Adulto</v>
      </c>
      <c r="G583" s="2">
        <f>Gross_cleaning!F583</f>
        <v>100</v>
      </c>
      <c r="H583" s="1" t="s">
        <v>1439</v>
      </c>
      <c r="I583" s="1" t="s">
        <v>2661</v>
      </c>
      <c r="J583" s="1">
        <v>7.8</v>
      </c>
      <c r="K583" s="1" t="s">
        <v>3583</v>
      </c>
      <c r="L583" s="1" t="str">
        <f>IFERROR(__xludf.DUMMYFUNCTION("GOOGLETRANSLATE(K583,""en"", ""pt-br"")"),"Na Segunda Guerra Mundial, Dinamarca, um grupo de jovens pows ​​alemãs é forçado a limpar uma praia de milhares de minas de terra sob o relógio de um sargento dinamarquês que lentamente aprende a apreciar sua situação.")</f>
        <v>Na Segunda Guerra Mundial, Dinamarca, um grupo de jovens pows ​​alemãs é forçado a limpar uma praia de milhares de minas de terra sob o relógio de um sargento dinamarquês que lentamente aprende a apreciar sua situação.</v>
      </c>
      <c r="M583" s="1">
        <v>75.0</v>
      </c>
      <c r="N583" s="1" t="s">
        <v>3584</v>
      </c>
      <c r="O583" s="1" t="s">
        <v>3585</v>
      </c>
      <c r="P583" s="1" t="s">
        <v>3586</v>
      </c>
      <c r="Q583" s="1" t="s">
        <v>3587</v>
      </c>
      <c r="R583" s="1" t="s">
        <v>3588</v>
      </c>
      <c r="S583" s="1">
        <v>35539.0</v>
      </c>
      <c r="T583" s="7" t="str">
        <f>VLOOKUP(A583,Posters!A583:B1582,2)</f>
        <v>https://m.media-amazon.com/images/M/MV5BMjA0MzQzNjM1Ml5BMl5BanBnXkFtZTgwNjM5MjU5NjE@._V1_UX67_CR0,0,67,98_AL_.jpg</v>
      </c>
      <c r="U583" s="8">
        <f>'Inflation Adjusted Gross'!F583</f>
        <v>480456</v>
      </c>
      <c r="V583" s="5">
        <f t="shared" si="1"/>
        <v>2020</v>
      </c>
    </row>
    <row r="584">
      <c r="A584" s="1">
        <v>583.0</v>
      </c>
      <c r="B584" s="1" t="s">
        <v>3589</v>
      </c>
      <c r="C584" s="6">
        <f>Gross_cleaning!E584</f>
        <v>532177324</v>
      </c>
      <c r="D584" s="1">
        <v>2016.0</v>
      </c>
      <c r="E584" s="1" t="s">
        <v>37</v>
      </c>
      <c r="F584" s="1" t="str">
        <f>VLOOKUP(Filmes_raw!E584,Rating_systems!$A$2:$C$29,3,FALSE)</f>
        <v>Criança</v>
      </c>
      <c r="G584" s="2">
        <f>Gross_cleaning!F584</f>
        <v>133</v>
      </c>
      <c r="H584" s="1" t="s">
        <v>153</v>
      </c>
      <c r="I584" s="1" t="s">
        <v>88</v>
      </c>
      <c r="J584" s="1">
        <v>7.8</v>
      </c>
      <c r="K584" s="1" t="s">
        <v>3590</v>
      </c>
      <c r="L584" s="1" t="str">
        <f>IFERROR(__xludf.DUMMYFUNCTION("GOOGLETRANSLATE(K584,""en"", ""pt-br"")"),"A filha de um cientista imperial se junta à aliança rebelde em um movimento arriscado para roubar os planos para a estrela da morte.")</f>
        <v>A filha de um cientista imperial se junta à aliança rebelde em um movimento arriscado para roubar os planos para a estrela da morte.</v>
      </c>
      <c r="M584" s="1">
        <v>65.0</v>
      </c>
      <c r="N584" s="1" t="s">
        <v>3591</v>
      </c>
      <c r="O584" s="1" t="s">
        <v>3592</v>
      </c>
      <c r="P584" s="1" t="s">
        <v>3593</v>
      </c>
      <c r="Q584" s="1" t="s">
        <v>3594</v>
      </c>
      <c r="R584" s="1" t="s">
        <v>2309</v>
      </c>
      <c r="S584" s="1">
        <v>556608.0</v>
      </c>
      <c r="T584" s="7" t="str">
        <f>VLOOKUP(A584,Posters!A584:B1583,2)</f>
        <v>https://m.media-amazon.com/images/M/MV5BMjEwMzMxODIzOV5BMl5BanBnXkFtZTgwNzg3OTAzMDI@._V1_UX67_CR0,0,67,98_AL_.jpg</v>
      </c>
      <c r="U584" s="8">
        <f>'Inflation Adjusted Gross'!F584</f>
        <v>579472540</v>
      </c>
      <c r="V584" s="5">
        <f t="shared" si="1"/>
        <v>2020</v>
      </c>
    </row>
    <row r="585">
      <c r="A585" s="1">
        <v>584.0</v>
      </c>
      <c r="B585" s="1" t="s">
        <v>3595</v>
      </c>
      <c r="C585" s="6">
        <f>Gross_cleaning!E585</f>
        <v>408084349</v>
      </c>
      <c r="D585" s="1">
        <v>2016.0</v>
      </c>
      <c r="E585" s="1" t="s">
        <v>37</v>
      </c>
      <c r="F585" s="1" t="str">
        <f>VLOOKUP(Filmes_raw!E585,Rating_systems!$A$2:$C$29,3,FALSE)</f>
        <v>Criança</v>
      </c>
      <c r="G585" s="2">
        <f>Gross_cleaning!F585</f>
        <v>147</v>
      </c>
      <c r="H585" s="1" t="s">
        <v>443</v>
      </c>
      <c r="I585" s="1" t="s">
        <v>88</v>
      </c>
      <c r="J585" s="1">
        <v>7.8</v>
      </c>
      <c r="K585" s="1" t="s">
        <v>3596</v>
      </c>
      <c r="L585" s="1" t="str">
        <f>IFERROR(__xludf.DUMMYFUNCTION("GOOGLETRANSLATE(K585,""en"", ""pt-br"")"),"O envolvimento político nos assuntos dos vingadores provoca uma fenda entre o capitão América e o homem de ferro.")</f>
        <v>O envolvimento político nos assuntos dos vingadores provoca uma fenda entre o capitão América e o homem de ferro.</v>
      </c>
      <c r="M585" s="1">
        <v>75.0</v>
      </c>
      <c r="N585" s="1" t="s">
        <v>477</v>
      </c>
      <c r="O585" s="1" t="s">
        <v>478</v>
      </c>
      <c r="P585" s="1" t="s">
        <v>480</v>
      </c>
      <c r="Q585" s="1" t="s">
        <v>479</v>
      </c>
      <c r="R585" s="1" t="s">
        <v>307</v>
      </c>
      <c r="S585" s="1">
        <v>663649.0</v>
      </c>
      <c r="T585" s="7" t="str">
        <f>VLOOKUP(A585,Posters!A585:B1584,2)</f>
        <v>https://m.media-amazon.com/images/M/MV5BMjQ0MTgyNjAxMV5BMl5BanBnXkFtZTgwNjUzMDkyODE@._V1_UX67_CR0,0,67,98_AL_.jpg</v>
      </c>
      <c r="U585" s="8">
        <f>'Inflation Adjusted Gross'!F585</f>
        <v>444351278</v>
      </c>
      <c r="V585" s="5">
        <f t="shared" si="1"/>
        <v>2020</v>
      </c>
    </row>
    <row r="586">
      <c r="A586" s="1">
        <v>585.0</v>
      </c>
      <c r="B586" s="1" t="s">
        <v>3597</v>
      </c>
      <c r="C586" s="6">
        <f>Gross_cleaning!E586</f>
        <v>54117416</v>
      </c>
      <c r="D586" s="1">
        <v>2015.0</v>
      </c>
      <c r="E586" s="1" t="s">
        <v>18</v>
      </c>
      <c r="F586" s="1" t="str">
        <f>VLOOKUP(Filmes_raw!E586,Rating_systems!$A$2:$C$29,3,FALSE)</f>
        <v>Adulto</v>
      </c>
      <c r="G586" s="2">
        <f>Gross_cleaning!F586</f>
        <v>168</v>
      </c>
      <c r="H586" s="1" t="s">
        <v>3598</v>
      </c>
      <c r="I586" s="1" t="s">
        <v>235</v>
      </c>
      <c r="J586" s="1">
        <v>7.8</v>
      </c>
      <c r="K586" s="1" t="s">
        <v>3599</v>
      </c>
      <c r="L586" s="1" t="str">
        <f>IFERROR(__xludf.DUMMYFUNCTION("GOOGLETRANSLATE(K586,""en"", ""pt-br"")"),"Nos mortos de um inverno de Wyoming, um caçador de recompensas e seu prisioneiro acham abrigo em uma cabine atualmente habitada por uma coleção de caracteres nefastos.")</f>
        <v>Nos mortos de um inverno de Wyoming, um caçador de recompensas e seu prisioneiro acham abrigo em uma cabine atualmente habitada por uma coleção de caracteres nefastos.</v>
      </c>
      <c r="M586" s="1">
        <v>68.0</v>
      </c>
      <c r="N586" s="1" t="s">
        <v>72</v>
      </c>
      <c r="O586" s="1" t="s">
        <v>75</v>
      </c>
      <c r="P586" s="1" t="s">
        <v>1846</v>
      </c>
      <c r="Q586" s="1" t="s">
        <v>3600</v>
      </c>
      <c r="R586" s="1" t="s">
        <v>3601</v>
      </c>
      <c r="S586" s="1">
        <v>517059.0</v>
      </c>
      <c r="T586" s="7" t="str">
        <f>VLOOKUP(A586,Posters!A586:B1585,2)</f>
        <v>https://m.media-amazon.com/images/M/MV5BMjA1MTc1NTg5NV5BMl5BanBnXkFtZTgwOTM2MDEzNzE@._V1_UX67_CR0,0,67,98_AL_.jpg</v>
      </c>
      <c r="U586" s="8">
        <f>'Inflation Adjusted Gross'!F586</f>
        <v>59736011</v>
      </c>
      <c r="V586" s="5">
        <f t="shared" si="1"/>
        <v>2020</v>
      </c>
    </row>
    <row r="587">
      <c r="A587" s="1">
        <v>586.0</v>
      </c>
      <c r="B587" s="1" t="s">
        <v>3602</v>
      </c>
      <c r="C587" s="6">
        <f>Gross_cleaning!E587</f>
        <v>108101214</v>
      </c>
      <c r="D587" s="1">
        <v>2019.0</v>
      </c>
      <c r="E587" s="1" t="s">
        <v>52</v>
      </c>
      <c r="F587" s="1" t="str">
        <f>VLOOKUP(Filmes_raw!E587,Rating_systems!$A$2:$C$29,3,FALSE)</f>
        <v>Criança</v>
      </c>
      <c r="G587" s="2">
        <f>Gross_cleaning!F587</f>
        <v>135</v>
      </c>
      <c r="H587" s="1" t="s">
        <v>1044</v>
      </c>
      <c r="I587" s="1" t="s">
        <v>107</v>
      </c>
      <c r="J587" s="1">
        <v>7.8</v>
      </c>
      <c r="K587" s="1" t="s">
        <v>3603</v>
      </c>
      <c r="L587" s="1" t="str">
        <f>IFERROR(__xludf.DUMMYFUNCTION("GOOGLETRANSLATE(K587,""en"", ""pt-br"")"),"Jo Março reflete a frente e para trás em sua vida, contando a amada história das irmãs de março - quatro mulheres jovens, cada uma determinada a viver a vida em seus próprios termos.")</f>
        <v>Jo Março reflete a frente e para trás em sua vida, contando a amada história das irmãs de março - quatro mulheres jovens, cada uma determinada a viver a vida em seus próprios termos.</v>
      </c>
      <c r="M587" s="1">
        <v>91.0</v>
      </c>
      <c r="N587" s="1" t="s">
        <v>3604</v>
      </c>
      <c r="O587" s="1" t="s">
        <v>3605</v>
      </c>
      <c r="P587" s="1" t="s">
        <v>1569</v>
      </c>
      <c r="Q587" s="1" t="s">
        <v>3606</v>
      </c>
      <c r="R587" s="1" t="s">
        <v>3607</v>
      </c>
      <c r="S587" s="1">
        <v>143250.0</v>
      </c>
      <c r="T587" s="7" t="str">
        <f>VLOOKUP(A587,Posters!A587:B1586,2)</f>
        <v>https://m.media-amazon.com/images/M/MV5BY2QzYTQyYzItMzAwYi00YjZlLThjNTUtNzMyMDdkYzJiNWM4XkEyXkFqcGdeQXVyMTkxNjUyNQ@@._V1_UX67_CR0,0,67,98_AL_.jpg</v>
      </c>
      <c r="U587" s="8">
        <f>'Inflation Adjusted Gross'!F587</f>
        <v>110789229</v>
      </c>
      <c r="V587" s="5">
        <f t="shared" si="1"/>
        <v>2020</v>
      </c>
    </row>
    <row r="588">
      <c r="A588" s="1">
        <v>587.0</v>
      </c>
      <c r="B588" s="1" t="s">
        <v>3608</v>
      </c>
      <c r="C588" s="6">
        <f>Gross_cleaning!E588</f>
        <v>6735118</v>
      </c>
      <c r="D588" s="1">
        <v>2017.0</v>
      </c>
      <c r="E588" s="1" t="s">
        <v>37</v>
      </c>
      <c r="F588" s="1" t="str">
        <f>VLOOKUP(Filmes_raw!E588,Rating_systems!$A$2:$C$29,3,FALSE)</f>
        <v>Criança</v>
      </c>
      <c r="G588" s="2">
        <f>Gross_cleaning!F588</f>
        <v>94</v>
      </c>
      <c r="H588" s="1" t="s">
        <v>1882</v>
      </c>
      <c r="I588" s="1" t="s">
        <v>3609</v>
      </c>
      <c r="J588" s="1">
        <v>7.8</v>
      </c>
      <c r="K588" s="1" t="s">
        <v>3610</v>
      </c>
      <c r="L588" s="1" t="str">
        <f>IFERROR(__xludf.DUMMYFUNCTION("GOOGLETRANSLATE(K588,""en"", ""pt-br"")"),"Em uma história representada em animação pintada a óleo, um jovem chega à última cidade de pintor Vincent van Gogh (Robert Gulaczyk) para entregar a carta final do artista problemático e acaba investigando seus últimos dias lá.")</f>
        <v>Em uma história representada em animação pintada a óleo, um jovem chega à última cidade de pintor Vincent van Gogh (Robert Gulaczyk) para entregar a carta final do artista problemático e acaba investigando seus últimos dias lá.</v>
      </c>
      <c r="M588" s="1">
        <v>62.0</v>
      </c>
      <c r="N588" s="1" t="s">
        <v>3611</v>
      </c>
      <c r="O588" s="1" t="s">
        <v>3612</v>
      </c>
      <c r="P588" s="1" t="s">
        <v>3613</v>
      </c>
      <c r="Q588" s="1" t="s">
        <v>3614</v>
      </c>
      <c r="R588" s="1" t="s">
        <v>3615</v>
      </c>
      <c r="S588" s="1">
        <v>50778.0</v>
      </c>
      <c r="T588" s="7" t="str">
        <f>VLOOKUP(A588,Posters!A588:B1587,2)</f>
        <v>https://m.media-amazon.com/images/M/MV5BMTU3NjE2NjgwN15BMl5BanBnXkFtZTgwNDYzMzEwMzI@._V1_UX67_CR0,0,67,98_AL_.jpg</v>
      </c>
      <c r="U588" s="8">
        <f>'Inflation Adjusted Gross'!F588</f>
        <v>7154803</v>
      </c>
      <c r="V588" s="5">
        <f t="shared" si="1"/>
        <v>2020</v>
      </c>
    </row>
    <row r="589">
      <c r="A589" s="1">
        <v>588.0</v>
      </c>
      <c r="B589" s="1" t="s">
        <v>3616</v>
      </c>
      <c r="C589" s="6">
        <f>Gross_cleaning!E589</f>
        <v>16775629</v>
      </c>
      <c r="D589" s="1">
        <v>2014.0</v>
      </c>
      <c r="E589" s="1" t="s">
        <v>212</v>
      </c>
      <c r="F589" s="1" t="str">
        <f>VLOOKUP(Filmes_raw!E589,Rating_systems!$A$2:$C$29,3,FALSE)</f>
        <v>Adulto</v>
      </c>
      <c r="G589" s="2">
        <f>Gross_cleaning!F589</f>
        <v>119</v>
      </c>
      <c r="H589" s="1" t="s">
        <v>329</v>
      </c>
      <c r="I589" s="1" t="s">
        <v>296</v>
      </c>
      <c r="J589" s="1">
        <v>7.8</v>
      </c>
      <c r="K589" s="1" t="s">
        <v>3617</v>
      </c>
      <c r="L589" s="1" t="str">
        <f>IFERROR(__xludf.DUMMYFUNCTION("GOOGLETRANSLATE(K589,""en"", ""pt-br"")"),"Os ativistas gays trabalham para ajudar os mineiros durante sua longa greve da União Nacional de Mineradores no verão de 1984.")</f>
        <v>Os ativistas gays trabalham para ajudar os mineiros durante sua longa greve da União Nacional de Mineradores no verão de 1984.</v>
      </c>
      <c r="M589" s="1">
        <v>79.0</v>
      </c>
      <c r="N589" s="1" t="s">
        <v>3618</v>
      </c>
      <c r="O589" s="1" t="s">
        <v>3619</v>
      </c>
      <c r="P589" s="1" t="s">
        <v>3620</v>
      </c>
      <c r="Q589" s="1" t="s">
        <v>3621</v>
      </c>
      <c r="R589" s="1" t="s">
        <v>3622</v>
      </c>
      <c r="S589" s="1">
        <v>51841.0</v>
      </c>
      <c r="T589" s="7" t="str">
        <f>VLOOKUP(A589,Posters!A589:B1588,2)</f>
        <v>https://m.media-amazon.com/images/M/MV5BMTU2OTcyOTE3MF5BMl5BanBnXkFtZTgwNTg5Mjc1MjE@._V1_UX67_CR0,0,67,98_AL_.jpg</v>
      </c>
      <c r="U589" s="8">
        <f>'Inflation Adjusted Gross'!F589</f>
        <v>18500769</v>
      </c>
      <c r="V589" s="5">
        <f t="shared" si="1"/>
        <v>2020</v>
      </c>
    </row>
    <row r="590">
      <c r="A590" s="1">
        <v>589.0</v>
      </c>
      <c r="B590" s="1" t="s">
        <v>3623</v>
      </c>
      <c r="C590" s="6">
        <f>Gross_cleaning!E590</f>
        <v>1330596</v>
      </c>
      <c r="D590" s="1">
        <v>2013.0</v>
      </c>
      <c r="E590" s="1" t="s">
        <v>161</v>
      </c>
      <c r="F590" s="1" t="str">
        <f>VLOOKUP(Filmes_raw!E590,Rating_systems!$A$2:$C$29,3,FALSE)</f>
        <v>Criança</v>
      </c>
      <c r="G590" s="2">
        <f>Gross_cleaning!F590</f>
        <v>130</v>
      </c>
      <c r="H590" s="1" t="s">
        <v>195</v>
      </c>
      <c r="I590" s="1" t="s">
        <v>914</v>
      </c>
      <c r="J590" s="1">
        <v>7.8</v>
      </c>
      <c r="K590" s="1" t="s">
        <v>3624</v>
      </c>
      <c r="L590" s="1" t="str">
        <f>IFERROR(__xludf.DUMMYFUNCTION("GOOGLETRANSLATE(K590,""en"", ""pt-br"")"),"Um homem iraniano deserta sua esposa francesa e seus dois filhos para retornar à sua terra natal. Enquanto isso, sua esposa inicia um novo relacionamento, uma realidade que seu marido confronta sobre o pedido de sua esposa por um divórcio.")</f>
        <v>Um homem iraniano deserta sua esposa francesa e seus dois filhos para retornar à sua terra natal. Enquanto isso, sua esposa inicia um novo relacionamento, uma realidade que seu marido confronta sobre o pedido de sua esposa por um divórcio.</v>
      </c>
      <c r="M590" s="1">
        <v>85.0</v>
      </c>
      <c r="N590" s="1" t="s">
        <v>680</v>
      </c>
      <c r="O590" s="1" t="s">
        <v>3034</v>
      </c>
      <c r="P590" s="1" t="s">
        <v>3052</v>
      </c>
      <c r="Q590" s="1" t="s">
        <v>3625</v>
      </c>
      <c r="R590" s="1" t="s">
        <v>3626</v>
      </c>
      <c r="S590" s="1">
        <v>45002.0</v>
      </c>
      <c r="T590" s="7" t="str">
        <f>VLOOKUP(A590,Posters!A590:B1589,2)</f>
        <v>https://m.media-amazon.com/images/M/MV5BMTcxNTgzNDg1N15BMl5BanBnXkFtZTgwNjg4MzI1MDE@._V1_UX67_CR0,0,67,98_AL_.jpg</v>
      </c>
      <c r="U590" s="8">
        <f>'Inflation Adjusted Gross'!F590</f>
        <v>1490599</v>
      </c>
      <c r="V590" s="5">
        <f t="shared" si="1"/>
        <v>2020</v>
      </c>
    </row>
    <row r="591">
      <c r="A591" s="1">
        <v>590.0</v>
      </c>
      <c r="B591" s="1" t="s">
        <v>3627</v>
      </c>
      <c r="C591" s="6">
        <f>Gross_cleaning!E591</f>
        <v>2852400</v>
      </c>
      <c r="D591" s="1">
        <v>2013.0</v>
      </c>
      <c r="E591" s="1" t="s">
        <v>2066</v>
      </c>
      <c r="F591" s="1" t="str">
        <f>VLOOKUP(Filmes_raw!E591,Rating_systems!$A$2:$C$29,3,FALSE)</f>
        <v>Desconhecido</v>
      </c>
      <c r="G591" s="2">
        <f>Gross_cleaning!F591</f>
        <v>141</v>
      </c>
      <c r="H591" s="1" t="s">
        <v>1672</v>
      </c>
      <c r="I591" s="1" t="s">
        <v>20</v>
      </c>
      <c r="J591" s="1">
        <v>7.8</v>
      </c>
      <c r="K591" s="1" t="s">
        <v>3628</v>
      </c>
      <c r="L591" s="1" t="str">
        <f>IFERROR(__xludf.DUMMYFUNCTION("GOOGLETRANSLATE(K591,""en"", ""pt-br"")"),"Jep Gambardella seduziu o caminho através da vida nocturna luxuosa de Roma por décadas, mas depois de seu 65º aniversário e um choque do passado, Jep analisa as boates e as festas para encontrar uma paisagem intemporal de beleza absurda e requintada.")</f>
        <v>Jep Gambardella seduziu o caminho através da vida nocturna luxuosa de Roma por décadas, mas depois de seu 65º aniversário e um choque do passado, Jep analisa as boates e as festas para encontrar uma paisagem intemporal de beleza absurda e requintada.</v>
      </c>
      <c r="M591" s="1">
        <v>86.0</v>
      </c>
      <c r="N591" s="1" t="s">
        <v>3629</v>
      </c>
      <c r="O591" s="1" t="s">
        <v>3630</v>
      </c>
      <c r="P591" s="1" t="s">
        <v>3631</v>
      </c>
      <c r="Q591" s="1" t="s">
        <v>3632</v>
      </c>
      <c r="R591" s="1" t="s">
        <v>3633</v>
      </c>
      <c r="S591" s="1">
        <v>81125.0</v>
      </c>
      <c r="T591" s="7" t="str">
        <f>VLOOKUP(A591,Posters!A591:B1590,2)</f>
        <v>https://m.media-amazon.com/images/M/MV5BNjg5NmI3NmUtZDQ2Mi00ZTI0LWE0YzAtOGRhOWJmNDJkOWNkXkEyXkFqcGdeQXVyMzIzNDU1NTY@._V1_UY98_CR0,0,67,98_AL_.jpg</v>
      </c>
      <c r="U591" s="8">
        <f>'Inflation Adjusted Gross'!F591</f>
        <v>3195399</v>
      </c>
      <c r="V591" s="5">
        <f t="shared" si="1"/>
        <v>2020</v>
      </c>
    </row>
    <row r="592">
      <c r="A592" s="1">
        <v>591.0</v>
      </c>
      <c r="B592" s="1" t="s">
        <v>3634</v>
      </c>
      <c r="C592" s="6">
        <f>Gross_cleaning!E592</f>
        <v>4231500</v>
      </c>
      <c r="D592" s="1">
        <v>2013.0</v>
      </c>
      <c r="E592" s="1" t="s">
        <v>52</v>
      </c>
      <c r="F592" s="1" t="str">
        <f>VLOOKUP(Filmes_raw!E592,Rating_systems!$A$2:$C$29,3,FALSE)</f>
        <v>Criança</v>
      </c>
      <c r="G592" s="2">
        <f>Gross_cleaning!F592</f>
        <v>104</v>
      </c>
      <c r="H592" s="1" t="s">
        <v>647</v>
      </c>
      <c r="I592" s="1" t="s">
        <v>107</v>
      </c>
      <c r="J592" s="1">
        <v>7.8</v>
      </c>
      <c r="K592" s="1" t="s">
        <v>3635</v>
      </c>
      <c r="L592" s="1" t="str">
        <f>IFERROR(__xludf.DUMMYFUNCTION("GOOGLETRANSLATE(K592,""en"", ""pt-br"")"),"Uma entrega equivocada no sistema de entrega de lancheira e famosas de Mumbai conecta uma jovem dona de casa a um homem mais velho no crepúsculo de sua vida enquanto constroem um mundo de fantasia juntos através das notas na lancheira.")</f>
        <v>Uma entrega equivocada no sistema de entrega de lancheira e famosas de Mumbai conecta uma jovem dona de casa a um homem mais velho no crepúsculo de sua vida enquanto constroem um mundo de fantasia juntos através das notas na lancheira.</v>
      </c>
      <c r="M592" s="1">
        <v>76.0</v>
      </c>
      <c r="N592" s="1" t="s">
        <v>3636</v>
      </c>
      <c r="O592" s="1" t="s">
        <v>980</v>
      </c>
      <c r="P592" s="1" t="s">
        <v>2159</v>
      </c>
      <c r="Q592" s="1" t="s">
        <v>1034</v>
      </c>
      <c r="R592" s="1" t="s">
        <v>3637</v>
      </c>
      <c r="S592" s="1">
        <v>50523.0</v>
      </c>
      <c r="T592" s="7" t="str">
        <f>VLOOKUP(A592,Posters!A592:B1591,2)</f>
        <v>https://m.media-amazon.com/images/M/MV5BMTUwMzc1NjIzMV5BMl5BanBnXkFtZTgwODUyMTIxMTE@._V1_UX67_CR0,0,67,98_AL_.jpg</v>
      </c>
      <c r="U592" s="8">
        <f>'Inflation Adjusted Gross'!F592</f>
        <v>4740335</v>
      </c>
      <c r="V592" s="5">
        <f t="shared" si="1"/>
        <v>2020</v>
      </c>
    </row>
    <row r="593">
      <c r="A593" s="1">
        <v>592.0</v>
      </c>
      <c r="B593" s="1" t="s">
        <v>3638</v>
      </c>
      <c r="C593" s="6">
        <f>Gross_cleaning!E593</f>
        <v>169209</v>
      </c>
      <c r="D593" s="1">
        <v>2012.0</v>
      </c>
      <c r="E593" s="1" t="s">
        <v>37</v>
      </c>
      <c r="F593" s="1" t="str">
        <f>VLOOKUP(Filmes_raw!E593,Rating_systems!$A$2:$C$29,3,FALSE)</f>
        <v>Criança</v>
      </c>
      <c r="G593" s="2">
        <f>Gross_cleaning!F593</f>
        <v>126</v>
      </c>
      <c r="H593" s="1" t="s">
        <v>428</v>
      </c>
      <c r="I593" s="1" t="s">
        <v>723</v>
      </c>
      <c r="J593" s="1">
        <v>7.8</v>
      </c>
      <c r="K593" s="1" t="s">
        <v>3639</v>
      </c>
      <c r="L593" s="1" t="str">
        <f>IFERROR(__xludf.DUMMYFUNCTION("GOOGLETRANSLATE(K593,""en"", ""pt-br"")"),"Um homem é trazido por um médico infertilidade para fornecê-lo com seu espermatozóide, onde ele se torna o maior doador de esperma para sua clínica.")</f>
        <v>Um homem é trazido por um médico infertilidade para fornecê-lo com seu espermatozóide, onde ele se torna o maior doador de esperma para sua clínica.</v>
      </c>
      <c r="N593" s="1" t="s">
        <v>3640</v>
      </c>
      <c r="O593" s="1" t="s">
        <v>659</v>
      </c>
      <c r="P593" s="1" t="s">
        <v>953</v>
      </c>
      <c r="Q593" s="1" t="s">
        <v>3641</v>
      </c>
      <c r="R593" s="1" t="s">
        <v>3642</v>
      </c>
      <c r="S593" s="1">
        <v>39710.0</v>
      </c>
      <c r="T593" s="7" t="str">
        <f>VLOOKUP(A593,Posters!A593:B1592,2)</f>
        <v>https://m.media-amazon.com/images/M/MV5BYWNlODE1ZTEtOTQ5MS00N2QwLTllNjItZDQ2Y2UzMmU5YmI2XkEyXkFqcGdeQXVyODE5NzE3OTE@._V1_UY98_CR3,0,67,98_AL_.jpg</v>
      </c>
      <c r="U593" s="8">
        <f>'Inflation Adjusted Gross'!F593</f>
        <v>192579</v>
      </c>
      <c r="V593" s="5">
        <f t="shared" si="1"/>
        <v>2020</v>
      </c>
    </row>
    <row r="594">
      <c r="A594" s="1">
        <v>593.0</v>
      </c>
      <c r="B594" s="1" t="s">
        <v>3643</v>
      </c>
      <c r="C594" s="6">
        <f>Gross_cleaning!E594</f>
        <v>222527828</v>
      </c>
      <c r="D594" s="1">
        <v>2014.0</v>
      </c>
      <c r="E594" s="1" t="s">
        <v>52</v>
      </c>
      <c r="F594" s="1" t="str">
        <f>VLOOKUP(Filmes_raw!E594,Rating_systems!$A$2:$C$29,3,FALSE)</f>
        <v>Criança</v>
      </c>
      <c r="G594" s="2">
        <f>Gross_cleaning!F594</f>
        <v>102</v>
      </c>
      <c r="H594" s="1" t="s">
        <v>405</v>
      </c>
      <c r="I594" s="1" t="s">
        <v>467</v>
      </c>
      <c r="J594" s="1">
        <v>7.8</v>
      </c>
      <c r="K594" s="1" t="s">
        <v>3644</v>
      </c>
      <c r="L594" s="1" t="str">
        <f>IFERROR(__xludf.DUMMYFUNCTION("GOOGLETRANSLATE(K594,""en"", ""pt-br"")"),"Um vínculo especial se desenvolve entre o robô inflável de tamanho maior Baymax e a Prodigy Hiro Hamada, que juntos se juntam a um grupo de amigos para formar uma banda de heróis de alta tecnologia.")</f>
        <v>Um vínculo especial se desenvolve entre o robô inflável de tamanho maior Baymax e a Prodigy Hiro Hamada, que juntos se juntam a um grupo de amigos para formar uma banda de heróis de alta tecnologia.</v>
      </c>
      <c r="M594" s="1">
        <v>74.0</v>
      </c>
      <c r="N594" s="1" t="s">
        <v>3645</v>
      </c>
      <c r="O594" s="1" t="s">
        <v>3646</v>
      </c>
      <c r="P594" s="1" t="s">
        <v>3647</v>
      </c>
      <c r="Q594" s="1" t="s">
        <v>3648</v>
      </c>
      <c r="R594" s="1" t="s">
        <v>3649</v>
      </c>
      <c r="S594" s="1">
        <v>410983.0</v>
      </c>
      <c r="T594" s="7" t="str">
        <f>VLOOKUP(A594,Posters!A594:B1593,2)</f>
        <v>https://m.media-amazon.com/images/M/MV5BMDliOTIzNmUtOTllOC00NDU3LWFiNjYtMGM0NDc1YTMxNjYxXkEyXkFqcGdeQXVyNTM3NzExMDQ@._V1_UY98_CR1,0,67,98_AL_.jpg</v>
      </c>
      <c r="U594" s="8">
        <f>'Inflation Adjusted Gross'!F594</f>
        <v>245411713</v>
      </c>
      <c r="V594" s="5">
        <f t="shared" si="1"/>
        <v>2020</v>
      </c>
    </row>
    <row r="595">
      <c r="A595" s="1">
        <v>594.0</v>
      </c>
      <c r="B595" s="1" t="s">
        <v>3650</v>
      </c>
      <c r="C595" s="6">
        <f>Gross_cleaning!E595</f>
        <v>15322921</v>
      </c>
      <c r="D595" s="1">
        <v>2013.0</v>
      </c>
      <c r="E595" s="1" t="s">
        <v>212</v>
      </c>
      <c r="F595" s="1" t="str">
        <f>VLOOKUP(Filmes_raw!E595,Rating_systems!$A$2:$C$29,3,FALSE)</f>
        <v>Adulto</v>
      </c>
      <c r="G595" s="2">
        <f>Gross_cleaning!F595</f>
        <v>123</v>
      </c>
      <c r="H595" s="1" t="s">
        <v>678</v>
      </c>
      <c r="I595" s="1" t="s">
        <v>1460</v>
      </c>
      <c r="J595" s="1">
        <v>7.8</v>
      </c>
      <c r="K595" s="1" t="s">
        <v>3651</v>
      </c>
      <c r="L595" s="1" t="str">
        <f>IFERROR(__xludf.DUMMYFUNCTION("GOOGLETRANSLATE(K595,""en"", ""pt-br"")"),"Aos 21 anos, Tim descobre que ele pode viajar no tempo e mudar o que acontece e aconteceu em sua própria vida. Sua decisão de tornar seu mundo um lugar melhor, conseguindo que uma namorada acabe por não ser tão fácil quanto você imagina.")</f>
        <v>Aos 21 anos, Tim descobre que ele pode viajar no tempo e mudar o que acontece e aconteceu em sua própria vida. Sua decisão de tornar seu mundo um lugar melhor, conseguindo que uma namorada acabe por não ser tão fácil quanto você imagina.</v>
      </c>
      <c r="M595" s="1">
        <v>55.0</v>
      </c>
      <c r="N595" s="1" t="s">
        <v>3652</v>
      </c>
      <c r="O595" s="1" t="s">
        <v>2264</v>
      </c>
      <c r="P595" s="1" t="s">
        <v>1518</v>
      </c>
      <c r="Q595" s="1" t="s">
        <v>3619</v>
      </c>
      <c r="R595" s="1" t="s">
        <v>3653</v>
      </c>
      <c r="S595" s="1">
        <v>303032.0</v>
      </c>
      <c r="T595" s="7" t="str">
        <f>VLOOKUP(A595,Posters!A595:B1594,2)</f>
        <v>https://m.media-amazon.com/images/M/MV5BMTA1ODUzMDA3NzFeQTJeQWpwZ15BbWU3MDgxMTYxNTk@._V1_UX67_CR0,0,67,98_AL_.jpg</v>
      </c>
      <c r="U595" s="8">
        <f>'Inflation Adjusted Gross'!F595</f>
        <v>17165491</v>
      </c>
      <c r="V595" s="5">
        <f t="shared" si="1"/>
        <v>2020</v>
      </c>
    </row>
    <row r="596">
      <c r="A596" s="1">
        <v>595.0</v>
      </c>
      <c r="B596" s="1" t="s">
        <v>3654</v>
      </c>
      <c r="C596" s="6">
        <f>Gross_cleaning!E596</f>
        <v>1670773</v>
      </c>
      <c r="D596" s="1">
        <v>2012.0</v>
      </c>
      <c r="E596" s="1" t="s">
        <v>52</v>
      </c>
      <c r="F596" s="1" t="str">
        <f>VLOOKUP(Filmes_raw!E596,Rating_systems!$A$2:$C$29,3,FALSE)</f>
        <v>Criança</v>
      </c>
      <c r="G596" s="2">
        <f>Gross_cleaning!F596</f>
        <v>134</v>
      </c>
      <c r="H596" s="1" t="s">
        <v>550</v>
      </c>
      <c r="I596" s="1" t="s">
        <v>416</v>
      </c>
      <c r="J596" s="1">
        <v>7.8</v>
      </c>
      <c r="K596" s="1" t="s">
        <v>3655</v>
      </c>
      <c r="L596" s="1" t="str">
        <f>IFERROR(__xludf.DUMMYFUNCTION("GOOGLETRANSLATE(K596,""en"", ""pt-br"")"),"Uma dona de casa temperada quieta e doce suporta pequenas ligeiras de seu marido e filha bem instruídos todos os dias por causa de sua incapacidade de falar e entender o inglês.")</f>
        <v>Uma dona de casa temperada quieta e doce suporta pequenas ligeiras de seu marido e filha bem instruídos todos os dias por causa de sua incapacidade de falar e entender o inglês.</v>
      </c>
      <c r="N596" s="1" t="s">
        <v>3656</v>
      </c>
      <c r="O596" s="1" t="s">
        <v>3657</v>
      </c>
      <c r="P596" s="1" t="s">
        <v>3132</v>
      </c>
      <c r="Q596" s="1" t="s">
        <v>3658</v>
      </c>
      <c r="R596" s="1" t="s">
        <v>3659</v>
      </c>
      <c r="S596" s="1">
        <v>33618.0</v>
      </c>
      <c r="T596" s="7" t="str">
        <f>VLOOKUP(A596,Posters!A596:B1595,2)</f>
        <v>https://m.media-amazon.com/images/M/MV5BMjQ5YWVmYmYtOWFiZC00NGMxLWEwODctZDM2MWI4YWViN2E5XkEyXkFqcGdeQXVyNjQ2MjQ5NzM@._V1_UY98_CR0,0,67,98_AL_.jpg</v>
      </c>
      <c r="U596" s="8">
        <f>'Inflation Adjusted Gross'!F596</f>
        <v>1901533</v>
      </c>
      <c r="V596" s="5">
        <f t="shared" si="1"/>
        <v>2020</v>
      </c>
    </row>
    <row r="597">
      <c r="A597" s="1">
        <v>596.0</v>
      </c>
      <c r="B597" s="1" t="s">
        <v>3660</v>
      </c>
      <c r="C597" s="6">
        <f>Gross_cleaning!E597</f>
        <v>5209580</v>
      </c>
      <c r="D597" s="1">
        <v>2013.0</v>
      </c>
      <c r="E597" s="1" t="s">
        <v>161</v>
      </c>
      <c r="F597" s="1" t="str">
        <f>VLOOKUP(Filmes_raw!E597,Rating_systems!$A$2:$C$29,3,FALSE)</f>
        <v>Criança</v>
      </c>
      <c r="G597" s="2">
        <f>Gross_cleaning!F597</f>
        <v>126</v>
      </c>
      <c r="H597" s="1" t="s">
        <v>428</v>
      </c>
      <c r="I597" s="1" t="s">
        <v>2341</v>
      </c>
      <c r="J597" s="1">
        <v>7.8</v>
      </c>
      <c r="K597" s="1" t="s">
        <v>3661</v>
      </c>
      <c r="L597" s="1" t="str">
        <f>IFERROR(__xludf.DUMMYFUNCTION("GOOGLETRANSLATE(K597,""en"", ""pt-br"")"),"Uma olhada na vida de Jiro Horikoshi, o homem que projetou aviões de combate japonês durante a Segunda Guerra Mundial.")</f>
        <v>Uma olhada na vida de Jiro Horikoshi, o homem que projetou aviões de combate japonês durante a Segunda Guerra Mundial.</v>
      </c>
      <c r="M597" s="1">
        <v>83.0</v>
      </c>
      <c r="N597" s="1" t="s">
        <v>206</v>
      </c>
      <c r="O597" s="1" t="s">
        <v>1689</v>
      </c>
      <c r="P597" s="1" t="s">
        <v>3662</v>
      </c>
      <c r="Q597" s="1" t="s">
        <v>3663</v>
      </c>
      <c r="R597" s="1" t="s">
        <v>3664</v>
      </c>
      <c r="S597" s="1">
        <v>73690.0</v>
      </c>
      <c r="T597" s="7" t="str">
        <f>VLOOKUP(A597,Posters!A597:B1596,2)</f>
        <v>https://m.media-amazon.com/images/M/MV5BMTU4NDg0MzkzNV5BMl5BanBnXkFtZTgwODA3Mzc1MDE@._V1_UX67_CR0,0,67,98_AL_.jpg</v>
      </c>
      <c r="U597" s="8">
        <f>'Inflation Adjusted Gross'!F597</f>
        <v>5836028</v>
      </c>
      <c r="V597" s="5">
        <f t="shared" si="1"/>
        <v>2020</v>
      </c>
    </row>
    <row r="598">
      <c r="A598" s="1">
        <v>597.0</v>
      </c>
      <c r="B598" s="1" t="s">
        <v>3665</v>
      </c>
      <c r="C598" s="6">
        <f>Gross_cleaning!E598</f>
        <v>434038008</v>
      </c>
      <c r="D598" s="1">
        <v>2019.0</v>
      </c>
      <c r="E598" s="1" t="s">
        <v>52</v>
      </c>
      <c r="F598" s="1" t="str">
        <f>VLOOKUP(Filmes_raw!E598,Rating_systems!$A$2:$C$29,3,FALSE)</f>
        <v>Criança</v>
      </c>
      <c r="G598" s="2">
        <f>Gross_cleaning!F598</f>
        <v>100</v>
      </c>
      <c r="H598" s="1" t="s">
        <v>1439</v>
      </c>
      <c r="I598" s="1" t="s">
        <v>765</v>
      </c>
      <c r="J598" s="1">
        <v>7.8</v>
      </c>
      <c r="K598" s="1" t="s">
        <v>3666</v>
      </c>
      <c r="L598" s="1" t="str">
        <f>IFERROR(__xludf.DUMMYFUNCTION("GOOGLETRANSLATE(K598,""en"", ""pt-br"")"),"Quando um novo brinquedo chamado ""Forky"" se junta a Woody e a gangue, uma viagem de estrada ao longo de velhos e novos amigos revela como o mundo pode ser grande para um brinquedo.")</f>
        <v>Quando um novo brinquedo chamado "Forky" se junta a Woody e a gangue, uma viagem de estrada ao longo de velhos e novos amigos revela como o mundo pode ser grande para um brinquedo.</v>
      </c>
      <c r="M598" s="1">
        <v>84.0</v>
      </c>
      <c r="N598" s="1" t="s">
        <v>3667</v>
      </c>
      <c r="O598" s="1" t="s">
        <v>110</v>
      </c>
      <c r="P598" s="1" t="s">
        <v>768</v>
      </c>
      <c r="Q598" s="1" t="s">
        <v>3668</v>
      </c>
      <c r="R598" s="1" t="s">
        <v>3669</v>
      </c>
      <c r="S598" s="1">
        <v>203177.0</v>
      </c>
      <c r="T598" s="7" t="str">
        <f>VLOOKUP(A598,Posters!A598:B1597,2)</f>
        <v>https://m.media-amazon.com/images/M/MV5BMTYzMDM4NzkxOV5BMl5BanBnXkFtZTgwNzM1Mzg2NzM@._V1_UX67_CR0,0,67,98_AL_.jpg</v>
      </c>
      <c r="U598" s="8">
        <f>'Inflation Adjusted Gross'!F598</f>
        <v>444830676</v>
      </c>
      <c r="V598" s="5">
        <f t="shared" si="1"/>
        <v>2020</v>
      </c>
    </row>
    <row r="599">
      <c r="A599" s="1">
        <v>598.0</v>
      </c>
      <c r="B599" s="1" t="s">
        <v>3670</v>
      </c>
      <c r="C599" s="6">
        <f>Gross_cleaning!E599</f>
        <v>85433</v>
      </c>
      <c r="D599" s="1">
        <v>2013.0</v>
      </c>
      <c r="E599" s="1" t="s">
        <v>212</v>
      </c>
      <c r="F599" s="1" t="str">
        <f>VLOOKUP(Filmes_raw!E599,Rating_systems!$A$2:$C$29,3,FALSE)</f>
        <v>Adulto</v>
      </c>
      <c r="G599" s="2">
        <f>Gross_cleaning!F599</f>
        <v>131</v>
      </c>
      <c r="H599" s="1" t="s">
        <v>686</v>
      </c>
      <c r="I599" s="1" t="s">
        <v>235</v>
      </c>
      <c r="J599" s="1">
        <v>7.8</v>
      </c>
      <c r="K599" s="1" t="s">
        <v>3671</v>
      </c>
      <c r="L599" s="1" t="str">
        <f>IFERROR(__xludf.DUMMYFUNCTION("GOOGLETRANSLATE(K599,""en"", ""pt-br"")"),"Um perito de arte solitário que trabalha para uma herdeira misteriosa e recluencia não apenas a sua arte vale a pena examinar.")</f>
        <v>Um perito de arte solitário que trabalha para uma herdeira misteriosa e recluencia não apenas a sua arte vale a pena examinar.</v>
      </c>
      <c r="M599" s="1">
        <v>49.0</v>
      </c>
      <c r="N599" s="1" t="s">
        <v>368</v>
      </c>
      <c r="O599" s="1" t="s">
        <v>2280</v>
      </c>
      <c r="P599" s="1" t="s">
        <v>3672</v>
      </c>
      <c r="Q599" s="1" t="s">
        <v>3673</v>
      </c>
      <c r="R599" s="1" t="s">
        <v>3674</v>
      </c>
      <c r="S599" s="1">
        <v>108399.0</v>
      </c>
      <c r="T599" s="7" t="str">
        <f>VLOOKUP(A599,Posters!A599:B1598,2)</f>
        <v>https://m.media-amazon.com/images/M/MV5BMTQ4MzQ3NjA0N15BMl5BanBnXkFtZTgwODQyNjQ4MDE@._V1_UX67_CR0,0,67,98_AL_.jpg</v>
      </c>
      <c r="U599" s="8">
        <f>'Inflation Adjusted Gross'!F599</f>
        <v>95706</v>
      </c>
      <c r="V599" s="5">
        <f t="shared" si="1"/>
        <v>2020</v>
      </c>
    </row>
    <row r="600">
      <c r="A600" s="1">
        <v>599.0</v>
      </c>
      <c r="B600" s="1" t="s">
        <v>3675</v>
      </c>
      <c r="C600" s="6">
        <f>Gross_cleaning!E600</f>
        <v>45512466</v>
      </c>
      <c r="D600" s="1">
        <v>2012.0</v>
      </c>
      <c r="E600" s="1" t="s">
        <v>18</v>
      </c>
      <c r="F600" s="1" t="str">
        <f>VLOOKUP(Filmes_raw!E600,Rating_systems!$A$2:$C$29,3,FALSE)</f>
        <v>Adulto</v>
      </c>
      <c r="G600" s="2">
        <f>Gross_cleaning!F600</f>
        <v>94</v>
      </c>
      <c r="H600" s="1" t="s">
        <v>1882</v>
      </c>
      <c r="I600" s="1" t="s">
        <v>227</v>
      </c>
      <c r="J600" s="1">
        <v>7.8</v>
      </c>
      <c r="K600" s="1" t="s">
        <v>3676</v>
      </c>
      <c r="L600" s="1" t="str">
        <f>IFERROR(__xludf.DUMMYFUNCTION("GOOGLETRANSLATE(K600,""en"", ""pt-br"")"),"Um par de jovens amantes foge sua cidade de Nova Inglaterra, que faz com que uma parte de busca local fanfasse para encontrá-las.")</f>
        <v>Um par de jovens amantes foge sua cidade de Nova Inglaterra, que faz com que uma parte de busca local fanfasse para encontrá-las.</v>
      </c>
      <c r="M600" s="1">
        <v>84.0</v>
      </c>
      <c r="N600" s="1" t="s">
        <v>1468</v>
      </c>
      <c r="O600" s="1" t="s">
        <v>3677</v>
      </c>
      <c r="P600" s="1" t="s">
        <v>3678</v>
      </c>
      <c r="Q600" s="1" t="s">
        <v>76</v>
      </c>
      <c r="R600" s="1" t="s">
        <v>2569</v>
      </c>
      <c r="S600" s="1">
        <v>318789.0</v>
      </c>
      <c r="T600" s="7" t="str">
        <f>VLOOKUP(A600,Posters!A600:B1599,2)</f>
        <v>https://m.media-amazon.com/images/M/MV5BMzllMWI1ZDQtMmFhNS00NzJkLThmMTMtNzFmMmMyYjU3ZGVjXkEyXkFqcGdeQXVyMDI2NDg0NQ@@._V1_UY98_CR1,0,67,98_AL_.jpg</v>
      </c>
      <c r="U600" s="8">
        <f>'Inflation Adjusted Gross'!F600</f>
        <v>51798453</v>
      </c>
      <c r="V600" s="5">
        <f t="shared" si="1"/>
        <v>2020</v>
      </c>
    </row>
    <row r="601">
      <c r="A601" s="1">
        <v>600.0</v>
      </c>
      <c r="B601" s="1" t="s">
        <v>3679</v>
      </c>
      <c r="C601" s="6">
        <f>Gross_cleaning!E601</f>
        <v>177002924</v>
      </c>
      <c r="D601" s="1">
        <v>2014.0</v>
      </c>
      <c r="E601" s="1" t="s">
        <v>52</v>
      </c>
      <c r="F601" s="1" t="str">
        <f>VLOOKUP(Filmes_raw!E601,Rating_systems!$A$2:$C$29,3,FALSE)</f>
        <v>Criança</v>
      </c>
      <c r="G601" s="2">
        <f>Gross_cleaning!F601</f>
        <v>102</v>
      </c>
      <c r="H601" s="1" t="s">
        <v>405</v>
      </c>
      <c r="I601" s="1" t="s">
        <v>467</v>
      </c>
      <c r="J601" s="1">
        <v>7.8</v>
      </c>
      <c r="K601" s="1" t="s">
        <v>3680</v>
      </c>
      <c r="L601" s="1" t="str">
        <f>IFERROR(__xludf.DUMMYFUNCTION("GOOGLETRANSLATE(K601,""en"", ""pt-br"")"),"Quando soluço e desdentado descobrir uma caverna de gelo que é o lar de centenas de novos dragões selvagens e o misterioso dragão, os dois amigos se encontram no centro de uma batalha para proteger a paz.")</f>
        <v>Quando soluço e desdentado descobrir uma caverna de gelo que é o lar de centenas de novos dragões selvagens e o misterioso dragão, os dois amigos se encontram no centro de uma batalha para proteger a paz.</v>
      </c>
      <c r="M601" s="1">
        <v>76.0</v>
      </c>
      <c r="N601" s="1" t="s">
        <v>1598</v>
      </c>
      <c r="O601" s="1" t="s">
        <v>1600</v>
      </c>
      <c r="P601" s="1" t="s">
        <v>2996</v>
      </c>
      <c r="Q601" s="1" t="s">
        <v>1601</v>
      </c>
      <c r="R601" s="1" t="s">
        <v>3681</v>
      </c>
      <c r="S601" s="1">
        <v>305611.0</v>
      </c>
      <c r="T601" s="7" t="str">
        <f>VLOOKUP(A601,Posters!A601:B1600,2)</f>
        <v>https://m.media-amazon.com/images/M/MV5BMzMwMTAwODczN15BMl5BanBnXkFtZTgwMDk2NDA4MTE@._V1_UX67_CR0,0,67,98_AL_.jpg</v>
      </c>
      <c r="U601" s="8">
        <f>'Inflation Adjusted Gross'!F601</f>
        <v>195205207</v>
      </c>
      <c r="V601" s="5">
        <f t="shared" si="1"/>
        <v>2020</v>
      </c>
    </row>
    <row r="602">
      <c r="A602" s="1">
        <v>601.0</v>
      </c>
      <c r="B602" s="1" t="s">
        <v>3682</v>
      </c>
      <c r="C602" s="6">
        <f>Gross_cleaning!E602</f>
        <v>70259870</v>
      </c>
      <c r="D602" s="1">
        <v>2015.0</v>
      </c>
      <c r="E602" s="1" t="s">
        <v>18</v>
      </c>
      <c r="F602" s="1" t="str">
        <f>VLOOKUP(Filmes_raw!E602,Rating_systems!$A$2:$C$29,3,FALSE)</f>
        <v>Adulto</v>
      </c>
      <c r="G602" s="2">
        <f>Gross_cleaning!F602</f>
        <v>130</v>
      </c>
      <c r="H602" s="1" t="s">
        <v>195</v>
      </c>
      <c r="I602" s="1" t="s">
        <v>296</v>
      </c>
      <c r="J602" s="1">
        <v>7.8</v>
      </c>
      <c r="K602" s="1" t="s">
        <v>3683</v>
      </c>
      <c r="L602" s="1" t="str">
        <f>IFERROR(__xludf.DUMMYFUNCTION("GOOGLETRANSLATE(K602,""en"", ""pt-br"")"),"Em 2006-2007, um grupo de investidores aposta contra o mercado de hipotecas dos EUA. Em sua pesquisa eles descobrem quão falhas e corrompidas o mercado é.")</f>
        <v>Em 2006-2007, um grupo de investidores aposta contra o mercado de hipotecas dos EUA. Em sua pesquisa eles descobrem quão falhas e corrompidas o mercado é.</v>
      </c>
      <c r="M602" s="1">
        <v>81.0</v>
      </c>
      <c r="N602" s="1" t="s">
        <v>3684</v>
      </c>
      <c r="O602" s="1" t="s">
        <v>42</v>
      </c>
      <c r="P602" s="1" t="s">
        <v>3685</v>
      </c>
      <c r="Q602" s="1" t="s">
        <v>2175</v>
      </c>
      <c r="R602" s="1" t="s">
        <v>98</v>
      </c>
      <c r="S602" s="1">
        <v>362942.0</v>
      </c>
      <c r="T602" s="7" t="str">
        <f>VLOOKUP(A602,Posters!A602:B1601,2)</f>
        <v>https://m.media-amazon.com/images/M/MV5BNDc4MThhN2EtZjMzNC00ZDJmLThiZTgtNThlY2UxZWMzNjdkXkEyXkFqcGdeQXVyNDk3NzU2MTQ@._V1_UX67_CR0,0,67,98_AL_.jpg</v>
      </c>
      <c r="U602" s="8">
        <f>'Inflation Adjusted Gross'!F602</f>
        <v>77554412</v>
      </c>
      <c r="V602" s="5">
        <f t="shared" si="1"/>
        <v>2020</v>
      </c>
    </row>
    <row r="603">
      <c r="A603" s="1">
        <v>602.0</v>
      </c>
      <c r="B603" s="1" t="s">
        <v>3686</v>
      </c>
      <c r="C603" s="6">
        <f>Gross_cleaning!E603</f>
        <v>45203103</v>
      </c>
      <c r="D603" s="1">
        <v>2010.0</v>
      </c>
      <c r="E603" s="1" t="s">
        <v>2066</v>
      </c>
      <c r="F603" s="1" t="str">
        <f>VLOOKUP(Filmes_raw!E603,Rating_systems!$A$2:$C$29,3,FALSE)</f>
        <v>Desconhecido</v>
      </c>
      <c r="G603" s="2">
        <f>Gross_cleaning!F603</f>
        <v>106</v>
      </c>
      <c r="H603" s="1" t="s">
        <v>286</v>
      </c>
      <c r="I603" s="1" t="s">
        <v>1377</v>
      </c>
      <c r="J603" s="1">
        <v>7.8</v>
      </c>
      <c r="K603" s="1" t="s">
        <v>3687</v>
      </c>
      <c r="L603" s="1" t="str">
        <f>IFERROR(__xludf.DUMMYFUNCTION("GOOGLETRANSLATE(K603,""en"", ""pt-br"")"),"Um thriller psicológico de uma mãe queima tornou vingador de sangue frio com um plano diretor torcido para pagar aqueles que eram responsáveis ​​pela morte de sua filha.")</f>
        <v>Um thriller psicológico de uma mãe queima tornou vingador de sangue frio com um plano diretor torcido para pagar aqueles que eram responsáveis ​​pela morte de sua filha.</v>
      </c>
      <c r="N603" s="1" t="s">
        <v>3688</v>
      </c>
      <c r="O603" s="1" t="s">
        <v>3689</v>
      </c>
      <c r="P603" s="1" t="s">
        <v>3690</v>
      </c>
      <c r="Q603" s="1" t="s">
        <v>3691</v>
      </c>
      <c r="R603" s="1" t="s">
        <v>1481</v>
      </c>
      <c r="S603" s="1">
        <v>35713.0</v>
      </c>
      <c r="T603" s="7" t="str">
        <f>VLOOKUP(A603,Posters!A603:B1602,2)</f>
        <v>https://m.media-amazon.com/images/M/MV5BYzM2OGQ2NzUtNzlmYi00ZDg4LWExODgtMDVmOTU2Yzg2N2U5XkEyXkFqcGdeQXVyMTMxODk2OTU@._V1_UY98_CR0,0,67,98_AL_.jpg</v>
      </c>
      <c r="U603" s="8">
        <f>'Inflation Adjusted Gross'!F603</f>
        <v>53815364</v>
      </c>
      <c r="V603" s="5">
        <f t="shared" si="1"/>
        <v>2020</v>
      </c>
    </row>
    <row r="604">
      <c r="A604" s="1">
        <v>603.0</v>
      </c>
      <c r="B604" s="1" t="s">
        <v>3692</v>
      </c>
      <c r="C604" s="6">
        <f>Gross_cleaning!E604</f>
        <v>128392</v>
      </c>
      <c r="D604" s="1">
        <v>2010.0</v>
      </c>
      <c r="E604" s="1">
        <v>18.0</v>
      </c>
      <c r="F604" s="1" t="str">
        <f>VLOOKUP(Filmes_raw!E604,Rating_systems!$A$2:$C$29,3,FALSE)</f>
        <v>Adulto</v>
      </c>
      <c r="G604" s="2">
        <f>Gross_cleaning!F604</f>
        <v>144</v>
      </c>
      <c r="H604" s="1" t="s">
        <v>1618</v>
      </c>
      <c r="I604" s="1" t="s">
        <v>39</v>
      </c>
      <c r="J604" s="1">
        <v>7.8</v>
      </c>
      <c r="K604" s="1" t="s">
        <v>3693</v>
      </c>
      <c r="L604" s="1" t="str">
        <f>IFERROR(__xludf.DUMMYFUNCTION("GOOGLETRANSLATE(K604,""en"", ""pt-br"")"),"Um agente secreto exige vingança de um serial killer através de uma série de capturas e lançamentos.")</f>
        <v>Um agente secreto exige vingança de um serial killer através de uma série de capturas e lançamentos.</v>
      </c>
      <c r="M604" s="1">
        <v>67.0</v>
      </c>
      <c r="N604" s="1" t="s">
        <v>3694</v>
      </c>
      <c r="O604" s="1" t="s">
        <v>3695</v>
      </c>
      <c r="P604" s="1" t="s">
        <v>538</v>
      </c>
      <c r="Q604" s="1" t="s">
        <v>3696</v>
      </c>
      <c r="R604" s="1" t="s">
        <v>3697</v>
      </c>
      <c r="S604" s="1">
        <v>111252.0</v>
      </c>
      <c r="T604" s="7" t="str">
        <f>VLOOKUP(A604,Posters!A604:B1603,2)</f>
        <v>https://m.media-amazon.com/images/M/MV5BZjRmNjc5MTYtYjc3My00ZjNiLTg4YjUtMTQ0ZTFkZmMxMDUzXkEyXkFqcGdeQXVyNDY5MTUyNjU@._V1_UY98_CR3,0,67,98_AL_.jpg</v>
      </c>
      <c r="U604" s="8">
        <f>'Inflation Adjusted Gross'!F604</f>
        <v>152854</v>
      </c>
      <c r="V604" s="5">
        <f t="shared" si="1"/>
        <v>2020</v>
      </c>
    </row>
    <row r="605">
      <c r="A605" s="1">
        <v>604.0</v>
      </c>
      <c r="B605" s="1" t="s">
        <v>3698</v>
      </c>
      <c r="C605" s="6">
        <f>Gross_cleaning!E605</f>
        <v>102515793</v>
      </c>
      <c r="D605" s="1">
        <v>2011.0</v>
      </c>
      <c r="E605" s="1" t="s">
        <v>212</v>
      </c>
      <c r="F605" s="1" t="str">
        <f>VLOOKUP(Filmes_raw!E605,Rating_systems!$A$2:$C$29,3,FALSE)</f>
        <v>Adulto</v>
      </c>
      <c r="G605" s="2">
        <f>Gross_cleaning!F605</f>
        <v>158</v>
      </c>
      <c r="H605" s="1" t="s">
        <v>1089</v>
      </c>
      <c r="I605" s="1" t="s">
        <v>235</v>
      </c>
      <c r="J605" s="1">
        <v>7.8</v>
      </c>
      <c r="K605" s="1" t="s">
        <v>3699</v>
      </c>
      <c r="L605" s="1" t="str">
        <f>IFERROR(__xludf.DUMMYFUNCTION("GOOGLETRANSLATE(K605,""en"", ""pt-br"")"),"O jornalista Mikael Blomkvist é auxiliado em sua busca por uma mulher que está desaparecida há quarenta anos por Lisbeth Salander, um jovem hacker de computador.")</f>
        <v>O jornalista Mikael Blomkvist é auxiliado em sua busca por uma mulher que está desaparecida há quarenta anos por Lisbeth Salander, um jovem hacker de computador.</v>
      </c>
      <c r="M605" s="1">
        <v>71.0</v>
      </c>
      <c r="N605" s="1" t="s">
        <v>97</v>
      </c>
      <c r="O605" s="1" t="s">
        <v>2409</v>
      </c>
      <c r="P605" s="1" t="s">
        <v>2183</v>
      </c>
      <c r="Q605" s="1" t="s">
        <v>1152</v>
      </c>
      <c r="R605" s="1" t="s">
        <v>754</v>
      </c>
      <c r="S605" s="1">
        <v>423010.0</v>
      </c>
      <c r="T605" s="7" t="str">
        <f>VLOOKUP(A605,Posters!A605:B1604,2)</f>
        <v>https://m.media-amazon.com/images/M/MV5BMTczNDk4NTQ0OV5BMl5BanBnXkFtZTcwNDAxMDgxNw@@._V1_UX67_CR0,0,67,98_AL_.jpg</v>
      </c>
      <c r="U605" s="8">
        <f>'Inflation Adjusted Gross'!F605</f>
        <v>120087827</v>
      </c>
      <c r="V605" s="5">
        <f t="shared" si="1"/>
        <v>2020</v>
      </c>
    </row>
    <row r="606">
      <c r="A606" s="1">
        <v>605.0</v>
      </c>
      <c r="B606" s="1" t="s">
        <v>3700</v>
      </c>
      <c r="C606" s="6">
        <f>Gross_cleaning!E606</f>
        <v>107100855</v>
      </c>
      <c r="D606" s="1">
        <v>2013.0</v>
      </c>
      <c r="E606" s="1" t="s">
        <v>37</v>
      </c>
      <c r="F606" s="1" t="str">
        <f>VLOOKUP(Filmes_raw!E606,Rating_systems!$A$2:$C$29,3,FALSE)</f>
        <v>Criança</v>
      </c>
      <c r="G606" s="2">
        <f>Gross_cleaning!F606</f>
        <v>134</v>
      </c>
      <c r="H606" s="1" t="s">
        <v>550</v>
      </c>
      <c r="I606" s="1" t="s">
        <v>3701</v>
      </c>
      <c r="J606" s="1">
        <v>7.8</v>
      </c>
      <c r="K606" s="1" t="s">
        <v>3702</v>
      </c>
      <c r="L606" s="1" t="str">
        <f>IFERROR(__xludf.DUMMYFUNCTION("GOOGLETRANSLATE(K606,""en"", ""pt-br"")"),"A verdadeira história do capitão Richard Phillips e o seqüestro de 2009 por piratas somalis do MV Maersk Alabama da U.S.-sinalizados, o primeiro navio de carga americano a ser seqüestrado em duzentos anos.")</f>
        <v>A verdadeira história do capitão Richard Phillips e o seqüestro de 2009 por piratas somalis do MV Maersk Alabama da U.S.-sinalizados, o primeiro navio de carga americano a ser seqüestrado em duzentos anos.</v>
      </c>
      <c r="M606" s="1">
        <v>82.0</v>
      </c>
      <c r="N606" s="1" t="s">
        <v>2368</v>
      </c>
      <c r="O606" s="1" t="s">
        <v>110</v>
      </c>
      <c r="P606" s="1" t="s">
        <v>3703</v>
      </c>
      <c r="Q606" s="1" t="s">
        <v>3704</v>
      </c>
      <c r="R606" s="1" t="s">
        <v>1608</v>
      </c>
      <c r="S606" s="1">
        <v>421244.0</v>
      </c>
      <c r="T606" s="7" t="str">
        <f>VLOOKUP(A606,Posters!A606:B1605,2)</f>
        <v>https://m.media-amazon.com/images/M/MV5BODhiZWRhMjctNDUyMS00NmUwLTgwYmItMjJhOWNkZWQ3ZTQxXkEyXkFqcGdeQXVyMTMxODk2OTU@._V1_UX67_CR0,0,67,98_AL_.jpg</v>
      </c>
      <c r="U606" s="8">
        <f>'Inflation Adjusted Gross'!F606</f>
        <v>119979654</v>
      </c>
      <c r="V606" s="5">
        <f t="shared" si="1"/>
        <v>2020</v>
      </c>
    </row>
    <row r="607">
      <c r="A607" s="1">
        <v>606.0</v>
      </c>
      <c r="B607" s="1" t="s">
        <v>3705</v>
      </c>
      <c r="C607" s="6">
        <f>Gross_cleaning!E607</f>
        <v>6460</v>
      </c>
      <c r="D607" s="1">
        <v>2010.0</v>
      </c>
      <c r="E607" s="1" t="s">
        <v>212</v>
      </c>
      <c r="F607" s="1" t="str">
        <f>VLOOKUP(Filmes_raw!E607,Rating_systems!$A$2:$C$29,3,FALSE)</f>
        <v>Adulto</v>
      </c>
      <c r="G607" s="2">
        <f>Gross_cleaning!F607</f>
        <v>119</v>
      </c>
      <c r="H607" s="1" t="s">
        <v>329</v>
      </c>
      <c r="I607" s="1" t="s">
        <v>39</v>
      </c>
      <c r="J607" s="1">
        <v>7.8</v>
      </c>
      <c r="K607" s="1" t="s">
        <v>3707</v>
      </c>
      <c r="L607" s="1" t="str">
        <f>IFERROR(__xludf.DUMMYFUNCTION("GOOGLETRANSLATE(K607,""en"", ""pt-br"")"),"Um guardião silencioso de penhores com um passado violento assume um toque de tráfico de drogas e orgânicos na esperança de salvar a criança que é sua única amiga.")</f>
        <v>Um guardião silencioso de penhores com um passado violento assume um toque de tráfico de drogas e orgânicos na esperança de salvar a criança que é sua única amiga.</v>
      </c>
      <c r="N607" s="1" t="s">
        <v>3708</v>
      </c>
      <c r="O607" s="1" t="s">
        <v>1635</v>
      </c>
      <c r="P607" s="1" t="s">
        <v>3709</v>
      </c>
      <c r="Q607" s="1" t="s">
        <v>3710</v>
      </c>
      <c r="R607" s="1" t="s">
        <v>3711</v>
      </c>
      <c r="S607" s="1">
        <v>62848.0</v>
      </c>
      <c r="T607" s="7" t="str">
        <f>VLOOKUP(A607,Posters!A607:B1606,2)</f>
        <v>https://m.media-amazon.com/images/M/MV5BMTgzMTkxNjAxNV5BMl5BanBnXkFtZTgwMDU3MDE0MjE@._V1_UY98_CR0,0,67,98_AL_.jpg</v>
      </c>
      <c r="U607" s="8">
        <f>'Inflation Adjusted Gross'!F607</f>
        <v>7691</v>
      </c>
      <c r="V607" s="5">
        <f t="shared" si="1"/>
        <v>2020</v>
      </c>
    </row>
    <row r="608">
      <c r="A608" s="1">
        <v>607.0</v>
      </c>
      <c r="B608" s="1" t="s">
        <v>3712</v>
      </c>
      <c r="C608" s="6">
        <f>Gross_cleaning!E608</f>
        <v>161197785</v>
      </c>
      <c r="D608" s="1">
        <v>2015.0</v>
      </c>
      <c r="E608" s="1" t="s">
        <v>212</v>
      </c>
      <c r="F608" s="1" t="str">
        <f>VLOOKUP(Filmes_raw!E608,Rating_systems!$A$2:$C$29,3,FALSE)</f>
        <v>Adulto</v>
      </c>
      <c r="G608" s="2">
        <f>Gross_cleaning!F608</f>
        <v>147</v>
      </c>
      <c r="H608" s="1" t="s">
        <v>443</v>
      </c>
      <c r="I608" s="1" t="s">
        <v>79</v>
      </c>
      <c r="J608" s="1">
        <v>7.8</v>
      </c>
      <c r="K608" s="1" t="s">
        <v>3713</v>
      </c>
      <c r="L608" s="1" t="str">
        <f>IFERROR(__xludf.DUMMYFUNCTION("GOOGLETRANSLATE(K608,""en"", ""pt-br"")"),"O Rap Group Nwa surge das ruas médias de Compton em Los Angeles, na Califórnia, em meados da década de 1980 e revoluciona a cultura de hip hop com sua música e contos sobre a vida no capô.")</f>
        <v>O Rap Group Nwa surge das ruas médias de Compton em Los Angeles, na Califórnia, em meados da década de 1980 e revoluciona a cultura de hip hop com sua música e contos sobre a vida no capô.</v>
      </c>
      <c r="M608" s="1">
        <v>72.0</v>
      </c>
      <c r="N608" s="1" t="s">
        <v>3714</v>
      </c>
      <c r="O608" s="1" t="s">
        <v>3715</v>
      </c>
      <c r="P608" s="1" t="s">
        <v>3716</v>
      </c>
      <c r="Q608" s="1" t="s">
        <v>3717</v>
      </c>
      <c r="R608" s="1" t="s">
        <v>3718</v>
      </c>
      <c r="S608" s="1">
        <v>179264.0</v>
      </c>
      <c r="T608" s="7" t="str">
        <f>VLOOKUP(A608,Posters!A608:B1607,2)</f>
        <v>https://m.media-amazon.com/images/M/MV5BMTA5MzkyMzIxNjJeQTJeQWpwZ15BbWU4MDU0MDk0OTUx._V1_UX67_CR0,0,67,98_AL_.jpg</v>
      </c>
      <c r="U608" s="8">
        <f>'Inflation Adjusted Gross'!F608</f>
        <v>177933711</v>
      </c>
      <c r="V608" s="5">
        <f t="shared" si="1"/>
        <v>2020</v>
      </c>
    </row>
    <row r="609">
      <c r="A609" s="1">
        <v>608.0</v>
      </c>
      <c r="B609" s="1" t="s">
        <v>3719</v>
      </c>
      <c r="C609" s="6">
        <f>Gross_cleaning!E609</f>
        <v>547292</v>
      </c>
      <c r="D609" s="1">
        <v>2009.0</v>
      </c>
      <c r="E609" s="1" t="s">
        <v>212</v>
      </c>
      <c r="F609" s="1" t="str">
        <f>VLOOKUP(Filmes_raw!E609,Rating_systems!$A$2:$C$29,3,FALSE)</f>
        <v>Adulto</v>
      </c>
      <c r="G609" s="2">
        <f>Gross_cleaning!F609</f>
        <v>129</v>
      </c>
      <c r="H609" s="1" t="s">
        <v>830</v>
      </c>
      <c r="I609" s="1" t="s">
        <v>235</v>
      </c>
      <c r="J609" s="1">
        <v>7.8</v>
      </c>
      <c r="K609" s="1" t="s">
        <v>3720</v>
      </c>
      <c r="L609" s="1" t="str">
        <f>IFERROR(__xludf.DUMMYFUNCTION("GOOGLETRANSLATE(K609,""en"", ""pt-br"")"),"Uma mãe procura desesperadamente pelo assassino que enquadrou seu filho pelo horrível assassinato de uma menina.")</f>
        <v>Uma mãe procura desesperadamente pelo assassino que enquadrou seu filho pelo horrível assassinato de uma menina.</v>
      </c>
      <c r="M609" s="1">
        <v>79.0</v>
      </c>
      <c r="N609" s="1" t="s">
        <v>173</v>
      </c>
      <c r="O609" s="1" t="s">
        <v>3721</v>
      </c>
      <c r="P609" s="1" t="s">
        <v>1635</v>
      </c>
      <c r="Q609" s="1" t="s">
        <v>3722</v>
      </c>
      <c r="R609" s="1" t="s">
        <v>3723</v>
      </c>
      <c r="S609" s="1">
        <v>52758.0</v>
      </c>
      <c r="T609" s="7" t="str">
        <f>VLOOKUP(A609,Posters!A609:B1608,2)</f>
        <v>https://m.media-amazon.com/images/M/MV5BMTQzMTg0NDA1M15BMl5BanBnXkFtZTgwODUzMTE0MjE@._V1_UY98_CR0,0,67,98_AL_.jpg</v>
      </c>
      <c r="U609" s="8">
        <f>'Inflation Adjusted Gross'!F609</f>
        <v>668672</v>
      </c>
      <c r="V609" s="5">
        <f t="shared" si="1"/>
        <v>2020</v>
      </c>
    </row>
    <row r="610">
      <c r="A610" s="1">
        <v>609.0</v>
      </c>
      <c r="B610" s="1" t="s">
        <v>3724</v>
      </c>
      <c r="C610" s="6">
        <f>Gross_cleaning!E610</f>
        <v>36495748</v>
      </c>
      <c r="D610" s="1">
        <v>2008.0</v>
      </c>
      <c r="E610" s="1">
        <v>18.0</v>
      </c>
      <c r="F610" s="1" t="str">
        <f>VLOOKUP(Filmes_raw!E610,Rating_systems!$A$2:$C$29,3,FALSE)</f>
        <v>Adulto</v>
      </c>
      <c r="G610" s="2">
        <f>Gross_cleaning!F610</f>
        <v>125</v>
      </c>
      <c r="H610" s="1" t="s">
        <v>203</v>
      </c>
      <c r="I610" s="1" t="s">
        <v>2169</v>
      </c>
      <c r="J610" s="1">
        <v>7.8</v>
      </c>
      <c r="K610" s="1" t="s">
        <v>3725</v>
      </c>
      <c r="L610" s="1" t="str">
        <f>IFERROR(__xludf.DUMMYFUNCTION("GOOGLETRANSLATE(K610,""en"", ""pt-br"")"),"Um ex-policial desonrado que administra um pequeno anel de prostitutas se encontra em uma corrida contra o tempo em que uma de suas mulheres desaparece.")</f>
        <v>Um ex-policial desonrado que administra um pequeno anel de prostitutas se encontra em uma corrida contra o tempo em que uma de suas mulheres desaparece.</v>
      </c>
      <c r="M610" s="1">
        <v>64.0</v>
      </c>
      <c r="N610" s="1" t="s">
        <v>3726</v>
      </c>
      <c r="O610" s="1" t="s">
        <v>3727</v>
      </c>
      <c r="P610" s="1" t="s">
        <v>1402</v>
      </c>
      <c r="Q610" s="1" t="s">
        <v>3728</v>
      </c>
      <c r="R610" s="1" t="s">
        <v>3729</v>
      </c>
      <c r="S610" s="1">
        <v>58468.0</v>
      </c>
      <c r="T610" s="7" t="str">
        <f>VLOOKUP(A610,Posters!A610:B1609,2)</f>
        <v>https://m.media-amazon.com/images/M/MV5BY2ViOTU5MDQtZTRiZi00YjViLWFiY2ItOTRhNWYyN2ZiMzUyXkEyXkFqcGdeQXVyNTAyODkwOQ@@._V1_UY98_CR1,0,67,98_AL_.jpg</v>
      </c>
      <c r="U610" s="8">
        <f>'Inflation Adjusted Gross'!F610</f>
        <v>44603205</v>
      </c>
      <c r="V610" s="5">
        <f t="shared" si="1"/>
        <v>2020</v>
      </c>
    </row>
    <row r="611">
      <c r="A611" s="1">
        <v>610.0</v>
      </c>
      <c r="B611" s="1" t="s">
        <v>3730</v>
      </c>
      <c r="C611" s="6">
        <f>Gross_cleaning!E611</f>
        <v>258366855</v>
      </c>
      <c r="D611" s="1">
        <v>2013.0</v>
      </c>
      <c r="E611" s="1" t="s">
        <v>37</v>
      </c>
      <c r="F611" s="1" t="str">
        <f>VLOOKUP(Filmes_raw!E611,Rating_systems!$A$2:$C$29,3,FALSE)</f>
        <v>Criança</v>
      </c>
      <c r="G611" s="2">
        <f>Gross_cleaning!F611</f>
        <v>161</v>
      </c>
      <c r="H611" s="1" t="s">
        <v>115</v>
      </c>
      <c r="I611" s="1" t="s">
        <v>3731</v>
      </c>
      <c r="J611" s="1">
        <v>7.8</v>
      </c>
      <c r="K611" s="1" t="s">
        <v>3732</v>
      </c>
      <c r="L611" s="1" t="str">
        <f>IFERROR(__xludf.DUMMYFUNCTION("GOOGLETRANSLATE(K611,""en"", ""pt-br"")"),"Os anões, juntamente com Bilbo Baggins e Gandalf, o cinza, continuam sua busca para recuperar Erebor, sua terra natal, do Smaug. Bilbo Baggins está em posse de um anel misterioso e mágico.")</f>
        <v>Os anões, juntamente com Bilbo Baggins e Gandalf, o cinza, continuam sua busca para recuperar Erebor, sua terra natal, do Smaug. Bilbo Baggins está em posse de um anel misterioso e mágico.</v>
      </c>
      <c r="M611" s="1">
        <v>66.0</v>
      </c>
      <c r="N611" s="1" t="s">
        <v>64</v>
      </c>
      <c r="O611" s="1" t="s">
        <v>67</v>
      </c>
      <c r="P611" s="1" t="s">
        <v>3733</v>
      </c>
      <c r="Q611" s="1" t="s">
        <v>3734</v>
      </c>
      <c r="R611" s="1" t="s">
        <v>3735</v>
      </c>
      <c r="S611" s="1">
        <v>601408.0</v>
      </c>
      <c r="T611" s="7" t="str">
        <f>VLOOKUP(A611,Posters!A611:B1610,2)</f>
        <v>https://m.media-amazon.com/images/M/MV5BMzU0NDY0NDEzNV5BMl5BanBnXkFtZTgwOTIxNDU1MDE@._V1_UX67_CR0,0,67,98_AL_.jpg</v>
      </c>
      <c r="U611" s="8">
        <f>'Inflation Adjusted Gross'!F611</f>
        <v>289435278</v>
      </c>
      <c r="V611" s="5">
        <f t="shared" si="1"/>
        <v>2020</v>
      </c>
    </row>
    <row r="612">
      <c r="A612" s="1">
        <v>611.0</v>
      </c>
      <c r="B612" s="1" t="s">
        <v>3736</v>
      </c>
      <c r="C612" s="6">
        <f>Gross_cleaning!E612</f>
        <v>2222647</v>
      </c>
      <c r="D612" s="1">
        <v>2009.0</v>
      </c>
      <c r="E612" s="1" t="s">
        <v>37</v>
      </c>
      <c r="F612" s="1" t="str">
        <f>VLOOKUP(Filmes_raw!E612,Rating_systems!$A$2:$C$29,3,FALSE)</f>
        <v>Criança</v>
      </c>
      <c r="G612" s="2">
        <f>Gross_cleaning!F612</f>
        <v>144</v>
      </c>
      <c r="H612" s="1" t="s">
        <v>1618</v>
      </c>
      <c r="I612" s="1" t="s">
        <v>3737</v>
      </c>
      <c r="J612" s="1">
        <v>7.8</v>
      </c>
      <c r="K612" s="1" t="s">
        <v>3738</v>
      </c>
      <c r="L612" s="1" t="str">
        <f>IFERROR(__xludf.DUMMYFUNCTION("GOOGLETRANSLATE(K612,""en"", ""pt-br"")"),"Eventos estranhos acontecem em uma pequena aldeia no norte da Alemanha durante os anos anteriores à Primeira Guerra Mundial, que parece ser castigo ritual. Quem é responsável?")</f>
        <v>Eventos estranhos acontecem em uma pequena aldeia no norte da Alemanha durante os anos anteriores à Primeira Guerra Mundial, que parece ser castigo ritual. Quem é responsável?</v>
      </c>
      <c r="M612" s="1">
        <v>82.0</v>
      </c>
      <c r="N612" s="1" t="s">
        <v>3042</v>
      </c>
      <c r="O612" s="1" t="s">
        <v>3739</v>
      </c>
      <c r="P612" s="1" t="s">
        <v>3740</v>
      </c>
      <c r="Q612" s="1" t="s">
        <v>3741</v>
      </c>
      <c r="R612" s="1" t="s">
        <v>533</v>
      </c>
      <c r="S612" s="1">
        <v>68715.0</v>
      </c>
      <c r="T612" s="7" t="str">
        <f>VLOOKUP(A612,Posters!A612:B1611,2)</f>
        <v>https://m.media-amazon.com/images/M/MV5BMTQ2OTYyNzUxOF5BMl5BanBnXkFtZTcwMzUwMDY4Mg@@._V1_UX67_CR0,0,67,98_AL_.jpg</v>
      </c>
      <c r="U612" s="8">
        <f>'Inflation Adjusted Gross'!F612</f>
        <v>2715593</v>
      </c>
      <c r="V612" s="5">
        <f t="shared" si="1"/>
        <v>2020</v>
      </c>
    </row>
    <row r="613">
      <c r="A613" s="1">
        <v>612.0</v>
      </c>
      <c r="B613" s="1" t="s">
        <v>3742</v>
      </c>
      <c r="C613" s="6">
        <f>Gross_cleaning!E613</f>
        <v>10095170</v>
      </c>
      <c r="D613" s="1">
        <v>2009.0</v>
      </c>
      <c r="E613" s="1" t="s">
        <v>212</v>
      </c>
      <c r="F613" s="1" t="str">
        <f>VLOOKUP(Filmes_raw!E613,Rating_systems!$A$2:$C$29,3,FALSE)</f>
        <v>Adulto</v>
      </c>
      <c r="G613" s="2">
        <f>Gross_cleaning!F613</f>
        <v>152</v>
      </c>
      <c r="H613" s="1" t="s">
        <v>38</v>
      </c>
      <c r="I613" s="1" t="s">
        <v>235</v>
      </c>
      <c r="J613" s="1">
        <v>7.8</v>
      </c>
      <c r="K613" s="1" t="s">
        <v>3743</v>
      </c>
      <c r="L613" s="1" t="str">
        <f>IFERROR(__xludf.DUMMYFUNCTION("GOOGLETRANSLATE(K613,""en"", ""pt-br"")"),"Um jornalista é auxiliado por um jovem hacker em sua busca pelo assassino de uma mulher que esteve morto por quarenta anos.")</f>
        <v>Um jornalista é auxiliado por um jovem hacker em sua busca pelo assassino de uma mulher que esteve morto por quarenta anos.</v>
      </c>
      <c r="M613" s="1">
        <v>76.0</v>
      </c>
      <c r="N613" s="1" t="s">
        <v>3744</v>
      </c>
      <c r="O613" s="1" t="s">
        <v>3745</v>
      </c>
      <c r="P613" s="1" t="s">
        <v>3746</v>
      </c>
      <c r="Q613" s="1" t="s">
        <v>3747</v>
      </c>
      <c r="R613" s="1" t="s">
        <v>3748</v>
      </c>
      <c r="S613" s="1">
        <v>208994.0</v>
      </c>
      <c r="T613" s="7" t="str">
        <f>VLOOKUP(A613,Posters!A613:B1612,2)</f>
        <v>https://m.media-amazon.com/images/M/MV5BMTc2Mjc0MDg3MV5BMl5BanBnXkFtZTcwMjUzMDkxMw@@._V1_UX67_CR0,0,67,98_AL_.jpg</v>
      </c>
      <c r="U613" s="8">
        <f>'Inflation Adjusted Gross'!F613</f>
        <v>12334111</v>
      </c>
      <c r="V613" s="5">
        <f t="shared" si="1"/>
        <v>2020</v>
      </c>
    </row>
    <row r="614">
      <c r="A614" s="1">
        <v>613.0</v>
      </c>
      <c r="B614" s="1" t="s">
        <v>3749</v>
      </c>
      <c r="C614" s="6">
        <f>Gross_cleaning!E614</f>
        <v>35000000</v>
      </c>
      <c r="D614" s="1">
        <v>2020.0</v>
      </c>
      <c r="E614" s="1" t="s">
        <v>212</v>
      </c>
      <c r="F614" s="1" t="str">
        <f>VLOOKUP(Filmes_raw!E614,Rating_systems!$A$2:$C$29,3,FALSE)</f>
        <v>Adulto</v>
      </c>
      <c r="G614" s="2">
        <f>Gross_cleaning!F614</f>
        <v>129</v>
      </c>
      <c r="H614" s="1" t="s">
        <v>830</v>
      </c>
      <c r="I614" s="1" t="s">
        <v>2593</v>
      </c>
      <c r="J614" s="1">
        <v>7.8</v>
      </c>
      <c r="K614" s="1" t="s">
        <v>3750</v>
      </c>
      <c r="L614" s="1" t="str">
        <f>IFERROR(__xludf.DUMMYFUNCTION("GOOGLETRANSLATE(K614,""en"", ""pt-br"")"),"A história de 7 pessoas sobre julgamento proveniente de várias acusações em torno da revolta na Convenção Nacional Democrática de 1968 em Chicago, Illinois.")</f>
        <v>A história de 7 pessoas sobre julgamento proveniente de várias acusações em torno da revolta na Convenção Nacional Democrática de 1968 em Chicago, Illinois.</v>
      </c>
      <c r="M614" s="1">
        <v>77.0</v>
      </c>
      <c r="N614" s="1" t="s">
        <v>3751</v>
      </c>
      <c r="O614" s="1" t="s">
        <v>3752</v>
      </c>
      <c r="P614" s="1" t="s">
        <v>3753</v>
      </c>
      <c r="Q614" s="1" t="s">
        <v>3754</v>
      </c>
      <c r="R614" s="1" t="s">
        <v>3518</v>
      </c>
      <c r="S614" s="1">
        <v>89896.0</v>
      </c>
      <c r="T614" s="7" t="str">
        <f>VLOOKUP(A614,Posters!A614:B1613,2)</f>
        <v>https://m.media-amazon.com/images/M/MV5BYjYzOGE1MjUtODgyMy00ZDAxLTljYTgtNzk0Njg2YWQwMTZhXkEyXkFqcGdeQXVyMDM2NDM2MQ@@._V1_UX67_CR0,0,67,98_AL_.jpg</v>
      </c>
      <c r="U614" s="8">
        <f>'Inflation Adjusted Gross'!F614</f>
        <v>35000000</v>
      </c>
      <c r="V614" s="5">
        <f t="shared" si="1"/>
        <v>2020</v>
      </c>
    </row>
    <row r="615">
      <c r="A615" s="1">
        <v>614.0</v>
      </c>
      <c r="B615" s="1" t="s">
        <v>3755</v>
      </c>
      <c r="C615" s="6">
        <f>Gross_cleaning!E615</f>
        <v>12467792</v>
      </c>
      <c r="D615" s="1">
        <v>2020.0</v>
      </c>
      <c r="E615" s="1">
        <v>16.0</v>
      </c>
      <c r="F615" s="1" t="str">
        <f>VLOOKUP(Filmes_raw!E615,Rating_systems!$A$2:$C$29,3,FALSE)</f>
        <v>Adolescente</v>
      </c>
      <c r="G615" s="2">
        <f>Gross_cleaning!F615</f>
        <v>117</v>
      </c>
      <c r="H615" s="1" t="s">
        <v>466</v>
      </c>
      <c r="I615" s="1" t="s">
        <v>507</v>
      </c>
      <c r="J615" s="1">
        <v>7.8</v>
      </c>
      <c r="K615" s="1" t="s">
        <v>3756</v>
      </c>
      <c r="L615" s="1" t="str">
        <f>IFERROR(__xludf.DUMMYFUNCTION("GOOGLETRANSLATE(K615,""en"", ""pt-br"")"),"Quatro amigos, todos os professores do ensino médio, testam uma teoria de que melhorarão suas vidas mantendo um nível constante de álcool em seu sangue.")</f>
        <v>Quatro amigos, todos os professores do ensino médio, testam uma teoria de que melhorarão suas vidas mantendo um nível constante de álcool em seu sangue.</v>
      </c>
      <c r="M615" s="1">
        <v>81.0</v>
      </c>
      <c r="N615" s="1" t="s">
        <v>672</v>
      </c>
      <c r="O615" s="1" t="s">
        <v>673</v>
      </c>
      <c r="P615" s="1" t="s">
        <v>674</v>
      </c>
      <c r="Q615" s="1" t="s">
        <v>3757</v>
      </c>
      <c r="R615" s="1" t="s">
        <v>3758</v>
      </c>
      <c r="S615" s="1">
        <v>33931.0</v>
      </c>
      <c r="T615" s="7" t="str">
        <f>VLOOKUP(A615,Posters!A615:B1614,2)</f>
        <v>https://m.media-amazon.com/images/M/MV5BOTNjM2Y2ZjgtMDc5NS00MDQ1LTgyNGYtYzYwMTAyNWQwYTMyXkEyXkFqcGdeQXVyMjE4NzUxNDA@._V1_UX67_CR0,0,67,98_AL_.jpg</v>
      </c>
      <c r="U615" s="8">
        <f>'Inflation Adjusted Gross'!F615</f>
        <v>12467792</v>
      </c>
      <c r="V615" s="5">
        <f t="shared" si="1"/>
        <v>2020</v>
      </c>
    </row>
    <row r="616">
      <c r="A616" s="1">
        <v>615.0</v>
      </c>
      <c r="B616" s="1" t="s">
        <v>3759</v>
      </c>
      <c r="C616" s="6">
        <f>Gross_cleaning!E616</f>
        <v>93617009</v>
      </c>
      <c r="D616" s="1">
        <v>2010.0</v>
      </c>
      <c r="E616" s="1" t="s">
        <v>37</v>
      </c>
      <c r="F616" s="1" t="str">
        <f>VLOOKUP(Filmes_raw!E616,Rating_systems!$A$2:$C$29,3,FALSE)</f>
        <v>Criança</v>
      </c>
      <c r="G616" s="2">
        <f>Gross_cleaning!F616</f>
        <v>116</v>
      </c>
      <c r="H616" s="1" t="s">
        <v>226</v>
      </c>
      <c r="I616" s="1" t="s">
        <v>1020</v>
      </c>
      <c r="J616" s="1">
        <v>7.8</v>
      </c>
      <c r="K616" s="1" t="s">
        <v>3760</v>
      </c>
      <c r="L616" s="1" t="str">
        <f>IFERROR(__xludf.DUMMYFUNCTION("GOOGLETRANSLATE(K616,""en"", ""pt-br"")"),"Com base na história de Micky Ward, um pugilista incipiente que tenta escapar da sombra de seu irmão mais famoso, mas com força mais perturbado, e obter seu próprio tiro na grandeza.")</f>
        <v>Com base na história de Micky Ward, um pugilista incipiente que tenta escapar da sombra de seu irmão mais famoso, mas com força mais perturbado, e obter seu próprio tiro na grandeza.</v>
      </c>
      <c r="M616" s="1">
        <v>79.0</v>
      </c>
      <c r="N616" s="1" t="s">
        <v>3761</v>
      </c>
      <c r="O616" s="1" t="s">
        <v>311</v>
      </c>
      <c r="P616" s="1" t="s">
        <v>42</v>
      </c>
      <c r="Q616" s="1" t="s">
        <v>2254</v>
      </c>
      <c r="R616" s="1" t="s">
        <v>1544</v>
      </c>
      <c r="S616" s="1">
        <v>340584.0</v>
      </c>
      <c r="T616" s="7" t="str">
        <f>VLOOKUP(A616,Posters!A616:B1615,2)</f>
        <v>https://m.media-amazon.com/images/M/MV5BMTM0ODk3MjM1MV5BMl5BanBnXkFtZTcwNzc1MDIwNA@@._V1_UX67_CR0,0,67,98_AL_.jpg</v>
      </c>
      <c r="U616" s="8">
        <f>'Inflation Adjusted Gross'!F616</f>
        <v>111453264</v>
      </c>
      <c r="V616" s="5">
        <f t="shared" si="1"/>
        <v>2020</v>
      </c>
    </row>
    <row r="617">
      <c r="A617" s="1">
        <v>616.0</v>
      </c>
      <c r="B617" s="1" t="s">
        <v>3762</v>
      </c>
      <c r="C617" s="6">
        <f>Gross_cleaning!E617</f>
        <v>145000989</v>
      </c>
      <c r="D617" s="1">
        <v>2008.0</v>
      </c>
      <c r="E617" s="1" t="s">
        <v>18</v>
      </c>
      <c r="F617" s="1" t="str">
        <f>VLOOKUP(Filmes_raw!E617,Rating_systems!$A$2:$C$29,3,FALSE)</f>
        <v>Adulto</v>
      </c>
      <c r="G617" s="2">
        <f>Gross_cleaning!F617</f>
        <v>90</v>
      </c>
      <c r="H617" s="1" t="s">
        <v>2586</v>
      </c>
      <c r="I617" s="1" t="s">
        <v>1214</v>
      </c>
      <c r="J617" s="1">
        <v>7.8</v>
      </c>
      <c r="K617" s="1" t="s">
        <v>3763</v>
      </c>
      <c r="L617" s="1" t="str">
        <f>IFERROR(__xludf.DUMMYFUNCTION("GOOGLETRANSLATE(K617,""en"", ""pt-br"")"),"Um agente de CIA aposentado viaja pela Europa e depende de suas antigas habilidades para salvar sua filha estranha, que foi sequestrada enquanto em uma viagem a Paris.")</f>
        <v>Um agente de CIA aposentado viaja pela Europa e depende de suas antigas habilidades para salvar sua filha estranha, que foi sequestrada enquanto em uma viagem a Paris.</v>
      </c>
      <c r="M617" s="1">
        <v>51.0</v>
      </c>
      <c r="N617" s="1" t="s">
        <v>3764</v>
      </c>
      <c r="O617" s="1" t="s">
        <v>82</v>
      </c>
      <c r="P617" s="1" t="s">
        <v>3765</v>
      </c>
      <c r="Q617" s="1" t="s">
        <v>3766</v>
      </c>
      <c r="R617" s="1" t="s">
        <v>3767</v>
      </c>
      <c r="S617" s="1">
        <v>564791.0</v>
      </c>
      <c r="T617" s="7" t="str">
        <f>VLOOKUP(A617,Posters!A617:B1616,2)</f>
        <v>https://m.media-amazon.com/images/M/MV5BMTM4NzQ0OTYyOF5BMl5BanBnXkFtZTcwMDkyNjQyMg@@._V1_UX67_CR0,0,67,98_AL_.jpg</v>
      </c>
      <c r="U617" s="8">
        <f>'Inflation Adjusted Gross'!F617</f>
        <v>177212669</v>
      </c>
      <c r="V617" s="5">
        <f t="shared" si="1"/>
        <v>2020</v>
      </c>
    </row>
    <row r="618">
      <c r="A618" s="1">
        <v>617.0</v>
      </c>
      <c r="B618" s="1" t="s">
        <v>3768</v>
      </c>
      <c r="C618" s="6">
        <f>Gross_cleaning!E618</f>
        <v>9030581</v>
      </c>
      <c r="D618" s="1">
        <v>2008.0</v>
      </c>
      <c r="E618" s="1" t="s">
        <v>161</v>
      </c>
      <c r="F618" s="1" t="str">
        <f>VLOOKUP(Filmes_raw!E618,Rating_systems!$A$2:$C$29,3,FALSE)</f>
        <v>Criança</v>
      </c>
      <c r="G618" s="2">
        <f>Gross_cleaning!F618</f>
        <v>94</v>
      </c>
      <c r="H618" s="1" t="s">
        <v>1882</v>
      </c>
      <c r="I618" s="1" t="s">
        <v>2661</v>
      </c>
      <c r="J618" s="1">
        <v>7.8</v>
      </c>
      <c r="K618" s="1" t="s">
        <v>3769</v>
      </c>
      <c r="L618" s="1" t="str">
        <f>IFERROR(__xludf.DUMMYFUNCTION("GOOGLETRANSLATE(K618,""en"", ""pt-br"")"),"Através dos inocentes olhos de Bruno, o filho de oito anos do comandante em um campo de concentração alemã, uma amizade proibida com um menino judeu do outro lado da cerca do acampamento tem consequências surpreendentes e inesperadas.")</f>
        <v>Através dos inocentes olhos de Bruno, o filho de oito anos do comandante em um campo de concentração alemã, uma amizade proibida com um menino judeu do outro lado da cerca do acampamento tem consequências surpreendentes e inesperadas.</v>
      </c>
      <c r="M618" s="1">
        <v>55.0</v>
      </c>
      <c r="N618" s="1" t="s">
        <v>3770</v>
      </c>
      <c r="O618" s="1" t="s">
        <v>3771</v>
      </c>
      <c r="P618" s="1" t="s">
        <v>3772</v>
      </c>
      <c r="Q618" s="1" t="s">
        <v>3773</v>
      </c>
      <c r="R618" s="1" t="s">
        <v>3774</v>
      </c>
      <c r="S618" s="1">
        <v>190748.0</v>
      </c>
      <c r="T618" s="7" t="str">
        <f>VLOOKUP(A618,Posters!A618:B1617,2)</f>
        <v>https://m.media-amazon.com/images/M/MV5BMTMzMTc3MjA5NF5BMl5BanBnXkFtZTcwOTk3MDE5MQ@@._V1_UX67_CR0,0,67,98_AL_.jpg</v>
      </c>
      <c r="U618" s="8">
        <f>'Inflation Adjusted Gross'!F618</f>
        <v>11036707</v>
      </c>
      <c r="V618" s="5">
        <f t="shared" si="1"/>
        <v>2020</v>
      </c>
    </row>
    <row r="619">
      <c r="A619" s="1">
        <v>618.0</v>
      </c>
      <c r="B619" s="1" t="s">
        <v>3775</v>
      </c>
      <c r="C619" s="6">
        <f>Gross_cleaning!E619</f>
        <v>9439923</v>
      </c>
      <c r="D619" s="1">
        <v>2007.0</v>
      </c>
      <c r="E619" s="1" t="s">
        <v>212</v>
      </c>
      <c r="F619" s="1" t="str">
        <f>VLOOKUP(Filmes_raw!E619,Rating_systems!$A$2:$C$29,3,FALSE)</f>
        <v>Adulto</v>
      </c>
      <c r="G619" s="2">
        <f>Gross_cleaning!F619</f>
        <v>86</v>
      </c>
      <c r="H619" s="1" t="s">
        <v>1206</v>
      </c>
      <c r="I619" s="1" t="s">
        <v>1706</v>
      </c>
      <c r="J619" s="1">
        <v>7.8</v>
      </c>
      <c r="K619" s="1" t="s">
        <v>3776</v>
      </c>
      <c r="L619" s="1" t="str">
        <f>IFERROR(__xludf.DUMMYFUNCTION("GOOGLETRANSLATE(K619,""en"", ""pt-br"")"),"Um musical moderno sobre um busker e um imigrante e sua semana agitada em Dublin, enquanto escrevem, ensaiem e grave músicas que contam sua história de amor.")</f>
        <v>Um musical moderno sobre um busker e um imigrante e sua semana agitada em Dublin, enquanto escrevem, ensaiem e grave músicas que contam sua história de amor.</v>
      </c>
      <c r="M619" s="1">
        <v>88.0</v>
      </c>
      <c r="N619" s="1" t="s">
        <v>2988</v>
      </c>
      <c r="O619" s="1" t="s">
        <v>3777</v>
      </c>
      <c r="P619" s="1" t="s">
        <v>3778</v>
      </c>
      <c r="Q619" s="1" t="s">
        <v>3779</v>
      </c>
      <c r="R619" s="1" t="s">
        <v>3780</v>
      </c>
      <c r="S619" s="1">
        <v>110656.0</v>
      </c>
      <c r="T619" s="7" t="str">
        <f>VLOOKUP(A619,Posters!A619:B1618,2)</f>
        <v>https://m.media-amazon.com/images/M/MV5BYWUxZjJkMDktZmMxMS00Mzg3LTk4MDItN2IwODlmN2E0MTM0XkEyXkFqcGdeQXVyMTMxODk2OTU@._V1_UX67_CR0,0,67,98_AL_.jpg</v>
      </c>
      <c r="U619" s="8">
        <f>'Inflation Adjusted Gross'!F619</f>
        <v>12030800</v>
      </c>
      <c r="V619" s="5">
        <f t="shared" si="1"/>
        <v>2020</v>
      </c>
    </row>
    <row r="620">
      <c r="A620" s="1">
        <v>619.0</v>
      </c>
      <c r="B620" s="1" t="s">
        <v>3781</v>
      </c>
      <c r="C620" s="6">
        <f>Gross_cleaning!E620</f>
        <v>303003568</v>
      </c>
      <c r="D620" s="1">
        <v>2012.0</v>
      </c>
      <c r="E620" s="1" t="s">
        <v>37</v>
      </c>
      <c r="F620" s="1" t="str">
        <f>VLOOKUP(Filmes_raw!E620,Rating_systems!$A$2:$C$29,3,FALSE)</f>
        <v>Criança</v>
      </c>
      <c r="G620" s="2">
        <f>Gross_cleaning!F620</f>
        <v>169</v>
      </c>
      <c r="H620" s="1" t="s">
        <v>187</v>
      </c>
      <c r="I620" s="1" t="s">
        <v>3731</v>
      </c>
      <c r="J620" s="1">
        <v>7.8</v>
      </c>
      <c r="K620" s="1" t="s">
        <v>3782</v>
      </c>
      <c r="L620" s="1" t="str">
        <f>IFERROR(__xludf.DUMMYFUNCTION("GOOGLETRANSLATE(K620,""en"", ""pt-br"")"),"Um Hobbit relutante, Bilbo Baggins, situa-se à montanha solitária com um grupo espirituoso de anões para recuperar sua casa de montanha, e o ouro dentro dele do Dragon Smaug.")</f>
        <v>Um Hobbit relutante, Bilbo Baggins, situa-se à montanha solitária com um grupo espirituoso de anões para recuperar sua casa de montanha, e o ouro dentro dele do Dragon Smaug.</v>
      </c>
      <c r="M620" s="1">
        <v>58.0</v>
      </c>
      <c r="N620" s="1" t="s">
        <v>64</v>
      </c>
      <c r="O620" s="1" t="s">
        <v>3733</v>
      </c>
      <c r="P620" s="1" t="s">
        <v>67</v>
      </c>
      <c r="Q620" s="1" t="s">
        <v>3734</v>
      </c>
      <c r="R620" s="1" t="s">
        <v>3783</v>
      </c>
      <c r="S620" s="1">
        <v>757377.0</v>
      </c>
      <c r="T620" s="7" t="str">
        <f>VLOOKUP(A620,Posters!A620:B1619,2)</f>
        <v>https://m.media-amazon.com/images/M/MV5BMTcwNTE4MTUxMl5BMl5BanBnXkFtZTcwMDIyODM4OA@@._V1_UX67_CR0,0,67,98_AL_.jpg</v>
      </c>
      <c r="U620" s="8">
        <f>'Inflation Adjusted Gross'!F620</f>
        <v>344853124</v>
      </c>
      <c r="V620" s="5">
        <f t="shared" si="1"/>
        <v>2020</v>
      </c>
    </row>
    <row r="621">
      <c r="A621" s="1">
        <v>620.0</v>
      </c>
      <c r="B621" s="1" t="s">
        <v>3784</v>
      </c>
      <c r="C621" s="6">
        <f>Gross_cleaning!E621</f>
        <v>741283</v>
      </c>
      <c r="D621" s="1">
        <v>2007.0</v>
      </c>
      <c r="E621" s="1" t="s">
        <v>2066</v>
      </c>
      <c r="F621" s="1" t="str">
        <f>VLOOKUP(Filmes_raw!E621,Rating_systems!$A$2:$C$29,3,FALSE)</f>
        <v>Desconhecido</v>
      </c>
      <c r="G621" s="2">
        <f>Gross_cleaning!F621</f>
        <v>122</v>
      </c>
      <c r="H621" s="1" t="s">
        <v>279</v>
      </c>
      <c r="I621" s="1" t="s">
        <v>20</v>
      </c>
      <c r="J621" s="1">
        <v>7.8</v>
      </c>
      <c r="K621" s="1" t="s">
        <v>3785</v>
      </c>
      <c r="L621" s="1" t="str">
        <f>IFERROR(__xludf.DUMMYFUNCTION("GOOGLETRANSLATE(K621,""en"", ""pt-br"")"),"Um homem turco viaja a Istambul para encontrar a filha da antiga namorada do pai.")</f>
        <v>Um homem turco viaja a Istambul para encontrar a filha da antiga namorada do pai.</v>
      </c>
      <c r="M621" s="1">
        <v>85.0</v>
      </c>
      <c r="N621" s="1" t="s">
        <v>3164</v>
      </c>
      <c r="O621" s="1" t="s">
        <v>3786</v>
      </c>
      <c r="P621" s="1" t="s">
        <v>3787</v>
      </c>
      <c r="Q621" s="1" t="s">
        <v>3788</v>
      </c>
      <c r="R621" s="1" t="s">
        <v>3789</v>
      </c>
      <c r="S621" s="1">
        <v>30827.0</v>
      </c>
      <c r="T621" s="7" t="str">
        <f>VLOOKUP(A621,Posters!A621:B1620,2)</f>
        <v>https://m.media-amazon.com/images/M/MV5BMzgxMzYyNzAyOF5BMl5BanBnXkFtZTcwODY5MjY3MQ@@._V1_UY98_CR1,0,67,98_AL_.jpg</v>
      </c>
      <c r="U621" s="8">
        <f>'Inflation Adjusted Gross'!F621</f>
        <v>944735</v>
      </c>
      <c r="V621" s="5">
        <f t="shared" si="1"/>
        <v>2020</v>
      </c>
    </row>
    <row r="622">
      <c r="A622" s="1">
        <v>621.0</v>
      </c>
      <c r="B622" s="1" t="s">
        <v>3790</v>
      </c>
      <c r="C622" s="6">
        <f>Gross_cleaning!E622</f>
        <v>50927067</v>
      </c>
      <c r="D622" s="1">
        <v>2007.0</v>
      </c>
      <c r="E622" s="1" t="s">
        <v>212</v>
      </c>
      <c r="F622" s="1" t="str">
        <f>VLOOKUP(Filmes_raw!E622,Rating_systems!$A$2:$C$29,3,FALSE)</f>
        <v>Adulto</v>
      </c>
      <c r="G622" s="2">
        <f>Gross_cleaning!F622</f>
        <v>123</v>
      </c>
      <c r="H622" s="1" t="s">
        <v>678</v>
      </c>
      <c r="I622" s="1" t="s">
        <v>1051</v>
      </c>
      <c r="J622" s="1">
        <v>7.8</v>
      </c>
      <c r="K622" s="1" t="s">
        <v>3791</v>
      </c>
      <c r="L622" s="1" t="str">
        <f>IFERROR(__xludf.DUMMYFUNCTION("GOOGLETRANSLATE(K622,""en"", ""pt-br"")"),"O escritor de treze anos de idade, escrito Briony Tallis, troca irrevogavelmente o curso de várias vidas quando ela acusa o amante da irmã mais velha de um crime, ele não cometeu.")</f>
        <v>O escritor de treze anos de idade, escrito Briony Tallis, troca irrevogavelmente o curso de várias vidas quando ela acusa o amante da irmã mais velha de um crime, ele não cometeu.</v>
      </c>
      <c r="M622" s="1">
        <v>85.0</v>
      </c>
      <c r="N622" s="1" t="s">
        <v>3792</v>
      </c>
      <c r="O622" s="1" t="s">
        <v>2237</v>
      </c>
      <c r="P622" s="1" t="s">
        <v>3022</v>
      </c>
      <c r="Q622" s="1" t="s">
        <v>2541</v>
      </c>
      <c r="R622" s="1" t="s">
        <v>3605</v>
      </c>
      <c r="S622" s="1">
        <v>251370.0</v>
      </c>
      <c r="T622" s="7" t="str">
        <f>VLOOKUP(A622,Posters!A622:B1621,2)</f>
        <v>https://m.media-amazon.com/images/M/MV5BMGRiYjE0YzItMzk3Zi00ZmYwLWJjNDktYTAwYjIwMjIxYzM3XkEyXkFqcGdeQXVyMTMxODk2OTU@._V1_UX67_CR0,0,67,98_AL_.jpg</v>
      </c>
      <c r="U622" s="8">
        <f>'Inflation Adjusted Gross'!F622</f>
        <v>64904486</v>
      </c>
      <c r="V622" s="5">
        <f t="shared" si="1"/>
        <v>2020</v>
      </c>
    </row>
    <row r="623">
      <c r="A623" s="1">
        <v>622.0</v>
      </c>
      <c r="B623" s="1" t="s">
        <v>3793</v>
      </c>
      <c r="C623" s="6">
        <f>Gross_cleaning!E623</f>
        <v>35061555</v>
      </c>
      <c r="D623" s="1">
        <v>2011.0</v>
      </c>
      <c r="E623" s="1" t="s">
        <v>18</v>
      </c>
      <c r="F623" s="1" t="str">
        <f>VLOOKUP(Filmes_raw!E623,Rating_systems!$A$2:$C$29,3,FALSE)</f>
        <v>Adulto</v>
      </c>
      <c r="G623" s="2">
        <f>Gross_cleaning!F623</f>
        <v>100</v>
      </c>
      <c r="H623" s="1" t="s">
        <v>1439</v>
      </c>
      <c r="I623" s="1" t="s">
        <v>29</v>
      </c>
      <c r="J623" s="1">
        <v>7.8</v>
      </c>
      <c r="K623" s="1" t="s">
        <v>3794</v>
      </c>
      <c r="L623" s="1" t="str">
        <f>IFERROR(__xludf.DUMMYFUNCTION("GOOGLETRANSLATE(K623,""en"", ""pt-br"")"),"Um misterioso dublê de Hollywood e Mecânica Moonlights como motorista de fuga e se encontra em apuros quando ajuda o vizinho.")</f>
        <v>Um misterioso dublê de Hollywood e Mecânica Moonlights como motorista de fuga e se encontra em apuros quando ajuda o vizinho.</v>
      </c>
      <c r="M623" s="1">
        <v>78.0</v>
      </c>
      <c r="N623" s="1" t="s">
        <v>3795</v>
      </c>
      <c r="O623" s="1" t="s">
        <v>2175</v>
      </c>
      <c r="P623" s="1" t="s">
        <v>3796</v>
      </c>
      <c r="Q623" s="1" t="s">
        <v>2972</v>
      </c>
      <c r="R623" s="1" t="s">
        <v>828</v>
      </c>
      <c r="S623" s="1">
        <v>571571.0</v>
      </c>
      <c r="T623" s="7" t="str">
        <f>VLOOKUP(A623,Posters!A623:B1622,2)</f>
        <v>https://m.media-amazon.com/images/M/MV5BZjY5ZjQyMjMtMmEwOC00Nzc2LTllYTItMmU2MzJjNTg1NjY0XkEyXkFqcGdeQXVyNjQ1MTMzMDQ@._V1_UX67_CR0,0,67,98_AL_.jpg</v>
      </c>
      <c r="U623" s="8">
        <f>'Inflation Adjusted Gross'!F623</f>
        <v>41071388</v>
      </c>
      <c r="V623" s="5">
        <f t="shared" si="1"/>
        <v>2020</v>
      </c>
    </row>
    <row r="624">
      <c r="A624" s="1">
        <v>623.0</v>
      </c>
      <c r="B624" s="1" t="s">
        <v>3797</v>
      </c>
      <c r="C624" s="6">
        <f>Gross_cleaning!E624</f>
        <v>130164645</v>
      </c>
      <c r="D624" s="1">
        <v>2007.0</v>
      </c>
      <c r="E624" s="1" t="s">
        <v>18</v>
      </c>
      <c r="F624" s="1" t="str">
        <f>VLOOKUP(Filmes_raw!E624,Rating_systems!$A$2:$C$29,3,FALSE)</f>
        <v>Adulto</v>
      </c>
      <c r="G624" s="2">
        <f>Gross_cleaning!F624</f>
        <v>157</v>
      </c>
      <c r="H624" s="1" t="s">
        <v>3025</v>
      </c>
      <c r="I624" s="1" t="s">
        <v>137</v>
      </c>
      <c r="J624" s="1">
        <v>7.8</v>
      </c>
      <c r="K624" s="1" t="s">
        <v>3798</v>
      </c>
      <c r="L624" s="1" t="str">
        <f>IFERROR(__xludf.DUMMYFUNCTION("GOOGLETRANSLATE(K624,""en"", ""pt-br"")"),"Um policial de New York City é acusado de derrubar Harlem Dreach Lord Lucas, cuja vida real inspirou este filme parcialmente biográfico.")</f>
        <v>Um policial de New York City é acusado de derrubar Harlem Dreach Lord Lucas, cuja vida real inspirou este filme parcialmente biográfico.</v>
      </c>
      <c r="M624" s="1">
        <v>76.0</v>
      </c>
      <c r="N624" s="1" t="s">
        <v>324</v>
      </c>
      <c r="O624" s="1" t="s">
        <v>3799</v>
      </c>
      <c r="P624" s="1" t="s">
        <v>325</v>
      </c>
      <c r="Q624" s="1" t="s">
        <v>1503</v>
      </c>
      <c r="R624" s="1" t="s">
        <v>1616</v>
      </c>
      <c r="S624" s="1">
        <v>392449.0</v>
      </c>
      <c r="T624" s="7" t="str">
        <f>VLOOKUP(A624,Posters!A624:B1623,2)</f>
        <v>https://m.media-amazon.com/images/M/MV5BMjFmZGI2YTEtYmJhMS00YTE5LWJjNjAtNDI5OGY5ZDhmNTRlXkEyXkFqcGdeQXVyODAwMTU1MTE@._V1_UX67_CR0,0,67,98_AL_.jpg</v>
      </c>
      <c r="U624" s="8">
        <f>'Inflation Adjusted Gross'!F624</f>
        <v>165889572</v>
      </c>
      <c r="V624" s="5">
        <f t="shared" si="1"/>
        <v>2020</v>
      </c>
    </row>
    <row r="625">
      <c r="A625" s="1">
        <v>624.0</v>
      </c>
      <c r="B625" s="1" t="s">
        <v>3800</v>
      </c>
      <c r="C625" s="6">
        <f>Gross_cleaning!E625</f>
        <v>760507625</v>
      </c>
      <c r="D625" s="1">
        <v>2009.0</v>
      </c>
      <c r="E625" s="1" t="s">
        <v>37</v>
      </c>
      <c r="F625" s="1" t="str">
        <f>VLOOKUP(Filmes_raw!E625,Rating_systems!$A$2:$C$29,3,FALSE)</f>
        <v>Criança</v>
      </c>
      <c r="G625" s="2">
        <f>Gross_cleaning!F625</f>
        <v>162</v>
      </c>
      <c r="H625" s="1" t="s">
        <v>1221</v>
      </c>
      <c r="I625" s="1" t="s">
        <v>145</v>
      </c>
      <c r="J625" s="1">
        <v>7.8</v>
      </c>
      <c r="K625" s="1" t="s">
        <v>3801</v>
      </c>
      <c r="L625" s="1" t="str">
        <f>IFERROR(__xludf.DUMMYFUNCTION("GOOGLETRANSLATE(K625,""en"", ""pt-br"")"),"Um marinho paraplégico despachado para a lua Pandora em uma missão única torna-se dividido entre seguir suas ordens e proteger o mundo que ele sente é sua casa.")</f>
        <v>Um marinho paraplégico despachado para a lua Pandora em uma missão única torna-se dividido entre seguir suas ordens e proteger o mundo que ele sente é sua casa.</v>
      </c>
      <c r="M625" s="1">
        <v>83.0</v>
      </c>
      <c r="N625" s="1" t="s">
        <v>362</v>
      </c>
      <c r="O625" s="1" t="s">
        <v>1485</v>
      </c>
      <c r="P625" s="1" t="s">
        <v>2246</v>
      </c>
      <c r="Q625" s="1" t="s">
        <v>583</v>
      </c>
      <c r="R625" s="1" t="s">
        <v>3802</v>
      </c>
      <c r="S625" s="1">
        <v>1118998.0</v>
      </c>
      <c r="T625" s="7" t="str">
        <f>VLOOKUP(A625,Posters!A625:B1624,2)</f>
        <v>https://m.media-amazon.com/images/M/MV5BMTYwOTEwNjAzMl5BMl5BanBnXkFtZTcwODc5MTUwMw@@._V1_UX67_CR0,0,67,98_AL_.jpg</v>
      </c>
      <c r="U625" s="8">
        <f>'Inflation Adjusted Gross'!F625</f>
        <v>929175546</v>
      </c>
      <c r="V625" s="5">
        <f t="shared" si="1"/>
        <v>2020</v>
      </c>
    </row>
    <row r="626">
      <c r="A626" s="1">
        <v>625.0</v>
      </c>
      <c r="B626" s="1" t="s">
        <v>3803</v>
      </c>
      <c r="C626" s="6">
        <f>Gross_cleaning!E626</f>
        <v>3600</v>
      </c>
      <c r="D626" s="1">
        <v>2009.0</v>
      </c>
      <c r="E626" s="1" t="s">
        <v>212</v>
      </c>
      <c r="F626" s="1" t="str">
        <f>VLOOKUP(Filmes_raw!E626,Rating_systems!$A$2:$C$29,3,FALSE)</f>
        <v>Adulto</v>
      </c>
      <c r="G626" s="2">
        <f>Gross_cleaning!F626</f>
        <v>141</v>
      </c>
      <c r="H626" s="1" t="s">
        <v>1672</v>
      </c>
      <c r="I626" s="1" t="s">
        <v>2634</v>
      </c>
      <c r="J626" s="1">
        <v>7.8</v>
      </c>
      <c r="K626" s="1" t="s">
        <v>3805</v>
      </c>
      <c r="L626" s="1" t="str">
        <f>IFERROR(__xludf.DUMMYFUNCTION("GOOGLETRANSLATE(K626,""en"", ""pt-br"")"),"Um menino fica em uma plataforma de estação como trem está prestes a sair. Ele deveria ir com sua mãe ou ficar com o pai? Possibilidades infinitas surgem da presente decisão. Contanto que ele não escolha, tudo é possível.")</f>
        <v>Um menino fica em uma plataforma de estação como trem está prestes a sair. Ele deveria ir com sua mãe ou ficar com o pai? Possibilidades infinitas surgem da presente decisão. Contanto que ele não escolha, tudo é possível.</v>
      </c>
      <c r="M626" s="1">
        <v>63.0</v>
      </c>
      <c r="N626" s="1" t="s">
        <v>3806</v>
      </c>
      <c r="O626" s="1" t="s">
        <v>741</v>
      </c>
      <c r="P626" s="1" t="s">
        <v>3807</v>
      </c>
      <c r="Q626" s="1" t="s">
        <v>710</v>
      </c>
      <c r="R626" s="1" t="s">
        <v>3808</v>
      </c>
      <c r="S626" s="1">
        <v>216421.0</v>
      </c>
      <c r="T626" s="7" t="str">
        <f>VLOOKUP(A626,Posters!A626:B1625,2)</f>
        <v>https://m.media-amazon.com/images/M/MV5BMTg4ODkzMDQ3Nl5BMl5BanBnXkFtZTgwNTEwMTkxMDE@._V1_UX67_CR0,0,67,98_AL_.jpg</v>
      </c>
      <c r="U626" s="8">
        <f>'Inflation Adjusted Gross'!F626</f>
        <v>4398</v>
      </c>
      <c r="V626" s="5">
        <f t="shared" si="1"/>
        <v>2020</v>
      </c>
    </row>
    <row r="627">
      <c r="A627" s="1">
        <v>626.0</v>
      </c>
      <c r="B627" s="1" t="s">
        <v>3809</v>
      </c>
      <c r="C627" s="6">
        <f>Gross_cleaning!E627</f>
        <v>50866635</v>
      </c>
      <c r="D627" s="1">
        <v>2006.0</v>
      </c>
      <c r="E627" s="1" t="s">
        <v>18</v>
      </c>
      <c r="F627" s="1" t="str">
        <f>VLOOKUP(Filmes_raw!E627,Rating_systems!$A$2:$C$29,3,FALSE)</f>
        <v>Adulto</v>
      </c>
      <c r="G627" s="2">
        <f>Gross_cleaning!F627</f>
        <v>139</v>
      </c>
      <c r="H627" s="1" t="s">
        <v>95</v>
      </c>
      <c r="I627" s="1" t="s">
        <v>62</v>
      </c>
      <c r="J627" s="1">
        <v>7.8</v>
      </c>
      <c r="K627" s="1" t="s">
        <v>3810</v>
      </c>
      <c r="L627" s="1" t="str">
        <f>IFERROR(__xludf.DUMMYFUNCTION("GOOGLETRANSLATE(K627,""en"", ""pt-br"")"),"Como o reino maia enfrenta seu declínio, um jovem é tomado em uma jornada perigosa para um mundo governado por medo e opressão.")</f>
        <v>Como o reino maia enfrenta seu declínio, um jovem é tomado em uma jornada perigosa para um mundo governado por medo e opressão.</v>
      </c>
      <c r="M627" s="1">
        <v>68.0</v>
      </c>
      <c r="N627" s="1" t="s">
        <v>773</v>
      </c>
      <c r="O627" s="1" t="s">
        <v>3811</v>
      </c>
      <c r="P627" s="1" t="s">
        <v>3812</v>
      </c>
      <c r="Q627" s="1" t="s">
        <v>3813</v>
      </c>
      <c r="R627" s="1" t="s">
        <v>3814</v>
      </c>
      <c r="S627" s="1">
        <v>291018.0</v>
      </c>
      <c r="T627" s="7" t="str">
        <f>VLOOKUP(A627,Posters!A627:B1626,2)</f>
        <v>https://m.media-amazon.com/images/M/MV5BMzhmNGMzMDMtZDM0Yi00MmVmLWExYjAtZDhjZjcxZDM0MzJhXkEyXkFqcGdeQXVyNjU0OTQ0OTY@._V1_UX67_CR0,0,67,98_AL_.jpg</v>
      </c>
      <c r="U627" s="8">
        <f>'Inflation Adjusted Gross'!F627</f>
        <v>66173055</v>
      </c>
      <c r="V627" s="5">
        <f t="shared" si="1"/>
        <v>2020</v>
      </c>
    </row>
    <row r="628">
      <c r="A628" s="1">
        <v>627.0</v>
      </c>
      <c r="B628" s="1" t="s">
        <v>3815</v>
      </c>
      <c r="C628" s="6">
        <f>Gross_cleaning!E628</f>
        <v>59891098</v>
      </c>
      <c r="D628" s="1">
        <v>2006.0</v>
      </c>
      <c r="E628" s="1" t="s">
        <v>37</v>
      </c>
      <c r="F628" s="1" t="str">
        <f>VLOOKUP(Filmes_raw!E628,Rating_systems!$A$2:$C$29,3,FALSE)</f>
        <v>Criança</v>
      </c>
      <c r="G628" s="2">
        <f>Gross_cleaning!F628</f>
        <v>101</v>
      </c>
      <c r="H628" s="1" t="s">
        <v>535</v>
      </c>
      <c r="I628" s="1" t="s">
        <v>507</v>
      </c>
      <c r="J628" s="1">
        <v>7.8</v>
      </c>
      <c r="K628" s="1" t="s">
        <v>3816</v>
      </c>
      <c r="L628" s="1" t="str">
        <f>IFERROR(__xludf.DUMMYFUNCTION("GOOGLETRANSLATE(K628,""en"", ""pt-br"")"),"Uma família determinada a ter sua filha jovem nas finais de um concurso de beleza fazer uma viagem de cross-country em seu ônibus VW.")</f>
        <v>Uma família determinada a ter sua filha jovem nas finais de um concurso de beleza fazer uma viagem de cross-country em seu ônibus VW.</v>
      </c>
      <c r="M628" s="1">
        <v>80.0</v>
      </c>
      <c r="N628" s="1" t="s">
        <v>3817</v>
      </c>
      <c r="O628" s="1" t="s">
        <v>3818</v>
      </c>
      <c r="P628" s="1" t="s">
        <v>3685</v>
      </c>
      <c r="Q628" s="1" t="s">
        <v>1592</v>
      </c>
      <c r="R628" s="1" t="s">
        <v>3819</v>
      </c>
      <c r="S628" s="1">
        <v>439856.0</v>
      </c>
      <c r="T628" s="7" t="str">
        <f>VLOOKUP(A628,Posters!A628:B1627,2)</f>
        <v>https://m.media-amazon.com/images/M/MV5BMTgzNTgzODU0NV5BMl5BanBnXkFtZTcwMjEyMjMzMQ@@._V1_UX67_CR0,0,67,98_AL_.jpg</v>
      </c>
      <c r="U628" s="8">
        <f>'Inflation Adjusted Gross'!F628</f>
        <v>77913094</v>
      </c>
      <c r="V628" s="5">
        <f t="shared" si="1"/>
        <v>2020</v>
      </c>
    </row>
    <row r="629">
      <c r="A629" s="1">
        <v>628.0</v>
      </c>
      <c r="B629" s="1" t="s">
        <v>3820</v>
      </c>
      <c r="C629" s="6">
        <f>Gross_cleaning!E629</f>
        <v>23637265</v>
      </c>
      <c r="D629" s="1">
        <v>2007.0</v>
      </c>
      <c r="E629" s="1" t="s">
        <v>37</v>
      </c>
      <c r="F629" s="1" t="str">
        <f>VLOOKUP(Filmes_raw!E629,Rating_systems!$A$2:$C$29,3,FALSE)</f>
        <v>Criança</v>
      </c>
      <c r="G629" s="2">
        <f>Gross_cleaning!F629</f>
        <v>121</v>
      </c>
      <c r="H629" s="1" t="s">
        <v>249</v>
      </c>
      <c r="I629" s="1" t="s">
        <v>3821</v>
      </c>
      <c r="J629" s="1">
        <v>7.8</v>
      </c>
      <c r="K629" s="1" t="s">
        <v>3822</v>
      </c>
      <c r="L629" s="1" t="str">
        <f>IFERROR(__xludf.DUMMYFUNCTION("GOOGLETRANSLATE(K629,""en"", ""pt-br"")"),"Um policial de Londres qualificado é transferido para uma pequena cidade com um segredo escuro.")</f>
        <v>Um policial de Londres qualificado é transferido para uma pequena cidade com um segredo escuro.</v>
      </c>
      <c r="M629" s="1">
        <v>81.0</v>
      </c>
      <c r="N629" s="1" t="s">
        <v>3158</v>
      </c>
      <c r="O629" s="1" t="s">
        <v>3102</v>
      </c>
      <c r="P629" s="1" t="s">
        <v>3159</v>
      </c>
      <c r="Q629" s="1" t="s">
        <v>3733</v>
      </c>
      <c r="R629" s="1" t="s">
        <v>3619</v>
      </c>
      <c r="S629" s="1">
        <v>463466.0</v>
      </c>
      <c r="T629" s="7" t="str">
        <f>VLOOKUP(A629,Posters!A629:B1628,2)</f>
        <v>https://m.media-amazon.com/images/M/MV5BMzg4MDJhMDMtYmJiMS00ZDZmLThmZWUtYTMwZDM1YTc5MWE2XkEyXkFqcGdeQXVyNjU0OTQ0OTY@._V1_UX67_CR0,0,67,98_AL_.jpg</v>
      </c>
      <c r="U629" s="8">
        <f>'Inflation Adjusted Gross'!F629</f>
        <v>30124738</v>
      </c>
      <c r="V629" s="5">
        <f t="shared" si="1"/>
        <v>2020</v>
      </c>
    </row>
    <row r="630">
      <c r="A630" s="1">
        <v>629.0</v>
      </c>
      <c r="B630" s="1" t="s">
        <v>3823</v>
      </c>
      <c r="C630" s="6">
        <f>Gross_cleaning!E630</f>
        <v>127509326</v>
      </c>
      <c r="D630" s="1">
        <v>2008.0</v>
      </c>
      <c r="E630" s="1" t="s">
        <v>37</v>
      </c>
      <c r="F630" s="1" t="str">
        <f>VLOOKUP(Filmes_raw!E630,Rating_systems!$A$2:$C$29,3,FALSE)</f>
        <v>Criança</v>
      </c>
      <c r="G630" s="2">
        <f>Gross_cleaning!F630</f>
        <v>166</v>
      </c>
      <c r="H630" s="1" t="s">
        <v>3824</v>
      </c>
      <c r="I630" s="1" t="s">
        <v>2634</v>
      </c>
      <c r="J630" s="1">
        <v>7.8</v>
      </c>
      <c r="K630" s="1" t="s">
        <v>3825</v>
      </c>
      <c r="L630" s="1" t="str">
        <f>IFERROR(__xludf.DUMMYFUNCTION("GOOGLETRANSLATE(K630,""en"", ""pt-br"")"),"Diz a história do botão Benjamin, um homem que começa a envelhecer com as consequências.")</f>
        <v>Diz a história do botão Benjamin, um homem que começa a envelhecer com as consequências.</v>
      </c>
      <c r="M630" s="1">
        <v>70.0</v>
      </c>
      <c r="N630" s="1" t="s">
        <v>97</v>
      </c>
      <c r="O630" s="1" t="s">
        <v>98</v>
      </c>
      <c r="P630" s="1" t="s">
        <v>2996</v>
      </c>
      <c r="Q630" s="1" t="s">
        <v>3826</v>
      </c>
      <c r="R630" s="1" t="s">
        <v>3827</v>
      </c>
      <c r="S630" s="1">
        <v>589160.0</v>
      </c>
      <c r="T630" s="7" t="str">
        <f>VLOOKUP(A630,Posters!A630:B1629,2)</f>
        <v>https://m.media-amazon.com/images/M/MV5BNjQ0NTY2ODY2M15BMl5BanBnXkFtZTgwMjE4MzkxMDE@._V1_UX67_CR0,0,67,98_AL_.jpg</v>
      </c>
      <c r="U630" s="8">
        <f>'Inflation Adjusted Gross'!F630</f>
        <v>155835268</v>
      </c>
      <c r="V630" s="5">
        <f t="shared" si="1"/>
        <v>2020</v>
      </c>
    </row>
    <row r="631">
      <c r="A631" s="1">
        <v>630.0</v>
      </c>
      <c r="B631" s="1" t="s">
        <v>3828</v>
      </c>
      <c r="C631" s="6">
        <f>Gross_cleaning!E631</f>
        <v>2921738</v>
      </c>
      <c r="D631" s="1">
        <v>2004.0</v>
      </c>
      <c r="E631" s="1" t="s">
        <v>52</v>
      </c>
      <c r="F631" s="1" t="str">
        <f>VLOOKUP(Filmes_raw!E631,Rating_systems!$A$2:$C$29,3,FALSE)</f>
        <v>Criança</v>
      </c>
      <c r="G631" s="2">
        <f>Gross_cleaning!F631</f>
        <v>192</v>
      </c>
      <c r="H631" s="1" t="s">
        <v>3829</v>
      </c>
      <c r="I631" s="1" t="s">
        <v>2709</v>
      </c>
      <c r="J631" s="1">
        <v>7.8</v>
      </c>
      <c r="K631" s="1" t="s">
        <v>3830</v>
      </c>
      <c r="L631" s="1" t="str">
        <f>IFERROR(__xludf.DUMMYFUNCTION("GOOGLETRANSLATE(K631,""en"", ""pt-br"")"),"Veer-Zaara é uma saga de amor, separação, coragem e sacrifício. Uma história de amor que é uma inspiração e permanecerá uma lenda para sempre.")</f>
        <v>Veer-Zaara é uma saga de amor, separação, coragem e sacrifício. Uma história de amor que é uma inspiração e permanecerá uma lenda para sempre.</v>
      </c>
      <c r="M631" s="1">
        <v>67.0</v>
      </c>
      <c r="N631" s="1" t="s">
        <v>3831</v>
      </c>
      <c r="O631" s="1" t="s">
        <v>1084</v>
      </c>
      <c r="P631" s="1" t="s">
        <v>1661</v>
      </c>
      <c r="Q631" s="1" t="s">
        <v>1122</v>
      </c>
      <c r="R631" s="1" t="s">
        <v>3832</v>
      </c>
      <c r="S631" s="1">
        <v>49050.0</v>
      </c>
      <c r="T631" s="7" t="str">
        <f>VLOOKUP(A631,Posters!A631:B1630,2)</f>
        <v>https://m.media-amazon.com/images/M/MV5BY2VlOTc4ZjctYjVlMS00NDYwLWEwZjctZmYzZmVkNGU5NjNjXkEyXkFqcGdeQXVyODE5NzE3OTE@._V1_UY98_CR2,0,67,98_AL_.jpg</v>
      </c>
      <c r="U631" s="8">
        <f>'Inflation Adjusted Gross'!F631</f>
        <v>4069782</v>
      </c>
      <c r="V631" s="5">
        <f t="shared" si="1"/>
        <v>2020</v>
      </c>
    </row>
    <row r="632">
      <c r="A632" s="1">
        <v>631.0</v>
      </c>
      <c r="B632" s="1" t="s">
        <v>3833</v>
      </c>
      <c r="C632" s="6">
        <f>Gross_cleaning!E632</f>
        <v>1305</v>
      </c>
      <c r="D632" s="1">
        <v>2005.0</v>
      </c>
      <c r="E632" s="1" t="s">
        <v>212</v>
      </c>
      <c r="F632" s="1" t="str">
        <f>VLOOKUP(Filmes_raw!E632,Rating_systems!$A$2:$C$29,3,FALSE)</f>
        <v>Adulto</v>
      </c>
      <c r="G632" s="2">
        <f>Gross_cleaning!F632</f>
        <v>94</v>
      </c>
      <c r="H632" s="1" t="s">
        <v>1882</v>
      </c>
      <c r="I632" s="1" t="s">
        <v>831</v>
      </c>
      <c r="J632" s="1">
        <v>7.8</v>
      </c>
      <c r="K632" s="1" t="s">
        <v>3834</v>
      </c>
      <c r="L632" s="1" t="str">
        <f>IFERROR(__xludf.DUMMYFUNCTION("GOOGLETRANSLATE(K632,""en"", ""pt-br"")"),"Um neo-nazi condenado ao serviço comunitário em uma igreja confronta com o padre cegamente devocional.")</f>
        <v>Um neo-nazi condenado ao serviço comunitário em uma igreja confronta com o padre cegamente devocional.</v>
      </c>
      <c r="M632" s="1">
        <v>51.0</v>
      </c>
      <c r="N632" s="1" t="s">
        <v>3835</v>
      </c>
      <c r="O632" s="1" t="s">
        <v>2508</v>
      </c>
      <c r="P632" s="1" t="s">
        <v>673</v>
      </c>
      <c r="Q632" s="1" t="s">
        <v>3836</v>
      </c>
      <c r="R632" s="1" t="s">
        <v>2510</v>
      </c>
      <c r="S632" s="1">
        <v>45717.0</v>
      </c>
      <c r="T632" s="7" t="str">
        <f>VLOOKUP(A632,Posters!A632:B1631,2)</f>
        <v>https://m.media-amazon.com/images/M/MV5BMTU4NTc5NjM5M15BMl5BanBnXkFtZTgwODEyMTE0MDE@._V1_UY98_CR1,0,67,98_AL_.jpg</v>
      </c>
      <c r="U632" s="8">
        <f>'Inflation Adjusted Gross'!F632</f>
        <v>1765</v>
      </c>
      <c r="V632" s="5">
        <f t="shared" si="1"/>
        <v>2020</v>
      </c>
    </row>
    <row r="633">
      <c r="A633" s="1">
        <v>632.0</v>
      </c>
      <c r="B633" s="1" t="s">
        <v>3837</v>
      </c>
      <c r="C633" s="6">
        <f>Gross_cleaning!E633</f>
        <v>38405088</v>
      </c>
      <c r="D633" s="1">
        <v>2005.0</v>
      </c>
      <c r="E633" s="1" t="s">
        <v>270</v>
      </c>
      <c r="F633" s="1" t="str">
        <f>VLOOKUP(Filmes_raw!E633,Rating_systems!$A$2:$C$29,3,FALSE)</f>
        <v>Criança</v>
      </c>
      <c r="G633" s="2">
        <f>Gross_cleaning!F633</f>
        <v>129</v>
      </c>
      <c r="H633" s="1" t="s">
        <v>830</v>
      </c>
      <c r="I633" s="1" t="s">
        <v>107</v>
      </c>
      <c r="J633" s="1">
        <v>7.8</v>
      </c>
      <c r="K633" s="1" t="s">
        <v>3838</v>
      </c>
      <c r="L633" s="1" t="str">
        <f>IFERROR(__xludf.DUMMYFUNCTION("GOOGLETRANSLATE(K633,""en"", ""pt-br"")"),"As faíscas voam quando espirituosas Elizabeth Bennet se encontra solteiras, ricas e orgulhosas do Sr. Darcy. Mas o Sr. Darcy relutantemente se encontra apaixonando por uma mulher sob sua aula. Cada um pode superar seu próprio orgulho e preconceito?")</f>
        <v>As faíscas voam quando espirituosas Elizabeth Bennet se encontra solteiras, ricas e orgulhosas do Sr. Darcy. Mas o Sr. Darcy relutantemente se encontra apaixonando por uma mulher sob sua aula. Cada um pode superar seu próprio orgulho e preconceito?</v>
      </c>
      <c r="M633" s="1">
        <v>82.0</v>
      </c>
      <c r="N633" s="1" t="s">
        <v>3792</v>
      </c>
      <c r="O633" s="1" t="s">
        <v>2237</v>
      </c>
      <c r="P633" s="1" t="s">
        <v>3839</v>
      </c>
      <c r="Q633" s="1" t="s">
        <v>2541</v>
      </c>
      <c r="R633" s="1" t="s">
        <v>3674</v>
      </c>
      <c r="S633" s="1">
        <v>258924.0</v>
      </c>
      <c r="T633" s="7" t="str">
        <f>VLOOKUP(A633,Posters!A633:B1632,2)</f>
        <v>https://m.media-amazon.com/images/M/MV5BMTA1NDQ3NTcyOTNeQTJeQWpwZ15BbWU3MDA0MzA4MzE@._V1_UX67_CR0,0,67,98_AL_.jpg</v>
      </c>
      <c r="U633" s="8">
        <f>'Inflation Adjusted Gross'!F633</f>
        <v>51952800</v>
      </c>
      <c r="V633" s="5">
        <f t="shared" si="1"/>
        <v>2020</v>
      </c>
    </row>
    <row r="634">
      <c r="A634" s="1">
        <v>633.0</v>
      </c>
      <c r="B634" s="1" t="s">
        <v>3840</v>
      </c>
      <c r="C634" s="6">
        <f>Gross_cleaning!E634</f>
        <v>5128124</v>
      </c>
      <c r="D634" s="1">
        <v>2005.0</v>
      </c>
      <c r="E634" s="1" t="s">
        <v>52</v>
      </c>
      <c r="F634" s="1" t="str">
        <f>VLOOKUP(Filmes_raw!E634,Rating_systems!$A$2:$C$29,3,FALSE)</f>
        <v>Criança</v>
      </c>
      <c r="G634" s="2">
        <f>Gross_cleaning!F634</f>
        <v>127</v>
      </c>
      <c r="H634" s="1" t="s">
        <v>234</v>
      </c>
      <c r="I634" s="1" t="s">
        <v>1020</v>
      </c>
      <c r="J634" s="1">
        <v>7.8</v>
      </c>
      <c r="K634" s="1" t="s">
        <v>3841</v>
      </c>
      <c r="L634" s="1" t="str">
        <f>IFERROR(__xludf.DUMMYFUNCTION("GOOGLETRANSLATE(K634,""en"", ""pt-br"")"),"A história da Nova Zealander Burt Munro, que passou anos reconstruindo uma motocicleta indiana de 1920, que o ajudou a colocar o recorde mundial da velocidade da terra nos Flats de Bonneville de Utah em 1967.")</f>
        <v>A história da Nova Zealander Burt Munro, que passou anos reconstruindo uma motocicleta indiana de 1920, que o ajudou a colocar o recorde mundial da velocidade da terra nos Flats de Bonneville de Utah em 1967.</v>
      </c>
      <c r="M634" s="1">
        <v>68.0</v>
      </c>
      <c r="N634" s="1" t="s">
        <v>3842</v>
      </c>
      <c r="O634" s="1" t="s">
        <v>245</v>
      </c>
      <c r="P634" s="1" t="s">
        <v>3843</v>
      </c>
      <c r="Q634" s="1" t="s">
        <v>3844</v>
      </c>
      <c r="R634" s="1" t="s">
        <v>3845</v>
      </c>
      <c r="S634" s="1">
        <v>51980.0</v>
      </c>
      <c r="T634" s="7" t="str">
        <f>VLOOKUP(A634,Posters!A634:B1633,2)</f>
        <v>https://m.media-amazon.com/images/M/MV5BMjE1MjA0MDA3MV5BMl5BanBnXkFtZTcwOTU0MjMzMQ@@._V1_UY98_CR1,0,67,98_AL_.jpg</v>
      </c>
      <c r="U634" s="8">
        <f>'Inflation Adjusted Gross'!F634</f>
        <v>6937112</v>
      </c>
      <c r="V634" s="5">
        <f t="shared" si="1"/>
        <v>2020</v>
      </c>
    </row>
    <row r="635">
      <c r="A635" s="1">
        <v>634.0</v>
      </c>
      <c r="B635" s="1" t="s">
        <v>3846</v>
      </c>
      <c r="C635" s="6">
        <f>Gross_cleaning!E635</f>
        <v>128985</v>
      </c>
      <c r="D635" s="1">
        <v>2003.0</v>
      </c>
      <c r="E635" s="1" t="s">
        <v>37</v>
      </c>
      <c r="F635" s="1" t="str">
        <f>VLOOKUP(Filmes_raw!E635,Rating_systems!$A$2:$C$29,3,FALSE)</f>
        <v>Criança</v>
      </c>
      <c r="G635" s="2">
        <f>Gross_cleaning!F635</f>
        <v>90</v>
      </c>
      <c r="H635" s="1" t="s">
        <v>2586</v>
      </c>
      <c r="I635" s="1" t="s">
        <v>765</v>
      </c>
      <c r="J635" s="1">
        <v>7.8</v>
      </c>
      <c r="K635" s="1" t="s">
        <v>3847</v>
      </c>
      <c r="L635" s="1" t="str">
        <f>IFERROR(__xludf.DUMMYFUNCTION("GOOGLETRANSLATE(K635,""en"", ""pt-br"")"),"Na véspera de Natal, três pessoas desabrigadas que vivem nas ruas de Tóquio descubra um bebê recém-nascido entre o lixo e partiu para encontrar seus pais.")</f>
        <v>Na véspera de Natal, três pessoas desabrigadas que vivem nas ruas de Tóquio descubra um bebê recém-nascido entre o lixo e partiu para encontrar seus pais.</v>
      </c>
      <c r="M635" s="1">
        <v>73.0</v>
      </c>
      <c r="N635" s="1" t="s">
        <v>2501</v>
      </c>
      <c r="O635" s="1" t="s">
        <v>3848</v>
      </c>
      <c r="P635" s="1" t="s">
        <v>3849</v>
      </c>
      <c r="Q635" s="1" t="s">
        <v>3850</v>
      </c>
      <c r="R635" s="1" t="s">
        <v>3851</v>
      </c>
      <c r="S635" s="1">
        <v>31658.0</v>
      </c>
      <c r="T635" s="7" t="str">
        <f>VLOOKUP(A635,Posters!A635:B1634,2)</f>
        <v>https://m.media-amazon.com/images/M/MV5BNWY2ODRkZDYtMjllYi00Y2EyLWFhYjktMTQ5OGNkY2ViYmY2XkEyXkFqcGdeQXVyNjUxMDQ0MTg@._V1_UY98_CR1,0,67,98_AL_.jpg</v>
      </c>
      <c r="U635" s="8">
        <f>'Inflation Adjusted Gross'!F635</f>
        <v>183128</v>
      </c>
      <c r="V635" s="5">
        <f t="shared" si="1"/>
        <v>2020</v>
      </c>
    </row>
    <row r="636">
      <c r="A636" s="1">
        <v>635.0</v>
      </c>
      <c r="B636" s="1" t="s">
        <v>3852</v>
      </c>
      <c r="C636" s="6">
        <f>Gross_cleaning!E636</f>
        <v>25514517</v>
      </c>
      <c r="D636" s="1">
        <v>2005.0</v>
      </c>
      <c r="E636" s="1" t="s">
        <v>161</v>
      </c>
      <c r="F636" s="1" t="str">
        <f>VLOOKUP(Filmes_raw!E636,Rating_systems!$A$2:$C$29,3,FALSE)</f>
        <v>Criança</v>
      </c>
      <c r="G636" s="2">
        <f>Gross_cleaning!F636</f>
        <v>119</v>
      </c>
      <c r="H636" s="1" t="s">
        <v>329</v>
      </c>
      <c r="I636" s="1" t="s">
        <v>88</v>
      </c>
      <c r="J636" s="1">
        <v>7.8</v>
      </c>
      <c r="K636" s="1" t="s">
        <v>3853</v>
      </c>
      <c r="L636" s="1" t="str">
        <f>IFERROR(__xludf.DUMMYFUNCTION("GOOGLETRANSLATE(K636,""en"", ""pt-br"")"),"A tripulação do navio Serenity tenta fugir de um assassino enviado para recapturar um de seus membros que é telepática.")</f>
        <v>A tripulação do navio Serenity tenta fugir de um assassino enviado para recapturar um de seus membros que é telepática.</v>
      </c>
      <c r="M636" s="1">
        <v>74.0</v>
      </c>
      <c r="N636" s="1" t="s">
        <v>2338</v>
      </c>
      <c r="O636" s="1" t="s">
        <v>3854</v>
      </c>
      <c r="P636" s="1" t="s">
        <v>3855</v>
      </c>
      <c r="Q636" s="1" t="s">
        <v>1503</v>
      </c>
      <c r="R636" s="1" t="s">
        <v>3594</v>
      </c>
      <c r="S636" s="1">
        <v>283310.0</v>
      </c>
      <c r="T636" s="7" t="str">
        <f>VLOOKUP(A636,Posters!A636:B1635,2)</f>
        <v>https://m.media-amazon.com/images/M/MV5BOWE2MDAwZjEtODEyOS00ZjYyLTgzNDUtYmNiY2VmNWRiMTQxXkEyXkFqcGdeQXVyNTIzOTk5ODM@._V1_UX67_CR0,0,67,98_AL_.jpg</v>
      </c>
      <c r="U636" s="8">
        <f>'Inflation Adjusted Gross'!F636</f>
        <v>34514974</v>
      </c>
      <c r="V636" s="5">
        <f t="shared" si="1"/>
        <v>2020</v>
      </c>
    </row>
    <row r="637">
      <c r="A637" s="1">
        <v>636.0</v>
      </c>
      <c r="B637" s="1" t="s">
        <v>3856</v>
      </c>
      <c r="C637" s="6">
        <f>Gross_cleaning!E637</f>
        <v>119519402</v>
      </c>
      <c r="D637" s="1">
        <v>2005.0</v>
      </c>
      <c r="E637" s="1" t="s">
        <v>161</v>
      </c>
      <c r="F637" s="1" t="str">
        <f>VLOOKUP(Filmes_raw!E637,Rating_systems!$A$2:$C$29,3,FALSE)</f>
        <v>Criança</v>
      </c>
      <c r="G637" s="2">
        <f>Gross_cleaning!F637</f>
        <v>136</v>
      </c>
      <c r="H637" s="1" t="s">
        <v>127</v>
      </c>
      <c r="I637" s="1" t="s">
        <v>314</v>
      </c>
      <c r="J637" s="1">
        <v>7.8</v>
      </c>
      <c r="K637" s="1" t="s">
        <v>3857</v>
      </c>
      <c r="L637" s="1" t="str">
        <f>IFERROR(__xludf.DUMMYFUNCTION("GOOGLETRANSLATE(K637,""en"", ""pt-br"")"),"Uma crônica da vida da lenda da música de música Johnny Cash, desde os seus primeiros dias em uma fazenda de algodão Arkansas até a sua ascensão à fama com os registros de sol em Memphis, onde ele registrou ao lado de Elvis Presley, Jerry Lewis e Carl Per"&amp;"kins.")</f>
        <v>Uma crônica da vida da lenda da música de música Johnny Cash, desde os seus primeiros dias em uma fazenda de algodão Arkansas até a sua ascensão à fama com os registros de sol em Memphis, onde ele registrou ao lado de Elvis Presley, Jerry Lewis e Carl Perkins.</v>
      </c>
      <c r="M637" s="1">
        <v>72.0</v>
      </c>
      <c r="N637" s="1" t="s">
        <v>1420</v>
      </c>
      <c r="O637" s="1" t="s">
        <v>282</v>
      </c>
      <c r="P637" s="1" t="s">
        <v>3858</v>
      </c>
      <c r="Q637" s="1" t="s">
        <v>2194</v>
      </c>
      <c r="R637" s="1" t="s">
        <v>365</v>
      </c>
      <c r="S637" s="1">
        <v>234207.0</v>
      </c>
      <c r="T637" s="7" t="str">
        <f>VLOOKUP(A637,Posters!A637:B1636,2)</f>
        <v>https://m.media-amazon.com/images/M/MV5BMjIyOTU3MjUxOF5BMl5BanBnXkFtZTcwMTQ0NjYzMw@@._V1_UX67_CR0,0,67,98_AL_.jpg</v>
      </c>
      <c r="U637" s="8">
        <f>'Inflation Adjusted Gross'!F637</f>
        <v>161680858</v>
      </c>
      <c r="V637" s="5">
        <f t="shared" si="1"/>
        <v>2020</v>
      </c>
    </row>
    <row r="638">
      <c r="A638" s="1">
        <v>637.0</v>
      </c>
      <c r="B638" s="1" t="s">
        <v>3859</v>
      </c>
      <c r="C638" s="6">
        <f>Gross_cleaning!E638</f>
        <v>15280</v>
      </c>
      <c r="D638" s="1">
        <v>2003.0</v>
      </c>
      <c r="E638" s="1" t="s">
        <v>2066</v>
      </c>
      <c r="F638" s="1" t="str">
        <f>VLOOKUP(Filmes_raw!E638,Rating_systems!$A$2:$C$29,3,FALSE)</f>
        <v>Desconhecido</v>
      </c>
      <c r="G638" s="2">
        <f>Gross_cleaning!F638</f>
        <v>113</v>
      </c>
      <c r="H638" s="1" t="s">
        <v>543</v>
      </c>
      <c r="I638" s="1" t="s">
        <v>20</v>
      </c>
      <c r="J638" s="1">
        <v>7.8</v>
      </c>
      <c r="K638" s="1" t="s">
        <v>3861</v>
      </c>
      <c r="L638" s="1" t="str">
        <f>IFERROR(__xludf.DUMMYFUNCTION("GOOGLETRANSLATE(K638,""en"", ""pt-br"")"),"Um adolescente expulso da escola para lutadores chega a uma escola de embarque, onde o bullying sistemático de estudantes mais jovens é encorajado como um meio de manter a disciplina e decide lutar contra.")</f>
        <v>Um adolescente expulso da escola para lutadores chega a uma escola de embarque, onde o bullying sistemático de estudantes mais jovens é encorajado como um meio de manter a disciplina e decide lutar contra.</v>
      </c>
      <c r="M638" s="1">
        <v>61.0</v>
      </c>
      <c r="N638" s="1" t="s">
        <v>3862</v>
      </c>
      <c r="O638" s="1" t="s">
        <v>3863</v>
      </c>
      <c r="P638" s="1" t="s">
        <v>3864</v>
      </c>
      <c r="Q638" s="1" t="s">
        <v>3865</v>
      </c>
      <c r="R638" s="1" t="s">
        <v>3866</v>
      </c>
      <c r="S638" s="1">
        <v>35682.0</v>
      </c>
      <c r="T638" s="7" t="str">
        <f>VLOOKUP(A638,Posters!A638:B1637,2)</f>
        <v>https://m.media-amazon.com/images/M/MV5BMzYwODUxNjkyMF5BMl5BanBnXkFtZTcwODUzNjQyMQ@@._V1_UY98_CR0,0,67,98_AL_.jpg</v>
      </c>
      <c r="U638" s="8">
        <f>'Inflation Adjusted Gross'!F638</f>
        <v>21694</v>
      </c>
      <c r="V638" s="5">
        <f t="shared" si="1"/>
        <v>2020</v>
      </c>
    </row>
    <row r="639">
      <c r="A639" s="1">
        <v>638.0</v>
      </c>
      <c r="B639" s="1" t="s">
        <v>3867</v>
      </c>
      <c r="C639" s="6">
        <f>Gross_cleaning!E639</f>
        <v>81001787</v>
      </c>
      <c r="D639" s="1">
        <v>2004.0</v>
      </c>
      <c r="E639" s="1" t="s">
        <v>18</v>
      </c>
      <c r="F639" s="1" t="str">
        <f>VLOOKUP(Filmes_raw!E639,Rating_systems!$A$2:$C$29,3,FALSE)</f>
        <v>Adulto</v>
      </c>
      <c r="G639" s="2">
        <f>Gross_cleaning!F639</f>
        <v>123</v>
      </c>
      <c r="H639" s="1" t="s">
        <v>678</v>
      </c>
      <c r="I639" s="1" t="s">
        <v>107</v>
      </c>
      <c r="J639" s="1">
        <v>7.8</v>
      </c>
      <c r="K639" s="1" t="s">
        <v>3868</v>
      </c>
      <c r="L639" s="1" t="str">
        <f>IFERROR(__xludf.DUMMYFUNCTION("GOOGLETRANSLATE(K639,""en"", ""pt-br"")"),"Um jovem pobre e apaixonado se apaixona por uma jovem rica, dando a ela uma sensação de liberdade, mas logo se separou por causa de suas diferenças sociais.")</f>
        <v>Um jovem pobre e apaixonado se apaixona por uma jovem rica, dando a ela uma sensação de liberdade, mas logo se separou por causa de suas diferenças sociais.</v>
      </c>
      <c r="M639" s="1">
        <v>53.0</v>
      </c>
      <c r="N639" s="1" t="s">
        <v>3869</v>
      </c>
      <c r="O639" s="1" t="s">
        <v>2347</v>
      </c>
      <c r="P639" s="1" t="s">
        <v>1273</v>
      </c>
      <c r="Q639" s="1" t="s">
        <v>1518</v>
      </c>
      <c r="R639" s="1" t="s">
        <v>2175</v>
      </c>
      <c r="S639" s="1">
        <v>520284.0</v>
      </c>
      <c r="T639" s="7" t="str">
        <f>VLOOKUP(A639,Posters!A639:B1638,2)</f>
        <v>https://m.media-amazon.com/images/M/MV5BMTk3OTM5Njg5M15BMl5BanBnXkFtZTYwMzA0ODI3._V1_UX67_CR0,0,67,98_AL_.jpg</v>
      </c>
      <c r="U639" s="8">
        <f>'Inflation Adjusted Gross'!F639</f>
        <v>112829979</v>
      </c>
      <c r="V639" s="5">
        <f t="shared" si="1"/>
        <v>2020</v>
      </c>
    </row>
    <row r="640">
      <c r="A640" s="1">
        <v>639.0</v>
      </c>
      <c r="B640" s="1" t="s">
        <v>3870</v>
      </c>
      <c r="C640" s="6">
        <f>Gross_cleaning!E640</f>
        <v>16756372</v>
      </c>
      <c r="D640" s="1">
        <v>2004.0</v>
      </c>
      <c r="E640" s="1" t="s">
        <v>52</v>
      </c>
      <c r="F640" s="1" t="str">
        <f>VLOOKUP(Filmes_raw!E640,Rating_systems!$A$2:$C$29,3,FALSE)</f>
        <v>Criança</v>
      </c>
      <c r="G640" s="2">
        <f>Gross_cleaning!F640</f>
        <v>126</v>
      </c>
      <c r="H640" s="1" t="s">
        <v>428</v>
      </c>
      <c r="I640" s="1" t="s">
        <v>858</v>
      </c>
      <c r="J640" s="1">
        <v>7.8</v>
      </c>
      <c r="K640" s="1" t="s">
        <v>3871</v>
      </c>
      <c r="L640" s="1" t="str">
        <f>IFERROR(__xludf.DUMMYFUNCTION("GOOGLETRANSLATE(K640,""en"", ""pt-br"")"),"A dramatização de uma viagem de estrada de motocicleta Che Guevara continuou em sua juventude que lhe mostrou sua vida.")</f>
        <v>A dramatização de uma viagem de estrada de motocicleta Che Guevara continuou em sua juventude que lhe mostrou sua vida.</v>
      </c>
      <c r="M640" s="1">
        <v>75.0</v>
      </c>
      <c r="N640" s="1" t="s">
        <v>2513</v>
      </c>
      <c r="O640" s="1" t="s">
        <v>492</v>
      </c>
      <c r="P640" s="1" t="s">
        <v>3872</v>
      </c>
      <c r="Q640" s="1" t="s">
        <v>3873</v>
      </c>
      <c r="R640" s="1" t="s">
        <v>3874</v>
      </c>
      <c r="S640" s="1">
        <v>96703.0</v>
      </c>
      <c r="T640" s="7" t="str">
        <f>VLOOKUP(A640,Posters!A640:B1639,2)</f>
        <v>https://m.media-amazon.com/images/M/MV5BOTNmZTgyMzAtMTUwZC00NjAwLTk4MjktODllYTY5YTUwN2YwXkEyXkFqcGdeQXVyMTQxNzMzNDI@._V1_UX67_CR0,0,67,98_AL_.jpg</v>
      </c>
      <c r="U640" s="8">
        <f>'Inflation Adjusted Gross'!F640</f>
        <v>23340486</v>
      </c>
      <c r="V640" s="5">
        <f t="shared" si="1"/>
        <v>2020</v>
      </c>
    </row>
    <row r="641">
      <c r="A641" s="1">
        <v>640.0</v>
      </c>
      <c r="B641" s="1" t="s">
        <v>3875</v>
      </c>
      <c r="C641" s="6">
        <f>Gross_cleaning!E641</f>
        <v>181655</v>
      </c>
      <c r="D641" s="1">
        <v>2002.0</v>
      </c>
      <c r="E641" s="1" t="s">
        <v>212</v>
      </c>
      <c r="F641" s="1" t="str">
        <f>VLOOKUP(Filmes_raw!E641,Rating_systems!$A$2:$C$29,3,FALSE)</f>
        <v>Adulto</v>
      </c>
      <c r="G641" s="2">
        <f>Gross_cleaning!F641</f>
        <v>109</v>
      </c>
      <c r="H641" s="1" t="s">
        <v>396</v>
      </c>
      <c r="I641" s="1" t="s">
        <v>29</v>
      </c>
      <c r="J641" s="1">
        <v>7.8</v>
      </c>
      <c r="K641" s="1" t="s">
        <v>3876</v>
      </c>
      <c r="L641" s="1" t="str">
        <f>IFERROR(__xludf.DUMMYFUNCTION("GOOGLETRANSLATE(K641,""en"", ""pt-br"")"),"Lilja de dezesseis anos e sua única amiga, o menino Volodja, moram na Rússia, fantasiando sobre uma vida melhor. Um dia, Lilja se apaixona por Andrej, que vai a Suécia, e convida Lilja a vir e começar uma nova vida.")</f>
        <v>Lilja de dezesseis anos e sua única amiga, o menino Volodja, moram na Rússia, fantasiando sobre uma vida melhor. Um dia, Lilja se apaixona por Andrej, que vai a Suécia, e convida Lilja a vir e começar uma nova vida.</v>
      </c>
      <c r="M641" s="1">
        <v>82.0</v>
      </c>
      <c r="N641" s="1" t="s">
        <v>3877</v>
      </c>
      <c r="O641" s="1" t="s">
        <v>3878</v>
      </c>
      <c r="P641" s="1" t="s">
        <v>3879</v>
      </c>
      <c r="Q641" s="1" t="s">
        <v>3880</v>
      </c>
      <c r="R641" s="1" t="s">
        <v>3881</v>
      </c>
      <c r="S641" s="1">
        <v>42673.0</v>
      </c>
      <c r="T641" s="7" t="str">
        <f>VLOOKUP(A641,Posters!A641:B1640,2)</f>
        <v>https://m.media-amazon.com/images/M/MV5BM2YwNTQwM2ItZTA2Ni00NGY1LThjY2QtNzgyZTBhMTM0MWI4XkEyXkFqcGdeQXVyNzQxNDExNTU@._V1_UY98_CR0,0,67,98_AL_.jpg</v>
      </c>
      <c r="U641" s="8">
        <f>'Inflation Adjusted Gross'!F641</f>
        <v>264606</v>
      </c>
      <c r="V641" s="5">
        <f t="shared" si="1"/>
        <v>2020</v>
      </c>
    </row>
    <row r="642">
      <c r="A642" s="1">
        <v>641.0</v>
      </c>
      <c r="B642" s="1" t="s">
        <v>3882</v>
      </c>
      <c r="C642" s="6">
        <f>Gross_cleaning!E642</f>
        <v>7002255</v>
      </c>
      <c r="D642" s="1">
        <v>2003.0</v>
      </c>
      <c r="E642" s="1" t="s">
        <v>161</v>
      </c>
      <c r="F642" s="1" t="str">
        <f>VLOOKUP(Filmes_raw!E642,Rating_systems!$A$2:$C$29,3,FALSE)</f>
        <v>Criança</v>
      </c>
      <c r="G642" s="2">
        <f>Gross_cleaning!F642</f>
        <v>80</v>
      </c>
      <c r="H642" s="1" t="s">
        <v>1639</v>
      </c>
      <c r="I642" s="1" t="s">
        <v>1589</v>
      </c>
      <c r="J642" s="1">
        <v>7.8</v>
      </c>
      <c r="K642" s="1" t="s">
        <v>3883</v>
      </c>
      <c r="L642" s="1" t="str">
        <f>IFERROR(__xludf.DUMMYFUNCTION("GOOGLETRANSLATE(K642,""en"", ""pt-br"")"),"Quando seu neto é seqüestrado durante o Tour de France, Madame Souza e sua amada Pooch Bruno se juntam às irmãs Belleville - uma equipe de canção e dança envelhecida desde os dias de Fred Astaire - para resgatá-lo.")</f>
        <v>Quando seu neto é seqüestrado durante o Tour de France, Madame Souza e sua amada Pooch Bruno se juntam às irmãs Belleville - uma equipe de canção e dança envelhecida desde os dias de Fred Astaire - para resgatá-lo.</v>
      </c>
      <c r="M642" s="1">
        <v>91.0</v>
      </c>
      <c r="N642" s="1" t="s">
        <v>3884</v>
      </c>
      <c r="O642" s="1" t="s">
        <v>3885</v>
      </c>
      <c r="P642" s="1" t="s">
        <v>3886</v>
      </c>
      <c r="Q642" s="1" t="s">
        <v>3887</v>
      </c>
      <c r="R642" s="1" t="s">
        <v>3888</v>
      </c>
      <c r="S642" s="1">
        <v>50622.0</v>
      </c>
      <c r="T642" s="7" t="str">
        <f>VLOOKUP(A642,Posters!A642:B1641,2)</f>
        <v>https://m.media-amazon.com/images/M/MV5BNGRiOTIwNTAtYWM2Yy00Yzc4LTkyZjEtNTM3NTIyZTNhMzg1XkEyXkFqcGdeQXVyODIyOTEyMzY@._V1_UY98_CR1,0,67,98_AL_.jpg</v>
      </c>
      <c r="U642" s="8">
        <f>'Inflation Adjusted Gross'!F642</f>
        <v>9941545</v>
      </c>
      <c r="V642" s="5">
        <f t="shared" si="1"/>
        <v>2020</v>
      </c>
    </row>
    <row r="643">
      <c r="A643" s="1">
        <v>642.0</v>
      </c>
      <c r="B643" s="1" t="s">
        <v>3889</v>
      </c>
      <c r="C643" s="6">
        <f>Gross_cleaning!E643</f>
        <v>124071</v>
      </c>
      <c r="D643" s="1">
        <v>2000.0</v>
      </c>
      <c r="E643" s="1">
        <v>16.0</v>
      </c>
      <c r="F643" s="1" t="str">
        <f>VLOOKUP(Filmes_raw!E643,Rating_systems!$A$2:$C$29,3,FALSE)</f>
        <v>Adolescente</v>
      </c>
      <c r="G643" s="2">
        <f>Gross_cleaning!F643</f>
        <v>110</v>
      </c>
      <c r="H643" s="1" t="s">
        <v>343</v>
      </c>
      <c r="I643" s="1" t="s">
        <v>1283</v>
      </c>
      <c r="J643" s="1">
        <v>7.8</v>
      </c>
      <c r="K643" s="1" t="s">
        <v>3890</v>
      </c>
      <c r="L643" s="1" t="str">
        <f>IFERROR(__xludf.DUMMYFUNCTION("GOOGLETRANSLATE(K643,""en"", ""pt-br"")"),"Depois de um incidente de tiro na fronteira norte / sul / DMZ deixa 2 soldados norte-coreanos mortos, uma equipe neutra suíça / sueca investiga, o que realmente aconteceu.")</f>
        <v>Depois de um incidente de tiro na fronteira norte / sul / DMZ deixa 2 soldados norte-coreanos mortos, uma equipe neutra suíça / sueca investiga, o que realmente aconteceu.</v>
      </c>
      <c r="M643" s="1">
        <v>58.0</v>
      </c>
      <c r="N643" s="1" t="s">
        <v>537</v>
      </c>
      <c r="O643" s="1" t="s">
        <v>3891</v>
      </c>
      <c r="P643" s="1" t="s">
        <v>3695</v>
      </c>
      <c r="Q643" s="1" t="s">
        <v>174</v>
      </c>
      <c r="R643" s="1" t="s">
        <v>3892</v>
      </c>
      <c r="S643" s="1">
        <v>26518.0</v>
      </c>
      <c r="T643" s="7" t="str">
        <f>VLOOKUP(A643,Posters!A643:B1642,2)</f>
        <v>https://m.media-amazon.com/images/M/MV5BMTI1NDA4NTMyN15BMl5BanBnXkFtZTYwNTA2ODc5._V1_UY98_CR1,0,67,98_AL_.jpg</v>
      </c>
      <c r="U643" s="8">
        <f>'Inflation Adjusted Gross'!F643</f>
        <v>189613</v>
      </c>
      <c r="V643" s="5">
        <f t="shared" si="1"/>
        <v>2020</v>
      </c>
    </row>
    <row r="644">
      <c r="A644" s="1">
        <v>643.0</v>
      </c>
      <c r="B644" s="1" t="s">
        <v>3893</v>
      </c>
      <c r="C644" s="6">
        <f>Gross_cleaning!E644</f>
        <v>54234062</v>
      </c>
      <c r="D644" s="1">
        <v>2002.0</v>
      </c>
      <c r="E644" s="1" t="s">
        <v>161</v>
      </c>
      <c r="F644" s="1" t="str">
        <f>VLOOKUP(Filmes_raw!E644,Rating_systems!$A$2:$C$29,3,FALSE)</f>
        <v>Criança</v>
      </c>
      <c r="G644" s="2">
        <f>Gross_cleaning!F644</f>
        <v>131</v>
      </c>
      <c r="H644" s="1" t="s">
        <v>686</v>
      </c>
      <c r="I644" s="1" t="s">
        <v>62</v>
      </c>
      <c r="J644" s="1">
        <v>7.8</v>
      </c>
      <c r="K644" s="1" t="s">
        <v>3894</v>
      </c>
      <c r="L644" s="1" t="str">
        <f>IFERROR(__xludf.DUMMYFUNCTION("GOOGLETRANSLATE(K644,""en"", ""pt-br"")"),"Um jovem, falsamente preso por seu ""amigo"" ciumento, escapa e usa um tesouro escondido para exigir sua vingança.")</f>
        <v>Um jovem, falsamente preso por seu "amigo" ciumento, escapa e usa um tesouro escondido para exigir sua vingança.</v>
      </c>
      <c r="M644" s="1">
        <v>61.0</v>
      </c>
      <c r="N644" s="1" t="s">
        <v>3895</v>
      </c>
      <c r="O644" s="1" t="s">
        <v>3896</v>
      </c>
      <c r="P644" s="1" t="s">
        <v>546</v>
      </c>
      <c r="Q644" s="1" t="s">
        <v>3897</v>
      </c>
      <c r="R644" s="1" t="s">
        <v>3898</v>
      </c>
      <c r="S644" s="1">
        <v>129022.0</v>
      </c>
      <c r="T644" s="7" t="str">
        <f>VLOOKUP(A644,Posters!A644:B1643,2)</f>
        <v>https://m.media-amazon.com/images/M/MV5BMDM0ZWRjZDgtZWI0MS00ZTIzLTg4MWYtZjU5MDEyMDU0ODBjXkEyXkFqcGdeQXVyMTQxNzMzNDI@._V1_UX67_CR0,0,67,98_AL_.jpg</v>
      </c>
      <c r="U644" s="8">
        <f>'Inflation Adjusted Gross'!F644</f>
        <v>78999521</v>
      </c>
      <c r="V644" s="5">
        <f t="shared" si="1"/>
        <v>2020</v>
      </c>
    </row>
    <row r="645">
      <c r="A645" s="1">
        <v>644.0</v>
      </c>
      <c r="B645" s="1" t="s">
        <v>3899</v>
      </c>
      <c r="C645" s="6">
        <f>Gross_cleaning!E645</f>
        <v>2892011</v>
      </c>
      <c r="D645" s="1">
        <v>2001.0</v>
      </c>
      <c r="E645" s="1" t="s">
        <v>212</v>
      </c>
      <c r="F645" s="1" t="str">
        <f>VLOOKUP(Filmes_raw!E645,Rating_systems!$A$2:$C$29,3,FALSE)</f>
        <v>Adulto</v>
      </c>
      <c r="G645" s="2">
        <f>Gross_cleaning!F645</f>
        <v>99</v>
      </c>
      <c r="H645" s="1" t="s">
        <v>778</v>
      </c>
      <c r="I645" s="1" t="s">
        <v>450</v>
      </c>
      <c r="J645" s="1">
        <v>7.8</v>
      </c>
      <c r="K645" s="1" t="s">
        <v>3900</v>
      </c>
      <c r="L645" s="1" t="str">
        <f>IFERROR(__xludf.DUMMYFUNCTION("GOOGLETRANSLATE(K645,""en"", ""pt-br"")"),"Um homem embaralha através de um sonho que encontra várias pessoas e discutindo os significados e propósitos do universo.")</f>
        <v>Um homem embaralha através de um sonho que encontra várias pessoas e discutindo os significados e propósitos do universo.</v>
      </c>
      <c r="M645" s="1">
        <v>83.0</v>
      </c>
      <c r="N645" s="1" t="s">
        <v>1641</v>
      </c>
      <c r="O645" s="1" t="s">
        <v>1642</v>
      </c>
      <c r="P645" s="1" t="s">
        <v>3901</v>
      </c>
      <c r="Q645" s="1" t="s">
        <v>3902</v>
      </c>
      <c r="R645" s="1" t="s">
        <v>3903</v>
      </c>
      <c r="S645" s="1">
        <v>60684.0</v>
      </c>
      <c r="T645" s="7" t="str">
        <f>VLOOKUP(A645,Posters!A645:B1644,2)</f>
        <v>https://m.media-amazon.com/images/M/MV5BMWM0ZjY5ZjctODNkZi00Nzk0LWE1ODUtNGM4ZDUyMzUwMGYwXkEyXkFqcGdeQXVyMTQxNzMzNDI@._V1_UX67_CR0,0,67,98_AL_.jpg</v>
      </c>
      <c r="U645" s="8">
        <f>'Inflation Adjusted Gross'!F645</f>
        <v>4260737</v>
      </c>
      <c r="V645" s="5">
        <f t="shared" si="1"/>
        <v>2020</v>
      </c>
    </row>
    <row r="646">
      <c r="A646" s="1">
        <v>645.0</v>
      </c>
      <c r="B646" s="1" t="s">
        <v>3904</v>
      </c>
      <c r="C646" s="6">
        <f>Gross_cleaning!E646</f>
        <v>115654751</v>
      </c>
      <c r="D646" s="1">
        <v>2000.0</v>
      </c>
      <c r="E646" s="1" t="s">
        <v>52</v>
      </c>
      <c r="F646" s="1" t="str">
        <f>VLOOKUP(Filmes_raw!E646,Rating_systems!$A$2:$C$29,3,FALSE)</f>
        <v>Criança</v>
      </c>
      <c r="G646" s="2">
        <f>Gross_cleaning!F646</f>
        <v>113</v>
      </c>
      <c r="H646" s="1" t="s">
        <v>543</v>
      </c>
      <c r="I646" s="1" t="s">
        <v>1020</v>
      </c>
      <c r="J646" s="1">
        <v>7.8</v>
      </c>
      <c r="K646" s="1" t="s">
        <v>3905</v>
      </c>
      <c r="L646" s="1" t="str">
        <f>IFERROR(__xludf.DUMMYFUNCTION("GOOGLETRANSLATE(K646,""en"", ""pt-br"")"),"A verdadeira história de um treinador afro-americano recém-nomeado e sua equipe do ensino médio em sua primeira temporada como uma unidade racialmente integrada.")</f>
        <v>A verdadeira história de um treinador afro-americano recém-nomeado e sua equipe do ensino médio em sua primeira temporada como uma unidade racialmente integrada.</v>
      </c>
      <c r="M646" s="1">
        <v>48.0</v>
      </c>
      <c r="N646" s="1" t="s">
        <v>3906</v>
      </c>
      <c r="O646" s="1" t="s">
        <v>3799</v>
      </c>
      <c r="P646" s="1" t="s">
        <v>3907</v>
      </c>
      <c r="Q646" s="1" t="s">
        <v>3908</v>
      </c>
      <c r="R646" s="1" t="s">
        <v>3909</v>
      </c>
      <c r="S646" s="1">
        <v>198089.0</v>
      </c>
      <c r="T646" s="7" t="str">
        <f>VLOOKUP(A646,Posters!A646:B1645,2)</f>
        <v>https://m.media-amazon.com/images/M/MV5BYThkMzgxNjEtMzFiOC00MTI0LWI5MDItNDVmYjA4NzY5MDQ2L2ltYWdlL2ltYWdlXkEyXkFqcGdeQXVyMTQxNzMzNDI@._V1_UX67_CR0,0,67,98_AL_.jpg</v>
      </c>
      <c r="U646" s="8">
        <f>'Inflation Adjusted Gross'!F646</f>
        <v>176751018</v>
      </c>
      <c r="V646" s="5">
        <f t="shared" si="1"/>
        <v>2020</v>
      </c>
    </row>
    <row r="647">
      <c r="A647" s="1">
        <v>646.0</v>
      </c>
      <c r="B647" s="1" t="s">
        <v>3910</v>
      </c>
      <c r="C647" s="6">
        <f>Gross_cleaning!E647</f>
        <v>128078872</v>
      </c>
      <c r="D647" s="1">
        <v>2000.0</v>
      </c>
      <c r="E647" s="1" t="s">
        <v>37</v>
      </c>
      <c r="F647" s="1" t="str">
        <f>VLOOKUP(Filmes_raw!E647,Rating_systems!$A$2:$C$29,3,FALSE)</f>
        <v>Criança</v>
      </c>
      <c r="G647" s="2">
        <f>Gross_cleaning!F647</f>
        <v>120</v>
      </c>
      <c r="H647" s="1" t="s">
        <v>1546</v>
      </c>
      <c r="I647" s="1" t="s">
        <v>145</v>
      </c>
      <c r="J647" s="1">
        <v>7.8</v>
      </c>
      <c r="K647" s="1" t="s">
        <v>3911</v>
      </c>
      <c r="L647" s="1" t="str">
        <f>IFERROR(__xludf.DUMMYFUNCTION("GOOGLETRANSLATE(K647,""en"", ""pt-br"")"),"Um jovem guerreiro chinês rouba uma espada de um espadachim famoso e depois escapa em um mundo de aventura romântica com um homem misterioso na fronteira da nação.")</f>
        <v>Um jovem guerreiro chinês rouba uma espada de um espadachim famoso e depois escapa em um mundo de aventura romântica com um homem misterioso na fronteira da nação.</v>
      </c>
      <c r="M647" s="1">
        <v>94.0</v>
      </c>
      <c r="N647" s="1" t="s">
        <v>3130</v>
      </c>
      <c r="O647" s="1" t="s">
        <v>3912</v>
      </c>
      <c r="P647" s="1" t="s">
        <v>3913</v>
      </c>
      <c r="Q647" s="1" t="s">
        <v>3181</v>
      </c>
      <c r="R647" s="1" t="s">
        <v>3914</v>
      </c>
      <c r="S647" s="1">
        <v>253228.0</v>
      </c>
      <c r="T647" s="7" t="str">
        <f>VLOOKUP(A647,Posters!A647:B1646,2)</f>
        <v>https://m.media-amazon.com/images/M/MV5BNDdhMzMxOTctNDMyNS00NTZmLTljNWEtNTc4MDBmZTYxY2NmXkEyXkFqcGdeQXVyNjU0OTQ0OTY@._V1_UX67_CR0,0,67,98_AL_.jpg</v>
      </c>
      <c r="U647" s="8">
        <f>'Inflation Adjusted Gross'!F647</f>
        <v>195738357</v>
      </c>
      <c r="V647" s="5">
        <f t="shared" si="1"/>
        <v>2020</v>
      </c>
    </row>
    <row r="648">
      <c r="A648" s="1">
        <v>647.0</v>
      </c>
      <c r="B648" s="1" t="s">
        <v>3915</v>
      </c>
      <c r="C648" s="6">
        <f>Gross_cleaning!E648</f>
        <v>8264530</v>
      </c>
      <c r="D648" s="1">
        <v>1999.0</v>
      </c>
      <c r="E648" s="1" t="s">
        <v>212</v>
      </c>
      <c r="F648" s="1" t="str">
        <f>VLOOKUP(Filmes_raw!E648,Rating_systems!$A$2:$C$29,3,FALSE)</f>
        <v>Adulto</v>
      </c>
      <c r="G648" s="2">
        <f>Gross_cleaning!F648</f>
        <v>101</v>
      </c>
      <c r="H648" s="1" t="s">
        <v>535</v>
      </c>
      <c r="I648" s="1" t="s">
        <v>20</v>
      </c>
      <c r="J648" s="1">
        <v>7.8</v>
      </c>
      <c r="K648" s="1" t="s">
        <v>3916</v>
      </c>
      <c r="L648" s="1" t="str">
        <f>IFERROR(__xludf.DUMMYFUNCTION("GOOGLETRANSLATE(K648,""en"", ""pt-br"")"),"O jovem Esteban quer se tornar um escritor e também descobrir a identidade de sua segunda mãe, uma mulher trans, cuidadosamente escondida por sua mãe Manuela.")</f>
        <v>O jovem Esteban quer se tornar um escritor e também descobrir a identidade de sua segunda mãe, uma mulher trans, cuidadosamente escondida por sua mãe Manuela.</v>
      </c>
      <c r="M648" s="1">
        <v>87.0</v>
      </c>
      <c r="N648" s="1" t="s">
        <v>3184</v>
      </c>
      <c r="O648" s="1" t="s">
        <v>3917</v>
      </c>
      <c r="P648" s="1" t="s">
        <v>3918</v>
      </c>
      <c r="Q648" s="1" t="s">
        <v>3919</v>
      </c>
      <c r="R648" s="1" t="s">
        <v>3920</v>
      </c>
      <c r="S648" s="1">
        <v>89058.0</v>
      </c>
      <c r="T648" s="7" t="str">
        <f>VLOOKUP(A648,Posters!A648:B1647,2)</f>
        <v>https://m.media-amazon.com/images/M/MV5BZTk2ZTMzMmUtZjUyNi00YzMyLWE3NTAtNDNjNzU3MGQ1YTFjXkEyXkFqcGdeQXVyMTA0MjU0Ng@@._V1_UY98_CR3,0,67,98_AL_.jpg</v>
      </c>
      <c r="U648" s="8">
        <f>'Inflation Adjusted Gross'!F648</f>
        <v>12976318</v>
      </c>
      <c r="V648" s="5">
        <f t="shared" si="1"/>
        <v>2020</v>
      </c>
    </row>
    <row r="649">
      <c r="A649" s="1">
        <v>648.0</v>
      </c>
      <c r="B649" s="1" t="s">
        <v>3921</v>
      </c>
      <c r="C649" s="6">
        <f>Gross_cleaning!E649</f>
        <v>233632142</v>
      </c>
      <c r="D649" s="1">
        <v>2000.0</v>
      </c>
      <c r="E649" s="1" t="s">
        <v>37</v>
      </c>
      <c r="F649" s="1" t="str">
        <f>VLOOKUP(Filmes_raw!E649,Rating_systems!$A$2:$C$29,3,FALSE)</f>
        <v>Criança</v>
      </c>
      <c r="G649" s="2">
        <f>Gross_cleaning!F649</f>
        <v>143</v>
      </c>
      <c r="H649" s="1" t="s">
        <v>596</v>
      </c>
      <c r="I649" s="1" t="s">
        <v>3922</v>
      </c>
      <c r="J649" s="1">
        <v>7.8</v>
      </c>
      <c r="K649" s="1" t="s">
        <v>3923</v>
      </c>
      <c r="L649" s="1" t="str">
        <f>IFERROR(__xludf.DUMMYFUNCTION("GOOGLETRANSLATE(K649,""en"", ""pt-br"")"),"Um executivo da FedEx passa por uma transformação física e emocional após aterrar uma ilha deserta.")</f>
        <v>Um executivo da FedEx passa por uma transformação física e emocional após aterrar uma ilha deserta.</v>
      </c>
      <c r="M649" s="1">
        <v>73.0</v>
      </c>
      <c r="N649" s="1" t="s">
        <v>109</v>
      </c>
      <c r="O649" s="1" t="s">
        <v>110</v>
      </c>
      <c r="P649" s="1" t="s">
        <v>3924</v>
      </c>
      <c r="Q649" s="1" t="s">
        <v>3925</v>
      </c>
      <c r="R649" s="1" t="s">
        <v>3926</v>
      </c>
      <c r="S649" s="1">
        <v>524235.0</v>
      </c>
      <c r="T649" s="7" t="str">
        <f>VLOOKUP(A649,Posters!A649:B1648,2)</f>
        <v>https://m.media-amazon.com/images/M/MV5BN2Y5ZTU4YjctMDRmMC00MTg4LWE1M2MtMjk4MzVmOTE4YjkzXkEyXkFqcGdeQXVyNTc1NTQxODI@._V1_UX67_CR0,0,67,98_AL_.jpg</v>
      </c>
      <c r="U649" s="8">
        <f>'Inflation Adjusted Gross'!F649</f>
        <v>357051643</v>
      </c>
      <c r="V649" s="5">
        <f t="shared" si="1"/>
        <v>2020</v>
      </c>
    </row>
    <row r="650">
      <c r="A650" s="1">
        <v>649.0</v>
      </c>
      <c r="B650" s="1" t="s">
        <v>3927</v>
      </c>
      <c r="C650" s="6">
        <f>Gross_cleaning!E650</f>
        <v>25812</v>
      </c>
      <c r="D650" s="1">
        <v>1999.0</v>
      </c>
      <c r="E650" s="1" t="s">
        <v>212</v>
      </c>
      <c r="F650" s="1" t="str">
        <f>VLOOKUP(Filmes_raw!E650,Rating_systems!$A$2:$C$29,3,FALSE)</f>
        <v>Adulto</v>
      </c>
      <c r="G650" s="2">
        <f>Gross_cleaning!F650</f>
        <v>108</v>
      </c>
      <c r="H650" s="1" t="s">
        <v>714</v>
      </c>
      <c r="I650" s="1" t="s">
        <v>2169</v>
      </c>
      <c r="J650" s="1">
        <v>7.8</v>
      </c>
      <c r="K650" s="1" t="s">
        <v>3928</v>
      </c>
      <c r="L650" s="1" t="str">
        <f>IFERROR(__xludf.DUMMYFUNCTION("GOOGLETRANSLATE(K650,""en"", ""pt-br"")"),"Dois irmãos católicos irlandeses se tornam vigilantes e acabam com o submundo criminoso de Boston em nome de Deus.")</f>
        <v>Dois irmãos católicos irlandeses se tornam vigilantes e acabam com o submundo criminoso de Boston em nome de Deus.</v>
      </c>
      <c r="M650" s="1">
        <v>44.0</v>
      </c>
      <c r="N650" s="1" t="s">
        <v>3929</v>
      </c>
      <c r="O650" s="1" t="s">
        <v>1825</v>
      </c>
      <c r="P650" s="1" t="s">
        <v>3930</v>
      </c>
      <c r="Q650" s="1" t="s">
        <v>3931</v>
      </c>
      <c r="R650" s="1" t="s">
        <v>3932</v>
      </c>
      <c r="S650" s="1">
        <v>227143.0</v>
      </c>
      <c r="T650" s="7" t="str">
        <f>VLOOKUP(A650,Posters!A650:B1649,2)</f>
        <v>https://m.media-amazon.com/images/M/MV5BYzVmMTdjOTYtOTJkYS00ZTg2LWExNTgtNzA1N2Y0MDgwYWFhXkEyXkFqcGdeQXVyMTQxNzMzNDI@._V1_UX67_CR0,0,67,98_AL_.jpg</v>
      </c>
      <c r="U650" s="8">
        <f>'Inflation Adjusted Gross'!F650</f>
        <v>40528</v>
      </c>
      <c r="V650" s="5">
        <f t="shared" si="1"/>
        <v>2020</v>
      </c>
    </row>
    <row r="651">
      <c r="A651" s="1">
        <v>650.0</v>
      </c>
      <c r="B651" s="1" t="s">
        <v>3933</v>
      </c>
      <c r="C651" s="6">
        <f>Gross_cleaning!E651</f>
        <v>28965197</v>
      </c>
      <c r="D651" s="1">
        <v>1999.0</v>
      </c>
      <c r="E651" s="1" t="s">
        <v>37</v>
      </c>
      <c r="F651" s="1" t="str">
        <f>VLOOKUP(Filmes_raw!E651,Rating_systems!$A$2:$C$29,3,FALSE)</f>
        <v>Criança</v>
      </c>
      <c r="G651" s="2">
        <f>Gross_cleaning!F651</f>
        <v>157</v>
      </c>
      <c r="H651" s="1" t="s">
        <v>3025</v>
      </c>
      <c r="I651" s="1" t="s">
        <v>2233</v>
      </c>
      <c r="J651" s="1">
        <v>7.8</v>
      </c>
      <c r="K651" s="1" t="s">
        <v>3934</v>
      </c>
      <c r="L651" s="1" t="str">
        <f>IFERROR(__xludf.DUMMYFUNCTION("GOOGLETRANSLATE(K651,""en"", ""pt-br"")"),"Um químico de pesquisa vem sob ataque pessoal e profissional quando ele decide aparecer em uma exposição de 60 minutos no Big Tabacco.")</f>
        <v>Um químico de pesquisa vem sob ataque pessoal e profissional quando ele decide aparecer em uma exposição de 60 minutos no Big Tabacco.</v>
      </c>
      <c r="M651" s="1">
        <v>84.0</v>
      </c>
      <c r="N651" s="1" t="s">
        <v>1176</v>
      </c>
      <c r="O651" s="1" t="s">
        <v>325</v>
      </c>
      <c r="P651" s="1" t="s">
        <v>33</v>
      </c>
      <c r="Q651" s="1" t="s">
        <v>1152</v>
      </c>
      <c r="R651" s="1" t="s">
        <v>3935</v>
      </c>
      <c r="S651" s="1">
        <v>159886.0</v>
      </c>
      <c r="T651" s="7" t="str">
        <f>VLOOKUP(A651,Posters!A651:B1650,2)</f>
        <v>https://m.media-amazon.com/images/M/MV5BODg0YjAzNDQtOGFkMi00Yzk2LTg1NzYtYTNjY2UwZTM2ZDdkL2ltYWdlXkEyXkFqcGdeQXVyMTQxNzMzNDI@._V1_UY98_CR0,0,67,98_AL_.jpg</v>
      </c>
      <c r="U651" s="8">
        <f>'Inflation Adjusted Gross'!F651</f>
        <v>45478885</v>
      </c>
      <c r="V651" s="5">
        <f t="shared" si="1"/>
        <v>2020</v>
      </c>
    </row>
    <row r="652">
      <c r="A652" s="1">
        <v>651.0</v>
      </c>
      <c r="B652" s="1" t="s">
        <v>3936</v>
      </c>
      <c r="C652" s="6">
        <f>Gross_cleaning!E652</f>
        <v>32481825</v>
      </c>
      <c r="D652" s="1">
        <v>1999.0</v>
      </c>
      <c r="E652" s="1" t="s">
        <v>270</v>
      </c>
      <c r="F652" s="1" t="str">
        <f>VLOOKUP(Filmes_raw!E652,Rating_systems!$A$2:$C$29,3,FALSE)</f>
        <v>Criança</v>
      </c>
      <c r="G652" s="2">
        <f>Gross_cleaning!F652</f>
        <v>108</v>
      </c>
      <c r="H652" s="1" t="s">
        <v>714</v>
      </c>
      <c r="I652" s="1" t="s">
        <v>1580</v>
      </c>
      <c r="J652" s="1">
        <v>7.8</v>
      </c>
      <c r="K652" s="1" t="s">
        <v>3937</v>
      </c>
      <c r="L652" s="1" t="str">
        <f>IFERROR(__xludf.DUMMYFUNCTION("GOOGLETRANSLATE(K652,""en"", ""pt-br"")"),"A verdadeira história de Homer Hickam, filho de um mineiro de carvão que foi inspirado no primeiro lançamento de Sputnik a assumir o Rocketry contra os desejos de seu pai.")</f>
        <v>A verdadeira história de Homer Hickam, filho de um mineiro de carvão que foi inspirado no primeiro lançamento de Sputnik a assumir o Rocketry contra os desejos de seu pai.</v>
      </c>
      <c r="M652" s="1">
        <v>71.0</v>
      </c>
      <c r="N652" s="1" t="s">
        <v>3938</v>
      </c>
      <c r="O652" s="1" t="s">
        <v>1542</v>
      </c>
      <c r="P652" s="1" t="s">
        <v>3205</v>
      </c>
      <c r="Q652" s="1" t="s">
        <v>1785</v>
      </c>
      <c r="R652" s="1" t="s">
        <v>3939</v>
      </c>
      <c r="S652" s="1">
        <v>82855.0</v>
      </c>
      <c r="T652" s="7" t="str">
        <f>VLOOKUP(A652,Posters!A652:B1651,2)</f>
        <v>https://m.media-amazon.com/images/M/MV5BZmIzMjE0M2YtNzliZi00YWNmLTgyNDItZDhjNWVhY2Q2ODk0XkEyXkFqcGdeQXVyNTAyODkwOQ@@._V1_UX67_CR0,0,67,98_AL_.jpg</v>
      </c>
      <c r="U652" s="8">
        <f>'Inflation Adjusted Gross'!F652</f>
        <v>51000419</v>
      </c>
      <c r="V652" s="5">
        <f t="shared" si="1"/>
        <v>2020</v>
      </c>
    </row>
    <row r="653">
      <c r="A653" s="1">
        <v>652.0</v>
      </c>
      <c r="B653" s="1" t="s">
        <v>3940</v>
      </c>
      <c r="C653" s="6">
        <f>Gross_cleaning!E653</f>
        <v>267665011</v>
      </c>
      <c r="D653" s="1">
        <v>2001.0</v>
      </c>
      <c r="E653" s="1" t="s">
        <v>52</v>
      </c>
      <c r="F653" s="1" t="str">
        <f>VLOOKUP(Filmes_raw!E653,Rating_systems!$A$2:$C$29,3,FALSE)</f>
        <v>Criança</v>
      </c>
      <c r="G653" s="2">
        <f>Gross_cleaning!F653</f>
        <v>90</v>
      </c>
      <c r="H653" s="1" t="s">
        <v>2586</v>
      </c>
      <c r="I653" s="1" t="s">
        <v>765</v>
      </c>
      <c r="J653" s="1">
        <v>7.8</v>
      </c>
      <c r="K653" s="1" t="s">
        <v>3941</v>
      </c>
      <c r="L653" s="1" t="str">
        <f>IFERROR(__xludf.DUMMYFUNCTION("GOOGLETRANSLATE(K653,""en"", ""pt-br"")"),"Uma média senhor exilado exilado criaturas para o pântano de um ogro mal-humorado, que deve seguir uma missão e resgatar uma princesa para o Senhor, a fim de recuperar sua terra.")</f>
        <v>Uma média senhor exilado exilado criaturas para o pântano de um ogro mal-humorado, que deve seguir uma missão e resgatar uma princesa para o Senhor, a fim de recuperar sua terra.</v>
      </c>
      <c r="M653" s="1">
        <v>84.0</v>
      </c>
      <c r="N653" s="1" t="s">
        <v>3942</v>
      </c>
      <c r="O653" s="1" t="s">
        <v>3943</v>
      </c>
      <c r="P653" s="1" t="s">
        <v>3944</v>
      </c>
      <c r="Q653" s="1" t="s">
        <v>3945</v>
      </c>
      <c r="R653" s="1" t="s">
        <v>3946</v>
      </c>
      <c r="S653" s="1">
        <v>613941.0</v>
      </c>
      <c r="T653" s="7" t="str">
        <f>VLOOKUP(A653,Posters!A653:B1652,2)</f>
        <v>https://m.media-amazon.com/images/M/MV5BOGZhM2FhNTItODAzNi00YjA0LWEyN2UtNjJlYWQzYzU1MDg5L2ltYWdlL2ltYWdlXkEyXkFqcGdeQXVyMTQxNzMzNDI@._V1_UX67_CR0,0,67,98_AL_.jpg</v>
      </c>
      <c r="U653" s="8">
        <f>'Inflation Adjusted Gross'!F653</f>
        <v>394345007</v>
      </c>
      <c r="V653" s="5">
        <f t="shared" si="1"/>
        <v>2020</v>
      </c>
    </row>
    <row r="654">
      <c r="A654" s="1">
        <v>653.0</v>
      </c>
      <c r="B654" s="1" t="s">
        <v>3947</v>
      </c>
      <c r="C654" s="6">
        <f>Gross_cleaning!E654</f>
        <v>659325379</v>
      </c>
      <c r="D654" s="1">
        <v>1997.0</v>
      </c>
      <c r="E654" s="1" t="s">
        <v>37</v>
      </c>
      <c r="F654" s="1" t="str">
        <f>VLOOKUP(Filmes_raw!E654,Rating_systems!$A$2:$C$29,3,FALSE)</f>
        <v>Criança</v>
      </c>
      <c r="G654" s="2">
        <f>Gross_cleaning!F654</f>
        <v>194</v>
      </c>
      <c r="H654" s="1" t="s">
        <v>3948</v>
      </c>
      <c r="I654" s="1" t="s">
        <v>107</v>
      </c>
      <c r="J654" s="1">
        <v>7.8</v>
      </c>
      <c r="K654" s="1" t="s">
        <v>3949</v>
      </c>
      <c r="L654" s="1" t="str">
        <f>IFERROR(__xludf.DUMMYFUNCTION("GOOGLETRANSLATE(K654,""en"", ""pt-br"")"),"Um aristocrata de dezessete anos se apaixona por um artista gentil, mas pobre a bordo dos luxuosos e malfadados r.m.s. Titânico.")</f>
        <v>Um aristocrata de dezessete anos se apaixona por um artista gentil, mas pobre a bordo dos luxuosos e malfadados r.m.s. Titânico.</v>
      </c>
      <c r="M654" s="1">
        <v>75.0</v>
      </c>
      <c r="N654" s="1" t="s">
        <v>362</v>
      </c>
      <c r="O654" s="1" t="s">
        <v>90</v>
      </c>
      <c r="P654" s="1" t="s">
        <v>719</v>
      </c>
      <c r="Q654" s="1" t="s">
        <v>3950</v>
      </c>
      <c r="R654" s="1" t="s">
        <v>3951</v>
      </c>
      <c r="S654" s="1">
        <v>1046089.0</v>
      </c>
      <c r="T654" s="7" t="str">
        <f>VLOOKUP(A654,Posters!A654:B1653,2)</f>
        <v>https://m.media-amazon.com/images/M/MV5BMDdmZGU3NDQtY2E5My00ZTliLWIzOTUtMTY4ZGI1YjdiNjk3XkEyXkFqcGdeQXVyNTA4NzY1MzY@._V1_UX67_CR0,0,67,98_AL_.jpg</v>
      </c>
      <c r="U654" s="8">
        <f>'Inflation Adjusted Gross'!F654</f>
        <v>1069056114</v>
      </c>
      <c r="V654" s="5">
        <f t="shared" si="1"/>
        <v>2020</v>
      </c>
    </row>
    <row r="655">
      <c r="A655" s="1">
        <v>654.0</v>
      </c>
      <c r="B655" s="1" t="s">
        <v>3952</v>
      </c>
      <c r="C655" s="6">
        <f>Gross_cleaning!E655</f>
        <v>233986</v>
      </c>
      <c r="D655" s="1">
        <v>1997.0</v>
      </c>
      <c r="E655" s="1">
        <v>16.0</v>
      </c>
      <c r="F655" s="1" t="str">
        <f>VLOOKUP(Filmes_raw!E655,Rating_systems!$A$2:$C$29,3,FALSE)</f>
        <v>Adolescente</v>
      </c>
      <c r="G655" s="2">
        <f>Gross_cleaning!F655</f>
        <v>103</v>
      </c>
      <c r="H655" s="1" t="s">
        <v>885</v>
      </c>
      <c r="I655" s="1" t="s">
        <v>2372</v>
      </c>
      <c r="J655" s="1">
        <v>7.8</v>
      </c>
      <c r="K655" s="1" t="s">
        <v>3953</v>
      </c>
      <c r="L655" s="1" t="str">
        <f>IFERROR(__xludf.DUMMYFUNCTION("GOOGLETRANSLATE(K655,""en"", ""pt-br"")"),"Nishi deixa a polícia diante de dificuldades pessoais e profissionais angustiantes. Espiralando em depressão, ele toma decisões questionáveis.")</f>
        <v>Nishi deixa a polícia diante de dificuldades pessoais e profissionais angustiantes. Espiralando em depressão, ele toma decisões questionáveis.</v>
      </c>
      <c r="N655" s="1" t="s">
        <v>3954</v>
      </c>
      <c r="O655" s="1" t="s">
        <v>3954</v>
      </c>
      <c r="P655" s="1" t="s">
        <v>3955</v>
      </c>
      <c r="Q655" s="1" t="s">
        <v>3956</v>
      </c>
      <c r="R655" s="1" t="s">
        <v>3957</v>
      </c>
      <c r="S655" s="1">
        <v>27712.0</v>
      </c>
      <c r="T655" s="7" t="str">
        <f>VLOOKUP(A655,Posters!A655:B1654,2)</f>
        <v>https://m.media-amazon.com/images/M/MV5BODk4MzE5NjgtN2ZhOS00YTdkLTg0YzktMmE1MTkxZmMyMWI2L2ltYWdlXkEyXkFqcGdeQXVyNTAyODkwOQ@@._V1_UX67_CR0,0,67,98_AL_.jpg</v>
      </c>
      <c r="U655" s="8">
        <f>'Inflation Adjusted Gross'!F655</f>
        <v>379394</v>
      </c>
      <c r="V655" s="5">
        <f t="shared" si="1"/>
        <v>2020</v>
      </c>
    </row>
    <row r="656">
      <c r="A656" s="1">
        <v>655.0</v>
      </c>
      <c r="B656" s="1" t="s">
        <v>3958</v>
      </c>
      <c r="C656" s="6">
        <f>Gross_cleaning!E656</f>
        <v>12339633</v>
      </c>
      <c r="D656" s="1">
        <v>1997.0</v>
      </c>
      <c r="E656" s="1" t="s">
        <v>37</v>
      </c>
      <c r="F656" s="1" t="str">
        <f>VLOOKUP(Filmes_raw!E656,Rating_systems!$A$2:$C$29,3,FALSE)</f>
        <v>Criança</v>
      </c>
      <c r="G656" s="2">
        <f>Gross_cleaning!F656</f>
        <v>106</v>
      </c>
      <c r="H656" s="1" t="s">
        <v>286</v>
      </c>
      <c r="I656" s="1" t="s">
        <v>3959</v>
      </c>
      <c r="J656" s="1">
        <v>7.8</v>
      </c>
      <c r="K656" s="1" t="s">
        <v>3960</v>
      </c>
      <c r="L656" s="1" t="str">
        <f>IFERROR(__xludf.DUMMYFUNCTION("GOOGLETRANSLATE(K656,""en"", ""pt-br"")"),"Um homem geneticamente inferior assume a identidade de um superior, a fim de perseguir seu sonho ao longo da vida de viagens espaciais.")</f>
        <v>Um homem geneticamente inferior assume a identidade de um superior, a fim de perseguir seu sonho ao longo da vida de viagens espaciais.</v>
      </c>
      <c r="M656" s="1">
        <v>64.0</v>
      </c>
      <c r="N656" s="1" t="s">
        <v>3961</v>
      </c>
      <c r="O656" s="1" t="s">
        <v>1642</v>
      </c>
      <c r="P656" s="1" t="s">
        <v>74</v>
      </c>
      <c r="Q656" s="1" t="s">
        <v>3962</v>
      </c>
      <c r="R656" s="1" t="s">
        <v>3963</v>
      </c>
      <c r="S656" s="1">
        <v>280845.0</v>
      </c>
      <c r="T656" s="7" t="str">
        <f>VLOOKUP(A656,Posters!A656:B1655,2)</f>
        <v>https://m.media-amazon.com/images/M/MV5BODI3ZTc5NjktOGMyOC00NjYzLTgwZDYtYmQ4NDc1MmJjMjRlXkEyXkFqcGdeQXVyMTQxNzMzNDI@._V1_UX67_CR0,0,67,98_AL_.jpg</v>
      </c>
      <c r="U656" s="8">
        <f>'Inflation Adjusted Gross'!F656</f>
        <v>20007967</v>
      </c>
      <c r="V656" s="5">
        <f t="shared" si="1"/>
        <v>2020</v>
      </c>
    </row>
    <row r="657">
      <c r="A657" s="1">
        <v>656.0</v>
      </c>
      <c r="B657" s="1" t="s">
        <v>3964</v>
      </c>
      <c r="C657" s="6">
        <f>Gross_cleaning!E657</f>
        <v>48323648</v>
      </c>
      <c r="D657" s="1">
        <v>1997.0</v>
      </c>
      <c r="E657" s="1" t="s">
        <v>37</v>
      </c>
      <c r="F657" s="1" t="str">
        <f>VLOOKUP(Filmes_raw!E657,Rating_systems!$A$2:$C$29,3,FALSE)</f>
        <v>Criança</v>
      </c>
      <c r="G657" s="2">
        <f>Gross_cleaning!F657</f>
        <v>129</v>
      </c>
      <c r="H657" s="1" t="s">
        <v>830</v>
      </c>
      <c r="I657" s="1" t="s">
        <v>254</v>
      </c>
      <c r="J657" s="1">
        <v>7.8</v>
      </c>
      <c r="K657" s="1" t="s">
        <v>3965</v>
      </c>
      <c r="L657" s="1" t="str">
        <f>IFERROR(__xludf.DUMMYFUNCTION("GOOGLETRANSLATE(K657,""en"", ""pt-br"")"),"Depois que um banqueiro rico é dado a oportunidade de participar de um jogo misterioso, sua vida é virada de cabeça para baixo quando ele se torna incapaz de distinguir entre o jogo e a realidade.")</f>
        <v>Depois que um banqueiro rico é dado a oportunidade de participar de um jogo misterioso, sua vida é virada de cabeça para baixo quando ele se torna incapaz de distinguir entre o jogo e a realidade.</v>
      </c>
      <c r="M657" s="1">
        <v>61.0</v>
      </c>
      <c r="N657" s="1" t="s">
        <v>97</v>
      </c>
      <c r="O657" s="1" t="s">
        <v>3966</v>
      </c>
      <c r="P657" s="1" t="s">
        <v>3967</v>
      </c>
      <c r="Q657" s="1" t="s">
        <v>1605</v>
      </c>
      <c r="R657" s="1" t="s">
        <v>2583</v>
      </c>
      <c r="S657" s="1">
        <v>345096.0</v>
      </c>
      <c r="T657" s="7" t="str">
        <f>VLOOKUP(A657,Posters!A657:B1656,2)</f>
        <v>https://m.media-amazon.com/images/M/MV5BZGVmMDNmYmEtNGQ2Mi00Y2ZhLThhZTYtYjE5YmQzMjZiZGMxXkEyXkFqcGdeQXVyNDk3NzU2MTQ@._V1_UY98_CR1,0,67,98_AL_.jpg</v>
      </c>
      <c r="U657" s="8">
        <f>'Inflation Adjusted Gross'!F657</f>
        <v>78353864</v>
      </c>
      <c r="V657" s="5">
        <f t="shared" si="1"/>
        <v>2020</v>
      </c>
    </row>
    <row r="658">
      <c r="A658" s="1">
        <v>657.0</v>
      </c>
      <c r="B658" s="1" t="s">
        <v>3968</v>
      </c>
      <c r="C658" s="6">
        <f>Gross_cleaning!E658</f>
        <v>4040691</v>
      </c>
      <c r="D658" s="1">
        <v>1996.0</v>
      </c>
      <c r="E658" s="1" t="s">
        <v>212</v>
      </c>
      <c r="F658" s="1" t="str">
        <f>VLOOKUP(Filmes_raw!E658,Rating_systems!$A$2:$C$29,3,FALSE)</f>
        <v>Adulto</v>
      </c>
      <c r="G658" s="2">
        <f>Gross_cleaning!F658</f>
        <v>159</v>
      </c>
      <c r="H658" s="1" t="s">
        <v>2168</v>
      </c>
      <c r="I658" s="1" t="s">
        <v>20</v>
      </c>
      <c r="J658" s="1">
        <v>7.8</v>
      </c>
      <c r="K658" s="1" t="s">
        <v>3969</v>
      </c>
      <c r="L658" s="1" t="str">
        <f>IFERROR(__xludf.DUMMYFUNCTION("GOOGLETRANSLATE(K658,""en"", ""pt-br"")"),"Oilman Jan está paralisado em um acidente. Sua esposa, que orou por seu retorno, se sente culpado; Ainda mais, quando Jan a pretende fazer sexo com outro.")</f>
        <v>Oilman Jan está paralisado em um acidente. Sua esposa, que orou por seu retorno, se sente culpado; Ainda mais, quando Jan a pretende fazer sexo com outro.</v>
      </c>
      <c r="M658" s="1">
        <v>76.0</v>
      </c>
      <c r="N658" s="1" t="s">
        <v>2471</v>
      </c>
      <c r="O658" s="1" t="s">
        <v>3970</v>
      </c>
      <c r="P658" s="1" t="s">
        <v>754</v>
      </c>
      <c r="Q658" s="1" t="s">
        <v>3971</v>
      </c>
      <c r="R658" s="1" t="s">
        <v>3972</v>
      </c>
      <c r="S658" s="1">
        <v>62428.0</v>
      </c>
      <c r="T658" s="7" t="str">
        <f>VLOOKUP(A658,Posters!A658:B1657,2)</f>
        <v>https://m.media-amazon.com/images/M/MV5BNDYwZTU2MzktNWYxMS00NTYzLTgzOWEtMTRiYjc5NGY2Nzg1XkEyXkFqcGdeQXVyMTQxNzMzNDI@._V1_UX67_CR0,0,67,98_AL_.jpg</v>
      </c>
      <c r="U658" s="8">
        <f>'Inflation Adjusted Gross'!F658</f>
        <v>6751173</v>
      </c>
      <c r="V658" s="5">
        <f t="shared" si="1"/>
        <v>2020</v>
      </c>
    </row>
    <row r="659">
      <c r="A659" s="1">
        <v>658.0</v>
      </c>
      <c r="B659" s="1" t="s">
        <v>3973</v>
      </c>
      <c r="C659" s="6">
        <f>Gross_cleaning!E659</f>
        <v>5887457</v>
      </c>
      <c r="D659" s="1">
        <v>1994.0</v>
      </c>
      <c r="E659" s="1" t="s">
        <v>52</v>
      </c>
      <c r="F659" s="1" t="str">
        <f>VLOOKUP(Filmes_raw!E659,Rating_systems!$A$2:$C$29,3,FALSE)</f>
        <v>Criança</v>
      </c>
      <c r="G659" s="2">
        <f>Gross_cleaning!F659</f>
        <v>127</v>
      </c>
      <c r="H659" s="1" t="s">
        <v>234</v>
      </c>
      <c r="I659" s="1" t="s">
        <v>296</v>
      </c>
      <c r="J659" s="1">
        <v>7.8</v>
      </c>
      <c r="K659" s="1" t="s">
        <v>3974</v>
      </c>
      <c r="L659" s="1" t="str">
        <f>IFERROR(__xludf.DUMMYFUNCTION("GOOGLETRANSLATE(K659,""en"", ""pt-br"")"),"Diretor de cinema ambicioso, mas problemático Edward D. Wood Jr. tenta o seu melhor para cumprir seus sonhos, apesar de sua falta de talento.")</f>
        <v>Diretor de cinema ambicioso, mas problemático Edward D. Wood Jr. tenta o seu melhor para cumprir seus sonhos, apesar de sua falta de talento.</v>
      </c>
      <c r="M659" s="1">
        <v>70.0</v>
      </c>
      <c r="N659" s="1" t="s">
        <v>2454</v>
      </c>
      <c r="O659" s="1" t="s">
        <v>2451</v>
      </c>
      <c r="P659" s="1" t="s">
        <v>3278</v>
      </c>
      <c r="Q659" s="1" t="s">
        <v>3975</v>
      </c>
      <c r="R659" s="1" t="s">
        <v>3089</v>
      </c>
      <c r="S659" s="1">
        <v>164937.0</v>
      </c>
      <c r="T659" s="7" t="str">
        <f>VLOOKUP(A659,Posters!A659:B1658,2)</f>
        <v>https://m.media-amazon.com/images/M/MV5BNTA5ZjdjNWUtZGUwNy00N2RhLWJiZmItYzFhYjU1NmYxNjY4XkEyXkFqcGdeQXVyMTQxNzMzNDI@._V1_UX67_CR0,0,67,98_AL_.jpg</v>
      </c>
      <c r="U659" s="8">
        <f>'Inflation Adjusted Gross'!F659</f>
        <v>10388462</v>
      </c>
      <c r="V659" s="5">
        <f t="shared" si="1"/>
        <v>2020</v>
      </c>
    </row>
    <row r="660">
      <c r="A660" s="1">
        <v>659.0</v>
      </c>
      <c r="B660" s="1" t="s">
        <v>3976</v>
      </c>
      <c r="C660" s="6">
        <f>Gross_cleaning!E660</f>
        <v>9170214</v>
      </c>
      <c r="D660" s="1">
        <v>1993.0</v>
      </c>
      <c r="E660" s="1" t="s">
        <v>52</v>
      </c>
      <c r="F660" s="1" t="str">
        <f>VLOOKUP(Filmes_raw!E660,Rating_systems!$A$2:$C$29,3,FALSE)</f>
        <v>Criança</v>
      </c>
      <c r="G660" s="2">
        <f>Gross_cleaning!F660</f>
        <v>118</v>
      </c>
      <c r="H660" s="1" t="s">
        <v>240</v>
      </c>
      <c r="I660" s="1" t="s">
        <v>20</v>
      </c>
      <c r="J660" s="1">
        <v>7.8</v>
      </c>
      <c r="K660" s="1" t="s">
        <v>3977</v>
      </c>
      <c r="L660" s="1" t="str">
        <f>IFERROR(__xludf.DUMMYFUNCTION("GOOGLETRANSLATE(K660,""en"", ""pt-br"")"),"Um jovem em uma pequena cidade do meio-oeste lutas para cuidar de seu irmão mais jovem mental e mórbido, tentando perseguir sua própria felicidade.")</f>
        <v>Um jovem em uma pequena cidade do meio-oeste lutas para cuidar de seu irmão mais jovem mental e mórbido, tentando perseguir sua própria felicidade.</v>
      </c>
      <c r="M660" s="1">
        <v>73.0</v>
      </c>
      <c r="N660" s="1" t="s">
        <v>1582</v>
      </c>
      <c r="O660" s="1" t="s">
        <v>2451</v>
      </c>
      <c r="P660" s="1" t="s">
        <v>90</v>
      </c>
      <c r="Q660" s="1" t="s">
        <v>3978</v>
      </c>
      <c r="R660" s="1" t="s">
        <v>2203</v>
      </c>
      <c r="S660" s="1">
        <v>215034.0</v>
      </c>
      <c r="T660" s="7" t="str">
        <f>VLOOKUP(A660,Posters!A660:B1659,2)</f>
        <v>https://m.media-amazon.com/images/M/MV5BY2EyZDlhNjItODYzNi00Mzc3LWJjOWUtMTViODU5MTExZWMyL2ltYWdlXkEyXkFqcGdeQXVyMTQxNzMzNDI@._V1_UX67_CR0,0,67,98_AL_.jpg</v>
      </c>
      <c r="U660" s="8">
        <f>'Inflation Adjusted Gross'!F660</f>
        <v>16589406</v>
      </c>
      <c r="V660" s="5">
        <f t="shared" si="1"/>
        <v>2020</v>
      </c>
    </row>
    <row r="661">
      <c r="A661" s="1">
        <v>660.0</v>
      </c>
      <c r="B661" s="1" t="s">
        <v>3979</v>
      </c>
      <c r="C661" s="6">
        <f>Gross_cleaning!E661</f>
        <v>56505065</v>
      </c>
      <c r="D661" s="1">
        <v>1993.0</v>
      </c>
      <c r="E661" s="1" t="s">
        <v>212</v>
      </c>
      <c r="F661" s="1" t="str">
        <f>VLOOKUP(Filmes_raw!E661,Rating_systems!$A$2:$C$29,3,FALSE)</f>
        <v>Adulto</v>
      </c>
      <c r="G661" s="2">
        <f>Gross_cleaning!F661</f>
        <v>130</v>
      </c>
      <c r="H661" s="1" t="s">
        <v>195</v>
      </c>
      <c r="I661" s="1" t="s">
        <v>458</v>
      </c>
      <c r="J661" s="1">
        <v>7.8</v>
      </c>
      <c r="K661" s="1" t="s">
        <v>3980</v>
      </c>
      <c r="L661" s="1" t="str">
        <f>IFERROR(__xludf.DUMMYFUNCTION("GOOGLETRANSLATE(K661,""en"", ""pt-br"")"),"Um sucesso planeja se aposentar anonimamente em lápide, o Arizona é interrompido pelo tipo de lei que ele era famoso por eliminar.")</f>
        <v>Um sucesso planeja se aposentar anonimamente em lápide, o Arizona é interrompido pelo tipo de lei que ele era famoso por eliminar.</v>
      </c>
      <c r="M661" s="1">
        <v>50.0</v>
      </c>
      <c r="N661" s="1" t="s">
        <v>3981</v>
      </c>
      <c r="O661" s="1" t="s">
        <v>3982</v>
      </c>
      <c r="P661" s="1" t="s">
        <v>1846</v>
      </c>
      <c r="Q661" s="1" t="s">
        <v>1177</v>
      </c>
      <c r="R661" s="1" t="s">
        <v>3983</v>
      </c>
      <c r="S661" s="1">
        <v>126871.0</v>
      </c>
      <c r="T661" s="7" t="str">
        <f>VLOOKUP(A661,Posters!A661:B1660,2)</f>
        <v>https://m.media-amazon.com/images/M/MV5BODRkYzA4MGItODE2MC00ZjkwLWI2NDEtYzU1NzFiZGU1YzA0XkEyXkFqcGdeQXVyNTAyODkwOQ@@._V1_UX67_CR0,0,67,98_AL_.jpg</v>
      </c>
      <c r="U661" s="8">
        <f>'Inflation Adjusted Gross'!F661</f>
        <v>102220674</v>
      </c>
      <c r="V661" s="5">
        <f t="shared" si="1"/>
        <v>2020</v>
      </c>
    </row>
    <row r="662">
      <c r="A662" s="1">
        <v>661.0</v>
      </c>
      <c r="B662" s="1" t="s">
        <v>3984</v>
      </c>
      <c r="C662" s="6">
        <f>Gross_cleaning!E662</f>
        <v>32416586</v>
      </c>
      <c r="D662" s="1">
        <v>1993.0</v>
      </c>
      <c r="E662" s="1" t="s">
        <v>52</v>
      </c>
      <c r="F662" s="1" t="str">
        <f>VLOOKUP(Filmes_raw!E662,Rating_systems!$A$2:$C$29,3,FALSE)</f>
        <v>Criança</v>
      </c>
      <c r="G662" s="2">
        <f>Gross_cleaning!F662</f>
        <v>101</v>
      </c>
      <c r="H662" s="1" t="s">
        <v>535</v>
      </c>
      <c r="I662" s="1" t="s">
        <v>416</v>
      </c>
      <c r="J662" s="1">
        <v>7.8</v>
      </c>
      <c r="K662" s="1" t="s">
        <v>3985</v>
      </c>
      <c r="L662" s="1" t="str">
        <f>IFERROR(__xludf.DUMMYFUNCTION("GOOGLETRANSLATE(K662,""en"", ""pt-br"")"),"No verão de 1962, um novo garoto na cidade é levado sob a ala de um jovem prodígio de beisebol e sua equipe barulhenta, resultando em muitas aventuras.")</f>
        <v>No verão de 1962, um novo garoto na cidade é levado sob a ala de um jovem prodígio de beisebol e sua equipe barulhenta, resultando em muitas aventuras.</v>
      </c>
      <c r="M662" s="1">
        <v>55.0</v>
      </c>
      <c r="N662" s="1" t="s">
        <v>3986</v>
      </c>
      <c r="O662" s="1" t="s">
        <v>3987</v>
      </c>
      <c r="P662" s="1" t="s">
        <v>3988</v>
      </c>
      <c r="Q662" s="1" t="s">
        <v>3989</v>
      </c>
      <c r="R662" s="1" t="s">
        <v>3990</v>
      </c>
      <c r="S662" s="1">
        <v>78963.0</v>
      </c>
      <c r="T662" s="7" t="str">
        <f>VLOOKUP(A662,Posters!A662:B1661,2)</f>
        <v>https://m.media-amazon.com/images/M/MV5BODllYjM1ODItYjBmOC00MzkwLWJmM2YtMjMyZDU3MGJhNjc4L2ltYWdlL2ltYWdlXkEyXkFqcGdeQXVyMTQxNzMzNDI@._V1_UX67_CR0,0,67,98_AL_.jpg</v>
      </c>
      <c r="U662" s="8">
        <f>'Inflation Adjusted Gross'!F662</f>
        <v>58643332</v>
      </c>
      <c r="V662" s="5">
        <f t="shared" si="1"/>
        <v>2020</v>
      </c>
    </row>
    <row r="663">
      <c r="A663" s="1">
        <v>662.0</v>
      </c>
      <c r="B663" s="1" t="s">
        <v>3991</v>
      </c>
      <c r="C663" s="6">
        <f>Gross_cleaning!E663</f>
        <v>22954968</v>
      </c>
      <c r="D663" s="1">
        <v>1993.0</v>
      </c>
      <c r="E663" s="1" t="s">
        <v>52</v>
      </c>
      <c r="F663" s="1" t="str">
        <f>VLOOKUP(Filmes_raw!E663,Rating_systems!$A$2:$C$29,3,FALSE)</f>
        <v>Criança</v>
      </c>
      <c r="G663" s="2">
        <f>Gross_cleaning!F663</f>
        <v>134</v>
      </c>
      <c r="H663" s="1" t="s">
        <v>550</v>
      </c>
      <c r="I663" s="1" t="s">
        <v>107</v>
      </c>
      <c r="J663" s="1">
        <v>7.8</v>
      </c>
      <c r="K663" s="1" t="s">
        <v>3992</v>
      </c>
      <c r="L663" s="1" t="str">
        <f>IFERROR(__xludf.DUMMYFUNCTION("GOOGLETRANSLATE(K663,""en"", ""pt-br"")"),"Um mordomo que sacrificou o corpo e a alma ao serviço nos anos que antecederam a Segunda Guerra Mundial percebe muito tarde de como sua lealdade era equivocada.")</f>
        <v>Um mordomo que sacrificou o corpo e a alma ao serviço nos anos que antecederam a Segunda Guerra Mundial percebe muito tarde de como sua lealdade era equivocada.</v>
      </c>
      <c r="M663" s="1">
        <v>84.0</v>
      </c>
      <c r="N663" s="1" t="s">
        <v>3993</v>
      </c>
      <c r="O663" s="1" t="s">
        <v>245</v>
      </c>
      <c r="P663" s="1" t="s">
        <v>3994</v>
      </c>
      <c r="Q663" s="1" t="s">
        <v>3995</v>
      </c>
      <c r="R663" s="1" t="s">
        <v>3996</v>
      </c>
      <c r="S663" s="1">
        <v>66065.0</v>
      </c>
      <c r="T663" s="7" t="str">
        <f>VLOOKUP(A663,Posters!A663:B1662,2)</f>
        <v>https://m.media-amazon.com/images/M/MV5BNDYwOThlMDAtYWUwMS00MjY5LTliMGUtZWFiYTA5MjYwZDAyXkEyXkFqcGdeQXVyNjY1NTQ0NDg@._V1_UX67_CR0,0,67,98_AL_.jpg</v>
      </c>
      <c r="U663" s="8">
        <f>'Inflation Adjusted Gross'!F663</f>
        <v>41526761</v>
      </c>
      <c r="V663" s="5">
        <f t="shared" si="1"/>
        <v>2020</v>
      </c>
    </row>
    <row r="664">
      <c r="A664" s="1">
        <v>663.0</v>
      </c>
      <c r="B664" s="1" t="s">
        <v>3997</v>
      </c>
      <c r="C664" s="6">
        <f>Gross_cleaning!E664</f>
        <v>1769305</v>
      </c>
      <c r="D664" s="1">
        <v>1993.0</v>
      </c>
      <c r="E664" s="1" t="s">
        <v>212</v>
      </c>
      <c r="F664" s="1" t="str">
        <f>VLOOKUP(Filmes_raw!E664,Rating_systems!$A$2:$C$29,3,FALSE)</f>
        <v>Adulto</v>
      </c>
      <c r="G664" s="2">
        <f>Gross_cleaning!F664</f>
        <v>132</v>
      </c>
      <c r="H664" s="1" t="s">
        <v>170</v>
      </c>
      <c r="I664" s="1" t="s">
        <v>507</v>
      </c>
      <c r="J664" s="1">
        <v>7.8</v>
      </c>
      <c r="K664" s="1" t="s">
        <v>3998</v>
      </c>
      <c r="L664" s="1" t="str">
        <f>IFERROR(__xludf.DUMMYFUNCTION("GOOGLETRANSLATE(K664,""en"", ""pt-br"")"),"Contos paralelos de dois homens sexualmente obcecados, uma mulher ferida e irritante fisicamente e mentalmente, uma vagando pela cidade conversando a estranhos e experimentando dimensões da vida.")</f>
        <v>Contos paralelos de dois homens sexualmente obcecados, uma mulher ferida e irritante fisicamente e mentalmente, uma vagando pela cidade conversando a estranhos e experimentando dimensões da vida.</v>
      </c>
      <c r="M664" s="1">
        <v>84.0</v>
      </c>
      <c r="N664" s="1" t="s">
        <v>2539</v>
      </c>
      <c r="O664" s="1" t="s">
        <v>3772</v>
      </c>
      <c r="P664" s="1" t="s">
        <v>3999</v>
      </c>
      <c r="Q664" s="1" t="s">
        <v>3971</v>
      </c>
      <c r="R664" s="1" t="s">
        <v>4000</v>
      </c>
      <c r="S664" s="1">
        <v>34635.0</v>
      </c>
      <c r="T664" s="7" t="str">
        <f>VLOOKUP(A664,Posters!A664:B1663,2)</f>
        <v>https://m.media-amazon.com/images/M/MV5BMjA3Y2I4NjAtMDQyZS00ZGJhLWEwMzgtODBiNzE5Zjc1Nzk1L2ltYWdlXkEyXkFqcGdeQXVyNTc2MDU0NDE@._V1_UX67_CR0,0,67,98_AL_.jpg</v>
      </c>
      <c r="U664" s="8">
        <f>'Inflation Adjusted Gross'!F664</f>
        <v>3200767</v>
      </c>
      <c r="V664" s="5">
        <f t="shared" si="1"/>
        <v>2020</v>
      </c>
    </row>
    <row r="665">
      <c r="A665" s="1">
        <v>664.0</v>
      </c>
      <c r="B665" s="1" t="s">
        <v>4001</v>
      </c>
      <c r="C665" s="6">
        <f>Gross_cleaning!E665</f>
        <v>183875760</v>
      </c>
      <c r="D665" s="1">
        <v>1993.0</v>
      </c>
      <c r="E665" s="1" t="s">
        <v>52</v>
      </c>
      <c r="F665" s="1" t="str">
        <f>VLOOKUP(Filmes_raw!E665,Rating_systems!$A$2:$C$29,3,FALSE)</f>
        <v>Criança</v>
      </c>
      <c r="G665" s="2">
        <f>Gross_cleaning!F665</f>
        <v>130</v>
      </c>
      <c r="H665" s="1" t="s">
        <v>195</v>
      </c>
      <c r="I665" s="1" t="s">
        <v>39</v>
      </c>
      <c r="J665" s="1">
        <v>7.8</v>
      </c>
      <c r="K665" s="1" t="s">
        <v>4002</v>
      </c>
      <c r="L665" s="1" t="str">
        <f>IFERROR(__xludf.DUMMYFUNCTION("GOOGLETRANSLATE(K665,""en"", ""pt-br"")"),"Dr. Richard Kimble, injustamente acusado de assassinar sua esposa, deve encontrar o verdadeiro assassino, sendo o alvo de uma manhunt nacional liderada por umas temperadas.")</f>
        <v>Dr. Richard Kimble, injustamente acusado de assassinar sua esposa, deve encontrar o verdadeiro assassino, sendo o alvo de uma manhunt nacional liderada por umas temperadas.</v>
      </c>
      <c r="M665" s="1">
        <v>87.0</v>
      </c>
      <c r="N665" s="1" t="s">
        <v>4003</v>
      </c>
      <c r="O665" s="1" t="s">
        <v>149</v>
      </c>
      <c r="P665" s="1" t="s">
        <v>1614</v>
      </c>
      <c r="Q665" s="1" t="s">
        <v>4004</v>
      </c>
      <c r="R665" s="1" t="s">
        <v>1728</v>
      </c>
      <c r="S665" s="1">
        <v>267684.0</v>
      </c>
      <c r="T665" s="7" t="str">
        <f>VLOOKUP(A665,Posters!A665:B1664,2)</f>
        <v>https://m.media-amazon.com/images/M/MV5BYmFmOGZjYTItYjY1ZS00OWRiLTk0NDgtMjQ5MzBkYWE2YWE0XkEyXkFqcGdeQXVyNjU0OTQ0OTY@._V1_UX67_CR0,0,67,98_AL_.jpg</v>
      </c>
      <c r="U665" s="8">
        <f>'Inflation Adjusted Gross'!F665</f>
        <v>332641050</v>
      </c>
      <c r="V665" s="5">
        <f t="shared" si="1"/>
        <v>2020</v>
      </c>
    </row>
    <row r="666">
      <c r="A666" s="1">
        <v>665.0</v>
      </c>
      <c r="B666" s="1" t="s">
        <v>4005</v>
      </c>
      <c r="C666" s="6">
        <f>Gross_cleaning!E666</f>
        <v>17266971</v>
      </c>
      <c r="D666" s="1">
        <v>1993.0</v>
      </c>
      <c r="E666" s="1" t="s">
        <v>212</v>
      </c>
      <c r="F666" s="1" t="str">
        <f>VLOOKUP(Filmes_raw!E666,Rating_systems!$A$2:$C$29,3,FALSE)</f>
        <v>Adulto</v>
      </c>
      <c r="G666" s="2">
        <f>Gross_cleaning!F666</f>
        <v>121</v>
      </c>
      <c r="H666" s="1" t="s">
        <v>249</v>
      </c>
      <c r="I666" s="1" t="s">
        <v>2372</v>
      </c>
      <c r="J666" s="1">
        <v>7.8</v>
      </c>
      <c r="K666" s="1" t="s">
        <v>4006</v>
      </c>
      <c r="L666" s="1" t="str">
        <f>IFERROR(__xludf.DUMMYFUNCTION("GOOGLETRANSLATE(K666,""en"", ""pt-br"")"),"Um pai fica preocupado quando um gângster local faz amiga de seu filho no Bronx na década de 1960.")</f>
        <v>Um pai fica preocupado quando um gângster local faz amiga de seu filho no Bronx na década de 1960.</v>
      </c>
      <c r="M666" s="1">
        <v>80.0</v>
      </c>
      <c r="N666" s="1" t="s">
        <v>49</v>
      </c>
      <c r="O666" s="1" t="s">
        <v>49</v>
      </c>
      <c r="P666" s="1" t="s">
        <v>340</v>
      </c>
      <c r="Q666" s="1" t="s">
        <v>4007</v>
      </c>
      <c r="R666" s="1" t="s">
        <v>4008</v>
      </c>
      <c r="S666" s="1">
        <v>128171.0</v>
      </c>
      <c r="T666" s="7" t="str">
        <f>VLOOKUP(A666,Posters!A666:B1665,2)</f>
        <v>https://m.media-amazon.com/images/M/MV5BMTczOTczNjE3Ml5BMl5BanBnXkFtZTgwODEzMzg5MTI@._V1_UX67_CR0,0,67,98_AL_.jpg</v>
      </c>
      <c r="U666" s="8">
        <f>'Inflation Adjusted Gross'!F666</f>
        <v>31236871</v>
      </c>
      <c r="V666" s="5">
        <f t="shared" si="1"/>
        <v>2020</v>
      </c>
    </row>
    <row r="667">
      <c r="A667" s="1">
        <v>666.0</v>
      </c>
      <c r="B667" s="1" t="s">
        <v>4009</v>
      </c>
      <c r="C667" s="6">
        <f>Gross_cleaning!E667</f>
        <v>5617391</v>
      </c>
      <c r="D667" s="1">
        <v>1993.0</v>
      </c>
      <c r="E667" s="1" t="s">
        <v>270</v>
      </c>
      <c r="F667" s="1" t="str">
        <f>VLOOKUP(Filmes_raw!E667,Rating_systems!$A$2:$C$29,3,FALSE)</f>
        <v>Criança</v>
      </c>
      <c r="G667" s="2">
        <f>Gross_cleaning!F667</f>
        <v>76</v>
      </c>
      <c r="H667" s="1" t="s">
        <v>2137</v>
      </c>
      <c r="I667" s="1" t="s">
        <v>2551</v>
      </c>
      <c r="J667" s="1">
        <v>7.8</v>
      </c>
      <c r="K667" s="1" t="s">
        <v>4010</v>
      </c>
      <c r="L667" s="1" t="str">
        <f>IFERROR(__xludf.DUMMYFUNCTION("GOOGLETRANSLATE(K667,""en"", ""pt-br"")"),"Batman está erroneamente implicado em uma série de assassinatos de patrões da máfia realmente feitos por um novo assassino de vigilante.")</f>
        <v>Batman está erroneamente implicado em uma série de assassinatos de patrões da máfia realmente feitos por um novo assassino de vigilante.</v>
      </c>
      <c r="N667" s="1" t="s">
        <v>4011</v>
      </c>
      <c r="O667" s="1" t="s">
        <v>4012</v>
      </c>
      <c r="P667" s="1" t="s">
        <v>4013</v>
      </c>
      <c r="Q667" s="1" t="s">
        <v>4014</v>
      </c>
      <c r="R667" s="1" t="s">
        <v>4015</v>
      </c>
      <c r="S667" s="1">
        <v>43690.0</v>
      </c>
      <c r="T667" s="7" t="str">
        <f>VLOOKUP(A667,Posters!A667:B1666,2)</f>
        <v>https://m.media-amazon.com/images/M/MV5BYTRiMWM3MGItNjAxZC00M2E3LThhODgtM2QwOGNmZGU4OWZhXkEyXkFqcGdeQXVyNjExODE1MDc@._V1_UX67_CR0,0,67,98_AL_.jpg</v>
      </c>
      <c r="U667" s="8">
        <f>'Inflation Adjusted Gross'!F667</f>
        <v>10162160</v>
      </c>
      <c r="V667" s="5">
        <f t="shared" si="1"/>
        <v>2020</v>
      </c>
    </row>
    <row r="668">
      <c r="A668" s="1">
        <v>667.0</v>
      </c>
      <c r="B668" s="1" t="s">
        <v>4016</v>
      </c>
      <c r="C668" s="6">
        <f>Gross_cleaning!E668</f>
        <v>4500000</v>
      </c>
      <c r="D668" s="1">
        <v>1992.0</v>
      </c>
      <c r="E668" s="1" t="s">
        <v>212</v>
      </c>
      <c r="F668" s="1" t="str">
        <f>VLOOKUP(Filmes_raw!E668,Rating_systems!$A$2:$C$29,3,FALSE)</f>
        <v>Adulto</v>
      </c>
      <c r="G668" s="2">
        <f>Gross_cleaning!F668</f>
        <v>128</v>
      </c>
      <c r="H668" s="1" t="s">
        <v>878</v>
      </c>
      <c r="I668" s="1" t="s">
        <v>2169</v>
      </c>
      <c r="J668" s="1">
        <v>7.8</v>
      </c>
      <c r="K668" s="1" t="s">
        <v>4017</v>
      </c>
      <c r="L668" s="1" t="str">
        <f>IFERROR(__xludf.DUMMYFUNCTION("GOOGLETRANSLATE(K668,""en"", ""pt-br"")"),"Um policial difícil de unhas se une a um agente disfarçado para desligar um Sinister Mobster e sua tripulação.")</f>
        <v>Um policial difícil de unhas se une a um agente disfarçado para desligar um Sinister Mobster e sua tripulação.</v>
      </c>
      <c r="N668" s="1" t="s">
        <v>4018</v>
      </c>
      <c r="O668" s="1" t="s">
        <v>3912</v>
      </c>
      <c r="P668" s="1" t="s">
        <v>1732</v>
      </c>
      <c r="Q668" s="1" t="s">
        <v>4019</v>
      </c>
      <c r="R668" s="1" t="s">
        <v>4020</v>
      </c>
      <c r="S668" s="1">
        <v>46700.0</v>
      </c>
      <c r="T668" s="7" t="str">
        <f>VLOOKUP(A668,Posters!A668:B1667,2)</f>
        <v>https://m.media-amazon.com/images/M/MV5BOTIzZGU4ZWMtYmNjMy00NzU0LTljMGYtZmVkMDYwN2U2MzYwL2ltYWdlXkEyXkFqcGdeQXVyNTAyODkwOQ@@._V1_UX67_CR0,0,67,98_AL_.jpg</v>
      </c>
      <c r="U668" s="8">
        <f>'Inflation Adjusted Gross'!F668</f>
        <v>8406007</v>
      </c>
      <c r="V668" s="5">
        <f t="shared" si="1"/>
        <v>2020</v>
      </c>
    </row>
    <row r="669">
      <c r="A669" s="1">
        <v>668.0</v>
      </c>
      <c r="B669" s="1" t="s">
        <v>4021</v>
      </c>
      <c r="C669" s="6">
        <f>Gross_cleaning!E669</f>
        <v>2015810</v>
      </c>
      <c r="D669" s="1">
        <v>1991.0</v>
      </c>
      <c r="E669" s="1" t="s">
        <v>212</v>
      </c>
      <c r="F669" s="1" t="str">
        <f>VLOOKUP(Filmes_raw!E669,Rating_systems!$A$2:$C$29,3,FALSE)</f>
        <v>Adulto</v>
      </c>
      <c r="G669" s="2">
        <f>Gross_cleaning!F669</f>
        <v>129</v>
      </c>
      <c r="H669" s="1" t="s">
        <v>830</v>
      </c>
      <c r="I669" s="1" t="s">
        <v>507</v>
      </c>
      <c r="J669" s="1">
        <v>7.8</v>
      </c>
      <c r="K669" s="1" t="s">
        <v>4022</v>
      </c>
      <c r="L669" s="1" t="str">
        <f>IFERROR(__xludf.DUMMYFUNCTION("GOOGLETRANSLATE(K669,""en"", ""pt-br"")"),"Uma antologia de 5 drivers de táxi diferentes em 5 cidades americanas e européias e suas tarifas notáveis ​​na mesma noite.")</f>
        <v>Uma antologia de 5 drivers de táxi diferentes em 5 cidades americanas e européias e suas tarifas notáveis ​​na mesma noite.</v>
      </c>
      <c r="M669" s="1">
        <v>68.0</v>
      </c>
      <c r="N669" s="1" t="s">
        <v>4023</v>
      </c>
      <c r="O669" s="1" t="s">
        <v>2331</v>
      </c>
      <c r="P669" s="1" t="s">
        <v>2347</v>
      </c>
      <c r="Q669" s="1" t="s">
        <v>4024</v>
      </c>
      <c r="R669" s="1" t="s">
        <v>4025</v>
      </c>
      <c r="S669" s="1">
        <v>55362.0</v>
      </c>
      <c r="T669" s="7" t="str">
        <f>VLOOKUP(A669,Posters!A669:B1668,2)</f>
        <v>https://m.media-amazon.com/images/M/MV5BOGNmMjBmZWEtOWYwZC00NGIzLTg0YWItMzkzMWMwOTU4YTViXkEyXkFqcGdeQXVyNzc5MjA3OA@@._V1_UX67_CR0,0,67,98_AL_.jpg</v>
      </c>
      <c r="U669" s="8">
        <f>'Inflation Adjusted Gross'!F669</f>
        <v>3863451</v>
      </c>
      <c r="V669" s="5">
        <f t="shared" si="1"/>
        <v>2020</v>
      </c>
    </row>
    <row r="670">
      <c r="A670" s="1">
        <v>669.0</v>
      </c>
      <c r="B670" s="1" t="s">
        <v>4026</v>
      </c>
      <c r="C670" s="6">
        <f>Gross_cleaning!E670</f>
        <v>1999955</v>
      </c>
      <c r="D670" s="1">
        <v>1991.0</v>
      </c>
      <c r="E670" s="1" t="s">
        <v>212</v>
      </c>
      <c r="F670" s="1" t="str">
        <f>VLOOKUP(Filmes_raw!E670,Rating_systems!$A$2:$C$29,3,FALSE)</f>
        <v>Adulto</v>
      </c>
      <c r="G670" s="2">
        <f>Gross_cleaning!F670</f>
        <v>98</v>
      </c>
      <c r="H670" s="1" t="s">
        <v>519</v>
      </c>
      <c r="I670" s="1" t="s">
        <v>1850</v>
      </c>
      <c r="J670" s="1">
        <v>7.8</v>
      </c>
      <c r="K670" s="1" t="s">
        <v>4027</v>
      </c>
      <c r="L670" s="1" t="str">
        <f>IFERROR(__xludf.DUMMYFUNCTION("GOOGLETRANSLATE(K670,""en"", ""pt-br"")"),"Duas histórias paralelas sobre duas mulheres idênticas; um que vive na Polônia, o outro na França. Eles não se conhecem, mas suas vidas são, no entanto, profundamente conectadas.")</f>
        <v>Duas histórias paralelas sobre duas mulheres idênticas; um que vive na Polônia, o outro na França. Eles não se conhecem, mas suas vidas são, no entanto, profundamente conectadas.</v>
      </c>
      <c r="M670" s="1">
        <v>86.0</v>
      </c>
      <c r="N670" s="1" t="s">
        <v>1771</v>
      </c>
      <c r="O670" s="1" t="s">
        <v>1772</v>
      </c>
      <c r="P670" s="1" t="s">
        <v>4028</v>
      </c>
      <c r="Q670" s="1" t="s">
        <v>4029</v>
      </c>
      <c r="R670" s="1" t="s">
        <v>4030</v>
      </c>
      <c r="S670" s="1">
        <v>42376.0</v>
      </c>
      <c r="T670" s="7" t="str">
        <f>VLOOKUP(A670,Posters!A670:B1669,2)</f>
        <v>https://m.media-amazon.com/images/M/MV5BYmE0ZGRiMDgtOTU0ZS00YWUwLTk5YWQtMzhiZGVhNzViMGZiXkEyXkFqcGdeQXVyMTMxODk2OTU@._V1_UX67_CR0,0,67,98_AL_.jpg</v>
      </c>
      <c r="U670" s="8">
        <f>'Inflation Adjusted Gross'!F670</f>
        <v>3833064</v>
      </c>
      <c r="V670" s="5">
        <f t="shared" si="1"/>
        <v>2020</v>
      </c>
    </row>
    <row r="671">
      <c r="A671" s="1">
        <v>670.0</v>
      </c>
      <c r="B671" s="1" t="s">
        <v>4031</v>
      </c>
      <c r="C671" s="6">
        <f>Gross_cleaning!E671</f>
        <v>57504069</v>
      </c>
      <c r="D671" s="1">
        <v>1991.0</v>
      </c>
      <c r="E671" s="1" t="s">
        <v>18</v>
      </c>
      <c r="F671" s="1" t="str">
        <f>VLOOKUP(Filmes_raw!E671,Rating_systems!$A$2:$C$29,3,FALSE)</f>
        <v>Adulto</v>
      </c>
      <c r="G671" s="2">
        <f>Gross_cleaning!F671</f>
        <v>112</v>
      </c>
      <c r="H671" s="1" t="s">
        <v>295</v>
      </c>
      <c r="I671" s="1" t="s">
        <v>29</v>
      </c>
      <c r="J671" s="1">
        <v>7.8</v>
      </c>
      <c r="K671" s="1" t="s">
        <v>4032</v>
      </c>
      <c r="L671" s="1" t="str">
        <f>IFERROR(__xludf.DUMMYFUNCTION("GOOGLETRANSLATE(K671,""en"", ""pt-br"")"),"Segue a vida de três jovens machos que vivem no gueto de Crenshaw de Los Angeles, dissecando questões de raça, relacionamentos, violência e perspectivas futuras.")</f>
        <v>Segue a vida de três jovens machos que vivem no gueto de Crenshaw de Los Angeles, dissecando questões de raça, relacionamentos, violência e perspectivas futuras.</v>
      </c>
      <c r="M671" s="1">
        <v>76.0</v>
      </c>
      <c r="N671" s="1" t="s">
        <v>4033</v>
      </c>
      <c r="O671" s="1" t="s">
        <v>4034</v>
      </c>
      <c r="P671" s="1" t="s">
        <v>133</v>
      </c>
      <c r="Q671" s="1" t="s">
        <v>4035</v>
      </c>
      <c r="R671" s="1" t="s">
        <v>4036</v>
      </c>
      <c r="S671" s="1">
        <v>126082.0</v>
      </c>
      <c r="T671" s="7" t="str">
        <f>VLOOKUP(A671,Posters!A671:B1670,2)</f>
        <v>https://m.media-amazon.com/images/M/MV5BZmRjNDI5NTgtOTIwMC00MzJhLWI4ZTYtMmU0ZTE3ZmRkZDNhXkEyXkFqcGdeQXVyMTQxNzMzNDI@._V1_UX67_CR0,0,67,98_AL_.jpg</v>
      </c>
      <c r="U671" s="8">
        <f>'Inflation Adjusted Gross'!F671</f>
        <v>110210863</v>
      </c>
      <c r="V671" s="5">
        <f t="shared" si="1"/>
        <v>2020</v>
      </c>
    </row>
    <row r="672">
      <c r="A672" s="1">
        <v>671.0</v>
      </c>
      <c r="B672" s="1" t="s">
        <v>4037</v>
      </c>
      <c r="C672" s="6">
        <f>Gross_cleaning!E672</f>
        <v>61276872</v>
      </c>
      <c r="D672" s="1">
        <v>1990.0</v>
      </c>
      <c r="E672" s="1" t="s">
        <v>212</v>
      </c>
      <c r="F672" s="1" t="str">
        <f>VLOOKUP(Filmes_raw!E672,Rating_systems!$A$2:$C$29,3,FALSE)</f>
        <v>Adulto</v>
      </c>
      <c r="G672" s="2">
        <f>Gross_cleaning!F672</f>
        <v>107</v>
      </c>
      <c r="H672" s="1" t="s">
        <v>907</v>
      </c>
      <c r="I672" s="1" t="s">
        <v>1377</v>
      </c>
      <c r="J672" s="1">
        <v>7.8</v>
      </c>
      <c r="K672" s="1" t="s">
        <v>4038</v>
      </c>
      <c r="L672" s="1" t="str">
        <f>IFERROR(__xludf.DUMMYFUNCTION("GOOGLETRANSLATE(K672,""en"", ""pt-br"")"),"Depois de um famoso autor é resgatado de um acidente de carro por um fã de seus romances, ele percebe que o cuidado que ele recebe é apenas o começo de um pesadelo de cativeiro e abuso.")</f>
        <v>Depois de um famoso autor é resgatado de um acidente de carro por um fã de seus romances, ele percebe que o cuidado que ele recebe é apenas o começo de um pesadelo de cativeiro e abuso.</v>
      </c>
      <c r="M672" s="1">
        <v>75.0</v>
      </c>
      <c r="N672" s="1" t="s">
        <v>1815</v>
      </c>
      <c r="O672" s="1" t="s">
        <v>34</v>
      </c>
      <c r="P672" s="1" t="s">
        <v>3951</v>
      </c>
      <c r="Q672" s="1" t="s">
        <v>2494</v>
      </c>
      <c r="R672" s="1" t="s">
        <v>4039</v>
      </c>
      <c r="S672" s="1">
        <v>184740.0</v>
      </c>
      <c r="T672" s="7" t="str">
        <f>VLOOKUP(A672,Posters!A672:B1671,2)</f>
        <v>https://m.media-amazon.com/images/M/MV5BNzY0ODQ3MTMxN15BMl5BanBnXkFtZTgwMDkwNTg4NjE@._V1_UX67_CR0,0,67,98_AL_.jpg</v>
      </c>
      <c r="U672" s="8">
        <f>'Inflation Adjusted Gross'!F672</f>
        <v>124078932</v>
      </c>
      <c r="V672" s="5">
        <f t="shared" si="1"/>
        <v>2020</v>
      </c>
    </row>
    <row r="673">
      <c r="A673" s="1">
        <v>672.0</v>
      </c>
      <c r="B673" s="1" t="s">
        <v>4040</v>
      </c>
      <c r="C673" s="6">
        <f>Gross_cleaning!E673</f>
        <v>52096475</v>
      </c>
      <c r="D673" s="1">
        <v>1990.0</v>
      </c>
      <c r="E673" s="1" t="s">
        <v>52</v>
      </c>
      <c r="F673" s="1" t="str">
        <f>VLOOKUP(Filmes_raw!E673,Rating_systems!$A$2:$C$29,3,FALSE)</f>
        <v>Criança</v>
      </c>
      <c r="G673" s="2">
        <f>Gross_cleaning!F673</f>
        <v>121</v>
      </c>
      <c r="H673" s="1" t="s">
        <v>249</v>
      </c>
      <c r="I673" s="1" t="s">
        <v>1148</v>
      </c>
      <c r="J673" s="1">
        <v>7.8</v>
      </c>
      <c r="K673" s="1" t="s">
        <v>4041</v>
      </c>
      <c r="L673" s="1" t="str">
        <f>IFERROR(__xludf.DUMMYFUNCTION("GOOGLETRANSLATE(K673,""en"", ""pt-br"")"),"As vítimas de uma epidemia de encefalite muitos anos atrás foram catatônicas desde então, mas agora uma nova droga oferece a perspectiva de reviver-os.")</f>
        <v>As vítimas de uma epidemia de encefalite muitos anos atrás foram catatônicas desde então, mas agora uma nova droga oferece a perspectiva de reviver-os.</v>
      </c>
      <c r="M673" s="1">
        <v>74.0</v>
      </c>
      <c r="N673" s="1" t="s">
        <v>4042</v>
      </c>
      <c r="O673" s="1" t="s">
        <v>49</v>
      </c>
      <c r="P673" s="1" t="s">
        <v>752</v>
      </c>
      <c r="Q673" s="1" t="s">
        <v>4043</v>
      </c>
      <c r="R673" s="1" t="s">
        <v>4044</v>
      </c>
      <c r="S673" s="1">
        <v>125276.0</v>
      </c>
      <c r="T673" s="7" t="str">
        <f>VLOOKUP(A673,Posters!A673:B1672,2)</f>
        <v>https://m.media-amazon.com/images/M/MV5BMjI5NjEzMDYyMl5BMl5BanBnXkFtZTgwNjgwNTg4NjE@._V1_UY98_CR3,0,67,98_AL_.jpg</v>
      </c>
      <c r="U673" s="8">
        <f>'Inflation Adjusted Gross'!F673</f>
        <v>105489637</v>
      </c>
      <c r="V673" s="5">
        <f t="shared" si="1"/>
        <v>2020</v>
      </c>
    </row>
    <row r="674">
      <c r="A674" s="1">
        <v>673.0</v>
      </c>
      <c r="B674" s="1" t="s">
        <v>4045</v>
      </c>
      <c r="C674" s="6">
        <f>Gross_cleaning!E674</f>
        <v>10151019</v>
      </c>
      <c r="D674" s="1">
        <v>1989.0</v>
      </c>
      <c r="E674" s="1" t="s">
        <v>52</v>
      </c>
      <c r="F674" s="1" t="str">
        <f>VLOOKUP(Filmes_raw!E674,Rating_systems!$A$2:$C$29,3,FALSE)</f>
        <v>Criança</v>
      </c>
      <c r="G674" s="2">
        <f>Gross_cleaning!F674</f>
        <v>103</v>
      </c>
      <c r="H674" s="1" t="s">
        <v>885</v>
      </c>
      <c r="I674" s="1" t="s">
        <v>352</v>
      </c>
      <c r="J674" s="1">
        <v>7.8</v>
      </c>
      <c r="K674" s="1" t="s">
        <v>4046</v>
      </c>
      <c r="L674" s="1" t="str">
        <f>IFERROR(__xludf.DUMMYFUNCTION("GOOGLETRANSLATE(K674,""en"", ""pt-br"")"),"Uma jovem bruxa, em seu ano obrigatório de vida independente, acha que se encaixa em uma nova comunidade difícil enquanto ela se sustenta executando um serviço de correio aéreo.")</f>
        <v>Uma jovem bruxa, em seu ano obrigatório de vida independente, acha que se encaixa em uma nova comunidade difícil enquanto ela se sustenta executando um serviço de correio aéreo.</v>
      </c>
      <c r="M674" s="1">
        <v>83.0</v>
      </c>
      <c r="N674" s="1" t="s">
        <v>206</v>
      </c>
      <c r="O674" s="1" t="s">
        <v>4047</v>
      </c>
      <c r="P674" s="1" t="s">
        <v>4048</v>
      </c>
      <c r="Q674" s="1" t="s">
        <v>4049</v>
      </c>
      <c r="R674" s="1" t="s">
        <v>4050</v>
      </c>
      <c r="S674" s="1">
        <v>124193.0</v>
      </c>
      <c r="T674" s="7" t="str">
        <f>VLOOKUP(A674,Posters!A674:B1673,2)</f>
        <v>https://m.media-amazon.com/images/M/MV5BOTc0ODM1Njk1NF5BMl5BanBnXkFtZTcwMDI5OTEyNw@@._V1_UY98_CR1,0,67,98_AL_.jpg</v>
      </c>
      <c r="U674" s="8">
        <f>'Inflation Adjusted Gross'!F674</f>
        <v>21624017</v>
      </c>
      <c r="V674" s="5">
        <f t="shared" si="1"/>
        <v>2020</v>
      </c>
    </row>
    <row r="675">
      <c r="A675" s="1">
        <v>674.0</v>
      </c>
      <c r="B675" s="1" t="s">
        <v>4051</v>
      </c>
      <c r="C675" s="6">
        <f>Gross_cleaning!E675</f>
        <v>26830000</v>
      </c>
      <c r="D675" s="1">
        <v>1989.0</v>
      </c>
      <c r="E675" s="1" t="s">
        <v>212</v>
      </c>
      <c r="F675" s="1" t="str">
        <f>VLOOKUP(Filmes_raw!E675,Rating_systems!$A$2:$C$29,3,FALSE)</f>
        <v>Adulto</v>
      </c>
      <c r="G675" s="2">
        <f>Gross_cleaning!F675</f>
        <v>122</v>
      </c>
      <c r="H675" s="1" t="s">
        <v>279</v>
      </c>
      <c r="I675" s="1" t="s">
        <v>79</v>
      </c>
      <c r="J675" s="1">
        <v>7.8</v>
      </c>
      <c r="K675" s="1" t="s">
        <v>4052</v>
      </c>
      <c r="L675" s="1" t="str">
        <f>IFERROR(__xludf.DUMMYFUNCTION("GOOGLETRANSLATE(K675,""en"", ""pt-br"")"),"Robert Gould Shaw leva a primeira empresa de voluntário da Primeira Guerra da U.S. War Civil, combatendo preconceitos de seu próprio exército da União, e os confederados.")</f>
        <v>Robert Gould Shaw leva a primeira empresa de voluntário da Primeira Guerra da U.S. War Civil, combatendo preconceitos de seu próprio exército da União, e os confederados.</v>
      </c>
      <c r="M675" s="1">
        <v>78.0</v>
      </c>
      <c r="N675" s="1" t="s">
        <v>2362</v>
      </c>
      <c r="O675" s="1" t="s">
        <v>356</v>
      </c>
      <c r="P675" s="1" t="s">
        <v>3799</v>
      </c>
      <c r="Q675" s="1" t="s">
        <v>2631</v>
      </c>
      <c r="R675" s="1" t="s">
        <v>24</v>
      </c>
      <c r="S675" s="1">
        <v>122779.0</v>
      </c>
      <c r="T675" s="7" t="str">
        <f>VLOOKUP(A675,Posters!A675:B1674,2)</f>
        <v>https://m.media-amazon.com/images/M/MV5BODhlNjA5MDEtZDVhNS00ZmM3LTg1YzAtZGRjNjhjNTAzNzVkXkEyXkFqcGdeQXVyNjUwMzI2NzU@._V1_UY98_CR0,0,67,98_AL_.jpg</v>
      </c>
      <c r="U675" s="8">
        <f>'Inflation Adjusted Gross'!F675</f>
        <v>57154103</v>
      </c>
      <c r="V675" s="5">
        <f t="shared" si="1"/>
        <v>2020</v>
      </c>
    </row>
    <row r="676">
      <c r="A676" s="1">
        <v>675.0</v>
      </c>
      <c r="B676" s="1" t="s">
        <v>4053</v>
      </c>
      <c r="C676" s="6">
        <f>Gross_cleaning!E676</f>
        <v>2340425</v>
      </c>
      <c r="D676" s="1">
        <v>1989.0</v>
      </c>
      <c r="E676" s="1" t="s">
        <v>212</v>
      </c>
      <c r="F676" s="1" t="str">
        <f>VLOOKUP(Filmes_raw!E676,Rating_systems!$A$2:$C$29,3,FALSE)</f>
        <v>Adulto</v>
      </c>
      <c r="G676" s="2">
        <f>Gross_cleaning!F676</f>
        <v>111</v>
      </c>
      <c r="H676" s="1" t="s">
        <v>1663</v>
      </c>
      <c r="I676" s="1" t="s">
        <v>39</v>
      </c>
      <c r="J676" s="1">
        <v>7.8</v>
      </c>
      <c r="K676" s="1" t="s">
        <v>4054</v>
      </c>
      <c r="L676" s="1" t="str">
        <f>IFERROR(__xludf.DUMMYFUNCTION("GOOGLETRANSLATE(K676,""en"", ""pt-br"")"),"Um assassino desiludido aceita um último sucesso na esperança de usar seus ganhos para restaurar a visão para um cantor, ele acidentalmente cegado.")</f>
        <v>Um assassino desiludido aceita um último sucesso na esperança de usar seus ganhos para restaurar a visão para um cantor, ele acidentalmente cegado.</v>
      </c>
      <c r="M676" s="1">
        <v>82.0</v>
      </c>
      <c r="N676" s="1" t="s">
        <v>4018</v>
      </c>
      <c r="O676" s="1" t="s">
        <v>3912</v>
      </c>
      <c r="P676" s="1" t="s">
        <v>4055</v>
      </c>
      <c r="Q676" s="1" t="s">
        <v>4056</v>
      </c>
      <c r="R676" s="1" t="s">
        <v>4057</v>
      </c>
      <c r="S676" s="1">
        <v>45624.0</v>
      </c>
      <c r="T676" s="7" t="str">
        <f>VLOOKUP(A676,Posters!A676:B1675,2)</f>
        <v>https://m.media-amazon.com/images/M/MV5BMDQyMDVhZjItMGI0Mi00MDQ1LTk3NmQtZmRjZGQ5ZTQ2ZDU5XkEyXkFqcGdeQXVyNTAyODkwOQ@@._V1_UX67_CR0,0,67,98_AL_.jpg</v>
      </c>
      <c r="U676" s="8">
        <f>'Inflation Adjusted Gross'!F676</f>
        <v>4985646</v>
      </c>
      <c r="V676" s="5">
        <f t="shared" si="1"/>
        <v>2020</v>
      </c>
    </row>
    <row r="677">
      <c r="A677" s="1">
        <v>676.0</v>
      </c>
      <c r="B677" s="1" t="s">
        <v>4058</v>
      </c>
      <c r="C677" s="6">
        <f>Gross_cleaning!E677</f>
        <v>118500000</v>
      </c>
      <c r="D677" s="1">
        <v>1989.0</v>
      </c>
      <c r="E677" s="1" t="s">
        <v>52</v>
      </c>
      <c r="F677" s="1" t="str">
        <f>VLOOKUP(Filmes_raw!E677,Rating_systems!$A$2:$C$29,3,FALSE)</f>
        <v>Criança</v>
      </c>
      <c r="G677" s="2">
        <f>Gross_cleaning!F677</f>
        <v>108</v>
      </c>
      <c r="H677" s="1" t="s">
        <v>714</v>
      </c>
      <c r="I677" s="1" t="s">
        <v>383</v>
      </c>
      <c r="J677" s="1">
        <v>7.8</v>
      </c>
      <c r="K677" s="1" t="s">
        <v>4059</v>
      </c>
      <c r="L677" s="1" t="str">
        <f>IFERROR(__xludf.DUMMYFUNCTION("GOOGLETRANSLATE(K677,""en"", ""pt-br"")"),"Depois de visitar 2015, Marty McFly deve repetir sua visita a 1955 para evitar mudanças desastradas em 1985 ... sem interferir em sua primeira viagem.")</f>
        <v>Depois de visitar 2015, Marty McFly deve repetir sua visita a 1955 para evitar mudanças desastradas em 1985 ... sem interferir em sua primeira viagem.</v>
      </c>
      <c r="M677" s="1">
        <v>57.0</v>
      </c>
      <c r="N677" s="1" t="s">
        <v>109</v>
      </c>
      <c r="O677" s="1" t="s">
        <v>385</v>
      </c>
      <c r="P677" s="1" t="s">
        <v>386</v>
      </c>
      <c r="Q677" s="1" t="s">
        <v>387</v>
      </c>
      <c r="R677" s="1" t="s">
        <v>4060</v>
      </c>
      <c r="S677" s="1">
        <v>481918.0</v>
      </c>
      <c r="T677" s="7" t="str">
        <f>VLOOKUP(A677,Posters!A677:B1676,2)</f>
        <v>https://m.media-amazon.com/images/M/MV5BZTMxMGM5MjItNDJhNy00MWI2LWJlZWMtOWFhMjI5ZTQwMWM3XkEyXkFqcGdeQXVyMTQxNzMzNDI@._V1_UX67_CR0,0,67,98_AL_.jpg</v>
      </c>
      <c r="U677" s="8">
        <f>'Inflation Adjusted Gross'!F677</f>
        <v>252432398</v>
      </c>
      <c r="V677" s="5">
        <f t="shared" si="1"/>
        <v>2020</v>
      </c>
    </row>
    <row r="678">
      <c r="A678" s="1">
        <v>677.0</v>
      </c>
      <c r="B678" s="1" t="s">
        <v>4061</v>
      </c>
      <c r="C678" s="6">
        <f>Gross_cleaning!E678</f>
        <v>34603943</v>
      </c>
      <c r="D678" s="1">
        <v>1988.0</v>
      </c>
      <c r="E678" s="1" t="s">
        <v>18</v>
      </c>
      <c r="F678" s="1" t="str">
        <f>VLOOKUP(Filmes_raw!E678,Rating_systems!$A$2:$C$29,3,FALSE)</f>
        <v>Adulto</v>
      </c>
      <c r="G678" s="2">
        <f>Gross_cleaning!F678</f>
        <v>128</v>
      </c>
      <c r="H678" s="1" t="s">
        <v>878</v>
      </c>
      <c r="I678" s="1" t="s">
        <v>4062</v>
      </c>
      <c r="J678" s="1">
        <v>7.8</v>
      </c>
      <c r="K678" s="1" t="s">
        <v>4063</v>
      </c>
      <c r="L678" s="1" t="str">
        <f>IFERROR(__xludf.DUMMYFUNCTION("GOOGLETRANSLATE(K678,""en"", ""pt-br"")"),"Dois f.b.i. Agentes com estilos descontroladamente diferentes chegam em Mississippi para investigar o desaparecimento de alguns ativistas de direitos civis.")</f>
        <v>Dois f.b.i. Agentes com estilos descontroladamente diferentes chegam em Mississippi para investigar o desaparecimento de alguns ativistas de direitos civis.</v>
      </c>
      <c r="M678" s="1">
        <v>65.0</v>
      </c>
      <c r="N678" s="1" t="s">
        <v>1852</v>
      </c>
      <c r="O678" s="1" t="s">
        <v>1191</v>
      </c>
      <c r="P678" s="1" t="s">
        <v>1825</v>
      </c>
      <c r="Q678" s="1" t="s">
        <v>972</v>
      </c>
      <c r="R678" s="1" t="s">
        <v>4064</v>
      </c>
      <c r="S678" s="1">
        <v>88214.0</v>
      </c>
      <c r="T678" s="7" t="str">
        <f>VLOOKUP(A678,Posters!A678:B1677,2)</f>
        <v>https://m.media-amazon.com/images/M/MV5BZTFjNjU4OTktYzljMS00MmFlLWI3NGEtNjNhMTYwYzUyZDgyL2ltYWdlL2ltYWdlXkEyXkFqcGdeQXVyNjU0OTQ0OTY@._V1_UX67_CR0,0,67,98_AL_.jpg</v>
      </c>
      <c r="U678" s="8">
        <f>'Inflation Adjusted Gross'!F678</f>
        <v>77154830</v>
      </c>
      <c r="V678" s="5">
        <f t="shared" si="1"/>
        <v>2020</v>
      </c>
    </row>
    <row r="679">
      <c r="A679" s="1">
        <v>678.0</v>
      </c>
      <c r="B679" s="1" t="s">
        <v>4065</v>
      </c>
      <c r="C679" s="6">
        <f>Gross_cleaning!E679</f>
        <v>59735548</v>
      </c>
      <c r="D679" s="1">
        <v>1987.0</v>
      </c>
      <c r="E679" s="1" t="s">
        <v>18</v>
      </c>
      <c r="F679" s="1" t="str">
        <f>VLOOKUP(Filmes_raw!E679,Rating_systems!$A$2:$C$29,3,FALSE)</f>
        <v>Adulto</v>
      </c>
      <c r="G679" s="2">
        <f>Gross_cleaning!F679</f>
        <v>107</v>
      </c>
      <c r="H679" s="1" t="s">
        <v>907</v>
      </c>
      <c r="I679" s="1" t="s">
        <v>88</v>
      </c>
      <c r="J679" s="1">
        <v>7.8</v>
      </c>
      <c r="K679" s="1" t="s">
        <v>4066</v>
      </c>
      <c r="L679" s="1" t="str">
        <f>IFERROR(__xludf.DUMMYFUNCTION("GOOGLETRANSLATE(K679,""en"", ""pt-br"")"),"Uma equipe de comandos em uma missão em uma selva americana se encontra caçada por um guerreiro extraterrestre.")</f>
        <v>Uma equipe de comandos em uma missão em uma selva americana se encontra caçada por um guerreiro extraterrestre.</v>
      </c>
      <c r="M679" s="1">
        <v>45.0</v>
      </c>
      <c r="N679" s="1" t="s">
        <v>1216</v>
      </c>
      <c r="O679" s="1" t="s">
        <v>363</v>
      </c>
      <c r="P679" s="1" t="s">
        <v>1896</v>
      </c>
      <c r="Q679" s="1" t="s">
        <v>4067</v>
      </c>
      <c r="R679" s="1" t="s">
        <v>4068</v>
      </c>
      <c r="S679" s="1">
        <v>371387.0</v>
      </c>
      <c r="T679" s="7" t="str">
        <f>VLOOKUP(A679,Posters!A679:B1678,2)</f>
        <v>https://m.media-amazon.com/images/M/MV5BY2QwYmFmZTEtNzY2Mi00ZWMyLWEwY2YtMGIyNGZjMWExOWEyXkEyXkFqcGdeQXVyNjUwNzk3NDc@._V1_UX67_CR0,0,67,98_AL_.jpg</v>
      </c>
      <c r="U679" s="8">
        <f>'Inflation Adjusted Gross'!F679</f>
        <v>138579488</v>
      </c>
      <c r="V679" s="5">
        <f t="shared" si="1"/>
        <v>2020</v>
      </c>
    </row>
    <row r="680">
      <c r="A680" s="1">
        <v>679.0</v>
      </c>
      <c r="B680" s="1" t="s">
        <v>4069</v>
      </c>
      <c r="C680" s="6">
        <f>Gross_cleaning!E680</f>
        <v>5923044</v>
      </c>
      <c r="D680" s="1">
        <v>1987.0</v>
      </c>
      <c r="E680" s="1" t="s">
        <v>18</v>
      </c>
      <c r="F680" s="1" t="str">
        <f>VLOOKUP(Filmes_raw!E680,Rating_systems!$A$2:$C$29,3,FALSE)</f>
        <v>Adulto</v>
      </c>
      <c r="G680" s="2">
        <f>Gross_cleaning!F680</f>
        <v>84</v>
      </c>
      <c r="H680" s="1" t="s">
        <v>2598</v>
      </c>
      <c r="I680" s="1" t="s">
        <v>4070</v>
      </c>
      <c r="J680" s="1">
        <v>7.8</v>
      </c>
      <c r="K680" s="1" t="s">
        <v>4071</v>
      </c>
      <c r="L680" s="1" t="str">
        <f>IFERROR(__xludf.DUMMYFUNCTION("GOOGLETRANSLATE(K680,""en"", ""pt-br"")"),"O sobrevivente solitário de um ataque de espíritos possuidores de carne em uma cabine com um grupo de estranhos, enquanto os demônios continuam seu ataque.")</f>
        <v>O sobrevivente solitário de um ataque de espíritos possuidores de carne em uma cabine com um grupo de estranhos, enquanto os demônios continuam seu ataque.</v>
      </c>
      <c r="M680" s="1">
        <v>72.0</v>
      </c>
      <c r="N680" s="1" t="s">
        <v>4072</v>
      </c>
      <c r="O680" s="1" t="s">
        <v>4073</v>
      </c>
      <c r="P680" s="1" t="s">
        <v>4074</v>
      </c>
      <c r="Q680" s="1" t="s">
        <v>4075</v>
      </c>
      <c r="R680" s="1" t="s">
        <v>4076</v>
      </c>
      <c r="S680" s="1">
        <v>148359.0</v>
      </c>
      <c r="T680" s="7" t="str">
        <f>VLOOKUP(A680,Posters!A680:B1679,2)</f>
        <v>https://m.media-amazon.com/images/M/MV5BMWY3ODZlOGMtNzJmOS00ZTNjLWI3ZWEtZTJhZTk5NDZjYWRjXkEyXkFqcGdeQXVyNjU0OTQ0OTY@._V1_UX67_CR0,0,67,98_AL_.jpg</v>
      </c>
      <c r="U680" s="8">
        <f>'Inflation Adjusted Gross'!F680</f>
        <v>13740770</v>
      </c>
      <c r="V680" s="5">
        <f t="shared" si="1"/>
        <v>2020</v>
      </c>
    </row>
    <row r="681">
      <c r="A681" s="1">
        <v>680.0</v>
      </c>
      <c r="B681" s="1" t="s">
        <v>4077</v>
      </c>
      <c r="C681" s="6">
        <f>Gross_cleaning!E681</f>
        <v>70136369</v>
      </c>
      <c r="D681" s="1">
        <v>1986.0</v>
      </c>
      <c r="E681" s="1" t="s">
        <v>52</v>
      </c>
      <c r="F681" s="1" t="str">
        <f>VLOOKUP(Filmes_raw!E681,Rating_systems!$A$2:$C$29,3,FALSE)</f>
        <v>Criança</v>
      </c>
      <c r="G681" s="2">
        <f>Gross_cleaning!F681</f>
        <v>103</v>
      </c>
      <c r="H681" s="1" t="s">
        <v>885</v>
      </c>
      <c r="I681" s="1" t="s">
        <v>602</v>
      </c>
      <c r="J681" s="1">
        <v>7.8</v>
      </c>
      <c r="K681" s="1" t="s">
        <v>4078</v>
      </c>
      <c r="L681" s="1" t="str">
        <f>IFERROR(__xludf.DUMMYFUNCTION("GOOGLETRANSLATE(K681,""en"", ""pt-br"")"),"Um cara sábio do ensino médio está determinado a ter um dia de folga da escola, apesar do que o principal pensa disso.")</f>
        <v>Um cara sábio do ensino médio está determinado a ter um dia de folga da escola, apesar do que o principal pensa disso.</v>
      </c>
      <c r="M681" s="1">
        <v>61.0</v>
      </c>
      <c r="N681" s="1" t="s">
        <v>4079</v>
      </c>
      <c r="O681" s="1" t="s">
        <v>356</v>
      </c>
      <c r="P681" s="1" t="s">
        <v>4080</v>
      </c>
      <c r="Q681" s="1" t="s">
        <v>4081</v>
      </c>
      <c r="R681" s="1" t="s">
        <v>4082</v>
      </c>
      <c r="S681" s="1">
        <v>321382.0</v>
      </c>
      <c r="T681" s="7" t="str">
        <f>VLOOKUP(A681,Posters!A681:B1680,2)</f>
        <v>https://m.media-amazon.com/images/M/MV5BMDA0NjZhZWUtNmI2NC00MmFjLTgwZDYtYzVjZmNhMDVmOTBkXkEyXkFqcGdeQXVyMTQxNzMzNDI@._V1_UX67_CR0,0,67,98_AL_.jpg</v>
      </c>
      <c r="U681" s="8">
        <f>'Inflation Adjusted Gross'!F681</f>
        <v>165083479</v>
      </c>
      <c r="V681" s="5">
        <f t="shared" si="1"/>
        <v>2020</v>
      </c>
    </row>
    <row r="682">
      <c r="A682" s="1">
        <v>681.0</v>
      </c>
      <c r="B682" s="1" t="s">
        <v>4083</v>
      </c>
      <c r="C682" s="6">
        <f>Gross_cleaning!E682</f>
        <v>1436000</v>
      </c>
      <c r="D682" s="1">
        <v>1986.0</v>
      </c>
      <c r="E682" s="1" t="s">
        <v>212</v>
      </c>
      <c r="F682" s="1" t="str">
        <f>VLOOKUP(Filmes_raw!E682,Rating_systems!$A$2:$C$29,3,FALSE)</f>
        <v>Adulto</v>
      </c>
      <c r="G682" s="2">
        <f>Gross_cleaning!F682</f>
        <v>107</v>
      </c>
      <c r="H682" s="1" t="s">
        <v>907</v>
      </c>
      <c r="I682" s="1" t="s">
        <v>831</v>
      </c>
      <c r="J682" s="1">
        <v>7.8</v>
      </c>
      <c r="K682" s="1" t="s">
        <v>4084</v>
      </c>
      <c r="L682" s="1" t="str">
        <f>IFERROR(__xludf.DUMMYFUNCTION("GOOGLETRANSLATE(K682,""en"", ""pt-br"")"),"Dois homens são enquadrados e enviados para a cadeia, onde encontram um assassino que os ajuda a escapar e deixar o estado.")</f>
        <v>Dois homens são enquadrados e enviados para a cadeia, onde encontram um assassino que os ajuda a escapar e deixar o estado.</v>
      </c>
      <c r="M682" s="1">
        <v>75.0</v>
      </c>
      <c r="N682" s="1" t="s">
        <v>4023</v>
      </c>
      <c r="O682" s="1" t="s">
        <v>4085</v>
      </c>
      <c r="P682" s="1" t="s">
        <v>4086</v>
      </c>
      <c r="Q682" s="1" t="s">
        <v>229</v>
      </c>
      <c r="R682" s="1" t="s">
        <v>230</v>
      </c>
      <c r="S682" s="1">
        <v>47834.0</v>
      </c>
      <c r="T682" s="7" t="str">
        <f>VLOOKUP(A682,Posters!A682:B1681,2)</f>
        <v>https://m.media-amazon.com/images/M/MV5BM2ZmNDJiZTUtYjg5Zi00M2I3LTliZjAtNzQ4NTlkYTAzYTAxXkEyXkFqcGdeQXVyNTkyMDc0MjI@._V1_UX67_CR0,0,67,98_AL_.jpg</v>
      </c>
      <c r="U682" s="8">
        <f>'Inflation Adjusted Gross'!F682</f>
        <v>3379985</v>
      </c>
      <c r="V682" s="5">
        <f t="shared" si="1"/>
        <v>2020</v>
      </c>
    </row>
    <row r="683">
      <c r="A683" s="1">
        <v>682.0</v>
      </c>
      <c r="B683" s="1" t="s">
        <v>4087</v>
      </c>
      <c r="C683" s="6">
        <f>Gross_cleaning!E683</f>
        <v>61503218</v>
      </c>
      <c r="D683" s="1">
        <v>1985.0</v>
      </c>
      <c r="E683" s="1" t="s">
        <v>52</v>
      </c>
      <c r="F683" s="1" t="str">
        <f>VLOOKUP(Filmes_raw!E683,Rating_systems!$A$2:$C$29,3,FALSE)</f>
        <v>Criança</v>
      </c>
      <c r="G683" s="2">
        <f>Gross_cleaning!F683</f>
        <v>114</v>
      </c>
      <c r="H683" s="1" t="s">
        <v>825</v>
      </c>
      <c r="I683" s="1" t="s">
        <v>3555</v>
      </c>
      <c r="J683" s="1">
        <v>7.8</v>
      </c>
      <c r="K683" s="1" t="s">
        <v>4088</v>
      </c>
      <c r="L683" s="1" t="str">
        <f>IFERROR(__xludf.DUMMYFUNCTION("GOOGLETRANSLATE(K683,""en"", ""pt-br"")"),"Um grupo de jovens desajustes chamou os goonies descobrem um mapa antigo e partiu em uma aventura para encontrar um longo tesouro lendário do pirata.")</f>
        <v>Um grupo de jovens desajustes chamou os goonies descobrem um mapa antigo e partiu em uma aventura para encontrar um longo tesouro lendário do pirata.</v>
      </c>
      <c r="M683" s="1">
        <v>62.0</v>
      </c>
      <c r="N683" s="1" t="s">
        <v>4089</v>
      </c>
      <c r="O683" s="1" t="s">
        <v>4090</v>
      </c>
      <c r="P683" s="1" t="s">
        <v>1616</v>
      </c>
      <c r="Q683" s="1" t="s">
        <v>4091</v>
      </c>
      <c r="R683" s="1" t="s">
        <v>1818</v>
      </c>
      <c r="S683" s="1">
        <v>244430.0</v>
      </c>
      <c r="T683" s="7" t="str">
        <f>VLOOKUP(A683,Posters!A683:B1682,2)</f>
        <v>https://m.media-amazon.com/images/M/MV5BODRlMjRkZGEtZWM2Zi00ZjYxLWE0MWUtMmM1YWM2NzZlOTE1XkEyXkFqcGdeQXVyMTQxNzMzNDI@._V1_UX67_CR0,0,67,98_AL_.jpg</v>
      </c>
      <c r="U683" s="8">
        <f>'Inflation Adjusted Gross'!F683</f>
        <v>150389068</v>
      </c>
      <c r="V683" s="5">
        <f t="shared" si="1"/>
        <v>2020</v>
      </c>
    </row>
    <row r="684">
      <c r="A684" s="1">
        <v>683.0</v>
      </c>
      <c r="B684" s="1" t="s">
        <v>4092</v>
      </c>
      <c r="C684" s="6">
        <f>Gross_cleaning!E684</f>
        <v>98467863</v>
      </c>
      <c r="D684" s="1">
        <v>1985.0</v>
      </c>
      <c r="E684" s="1" t="s">
        <v>52</v>
      </c>
      <c r="F684" s="1" t="str">
        <f>VLOOKUP(Filmes_raw!E684,Rating_systems!$A$2:$C$29,3,FALSE)</f>
        <v>Criança</v>
      </c>
      <c r="G684" s="2">
        <f>Gross_cleaning!F684</f>
        <v>154</v>
      </c>
      <c r="H684" s="1" t="s">
        <v>70</v>
      </c>
      <c r="I684" s="1" t="s">
        <v>20</v>
      </c>
      <c r="J684" s="1">
        <v>7.8</v>
      </c>
      <c r="K684" s="1" t="s">
        <v>4093</v>
      </c>
      <c r="L684" s="1" t="str">
        <f>IFERROR(__xludf.DUMMYFUNCTION("GOOGLETRANSLATE(K684,""en"", ""pt-br"")"),"Uma mulher negra do sul lutou para encontrar sua identidade depois de sofrer abuso de seu pai e outros durante quatro décadas.")</f>
        <v>Uma mulher negra do sul lutou para encontrar sua identidade depois de sofrer abuso de seu pai e outros durante quatro décadas.</v>
      </c>
      <c r="M684" s="1">
        <v>78.0</v>
      </c>
      <c r="N684" s="1" t="s">
        <v>81</v>
      </c>
      <c r="O684" s="1" t="s">
        <v>4094</v>
      </c>
      <c r="P684" s="1" t="s">
        <v>4095</v>
      </c>
      <c r="Q684" s="1" t="s">
        <v>4096</v>
      </c>
      <c r="R684" s="1" t="s">
        <v>4097</v>
      </c>
      <c r="S684" s="1">
        <v>78321.0</v>
      </c>
      <c r="T684" s="7" t="str">
        <f>VLOOKUP(A684,Posters!A684:B1683,2)</f>
        <v>https://m.media-amazon.com/images/M/MV5BZDRkOWQ5NGUtYTVmOS00ZjNhLWEwODgtOGI2MmUxNTBkMjU0XkEyXkFqcGdeQXVyMjUzOTY1NTc@._V1_UX67_CR0,0,67,98_AL_.jpg</v>
      </c>
      <c r="U684" s="8">
        <f>'Inflation Adjusted Gross'!F684</f>
        <v>240775859</v>
      </c>
      <c r="V684" s="5">
        <f t="shared" si="1"/>
        <v>2020</v>
      </c>
    </row>
    <row r="685">
      <c r="A685" s="1">
        <v>684.0</v>
      </c>
      <c r="B685" s="1" t="s">
        <v>4098</v>
      </c>
      <c r="C685" s="6">
        <f>Gross_cleaning!E685</f>
        <v>45875171</v>
      </c>
      <c r="D685" s="1">
        <v>1985.0</v>
      </c>
      <c r="E685" s="1" t="s">
        <v>37</v>
      </c>
      <c r="F685" s="1" t="str">
        <f>VLOOKUP(Filmes_raw!E685,Rating_systems!$A$2:$C$29,3,FALSE)</f>
        <v>Criança</v>
      </c>
      <c r="G685" s="2">
        <f>Gross_cleaning!F685</f>
        <v>97</v>
      </c>
      <c r="H685" s="1" t="s">
        <v>2864</v>
      </c>
      <c r="I685" s="1" t="s">
        <v>507</v>
      </c>
      <c r="J685" s="1">
        <v>7.8</v>
      </c>
      <c r="K685" s="1" t="s">
        <v>4099</v>
      </c>
      <c r="L685" s="1" t="str">
        <f>IFERROR(__xludf.DUMMYFUNCTION("GOOGLETRANSLATE(K685,""en"", ""pt-br"")"),"Cinco alunos do ensino médio se encontram na detenção de sábado e descobrem como eles têm muito mais em comum do que pensavam.")</f>
        <v>Cinco alunos do ensino médio se encontram na detenção de sábado e descobrem como eles têm muito mais em comum do que pensavam.</v>
      </c>
      <c r="M685" s="1">
        <v>66.0</v>
      </c>
      <c r="N685" s="1" t="s">
        <v>4079</v>
      </c>
      <c r="O685" s="1" t="s">
        <v>4100</v>
      </c>
      <c r="P685" s="1" t="s">
        <v>4101</v>
      </c>
      <c r="Q685" s="1" t="s">
        <v>4102</v>
      </c>
      <c r="R685" s="1" t="s">
        <v>4103</v>
      </c>
      <c r="S685" s="1">
        <v>357026.0</v>
      </c>
      <c r="T685" s="7" t="str">
        <f>VLOOKUP(A685,Posters!A685:B1684,2)</f>
        <v>https://m.media-amazon.com/images/M/MV5BOTM5N2ZmZTMtNjlmOS00YzlkLTk3YjEtNTU1ZmQ5OTdhODZhXkEyXkFqcGdeQXVyMTQxNzMzNDI@._V1_UX67_CR0,0,67,98_AL_.jpg</v>
      </c>
      <c r="U685" s="8">
        <f>'Inflation Adjusted Gross'!F685</f>
        <v>112175012</v>
      </c>
      <c r="V685" s="5">
        <f t="shared" si="1"/>
        <v>2020</v>
      </c>
    </row>
    <row r="686">
      <c r="A686" s="1">
        <v>685.0</v>
      </c>
      <c r="B686" s="1" t="s">
        <v>4104</v>
      </c>
      <c r="C686" s="6">
        <f>Gross_cleaning!E686</f>
        <v>34700291</v>
      </c>
      <c r="D686" s="1">
        <v>1984.0</v>
      </c>
      <c r="E686" s="1" t="s">
        <v>37</v>
      </c>
      <c r="F686" s="1" t="str">
        <f>VLOOKUP(Filmes_raw!E686,Rating_systems!$A$2:$C$29,3,FALSE)</f>
        <v>Criança</v>
      </c>
      <c r="G686" s="2">
        <f>Gross_cleaning!F686</f>
        <v>141</v>
      </c>
      <c r="H686" s="1" t="s">
        <v>1672</v>
      </c>
      <c r="I686" s="1" t="s">
        <v>79</v>
      </c>
      <c r="J686" s="1">
        <v>7.8</v>
      </c>
      <c r="K686" s="1" t="s">
        <v>4105</v>
      </c>
      <c r="L686" s="1" t="str">
        <f>IFERROR(__xludf.DUMMYFUNCTION("GOOGLETRANSLATE(K686,""en"", ""pt-br"")"),"Um jornalista está preso no Camboja durante a campanha de limpeza de 'Ano Zero' Ano Zero do Ano Zero do Pólo Tyrant, que alegou a vida de dois milhões de civis 'indesejáveis'.")</f>
        <v>Um jornalista está preso no Camboja durante a campanha de limpeza de 'Ano Zero' Ano Zero do Ano Zero do Pólo Tyrant, que alegou a vida de dois milhões de civis 'indesejáveis'.</v>
      </c>
      <c r="M686" s="1">
        <v>76.0</v>
      </c>
      <c r="N686" s="1" t="s">
        <v>4106</v>
      </c>
      <c r="O686" s="1" t="s">
        <v>4107</v>
      </c>
      <c r="P686" s="1" t="s">
        <v>4108</v>
      </c>
      <c r="Q686" s="1" t="s">
        <v>4109</v>
      </c>
      <c r="R686" s="1" t="s">
        <v>4110</v>
      </c>
      <c r="S686" s="1">
        <v>51585.0</v>
      </c>
      <c r="T686" s="7" t="str">
        <f>VLOOKUP(A686,Posters!A686:B1685,2)</f>
        <v>https://m.media-amazon.com/images/M/MV5BMGI0NzI5YjAtNTg0MS00NDA2LWE5ZWItODRmOTAxOTAxYjg2L2ltYWdlL2ltYWdlXkEyXkFqcGdeQXVyNTI4MjkwNjA@._V1_UX67_CR0,0,67,98_AL_.jpg</v>
      </c>
      <c r="U686" s="8">
        <f>'Inflation Adjusted Gross'!F686</f>
        <v>87847584</v>
      </c>
      <c r="V686" s="5">
        <f t="shared" si="1"/>
        <v>2020</v>
      </c>
    </row>
    <row r="687">
      <c r="A687" s="1">
        <v>686.0</v>
      </c>
      <c r="B687" s="1" t="s">
        <v>4111</v>
      </c>
      <c r="C687" s="6">
        <f>Gross_cleaning!E687</f>
        <v>238632124</v>
      </c>
      <c r="D687" s="1">
        <v>1984.0</v>
      </c>
      <c r="E687" s="1" t="s">
        <v>37</v>
      </c>
      <c r="F687" s="1" t="str">
        <f>VLOOKUP(Filmes_raw!E687,Rating_systems!$A$2:$C$29,3,FALSE)</f>
        <v>Criança</v>
      </c>
      <c r="G687" s="2">
        <f>Gross_cleaning!F687</f>
        <v>105</v>
      </c>
      <c r="H687" s="1" t="s">
        <v>487</v>
      </c>
      <c r="I687" s="1" t="s">
        <v>4070</v>
      </c>
      <c r="J687" s="1">
        <v>7.8</v>
      </c>
      <c r="K687" s="1" t="s">
        <v>4112</v>
      </c>
      <c r="L687" s="1" t="str">
        <f>IFERROR(__xludf.DUMMYFUNCTION("GOOGLETRANSLATE(K687,""en"", ""pt-br"")"),"Três ex-professores de parapsicologia criam uma loja como um serviço exclusivo de remoção fantasma.")</f>
        <v>Três ex-professores de parapsicologia criam uma loja como um serviço exclusivo de remoção fantasma.</v>
      </c>
      <c r="M687" s="1">
        <v>71.0</v>
      </c>
      <c r="N687" s="1" t="s">
        <v>4113</v>
      </c>
      <c r="O687" s="1" t="s">
        <v>2569</v>
      </c>
      <c r="P687" s="1" t="s">
        <v>3311</v>
      </c>
      <c r="Q687" s="1" t="s">
        <v>583</v>
      </c>
      <c r="R687" s="1" t="s">
        <v>2568</v>
      </c>
      <c r="S687" s="1">
        <v>355413.0</v>
      </c>
      <c r="T687" s="7" t="str">
        <f>VLOOKUP(A687,Posters!A687:B1686,2)</f>
        <v>https://m.media-amazon.com/images/M/MV5BMTkxMjYyNzgwMl5BMl5BanBnXkFtZTgwMTE3MjYyMTE@._V1_UX67_CR0,0,67,98_AL_.jpg</v>
      </c>
      <c r="U687" s="8">
        <f>'Inflation Adjusted Gross'!F687</f>
        <v>604123333</v>
      </c>
      <c r="V687" s="5">
        <f t="shared" si="1"/>
        <v>2020</v>
      </c>
    </row>
    <row r="688">
      <c r="A688" s="1">
        <v>687.0</v>
      </c>
      <c r="B688" s="1" t="s">
        <v>4114</v>
      </c>
      <c r="C688" s="6">
        <f>Gross_cleaning!E688</f>
        <v>21500000</v>
      </c>
      <c r="D688" s="1">
        <v>1983.0</v>
      </c>
      <c r="E688" s="1" t="s">
        <v>270</v>
      </c>
      <c r="F688" s="1" t="str">
        <f>VLOOKUP(Filmes_raw!E688,Rating_systems!$A$2:$C$29,3,FALSE)</f>
        <v>Criança</v>
      </c>
      <c r="G688" s="2">
        <f>Gross_cleaning!F688</f>
        <v>193</v>
      </c>
      <c r="H688" s="1" t="s">
        <v>4115</v>
      </c>
      <c r="I688" s="1" t="s">
        <v>858</v>
      </c>
      <c r="J688" s="1">
        <v>7.8</v>
      </c>
      <c r="K688" s="1" t="s">
        <v>4116</v>
      </c>
      <c r="L688" s="1" t="str">
        <f>IFERROR(__xludf.DUMMYFUNCTION("GOOGLETRANSLATE(K688,""en"", ""pt-br"")"),"A história dos Astronautas Mercury 7 originais e seu macho, abordagem de assentos do programa espacial.")</f>
        <v>A história dos Astronautas Mercury 7 originais e seu macho, abordagem de assentos do programa espacial.</v>
      </c>
      <c r="M688" s="1">
        <v>91.0</v>
      </c>
      <c r="N688" s="1" t="s">
        <v>4117</v>
      </c>
      <c r="O688" s="1" t="s">
        <v>4118</v>
      </c>
      <c r="P688" s="1" t="s">
        <v>4119</v>
      </c>
      <c r="Q688" s="1" t="s">
        <v>1151</v>
      </c>
      <c r="R688" s="1" t="s">
        <v>4120</v>
      </c>
      <c r="S688" s="1">
        <v>56235.0</v>
      </c>
      <c r="T688" s="7" t="str">
        <f>VLOOKUP(A688,Posters!A688:B1687,2)</f>
        <v>https://m.media-amazon.com/images/M/MV5BOTUwMDA3MTYtZjhjMi00ODFmLTg5ZTAtYzgwN2NlODgzMmUwXkEyXkFqcGdeQXVyNjc1NTYyMjg@._V1_UX67_CR0,0,67,98_AL_.jpg</v>
      </c>
      <c r="U688" s="8">
        <f>'Inflation Adjusted Gross'!F688</f>
        <v>56711416</v>
      </c>
      <c r="V688" s="5">
        <f t="shared" si="1"/>
        <v>2020</v>
      </c>
    </row>
    <row r="689">
      <c r="A689" s="1">
        <v>688.0</v>
      </c>
      <c r="B689" s="1" t="s">
        <v>4121</v>
      </c>
      <c r="C689" s="6">
        <f>Gross_cleaning!E689</f>
        <v>2500000</v>
      </c>
      <c r="D689" s="1">
        <v>1982.0</v>
      </c>
      <c r="E689" s="1" t="s">
        <v>52</v>
      </c>
      <c r="F689" s="1" t="str">
        <f>VLOOKUP(Filmes_raw!E689,Rating_systems!$A$2:$C$29,3,FALSE)</f>
        <v>Criança</v>
      </c>
      <c r="G689" s="2">
        <f>Gross_cleaning!F689</f>
        <v>109</v>
      </c>
      <c r="H689" s="1" t="s">
        <v>396</v>
      </c>
      <c r="I689" s="1" t="s">
        <v>831</v>
      </c>
      <c r="J689" s="1">
        <v>7.8</v>
      </c>
      <c r="K689" s="1" t="s">
        <v>4122</v>
      </c>
      <c r="L689" s="1" t="str">
        <f>IFERROR(__xludf.DUMMYFUNCTION("GOOGLETRANSLATE(K689,""en"", ""pt-br"")"),"O Pupkin de Rupert é uma cômica apaixonada, mas malsucedida, que despedaça nada mais do que estar no centro das atenções e para conseguir isso, ele persegue e seqüestra seu ídolo para assumir os holofotes para si mesmo.")</f>
        <v>O Pupkin de Rupert é uma cômica apaixonada, mas malsucedida, que despedaça nada mais do que estar no centro das atenções e para conseguir isso, ele persegue e seqüestra seu ídolo para assumir os holofotes para si mesmo.</v>
      </c>
      <c r="M689" s="1">
        <v>73.0</v>
      </c>
      <c r="N689" s="1" t="s">
        <v>139</v>
      </c>
      <c r="O689" s="1" t="s">
        <v>49</v>
      </c>
      <c r="P689" s="1" t="s">
        <v>4123</v>
      </c>
      <c r="Q689" s="1" t="s">
        <v>4124</v>
      </c>
      <c r="R689" s="1" t="s">
        <v>4125</v>
      </c>
      <c r="S689" s="1">
        <v>88511.0</v>
      </c>
      <c r="T689" s="7" t="str">
        <f>VLOOKUP(A689,Posters!A689:B1688,2)</f>
        <v>https://m.media-amazon.com/images/M/MV5BMTViNjlkYjgtMmE3Zi00ZGVkLTkyMjMtNzc3YzAwNzNiODQ1XkEyXkFqcGdeQXVyMjA0MzYwMDY@._V1_UX67_CR0,0,67,98_AL_.jpg</v>
      </c>
      <c r="U689" s="8">
        <f>'Inflation Adjusted Gross'!F689</f>
        <v>6839104</v>
      </c>
      <c r="V689" s="5">
        <f t="shared" si="1"/>
        <v>2020</v>
      </c>
    </row>
    <row r="690">
      <c r="A690" s="1">
        <v>689.0</v>
      </c>
      <c r="B690" s="1" t="s">
        <v>4126</v>
      </c>
      <c r="C690" s="6">
        <f>Gross_cleaning!E690</f>
        <v>435110554</v>
      </c>
      <c r="D690" s="1">
        <v>1982.0</v>
      </c>
      <c r="E690" s="1" t="s">
        <v>52</v>
      </c>
      <c r="F690" s="1" t="str">
        <f>VLOOKUP(Filmes_raw!E690,Rating_systems!$A$2:$C$29,3,FALSE)</f>
        <v>Criança</v>
      </c>
      <c r="G690" s="2">
        <f>Gross_cleaning!F690</f>
        <v>115</v>
      </c>
      <c r="H690" s="1" t="s">
        <v>563</v>
      </c>
      <c r="I690" s="1" t="s">
        <v>4127</v>
      </c>
      <c r="J690" s="1">
        <v>7.8</v>
      </c>
      <c r="K690" s="1" t="s">
        <v>4128</v>
      </c>
      <c r="L690" s="1" t="str">
        <f>IFERROR(__xludf.DUMMYFUNCTION("GOOGLETRANSLATE(K690,""en"", ""pt-br"")"),"Uma criança problemática convoca a coragem para ajudar um amigável a escapar alienígena e retornar ao seu mundo em casa.")</f>
        <v>Uma criança problemática convoca a coragem para ajudar um amigável a escapar alienígena e retornar ao seu mundo em casa.</v>
      </c>
      <c r="M690" s="1">
        <v>91.0</v>
      </c>
      <c r="N690" s="1" t="s">
        <v>81</v>
      </c>
      <c r="O690" s="1" t="s">
        <v>4129</v>
      </c>
      <c r="P690" s="1" t="s">
        <v>4130</v>
      </c>
      <c r="Q690" s="1" t="s">
        <v>4131</v>
      </c>
      <c r="R690" s="1" t="s">
        <v>4132</v>
      </c>
      <c r="S690" s="1">
        <v>372490.0</v>
      </c>
      <c r="T690" s="7" t="str">
        <f>VLOOKUP(A690,Posters!A690:B1689,2)</f>
        <v>https://m.media-amazon.com/images/M/MV5BMTQ2ODFlMDAtNzdhOC00ZDYzLWE3YTMtNDU4ZGFmZmJmYTczXkEyXkFqcGdeQXVyMTQxNzMzNDI@._V1_UX67_CR0,0,67,98_AL_.jpg</v>
      </c>
      <c r="U690" s="8">
        <f>'Inflation Adjusted Gross'!F690</f>
        <v>1190306519</v>
      </c>
      <c r="V690" s="5">
        <f t="shared" si="1"/>
        <v>2020</v>
      </c>
    </row>
    <row r="691">
      <c r="A691" s="1">
        <v>690.0</v>
      </c>
      <c r="B691" s="1" t="s">
        <v>4133</v>
      </c>
      <c r="C691" s="6">
        <f>Gross_cleaning!E691</f>
        <v>106260000</v>
      </c>
      <c r="D691" s="1">
        <v>1979.0</v>
      </c>
      <c r="E691" s="1" t="s">
        <v>18</v>
      </c>
      <c r="F691" s="1" t="str">
        <f>VLOOKUP(Filmes_raw!E691,Rating_systems!$A$2:$C$29,3,FALSE)</f>
        <v>Adulto</v>
      </c>
      <c r="G691" s="2">
        <f>Gross_cleaning!F691</f>
        <v>105</v>
      </c>
      <c r="H691" s="1" t="s">
        <v>487</v>
      </c>
      <c r="I691" s="1" t="s">
        <v>20</v>
      </c>
      <c r="J691" s="1">
        <v>7.8</v>
      </c>
      <c r="K691" s="1" t="s">
        <v>4134</v>
      </c>
      <c r="L691" s="1" t="str">
        <f>IFERROR(__xludf.DUMMYFUNCTION("GOOGLETRANSLATE(K691,""en"", ""pt-br"")"),"A esposa de Ted Kramer o deixa, permitindo que uma ligação perdida seja redescoberta entre Ted e seu filho, Billy. Mas uma batalha de custódia aquecida segue sobre o filho do casal divorciado, aprofundando as feridas deixadas pela separação.")</f>
        <v>A esposa de Ted Kramer o deixa, permitindo que uma ligação perdida seja redescoberta entre Ted e seu filho, Billy. Mas uma batalha de custódia aquecida segue sobre o filho do casal divorciado, aprofundando as feridas deixadas pela separação.</v>
      </c>
      <c r="M691" s="1">
        <v>77.0</v>
      </c>
      <c r="N691" s="1" t="s">
        <v>4135</v>
      </c>
      <c r="O691" s="1" t="s">
        <v>2618</v>
      </c>
      <c r="P691" s="1" t="s">
        <v>3136</v>
      </c>
      <c r="Q691" s="1" t="s">
        <v>4136</v>
      </c>
      <c r="R691" s="1" t="s">
        <v>4137</v>
      </c>
      <c r="S691" s="1">
        <v>133351.0</v>
      </c>
      <c r="T691" s="7" t="str">
        <f>VLOOKUP(A691,Posters!A691:B1690,2)</f>
        <v>https://m.media-amazon.com/images/M/MV5BNDM3YjNlYmMtOGY3NS00MmRjLWIyY2UtNDA0MWM3OTNlZTY2XkEyXkFqcGdeQXVyMTQxNzMzNDI@._V1_UX67_CR0,0,67,98_AL_.jpg</v>
      </c>
      <c r="U691" s="8">
        <f>'Inflation Adjusted Gross'!F691</f>
        <v>401346976</v>
      </c>
      <c r="V691" s="5">
        <f t="shared" si="1"/>
        <v>2020</v>
      </c>
    </row>
    <row r="692">
      <c r="A692" s="1">
        <v>691.0</v>
      </c>
      <c r="B692" s="1" t="s">
        <v>4138</v>
      </c>
      <c r="C692" s="6">
        <f>Gross_cleaning!E692</f>
        <v>3446749</v>
      </c>
      <c r="D692" s="1">
        <v>1978.0</v>
      </c>
      <c r="E692" s="1" t="s">
        <v>270</v>
      </c>
      <c r="F692" s="1" t="str">
        <f>VLOOKUP(Filmes_raw!E692,Rating_systems!$A$2:$C$29,3,FALSE)</f>
        <v>Criança</v>
      </c>
      <c r="G692" s="2">
        <f>Gross_cleaning!F692</f>
        <v>94</v>
      </c>
      <c r="H692" s="1" t="s">
        <v>1882</v>
      </c>
      <c r="I692" s="1" t="s">
        <v>107</v>
      </c>
      <c r="J692" s="1">
        <v>7.8</v>
      </c>
      <c r="K692" s="1" t="s">
        <v>4139</v>
      </c>
      <c r="L692" s="1" t="str">
        <f>IFERROR(__xludf.DUMMYFUNCTION("GOOGLETRANSLATE(K692,""en"", ""pt-br"")"),"Um trabalhador de fazenda de temperamento quente convence a mulher que ele gosta de se casar com seu chefe rico, mas moribundo, para que eles possam ter uma reivindicação à sua fortuna.")</f>
        <v>Um trabalhador de fazenda de temperamento quente convence a mulher que ele gosta de se casar com seu chefe rico, mas moribundo, para que eles possam ter uma reivindicação à sua fortuna.</v>
      </c>
      <c r="M692" s="1">
        <v>93.0</v>
      </c>
      <c r="N692" s="1" t="s">
        <v>4140</v>
      </c>
      <c r="O692" s="1" t="s">
        <v>1583</v>
      </c>
      <c r="P692" s="1" t="s">
        <v>4141</v>
      </c>
      <c r="Q692" s="1" t="s">
        <v>4118</v>
      </c>
      <c r="R692" s="1" t="s">
        <v>4142</v>
      </c>
      <c r="S692" s="1">
        <v>52852.0</v>
      </c>
      <c r="T692" s="7" t="str">
        <f>VLOOKUP(A692,Posters!A692:B1691,2)</f>
        <v>https://m.media-amazon.com/images/M/MV5BZjMyZmU4OGYtNjBiYS00YTIxLWJjMDUtZjczZmQwMTM4YjQxXkEyXkFqcGdeQXVyNTI4MjkwNjA@._V1_UX67_CR0,0,67,98_AL_.jpg</v>
      </c>
      <c r="U692" s="8">
        <f>'Inflation Adjusted Gross'!F692</f>
        <v>14226581</v>
      </c>
      <c r="V692" s="5">
        <f t="shared" si="1"/>
        <v>2020</v>
      </c>
    </row>
    <row r="693">
      <c r="A693" s="1">
        <v>692.0</v>
      </c>
      <c r="B693" s="1" t="s">
        <v>4143</v>
      </c>
      <c r="C693" s="6">
        <f>Gross_cleaning!E693</f>
        <v>31800000</v>
      </c>
      <c r="D693" s="1">
        <v>1976.0</v>
      </c>
      <c r="E693" s="1" t="s">
        <v>18</v>
      </c>
      <c r="F693" s="1" t="str">
        <f>VLOOKUP(Filmes_raw!E693,Rating_systems!$A$2:$C$29,3,FALSE)</f>
        <v>Adulto</v>
      </c>
      <c r="G693" s="2">
        <f>Gross_cleaning!F693</f>
        <v>135</v>
      </c>
      <c r="H693" s="1" t="s">
        <v>1044</v>
      </c>
      <c r="I693" s="1" t="s">
        <v>116</v>
      </c>
      <c r="J693" s="1">
        <v>7.8</v>
      </c>
      <c r="K693" s="1" t="s">
        <v>4144</v>
      </c>
      <c r="L693" s="1" t="str">
        <f>IFERROR(__xludf.DUMMYFUNCTION("GOOGLETRANSLATE(K693,""en"", ""pt-br"")"),"O Farmer Farmer Josey Wales se junta a uma unidade de guerrilha confederada e acaba na corrida dos soldados da União que assassinaram sua família.")</f>
        <v>O Farmer Farmer Josey Wales se junta a uma unidade de guerrilha confederada e acaba na corrida dos soldados da União que assassinaram sua família.</v>
      </c>
      <c r="M693" s="1">
        <v>69.0</v>
      </c>
      <c r="N693" s="1" t="s">
        <v>119</v>
      </c>
      <c r="O693" s="1" t="s">
        <v>119</v>
      </c>
      <c r="P693" s="1" t="s">
        <v>4145</v>
      </c>
      <c r="Q693" s="1" t="s">
        <v>4146</v>
      </c>
      <c r="R693" s="1" t="s">
        <v>4147</v>
      </c>
      <c r="S693" s="1">
        <v>65659.0</v>
      </c>
      <c r="T693" s="7" t="str">
        <f>VLOOKUP(A693,Posters!A693:B1692,2)</f>
        <v>https://m.media-amazon.com/images/M/MV5BMjIxNDYxMTk2MF5BMl5BanBnXkFtZTgwMjQxNjU3MTE@._V1_UY98_CR0,0,67,98_AL_.jpg</v>
      </c>
      <c r="U693" s="8">
        <f>'Inflation Adjusted Gross'!F693</f>
        <v>147544565</v>
      </c>
      <c r="V693" s="5">
        <f t="shared" si="1"/>
        <v>2020</v>
      </c>
    </row>
    <row r="694">
      <c r="A694" s="1">
        <v>693.0</v>
      </c>
      <c r="B694" s="1" t="s">
        <v>4148</v>
      </c>
      <c r="C694" s="6">
        <f>Gross_cleaning!E694</f>
        <v>12678</v>
      </c>
      <c r="D694" s="1">
        <v>1975.0</v>
      </c>
      <c r="E694" s="1" t="s">
        <v>270</v>
      </c>
      <c r="F694" s="1" t="str">
        <f>VLOOKUP(Filmes_raw!E694,Rating_systems!$A$2:$C$29,3,FALSE)</f>
        <v>Criança</v>
      </c>
      <c r="G694" s="2">
        <f>Gross_cleaning!F694</f>
        <v>129</v>
      </c>
      <c r="H694" s="1" t="s">
        <v>830</v>
      </c>
      <c r="I694" s="1" t="s">
        <v>4149</v>
      </c>
      <c r="J694" s="1">
        <v>7.8</v>
      </c>
      <c r="K694" s="1" t="s">
        <v>4150</v>
      </c>
      <c r="L694" s="1" t="str">
        <f>IFERROR(__xludf.DUMMYFUNCTION("GOOGLETRANSLATE(K694,""en"", ""pt-br"")"),"Dois antigos soldados britânicos decidem se estabelecer como reis em Kafiristão, uma terra onde nenhum homem branco colocou os pés desde que Alexandre o Grande.")</f>
        <v>Dois antigos soldados britânicos decidem se estabelecer como reis em Kafiristão, uma terra onde nenhum homem branco colocou os pés desde que Alexandre o Grande.</v>
      </c>
      <c r="M694" s="1">
        <v>91.0</v>
      </c>
      <c r="N694" s="1" t="s">
        <v>1346</v>
      </c>
      <c r="O694" s="1" t="s">
        <v>1195</v>
      </c>
      <c r="P694" s="1" t="s">
        <v>45</v>
      </c>
      <c r="Q694" s="1" t="s">
        <v>1152</v>
      </c>
      <c r="R694" s="1" t="s">
        <v>4151</v>
      </c>
      <c r="S694" s="1">
        <v>44917.0</v>
      </c>
      <c r="T694" s="7" t="str">
        <f>VLOOKUP(A694,Posters!A694:B1693,2)</f>
        <v>https://m.media-amazon.com/images/M/MV5BZWQzYjBjZmQtZDFiOS00ZDQ1LWI4MDAtMDk1NGE1NDBhYjNhL2ltYWdlXkEyXkFqcGdeQXVyNjc1NTYyMjg@._V1_UX67_CR0,0,67,98_AL_.jpg</v>
      </c>
      <c r="U694" s="8">
        <f>'Inflation Adjusted Gross'!F694</f>
        <v>62775</v>
      </c>
      <c r="V694" s="5">
        <f t="shared" si="1"/>
        <v>2020</v>
      </c>
    </row>
    <row r="695">
      <c r="A695" s="1">
        <v>694.0</v>
      </c>
      <c r="B695" s="1" t="s">
        <v>4152</v>
      </c>
      <c r="C695" s="6">
        <f>Gross_cleaning!E695</f>
        <v>4420000</v>
      </c>
      <c r="D695" s="1">
        <v>1974.0</v>
      </c>
      <c r="E695" s="1" t="s">
        <v>52</v>
      </c>
      <c r="F695" s="1" t="str">
        <f>VLOOKUP(Filmes_raw!E695,Rating_systems!$A$2:$C$29,3,FALSE)</f>
        <v>Criança</v>
      </c>
      <c r="G695" s="2">
        <f>Gross_cleaning!F695</f>
        <v>113</v>
      </c>
      <c r="H695" s="1" t="s">
        <v>543</v>
      </c>
      <c r="I695" s="1" t="s">
        <v>527</v>
      </c>
      <c r="J695" s="1">
        <v>7.8</v>
      </c>
      <c r="K695" s="1" t="s">
        <v>4153</v>
      </c>
      <c r="L695" s="1" t="str">
        <f>IFERROR(__xludf.DUMMYFUNCTION("GOOGLETRANSLATE(K695,""en"", ""pt-br"")"),"Um especialista de vigilância paranóico e secreto tem uma crise de consciência quando suspeita que o casal ele está espionando será assassinado.")</f>
        <v>Um especialista de vigilância paranóico e secreto tem uma crise de consciência quando suspeita que o casal ele está espionando será assassinado.</v>
      </c>
      <c r="M695" s="1">
        <v>85.0</v>
      </c>
      <c r="N695" s="1" t="s">
        <v>31</v>
      </c>
      <c r="O695" s="1" t="s">
        <v>1191</v>
      </c>
      <c r="P695" s="1" t="s">
        <v>1888</v>
      </c>
      <c r="Q695" s="1" t="s">
        <v>4154</v>
      </c>
      <c r="R695" s="1" t="s">
        <v>579</v>
      </c>
      <c r="S695" s="1">
        <v>98611.0</v>
      </c>
      <c r="T695" s="7" t="str">
        <f>VLOOKUP(A695,Posters!A695:B1694,2)</f>
        <v>https://m.media-amazon.com/images/M/MV5BNzZlMThlYzktMDlmZC00YTI1LThlNzktZWU0MTY4ODc2ZWY4XkEyXkFqcGdeQXVyNTA1NjYyMDk@._V1_UX67_CR0,0,67,98_AL_.jpg</v>
      </c>
      <c r="U695" s="8">
        <f>'Inflation Adjusted Gross'!F695</f>
        <v>24468494</v>
      </c>
      <c r="V695" s="5">
        <f t="shared" si="1"/>
        <v>2020</v>
      </c>
    </row>
    <row r="696">
      <c r="A696" s="1">
        <v>695.0</v>
      </c>
      <c r="B696" s="1" t="s">
        <v>4155</v>
      </c>
      <c r="C696" s="6">
        <f>Gross_cleaning!E696</f>
        <v>193817</v>
      </c>
      <c r="D696" s="1">
        <v>1973.0</v>
      </c>
      <c r="E696" s="1" t="s">
        <v>52</v>
      </c>
      <c r="F696" s="1" t="str">
        <f>VLOOKUP(Filmes_raw!E696,Rating_systems!$A$2:$C$29,3,FALSE)</f>
        <v>Criança</v>
      </c>
      <c r="G696" s="2">
        <f>Gross_cleaning!F696</f>
        <v>72</v>
      </c>
      <c r="H696" s="1" t="s">
        <v>2117</v>
      </c>
      <c r="I696" s="1" t="s">
        <v>4156</v>
      </c>
      <c r="J696" s="1">
        <v>7.8</v>
      </c>
      <c r="K696" s="1" t="s">
        <v>4157</v>
      </c>
      <c r="L696" s="1" t="str">
        <f>IFERROR(__xludf.DUMMYFUNCTION("GOOGLETRANSLATE(K696,""en"", ""pt-br"")"),"Em um planeta distante, onde os gigantes azuis governam, os humanóides oprimidos se rebelam contra seus líderes semelhantes a máquina.")</f>
        <v>Em um planeta distante, onde os gigantes azuis governam, os humanóides oprimidos se rebelam contra seus líderes semelhantes a máquina.</v>
      </c>
      <c r="M696" s="1">
        <v>73.0</v>
      </c>
      <c r="N696" s="1" t="s">
        <v>4158</v>
      </c>
      <c r="O696" s="1" t="s">
        <v>4159</v>
      </c>
      <c r="P696" s="1" t="s">
        <v>4160</v>
      </c>
      <c r="Q696" s="1" t="s">
        <v>4161</v>
      </c>
      <c r="R696" s="1" t="s">
        <v>4162</v>
      </c>
      <c r="S696" s="1">
        <v>25229.0</v>
      </c>
      <c r="T696" s="7" t="str">
        <f>VLOOKUP(A696,Posters!A696:B1695,2)</f>
        <v>https://m.media-amazon.com/images/M/MV5BYjhhMDFlZDctYzg1Mi00ZmZiLTgyNTgtM2NkMjRkNzYwZmQ0XkEyXkFqcGdeQXVyMTMxODk2OTU@._V1_UX67_CR0,0,67,98_AL_.jpg</v>
      </c>
      <c r="U696" s="8">
        <f>'Inflation Adjusted Gross'!F696</f>
        <v>1173689</v>
      </c>
      <c r="V696" s="5">
        <f t="shared" si="1"/>
        <v>2020</v>
      </c>
    </row>
    <row r="697">
      <c r="A697" s="1">
        <v>696.0</v>
      </c>
      <c r="B697" s="1" t="s">
        <v>4163</v>
      </c>
      <c r="C697" s="6">
        <f>Gross_cleaning!E697</f>
        <v>16056255</v>
      </c>
      <c r="D697" s="1">
        <v>1973.0</v>
      </c>
      <c r="E697" s="1" t="s">
        <v>18</v>
      </c>
      <c r="F697" s="1" t="str">
        <f>VLOOKUP(Filmes_raw!E697,Rating_systems!$A$2:$C$29,3,FALSE)</f>
        <v>Adulto</v>
      </c>
      <c r="G697" s="2">
        <f>Gross_cleaning!F697</f>
        <v>143</v>
      </c>
      <c r="H697" s="1" t="s">
        <v>596</v>
      </c>
      <c r="I697" s="1" t="s">
        <v>241</v>
      </c>
      <c r="J697" s="1">
        <v>7.8</v>
      </c>
      <c r="K697" s="1" t="s">
        <v>4164</v>
      </c>
      <c r="L697" s="1" t="str">
        <f>IFERROR(__xludf.DUMMYFUNCTION("GOOGLETRANSLATE(K697,""en"", ""pt-br"")"),"Um assassino profissional codinâmico ""Chacal"" trove para matar Charles de Gaulle, presidente da França.")</f>
        <v>Um assassino profissional codinâmico "Chacal" trove para matar Charles de Gaulle, presidente da França.</v>
      </c>
      <c r="M697" s="1">
        <v>80.0</v>
      </c>
      <c r="N697" s="1" t="s">
        <v>3435</v>
      </c>
      <c r="O697" s="1" t="s">
        <v>4165</v>
      </c>
      <c r="P697" s="1" t="s">
        <v>4166</v>
      </c>
      <c r="Q697" s="1" t="s">
        <v>4167</v>
      </c>
      <c r="R697" s="1" t="s">
        <v>4168</v>
      </c>
      <c r="S697" s="1">
        <v>37445.0</v>
      </c>
      <c r="T697" s="7" t="str">
        <f>VLOOKUP(A697,Posters!A697:B1696,2)</f>
        <v>https://m.media-amazon.com/images/M/MV5BNjZmMWE4NzgtZjc5OS00NTBmLThlY2MtM2MzNTA5NTZiNTFjXkEyXkFqcGdeQXVyNjc1NTYyMjg@._V1_UY98_CR0,0,67,98_AL_.jpg</v>
      </c>
      <c r="U697" s="8">
        <f>'Inflation Adjusted Gross'!F697</f>
        <v>97231177</v>
      </c>
      <c r="V697" s="5">
        <f t="shared" si="1"/>
        <v>2020</v>
      </c>
    </row>
    <row r="698">
      <c r="A698" s="1">
        <v>697.0</v>
      </c>
      <c r="B698" s="1" t="s">
        <v>4169</v>
      </c>
      <c r="C698" s="6">
        <f>Gross_cleaning!E698</f>
        <v>0</v>
      </c>
      <c r="D698" s="1">
        <v>1973.0</v>
      </c>
      <c r="E698" s="1" t="s">
        <v>270</v>
      </c>
      <c r="F698" s="1" t="str">
        <f>VLOOKUP(Filmes_raw!E698,Rating_systems!$A$2:$C$29,3,FALSE)</f>
        <v>Criança</v>
      </c>
      <c r="G698" s="2">
        <f>Gross_cleaning!F698</f>
        <v>94</v>
      </c>
      <c r="H698" s="1" t="s">
        <v>1882</v>
      </c>
      <c r="I698" s="1" t="s">
        <v>39</v>
      </c>
      <c r="J698" s="1">
        <v>7.8</v>
      </c>
      <c r="K698" s="1" t="s">
        <v>4170</v>
      </c>
      <c r="L698" s="1" t="str">
        <f>IFERROR(__xludf.DUMMYFUNCTION("GOOGLETRANSLATE(K698,""en"", ""pt-br"")"),"Uma adolescente impressionável de uma cidade sem saída e seu namorado mais vivo em embarcações em uma matança nos Badlands do Sul Dakota.")</f>
        <v>Uma adolescente impressionável de uma cidade sem saída e seu namorado mais vivo em embarcações em uma matança nos Badlands do Sul Dakota.</v>
      </c>
      <c r="M698" s="1">
        <v>93.0</v>
      </c>
      <c r="N698" s="1" t="s">
        <v>4140</v>
      </c>
      <c r="O698" s="1" t="s">
        <v>578</v>
      </c>
      <c r="P698" s="1" t="s">
        <v>2495</v>
      </c>
      <c r="Q698" s="1" t="s">
        <v>3390</v>
      </c>
      <c r="R698" s="1" t="s">
        <v>4171</v>
      </c>
      <c r="S698" s="1">
        <v>66009.0</v>
      </c>
      <c r="T698" s="7" t="str">
        <f>VLOOKUP(A698,Posters!A698:B1697,2)</f>
        <v>https://m.media-amazon.com/images/M/MV5BMDcxNjhiOTEtMzQ0YS00OTBhLTkxM2QtN2UyZDMzNzIzNWFlXkEyXkFqcGdeQXVyMTQxNzMzNDI@._V1_UY98_CR1,0,67,98_AL_.jpg</v>
      </c>
      <c r="U698" s="8">
        <f>'Inflation Adjusted Gross'!F698</f>
        <v>0</v>
      </c>
      <c r="V698" s="5">
        <f t="shared" si="1"/>
        <v>2020</v>
      </c>
    </row>
    <row r="699">
      <c r="A699" s="1">
        <v>698.0</v>
      </c>
      <c r="B699" s="1" t="s">
        <v>4172</v>
      </c>
      <c r="C699" s="6">
        <f>Gross_cleaning!E699</f>
        <v>42765000</v>
      </c>
      <c r="D699" s="1">
        <v>1972.0</v>
      </c>
      <c r="E699" s="1" t="s">
        <v>18</v>
      </c>
      <c r="F699" s="1" t="str">
        <f>VLOOKUP(Filmes_raw!E699,Rating_systems!$A$2:$C$29,3,FALSE)</f>
        <v>Adulto</v>
      </c>
      <c r="G699" s="2">
        <f>Gross_cleaning!F699</f>
        <v>124</v>
      </c>
      <c r="H699" s="1" t="s">
        <v>144</v>
      </c>
      <c r="I699" s="1" t="s">
        <v>3319</v>
      </c>
      <c r="J699" s="1">
        <v>7.8</v>
      </c>
      <c r="K699" s="1" t="s">
        <v>4173</v>
      </c>
      <c r="L699" s="1" t="str">
        <f>IFERROR(__xludf.DUMMYFUNCTION("GOOGLETRANSLATE(K699,""en"", ""pt-br"")"),"Um artista de fêmea girlie club em Weimar Republic Era Berlim romango dois homens enquanto o partido nazista sobe para poder em torno deles.")</f>
        <v>Um artista de fêmea girlie club em Weimar Republic Era Berlim romango dois homens enquanto o partido nazista sobe para poder em torno deles.</v>
      </c>
      <c r="M699" s="1">
        <v>80.0</v>
      </c>
      <c r="N699" s="1" t="s">
        <v>3321</v>
      </c>
      <c r="O699" s="1" t="s">
        <v>4174</v>
      </c>
      <c r="P699" s="1" t="s">
        <v>4175</v>
      </c>
      <c r="Q699" s="1" t="s">
        <v>4176</v>
      </c>
      <c r="R699" s="1" t="s">
        <v>4177</v>
      </c>
      <c r="S699" s="1">
        <v>48334.0</v>
      </c>
      <c r="T699" s="7" t="str">
        <f>VLOOKUP(A699,Posters!A699:B1698,2)</f>
        <v>https://m.media-amazon.com/images/M/MV5BNTEyMzc0Mjk5MV5BMl5BanBnXkFtZTgwMjI2NDIwMTE@._V1_UX67_CR0,0,67,98_AL_.jpg</v>
      </c>
      <c r="U699" s="8">
        <f>'Inflation Adjusted Gross'!F699</f>
        <v>268421650</v>
      </c>
      <c r="V699" s="5">
        <f t="shared" si="1"/>
        <v>2020</v>
      </c>
    </row>
    <row r="700">
      <c r="A700" s="1">
        <v>699.0</v>
      </c>
      <c r="B700" s="1" t="s">
        <v>4178</v>
      </c>
      <c r="C700" s="6">
        <f>Gross_cleaning!E700</f>
        <v>4000000</v>
      </c>
      <c r="D700" s="1">
        <v>1971.0</v>
      </c>
      <c r="E700" s="1" t="s">
        <v>52</v>
      </c>
      <c r="F700" s="1" t="str">
        <f>VLOOKUP(Filmes_raw!E700,Rating_systems!$A$2:$C$29,3,FALSE)</f>
        <v>Criança</v>
      </c>
      <c r="G700" s="2">
        <f>Gross_cleaning!F700</f>
        <v>100</v>
      </c>
      <c r="H700" s="1" t="s">
        <v>1439</v>
      </c>
      <c r="I700" s="1" t="s">
        <v>4179</v>
      </c>
      <c r="J700" s="1">
        <v>7.8</v>
      </c>
      <c r="K700" s="1" t="s">
        <v>4180</v>
      </c>
      <c r="L700" s="1" t="str">
        <f>IFERROR(__xludf.DUMMYFUNCTION("GOOGLETRANSLATE(K700,""en"", ""pt-br"")"),"Um menino pobre, mas esperançoso, procura um dos cinco bilhetes de ouro cobiçados que o enviarão em um tour pela misteriosa fábrica de chocolate Willy Wonka.")</f>
        <v>Um menino pobre, mas esperançoso, procura um dos cinco bilhetes de ouro cobiçados que o enviarão em um tour pela misteriosa fábrica de chocolate Willy Wonka.</v>
      </c>
      <c r="M700" s="1">
        <v>67.0</v>
      </c>
      <c r="N700" s="1" t="s">
        <v>4181</v>
      </c>
      <c r="O700" s="1" t="s">
        <v>2687</v>
      </c>
      <c r="P700" s="1" t="s">
        <v>4182</v>
      </c>
      <c r="Q700" s="1" t="s">
        <v>4183</v>
      </c>
      <c r="R700" s="1" t="s">
        <v>4184</v>
      </c>
      <c r="S700" s="1">
        <v>178731.0</v>
      </c>
      <c r="T700" s="7" t="str">
        <f>VLOOKUP(A700,Posters!A700:B1699,2)</f>
        <v>https://m.media-amazon.com/images/M/MV5BZTllNDU0ZTItYTYxMC00OTI4LThlNDAtZjNiNzdhMWZiYjNmXkEyXkFqcGdeQXVyNzY1NDgwNjQ@._V1_UX67_CR0,0,67,98_AL_.jpg</v>
      </c>
      <c r="U700" s="8">
        <f>'Inflation Adjusted Gross'!F700</f>
        <v>25926734</v>
      </c>
      <c r="V700" s="5">
        <f t="shared" si="1"/>
        <v>2020</v>
      </c>
    </row>
    <row r="701">
      <c r="A701" s="1">
        <v>700.0</v>
      </c>
      <c r="B701" s="1" t="s">
        <v>4185</v>
      </c>
      <c r="C701" s="6">
        <f>Gross_cleaning!E701</f>
        <v>44785053</v>
      </c>
      <c r="D701" s="1">
        <v>1969.0</v>
      </c>
      <c r="E701" s="1" t="s">
        <v>18</v>
      </c>
      <c r="F701" s="1" t="str">
        <f>VLOOKUP(Filmes_raw!E701,Rating_systems!$A$2:$C$29,3,FALSE)</f>
        <v>Adulto</v>
      </c>
      <c r="G701" s="2">
        <f>Gross_cleaning!F701</f>
        <v>113</v>
      </c>
      <c r="H701" s="1" t="s">
        <v>543</v>
      </c>
      <c r="I701" s="1" t="s">
        <v>20</v>
      </c>
      <c r="J701" s="1">
        <v>7.8</v>
      </c>
      <c r="K701" s="1" t="s">
        <v>4186</v>
      </c>
      <c r="L701" s="1" t="str">
        <f>IFERROR(__xludf.DUMMYFUNCTION("GOOGLETRANSLATE(K701,""en"", ""pt-br"")"),"Um hustler ingênuo viaja do Texas para Nova York para buscar fortuna pessoal, encontrando um novo amigo no processo.")</f>
        <v>Um hustler ingênuo viaja do Texas para Nova York para buscar fortuna pessoal, encontrando um novo amigo no processo.</v>
      </c>
      <c r="M701" s="1">
        <v>79.0</v>
      </c>
      <c r="N701" s="1" t="s">
        <v>4187</v>
      </c>
      <c r="O701" s="1" t="s">
        <v>2618</v>
      </c>
      <c r="P701" s="1" t="s">
        <v>1178</v>
      </c>
      <c r="Q701" s="1" t="s">
        <v>4188</v>
      </c>
      <c r="R701" s="1" t="s">
        <v>4189</v>
      </c>
      <c r="S701" s="1">
        <v>101124.0</v>
      </c>
      <c r="T701" s="7" t="str">
        <f>VLOOKUP(A701,Posters!A701:B1700,2)</f>
        <v>https://m.media-amazon.com/images/M/MV5BNTgwZmIzMmYtZjE3Yy00NzgzLTgxNmUtNjlmZDlkMzlhOTJkXkEyXkFqcGdeQXVyNjUwNzk3NDc@._V1_UX67_CR0,0,67,98_AL_.jpg</v>
      </c>
      <c r="U701" s="8">
        <f>'Inflation Adjusted Gross'!F701</f>
        <v>324529351</v>
      </c>
      <c r="V701" s="5">
        <f t="shared" si="1"/>
        <v>2020</v>
      </c>
    </row>
    <row r="702">
      <c r="A702" s="1">
        <v>701.0</v>
      </c>
      <c r="B702" s="1" t="s">
        <v>4190</v>
      </c>
      <c r="C702" s="6">
        <f>Gross_cleaning!E702</f>
        <v>17550741</v>
      </c>
      <c r="D702" s="1">
        <v>1967.0</v>
      </c>
      <c r="E702" s="1">
        <v>16.0</v>
      </c>
      <c r="F702" s="1" t="str">
        <f>VLOOKUP(Filmes_raw!E702,Rating_systems!$A$2:$C$29,3,FALSE)</f>
        <v>Adolescente</v>
      </c>
      <c r="G702" s="2">
        <f>Gross_cleaning!F702</f>
        <v>108</v>
      </c>
      <c r="H702" s="1" t="s">
        <v>714</v>
      </c>
      <c r="I702" s="1" t="s">
        <v>4191</v>
      </c>
      <c r="J702" s="1">
        <v>7.8</v>
      </c>
      <c r="K702" s="1" t="s">
        <v>4192</v>
      </c>
      <c r="L702" s="1" t="str">
        <f>IFERROR(__xludf.DUMMYFUNCTION("GOOGLETRANSLATE(K702,""en"", ""pt-br"")"),"Uma mulher recentemente cega é aterrorizada por um trio de bandidos enquanto procuram uma boneca de heroína que acreditam que está em seu apartamento.")</f>
        <v>Uma mulher recentemente cega é aterrorizada por um trio de bandidos enquanto procuram uma boneca de heroína que acreditam que está em seu apartamento.</v>
      </c>
      <c r="M702" s="1">
        <v>81.0</v>
      </c>
      <c r="N702" s="1" t="s">
        <v>4193</v>
      </c>
      <c r="O702" s="1" t="s">
        <v>2839</v>
      </c>
      <c r="P702" s="1" t="s">
        <v>4194</v>
      </c>
      <c r="Q702" s="1" t="s">
        <v>4195</v>
      </c>
      <c r="R702" s="1" t="s">
        <v>4196</v>
      </c>
      <c r="S702" s="1">
        <v>27733.0</v>
      </c>
      <c r="T702" s="7" t="str">
        <f>VLOOKUP(A702,Posters!A702:B1701,2)</f>
        <v>https://m.media-amazon.com/images/M/MV5BMTQyNTAzOTI3NF5BMl5BanBnXkFtZTcwNTM0Mjg0Mg@@._V1_UX67_CR0,0,67,98_AL_.jpg</v>
      </c>
      <c r="U702" s="8">
        <f>'Inflation Adjusted Gross'!F702</f>
        <v>137616480</v>
      </c>
      <c r="V702" s="5">
        <f t="shared" si="1"/>
        <v>2020</v>
      </c>
    </row>
    <row r="703">
      <c r="A703" s="1">
        <v>702.0</v>
      </c>
      <c r="B703" s="1" t="s">
        <v>4197</v>
      </c>
      <c r="C703" s="6">
        <f>Gross_cleaning!E703</f>
        <v>56700000</v>
      </c>
      <c r="D703" s="1">
        <v>1967.0</v>
      </c>
      <c r="E703" s="1" t="s">
        <v>270</v>
      </c>
      <c r="F703" s="1" t="str">
        <f>VLOOKUP(Filmes_raw!E703,Rating_systems!$A$2:$C$29,3,FALSE)</f>
        <v>Criança</v>
      </c>
      <c r="G703" s="2">
        <f>Gross_cleaning!F703</f>
        <v>108</v>
      </c>
      <c r="H703" s="1" t="s">
        <v>714</v>
      </c>
      <c r="I703" s="1" t="s">
        <v>507</v>
      </c>
      <c r="J703" s="1">
        <v>7.8</v>
      </c>
      <c r="K703" s="1" t="s">
        <v>4198</v>
      </c>
      <c r="L703" s="1" t="str">
        <f>IFERROR(__xludf.DUMMYFUNCTION("GOOGLETRANSLATE(K703,""en"", ""pt-br"")"),"As atitudes de um casal são desafiadas quando sua filha os apresenta a seu noivo afro-americano.")</f>
        <v>As atitudes de um casal são desafiadas quando sua filha os apresenta a seu noivo afro-americano.</v>
      </c>
      <c r="M703" s="1">
        <v>63.0</v>
      </c>
      <c r="N703" s="1" t="s">
        <v>1290</v>
      </c>
      <c r="O703" s="1" t="s">
        <v>1291</v>
      </c>
      <c r="P703" s="1" t="s">
        <v>3389</v>
      </c>
      <c r="Q703" s="1" t="s">
        <v>3385</v>
      </c>
      <c r="R703" s="1" t="s">
        <v>4199</v>
      </c>
      <c r="S703" s="1">
        <v>39642.0</v>
      </c>
      <c r="T703" s="7" t="str">
        <f>VLOOKUP(A703,Posters!A703:B1702,2)</f>
        <v>https://m.media-amazon.com/images/M/MV5BZTVmMTk2NjUtNjVjNC00OTcwLWE4OWEtNzA4Mjk1ZmIwNDExXkEyXkFqcGdeQXVyNjUwNzk3NDc@._V1_UX67_CR0,0,67,98_AL_.jpg</v>
      </c>
      <c r="U703" s="8">
        <f>'Inflation Adjusted Gross'!F703</f>
        <v>444588319</v>
      </c>
      <c r="V703" s="5">
        <f t="shared" si="1"/>
        <v>2020</v>
      </c>
    </row>
    <row r="704">
      <c r="A704" s="1">
        <v>703.0</v>
      </c>
      <c r="B704" s="1" t="s">
        <v>4200</v>
      </c>
      <c r="C704" s="6">
        <f>Gross_cleaning!E704</f>
        <v>2500000</v>
      </c>
      <c r="D704" s="1">
        <v>1967.0</v>
      </c>
      <c r="E704" s="1" t="s">
        <v>18</v>
      </c>
      <c r="F704" s="1" t="str">
        <f>VLOOKUP(Filmes_raw!E704,Rating_systems!$A$2:$C$29,3,FALSE)</f>
        <v>Adulto</v>
      </c>
      <c r="G704" s="2">
        <f>Gross_cleaning!F704</f>
        <v>111</v>
      </c>
      <c r="H704" s="1" t="s">
        <v>1663</v>
      </c>
      <c r="I704" s="1" t="s">
        <v>1045</v>
      </c>
      <c r="J704" s="1">
        <v>7.8</v>
      </c>
      <c r="K704" s="1" t="s">
        <v>4201</v>
      </c>
      <c r="L704" s="1" t="str">
        <f>IFERROR(__xludf.DUMMYFUNCTION("GOOGLETRANSLATE(K704,""en"", ""pt-br"")"),"Garçonete entediado Bonnie Parker se apaixona por um ex-con chamado Clyde Barrow e juntos eles começam uma violenta crime através do país, roubando carros e roubando bancos.")</f>
        <v>Garçonete entediado Bonnie Parker se apaixona por um ex-con chamado Clyde Barrow e juntos eles começam uma violenta crime através do país, roubando carros e roubando bancos.</v>
      </c>
      <c r="M704" s="1">
        <v>86.0</v>
      </c>
      <c r="N704" s="1" t="s">
        <v>4202</v>
      </c>
      <c r="O704" s="1" t="s">
        <v>4203</v>
      </c>
      <c r="P704" s="1" t="s">
        <v>1899</v>
      </c>
      <c r="Q704" s="1" t="s">
        <v>4204</v>
      </c>
      <c r="R704" s="1" t="s">
        <v>1191</v>
      </c>
      <c r="S704" s="1">
        <v>102415.0</v>
      </c>
      <c r="T704" s="7" t="str">
        <f>VLOOKUP(A704,Posters!A704:B1703,2)</f>
        <v>https://m.media-amazon.com/images/M/MV5BOTViZmMwOGEtYzc4Yy00ZGQ1LWFkZDQtMDljNGZlMjAxMjhiXkEyXkFqcGdeQXVyNzM0MTUwNTY@._V1_UX67_CR0,0,67,98_AL_.jpg</v>
      </c>
      <c r="U704" s="8">
        <f>'Inflation Adjusted Gross'!F704</f>
        <v>19602660</v>
      </c>
      <c r="V704" s="5">
        <f t="shared" si="1"/>
        <v>2020</v>
      </c>
    </row>
    <row r="705">
      <c r="A705" s="1">
        <v>704.0</v>
      </c>
      <c r="B705" s="1" t="s">
        <v>4205</v>
      </c>
      <c r="C705" s="6">
        <f>Gross_cleaning!E705</f>
        <v>72000000</v>
      </c>
      <c r="D705" s="1">
        <v>1964.0</v>
      </c>
      <c r="E705" s="1" t="s">
        <v>52</v>
      </c>
      <c r="F705" s="1" t="str">
        <f>VLOOKUP(Filmes_raw!E705,Rating_systems!$A$2:$C$29,3,FALSE)</f>
        <v>Criança</v>
      </c>
      <c r="G705" s="2">
        <f>Gross_cleaning!F705</f>
        <v>170</v>
      </c>
      <c r="H705" s="1" t="s">
        <v>506</v>
      </c>
      <c r="I705" s="1" t="s">
        <v>2709</v>
      </c>
      <c r="J705" s="1">
        <v>7.8</v>
      </c>
      <c r="K705" s="1" t="s">
        <v>4206</v>
      </c>
      <c r="L705" s="1" t="str">
        <f>IFERROR(__xludf.DUMMYFUNCTION("GOOGLETRANSLATE(K705,""en"", ""pt-br"")"),"O professor de fonética esnobe Henry Higgins concorda com uma aposta que ele pode fazer uma garota de flor, Eliza doolittle apresentável na alta sociedade.")</f>
        <v>O professor de fonética esnobe Henry Higgins concorda com uma aposta que ele pode fazer uma garota de flor, Eliza doolittle apresentável na alta sociedade.</v>
      </c>
      <c r="M705" s="1">
        <v>95.0</v>
      </c>
      <c r="N705" s="1" t="s">
        <v>2092</v>
      </c>
      <c r="O705" s="1" t="s">
        <v>2839</v>
      </c>
      <c r="P705" s="1" t="s">
        <v>4207</v>
      </c>
      <c r="Q705" s="1" t="s">
        <v>2872</v>
      </c>
      <c r="R705" s="1" t="s">
        <v>4208</v>
      </c>
      <c r="S705" s="1">
        <v>86525.0</v>
      </c>
      <c r="T705" s="7" t="str">
        <f>VLOOKUP(A705,Posters!A705:B1704,2)</f>
        <v>https://m.media-amazon.com/images/M/MV5BNGM0ZTU3NmItZmRmMy00YWNjLWEzMWItYzg3MzcwZmM5NjdiXkEyXkFqcGdeQXVyNDYyMDk5MTU@._V1_UY98_CR2,0,67,98_AL_.jpg</v>
      </c>
      <c r="U705" s="8">
        <f>'Inflation Adjusted Gross'!F705</f>
        <v>601097476</v>
      </c>
      <c r="V705" s="5">
        <f t="shared" si="1"/>
        <v>2020</v>
      </c>
    </row>
    <row r="706">
      <c r="A706" s="1">
        <v>705.0</v>
      </c>
      <c r="B706" s="1" t="s">
        <v>4209</v>
      </c>
      <c r="C706" s="6">
        <f>Gross_cleaning!E706</f>
        <v>102272727</v>
      </c>
      <c r="D706" s="1">
        <v>1964.0</v>
      </c>
      <c r="E706" s="1" t="s">
        <v>52</v>
      </c>
      <c r="F706" s="1" t="str">
        <f>VLOOKUP(Filmes_raw!E706,Rating_systems!$A$2:$C$29,3,FALSE)</f>
        <v>Criança</v>
      </c>
      <c r="G706" s="2">
        <f>Gross_cleaning!F706</f>
        <v>139</v>
      </c>
      <c r="H706" s="1" t="s">
        <v>95</v>
      </c>
      <c r="I706" s="1" t="s">
        <v>4210</v>
      </c>
      <c r="J706" s="1">
        <v>7.8</v>
      </c>
      <c r="K706" s="1" t="s">
        <v>4211</v>
      </c>
      <c r="L706" s="1" t="str">
        <f>IFERROR(__xludf.DUMMYFUNCTION("GOOGLETRANSLATE(K706,""en"", ""pt-br"")"),"Na virada do século Londres, uma babá mágica emprega música e aventura para ajudar duas crianças negligenciadas a se aproximarem de seu pai.")</f>
        <v>Na virada do século Londres, uma babá mágica emprega música e aventura para ajudar duas crianças negligenciadas a se aproximarem de seu pai.</v>
      </c>
      <c r="M706" s="1">
        <v>88.0</v>
      </c>
      <c r="N706" s="1" t="s">
        <v>4212</v>
      </c>
      <c r="O706" s="1" t="s">
        <v>2750</v>
      </c>
      <c r="P706" s="1" t="s">
        <v>4213</v>
      </c>
      <c r="Q706" s="1" t="s">
        <v>4214</v>
      </c>
      <c r="R706" s="1" t="s">
        <v>4215</v>
      </c>
      <c r="S706" s="1">
        <v>158029.0</v>
      </c>
      <c r="T706" s="7" t="str">
        <f>VLOOKUP(A706,Posters!A706:B1705,2)</f>
        <v>https://m.media-amazon.com/images/M/MV5BNmJkODczNjItNDI5Yy00MGI1LTkyOWItZDNmNjM4ZGI1ZDVlL2ltYWdlL2ltYWdlXkEyXkFqcGdeQXVyMDI2NDg0NQ@@._V1_UX67_CR0,0,67,98_AL_.jpg</v>
      </c>
      <c r="U706" s="8">
        <f>'Inflation Adjusted Gross'!F706</f>
        <v>853831639</v>
      </c>
      <c r="V706" s="5">
        <f t="shared" si="1"/>
        <v>2020</v>
      </c>
    </row>
    <row r="707">
      <c r="A707" s="1">
        <v>706.0</v>
      </c>
      <c r="B707" s="1" t="s">
        <v>4216</v>
      </c>
      <c r="C707" s="6">
        <f>Gross_cleaning!E707</f>
        <v>39100000</v>
      </c>
      <c r="D707" s="1">
        <v>1962.0</v>
      </c>
      <c r="E707" s="1" t="s">
        <v>414</v>
      </c>
      <c r="F707" s="1" t="str">
        <f>VLOOKUP(Filmes_raw!E707,Rating_systems!$A$2:$C$29,3,FALSE)</f>
        <v>Criança</v>
      </c>
      <c r="G707" s="2">
        <f>Gross_cleaning!F707</f>
        <v>178</v>
      </c>
      <c r="H707" s="1" t="s">
        <v>103</v>
      </c>
      <c r="I707" s="1" t="s">
        <v>3536</v>
      </c>
      <c r="J707" s="1">
        <v>7.8</v>
      </c>
      <c r="K707" s="1" t="s">
        <v>4217</v>
      </c>
      <c r="L707" s="1" t="str">
        <f>IFERROR(__xludf.DUMMYFUNCTION("GOOGLETRANSLATE(K707,""en"", ""pt-br"")"),"Os eventos de D-Day, contados em uma grande escala dos pontos de vista aliados e alemães.")</f>
        <v>Os eventos de D-Day, contados em uma grande escala dos pontos de vista aliados e alemães.</v>
      </c>
      <c r="M707" s="1">
        <v>75.0</v>
      </c>
      <c r="N707" s="1" t="s">
        <v>4218</v>
      </c>
      <c r="O707" s="1" t="s">
        <v>4219</v>
      </c>
      <c r="P707" s="1" t="s">
        <v>4220</v>
      </c>
      <c r="Q707" s="1" t="s">
        <v>4221</v>
      </c>
      <c r="R707" s="1" t="s">
        <v>4222</v>
      </c>
      <c r="S707" s="1">
        <v>52141.0</v>
      </c>
      <c r="T707" s="7" t="str">
        <f>VLOOKUP(A707,Posters!A707:B1706,2)</f>
        <v>https://m.media-amazon.com/images/M/MV5BZTM1ZjQ2YTktNDM2MS00NGY2LTkzNzItZTU4ODg1ODNkMWYxL2ltYWdlXkEyXkFqcGdeQXVyNjc1NTYyMjg@._V1_UX67_CR0,0,67,98_AL_.jpg</v>
      </c>
      <c r="U707" s="8">
        <f>'Inflation Adjusted Gross'!F707</f>
        <v>336222203</v>
      </c>
      <c r="V707" s="5">
        <f t="shared" si="1"/>
        <v>2020</v>
      </c>
    </row>
    <row r="708">
      <c r="A708" s="1">
        <v>707.0</v>
      </c>
      <c r="B708" s="1" t="s">
        <v>4223</v>
      </c>
      <c r="C708" s="6">
        <f>Gross_cleaning!E708</f>
        <v>446908</v>
      </c>
      <c r="D708" s="1">
        <v>1962.0</v>
      </c>
      <c r="E708" s="1">
        <v>12.0</v>
      </c>
      <c r="F708" s="1" t="str">
        <f>VLOOKUP(Filmes_raw!E708,Rating_systems!$A$2:$C$29,3,FALSE)</f>
        <v>Criança</v>
      </c>
      <c r="G708" s="2">
        <f>Gross_cleaning!F708</f>
        <v>105</v>
      </c>
      <c r="H708" s="1" t="s">
        <v>487</v>
      </c>
      <c r="I708" s="1" t="s">
        <v>107</v>
      </c>
      <c r="J708" s="1">
        <v>7.8</v>
      </c>
      <c r="K708" s="1" t="s">
        <v>4224</v>
      </c>
      <c r="L708" s="1" t="str">
        <f>IFERROR(__xludf.DUMMYFUNCTION("GOOGLETRANSLATE(K708,""en"", ""pt-br"")"),"Décadas de um triângulo de amor sobre dois amigos e uma mulher impulsiva.")</f>
        <v>Décadas de um triângulo de amor sobre dois amigos e uma mulher impulsiva.</v>
      </c>
      <c r="M708" s="1">
        <v>97.0</v>
      </c>
      <c r="N708" s="1" t="s">
        <v>2004</v>
      </c>
      <c r="O708" s="1" t="s">
        <v>4225</v>
      </c>
      <c r="P708" s="1" t="s">
        <v>4226</v>
      </c>
      <c r="Q708" s="1" t="s">
        <v>4227</v>
      </c>
      <c r="R708" s="1" t="s">
        <v>4228</v>
      </c>
      <c r="S708" s="1">
        <v>37605.0</v>
      </c>
      <c r="T708" s="7" t="str">
        <f>VLOOKUP(A708,Posters!A708:B1707,2)</f>
        <v>https://m.media-amazon.com/images/M/MV5BZTM1MTRiNDctMTFiMC00NGM1LTkyMWQtNTY1M2JjZDczOWQ3XkEyXkFqcGdeQXVyMDI3OTIzOA@@._V1_UY98_CR3,0,67,98_AL_.jpg</v>
      </c>
      <c r="U708" s="8">
        <f>'Inflation Adjusted Gross'!F708</f>
        <v>3842977</v>
      </c>
      <c r="V708" s="5">
        <f t="shared" si="1"/>
        <v>2020</v>
      </c>
    </row>
    <row r="709">
      <c r="A709" s="1">
        <v>708.0</v>
      </c>
      <c r="B709" s="1" t="s">
        <v>4229</v>
      </c>
      <c r="C709" s="6">
        <f>Gross_cleaning!E709</f>
        <v>2616000</v>
      </c>
      <c r="D709" s="1">
        <v>1961.0</v>
      </c>
      <c r="E709" s="1" t="s">
        <v>18</v>
      </c>
      <c r="F709" s="1" t="str">
        <f>VLOOKUP(Filmes_raw!E709,Rating_systems!$A$2:$C$29,3,FALSE)</f>
        <v>Adulto</v>
      </c>
      <c r="G709" s="2">
        <f>Gross_cleaning!F709</f>
        <v>100</v>
      </c>
      <c r="H709" s="1" t="s">
        <v>1439</v>
      </c>
      <c r="I709" s="1" t="s">
        <v>2696</v>
      </c>
      <c r="J709" s="1">
        <v>7.8</v>
      </c>
      <c r="K709" s="1" t="s">
        <v>4230</v>
      </c>
      <c r="L709" s="1" t="str">
        <f>IFERROR(__xludf.DUMMYFUNCTION("GOOGLETRANSLATE(K709,""en"", ""pt-br"")"),"Uma política jovem para duas crianças se convence de que a casa e os terrenos são assombrados.")</f>
        <v>Uma política jovem para duas crianças se convence de que a casa e os terrenos são assombrados.</v>
      </c>
      <c r="M709" s="1">
        <v>88.0</v>
      </c>
      <c r="N709" s="1" t="s">
        <v>4231</v>
      </c>
      <c r="O709" s="1" t="s">
        <v>4232</v>
      </c>
      <c r="P709" s="1" t="s">
        <v>4233</v>
      </c>
      <c r="Q709" s="1" t="s">
        <v>4234</v>
      </c>
      <c r="R709" s="1" t="s">
        <v>4235</v>
      </c>
      <c r="S709" s="1">
        <v>27007.0</v>
      </c>
      <c r="T709" s="7" t="str">
        <f>VLOOKUP(A709,Posters!A709:B1708,2)</f>
        <v>https://m.media-amazon.com/images/M/MV5BNGQyNjBjNTUtNTM1OS00YzcyLWFhNTgtNTU0MDg3NzBlMDQzXkEyXkFqcGdeQXVyNjc1NTYyMjg@._V1_UY98_CR0,0,67,98_AL_.jpg</v>
      </c>
      <c r="U709" s="8">
        <f>'Inflation Adjusted Gross'!F709</f>
        <v>22646045</v>
      </c>
      <c r="V709" s="5">
        <f t="shared" si="1"/>
        <v>2020</v>
      </c>
    </row>
    <row r="710">
      <c r="A710" s="1">
        <v>709.0</v>
      </c>
      <c r="B710" s="1" t="s">
        <v>4236</v>
      </c>
      <c r="C710" s="6">
        <f>Gross_cleaning!E710</f>
        <v>336705</v>
      </c>
      <c r="D710" s="1">
        <v>1960.0</v>
      </c>
      <c r="E710" s="1" t="s">
        <v>52</v>
      </c>
      <c r="F710" s="1" t="str">
        <f>VLOOKUP(Filmes_raw!E710,Rating_systems!$A$2:$C$29,3,FALSE)</f>
        <v>Criança</v>
      </c>
      <c r="G710" s="2">
        <f>Gross_cleaning!F710</f>
        <v>90</v>
      </c>
      <c r="H710" s="1" t="s">
        <v>2586</v>
      </c>
      <c r="I710" s="1" t="s">
        <v>29</v>
      </c>
      <c r="J710" s="1">
        <v>7.8</v>
      </c>
      <c r="K710" s="1" t="s">
        <v>4237</v>
      </c>
      <c r="L710" s="1" t="str">
        <f>IFERROR(__xludf.DUMMYFUNCTION("GOOGLETRANSLATE(K710,""en"", ""pt-br"")"),"Um pequeno ladrão rouba um carro e impulsiva um policial de motocicleta. Queria pelas autoridades, ele se reúne com um estudante de jornalismo americano de quadril e tentativas de persuadi-la a fugir com ele para a Itália.")</f>
        <v>Um pequeno ladrão rouba um carro e impulsiva um policial de motocicleta. Queria pelas autoridades, ele se reúne com um estudante de jornalismo americano de quadril e tentativas de persuadi-la a fugir com ele para a Itália.</v>
      </c>
      <c r="N710" s="1" t="s">
        <v>2772</v>
      </c>
      <c r="O710" s="1" t="s">
        <v>4238</v>
      </c>
      <c r="P710" s="1" t="s">
        <v>4239</v>
      </c>
      <c r="Q710" s="1" t="s">
        <v>4240</v>
      </c>
      <c r="R710" s="1" t="s">
        <v>4241</v>
      </c>
      <c r="S710" s="1">
        <v>73251.0</v>
      </c>
      <c r="T710" s="7" t="str">
        <f>VLOOKUP(A710,Posters!A710:B1709,2)</f>
        <v>https://m.media-amazon.com/images/M/MV5BNzk5MDk2MjktY2I3NS00ODZkLTk3OTktY2Q3ZDE2MmQ2M2ZmXkEyXkFqcGdeQXVyNjc1NTYyMjg@._V1_UY98_CR2,0,67,98_AL_.jpg</v>
      </c>
      <c r="U710" s="8">
        <f>'Inflation Adjusted Gross'!F710</f>
        <v>2964509</v>
      </c>
      <c r="V710" s="5">
        <f t="shared" si="1"/>
        <v>2020</v>
      </c>
    </row>
    <row r="711">
      <c r="A711" s="1">
        <v>710.0</v>
      </c>
      <c r="B711" s="1" t="s">
        <v>4242</v>
      </c>
      <c r="C711" s="6">
        <f>Gross_cleaning!E711</f>
        <v>3000000</v>
      </c>
      <c r="D711" s="1">
        <v>1948.0</v>
      </c>
      <c r="E711" s="1" t="s">
        <v>627</v>
      </c>
      <c r="F711" s="1" t="str">
        <f>VLOOKUP(Filmes_raw!E711,Rating_systems!$A$2:$C$29,3,FALSE)</f>
        <v>Adulto</v>
      </c>
      <c r="G711" s="2">
        <f>Gross_cleaning!F711</f>
        <v>133</v>
      </c>
      <c r="H711" s="1" t="s">
        <v>153</v>
      </c>
      <c r="I711" s="1" t="s">
        <v>62</v>
      </c>
      <c r="J711" s="1">
        <v>7.8</v>
      </c>
      <c r="K711" s="1" t="s">
        <v>4243</v>
      </c>
      <c r="L711" s="1" t="str">
        <f>IFERROR(__xludf.DUMMYFUNCTION("GOOGLETRANSLATE(K711,""en"", ""pt-br"")"),"Dunson conduz uma unidade de gado, a culminação de mais de 14 anos de trabalho, para o seu destino no Missouri. Mas seu comportamento tirânico ao longo do caminho provoca um motim, liderado por seu filho adotado.")</f>
        <v>Dunson conduz uma unidade de gado, a culminação de mais de 14 anos de trabalho, para o seu destino no Missouri. Mas seu comportamento tirânico ao longo do caminho provoca um motim, liderado por seu filho adotado.</v>
      </c>
      <c r="N711" s="1" t="s">
        <v>2789</v>
      </c>
      <c r="O711" s="1" t="s">
        <v>4244</v>
      </c>
      <c r="P711" s="1" t="s">
        <v>1985</v>
      </c>
      <c r="Q711" s="1" t="s">
        <v>4245</v>
      </c>
      <c r="R711" s="1" t="s">
        <v>4246</v>
      </c>
      <c r="S711" s="1">
        <v>28167.0</v>
      </c>
      <c r="T711" s="7" t="str">
        <f>VLOOKUP(A711,Posters!A711:B1710,2)</f>
        <v>https://m.media-amazon.com/images/M/MV5BNzNiOGJhMDUtZjNjMC00YmE5LTk3NjQtNGM4ZjAzOGJjZmRlXkEyXkFqcGdeQXVyNjc1NTYyMjg@._V1_UX67_CR0,0,67,98_AL_.jpg</v>
      </c>
      <c r="U711" s="8">
        <f>'Inflation Adjusted Gross'!F711</f>
        <v>32654557</v>
      </c>
      <c r="V711" s="5">
        <f t="shared" si="1"/>
        <v>2020</v>
      </c>
    </row>
    <row r="712">
      <c r="A712" s="1">
        <v>711.0</v>
      </c>
      <c r="B712" s="1" t="s">
        <v>4247</v>
      </c>
      <c r="C712" s="6">
        <f>Gross_cleaning!E712</f>
        <v>9524420</v>
      </c>
      <c r="D712" s="1">
        <v>1948.0</v>
      </c>
      <c r="E712" s="1" t="s">
        <v>270</v>
      </c>
      <c r="F712" s="1" t="str">
        <f>VLOOKUP(Filmes_raw!E712,Rating_systems!$A$2:$C$29,3,FALSE)</f>
        <v>Criança</v>
      </c>
      <c r="G712" s="2">
        <f>Gross_cleaning!F712</f>
        <v>100</v>
      </c>
      <c r="H712" s="1" t="s">
        <v>1439</v>
      </c>
      <c r="I712" s="1" t="s">
        <v>39</v>
      </c>
      <c r="J712" s="1">
        <v>7.8</v>
      </c>
      <c r="K712" s="1" t="s">
        <v>4248</v>
      </c>
      <c r="L712" s="1" t="str">
        <f>IFERROR(__xludf.DUMMYFUNCTION("GOOGLETRANSLATE(K712,""en"", ""pt-br"")"),"Um homem visita o hotel da família de sua guerra e encontra um gangster correndo coisas. Como um furacão se aproxima, os dois acabam se confrontando.")</f>
        <v>Um homem visita o hotel da família de sua guerra e encontra um gangster correndo coisas. Como um furacão se aproxima, os dois acabam se confrontando.</v>
      </c>
      <c r="N712" s="1" t="s">
        <v>1346</v>
      </c>
      <c r="O712" s="1" t="s">
        <v>409</v>
      </c>
      <c r="P712" s="1" t="s">
        <v>911</v>
      </c>
      <c r="Q712" s="1" t="s">
        <v>2473</v>
      </c>
      <c r="R712" s="1" t="s">
        <v>276</v>
      </c>
      <c r="S712" s="1">
        <v>36995.0</v>
      </c>
      <c r="T712" s="7" t="str">
        <f>VLOOKUP(A712,Posters!A712:B1711,2)</f>
        <v>https://m.media-amazon.com/images/M/MV5BODI3YzNiZTUtYjEyZS00ODkwLWE2ZDUtNGJmMTNiYTc4ZTM4XkEyXkFqcGdeQXVyMDI2NDg0NQ@@._V1_UX67_CR0,0,67,98_AL_.jpg</v>
      </c>
      <c r="U712" s="8">
        <f>'Inflation Adjusted Gross'!F712</f>
        <v>103671905</v>
      </c>
      <c r="V712" s="5">
        <f t="shared" si="1"/>
        <v>2020</v>
      </c>
    </row>
    <row r="713">
      <c r="A713" s="1">
        <v>712.0</v>
      </c>
      <c r="B713" s="1" t="s">
        <v>4249</v>
      </c>
      <c r="C713" s="6">
        <f>Gross_cleaning!E713</f>
        <v>12459</v>
      </c>
      <c r="D713" s="1">
        <v>1944.0</v>
      </c>
      <c r="E713" s="1" t="s">
        <v>270</v>
      </c>
      <c r="F713" s="1" t="str">
        <f>VLOOKUP(Filmes_raw!E713,Rating_systems!$A$2:$C$29,3,FALSE)</f>
        <v>Criança</v>
      </c>
      <c r="G713" s="2">
        <f>Gross_cleaning!F713</f>
        <v>100</v>
      </c>
      <c r="H713" s="1" t="s">
        <v>1439</v>
      </c>
      <c r="I713" s="1" t="s">
        <v>4250</v>
      </c>
      <c r="J713" s="1">
        <v>7.8</v>
      </c>
      <c r="K713" s="1" t="s">
        <v>4251</v>
      </c>
      <c r="L713" s="1" t="str">
        <f>IFERROR(__xludf.DUMMYFUNCTION("GOOGLETRANSLATE(K713,""en"", ""pt-br"")"),"Durante a Segunda Guerra Mundial, a American Expatriate Harry Morgan ajuda a transportar um líder de resistência francês e sua linda esposa a Martinica enquanto romancam um cantor sensual.")</f>
        <v>Durante a Segunda Guerra Mundial, a American Expatriate Harry Morgan ajuda a transportar um líder de resistência francês e sua linda esposa a Martinica enquanto romancam um cantor sensual.</v>
      </c>
      <c r="N713" s="1" t="s">
        <v>2789</v>
      </c>
      <c r="O713" s="1" t="s">
        <v>409</v>
      </c>
      <c r="P713" s="1" t="s">
        <v>2473</v>
      </c>
      <c r="Q713" s="1" t="s">
        <v>4252</v>
      </c>
      <c r="R713" s="1" t="s">
        <v>4253</v>
      </c>
      <c r="S713" s="1">
        <v>31053.0</v>
      </c>
      <c r="T713" s="7" t="str">
        <f>VLOOKUP(A713,Posters!A713:B1712,2)</f>
        <v>https://m.media-amazon.com/images/M/MV5BZGU2YmU0MWMtMzg5My00ZmY2LTljMDItMTg2YTI5Y2U2OTE3XkEyXkFqcGdeQXVyMjUxODE0MDY@._V1_UY98_CR0,0,67,98_AL_.jpg</v>
      </c>
      <c r="U713" s="8">
        <f>'Inflation Adjusted Gross'!F713</f>
        <v>184716</v>
      </c>
      <c r="V713" s="5">
        <f t="shared" si="1"/>
        <v>2020</v>
      </c>
    </row>
    <row r="714">
      <c r="A714" s="1">
        <v>713.0</v>
      </c>
      <c r="B714" s="1" t="s">
        <v>4254</v>
      </c>
      <c r="C714" s="6">
        <f>Gross_cleaning!E714</f>
        <v>714</v>
      </c>
      <c r="D714" s="1">
        <v>1943.0</v>
      </c>
      <c r="E714" s="1" t="s">
        <v>270</v>
      </c>
      <c r="F714" s="1" t="str">
        <f>VLOOKUP(Filmes_raw!E714,Rating_systems!$A$2:$C$29,3,FALSE)</f>
        <v>Criança</v>
      </c>
      <c r="G714" s="2">
        <f>Gross_cleaning!F714</f>
        <v>108</v>
      </c>
      <c r="H714" s="1" t="s">
        <v>714</v>
      </c>
      <c r="I714" s="1" t="s">
        <v>4255</v>
      </c>
      <c r="J714" s="1">
        <v>7.8</v>
      </c>
      <c r="K714" s="1" t="s">
        <v>4256</v>
      </c>
      <c r="L714" s="1" t="str">
        <f>IFERROR(__xludf.DUMMYFUNCTION("GOOGLETRANSLATE(K714,""en"", ""pt-br"")"),"Uma jovem, muito feliz quando seu tio favorito chega a visitar a família, lentamente começa a suspeitar que ele é, de fato, a ""Merry Widow"" assassino procurado pelas autoridades.")</f>
        <v>Uma jovem, muito feliz quando seu tio favorito chega a visitar a família, lentamente começa a suspeitar que ele é, de fato, a "Merry Widow" assassino procurado pelas autoridades.</v>
      </c>
      <c r="M714" s="1">
        <v>94.0</v>
      </c>
      <c r="N714" s="1" t="s">
        <v>399</v>
      </c>
      <c r="O714" s="1" t="s">
        <v>2883</v>
      </c>
      <c r="P714" s="1" t="s">
        <v>917</v>
      </c>
      <c r="Q714" s="1" t="s">
        <v>4257</v>
      </c>
      <c r="R714" s="1" t="s">
        <v>4258</v>
      </c>
      <c r="S714" s="1">
        <v>59556.0</v>
      </c>
      <c r="T714" s="7" t="str">
        <f>VLOOKUP(A714,Posters!A714:B1713,2)</f>
        <v>https://m.media-amazon.com/images/M/MV5BM2I1YWM4NTYtYjA0Ny00ZDEwLTg3NTgtNzBjMzZhZTk1YTA1XkEyXkFqcGdeQXVyMTY5Nzc4MDY@._V1_UX67_CR0,0,67,98_AL_.jpg</v>
      </c>
      <c r="U714" s="8">
        <f>'Inflation Adjusted Gross'!F714</f>
        <v>10899</v>
      </c>
      <c r="V714" s="5">
        <f t="shared" si="1"/>
        <v>2020</v>
      </c>
    </row>
    <row r="715">
      <c r="A715" s="1">
        <v>714.0</v>
      </c>
      <c r="B715" s="1" t="s">
        <v>4259</v>
      </c>
      <c r="C715" s="6">
        <f>Gross_cleaning!E715</f>
        <v>392</v>
      </c>
      <c r="D715" s="1">
        <v>1939.0</v>
      </c>
      <c r="E715" s="1" t="s">
        <v>627</v>
      </c>
      <c r="F715" s="1" t="str">
        <f>VLOOKUP(Filmes_raw!E715,Rating_systems!$A$2:$C$29,3,FALSE)</f>
        <v>Adulto</v>
      </c>
      <c r="G715" s="2">
        <f>Gross_cleaning!F715</f>
        <v>96</v>
      </c>
      <c r="H715" s="1" t="s">
        <v>53</v>
      </c>
      <c r="I715" s="1" t="s">
        <v>1344</v>
      </c>
      <c r="J715" s="1">
        <v>7.8</v>
      </c>
      <c r="K715" s="1" t="s">
        <v>4260</v>
      </c>
      <c r="L715" s="1" t="str">
        <f>IFERROR(__xludf.DUMMYFUNCTION("GOOGLETRANSLATE(K715,""en"", ""pt-br"")"),"Um grupo de pessoas viajando em um stagecoach encontrar sua jornada complicada pela ameaça de Geronimo e aprender algo sobre o outro no processo.")</f>
        <v>Um grupo de pessoas viajando em um stagecoach encontrar sua jornada complicada pela ameaça de Geronimo e aprender algo sobre o outro no processo.</v>
      </c>
      <c r="M715" s="1">
        <v>93.0</v>
      </c>
      <c r="N715" s="1" t="s">
        <v>1984</v>
      </c>
      <c r="O715" s="1" t="s">
        <v>1985</v>
      </c>
      <c r="P715" s="1" t="s">
        <v>4261</v>
      </c>
      <c r="Q715" s="1" t="s">
        <v>4262</v>
      </c>
      <c r="R715" s="1" t="s">
        <v>2898</v>
      </c>
      <c r="S715" s="1">
        <v>43621.0</v>
      </c>
      <c r="T715" s="7" t="str">
        <f>VLOOKUP(A715,Posters!A715:B1714,2)</f>
        <v>https://m.media-amazon.com/images/M/MV5BOGQ4NDUyNWQtZTEyOC00OTMzLWFhYjAtNDNmYmQ2MWQyMTRmXkEyXkFqcGdeQXVyNTA4NzY1MzY@._V1_UX67_CR0,0,67,98_AL_.jpg</v>
      </c>
      <c r="U715" s="8">
        <f>'Inflation Adjusted Gross'!F715</f>
        <v>7223</v>
      </c>
      <c r="V715" s="5">
        <f t="shared" si="1"/>
        <v>2020</v>
      </c>
    </row>
    <row r="716">
      <c r="A716" s="1">
        <v>715.0</v>
      </c>
      <c r="B716" s="1" t="s">
        <v>4263</v>
      </c>
      <c r="C716" s="6">
        <f>Gross_cleaning!E716</f>
        <v>39776</v>
      </c>
      <c r="D716" s="1">
        <v>1938.0</v>
      </c>
      <c r="E716" s="1">
        <v>12.0</v>
      </c>
      <c r="F716" s="1" t="str">
        <f>VLOOKUP(Filmes_raw!E716,Rating_systems!$A$2:$C$29,3,FALSE)</f>
        <v>Criança</v>
      </c>
      <c r="G716" s="2">
        <f>Gross_cleaning!F716</f>
        <v>96</v>
      </c>
      <c r="H716" s="1" t="s">
        <v>53</v>
      </c>
      <c r="I716" s="1" t="s">
        <v>544</v>
      </c>
      <c r="J716" s="1">
        <v>7.8</v>
      </c>
      <c r="K716" s="1" t="s">
        <v>4264</v>
      </c>
      <c r="L716" s="1" t="str">
        <f>IFERROR(__xludf.DUMMYFUNCTION("GOOGLETRANSLATE(K716,""en"", ""pt-br"")"),"Enquanto viaja na Europa continental, uma rica jovem playgirl percebe que uma senhora idosa parece ter desaparecido do trem.")</f>
        <v>Enquanto viaja na Europa continental, uma rica jovem playgirl percebe que uma senhora idosa parece ter desaparecido do trem.</v>
      </c>
      <c r="M716" s="1">
        <v>98.0</v>
      </c>
      <c r="N716" s="1" t="s">
        <v>399</v>
      </c>
      <c r="O716" s="1" t="s">
        <v>4265</v>
      </c>
      <c r="P716" s="1" t="s">
        <v>4235</v>
      </c>
      <c r="Q716" s="1" t="s">
        <v>4266</v>
      </c>
      <c r="R716" s="1" t="s">
        <v>4267</v>
      </c>
      <c r="S716" s="1">
        <v>47400.0</v>
      </c>
      <c r="T716" s="7" t="str">
        <f>VLOOKUP(A716,Posters!A716:B1715,2)</f>
        <v>https://m.media-amazon.com/images/M/MV5BNjk3YzFjYTktOGY0ZS00Y2EwLTk2NTctYTI1Nzc2OWNiN2I4XkEyXkFqcGdeQXVyNzM0MTUwNTY@._V1_UX67_CR0,0,67,98_AL_.jpg</v>
      </c>
      <c r="U716" s="8">
        <f>'Inflation Adjusted Gross'!F716</f>
        <v>722609</v>
      </c>
      <c r="V716" s="5">
        <f t="shared" si="1"/>
        <v>2020</v>
      </c>
    </row>
    <row r="717">
      <c r="A717" s="1">
        <v>716.0</v>
      </c>
      <c r="B717" s="1" t="s">
        <v>4268</v>
      </c>
      <c r="C717" s="6">
        <f>Gross_cleaning!E717</f>
        <v>11180</v>
      </c>
      <c r="D717" s="1">
        <v>1938.0</v>
      </c>
      <c r="E717" s="1" t="s">
        <v>627</v>
      </c>
      <c r="F717" s="1" t="str">
        <f>VLOOKUP(Filmes_raw!E717,Rating_systems!$A$2:$C$29,3,FALSE)</f>
        <v>Adulto</v>
      </c>
      <c r="G717" s="2">
        <f>Gross_cleaning!F717</f>
        <v>102</v>
      </c>
      <c r="H717" s="1" t="s">
        <v>405</v>
      </c>
      <c r="I717" s="1" t="s">
        <v>4270</v>
      </c>
      <c r="J717" s="1">
        <v>7.8</v>
      </c>
      <c r="K717" s="1" t="s">
        <v>4271</v>
      </c>
      <c r="L717" s="1" t="str">
        <f>IFERROR(__xludf.DUMMYFUNCTION("GOOGLETRANSLATE(K717,""en"", ""pt-br"")"),"Ao tentar assegurar uma doação de US $ 1 milhão para seu museu, um paleontólogo confuso é perseguido por uma herdeira vulada e muitas vezes irritante e seu animal de estimação Leopardo, baby.")</f>
        <v>Ao tentar assegurar uma doação de US $ 1 milhão para seu museu, um paleontólogo confuso é perseguido por uma herdeira vulada e muitas vezes irritante e seu animal de estimação Leopardo, baby.</v>
      </c>
      <c r="M717" s="1">
        <v>91.0</v>
      </c>
      <c r="N717" s="1" t="s">
        <v>2789</v>
      </c>
      <c r="O717" s="1" t="s">
        <v>3385</v>
      </c>
      <c r="P717" s="1" t="s">
        <v>873</v>
      </c>
      <c r="Q717" s="1" t="s">
        <v>4272</v>
      </c>
      <c r="R717" s="1" t="s">
        <v>4273</v>
      </c>
      <c r="S717" s="1">
        <v>55163.0</v>
      </c>
      <c r="T717" s="7" t="str">
        <f>VLOOKUP(A717,Posters!A717:B1716,2)</f>
        <v>https://m.media-amazon.com/images/M/MV5BMmVkOTRiYmItZjE4NS00MWNjLWE0ZmMtYzg5YzFjMjMyY2RkXkEyXkFqcGdeQXVyNjc1NTYyMjg@._V1_UX67_CR0,0,67,98_AL_.jpg</v>
      </c>
      <c r="U717" s="8">
        <f>'Inflation Adjusted Gross'!F717</f>
        <v>203107</v>
      </c>
      <c r="V717" s="5">
        <f t="shared" si="1"/>
        <v>2020</v>
      </c>
    </row>
    <row r="718">
      <c r="A718" s="1">
        <v>717.0</v>
      </c>
      <c r="B718" s="1" t="s">
        <v>4274</v>
      </c>
      <c r="C718" s="6">
        <f>Gross_cleaning!E718</f>
        <v>4360000</v>
      </c>
      <c r="D718" s="1">
        <v>1935.0</v>
      </c>
      <c r="E718" s="1" t="s">
        <v>270</v>
      </c>
      <c r="F718" s="1" t="str">
        <f>VLOOKUP(Filmes_raw!E718,Rating_systems!$A$2:$C$29,3,FALSE)</f>
        <v>Criança</v>
      </c>
      <c r="G718" s="2">
        <f>Gross_cleaning!F718</f>
        <v>75</v>
      </c>
      <c r="H718" s="1" t="s">
        <v>2927</v>
      </c>
      <c r="I718" s="1" t="s">
        <v>4275</v>
      </c>
      <c r="J718" s="1">
        <v>7.8</v>
      </c>
      <c r="K718" s="1" t="s">
        <v>4276</v>
      </c>
      <c r="L718" s="1" t="str">
        <f>IFERROR(__xludf.DUMMYFUNCTION("GOOGLETRANSLATE(K718,""en"", ""pt-br"")"),"Mary Shelley revela os personagens principais de seu romance sobreviveu: Dr. Frankenstein, passou por um cientista ainda mais louco, constrói seu companheiro de monstro.")</f>
        <v>Mary Shelley revela os personagens principais de seu romance sobreviveu: Dr. Frankenstein, passou por um cientista ainda mais louco, constrói seu companheiro de monstro.</v>
      </c>
      <c r="M718" s="1">
        <v>95.0</v>
      </c>
      <c r="N718" s="1" t="s">
        <v>4277</v>
      </c>
      <c r="O718" s="1" t="s">
        <v>4278</v>
      </c>
      <c r="P718" s="1" t="s">
        <v>614</v>
      </c>
      <c r="Q718" s="1" t="s">
        <v>4279</v>
      </c>
      <c r="R718" s="1" t="s">
        <v>2855</v>
      </c>
      <c r="S718" s="1">
        <v>43542.0</v>
      </c>
      <c r="T718" s="7" t="str">
        <f>VLOOKUP(A718,Posters!A718:B1717,2)</f>
        <v>https://m.media-amazon.com/images/M/MV5BOTUzMzAzMzEzNV5BMl5BanBnXkFtZTgwOTg1NTAwMjE@._V1_UX67_CR0,0,67,98_AL_.jpg</v>
      </c>
      <c r="U718" s="8">
        <f>'Inflation Adjusted Gross'!F718</f>
        <v>82702468</v>
      </c>
      <c r="V718" s="5">
        <f t="shared" si="1"/>
        <v>2020</v>
      </c>
    </row>
    <row r="719">
      <c r="A719" s="1">
        <v>718.0</v>
      </c>
      <c r="B719" s="1" t="s">
        <v>4280</v>
      </c>
      <c r="C719" s="6">
        <f>Gross_cleaning!E719</f>
        <v>103800</v>
      </c>
      <c r="D719" s="1">
        <v>1933.0</v>
      </c>
      <c r="E719" s="1" t="s">
        <v>270</v>
      </c>
      <c r="F719" s="1" t="str">
        <f>VLOOKUP(Filmes_raw!E719,Rating_systems!$A$2:$C$29,3,FALSE)</f>
        <v>Criança</v>
      </c>
      <c r="G719" s="2">
        <f>Gross_cleaning!F719</f>
        <v>69</v>
      </c>
      <c r="H719" s="1" t="s">
        <v>4282</v>
      </c>
      <c r="I719" s="1" t="s">
        <v>4283</v>
      </c>
      <c r="J719" s="1">
        <v>7.8</v>
      </c>
      <c r="K719" s="1" t="s">
        <v>4284</v>
      </c>
      <c r="L719" s="1" t="str">
        <f>IFERROR(__xludf.DUMMYFUNCTION("GOOGLETRANSLATE(K719,""en"", ""pt-br"")"),"Rufus T. Firefly é nomeado presidente / ditador de Freedonia falida e declara guerra na vizinha Sylvania sobre o amor da rica Sra. Teasdale.")</f>
        <v>Rufus T. Firefly é nomeado presidente / ditador de Freedonia falida e declara guerra na vizinha Sylvania sobre o amor da rica Sra. Teasdale.</v>
      </c>
      <c r="M719" s="1">
        <v>93.0</v>
      </c>
      <c r="N719" s="1" t="s">
        <v>4285</v>
      </c>
      <c r="O719" s="1" t="s">
        <v>3489</v>
      </c>
      <c r="P719" s="1" t="s">
        <v>3491</v>
      </c>
      <c r="Q719" s="1" t="s">
        <v>3490</v>
      </c>
      <c r="R719" s="1" t="s">
        <v>4286</v>
      </c>
      <c r="S719" s="1">
        <v>55581.0</v>
      </c>
      <c r="T719" s="7" t="str">
        <f>VLOOKUP(A719,Posters!A719:B1718,2)</f>
        <v>https://m.media-amazon.com/images/M/MV5BYmYxZGU2NWYtNzQxZS00NmEyLWIzN2YtMDk5MWM0ODc5ZTE4XkEyXkFqcGdeQXVyNTA4NzY1MzY@._V1_UX67_CR0,0,67,98_AL_.jpg</v>
      </c>
      <c r="U719" s="8">
        <f>'Inflation Adjusted Gross'!F719</f>
        <v>2075767</v>
      </c>
      <c r="V719" s="5">
        <f t="shared" si="1"/>
        <v>2020</v>
      </c>
    </row>
    <row r="720">
      <c r="A720" s="1">
        <v>719.0</v>
      </c>
      <c r="B720" s="1" t="s">
        <v>4287</v>
      </c>
      <c r="C720" s="6">
        <f>Gross_cleaning!E720</f>
        <v>1308000</v>
      </c>
      <c r="D720" s="1">
        <v>1932.0</v>
      </c>
      <c r="E720" s="1" t="s">
        <v>270</v>
      </c>
      <c r="F720" s="1" t="str">
        <f>VLOOKUP(Filmes_raw!E720,Rating_systems!$A$2:$C$29,3,FALSE)</f>
        <v>Criança</v>
      </c>
      <c r="G720" s="2">
        <f>Gross_cleaning!F720</f>
        <v>93</v>
      </c>
      <c r="H720" s="1" t="s">
        <v>1521</v>
      </c>
      <c r="I720" s="1" t="s">
        <v>39</v>
      </c>
      <c r="J720" s="1">
        <v>7.8</v>
      </c>
      <c r="K720" s="1" t="s">
        <v>4288</v>
      </c>
      <c r="L720" s="1" t="str">
        <f>IFERROR(__xludf.DUMMYFUNCTION("GOOGLETRANSLATE(K720,""en"", ""pt-br"")"),"Um gângster violento ambicioso e quase insano sobe a escada do sucesso na multidão, mas suas fraquezas provam ser sua queda.")</f>
        <v>Um gângster violento ambicioso e quase insano sobe a escada do sucesso na multidão, mas suas fraquezas provam ser sua queda.</v>
      </c>
      <c r="M720" s="1">
        <v>87.0</v>
      </c>
      <c r="N720" s="1" t="s">
        <v>2789</v>
      </c>
      <c r="O720" s="1" t="s">
        <v>4289</v>
      </c>
      <c r="P720" s="1" t="s">
        <v>4290</v>
      </c>
      <c r="Q720" s="1" t="s">
        <v>4291</v>
      </c>
      <c r="R720" s="1" t="s">
        <v>4292</v>
      </c>
      <c r="S720" s="1">
        <v>25312.0</v>
      </c>
      <c r="T720" s="7" t="str">
        <f>VLOOKUP(A720,Posters!A720:B1719,2)</f>
        <v>https://m.media-amazon.com/images/M/MV5BYmMxZTU2ZDUtM2Y1MS00ZWFmLWJlN2UtNzI0OTJiOTYzMTk3XkEyXkFqcGdeQXVyMjUxODE0MDY@._V1_UX67_CR0,0,67,98_AL_.jpg</v>
      </c>
      <c r="U720" s="8">
        <f>'Inflation Adjusted Gross'!F720</f>
        <v>23596229</v>
      </c>
      <c r="V720" s="5">
        <f t="shared" si="1"/>
        <v>2020</v>
      </c>
    </row>
    <row r="721">
      <c r="A721" s="1">
        <v>720.0</v>
      </c>
      <c r="B721" s="1" t="s">
        <v>4293</v>
      </c>
      <c r="C721" s="6">
        <f>Gross_cleaning!E721</f>
        <v>1626</v>
      </c>
      <c r="D721" s="1">
        <v>1931.0</v>
      </c>
      <c r="E721" s="1" t="s">
        <v>627</v>
      </c>
      <c r="F721" s="1" t="str">
        <f>VLOOKUP(Filmes_raw!E721,Rating_systems!$A$2:$C$29,3,FALSE)</f>
        <v>Adulto</v>
      </c>
      <c r="G721" s="2">
        <f>Gross_cleaning!F721</f>
        <v>70</v>
      </c>
      <c r="H721" s="1" t="s">
        <v>4294</v>
      </c>
      <c r="I721" s="1" t="s">
        <v>4275</v>
      </c>
      <c r="J721" s="1">
        <v>7.8</v>
      </c>
      <c r="K721" s="1" t="s">
        <v>4295</v>
      </c>
      <c r="L721" s="1" t="str">
        <f>IFERROR(__xludf.DUMMYFUNCTION("GOOGLETRANSLATE(K721,""en"", ""pt-br"")"),"Dr. Frankenstein se atreve a adulterar a vida e a morte, criando um monstro humano de partes do corpo sem vida.")</f>
        <v>Dr. Frankenstein se atreve a adulterar a vida e a morte, criando um monstro humano de partes do corpo sem vida.</v>
      </c>
      <c r="M721" s="1">
        <v>91.0</v>
      </c>
      <c r="N721" s="1" t="s">
        <v>4277</v>
      </c>
      <c r="O721" s="1" t="s">
        <v>4279</v>
      </c>
      <c r="P721" s="1" t="s">
        <v>4296</v>
      </c>
      <c r="Q721" s="1" t="s">
        <v>4278</v>
      </c>
      <c r="R721" s="1" t="s">
        <v>4297</v>
      </c>
      <c r="S721" s="1">
        <v>65341.0</v>
      </c>
      <c r="T721" s="7" t="str">
        <f>VLOOKUP(A721,Posters!A721:B1720,2)</f>
        <v>https://m.media-amazon.com/images/M/MV5BMTQ0Njc1MjM0OF5BMl5BanBnXkFtZTgwNTY2NTUyMjE@._V1_UX67_CR0,0,67,98_AL_.jpg</v>
      </c>
      <c r="U721" s="8">
        <f>'Inflation Adjusted Gross'!F721</f>
        <v>26381</v>
      </c>
      <c r="V721" s="5">
        <f t="shared" si="1"/>
        <v>2020</v>
      </c>
    </row>
    <row r="722">
      <c r="A722" s="1">
        <v>721.0</v>
      </c>
      <c r="B722" s="1" t="s">
        <v>4298</v>
      </c>
      <c r="C722" s="6">
        <f>Gross_cleaning!E722</f>
        <v>1140769</v>
      </c>
      <c r="D722" s="1">
        <v>2018.0</v>
      </c>
      <c r="E722" s="1" t="s">
        <v>212</v>
      </c>
      <c r="F722" s="1" t="str">
        <f>VLOOKUP(Filmes_raw!E722,Rating_systems!$A$2:$C$29,3,FALSE)</f>
        <v>Adulto</v>
      </c>
      <c r="G722" s="2">
        <f>Gross_cleaning!F722</f>
        <v>135</v>
      </c>
      <c r="H722" s="1" t="s">
        <v>1044</v>
      </c>
      <c r="I722" s="1" t="s">
        <v>20</v>
      </c>
      <c r="J722" s="1">
        <v>7.7</v>
      </c>
      <c r="K722" s="1" t="s">
        <v>4299</v>
      </c>
      <c r="L722" s="1" t="str">
        <f>IFERROR(__xludf.DUMMYFUNCTION("GOOGLETRANSLATE(K722,""en"", ""pt-br"")"),"Um ano na vida de uma empregada da família de classe média na Cidade do México no início dos anos 70.")</f>
        <v>Um ano na vida de uma empregada da família de classe média na Cidade do México no início dos anos 70.</v>
      </c>
      <c r="M722" s="1">
        <v>96.0</v>
      </c>
      <c r="N722" s="1" t="s">
        <v>3175</v>
      </c>
      <c r="O722" s="1" t="s">
        <v>4300</v>
      </c>
      <c r="P722" s="1" t="s">
        <v>4301</v>
      </c>
      <c r="Q722" s="1" t="s">
        <v>4302</v>
      </c>
      <c r="R722" s="1" t="s">
        <v>4303</v>
      </c>
      <c r="S722" s="1">
        <v>140375.0</v>
      </c>
      <c r="T722" s="7" t="str">
        <f>VLOOKUP(A722,Posters!A722:B1721,2)</f>
        <v>https://m.media-amazon.com/images/M/MV5BMTU0OTc3ODk4Ml5BMl5BanBnXkFtZTgwMzM4NzI5NjM@._V1_UX67_CR0,0,67,98_AL_.jpg</v>
      </c>
      <c r="U722" s="8">
        <f>'Inflation Adjusted Gross'!F722</f>
        <v>1187271</v>
      </c>
      <c r="V722" s="5">
        <f t="shared" si="1"/>
        <v>2020</v>
      </c>
    </row>
    <row r="723">
      <c r="A723" s="1">
        <v>722.0</v>
      </c>
      <c r="B723" s="1" t="s">
        <v>4304</v>
      </c>
      <c r="C723" s="6">
        <f>Gross_cleaning!E723</f>
        <v>335609</v>
      </c>
      <c r="D723" s="1">
        <v>2017.0</v>
      </c>
      <c r="E723" s="1">
        <v>16.0</v>
      </c>
      <c r="F723" s="1" t="str">
        <f>VLOOKUP(Filmes_raw!E723,Rating_systems!$A$2:$C$29,3,FALSE)</f>
        <v>Adolescente</v>
      </c>
      <c r="G723" s="2">
        <f>Gross_cleaning!F723</f>
        <v>104</v>
      </c>
      <c r="H723" s="1" t="s">
        <v>647</v>
      </c>
      <c r="I723" s="1" t="s">
        <v>107</v>
      </c>
      <c r="J723" s="1">
        <v>7.7</v>
      </c>
      <c r="K723" s="1" t="s">
        <v>4305</v>
      </c>
      <c r="L723" s="1" t="str">
        <f>IFERROR(__xludf.DUMMYFUNCTION("GOOGLETRANSLATE(K723,""en"", ""pt-br"")"),"Mola. Yorkshire. O jovem fazendeiro Johnny Saxby entorpece suas frustrações diárias com bebedeiras e sexo casuais, até que a chegada de um trabalhador migrante romeno para a temporada de parâmetro acenda um relacionamento intenso que estabelece Johnny em "&amp;"um novo caminho.")</f>
        <v>Mola. Yorkshire. O jovem fazendeiro Johnny Saxby entorpece suas frustrações diárias com bebedeiras e sexo casuais, até que a chegada de um trabalhador migrante romeno para a temporada de parâmetro acenda um relacionamento intenso que estabelece Johnny em um novo caminho.</v>
      </c>
      <c r="M723" s="1">
        <v>85.0</v>
      </c>
      <c r="N723" s="1" t="s">
        <v>4306</v>
      </c>
      <c r="O723" s="1" t="s">
        <v>4307</v>
      </c>
      <c r="P723" s="1" t="s">
        <v>4308</v>
      </c>
      <c r="Q723" s="1" t="s">
        <v>4309</v>
      </c>
      <c r="R723" s="1" t="s">
        <v>4310</v>
      </c>
      <c r="S723" s="1">
        <v>25198.0</v>
      </c>
      <c r="T723" s="7" t="str">
        <f>VLOOKUP(A723,Posters!A723:B1722,2)</f>
        <v>https://m.media-amazon.com/images/M/MV5BNjRhYzk2NDAtYzA1Mi00MmNmLWE1ZjQtMDBhZmUyMTdjZjBiXkEyXkFqcGdeQXVyNjk1Njg5NTA@._V1_UX67_CR0,0,67,98_AL_.jpg</v>
      </c>
      <c r="U723" s="8">
        <f>'Inflation Adjusted Gross'!F723</f>
        <v>356522</v>
      </c>
      <c r="V723" s="5">
        <f t="shared" si="1"/>
        <v>2020</v>
      </c>
    </row>
    <row r="724">
      <c r="A724" s="1">
        <v>723.0</v>
      </c>
      <c r="B724" s="1" t="s">
        <v>4311</v>
      </c>
      <c r="C724" s="6">
        <f>Gross_cleaning!E724</f>
        <v>324591735</v>
      </c>
      <c r="D724" s="1">
        <v>2018.0</v>
      </c>
      <c r="E724" s="1" t="s">
        <v>212</v>
      </c>
      <c r="F724" s="1" t="str">
        <f>VLOOKUP(Filmes_raw!E724,Rating_systems!$A$2:$C$29,3,FALSE)</f>
        <v>Adulto</v>
      </c>
      <c r="G724" s="2">
        <f>Gross_cleaning!F724</f>
        <v>119</v>
      </c>
      <c r="H724" s="1" t="s">
        <v>329</v>
      </c>
      <c r="I724" s="1" t="s">
        <v>1252</v>
      </c>
      <c r="J724" s="1">
        <v>7.7</v>
      </c>
      <c r="K724" s="1" t="s">
        <v>4312</v>
      </c>
      <c r="L724" s="1" t="str">
        <f>IFERROR(__xludf.DUMMYFUNCTION("GOOGLETRANSLATE(K724,""en"", ""pt-br"")"),"Merante Mutant Wade Walson (A.K.A. Deadpool), reúne uma equipe de ladinos mutantes para proteger um menino com habilidades sobrenaturais do cabo de ciborgue brutal e viajante.")</f>
        <v>Merante Mutant Wade Walson (A.K.A. Deadpool), reúne uma equipe de ladinos mutantes para proteger um menino com habilidades sobrenaturais do cabo de ciborgue brutal e viajante.</v>
      </c>
      <c r="M724" s="1">
        <v>66.0</v>
      </c>
      <c r="N724" s="1" t="s">
        <v>4313</v>
      </c>
      <c r="O724" s="1" t="s">
        <v>2291</v>
      </c>
      <c r="P724" s="1" t="s">
        <v>1616</v>
      </c>
      <c r="Q724" s="1" t="s">
        <v>2292</v>
      </c>
      <c r="R724" s="1" t="s">
        <v>2978</v>
      </c>
      <c r="S724" s="1">
        <v>478586.0</v>
      </c>
      <c r="T724" s="7" t="str">
        <f>VLOOKUP(A724,Posters!A724:B1723,2)</f>
        <v>https://m.media-amazon.com/images/M/MV5BNjk1Njk3YjctMmMyYS00Y2I4LThhMzktN2U0MTMyZTFlYWQ5XkEyXkFqcGdeQXVyODM2ODEzMDA@._V1_UY98_CR15,0,67,98_AL_.jpg</v>
      </c>
      <c r="U724" s="8">
        <f>'Inflation Adjusted Gross'!F724</f>
        <v>337823328</v>
      </c>
      <c r="V724" s="5">
        <f t="shared" si="1"/>
        <v>2020</v>
      </c>
    </row>
    <row r="725">
      <c r="A725" s="1">
        <v>724.0</v>
      </c>
      <c r="B725" s="1" t="s">
        <v>4314</v>
      </c>
      <c r="C725" s="6">
        <f>Gross_cleaning!E725</f>
        <v>33800859</v>
      </c>
      <c r="D725" s="1">
        <v>2017.0</v>
      </c>
      <c r="E725" s="1" t="s">
        <v>212</v>
      </c>
      <c r="F725" s="1" t="str">
        <f>VLOOKUP(Filmes_raw!E725,Rating_systems!$A$2:$C$29,3,FALSE)</f>
        <v>Adulto</v>
      </c>
      <c r="G725" s="2">
        <f>Gross_cleaning!F725</f>
        <v>107</v>
      </c>
      <c r="H725" s="1" t="s">
        <v>907</v>
      </c>
      <c r="I725" s="1" t="s">
        <v>235</v>
      </c>
      <c r="J725" s="1">
        <v>7.7</v>
      </c>
      <c r="K725" s="1" t="s">
        <v>4315</v>
      </c>
      <c r="L725" s="1" t="str">
        <f>IFERROR(__xludf.DUMMYFUNCTION("GOOGLETRANSLATE(K725,""en"", ""pt-br"")"),"Um veterano caçador ajuda um agente do FBI a investigar o assassinato de uma jovem em uma reserva nativa de Wyoming.")</f>
        <v>Um veterano caçador ajuda um agente do FBI a investigar o assassinato de uma jovem em uma reserva nativa de Wyoming.</v>
      </c>
      <c r="M725" s="1">
        <v>73.0</v>
      </c>
      <c r="N725" s="1" t="s">
        <v>4316</v>
      </c>
      <c r="O725" s="1" t="s">
        <v>4317</v>
      </c>
      <c r="P725" s="1" t="s">
        <v>2339</v>
      </c>
      <c r="Q725" s="1" t="s">
        <v>4318</v>
      </c>
      <c r="R725" s="1" t="s">
        <v>4319</v>
      </c>
      <c r="S725" s="1">
        <v>205444.0</v>
      </c>
      <c r="T725" s="7" t="str">
        <f>VLOOKUP(A725,Posters!A725:B1724,2)</f>
        <v>https://m.media-amazon.com/images/M/MV5BMTUyMjU1OTUwM15BMl5BanBnXkFtZTgwMDg1NDQ2MjI@._V1_UX67_CR0,0,67,98_AL_.jpg</v>
      </c>
      <c r="U725" s="8">
        <f>'Inflation Adjusted Gross'!F725</f>
        <v>35907088</v>
      </c>
      <c r="V725" s="5">
        <f t="shared" si="1"/>
        <v>2020</v>
      </c>
    </row>
    <row r="726">
      <c r="A726" s="1">
        <v>725.0</v>
      </c>
      <c r="B726" s="1" t="s">
        <v>4320</v>
      </c>
      <c r="C726" s="6">
        <f>Gross_cleaning!E726</f>
        <v>176040665</v>
      </c>
      <c r="D726" s="1">
        <v>2017.0</v>
      </c>
      <c r="E726" s="1" t="s">
        <v>212</v>
      </c>
      <c r="F726" s="1" t="str">
        <f>VLOOKUP(Filmes_raw!E726,Rating_systems!$A$2:$C$29,3,FALSE)</f>
        <v>Adulto</v>
      </c>
      <c r="G726" s="2">
        <f>Gross_cleaning!F726</f>
        <v>104</v>
      </c>
      <c r="H726" s="1" t="s">
        <v>647</v>
      </c>
      <c r="I726" s="1" t="s">
        <v>397</v>
      </c>
      <c r="J726" s="1">
        <v>7.7</v>
      </c>
      <c r="K726" s="1" t="s">
        <v>4321</v>
      </c>
      <c r="L726" s="1" t="str">
        <f>IFERROR(__xludf.DUMMYFUNCTION("GOOGLETRANSLATE(K726,""en"", ""pt-br"")"),"Um jovem afro-americano visita os pais da namorada branca para o fim de semana, onde sua desconforto fervente sobre a recepção dele eventualmente atinge um ponto de ebulição.")</f>
        <v>Um jovem afro-americano visita os pais da namorada branca para o fim de semana, onde sua desconforto fervente sobre a recepção dele eventualmente atinge um ponto de ebulição.</v>
      </c>
      <c r="M726" s="1">
        <v>85.0</v>
      </c>
      <c r="N726" s="1" t="s">
        <v>4322</v>
      </c>
      <c r="O726" s="1" t="s">
        <v>4323</v>
      </c>
      <c r="P726" s="1" t="s">
        <v>4324</v>
      </c>
      <c r="Q726" s="1" t="s">
        <v>4325</v>
      </c>
      <c r="R726" s="1" t="s">
        <v>1608</v>
      </c>
      <c r="S726" s="1">
        <v>492851.0</v>
      </c>
      <c r="T726" s="7" t="str">
        <f>VLOOKUP(A726,Posters!A726:B1725,2)</f>
        <v>https://m.media-amazon.com/images/M/MV5BMjUxMDQwNjcyNl5BMl5BanBnXkFtZTgwNzcwMzc0MTI@._V1_UX67_CR0,0,67,98_AL_.jpg</v>
      </c>
      <c r="U726" s="8">
        <f>'Inflation Adjusted Gross'!F726</f>
        <v>187010268</v>
      </c>
      <c r="V726" s="5">
        <f t="shared" si="1"/>
        <v>2020</v>
      </c>
    </row>
    <row r="727">
      <c r="A727" s="1">
        <v>726.0</v>
      </c>
      <c r="B727" s="1" t="s">
        <v>4326</v>
      </c>
      <c r="C727" s="6">
        <f>Gross_cleaning!E727</f>
        <v>220159104</v>
      </c>
      <c r="D727" s="1">
        <v>2018.0</v>
      </c>
      <c r="E727" s="1" t="s">
        <v>37</v>
      </c>
      <c r="F727" s="1" t="str">
        <f>VLOOKUP(Filmes_raw!E727,Rating_systems!$A$2:$C$29,3,FALSE)</f>
        <v>Criança</v>
      </c>
      <c r="G727" s="2">
        <f>Gross_cleaning!F727</f>
        <v>147</v>
      </c>
      <c r="H727" s="1" t="s">
        <v>443</v>
      </c>
      <c r="I727" s="1" t="s">
        <v>2406</v>
      </c>
      <c r="J727" s="1">
        <v>7.7</v>
      </c>
      <c r="K727" s="1" t="s">
        <v>4327</v>
      </c>
      <c r="L727" s="1" t="str">
        <f>IFERROR(__xludf.DUMMYFUNCTION("GOOGLETRANSLATE(K727,""en"", ""pt-br"")"),"Ethan Hunt e sua equipe do FMI, junto com alguns aliados familiares, raça contra o tempo depois de uma missão errada.")</f>
        <v>Ethan Hunt e sua equipe do FMI, junto com alguns aliados familiares, raça contra o tempo depois de uma missão errada.</v>
      </c>
      <c r="M727" s="1">
        <v>86.0</v>
      </c>
      <c r="N727" s="1" t="s">
        <v>4328</v>
      </c>
      <c r="O727" s="1" t="s">
        <v>2486</v>
      </c>
      <c r="P727" s="1" t="s">
        <v>4329</v>
      </c>
      <c r="Q727" s="1" t="s">
        <v>4330</v>
      </c>
      <c r="R727" s="1" t="s">
        <v>3102</v>
      </c>
      <c r="S727" s="1">
        <v>291257.0</v>
      </c>
      <c r="T727" s="7" t="str">
        <f>VLOOKUP(A727,Posters!A727:B1726,2)</f>
        <v>https://m.media-amazon.com/images/M/MV5BNjRlZmM0ODktY2RjNS00ZDdjLWJhZGYtNDljNWZkMGM5MTg0XkEyXkFqcGdeQXVyNjAwMjI5MDk@._V1_UX67_CR0,0,67,98_AL_.jpg</v>
      </c>
      <c r="U727" s="8">
        <f>'Inflation Adjusted Gross'!F727</f>
        <v>229133626</v>
      </c>
      <c r="V727" s="5">
        <f t="shared" si="1"/>
        <v>2020</v>
      </c>
    </row>
    <row r="728">
      <c r="A728" s="1">
        <v>727.0</v>
      </c>
      <c r="B728" s="1" t="s">
        <v>4331</v>
      </c>
      <c r="C728" s="6">
        <f>Gross_cleaning!E728</f>
        <v>3358518</v>
      </c>
      <c r="D728" s="1">
        <v>2015.0</v>
      </c>
      <c r="E728" s="1" t="s">
        <v>161</v>
      </c>
      <c r="F728" s="1" t="str">
        <f>VLOOKUP(Filmes_raw!E728,Rating_systems!$A$2:$C$29,3,FALSE)</f>
        <v>Criança</v>
      </c>
      <c r="G728" s="2">
        <f>Gross_cleaning!F728</f>
        <v>116</v>
      </c>
      <c r="H728" s="1" t="s">
        <v>226</v>
      </c>
      <c r="I728" s="1" t="s">
        <v>227</v>
      </c>
      <c r="J728" s="1">
        <v>7.7</v>
      </c>
      <c r="K728" s="1" t="s">
        <v>4332</v>
      </c>
      <c r="L728" s="1" t="str">
        <f>IFERROR(__xludf.DUMMYFUNCTION("GOOGLETRANSLATE(K728,""en"", ""pt-br"")"),"Ove, um aposentado mal-humorado que passa seus dias impondo as regras de associação de blocos e visitando o túmulo de sua esposa, finalmente desistiu da vida, uma vez que uma amizade improvável desenvolve-se com seus novos vizinhos barulhentos.")</f>
        <v>Ove, um aposentado mal-humorado que passa seus dias impondo as regras de associação de blocos e visitando o túmulo de sua esposa, finalmente desistiu da vida, uma vez que uma amizade improvável desenvolve-se com seus novos vizinhos barulhentos.</v>
      </c>
      <c r="M728" s="1">
        <v>70.0</v>
      </c>
      <c r="N728" s="1" t="s">
        <v>4333</v>
      </c>
      <c r="O728" s="1" t="s">
        <v>4334</v>
      </c>
      <c r="P728" s="1" t="s">
        <v>4335</v>
      </c>
      <c r="Q728" s="1" t="s">
        <v>4336</v>
      </c>
      <c r="R728" s="1" t="s">
        <v>4337</v>
      </c>
      <c r="S728" s="1">
        <v>47444.0</v>
      </c>
      <c r="T728" s="7" t="str">
        <f>VLOOKUP(A728,Posters!A728:B1727,2)</f>
        <v>https://m.media-amazon.com/images/M/MV5BMjE0NDUyOTc2MV5BMl5BanBnXkFtZTgwODk2NzU3OTE@._V1_UX67_CR0,0,67,98_AL_.jpg</v>
      </c>
      <c r="U728" s="8">
        <f>'Inflation Adjusted Gross'!F728</f>
        <v>3707207</v>
      </c>
      <c r="V728" s="5">
        <f t="shared" si="1"/>
        <v>2020</v>
      </c>
    </row>
    <row r="729">
      <c r="A729" s="1">
        <v>728.0</v>
      </c>
      <c r="B729" s="1" t="s">
        <v>4338</v>
      </c>
      <c r="C729" s="6">
        <f>Gross_cleaning!E729</f>
        <v>3333000</v>
      </c>
      <c r="D729" s="1">
        <v>2014.0</v>
      </c>
      <c r="E729" s="1" t="s">
        <v>212</v>
      </c>
      <c r="F729" s="1" t="str">
        <f>VLOOKUP(Filmes_raw!E729,Rating_systems!$A$2:$C$29,3,FALSE)</f>
        <v>Adulto</v>
      </c>
      <c r="G729" s="2">
        <f>Gross_cleaning!F729</f>
        <v>86</v>
      </c>
      <c r="H729" s="1" t="s">
        <v>1206</v>
      </c>
      <c r="I729" s="1" t="s">
        <v>3156</v>
      </c>
      <c r="J729" s="1">
        <v>7.7</v>
      </c>
      <c r="K729" s="1" t="s">
        <v>4339</v>
      </c>
      <c r="L729" s="1" t="str">
        <f>IFERROR(__xludf.DUMMYFUNCTION("GOOGLETRANSLATE(K729,""en"", ""pt-br"")"),"VIAGO, DEACON E VLADISLAV são vampiros que estão descobrindo que a vida moderna os tem lutando com o aluguel de pagamento mundano, mantendo-se com a roda de tarefas, tentando entrar em discotecas e superar os conflitos do flatmate.")</f>
        <v>VIAGO, DEACON E VLADISLAV são vampiros que estão descobrindo que a vida moderna os tem lutando com o aluguel de pagamento mundano, mantendo-se com a roda de tarefas, tentando entrar em discotecas e superar os conflitos do flatmate.</v>
      </c>
      <c r="M729" s="1">
        <v>76.0</v>
      </c>
      <c r="N729" s="1" t="s">
        <v>4340</v>
      </c>
      <c r="O729" s="1" t="s">
        <v>2977</v>
      </c>
      <c r="P729" s="1" t="s">
        <v>4340</v>
      </c>
      <c r="Q729" s="1" t="s">
        <v>2977</v>
      </c>
      <c r="R729" s="1" t="s">
        <v>4341</v>
      </c>
      <c r="S729" s="1">
        <v>157498.0</v>
      </c>
      <c r="T729" s="7" t="str">
        <f>VLOOKUP(A729,Posters!A729:B1728,2)</f>
        <v>https://m.media-amazon.com/images/M/MV5BMjAwNDA5NzEwM15BMl5BanBnXkFtZTgwMTA1MDUyNDE@._V1_UX67_CR0,0,67,98_AL_.jpg</v>
      </c>
      <c r="U729" s="8">
        <f>'Inflation Adjusted Gross'!F729</f>
        <v>3675753</v>
      </c>
      <c r="V729" s="5">
        <f t="shared" si="1"/>
        <v>2020</v>
      </c>
    </row>
    <row r="730">
      <c r="A730" s="1">
        <v>729.0</v>
      </c>
      <c r="B730" s="1" t="s">
        <v>4342</v>
      </c>
      <c r="C730" s="6">
        <f>Gross_cleaning!E730</f>
        <v>765127</v>
      </c>
      <c r="D730" s="1">
        <v>2014.0</v>
      </c>
      <c r="E730" s="1" t="s">
        <v>52</v>
      </c>
      <c r="F730" s="1" t="str">
        <f>VLOOKUP(Filmes_raw!E730,Rating_systems!$A$2:$C$29,3,FALSE)</f>
        <v>Criança</v>
      </c>
      <c r="G730" s="2">
        <f>Gross_cleaning!F730</f>
        <v>103</v>
      </c>
      <c r="H730" s="1" t="s">
        <v>885</v>
      </c>
      <c r="I730" s="1" t="s">
        <v>1384</v>
      </c>
      <c r="J730" s="1">
        <v>7.7</v>
      </c>
      <c r="K730" s="1" t="s">
        <v>4343</v>
      </c>
      <c r="L730" s="1" t="str">
        <f>IFERROR(__xludf.DUMMYFUNCTION("GOOGLETRANSLATE(K730,""en"", ""pt-br"")"),"Devido a 12 y.o. A asma de Anna, ela enviada para ficar com parentes de seu guardião no campo japonês. Ela gosta de ficar sozinha, esboçar. Ela faz amizade com Marnie. Quem é o misterioso e loira Marnie.")</f>
        <v>Devido a 12 y.o. A asma de Anna, ela enviada para ficar com parentes de seu guardião no campo japonês. Ela gosta de ficar sozinha, esboçar. Ela faz amizade com Marnie. Quem é o misterioso e loira Marnie.</v>
      </c>
      <c r="M730" s="1">
        <v>72.0</v>
      </c>
      <c r="N730" s="1" t="s">
        <v>4344</v>
      </c>
      <c r="O730" s="1" t="s">
        <v>4345</v>
      </c>
      <c r="P730" s="1" t="s">
        <v>4346</v>
      </c>
      <c r="Q730" s="1" t="s">
        <v>4347</v>
      </c>
      <c r="R730" s="1" t="s">
        <v>4348</v>
      </c>
      <c r="S730" s="1">
        <v>32798.0</v>
      </c>
      <c r="T730" s="7" t="str">
        <f>VLOOKUP(A730,Posters!A730:B1729,2)</f>
        <v>https://m.media-amazon.com/images/M/MV5BZTlmYTJmMWEtNDRhNy00ODc1LTg2OTMtMjk2ODJhNTA4YTE1XkEyXkFqcGdeQXVyMTMxODk2OTU@._V1_UY98_CR0,0,67,98_AL_.jpg</v>
      </c>
      <c r="U730" s="8">
        <f>'Inflation Adjusted Gross'!F730</f>
        <v>843810</v>
      </c>
      <c r="V730" s="5">
        <f t="shared" si="1"/>
        <v>2020</v>
      </c>
    </row>
    <row r="731">
      <c r="A731" s="1">
        <v>730.0</v>
      </c>
      <c r="B731" s="1" t="s">
        <v>4349</v>
      </c>
      <c r="C731" s="6">
        <f>Gross_cleaning!E731</f>
        <v>35893537</v>
      </c>
      <c r="D731" s="1">
        <v>2014.0</v>
      </c>
      <c r="E731" s="1" t="s">
        <v>52</v>
      </c>
      <c r="F731" s="1" t="str">
        <f>VLOOKUP(Filmes_raw!E731,Rating_systems!$A$2:$C$29,3,FALSE)</f>
        <v>Criança</v>
      </c>
      <c r="G731" s="2">
        <f>Gross_cleaning!F731</f>
        <v>123</v>
      </c>
      <c r="H731" s="1" t="s">
        <v>678</v>
      </c>
      <c r="I731" s="1" t="s">
        <v>4350</v>
      </c>
      <c r="J731" s="1">
        <v>7.7</v>
      </c>
      <c r="K731" s="1" t="s">
        <v>4351</v>
      </c>
      <c r="L731" s="1" t="str">
        <f>IFERROR(__xludf.DUMMYFUNCTION("GOOGLETRANSLATE(K731,""en"", ""pt-br"")"),"Uma olhada na relação entre o famoso físico Stephen Hawking e sua esposa.")</f>
        <v>Uma olhada na relação entre o famoso físico Stephen Hawking e sua esposa.</v>
      </c>
      <c r="M731" s="1">
        <v>72.0</v>
      </c>
      <c r="N731" s="1" t="s">
        <v>4352</v>
      </c>
      <c r="O731" s="1" t="s">
        <v>3752</v>
      </c>
      <c r="P731" s="1" t="s">
        <v>3592</v>
      </c>
      <c r="Q731" s="1" t="s">
        <v>4353</v>
      </c>
      <c r="R731" s="1" t="s">
        <v>4354</v>
      </c>
      <c r="S731" s="1">
        <v>404182.0</v>
      </c>
      <c r="T731" s="7" t="str">
        <f>VLOOKUP(A731,Posters!A731:B1730,2)</f>
        <v>https://m.media-amazon.com/images/M/MV5BMTAwMTU4MDA3NDNeQTJeQWpwZ15BbWU4MDk4NTMxNTIx._V1_UX67_CR0,0,67,98_AL_.jpg</v>
      </c>
      <c r="U731" s="8">
        <f>'Inflation Adjusted Gross'!F731</f>
        <v>39584687</v>
      </c>
      <c r="V731" s="5">
        <f t="shared" si="1"/>
        <v>2020</v>
      </c>
    </row>
    <row r="732">
      <c r="A732" s="1">
        <v>731.0</v>
      </c>
      <c r="B732" s="1" t="s">
        <v>4355</v>
      </c>
      <c r="C732" s="6">
        <f>Gross_cleaning!E732</f>
        <v>128261724</v>
      </c>
      <c r="D732" s="1">
        <v>2014.0</v>
      </c>
      <c r="E732" s="1" t="s">
        <v>18</v>
      </c>
      <c r="F732" s="1" t="str">
        <f>VLOOKUP(Filmes_raw!E732,Rating_systems!$A$2:$C$29,3,FALSE)</f>
        <v>Adulto</v>
      </c>
      <c r="G732" s="2">
        <f>Gross_cleaning!F732</f>
        <v>129</v>
      </c>
      <c r="H732" s="1" t="s">
        <v>830</v>
      </c>
      <c r="I732" s="1" t="s">
        <v>1252</v>
      </c>
      <c r="J732" s="1">
        <v>7.7</v>
      </c>
      <c r="K732" s="1" t="s">
        <v>4356</v>
      </c>
      <c r="L732" s="1" t="str">
        <f>IFERROR(__xludf.DUMMYFUNCTION("GOOGLETRANSLATE(K732,""en"", ""pt-br"")"),"Uma organização espião recruta uma criança promissora no programa de treinamento da agência, enquanto uma ameaça global emerge de um gênio técnico torcido.")</f>
        <v>Uma organização espião recruta uma criança promissora no programa de treinamento da agência, enquanto uma ameaça global emerge de um gênio técnico torcido.</v>
      </c>
      <c r="M732" s="1">
        <v>60.0</v>
      </c>
      <c r="N732" s="1" t="s">
        <v>4357</v>
      </c>
      <c r="O732" s="1" t="s">
        <v>645</v>
      </c>
      <c r="P732" s="1" t="s">
        <v>4358</v>
      </c>
      <c r="Q732" s="1" t="s">
        <v>75</v>
      </c>
      <c r="R732" s="1" t="s">
        <v>45</v>
      </c>
      <c r="S732" s="1">
        <v>590440.0</v>
      </c>
      <c r="T732" s="7" t="str">
        <f>VLOOKUP(A732,Posters!A732:B1731,2)</f>
        <v>https://m.media-amazon.com/images/M/MV5BYTM3ZTllNzItNTNmOS00NzJiLTg1MWMtMjMxNDc0NmJhODU5XkEyXkFqcGdeQXVyODE5NzE3OTE@._V1_UX67_CR0,0,67,98_AL_.jpg</v>
      </c>
      <c r="U732" s="8">
        <f>'Inflation Adjusted Gross'!F732</f>
        <v>141451654</v>
      </c>
      <c r="V732" s="5">
        <f t="shared" si="1"/>
        <v>2020</v>
      </c>
    </row>
    <row r="733">
      <c r="A733" s="1">
        <v>732.0</v>
      </c>
      <c r="B733" s="1" t="s">
        <v>4359</v>
      </c>
      <c r="C733" s="6">
        <f>Gross_cleaning!E733</f>
        <v>124872350</v>
      </c>
      <c r="D733" s="1">
        <v>2014.0</v>
      </c>
      <c r="E733" s="1" t="s">
        <v>37</v>
      </c>
      <c r="F733" s="1" t="str">
        <f>VLOOKUP(Filmes_raw!E733,Rating_systems!$A$2:$C$29,3,FALSE)</f>
        <v>Criança</v>
      </c>
      <c r="G733" s="2">
        <f>Gross_cleaning!F733</f>
        <v>126</v>
      </c>
      <c r="H733" s="1" t="s">
        <v>428</v>
      </c>
      <c r="I733" s="1" t="s">
        <v>107</v>
      </c>
      <c r="J733" s="1">
        <v>7.7</v>
      </c>
      <c r="K733" s="1" t="s">
        <v>4360</v>
      </c>
      <c r="L733" s="1" t="str">
        <f>IFERROR(__xludf.DUMMYFUNCTION("GOOGLETRANSLATE(K733,""en"", ""pt-br"")"),"Dois pacientes com cancro adolescentes começam uma jornada de afirmação de vida para visitar um autor recluso em Amsterdã.")</f>
        <v>Dois pacientes com cancro adolescentes começam uma jornada de afirmação de vida para visitar um autor recluso em Amsterdã.</v>
      </c>
      <c r="M733" s="1">
        <v>69.0</v>
      </c>
      <c r="N733" s="1" t="s">
        <v>4361</v>
      </c>
      <c r="O733" s="1" t="s">
        <v>4362</v>
      </c>
      <c r="P733" s="1" t="s">
        <v>4363</v>
      </c>
      <c r="Q733" s="1" t="s">
        <v>4364</v>
      </c>
      <c r="R733" s="1" t="s">
        <v>1785</v>
      </c>
      <c r="S733" s="1">
        <v>344312.0</v>
      </c>
      <c r="T733" s="7" t="str">
        <f>VLOOKUP(A733,Posters!A733:B1732,2)</f>
        <v>https://m.media-amazon.com/images/M/MV5BNTVkMTFiZWItOTFkOC00YTc3LWFhYzQtZTg3NzAxZjJlNTAyXkEyXkFqcGdeQXVyODE5NzE3OTE@._V1_UX67_CR0,0,67,98_AL_.jpg</v>
      </c>
      <c r="U733" s="8">
        <f>'Inflation Adjusted Gross'!F733</f>
        <v>137713730</v>
      </c>
      <c r="V733" s="5">
        <f t="shared" si="1"/>
        <v>2020</v>
      </c>
    </row>
    <row r="734">
      <c r="A734" s="1">
        <v>733.0</v>
      </c>
      <c r="B734" s="1" t="s">
        <v>4365</v>
      </c>
      <c r="C734" s="6">
        <f>Gross_cleaning!E734</f>
        <v>6743776</v>
      </c>
      <c r="D734" s="1">
        <v>2015.0</v>
      </c>
      <c r="E734" s="1" t="s">
        <v>161</v>
      </c>
      <c r="F734" s="1" t="str">
        <f>VLOOKUP(Filmes_raw!E734,Rating_systems!$A$2:$C$29,3,FALSE)</f>
        <v>Criança</v>
      </c>
      <c r="G734" s="2">
        <f>Gross_cleaning!F734</f>
        <v>105</v>
      </c>
      <c r="H734" s="1" t="s">
        <v>487</v>
      </c>
      <c r="I734" s="1" t="s">
        <v>507</v>
      </c>
      <c r="J734" s="1">
        <v>7.7</v>
      </c>
      <c r="K734" s="1" t="s">
        <v>4366</v>
      </c>
      <c r="L734" s="1" t="str">
        <f>IFERROR(__xludf.DUMMYFUNCTION("GOOGLETRANSLATE(K734,""en"", ""pt-br"")"),"O High Sisticaliador Greg, que passa a maior parte do tempo fazendo paródias de filmes clássicos com seu colega de trabalho, encontra sua perspectiva para sempre alterada depois de fazer amizade com um colega de classe que acaba de ser diagnosticado com c"&amp;"âncer.")</f>
        <v>O High Sisticaliador Greg, que passa a maior parte do tempo fazendo paródias de filmes clássicos com seu colega de trabalho, encontra sua perspectiva para sempre alterada depois de fazer amizade com um colega de classe que acaba de ser diagnosticado com câncer.</v>
      </c>
      <c r="M734" s="1">
        <v>74.0</v>
      </c>
      <c r="N734" s="1" t="s">
        <v>4367</v>
      </c>
      <c r="O734" s="1" t="s">
        <v>4368</v>
      </c>
      <c r="P734" s="1" t="s">
        <v>4369</v>
      </c>
      <c r="Q734" s="1" t="s">
        <v>3528</v>
      </c>
      <c r="R734" s="1" t="s">
        <v>4370</v>
      </c>
      <c r="S734" s="1">
        <v>123210.0</v>
      </c>
      <c r="T734" s="7" t="str">
        <f>VLOOKUP(A734,Posters!A734:B1733,2)</f>
        <v>https://m.media-amazon.com/images/M/MV5BNTA1NzUzNjY4MV5BMl5BanBnXkFtZTgwNDU0MDI0NTE@._V1_UX67_CR0,0,67,98_AL_.jpg</v>
      </c>
      <c r="U734" s="8">
        <f>'Inflation Adjusted Gross'!F734</f>
        <v>7443930</v>
      </c>
      <c r="V734" s="5">
        <f t="shared" si="1"/>
        <v>2020</v>
      </c>
    </row>
    <row r="735">
      <c r="A735" s="1">
        <v>734.0</v>
      </c>
      <c r="B735" s="1" t="s">
        <v>4371</v>
      </c>
      <c r="C735" s="6">
        <f>Gross_cleaning!E735</f>
        <v>42340598</v>
      </c>
      <c r="D735" s="1">
        <v>2014.0</v>
      </c>
      <c r="E735" s="1" t="s">
        <v>18</v>
      </c>
      <c r="F735" s="1" t="str">
        <f>VLOOKUP(Filmes_raw!E735,Rating_systems!$A$2:$C$29,3,FALSE)</f>
        <v>Adulto</v>
      </c>
      <c r="G735" s="2">
        <f>Gross_cleaning!F735</f>
        <v>119</v>
      </c>
      <c r="H735" s="1" t="s">
        <v>329</v>
      </c>
      <c r="I735" s="1" t="s">
        <v>507</v>
      </c>
      <c r="J735" s="1">
        <v>7.7</v>
      </c>
      <c r="K735" s="1" t="s">
        <v>4372</v>
      </c>
      <c r="L735" s="1" t="str">
        <f>IFERROR(__xludf.DUMMYFUNCTION("GOOGLETRANSLATE(K735,""en"", ""pt-br"")"),"Um ator de super-herói lavado tenta reviver sua carreira de desbotamento escrevendo, dirigindo e estrelando em uma produção da Broadway.")</f>
        <v>Um ator de super-herói lavado tenta reviver sua carreira de desbotamento escrevendo, dirigindo e estrelando em uma produção da Broadway.</v>
      </c>
      <c r="M735" s="1">
        <v>87.0</v>
      </c>
      <c r="N735" s="1" t="s">
        <v>1677</v>
      </c>
      <c r="O735" s="1" t="s">
        <v>1517</v>
      </c>
      <c r="P735" s="1" t="s">
        <v>4373</v>
      </c>
      <c r="Q735" s="1" t="s">
        <v>99</v>
      </c>
      <c r="R735" s="1" t="s">
        <v>4374</v>
      </c>
      <c r="S735" s="1">
        <v>580291.0</v>
      </c>
      <c r="T735" s="7" t="str">
        <f>VLOOKUP(A735,Posters!A735:B1734,2)</f>
        <v>https://m.media-amazon.com/images/M/MV5BODAzNDMxMzAxOV5BMl5BanBnXkFtZTgwMDMxMjA4MjE@._V1_UX67_CR0,0,67,98_AL_.jpg</v>
      </c>
      <c r="U735" s="8">
        <f>'Inflation Adjusted Gross'!F735</f>
        <v>46694738</v>
      </c>
      <c r="V735" s="5">
        <f t="shared" si="1"/>
        <v>2020</v>
      </c>
    </row>
    <row r="736">
      <c r="A736" s="1">
        <v>735.0</v>
      </c>
      <c r="B736" s="1" t="s">
        <v>4375</v>
      </c>
      <c r="C736" s="6">
        <f>Gross_cleaning!E736</f>
        <v>2199675</v>
      </c>
      <c r="D736" s="1">
        <v>2013.0</v>
      </c>
      <c r="E736" s="1" t="s">
        <v>18</v>
      </c>
      <c r="F736" s="1" t="str">
        <f>VLOOKUP(Filmes_raw!E736,Rating_systems!$A$2:$C$29,3,FALSE)</f>
        <v>Adulto</v>
      </c>
      <c r="G736" s="2">
        <f>Gross_cleaning!F736</f>
        <v>180</v>
      </c>
      <c r="H736" s="1" t="s">
        <v>1077</v>
      </c>
      <c r="I736" s="1" t="s">
        <v>107</v>
      </c>
      <c r="J736" s="1">
        <v>7.7</v>
      </c>
      <c r="K736" s="1" t="s">
        <v>4376</v>
      </c>
      <c r="L736" s="1" t="str">
        <f>IFERROR(__xludf.DUMMYFUNCTION("GOOGLETRANSLATE(K736,""en"", ""pt-br"")"),"A vida de Adèle é mudada quando ela conhece Emma, ​​uma jovem com cabelo azul, que permitirá que ela descubra o desejo e se afirme uma mulher e como adulto. Na frente dos outros, Adèle cresce, se vê, se perde e, em última análise, se encontra através do a"&amp;"mor e perda.")</f>
        <v>A vida de Adèle é mudada quando ela conhece Emma, ​​uma jovem com cabelo azul, que permitirá que ela descubra o desejo e se afirme uma mulher e como adulto. Na frente dos outros, Adèle cresce, se vê, se perde e, em última análise, se encontra através do amor e perda.</v>
      </c>
      <c r="M736" s="1">
        <v>89.0</v>
      </c>
      <c r="N736" s="1" t="s">
        <v>4377</v>
      </c>
      <c r="O736" s="1" t="s">
        <v>4378</v>
      </c>
      <c r="P736" s="1" t="s">
        <v>4379</v>
      </c>
      <c r="Q736" s="1" t="s">
        <v>4380</v>
      </c>
      <c r="R736" s="1" t="s">
        <v>4381</v>
      </c>
      <c r="S736" s="1">
        <v>138741.0</v>
      </c>
      <c r="T736" s="7" t="str">
        <f>VLOOKUP(A736,Posters!A736:B1735,2)</f>
        <v>https://m.media-amazon.com/images/M/MV5BMTQ5NTg5ODk4OV5BMl5BanBnXkFtZTgwODc4MTMzMDE@._V1_UX67_CR0,0,67,98_AL_.jpg</v>
      </c>
      <c r="U736" s="8">
        <f>'Inflation Adjusted Gross'!F736</f>
        <v>2464184</v>
      </c>
      <c r="V736" s="5">
        <f t="shared" si="1"/>
        <v>2020</v>
      </c>
    </row>
    <row r="737">
      <c r="A737" s="1">
        <v>736.0</v>
      </c>
      <c r="B737" s="1" t="s">
        <v>4382</v>
      </c>
      <c r="C737" s="6">
        <f>Gross_cleaning!E737</f>
        <v>1122527</v>
      </c>
      <c r="D737" s="1">
        <v>2013.0</v>
      </c>
      <c r="E737" s="1" t="s">
        <v>52</v>
      </c>
      <c r="F737" s="1" t="str">
        <f>VLOOKUP(Filmes_raw!E737,Rating_systems!$A$2:$C$29,3,FALSE)</f>
        <v>Criança</v>
      </c>
      <c r="G737" s="2">
        <f>Gross_cleaning!F737</f>
        <v>130</v>
      </c>
      <c r="H737" s="1" t="s">
        <v>195</v>
      </c>
      <c r="I737" s="1" t="s">
        <v>1622</v>
      </c>
      <c r="J737" s="1">
        <v>7.7</v>
      </c>
      <c r="K737" s="1" t="s">
        <v>4383</v>
      </c>
      <c r="L737" s="1" t="str">
        <f>IFERROR(__xludf.DUMMYFUNCTION("GOOGLETRANSLATE(K737,""en"", ""pt-br"")"),"Três amigos crescendo na Índia na virada do milênio estabelecido para abrir uma academia de treinamento para produzir as próximas estrelas do críquete do país.")</f>
        <v>Três amigos crescendo na Índia na virada do milênio estabelecido para abrir uma academia de treinamento para produzir as próximas estrelas do críquete do país.</v>
      </c>
      <c r="M737" s="1">
        <v>40.0</v>
      </c>
      <c r="N737" s="1" t="s">
        <v>4384</v>
      </c>
      <c r="O737" s="1" t="s">
        <v>4385</v>
      </c>
      <c r="P737" s="1" t="s">
        <v>942</v>
      </c>
      <c r="Q737" s="1" t="s">
        <v>1008</v>
      </c>
      <c r="R737" s="1" t="s">
        <v>4386</v>
      </c>
      <c r="S737" s="1">
        <v>32628.0</v>
      </c>
      <c r="T737" s="7" t="str">
        <f>VLOOKUP(A737,Posters!A737:B1736,2)</f>
        <v>https://m.media-amazon.com/images/M/MV5BMTgwNTAwMjEzMF5BMl5BanBnXkFtZTcwNzMzODY4OA@@._V1_UY98_CR3,0,67,98_AL_.jpg</v>
      </c>
      <c r="U737" s="8">
        <f>'Inflation Adjusted Gross'!F737</f>
        <v>1257510</v>
      </c>
      <c r="V737" s="5">
        <f t="shared" si="1"/>
        <v>2020</v>
      </c>
    </row>
    <row r="738">
      <c r="A738" s="1">
        <v>737.0</v>
      </c>
      <c r="B738" s="1" t="s">
        <v>4387</v>
      </c>
      <c r="C738" s="6">
        <f>Gross_cleaning!E738</f>
        <v>175058</v>
      </c>
      <c r="D738" s="1">
        <v>2012.0</v>
      </c>
      <c r="E738" s="1">
        <v>16.0</v>
      </c>
      <c r="F738" s="1" t="str">
        <f>VLOOKUP(Filmes_raw!E738,Rating_systems!$A$2:$C$29,3,FALSE)</f>
        <v>Adolescente</v>
      </c>
      <c r="G738" s="2">
        <f>Gross_cleaning!F738</f>
        <v>111</v>
      </c>
      <c r="H738" s="1" t="s">
        <v>1663</v>
      </c>
      <c r="I738" s="1" t="s">
        <v>1706</v>
      </c>
      <c r="J738" s="1">
        <v>7.7</v>
      </c>
      <c r="K738" s="1" t="s">
        <v>4388</v>
      </c>
      <c r="L738" s="1" t="str">
        <f>IFERROR(__xludf.DUMMYFUNCTION("GOOGLETRANSLATE(K738,""en"", ""pt-br"")"),"Elise e Didier se apaixonam à primeira vista, apesar de suas diferenças. Ele fala, ela ouve. Ele é um ateu romântico, ela é um realista religioso. Quando sua filha se torna seriamente doente, seu amor é colocado em julgamento.")</f>
        <v>Elise e Didier se apaixonam à primeira vista, apesar de suas diferenças. Ele fala, ela ouve. Ele é um ateu romântico, ela é um realista religioso. Quando sua filha se torna seriamente doente, seu amor é colocado em julgamento.</v>
      </c>
      <c r="M738" s="1">
        <v>70.0</v>
      </c>
      <c r="N738" s="1" t="s">
        <v>4389</v>
      </c>
      <c r="O738" s="1" t="s">
        <v>4390</v>
      </c>
      <c r="P738" s="1" t="s">
        <v>4391</v>
      </c>
      <c r="Q738" s="1" t="s">
        <v>4392</v>
      </c>
      <c r="R738" s="1" t="s">
        <v>4393</v>
      </c>
      <c r="S738" s="1">
        <v>39379.0</v>
      </c>
      <c r="T738" s="7" t="str">
        <f>VLOOKUP(A738,Posters!A738:B1737,2)</f>
        <v>https://m.media-amazon.com/images/M/MV5BMTQzMzg2Nzg2MF5BMl5BanBnXkFtZTgwNjUzNzIzMDE@._V1_UX67_CR0,0,67,98_AL_.jpg</v>
      </c>
      <c r="U738" s="8">
        <f>'Inflation Adjusted Gross'!F738</f>
        <v>199236</v>
      </c>
      <c r="V738" s="5">
        <f t="shared" si="1"/>
        <v>2020</v>
      </c>
    </row>
    <row r="739">
      <c r="A739" s="1">
        <v>738.0</v>
      </c>
      <c r="B739" s="1" t="s">
        <v>4394</v>
      </c>
      <c r="C739" s="6">
        <f>Gross_cleaning!E739</f>
        <v>259766572</v>
      </c>
      <c r="D739" s="1">
        <v>2014.0</v>
      </c>
      <c r="E739" s="1" t="s">
        <v>37</v>
      </c>
      <c r="F739" s="1" t="str">
        <f>VLOOKUP(Filmes_raw!E739,Rating_systems!$A$2:$C$29,3,FALSE)</f>
        <v>Criança</v>
      </c>
      <c r="G739" s="2">
        <f>Gross_cleaning!F739</f>
        <v>136</v>
      </c>
      <c r="H739" s="1" t="s">
        <v>127</v>
      </c>
      <c r="I739" s="1" t="s">
        <v>88</v>
      </c>
      <c r="J739" s="1">
        <v>7.7</v>
      </c>
      <c r="K739" s="1" t="s">
        <v>4395</v>
      </c>
      <c r="L739" s="1" t="str">
        <f>IFERROR(__xludf.DUMMYFUNCTION("GOOGLETRANSLATE(K739,""en"", ""pt-br"")"),"Como Steve Rogers se esforça para abraçar seu papel no mundo moderno, ele se uniu com um companheiro vingador e agente de s.h.i.e.l.d, viúva negra, para combater uma nova ameaça da história: um assassino conhecido como soldado de inverno.")</f>
        <v>Como Steve Rogers se esforça para abraçar seu papel no mundo moderno, ele se uniu com um companheiro vingador e agente de s.h.i.e.l.d, viúva negra, para combater uma nova ameaça da história: um assassino conhecido como soldado de inverno.</v>
      </c>
      <c r="M739" s="1">
        <v>70.0</v>
      </c>
      <c r="N739" s="1" t="s">
        <v>477</v>
      </c>
      <c r="O739" s="1" t="s">
        <v>478</v>
      </c>
      <c r="P739" s="1" t="s">
        <v>480</v>
      </c>
      <c r="Q739" s="1" t="s">
        <v>75</v>
      </c>
      <c r="R739" s="1" t="s">
        <v>307</v>
      </c>
      <c r="S739" s="1">
        <v>736182.0</v>
      </c>
      <c r="T739" s="7" t="str">
        <f>VLOOKUP(A739,Posters!A739:B1738,2)</f>
        <v>https://m.media-amazon.com/images/M/MV5BMzA2NDkwODAwM15BMl5BanBnXkFtZTgwODk5MTgzMTE@._V1_UY98_CR0,0,67,98_AL_.jpg</v>
      </c>
      <c r="U739" s="8">
        <f>'Inflation Adjusted Gross'!F739</f>
        <v>286479943</v>
      </c>
      <c r="V739" s="5">
        <f t="shared" si="1"/>
        <v>2020</v>
      </c>
    </row>
    <row r="740">
      <c r="A740" s="1">
        <v>739.0</v>
      </c>
      <c r="B740" s="1" t="s">
        <v>4396</v>
      </c>
      <c r="C740" s="6">
        <f>Gross_cleaning!E740</f>
        <v>985912</v>
      </c>
      <c r="D740" s="1">
        <v>2011.0</v>
      </c>
      <c r="E740" s="1" t="s">
        <v>37</v>
      </c>
      <c r="F740" s="1" t="str">
        <f>VLOOKUP(Filmes_raw!E740,Rating_systems!$A$2:$C$29,3,FALSE)</f>
        <v>Criança</v>
      </c>
      <c r="G740" s="2">
        <f>Gross_cleaning!F740</f>
        <v>159</v>
      </c>
      <c r="H740" s="1" t="s">
        <v>2168</v>
      </c>
      <c r="I740" s="1" t="s">
        <v>3319</v>
      </c>
      <c r="J740" s="1">
        <v>7.7</v>
      </c>
      <c r="K740" s="1" t="s">
        <v>4397</v>
      </c>
      <c r="L740" s="1" t="str">
        <f>IFERROR(__xludf.DUMMYFUNCTION("GOOGLETRANSLATE(K740,""en"", ""pt-br"")"),"Jakhar Jakhar persegue seus sonhos de se tornar uma estrela de rock grande, durante o que ele se apaixona por Heer.")</f>
        <v>Jakhar Jakhar persegue seus sonhos de se tornar uma estrela de rock grande, durante o que ele se apaixona por Heer.</v>
      </c>
      <c r="N740" s="1" t="s">
        <v>3083</v>
      </c>
      <c r="O740" s="1" t="s">
        <v>1497</v>
      </c>
      <c r="P740" s="1" t="s">
        <v>4398</v>
      </c>
      <c r="Q740" s="1" t="s">
        <v>4399</v>
      </c>
      <c r="R740" s="1" t="s">
        <v>2160</v>
      </c>
      <c r="S740" s="1">
        <v>39501.0</v>
      </c>
      <c r="T740" s="7" t="str">
        <f>VLOOKUP(A740,Posters!A740:B1739,2)</f>
        <v>https://m.media-amazon.com/images/M/MV5BOTc3NzAxMjg4M15BMl5BanBnXkFtZTcwMDc2ODQwNw@@._V1_UY98_CR3,0,67,98_AL_.jpg</v>
      </c>
      <c r="U740" s="8">
        <f>'Inflation Adjusted Gross'!F740</f>
        <v>1154905</v>
      </c>
      <c r="V740" s="5">
        <f t="shared" si="1"/>
        <v>2020</v>
      </c>
    </row>
    <row r="741">
      <c r="A741" s="1">
        <v>740.0</v>
      </c>
      <c r="B741" s="1" t="s">
        <v>4400</v>
      </c>
      <c r="C741" s="6">
        <f>Gross_cleaning!E741</f>
        <v>17654912</v>
      </c>
      <c r="D741" s="1">
        <v>2013.0</v>
      </c>
      <c r="E741" s="1" t="s">
        <v>37</v>
      </c>
      <c r="F741" s="1" t="str">
        <f>VLOOKUP(Filmes_raw!E741,Rating_systems!$A$2:$C$29,3,FALSE)</f>
        <v>Criança</v>
      </c>
      <c r="G741" s="2">
        <f>Gross_cleaning!F741</f>
        <v>115</v>
      </c>
      <c r="H741" s="1" t="s">
        <v>563</v>
      </c>
      <c r="I741" s="1" t="s">
        <v>1004</v>
      </c>
      <c r="J741" s="1">
        <v>7.7</v>
      </c>
      <c r="K741" s="1" t="s">
        <v>4401</v>
      </c>
      <c r="L741" s="1" t="str">
        <f>IFERROR(__xludf.DUMMYFUNCTION("GOOGLETRANSLATE(K741,""en"", ""pt-br"")"),"Um envelhecimento, o Pai Booze-Adled faz a viagem de Montana a Nebraska com seu filho distante, a fim de reivindicar um prêmio de marketing Mega-Dollar Mega Sweepstakes.")</f>
        <v>Um envelhecimento, o Pai Booze-Adled faz a viagem de Montana a Nebraska com seu filho distante, a fim de reivindicar um prêmio de marketing Mega-Dollar Mega Sweepstakes.</v>
      </c>
      <c r="M741" s="1">
        <v>87.0</v>
      </c>
      <c r="N741" s="1" t="s">
        <v>4402</v>
      </c>
      <c r="O741" s="1" t="s">
        <v>4403</v>
      </c>
      <c r="P741" s="1" t="s">
        <v>4404</v>
      </c>
      <c r="Q741" s="1" t="s">
        <v>4405</v>
      </c>
      <c r="R741" s="1" t="s">
        <v>4406</v>
      </c>
      <c r="S741" s="1">
        <v>112298.0</v>
      </c>
      <c r="T741" s="7" t="str">
        <f>VLOOKUP(A741,Posters!A741:B1740,2)</f>
        <v>https://m.media-amazon.com/images/M/MV5BOGQzODdlMDktNzU4ZC00N2M3LWFkYTAtYTM1NTE0ZWI5YTg4XkEyXkFqcGdeQXVyMTA1NTM1NDI2._V1_UX67_CR0,0,67,98_AL_.jpg</v>
      </c>
      <c r="U741" s="8">
        <f>'Inflation Adjusted Gross'!F741</f>
        <v>19777902</v>
      </c>
      <c r="V741" s="5">
        <f t="shared" si="1"/>
        <v>2020</v>
      </c>
    </row>
    <row r="742">
      <c r="A742" s="1">
        <v>741.0</v>
      </c>
      <c r="B742" s="1" t="s">
        <v>4407</v>
      </c>
      <c r="C742" s="6">
        <f>Gross_cleaning!E742</f>
        <v>189422889</v>
      </c>
      <c r="D742" s="1">
        <v>2012.0</v>
      </c>
      <c r="E742" s="1" t="s">
        <v>52</v>
      </c>
      <c r="F742" s="1" t="str">
        <f>VLOOKUP(Filmes_raw!E742,Rating_systems!$A$2:$C$29,3,FALSE)</f>
        <v>Criança</v>
      </c>
      <c r="G742" s="2">
        <f>Gross_cleaning!F742</f>
        <v>101</v>
      </c>
      <c r="H742" s="1" t="s">
        <v>535</v>
      </c>
      <c r="I742" s="1" t="s">
        <v>765</v>
      </c>
      <c r="J742" s="1">
        <v>7.7</v>
      </c>
      <c r="K742" s="1" t="s">
        <v>4408</v>
      </c>
      <c r="L742" s="1" t="str">
        <f>IFERROR(__xludf.DUMMYFUNCTION("GOOGLETRANSLATE(K742,""en"", ""pt-br"")"),"Um videogame vilão quer ser um herói e se aponta para cumprir seu sonho, mas sua busca traz estragos para toda a arcada onde ele mora.")</f>
        <v>Um videogame vilão quer ser um herói e se aponta para cumprir seu sonho, mas sua busca traz estragos para toda a arcada onde ele mora.</v>
      </c>
      <c r="M742" s="1">
        <v>72.0</v>
      </c>
      <c r="N742" s="1" t="s">
        <v>2192</v>
      </c>
      <c r="O742" s="1" t="s">
        <v>4409</v>
      </c>
      <c r="P742" s="1" t="s">
        <v>4410</v>
      </c>
      <c r="Q742" s="1" t="s">
        <v>4411</v>
      </c>
      <c r="R742" s="1" t="s">
        <v>4412</v>
      </c>
      <c r="S742" s="1">
        <v>380195.0</v>
      </c>
      <c r="T742" s="7" t="str">
        <f>VLOOKUP(A742,Posters!A742:B1741,2)</f>
        <v>https://m.media-amazon.com/images/M/MV5BNzMxNTExOTkyMF5BMl5BanBnXkFtZTcwMzEyNDc0OA@@._V1_UX67_CR0,0,67,98_AL_.jpg</v>
      </c>
      <c r="U742" s="8">
        <f>'Inflation Adjusted Gross'!F742</f>
        <v>215585168</v>
      </c>
      <c r="V742" s="5">
        <f t="shared" si="1"/>
        <v>2020</v>
      </c>
    </row>
    <row r="743">
      <c r="A743" s="1">
        <v>742.0</v>
      </c>
      <c r="B743" s="1" t="s">
        <v>4413</v>
      </c>
      <c r="C743" s="6">
        <f>Gross_cleaning!E743</f>
        <v>1339152</v>
      </c>
      <c r="D743" s="1">
        <v>2015.0</v>
      </c>
      <c r="E743" s="1" t="s">
        <v>270</v>
      </c>
      <c r="F743" s="1" t="str">
        <f>VLOOKUP(Filmes_raw!E743,Rating_systems!$A$2:$C$29,3,FALSE)</f>
        <v>Criança</v>
      </c>
      <c r="G743" s="2">
        <f>Gross_cleaning!F743</f>
        <v>108</v>
      </c>
      <c r="H743" s="1" t="s">
        <v>714</v>
      </c>
      <c r="I743" s="1" t="s">
        <v>352</v>
      </c>
      <c r="J743" s="1">
        <v>7.7</v>
      </c>
      <c r="K743" s="1" t="s">
        <v>4414</v>
      </c>
      <c r="L743" s="1" t="str">
        <f>IFERROR(__xludf.DUMMYFUNCTION("GOOGLETRANSLATE(K743,""en"", ""pt-br"")"),"Uma menina vive em um mundo muito adulto com a mãe, que tenta prepará-la para isso. Seu vizinho, o aviador, apresenta a garota a um mundo extraordinário, onde tudo é possível, o mundo do pequeno príncipe.")</f>
        <v>Uma menina vive em um mundo muito adulto com a mãe, que tenta prepará-la para isso. Seu vizinho, o aviador, apresenta a garota a um mundo extraordinário, onde tudo é possível, o mundo do pequeno príncipe.</v>
      </c>
      <c r="M743" s="1">
        <v>70.0</v>
      </c>
      <c r="N743" s="1" t="s">
        <v>4415</v>
      </c>
      <c r="O743" s="1" t="s">
        <v>1727</v>
      </c>
      <c r="P743" s="1" t="s">
        <v>193</v>
      </c>
      <c r="Q743" s="1" t="s">
        <v>1518</v>
      </c>
      <c r="R743" s="1" t="s">
        <v>4416</v>
      </c>
      <c r="S743" s="1">
        <v>56720.0</v>
      </c>
      <c r="T743" s="7" t="str">
        <f>VLOOKUP(A743,Posters!A743:B1742,2)</f>
        <v>https://m.media-amazon.com/images/M/MV5BNjg0OTM5OTQyNV5BMl5BanBnXkFtZTgwNDg5NDQ0NTE@._V1_UY98_CR2,0,67,98_AL_.jpg</v>
      </c>
      <c r="U743" s="8">
        <f>'Inflation Adjusted Gross'!F743</f>
        <v>1478186</v>
      </c>
      <c r="V743" s="5">
        <f t="shared" si="1"/>
        <v>2020</v>
      </c>
    </row>
    <row r="744">
      <c r="A744" s="1">
        <v>743.0</v>
      </c>
      <c r="B744" s="1" t="s">
        <v>4417</v>
      </c>
      <c r="C744" s="6">
        <f>Gross_cleaning!E744</f>
        <v>71177</v>
      </c>
      <c r="D744" s="1">
        <v>2011.0</v>
      </c>
      <c r="E744" s="1" t="s">
        <v>4418</v>
      </c>
      <c r="F744" s="1" t="str">
        <f>VLOOKUP(Filmes_raw!E744,Rating_systems!$A$2:$C$29,3,FALSE)</f>
        <v>Desconhecido</v>
      </c>
      <c r="G744" s="2">
        <f>Gross_cleaning!F744</f>
        <v>98</v>
      </c>
      <c r="H744" s="1" t="s">
        <v>519</v>
      </c>
      <c r="I744" s="1" t="s">
        <v>20</v>
      </c>
      <c r="J744" s="1">
        <v>7.7</v>
      </c>
      <c r="K744" s="1" t="s">
        <v>4419</v>
      </c>
      <c r="L744" s="1" t="str">
        <f>IFERROR(__xludf.DUMMYFUNCTION("GOOGLETRANSLATE(K744,""en"", ""pt-br"")"),"Um professor substituto que se desloca da sala de aula para a sala de aula encontra uma conexão com os alunos e professores durante sua última tarefa.")</f>
        <v>Um professor substituto que se desloca da sala de aula para a sala de aula encontra uma conexão com os alunos e professores durante sua última tarefa.</v>
      </c>
      <c r="M744" s="1">
        <v>52.0</v>
      </c>
      <c r="N744" s="1" t="s">
        <v>331</v>
      </c>
      <c r="O744" s="1" t="s">
        <v>317</v>
      </c>
      <c r="P744" s="1" t="s">
        <v>4420</v>
      </c>
      <c r="Q744" s="1" t="s">
        <v>1609</v>
      </c>
      <c r="R744" s="1" t="s">
        <v>4421</v>
      </c>
      <c r="S744" s="1">
        <v>77071.0</v>
      </c>
      <c r="T744" s="7" t="str">
        <f>VLOOKUP(A744,Posters!A744:B1743,2)</f>
        <v>https://m.media-amazon.com/images/M/MV5BMTM3NzQzMDA5Ml5BMl5BanBnXkFtZTcwODA5NTcyNw@@._V1_UY98_CR0,0,67,98_AL_.jpg</v>
      </c>
      <c r="U744" s="8">
        <f>'Inflation Adjusted Gross'!F744</f>
        <v>83377</v>
      </c>
      <c r="V744" s="5">
        <f t="shared" si="1"/>
        <v>2020</v>
      </c>
    </row>
    <row r="745">
      <c r="A745" s="1">
        <v>744.0</v>
      </c>
      <c r="B745" s="1" t="s">
        <v>4422</v>
      </c>
      <c r="C745" s="6">
        <f>Gross_cleaning!E745</f>
        <v>56816662</v>
      </c>
      <c r="D745" s="1">
        <v>2011.0</v>
      </c>
      <c r="E745" s="1" t="s">
        <v>161</v>
      </c>
      <c r="F745" s="1" t="str">
        <f>VLOOKUP(Filmes_raw!E745,Rating_systems!$A$2:$C$29,3,FALSE)</f>
        <v>Criança</v>
      </c>
      <c r="G745" s="2">
        <f>Gross_cleaning!F745</f>
        <v>96</v>
      </c>
      <c r="H745" s="1" t="s">
        <v>53</v>
      </c>
      <c r="I745" s="1" t="s">
        <v>2566</v>
      </c>
      <c r="J745" s="1">
        <v>7.7</v>
      </c>
      <c r="K745" s="1" t="s">
        <v>4423</v>
      </c>
      <c r="L745" s="1" t="str">
        <f>IFERROR(__xludf.DUMMYFUNCTION("GOOGLETRANSLATE(K745,""en"", ""pt-br"")"),"Enquanto em uma viagem a Paris com a família de sua Noz, um roteirista nostálgico se encontra misteriosamente voltando para a década de 1920 todos os dias à meia-noite.")</f>
        <v>Enquanto em uma viagem a Paris com a família de sua Noz, um roteirista nostálgico se encontra misteriosamente voltando para a década de 1920 todos os dias à meia-noite.</v>
      </c>
      <c r="M745" s="1">
        <v>81.0</v>
      </c>
      <c r="N745" s="1" t="s">
        <v>2671</v>
      </c>
      <c r="O745" s="1" t="s">
        <v>2208</v>
      </c>
      <c r="P745" s="1" t="s">
        <v>1518</v>
      </c>
      <c r="Q745" s="1" t="s">
        <v>3951</v>
      </c>
      <c r="R745" s="1" t="s">
        <v>4424</v>
      </c>
      <c r="S745" s="1">
        <v>388089.0</v>
      </c>
      <c r="T745" s="7" t="str">
        <f>VLOOKUP(A745,Posters!A745:B1744,2)</f>
        <v>https://m.media-amazon.com/images/M/MV5BMTM4NjY1MDQwMl5BMl5BanBnXkFtZTcwNTI3Njg3NA@@._V1_UX67_CR0,0,67,98_AL_.jpg</v>
      </c>
      <c r="U745" s="8">
        <f>'Inflation Adjusted Gross'!F745</f>
        <v>66555496</v>
      </c>
      <c r="V745" s="5">
        <f t="shared" si="1"/>
        <v>2020</v>
      </c>
    </row>
    <row r="746">
      <c r="A746" s="1">
        <v>745.0</v>
      </c>
      <c r="B746" s="1" t="s">
        <v>4425</v>
      </c>
      <c r="C746" s="6">
        <f>Gross_cleaning!E746</f>
        <v>257760692</v>
      </c>
      <c r="D746" s="1">
        <v>2014.0</v>
      </c>
      <c r="E746" s="1" t="s">
        <v>52</v>
      </c>
      <c r="F746" s="1" t="str">
        <f>VLOOKUP(Filmes_raw!E746,Rating_systems!$A$2:$C$29,3,FALSE)</f>
        <v>Criança</v>
      </c>
      <c r="G746" s="2">
        <f>Gross_cleaning!F746</f>
        <v>100</v>
      </c>
      <c r="H746" s="1" t="s">
        <v>1439</v>
      </c>
      <c r="I746" s="1" t="s">
        <v>467</v>
      </c>
      <c r="J746" s="1">
        <v>7.7</v>
      </c>
      <c r="K746" s="1" t="s">
        <v>4426</v>
      </c>
      <c r="L746" s="1" t="str">
        <f>IFERROR(__xludf.DUMMYFUNCTION("GOOGLETRANSLATE(K746,""en"", ""pt-br"")"),"Um trabalhador de construção LEGO comum, pensado para ser o profetizado como ""especial"", é recrutado para se juntar a uma missão para impedir que um tirano malvado colore o universo de Lego em estase eterna.")</f>
        <v>Um trabalhador de construção LEGO comum, pensado para ser o profetizado como "especial", é recrutado para se juntar a uma missão para impedir que um tirano malvado colore o universo de Lego em estase eterna.</v>
      </c>
      <c r="M746" s="1">
        <v>83.0</v>
      </c>
      <c r="N746" s="1" t="s">
        <v>4427</v>
      </c>
      <c r="O746" s="1" t="s">
        <v>4428</v>
      </c>
      <c r="P746" s="1" t="s">
        <v>2243</v>
      </c>
      <c r="Q746" s="1" t="s">
        <v>4429</v>
      </c>
      <c r="R746" s="1" t="s">
        <v>4430</v>
      </c>
      <c r="S746" s="1">
        <v>323982.0</v>
      </c>
      <c r="T746" s="7" t="str">
        <f>VLOOKUP(A746,Posters!A746:B1745,2)</f>
        <v>https://m.media-amazon.com/images/M/MV5BMTg4MDk1ODExN15BMl5BanBnXkFtZTgwNzIyNjg3MDE@._V1_UX67_CR0,0,67,98_AL_.jpg</v>
      </c>
      <c r="U746" s="8">
        <f>'Inflation Adjusted Gross'!F746</f>
        <v>284267786</v>
      </c>
      <c r="V746" s="5">
        <f t="shared" si="1"/>
        <v>2020</v>
      </c>
    </row>
    <row r="747">
      <c r="A747" s="1">
        <v>746.0</v>
      </c>
      <c r="B747" s="1" t="s">
        <v>4431</v>
      </c>
      <c r="C747" s="6">
        <f>Gross_cleaning!E747</f>
        <v>274092705</v>
      </c>
      <c r="D747" s="1">
        <v>2013.0</v>
      </c>
      <c r="E747" s="1" t="s">
        <v>37</v>
      </c>
      <c r="F747" s="1" t="str">
        <f>VLOOKUP(Filmes_raw!E747,Rating_systems!$A$2:$C$29,3,FALSE)</f>
        <v>Criança</v>
      </c>
      <c r="G747" s="2">
        <f>Gross_cleaning!F747</f>
        <v>91</v>
      </c>
      <c r="H747" s="1" t="s">
        <v>1259</v>
      </c>
      <c r="I747" s="1" t="s">
        <v>3959</v>
      </c>
      <c r="J747" s="1">
        <v>7.7</v>
      </c>
      <c r="K747" s="1" t="s">
        <v>4432</v>
      </c>
      <c r="L747" s="1" t="str">
        <f>IFERROR(__xludf.DUMMYFUNCTION("GOOGLETRANSLATE(K747,""en"", ""pt-br"")"),"Dois astronautas trabalham juntos para sobreviver depois que um acidente os deixa encalhado no espaço.")</f>
        <v>Dois astronautas trabalham juntos para sobreviver depois que um acidente os deixa encalhado no espaço.</v>
      </c>
      <c r="M747" s="1">
        <v>96.0</v>
      </c>
      <c r="N747" s="1" t="s">
        <v>3175</v>
      </c>
      <c r="O747" s="1" t="s">
        <v>4433</v>
      </c>
      <c r="P747" s="1" t="s">
        <v>3135</v>
      </c>
      <c r="Q747" s="1" t="s">
        <v>1151</v>
      </c>
      <c r="R747" s="1" t="s">
        <v>4434</v>
      </c>
      <c r="S747" s="1">
        <v>769145.0</v>
      </c>
      <c r="T747" s="7" t="str">
        <f>VLOOKUP(A747,Posters!A747:B1746,2)</f>
        <v>https://m.media-amazon.com/images/M/MV5BNjE5MzYwMzYxMF5BMl5BanBnXkFtZTcwOTk4MTk0OQ@@._V1_UX67_CR0,0,67,98_AL_.jpg</v>
      </c>
      <c r="U747" s="8">
        <f>'Inflation Adjusted Gross'!F747</f>
        <v>307052150</v>
      </c>
      <c r="V747" s="5">
        <f t="shared" si="1"/>
        <v>2020</v>
      </c>
    </row>
    <row r="748">
      <c r="A748" s="1">
        <v>747.0</v>
      </c>
      <c r="B748" s="1" t="s">
        <v>4435</v>
      </c>
      <c r="C748" s="6">
        <f>Gross_cleaning!E748</f>
        <v>228778661</v>
      </c>
      <c r="D748" s="1">
        <v>2013.0</v>
      </c>
      <c r="E748" s="1" t="s">
        <v>37</v>
      </c>
      <c r="F748" s="1" t="str">
        <f>VLOOKUP(Filmes_raw!E748,Rating_systems!$A$2:$C$29,3,FALSE)</f>
        <v>Criança</v>
      </c>
      <c r="G748" s="2">
        <f>Gross_cleaning!F748</f>
        <v>132</v>
      </c>
      <c r="H748" s="1" t="s">
        <v>170</v>
      </c>
      <c r="I748" s="1" t="s">
        <v>88</v>
      </c>
      <c r="J748" s="1">
        <v>7.7</v>
      </c>
      <c r="K748" s="1" t="s">
        <v>4436</v>
      </c>
      <c r="L748" s="1" t="str">
        <f>IFERROR(__xludf.DUMMYFUNCTION("GOOGLETRANSLATE(K748,""en"", ""pt-br"")"),"Após a tripulação da empresa, encontre uma força imparável de terror de dentro de sua própria organização, o capitão Kirk leva uma manhunt a um mundo da zona de guerra para capturar uma arma de uma arma de um homem de destruição em massa.")</f>
        <v>Após a tripulação da empresa, encontre uma força imparável de terror de dentro de sua própria organização, o capitão Kirk leva uma manhunt a um mundo da zona de guerra para capturar uma arma de uma arma de um homem de destruição em massa.</v>
      </c>
      <c r="M748" s="1">
        <v>72.0</v>
      </c>
      <c r="N748" s="1" t="s">
        <v>3012</v>
      </c>
      <c r="O748" s="1" t="s">
        <v>3100</v>
      </c>
      <c r="P748" s="1" t="s">
        <v>3101</v>
      </c>
      <c r="Q748" s="1" t="s">
        <v>2246</v>
      </c>
      <c r="R748" s="1" t="s">
        <v>2236</v>
      </c>
      <c r="S748" s="1">
        <v>463188.0</v>
      </c>
      <c r="T748" s="7" t="str">
        <f>VLOOKUP(A748,Posters!A748:B1747,2)</f>
        <v>https://m.media-amazon.com/images/M/MV5BMTk2NzczOTgxNF5BMl5BanBnXkFtZTcwODQ5ODczOQ@@._V1_UX67_CR0,0,67,98_AL_.jpg</v>
      </c>
      <c r="U748" s="8">
        <f>'Inflation Adjusted Gross'!F748</f>
        <v>256289126</v>
      </c>
      <c r="V748" s="5">
        <f t="shared" si="1"/>
        <v>2020</v>
      </c>
    </row>
    <row r="749">
      <c r="A749" s="1">
        <v>748.0</v>
      </c>
      <c r="B749" s="1" t="s">
        <v>4437</v>
      </c>
      <c r="C749" s="6">
        <f>Gross_cleaning!E749</f>
        <v>83861</v>
      </c>
      <c r="D749" s="1">
        <v>2015.0</v>
      </c>
      <c r="E749" s="1">
        <v>18.0</v>
      </c>
      <c r="F749" s="1" t="str">
        <f>VLOOKUP(Filmes_raw!E749,Rating_systems!$A$2:$C$29,3,FALSE)</f>
        <v>Adulto</v>
      </c>
      <c r="G749" s="2">
        <f>Gross_cleaning!F749</f>
        <v>137</v>
      </c>
      <c r="H749" s="1" t="s">
        <v>360</v>
      </c>
      <c r="I749" s="1" t="s">
        <v>213</v>
      </c>
      <c r="J749" s="1">
        <v>7.7</v>
      </c>
      <c r="K749" s="1" t="s">
        <v>4438</v>
      </c>
      <c r="L749" s="1" t="str">
        <f>IFERROR(__xludf.DUMMYFUNCTION("GOOGLETRANSLATE(K749,""en"", ""pt-br"")"),"Um drama baseado nas experiências da Agu, um soldado infantil lutando na Guerra Civil de um país africano unnamed.")</f>
        <v>Um drama baseado nas experiências da Agu, um soldado infantil lutando na Guerra Civil de um país africano unnamed.</v>
      </c>
      <c r="M749" s="1">
        <v>79.0</v>
      </c>
      <c r="N749" s="1" t="s">
        <v>4439</v>
      </c>
      <c r="O749" s="1" t="s">
        <v>4440</v>
      </c>
      <c r="P749" s="1" t="s">
        <v>4441</v>
      </c>
      <c r="Q749" s="1" t="s">
        <v>4442</v>
      </c>
      <c r="R749" s="1" t="s">
        <v>4443</v>
      </c>
      <c r="S749" s="1">
        <v>73964.0</v>
      </c>
      <c r="T749" s="7" t="str">
        <f>VLOOKUP(A749,Posters!A749:B1748,2)</f>
        <v>https://m.media-amazon.com/images/M/MV5BMTYwMzMzMDI0NF5BMl5BanBnXkFtZTgwNDQ3NjI3NjE@._V1_UX67_CR0,0,67,98_AL_.jpg</v>
      </c>
      <c r="U749" s="8">
        <f>'Inflation Adjusted Gross'!F749</f>
        <v>92568</v>
      </c>
      <c r="V749" s="5">
        <f t="shared" si="1"/>
        <v>2020</v>
      </c>
    </row>
    <row r="750">
      <c r="A750" s="1">
        <v>749.0</v>
      </c>
      <c r="B750" s="1" t="s">
        <v>4444</v>
      </c>
      <c r="C750" s="6">
        <f>Gross_cleaning!E750</f>
        <v>96962694</v>
      </c>
      <c r="D750" s="1">
        <v>2010.0</v>
      </c>
      <c r="E750" s="1" t="s">
        <v>37</v>
      </c>
      <c r="F750" s="1" t="str">
        <f>VLOOKUP(Filmes_raw!E750,Rating_systems!$A$2:$C$29,3,FALSE)</f>
        <v>Criança</v>
      </c>
      <c r="G750" s="2">
        <f>Gross_cleaning!F750</f>
        <v>120</v>
      </c>
      <c r="H750" s="1" t="s">
        <v>1546</v>
      </c>
      <c r="I750" s="1" t="s">
        <v>1148</v>
      </c>
      <c r="J750" s="1">
        <v>7.7</v>
      </c>
      <c r="K750" s="1" t="s">
        <v>4445</v>
      </c>
      <c r="L750" s="1" t="str">
        <f>IFERROR(__xludf.DUMMYFUNCTION("GOOGLETRANSLATE(K750,""en"", ""pt-br"")"),"Como Harvard Student Mark Zuckerberg cria o site de redes sociais que se tornaria conhecido como Facebook, ele é processado pelos gêmeos que alegaram que ele roubou sua ideia, e pelo co-fundador que mais tarde foi espremido do negócio.")</f>
        <v>Como Harvard Student Mark Zuckerberg cria o site de redes sociais que se tornaria conhecido como Facebook, ele é processado pelos gêmeos que alegaram que ele roubou sua ideia, e pelo co-fundador que mais tarde foi espremido do negócio.</v>
      </c>
      <c r="M750" s="1">
        <v>95.0</v>
      </c>
      <c r="N750" s="1" t="s">
        <v>97</v>
      </c>
      <c r="O750" s="1" t="s">
        <v>4446</v>
      </c>
      <c r="P750" s="1" t="s">
        <v>1484</v>
      </c>
      <c r="Q750" s="1" t="s">
        <v>4447</v>
      </c>
      <c r="R750" s="1" t="s">
        <v>2183</v>
      </c>
      <c r="S750" s="1">
        <v>624982.0</v>
      </c>
      <c r="T750" s="7" t="str">
        <f>VLOOKUP(A750,Posters!A750:B1749,2)</f>
        <v>https://m.media-amazon.com/images/M/MV5BOGUyZDUxZjEtMmIzMC00MzlmLTg4MGItZWJmMzBhZjE0Mjc1XkEyXkFqcGdeQXVyMTMxODk2OTU@._V1_UX67_CR0,0,67,98_AL_.jpg</v>
      </c>
      <c r="U750" s="8">
        <f>'Inflation Adjusted Gross'!F750</f>
        <v>115436381</v>
      </c>
      <c r="V750" s="5">
        <f t="shared" si="1"/>
        <v>2020</v>
      </c>
    </row>
    <row r="751">
      <c r="A751" s="1">
        <v>750.0</v>
      </c>
      <c r="B751" s="1" t="s">
        <v>4448</v>
      </c>
      <c r="C751" s="6">
        <f>Gross_cleaning!E751</f>
        <v>146408305</v>
      </c>
      <c r="D751" s="1">
        <v>2011.0</v>
      </c>
      <c r="E751" s="1" t="s">
        <v>37</v>
      </c>
      <c r="F751" s="1" t="str">
        <f>VLOOKUP(Filmes_raw!E751,Rating_systems!$A$2:$C$29,3,FALSE)</f>
        <v>Criança</v>
      </c>
      <c r="G751" s="2">
        <f>Gross_cleaning!F751</f>
        <v>131</v>
      </c>
      <c r="H751" s="1" t="s">
        <v>686</v>
      </c>
      <c r="I751" s="1" t="s">
        <v>88</v>
      </c>
      <c r="J751" s="1">
        <v>7.7</v>
      </c>
      <c r="K751" s="1" t="s">
        <v>4449</v>
      </c>
      <c r="L751" s="1" t="str">
        <f>IFERROR(__xludf.DUMMYFUNCTION("GOOGLETRANSLATE(K751,""en"", ""pt-br"")"),"Nos anos 60, os humanos superpotecidos Charles Xavier e Erik Lensherr trabalham juntos para encontrar outros como eles, mas a busca vingativa de Erik de um mutante ambicioso que arruinou sua vida faz com que um cisma dividisse.")</f>
        <v>Nos anos 60, os humanos superpotecidos Charles Xavier e Erik Lensherr trabalham juntos para encontrar outros como eles, mas a busca vingativa de Erik de um mutante ambicioso que arruinou sua vida faz com que um cisma dividisse.</v>
      </c>
      <c r="M751" s="1">
        <v>65.0</v>
      </c>
      <c r="N751" s="1" t="s">
        <v>4357</v>
      </c>
      <c r="O751" s="1" t="s">
        <v>3022</v>
      </c>
      <c r="P751" s="1" t="s">
        <v>1505</v>
      </c>
      <c r="Q751" s="1" t="s">
        <v>4450</v>
      </c>
      <c r="R751" s="1" t="s">
        <v>3171</v>
      </c>
      <c r="S751" s="1">
        <v>645512.0</v>
      </c>
      <c r="T751" s="7" t="str">
        <f>VLOOKUP(A751,Posters!A751:B1750,2)</f>
        <v>https://m.media-amazon.com/images/M/MV5BMTg5OTMxNzk4Nl5BMl5BanBnXkFtZTcwOTk1MjAwNQ@@._V1_UX67_CR0,0,67,98_AL_.jpg</v>
      </c>
      <c r="U751" s="8">
        <f>'Inflation Adjusted Gross'!F751</f>
        <v>171503870</v>
      </c>
      <c r="V751" s="5">
        <f t="shared" si="1"/>
        <v>2020</v>
      </c>
    </row>
    <row r="752">
      <c r="A752" s="1">
        <v>751.0</v>
      </c>
      <c r="B752" s="1" t="s">
        <v>4451</v>
      </c>
      <c r="C752" s="6">
        <f>Gross_cleaning!E752</f>
        <v>277322503</v>
      </c>
      <c r="D752" s="1">
        <v>2009.0</v>
      </c>
      <c r="E752" s="1" t="s">
        <v>37</v>
      </c>
      <c r="F752" s="1" t="str">
        <f>VLOOKUP(Filmes_raw!E752,Rating_systems!$A$2:$C$29,3,FALSE)</f>
        <v>Criança</v>
      </c>
      <c r="G752" s="2">
        <f>Gross_cleaning!F752</f>
        <v>100</v>
      </c>
      <c r="H752" s="1" t="s">
        <v>1439</v>
      </c>
      <c r="I752" s="1" t="s">
        <v>602</v>
      </c>
      <c r="J752" s="1">
        <v>7.7</v>
      </c>
      <c r="K752" s="1" t="s">
        <v>4452</v>
      </c>
      <c r="L752" s="1" t="str">
        <f>IFERROR(__xludf.DUMMYFUNCTION("GOOGLETRANSLATE(K752,""en"", ""pt-br"")"),"Três amigos acordam de uma festa de solteiro em Las Vegas, sem memória da noite anterior e do Bacharel em falta. Eles fazem o caminho da cidade para encontrar seu amigo antes de seu casamento.")</f>
        <v>Três amigos acordam de uma festa de solteiro em Las Vegas, sem memória da noite anterior e do Bacharel em falta. Eles fazem o caminho da cidade para encontrar seu amigo antes de seu casamento.</v>
      </c>
      <c r="M752" s="1">
        <v>73.0</v>
      </c>
      <c r="N752" s="1" t="s">
        <v>281</v>
      </c>
      <c r="O752" s="1" t="s">
        <v>4373</v>
      </c>
      <c r="P752" s="1" t="s">
        <v>2245</v>
      </c>
      <c r="Q752" s="1" t="s">
        <v>4453</v>
      </c>
      <c r="R752" s="1" t="s">
        <v>4454</v>
      </c>
      <c r="S752" s="1">
        <v>717559.0</v>
      </c>
      <c r="T752" s="7" t="str">
        <f>VLOOKUP(A752,Posters!A752:B1751,2)</f>
        <v>https://m.media-amazon.com/images/M/MV5BNGQwZjg5YmYtY2VkNC00NzliLTljYTctNzI5NmU3MjE2ODQzXkEyXkFqcGdeQXVyNzkwMjQ5NzM@._V1_UX67_CR0,0,67,98_AL_.jpg</v>
      </c>
      <c r="U752" s="8">
        <f>'Inflation Adjusted Gross'!F752</f>
        <v>338828014</v>
      </c>
      <c r="V752" s="5">
        <f t="shared" si="1"/>
        <v>2020</v>
      </c>
    </row>
    <row r="753">
      <c r="A753" s="1">
        <v>752.0</v>
      </c>
      <c r="B753" s="1" t="s">
        <v>4455</v>
      </c>
      <c r="C753" s="6">
        <f>Gross_cleaning!E753</f>
        <v>304360277</v>
      </c>
      <c r="D753" s="1">
        <v>2012.0</v>
      </c>
      <c r="E753" s="1" t="s">
        <v>37</v>
      </c>
      <c r="F753" s="1" t="str">
        <f>VLOOKUP(Filmes_raw!E753,Rating_systems!$A$2:$C$29,3,FALSE)</f>
        <v>Criança</v>
      </c>
      <c r="G753" s="2">
        <f>Gross_cleaning!F753</f>
        <v>143</v>
      </c>
      <c r="H753" s="1" t="s">
        <v>596</v>
      </c>
      <c r="I753" s="1" t="s">
        <v>2406</v>
      </c>
      <c r="J753" s="1">
        <v>7.7</v>
      </c>
      <c r="K753" s="1" t="s">
        <v>4456</v>
      </c>
      <c r="L753" s="1" t="str">
        <f>IFERROR(__xludf.DUMMYFUNCTION("GOOGLETRANSLATE(K753,""en"", ""pt-br"")"),"A lealdade de James Bond é testada quando seu passado volta para assombrá-la. Quando Mi6 vem sob ataque, 007 deve rastrear e destruir a ameaça, não importa quão pessoal seja o custo.")</f>
        <v>A lealdade de James Bond é testada quando seu passado volta para assombrá-la. Quando Mi6 vem sob ataque, 007 deve rastrear e destruir a ameaça, não importa quão pessoal seja o custo.</v>
      </c>
      <c r="M753" s="1">
        <v>81.0</v>
      </c>
      <c r="N753" s="1" t="s">
        <v>641</v>
      </c>
      <c r="O753" s="1" t="s">
        <v>2409</v>
      </c>
      <c r="P753" s="1" t="s">
        <v>1615</v>
      </c>
      <c r="Q753" s="1" t="s">
        <v>4457</v>
      </c>
      <c r="R753" s="1" t="s">
        <v>2411</v>
      </c>
      <c r="S753" s="1">
        <v>630614.0</v>
      </c>
      <c r="T753" s="7" t="str">
        <f>VLOOKUP(A753,Posters!A753:B1752,2)</f>
        <v>https://m.media-amazon.com/images/M/MV5BMWZiNjE2OWItMTkwNy00ZWQzLWI0NTgtMWE0NjNiYTljN2Q1XkEyXkFqcGdeQXVyNzAwMjYxMzA@._V1_UX67_CR0,0,67,98_AL_.jpg</v>
      </c>
      <c r="U753" s="8">
        <f>'Inflation Adjusted Gross'!F753</f>
        <v>346397216</v>
      </c>
      <c r="V753" s="5">
        <f t="shared" si="1"/>
        <v>2020</v>
      </c>
    </row>
    <row r="754">
      <c r="A754" s="1">
        <v>753.0</v>
      </c>
      <c r="B754" s="1" t="s">
        <v>4458</v>
      </c>
      <c r="C754" s="6">
        <f>Gross_cleaning!E754</f>
        <v>132092958</v>
      </c>
      <c r="D754" s="1">
        <v>2012.0</v>
      </c>
      <c r="E754" s="1" t="s">
        <v>18</v>
      </c>
      <c r="F754" s="1" t="str">
        <f>VLOOKUP(Filmes_raw!E754,Rating_systems!$A$2:$C$29,3,FALSE)</f>
        <v>Adulto</v>
      </c>
      <c r="G754" s="2">
        <f>Gross_cleaning!F754</f>
        <v>122</v>
      </c>
      <c r="H754" s="1" t="s">
        <v>279</v>
      </c>
      <c r="I754" s="1" t="s">
        <v>227</v>
      </c>
      <c r="J754" s="1">
        <v>7.7</v>
      </c>
      <c r="K754" s="1" t="s">
        <v>4459</v>
      </c>
      <c r="L754" s="1" t="str">
        <f>IFERROR(__xludf.DUMMYFUNCTION("GOOGLETRANSLATE(K754,""en"", ""pt-br"")"),"Depois de um período em uma instituição mental, o ex-professor Pat Solitano se move de volta com seus pais e tenta reconciliar-se com sua ex-esposa. As coisas ficam mais desafiadoras quando Pat conhece Tiffany, uma garota misteriosa com problemas dela.")</f>
        <v>Depois de um período em uma instituição mental, o ex-professor Pat Solitano se move de volta com seus pais e tenta reconciliar-se com sua ex-esposa. As coisas ficam mais desafiadoras quando Pat conhece Tiffany, uma garota misteriosa com problemas dela.</v>
      </c>
      <c r="M754" s="1">
        <v>81.0</v>
      </c>
      <c r="N754" s="1" t="s">
        <v>3761</v>
      </c>
      <c r="O754" s="1" t="s">
        <v>2245</v>
      </c>
      <c r="P754" s="1" t="s">
        <v>4450</v>
      </c>
      <c r="Q754" s="1" t="s">
        <v>49</v>
      </c>
      <c r="R754" s="1" t="s">
        <v>4460</v>
      </c>
      <c r="S754" s="1">
        <v>661871.0</v>
      </c>
      <c r="T754" s="7" t="str">
        <f>VLOOKUP(A754,Posters!A754:B1753,2)</f>
        <v>https://m.media-amazon.com/images/M/MV5BMTM2MTI5NzA3MF5BMl5BanBnXkFtZTcwODExNTc0OA@@._V1_UX67_CR0,0,67,98_AL_.jpg</v>
      </c>
      <c r="U754" s="8">
        <f>'Inflation Adjusted Gross'!F754</f>
        <v>150337072</v>
      </c>
      <c r="V754" s="5">
        <f t="shared" si="1"/>
        <v>2020</v>
      </c>
    </row>
    <row r="755">
      <c r="A755" s="1">
        <v>754.0</v>
      </c>
      <c r="B755" s="1" t="s">
        <v>4461</v>
      </c>
      <c r="C755" s="6">
        <f>Gross_cleaning!E755</f>
        <v>136025503</v>
      </c>
      <c r="D755" s="1">
        <v>2012.0</v>
      </c>
      <c r="E755" s="1" t="s">
        <v>18</v>
      </c>
      <c r="F755" s="1" t="str">
        <f>VLOOKUP(Filmes_raw!E755,Rating_systems!$A$2:$C$29,3,FALSE)</f>
        <v>Adulto</v>
      </c>
      <c r="G755" s="2">
        <f>Gross_cleaning!F755</f>
        <v>120</v>
      </c>
      <c r="H755" s="1" t="s">
        <v>1546</v>
      </c>
      <c r="I755" s="1" t="s">
        <v>2233</v>
      </c>
      <c r="J755" s="1">
        <v>7.7</v>
      </c>
      <c r="K755" s="1" t="s">
        <v>4462</v>
      </c>
      <c r="L755" s="1" t="str">
        <f>IFERROR(__xludf.DUMMYFUNCTION("GOOGLETRANSLATE(K755,""en"", ""pt-br"")"),"Atuando sob a cobertura de um produtor de Hollywood Escotismo Um local para um filme de ficção científica, um agente da CIA lança uma operação perigosa para resgatar seis americanos em Teerã durante a crise dos EUA no Irã em 1979.")</f>
        <v>Atuando sob a cobertura de um produtor de Hollywood Escotismo Um local para um filme de ficção científica, um agente da CIA lança uma operação perigosa para resgatar seis americanos em Teerã durante a crise dos EUA no Irã em 1979.</v>
      </c>
      <c r="M755" s="1">
        <v>86.0</v>
      </c>
      <c r="N755" s="1" t="s">
        <v>753</v>
      </c>
      <c r="O755" s="1" t="s">
        <v>753</v>
      </c>
      <c r="P755" s="1" t="s">
        <v>2972</v>
      </c>
      <c r="Q755" s="1" t="s">
        <v>1685</v>
      </c>
      <c r="R755" s="1" t="s">
        <v>4194</v>
      </c>
      <c r="S755" s="1">
        <v>572581.0</v>
      </c>
      <c r="T755" s="7" t="str">
        <f>VLOOKUP(A755,Posters!A755:B1754,2)</f>
        <v>https://m.media-amazon.com/images/M/MV5BNzljNjY3MDYtYzc0Ni00YjU0LWIyNDUtNTE0ZDRiMGExMjZlXkEyXkFqcGdeQXVyMTMxODk2OTU@._V1_UX67_CR0,0,67,98_AL_.jpg</v>
      </c>
      <c r="U755" s="8">
        <f>'Inflation Adjusted Gross'!F755</f>
        <v>154812763</v>
      </c>
      <c r="V755" s="5">
        <f t="shared" si="1"/>
        <v>2020</v>
      </c>
    </row>
    <row r="756">
      <c r="A756" s="1">
        <v>755.0</v>
      </c>
      <c r="B756" s="1" t="s">
        <v>4463</v>
      </c>
      <c r="C756" s="6">
        <f>Gross_cleaning!E756</f>
        <v>32391374</v>
      </c>
      <c r="D756" s="1">
        <v>2009.0</v>
      </c>
      <c r="E756" s="1" t="s">
        <v>37</v>
      </c>
      <c r="F756" s="1" t="str">
        <f>VLOOKUP(Filmes_raw!E756,Rating_systems!$A$2:$C$29,3,FALSE)</f>
        <v>Criança</v>
      </c>
      <c r="G756" s="2">
        <f>Gross_cleaning!F756</f>
        <v>95</v>
      </c>
      <c r="H756" s="1" t="s">
        <v>601</v>
      </c>
      <c r="I756" s="1" t="s">
        <v>227</v>
      </c>
      <c r="J756" s="1">
        <v>7.7</v>
      </c>
      <c r="K756" s="1" t="s">
        <v>4464</v>
      </c>
      <c r="L756" s="1" t="str">
        <f>IFERROR(__xludf.DUMMYFUNCTION("GOOGLETRANSLATE(K756,""en"", ""pt-br"")"),"Uma comédia romântica offbeat sobre uma mulher que não acredita que o amor verdadeiro existe, e o jovem que cai para ela.")</f>
        <v>Uma comédia romântica offbeat sobre uma mulher que não acredita que o amor verdadeiro existe, e o jovem que cai para ela.</v>
      </c>
      <c r="M756" s="1">
        <v>76.0</v>
      </c>
      <c r="N756" s="1" t="s">
        <v>4465</v>
      </c>
      <c r="O756" s="1" t="s">
        <v>4466</v>
      </c>
      <c r="P756" s="1" t="s">
        <v>91</v>
      </c>
      <c r="Q756" s="1" t="s">
        <v>4467</v>
      </c>
      <c r="R756" s="1" t="s">
        <v>2202</v>
      </c>
      <c r="S756" s="1">
        <v>472242.0</v>
      </c>
      <c r="T756" s="7" t="str">
        <f>VLOOKUP(A756,Posters!A756:B1755,2)</f>
        <v>https://m.media-amazon.com/images/M/MV5BMTk5MjM4OTU1OV5BMl5BanBnXkFtZTcwODkzNDIzMw@@._V1_UX67_CR0,0,67,98_AL_.jpg</v>
      </c>
      <c r="U756" s="8">
        <f>'Inflation Adjusted Gross'!F756</f>
        <v>39575241</v>
      </c>
      <c r="V756" s="5">
        <f t="shared" si="1"/>
        <v>2020</v>
      </c>
    </row>
    <row r="757">
      <c r="A757" s="1">
        <v>756.0</v>
      </c>
      <c r="B757" s="1" t="s">
        <v>4468</v>
      </c>
      <c r="C757" s="6">
        <f>Gross_cleaning!E757</f>
        <v>295983305</v>
      </c>
      <c r="D757" s="1">
        <v>2010.0</v>
      </c>
      <c r="E757" s="1" t="s">
        <v>18</v>
      </c>
      <c r="F757" s="1" t="str">
        <f>VLOOKUP(Filmes_raw!E757,Rating_systems!$A$2:$C$29,3,FALSE)</f>
        <v>Adulto</v>
      </c>
      <c r="G757" s="2">
        <f>Gross_cleaning!F757</f>
        <v>146</v>
      </c>
      <c r="H757" s="1" t="s">
        <v>136</v>
      </c>
      <c r="I757" s="1" t="s">
        <v>2629</v>
      </c>
      <c r="J757" s="1">
        <v>7.7</v>
      </c>
      <c r="K757" s="1" t="s">
        <v>4469</v>
      </c>
      <c r="L757" s="1" t="str">
        <f>IFERROR(__xludf.DUMMYFUNCTION("GOOGLETRANSLATE(K757,""en"", ""pt-br"")"),"Como Harry, Ron e Hermione correm contra o tempo e o mal para destruir os Horcruxes, eles descobrem a existência dos três objetos mais poderosos do mundo bruxo: as creches da morte.")</f>
        <v>Como Harry, Ron e Hermione correm contra o tempo e o mal para destruir os Horcruxes, eles descobrem a existência dos três objetos mais poderosos do mundo bruxo: as creches da morte.</v>
      </c>
      <c r="M757" s="1">
        <v>65.0</v>
      </c>
      <c r="N757" s="1" t="s">
        <v>1567</v>
      </c>
      <c r="O757" s="1" t="s">
        <v>1568</v>
      </c>
      <c r="P757" s="1" t="s">
        <v>1569</v>
      </c>
      <c r="Q757" s="1" t="s">
        <v>1570</v>
      </c>
      <c r="R757" s="1" t="s">
        <v>3619</v>
      </c>
      <c r="S757" s="1">
        <v>479120.0</v>
      </c>
      <c r="T757" s="7" t="str">
        <f>VLOOKUP(A757,Posters!A757:B1756,2)</f>
        <v>https://m.media-amazon.com/images/M/MV5BMTQ2OTE1Mjk0N15BMl5BanBnXkFtZTcwODE3MDAwNA@@._V1_UX67_CR0,0,67,98_AL_.jpg</v>
      </c>
      <c r="U757" s="8">
        <f>'Inflation Adjusted Gross'!F757</f>
        <v>352375128</v>
      </c>
      <c r="V757" s="5">
        <f t="shared" si="1"/>
        <v>2020</v>
      </c>
    </row>
    <row r="758">
      <c r="A758" s="1">
        <v>757.0</v>
      </c>
      <c r="B758" s="1" t="s">
        <v>4470</v>
      </c>
      <c r="C758" s="6">
        <f>Gross_cleaning!E758</f>
        <v>15090400</v>
      </c>
      <c r="D758" s="1">
        <v>2008.0</v>
      </c>
      <c r="E758" s="1" t="s">
        <v>52</v>
      </c>
      <c r="F758" s="1" t="str">
        <f>VLOOKUP(Filmes_raw!E758,Rating_systems!$A$2:$C$29,3,FALSE)</f>
        <v>Criança</v>
      </c>
      <c r="G758" s="2">
        <f>Gross_cleaning!F758</f>
        <v>101</v>
      </c>
      <c r="H758" s="1" t="s">
        <v>535</v>
      </c>
      <c r="I758" s="1" t="s">
        <v>765</v>
      </c>
      <c r="J758" s="1">
        <v>7.7</v>
      </c>
      <c r="K758" s="1" t="s">
        <v>4471</v>
      </c>
      <c r="L758" s="1" t="str">
        <f>IFERROR(__xludf.DUMMYFUNCTION("GOOGLETRANSLATE(K758,""en"", ""pt-br"")"),"Um menino de cinco anos desenvolve um relacionamento com o Ponyo, uma jovem princesa dourada que anseia a se tornar humana depois de se apaixonar por ele.")</f>
        <v>Um menino de cinco anos desenvolve um relacionamento com o Ponyo, uma jovem princesa dourada que anseia a se tornar humana depois de se apaixonar por ele.</v>
      </c>
      <c r="M758" s="1">
        <v>86.0</v>
      </c>
      <c r="N758" s="1" t="s">
        <v>206</v>
      </c>
      <c r="O758" s="1" t="s">
        <v>2996</v>
      </c>
      <c r="P758" s="1" t="s">
        <v>215</v>
      </c>
      <c r="Q758" s="1" t="s">
        <v>82</v>
      </c>
      <c r="R758" s="1" t="s">
        <v>4472</v>
      </c>
      <c r="S758" s="1">
        <v>125317.0</v>
      </c>
      <c r="T758" s="7" t="str">
        <f>VLOOKUP(A758,Posters!A758:B1757,2)</f>
        <v>https://m.media-amazon.com/images/M/MV5BOTc3YmM3N2QtODZkMC00ZDE5LThjMTQtYTljN2Y1YTYwYWJkXkEyXkFqcGdeQXVyODEzNjM5OTQ@._V1_UX67_CR0,0,67,98_AL_.jpg</v>
      </c>
      <c r="U758" s="8">
        <f>'Inflation Adjusted Gross'!F758</f>
        <v>18442702</v>
      </c>
      <c r="V758" s="5">
        <f t="shared" si="1"/>
        <v>2020</v>
      </c>
    </row>
    <row r="759">
      <c r="A759" s="1">
        <v>758.0</v>
      </c>
      <c r="B759" s="1" t="s">
        <v>4473</v>
      </c>
      <c r="C759" s="6">
        <f>Gross_cleaning!E759</f>
        <v>18593156</v>
      </c>
      <c r="D759" s="1">
        <v>2008.0</v>
      </c>
      <c r="E759" s="1" t="s">
        <v>212</v>
      </c>
      <c r="F759" s="1" t="str">
        <f>VLOOKUP(Filmes_raw!E759,Rating_systems!$A$2:$C$29,3,FALSE)</f>
        <v>Adulto</v>
      </c>
      <c r="G759" s="2">
        <f>Gross_cleaning!F759</f>
        <v>122</v>
      </c>
      <c r="H759" s="1" t="s">
        <v>279</v>
      </c>
      <c r="I759" s="1" t="s">
        <v>79</v>
      </c>
      <c r="J759" s="1">
        <v>7.7</v>
      </c>
      <c r="K759" s="1" t="s">
        <v>4474</v>
      </c>
      <c r="L759" s="1" t="str">
        <f>IFERROR(__xludf.DUMMYFUNCTION("GOOGLETRANSLATE(K759,""en"", ""pt-br"")"),"Uma revenda dramática das entrevistas de televisão pós-Watergate entre o anfitrião britânico de conversação David Frost e ex-presidente Richard Nixon.")</f>
        <v>Uma revenda dramática das entrevistas de televisão pós-Watergate entre o anfitrião britânico de conversação David Frost e ex-presidente Richard Nixon.</v>
      </c>
      <c r="M759" s="1">
        <v>80.0</v>
      </c>
      <c r="N759" s="1" t="s">
        <v>1150</v>
      </c>
      <c r="O759" s="1" t="s">
        <v>4475</v>
      </c>
      <c r="P759" s="1" t="s">
        <v>4476</v>
      </c>
      <c r="Q759" s="1" t="s">
        <v>3171</v>
      </c>
      <c r="R759" s="1" t="s">
        <v>974</v>
      </c>
      <c r="S759" s="1">
        <v>103330.0</v>
      </c>
      <c r="T759" s="7" t="str">
        <f>VLOOKUP(A759,Posters!A759:B1758,2)</f>
        <v>https://m.media-amazon.com/images/M/MV5BOTY4NTU2NTU4NF5BMl5BanBnXkFtZTcwNjE0OTc5MQ@@._V1_UX67_CR0,0,67,98_AL_.jpg</v>
      </c>
      <c r="U759" s="8">
        <f>'Inflation Adjusted Gross'!F759</f>
        <v>22723588</v>
      </c>
      <c r="V759" s="5">
        <f t="shared" si="1"/>
        <v>2020</v>
      </c>
    </row>
    <row r="760">
      <c r="A760" s="1">
        <v>759.0</v>
      </c>
      <c r="B760" s="1" t="s">
        <v>4477</v>
      </c>
      <c r="C760" s="6">
        <f>Gross_cleaning!E760</f>
        <v>881302</v>
      </c>
      <c r="D760" s="1">
        <v>2006.0</v>
      </c>
      <c r="E760" s="1" t="s">
        <v>52</v>
      </c>
      <c r="F760" s="1" t="str">
        <f>VLOOKUP(Filmes_raw!E760,Rating_systems!$A$2:$C$29,3,FALSE)</f>
        <v>Criança</v>
      </c>
      <c r="G760" s="2">
        <f>Gross_cleaning!F760</f>
        <v>90</v>
      </c>
      <c r="H760" s="1" t="s">
        <v>2586</v>
      </c>
      <c r="I760" s="1" t="s">
        <v>450</v>
      </c>
      <c r="J760" s="1">
        <v>7.7</v>
      </c>
      <c r="K760" s="1" t="s">
        <v>4478</v>
      </c>
      <c r="L760" s="1" t="str">
        <f>IFERROR(__xludf.DUMMYFUNCTION("GOOGLETRANSLATE(K760,""en"", ""pt-br"")"),"Quando uma máquina que permita que os terapeutas entrem em seus pacientes, os sonhos são roubados, todo o inferno se solta. Apenas um terapeuta feminino jovem, páprica, pode pará-lo.")</f>
        <v>Quando uma máquina que permita que os terapeutas entrem em seus pacientes, os sonhos são roubados, todo o inferno se solta. Apenas um terapeuta feminino jovem, páprica, pode pará-lo.</v>
      </c>
      <c r="M760" s="1">
        <v>81.0</v>
      </c>
      <c r="N760" s="1" t="s">
        <v>2501</v>
      </c>
      <c r="O760" s="1" t="s">
        <v>1692</v>
      </c>
      <c r="P760" s="1" t="s">
        <v>3849</v>
      </c>
      <c r="Q760" s="1" t="s">
        <v>4479</v>
      </c>
      <c r="R760" s="1" t="s">
        <v>4480</v>
      </c>
      <c r="S760" s="1">
        <v>71379.0</v>
      </c>
      <c r="T760" s="7" t="str">
        <f>VLOOKUP(A760,Posters!A760:B1759,2)</f>
        <v>https://m.media-amazon.com/images/M/MV5BNDliMTMxOWEtODM3Yi00N2QwLTg4YTAtNTE5YzBlNTA2NjhlXkEyXkFqcGdeQXVyNjE5MjUyOTM@._V1_UX67_CR0,0,67,98_AL_.jpg</v>
      </c>
      <c r="U760" s="8">
        <f>'Inflation Adjusted Gross'!F760</f>
        <v>1146497</v>
      </c>
      <c r="V760" s="5">
        <f t="shared" si="1"/>
        <v>2020</v>
      </c>
    </row>
    <row r="761">
      <c r="A761" s="1">
        <v>760.0</v>
      </c>
      <c r="B761" s="1" t="s">
        <v>4481</v>
      </c>
      <c r="C761" s="6">
        <f>Gross_cleaning!E761</f>
        <v>35739802</v>
      </c>
      <c r="D761" s="1">
        <v>2008.0</v>
      </c>
      <c r="E761" s="1" t="s">
        <v>212</v>
      </c>
      <c r="F761" s="1" t="str">
        <f>VLOOKUP(Filmes_raw!E761,Rating_systems!$A$2:$C$29,3,FALSE)</f>
        <v>Adulto</v>
      </c>
      <c r="G761" s="2">
        <f>Gross_cleaning!F761</f>
        <v>141</v>
      </c>
      <c r="H761" s="1" t="s">
        <v>1672</v>
      </c>
      <c r="I761" s="1" t="s">
        <v>137</v>
      </c>
      <c r="J761" s="1">
        <v>7.7</v>
      </c>
      <c r="K761" s="1" t="s">
        <v>4482</v>
      </c>
      <c r="L761" s="1" t="str">
        <f>IFERROR(__xludf.DUMMYFUNCTION("GOOGLETRANSLATE(K761,""en"", ""pt-br"")"),"Grief-Stricken Madre Christine Collins (Angelina Jolie) assume o l.a.p.d. para seu próprio prejuízo quando tenta passar um impôrador óbvio como sua criança desaparecida.")</f>
        <v>Grief-Stricken Madre Christine Collins (Angelina Jolie) assume o l.a.p.d. para seu próprio prejuízo quando tenta passar um impôrador óbvio como sua criança desaparecida.</v>
      </c>
      <c r="M761" s="1">
        <v>63.0</v>
      </c>
      <c r="N761" s="1" t="s">
        <v>119</v>
      </c>
      <c r="O761" s="1" t="s">
        <v>4483</v>
      </c>
      <c r="P761" s="1" t="s">
        <v>4484</v>
      </c>
      <c r="Q761" s="1" t="s">
        <v>4485</v>
      </c>
      <c r="R761" s="1" t="s">
        <v>4486</v>
      </c>
      <c r="S761" s="1">
        <v>239203.0</v>
      </c>
      <c r="T761" s="7" t="str">
        <f>VLOOKUP(A761,Posters!A761:B1760,2)</f>
        <v>https://m.media-amazon.com/images/M/MV5BOTA1Mzg3NjIxNV5BMl5BanBnXkFtZTcwNzU2NTc5MQ@@._V1_UX67_CR0,0,67,98_AL_.jpg</v>
      </c>
      <c r="U761" s="8">
        <f>'Inflation Adjusted Gross'!F761</f>
        <v>43679328</v>
      </c>
      <c r="V761" s="5">
        <f t="shared" si="1"/>
        <v>2020</v>
      </c>
    </row>
    <row r="762">
      <c r="A762" s="1">
        <v>761.0</v>
      </c>
      <c r="B762" s="1" t="s">
        <v>4487</v>
      </c>
      <c r="C762" s="6">
        <f>Gross_cleaning!E762</f>
        <v>1752214</v>
      </c>
      <c r="D762" s="1">
        <v>2010.0</v>
      </c>
      <c r="E762" s="1" t="s">
        <v>270</v>
      </c>
      <c r="F762" s="1" t="str">
        <f>VLOOKUP(Filmes_raw!E762,Rating_systems!$A$2:$C$29,3,FALSE)</f>
        <v>Criança</v>
      </c>
      <c r="G762" s="2">
        <f>Gross_cleaning!F762</f>
        <v>90</v>
      </c>
      <c r="H762" s="1" t="s">
        <v>2586</v>
      </c>
      <c r="I762" s="1" t="s">
        <v>227</v>
      </c>
      <c r="J762" s="1">
        <v>7.7</v>
      </c>
      <c r="K762" s="1" t="s">
        <v>4488</v>
      </c>
      <c r="L762" s="1" t="str">
        <f>IFERROR(__xludf.DUMMYFUNCTION("GOOGLETRANSLATE(K762,""en"", ""pt-br"")"),"Dois alunos da oitava-alunos começam a ter sentimentos um pelo outro apesar de serem total de opostos.")</f>
        <v>Dois alunos da oitava-alunos começam a ter sentimentos um pelo outro apesar de serem total de opostos.</v>
      </c>
      <c r="M762" s="1">
        <v>45.0</v>
      </c>
      <c r="N762" s="1" t="s">
        <v>1815</v>
      </c>
      <c r="O762" s="1" t="s">
        <v>4489</v>
      </c>
      <c r="P762" s="1" t="s">
        <v>4490</v>
      </c>
      <c r="Q762" s="1" t="s">
        <v>4491</v>
      </c>
      <c r="R762" s="1" t="s">
        <v>4492</v>
      </c>
      <c r="S762" s="1">
        <v>81446.0</v>
      </c>
      <c r="T762" s="7" t="str">
        <f>VLOOKUP(A762,Posters!A762:B1761,2)</f>
        <v>https://m.media-amazon.com/images/M/MV5BMTU2NjQ1Nzc4MF5BMl5BanBnXkFtZTcwNTM0NDk1Mw@@._V1_UX67_CR0,0,67,98_AL_.jpg</v>
      </c>
      <c r="U762" s="8">
        <f>'Inflation Adjusted Gross'!F762</f>
        <v>2086052</v>
      </c>
      <c r="V762" s="5">
        <f t="shared" si="1"/>
        <v>2020</v>
      </c>
    </row>
    <row r="763">
      <c r="A763" s="1">
        <v>762.0</v>
      </c>
      <c r="B763" s="1" t="s">
        <v>4493</v>
      </c>
      <c r="C763" s="6">
        <f>Gross_cleaning!E763</f>
        <v>873435</v>
      </c>
      <c r="D763" s="1">
        <v>2006.0</v>
      </c>
      <c r="E763" s="1" t="s">
        <v>52</v>
      </c>
      <c r="F763" s="1" t="str">
        <f>VLOOKUP(Filmes_raw!E763,Rating_systems!$A$2:$C$29,3,FALSE)</f>
        <v>Criança</v>
      </c>
      <c r="G763" s="2">
        <f>Gross_cleaning!F763</f>
        <v>98</v>
      </c>
      <c r="H763" s="1" t="s">
        <v>519</v>
      </c>
      <c r="I763" s="1" t="s">
        <v>765</v>
      </c>
      <c r="J763" s="1">
        <v>7.7</v>
      </c>
      <c r="K763" s="1" t="s">
        <v>4494</v>
      </c>
      <c r="L763" s="1" t="str">
        <f>IFERROR(__xludf.DUMMYFUNCTION("GOOGLETRANSLATE(K763,""en"", ""pt-br"")"),"Uma garota do ensino médio chamado Makoto adquire o poder de viajar de volta no tempo e decide usá-lo por seus próprios benefícios pessoais. Pouco ela sabe que ela está afetando a vida dos outros tanto quanto ela é dela.")</f>
        <v>Uma garota do ensino médio chamado Makoto adquire o poder de viajar de volta no tempo e decide usá-lo por seus próprios benefícios pessoais. Pouco ela sabe que ela está afetando a vida dos outros tanto quanto ela é dela.</v>
      </c>
      <c r="N763" s="1" t="s">
        <v>1477</v>
      </c>
      <c r="O763" s="1" t="s">
        <v>4495</v>
      </c>
      <c r="P763" s="1" t="s">
        <v>4496</v>
      </c>
      <c r="Q763" s="1" t="s">
        <v>4497</v>
      </c>
      <c r="R763" s="1" t="s">
        <v>4498</v>
      </c>
      <c r="S763" s="1">
        <v>60368.0</v>
      </c>
      <c r="T763" s="7" t="str">
        <f>VLOOKUP(A763,Posters!A763:B1762,2)</f>
        <v>https://m.media-amazon.com/images/M/MV5BMzA4ZGM1NjYtMjcxYS00MTdiLWJmNzEtMTUzODY0NDQ0YzUzXkEyXkFqcGdeQXVyMzYwMjQ3OTI@._V1_UY98_CR1,0,67,98_AL_.jpg</v>
      </c>
      <c r="U763" s="8">
        <f>'Inflation Adjusted Gross'!F763</f>
        <v>1136263</v>
      </c>
      <c r="V763" s="5">
        <f t="shared" si="1"/>
        <v>2020</v>
      </c>
    </row>
    <row r="764">
      <c r="A764" s="1">
        <v>763.0</v>
      </c>
      <c r="B764" s="1" t="s">
        <v>4499</v>
      </c>
      <c r="C764" s="6">
        <f>Gross_cleaning!E764</f>
        <v>29667169</v>
      </c>
      <c r="D764" s="1">
        <v>2006.0</v>
      </c>
      <c r="E764" s="1" t="s">
        <v>4418</v>
      </c>
      <c r="F764" s="1" t="str">
        <f>VLOOKUP(Filmes_raw!E764,Rating_systems!$A$2:$C$29,3,FALSE)</f>
        <v>Desconhecido</v>
      </c>
      <c r="G764" s="2">
        <f>Gross_cleaning!F764</f>
        <v>126</v>
      </c>
      <c r="H764" s="1" t="s">
        <v>428</v>
      </c>
      <c r="I764" s="1" t="s">
        <v>220</v>
      </c>
      <c r="J764" s="1">
        <v>7.7</v>
      </c>
      <c r="K764" s="1" t="s">
        <v>4500</v>
      </c>
      <c r="L764" s="1" t="str">
        <f>IFERROR(__xludf.DUMMYFUNCTION("GOOGLETRANSLATE(K764,""en"", ""pt-br"")"),"Uma batalha entre as duas maiores mentes do mundo começa quando a luz Yagami encontra a nota da morte, um caderno com o poder de matar e decide livrar o mundo dos criminosos.")</f>
        <v>Uma batalha entre as duas maiores mentes do mundo começa quando a luz Yagami encontra a nota da morte, um caderno com o poder de matar e decide livrar o mundo dos criminosos.</v>
      </c>
      <c r="N764" s="1" t="s">
        <v>4501</v>
      </c>
      <c r="O764" s="1" t="s">
        <v>4502</v>
      </c>
      <c r="P764" s="1" t="s">
        <v>4503</v>
      </c>
      <c r="Q764" s="1" t="s">
        <v>4504</v>
      </c>
      <c r="R764" s="1" t="s">
        <v>4505</v>
      </c>
      <c r="S764" s="1">
        <v>28630.0</v>
      </c>
      <c r="T764" s="7" t="str">
        <f>VLOOKUP(A764,Posters!A764:B1763,2)</f>
        <v>https://m.media-amazon.com/images/M/MV5BZDNlNjEzMzQtZDM0MS00YzhiLTk0MGUtYTdmNDZiZGVjNTk0L2ltYWdlXkEyXkFqcGdeQXVyNTAyODkwOQ@@._V1_UY98_CR1,0,67,98_AL_.jpg</v>
      </c>
      <c r="U764" s="8">
        <f>'Inflation Adjusted Gross'!F764</f>
        <v>38594399</v>
      </c>
      <c r="V764" s="5">
        <f t="shared" si="1"/>
        <v>2020</v>
      </c>
    </row>
    <row r="765">
      <c r="A765" s="1">
        <v>764.0</v>
      </c>
      <c r="B765" s="1" t="s">
        <v>4506</v>
      </c>
      <c r="C765" s="6">
        <f>Gross_cleaning!E765</f>
        <v>327919</v>
      </c>
      <c r="D765" s="1">
        <v>2006.0</v>
      </c>
      <c r="E765" s="1">
        <v>18.0</v>
      </c>
      <c r="F765" s="1" t="str">
        <f>VLOOKUP(Filmes_raw!E765,Rating_systems!$A$2:$C$29,3,FALSE)</f>
        <v>Adulto</v>
      </c>
      <c r="G765" s="2">
        <f>Gross_cleaning!F765</f>
        <v>101</v>
      </c>
      <c r="H765" s="1" t="s">
        <v>535</v>
      </c>
      <c r="I765" s="1" t="s">
        <v>29</v>
      </c>
      <c r="J765" s="1">
        <v>7.7</v>
      </c>
      <c r="K765" s="1" t="s">
        <v>4507</v>
      </c>
      <c r="L765" s="1" t="str">
        <f>IFERROR(__xludf.DUMMYFUNCTION("GOOGLETRANSLATE(K765,""en"", ""pt-br"")"),"Um jovem se torna amigo de uma gangue de skinheads. Amigos logo se tornam semelhantes a família, e os relacionamentos serão empurrados para o limite.")</f>
        <v>Um jovem se torna amigo de uma gangue de skinheads. Amigos logo se tornam semelhantes a família, e os relacionamentos serão empurrados para o limite.</v>
      </c>
      <c r="M765" s="1">
        <v>86.0</v>
      </c>
      <c r="N765" s="1" t="s">
        <v>4508</v>
      </c>
      <c r="O765" s="1" t="s">
        <v>4509</v>
      </c>
      <c r="P765" s="1" t="s">
        <v>4510</v>
      </c>
      <c r="Q765" s="1" t="s">
        <v>4511</v>
      </c>
      <c r="R765" s="1" t="s">
        <v>4512</v>
      </c>
      <c r="S765" s="1">
        <v>115576.0</v>
      </c>
      <c r="T765" s="7" t="str">
        <f>VLOOKUP(A765,Posters!A765:B1764,2)</f>
        <v>https://m.media-amazon.com/images/M/MV5BMmE3OWZhZDYtOTBjMi00NDIwLTg1NWMtMjg0NjJmZWM4MjliL2ltYWdlXkEyXkFqcGdeQXVyNTAyODkwOQ@@._V1_UX67_CR0,0,67,98_AL_.jpg</v>
      </c>
      <c r="U765" s="8">
        <f>'Inflation Adjusted Gross'!F765</f>
        <v>426594</v>
      </c>
      <c r="V765" s="5">
        <f t="shared" si="1"/>
        <v>2020</v>
      </c>
    </row>
    <row r="766">
      <c r="A766" s="1">
        <v>765.0</v>
      </c>
      <c r="B766" s="1" t="s">
        <v>4513</v>
      </c>
      <c r="C766" s="6">
        <f>Gross_cleaning!E766</f>
        <v>25442958</v>
      </c>
      <c r="D766" s="1">
        <v>2014.0</v>
      </c>
      <c r="E766" s="1" t="s">
        <v>37</v>
      </c>
      <c r="F766" s="1" t="str">
        <f>VLOOKUP(Filmes_raw!E766,Rating_systems!$A$2:$C$29,3,FALSE)</f>
        <v>Criança</v>
      </c>
      <c r="G766" s="2">
        <f>Gross_cleaning!F766</f>
        <v>108</v>
      </c>
      <c r="H766" s="1" t="s">
        <v>714</v>
      </c>
      <c r="I766" s="1" t="s">
        <v>3959</v>
      </c>
      <c r="J766" s="1">
        <v>7.7</v>
      </c>
      <c r="K766" s="1" t="s">
        <v>4514</v>
      </c>
      <c r="L766" s="1" t="str">
        <f>IFERROR(__xludf.DUMMYFUNCTION("GOOGLETRANSLATE(K766,""en"", ""pt-br"")"),"Um programador jovem é selecionado para participar de um experimento de quebra de terra na inteligência sintética, avaliando as qualidades humanas de um humanóide altamente avançado A.I.")</f>
        <v>Um programador jovem é selecionado para participar de um experimento de quebra de terra na inteligência sintética, avaliando as qualidades humanas de um humanóide altamente avançado A.I.</v>
      </c>
      <c r="M766" s="1">
        <v>78.0</v>
      </c>
      <c r="N766" s="1" t="s">
        <v>4515</v>
      </c>
      <c r="O766" s="1" t="s">
        <v>4516</v>
      </c>
      <c r="P766" s="1" t="s">
        <v>2264</v>
      </c>
      <c r="Q766" s="1" t="s">
        <v>3015</v>
      </c>
      <c r="R766" s="1" t="s">
        <v>4517</v>
      </c>
      <c r="S766" s="1">
        <v>474141.0</v>
      </c>
      <c r="T766" s="7" t="str">
        <f>VLOOKUP(A766,Posters!A766:B1765,2)</f>
        <v>https://m.media-amazon.com/images/M/MV5BMTUxNzc0OTIxMV5BMl5BanBnXkFtZTgwNDI3NzU2NDE@._V1_UX67_CR0,0,67,98_AL_.jpg</v>
      </c>
      <c r="U766" s="8">
        <f>'Inflation Adjusted Gross'!F766</f>
        <v>28059412</v>
      </c>
      <c r="V766" s="5">
        <f t="shared" si="1"/>
        <v>2020</v>
      </c>
    </row>
    <row r="767">
      <c r="A767" s="1">
        <v>766.0</v>
      </c>
      <c r="B767" s="1" t="s">
        <v>4518</v>
      </c>
      <c r="C767" s="6">
        <f>Gross_cleaning!E767</f>
        <v>412544</v>
      </c>
      <c r="D767" s="1">
        <v>2006.0</v>
      </c>
      <c r="E767" s="1" t="s">
        <v>212</v>
      </c>
      <c r="F767" s="1" t="str">
        <f>VLOOKUP(Filmes_raw!E767,Rating_systems!$A$2:$C$29,3,FALSE)</f>
        <v>Adulto</v>
      </c>
      <c r="G767" s="2">
        <f>Gross_cleaning!F767</f>
        <v>120</v>
      </c>
      <c r="H767" s="1" t="s">
        <v>1546</v>
      </c>
      <c r="I767" s="1" t="s">
        <v>20</v>
      </c>
      <c r="J767" s="1">
        <v>7.7</v>
      </c>
      <c r="K767" s="1" t="s">
        <v>4519</v>
      </c>
      <c r="L767" s="1" t="str">
        <f>IFERROR(__xludf.DUMMYFUNCTION("GOOGLETRANSLATE(K767,""en"", ""pt-br"")"),"Um gerente de um orfanato na Índia é enviado para Copenhaga, Dinamarca, onde descobre um segredo familiar que altera a vida.")</f>
        <v>Um gerente de um orfanato na Índia é enviado para Copenhaga, Dinamarca, onde descobre um segredo familiar que altera a vida.</v>
      </c>
      <c r="M767" s="1">
        <v>78.0</v>
      </c>
      <c r="N767" s="1" t="s">
        <v>4520</v>
      </c>
      <c r="O767" s="1" t="s">
        <v>673</v>
      </c>
      <c r="P767" s="1" t="s">
        <v>4521</v>
      </c>
      <c r="Q767" s="1" t="s">
        <v>4334</v>
      </c>
      <c r="R767" s="1" t="s">
        <v>4522</v>
      </c>
      <c r="S767" s="1">
        <v>32001.0</v>
      </c>
      <c r="T767" s="7" t="str">
        <f>VLOOKUP(A767,Posters!A767:B1766,2)</f>
        <v>https://m.media-amazon.com/images/M/MV5BMjIxODEyOTQ5Ml5BMl5BanBnXkFtZTcwNjE3NzI5Mw@@._V1_UY98_CR1,0,67,98_AL_.jpg</v>
      </c>
      <c r="U767" s="8">
        <f>'Inflation Adjusted Gross'!F767</f>
        <v>536684</v>
      </c>
      <c r="V767" s="5">
        <f t="shared" si="1"/>
        <v>2020</v>
      </c>
    </row>
    <row r="768">
      <c r="A768" s="1">
        <v>767.0</v>
      </c>
      <c r="B768" s="1" t="s">
        <v>4523</v>
      </c>
      <c r="C768" s="6">
        <f>Gross_cleaning!E768</f>
        <v>17605861</v>
      </c>
      <c r="D768" s="1">
        <v>2006.0</v>
      </c>
      <c r="E768" s="1" t="s">
        <v>212</v>
      </c>
      <c r="F768" s="1" t="str">
        <f>VLOOKUP(Filmes_raw!E768,Rating_systems!$A$2:$C$29,3,FALSE)</f>
        <v>Adulto</v>
      </c>
      <c r="G768" s="2">
        <f>Gross_cleaning!F768</f>
        <v>123</v>
      </c>
      <c r="H768" s="1" t="s">
        <v>678</v>
      </c>
      <c r="I768" s="1" t="s">
        <v>79</v>
      </c>
      <c r="J768" s="1">
        <v>7.7</v>
      </c>
      <c r="K768" s="1" t="s">
        <v>4524</v>
      </c>
      <c r="L768" s="1" t="str">
        <f>IFERROR(__xludf.DUMMYFUNCTION("GOOGLETRANSLATE(K768,""en"", ""pt-br"")"),"Com base nos eventos do regime brutal do Ditador Uganda do Uganda, como visto pelo seu médico pessoal durante a década de 1970.")</f>
        <v>Com base nos eventos do regime brutal do Ditador Uganda do Uganda, como visto pelo seu médico pessoal durante a década de 1970.</v>
      </c>
      <c r="M768" s="1">
        <v>74.0</v>
      </c>
      <c r="N768" s="1" t="s">
        <v>4525</v>
      </c>
      <c r="O768" s="1" t="s">
        <v>3022</v>
      </c>
      <c r="P768" s="1" t="s">
        <v>3009</v>
      </c>
      <c r="Q768" s="1" t="s">
        <v>4526</v>
      </c>
      <c r="R768" s="1" t="s">
        <v>499</v>
      </c>
      <c r="S768" s="1">
        <v>175355.0</v>
      </c>
      <c r="T768" s="7" t="str">
        <f>VLOOKUP(A768,Posters!A768:B1767,2)</f>
        <v>https://m.media-amazon.com/images/M/MV5BMjM1NTkxNjkzMl5BMl5BanBnXkFtZTgwNDgwMDAxMzE@._V1_UY98_CR1,0,67,98_AL_.jpg</v>
      </c>
      <c r="U768" s="8">
        <f>'Inflation Adjusted Gross'!F768</f>
        <v>22903689</v>
      </c>
      <c r="V768" s="5">
        <f t="shared" si="1"/>
        <v>2020</v>
      </c>
    </row>
    <row r="769">
      <c r="A769" s="1">
        <v>768.0</v>
      </c>
      <c r="B769" s="1" t="s">
        <v>4527</v>
      </c>
      <c r="C769" s="6">
        <f>Gross_cleaning!E769</f>
        <v>33080084</v>
      </c>
      <c r="D769" s="1">
        <v>2007.0</v>
      </c>
      <c r="E769" s="1" t="s">
        <v>37</v>
      </c>
      <c r="F769" s="1" t="str">
        <f>VLOOKUP(Filmes_raw!E769,Rating_systems!$A$2:$C$29,3,FALSE)</f>
        <v>Criança</v>
      </c>
      <c r="G769" s="2">
        <f>Gross_cleaning!F769</f>
        <v>157</v>
      </c>
      <c r="H769" s="1" t="s">
        <v>3025</v>
      </c>
      <c r="I769" s="1" t="s">
        <v>235</v>
      </c>
      <c r="J769" s="1">
        <v>7.7</v>
      </c>
      <c r="K769" s="1" t="s">
        <v>4528</v>
      </c>
      <c r="L769" s="1" t="str">
        <f>IFERROR(__xludf.DUMMYFUNCTION("GOOGLETRANSLATE(K769,""en"", ""pt-br"")"),"No final dos anos 1960 / início dos anos 1970, um desenho animado de São Francisco torna-se um detetive amador obcecado por rastrear o assassino do zodíaco, um indivíduo não identificado que aterroriza o norte da Califórnia com uma matança.")</f>
        <v>No final dos anos 1960 / início dos anos 1970, um desenho animado de São Francisco torna-se um detetive amador obcecado por rastrear o assassino do zodíaco, um indivíduo não identificado que aterroriza o norte da Califórnia com uma matança.</v>
      </c>
      <c r="M769" s="1">
        <v>78.0</v>
      </c>
      <c r="N769" s="1" t="s">
        <v>97</v>
      </c>
      <c r="O769" s="1" t="s">
        <v>1542</v>
      </c>
      <c r="P769" s="1" t="s">
        <v>479</v>
      </c>
      <c r="Q769" s="1" t="s">
        <v>481</v>
      </c>
      <c r="R769" s="1" t="s">
        <v>4492</v>
      </c>
      <c r="S769" s="1">
        <v>466080.0</v>
      </c>
      <c r="T769" s="7" t="str">
        <f>VLOOKUP(A769,Posters!A769:B1768,2)</f>
        <v>https://m.media-amazon.com/images/M/MV5BN2UwNDc5NmEtNjVjZS00OTI5LWE5YjctMWM3ZjBiZGYwMGI2XkEyXkFqcGdeQXVyNzkwMjQ5NzM@._V1_UX67_CR0,0,67,98_AL_.jpg</v>
      </c>
      <c r="U769" s="8">
        <f>'Inflation Adjusted Gross'!F769</f>
        <v>42159228</v>
      </c>
      <c r="V769" s="5">
        <f t="shared" si="1"/>
        <v>2020</v>
      </c>
    </row>
    <row r="770">
      <c r="A770" s="1">
        <v>769.0</v>
      </c>
      <c r="B770" s="1" t="s">
        <v>4529</v>
      </c>
      <c r="C770" s="6">
        <f>Gross_cleaning!E770</f>
        <v>22494487</v>
      </c>
      <c r="D770" s="1">
        <v>2006.0</v>
      </c>
      <c r="E770" s="1" t="s">
        <v>212</v>
      </c>
      <c r="F770" s="1" t="str">
        <f>VLOOKUP(Filmes_raw!E770,Rating_systems!$A$2:$C$29,3,FALSE)</f>
        <v>Adulto</v>
      </c>
      <c r="G770" s="2">
        <f>Gross_cleaning!F770</f>
        <v>110</v>
      </c>
      <c r="H770" s="1" t="s">
        <v>343</v>
      </c>
      <c r="I770" s="1" t="s">
        <v>39</v>
      </c>
      <c r="J770" s="1">
        <v>7.7</v>
      </c>
      <c r="K770" s="1" t="s">
        <v>4530</v>
      </c>
      <c r="L770" s="1" t="str">
        <f>IFERROR(__xludf.DUMMYFUNCTION("GOOGLETRANSLATE(K770,""en"", ""pt-br"")"),"Um caso de terras de identidade equivocadas se encaixam no meio de uma guerra sendo plotada por dois dos chefes criminosos mais rivais da cidade. Sob a vigilância constante pelo detetive Brikowski e assassino Goodkat, ele deve levá-los antes de pegá-lo.")</f>
        <v>Um caso de terras de identidade equivocadas se encaixam no meio de uma guerra sendo plotada por dois dos chefes criminosos mais rivais da cidade. Sob a vigilância constante pelo detetive Brikowski e assassino Goodkat, ele deve levá-los antes de pegá-lo.</v>
      </c>
      <c r="M770" s="1">
        <v>53.0</v>
      </c>
      <c r="N770" s="1" t="s">
        <v>4531</v>
      </c>
      <c r="O770" s="1" t="s">
        <v>4532</v>
      </c>
      <c r="P770" s="1" t="s">
        <v>84</v>
      </c>
      <c r="Q770" s="1" t="s">
        <v>24</v>
      </c>
      <c r="R770" s="1" t="s">
        <v>4421</v>
      </c>
      <c r="S770" s="1">
        <v>299524.0</v>
      </c>
      <c r="T770" s="7" t="str">
        <f>VLOOKUP(A770,Posters!A770:B1769,2)</f>
        <v>https://m.media-amazon.com/images/M/MV5BZjczMWI1YWMtYTZjOS00ZDc5LWE2MWItMTY3ZGUxNzFkNjJmL2ltYWdlXkEyXkFqcGdeQXVyNjU0OTQ0OTY@._V1_UX67_CR0,0,67,98_AL_.jpg</v>
      </c>
      <c r="U770" s="8">
        <f>'Inflation Adjusted Gross'!F770</f>
        <v>29263365</v>
      </c>
      <c r="V770" s="5">
        <f t="shared" si="1"/>
        <v>2020</v>
      </c>
    </row>
    <row r="771">
      <c r="A771" s="1">
        <v>770.0</v>
      </c>
      <c r="B771" s="1" t="s">
        <v>4533</v>
      </c>
      <c r="C771" s="6">
        <f>Gross_cleaning!E771</f>
        <v>1054361</v>
      </c>
      <c r="D771" s="1">
        <v>2005.0</v>
      </c>
      <c r="E771" s="1" t="s">
        <v>161</v>
      </c>
      <c r="F771" s="1" t="str">
        <f>VLOOKUP(Filmes_raw!E771,Rating_systems!$A$2:$C$29,3,FALSE)</f>
        <v>Criança</v>
      </c>
      <c r="G771" s="2">
        <f>Gross_cleaning!F771</f>
        <v>116</v>
      </c>
      <c r="H771" s="1" t="s">
        <v>226</v>
      </c>
      <c r="I771" s="1" t="s">
        <v>4534</v>
      </c>
      <c r="J771" s="1">
        <v>7.7</v>
      </c>
      <c r="K771" s="1" t="s">
        <v>4535</v>
      </c>
      <c r="L771" s="1" t="str">
        <f>IFERROR(__xludf.DUMMYFUNCTION("GOOGLETRANSLATE(K771,""en"", ""pt-br"")"),"Em dezembro de 1914, uma trégua de Natal não oficial na frente ocidental permite que os soldados se opunham das laterais da Primeira Guerra Mundial para obter uma visão sobre o modo de vida um do outro.")</f>
        <v>Em dezembro de 1914, uma trégua de Natal não oficial na frente ocidental permite que os soldados se opunham das laterais da Primeira Guerra Mundial para obter uma visão sobre o modo de vida um do outro.</v>
      </c>
      <c r="M771" s="1">
        <v>70.0</v>
      </c>
      <c r="N771" s="1" t="s">
        <v>4536</v>
      </c>
      <c r="O771" s="1" t="s">
        <v>710</v>
      </c>
      <c r="P771" s="1" t="s">
        <v>4537</v>
      </c>
      <c r="Q771" s="1" t="s">
        <v>4538</v>
      </c>
      <c r="R771" s="1" t="s">
        <v>4539</v>
      </c>
      <c r="S771" s="1">
        <v>28003.0</v>
      </c>
      <c r="T771" s="7" t="str">
        <f>VLOOKUP(A771,Posters!A771:B1770,2)</f>
        <v>https://m.media-amazon.com/images/M/MV5BMTQyODczNjU3NF5BMl5BanBnXkFtZTcwNjQ0NDIzMQ@@._V1_UX67_CR0,0,67,98_AL_.jpg</v>
      </c>
      <c r="U771" s="8">
        <f>'Inflation Adjusted Gross'!F771</f>
        <v>1426296</v>
      </c>
      <c r="V771" s="5">
        <f t="shared" si="1"/>
        <v>2020</v>
      </c>
    </row>
    <row r="772">
      <c r="A772" s="1">
        <v>771.0</v>
      </c>
      <c r="B772" s="1" t="s">
        <v>4540</v>
      </c>
      <c r="C772" s="6">
        <f>Gross_cleaning!E772</f>
        <v>871577</v>
      </c>
      <c r="D772" s="1">
        <v>2007.0</v>
      </c>
      <c r="E772" s="1" t="s">
        <v>212</v>
      </c>
      <c r="F772" s="1" t="str">
        <f>VLOOKUP(Filmes_raw!E772,Rating_systems!$A$2:$C$29,3,FALSE)</f>
        <v>Adulto</v>
      </c>
      <c r="G772" s="2">
        <f>Gross_cleaning!F772</f>
        <v>122</v>
      </c>
      <c r="H772" s="1" t="s">
        <v>279</v>
      </c>
      <c r="I772" s="1" t="s">
        <v>314</v>
      </c>
      <c r="J772" s="1">
        <v>7.7</v>
      </c>
      <c r="K772" s="1" t="s">
        <v>4541</v>
      </c>
      <c r="L772" s="1" t="str">
        <f>IFERROR(__xludf.DUMMYFUNCTION("GOOGLETRANSLATE(K772,""en"", ""pt-br"")"),"Um perfil de Ian Curtis, o cantor enigmático da divisão de alegria cujos problemas pessoais, profissionais e românticos o levaram a cometer suicídio aos 23 anos de idade.")</f>
        <v>Um perfil de Ian Curtis, o cantor enigmático da divisão de alegria cujos problemas pessoais, profissionais e românticos o levaram a cometer suicídio aos 23 anos de idade.</v>
      </c>
      <c r="M772" s="1">
        <v>78.0</v>
      </c>
      <c r="N772" s="1" t="s">
        <v>4542</v>
      </c>
      <c r="O772" s="1" t="s">
        <v>4543</v>
      </c>
      <c r="P772" s="1" t="s">
        <v>4544</v>
      </c>
      <c r="Q772" s="1" t="s">
        <v>4545</v>
      </c>
      <c r="R772" s="1" t="s">
        <v>1138</v>
      </c>
      <c r="S772" s="1">
        <v>61609.0</v>
      </c>
      <c r="T772" s="7" t="str">
        <f>VLOOKUP(A772,Posters!A772:B1771,2)</f>
        <v>https://m.media-amazon.com/images/M/MV5BNTEzOTYwMTcxN15BMl5BanBnXkFtZTcwNTgyNjI1MQ@@._V1_UX67_CR0,0,67,98_AL_.jpg</v>
      </c>
      <c r="U772" s="8">
        <f>'Inflation Adjusted Gross'!F772</f>
        <v>1110790</v>
      </c>
      <c r="V772" s="5">
        <f t="shared" si="1"/>
        <v>2020</v>
      </c>
    </row>
    <row r="773">
      <c r="A773" s="1">
        <v>772.0</v>
      </c>
      <c r="B773" s="1" t="s">
        <v>4546</v>
      </c>
      <c r="C773" s="6">
        <f>Gross_cleaning!E773</f>
        <v>200821936</v>
      </c>
      <c r="D773" s="1">
        <v>2010.0</v>
      </c>
      <c r="E773" s="1" t="s">
        <v>52</v>
      </c>
      <c r="F773" s="1" t="str">
        <f>VLOOKUP(Filmes_raw!E773,Rating_systems!$A$2:$C$29,3,FALSE)</f>
        <v>Criança</v>
      </c>
      <c r="G773" s="2">
        <f>Gross_cleaning!F773</f>
        <v>100</v>
      </c>
      <c r="H773" s="1" t="s">
        <v>1439</v>
      </c>
      <c r="I773" s="1" t="s">
        <v>765</v>
      </c>
      <c r="J773" s="1">
        <v>7.7</v>
      </c>
      <c r="K773" s="1" t="s">
        <v>4547</v>
      </c>
      <c r="L773" s="1" t="str">
        <f>IFERROR(__xludf.DUMMYFUNCTION("GOOGLETRANSLATE(K773,""en"", ""pt-br"")"),"O Rapunzel magicamente comprido gastou toda a sua vida em uma torre, mas agora que um ladrão fugitivo tropeçou sobre ela, ela está prestes a descobrir o mundo pela primeira vez, e quem ela realmente é.")</f>
        <v>O Rapunzel magicamente comprido gastou toda a sua vida em uma torre, mas agora que um ladrão fugitivo tropeçou sobre ela, ela está prestes a descobrir o mundo pela primeira vez, e quem ela realmente é.</v>
      </c>
      <c r="M773" s="1">
        <v>71.0</v>
      </c>
      <c r="N773" s="1" t="s">
        <v>4548</v>
      </c>
      <c r="O773" s="1" t="s">
        <v>2191</v>
      </c>
      <c r="P773" s="1" t="s">
        <v>4549</v>
      </c>
      <c r="Q773" s="1" t="s">
        <v>4550</v>
      </c>
      <c r="R773" s="1" t="s">
        <v>4551</v>
      </c>
      <c r="S773" s="1">
        <v>405922.0</v>
      </c>
      <c r="T773" s="7" t="str">
        <f>VLOOKUP(A773,Posters!A773:B1772,2)</f>
        <v>https://m.media-amazon.com/images/M/MV5BMTAxNDYxMjg0MjNeQTJeQWpwZ15BbWU3MDcyNTk2OTM@._V1_UX67_CR0,0,67,98_AL_.jpg</v>
      </c>
      <c r="U773" s="8">
        <f>'Inflation Adjusted Gross'!F773</f>
        <v>239083266</v>
      </c>
      <c r="V773" s="5">
        <f t="shared" si="1"/>
        <v>2020</v>
      </c>
    </row>
    <row r="774">
      <c r="A774" s="1">
        <v>773.0</v>
      </c>
      <c r="B774" s="1" t="s">
        <v>4552</v>
      </c>
      <c r="C774" s="6">
        <f>Gross_cleaning!E774</f>
        <v>4398392</v>
      </c>
      <c r="D774" s="1">
        <v>2006.0</v>
      </c>
      <c r="E774" s="1" t="s">
        <v>212</v>
      </c>
      <c r="F774" s="1" t="str">
        <f>VLOOKUP(Filmes_raw!E774,Rating_systems!$A$2:$C$29,3,FALSE)</f>
        <v>Adulto</v>
      </c>
      <c r="G774" s="2">
        <f>Gross_cleaning!F774</f>
        <v>145</v>
      </c>
      <c r="H774" s="1" t="s">
        <v>1398</v>
      </c>
      <c r="I774" s="1" t="s">
        <v>639</v>
      </c>
      <c r="J774" s="1">
        <v>7.7</v>
      </c>
      <c r="K774" s="1" t="s">
        <v>4553</v>
      </c>
      <c r="L774" s="1" t="str">
        <f>IFERROR(__xludf.DUMMYFUNCTION("GOOGLETRANSLATE(K774,""en"", ""pt-br"")"),"Nas Naixas Nazi ocupadas durante a Segunda Guerra Mundial, um cantor judeu se infiltra a sede da Gestapo Regional para a resistência holandesa.")</f>
        <v>Nas Naixas Nazi ocupadas durante a Segunda Guerra Mundial, um cantor judeu se infiltra a sede da Gestapo Regional para a resistência holandesa.</v>
      </c>
      <c r="M774" s="1">
        <v>71.0</v>
      </c>
      <c r="N774" s="1" t="s">
        <v>4554</v>
      </c>
      <c r="O774" s="1" t="s">
        <v>4555</v>
      </c>
      <c r="P774" s="1" t="s">
        <v>532</v>
      </c>
      <c r="Q774" s="1" t="s">
        <v>4556</v>
      </c>
      <c r="R774" s="1" t="s">
        <v>4557</v>
      </c>
      <c r="S774" s="1">
        <v>72643.0</v>
      </c>
      <c r="T774" s="7" t="str">
        <f>VLOOKUP(A774,Posters!A774:B1773,2)</f>
        <v>https://m.media-amazon.com/images/M/MV5BODFlNTI0ZWQtOTcxNC00OTc0LTkwZDUtMmNkM2I1ZWFlYzZkXkEyXkFqcGdeQXVyNTIzOTk5ODM@._V1_UY98_CR2,0,67,98_AL_.jpg</v>
      </c>
      <c r="U774" s="8">
        <f>'Inflation Adjusted Gross'!F774</f>
        <v>5721924</v>
      </c>
      <c r="V774" s="5">
        <f t="shared" si="1"/>
        <v>2020</v>
      </c>
    </row>
    <row r="775">
      <c r="A775" s="1">
        <v>774.0</v>
      </c>
      <c r="B775" s="1" t="s">
        <v>4558</v>
      </c>
      <c r="C775" s="6">
        <f>Gross_cleaning!E775</f>
        <v>83043761</v>
      </c>
      <c r="D775" s="1">
        <v>2005.0</v>
      </c>
      <c r="E775" s="1" t="s">
        <v>18</v>
      </c>
      <c r="F775" s="1" t="str">
        <f>VLOOKUP(Filmes_raw!E775,Rating_systems!$A$2:$C$29,3,FALSE)</f>
        <v>Adulto</v>
      </c>
      <c r="G775" s="2">
        <f>Gross_cleaning!F775</f>
        <v>134</v>
      </c>
      <c r="H775" s="1" t="s">
        <v>550</v>
      </c>
      <c r="I775" s="1" t="s">
        <v>107</v>
      </c>
      <c r="J775" s="1">
        <v>7.7</v>
      </c>
      <c r="K775" s="1" t="s">
        <v>4559</v>
      </c>
      <c r="L775" s="1" t="str">
        <f>IFERROR(__xludf.DUMMYFUNCTION("GOOGLETRANSLATE(K775,""en"", ""pt-br"")"),"A história de uma relação proibida e secreta entre dois cowboys, e suas vidas ao longo dos anos.")</f>
        <v>A história de uma relação proibida e secreta entre dois cowboys, e suas vidas ao longo dos anos.</v>
      </c>
      <c r="M775" s="1">
        <v>87.0</v>
      </c>
      <c r="N775" s="1" t="s">
        <v>3130</v>
      </c>
      <c r="O775" s="1" t="s">
        <v>1542</v>
      </c>
      <c r="P775" s="1" t="s">
        <v>43</v>
      </c>
      <c r="Q775" s="1" t="s">
        <v>3579</v>
      </c>
      <c r="R775" s="1" t="s">
        <v>4560</v>
      </c>
      <c r="S775" s="1">
        <v>323103.0</v>
      </c>
      <c r="T775" s="7" t="str">
        <f>VLOOKUP(A775,Posters!A775:B1774,2)</f>
        <v>https://m.media-amazon.com/images/M/MV5BMTY5NTAzNTc1NF5BMl5BanBnXkFtZTYwNDY4MDc3._V1_UX67_CR0,0,67,98_AL_.jpg</v>
      </c>
      <c r="U775" s="8">
        <f>'Inflation Adjusted Gross'!F775</f>
        <v>112338134</v>
      </c>
      <c r="V775" s="5">
        <f t="shared" si="1"/>
        <v>2020</v>
      </c>
    </row>
    <row r="776">
      <c r="A776" s="1">
        <v>775.0</v>
      </c>
      <c r="B776" s="1" t="s">
        <v>4561</v>
      </c>
      <c r="C776" s="6">
        <f>Gross_cleaning!E776</f>
        <v>53606916</v>
      </c>
      <c r="D776" s="1">
        <v>2007.0</v>
      </c>
      <c r="E776" s="1" t="s">
        <v>18</v>
      </c>
      <c r="F776" s="1" t="str">
        <f>VLOOKUP(Filmes_raw!E776,Rating_systems!$A$2:$C$29,3,FALSE)</f>
        <v>Adulto</v>
      </c>
      <c r="G776" s="2">
        <f>Gross_cleaning!F776</f>
        <v>122</v>
      </c>
      <c r="H776" s="1" t="s">
        <v>279</v>
      </c>
      <c r="I776" s="1" t="s">
        <v>39</v>
      </c>
      <c r="J776" s="1">
        <v>7.7</v>
      </c>
      <c r="K776" s="1" t="s">
        <v>4562</v>
      </c>
      <c r="L776" s="1" t="str">
        <f>IFERROR(__xludf.DUMMYFUNCTION("GOOGLETRANSLATE(K776,""en"", ""pt-br"")"),"Um fazendeiro de pequena hora concorda em realizar uma banca capturada que aguarda um trem para ir ao tribunal em Yuma. Uma batalha de testamentos segue como o bandido tenta psiceceria pelo fazendeiro.")</f>
        <v>Um fazendeiro de pequena hora concorda em realizar uma banca capturada que aguarda um trem para ir ao tribunal em Yuma. Uma batalha de testamentos segue como o bandido tenta psiceceria pelo fazendeiro.</v>
      </c>
      <c r="M776" s="1">
        <v>76.0</v>
      </c>
      <c r="N776" s="1" t="s">
        <v>1420</v>
      </c>
      <c r="O776" s="1" t="s">
        <v>325</v>
      </c>
      <c r="P776" s="1" t="s">
        <v>42</v>
      </c>
      <c r="Q776" s="1" t="s">
        <v>4563</v>
      </c>
      <c r="R776" s="1" t="s">
        <v>2267</v>
      </c>
      <c r="S776" s="1">
        <v>288797.0</v>
      </c>
      <c r="T776" s="7" t="str">
        <f>VLOOKUP(A776,Posters!A776:B1775,2)</f>
        <v>https://m.media-amazon.com/images/M/MV5BODE0NTcxNTQzNF5BMl5BanBnXkFtZTcwMzczOTIzMw@@._V1_UX67_CR0,0,67,98_AL_.jpg</v>
      </c>
      <c r="U776" s="8">
        <f>'Inflation Adjusted Gross'!F776</f>
        <v>68319845</v>
      </c>
      <c r="V776" s="5">
        <f t="shared" si="1"/>
        <v>2020</v>
      </c>
    </row>
    <row r="777">
      <c r="A777" s="1">
        <v>776.0</v>
      </c>
      <c r="B777" s="1" t="s">
        <v>4564</v>
      </c>
      <c r="C777" s="6">
        <f>Gross_cleaning!E777</f>
        <v>54580300</v>
      </c>
      <c r="D777" s="1">
        <v>2004.0</v>
      </c>
      <c r="E777" s="1" t="s">
        <v>37</v>
      </c>
      <c r="F777" s="1" t="str">
        <f>VLOOKUP(Filmes_raw!E777,Rating_systems!$A$2:$C$29,3,FALSE)</f>
        <v>Criança</v>
      </c>
      <c r="G777" s="2">
        <f>Gross_cleaning!F777</f>
        <v>112</v>
      </c>
      <c r="H777" s="1" t="s">
        <v>295</v>
      </c>
      <c r="I777" s="1" t="s">
        <v>241</v>
      </c>
      <c r="J777" s="1">
        <v>7.7</v>
      </c>
      <c r="K777" s="1" t="s">
        <v>4565</v>
      </c>
      <c r="L777" s="1" t="str">
        <f>IFERROR(__xludf.DUMMYFUNCTION("GOOGLETRANSLATE(K777,""en"", ""pt-br"")"),"Os cidadãos de Los Angeles com vidas vastamente separadas colidem em histórias entrelaçadas de raça, perda e redenção.")</f>
        <v>Os cidadãos de Los Angeles com vidas vastamente separadas colidem em histórias entrelaçadas de raça, perda e redenção.</v>
      </c>
      <c r="M777" s="1">
        <v>66.0</v>
      </c>
      <c r="N777" s="1" t="s">
        <v>4566</v>
      </c>
      <c r="O777" s="1" t="s">
        <v>1628</v>
      </c>
      <c r="P777" s="1" t="s">
        <v>4433</v>
      </c>
      <c r="Q777" s="1" t="s">
        <v>2357</v>
      </c>
      <c r="R777" s="1" t="s">
        <v>4567</v>
      </c>
      <c r="S777" s="1">
        <v>419483.0</v>
      </c>
      <c r="T777" s="7" t="str">
        <f>VLOOKUP(A777,Posters!A777:B1776,2)</f>
        <v>https://m.media-amazon.com/images/M/MV5BOTk1OTA1MjIyNV5BMl5BanBnXkFtZTcwODQxMTkyMQ@@._V1_UX67_CR0,0,67,98_AL_.jpg</v>
      </c>
      <c r="U777" s="8">
        <f>'Inflation Adjusted Gross'!F777</f>
        <v>76026645</v>
      </c>
      <c r="V777" s="5">
        <f t="shared" si="1"/>
        <v>2020</v>
      </c>
    </row>
    <row r="778">
      <c r="A778" s="1">
        <v>777.0</v>
      </c>
      <c r="B778" s="1" t="s">
        <v>4568</v>
      </c>
      <c r="C778" s="6">
        <f>Gross_cleaning!E778</f>
        <v>17108591</v>
      </c>
      <c r="D778" s="1">
        <v>2004.0</v>
      </c>
      <c r="E778" s="1" t="s">
        <v>37</v>
      </c>
      <c r="F778" s="1" t="str">
        <f>VLOOKUP(Filmes_raw!E778,Rating_systems!$A$2:$C$29,3,FALSE)</f>
        <v>Criança</v>
      </c>
      <c r="G778" s="2">
        <f>Gross_cleaning!F778</f>
        <v>99</v>
      </c>
      <c r="H778" s="1" t="s">
        <v>778</v>
      </c>
      <c r="I778" s="1" t="s">
        <v>4070</v>
      </c>
      <c r="J778" s="1">
        <v>7.7</v>
      </c>
      <c r="K778" s="1" t="s">
        <v>4569</v>
      </c>
      <c r="L778" s="1" t="str">
        <f>IFERROR(__xludf.DUMMYFUNCTION("GOOGLETRANSLATE(K778,""en"", ""pt-br"")"),"Em Xangai, a China na década de 1940, um gangster de Wannabe aspira a se juntar à notória ""gangue de machado"", enquanto os moradores de um complexo habitacional exibem poderes extraordinários para defender o relvado.")</f>
        <v>Em Xangai, a China na década de 1940, um gangster de Wannabe aspira a se juntar à notória "gangue de machado", enquanto os moradores de um complexo habitacional exibem poderes extraordinários para defender o relvado.</v>
      </c>
      <c r="M778" s="1">
        <v>78.0</v>
      </c>
      <c r="N778" s="1" t="s">
        <v>4570</v>
      </c>
      <c r="O778" s="1" t="s">
        <v>4570</v>
      </c>
      <c r="P778" s="1" t="s">
        <v>4571</v>
      </c>
      <c r="Q778" s="1" t="s">
        <v>4572</v>
      </c>
      <c r="R778" s="1" t="s">
        <v>4573</v>
      </c>
      <c r="S778" s="1">
        <v>127250.0</v>
      </c>
      <c r="T778" s="7" t="str">
        <f>VLOOKUP(A778,Posters!A778:B1777,2)</f>
        <v>https://m.media-amazon.com/images/M/MV5BMjZiOTNlMzYtZWYwZS00YWJjLTk5NDgtODkwNjRhMDI0MjhjXkEyXkFqcGdeQXVyMjgyNjk3MzE@._V1_UY98_CR1,0,67,98_AL_.jpg</v>
      </c>
      <c r="U778" s="8">
        <f>'Inflation Adjusted Gross'!F778</f>
        <v>23831103</v>
      </c>
      <c r="V778" s="5">
        <f t="shared" si="1"/>
        <v>2020</v>
      </c>
    </row>
    <row r="779">
      <c r="A779" s="1">
        <v>778.0</v>
      </c>
      <c r="B779" s="1" t="s">
        <v>4574</v>
      </c>
      <c r="C779" s="6">
        <f>Gross_cleaning!E779</f>
        <v>176241941</v>
      </c>
      <c r="D779" s="1">
        <v>2004.0</v>
      </c>
      <c r="E779" s="1" t="s">
        <v>18</v>
      </c>
      <c r="F779" s="1" t="str">
        <f>VLOOKUP(Filmes_raw!E779,Rating_systems!$A$2:$C$29,3,FALSE)</f>
        <v>Adulto</v>
      </c>
      <c r="G779" s="2">
        <f>Gross_cleaning!F779</f>
        <v>108</v>
      </c>
      <c r="H779" s="1" t="s">
        <v>714</v>
      </c>
      <c r="I779" s="1" t="s">
        <v>2366</v>
      </c>
      <c r="J779" s="1">
        <v>7.7</v>
      </c>
      <c r="K779" s="1" t="s">
        <v>4575</v>
      </c>
      <c r="L779" s="1" t="str">
        <f>IFERROR(__xludf.DUMMYFUNCTION("GOOGLETRANSLATE(K779,""en"", ""pt-br"")"),"Quando Jason Bourne é enquadrado por uma operação da CIA, ele é forçado a retomar sua vida anterior como um assassino treinado para sobreviver.")</f>
        <v>Quando Jason Bourne é enquadrado por uma operação da CIA, ele é forçado a retomar sua vida anterior como um assassino treinado para sobreviver.</v>
      </c>
      <c r="M779" s="1">
        <v>73.0</v>
      </c>
      <c r="N779" s="1" t="s">
        <v>2368</v>
      </c>
      <c r="O779" s="1" t="s">
        <v>215</v>
      </c>
      <c r="P779" s="1" t="s">
        <v>3204</v>
      </c>
      <c r="Q779" s="1" t="s">
        <v>1584</v>
      </c>
      <c r="R779" s="1" t="s">
        <v>4576</v>
      </c>
      <c r="S779" s="1">
        <v>434841.0</v>
      </c>
      <c r="T779" s="7" t="str">
        <f>VLOOKUP(A779,Posters!A779:B1778,2)</f>
        <v>https://m.media-amazon.com/images/M/MV5BYTIyMDFmMmItMWQzYy00MjBiLTg2M2UtM2JiNDRhOWE4NjBhXkEyXkFqcGdeQXVyNjU0OTQ0OTY@._V1_UX67_CR0,0,67,98_AL_.jpg</v>
      </c>
      <c r="U779" s="8">
        <f>'Inflation Adjusted Gross'!F779</f>
        <v>245493034</v>
      </c>
      <c r="V779" s="5">
        <f t="shared" si="1"/>
        <v>2020</v>
      </c>
    </row>
    <row r="780">
      <c r="A780" s="1">
        <v>779.0</v>
      </c>
      <c r="B780" s="1" t="s">
        <v>4577</v>
      </c>
      <c r="C780" s="6">
        <f>Gross_cleaning!E780</f>
        <v>1082715</v>
      </c>
      <c r="D780" s="1">
        <v>2004.0</v>
      </c>
      <c r="E780" s="1" t="s">
        <v>212</v>
      </c>
      <c r="F780" s="1" t="str">
        <f>VLOOKUP(Filmes_raw!E780,Rating_systems!$A$2:$C$29,3,FALSE)</f>
        <v>Adulto</v>
      </c>
      <c r="G780" s="2">
        <f>Gross_cleaning!F780</f>
        <v>101</v>
      </c>
      <c r="H780" s="1" t="s">
        <v>535</v>
      </c>
      <c r="I780" s="1" t="s">
        <v>1377</v>
      </c>
      <c r="J780" s="1">
        <v>7.7</v>
      </c>
      <c r="K780" s="1" t="s">
        <v>4578</v>
      </c>
      <c r="L780" s="1" t="str">
        <f>IFERROR(__xludf.DUMMYFUNCTION("GOOGLETRANSLATE(K780,""en"", ""pt-br"")"),"Um trabalhador industrial que não dormiu em um ano começa a duvidar de sua própria sanidade.")</f>
        <v>Um trabalhador industrial que não dormiu em um ano começa a duvidar de sua própria sanidade.</v>
      </c>
      <c r="M780" s="1">
        <v>61.0</v>
      </c>
      <c r="N780" s="1" t="s">
        <v>4579</v>
      </c>
      <c r="O780" s="1" t="s">
        <v>42</v>
      </c>
      <c r="P780" s="1" t="s">
        <v>3600</v>
      </c>
      <c r="Q780" s="1" t="s">
        <v>4580</v>
      </c>
      <c r="R780" s="1" t="s">
        <v>4581</v>
      </c>
      <c r="S780" s="1">
        <v>358432.0</v>
      </c>
      <c r="T780" s="7" t="str">
        <f>VLOOKUP(A780,Posters!A780:B1779,2)</f>
        <v>https://m.media-amazon.com/images/M/MV5BNjk1NzBlY2YtNjJmNi00YTVmLWI2OTgtNDUxNDE5NjUzZmE0XkEyXkFqcGdeQXVyNTc1NTQxODI@._V1_UX67_CR0,0,67,98_AL_.jpg</v>
      </c>
      <c r="U780" s="8">
        <f>'Inflation Adjusted Gross'!F780</f>
        <v>1508148</v>
      </c>
      <c r="V780" s="5">
        <f t="shared" si="1"/>
        <v>2020</v>
      </c>
    </row>
    <row r="781">
      <c r="A781" s="1">
        <v>780.0</v>
      </c>
      <c r="B781" s="1" t="s">
        <v>4582</v>
      </c>
      <c r="C781" s="6">
        <f>Gross_cleaning!E781</f>
        <v>75331600</v>
      </c>
      <c r="D781" s="1">
        <v>2004.0</v>
      </c>
      <c r="E781" s="1" t="s">
        <v>18</v>
      </c>
      <c r="F781" s="1" t="str">
        <f>VLOOKUP(Filmes_raw!E781,Rating_systems!$A$2:$C$29,3,FALSE)</f>
        <v>Adulto</v>
      </c>
      <c r="G781" s="2">
        <f>Gross_cleaning!F781</f>
        <v>152</v>
      </c>
      <c r="H781" s="1" t="s">
        <v>38</v>
      </c>
      <c r="I781" s="1" t="s">
        <v>314</v>
      </c>
      <c r="J781" s="1">
        <v>7.7</v>
      </c>
      <c r="K781" s="1" t="s">
        <v>4583</v>
      </c>
      <c r="L781" s="1" t="str">
        <f>IFERROR(__xludf.DUMMYFUNCTION("GOOGLETRANSLATE(K781,""en"", ""pt-br"")"),"A história da vida e da carreira do lendário ritmo e blues músico Ray Charles, de seus humildes começos no sul, onde ele ficou cego aos sete anos de idade, para sua ascensão meteórica para o estrelato durante a década de 1950 e 1960.")</f>
        <v>A história da vida e da carreira do lendário ritmo e blues músico Ray Charles, de seus humildes começos no sul, onde ele ficou cego aos sete anos de idade, para sua ascensão meteórica para o estrelato durante a década de 1950 e 1960.</v>
      </c>
      <c r="M781" s="1">
        <v>73.0</v>
      </c>
      <c r="N781" s="1" t="s">
        <v>2575</v>
      </c>
      <c r="O781" s="1" t="s">
        <v>497</v>
      </c>
      <c r="P781" s="1" t="s">
        <v>4584</v>
      </c>
      <c r="Q781" s="1" t="s">
        <v>499</v>
      </c>
      <c r="R781" s="1" t="s">
        <v>4585</v>
      </c>
      <c r="S781" s="1">
        <v>138356.0</v>
      </c>
      <c r="T781" s="7" t="str">
        <f>VLOOKUP(A781,Posters!A781:B1780,2)</f>
        <v>https://m.media-amazon.com/images/M/MV5BMTQxNDQwNjQzOV5BMl5BanBnXkFtZTcwNTQxNDYyMQ@@._V1_UX67_CR0,0,67,98_AL_.jpg</v>
      </c>
      <c r="U781" s="8">
        <f>'Inflation Adjusted Gross'!F781</f>
        <v>104931794</v>
      </c>
      <c r="V781" s="5">
        <f t="shared" si="1"/>
        <v>2020</v>
      </c>
    </row>
    <row r="782">
      <c r="A782" s="1">
        <v>781.0</v>
      </c>
      <c r="B782" s="1" t="s">
        <v>4586</v>
      </c>
      <c r="C782" s="6">
        <f>Gross_cleaning!E782</f>
        <v>44585453</v>
      </c>
      <c r="D782" s="1">
        <v>2003.0</v>
      </c>
      <c r="E782" s="1" t="s">
        <v>37</v>
      </c>
      <c r="F782" s="1" t="str">
        <f>VLOOKUP(Filmes_raw!E782,Rating_systems!$A$2:$C$29,3,FALSE)</f>
        <v>Criança</v>
      </c>
      <c r="G782" s="2">
        <f>Gross_cleaning!F782</f>
        <v>102</v>
      </c>
      <c r="H782" s="1" t="s">
        <v>405</v>
      </c>
      <c r="I782" s="1" t="s">
        <v>507</v>
      </c>
      <c r="J782" s="1">
        <v>7.7</v>
      </c>
      <c r="K782" s="1" t="s">
        <v>4587</v>
      </c>
      <c r="L782" s="1" t="str">
        <f>IFERROR(__xludf.DUMMYFUNCTION("GOOGLETRANSLATE(K782,""en"", ""pt-br"")"),"Uma estrela de cinema desbotada e uma jovem negligenciada formam um vínculo improvável depois de cruzar caminhos em Tóquio.")</f>
        <v>Uma estrela de cinema desbotada e uma jovem negligenciada formam um vínculo improvável depois de cruzar caminhos em Tóquio.</v>
      </c>
      <c r="M782" s="1">
        <v>89.0</v>
      </c>
      <c r="N782" s="1" t="s">
        <v>4588</v>
      </c>
      <c r="O782" s="1" t="s">
        <v>2569</v>
      </c>
      <c r="P782" s="1" t="s">
        <v>307</v>
      </c>
      <c r="Q782" s="1" t="s">
        <v>4589</v>
      </c>
      <c r="R782" s="1" t="s">
        <v>4590</v>
      </c>
      <c r="S782" s="1">
        <v>415074.0</v>
      </c>
      <c r="T782" s="7" t="str">
        <f>VLOOKUP(A782,Posters!A782:B1781,2)</f>
        <v>https://m.media-amazon.com/images/M/MV5BMTI2NDI5ODk4N15BMl5BanBnXkFtZTYwMTI3NTE3._V1_UX67_CR0,0,67,98_AL_.jpg</v>
      </c>
      <c r="U782" s="8">
        <f>'Inflation Adjusted Gross'!F782</f>
        <v>63300792</v>
      </c>
      <c r="V782" s="5">
        <f t="shared" si="1"/>
        <v>2020</v>
      </c>
    </row>
    <row r="783">
      <c r="A783" s="1">
        <v>782.0</v>
      </c>
      <c r="B783" s="1" t="s">
        <v>4591</v>
      </c>
      <c r="C783" s="6">
        <f>Gross_cleaning!E783</f>
        <v>290013036</v>
      </c>
      <c r="D783" s="1">
        <v>2005.0</v>
      </c>
      <c r="E783" s="1" t="s">
        <v>37</v>
      </c>
      <c r="F783" s="1" t="str">
        <f>VLOOKUP(Filmes_raw!E783,Rating_systems!$A$2:$C$29,3,FALSE)</f>
        <v>Criança</v>
      </c>
      <c r="G783" s="2">
        <f>Gross_cleaning!F783</f>
        <v>157</v>
      </c>
      <c r="H783" s="1" t="s">
        <v>3025</v>
      </c>
      <c r="I783" s="1" t="s">
        <v>2629</v>
      </c>
      <c r="J783" s="1">
        <v>7.7</v>
      </c>
      <c r="K783" s="1" t="s">
        <v>4592</v>
      </c>
      <c r="L783" s="1" t="str">
        <f>IFERROR(__xludf.DUMMYFUNCTION("GOOGLETRANSLATE(K783,""en"", ""pt-br"")"),"Harry Potter se encontra competindo em um torneio perigoso entre escolas rivais de magia, mas ele está distraído por pesadelos recorrentes.")</f>
        <v>Harry Potter se encontra competindo em um torneio perigoso entre escolas rivais de magia, mas ele está distraído por pesadelos recorrentes.</v>
      </c>
      <c r="M783" s="1">
        <v>81.0</v>
      </c>
      <c r="N783" s="1" t="s">
        <v>4593</v>
      </c>
      <c r="O783" s="1" t="s">
        <v>1568</v>
      </c>
      <c r="P783" s="1" t="s">
        <v>1569</v>
      </c>
      <c r="Q783" s="1" t="s">
        <v>1570</v>
      </c>
      <c r="R783" s="1" t="s">
        <v>4594</v>
      </c>
      <c r="S783" s="1">
        <v>548619.0</v>
      </c>
      <c r="T783" s="7" t="str">
        <f>VLOOKUP(A783,Posters!A783:B1782,2)</f>
        <v>https://m.media-amazon.com/images/M/MV5BMTI1NDMyMjExOF5BMl5BanBnXkFtZTcwOTc4MjQzMQ@@._V1_UX67_CR0,0,67,98_AL_.jpg</v>
      </c>
      <c r="U783" s="8">
        <f>'Inflation Adjusted Gross'!F783</f>
        <v>392317530</v>
      </c>
      <c r="V783" s="5">
        <f t="shared" si="1"/>
        <v>2020</v>
      </c>
    </row>
    <row r="784">
      <c r="A784" s="1">
        <v>783.0</v>
      </c>
      <c r="B784" s="1" t="s">
        <v>4595</v>
      </c>
      <c r="C784" s="6">
        <f>Gross_cleaning!E784</f>
        <v>77911774</v>
      </c>
      <c r="D784" s="1">
        <v>2004.0</v>
      </c>
      <c r="E784" s="1" t="s">
        <v>37</v>
      </c>
      <c r="F784" s="1" t="str">
        <f>VLOOKUP(Filmes_raw!E784,Rating_systems!$A$2:$C$29,3,FALSE)</f>
        <v>Criança</v>
      </c>
      <c r="G784" s="2">
        <f>Gross_cleaning!F784</f>
        <v>146</v>
      </c>
      <c r="H784" s="1" t="s">
        <v>136</v>
      </c>
      <c r="I784" s="1" t="s">
        <v>39</v>
      </c>
      <c r="J784" s="1">
        <v>7.7</v>
      </c>
      <c r="K784" s="1" t="s">
        <v>4596</v>
      </c>
      <c r="L784" s="1" t="str">
        <f>IFERROR(__xludf.DUMMYFUNCTION("GOOGLETRANSLATE(K784,""en"", ""pt-br"")"),"Na Cidade do México, um ex-operador da CIA jura vingança naqueles que cometeram um ato indescritível contra a família que ele foi contratado para proteger.")</f>
        <v>Na Cidade do México, um ex-operador da CIA jura vingança naqueles que cometeram um ato indescritível contra a família que ele foi contratado para proteger.</v>
      </c>
      <c r="M784" s="1">
        <v>47.0</v>
      </c>
      <c r="N784" s="1" t="s">
        <v>3248</v>
      </c>
      <c r="O784" s="1" t="s">
        <v>3799</v>
      </c>
      <c r="P784" s="1" t="s">
        <v>1674</v>
      </c>
      <c r="Q784" s="1" t="s">
        <v>4597</v>
      </c>
      <c r="R784" s="1" t="s">
        <v>4598</v>
      </c>
      <c r="S784" s="1">
        <v>329592.0</v>
      </c>
      <c r="T784" s="7" t="str">
        <f>VLOOKUP(A784,Posters!A784:B1783,2)</f>
        <v>https://m.media-amazon.com/images/M/MV5BODFlMmEwMDgtYjhmZi00ZTE5LTk2NWQtMWE1Y2M0NjkzOGYxXkEyXkFqcGdeQXVyNjU0OTQ0OTY@._V1_UX67_CR0,0,67,98_AL_.jpg</v>
      </c>
      <c r="U784" s="8">
        <f>'Inflation Adjusted Gross'!F784</f>
        <v>108525801</v>
      </c>
      <c r="V784" s="5">
        <f t="shared" si="1"/>
        <v>2020</v>
      </c>
    </row>
    <row r="785">
      <c r="A785" s="1">
        <v>784.0</v>
      </c>
      <c r="B785" s="1" t="s">
        <v>4599</v>
      </c>
      <c r="C785" s="6">
        <f>Gross_cleaning!E785</f>
        <v>75286229</v>
      </c>
      <c r="D785" s="1">
        <v>2009.0</v>
      </c>
      <c r="E785" s="1" t="s">
        <v>52</v>
      </c>
      <c r="F785" s="1" t="str">
        <f>VLOOKUP(Filmes_raw!E785,Rating_systems!$A$2:$C$29,3,FALSE)</f>
        <v>Criança</v>
      </c>
      <c r="G785" s="2">
        <f>Gross_cleaning!F785</f>
        <v>100</v>
      </c>
      <c r="H785" s="1" t="s">
        <v>1439</v>
      </c>
      <c r="I785" s="1" t="s">
        <v>1384</v>
      </c>
      <c r="J785" s="1">
        <v>7.7</v>
      </c>
      <c r="K785" s="1" t="s">
        <v>4600</v>
      </c>
      <c r="L785" s="1" t="str">
        <f>IFERROR(__xludf.DUMMYFUNCTION("GOOGLETRANSLATE(K785,""en"", ""pt-br"")"),"Uma menina aventureira de 11 anos encontra outro mundo que é uma versão estranhamente idealizada de sua casa frustrante, mas tem segredos sinistros.")</f>
        <v>Uma menina aventureira de 11 anos encontra outro mundo que é uma versão estranhamente idealizada de sua casa frustrante, mas tem segredos sinistros.</v>
      </c>
      <c r="M785" s="1">
        <v>80.0</v>
      </c>
      <c r="N785" s="1" t="s">
        <v>2560</v>
      </c>
      <c r="O785" s="1" t="s">
        <v>4597</v>
      </c>
      <c r="P785" s="1" t="s">
        <v>4601</v>
      </c>
      <c r="Q785" s="1" t="s">
        <v>4602</v>
      </c>
      <c r="R785" s="1" t="s">
        <v>4603</v>
      </c>
      <c r="S785" s="1">
        <v>197761.0</v>
      </c>
      <c r="T785" s="7" t="str">
        <f>VLOOKUP(A785,Posters!A785:B1784,2)</f>
        <v>https://m.media-amazon.com/images/M/MV5BMzQxNjM5NzkxNV5BMl5BanBnXkFtZTcwMzg5NDMwMg@@._V1_UX67_CR0,0,67,98_AL_.jpg</v>
      </c>
      <c r="U785" s="8">
        <f>'Inflation Adjusted Gross'!F785</f>
        <v>91983460</v>
      </c>
      <c r="V785" s="5">
        <f t="shared" si="1"/>
        <v>2020</v>
      </c>
    </row>
    <row r="786">
      <c r="A786" s="1">
        <v>785.0</v>
      </c>
      <c r="B786" s="1" t="s">
        <v>4604</v>
      </c>
      <c r="C786" s="6">
        <f>Gross_cleaning!E786</f>
        <v>111110575</v>
      </c>
      <c r="D786" s="1">
        <v>2003.0</v>
      </c>
      <c r="E786" s="1" t="s">
        <v>37</v>
      </c>
      <c r="F786" s="1" t="str">
        <f>VLOOKUP(Filmes_raw!E786,Rating_systems!$A$2:$C$29,3,FALSE)</f>
        <v>Criança</v>
      </c>
      <c r="G786" s="2">
        <f>Gross_cleaning!F786</f>
        <v>154</v>
      </c>
      <c r="H786" s="1" t="s">
        <v>70</v>
      </c>
      <c r="I786" s="1" t="s">
        <v>956</v>
      </c>
      <c r="J786" s="1">
        <v>7.7</v>
      </c>
      <c r="K786" s="1" t="s">
        <v>4605</v>
      </c>
      <c r="L786" s="1" t="str">
        <f>IFERROR(__xludf.DUMMYFUNCTION("GOOGLETRANSLATE(K786,""en"", ""pt-br"")"),"Um conselheiro militar americano abraça a cultura do samurai que ele foi contratado para destruir depois que ele é capturado em batalha.")</f>
        <v>Um conselheiro militar americano abraça a cultura do samurai que ele foi contratado para destruir depois que ele é capturado em batalha.</v>
      </c>
      <c r="M786" s="1">
        <v>55.0</v>
      </c>
      <c r="N786" s="1" t="s">
        <v>2362</v>
      </c>
      <c r="O786" s="1" t="s">
        <v>2486</v>
      </c>
      <c r="P786" s="1" t="s">
        <v>93</v>
      </c>
      <c r="Q786" s="1" t="s">
        <v>4606</v>
      </c>
      <c r="R786" s="1" t="s">
        <v>4607</v>
      </c>
      <c r="S786" s="1">
        <v>400049.0</v>
      </c>
      <c r="T786" s="7" t="str">
        <f>VLOOKUP(A786,Posters!A786:B1785,2)</f>
        <v>https://m.media-amazon.com/images/M/MV5BMzkyNzQ1Mzc0NV5BMl5BanBnXkFtZTcwODg3MzUzMw@@._V1_UX67_CR0,0,67,98_AL_.jpg</v>
      </c>
      <c r="U786" s="8">
        <f>'Inflation Adjusted Gross'!F786</f>
        <v>157750722</v>
      </c>
      <c r="V786" s="5">
        <f t="shared" si="1"/>
        <v>2020</v>
      </c>
    </row>
    <row r="787">
      <c r="A787" s="1">
        <v>786.0</v>
      </c>
      <c r="B787" s="1" t="s">
        <v>4608</v>
      </c>
      <c r="C787" s="6">
        <f>Gross_cleaning!E787</f>
        <v>4890878</v>
      </c>
      <c r="D787" s="1">
        <v>2002.0</v>
      </c>
      <c r="E787" s="1" t="s">
        <v>212</v>
      </c>
      <c r="F787" s="1" t="str">
        <f>VLOOKUP(Filmes_raw!E787,Rating_systems!$A$2:$C$29,3,FALSE)</f>
        <v>Adulto</v>
      </c>
      <c r="G787" s="2">
        <f>Gross_cleaning!F787</f>
        <v>114</v>
      </c>
      <c r="H787" s="1" t="s">
        <v>825</v>
      </c>
      <c r="I787" s="1" t="s">
        <v>20</v>
      </c>
      <c r="J787" s="1">
        <v>7.7</v>
      </c>
      <c r="K787" s="1" t="s">
        <v>4609</v>
      </c>
      <c r="L787" s="1" t="str">
        <f>IFERROR(__xludf.DUMMYFUNCTION("GOOGLETRANSLATE(K787,""en"", ""pt-br"")"),"Três jovens mulheres irlandesas lutam para manter seus espíritos enquanto suportam a desumanização de abuso como presos de um asilo de irmãs de Madalena.")</f>
        <v>Três jovens mulheres irlandesas lutam para manter seus espíritos enquanto suportam a desumanização de abuso como presos de um asilo de irmãs de Madalena.</v>
      </c>
      <c r="M787" s="1">
        <v>83.0</v>
      </c>
      <c r="N787" s="1" t="s">
        <v>4610</v>
      </c>
      <c r="O787" s="1" t="s">
        <v>4611</v>
      </c>
      <c r="P787" s="1" t="s">
        <v>4612</v>
      </c>
      <c r="Q787" s="1" t="s">
        <v>4613</v>
      </c>
      <c r="R787" s="1" t="s">
        <v>4614</v>
      </c>
      <c r="S787" s="1">
        <v>25938.0</v>
      </c>
      <c r="T787" s="7" t="str">
        <f>VLOOKUP(A787,Posters!A787:B1786,2)</f>
        <v>https://m.media-amazon.com/images/M/MV5BMTI2NzU1NTc1NF5BMl5BanBnXkFtZTcwOTQ1MjAwMQ@@._V1_UX67_CR0,0,67,98_AL_.jpg</v>
      </c>
      <c r="U787" s="8">
        <f>'Inflation Adjusted Gross'!F787</f>
        <v>7124250</v>
      </c>
      <c r="V787" s="5">
        <f t="shared" si="1"/>
        <v>2020</v>
      </c>
    </row>
    <row r="788">
      <c r="A788" s="1">
        <v>787.0</v>
      </c>
      <c r="B788" s="1" t="s">
        <v>4615</v>
      </c>
      <c r="C788" s="6">
        <f>Gross_cleaning!E788</f>
        <v>4064200</v>
      </c>
      <c r="D788" s="1">
        <v>2003.0</v>
      </c>
      <c r="E788" s="1" t="s">
        <v>212</v>
      </c>
      <c r="F788" s="1" t="str">
        <f>VLOOKUP(Filmes_raw!E788,Rating_systems!$A$2:$C$29,3,FALSE)</f>
        <v>Adulto</v>
      </c>
      <c r="G788" s="2">
        <f>Gross_cleaning!F788</f>
        <v>121</v>
      </c>
      <c r="H788" s="1" t="s">
        <v>249</v>
      </c>
      <c r="I788" s="1" t="s">
        <v>227</v>
      </c>
      <c r="J788" s="1">
        <v>7.7</v>
      </c>
      <c r="K788" s="1" t="s">
        <v>4616</v>
      </c>
      <c r="L788" s="1" t="str">
        <f>IFERROR(__xludf.DUMMYFUNCTION("GOOGLETRANSLATE(K788,""en"", ""pt-br"")"),"Em 1990, proteger sua frágil mãe de um choque fatal depois de um longo coma, um jovem deve deixá-la de aprender que sua amada nação da Alemanha Oriental, como ela sabia que ela desapareceu.")</f>
        <v>Em 1990, proteger sua frágil mãe de um choque fatal depois de um longo coma, um jovem deve deixá-la de aprender que sua amada nação da Alemanha Oriental, como ela sabia que ela desapareceu.</v>
      </c>
      <c r="M788" s="1">
        <v>68.0</v>
      </c>
      <c r="N788" s="1" t="s">
        <v>4617</v>
      </c>
      <c r="O788" s="1" t="s">
        <v>1508</v>
      </c>
      <c r="P788" s="1" t="s">
        <v>4618</v>
      </c>
      <c r="Q788" s="1" t="s">
        <v>4619</v>
      </c>
      <c r="R788" s="1" t="s">
        <v>4620</v>
      </c>
      <c r="S788" s="1">
        <v>137981.0</v>
      </c>
      <c r="T788" s="7" t="str">
        <f>VLOOKUP(A788,Posters!A788:B1787,2)</f>
        <v>https://m.media-amazon.com/images/M/MV5BMTI0MTg4NzI3M15BMl5BanBnXkFtZTcwOTE0MTUyMQ@@._V1_UY98_CR0,0,67,98_AL_.jpg</v>
      </c>
      <c r="U788" s="8">
        <f>'Inflation Adjusted Gross'!F788</f>
        <v>5770202</v>
      </c>
      <c r="V788" s="5">
        <f t="shared" si="1"/>
        <v>2020</v>
      </c>
    </row>
    <row r="789">
      <c r="A789" s="1">
        <v>788.0</v>
      </c>
      <c r="B789" s="1" t="s">
        <v>4621</v>
      </c>
      <c r="C789" s="6">
        <f>Gross_cleaning!E789</f>
        <v>15539266</v>
      </c>
      <c r="D789" s="1">
        <v>2002.0</v>
      </c>
      <c r="E789" s="1" t="s">
        <v>161</v>
      </c>
      <c r="F789" s="1" t="str">
        <f>VLOOKUP(Filmes_raw!E789,Rating_systems!$A$2:$C$29,3,FALSE)</f>
        <v>Criança</v>
      </c>
      <c r="G789" s="2">
        <f>Gross_cleaning!F789</f>
        <v>105</v>
      </c>
      <c r="H789" s="1" t="s">
        <v>487</v>
      </c>
      <c r="I789" s="1" t="s">
        <v>20</v>
      </c>
      <c r="J789" s="1">
        <v>7.7</v>
      </c>
      <c r="K789" s="1" t="s">
        <v>4622</v>
      </c>
      <c r="L789" s="1" t="str">
        <f>IFERROR(__xludf.DUMMYFUNCTION("GOOGLETRANSLATE(K789,""en"", ""pt-br"")"),"Uma família de imigrantes irlandeses se ajusta à vida nas ruas médias da cozinha do inferno, enquanto também entrelaçam a morte de uma criança.")</f>
        <v>Uma família de imigrantes irlandeses se ajusta à vida nas ruas médias da cozinha do inferno, enquanto também entrelaçam a morte de uma criança.</v>
      </c>
      <c r="M789" s="1">
        <v>76.0</v>
      </c>
      <c r="N789" s="1" t="s">
        <v>1789</v>
      </c>
      <c r="O789" s="1" t="s">
        <v>3622</v>
      </c>
      <c r="P789" s="1" t="s">
        <v>4544</v>
      </c>
      <c r="Q789" s="1" t="s">
        <v>2363</v>
      </c>
      <c r="R789" s="1" t="s">
        <v>4623</v>
      </c>
      <c r="S789" s="1">
        <v>40403.0</v>
      </c>
      <c r="T789" s="7" t="str">
        <f>VLOOKUP(A789,Posters!A789:B1788,2)</f>
        <v>https://m.media-amazon.com/images/M/MV5BOGY1YmUzN2MtNDQ3NC00Nzc4LWI5M2EtYzUwMGQ4NWM4NjE1XkEyXkFqcGdeQXVyMTQxNzMzNDI@._V1_UY98_CR0,0,67,98_AL_.jpg</v>
      </c>
      <c r="U789" s="8">
        <f>'Inflation Adjusted Gross'!F789</f>
        <v>22635121</v>
      </c>
      <c r="V789" s="5">
        <f t="shared" si="1"/>
        <v>2020</v>
      </c>
    </row>
    <row r="790">
      <c r="A790" s="1">
        <v>789.0</v>
      </c>
      <c r="B790" s="1" t="s">
        <v>4624</v>
      </c>
      <c r="C790" s="6">
        <f>Gross_cleaning!E790</f>
        <v>40311852</v>
      </c>
      <c r="D790" s="1">
        <v>2001.0</v>
      </c>
      <c r="E790" s="1" t="s">
        <v>161</v>
      </c>
      <c r="F790" s="1" t="str">
        <f>VLOOKUP(Filmes_raw!E790,Rating_systems!$A$2:$C$29,3,FALSE)</f>
        <v>Criança</v>
      </c>
      <c r="G790" s="2">
        <f>Gross_cleaning!F790</f>
        <v>132</v>
      </c>
      <c r="H790" s="1" t="s">
        <v>170</v>
      </c>
      <c r="I790" s="1" t="s">
        <v>20</v>
      </c>
      <c r="J790" s="1">
        <v>7.7</v>
      </c>
      <c r="K790" s="1" t="s">
        <v>4625</v>
      </c>
      <c r="L790" s="1" t="str">
        <f>IFERROR(__xludf.DUMMYFUNCTION("GOOGLETRANSLATE(K790,""en"", ""pt-br"")"),"Um homem mentalmente deficiente luta pela custódia de sua filha de 7 anos e no processo ensina seu advogado de coração frio o valor do amor e da família.")</f>
        <v>Um homem mentalmente deficiente luta pela custódia de sua filha de 7 anos e no processo ensina seu advogado de coração frio o valor do amor e da família.</v>
      </c>
      <c r="M790" s="1">
        <v>28.0</v>
      </c>
      <c r="N790" s="1" t="s">
        <v>4626</v>
      </c>
      <c r="O790" s="1" t="s">
        <v>1605</v>
      </c>
      <c r="P790" s="1" t="s">
        <v>810</v>
      </c>
      <c r="Q790" s="1" t="s">
        <v>4597</v>
      </c>
      <c r="R790" s="1" t="s">
        <v>3269</v>
      </c>
      <c r="S790" s="1">
        <v>142863.0</v>
      </c>
      <c r="T790" s="7" t="str">
        <f>VLOOKUP(A790,Posters!A790:B1789,2)</f>
        <v>https://m.media-amazon.com/images/M/MV5BYzEyNzc0NjctZjJiZC00MWI1LWJlOTMtYWZkZDAzNzQ0ZDNkXkEyXkFqcGdeQXVyMTQxNzMzNDI@._V1_UX67_CR0,0,67,98_AL_.jpg</v>
      </c>
      <c r="U790" s="8">
        <f>'Inflation Adjusted Gross'!F790</f>
        <v>59390570</v>
      </c>
      <c r="V790" s="5">
        <f t="shared" si="1"/>
        <v>2020</v>
      </c>
    </row>
    <row r="791">
      <c r="A791" s="1">
        <v>790.0</v>
      </c>
      <c r="B791" s="1" t="s">
        <v>4627</v>
      </c>
      <c r="C791" s="6">
        <f>Gross_cleaning!E791</f>
        <v>22245861</v>
      </c>
      <c r="D791" s="1">
        <v>2002.0</v>
      </c>
      <c r="E791" s="1" t="s">
        <v>212</v>
      </c>
      <c r="F791" s="1" t="str">
        <f>VLOOKUP(Filmes_raw!E791,Rating_systems!$A$2:$C$29,3,FALSE)</f>
        <v>Adulto</v>
      </c>
      <c r="G791" s="2">
        <f>Gross_cleaning!F791</f>
        <v>115</v>
      </c>
      <c r="H791" s="1" t="s">
        <v>563</v>
      </c>
      <c r="I791" s="1" t="s">
        <v>507</v>
      </c>
      <c r="J791" s="1">
        <v>7.7</v>
      </c>
      <c r="K791" s="1" t="s">
        <v>4628</v>
      </c>
      <c r="L791" s="1" t="str">
        <f>IFERROR(__xludf.DUMMYFUNCTION("GOOGLETRANSLATE(K791,""en"", ""pt-br"")"),"Um roteirista de lovelorn torna-se desesperado como ele tenta e não se adapta ""o ladrão de orquídea"" por Susan Orlean para a tela.")</f>
        <v>Um roteirista de lovelorn torna-se desesperado como ele tenta e não se adapta "o ladrão de orquídea" por Susan Orlean para a tela.</v>
      </c>
      <c r="M791" s="1">
        <v>83.0</v>
      </c>
      <c r="N791" s="1" t="s">
        <v>2253</v>
      </c>
      <c r="O791" s="1" t="s">
        <v>4629</v>
      </c>
      <c r="P791" s="1" t="s">
        <v>3136</v>
      </c>
      <c r="Q791" s="1" t="s">
        <v>3205</v>
      </c>
      <c r="R791" s="1" t="s">
        <v>3826</v>
      </c>
      <c r="S791" s="1">
        <v>178565.0</v>
      </c>
      <c r="T791" s="7" t="str">
        <f>VLOOKUP(A791,Posters!A791:B1790,2)</f>
        <v>https://m.media-amazon.com/images/M/MV5BZjIwZWU0ZDItNzBlNS00MDIwLWFlZjctZTJjODdjZWYxNzczL2ltYWdlXkEyXkFqcGdeQXVyMTMxODk2OTU@._V1_UX67_CR0,0,67,98_AL_.jpg</v>
      </c>
      <c r="U791" s="8">
        <f>'Inflation Adjusted Gross'!F791</f>
        <v>32404218</v>
      </c>
      <c r="V791" s="5">
        <f t="shared" si="1"/>
        <v>2020</v>
      </c>
    </row>
    <row r="792">
      <c r="A792" s="1">
        <v>791.0</v>
      </c>
      <c r="B792" s="1" t="s">
        <v>4630</v>
      </c>
      <c r="C792" s="6">
        <f>Gross_cleaning!E792</f>
        <v>108638745</v>
      </c>
      <c r="D792" s="1">
        <v>2001.0</v>
      </c>
      <c r="E792" s="1" t="s">
        <v>18</v>
      </c>
      <c r="F792" s="1" t="str">
        <f>VLOOKUP(Filmes_raw!E792,Rating_systems!$A$2:$C$29,3,FALSE)</f>
        <v>Adulto</v>
      </c>
      <c r="G792" s="2">
        <f>Gross_cleaning!F792</f>
        <v>144</v>
      </c>
      <c r="H792" s="1" t="s">
        <v>1618</v>
      </c>
      <c r="I792" s="1" t="s">
        <v>2661</v>
      </c>
      <c r="J792" s="1">
        <v>7.7</v>
      </c>
      <c r="K792" s="1" t="s">
        <v>4631</v>
      </c>
      <c r="L792" s="1" t="str">
        <f>IFERROR(__xludf.DUMMYFUNCTION("GOOGLETRANSLATE(K792,""en"", ""pt-br"")"),"160 Elite U.S. Soldados caem na Somália para capturar dois primeiros tenentes de um senhor da Renegade Warlord e se encontrar em uma batalha desesperada com uma grande força de somalis fortemente armados.")</f>
        <v>160 Elite U.S. Soldados caem na Somália para capturar dois primeiros tenentes de um senhor da Renegade Warlord e se encontrar em uma batalha desesperada com uma grande força de somalis fortemente armados.</v>
      </c>
      <c r="M792" s="1">
        <v>74.0</v>
      </c>
      <c r="N792" s="1" t="s">
        <v>324</v>
      </c>
      <c r="O792" s="1" t="s">
        <v>4532</v>
      </c>
      <c r="P792" s="1" t="s">
        <v>1739</v>
      </c>
      <c r="Q792" s="1" t="s">
        <v>216</v>
      </c>
      <c r="R792" s="1" t="s">
        <v>1594</v>
      </c>
      <c r="S792" s="1">
        <v>364254.0</v>
      </c>
      <c r="T792" s="7" t="str">
        <f>VLOOKUP(A792,Posters!A792:B1791,2)</f>
        <v>https://m.media-amazon.com/images/M/MV5BYWMwMzQxZjQtODM1YS00YmFiLTk1YjQtNzNiYWY1MDE4NTdiXkEyXkFqcGdeQXVyNDYyMDk5MTU@._V1_UX67_CR0,0,67,98_AL_.jpg</v>
      </c>
      <c r="U792" s="8">
        <f>'Inflation Adjusted Gross'!F792</f>
        <v>160055087</v>
      </c>
      <c r="V792" s="5">
        <f t="shared" si="1"/>
        <v>2020</v>
      </c>
    </row>
    <row r="793">
      <c r="A793" s="1">
        <v>792.0</v>
      </c>
      <c r="B793" s="1" t="s">
        <v>4632</v>
      </c>
      <c r="C793" s="6">
        <f>Gross_cleaning!E793</f>
        <v>104454762</v>
      </c>
      <c r="D793" s="1">
        <v>2002.0</v>
      </c>
      <c r="E793" s="1" t="s">
        <v>18</v>
      </c>
      <c r="F793" s="1" t="str">
        <f>VLOOKUP(Filmes_raw!E793,Rating_systems!$A$2:$C$29,3,FALSE)</f>
        <v>Adulto</v>
      </c>
      <c r="G793" s="2">
        <f>Gross_cleaning!F793</f>
        <v>117</v>
      </c>
      <c r="H793" s="1" t="s">
        <v>466</v>
      </c>
      <c r="I793" s="1" t="s">
        <v>241</v>
      </c>
      <c r="J793" s="1">
        <v>7.7</v>
      </c>
      <c r="K793" s="1" t="s">
        <v>4633</v>
      </c>
      <c r="L793" s="1" t="str">
        <f>IFERROR(__xludf.DUMMYFUNCTION("GOOGLETRANSLATE(K793,""en"", ""pt-br"")"),"O filho de um policial testemunha um assassinato, forçando-o e ao pai a levar para a estrada, e seu pai por um caminho de redenção e vingança.")</f>
        <v>O filho de um policial testemunha um assassinato, forçando-o e ao pai a levar para a estrada, e seu pai por um caminho de redenção e vingança.</v>
      </c>
      <c r="M793" s="1">
        <v>72.0</v>
      </c>
      <c r="N793" s="1" t="s">
        <v>641</v>
      </c>
      <c r="O793" s="1" t="s">
        <v>110</v>
      </c>
      <c r="P793" s="1" t="s">
        <v>4634</v>
      </c>
      <c r="Q793" s="1" t="s">
        <v>4635</v>
      </c>
      <c r="R793" s="1" t="s">
        <v>4636</v>
      </c>
      <c r="S793" s="1">
        <v>246840.0</v>
      </c>
      <c r="T793" s="7" t="str">
        <f>VLOOKUP(A793,Posters!A793:B1792,2)</f>
        <v>https://m.media-amazon.com/images/M/MV5BNjcxMmQ0MmItYTkzYy00MmUyLTlhOTQtMmJmNjE3MDMwYjdlXkEyXkFqcGdeQXVyNzkwMjQ5NzM@._V1_UX67_CR0,0,67,98_AL_.jpg</v>
      </c>
      <c r="U793" s="8">
        <f>'Inflation Adjusted Gross'!F793</f>
        <v>152153018</v>
      </c>
      <c r="V793" s="5">
        <f t="shared" si="1"/>
        <v>2020</v>
      </c>
    </row>
    <row r="794">
      <c r="A794" s="1">
        <v>793.0</v>
      </c>
      <c r="B794" s="1" t="s">
        <v>4637</v>
      </c>
      <c r="C794" s="6">
        <f>Gross_cleaning!E794</f>
        <v>141072</v>
      </c>
      <c r="D794" s="1">
        <v>2001.0</v>
      </c>
      <c r="E794" s="1" t="s">
        <v>212</v>
      </c>
      <c r="F794" s="1" t="str">
        <f>VLOOKUP(Filmes_raw!E794,Rating_systems!$A$2:$C$29,3,FALSE)</f>
        <v>Adulto</v>
      </c>
      <c r="G794" s="2">
        <f>Gross_cleaning!F794</f>
        <v>120</v>
      </c>
      <c r="H794" s="1" t="s">
        <v>1546</v>
      </c>
      <c r="I794" s="1" t="s">
        <v>1377</v>
      </c>
      <c r="J794" s="1">
        <v>7.7</v>
      </c>
      <c r="K794" s="1" t="s">
        <v>4638</v>
      </c>
      <c r="L794" s="1" t="str">
        <f>IFERROR(__xludf.DUMMYFUNCTION("GOOGLETRANSLATE(K794,""en"", ""pt-br"")"),"Por duas semanas, 20 participantes do sexo masculino são contratados para jogar prisioneiros e guardas em uma prisão. Os ""prisioneiros"" têm que seguir regras aparentemente suaves, e os ""guardas"" são instruídos a reter a ordem sem usar a violência físi"&amp;"ca.")</f>
        <v>Por duas semanas, 20 participantes do sexo masculino são contratados para jogar prisioneiros e guardas em uma prisão. Os "prisioneiros" têm que seguir regras aparentemente suaves, e os "guardas" são instruídos a reter a ordem sem usar a violência física.</v>
      </c>
      <c r="M794" s="1">
        <v>60.0</v>
      </c>
      <c r="N794" s="1" t="s">
        <v>1136</v>
      </c>
      <c r="O794" s="1" t="s">
        <v>2530</v>
      </c>
      <c r="P794" s="1" t="s">
        <v>4639</v>
      </c>
      <c r="Q794" s="1" t="s">
        <v>4640</v>
      </c>
      <c r="R794" s="1" t="s">
        <v>4641</v>
      </c>
      <c r="S794" s="1">
        <v>90842.0</v>
      </c>
      <c r="T794" s="7" t="str">
        <f>VLOOKUP(A794,Posters!A794:B1793,2)</f>
        <v>https://m.media-amazon.com/images/M/MV5BNThiMDc1YjUtYmE3Zi00MTM1LTkzM2MtNjdlNzQ4ZDlmYjRmXkEyXkFqcGdeQXVyMTQxNzMzNDI@._V1_UY98_CR1,0,67,98_AL_.jpg</v>
      </c>
      <c r="U794" s="8">
        <f>'Inflation Adjusted Gross'!F794</f>
        <v>207838</v>
      </c>
      <c r="V794" s="5">
        <f t="shared" si="1"/>
        <v>2020</v>
      </c>
    </row>
    <row r="795">
      <c r="A795" s="1">
        <v>794.0</v>
      </c>
      <c r="B795" s="1" t="s">
        <v>4642</v>
      </c>
      <c r="C795" s="6">
        <f>Gross_cleaning!E795</f>
        <v>21995263</v>
      </c>
      <c r="D795" s="1">
        <v>2000.0</v>
      </c>
      <c r="E795" s="1" t="s">
        <v>212</v>
      </c>
      <c r="F795" s="1" t="str">
        <f>VLOOKUP(Filmes_raw!E795,Rating_systems!$A$2:$C$29,3,FALSE)</f>
        <v>Adulto</v>
      </c>
      <c r="G795" s="2">
        <f>Gross_cleaning!F795</f>
        <v>110</v>
      </c>
      <c r="H795" s="1" t="s">
        <v>343</v>
      </c>
      <c r="I795" s="1" t="s">
        <v>287</v>
      </c>
      <c r="J795" s="1">
        <v>7.7</v>
      </c>
      <c r="K795" s="1" t="s">
        <v>4643</v>
      </c>
      <c r="L795" s="1" t="str">
        <f>IFERROR(__xludf.DUMMYFUNCTION("GOOGLETRANSLATE(K795,""en"", ""pt-br"")"),"Um jovem garoto talentoso fica dividido entre seu inesperado amor de dança e a desintegração de sua família.")</f>
        <v>Um jovem garoto talentoso fica dividido entre seu inesperado amor de dança e a desintegração de sua família.</v>
      </c>
      <c r="M795" s="1">
        <v>74.0</v>
      </c>
      <c r="N795" s="1" t="s">
        <v>4644</v>
      </c>
      <c r="O795" s="1" t="s">
        <v>4645</v>
      </c>
      <c r="P795" s="1" t="s">
        <v>4646</v>
      </c>
      <c r="Q795" s="1" t="s">
        <v>4647</v>
      </c>
      <c r="R795" s="1" t="s">
        <v>4648</v>
      </c>
      <c r="S795" s="1">
        <v>126770.0</v>
      </c>
      <c r="T795" s="7" t="str">
        <f>VLOOKUP(A795,Posters!A795:B1794,2)</f>
        <v>https://m.media-amazon.com/images/M/MV5BNGY3NWYwNzctNWU5Yi00ZjljLTgyNDgtZjNhZjRlNjc0ZTU1XkEyXkFqcGdeQXVyMTQxNzMzNDI@._V1_UX67_CR0,0,67,98_AL_.jpg</v>
      </c>
      <c r="U795" s="8">
        <f>'Inflation Adjusted Gross'!F795</f>
        <v>33614573</v>
      </c>
      <c r="V795" s="5">
        <f t="shared" si="1"/>
        <v>2020</v>
      </c>
    </row>
    <row r="796">
      <c r="A796" s="1">
        <v>795.0</v>
      </c>
      <c r="B796" s="1" t="s">
        <v>4649</v>
      </c>
      <c r="C796" s="6">
        <f>Gross_cleaning!E796</f>
        <v>3029081</v>
      </c>
      <c r="D796" s="1">
        <v>2001.0</v>
      </c>
      <c r="E796" s="1" t="s">
        <v>212</v>
      </c>
      <c r="F796" s="1" t="str">
        <f>VLOOKUP(Filmes_raw!E796,Rating_systems!$A$2:$C$29,3,FALSE)</f>
        <v>Adulto</v>
      </c>
      <c r="G796" s="2">
        <f>Gross_cleaning!F796</f>
        <v>95</v>
      </c>
      <c r="H796" s="1" t="s">
        <v>601</v>
      </c>
      <c r="I796" s="1" t="s">
        <v>2173</v>
      </c>
      <c r="J796" s="1">
        <v>7.7</v>
      </c>
      <c r="K796" s="1" t="s">
        <v>4650</v>
      </c>
      <c r="L796" s="1" t="str">
        <f>IFERROR(__xludf.DUMMYFUNCTION("GOOGLETRANSLATE(K796,""en"", ""pt-br"")"),"Um cantor punk-rock de gênero de Berlim de East passe a U.S. com sua banda como ela diz a sua história de vida e segue o antigo amante / companheiro de banda que roubou suas músicas.")</f>
        <v>Um cantor punk-rock de gênero de Berlim de East passe a U.S. com sua banda como ela diz a sua história de vida e segue o antigo amante / companheiro de banda que roubou suas músicas.</v>
      </c>
      <c r="M796" s="1">
        <v>85.0</v>
      </c>
      <c r="N796" s="1" t="s">
        <v>4651</v>
      </c>
      <c r="O796" s="1" t="s">
        <v>4651</v>
      </c>
      <c r="P796" s="1" t="s">
        <v>4652</v>
      </c>
      <c r="Q796" s="1" t="s">
        <v>4653</v>
      </c>
      <c r="R796" s="1" t="s">
        <v>4654</v>
      </c>
      <c r="S796" s="1">
        <v>31957.0</v>
      </c>
      <c r="T796" s="7" t="str">
        <f>VLOOKUP(A796,Posters!A796:B1795,2)</f>
        <v>https://m.media-amazon.com/images/M/MV5BZGY5NWUyNDUtZWJhZi00ZjMxLWFmMjMtYmJhZjVkZGZhNWQ4XkEyXkFqcGdeQXVyMTQxNzMzNDI@._V1_UX67_CR0,0,67,98_AL_.jpg</v>
      </c>
      <c r="U796" s="8">
        <f>'Inflation Adjusted Gross'!F796</f>
        <v>4462679</v>
      </c>
      <c r="V796" s="5">
        <f t="shared" si="1"/>
        <v>2020</v>
      </c>
    </row>
    <row r="797">
      <c r="A797" s="1">
        <v>796.0</v>
      </c>
      <c r="B797" s="1" t="s">
        <v>4655</v>
      </c>
      <c r="C797" s="6">
        <f>Gross_cleaning!E797</f>
        <v>183417150</v>
      </c>
      <c r="D797" s="1">
        <v>2001.0</v>
      </c>
      <c r="E797" s="1" t="s">
        <v>37</v>
      </c>
      <c r="F797" s="1" t="str">
        <f>VLOOKUP(Filmes_raw!E797,Rating_systems!$A$2:$C$29,3,FALSE)</f>
        <v>Criança</v>
      </c>
      <c r="G797" s="2">
        <f>Gross_cleaning!F797</f>
        <v>116</v>
      </c>
      <c r="H797" s="1" t="s">
        <v>226</v>
      </c>
      <c r="I797" s="1" t="s">
        <v>1320</v>
      </c>
      <c r="J797" s="1">
        <v>7.7</v>
      </c>
      <c r="K797" s="1" t="s">
        <v>4656</v>
      </c>
      <c r="L797" s="1" t="str">
        <f>IFERROR(__xludf.DUMMYFUNCTION("GOOGLETRANSLATE(K797,""en"", ""pt-br"")"),"Danny Ocean e seus dez cúmplices planejam roubar três casinos Las Vegas simultaneamente.")</f>
        <v>Danny Ocean e seus dez cúmplices planejam roubar três casinos Las Vegas simultaneamente.</v>
      </c>
      <c r="M797" s="1">
        <v>74.0</v>
      </c>
      <c r="N797" s="1" t="s">
        <v>4657</v>
      </c>
      <c r="O797" s="1" t="s">
        <v>3135</v>
      </c>
      <c r="P797" s="1" t="s">
        <v>98</v>
      </c>
      <c r="Q797" s="1" t="s">
        <v>2210</v>
      </c>
      <c r="R797" s="1" t="s">
        <v>215</v>
      </c>
      <c r="S797" s="1">
        <v>516372.0</v>
      </c>
      <c r="T797" s="7" t="str">
        <f>VLOOKUP(A797,Posters!A797:B1796,2)</f>
        <v>https://m.media-amazon.com/images/M/MV5BYzVmYzVkMmUtOGRhMi00MTNmLThlMmUtZTljYjlkMjNkMjJkXkEyXkFqcGdeQXVyNDk3NzU2MTQ@._V1_UX67_CR0,0,67,98_AL_.jpg</v>
      </c>
      <c r="U797" s="8">
        <f>'Inflation Adjusted Gross'!F797</f>
        <v>270224476</v>
      </c>
      <c r="V797" s="5">
        <f t="shared" si="1"/>
        <v>2020</v>
      </c>
    </row>
    <row r="798">
      <c r="A798" s="1">
        <v>797.0</v>
      </c>
      <c r="B798" s="1" t="s">
        <v>4658</v>
      </c>
      <c r="C798" s="6">
        <f>Gross_cleaning!E798</f>
        <v>151086</v>
      </c>
      <c r="D798" s="1">
        <v>2000.0</v>
      </c>
      <c r="E798" s="1" t="s">
        <v>52</v>
      </c>
      <c r="F798" s="1" t="str">
        <f>VLOOKUP(Filmes_raw!E798,Rating_systems!$A$2:$C$29,3,FALSE)</f>
        <v>Criança</v>
      </c>
      <c r="G798" s="2">
        <f>Gross_cleaning!F798</f>
        <v>103</v>
      </c>
      <c r="H798" s="1" t="s">
        <v>885</v>
      </c>
      <c r="I798" s="1" t="s">
        <v>4659</v>
      </c>
      <c r="J798" s="1">
        <v>7.7</v>
      </c>
      <c r="K798" s="1" t="s">
        <v>4660</v>
      </c>
      <c r="L798" s="1" t="str">
        <f>IFERROR(__xludf.DUMMYFUNCTION("GOOGLETRANSLATE(K798,""en"", ""pt-br"")"),"Quando uma menina é sequestrada por um vampiro, um lendário caçador de recompensas é contratado para trazê-la de volta.")</f>
        <v>Quando uma menina é sequestrada por um vampiro, um lendário caçador de recompensas é contratado para trazê-la de volta.</v>
      </c>
      <c r="M798" s="1">
        <v>62.0</v>
      </c>
      <c r="N798" s="1" t="s">
        <v>3259</v>
      </c>
      <c r="O798" s="1" t="s">
        <v>4661</v>
      </c>
      <c r="P798" s="1" t="s">
        <v>4662</v>
      </c>
      <c r="Q798" s="1" t="s">
        <v>4663</v>
      </c>
      <c r="R798" s="1" t="s">
        <v>4664</v>
      </c>
      <c r="S798" s="1">
        <v>29210.0</v>
      </c>
      <c r="T798" s="7" t="str">
        <f>VLOOKUP(A798,Posters!A798:B1797,2)</f>
        <v>https://m.media-amazon.com/images/M/MV5BNTIyNThlMjMtMzUyMi00YmEyLTljMmYtMWRhN2Q3ZTllZjA4XkEyXkFqcGdeQXVyMzM4MjM0Nzg@._V1_UY98_CR1,0,67,98_AL_.jpg</v>
      </c>
      <c r="U798" s="8">
        <f>'Inflation Adjusted Gross'!F798</f>
        <v>230899</v>
      </c>
      <c r="V798" s="5">
        <f t="shared" si="1"/>
        <v>2020</v>
      </c>
    </row>
    <row r="799">
      <c r="A799" s="1">
        <v>798.0</v>
      </c>
      <c r="B799" s="1" t="s">
        <v>4665</v>
      </c>
      <c r="C799" s="6">
        <f>Gross_cleaning!E799</f>
        <v>45512588</v>
      </c>
      <c r="D799" s="1">
        <v>2000.0</v>
      </c>
      <c r="E799" s="1" t="s">
        <v>52</v>
      </c>
      <c r="F799" s="1" t="str">
        <f>VLOOKUP(Filmes_raw!E799,Rating_systems!$A$2:$C$29,3,FALSE)</f>
        <v>Criança</v>
      </c>
      <c r="G799" s="2">
        <f>Gross_cleaning!F799</f>
        <v>107</v>
      </c>
      <c r="H799" s="1" t="s">
        <v>907</v>
      </c>
      <c r="I799" s="1" t="s">
        <v>1466</v>
      </c>
      <c r="J799" s="1">
        <v>7.7</v>
      </c>
      <c r="K799" s="1" t="s">
        <v>4666</v>
      </c>
      <c r="L799" s="1" t="str">
        <f>IFERROR(__xludf.DUMMYFUNCTION("GOOGLETRANSLATE(K799,""en"", ""pt-br"")"),"No sul profundo durante a década de 1930, três condenados escapados buscam o tesouro escondido enquanto um legado implacável os persegue.")</f>
        <v>No sul profundo durante a década de 1930, três condenados escapados buscam o tesouro escondido enquanto um legado implacável os persegue.</v>
      </c>
      <c r="M799" s="1">
        <v>69.0</v>
      </c>
      <c r="N799" s="1" t="s">
        <v>1613</v>
      </c>
      <c r="O799" s="1" t="s">
        <v>1612</v>
      </c>
      <c r="P799" s="1" t="s">
        <v>3135</v>
      </c>
      <c r="Q799" s="1" t="s">
        <v>4667</v>
      </c>
      <c r="R799" s="1" t="s">
        <v>4668</v>
      </c>
      <c r="S799" s="1">
        <v>286742.0</v>
      </c>
      <c r="T799" s="7" t="str">
        <f>VLOOKUP(A799,Posters!A799:B1798,2)</f>
        <v>https://m.media-amazon.com/images/M/MV5BMjZkOTdmMWItOTkyNy00MDdjLTlhNTQtYzU3MzdhZjA0ZDEyXkEyXkFqcGdeQXVyMTMxODk2OTU@._V1_UX67_CR0,0,67,98_AL_.jpg</v>
      </c>
      <c r="U799" s="8">
        <f>'Inflation Adjusted Gross'!F799</f>
        <v>69555260</v>
      </c>
      <c r="V799" s="5">
        <f t="shared" si="1"/>
        <v>2020</v>
      </c>
    </row>
    <row r="800">
      <c r="A800" s="1">
        <v>799.0</v>
      </c>
      <c r="B800" s="1" t="s">
        <v>4669</v>
      </c>
      <c r="C800" s="6">
        <f>Gross_cleaning!E800</f>
        <v>8449</v>
      </c>
      <c r="D800" s="1">
        <v>2002.0</v>
      </c>
      <c r="E800" s="1" t="s">
        <v>212</v>
      </c>
      <c r="F800" s="1" t="str">
        <f>VLOOKUP(Filmes_raw!E800,Rating_systems!$A$2:$C$29,3,FALSE)</f>
        <v>Adulto</v>
      </c>
      <c r="G800" s="2">
        <f>Gross_cleaning!F800</f>
        <v>116</v>
      </c>
      <c r="H800" s="1" t="s">
        <v>226</v>
      </c>
      <c r="I800" s="1" t="s">
        <v>1004</v>
      </c>
      <c r="J800" s="1">
        <v>7.7</v>
      </c>
      <c r="K800" s="1" t="s">
        <v>4670</v>
      </c>
      <c r="L800" s="1" t="str">
        <f>IFERROR(__xludf.DUMMYFUNCTION("GOOGLETRANSLATE(K800,""en"", ""pt-br"")"),"Neal Oliver, um jovem muito confuso e um artista, leva uma jornada de uma vida em uma estrada i60 que não existe em qualquer um dos mapas, indo para os lugares que ele nunca ouviu falar, procurando por uma resposta e sua dreamgirl .")</f>
        <v>Neal Oliver, um jovem muito confuso e um artista, leva uma jornada de uma vida em uma estrada i60 que não existe em qualquer um dos mapas, indo para os lugares que ele nunca ouviu falar, procurando por uma resposta e sua dreamgirl .</v>
      </c>
      <c r="N800" s="1" t="s">
        <v>4671</v>
      </c>
      <c r="O800" s="1" t="s">
        <v>2204</v>
      </c>
      <c r="P800" s="1" t="s">
        <v>347</v>
      </c>
      <c r="Q800" s="1" t="s">
        <v>1846</v>
      </c>
      <c r="R800" s="1" t="s">
        <v>4672</v>
      </c>
      <c r="S800" s="1">
        <v>29999.0</v>
      </c>
      <c r="T800" s="7" t="str">
        <f>VLOOKUP(A800,Posters!A800:B1799,2)</f>
        <v>https://m.media-amazon.com/images/M/MV5BZDYwYzlhOTAtNDAwMC00ZTBhLWI4M2QtMTA1NmJhYTdiNTkxXkEyXkFqcGdeQXVyNTM0NTU5Mg@@._V1_UX67_CR0,0,67,98_AL_.jpg</v>
      </c>
      <c r="U800" s="8">
        <f>'Inflation Adjusted Gross'!F800</f>
        <v>12307</v>
      </c>
      <c r="V800" s="5">
        <f t="shared" si="1"/>
        <v>2020</v>
      </c>
    </row>
    <row r="801">
      <c r="A801" s="1">
        <v>800.0</v>
      </c>
      <c r="B801" s="1" t="s">
        <v>4673</v>
      </c>
      <c r="C801" s="6">
        <f>Gross_cleaning!E801</f>
        <v>52037603</v>
      </c>
      <c r="D801" s="1">
        <v>1999.0</v>
      </c>
      <c r="E801" s="1" t="s">
        <v>18</v>
      </c>
      <c r="F801" s="1" t="str">
        <f>VLOOKUP(Filmes_raw!E801,Rating_systems!$A$2:$C$29,3,FALSE)</f>
        <v>Adulto</v>
      </c>
      <c r="G801" s="2">
        <f>Gross_cleaning!F801</f>
        <v>81</v>
      </c>
      <c r="H801" s="1" t="s">
        <v>764</v>
      </c>
      <c r="I801" s="1" t="s">
        <v>4674</v>
      </c>
      <c r="J801" s="1">
        <v>7.7</v>
      </c>
      <c r="K801" s="1" t="s">
        <v>4675</v>
      </c>
      <c r="L801" s="1" t="str">
        <f>IFERROR(__xludf.DUMMYFUNCTION("GOOGLETRANSLATE(K801,""en"", ""pt-br"")"),"Quando Stan Marsh e seus amigos vão ver um filme rado de r, eles começam a amaldiçoar e seus pais acham que o Canadá é culpado.")</f>
        <v>Quando Stan Marsh e seus amigos vão ver um filme rado de r, eles começam a amaldiçoar e seus pais acham que o Canadá é culpado.</v>
      </c>
      <c r="M801" s="1">
        <v>73.0</v>
      </c>
      <c r="N801" s="1" t="s">
        <v>4676</v>
      </c>
      <c r="O801" s="1" t="s">
        <v>4676</v>
      </c>
      <c r="P801" s="1" t="s">
        <v>4677</v>
      </c>
      <c r="Q801" s="1" t="s">
        <v>4678</v>
      </c>
      <c r="R801" s="1" t="s">
        <v>4679</v>
      </c>
      <c r="S801" s="1">
        <v>192112.0</v>
      </c>
      <c r="T801" s="7" t="str">
        <f>VLOOKUP(A801,Posters!A801:B1800,2)</f>
        <v>https://m.media-amazon.com/images/M/MV5BOGE0ZWI0YzAtY2NkZi00YjkyLWIzYWEtNTJmMzJjODllNjdjXkEyXkFqcGdeQXVyMTQxNzMzNDI@._V1_UX67_CR0,0,67,98_AL_.jpg</v>
      </c>
      <c r="U801" s="8">
        <f>'Inflation Adjusted Gross'!F801</f>
        <v>81705371</v>
      </c>
      <c r="V801" s="5">
        <f t="shared" si="1"/>
        <v>2020</v>
      </c>
    </row>
    <row r="802">
      <c r="A802" s="1">
        <v>801.0</v>
      </c>
      <c r="B802" s="1" t="s">
        <v>4680</v>
      </c>
      <c r="C802" s="6">
        <f>Gross_cleaning!E802</f>
        <v>10824921</v>
      </c>
      <c r="D802" s="1">
        <v>1999.0</v>
      </c>
      <c r="E802" s="1" t="s">
        <v>212</v>
      </c>
      <c r="F802" s="1" t="str">
        <f>VLOOKUP(Filmes_raw!E802,Rating_systems!$A$2:$C$29,3,FALSE)</f>
        <v>Adulto</v>
      </c>
      <c r="G802" s="2">
        <f>Gross_cleaning!F802</f>
        <v>89</v>
      </c>
      <c r="H802" s="1" t="s">
        <v>374</v>
      </c>
      <c r="I802" s="1" t="s">
        <v>602</v>
      </c>
      <c r="J802" s="1">
        <v>7.7</v>
      </c>
      <c r="K802" s="1" t="s">
        <v>4681</v>
      </c>
      <c r="L802" s="1" t="str">
        <f>IFERROR(__xludf.DUMMYFUNCTION("GOOGLETRANSLATE(K802,""en"", ""pt-br"")"),"Três trabalhadores da empresa que odeiam seus empregos decidem se rebelar contra seu chefe ganancioso.")</f>
        <v>Três trabalhadores da empresa que odeiam seus empregos decidem se rebelar contra seu chefe ganancioso.</v>
      </c>
      <c r="M802" s="1">
        <v>68.0</v>
      </c>
      <c r="N802" s="1" t="s">
        <v>4682</v>
      </c>
      <c r="O802" s="1" t="s">
        <v>4683</v>
      </c>
      <c r="P802" s="1" t="s">
        <v>2522</v>
      </c>
      <c r="Q802" s="1" t="s">
        <v>4684</v>
      </c>
      <c r="R802" s="1" t="s">
        <v>4685</v>
      </c>
      <c r="S802" s="1">
        <v>241575.0</v>
      </c>
      <c r="T802" s="7" t="str">
        <f>VLOOKUP(A802,Posters!A802:B1801,2)</f>
        <v>https://m.media-amazon.com/images/M/MV5BOTA5MzQ3MzI1NV5BMl5BanBnXkFtZTgwNTcxNTYxMTE@._V1_UX67_CR0,0,67,98_AL_.jpg</v>
      </c>
      <c r="U802" s="8">
        <f>'Inflation Adjusted Gross'!F802</f>
        <v>16996444</v>
      </c>
      <c r="V802" s="5">
        <f t="shared" si="1"/>
        <v>2020</v>
      </c>
    </row>
    <row r="803">
      <c r="A803" s="1">
        <v>802.0</v>
      </c>
      <c r="B803" s="1" t="s">
        <v>4686</v>
      </c>
      <c r="C803" s="6">
        <f>Gross_cleaning!E803</f>
        <v>2807390</v>
      </c>
      <c r="D803" s="1">
        <v>1998.0</v>
      </c>
      <c r="E803" s="1">
        <v>18.0</v>
      </c>
      <c r="F803" s="1" t="str">
        <f>VLOOKUP(Filmes_raw!E803,Rating_systems!$A$2:$C$29,3,FALSE)</f>
        <v>Adulto</v>
      </c>
      <c r="G803" s="2">
        <f>Gross_cleaning!F803</f>
        <v>134</v>
      </c>
      <c r="H803" s="1" t="s">
        <v>550</v>
      </c>
      <c r="I803" s="1" t="s">
        <v>507</v>
      </c>
      <c r="J803" s="1">
        <v>7.7</v>
      </c>
      <c r="K803" s="1" t="s">
        <v>4687</v>
      </c>
      <c r="L803" s="1" t="str">
        <f>IFERROR(__xludf.DUMMYFUNCTION("GOOGLETRANSLATE(K803,""en"", ""pt-br"")"),"A vida de vários indivíduos entrelaçam quando eles fazem sobre suas vidas por suas próprias formas únicas, envolventes na sociedade atua como um todo podem encontrar perturbador em uma busca desesperada pela conexão humana.")</f>
        <v>A vida de vários indivíduos entrelaçam quando eles fazem sobre suas vidas por suas próprias formas únicas, envolventes na sociedade atua como um todo podem encontrar perturbador em uma busca desesperada pela conexão humana.</v>
      </c>
      <c r="M803" s="1">
        <v>81.0</v>
      </c>
      <c r="N803" s="1" t="s">
        <v>4688</v>
      </c>
      <c r="O803" s="1" t="s">
        <v>4689</v>
      </c>
      <c r="P803" s="1" t="s">
        <v>4690</v>
      </c>
      <c r="Q803" s="1" t="s">
        <v>1593</v>
      </c>
      <c r="R803" s="1" t="s">
        <v>4691</v>
      </c>
      <c r="S803" s="1">
        <v>66408.0</v>
      </c>
      <c r="T803" s="7" t="str">
        <f>VLOOKUP(A803,Posters!A803:B1802,2)</f>
        <v>https://m.media-amazon.com/images/M/MV5BM2FlNzE0ZmUtMmVkZS00MWQ3LWE4OWQtYjQwZjdhNzRmNWE2XkEyXkFqcGdeQXVyMTAwMzUyOTc@._V1_UX67_CR0,0,67,98_AL_.jpg</v>
      </c>
      <c r="U803" s="8">
        <f>'Inflation Adjusted Gross'!F803</f>
        <v>4481592</v>
      </c>
      <c r="V803" s="5">
        <f t="shared" si="1"/>
        <v>2020</v>
      </c>
    </row>
    <row r="804">
      <c r="A804" s="1">
        <v>803.0</v>
      </c>
      <c r="B804" s="1" t="s">
        <v>4692</v>
      </c>
      <c r="C804" s="6">
        <f>Gross_cleaning!E804</f>
        <v>76631907</v>
      </c>
      <c r="D804" s="1">
        <v>2001.0</v>
      </c>
      <c r="E804" s="1" t="s">
        <v>18</v>
      </c>
      <c r="F804" s="1" t="str">
        <f>VLOOKUP(Filmes_raw!E804,Rating_systems!$A$2:$C$29,3,FALSE)</f>
        <v>Adulto</v>
      </c>
      <c r="G804" s="2">
        <f>Gross_cleaning!F804</f>
        <v>122</v>
      </c>
      <c r="H804" s="1" t="s">
        <v>279</v>
      </c>
      <c r="I804" s="1" t="s">
        <v>241</v>
      </c>
      <c r="J804" s="1">
        <v>7.7</v>
      </c>
      <c r="K804" s="1" t="s">
        <v>4693</v>
      </c>
      <c r="L804" s="1" t="str">
        <f>IFERROR(__xludf.DUMMYFUNCTION("GOOGLETRANSLATE(K804,""en"", ""pt-br"")"),"Um policial rookie passa seu primeiro dia como um oficial de narcóticos de Los Angeles com um detetive desonesto que não é o que parece ser.")</f>
        <v>Um policial rookie passa seu primeiro dia como um oficial de narcóticos de Los Angeles com um detetive desonesto que não é o que parece ser.</v>
      </c>
      <c r="M804" s="1">
        <v>69.0</v>
      </c>
      <c r="N804" s="1" t="s">
        <v>4694</v>
      </c>
      <c r="O804" s="1" t="s">
        <v>3799</v>
      </c>
      <c r="P804" s="1" t="s">
        <v>1642</v>
      </c>
      <c r="Q804" s="1" t="s">
        <v>4119</v>
      </c>
      <c r="R804" s="1" t="s">
        <v>1824</v>
      </c>
      <c r="S804" s="1">
        <v>390247.0</v>
      </c>
      <c r="T804" s="7" t="str">
        <f>VLOOKUP(A804,Posters!A804:B1803,2)</f>
        <v>https://m.media-amazon.com/images/M/MV5BMDZkMTUxYWEtMDY5NS00ZTA5LTg3MTItNTlkZWE1YWRjYjMwL2ltYWdlL2ltYWdlXkEyXkFqcGdeQXVyMTQxNzMzNDI@._V1_UX67_CR0,0,67,98_AL_.jpg</v>
      </c>
      <c r="U804" s="8">
        <f>'Inflation Adjusted Gross'!F804</f>
        <v>112900113</v>
      </c>
      <c r="V804" s="5">
        <f t="shared" si="1"/>
        <v>2020</v>
      </c>
    </row>
    <row r="805">
      <c r="A805" s="1">
        <v>804.0</v>
      </c>
      <c r="B805" s="1" t="s">
        <v>4695</v>
      </c>
      <c r="C805" s="6">
        <f>Gross_cleaning!E805</f>
        <v>17105219</v>
      </c>
      <c r="D805" s="1">
        <v>1998.0</v>
      </c>
      <c r="E805" s="1" t="s">
        <v>37</v>
      </c>
      <c r="F805" s="1" t="str">
        <f>VLOOKUP(Filmes_raw!E805,Rating_systems!$A$2:$C$29,3,FALSE)</f>
        <v>Criança</v>
      </c>
      <c r="G805" s="2">
        <f>Gross_cleaning!F805</f>
        <v>93</v>
      </c>
      <c r="H805" s="1" t="s">
        <v>1521</v>
      </c>
      <c r="I805" s="1" t="s">
        <v>227</v>
      </c>
      <c r="J805" s="1">
        <v>7.7</v>
      </c>
      <c r="K805" s="1" t="s">
        <v>4696</v>
      </c>
      <c r="L805" s="1" t="str">
        <f>IFERROR(__xludf.DUMMYFUNCTION("GOOGLETRANSLATE(K805,""en"", ""pt-br"")"),"O rei extracurricular da Escola Preparatória de Rushmore é colocada em liberdade condicional acadêmica.")</f>
        <v>O rei extracurricular da Escola Preparatória de Rushmore é colocada em liberdade condicional acadêmica.</v>
      </c>
      <c r="M805" s="1">
        <v>86.0</v>
      </c>
      <c r="N805" s="1" t="s">
        <v>1468</v>
      </c>
      <c r="O805" s="1" t="s">
        <v>995</v>
      </c>
      <c r="P805" s="1" t="s">
        <v>2569</v>
      </c>
      <c r="Q805" s="1" t="s">
        <v>1704</v>
      </c>
      <c r="R805" s="1" t="s">
        <v>4697</v>
      </c>
      <c r="S805" s="1">
        <v>169229.0</v>
      </c>
      <c r="T805" s="7" t="str">
        <f>VLOOKUP(A805,Posters!A805:B1804,2)</f>
        <v>https://m.media-amazon.com/images/M/MV5BMjE2OTc3OTk2M15BMl5BanBnXkFtZTgwMjg2NjIyMDE@._V1_UX67_CR0,0,67,98_AL_.jpg</v>
      </c>
      <c r="U805" s="8">
        <f>'Inflation Adjusted Gross'!F805</f>
        <v>27306005</v>
      </c>
      <c r="V805" s="5">
        <f t="shared" si="1"/>
        <v>2020</v>
      </c>
    </row>
    <row r="806">
      <c r="A806" s="1">
        <v>805.0</v>
      </c>
      <c r="B806" s="1" t="s">
        <v>4698</v>
      </c>
      <c r="C806" s="6">
        <f>Gross_cleaning!E806</f>
        <v>368234</v>
      </c>
      <c r="D806" s="1">
        <v>1997.0</v>
      </c>
      <c r="E806" s="1" t="s">
        <v>52</v>
      </c>
      <c r="F806" s="1" t="str">
        <f>VLOOKUP(Filmes_raw!E806,Rating_systems!$A$2:$C$29,3,FALSE)</f>
        <v>Criança</v>
      </c>
      <c r="G806" s="2">
        <f>Gross_cleaning!F806</f>
        <v>119</v>
      </c>
      <c r="H806" s="1" t="s">
        <v>329</v>
      </c>
      <c r="I806" s="1" t="s">
        <v>304</v>
      </c>
      <c r="J806" s="1">
        <v>7.7</v>
      </c>
      <c r="K806" s="1" t="s">
        <v>4699</v>
      </c>
      <c r="L806" s="1" t="str">
        <f>IFERROR(__xludf.DUMMYFUNCTION("GOOGLETRANSLATE(K806,""en"", ""pt-br"")"),"Um homem muito bonito encontra o amor de sua vida, mas ele sofre um acidente e precisa ter seu rosto reconstruído por cirurgia depois que é severamente desfigurado.")</f>
        <v>Um homem muito bonito encontra o amor de sua vida, mas ele sofre um acidente e precisa ter seu rosto reconstruído por cirurgia depois que é severamente desfigurado.</v>
      </c>
      <c r="N806" s="1" t="s">
        <v>2429</v>
      </c>
      <c r="O806" s="1" t="s">
        <v>4700</v>
      </c>
      <c r="P806" s="1" t="s">
        <v>4701</v>
      </c>
      <c r="Q806" s="1" t="s">
        <v>4702</v>
      </c>
      <c r="R806" s="1" t="s">
        <v>4703</v>
      </c>
      <c r="S806" s="1">
        <v>64082.0</v>
      </c>
      <c r="T806" s="7" t="str">
        <f>VLOOKUP(A806,Posters!A806:B1805,2)</f>
        <v>https://m.media-amazon.com/images/M/MV5BYjA2MTA1MjUtYmUyNy00NGZiLTk2NTAtMDk3N2M3YmMwOTc1XkEyXkFqcGdeQXVyMjA0MzYwMDY@._V1_UY98_CR0,0,67,98_AL_.jpg</v>
      </c>
      <c r="U806" s="8">
        <f>'Inflation Adjusted Gross'!F806</f>
        <v>597069</v>
      </c>
      <c r="V806" s="5">
        <f t="shared" si="1"/>
        <v>2020</v>
      </c>
    </row>
    <row r="807">
      <c r="A807" s="1">
        <v>806.0</v>
      </c>
      <c r="B807" s="1" t="s">
        <v>4704</v>
      </c>
      <c r="C807" s="6">
        <f>Gross_cleaning!E807</f>
        <v>22858926</v>
      </c>
      <c r="D807" s="1">
        <v>1999.0</v>
      </c>
      <c r="E807" s="1" t="s">
        <v>212</v>
      </c>
      <c r="F807" s="1" t="str">
        <f>VLOOKUP(Filmes_raw!E807,Rating_systems!$A$2:$C$29,3,FALSE)</f>
        <v>Adulto</v>
      </c>
      <c r="G807" s="2">
        <f>Gross_cleaning!F807</f>
        <v>113</v>
      </c>
      <c r="H807" s="1" t="s">
        <v>543</v>
      </c>
      <c r="I807" s="1" t="s">
        <v>1460</v>
      </c>
      <c r="J807" s="1">
        <v>7.7</v>
      </c>
      <c r="K807" s="1" t="s">
        <v>4705</v>
      </c>
      <c r="L807" s="1" t="str">
        <f>IFERROR(__xludf.DUMMYFUNCTION("GOOGLETRANSLATE(K807,""en"", ""pt-br"")"),"Um puppeteer descobre um portal que leva literalmente a cabeça da estrela de cinema John Malkovich.")</f>
        <v>Um puppeteer descobre um portal que leva literalmente a cabeça da estrela de cinema John Malkovich.</v>
      </c>
      <c r="M807" s="1">
        <v>90.0</v>
      </c>
      <c r="N807" s="1" t="s">
        <v>2253</v>
      </c>
      <c r="O807" s="1" t="s">
        <v>4706</v>
      </c>
      <c r="P807" s="1" t="s">
        <v>3946</v>
      </c>
      <c r="Q807" s="1" t="s">
        <v>1608</v>
      </c>
      <c r="R807" s="1" t="s">
        <v>4109</v>
      </c>
      <c r="S807" s="1">
        <v>312542.0</v>
      </c>
      <c r="T807" s="7" t="str">
        <f>VLOOKUP(A807,Posters!A807:B1806,2)</f>
        <v>https://m.media-amazon.com/images/M/MV5BYmUxY2MyOTQtYjRlMi00ZWEwLTkzODctZDMxNDcyNTFhYjNjXkEyXkFqcGdeQXVyNDk3NzU2MTQ@._V1_UY98_CR1,0,67,98_AL_.jpg</v>
      </c>
      <c r="U807" s="8">
        <f>'Inflation Adjusted Gross'!F807</f>
        <v>35891296</v>
      </c>
      <c r="V807" s="5">
        <f t="shared" si="1"/>
        <v>2020</v>
      </c>
    </row>
    <row r="808">
      <c r="A808" s="1">
        <v>807.0</v>
      </c>
      <c r="B808" s="1" t="s">
        <v>4707</v>
      </c>
      <c r="C808" s="6">
        <f>Gross_cleaning!E808</f>
        <v>148478011</v>
      </c>
      <c r="D808" s="1">
        <v>1997.0</v>
      </c>
      <c r="E808" s="1" t="s">
        <v>18</v>
      </c>
      <c r="F808" s="1" t="str">
        <f>VLOOKUP(Filmes_raw!E808,Rating_systems!$A$2:$C$29,3,FALSE)</f>
        <v>Adulto</v>
      </c>
      <c r="G808" s="2">
        <f>Gross_cleaning!F808</f>
        <v>139</v>
      </c>
      <c r="H808" s="1" t="s">
        <v>95</v>
      </c>
      <c r="I808" s="1" t="s">
        <v>227</v>
      </c>
      <c r="J808" s="1">
        <v>7.7</v>
      </c>
      <c r="K808" s="1" t="s">
        <v>4708</v>
      </c>
      <c r="L808" s="1" t="str">
        <f>IFERROR(__xludf.DUMMYFUNCTION("GOOGLETRANSLATE(K808,""en"", ""pt-br"")"),"Uma mãe e uma garçonete, um autor misantrópico, e um artista gay formam uma improvável amizade depois que o artista é agredido em um assalto.")</f>
        <v>Uma mãe e uma garçonete, um autor misantrópico, e um artista gay formam uma improvável amizade depois que o artista é agredido em um assalto.</v>
      </c>
      <c r="M808" s="1">
        <v>67.0</v>
      </c>
      <c r="N808" s="1" t="s">
        <v>4709</v>
      </c>
      <c r="O808" s="1" t="s">
        <v>156</v>
      </c>
      <c r="P808" s="1" t="s">
        <v>3924</v>
      </c>
      <c r="Q808" s="1" t="s">
        <v>3819</v>
      </c>
      <c r="R808" s="1" t="s">
        <v>4034</v>
      </c>
      <c r="S808" s="1">
        <v>275755.0</v>
      </c>
      <c r="T808" s="7" t="str">
        <f>VLOOKUP(A808,Posters!A808:B1807,2)</f>
        <v>https://m.media-amazon.com/images/M/MV5BNWMxZTgzMWEtMTU0Zi00NDc5LWFkZjctMzUxNDIyNzZiMmNjXkEyXkFqcGdeQXVyMTQxNzMzNDI@._V1_UX67_CR0,0,67,98_AL_.jpg</v>
      </c>
      <c r="U808" s="8">
        <f>'Inflation Adjusted Gross'!F808</f>
        <v>240748090</v>
      </c>
      <c r="V808" s="5">
        <f t="shared" si="1"/>
        <v>2020</v>
      </c>
    </row>
    <row r="809">
      <c r="A809" s="1">
        <v>808.0</v>
      </c>
      <c r="B809" s="1" t="s">
        <v>4710</v>
      </c>
      <c r="C809" s="6">
        <f>Gross_cleaning!E809</f>
        <v>63540020</v>
      </c>
      <c r="D809" s="1">
        <v>1997.0</v>
      </c>
      <c r="E809" s="1" t="s">
        <v>37</v>
      </c>
      <c r="F809" s="1" t="str">
        <f>VLOOKUP(Filmes_raw!E809,Rating_systems!$A$2:$C$29,3,FALSE)</f>
        <v>Criança</v>
      </c>
      <c r="G809" s="2">
        <f>Gross_cleaning!F809</f>
        <v>126</v>
      </c>
      <c r="H809" s="1" t="s">
        <v>428</v>
      </c>
      <c r="I809" s="1" t="s">
        <v>88</v>
      </c>
      <c r="J809" s="1">
        <v>7.7</v>
      </c>
      <c r="K809" s="1" t="s">
        <v>4711</v>
      </c>
      <c r="L809" s="1" t="str">
        <f>IFERROR(__xludf.DUMMYFUNCTION("GOOGLETRANSLATE(K809,""en"", ""pt-br"")"),"No futuro colorido, um motorista de táxi involuntariamente se torna a figura central na busca de uma arma cósmica lendária para manter o mal e o Sr. Zorg na baía.")</f>
        <v>No futuro colorido, um motorista de táxi involuntariamente se torna a figura central na busca de uma arma cósmica lendária para manter o mal e o Sr. Zorg na baía.</v>
      </c>
      <c r="M809" s="1">
        <v>52.0</v>
      </c>
      <c r="N809" s="1" t="s">
        <v>345</v>
      </c>
      <c r="O809" s="1" t="s">
        <v>76</v>
      </c>
      <c r="P809" s="1" t="s">
        <v>4712</v>
      </c>
      <c r="Q809" s="1" t="s">
        <v>347</v>
      </c>
      <c r="R809" s="1" t="s">
        <v>4713</v>
      </c>
      <c r="S809" s="1">
        <v>434125.0</v>
      </c>
      <c r="T809" s="7" t="str">
        <f>VLOOKUP(A809,Posters!A809:B1808,2)</f>
        <v>https://m.media-amazon.com/images/M/MV5BZWFjYmZmZGQtYzg4YS00ZGE5LTgwYzAtZmQwZjQ2NDliMGVmXkEyXkFqcGdeQXVyNTUyMzE4Mzg@._V1_UY98_CR0,0,67,98_AL_.jpg</v>
      </c>
      <c r="U809" s="8">
        <f>'Inflation Adjusted Gross'!F809</f>
        <v>103026289</v>
      </c>
      <c r="V809" s="5">
        <f t="shared" si="1"/>
        <v>2020</v>
      </c>
    </row>
    <row r="810">
      <c r="A810" s="1">
        <v>809.0</v>
      </c>
      <c r="B810" s="1" t="s">
        <v>4714</v>
      </c>
      <c r="C810" s="6">
        <f>Gross_cleaning!E810</f>
        <v>4065116</v>
      </c>
      <c r="D810" s="1">
        <v>1998.0</v>
      </c>
      <c r="E810" s="1" t="s">
        <v>161</v>
      </c>
      <c r="F810" s="1" t="str">
        <f>VLOOKUP(Filmes_raw!E810,Rating_systems!$A$2:$C$29,3,FALSE)</f>
        <v>Criança</v>
      </c>
      <c r="G810" s="2">
        <f>Gross_cleaning!F810</f>
        <v>80</v>
      </c>
      <c r="H810" s="1" t="s">
        <v>1639</v>
      </c>
      <c r="I810" s="1" t="s">
        <v>602</v>
      </c>
      <c r="J810" s="1">
        <v>7.7</v>
      </c>
      <c r="K810" s="1" t="s">
        <v>4715</v>
      </c>
      <c r="L810" s="1" t="str">
        <f>IFERROR(__xludf.DUMMYFUNCTION("GOOGLETRANSLATE(K810,""en"", ""pt-br"")"),"Alguns amigos têm um jantar semanal de tolos, onde cada um traz um tolo. Pierre encontra um campeão para o próximo jantar. Surpresa.")</f>
        <v>Alguns amigos têm um jantar semanal de tolos, onde cada um traz um tolo. Pierre encontra um campeão para o próximo jantar. Surpresa.</v>
      </c>
      <c r="M810" s="1">
        <v>73.0</v>
      </c>
      <c r="N810" s="1" t="s">
        <v>4716</v>
      </c>
      <c r="O810" s="1" t="s">
        <v>4717</v>
      </c>
      <c r="P810" s="1" t="s">
        <v>4718</v>
      </c>
      <c r="Q810" s="1" t="s">
        <v>4719</v>
      </c>
      <c r="R810" s="1" t="s">
        <v>4720</v>
      </c>
      <c r="S810" s="1">
        <v>37424.0</v>
      </c>
      <c r="T810" s="7" t="str">
        <f>VLOOKUP(A810,Posters!A810:B1809,2)</f>
        <v>https://m.media-amazon.com/images/M/MV5BZjFkOWM5NDUtODYwOS00ZDg0LWFkZGUtYzBkYzNjZjU3ODE3XkEyXkFqcGdeQXVyNzQzNzQxNzI@._V1_UX67_CR0,0,67,98_AL_.jpg</v>
      </c>
      <c r="U810" s="8">
        <f>'Inflation Adjusted Gross'!F810</f>
        <v>6489369</v>
      </c>
      <c r="V810" s="5">
        <f t="shared" si="1"/>
        <v>2020</v>
      </c>
    </row>
    <row r="811">
      <c r="A811" s="1">
        <v>810.0</v>
      </c>
      <c r="B811" s="1" t="s">
        <v>4721</v>
      </c>
      <c r="C811" s="6">
        <f>Gross_cleaning!E811</f>
        <v>41909762</v>
      </c>
      <c r="D811" s="1">
        <v>1997.0</v>
      </c>
      <c r="E811" s="1" t="s">
        <v>18</v>
      </c>
      <c r="F811" s="1" t="str">
        <f>VLOOKUP(Filmes_raw!E811,Rating_systems!$A$2:$C$29,3,FALSE)</f>
        <v>Adulto</v>
      </c>
      <c r="G811" s="2">
        <f>Gross_cleaning!F811</f>
        <v>127</v>
      </c>
      <c r="H811" s="1" t="s">
        <v>234</v>
      </c>
      <c r="I811" s="1" t="s">
        <v>137</v>
      </c>
      <c r="J811" s="1">
        <v>7.7</v>
      </c>
      <c r="K811" s="1" t="s">
        <v>4722</v>
      </c>
      <c r="L811" s="1" t="str">
        <f>IFERROR(__xludf.DUMMYFUNCTION("GOOGLETRANSLATE(K811,""en"", ""pt-br"")"),"Um agente secreto do FBI se infiltra a multidão e se encontra identificando mais com a vida da máfia, à custa de sua regular.")</f>
        <v>Um agente secreto do FBI se infiltra a multidão e se encontra identificando mais com a vida da máfia, à custa de sua regular.</v>
      </c>
      <c r="M811" s="1">
        <v>76.0</v>
      </c>
      <c r="N811" s="1" t="s">
        <v>4593</v>
      </c>
      <c r="O811" s="1" t="s">
        <v>33</v>
      </c>
      <c r="P811" s="1" t="s">
        <v>2451</v>
      </c>
      <c r="Q811" s="1" t="s">
        <v>782</v>
      </c>
      <c r="R811" s="1" t="s">
        <v>4723</v>
      </c>
      <c r="S811" s="1">
        <v>279318.0</v>
      </c>
      <c r="T811" s="7" t="str">
        <f>VLOOKUP(A811,Posters!A811:B1810,2)</f>
        <v>https://m.media-amazon.com/images/M/MV5BYzMzMDZkYWEtODIzNS00YjI3LTkxNTktOWEyZGM3ZWI2MWM4XkEyXkFqcGdeQXVyNzkwMjQ5NzM@._V1_UX67_CR0,0,67,98_AL_.jpg</v>
      </c>
      <c r="U811" s="8">
        <f>'Inflation Adjusted Gross'!F811</f>
        <v>67954137</v>
      </c>
      <c r="V811" s="5">
        <f t="shared" si="1"/>
        <v>2020</v>
      </c>
    </row>
    <row r="812">
      <c r="A812" s="1">
        <v>811.0</v>
      </c>
      <c r="B812" s="1" t="s">
        <v>4724</v>
      </c>
      <c r="C812" s="6">
        <f>Gross_cleaning!E812</f>
        <v>35811509</v>
      </c>
      <c r="D812" s="1">
        <v>1996.0</v>
      </c>
      <c r="E812" s="1" t="s">
        <v>52</v>
      </c>
      <c r="F812" s="1" t="str">
        <f>VLOOKUP(Filmes_raw!E812,Rating_systems!$A$2:$C$29,3,FALSE)</f>
        <v>Criança</v>
      </c>
      <c r="G812" s="2">
        <f>Gross_cleaning!F812</f>
        <v>105</v>
      </c>
      <c r="H812" s="1" t="s">
        <v>487</v>
      </c>
      <c r="I812" s="1" t="s">
        <v>314</v>
      </c>
      <c r="J812" s="1">
        <v>7.7</v>
      </c>
      <c r="K812" s="1" t="s">
        <v>4725</v>
      </c>
      <c r="L812" s="1" t="str">
        <f>IFERROR(__xludf.DUMMYFUNCTION("GOOGLETRANSLATE(K812,""en"", ""pt-br"")"),"Pianista David Helfgott, impulsionado por seu pai e professores, tem um colapso. Anos depois, ele retorna ao piano, a aclamação popular se não a crítica.")</f>
        <v>Pianista David Helfgott, impulsionado por seu pai e professores, tem um colapso. Anos depois, ele retorna ao piano, a aclamação popular se não a crítica.</v>
      </c>
      <c r="M812" s="1">
        <v>87.0</v>
      </c>
      <c r="N812" s="1" t="s">
        <v>4726</v>
      </c>
      <c r="O812" s="1" t="s">
        <v>2280</v>
      </c>
      <c r="P812" s="1" t="s">
        <v>4727</v>
      </c>
      <c r="Q812" s="1" t="s">
        <v>4728</v>
      </c>
      <c r="R812" s="1" t="s">
        <v>4729</v>
      </c>
      <c r="S812" s="1">
        <v>51350.0</v>
      </c>
      <c r="T812" s="7" t="str">
        <f>VLOOKUP(A812,Posters!A812:B1811,2)</f>
        <v>https://m.media-amazon.com/images/M/MV5BMTQzMzcxMzUyMl5BMl5BanBnXkFtZTgwNDI1MjgxMTE@._V1_UX67_CR0,0,67,98_AL_.jpg</v>
      </c>
      <c r="U812" s="8">
        <f>'Inflation Adjusted Gross'!F812</f>
        <v>59833749</v>
      </c>
      <c r="V812" s="5">
        <f t="shared" si="1"/>
        <v>2020</v>
      </c>
    </row>
    <row r="813">
      <c r="A813" s="1">
        <v>812.0</v>
      </c>
      <c r="B813" s="1" t="s">
        <v>4730</v>
      </c>
      <c r="C813" s="6">
        <f>Gross_cleaning!E813</f>
        <v>56116183</v>
      </c>
      <c r="D813" s="1">
        <v>1996.0</v>
      </c>
      <c r="E813" s="1" t="s">
        <v>18</v>
      </c>
      <c r="F813" s="1" t="str">
        <f>VLOOKUP(Filmes_raw!E813,Rating_systems!$A$2:$C$29,3,FALSE)</f>
        <v>Adulto</v>
      </c>
      <c r="G813" s="2">
        <f>Gross_cleaning!F813</f>
        <v>129</v>
      </c>
      <c r="H813" s="1" t="s">
        <v>830</v>
      </c>
      <c r="I813" s="1" t="s">
        <v>235</v>
      </c>
      <c r="J813" s="1">
        <v>7.7</v>
      </c>
      <c r="K813" s="1" t="s">
        <v>4731</v>
      </c>
      <c r="L813" s="1" t="str">
        <f>IFERROR(__xludf.DUMMYFUNCTION("GOOGLETRANSLATE(K813,""en"", ""pt-br"")"),"Um menino de altar é acusado de assassinar um padre, e a verdade é enterrada várias camadas profundas.")</f>
        <v>Um menino de altar é acusado de assassinar um padre, e a verdade é enterrada várias camadas profundas.</v>
      </c>
      <c r="M813" s="1">
        <v>47.0</v>
      </c>
      <c r="N813" s="1" t="s">
        <v>4732</v>
      </c>
      <c r="O813" s="1" t="s">
        <v>1583</v>
      </c>
      <c r="P813" s="1" t="s">
        <v>1714</v>
      </c>
      <c r="Q813" s="1" t="s">
        <v>99</v>
      </c>
      <c r="R813" s="1" t="s">
        <v>4733</v>
      </c>
      <c r="S813" s="1">
        <v>189716.0</v>
      </c>
      <c r="T813" s="7" t="str">
        <f>VLOOKUP(A813,Posters!A813:B1812,2)</f>
        <v>https://m.media-amazon.com/images/M/MV5BZTM2NWI2OGYtYWNhMi00ZTlmLTg2ZTAtMmI5NWRjODA5YTE1XkEyXkFqcGdeQXVyODE2OTYwNTg@._V1_UX67_CR0,0,67,98_AL_.jpg</v>
      </c>
      <c r="U813" s="8">
        <f>'Inflation Adjusted Gross'!F813</f>
        <v>93758729</v>
      </c>
      <c r="V813" s="5">
        <f t="shared" si="1"/>
        <v>2020</v>
      </c>
    </row>
    <row r="814">
      <c r="A814" s="1">
        <v>813.0</v>
      </c>
      <c r="B814" s="1" t="s">
        <v>4734</v>
      </c>
      <c r="C814" s="6">
        <f>Gross_cleaning!E814</f>
        <v>4414535</v>
      </c>
      <c r="D814" s="1">
        <v>1996.0</v>
      </c>
      <c r="E814" s="1" t="s">
        <v>161</v>
      </c>
      <c r="F814" s="1" t="str">
        <f>VLOOKUP(Filmes_raw!E814,Rating_systems!$A$2:$C$29,3,FALSE)</f>
        <v>Criança</v>
      </c>
      <c r="G814" s="2">
        <f>Gross_cleaning!F814</f>
        <v>242</v>
      </c>
      <c r="H814" s="1" t="s">
        <v>4735</v>
      </c>
      <c r="I814" s="1" t="s">
        <v>20</v>
      </c>
      <c r="J814" s="1">
        <v>7.7</v>
      </c>
      <c r="K814" s="1" t="s">
        <v>4736</v>
      </c>
      <c r="L814" s="1" t="str">
        <f>IFERROR(__xludf.DUMMYFUNCTION("GOOGLETRANSLATE(K814,""en"", ""pt-br"")"),"Hamlet, príncipe da Dinamarca, retorna para casa para encontrar seu pai assassinado e sua mãe se reverir ao assassino, seu tio. Enquanto isso, a guerra está se formando.")</f>
        <v>Hamlet, príncipe da Dinamarca, retorna para casa para encontrar seu pai assassinado e sua mãe se reverir ao assassino, seu tio. Enquanto isso, a guerra está se formando.</v>
      </c>
      <c r="N814" s="1" t="s">
        <v>4737</v>
      </c>
      <c r="O814" s="1" t="s">
        <v>4737</v>
      </c>
      <c r="P814" s="1" t="s">
        <v>2757</v>
      </c>
      <c r="Q814" s="1" t="s">
        <v>2282</v>
      </c>
      <c r="R814" s="1" t="s">
        <v>719</v>
      </c>
      <c r="S814" s="1">
        <v>35991.0</v>
      </c>
      <c r="T814" s="7" t="str">
        <f>VLOOKUP(A814,Posters!A814:B1813,2)</f>
        <v>https://m.media-amazon.com/images/M/MV5BM2U5OWM5NWQtZDYwZS00NmI3LTk4NDktNzcwZjYzNmEzYWU1XkEyXkFqcGdeQXVyNjMwMjk0MTQ@._V1_UY98_CR0,0,67,98_AL_.jpg</v>
      </c>
      <c r="U814" s="8">
        <f>'Inflation Adjusted Gross'!F814</f>
        <v>7375790</v>
      </c>
      <c r="V814" s="5">
        <f t="shared" si="1"/>
        <v>2020</v>
      </c>
    </row>
    <row r="815">
      <c r="A815" s="1">
        <v>814.0</v>
      </c>
      <c r="B815" s="1" t="s">
        <v>4738</v>
      </c>
      <c r="C815" s="6">
        <f>Gross_cleaning!E815</f>
        <v>10019307</v>
      </c>
      <c r="D815" s="1">
        <v>1995.0</v>
      </c>
      <c r="E815" s="1" t="s">
        <v>52</v>
      </c>
      <c r="F815" s="1" t="str">
        <f>VLOOKUP(Filmes_raw!E815,Rating_systems!$A$2:$C$29,3,FALSE)</f>
        <v>Criança</v>
      </c>
      <c r="G815" s="2">
        <f>Gross_cleaning!F815</f>
        <v>97</v>
      </c>
      <c r="H815" s="1" t="s">
        <v>2864</v>
      </c>
      <c r="I815" s="1" t="s">
        <v>271</v>
      </c>
      <c r="J815" s="1">
        <v>7.7</v>
      </c>
      <c r="K815" s="1" t="s">
        <v>4739</v>
      </c>
      <c r="L815" s="1" t="str">
        <f>IFERROR(__xludf.DUMMYFUNCTION("GOOGLETRANSLATE(K815,""en"", ""pt-br"")"),"Uma jovem é relegada à servidão em uma escola de embarque quando seu pai desaparece e é presumido morto.")</f>
        <v>Uma jovem é relegada à servidão em uma escola de embarque quando seu pai desaparece e é presumido morto.</v>
      </c>
      <c r="M815" s="1">
        <v>83.0</v>
      </c>
      <c r="N815" s="1" t="s">
        <v>3175</v>
      </c>
      <c r="O815" s="1" t="s">
        <v>4740</v>
      </c>
      <c r="P815" s="1" t="s">
        <v>4741</v>
      </c>
      <c r="Q815" s="1" t="s">
        <v>4742</v>
      </c>
      <c r="R815" s="1" t="s">
        <v>4743</v>
      </c>
      <c r="S815" s="1">
        <v>32236.0</v>
      </c>
      <c r="T815" s="7" t="str">
        <f>VLOOKUP(A815,Posters!A815:B1814,2)</f>
        <v>https://m.media-amazon.com/images/M/MV5BZDQzMGE5ODYtZDdiNC00MzZjLTg2NjAtZTk0ODlkYmY4MTQzXkEyXkFqcGdeQXVyMTQxNzMzNDI@._V1_UX67_CR0,0,67,98_AL_.jpg</v>
      </c>
      <c r="U815" s="8">
        <f>'Inflation Adjusted Gross'!F815</f>
        <v>17196877</v>
      </c>
      <c r="V815" s="5">
        <f t="shared" si="1"/>
        <v>2020</v>
      </c>
    </row>
    <row r="816">
      <c r="A816" s="1">
        <v>815.0</v>
      </c>
      <c r="B816" s="1" t="s">
        <v>4744</v>
      </c>
      <c r="C816" s="6">
        <f>Gross_cleaning!E816</f>
        <v>251164</v>
      </c>
      <c r="D816" s="1">
        <v>1995.0</v>
      </c>
      <c r="E816" s="1" t="s">
        <v>37</v>
      </c>
      <c r="F816" s="1" t="str">
        <f>VLOOKUP(Filmes_raw!E816,Rating_systems!$A$2:$C$29,3,FALSE)</f>
        <v>Criança</v>
      </c>
      <c r="G816" s="2">
        <f>Gross_cleaning!F816</f>
        <v>99</v>
      </c>
      <c r="H816" s="1" t="s">
        <v>778</v>
      </c>
      <c r="I816" s="1" t="s">
        <v>831</v>
      </c>
      <c r="J816" s="1">
        <v>7.7</v>
      </c>
      <c r="K816" s="1" t="s">
        <v>4745</v>
      </c>
      <c r="L816" s="1" t="str">
        <f>IFERROR(__xludf.DUMMYFUNCTION("GOOGLETRANSLATE(K816,""en"", ""pt-br"")"),"Este drama de crimes de Hong Kong-set segue a vida de um Hitman, na esperança de sair do negócio, e seu parceiro feminino indescritível.")</f>
        <v>Este drama de crimes de Hong Kong-set segue a vida de um Hitman, na esperança de sair do negócio, e seu parceiro feminino indescritível.</v>
      </c>
      <c r="M816" s="1">
        <v>71.0</v>
      </c>
      <c r="N816" s="1" t="s">
        <v>1731</v>
      </c>
      <c r="O816" s="1" t="s">
        <v>4746</v>
      </c>
      <c r="P816" s="1" t="s">
        <v>4747</v>
      </c>
      <c r="Q816" s="1" t="s">
        <v>1780</v>
      </c>
      <c r="R816" s="1" t="s">
        <v>4748</v>
      </c>
      <c r="S816" s="1">
        <v>26429.0</v>
      </c>
      <c r="T816" s="7" t="str">
        <f>VLOOKUP(A816,Posters!A816:B1815,2)</f>
        <v>https://m.media-amazon.com/images/M/MV5BZjM4NWRhYTQtYTJlNC00ZmMyLWEzNTAtZDA2MjJjYTQ5ZTVmXkEyXkFqcGdeQXVyMTQxNzMzNDI@._V1_UX67_CR0,0,67,98_AL_.jpg</v>
      </c>
      <c r="U816" s="8">
        <f>'Inflation Adjusted Gross'!F816</f>
        <v>431091</v>
      </c>
      <c r="V816" s="5">
        <f t="shared" si="1"/>
        <v>2020</v>
      </c>
    </row>
    <row r="817">
      <c r="A817" s="1">
        <v>816.0</v>
      </c>
      <c r="B817" s="1" t="s">
        <v>4749</v>
      </c>
      <c r="C817" s="6">
        <f>Gross_cleaning!E817</f>
        <v>21848932</v>
      </c>
      <c r="D817" s="1">
        <v>1994.0</v>
      </c>
      <c r="E817" s="1" t="s">
        <v>52</v>
      </c>
      <c r="F817" s="1" t="str">
        <f>VLOOKUP(Filmes_raw!E817,Rating_systems!$A$2:$C$29,3,FALSE)</f>
        <v>Criança</v>
      </c>
      <c r="G817" s="2">
        <f>Gross_cleaning!F817</f>
        <v>108</v>
      </c>
      <c r="H817" s="1" t="s">
        <v>714</v>
      </c>
      <c r="I817" s="1" t="s">
        <v>296</v>
      </c>
      <c r="J817" s="1">
        <v>7.7</v>
      </c>
      <c r="K817" s="1" t="s">
        <v>4750</v>
      </c>
      <c r="L817" s="1" t="str">
        <f>IFERROR(__xludf.DUMMYFUNCTION("GOOGLETRANSLATE(K817,""en"", ""pt-br"")"),"Um simples carteiro italiano aprende a amar a poesia ao entregar e-mails a um poeta famoso e, em seguida, usa isso para Woo Beauty Beaatrice local.")</f>
        <v>Um simples carteiro italiano aprende a amar a poesia ao entregar e-mails a um poeta famoso e, em seguida, usa isso para Woo Beauty Beaatrice local.</v>
      </c>
      <c r="M817" s="1">
        <v>81.0</v>
      </c>
      <c r="N817" s="1" t="s">
        <v>4751</v>
      </c>
      <c r="O817" s="1" t="s">
        <v>4752</v>
      </c>
      <c r="P817" s="1" t="s">
        <v>4752</v>
      </c>
      <c r="Q817" s="1" t="s">
        <v>369</v>
      </c>
      <c r="R817" s="1" t="s">
        <v>4753</v>
      </c>
      <c r="S817" s="1">
        <v>33600.0</v>
      </c>
      <c r="T817" s="7" t="str">
        <f>VLOOKUP(A817,Posters!A817:B1816,2)</f>
        <v>https://m.media-amazon.com/images/M/MV5BZmVhNWIzOTMtYmVlZC00ZDVmLWIyODEtODEzOTAxYjAwMzVlXkEyXkFqcGdeQXVyMzIwNDY4NDI@._V1_UY98_CR1,0,67,98_AL_.jpg</v>
      </c>
      <c r="U817" s="8">
        <f>'Inflation Adjusted Gross'!F817</f>
        <v>38552605</v>
      </c>
      <c r="V817" s="5">
        <f t="shared" si="1"/>
        <v>2020</v>
      </c>
    </row>
    <row r="818">
      <c r="A818" s="1">
        <v>817.0</v>
      </c>
      <c r="B818" s="1" t="s">
        <v>4754</v>
      </c>
      <c r="C818" s="6">
        <f>Gross_cleaning!E818</f>
        <v>3151130</v>
      </c>
      <c r="D818" s="1">
        <v>1994.0</v>
      </c>
      <c r="E818" s="1" t="s">
        <v>212</v>
      </c>
      <c r="F818" s="1" t="str">
        <f>VLOOKUP(Filmes_raw!E818,Rating_systems!$A$2:$C$29,3,FALSE)</f>
        <v>Adulto</v>
      </c>
      <c r="G818" s="2">
        <f>Gross_cleaning!F818</f>
        <v>92</v>
      </c>
      <c r="H818" s="1" t="s">
        <v>1588</v>
      </c>
      <c r="I818" s="1" t="s">
        <v>602</v>
      </c>
      <c r="J818" s="1">
        <v>7.7</v>
      </c>
      <c r="K818" s="1" t="s">
        <v>4755</v>
      </c>
      <c r="L818" s="1" t="str">
        <f>IFERROR(__xludf.DUMMYFUNCTION("GOOGLETRANSLATE(K818,""en"", ""pt-br"")"),"Um dia na vida de dois balcões de conveniência chamados Dante e Randal enquanto eles incomodam os clientes, discutem filmes e jogam hóquei no telhado da loja.")</f>
        <v>Um dia na vida de dois balcões de conveniência chamados Dante e Randal enquanto eles incomodam os clientes, discutem filmes e jogam hóquei no telhado da loja.</v>
      </c>
      <c r="M818" s="1">
        <v>70.0</v>
      </c>
      <c r="N818" s="1" t="s">
        <v>4756</v>
      </c>
      <c r="O818" s="1" t="s">
        <v>4757</v>
      </c>
      <c r="P818" s="1" t="s">
        <v>4758</v>
      </c>
      <c r="Q818" s="1" t="s">
        <v>4759</v>
      </c>
      <c r="R818" s="1" t="s">
        <v>4760</v>
      </c>
      <c r="S818" s="1">
        <v>211450.0</v>
      </c>
      <c r="T818" s="7" t="str">
        <f>VLOOKUP(A818,Posters!A818:B1817,2)</f>
        <v>https://m.media-amazon.com/images/M/MV5BNzE1Njk0NmItNDhlMC00ZmFlLWI4ZTUtYTY4ZjgzNjkyMTU1XkEyXkFqcGdeQXVyMTQxNzMzNDI@._V1_UX67_CR0,0,67,98_AL_.jpg</v>
      </c>
      <c r="U818" s="8">
        <f>'Inflation Adjusted Gross'!F818</f>
        <v>5560193</v>
      </c>
      <c r="V818" s="5">
        <f t="shared" si="1"/>
        <v>2020</v>
      </c>
    </row>
    <row r="819">
      <c r="A819" s="1">
        <v>818.0</v>
      </c>
      <c r="B819" s="1" t="s">
        <v>4761</v>
      </c>
      <c r="C819" s="6">
        <f>Gross_cleaning!E819</f>
        <v>6110979</v>
      </c>
      <c r="D819" s="1">
        <v>1993.0</v>
      </c>
      <c r="E819" s="1" t="s">
        <v>212</v>
      </c>
      <c r="F819" s="1" t="str">
        <f>VLOOKUP(Filmes_raw!E819,Rating_systems!$A$2:$C$29,3,FALSE)</f>
        <v>Adulto</v>
      </c>
      <c r="G819" s="2">
        <f>Gross_cleaning!F819</f>
        <v>188</v>
      </c>
      <c r="H819" s="1" t="s">
        <v>1864</v>
      </c>
      <c r="I819" s="1" t="s">
        <v>507</v>
      </c>
      <c r="J819" s="1">
        <v>7.7</v>
      </c>
      <c r="K819" s="1" t="s">
        <v>4762</v>
      </c>
      <c r="L819" s="1" t="str">
        <f>IFERROR(__xludf.DUMMYFUNCTION("GOOGLETRANSLATE(K819,""en"", ""pt-br"")"),"O dia-a-dia vive de vários residentes suburbanos de Los Angeles.")</f>
        <v>O dia-a-dia vive de vários residentes suburbanos de Los Angeles.</v>
      </c>
      <c r="M819" s="1">
        <v>79.0</v>
      </c>
      <c r="N819" s="1" t="s">
        <v>4763</v>
      </c>
      <c r="O819" s="1" t="s">
        <v>2570</v>
      </c>
      <c r="P819" s="1" t="s">
        <v>1728</v>
      </c>
      <c r="Q819" s="1" t="s">
        <v>23</v>
      </c>
      <c r="R819" s="1" t="s">
        <v>4764</v>
      </c>
      <c r="S819" s="1">
        <v>42275.0</v>
      </c>
      <c r="T819" s="7" t="str">
        <f>VLOOKUP(A819,Posters!A819:B1818,2)</f>
        <v>https://m.media-amazon.com/images/M/MV5BZWY0ODc2NDktYmYxNS00MGZiLTk5YjktZjgwZWFhNDQ0MzNhXkEyXkFqcGdeQXVyNTI4MjkwNjA@._V1_UX67_CR0,0,67,98_AL_.jpg</v>
      </c>
      <c r="U819" s="8">
        <f>'Inflation Adjusted Gross'!F819</f>
        <v>11055087</v>
      </c>
      <c r="V819" s="5">
        <f t="shared" si="1"/>
        <v>2020</v>
      </c>
    </row>
    <row r="820">
      <c r="A820" s="1">
        <v>819.0</v>
      </c>
      <c r="B820" s="1" t="s">
        <v>4765</v>
      </c>
      <c r="C820" s="6">
        <f>Gross_cleaning!E820</f>
        <v>77324422</v>
      </c>
      <c r="D820" s="1">
        <v>1993.0</v>
      </c>
      <c r="E820" s="1" t="s">
        <v>37</v>
      </c>
      <c r="F820" s="1" t="str">
        <f>VLOOKUP(Filmes_raw!E820,Rating_systems!$A$2:$C$29,3,FALSE)</f>
        <v>Criança</v>
      </c>
      <c r="G820" s="2">
        <f>Gross_cleaning!F820</f>
        <v>125</v>
      </c>
      <c r="H820" s="1" t="s">
        <v>203</v>
      </c>
      <c r="I820" s="1" t="s">
        <v>20</v>
      </c>
      <c r="J820" s="1">
        <v>7.7</v>
      </c>
      <c r="K820" s="1" t="s">
        <v>4766</v>
      </c>
      <c r="L820" s="1" t="str">
        <f>IFERROR(__xludf.DUMMYFUNCTION("GOOGLETRANSLATE(K820,""en"", ""pt-br"")"),"Quando um homem com HIV é demitido por seu escritório de advocacia por causa de sua condição, ele contrata um pequeno advogado homofófico como o único defensor disposto por um processo injusto demissão.")</f>
        <v>Quando um homem com HIV é demitido por seu escritório de advocacia por causa de sua condição, ele contrata um pequeno advogado homofófico como o único defensor disposto por um processo injusto demissão.</v>
      </c>
      <c r="M820" s="1">
        <v>66.0</v>
      </c>
      <c r="N820" s="1" t="s">
        <v>243</v>
      </c>
      <c r="O820" s="1" t="s">
        <v>110</v>
      </c>
      <c r="P820" s="1" t="s">
        <v>3799</v>
      </c>
      <c r="Q820" s="1" t="s">
        <v>4767</v>
      </c>
      <c r="R820" s="1" t="s">
        <v>4768</v>
      </c>
      <c r="S820" s="1">
        <v>224169.0</v>
      </c>
      <c r="T820" s="7" t="str">
        <f>VLOOKUP(A820,Posters!A820:B1819,2)</f>
        <v>https://m.media-amazon.com/images/M/MV5BNDE0MWE1ZTMtOWFkMS00YjdiLTkwZTItMDljYjY3MjM0NTk5XkEyXkFqcGdeQXVyNDYyMDk5MTU@._V1_UX67_CR0,0,67,98_AL_.jpg</v>
      </c>
      <c r="U820" s="8">
        <f>'Inflation Adjusted Gross'!F820</f>
        <v>139884001</v>
      </c>
      <c r="V820" s="5">
        <f t="shared" si="1"/>
        <v>2020</v>
      </c>
    </row>
    <row r="821">
      <c r="A821" s="1">
        <v>820.0</v>
      </c>
      <c r="B821" s="1" t="s">
        <v>4769</v>
      </c>
      <c r="C821" s="6">
        <f>Gross_cleaning!E821</f>
        <v>27281507</v>
      </c>
      <c r="D821" s="1">
        <v>1992.0</v>
      </c>
      <c r="E821" s="1" t="s">
        <v>414</v>
      </c>
      <c r="F821" s="1" t="str">
        <f>VLOOKUP(Filmes_raw!E821,Rating_systems!$A$2:$C$29,3,FALSE)</f>
        <v>Criança</v>
      </c>
      <c r="G821" s="2">
        <f>Gross_cleaning!F821</f>
        <v>85</v>
      </c>
      <c r="H821" s="1" t="s">
        <v>1947</v>
      </c>
      <c r="I821" s="1" t="s">
        <v>416</v>
      </c>
      <c r="J821" s="1">
        <v>7.7</v>
      </c>
      <c r="K821" s="1" t="s">
        <v>4770</v>
      </c>
      <c r="L821" s="1" t="str">
        <f>IFERROR(__xludf.DUMMYFUNCTION("GOOGLETRANSLATE(K821,""en"", ""pt-br"")"),"Os personagens do Muppet informam a sua versão do conto clássico de uma redenção antiga e amarga de Miser na véspera de Natal.")</f>
        <v>Os personagens do Muppet informam a sua versão do conto clássico de uma redenção antiga e amarga de Miser na véspera de Natal.</v>
      </c>
      <c r="M821" s="1">
        <v>64.0</v>
      </c>
      <c r="N821" s="1" t="s">
        <v>4771</v>
      </c>
      <c r="O821" s="1" t="s">
        <v>45</v>
      </c>
      <c r="P821" s="1" t="s">
        <v>4772</v>
      </c>
      <c r="Q821" s="1" t="s">
        <v>4773</v>
      </c>
      <c r="R821" s="1" t="s">
        <v>4774</v>
      </c>
      <c r="S821" s="1">
        <v>50298.0</v>
      </c>
      <c r="T821" s="7" t="str">
        <f>VLOOKUP(A821,Posters!A821:B1820,2)</f>
        <v>https://m.media-amazon.com/images/M/MV5BN2Y0NWRkNWItZWEwNi00MDNlLWJmZDYtNTkwYzI5Nzg4MjVjXkEyXkFqcGdeQXVyMTMxODk2OTU@._V1_UX67_CR0,0,67,98_AL_.jpg</v>
      </c>
      <c r="U821" s="8">
        <f>'Inflation Adjusted Gross'!F821</f>
        <v>50961895</v>
      </c>
      <c r="V821" s="5">
        <f t="shared" si="1"/>
        <v>2020</v>
      </c>
    </row>
    <row r="822">
      <c r="A822" s="1">
        <v>821.0</v>
      </c>
      <c r="B822" s="1" t="s">
        <v>4775</v>
      </c>
      <c r="C822" s="6">
        <f>Gross_cleaning!E822</f>
        <v>48169908</v>
      </c>
      <c r="D822" s="1">
        <v>1992.0</v>
      </c>
      <c r="E822" s="1" t="s">
        <v>52</v>
      </c>
      <c r="F822" s="1" t="str">
        <f>VLOOKUP(Filmes_raw!E822,Rating_systems!$A$2:$C$29,3,FALSE)</f>
        <v>Criança</v>
      </c>
      <c r="G822" s="2">
        <f>Gross_cleaning!F822</f>
        <v>202</v>
      </c>
      <c r="H822" s="1" t="s">
        <v>47</v>
      </c>
      <c r="I822" s="1" t="s">
        <v>79</v>
      </c>
      <c r="J822" s="1">
        <v>7.7</v>
      </c>
      <c r="K822" s="1" t="s">
        <v>4776</v>
      </c>
      <c r="L822" s="1" t="str">
        <f>IFERROR(__xludf.DUMMYFUNCTION("GOOGLETRANSLATE(K822,""en"", ""pt-br"")"),"Épico biográfico do controverso e influente líder nacionalista negro, de seu início da vida e carreira como um gangster de pequeno prazo, ao seu ministério como membro da nação do Islã.")</f>
        <v>Épico biográfico do controverso e influente líder nacionalista negro, de seu início da vida e carreira como um gangster de pequeno prazo, ao seu ministério como membro da nação do Islã.</v>
      </c>
      <c r="M822" s="1">
        <v>73.0</v>
      </c>
      <c r="N822" s="1" t="s">
        <v>2611</v>
      </c>
      <c r="O822" s="1" t="s">
        <v>3799</v>
      </c>
      <c r="P822" s="1" t="s">
        <v>4777</v>
      </c>
      <c r="Q822" s="1" t="s">
        <v>4778</v>
      </c>
      <c r="R822" s="1" t="s">
        <v>2611</v>
      </c>
      <c r="S822" s="1">
        <v>85819.0</v>
      </c>
      <c r="T822" s="7" t="str">
        <f>VLOOKUP(A822,Posters!A822:B1821,2)</f>
        <v>https://m.media-amazon.com/images/M/MV5BZDkzOTFmMTUtMmI2OS00MDE4LTg5YTUtODMwNDMzNmI5OGYwL2ltYWdlXkEyXkFqcGdeQXVyMTQxNzMzNDI@._V1_UY98_CR3,0,67,98_AL_.jpg</v>
      </c>
      <c r="U822" s="8">
        <f>'Inflation Adjusted Gross'!F822</f>
        <v>89981458</v>
      </c>
      <c r="V822" s="5">
        <f t="shared" si="1"/>
        <v>2020</v>
      </c>
    </row>
    <row r="823">
      <c r="A823" s="1">
        <v>822.0</v>
      </c>
      <c r="B823" s="1" t="s">
        <v>4779</v>
      </c>
      <c r="C823" s="6">
        <f>Gross_cleaning!E823</f>
        <v>75505856</v>
      </c>
      <c r="D823" s="1">
        <v>1992.0</v>
      </c>
      <c r="E823" s="1" t="s">
        <v>37</v>
      </c>
      <c r="F823" s="1" t="str">
        <f>VLOOKUP(Filmes_raw!E823,Rating_systems!$A$2:$C$29,3,FALSE)</f>
        <v>Criança</v>
      </c>
      <c r="G823" s="2">
        <f>Gross_cleaning!F823</f>
        <v>112</v>
      </c>
      <c r="H823" s="1" t="s">
        <v>295</v>
      </c>
      <c r="I823" s="1" t="s">
        <v>62</v>
      </c>
      <c r="J823" s="1">
        <v>7.7</v>
      </c>
      <c r="K823" s="1" t="s">
        <v>4780</v>
      </c>
      <c r="L823" s="1" t="str">
        <f>IFERROR(__xludf.DUMMYFUNCTION("GOOGLETRANSLATE(K823,""en"", ""pt-br"")"),"Três caçadores protegem as filhas de um coronel britânico no meio da guerra francesa e indiana.")</f>
        <v>Três caçadores protegem as filhas de um coronel britânico no meio da guerra francesa e indiana.</v>
      </c>
      <c r="M823" s="1">
        <v>76.0</v>
      </c>
      <c r="N823" s="1" t="s">
        <v>1176</v>
      </c>
      <c r="O823" s="1" t="s">
        <v>1092</v>
      </c>
      <c r="P823" s="1" t="s">
        <v>2547</v>
      </c>
      <c r="Q823" s="1" t="s">
        <v>4781</v>
      </c>
      <c r="R823" s="1" t="s">
        <v>4782</v>
      </c>
      <c r="S823" s="1">
        <v>150409.0</v>
      </c>
      <c r="T823" s="7" t="str">
        <f>VLOOKUP(A823,Posters!A823:B1822,2)</f>
        <v>https://m.media-amazon.com/images/M/MV5BZDNiYmRkNDYtOWU1NC00NmMxLWFkNmUtMGI5NTJjOTJmYTM5XkEyXkFqcGdeQXVyNzQ1ODk3MTQ@._V1_UX67_CR0,0,67,98_AL_.jpg</v>
      </c>
      <c r="U823" s="8">
        <f>'Inflation Adjusted Gross'!F823</f>
        <v>141045048</v>
      </c>
      <c r="V823" s="5">
        <f t="shared" si="1"/>
        <v>2020</v>
      </c>
    </row>
    <row r="824">
      <c r="A824" s="1">
        <v>823.0</v>
      </c>
      <c r="B824" s="1" t="s">
        <v>4783</v>
      </c>
      <c r="C824" s="6">
        <f>Gross_cleaning!E824</f>
        <v>1354960</v>
      </c>
      <c r="D824" s="1">
        <v>1992.0</v>
      </c>
      <c r="E824" s="1" t="s">
        <v>52</v>
      </c>
      <c r="F824" s="1" t="str">
        <f>VLOOKUP(Filmes_raw!E824,Rating_systems!$A$2:$C$29,3,FALSE)</f>
        <v>Criança</v>
      </c>
      <c r="G824" s="2">
        <f>Gross_cleaning!F824</f>
        <v>94</v>
      </c>
      <c r="H824" s="1" t="s">
        <v>1882</v>
      </c>
      <c r="I824" s="1" t="s">
        <v>765</v>
      </c>
      <c r="J824" s="1">
        <v>7.7</v>
      </c>
      <c r="K824" s="1" t="s">
        <v>4784</v>
      </c>
      <c r="L824" s="1" t="str">
        <f>IFERROR(__xludf.DUMMYFUNCTION("GOOGLETRANSLATE(K824,""en"", ""pt-br"")"),"Na década de 1930, a Itália, um piloto veterano da Primeira Guerra Mundial é amaldiçoado para se parecer com um porco antropomórfico.")</f>
        <v>Na década de 1930, a Itália, um piloto veterano da Primeira Guerra Mundial é amaldiçoado para se parecer com um porco antropomórfico.</v>
      </c>
      <c r="M824" s="1">
        <v>83.0</v>
      </c>
      <c r="N824" s="1" t="s">
        <v>206</v>
      </c>
      <c r="O824" s="1" t="s">
        <v>4785</v>
      </c>
      <c r="P824" s="1" t="s">
        <v>4786</v>
      </c>
      <c r="Q824" s="1" t="s">
        <v>4787</v>
      </c>
      <c r="R824" s="1" t="s">
        <v>4788</v>
      </c>
      <c r="S824" s="1">
        <v>77798.0</v>
      </c>
      <c r="T824" s="7" t="str">
        <f>VLOOKUP(A824,Posters!A824:B1823,2)</f>
        <v>https://m.media-amazon.com/images/M/MV5BZjVkYmFkZWQtZmNjYy00NmFhLTliMWYtNThlOTUxNjg5ODdhXkEyXkFqcGdeQXVyMTMxODk2OTU@._V1_UY98_CR4,0,67,98_AL_.jpg</v>
      </c>
      <c r="U824" s="8">
        <f>'Inflation Adjusted Gross'!F824</f>
        <v>2531067</v>
      </c>
      <c r="V824" s="5">
        <f t="shared" si="1"/>
        <v>2020</v>
      </c>
    </row>
    <row r="825">
      <c r="A825" s="1">
        <v>824.0</v>
      </c>
      <c r="B825" s="1" t="s">
        <v>4789</v>
      </c>
      <c r="C825" s="6">
        <f>Gross_cleaning!E825</f>
        <v>10725228</v>
      </c>
      <c r="D825" s="1">
        <v>1992.0</v>
      </c>
      <c r="E825" s="1" t="s">
        <v>212</v>
      </c>
      <c r="F825" s="1" t="str">
        <f>VLOOKUP(Filmes_raw!E825,Rating_systems!$A$2:$C$29,3,FALSE)</f>
        <v>Adulto</v>
      </c>
      <c r="G825" s="2">
        <f>Gross_cleaning!F825</f>
        <v>100</v>
      </c>
      <c r="H825" s="1" t="s">
        <v>1439</v>
      </c>
      <c r="I825" s="1" t="s">
        <v>235</v>
      </c>
      <c r="J825" s="1">
        <v>7.7</v>
      </c>
      <c r="K825" s="1" t="s">
        <v>4790</v>
      </c>
      <c r="L825" s="1" t="str">
        <f>IFERROR(__xludf.DUMMYFUNCTION("GOOGLETRANSLATE(K825,""en"", ""pt-br"")"),"Um exame das maquinações nos bastidores em um escritório imobiliário.")</f>
        <v>Um exame das maquinações nos bastidores em um escritório imobiliário.</v>
      </c>
      <c r="M825" s="1">
        <v>82.0</v>
      </c>
      <c r="N825" s="1" t="s">
        <v>4791</v>
      </c>
      <c r="O825" s="1" t="s">
        <v>33</v>
      </c>
      <c r="P825" s="1" t="s">
        <v>866</v>
      </c>
      <c r="Q825" s="1" t="s">
        <v>4792</v>
      </c>
      <c r="R825" s="1" t="s">
        <v>4194</v>
      </c>
      <c r="S825" s="1">
        <v>95826.0</v>
      </c>
      <c r="T825" s="7" t="str">
        <f>VLOOKUP(A825,Posters!A825:B1824,2)</f>
        <v>https://m.media-amazon.com/images/M/MV5BNTYzN2MxODMtMDBhOC00Y2M0LTgzMTItMzQ4NDIyYWIwMDEzL2ltYWdlL2ltYWdlXkEyXkFqcGdeQXVyNTc1NTQxODI@._V1_UX67_CR0,0,67,98_AL_.jpg</v>
      </c>
      <c r="U825" s="8">
        <f>'Inflation Adjusted Gross'!F825</f>
        <v>20034741</v>
      </c>
      <c r="V825" s="5">
        <f t="shared" si="1"/>
        <v>2020</v>
      </c>
    </row>
    <row r="826">
      <c r="A826" s="1">
        <v>825.0</v>
      </c>
      <c r="B826" s="1" t="s">
        <v>4793</v>
      </c>
      <c r="C826" s="6">
        <f>Gross_cleaning!E826</f>
        <v>141340178</v>
      </c>
      <c r="D826" s="1">
        <v>1992.0</v>
      </c>
      <c r="E826" s="1" t="s">
        <v>52</v>
      </c>
      <c r="F826" s="1" t="str">
        <f>VLOOKUP(Filmes_raw!E826,Rating_systems!$A$2:$C$29,3,FALSE)</f>
        <v>Criança</v>
      </c>
      <c r="G826" s="2">
        <f>Gross_cleaning!F826</f>
        <v>138</v>
      </c>
      <c r="H826" s="1" t="s">
        <v>947</v>
      </c>
      <c r="I826" s="1" t="s">
        <v>1377</v>
      </c>
      <c r="J826" s="1">
        <v>7.7</v>
      </c>
      <c r="K826" s="1" t="s">
        <v>4794</v>
      </c>
      <c r="L826" s="1" t="str">
        <f>IFERROR(__xludf.DUMMYFUNCTION("GOOGLETRANSLATE(K826,""en"", ""pt-br"")"),"Advogado militar O tenente Daniel Kaffee defende fuzileiros fontos acusados ​​de assassinato. Eles afirmam que estavam agindo em pedidos.")</f>
        <v>Advogado militar O tenente Daniel Kaffee defende fuzileiros fontos acusados ​​de assassinato. Eles afirmam que estavam agindo em pedidos.</v>
      </c>
      <c r="M826" s="1">
        <v>62.0</v>
      </c>
      <c r="N826" s="1" t="s">
        <v>1815</v>
      </c>
      <c r="O826" s="1" t="s">
        <v>2486</v>
      </c>
      <c r="P826" s="1" t="s">
        <v>156</v>
      </c>
      <c r="Q826" s="1" t="s">
        <v>4795</v>
      </c>
      <c r="R826" s="1" t="s">
        <v>3171</v>
      </c>
      <c r="S826" s="1">
        <v>235388.0</v>
      </c>
      <c r="T826" s="7" t="str">
        <f>VLOOKUP(A826,Posters!A826:B1825,2)</f>
        <v>https://m.media-amazon.com/images/M/MV5BMmRlZDQ1MmUtMzE2Yi00YTkxLTk1MGMtYmIyYWQwODcxYzRlXkEyXkFqcGdeQXVyNTI4MjkwNjA@._V1_UX67_CR0,0,67,98_AL_.jpg</v>
      </c>
      <c r="U826" s="8">
        <f>'Inflation Adjusted Gross'!F826</f>
        <v>264023657</v>
      </c>
      <c r="V826" s="5">
        <f t="shared" si="1"/>
        <v>2020</v>
      </c>
    </row>
    <row r="827">
      <c r="A827" s="1">
        <v>826.0</v>
      </c>
      <c r="B827" s="1" t="s">
        <v>4796</v>
      </c>
      <c r="C827" s="6">
        <f>Gross_cleaning!E827</f>
        <v>82418501</v>
      </c>
      <c r="D827" s="1">
        <v>1991.0</v>
      </c>
      <c r="E827" s="1" t="s">
        <v>161</v>
      </c>
      <c r="F827" s="1" t="str">
        <f>VLOOKUP(Filmes_raw!E827,Rating_systems!$A$2:$C$29,3,FALSE)</f>
        <v>Criança</v>
      </c>
      <c r="G827" s="2">
        <f>Gross_cleaning!F827</f>
        <v>130</v>
      </c>
      <c r="H827" s="1" t="s">
        <v>195</v>
      </c>
      <c r="I827" s="1" t="s">
        <v>20</v>
      </c>
      <c r="J827" s="1">
        <v>7.7</v>
      </c>
      <c r="K827" s="1" t="s">
        <v>4797</v>
      </c>
      <c r="L827" s="1" t="str">
        <f>IFERROR(__xludf.DUMMYFUNCTION("GOOGLETRANSLATE(K827,""en"", ""pt-br"")"),"Uma dona de casa que é infeliz com sua vida fazer amiga de uma velha senhora em uma casa de repouso e é encantada pelos contos que ela conta as pessoas que ela costumava saber.")</f>
        <v>Uma dona de casa que é infeliz com sua vida fazer amiga de uma velha senhora em uma casa de repouso e é encantada pelos contos que ela conta as pessoas que ela costumava saber.</v>
      </c>
      <c r="M827" s="1">
        <v>64.0</v>
      </c>
      <c r="N827" s="1" t="s">
        <v>4798</v>
      </c>
      <c r="O827" s="1" t="s">
        <v>3951</v>
      </c>
      <c r="P827" s="1" t="s">
        <v>4799</v>
      </c>
      <c r="Q827" s="1" t="s">
        <v>4800</v>
      </c>
      <c r="R827" s="1" t="s">
        <v>4801</v>
      </c>
      <c r="S827" s="1">
        <v>66941.0</v>
      </c>
      <c r="T827" s="7" t="str">
        <f>VLOOKUP(A827,Posters!A827:B1826,2)</f>
        <v>https://m.media-amazon.com/images/M/MV5BOWQ1ZWE0MTQtMmEwOS00YjA3LTgyZTAtNjY5ODEyZTJjNDI2XkEyXkFqcGdeQXVyNjE5MjUyOTM@._V1_UX67_CR0,0,67,98_AL_.jpg</v>
      </c>
      <c r="U827" s="8">
        <f>'Inflation Adjusted Gross'!F827</f>
        <v>157961242</v>
      </c>
      <c r="V827" s="5">
        <f t="shared" si="1"/>
        <v>2020</v>
      </c>
    </row>
    <row r="828">
      <c r="A828" s="1">
        <v>827.0</v>
      </c>
      <c r="B828" s="1" t="s">
        <v>4802</v>
      </c>
      <c r="C828" s="6">
        <f>Gross_cleaning!E828</f>
        <v>6153939</v>
      </c>
      <c r="D828" s="1">
        <v>1991.0</v>
      </c>
      <c r="E828" s="1" t="s">
        <v>52</v>
      </c>
      <c r="F828" s="1" t="str">
        <f>VLOOKUP(Filmes_raw!E828,Rating_systems!$A$2:$C$29,3,FALSE)</f>
        <v>Criança</v>
      </c>
      <c r="G828" s="2">
        <f>Gross_cleaning!F828</f>
        <v>116</v>
      </c>
      <c r="H828" s="1" t="s">
        <v>226</v>
      </c>
      <c r="I828" s="1" t="s">
        <v>171</v>
      </c>
      <c r="J828" s="1">
        <v>7.7</v>
      </c>
      <c r="K828" s="1" t="s">
        <v>4803</v>
      </c>
      <c r="L828" s="1" t="str">
        <f>IFERROR(__xludf.DUMMYFUNCTION("GOOGLETRANSLATE(K828,""en"", ""pt-br"")"),"Um renomado dramaturgo de Nova York é atraído pela Califórnia para escrever para os filmes e descobre a verdade infernal de Hollywood.")</f>
        <v>Um renomado dramaturgo de Nova York é atraído pela Califórnia para escrever para os filmes e descobre a verdade infernal de Hollywood.</v>
      </c>
      <c r="M828" s="1">
        <v>69.0</v>
      </c>
      <c r="N828" s="1" t="s">
        <v>1613</v>
      </c>
      <c r="O828" s="1" t="s">
        <v>1612</v>
      </c>
      <c r="P828" s="1" t="s">
        <v>4667</v>
      </c>
      <c r="Q828" s="1" t="s">
        <v>1685</v>
      </c>
      <c r="R828" s="1" t="s">
        <v>4804</v>
      </c>
      <c r="S828" s="1">
        <v>113240.0</v>
      </c>
      <c r="T828" s="7" t="str">
        <f>VLOOKUP(A828,Posters!A828:B1827,2)</f>
        <v>https://m.media-amazon.com/images/M/MV5BMTgxMDMxMTctNDY0Zi00ZmNlLWFlYmQtODA2YjY4MDk4MjU1XkEyXkFqcGdeQXVyNTc1NTQxODI@._V1_UX67_CR0,0,67,98_AL_.jpg</v>
      </c>
      <c r="U828" s="8">
        <f>'Inflation Adjusted Gross'!F828</f>
        <v>11794486</v>
      </c>
      <c r="V828" s="5">
        <f t="shared" si="1"/>
        <v>2020</v>
      </c>
    </row>
    <row r="829">
      <c r="A829" s="1">
        <v>828.0</v>
      </c>
      <c r="B829" s="1" t="s">
        <v>4805</v>
      </c>
      <c r="C829" s="6">
        <f>Gross_cleaning!E829</f>
        <v>5080409</v>
      </c>
      <c r="D829" s="1">
        <v>1990.0</v>
      </c>
      <c r="E829" s="1" t="s">
        <v>212</v>
      </c>
      <c r="F829" s="1" t="str">
        <f>VLOOKUP(Filmes_raw!E829,Rating_systems!$A$2:$C$29,3,FALSE)</f>
        <v>Adulto</v>
      </c>
      <c r="G829" s="2">
        <f>Gross_cleaning!F829</f>
        <v>115</v>
      </c>
      <c r="H829" s="1" t="s">
        <v>563</v>
      </c>
      <c r="I829" s="1" t="s">
        <v>241</v>
      </c>
      <c r="J829" s="1">
        <v>7.7</v>
      </c>
      <c r="K829" s="1" t="s">
        <v>4806</v>
      </c>
      <c r="L829" s="1" t="str">
        <f>IFERROR(__xludf.DUMMYFUNCTION("GOOGLETRANSLATE(K829,""en"", ""pt-br"")"),"Tom Reagan, um conselheiro de um chefe do crime da era da proibição, tenta manter a paz entre guerreir mobs, mas é pego em lealdades divididas.")</f>
        <v>Tom Reagan, um conselheiro de um chefe do crime da era da proibição, tenta manter a paz entre guerreir mobs, mas é pego em lealdades divididas.</v>
      </c>
      <c r="M829" s="1">
        <v>66.0</v>
      </c>
      <c r="N829" s="1" t="s">
        <v>1613</v>
      </c>
      <c r="O829" s="1" t="s">
        <v>1612</v>
      </c>
      <c r="P829" s="1" t="s">
        <v>339</v>
      </c>
      <c r="Q829" s="1" t="s">
        <v>2455</v>
      </c>
      <c r="R829" s="1" t="s">
        <v>4667</v>
      </c>
      <c r="S829" s="1">
        <v>125822.0</v>
      </c>
      <c r="T829" s="7" t="str">
        <f>VLOOKUP(A829,Posters!A829:B1828,2)</f>
        <v>https://m.media-amazon.com/images/M/MV5BMTY2Njk3MTAzM15BMl5BanBnXkFtZTgwMTY5Mzk4NjE@._V1_UX67_CR0,0,67,98_AL_.jpg</v>
      </c>
      <c r="U829" s="8">
        <f>'Inflation Adjusted Gross'!F829</f>
        <v>10287270</v>
      </c>
      <c r="V829" s="5">
        <f t="shared" si="1"/>
        <v>2020</v>
      </c>
    </row>
    <row r="830">
      <c r="A830" s="1">
        <v>829.0</v>
      </c>
      <c r="B830" s="1" t="s">
        <v>4807</v>
      </c>
      <c r="C830" s="6">
        <f>Gross_cleaning!E830</f>
        <v>156452370</v>
      </c>
      <c r="D830" s="1">
        <v>1988.0</v>
      </c>
      <c r="E830" s="1" t="s">
        <v>52</v>
      </c>
      <c r="F830" s="1" t="str">
        <f>VLOOKUP(Filmes_raw!E830,Rating_systems!$A$2:$C$29,3,FALSE)</f>
        <v>Criança</v>
      </c>
      <c r="G830" s="2">
        <f>Gross_cleaning!F830</f>
        <v>104</v>
      </c>
      <c r="H830" s="1" t="s">
        <v>647</v>
      </c>
      <c r="I830" s="1" t="s">
        <v>765</v>
      </c>
      <c r="J830" s="1">
        <v>7.7</v>
      </c>
      <c r="K830" s="1" t="s">
        <v>4808</v>
      </c>
      <c r="L830" s="1" t="str">
        <f>IFERROR(__xludf.DUMMYFUNCTION("GOOGLETRANSLATE(K830,""en"", ""pt-br"")"),"Um detetive Toon-Hating é uma única esperança de coelho de desenho animado para provar sua inocência quando ele é acusado de assassinato.")</f>
        <v>Um detetive Toon-Hating é uma única esperança de coelho de desenho animado para provar sua inocência quando ele é acusado de assassinato.</v>
      </c>
      <c r="M830" s="1">
        <v>83.0</v>
      </c>
      <c r="N830" s="1" t="s">
        <v>109</v>
      </c>
      <c r="O830" s="1" t="s">
        <v>4809</v>
      </c>
      <c r="P830" s="1" t="s">
        <v>386</v>
      </c>
      <c r="Q830" s="1" t="s">
        <v>4810</v>
      </c>
      <c r="R830" s="1" t="s">
        <v>4811</v>
      </c>
      <c r="S830" s="1">
        <v>182009.0</v>
      </c>
      <c r="T830" s="7" t="str">
        <f>VLOOKUP(A830,Posters!A830:B1829,2)</f>
        <v>https://m.media-amazon.com/images/M/MV5BMDhiOTM2OTctODk3Ny00NWI4LThhZDgtNGQ4NjRiYjFkZGQzXkEyXkFqcGdeQXVyMTA0MjU0Ng@@._V1_UX67_CR0,0,67,98_AL_.jpg</v>
      </c>
      <c r="U830" s="8">
        <f>'Inflation Adjusted Gross'!F830</f>
        <v>348834696</v>
      </c>
      <c r="V830" s="5">
        <f t="shared" si="1"/>
        <v>2020</v>
      </c>
    </row>
    <row r="831">
      <c r="A831" s="1">
        <v>830.0</v>
      </c>
      <c r="B831" s="1" t="s">
        <v>4812</v>
      </c>
      <c r="C831" s="6">
        <f>Gross_cleaning!E831</f>
        <v>0</v>
      </c>
      <c r="D831" s="1">
        <v>1988.0</v>
      </c>
      <c r="E831" s="1">
        <v>16.0</v>
      </c>
      <c r="F831" s="1" t="str">
        <f>VLOOKUP(Filmes_raw!E831,Rating_systems!$A$2:$C$29,3,FALSE)</f>
        <v>Adolescente</v>
      </c>
      <c r="G831" s="2">
        <f>Gross_cleaning!F831</f>
        <v>107</v>
      </c>
      <c r="H831" s="1" t="s">
        <v>907</v>
      </c>
      <c r="I831" s="1" t="s">
        <v>544</v>
      </c>
      <c r="J831" s="1">
        <v>7.7</v>
      </c>
      <c r="K831" s="1" t="s">
        <v>4813</v>
      </c>
      <c r="L831" s="1" t="str">
        <f>IFERROR(__xludf.DUMMYFUNCTION("GOOGLETRANSLATE(K831,""en"", ""pt-br"")"),"Rex e Saskia, um jovem casal apaixonado, estão de férias. Eles param em uma estação de serviço movimentada e Saskia é sequestrada. Depois de três anos e nenhum sinal de Saskia, Rex começa a receber cartas do abdutor.")</f>
        <v>Rex e Saskia, um jovem casal apaixonado, estão de férias. Eles param em uma estação de serviço movimentada e Saskia é sequestrada. Depois de três anos e nenhum sinal de Saskia, Rex começa a receber cartas do abdutor.</v>
      </c>
      <c r="N831" s="1" t="s">
        <v>4814</v>
      </c>
      <c r="O831" s="1" t="s">
        <v>4815</v>
      </c>
      <c r="P831" s="1" t="s">
        <v>4816</v>
      </c>
      <c r="Q831" s="1" t="s">
        <v>4817</v>
      </c>
      <c r="R831" s="1" t="s">
        <v>4818</v>
      </c>
      <c r="S831" s="1">
        <v>33982.0</v>
      </c>
      <c r="T831" s="7" t="str">
        <f>VLOOKUP(A831,Posters!A831:B1830,2)</f>
        <v>https://m.media-amazon.com/images/M/MV5BNDcwMTYzMjctN2M2Yy00ZDcxLWJhNTEtMGNhYzEwYzc2NDE4XkEyXkFqcGdeQXVyNTI4MjkwNjA@._V1_UY98_CR0,0,67,98_AL_.jpg</v>
      </c>
      <c r="U831" s="8">
        <f>'Inflation Adjusted Gross'!F831</f>
        <v>0</v>
      </c>
      <c r="V831" s="5">
        <f t="shared" si="1"/>
        <v>2020</v>
      </c>
    </row>
    <row r="832">
      <c r="A832" s="1">
        <v>831.0</v>
      </c>
      <c r="B832" s="1" t="s">
        <v>4819</v>
      </c>
      <c r="C832" s="6">
        <f>Gross_cleaning!E832</f>
        <v>1544889</v>
      </c>
      <c r="D832" s="1">
        <v>1987.0</v>
      </c>
      <c r="E832" s="1" t="s">
        <v>212</v>
      </c>
      <c r="F832" s="1" t="str">
        <f>VLOOKUP(Filmes_raw!E832,Rating_systems!$A$2:$C$29,3,FALSE)</f>
        <v>Adulto</v>
      </c>
      <c r="G832" s="2">
        <f>Gross_cleaning!F832</f>
        <v>107</v>
      </c>
      <c r="H832" s="1" t="s">
        <v>907</v>
      </c>
      <c r="I832" s="1" t="s">
        <v>507</v>
      </c>
      <c r="J832" s="1">
        <v>7.7</v>
      </c>
      <c r="K832" s="1" t="s">
        <v>4820</v>
      </c>
      <c r="L832" s="1" t="str">
        <f>IFERROR(__xludf.DUMMYFUNCTION("GOOGLETRANSLATE(K832,""en"", ""pt-br"")"),"Em 1969, dois atores de abuso de substâncias, desempregados se retiram para o campo para um feriado que se torna desastroso.")</f>
        <v>Em 1969, dois atores de abuso de substâncias, desempregados se retiram para o campo para um feriado que se torna desastroso.</v>
      </c>
      <c r="M832" s="1">
        <v>84.0</v>
      </c>
      <c r="N832" s="1" t="s">
        <v>4821</v>
      </c>
      <c r="O832" s="1" t="s">
        <v>4822</v>
      </c>
      <c r="P832" s="1" t="s">
        <v>4823</v>
      </c>
      <c r="Q832" s="1" t="s">
        <v>3176</v>
      </c>
      <c r="R832" s="1" t="s">
        <v>4824</v>
      </c>
      <c r="S832" s="1">
        <v>40396.0</v>
      </c>
      <c r="T832" s="7" t="str">
        <f>VLOOKUP(A832,Posters!A832:B1831,2)</f>
        <v>https://m.media-amazon.com/images/M/MV5BYjE3ODY5OWEtZmE0Mi00MjUxLTg5MmUtZmFkMzM1N2VjMmU5XkEyXkFqcGdeQXVyNTI4MjkwNjA@._V1_UX67_CR0,0,67,98_AL_.jpg</v>
      </c>
      <c r="U832" s="8">
        <f>'Inflation Adjusted Gross'!F832</f>
        <v>3583962</v>
      </c>
      <c r="V832" s="5">
        <f t="shared" si="1"/>
        <v>2020</v>
      </c>
    </row>
    <row r="833">
      <c r="A833" s="1">
        <v>832.0</v>
      </c>
      <c r="B833" s="1" t="s">
        <v>4825</v>
      </c>
      <c r="C833" s="6">
        <f>Gross_cleaning!E833</f>
        <v>43984230</v>
      </c>
      <c r="D833" s="1">
        <v>1987.0</v>
      </c>
      <c r="E833" s="1" t="s">
        <v>52</v>
      </c>
      <c r="F833" s="1" t="str">
        <f>VLOOKUP(Filmes_raw!E833,Rating_systems!$A$2:$C$29,3,FALSE)</f>
        <v>Criança</v>
      </c>
      <c r="G833" s="2">
        <f>Gross_cleaning!F833</f>
        <v>163</v>
      </c>
      <c r="H833" s="1" t="s">
        <v>997</v>
      </c>
      <c r="I833" s="1" t="s">
        <v>79</v>
      </c>
      <c r="J833" s="1">
        <v>7.7</v>
      </c>
      <c r="K833" s="1" t="s">
        <v>4826</v>
      </c>
      <c r="L833" s="1" t="str">
        <f>IFERROR(__xludf.DUMMYFUNCTION("GOOGLETRANSLATE(K833,""en"", ""pt-br"")"),"A história do imperador final da China.")</f>
        <v>A história do imperador final da China.</v>
      </c>
      <c r="M833" s="1">
        <v>76.0</v>
      </c>
      <c r="N833" s="1" t="s">
        <v>2719</v>
      </c>
      <c r="O833" s="1" t="s">
        <v>4827</v>
      </c>
      <c r="P833" s="1" t="s">
        <v>4828</v>
      </c>
      <c r="Q833" s="1" t="s">
        <v>861</v>
      </c>
      <c r="R833" s="1" t="s">
        <v>4829</v>
      </c>
      <c r="S833" s="1">
        <v>94326.0</v>
      </c>
      <c r="T833" s="7" t="str">
        <f>VLOOKUP(A833,Posters!A833:B1832,2)</f>
        <v>https://m.media-amazon.com/images/M/MV5BZTk0NDU4YmItOTk0ZS00ODc2LTkwNGItNWI5MDJkNTJiYWMxXkEyXkFqcGdeQXVyNjUwNzk3NDc@._V1_UX67_CR0,0,67,98_AL_.jpg</v>
      </c>
      <c r="U833" s="8">
        <f>'Inflation Adjusted Gross'!F833</f>
        <v>102038271</v>
      </c>
      <c r="V833" s="5">
        <f t="shared" si="1"/>
        <v>2020</v>
      </c>
    </row>
    <row r="834">
      <c r="A834" s="1">
        <v>833.0</v>
      </c>
      <c r="B834" s="1" t="s">
        <v>4830</v>
      </c>
      <c r="C834" s="6">
        <f>Gross_cleaning!E834</f>
        <v>22238696</v>
      </c>
      <c r="D834" s="1">
        <v>1987.0</v>
      </c>
      <c r="E834" s="1" t="s">
        <v>52</v>
      </c>
      <c r="F834" s="1" t="str">
        <f>VLOOKUP(Filmes_raw!E834,Rating_systems!$A$2:$C$29,3,FALSE)</f>
        <v>Criança</v>
      </c>
      <c r="G834" s="2">
        <f>Gross_cleaning!F834</f>
        <v>153</v>
      </c>
      <c r="H834" s="1" t="s">
        <v>179</v>
      </c>
      <c r="I834" s="1" t="s">
        <v>3536</v>
      </c>
      <c r="J834" s="1">
        <v>7.7</v>
      </c>
      <c r="K834" s="1" t="s">
        <v>4831</v>
      </c>
      <c r="L834" s="1" t="str">
        <f>IFERROR(__xludf.DUMMYFUNCTION("GOOGLETRANSLATE(K834,""en"", ""pt-br"")"),"Um jovem garoto inglês luta para sobreviver sob ocupação japonesa durante a Segunda Guerra Mundial.")</f>
        <v>Um jovem garoto inglês luta para sobreviver sob ocupação japonesa durante a Segunda Guerra Mundial.</v>
      </c>
      <c r="M834" s="1">
        <v>62.0</v>
      </c>
      <c r="N834" s="1" t="s">
        <v>81</v>
      </c>
      <c r="O834" s="1" t="s">
        <v>42</v>
      </c>
      <c r="P834" s="1" t="s">
        <v>4109</v>
      </c>
      <c r="Q834" s="1" t="s">
        <v>4832</v>
      </c>
      <c r="R834" s="1" t="s">
        <v>4833</v>
      </c>
      <c r="S834" s="1">
        <v>115677.0</v>
      </c>
      <c r="T834" s="7" t="str">
        <f>VLOOKUP(A834,Posters!A834:B1833,2)</f>
        <v>https://m.media-amazon.com/images/M/MV5BMmQwNzczZDItNmI0OS00MjRmLTliYWItZWIyMjk1MTU4ZTQ4L2ltYWdlXkEyXkFqcGdeQXVyNTAyODkwOQ@@._V1_UX67_CR0,0,67,98_AL_.jpg</v>
      </c>
      <c r="U834" s="8">
        <f>'Inflation Adjusted Gross'!F834</f>
        <v>51591175</v>
      </c>
      <c r="V834" s="5">
        <f t="shared" si="1"/>
        <v>2020</v>
      </c>
    </row>
    <row r="835">
      <c r="A835" s="1">
        <v>834.0</v>
      </c>
      <c r="B835" s="1" t="s">
        <v>4834</v>
      </c>
      <c r="C835" s="6">
        <f>Gross_cleaning!E835</f>
        <v>7153487</v>
      </c>
      <c r="D835" s="1">
        <v>1986.0</v>
      </c>
      <c r="E835" s="1" t="s">
        <v>212</v>
      </c>
      <c r="F835" s="1" t="str">
        <f>VLOOKUP(Filmes_raw!E835,Rating_systems!$A$2:$C$29,3,FALSE)</f>
        <v>Adulto</v>
      </c>
      <c r="G835" s="2">
        <f>Gross_cleaning!F835</f>
        <v>130</v>
      </c>
      <c r="H835" s="1" t="s">
        <v>195</v>
      </c>
      <c r="I835" s="1" t="s">
        <v>235</v>
      </c>
      <c r="J835" s="1">
        <v>7.7</v>
      </c>
      <c r="K835" s="1" t="s">
        <v>4835</v>
      </c>
      <c r="L835" s="1" t="str">
        <f>IFERROR(__xludf.DUMMYFUNCTION("GOOGLETRANSLATE(K835,""en"", ""pt-br"")"),"Um frade intelectualmente não-conformista investiga uma série de mortes misteriosas em uma abadia isolada.")</f>
        <v>Um frade intelectualmente não-conformista investiga uma série de mortes misteriosas em uma abadia isolada.</v>
      </c>
      <c r="M835" s="1">
        <v>54.0</v>
      </c>
      <c r="N835" s="1" t="s">
        <v>4836</v>
      </c>
      <c r="O835" s="1" t="s">
        <v>1195</v>
      </c>
      <c r="P835" s="1" t="s">
        <v>3249</v>
      </c>
      <c r="Q835" s="1" t="s">
        <v>4837</v>
      </c>
      <c r="R835" s="1" t="s">
        <v>4838</v>
      </c>
      <c r="S835" s="1">
        <v>102031.0</v>
      </c>
      <c r="T835" s="7" t="str">
        <f>VLOOKUP(A835,Posters!A835:B1834,2)</f>
        <v>https://m.media-amazon.com/images/M/MV5BZjEyZTdhNDMtMWFkMS00ZmRjLWEyNmEtZDU3MWFkNDEzMDYwXkEyXkFqcGdeQXVyNjc1NTYyMjg@._V1_UX67_CR0,0,67,98_AL_.jpg</v>
      </c>
      <c r="U835" s="8">
        <f>'Inflation Adjusted Gross'!F835</f>
        <v>16837520</v>
      </c>
      <c r="V835" s="5">
        <f t="shared" si="1"/>
        <v>2020</v>
      </c>
    </row>
    <row r="836">
      <c r="A836" s="1">
        <v>835.0</v>
      </c>
      <c r="B836" s="1" t="s">
        <v>4839</v>
      </c>
      <c r="C836" s="6">
        <f>Gross_cleaning!E836</f>
        <v>8551228</v>
      </c>
      <c r="D836" s="1">
        <v>1986.0</v>
      </c>
      <c r="E836" s="1" t="s">
        <v>18</v>
      </c>
      <c r="F836" s="1" t="str">
        <f>VLOOKUP(Filmes_raw!E836,Rating_systems!$A$2:$C$29,3,FALSE)</f>
        <v>Adulto</v>
      </c>
      <c r="G836" s="2">
        <f>Gross_cleaning!F836</f>
        <v>120</v>
      </c>
      <c r="H836" s="1" t="s">
        <v>1546</v>
      </c>
      <c r="I836" s="1" t="s">
        <v>527</v>
      </c>
      <c r="J836" s="1">
        <v>7.7</v>
      </c>
      <c r="K836" s="1" t="s">
        <v>4840</v>
      </c>
      <c r="L836" s="1" t="str">
        <f>IFERROR(__xludf.DUMMYFUNCTION("GOOGLETRANSLATE(K836,""en"", ""pt-br"")"),"A descoberta de um ouvido humano decepado encontrado em um campo leva um jovem em uma investigação relacionada a um belo e misterioso cantor boate e um grupo de criminosos psicopáticos que sequestraram seu filho.")</f>
        <v>A descoberta de um ouvido humano decepado encontrado em um campo leva um jovem em uma investigação relacionada a um belo e misterioso cantor boate e um grupo de criminosos psicopáticos que sequestraram seu filho.</v>
      </c>
      <c r="M836" s="1">
        <v>76.0</v>
      </c>
      <c r="N836" s="1" t="s">
        <v>1878</v>
      </c>
      <c r="O836" s="1" t="s">
        <v>4841</v>
      </c>
      <c r="P836" s="1" t="s">
        <v>4842</v>
      </c>
      <c r="Q836" s="1" t="s">
        <v>3250</v>
      </c>
      <c r="R836" s="1" t="s">
        <v>1785</v>
      </c>
      <c r="S836" s="1">
        <v>181285.0</v>
      </c>
      <c r="T836" s="7" t="str">
        <f>VLOOKUP(A836,Posters!A836:B1835,2)</f>
        <v>https://m.media-amazon.com/images/M/MV5BMzExOTczNTgtN2Q1Yy00MmI1LWE0NjgtNmIwMzdmZGNlODU1XkEyXkFqcGdeQXVyNDkzNTM2ODg@._V1_UX67_CR0,0,67,98_AL_.jpg</v>
      </c>
      <c r="U836" s="8">
        <f>'Inflation Adjusted Gross'!F836</f>
        <v>20127453</v>
      </c>
      <c r="V836" s="5">
        <f t="shared" si="1"/>
        <v>2020</v>
      </c>
    </row>
    <row r="837">
      <c r="A837" s="1">
        <v>836.0</v>
      </c>
      <c r="B837" s="1" t="s">
        <v>4843</v>
      </c>
      <c r="C837" s="6">
        <f>Gross_cleaning!E837</f>
        <v>10631333</v>
      </c>
      <c r="D837" s="1">
        <v>1985.0</v>
      </c>
      <c r="E837" s="1" t="s">
        <v>52</v>
      </c>
      <c r="F837" s="1" t="str">
        <f>VLOOKUP(Filmes_raw!E837,Rating_systems!$A$2:$C$29,3,FALSE)</f>
        <v>Criança</v>
      </c>
      <c r="G837" s="2">
        <f>Gross_cleaning!F837</f>
        <v>82</v>
      </c>
      <c r="H837" s="1" t="s">
        <v>3293</v>
      </c>
      <c r="I837" s="1" t="s">
        <v>2566</v>
      </c>
      <c r="J837" s="1">
        <v>7.7</v>
      </c>
      <c r="K837" s="1" t="s">
        <v>4844</v>
      </c>
      <c r="L837" s="1" t="str">
        <f>IFERROR(__xludf.DUMMYFUNCTION("GOOGLETRANSLATE(K837,""en"", ""pt-br"")"),"Em Nova Jersey em 1935, um personagem de filme sai da tela e no mundo real.")</f>
        <v>Em Nova Jersey em 1935, um personagem de filme sai da tela e no mundo real.</v>
      </c>
      <c r="M837" s="1">
        <v>75.0</v>
      </c>
      <c r="N837" s="1" t="s">
        <v>2671</v>
      </c>
      <c r="O837" s="1" t="s">
        <v>2728</v>
      </c>
      <c r="P837" s="1" t="s">
        <v>4845</v>
      </c>
      <c r="Q837" s="1" t="s">
        <v>349</v>
      </c>
      <c r="R837" s="1" t="s">
        <v>4846</v>
      </c>
      <c r="S837" s="1">
        <v>47102.0</v>
      </c>
      <c r="T837" s="7" t="str">
        <f>VLOOKUP(A837,Posters!A837:B1836,2)</f>
        <v>https://m.media-amazon.com/images/M/MV5BY2E1YWRlNzAtYzAwYy00MDg5LTlmYTUtYjdlZDI0NzFkNjNlL2ltYWdlL2ltYWdlXkEyXkFqcGdeQXVyNjQ2MjQ5NzM@._V1_UX67_CR0,0,67,98_AL_.jpg</v>
      </c>
      <c r="U837" s="8">
        <f>'Inflation Adjusted Gross'!F837</f>
        <v>25995977</v>
      </c>
      <c r="V837" s="5">
        <f t="shared" si="1"/>
        <v>2020</v>
      </c>
    </row>
    <row r="838">
      <c r="A838" s="1">
        <v>837.0</v>
      </c>
      <c r="B838" s="1" t="s">
        <v>4847</v>
      </c>
      <c r="C838" s="6">
        <f>Gross_cleaning!E838</f>
        <v>10600000</v>
      </c>
      <c r="D838" s="1">
        <v>1985.0</v>
      </c>
      <c r="E838" s="1" t="s">
        <v>37</v>
      </c>
      <c r="F838" s="1" t="str">
        <f>VLOOKUP(Filmes_raw!E838,Rating_systems!$A$2:$C$29,3,FALSE)</f>
        <v>Criança</v>
      </c>
      <c r="G838" s="2">
        <f>Gross_cleaning!F838</f>
        <v>97</v>
      </c>
      <c r="H838" s="1" t="s">
        <v>2864</v>
      </c>
      <c r="I838" s="1" t="s">
        <v>831</v>
      </c>
      <c r="J838" s="1">
        <v>7.7</v>
      </c>
      <c r="K838" s="1" t="s">
        <v>4848</v>
      </c>
      <c r="L838" s="1" t="str">
        <f>IFERROR(__xludf.DUMMYFUNCTION("GOOGLETRANSLATE(K838,""en"", ""pt-br"")"),"Um processador de texto comum tem a pior noite de sua vida depois que ele concorda em visitar uma garota em Soho que ele conheceu aquela noite em uma cafeteria.")</f>
        <v>Um processador de texto comum tem a pior noite de sua vida depois que ele concorda em visitar uma garota em Soho que ele conheceu aquela noite em uma cafeteria.</v>
      </c>
      <c r="M838" s="1">
        <v>90.0</v>
      </c>
      <c r="N838" s="1" t="s">
        <v>139</v>
      </c>
      <c r="O838" s="1" t="s">
        <v>4849</v>
      </c>
      <c r="P838" s="1" t="s">
        <v>4850</v>
      </c>
      <c r="Q838" s="1" t="s">
        <v>4851</v>
      </c>
      <c r="R838" s="1" t="s">
        <v>4852</v>
      </c>
      <c r="S838" s="1">
        <v>59635.0</v>
      </c>
      <c r="T838" s="7" t="str">
        <f>VLOOKUP(A838,Posters!A838:B1837,2)</f>
        <v>https://m.media-amazon.com/images/M/MV5BMTUxMjEzMzI2MV5BMl5BanBnXkFtZTgwNTU3ODAxMDE@._V1_UX67_CR0,0,67,98_AL_.jpg</v>
      </c>
      <c r="U838" s="8">
        <f>'Inflation Adjusted Gross'!F838</f>
        <v>25919361</v>
      </c>
      <c r="V838" s="5">
        <f t="shared" si="1"/>
        <v>2020</v>
      </c>
    </row>
    <row r="839">
      <c r="A839" s="1">
        <v>838.0</v>
      </c>
      <c r="B839" s="1" t="s">
        <v>4853</v>
      </c>
      <c r="C839" s="6">
        <f>Gross_cleaning!E839</f>
        <v>11798616</v>
      </c>
      <c r="D839" s="1">
        <v>1983.0</v>
      </c>
      <c r="E839" s="1" t="s">
        <v>270</v>
      </c>
      <c r="F839" s="1" t="str">
        <f>VLOOKUP(Filmes_raw!E839,Rating_systems!$A$2:$C$29,3,FALSE)</f>
        <v>Criança</v>
      </c>
      <c r="G839" s="2">
        <f>Gross_cleaning!F839</f>
        <v>79</v>
      </c>
      <c r="H839" s="1" t="s">
        <v>4854</v>
      </c>
      <c r="I839" s="1" t="s">
        <v>602</v>
      </c>
      <c r="J839" s="1">
        <v>7.7</v>
      </c>
      <c r="K839" s="1" t="s">
        <v>4855</v>
      </c>
      <c r="L839" s="1" t="str">
        <f>IFERROR(__xludf.DUMMYFUNCTION("GOOGLETRANSLATE(K839,""en"", ""pt-br"")"),"""Documentário"" sobre um homem que pode olhar e agir como quem ele está por perto, e atende a várias pessoas famosas.")</f>
        <v>"Documentário" sobre um homem que pode olhar e agir como quem ele está por perto, e atende a várias pessoas famosas.</v>
      </c>
      <c r="N839" s="1" t="s">
        <v>2671</v>
      </c>
      <c r="O839" s="1" t="s">
        <v>2671</v>
      </c>
      <c r="P839" s="1" t="s">
        <v>2728</v>
      </c>
      <c r="Q839" s="1" t="s">
        <v>4856</v>
      </c>
      <c r="R839" s="1" t="s">
        <v>4857</v>
      </c>
      <c r="S839" s="1">
        <v>39881.0</v>
      </c>
      <c r="T839" s="7" t="str">
        <f>VLOOKUP(A839,Posters!A839:B1838,2)</f>
        <v>https://m.media-amazon.com/images/M/MV5BMGUwMjM0MTEtOGY2NS00MjJmLWEyMDAtYmNkMWJjOWJlNGM0XkEyXkFqcGdeQXVyMTQxNzMzNDI@._V1_UX67_CR0,0,67,98_AL_.jpg</v>
      </c>
      <c r="U839" s="8">
        <f>'Inflation Adjusted Gross'!F839</f>
        <v>31121685</v>
      </c>
      <c r="V839" s="5">
        <f t="shared" si="1"/>
        <v>2020</v>
      </c>
    </row>
    <row r="840">
      <c r="A840" s="1">
        <v>839.0</v>
      </c>
      <c r="B840" s="1" t="s">
        <v>4858</v>
      </c>
      <c r="C840" s="6">
        <f>Gross_cleaning!E840</f>
        <v>54000000</v>
      </c>
      <c r="D840" s="1">
        <v>1982.0</v>
      </c>
      <c r="E840" s="1" t="s">
        <v>52</v>
      </c>
      <c r="F840" s="1" t="str">
        <f>VLOOKUP(Filmes_raw!E840,Rating_systems!$A$2:$C$29,3,FALSE)</f>
        <v>Criança</v>
      </c>
      <c r="G840" s="2">
        <f>Gross_cleaning!F840</f>
        <v>129</v>
      </c>
      <c r="H840" s="1" t="s">
        <v>830</v>
      </c>
      <c r="I840" s="1" t="s">
        <v>20</v>
      </c>
      <c r="J840" s="1">
        <v>7.7</v>
      </c>
      <c r="K840" s="1" t="s">
        <v>4859</v>
      </c>
      <c r="L840" s="1" t="str">
        <f>IFERROR(__xludf.DUMMYFUNCTION("GOOGLETRANSLATE(K840,""en"", ""pt-br"")"),"Um advogado vê a chance de salvar sua carreira e auto-respeito, tomando um caso médico de negligência para julgamento em vez de se estabelecer.")</f>
        <v>Um advogado vê a chance de salvar sua carreira e auto-respeito, tomando um caso médico de negligência para julgamento em vez de se estabelecer.</v>
      </c>
      <c r="M840" s="1">
        <v>77.0</v>
      </c>
      <c r="N840" s="1" t="s">
        <v>55</v>
      </c>
      <c r="O840" s="1" t="s">
        <v>834</v>
      </c>
      <c r="P840" s="1" t="s">
        <v>4860</v>
      </c>
      <c r="Q840" s="1" t="s">
        <v>2668</v>
      </c>
      <c r="R840" s="1" t="s">
        <v>875</v>
      </c>
      <c r="S840" s="1">
        <v>36096.0</v>
      </c>
      <c r="T840" s="7" t="str">
        <f>VLOOKUP(A840,Posters!A840:B1839,2)</f>
        <v>https://m.media-amazon.com/images/M/MV5BMTU5MzMwMzAzM15BMl5BanBnXkFtZTcwNjYyMjA0Mg@@._V1_UX67_CR0,0,67,98_AL_.jpg</v>
      </c>
      <c r="U840" s="8">
        <f>'Inflation Adjusted Gross'!F840</f>
        <v>147724645</v>
      </c>
      <c r="V840" s="5">
        <f t="shared" si="1"/>
        <v>2020</v>
      </c>
    </row>
    <row r="841">
      <c r="A841" s="1">
        <v>840.0</v>
      </c>
      <c r="B841" s="1" t="s">
        <v>4861</v>
      </c>
      <c r="C841" s="6">
        <f>Gross_cleaning!E841</f>
        <v>78912963</v>
      </c>
      <c r="D841" s="1">
        <v>1982.0</v>
      </c>
      <c r="E841" s="1" t="s">
        <v>52</v>
      </c>
      <c r="F841" s="1" t="str">
        <f>VLOOKUP(Filmes_raw!E841,Rating_systems!$A$2:$C$29,3,FALSE)</f>
        <v>Criança</v>
      </c>
      <c r="G841" s="2">
        <f>Gross_cleaning!F841</f>
        <v>113</v>
      </c>
      <c r="H841" s="1" t="s">
        <v>543</v>
      </c>
      <c r="I841" s="1" t="s">
        <v>88</v>
      </c>
      <c r="J841" s="1">
        <v>7.7</v>
      </c>
      <c r="K841" s="1" t="s">
        <v>4862</v>
      </c>
      <c r="L841" s="1" t="str">
        <f>IFERROR(__xludf.DUMMYFUNCTION("GOOGLETRANSLATE(K841,""en"", ""pt-br"")"),"Com a assistência da equipe da empresa, o almirante Kirk deve parar um velho Nemesis, Khan Noonien Singh, de usar o dispositivo Genesis gerador de vida como a arma final.")</f>
        <v>Com a assistência da equipe da empresa, o almirante Kirk deve parar um velho Nemesis, Khan Noonien Singh, de usar o dispositivo Genesis gerador de vida como a arma final.</v>
      </c>
      <c r="M841" s="1">
        <v>67.0</v>
      </c>
      <c r="N841" s="1" t="s">
        <v>4863</v>
      </c>
      <c r="O841" s="1" t="s">
        <v>4864</v>
      </c>
      <c r="P841" s="1" t="s">
        <v>3103</v>
      </c>
      <c r="Q841" s="1" t="s">
        <v>4865</v>
      </c>
      <c r="R841" s="1" t="s">
        <v>4866</v>
      </c>
      <c r="S841" s="1">
        <v>112704.0</v>
      </c>
      <c r="T841" s="7" t="str">
        <f>VLOOKUP(A841,Posters!A841:B1840,2)</f>
        <v>https://m.media-amazon.com/images/M/MV5BMzcyYWE5YmQtNDE1Yi00ZjlmLWFlZTAtMzRjODBiYjM3OTA3XkEyXkFqcGdeQXVyMTQxNzMzNDI@._V1_UX67_CR0,0,67,98_AL_.jpg</v>
      </c>
      <c r="U841" s="8">
        <f>'Inflation Adjusted Gross'!F841</f>
        <v>215877582</v>
      </c>
      <c r="V841" s="5">
        <f t="shared" si="1"/>
        <v>2020</v>
      </c>
    </row>
    <row r="842">
      <c r="A842" s="1">
        <v>841.0</v>
      </c>
      <c r="B842" s="1" t="s">
        <v>4867</v>
      </c>
      <c r="C842" s="6">
        <f>Gross_cleaning!E842</f>
        <v>47212904</v>
      </c>
      <c r="D842" s="1">
        <v>1982.0</v>
      </c>
      <c r="E842" s="1" t="s">
        <v>18</v>
      </c>
      <c r="F842" s="1" t="str">
        <f>VLOOKUP(Filmes_raw!E842,Rating_systems!$A$2:$C$29,3,FALSE)</f>
        <v>Adulto</v>
      </c>
      <c r="G842" s="2">
        <f>Gross_cleaning!F842</f>
        <v>93</v>
      </c>
      <c r="H842" s="1" t="s">
        <v>1521</v>
      </c>
      <c r="I842" s="1" t="s">
        <v>502</v>
      </c>
      <c r="J842" s="1">
        <v>7.7</v>
      </c>
      <c r="K842" s="1" t="s">
        <v>4868</v>
      </c>
      <c r="L842" s="1" t="str">
        <f>IFERROR(__xludf.DUMMYFUNCTION("GOOGLETRANSLATE(K842,""en"", ""pt-br"")"),"Uma veterana beret verde é forçada por um xerife cruel e seus deputados para fugir para as montanhas e salvar uma guerreira de um homem em torno de seus perseguidores.")</f>
        <v>Uma veterana beret verde é forçada por um xerife cruel e seus deputados para fugir para as montanhas e salvar uma guerreira de um homem em torno de seus perseguidores.</v>
      </c>
      <c r="M842" s="1">
        <v>61.0</v>
      </c>
      <c r="N842" s="1" t="s">
        <v>4869</v>
      </c>
      <c r="O842" s="1" t="s">
        <v>1893</v>
      </c>
      <c r="P842" s="1" t="s">
        <v>4870</v>
      </c>
      <c r="Q842" s="1" t="s">
        <v>4195</v>
      </c>
      <c r="R842" s="1" t="s">
        <v>4147</v>
      </c>
      <c r="S842" s="1">
        <v>226541.0</v>
      </c>
      <c r="T842" s="7" t="str">
        <f>VLOOKUP(A842,Posters!A842:B1841,2)</f>
        <v>https://m.media-amazon.com/images/M/MV5BODBmOWU2YWMtZGUzZi00YzRhLWJjNDAtYTUwNWVkNDcyZmU5XkEyXkFqcGdeQXVyNDk3NzU2MTQ@._V1_UX67_CR0,0,67,98_AL_.jpg</v>
      </c>
      <c r="U842" s="8">
        <f>'Inflation Adjusted Gross'!F842</f>
        <v>129157583</v>
      </c>
      <c r="V842" s="5">
        <f t="shared" si="1"/>
        <v>2020</v>
      </c>
    </row>
    <row r="843">
      <c r="A843" s="1">
        <v>842.0</v>
      </c>
      <c r="B843" s="1" t="s">
        <v>4871</v>
      </c>
      <c r="C843" s="6">
        <f>Gross_cleaning!E843</f>
        <v>54800000</v>
      </c>
      <c r="D843" s="1">
        <v>1980.0</v>
      </c>
      <c r="E843" s="1" t="s">
        <v>52</v>
      </c>
      <c r="F843" s="1" t="str">
        <f>VLOOKUP(Filmes_raw!E843,Rating_systems!$A$2:$C$29,3,FALSE)</f>
        <v>Criança</v>
      </c>
      <c r="G843" s="2">
        <f>Gross_cleaning!F843</f>
        <v>124</v>
      </c>
      <c r="H843" s="1" t="s">
        <v>144</v>
      </c>
      <c r="I843" s="1" t="s">
        <v>20</v>
      </c>
      <c r="J843" s="1">
        <v>7.7</v>
      </c>
      <c r="K843" s="1" t="s">
        <v>4872</v>
      </c>
      <c r="L843" s="1" t="str">
        <f>IFERROR(__xludf.DUMMYFUNCTION("GOOGLETRANSLATE(K843,""en"", ""pt-br"")"),"A morte acidental do filho mais velho de uma família afluente impede profundamente as relações entre a moça amarga, o pai bem-humorado, e o filho mais novo guilogêneo.")</f>
        <v>A morte acidental do filho mais velho de uma família afluente impede profundamente as relações entre a moça amarga, o pai bem-humorado, e o filho mais novo guilogêneo.</v>
      </c>
      <c r="M843" s="1">
        <v>86.0</v>
      </c>
      <c r="N843" s="1" t="s">
        <v>835</v>
      </c>
      <c r="O843" s="1" t="s">
        <v>3674</v>
      </c>
      <c r="P843" s="1" t="s">
        <v>4873</v>
      </c>
      <c r="Q843" s="1" t="s">
        <v>4874</v>
      </c>
      <c r="R843" s="1" t="s">
        <v>4875</v>
      </c>
      <c r="S843" s="1">
        <v>47099.0</v>
      </c>
      <c r="T843" s="7" t="str">
        <f>VLOOKUP(A843,Posters!A843:B1842,2)</f>
        <v>https://m.media-amazon.com/images/M/MV5BNWU3MDFkYWQtMWQ5YS00YTcwLThmNDItODY4OWE2ZTdhZmIwXkEyXkFqcGdeQXVyMjUzOTY1NTc@._V1_UX67_CR0,0,67,98_AL_.jpg</v>
      </c>
      <c r="U843" s="8">
        <f>'Inflation Adjusted Gross'!F843</f>
        <v>181707080</v>
      </c>
      <c r="V843" s="5">
        <f t="shared" si="1"/>
        <v>2020</v>
      </c>
    </row>
    <row r="844">
      <c r="A844" s="1">
        <v>843.0</v>
      </c>
      <c r="B844" s="1" t="s">
        <v>4876</v>
      </c>
      <c r="C844" s="6">
        <f>Gross_cleaning!E844</f>
        <v>83400000</v>
      </c>
      <c r="D844" s="1">
        <v>1980.0</v>
      </c>
      <c r="E844" s="1" t="s">
        <v>52</v>
      </c>
      <c r="F844" s="1" t="str">
        <f>VLOOKUP(Filmes_raw!E844,Rating_systems!$A$2:$C$29,3,FALSE)</f>
        <v>Criança</v>
      </c>
      <c r="G844" s="2">
        <f>Gross_cleaning!F844</f>
        <v>88</v>
      </c>
      <c r="H844" s="1" t="s">
        <v>351</v>
      </c>
      <c r="I844" s="1" t="s">
        <v>602</v>
      </c>
      <c r="J844" s="1">
        <v>7.7</v>
      </c>
      <c r="K844" s="1" t="s">
        <v>4877</v>
      </c>
      <c r="L844" s="1" t="str">
        <f>IFERROR(__xludf.DUMMYFUNCTION("GOOGLETRANSLATE(K844,""en"", ""pt-br"")"),"Um homem com medo de voar deve garantir que um avião atenda com segurança após os pilotos ficarem doentes.")</f>
        <v>Um homem com medo de voar deve garantir que um avião atenda com segurança após os pilotos ficarem doentes.</v>
      </c>
      <c r="M844" s="1">
        <v>78.0</v>
      </c>
      <c r="N844" s="1" t="s">
        <v>4878</v>
      </c>
      <c r="O844" s="1" t="s">
        <v>4879</v>
      </c>
      <c r="P844" s="1" t="s">
        <v>4880</v>
      </c>
      <c r="Q844" s="1" t="s">
        <v>4881</v>
      </c>
      <c r="R844" s="1" t="s">
        <v>4882</v>
      </c>
      <c r="S844" s="1">
        <v>214882.0</v>
      </c>
      <c r="T844" s="7" t="str">
        <f>VLOOKUP(A844,Posters!A844:B1843,2)</f>
        <v>https://m.media-amazon.com/images/M/MV5BZjA3YjdhMWEtYjc2Ni00YzVlLWI0MTUtMGZmNTJjNmU0Yzk2XkEyXkFqcGdeQXVyNzkwMjQ5NzM@._V1_UX67_CR0,0,67,98_AL_.jpg</v>
      </c>
      <c r="U844" s="8">
        <f>'Inflation Adjusted Gross'!F844</f>
        <v>276539607</v>
      </c>
      <c r="V844" s="5">
        <f t="shared" si="1"/>
        <v>2020</v>
      </c>
    </row>
    <row r="845">
      <c r="A845" s="1">
        <v>844.0</v>
      </c>
      <c r="B845" s="1" t="s">
        <v>4883</v>
      </c>
      <c r="C845" s="6">
        <f>Gross_cleaning!E845</f>
        <v>523161</v>
      </c>
      <c r="D845" s="1">
        <v>1979.0</v>
      </c>
      <c r="E845" s="1" t="s">
        <v>52</v>
      </c>
      <c r="F845" s="1" t="str">
        <f>VLOOKUP(Filmes_raw!E845,Rating_systems!$A$2:$C$29,3,FALSE)</f>
        <v>Criança</v>
      </c>
      <c r="G845" s="2">
        <f>Gross_cleaning!F845</f>
        <v>100</v>
      </c>
      <c r="H845" s="1" t="s">
        <v>1439</v>
      </c>
      <c r="I845" s="1" t="s">
        <v>204</v>
      </c>
      <c r="J845" s="1">
        <v>7.7</v>
      </c>
      <c r="K845" s="1" t="s">
        <v>4884</v>
      </c>
      <c r="L845" s="1" t="str">
        <f>IFERROR(__xludf.DUMMYFUNCTION("GOOGLETRANSLATE(K845,""en"", ""pt-br"")"),"Um ladrão arrojado, sua gangue de desesperados e um policial intrépido lutam para libertar uma princesa de embreagens de uma contagem do mal e aprender o segredo escondido a um tesouro fabuloso que ela mantém parte de uma chave para.")</f>
        <v>Um ladrão arrojado, sua gangue de desesperados e um policial intrépido lutam para libertar uma princesa de embreagens de uma contagem do mal e aprender o segredo escondido a um tesouro fabuloso que ela mantém parte de uma chave para.</v>
      </c>
      <c r="M845" s="1">
        <v>71.0</v>
      </c>
      <c r="N845" s="1" t="s">
        <v>206</v>
      </c>
      <c r="O845" s="1" t="s">
        <v>4885</v>
      </c>
      <c r="P845" s="1" t="s">
        <v>4886</v>
      </c>
      <c r="Q845" s="1" t="s">
        <v>4887</v>
      </c>
      <c r="R845" s="1" t="s">
        <v>4888</v>
      </c>
      <c r="S845" s="1">
        <v>27014.0</v>
      </c>
      <c r="T845" s="7" t="str">
        <f>VLOOKUP(A845,Posters!A845:B1844,2)</f>
        <v>https://m.media-amazon.com/images/M/MV5BYzYyNjg3OTctNzA2ZS00NjkzLWE4MmYtZDAzZWQ0NzkyMTJhXkEyXkFqcGdeQXVyMTMxODk2OTU@._V1_UX67_CR0,0,67,98_AL_.jpg</v>
      </c>
      <c r="U845" s="8">
        <f>'Inflation Adjusted Gross'!F845</f>
        <v>1975994</v>
      </c>
      <c r="V845" s="5">
        <f t="shared" si="1"/>
        <v>2020</v>
      </c>
    </row>
    <row r="846">
      <c r="A846" s="1">
        <v>845.0</v>
      </c>
      <c r="B846" s="1" t="s">
        <v>4889</v>
      </c>
      <c r="C846" s="6">
        <f>Gross_cleaning!E846</f>
        <v>47000000</v>
      </c>
      <c r="D846" s="1">
        <v>1978.0</v>
      </c>
      <c r="E846" s="1" t="s">
        <v>18</v>
      </c>
      <c r="F846" s="1" t="str">
        <f>VLOOKUP(Filmes_raw!E846,Rating_systems!$A$2:$C$29,3,FALSE)</f>
        <v>Adulto</v>
      </c>
      <c r="G846" s="2">
        <f>Gross_cleaning!F846</f>
        <v>91</v>
      </c>
      <c r="H846" s="1" t="s">
        <v>1259</v>
      </c>
      <c r="I846" s="1" t="s">
        <v>3376</v>
      </c>
      <c r="J846" s="1">
        <v>7.7</v>
      </c>
      <c r="K846" s="1" t="s">
        <v>4890</v>
      </c>
      <c r="L846" s="1" t="str">
        <f>IFERROR(__xludf.DUMMYFUNCTION("GOOGLETRANSLATE(K846,""en"", ""pt-br"")"),"Quinze anos depois de assassinar sua irmã na noite de Halloween 1963, Michael Myers escapa de um hospital psiquiátrico e retorna à pequena cidade de Haddonfield, Illinois para matar novamente.")</f>
        <v>Quinze anos depois de assassinar sua irmã na noite de Halloween 1963, Michael Myers escapa de um hospital psiquiátrico e retorna à pequena cidade de Haddonfield, Illinois para matar novamente.</v>
      </c>
      <c r="M846" s="1">
        <v>87.0</v>
      </c>
      <c r="N846" s="1" t="s">
        <v>1845</v>
      </c>
      <c r="O846" s="1" t="s">
        <v>4891</v>
      </c>
      <c r="P846" s="1" t="s">
        <v>2937</v>
      </c>
      <c r="Q846" s="1" t="s">
        <v>4892</v>
      </c>
      <c r="R846" s="1" t="s">
        <v>4893</v>
      </c>
      <c r="S846" s="1">
        <v>233106.0</v>
      </c>
      <c r="T846" s="7" t="str">
        <f>VLOOKUP(A846,Posters!A846:B1845,2)</f>
        <v>https://m.media-amazon.com/images/M/MV5BNzk1OGU2NmMtNTdhZC00NjdlLWE5YTMtZTQ0MGExZTQzOGQyXkEyXkFqcGdeQXVyMTQxNzMzNDI@._V1_UX67_CR0,0,67,98_AL_.jpg</v>
      </c>
      <c r="U846" s="8">
        <f>'Inflation Adjusted Gross'!F846</f>
        <v>193994192</v>
      </c>
      <c r="V846" s="5">
        <f t="shared" si="1"/>
        <v>2020</v>
      </c>
    </row>
    <row r="847">
      <c r="A847" s="1">
        <v>846.0</v>
      </c>
      <c r="B847" s="1" t="s">
        <v>4894</v>
      </c>
      <c r="C847" s="6">
        <f>Gross_cleaning!E847</f>
        <v>1924733</v>
      </c>
      <c r="D847" s="1">
        <v>1976.0</v>
      </c>
      <c r="E847" s="1" t="s">
        <v>212</v>
      </c>
      <c r="F847" s="1" t="str">
        <f>VLOOKUP(Filmes_raw!E847,Rating_systems!$A$2:$C$29,3,FALSE)</f>
        <v>Adulto</v>
      </c>
      <c r="G847" s="2">
        <f>Gross_cleaning!F847</f>
        <v>126</v>
      </c>
      <c r="H847" s="1" t="s">
        <v>428</v>
      </c>
      <c r="I847" s="1" t="s">
        <v>1377</v>
      </c>
      <c r="J847" s="1">
        <v>7.7</v>
      </c>
      <c r="K847" s="1" t="s">
        <v>4895</v>
      </c>
      <c r="L847" s="1" t="str">
        <f>IFERROR(__xludf.DUMMYFUNCTION("GOOGLETRANSLATE(K847,""en"", ""pt-br"")"),"Um burocrata aluga um apartamento de Paris, onde ele se encontra atraído em um buraco de coelho de perigoso paranóia.")</f>
        <v>Um burocrata aluga um apartamento de Paris, onde ele se encontra atraído em um buraco de coelho de perigoso paranóia.</v>
      </c>
      <c r="M847" s="1">
        <v>71.0</v>
      </c>
      <c r="N847" s="1" t="s">
        <v>316</v>
      </c>
      <c r="O847" s="1" t="s">
        <v>316</v>
      </c>
      <c r="P847" s="1" t="s">
        <v>4896</v>
      </c>
      <c r="Q847" s="1" t="s">
        <v>2667</v>
      </c>
      <c r="R847" s="1" t="s">
        <v>4897</v>
      </c>
      <c r="S847" s="1">
        <v>39889.0</v>
      </c>
      <c r="T847" s="7" t="str">
        <f>VLOOKUP(A847,Posters!A847:B1846,2)</f>
        <v>https://m.media-amazon.com/images/M/MV5BYmVhMDQ1YWUtYjgxOS00NzYyLWI0ZGItNTg3ZjM0MmQ4NmIwXkEyXkFqcGdeQXVyMjQzMzQzODY@._V1_UY98_CR3,0,67,98_AL_.jpg</v>
      </c>
      <c r="U847" s="8">
        <f>'Inflation Adjusted Gross'!F847</f>
        <v>8930311</v>
      </c>
      <c r="V847" s="5">
        <f t="shared" si="1"/>
        <v>2020</v>
      </c>
    </row>
    <row r="848">
      <c r="A848" s="1">
        <v>847.0</v>
      </c>
      <c r="B848" s="1" t="s">
        <v>4898</v>
      </c>
      <c r="C848" s="6">
        <f>Gross_cleaning!E848</f>
        <v>20123742</v>
      </c>
      <c r="D848" s="1">
        <v>1975.0</v>
      </c>
      <c r="E848" s="1" t="s">
        <v>270</v>
      </c>
      <c r="F848" s="1" t="str">
        <f>VLOOKUP(Filmes_raw!E848,Rating_systems!$A$2:$C$29,3,FALSE)</f>
        <v>Criança</v>
      </c>
      <c r="G848" s="2">
        <f>Gross_cleaning!F848</f>
        <v>85</v>
      </c>
      <c r="H848" s="1" t="s">
        <v>1947</v>
      </c>
      <c r="I848" s="1" t="s">
        <v>1351</v>
      </c>
      <c r="J848" s="1">
        <v>7.7</v>
      </c>
      <c r="K848" s="1" t="s">
        <v>4899</v>
      </c>
      <c r="L848" s="1" t="str">
        <f>IFERROR(__xludf.DUMMYFUNCTION("GOOGLETRANSLATE(K848,""en"", ""pt-br"")"),"Na Rússia czarista, um soldado neurótico e sua prima distante formulam uma trama para assassinar Napoleão.")</f>
        <v>Na Rússia czarista, um soldado neurótico e sua prima distante formulam uma trama para assassinar Napoleão.</v>
      </c>
      <c r="M848" s="1">
        <v>89.0</v>
      </c>
      <c r="N848" s="1" t="s">
        <v>2671</v>
      </c>
      <c r="O848" s="1" t="s">
        <v>2671</v>
      </c>
      <c r="P848" s="1" t="s">
        <v>35</v>
      </c>
      <c r="Q848" s="1" t="s">
        <v>4900</v>
      </c>
      <c r="R848" s="1" t="s">
        <v>4901</v>
      </c>
      <c r="S848" s="1">
        <v>36037.0</v>
      </c>
      <c r="T848" s="7" t="str">
        <f>VLOOKUP(A848,Posters!A848:B1847,2)</f>
        <v>https://m.media-amazon.com/images/M/MV5BMTYxMDk1NTA5NF5BMl5BanBnXkFtZTcwNDkzNzA2NA@@._V1_UX67_CR0,0,67,98_AL_.jpg</v>
      </c>
      <c r="U848" s="8">
        <f>'Inflation Adjusted Gross'!F848</f>
        <v>99641878</v>
      </c>
      <c r="V848" s="5">
        <f t="shared" si="1"/>
        <v>2020</v>
      </c>
    </row>
    <row r="849">
      <c r="A849" s="1">
        <v>848.0</v>
      </c>
      <c r="B849" s="1" t="s">
        <v>4902</v>
      </c>
      <c r="C849" s="6">
        <f>Gross_cleaning!E849</f>
        <v>5000000</v>
      </c>
      <c r="D849" s="1">
        <v>1974.0</v>
      </c>
      <c r="E849" s="1" t="s">
        <v>52</v>
      </c>
      <c r="F849" s="1" t="str">
        <f>VLOOKUP(Filmes_raw!E849,Rating_systems!$A$2:$C$29,3,FALSE)</f>
        <v>Criança</v>
      </c>
      <c r="G849" s="2">
        <f>Gross_cleaning!F849</f>
        <v>104</v>
      </c>
      <c r="H849" s="1" t="s">
        <v>647</v>
      </c>
      <c r="I849" s="1" t="s">
        <v>2169</v>
      </c>
      <c r="J849" s="1">
        <v>7.7</v>
      </c>
      <c r="K849" s="1" t="s">
        <v>4903</v>
      </c>
      <c r="L849" s="1" t="str">
        <f>IFERROR(__xludf.DUMMYFUNCTION("GOOGLETRANSLATE(K849,""en"", ""pt-br"")"),"Em Nova York, os homens armados seqüestram um carro de metrô e exigem um resgate para os passageiros. Mesmo que seja pago, como eles poderiam fugir?")</f>
        <v>Em Nova York, os homens armados seqüestram um carro de metrô e exigem um resgate para os passageiros. Mesmo que seja pago, como eles poderiam fugir?</v>
      </c>
      <c r="M849" s="1">
        <v>68.0</v>
      </c>
      <c r="N849" s="1" t="s">
        <v>4904</v>
      </c>
      <c r="O849" s="1" t="s">
        <v>2596</v>
      </c>
      <c r="P849" s="1" t="s">
        <v>836</v>
      </c>
      <c r="Q849" s="1" t="s">
        <v>58</v>
      </c>
      <c r="R849" s="1" t="s">
        <v>4905</v>
      </c>
      <c r="S849" s="1">
        <v>26729.0</v>
      </c>
      <c r="T849" s="7" t="str">
        <f>VLOOKUP(A849,Posters!A849:B1848,2)</f>
        <v>https://m.media-amazon.com/images/M/MV5BMjE1NDY0NDk3Ml5BMl5BanBnXkFtZTcwMTAzMTM3NA@@._V1_UX67_CR0,0,67,98_AL_.jpg</v>
      </c>
      <c r="U849" s="8">
        <f>'Inflation Adjusted Gross'!F849</f>
        <v>27679292</v>
      </c>
      <c r="V849" s="5">
        <f t="shared" si="1"/>
        <v>2020</v>
      </c>
    </row>
    <row r="850">
      <c r="A850" s="1">
        <v>849.0</v>
      </c>
      <c r="B850" s="1" t="s">
        <v>4906</v>
      </c>
      <c r="C850" s="6">
        <f>Gross_cleaning!E850</f>
        <v>119500000</v>
      </c>
      <c r="D850" s="1">
        <v>1974.0</v>
      </c>
      <c r="E850" s="1" t="s">
        <v>18</v>
      </c>
      <c r="F850" s="1" t="str">
        <f>VLOOKUP(Filmes_raw!E850,Rating_systems!$A$2:$C$29,3,FALSE)</f>
        <v>Adulto</v>
      </c>
      <c r="G850" s="2">
        <f>Gross_cleaning!F850</f>
        <v>93</v>
      </c>
      <c r="H850" s="1" t="s">
        <v>1521</v>
      </c>
      <c r="I850" s="1" t="s">
        <v>4907</v>
      </c>
      <c r="J850" s="1">
        <v>7.7</v>
      </c>
      <c r="K850" s="1" t="s">
        <v>4908</v>
      </c>
      <c r="L850" s="1" t="str">
        <f>IFERROR(__xludf.DUMMYFUNCTION("GOOGLETRANSLATE(K850,""en"", ""pt-br"")"),"Para arruinar uma cidade ocidental, um político corrupto nomeia um xerife negro, que prontamente se torna seu adversário mais formidável.")</f>
        <v>Para arruinar uma cidade ocidental, um político corrupto nomeia um xerife negro, que prontamente se torna seu adversário mais formidável.</v>
      </c>
      <c r="M850" s="1">
        <v>73.0</v>
      </c>
      <c r="N850" s="1" t="s">
        <v>2686</v>
      </c>
      <c r="O850" s="1" t="s">
        <v>4909</v>
      </c>
      <c r="P850" s="1" t="s">
        <v>2687</v>
      </c>
      <c r="Q850" s="1" t="s">
        <v>4910</v>
      </c>
      <c r="R850" s="1" t="s">
        <v>4911</v>
      </c>
      <c r="S850" s="1">
        <v>125993.0</v>
      </c>
      <c r="T850" s="7" t="str">
        <f>VLOOKUP(A850,Posters!A850:B1849,2)</f>
        <v>https://m.media-amazon.com/images/M/MV5BZGZmMWE1MDYtNzAyNC00MDMzLTgzZjQtNTQ5NjYzN2E4MzkzXkEyXkFqcGdeQXVyNDk3NzU2MTQ@._V1_UX67_CR0,0,67,98_AL_.jpg</v>
      </c>
      <c r="U850" s="8">
        <f>'Inflation Adjusted Gross'!F850</f>
        <v>661535075</v>
      </c>
      <c r="V850" s="5">
        <f t="shared" si="1"/>
        <v>2020</v>
      </c>
    </row>
    <row r="851">
      <c r="A851" s="1">
        <v>850.0</v>
      </c>
      <c r="B851" s="1" t="s">
        <v>4912</v>
      </c>
      <c r="C851" s="6">
        <f>Gross_cleaning!E851</f>
        <v>29800000</v>
      </c>
      <c r="D851" s="1">
        <v>1973.0</v>
      </c>
      <c r="E851" s="1" t="s">
        <v>18</v>
      </c>
      <c r="F851" s="1" t="str">
        <f>VLOOKUP(Filmes_raw!E851,Rating_systems!$A$2:$C$29,3,FALSE)</f>
        <v>Adulto</v>
      </c>
      <c r="G851" s="2">
        <f>Gross_cleaning!F851</f>
        <v>130</v>
      </c>
      <c r="H851" s="1" t="s">
        <v>195</v>
      </c>
      <c r="I851" s="1" t="s">
        <v>137</v>
      </c>
      <c r="J851" s="1">
        <v>7.7</v>
      </c>
      <c r="K851" s="1" t="s">
        <v>4913</v>
      </c>
      <c r="L851" s="1" t="str">
        <f>IFERROR(__xludf.DUMMYFUNCTION("GOOGLETRANSLATE(K851,""en"", ""pt-br"")"),"Um policial honesto de Nova York chamado Frank Serpico sopra o assobio na corrupção desenfreada na força apenas para que seus companheiros se voltem contra ele.")</f>
        <v>Um policial honesto de Nova York chamado Frank Serpico sopra o assobio na corrupção desenfreada na força apenas para que seus companheiros se voltem contra ele.</v>
      </c>
      <c r="M851" s="1">
        <v>87.0</v>
      </c>
      <c r="N851" s="1" t="s">
        <v>55</v>
      </c>
      <c r="O851" s="1" t="s">
        <v>33</v>
      </c>
      <c r="P851" s="1" t="s">
        <v>4914</v>
      </c>
      <c r="Q851" s="1" t="s">
        <v>4915</v>
      </c>
      <c r="R851" s="1" t="s">
        <v>4916</v>
      </c>
      <c r="S851" s="1">
        <v>109941.0</v>
      </c>
      <c r="T851" s="7" t="str">
        <f>VLOOKUP(A851,Posters!A851:B1850,2)</f>
        <v>https://m.media-amazon.com/images/M/MV5BYTU4ZTI0NzAtYzMwNi00YmMxLThmZWItNTY5NzgyMDAwYWVhXkEyXkFqcGdeQXVyNjUwNzk3NDc@._V1_UX67_CR0,0,67,98_AL_.jpg</v>
      </c>
      <c r="U851" s="8">
        <f>'Inflation Adjusted Gross'!F851</f>
        <v>180458587</v>
      </c>
      <c r="V851" s="5">
        <f t="shared" si="1"/>
        <v>2020</v>
      </c>
    </row>
    <row r="852">
      <c r="A852" s="1">
        <v>851.0</v>
      </c>
      <c r="B852" s="1" t="s">
        <v>4917</v>
      </c>
      <c r="C852" s="6">
        <f>Gross_cleaning!E852</f>
        <v>25000000</v>
      </c>
      <c r="D852" s="1">
        <v>1973.0</v>
      </c>
      <c r="E852" s="1" t="s">
        <v>18</v>
      </c>
      <c r="F852" s="1" t="str">
        <f>VLOOKUP(Filmes_raw!E852,Rating_systems!$A$2:$C$29,3,FALSE)</f>
        <v>Adulto</v>
      </c>
      <c r="G852" s="2">
        <f>Gross_cleaning!F852</f>
        <v>102</v>
      </c>
      <c r="H852" s="1" t="s">
        <v>405</v>
      </c>
      <c r="I852" s="1" t="s">
        <v>39</v>
      </c>
      <c r="J852" s="1">
        <v>7.7</v>
      </c>
      <c r="K852" s="1" t="s">
        <v>4918</v>
      </c>
      <c r="L852" s="1" t="str">
        <f>IFERROR(__xludf.DUMMYFUNCTION("GOOGLETRANSLATE(K852,""en"", ""pt-br"")"),"Um agente secreto chega a uma fortaleza da ilha do ópio com outros combatentes para um torneio de artes marciais.")</f>
        <v>Um agente secreto chega a uma fortaleza da ilha do ópio com outros combatentes para um torneio de artes marciais.</v>
      </c>
      <c r="M852" s="1">
        <v>83.0</v>
      </c>
      <c r="N852" s="1" t="s">
        <v>4919</v>
      </c>
      <c r="O852" s="1" t="s">
        <v>4920</v>
      </c>
      <c r="P852" s="1" t="s">
        <v>4921</v>
      </c>
      <c r="Q852" s="1" t="s">
        <v>4922</v>
      </c>
      <c r="R852" s="1" t="s">
        <v>4923</v>
      </c>
      <c r="S852" s="1">
        <v>96561.0</v>
      </c>
      <c r="T852" s="7" t="str">
        <f>VLOOKUP(A852,Posters!A852:B1851,2)</f>
        <v>https://m.media-amazon.com/images/M/MV5BNGZiMTkyNzQtMDdmZi00ZDNkLWE4YTAtZGNlNTIzYzQyMGM2XkEyXkFqcGdeQXVyNjc1NTYyMjg@._V1_UX67_CR0,0,67,98_AL_.jpg</v>
      </c>
      <c r="U852" s="8">
        <f>'Inflation Adjusted Gross'!F852</f>
        <v>151391432</v>
      </c>
      <c r="V852" s="5">
        <f t="shared" si="1"/>
        <v>2020</v>
      </c>
    </row>
    <row r="853">
      <c r="A853" s="1">
        <v>852.0</v>
      </c>
      <c r="B853" s="1" t="s">
        <v>4924</v>
      </c>
      <c r="C853" s="6">
        <f>Gross_cleaning!E853</f>
        <v>7056013</v>
      </c>
      <c r="D853" s="1">
        <v>1972.0</v>
      </c>
      <c r="E853" s="1" t="s">
        <v>52</v>
      </c>
      <c r="F853" s="1" t="str">
        <f>VLOOKUP(Filmes_raw!E853,Rating_systems!$A$2:$C$29,3,FALSE)</f>
        <v>Criança</v>
      </c>
      <c r="G853" s="2">
        <f>Gross_cleaning!F853</f>
        <v>109</v>
      </c>
      <c r="H853" s="1" t="s">
        <v>396</v>
      </c>
      <c r="I853" s="1" t="s">
        <v>817</v>
      </c>
      <c r="J853" s="1">
        <v>7.7</v>
      </c>
      <c r="K853" s="1" t="s">
        <v>4925</v>
      </c>
      <c r="L853" s="1" t="str">
        <f>IFERROR(__xludf.DUMMYFUNCTION("GOOGLETRANSLATE(K853,""en"", ""pt-br"")"),"Intenção de ver o rio Cahulawassee antes de ser dammed e se transformou em um lago, o fanático ao ar livre Lewis Medlock leva seus amigos em uma viagem de canoagem que eles nunca esquecerão do perigoso país americano.")</f>
        <v>Intenção de ver o rio Cahulawassee antes de ser dammed e se transformou em um lago, o fanático ao ar livre Lewis Medlock leva seus amigos em uma viagem de canoagem que eles nunca esquecerão do perigoso país americano.</v>
      </c>
      <c r="M853" s="1">
        <v>80.0</v>
      </c>
      <c r="N853" s="1" t="s">
        <v>4926</v>
      </c>
      <c r="O853" s="1" t="s">
        <v>1178</v>
      </c>
      <c r="P853" s="1" t="s">
        <v>3230</v>
      </c>
      <c r="Q853" s="1" t="s">
        <v>1107</v>
      </c>
      <c r="R853" s="1" t="s">
        <v>4927</v>
      </c>
      <c r="S853" s="1">
        <v>98740.0</v>
      </c>
      <c r="T853" s="7" t="str">
        <f>VLOOKUP(A853,Posters!A853:B1852,2)</f>
        <v>https://m.media-amazon.com/images/M/MV5BZjBhYzU3NWItOWZjMy00NjI5LWFmYmItZmIyOWFlMDIxMWNiXkEyXkFqcGdeQXVyMTQxNzMzNDI@._V1_UX67_CR0,0,67,98_AL_.jpg</v>
      </c>
      <c r="U853" s="8">
        <f>'Inflation Adjusted Gross'!F853</f>
        <v>44288242</v>
      </c>
      <c r="V853" s="5">
        <f t="shared" si="1"/>
        <v>2020</v>
      </c>
    </row>
    <row r="854">
      <c r="A854" s="1">
        <v>853.0</v>
      </c>
      <c r="B854" s="1" t="s">
        <v>4928</v>
      </c>
      <c r="C854" s="6">
        <f>Gross_cleaning!E854</f>
        <v>15630710</v>
      </c>
      <c r="D854" s="1">
        <v>1971.0</v>
      </c>
      <c r="E854" s="1" t="s">
        <v>18</v>
      </c>
      <c r="F854" s="1" t="str">
        <f>VLOOKUP(Filmes_raw!E854,Rating_systems!$A$2:$C$29,3,FALSE)</f>
        <v>Adulto</v>
      </c>
      <c r="G854" s="2">
        <f>Gross_cleaning!F854</f>
        <v>104</v>
      </c>
      <c r="H854" s="1" t="s">
        <v>647</v>
      </c>
      <c r="I854" s="1" t="s">
        <v>39</v>
      </c>
      <c r="J854" s="1">
        <v>7.7</v>
      </c>
      <c r="K854" s="1" t="s">
        <v>4929</v>
      </c>
      <c r="L854" s="1" t="str">
        <f>IFERROR(__xludf.DUMMYFUNCTION("GOOGLETRANSLATE(K854,""en"", ""pt-br"")"),"Um par de policiais NYC no bureau de narcóticos tropeçam em um trabalho de contrabando de drogas com uma conexão francesa.")</f>
        <v>Um par de policiais NYC no bureau de narcóticos tropeçam em um trabalho de contrabando de drogas com uma conexão francesa.</v>
      </c>
      <c r="M854" s="1">
        <v>94.0</v>
      </c>
      <c r="N854" s="1" t="s">
        <v>2698</v>
      </c>
      <c r="O854" s="1" t="s">
        <v>1191</v>
      </c>
      <c r="P854" s="1" t="s">
        <v>2677</v>
      </c>
      <c r="Q854" s="1" t="s">
        <v>3349</v>
      </c>
      <c r="R854" s="1" t="s">
        <v>4930</v>
      </c>
      <c r="S854" s="1">
        <v>110075.0</v>
      </c>
      <c r="T854" s="7" t="str">
        <f>VLOOKUP(A854,Posters!A854:B1853,2)</f>
        <v>https://m.media-amazon.com/images/M/MV5BOTZhY2E3NmItMGIwNi00OTA2LThkYmEtODFiZTM0NGI0ZWU5XkEyXkFqcGdeQXVyNTc1NTQxODI@._V1_UY98_CR1,0,67,98_AL_.jpg</v>
      </c>
      <c r="U854" s="8">
        <f>'Inflation Adjusted Gross'!F854</f>
        <v>101313314</v>
      </c>
      <c r="V854" s="5">
        <f t="shared" si="1"/>
        <v>2020</v>
      </c>
    </row>
    <row r="855">
      <c r="A855" s="1">
        <v>854.0</v>
      </c>
      <c r="B855" s="1" t="s">
        <v>4931</v>
      </c>
      <c r="C855" s="6">
        <f>Gross_cleaning!E855</f>
        <v>35900000</v>
      </c>
      <c r="D855" s="1">
        <v>1971.0</v>
      </c>
      <c r="E855" s="1" t="s">
        <v>18</v>
      </c>
      <c r="F855" s="1" t="str">
        <f>VLOOKUP(Filmes_raw!E855,Rating_systems!$A$2:$C$29,3,FALSE)</f>
        <v>Adulto</v>
      </c>
      <c r="G855" s="2">
        <f>Gross_cleaning!F855</f>
        <v>102</v>
      </c>
      <c r="H855" s="1" t="s">
        <v>405</v>
      </c>
      <c r="I855" s="1" t="s">
        <v>2169</v>
      </c>
      <c r="J855" s="1">
        <v>7.7</v>
      </c>
      <c r="K855" s="1" t="s">
        <v>4932</v>
      </c>
      <c r="L855" s="1" t="str">
        <f>IFERROR(__xludf.DUMMYFUNCTION("GOOGLETRANSLATE(K855,""en"", ""pt-br"")"),"Quando um louco se chamando ""The Scorpio Killer"" ameaça a cidade, resistente às unhas San Francisco Police Inspector ""sujo"", Harry Callahan é designado para rastrear e ferir fora o psicopata enlouquecido.")</f>
        <v>Quando um louco se chamando "The Scorpio Killer" ameaça a cidade, resistente às unhas San Francisco Police Inspector "sujo", Harry Callahan é designado para rastrear e ferir fora o psicopata enlouquecido.</v>
      </c>
      <c r="M855" s="1">
        <v>90.0</v>
      </c>
      <c r="N855" s="1" t="s">
        <v>4933</v>
      </c>
      <c r="O855" s="1" t="s">
        <v>119</v>
      </c>
      <c r="P855" s="1" t="s">
        <v>4934</v>
      </c>
      <c r="Q855" s="1" t="s">
        <v>4935</v>
      </c>
      <c r="R855" s="1" t="s">
        <v>4936</v>
      </c>
      <c r="S855" s="1">
        <v>143292.0</v>
      </c>
      <c r="T855" s="7" t="str">
        <f>VLOOKUP(A855,Posters!A855:B1854,2)</f>
        <v>https://m.media-amazon.com/images/M/MV5BMzdhMTM2YTItOWU2YS00MTM0LTgyNDYtMDM1OWM3NzkzNTM2XkEyXkFqcGdeQXVyNjc1NTYyMjg@._V1_UX67_CR0,0,67,98_AL_.jpg</v>
      </c>
      <c r="U855" s="8">
        <f>'Inflation Adjusted Gross'!F855</f>
        <v>232692435</v>
      </c>
      <c r="V855" s="5">
        <f t="shared" si="1"/>
        <v>2020</v>
      </c>
    </row>
    <row r="856">
      <c r="A856" s="1">
        <v>855.0</v>
      </c>
      <c r="B856" s="1" t="s">
        <v>4937</v>
      </c>
      <c r="C856" s="6">
        <f>Gross_cleaning!E856</f>
        <v>7100000</v>
      </c>
      <c r="D856" s="1">
        <v>1968.0</v>
      </c>
      <c r="E856" s="1" t="s">
        <v>52</v>
      </c>
      <c r="F856" s="1" t="str">
        <f>VLOOKUP(Filmes_raw!E856,Rating_systems!$A$2:$C$29,3,FALSE)</f>
        <v>Criança</v>
      </c>
      <c r="G856" s="2">
        <f>Gross_cleaning!F856</f>
        <v>158</v>
      </c>
      <c r="H856" s="1" t="s">
        <v>1089</v>
      </c>
      <c r="I856" s="1" t="s">
        <v>4938</v>
      </c>
      <c r="J856" s="1">
        <v>7.7</v>
      </c>
      <c r="K856" s="1" t="s">
        <v>4939</v>
      </c>
      <c r="L856" s="1" t="str">
        <f>IFERROR(__xludf.DUMMYFUNCTION("GOOGLETRANSLATE(K856,""en"", ""pt-br"")"),"Agentes aliados Estágio a um ataque ousado em um castelo, onde os nazistas estão segurando o general da American Brigadei George Carnaby Prisoner, mas isso não é tudo que está realmente acontecendo.")</f>
        <v>Agentes aliados Estágio a um ataque ousado em um castelo, onde os nazistas estão segurando o general da American Brigadei George Carnaby Prisoner, mas isso não é tudo que está realmente acontecendo.</v>
      </c>
      <c r="M856" s="1">
        <v>63.0</v>
      </c>
      <c r="N856" s="1" t="s">
        <v>4940</v>
      </c>
      <c r="O856" s="1" t="s">
        <v>2744</v>
      </c>
      <c r="P856" s="1" t="s">
        <v>119</v>
      </c>
      <c r="Q856" s="1" t="s">
        <v>4941</v>
      </c>
      <c r="R856" s="1" t="s">
        <v>4942</v>
      </c>
      <c r="S856" s="1">
        <v>51913.0</v>
      </c>
      <c r="T856" s="7" t="str">
        <f>VLOOKUP(A856,Posters!A856:B1855,2)</f>
        <v>https://m.media-amazon.com/images/M/MV5BNGE3ZWZiNzktMDIyOC00ZmVhLThjZTktZjQ5NjI4NGVhMDBlXkEyXkFqcGdeQXVyMjI4MjA5MzA@._V1_UX67_CR0,0,67,98_AL_.jpg</v>
      </c>
      <c r="U856" s="8">
        <f>'Inflation Adjusted Gross'!F856</f>
        <v>53712437</v>
      </c>
      <c r="V856" s="5">
        <f t="shared" si="1"/>
        <v>2020</v>
      </c>
    </row>
    <row r="857">
      <c r="A857" s="1">
        <v>856.0</v>
      </c>
      <c r="B857" s="1" t="s">
        <v>4943</v>
      </c>
      <c r="C857" s="6">
        <f>Gross_cleaning!E857</f>
        <v>44527234</v>
      </c>
      <c r="D857" s="1">
        <v>1968.0</v>
      </c>
      <c r="E857" s="1" t="s">
        <v>414</v>
      </c>
      <c r="F857" s="1" t="str">
        <f>VLOOKUP(Filmes_raw!E857,Rating_systems!$A$2:$C$29,3,FALSE)</f>
        <v>Criança</v>
      </c>
      <c r="G857" s="2">
        <f>Gross_cleaning!F857</f>
        <v>105</v>
      </c>
      <c r="H857" s="1" t="s">
        <v>487</v>
      </c>
      <c r="I857" s="1" t="s">
        <v>602</v>
      </c>
      <c r="J857" s="1">
        <v>7.7</v>
      </c>
      <c r="K857" s="1" t="s">
        <v>4944</v>
      </c>
      <c r="L857" s="1" t="str">
        <f>IFERROR(__xludf.DUMMYFUNCTION("GOOGLETRANSLATE(K857,""en"", ""pt-br"")"),"Dois amigos tentam compartilhar um apartamento, mas suas idéias de arrumação e estilos de vida são tão diferentes quanto a noite e o dia.")</f>
        <v>Dois amigos tentam compartilhar um apartamento, mas suas idéias de arrumação e estilos de vida são tão diferentes quanto a noite e o dia.</v>
      </c>
      <c r="M857" s="1">
        <v>86.0</v>
      </c>
      <c r="N857" s="1" t="s">
        <v>4945</v>
      </c>
      <c r="O857" s="1" t="s">
        <v>866</v>
      </c>
      <c r="P857" s="1" t="s">
        <v>2596</v>
      </c>
      <c r="Q857" s="1" t="s">
        <v>59</v>
      </c>
      <c r="R857" s="1" t="s">
        <v>4946</v>
      </c>
      <c r="S857" s="1">
        <v>31572.0</v>
      </c>
      <c r="T857" s="7" t="str">
        <f>VLOOKUP(A857,Posters!A857:B1856,2)</f>
        <v>https://m.media-amazon.com/images/M/MV5BZDVhNzQxZDEtMzcyZC00ZDg1LWFkZDctOWYxZTY0ZmYzYjc2XkEyXkFqcGdeQXVyMjA0MDQ0Mjc@._V1_UX67_CR0,0,67,98_AL_.jpg</v>
      </c>
      <c r="U857" s="8">
        <f>'Inflation Adjusted Gross'!F857</f>
        <v>336854401</v>
      </c>
      <c r="V857" s="5">
        <f t="shared" si="1"/>
        <v>2020</v>
      </c>
    </row>
    <row r="858">
      <c r="A858" s="1">
        <v>857.0</v>
      </c>
      <c r="B858" s="1" t="s">
        <v>4947</v>
      </c>
      <c r="C858" s="6">
        <f>Gross_cleaning!E858</f>
        <v>45300000</v>
      </c>
      <c r="D858" s="1">
        <v>1967.0</v>
      </c>
      <c r="E858" s="1">
        <v>16.0</v>
      </c>
      <c r="F858" s="1" t="str">
        <f>VLOOKUP(Filmes_raw!E858,Rating_systems!$A$2:$C$29,3,FALSE)</f>
        <v>Adolescente</v>
      </c>
      <c r="G858" s="2">
        <f>Gross_cleaning!F858</f>
        <v>150</v>
      </c>
      <c r="H858" s="1" t="s">
        <v>313</v>
      </c>
      <c r="I858" s="1" t="s">
        <v>4938</v>
      </c>
      <c r="J858" s="1">
        <v>7.7</v>
      </c>
      <c r="K858" s="1" t="s">
        <v>4948</v>
      </c>
      <c r="L858" s="1" t="str">
        <f>IFERROR(__xludf.DUMMYFUNCTION("GOOGLETRANSLATE(K858,""en"", ""pt-br"")"),"Durante a Segunda Guerra Mundial, uma dose rebelde dos EUA é atribuído uma dúzia de assassinos condenados a treinar e levá-los a uma missão de assassinato de massa dos oficiais alemães.")</f>
        <v>Durante a Segunda Guerra Mundial, uma dose rebelde dos EUA é atribuído uma dúzia de assassinos condenados a treinar e levá-los a uma missão de assassinato de massa dos oficiais alemães.</v>
      </c>
      <c r="M858" s="1">
        <v>73.0</v>
      </c>
      <c r="N858" s="1" t="s">
        <v>1974</v>
      </c>
      <c r="O858" s="1" t="s">
        <v>1986</v>
      </c>
      <c r="P858" s="1" t="s">
        <v>3373</v>
      </c>
      <c r="Q858" s="1" t="s">
        <v>392</v>
      </c>
      <c r="R858" s="1" t="s">
        <v>2729</v>
      </c>
      <c r="S858" s="1">
        <v>67183.0</v>
      </c>
      <c r="T858" s="7" t="str">
        <f>VLOOKUP(A858,Posters!A858:B1857,2)</f>
        <v>https://m.media-amazon.com/images/M/MV5BM2Y1ZTI0NzktYzU3MS00YmE1LThkY2EtMDc0NGYxNTNlZDA5XkEyXkFqcGdeQXVyNTAyODkwOQ@@._V1_UX67_CR0,0,67,98_AL_.jpg</v>
      </c>
      <c r="U858" s="8">
        <f>'Inflation Adjusted Gross'!F858</f>
        <v>355200191</v>
      </c>
      <c r="V858" s="5">
        <f t="shared" si="1"/>
        <v>2020</v>
      </c>
    </row>
    <row r="859">
      <c r="A859" s="1">
        <v>858.0</v>
      </c>
      <c r="B859" s="1" t="s">
        <v>4949</v>
      </c>
      <c r="C859" s="6">
        <f>Gross_cleaning!E859</f>
        <v>26331</v>
      </c>
      <c r="D859" s="1">
        <v>1967.0</v>
      </c>
      <c r="E859" s="1" t="s">
        <v>18</v>
      </c>
      <c r="F859" s="1" t="str">
        <f>VLOOKUP(Filmes_raw!E859,Rating_systems!$A$2:$C$29,3,FALSE)</f>
        <v>Adulto</v>
      </c>
      <c r="G859" s="2">
        <f>Gross_cleaning!F859</f>
        <v>100</v>
      </c>
      <c r="H859" s="1" t="s">
        <v>1439</v>
      </c>
      <c r="I859" s="1" t="s">
        <v>107</v>
      </c>
      <c r="J859" s="1">
        <v>7.7</v>
      </c>
      <c r="K859" s="1" t="s">
        <v>4950</v>
      </c>
      <c r="L859" s="1" t="str">
        <f>IFERROR(__xludf.DUMMYFUNCTION("GOOGLETRANSLATE(K859,""en"", ""pt-br"")"),"Uma jovem dona de casa frígida decide passar suas tardes no meio da semana como uma prostituta.")</f>
        <v>Uma jovem dona de casa frígida decide passar suas tardes no meio da semana como uma prostituta.</v>
      </c>
      <c r="N859" s="1" t="s">
        <v>1966</v>
      </c>
      <c r="O859" s="1" t="s">
        <v>2346</v>
      </c>
      <c r="P859" s="1" t="s">
        <v>4951</v>
      </c>
      <c r="Q859" s="1" t="s">
        <v>4952</v>
      </c>
      <c r="R859" s="1" t="s">
        <v>4953</v>
      </c>
      <c r="S859" s="1">
        <v>40274.0</v>
      </c>
      <c r="T859" s="7" t="str">
        <f>VLOOKUP(A859,Posters!A859:B1858,2)</f>
        <v>https://m.media-amazon.com/images/M/MV5BZjNkNGJjYWEtM2IyNi00ZjM5LWFlYjYtYjQ4NTU5MGFlMTI2XkEyXkFqcGdeQXVyMTMxMTY0OTQ@._V1_UY98_CR3,0,67,98_AL_.jpg</v>
      </c>
      <c r="U859" s="8">
        <f>'Inflation Adjusted Gross'!F859</f>
        <v>206463</v>
      </c>
      <c r="V859" s="5">
        <f t="shared" si="1"/>
        <v>2020</v>
      </c>
    </row>
    <row r="860">
      <c r="A860" s="1">
        <v>859.0</v>
      </c>
      <c r="B860" s="1" t="s">
        <v>4954</v>
      </c>
      <c r="C860" s="6">
        <f>Gross_cleaning!E860</f>
        <v>28350000</v>
      </c>
      <c r="D860" s="1">
        <v>1966.0</v>
      </c>
      <c r="E860" s="1" t="s">
        <v>52</v>
      </c>
      <c r="F860" s="1" t="str">
        <f>VLOOKUP(Filmes_raw!E860,Rating_systems!$A$2:$C$29,3,FALSE)</f>
        <v>Criança</v>
      </c>
      <c r="G860" s="2">
        <f>Gross_cleaning!F860</f>
        <v>120</v>
      </c>
      <c r="H860" s="1" t="s">
        <v>1546</v>
      </c>
      <c r="I860" s="1" t="s">
        <v>79</v>
      </c>
      <c r="J860" s="1">
        <v>7.7</v>
      </c>
      <c r="K860" s="1" t="s">
        <v>4955</v>
      </c>
      <c r="L860" s="1" t="str">
        <f>IFERROR(__xludf.DUMMYFUNCTION("GOOGLETRANSLATE(K860,""en"", ""pt-br"")"),"A história de Sir Thomas mais, que se levantou ao rei Henry VIII quando o rei rejeitou a Igreja Católica Romana para obter um divórcio e remarry.")</f>
        <v>A história de Sir Thomas mais, que se levantou ao rei Henry VIII quando o rei rejeitou a Igreja Católica Romana para obter um divórcio e remarry.</v>
      </c>
      <c r="M860" s="1">
        <v>72.0</v>
      </c>
      <c r="N860" s="1" t="s">
        <v>3435</v>
      </c>
      <c r="O860" s="1" t="s">
        <v>4956</v>
      </c>
      <c r="P860" s="1" t="s">
        <v>4957</v>
      </c>
      <c r="Q860" s="1" t="s">
        <v>836</v>
      </c>
      <c r="R860" s="1" t="s">
        <v>4958</v>
      </c>
      <c r="S860" s="1">
        <v>31222.0</v>
      </c>
      <c r="T860" s="7" t="str">
        <f>VLOOKUP(A860,Posters!A860:B1859,2)</f>
        <v>https://m.media-amazon.com/images/M/MV5BMTRjOTA1NzctNzFmMy00ZjcwLWExYjgtYWQyZDM5ZWY1Y2JlXkEyXkFqcGdeQXVyMDI2NDg0NQ@@._V1_UX67_CR0,0,67,98_AL_.jpg</v>
      </c>
      <c r="U860" s="8">
        <f>'Inflation Adjusted Gross'!F860</f>
        <v>229983580</v>
      </c>
      <c r="V860" s="5">
        <f t="shared" si="1"/>
        <v>2020</v>
      </c>
    </row>
    <row r="861">
      <c r="A861" s="1">
        <v>860.0</v>
      </c>
      <c r="B861" s="1" t="s">
        <v>4959</v>
      </c>
      <c r="C861" s="6">
        <f>Gross_cleaning!E861</f>
        <v>33174</v>
      </c>
      <c r="D861" s="1">
        <v>1965.0</v>
      </c>
      <c r="E861" s="1">
        <v>14.0</v>
      </c>
      <c r="F861" s="1" t="str">
        <f>VLOOKUP(Filmes_raw!E861,Rating_systems!$A$2:$C$29,3,FALSE)</f>
        <v>Adolescente</v>
      </c>
      <c r="G861" s="2">
        <f>Gross_cleaning!F861</f>
        <v>105</v>
      </c>
      <c r="H861" s="1" t="s">
        <v>487</v>
      </c>
      <c r="I861" s="1" t="s">
        <v>1972</v>
      </c>
      <c r="J861" s="1">
        <v>7.7</v>
      </c>
      <c r="K861" s="1" t="s">
        <v>4960</v>
      </c>
      <c r="L861" s="1" t="str">
        <f>IFERROR(__xludf.DUMMYFUNCTION("GOOGLETRANSLATE(K861,""en"", ""pt-br"")"),"Uma mulher repelida de sexo que desaprova do namorado de sua irmã afunda em depressão e tem visões horríveis de estupro e violência.")</f>
        <v>Uma mulher repelida de sexo que desaprova do namorado de sua irmã afunda em depressão e tem visões horríveis de estupro e violência.</v>
      </c>
      <c r="M861" s="1">
        <v>91.0</v>
      </c>
      <c r="N861" s="1" t="s">
        <v>316</v>
      </c>
      <c r="O861" s="1" t="s">
        <v>2346</v>
      </c>
      <c r="P861" s="1" t="s">
        <v>4961</v>
      </c>
      <c r="Q861" s="1" t="s">
        <v>4962</v>
      </c>
      <c r="R861" s="1" t="s">
        <v>2786</v>
      </c>
      <c r="S861" s="1">
        <v>48883.0</v>
      </c>
      <c r="T861" s="7" t="str">
        <f>VLOOKUP(A861,Posters!A861:B1860,2)</f>
        <v>https://m.media-amazon.com/images/M/MV5BZTU5ZThjNzAtNjc4NC00OTViLWIxYTYtODFmMTk5Y2NjZjZiL2ltYWdlL2ltYWdlXkEyXkFqcGdeQXVyNjc1NTYyMjg@._V1_UX67_CR0,0,67,98_AL_.jpg</v>
      </c>
      <c r="U861" s="8">
        <f>'Inflation Adjusted Gross'!F861</f>
        <v>274293</v>
      </c>
      <c r="V861" s="5">
        <f t="shared" si="1"/>
        <v>2020</v>
      </c>
    </row>
    <row r="862">
      <c r="A862" s="1">
        <v>861.0</v>
      </c>
      <c r="B862" s="1" t="s">
        <v>4963</v>
      </c>
      <c r="C862" s="6">
        <f>Gross_cleaning!E862</f>
        <v>1720000</v>
      </c>
      <c r="D862" s="1">
        <v>1964.0</v>
      </c>
      <c r="E862" s="1" t="s">
        <v>52</v>
      </c>
      <c r="F862" s="1" t="str">
        <f>VLOOKUP(Filmes_raw!E862,Rating_systems!$A$2:$C$29,3,FALSE)</f>
        <v>Criança</v>
      </c>
      <c r="G862" s="2">
        <f>Gross_cleaning!F862</f>
        <v>138</v>
      </c>
      <c r="H862" s="1" t="s">
        <v>947</v>
      </c>
      <c r="I862" s="1" t="s">
        <v>2661</v>
      </c>
      <c r="J862" s="1">
        <v>7.7</v>
      </c>
      <c r="K862" s="1" t="s">
        <v>4964</v>
      </c>
      <c r="L862" s="1" t="str">
        <f>IFERROR(__xludf.DUMMYFUNCTION("GOOGLETRANSLATE(K862,""en"", ""pt-br"")"),"Soldados britânicos superados batam com guerreiros Zulu na deriva de Rorkke.")</f>
        <v>Soldados britânicos superados batam com guerreiros Zulu na deriva de Rorkke.</v>
      </c>
      <c r="M862" s="1">
        <v>77.0</v>
      </c>
      <c r="N862" s="1" t="s">
        <v>4965</v>
      </c>
      <c r="O862" s="1" t="s">
        <v>4966</v>
      </c>
      <c r="P862" s="1" t="s">
        <v>863</v>
      </c>
      <c r="Q862" s="1" t="s">
        <v>4967</v>
      </c>
      <c r="R862" s="1" t="s">
        <v>4968</v>
      </c>
      <c r="S862" s="1">
        <v>35999.0</v>
      </c>
      <c r="T862" s="7" t="str">
        <f>VLOOKUP(A862,Posters!A862:B1861,2)</f>
        <v>https://m.media-amazon.com/images/M/MV5BYzdlYmQ3MWMtMDY3My00MzVmLTg0YmMtYjRlZDUzNjBlMmE0L2ltYWdlL2ltYWdlXkEyXkFqcGdeQXVyNjc1NTYyMjg@._V1_UX67_CR0,0,67,98_AL_.jpg</v>
      </c>
      <c r="U862" s="8">
        <f>'Inflation Adjusted Gross'!F862</f>
        <v>14359551</v>
      </c>
      <c r="V862" s="5">
        <f t="shared" si="1"/>
        <v>2020</v>
      </c>
    </row>
    <row r="863">
      <c r="A863" s="1">
        <v>862.0</v>
      </c>
      <c r="B863" s="1" t="s">
        <v>4969</v>
      </c>
      <c r="C863" s="6">
        <f>Gross_cleaning!E863</f>
        <v>51081062</v>
      </c>
      <c r="D863" s="1">
        <v>1964.0</v>
      </c>
      <c r="E863" s="1" t="s">
        <v>18</v>
      </c>
      <c r="F863" s="1" t="str">
        <f>VLOOKUP(Filmes_raw!E863,Rating_systems!$A$2:$C$29,3,FALSE)</f>
        <v>Adulto</v>
      </c>
      <c r="G863" s="2">
        <f>Gross_cleaning!F863</f>
        <v>110</v>
      </c>
      <c r="H863" s="1" t="s">
        <v>343</v>
      </c>
      <c r="I863" s="1" t="s">
        <v>2406</v>
      </c>
      <c r="J863" s="1">
        <v>7.7</v>
      </c>
      <c r="K863" s="1" t="s">
        <v>4970</v>
      </c>
      <c r="L863" s="1" t="str">
        <f>IFERROR(__xludf.DUMMYFUNCTION("GOOGLETRANSLATE(K863,""en"", ""pt-br"")"),"Ao investigar o contrabando de um magnato de ouro, James Bond descobre uma trama para contaminar a Reserva Gold Fort Knox.")</f>
        <v>Ao investigar o contrabando de um magnato de ouro, James Bond descobre uma trama para contaminar a Reserva Gold Fort Knox.</v>
      </c>
      <c r="M863" s="1">
        <v>87.0</v>
      </c>
      <c r="N863" s="1" t="s">
        <v>4971</v>
      </c>
      <c r="O863" s="1" t="s">
        <v>1195</v>
      </c>
      <c r="P863" s="1" t="s">
        <v>4972</v>
      </c>
      <c r="Q863" s="1" t="s">
        <v>4973</v>
      </c>
      <c r="R863" s="1" t="s">
        <v>4974</v>
      </c>
      <c r="S863" s="1">
        <v>174119.0</v>
      </c>
      <c r="T863" s="7" t="str">
        <f>VLOOKUP(A863,Posters!A863:B1862,2)</f>
        <v>https://m.media-amazon.com/images/M/MV5BMTQ2MzE0OTU3NV5BMl5BanBnXkFtZTcwNjQxNTgzNA@@._V1_UX67_CR0,0,67,98_AL_.jpg</v>
      </c>
      <c r="U863" s="8">
        <f>'Inflation Adjusted Gross'!F863</f>
        <v>426454131</v>
      </c>
      <c r="V863" s="5">
        <f t="shared" si="1"/>
        <v>2020</v>
      </c>
    </row>
    <row r="864">
      <c r="A864" s="1">
        <v>863.0</v>
      </c>
      <c r="B864" s="1" t="s">
        <v>4975</v>
      </c>
      <c r="C864" s="6">
        <f>Gross_cleaning!E864</f>
        <v>11403529</v>
      </c>
      <c r="D864" s="1">
        <v>1963.0</v>
      </c>
      <c r="E864" s="1" t="s">
        <v>18</v>
      </c>
      <c r="F864" s="1" t="str">
        <f>VLOOKUP(Filmes_raw!E864,Rating_systems!$A$2:$C$29,3,FALSE)</f>
        <v>Adulto</v>
      </c>
      <c r="G864" s="2">
        <f>Gross_cleaning!F864</f>
        <v>119</v>
      </c>
      <c r="H864" s="1" t="s">
        <v>329</v>
      </c>
      <c r="I864" s="1" t="s">
        <v>4976</v>
      </c>
      <c r="J864" s="1">
        <v>7.7</v>
      </c>
      <c r="K864" s="1" t="s">
        <v>4977</v>
      </c>
      <c r="L864" s="1" t="str">
        <f>IFERROR(__xludf.DUMMYFUNCTION("GOOGLETRANSLATE(K864,""en"", ""pt-br"")"),"Um rico São Francisco socialita persegue um namorado potencial para uma pequena cidade do norte da Califórnia que lentamente se dá uma volta para o bizarro quando as aves de todos os tipos de repente começam a atacar as pessoas.")</f>
        <v>Um rico São Francisco socialita persegue um namorado potencial para uma pequena cidade do norte da Califórnia que lentamente se dá uma volta para o bizarro quando as aves de todos os tipos de repente começam a atacar as pessoas.</v>
      </c>
      <c r="M864" s="1">
        <v>90.0</v>
      </c>
      <c r="N864" s="1" t="s">
        <v>399</v>
      </c>
      <c r="O864" s="1" t="s">
        <v>4978</v>
      </c>
      <c r="P864" s="1" t="s">
        <v>4979</v>
      </c>
      <c r="Q864" s="1" t="s">
        <v>4799</v>
      </c>
      <c r="R864" s="1" t="s">
        <v>208</v>
      </c>
      <c r="S864" s="1">
        <v>171739.0</v>
      </c>
      <c r="T864" s="7" t="str">
        <f>VLOOKUP(A864,Posters!A864:B1863,2)</f>
        <v>https://m.media-amazon.com/images/M/MV5BMTAxNDA1ODc5MDleQTJeQWpwZ15BbWU4MDg2MDA4OTEx._V1_UX67_CR0,0,67,98_AL_.jpg</v>
      </c>
      <c r="U864" s="8">
        <f>'Inflation Adjusted Gross'!F864</f>
        <v>96769072</v>
      </c>
      <c r="V864" s="5">
        <f t="shared" si="1"/>
        <v>2020</v>
      </c>
    </row>
    <row r="865">
      <c r="A865" s="1">
        <v>864.0</v>
      </c>
      <c r="B865" s="1" t="s">
        <v>4980</v>
      </c>
      <c r="C865" s="6">
        <f>Gross_cleaning!E865</f>
        <v>3000000</v>
      </c>
      <c r="D865" s="1">
        <v>1962.0</v>
      </c>
      <c r="E865" s="1" t="s">
        <v>627</v>
      </c>
      <c r="F865" s="1" t="str">
        <f>VLOOKUP(Filmes_raw!E865,Rating_systems!$A$2:$C$29,3,FALSE)</f>
        <v>Adulto</v>
      </c>
      <c r="G865" s="2">
        <f>Gross_cleaning!F865</f>
        <v>106</v>
      </c>
      <c r="H865" s="1" t="s">
        <v>286</v>
      </c>
      <c r="I865" s="1" t="s">
        <v>1377</v>
      </c>
      <c r="J865" s="1">
        <v>7.7</v>
      </c>
      <c r="K865" s="1" t="s">
        <v>4981</v>
      </c>
      <c r="L865" s="1" t="str">
        <f>IFERROR(__xludf.DUMMYFUNCTION("GOOGLETRANSLATE(K865,""en"", ""pt-br"")"),"A família de um advogado é perseguida por um homem que ele já ajudou a colocar na cadeia.")</f>
        <v>A família de um advogado é perseguida por um homem que ele já ajudou a colocar na cadeia.</v>
      </c>
      <c r="M865" s="1">
        <v>76.0</v>
      </c>
      <c r="N865" s="1" t="s">
        <v>4982</v>
      </c>
      <c r="O865" s="1" t="s">
        <v>1278</v>
      </c>
      <c r="P865" s="1" t="s">
        <v>2819</v>
      </c>
      <c r="Q865" s="1" t="s">
        <v>4983</v>
      </c>
      <c r="R865" s="1" t="s">
        <v>4984</v>
      </c>
      <c r="S865" s="1">
        <v>26457.0</v>
      </c>
      <c r="T865" s="7" t="str">
        <f>VLOOKUP(A865,Posters!A865:B1864,2)</f>
        <v>https://m.media-amazon.com/images/M/MV5BOWNlMTJmMWUtYjk0MC00M2U4LWI1ODItZDgxNDZiODFmNjc5XkEyXkFqcGdeQXVyMTAwMzUyOTc@._V1_UX67_CR0,0,67,98_AL_.jpg</v>
      </c>
      <c r="U865" s="8">
        <f>'Inflation Adjusted Gross'!F865</f>
        <v>25797100</v>
      </c>
      <c r="V865" s="5">
        <f t="shared" si="1"/>
        <v>2020</v>
      </c>
    </row>
    <row r="866">
      <c r="A866" s="1">
        <v>865.0</v>
      </c>
      <c r="B866" s="1" t="s">
        <v>4985</v>
      </c>
      <c r="C866" s="6">
        <f>Gross_cleaning!E866</f>
        <v>83957</v>
      </c>
      <c r="D866" s="1">
        <v>1960.0</v>
      </c>
      <c r="E866" s="1">
        <v>14.0</v>
      </c>
      <c r="F866" s="1" t="str">
        <f>VLOOKUP(Filmes_raw!E866,Rating_systems!$A$2:$C$29,3,FALSE)</f>
        <v>Adolescente</v>
      </c>
      <c r="G866" s="2">
        <f>Gross_cleaning!F866</f>
        <v>101</v>
      </c>
      <c r="H866" s="1" t="s">
        <v>535</v>
      </c>
      <c r="I866" s="1" t="s">
        <v>1972</v>
      </c>
      <c r="J866" s="1">
        <v>7.7</v>
      </c>
      <c r="K866" s="1" t="s">
        <v>4986</v>
      </c>
      <c r="L866" s="1" t="str">
        <f>IFERROR(__xludf.DUMMYFUNCTION("GOOGLETRANSLATE(K866,""en"", ""pt-br"")"),"Um jovem murcha mulheres, usando uma câmera de cinema para filmar suas morrendo expressões de terror.")</f>
        <v>Um jovem murcha mulheres, usando uma câmera de cinema para filmar suas morrendo expressões de terror.</v>
      </c>
      <c r="N866" s="1" t="s">
        <v>2068</v>
      </c>
      <c r="O866" s="1" t="s">
        <v>4987</v>
      </c>
      <c r="P866" s="1" t="s">
        <v>4988</v>
      </c>
      <c r="Q866" s="1" t="s">
        <v>2072</v>
      </c>
      <c r="R866" s="1" t="s">
        <v>4989</v>
      </c>
      <c r="S866" s="1">
        <v>31354.0</v>
      </c>
      <c r="T866" s="7" t="str">
        <f>VLOOKUP(A866,Posters!A866:B1865,2)</f>
        <v>https://m.media-amazon.com/images/M/MV5BZjM3ZTAzZDYtZmFjZS00YmQ1LWJlOWEtN2I4MDRmYzY5YmRlL2ltYWdlXkEyXkFqcGdeQXVyMjgyNjk3MzE@._V1_UX67_CR0,0,67,98_AL_.jpg</v>
      </c>
      <c r="U866" s="8">
        <f>'Inflation Adjusted Gross'!F866</f>
        <v>739197</v>
      </c>
      <c r="V866" s="5">
        <f t="shared" si="1"/>
        <v>2020</v>
      </c>
    </row>
    <row r="867">
      <c r="A867" s="1">
        <v>866.0</v>
      </c>
      <c r="B867" s="1" t="s">
        <v>4990</v>
      </c>
      <c r="C867" s="6">
        <f>Gross_cleaning!E867</f>
        <v>4905000</v>
      </c>
      <c r="D867" s="1">
        <v>1960.0</v>
      </c>
      <c r="E867" s="1" t="s">
        <v>2047</v>
      </c>
      <c r="F867" s="1" t="str">
        <f>VLOOKUP(Filmes_raw!E867,Rating_systems!$A$2:$C$29,3,FALSE)</f>
        <v>Adulto</v>
      </c>
      <c r="G867" s="2">
        <f>Gross_cleaning!F867</f>
        <v>128</v>
      </c>
      <c r="H867" s="1" t="s">
        <v>878</v>
      </c>
      <c r="I867" s="1" t="s">
        <v>3370</v>
      </c>
      <c r="J867" s="1">
        <v>7.7</v>
      </c>
      <c r="K867" s="1" t="s">
        <v>4991</v>
      </c>
      <c r="L867" s="1" t="str">
        <f>IFERROR(__xludf.DUMMYFUNCTION("GOOGLETRANSLATE(K867,""en"", ""pt-br"")"),"Sete Gunfighters são contratados por camponeses mexicanos para libertar sua aldeia de bandidos opressivos.")</f>
        <v>Sete Gunfighters são contratados por camponeses mexicanos para libertar sua aldeia de bandidos opressivos.</v>
      </c>
      <c r="M867" s="1">
        <v>74.0</v>
      </c>
      <c r="N867" s="1" t="s">
        <v>1271</v>
      </c>
      <c r="O867" s="1" t="s">
        <v>3423</v>
      </c>
      <c r="P867" s="1" t="s">
        <v>1272</v>
      </c>
      <c r="Q867" s="1" t="s">
        <v>392</v>
      </c>
      <c r="R867" s="1" t="s">
        <v>120</v>
      </c>
      <c r="S867" s="1">
        <v>87719.0</v>
      </c>
      <c r="T867" s="7" t="str">
        <f>VLOOKUP(A867,Posters!A867:B1866,2)</f>
        <v>https://m.media-amazon.com/images/M/MV5BMzYyNzU0MTM1OF5BMl5BanBnXkFtZTcwMzE1ODE1NA@@._V1_UX67_CR0,0,67,98_AL_.jpg</v>
      </c>
      <c r="U867" s="8">
        <f>'Inflation Adjusted Gross'!F867</f>
        <v>43185930</v>
      </c>
      <c r="V867" s="5">
        <f t="shared" si="1"/>
        <v>2020</v>
      </c>
    </row>
    <row r="868">
      <c r="A868" s="1">
        <v>867.0</v>
      </c>
      <c r="B868" s="1" t="s">
        <v>4992</v>
      </c>
      <c r="C868" s="6">
        <f>Gross_cleaning!E868</f>
        <v>52709</v>
      </c>
      <c r="D868" s="1">
        <v>1960.0</v>
      </c>
      <c r="E868" s="1" t="s">
        <v>4418</v>
      </c>
      <c r="F868" s="1" t="str">
        <f>VLOOKUP(Filmes_raw!E868,Rating_systems!$A$2:$C$29,3,FALSE)</f>
        <v>Desconhecido</v>
      </c>
      <c r="G868" s="2">
        <f>Gross_cleaning!F868</f>
        <v>90</v>
      </c>
      <c r="H868" s="1" t="s">
        <v>2586</v>
      </c>
      <c r="I868" s="1" t="s">
        <v>569</v>
      </c>
      <c r="J868" s="1">
        <v>7.7</v>
      </c>
      <c r="K868" s="1" t="s">
        <v>4993</v>
      </c>
      <c r="L868" s="1" t="str">
        <f>IFERROR(__xludf.DUMMYFUNCTION("GOOGLETRANSLATE(K868,""en"", ""pt-br"")"),"Um cirurgião causa um acidente que deixa sua filha desfigurada, e vai a extremos para dar-lhe um novo rosto.")</f>
        <v>Um cirurgião causa um acidente que deixa sua filha desfigurada, e vai a extremos para dar-lhe um novo rosto.</v>
      </c>
      <c r="M868" s="1">
        <v>90.0</v>
      </c>
      <c r="N868" s="1" t="s">
        <v>4994</v>
      </c>
      <c r="O868" s="1" t="s">
        <v>4995</v>
      </c>
      <c r="P868" s="1" t="s">
        <v>2063</v>
      </c>
      <c r="Q868" s="1" t="s">
        <v>4996</v>
      </c>
      <c r="R868" s="1" t="s">
        <v>4997</v>
      </c>
      <c r="S868" s="1">
        <v>27620.0</v>
      </c>
      <c r="T868" s="7" t="str">
        <f>VLOOKUP(A868,Posters!A868:B1867,2)</f>
        <v>https://m.media-amazon.com/images/M/MV5BNzBiMWRhNzQtMjZhZS00NzFmLWE5YWMtOWY4NzIxMjYzZTEyXkEyXkFqcGdeQXVyMzg2MzE2OTE@._V1_UY98_CR3,0,67,98_AL_.jpg</v>
      </c>
      <c r="U868" s="8">
        <f>'Inflation Adjusted Gross'!F868</f>
        <v>464075</v>
      </c>
      <c r="V868" s="5">
        <f t="shared" si="1"/>
        <v>2020</v>
      </c>
    </row>
    <row r="869">
      <c r="A869" s="1">
        <v>868.0</v>
      </c>
      <c r="B869" s="1" t="s">
        <v>4998</v>
      </c>
      <c r="C869" s="6">
        <f>Gross_cleaning!E869</f>
        <v>1861</v>
      </c>
      <c r="D869" s="1">
        <v>1956.0</v>
      </c>
      <c r="E869" s="1" t="s">
        <v>2047</v>
      </c>
      <c r="F869" s="1" t="str">
        <f>VLOOKUP(Filmes_raw!E869,Rating_systems!$A$2:$C$29,3,FALSE)</f>
        <v>Adulto</v>
      </c>
      <c r="G869" s="2">
        <f>Gross_cleaning!F869</f>
        <v>80</v>
      </c>
      <c r="H869" s="1" t="s">
        <v>1639</v>
      </c>
      <c r="I869" s="1" t="s">
        <v>4275</v>
      </c>
      <c r="J869" s="1">
        <v>7.7</v>
      </c>
      <c r="K869" s="1" t="s">
        <v>4999</v>
      </c>
      <c r="L869" s="1" t="str">
        <f>IFERROR(__xludf.DUMMYFUNCTION("GOOGLETRANSLATE(K869,""en"", ""pt-br"")"),"Um médico da cidade pequena descobre que a população de sua comunidade está sendo substituída por duplicatas alienígenas sem emoção.")</f>
        <v>Um médico da cidade pequena descobre que a população de sua comunidade está sendo substituída por duplicatas alienígenas sem emoção.</v>
      </c>
      <c r="M869" s="1">
        <v>92.0</v>
      </c>
      <c r="N869" s="1" t="s">
        <v>4933</v>
      </c>
      <c r="O869" s="1" t="s">
        <v>5000</v>
      </c>
      <c r="P869" s="1" t="s">
        <v>5001</v>
      </c>
      <c r="Q869" s="1" t="s">
        <v>5002</v>
      </c>
      <c r="R869" s="1" t="s">
        <v>5003</v>
      </c>
      <c r="S869" s="1">
        <v>44839.0</v>
      </c>
      <c r="T869" s="7" t="str">
        <f>VLOOKUP(A869,Posters!A869:B1868,2)</f>
        <v>https://m.media-amazon.com/images/M/MV5BYTExYjM3MDYtMzg4MC00MjU4LTljZjAtYzdlMTFmYTJmYTE4XkEyXkFqcGdeQXVyNTAyODkwOQ@@._V1_UX67_CR0,0,67,98_AL_.jpg</v>
      </c>
      <c r="U869" s="8">
        <f>'Inflation Adjusted Gross'!F869</f>
        <v>17914</v>
      </c>
      <c r="V869" s="5">
        <f t="shared" si="1"/>
        <v>2020</v>
      </c>
    </row>
    <row r="870">
      <c r="A870" s="1">
        <v>869.0</v>
      </c>
      <c r="B870" s="1" t="s">
        <v>5004</v>
      </c>
      <c r="C870" s="6">
        <f>Gross_cleaning!E870</f>
        <v>199963</v>
      </c>
      <c r="D870" s="1">
        <v>1955.0</v>
      </c>
      <c r="E870" s="1" t="s">
        <v>161</v>
      </c>
      <c r="F870" s="1" t="str">
        <f>VLOOKUP(Filmes_raw!E870,Rating_systems!$A$2:$C$29,3,FALSE)</f>
        <v>Criança</v>
      </c>
      <c r="G870" s="2">
        <f>Gross_cleaning!F870</f>
        <v>111</v>
      </c>
      <c r="H870" s="1" t="s">
        <v>1663</v>
      </c>
      <c r="I870" s="1" t="s">
        <v>20</v>
      </c>
      <c r="J870" s="1">
        <v>7.7</v>
      </c>
      <c r="K870" s="1" t="s">
        <v>5005</v>
      </c>
      <c r="L870" s="1" t="str">
        <f>IFERROR(__xludf.DUMMYFUNCTION("GOOGLETRANSLATE(K870,""en"", ""pt-br"")"),"Um jovem rebelde com um passado perturbado chega a uma nova cidade, encontrando amigos e inimigos.")</f>
        <v>Um jovem rebelde com um passado perturbado chega a uma nova cidade, encontrando amigos e inimigos.</v>
      </c>
      <c r="M870" s="1">
        <v>89.0</v>
      </c>
      <c r="N870" s="1" t="s">
        <v>2847</v>
      </c>
      <c r="O870" s="1" t="s">
        <v>3430</v>
      </c>
      <c r="P870" s="1" t="s">
        <v>5006</v>
      </c>
      <c r="Q870" s="1" t="s">
        <v>5007</v>
      </c>
      <c r="R870" s="1" t="s">
        <v>5008</v>
      </c>
      <c r="S870" s="1">
        <v>83363.0</v>
      </c>
      <c r="T870" s="7" t="str">
        <f>VLOOKUP(A870,Posters!A870:B1869,2)</f>
        <v>https://m.media-amazon.com/images/M/MV5BMTg2ODcxOTU1OV5BMl5BanBnXkFtZTgwNzA3ODI1MDE@._V1_UX67_CR0,0,67,98_AL_.jpg</v>
      </c>
      <c r="U870" s="8">
        <f>'Inflation Adjusted Gross'!F870</f>
        <v>1932010</v>
      </c>
      <c r="V870" s="5">
        <f t="shared" si="1"/>
        <v>2020</v>
      </c>
    </row>
    <row r="871">
      <c r="A871" s="1">
        <v>870.0</v>
      </c>
      <c r="B871" s="1" t="s">
        <v>5009</v>
      </c>
      <c r="C871" s="6">
        <f>Gross_cleaning!E871</f>
        <v>23213</v>
      </c>
      <c r="D871" s="1">
        <v>1955.0</v>
      </c>
      <c r="E871" s="1" t="s">
        <v>2890</v>
      </c>
      <c r="F871" s="1" t="str">
        <f>VLOOKUP(Filmes_raw!E871,Rating_systems!$A$2:$C$29,3,FALSE)</f>
        <v>Criança</v>
      </c>
      <c r="G871" s="2">
        <f>Gross_cleaning!F871</f>
        <v>91</v>
      </c>
      <c r="H871" s="1" t="s">
        <v>1259</v>
      </c>
      <c r="I871" s="1" t="s">
        <v>731</v>
      </c>
      <c r="J871" s="1">
        <v>7.7</v>
      </c>
      <c r="K871" s="1" t="s">
        <v>5010</v>
      </c>
      <c r="L871" s="1" t="str">
        <f>IFERROR(__xludf.DUMMYFUNCTION("GOOGLETRANSLATE(K871,""en"", ""pt-br"")"),"Cinco Criminosos Oddball Planejando quartos de aluguel de roubo de banco em um beco de saco de uma viúva de octogenário sob o pretexto de que são músicos clássicos.")</f>
        <v>Cinco Criminosos Oddball Planejando quartos de aluguel de roubo de banco em um beco de saco de uma viúva de octogenário sob o pretexto de que são músicos clássicos.</v>
      </c>
      <c r="M871" s="1">
        <v>91.0</v>
      </c>
      <c r="N871" s="1" t="s">
        <v>2809</v>
      </c>
      <c r="O871" s="1" t="s">
        <v>252</v>
      </c>
      <c r="P871" s="1" t="s">
        <v>604</v>
      </c>
      <c r="Q871" s="1" t="s">
        <v>5011</v>
      </c>
      <c r="R871" s="1" t="s">
        <v>5012</v>
      </c>
      <c r="S871" s="1">
        <v>26464.0</v>
      </c>
      <c r="T871" s="7" t="str">
        <f>VLOOKUP(A871,Posters!A871:B1870,2)</f>
        <v>https://m.media-amazon.com/images/M/MV5BYTVlM2JmOGQtNWEwYy00NDQzLWIyZmEtOGZhMzgxZGRjZDA0XkEyXkFqcGdeQXVyMDI2NDg0NQ@@._V1_UX67_CR0,0,67,98_AL_.jpg</v>
      </c>
      <c r="U871" s="8">
        <f>'Inflation Adjusted Gross'!F871</f>
        <v>224280</v>
      </c>
      <c r="V871" s="5">
        <f t="shared" si="1"/>
        <v>2020</v>
      </c>
    </row>
    <row r="872">
      <c r="A872" s="1">
        <v>871.0</v>
      </c>
      <c r="B872" s="1" t="s">
        <v>5013</v>
      </c>
      <c r="C872" s="6">
        <f>Gross_cleaning!E872</f>
        <v>2238813</v>
      </c>
      <c r="D872" s="1">
        <v>1954.0</v>
      </c>
      <c r="E872" s="1" t="s">
        <v>627</v>
      </c>
      <c r="F872" s="1" t="str">
        <f>VLOOKUP(Filmes_raw!E872,Rating_systems!$A$2:$C$29,3,FALSE)</f>
        <v>Adulto</v>
      </c>
      <c r="G872" s="2">
        <f>Gross_cleaning!F872</f>
        <v>113</v>
      </c>
      <c r="H872" s="1" t="s">
        <v>543</v>
      </c>
      <c r="I872" s="1" t="s">
        <v>227</v>
      </c>
      <c r="J872" s="1">
        <v>7.7</v>
      </c>
      <c r="K872" s="1" t="s">
        <v>5014</v>
      </c>
      <c r="L872" s="1" t="str">
        <f>IFERROR(__xludf.DUMMYFUNCTION("GOOGLETRANSLATE(K872,""en"", ""pt-br"")"),"Um playboy se interessa pela filha do motorista de sua família, mas é seu irmão mais sério que seria o melhor homem para ela.")</f>
        <v>Um playboy se interessa pela filha do motorista de sua família, mas é seu irmão mais sério que seria o melhor homem para ela.</v>
      </c>
      <c r="M872" s="1">
        <v>72.0</v>
      </c>
      <c r="N872" s="1" t="s">
        <v>610</v>
      </c>
      <c r="O872" s="1" t="s">
        <v>409</v>
      </c>
      <c r="P872" s="1" t="s">
        <v>2839</v>
      </c>
      <c r="Q872" s="1" t="s">
        <v>630</v>
      </c>
      <c r="R872" s="1" t="s">
        <v>5015</v>
      </c>
      <c r="S872" s="1">
        <v>59415.0</v>
      </c>
      <c r="T872" s="7" t="str">
        <f>VLOOKUP(A872,Posters!A872:B1871,2)</f>
        <v>https://m.media-amazon.com/images/M/MV5BYmFlNTA1NWItODQxNC00YjFmLWE3ZWYtMzg3YTkwYmMxMjY2XkEyXkFqcGdeQXVyMTMxMTY0OTQ@._V1_UX67_CR0,0,67,98_AL_.jpg</v>
      </c>
      <c r="U872" s="8">
        <f>'Inflation Adjusted Gross'!F872</f>
        <v>21470217</v>
      </c>
      <c r="V872" s="5">
        <f t="shared" si="1"/>
        <v>2020</v>
      </c>
    </row>
    <row r="873">
      <c r="A873" s="1">
        <v>872.0</v>
      </c>
      <c r="B873" s="1" t="s">
        <v>5016</v>
      </c>
      <c r="C873" s="6">
        <f>Gross_cleaning!E873</f>
        <v>10550000</v>
      </c>
      <c r="D873" s="1">
        <v>1952.0</v>
      </c>
      <c r="E873" s="1" t="s">
        <v>627</v>
      </c>
      <c r="F873" s="1" t="str">
        <f>VLOOKUP(Filmes_raw!E873,Rating_systems!$A$2:$C$29,3,FALSE)</f>
        <v>Adulto</v>
      </c>
      <c r="G873" s="2">
        <f>Gross_cleaning!F873</f>
        <v>129</v>
      </c>
      <c r="H873" s="1" t="s">
        <v>830</v>
      </c>
      <c r="I873" s="1" t="s">
        <v>227</v>
      </c>
      <c r="J873" s="1">
        <v>7.7</v>
      </c>
      <c r="K873" s="1" t="s">
        <v>5017</v>
      </c>
      <c r="L873" s="1" t="str">
        <f>IFERROR(__xludf.DUMMYFUNCTION("GOOGLETRANSLATE(K873,""en"", ""pt-br"")"),"Um pugilista americano aposentado retorna à aldeia de seu nascimento na Irlanda, onde ele cai para uma ruiva espirituosa, cujo irmão é desdenhoso de sua união.")</f>
        <v>Um pugilista americano aposentado retorna à aldeia de seu nascimento na Irlanda, onde ele cai para uma ruiva espirituosa, cujo irmão é desdenhoso de sua união.</v>
      </c>
      <c r="N873" s="1" t="s">
        <v>1984</v>
      </c>
      <c r="O873" s="1" t="s">
        <v>1985</v>
      </c>
      <c r="P873" s="1" t="s">
        <v>3454</v>
      </c>
      <c r="Q873" s="1" t="s">
        <v>5018</v>
      </c>
      <c r="R873" s="1" t="s">
        <v>3427</v>
      </c>
      <c r="S873" s="1">
        <v>34677.0</v>
      </c>
      <c r="T873" s="7" t="str">
        <f>VLOOKUP(A873,Posters!A873:B1872,2)</f>
        <v>https://m.media-amazon.com/images/M/MV5BMWM1ZDhlM2MtNDNmMi00MDk4LTg5MjgtODE4ODk1MjYxOTIwXkEyXkFqcGdeQXVyNjc0MzMzNjA@._V1_UX67_CR0,0,67,98_AL_.jpg</v>
      </c>
      <c r="U873" s="8">
        <f>'Inflation Adjusted Gross'!F873</f>
        <v>102701662</v>
      </c>
      <c r="V873" s="5">
        <f t="shared" si="1"/>
        <v>2020</v>
      </c>
    </row>
    <row r="874">
      <c r="A874" s="1">
        <v>873.0</v>
      </c>
      <c r="B874" s="1" t="s">
        <v>5019</v>
      </c>
      <c r="C874" s="6">
        <f>Gross_cleaning!E874</f>
        <v>1200000</v>
      </c>
      <c r="D874" s="1">
        <v>1951.0</v>
      </c>
      <c r="E874" s="1" t="s">
        <v>52</v>
      </c>
      <c r="F874" s="1" t="str">
        <f>VLOOKUP(Filmes_raw!E874,Rating_systems!$A$2:$C$29,3,FALSE)</f>
        <v>Criança</v>
      </c>
      <c r="G874" s="2">
        <f>Gross_cleaning!F874</f>
        <v>92</v>
      </c>
      <c r="H874" s="1" t="s">
        <v>1588</v>
      </c>
      <c r="I874" s="1" t="s">
        <v>928</v>
      </c>
      <c r="J874" s="1">
        <v>7.7</v>
      </c>
      <c r="K874" s="1" t="s">
        <v>5020</v>
      </c>
      <c r="L874" s="1" t="str">
        <f>IFERROR(__xludf.DUMMYFUNCTION("GOOGLETRANSLATE(K874,""en"", ""pt-br"")"),"Um alienígena terras e conta o povo da Terra que eles devem viver pacificamente ou serem destruídos como perigo para outros planetas.")</f>
        <v>Um alienígena terras e conta o povo da Terra que eles devem viver pacificamente ou serem destruídos como perigo para outros planetas.</v>
      </c>
      <c r="N874" s="1" t="s">
        <v>2749</v>
      </c>
      <c r="O874" s="1" t="s">
        <v>5021</v>
      </c>
      <c r="P874" s="1" t="s">
        <v>5022</v>
      </c>
      <c r="Q874" s="1" t="s">
        <v>5023</v>
      </c>
      <c r="R874" s="1" t="s">
        <v>5024</v>
      </c>
      <c r="S874" s="1">
        <v>76315.0</v>
      </c>
      <c r="T874" s="7" t="str">
        <f>VLOOKUP(A874,Posters!A874:B1873,2)</f>
        <v>https://m.media-amazon.com/images/M/MV5BMTU5NTBmYTAtOTgyYi00NGM0LWE0ODctZjNiYWM5MmIxYzE4XkEyXkFqcGdeQXVyNTAyODkwOQ@@._V1_UX67_CR0,0,67,98_AL_.jpg</v>
      </c>
      <c r="U874" s="8">
        <f>'Inflation Adjusted Gross'!F874</f>
        <v>12187606</v>
      </c>
      <c r="V874" s="5">
        <f t="shared" si="1"/>
        <v>2020</v>
      </c>
    </row>
    <row r="875">
      <c r="A875" s="1">
        <v>874.0</v>
      </c>
      <c r="B875" s="1" t="s">
        <v>5025</v>
      </c>
      <c r="C875" s="6">
        <f>Gross_cleaning!E875</f>
        <v>536118</v>
      </c>
      <c r="D875" s="1">
        <v>1951.0</v>
      </c>
      <c r="E875" s="1" t="s">
        <v>270</v>
      </c>
      <c r="F875" s="1" t="str">
        <f>VLOOKUP(Filmes_raw!E875,Rating_systems!$A$2:$C$29,3,FALSE)</f>
        <v>Criança</v>
      </c>
      <c r="G875" s="2">
        <f>Gross_cleaning!F875</f>
        <v>105</v>
      </c>
      <c r="H875" s="1" t="s">
        <v>487</v>
      </c>
      <c r="I875" s="1" t="s">
        <v>3922</v>
      </c>
      <c r="J875" s="1">
        <v>7.7</v>
      </c>
      <c r="K875" s="1" t="s">
        <v>5026</v>
      </c>
      <c r="L875" s="1" t="str">
        <f>IFERROR(__xludf.DUMMYFUNCTION("GOOGLETRANSLATE(K875,""en"", ""pt-br"")"),"Na África da Segunda Guerra Mundial, um capitão de Riverboat Gin-Swilling é persuadido por um missionário de estreito para usar seu barco para atacar um navio de guerra inimigo.")</f>
        <v>Na África da Segunda Guerra Mundial, um capitão de Riverboat Gin-Swilling é persuadido por um missionário de estreito para usar seu barco para atacar um navio de guerra inimigo.</v>
      </c>
      <c r="M875" s="1">
        <v>91.0</v>
      </c>
      <c r="N875" s="1" t="s">
        <v>1346</v>
      </c>
      <c r="O875" s="1" t="s">
        <v>409</v>
      </c>
      <c r="P875" s="1" t="s">
        <v>3385</v>
      </c>
      <c r="Q875" s="1" t="s">
        <v>5027</v>
      </c>
      <c r="R875" s="1" t="s">
        <v>5028</v>
      </c>
      <c r="S875" s="1">
        <v>71481.0</v>
      </c>
      <c r="T875" s="7" t="str">
        <f>VLOOKUP(A875,Posters!A875:B1874,2)</f>
        <v>https://m.media-amazon.com/images/M/MV5BYzM3YjE2NGMtODY3Zi00NTY0LWE4Y2EtMTE5YzNmM2U1NTg2XkEyXkFqcGdeQXVyMTY5Nzc4MDY@._V1_UX67_CR0,0,67,98_AL_.jpg</v>
      </c>
      <c r="U875" s="8">
        <f>'Inflation Adjusted Gross'!F875</f>
        <v>5444996</v>
      </c>
      <c r="V875" s="5">
        <f t="shared" si="1"/>
        <v>2020</v>
      </c>
    </row>
    <row r="876">
      <c r="A876" s="1">
        <v>875.0</v>
      </c>
      <c r="B876" s="1" t="s">
        <v>5029</v>
      </c>
      <c r="C876" s="6">
        <f>Gross_cleaning!E876</f>
        <v>10000000</v>
      </c>
      <c r="D876" s="1">
        <v>1946.0</v>
      </c>
      <c r="E876" s="1" t="s">
        <v>2047</v>
      </c>
      <c r="F876" s="1" t="str">
        <f>VLOOKUP(Filmes_raw!E876,Rating_systems!$A$2:$C$29,3,FALSE)</f>
        <v>Adulto</v>
      </c>
      <c r="G876" s="2">
        <f>Gross_cleaning!F876</f>
        <v>110</v>
      </c>
      <c r="H876" s="1" t="s">
        <v>343</v>
      </c>
      <c r="I876" s="1" t="s">
        <v>3458</v>
      </c>
      <c r="J876" s="1">
        <v>7.7</v>
      </c>
      <c r="K876" s="1" t="s">
        <v>5030</v>
      </c>
      <c r="L876" s="1" t="str">
        <f>IFERROR(__xludf.DUMMYFUNCTION("GOOGLETRANSLATE(K876,""en"", ""pt-br"")"),"Um jogador de pequeno porte contratado para trabalhar em um casino de Buenos Aires descobre que a nova esposa do empregador é seu ex-amante.")</f>
        <v>Um jogador de pequeno porte contratado para trabalhar em um casino de Buenos Aires descobre que a nova esposa do empregador é seu ex-amante.</v>
      </c>
      <c r="N876" s="1" t="s">
        <v>5031</v>
      </c>
      <c r="O876" s="1" t="s">
        <v>5032</v>
      </c>
      <c r="P876" s="1" t="s">
        <v>5033</v>
      </c>
      <c r="Q876" s="1" t="s">
        <v>620</v>
      </c>
      <c r="R876" s="1" t="s">
        <v>2801</v>
      </c>
      <c r="S876" s="1">
        <v>27991.0</v>
      </c>
      <c r="T876" s="7" t="str">
        <f>VLOOKUP(A876,Posters!A876:B1875,2)</f>
        <v>https://m.media-amazon.com/images/M/MV5BYWUxMzViZTUtNTYxNy00YjY4LWJmMjYtMzNlOThjNjhiZmZkXkEyXkFqcGdeQXVyMDI2NDg0NQ@@._V1_UX67_CR0,0,67,98_AL_.jpg</v>
      </c>
      <c r="U876" s="8">
        <f>'Inflation Adjusted Gross'!F876</f>
        <v>141742308</v>
      </c>
      <c r="V876" s="5">
        <f t="shared" si="1"/>
        <v>2020</v>
      </c>
    </row>
    <row r="877">
      <c r="A877" s="1">
        <v>876.0</v>
      </c>
      <c r="B877" s="1" t="s">
        <v>5034</v>
      </c>
      <c r="C877" s="6">
        <f>Gross_cleaning!E877</f>
        <v>76408097</v>
      </c>
      <c r="D877" s="1">
        <v>1940.0</v>
      </c>
      <c r="E877" s="1" t="s">
        <v>414</v>
      </c>
      <c r="F877" s="1" t="str">
        <f>VLOOKUP(Filmes_raw!E877,Rating_systems!$A$2:$C$29,3,FALSE)</f>
        <v>Criança</v>
      </c>
      <c r="G877" s="2">
        <f>Gross_cleaning!F877</f>
        <v>125</v>
      </c>
      <c r="H877" s="1" t="s">
        <v>203</v>
      </c>
      <c r="I877" s="1" t="s">
        <v>1207</v>
      </c>
      <c r="J877" s="1">
        <v>7.7</v>
      </c>
      <c r="K877" s="1" t="s">
        <v>5035</v>
      </c>
      <c r="L877" s="1" t="str">
        <f>IFERROR(__xludf.DUMMYFUNCTION("GOOGLETRANSLATE(K877,""en"", ""pt-br"")"),"Uma coleção de interpretações animadas de grandes obras de música clássica ocidental.")</f>
        <v>Uma coleção de interpretações animadas de grandes obras de música clássica ocidental.</v>
      </c>
      <c r="M877" s="1">
        <v>96.0</v>
      </c>
      <c r="N877" s="1" t="s">
        <v>5036</v>
      </c>
      <c r="O877" s="1" t="s">
        <v>5037</v>
      </c>
      <c r="P877" s="1" t="s">
        <v>5038</v>
      </c>
      <c r="Q877" s="1" t="s">
        <v>5039</v>
      </c>
      <c r="R877" s="1" t="s">
        <v>5040</v>
      </c>
      <c r="S877" s="1">
        <v>88662.0</v>
      </c>
      <c r="T877" s="7" t="str">
        <f>VLOOKUP(A877,Posters!A877:B1876,2)</f>
        <v>https://m.media-amazon.com/images/M/MV5BMjAxMTI1Njk3OF5BMl5BanBnXkFtZTgwNjkzODk4NTE@._V1_UX67_CR0,0,67,98_AL_.jpg</v>
      </c>
      <c r="U877" s="8">
        <f>'Inflation Adjusted Gross'!F877</f>
        <v>1418062820</v>
      </c>
      <c r="V877" s="5">
        <f t="shared" si="1"/>
        <v>2020</v>
      </c>
    </row>
    <row r="878">
      <c r="A878" s="1">
        <v>877.0</v>
      </c>
      <c r="B878" s="1" t="s">
        <v>5041</v>
      </c>
      <c r="C878" s="6">
        <f>Gross_cleaning!E878</f>
        <v>27105</v>
      </c>
      <c r="D878" s="1">
        <v>1933.0</v>
      </c>
      <c r="E878" s="1" t="s">
        <v>2296</v>
      </c>
      <c r="F878" s="1" t="str">
        <f>VLOOKUP(Filmes_raw!E878,Rating_systems!$A$2:$C$29,3,FALSE)</f>
        <v>Criança</v>
      </c>
      <c r="G878" s="2">
        <f>Gross_cleaning!F878</f>
        <v>71</v>
      </c>
      <c r="H878" s="1" t="s">
        <v>5042</v>
      </c>
      <c r="I878" s="1" t="s">
        <v>581</v>
      </c>
      <c r="J878" s="1">
        <v>7.7</v>
      </c>
      <c r="K878" s="1" t="s">
        <v>5043</v>
      </c>
      <c r="L878" s="1" t="str">
        <f>IFERROR(__xludf.DUMMYFUNCTION("GOOGLETRANSLATE(K878,""en"", ""pt-br"")"),"Um cientista encontra uma maneira de se tornar invisível, mas ao fazê-lo, ele se torna assassinosamente insano.")</f>
        <v>Um cientista encontra uma maneira de se tornar invisível, mas ao fazê-lo, ele se torna assassinosamente insano.</v>
      </c>
      <c r="M878" s="1">
        <v>87.0</v>
      </c>
      <c r="N878" s="1" t="s">
        <v>4277</v>
      </c>
      <c r="O878" s="1" t="s">
        <v>412</v>
      </c>
      <c r="P878" s="1" t="s">
        <v>5044</v>
      </c>
      <c r="Q878" s="1" t="s">
        <v>5045</v>
      </c>
      <c r="R878" s="1" t="s">
        <v>4258</v>
      </c>
      <c r="S878" s="1">
        <v>30683.0</v>
      </c>
      <c r="T878" s="7" t="str">
        <f>VLOOKUP(A878,Posters!A878:B1877,2)</f>
        <v>https://m.media-amazon.com/images/M/MV5BYjllMmE0Y2YtYWIwZi00OWY1LWJhNWItYzM2MmNiYmFiZmRmXkEyXkFqcGdeQXVyNjc1NTYyMjg@._V1_UX67_CR0,0,67,98_AL_.jpg</v>
      </c>
      <c r="U878" s="8">
        <f>'Inflation Adjusted Gross'!F878</f>
        <v>542039</v>
      </c>
      <c r="V878" s="5">
        <f t="shared" si="1"/>
        <v>2020</v>
      </c>
    </row>
    <row r="879">
      <c r="A879" s="1">
        <v>878.0</v>
      </c>
      <c r="B879" s="1" t="s">
        <v>5046</v>
      </c>
      <c r="C879" s="6">
        <f>Gross_cleaning!E879</f>
        <v>11136084</v>
      </c>
      <c r="D879" s="1">
        <v>2019.0</v>
      </c>
      <c r="E879" s="1" t="s">
        <v>161</v>
      </c>
      <c r="F879" s="1" t="str">
        <f>VLOOKUP(Filmes_raw!E879,Rating_systems!$A$2:$C$29,3,FALSE)</f>
        <v>Criança</v>
      </c>
      <c r="G879" s="2">
        <f>Gross_cleaning!F879</f>
        <v>126</v>
      </c>
      <c r="H879" s="1" t="s">
        <v>428</v>
      </c>
      <c r="I879" s="1" t="s">
        <v>79</v>
      </c>
      <c r="J879" s="1">
        <v>7.6</v>
      </c>
      <c r="K879" s="1" t="s">
        <v>5047</v>
      </c>
      <c r="L879" s="1" t="str">
        <f>IFERROR(__xludf.DUMMYFUNCTION("GOOGLETRANSLATE(K879,""en"", ""pt-br"")"),"Um advogado de defesa corporativa assume um processo ambiental contra uma empresa química que expõe uma longa história de poluição.")</f>
        <v>Um advogado de defesa corporativa assume um processo ambiental contra uma empresa química que expõe uma longa história de poluição.</v>
      </c>
      <c r="M879" s="1">
        <v>73.0</v>
      </c>
      <c r="N879" s="1" t="s">
        <v>5048</v>
      </c>
      <c r="O879" s="1" t="s">
        <v>481</v>
      </c>
      <c r="P879" s="1" t="s">
        <v>191</v>
      </c>
      <c r="Q879" s="1" t="s">
        <v>23</v>
      </c>
      <c r="R879" s="1" t="s">
        <v>5049</v>
      </c>
      <c r="S879" s="1">
        <v>60408.0</v>
      </c>
      <c r="T879" s="7" t="str">
        <f>VLOOKUP(A879,Posters!A879:B1878,2)</f>
        <v>https://m.media-amazon.com/images/M/MV5BODQ0M2Y5M2QtZGIwMC00MzJjLThlMzYtNmE3ZTMzZTYzOGEwXkEyXkFqcGdeQXVyMTkxNjUyNQ@@._V1_UX67_CR0,0,67,98_AL_.jpg</v>
      </c>
      <c r="U879" s="8">
        <f>'Inflation Adjusted Gross'!F879</f>
        <v>11412991</v>
      </c>
      <c r="V879" s="5">
        <f t="shared" si="1"/>
        <v>2020</v>
      </c>
    </row>
    <row r="880">
      <c r="A880" s="1">
        <v>879.0</v>
      </c>
      <c r="B880" s="1" t="s">
        <v>5050</v>
      </c>
      <c r="C880" s="6">
        <f>Gross_cleaning!E880</f>
        <v>26020957</v>
      </c>
      <c r="D880" s="1">
        <v>2018.0</v>
      </c>
      <c r="E880" s="1" t="s">
        <v>5051</v>
      </c>
      <c r="F880" s="1" t="str">
        <f>VLOOKUP(Filmes_raw!E880,Rating_systems!$A$2:$C$29,3,FALSE)</f>
        <v>Criança</v>
      </c>
      <c r="G880" s="2">
        <f>Gross_cleaning!F880</f>
        <v>102</v>
      </c>
      <c r="H880" s="1" t="s">
        <v>405</v>
      </c>
      <c r="I880" s="1" t="s">
        <v>527</v>
      </c>
      <c r="J880" s="1">
        <v>7.6</v>
      </c>
      <c r="K880" s="1" t="s">
        <v>5052</v>
      </c>
      <c r="L880" s="1" t="str">
        <f>IFERROR(__xludf.DUMMYFUNCTION("GOOGLETRANSLATE(K880,""en"", ""pt-br"")"),"Depois que sua filha adolescente desaparece, um pai desesperado tenta encontrar pistas em seu laptop.")</f>
        <v>Depois que sua filha adolescente desaparece, um pai desesperado tenta encontrar pistas em seu laptop.</v>
      </c>
      <c r="M880" s="1">
        <v>71.0</v>
      </c>
      <c r="N880" s="1" t="s">
        <v>5053</v>
      </c>
      <c r="O880" s="1" t="s">
        <v>5054</v>
      </c>
      <c r="P880" s="1" t="s">
        <v>5055</v>
      </c>
      <c r="Q880" s="1" t="s">
        <v>5056</v>
      </c>
      <c r="R880" s="1" t="s">
        <v>5057</v>
      </c>
      <c r="S880" s="1">
        <v>140840.0</v>
      </c>
      <c r="T880" s="7" t="str">
        <f>VLOOKUP(A880,Posters!A880:B1879,2)</f>
        <v>https://m.media-amazon.com/images/M/MV5BMjIwOTA3NDI3MF5BMl5BanBnXkFtZTgwNzIzMzA5NTM@._V1_UX67_CR0,0,67,98_AL_.jpg</v>
      </c>
      <c r="U880" s="8">
        <f>'Inflation Adjusted Gross'!F880</f>
        <v>27081670</v>
      </c>
      <c r="V880" s="5">
        <f t="shared" si="1"/>
        <v>2020</v>
      </c>
    </row>
    <row r="881">
      <c r="A881" s="1">
        <v>880.0</v>
      </c>
      <c r="B881" s="1" t="s">
        <v>5058</v>
      </c>
      <c r="C881" s="6">
        <f>Gross_cleaning!E881</f>
        <v>142502728</v>
      </c>
      <c r="D881" s="1">
        <v>2019.0</v>
      </c>
      <c r="E881" s="1" t="s">
        <v>18</v>
      </c>
      <c r="F881" s="1" t="str">
        <f>VLOOKUP(Filmes_raw!E881,Rating_systems!$A$2:$C$29,3,FALSE)</f>
        <v>Adulto</v>
      </c>
      <c r="G881" s="2">
        <f>Gross_cleaning!F881</f>
        <v>161</v>
      </c>
      <c r="H881" s="1" t="s">
        <v>115</v>
      </c>
      <c r="I881" s="1" t="s">
        <v>507</v>
      </c>
      <c r="J881" s="1">
        <v>7.6</v>
      </c>
      <c r="K881" s="1" t="s">
        <v>5059</v>
      </c>
      <c r="L881" s="1" t="str">
        <f>IFERROR(__xludf.DUMMYFUNCTION("GOOGLETRANSLATE(K881,""en"", ""pt-br"")"),"Um ator de televisão desbotado e seu duplo duplo se esforçam para alcançar fama e sucesso nos últimos anos da idade de ouro de Hollywood em 1969 Los Angeles.")</f>
        <v>Um ator de televisão desbotado e seu duplo duplo se esforçam para alcançar fama e sucesso nos últimos anos da idade de ouro de Hollywood em 1969 Los Angeles.</v>
      </c>
      <c r="M881" s="1">
        <v>83.0</v>
      </c>
      <c r="N881" s="1" t="s">
        <v>72</v>
      </c>
      <c r="O881" s="1" t="s">
        <v>90</v>
      </c>
      <c r="P881" s="1" t="s">
        <v>98</v>
      </c>
      <c r="Q881" s="1" t="s">
        <v>1080</v>
      </c>
      <c r="R881" s="1" t="s">
        <v>1606</v>
      </c>
      <c r="S881" s="1">
        <v>551309.0</v>
      </c>
      <c r="T881" s="7" t="str">
        <f>VLOOKUP(A881,Posters!A881:B1880,2)</f>
        <v>https://m.media-amazon.com/images/M/MV5BOTg4ZTNkZmUtMzNlZi00YmFjLTk1MmUtNWQwNTM0YjcyNTNkXkEyXkFqcGdeQXVyNjg2NjQwMDQ@._V1_UX67_CR0,0,67,98_AL_.jpg</v>
      </c>
      <c r="U881" s="8">
        <f>'Inflation Adjusted Gross'!F881</f>
        <v>146046161</v>
      </c>
      <c r="V881" s="5">
        <f t="shared" si="1"/>
        <v>2020</v>
      </c>
    </row>
    <row r="882">
      <c r="A882" s="1">
        <v>881.0</v>
      </c>
      <c r="B882" s="1" t="s">
        <v>5060</v>
      </c>
      <c r="C882" s="6">
        <f>Gross_cleaning!E882</f>
        <v>566356</v>
      </c>
      <c r="D882" s="1">
        <v>2017.0</v>
      </c>
      <c r="E882" s="1" t="s">
        <v>212</v>
      </c>
      <c r="F882" s="1" t="str">
        <f>VLOOKUP(Filmes_raw!E882,Rating_systems!$A$2:$C$29,3,FALSE)</f>
        <v>Adulto</v>
      </c>
      <c r="G882" s="2">
        <f>Gross_cleaning!F882</f>
        <v>127</v>
      </c>
      <c r="H882" s="1" t="s">
        <v>234</v>
      </c>
      <c r="I882" s="1" t="s">
        <v>20</v>
      </c>
      <c r="J882" s="1">
        <v>7.6</v>
      </c>
      <c r="K882" s="1" t="s">
        <v>5061</v>
      </c>
      <c r="L882" s="1" t="str">
        <f>IFERROR(__xludf.DUMMYFUNCTION("GOOGLETRANSLATE(K882,""en"", ""pt-br"")"),"Um casal passando por um divórcio deve se unir para encontrar seu filho que desapareceu durante um dos seus argumentos amargos.")</f>
        <v>Um casal passando por um divórcio deve se unir para encontrar seu filho que desapareceu durante um dos seus argumentos amargos.</v>
      </c>
      <c r="M882" s="1">
        <v>86.0</v>
      </c>
      <c r="N882" s="1" t="s">
        <v>2417</v>
      </c>
      <c r="O882" s="1" t="s">
        <v>5062</v>
      </c>
      <c r="P882" s="1" t="s">
        <v>5063</v>
      </c>
      <c r="Q882" s="1" t="s">
        <v>5064</v>
      </c>
      <c r="R882" s="1" t="s">
        <v>5065</v>
      </c>
      <c r="S882" s="1">
        <v>29765.0</v>
      </c>
      <c r="T882" s="7" t="str">
        <f>VLOOKUP(A882,Posters!A882:B1881,2)</f>
        <v>https://m.media-amazon.com/images/M/MV5BNzk2NmU3NmEtMTVhNS00NzJhLWE1M2ItMThjZjI5NWM3YmFmXkEyXkFqcGdeQXVyMjA1MzUyODk@._V1_UY98_CR1,0,67,98_AL_.jpg</v>
      </c>
      <c r="U882" s="8">
        <f>'Inflation Adjusted Gross'!F882</f>
        <v>601647</v>
      </c>
      <c r="V882" s="5">
        <f t="shared" si="1"/>
        <v>2020</v>
      </c>
    </row>
    <row r="883">
      <c r="A883" s="1">
        <v>882.0</v>
      </c>
      <c r="B883" s="1" t="s">
        <v>5066</v>
      </c>
      <c r="C883" s="6">
        <f>Gross_cleaning!E883</f>
        <v>5904366</v>
      </c>
      <c r="D883" s="1">
        <v>2017.0</v>
      </c>
      <c r="E883" s="1" t="s">
        <v>18</v>
      </c>
      <c r="F883" s="1" t="str">
        <f>VLOOKUP(Filmes_raw!E883,Rating_systems!$A$2:$C$29,3,FALSE)</f>
        <v>Adulto</v>
      </c>
      <c r="G883" s="2">
        <f>Gross_cleaning!F883</f>
        <v>111</v>
      </c>
      <c r="H883" s="1" t="s">
        <v>1663</v>
      </c>
      <c r="I883" s="1" t="s">
        <v>20</v>
      </c>
      <c r="J883" s="1">
        <v>7.6</v>
      </c>
      <c r="K883" s="1" t="s">
        <v>5067</v>
      </c>
      <c r="L883" s="1" t="str">
        <f>IFERROR(__xludf.DUMMYFUNCTION("GOOGLETRANSLATE(K883,""en"", ""pt-br"")"),"Situado mais de um verão, o filme segue o moinho precoce de seis anos enquanto corteja mal e aventura com seus companheiros de corrida de Ragtag e vínculos com a mãe rebelde, mas cuidar, ao vivo nas sombras do mundo da Walt Disney.")</f>
        <v>Situado mais de um verão, o filme segue o moinho precoce de seis anos enquanto corteja mal e aventura com seus companheiros de corrida de Ragtag e vínculos com a mãe rebelde, mas cuidar, ao vivo nas sombras do mundo da Walt Disney.</v>
      </c>
      <c r="M883" s="1">
        <v>92.0</v>
      </c>
      <c r="N883" s="1" t="s">
        <v>5068</v>
      </c>
      <c r="O883" s="1" t="s">
        <v>5069</v>
      </c>
      <c r="P883" s="1" t="s">
        <v>5070</v>
      </c>
      <c r="Q883" s="1" t="s">
        <v>1825</v>
      </c>
      <c r="R883" s="1" t="s">
        <v>5071</v>
      </c>
      <c r="S883" s="1">
        <v>95181.0</v>
      </c>
      <c r="T883" s="7" t="str">
        <f>VLOOKUP(A883,Posters!A883:B1882,2)</f>
        <v>https://m.media-amazon.com/images/M/MV5BMjg4ZmY1MmItMjFjOS00ZTg2LWJjNDYtNDM2YmM2NzhiNmZhXkEyXkFqcGdeQXVyNTAzMTY4MDA@._V1_UX67_CR0,0,67,98_AL_.jpg</v>
      </c>
      <c r="U883" s="8">
        <f>'Inflation Adjusted Gross'!F883</f>
        <v>6272284</v>
      </c>
      <c r="V883" s="5">
        <f t="shared" si="1"/>
        <v>2020</v>
      </c>
    </row>
    <row r="884">
      <c r="A884" s="1">
        <v>883.0</v>
      </c>
      <c r="B884" s="1" t="s">
        <v>5072</v>
      </c>
      <c r="C884" s="6">
        <f>Gross_cleaning!E884</f>
        <v>36001502</v>
      </c>
      <c r="D884" s="1">
        <v>2019.0</v>
      </c>
      <c r="E884" s="1" t="s">
        <v>18</v>
      </c>
      <c r="F884" s="1" t="str">
        <f>VLOOKUP(Filmes_raw!E884,Rating_systems!$A$2:$C$29,3,FALSE)</f>
        <v>Adulto</v>
      </c>
      <c r="G884" s="2">
        <f>Gross_cleaning!F884</f>
        <v>137</v>
      </c>
      <c r="H884" s="1" t="s">
        <v>360</v>
      </c>
      <c r="I884" s="1" t="s">
        <v>137</v>
      </c>
      <c r="J884" s="1">
        <v>7.6</v>
      </c>
      <c r="K884" s="1" t="s">
        <v>5073</v>
      </c>
      <c r="L884" s="1" t="str">
        <f>IFERROR(__xludf.DUMMYFUNCTION("GOOGLETRANSLATE(K884,""en"", ""pt-br"")"),"Advogado de defesa de direitos civis de renome mundial Bryan Stevenson trabalha para libertar um prisioneiro erroneamente condenado da morte.")</f>
        <v>Advogado de defesa de direitos civis de renome mundial Bryan Stevenson trabalha para libertar um prisioneiro erroneamente condenado da morte.</v>
      </c>
      <c r="M884" s="1">
        <v>68.0</v>
      </c>
      <c r="N884" s="1" t="s">
        <v>2221</v>
      </c>
      <c r="O884" s="1" t="s">
        <v>5074</v>
      </c>
      <c r="P884" s="1" t="s">
        <v>497</v>
      </c>
      <c r="Q884" s="1" t="s">
        <v>1427</v>
      </c>
      <c r="R884" s="1" t="s">
        <v>5075</v>
      </c>
      <c r="S884" s="1">
        <v>46739.0</v>
      </c>
      <c r="T884" s="7" t="str">
        <f>VLOOKUP(A884,Posters!A884:B1883,2)</f>
        <v>https://m.media-amazon.com/images/M/MV5BYmM4YzA5NjUtZGEyOS00YzllLWJmM2UtZjhhNmJhM2E1NjUxXkEyXkFqcGdeQXVyMTkxNjUyNQ@@._V1_UX67_CR0,0,67,98_AL_.jpg</v>
      </c>
      <c r="U884" s="8">
        <f>'Inflation Adjusted Gross'!F884</f>
        <v>36896705</v>
      </c>
      <c r="V884" s="5">
        <f t="shared" si="1"/>
        <v>2020</v>
      </c>
    </row>
    <row r="885">
      <c r="A885" s="1">
        <v>884.0</v>
      </c>
      <c r="B885" s="1" t="s">
        <v>5076</v>
      </c>
      <c r="C885" s="6">
        <f>Gross_cleaning!E885</f>
        <v>24801212</v>
      </c>
      <c r="D885" s="1">
        <v>2017.0</v>
      </c>
      <c r="E885" s="1" t="s">
        <v>161</v>
      </c>
      <c r="F885" s="1" t="str">
        <f>VLOOKUP(Filmes_raw!E885,Rating_systems!$A$2:$C$29,3,FALSE)</f>
        <v>Criança</v>
      </c>
      <c r="G885" s="2">
        <f>Gross_cleaning!F885</f>
        <v>101</v>
      </c>
      <c r="H885" s="1" t="s">
        <v>535</v>
      </c>
      <c r="I885" s="1" t="s">
        <v>20</v>
      </c>
      <c r="J885" s="1">
        <v>7.6</v>
      </c>
      <c r="K885" s="1" t="s">
        <v>5077</v>
      </c>
      <c r="L885" s="1" t="str">
        <f>IFERROR(__xludf.DUMMYFUNCTION("GOOGLETRANSLATE(K885,""en"", ""pt-br"")"),"Frank, um único homem, levantando sua criança Prodigy Niarde Mary, é atraído para uma batalha de custódia com sua mãe.")</f>
        <v>Frank, um único homem, levantando sua criança Prodigy Niarde Mary, é atraído para uma batalha de custódia com sua mãe.</v>
      </c>
      <c r="M885" s="1">
        <v>60.0</v>
      </c>
      <c r="N885" s="1" t="s">
        <v>4465</v>
      </c>
      <c r="O885" s="1" t="s">
        <v>480</v>
      </c>
      <c r="P885" s="1" t="s">
        <v>5078</v>
      </c>
      <c r="Q885" s="1" t="s">
        <v>5079</v>
      </c>
      <c r="R885" s="1" t="s">
        <v>2286</v>
      </c>
      <c r="S885" s="1">
        <v>99643.0</v>
      </c>
      <c r="T885" s="7" t="str">
        <f>VLOOKUP(A885,Posters!A885:B1884,2)</f>
        <v>https://m.media-amazon.com/images/M/MV5BMjQ2NDU3NDE0M15BMl5BanBnXkFtZTgwMjA3OTg0MDI@._V1_UX67_CR0,0,67,98_AL_.jpg</v>
      </c>
      <c r="U885" s="8">
        <f>'Inflation Adjusted Gross'!F885</f>
        <v>26346647</v>
      </c>
      <c r="V885" s="5">
        <f t="shared" si="1"/>
        <v>2020</v>
      </c>
    </row>
    <row r="886">
      <c r="A886" s="1">
        <v>885.0</v>
      </c>
      <c r="B886" s="1" t="s">
        <v>5080</v>
      </c>
      <c r="C886" s="6">
        <f>Gross_cleaning!E886</f>
        <v>13122642</v>
      </c>
      <c r="D886" s="1">
        <v>2019.0</v>
      </c>
      <c r="E886" s="1" t="s">
        <v>161</v>
      </c>
      <c r="F886" s="1" t="str">
        <f>VLOOKUP(Filmes_raw!E886,Rating_systems!$A$2:$C$29,3,FALSE)</f>
        <v>Criança</v>
      </c>
      <c r="G886" s="2">
        <f>Gross_cleaning!F886</f>
        <v>97</v>
      </c>
      <c r="H886" s="1" t="s">
        <v>2864</v>
      </c>
      <c r="I886" s="1" t="s">
        <v>1004</v>
      </c>
      <c r="J886" s="1">
        <v>7.6</v>
      </c>
      <c r="K886" s="1" t="s">
        <v>5081</v>
      </c>
      <c r="L886" s="1" t="str">
        <f>IFERROR(__xludf.DUMMYFUNCTION("GOOGLETRANSLATE(K886,""en"", ""pt-br"")"),"Zak foge de seu cuidado para casa para fazer o seu sonho de se tornar um lutador se tornar realidade.")</f>
        <v>Zak foge de seu cuidado para casa para fazer o seu sonho de se tornar um lutador se tornar realidade.</v>
      </c>
      <c r="M886" s="1">
        <v>70.0</v>
      </c>
      <c r="N886" s="1" t="s">
        <v>5082</v>
      </c>
      <c r="O886" s="1" t="s">
        <v>5083</v>
      </c>
      <c r="P886" s="1" t="s">
        <v>5084</v>
      </c>
      <c r="Q886" s="1" t="s">
        <v>5085</v>
      </c>
      <c r="R886" s="1" t="s">
        <v>5086</v>
      </c>
      <c r="S886" s="1">
        <v>66346.0</v>
      </c>
      <c r="T886" s="7" t="str">
        <f>VLOOKUP(A886,Posters!A886:B1885,2)</f>
        <v>https://m.media-amazon.com/images/M/MV5BOWVmZGQ0MGYtMDI1Yy00MDkxLWJiYjQtMmZjZmQ0NDFmMDRhXkEyXkFqcGdeQXVyNjg3MDMxNzU@._V1_UX67_CR0,0,67,98_AL_.jpg</v>
      </c>
      <c r="U886" s="8">
        <f>'Inflation Adjusted Gross'!F886</f>
        <v>13448946</v>
      </c>
      <c r="V886" s="5">
        <f t="shared" si="1"/>
        <v>2020</v>
      </c>
    </row>
    <row r="887">
      <c r="A887" s="1">
        <v>886.0</v>
      </c>
      <c r="B887" s="1" t="s">
        <v>5087</v>
      </c>
      <c r="C887" s="6">
        <f>Gross_cleaning!E887</f>
        <v>3192275</v>
      </c>
      <c r="D887" s="1">
        <v>2015.0</v>
      </c>
      <c r="E887" s="1">
        <v>16.0</v>
      </c>
      <c r="F887" s="1" t="str">
        <f>VLOOKUP(Filmes_raw!E887,Rating_systems!$A$2:$C$29,3,FALSE)</f>
        <v>Adolescente</v>
      </c>
      <c r="G887" s="2">
        <f>Gross_cleaning!F887</f>
        <v>138</v>
      </c>
      <c r="H887" s="1" t="s">
        <v>947</v>
      </c>
      <c r="I887" s="1" t="s">
        <v>2372</v>
      </c>
      <c r="J887" s="1">
        <v>7.6</v>
      </c>
      <c r="K887" s="1" t="s">
        <v>5088</v>
      </c>
      <c r="L887" s="1" t="str">
        <f>IFERROR(__xludf.DUMMYFUNCTION("GOOGLETRANSLATE(K887,""en"", ""pt-br"")"),"Uma jovem mulher espanhola que recentemente se mudou para Berlim encontra seu flerte com um cara local, tornando-se potencialmente mortal como sua noite com seus amigos revela um segredo perigoso.")</f>
        <v>Uma jovem mulher espanhola que recentemente se mudou para Berlim encontra seu flerte com um cara local, tornando-se potencialmente mortal como sua noite com seus amigos revela um segredo perigoso.</v>
      </c>
      <c r="M887" s="1">
        <v>77.0</v>
      </c>
      <c r="N887" s="1" t="s">
        <v>5089</v>
      </c>
      <c r="O887" s="1" t="s">
        <v>5090</v>
      </c>
      <c r="P887" s="1" t="s">
        <v>5091</v>
      </c>
      <c r="Q887" s="1" t="s">
        <v>5092</v>
      </c>
      <c r="R887" s="1" t="s">
        <v>5093</v>
      </c>
      <c r="S887" s="1">
        <v>52903.0</v>
      </c>
      <c r="T887" s="7" t="str">
        <f>VLOOKUP(A887,Posters!A887:B1886,2)</f>
        <v>https://m.media-amazon.com/images/M/MV5BMTc5NzQzNjk2NF5BMl5BanBnXkFtZTgwODU0MjI5NjE@._V1_UY98_CR0,0,67,98_AL_.jpg</v>
      </c>
      <c r="U887" s="8">
        <f>'Inflation Adjusted Gross'!F887</f>
        <v>3523704</v>
      </c>
      <c r="V887" s="5">
        <f t="shared" si="1"/>
        <v>2020</v>
      </c>
    </row>
    <row r="888">
      <c r="A888" s="1">
        <v>887.0</v>
      </c>
      <c r="B888" s="1" t="s">
        <v>5094</v>
      </c>
      <c r="C888" s="6">
        <f>Gross_cleaning!E888</f>
        <v>845464</v>
      </c>
      <c r="D888" s="1">
        <v>2015.0</v>
      </c>
      <c r="E888" s="1" t="s">
        <v>161</v>
      </c>
      <c r="F888" s="1" t="str">
        <f>VLOOKUP(Filmes_raw!E888,Rating_systems!$A$2:$C$29,3,FALSE)</f>
        <v>Criança</v>
      </c>
      <c r="G888" s="2">
        <f>Gross_cleaning!F888</f>
        <v>97</v>
      </c>
      <c r="H888" s="1" t="s">
        <v>2864</v>
      </c>
      <c r="I888" s="1" t="s">
        <v>20</v>
      </c>
      <c r="J888" s="1">
        <v>7.6</v>
      </c>
      <c r="K888" s="1" t="s">
        <v>5095</v>
      </c>
      <c r="L888" s="1" t="str">
        <f>IFERROR(__xludf.DUMMYFUNCTION("GOOGLETRANSLATE(K888,""en"", ""pt-br"")"),"Quando cinco meninas órfãs são vistas brincando inocentemente com meninos em uma praia, seus guardiões conservadores escandalizados confinam-os enquanto casamentos forçados são organizados.")</f>
        <v>Quando cinco meninas órfãs são vistas brincando inocentemente com meninos em uma praia, seus guardiões conservadores escandalizados confinam-os enquanto casamentos forçados são organizados.</v>
      </c>
      <c r="M888" s="1">
        <v>83.0</v>
      </c>
      <c r="N888" s="1" t="s">
        <v>5096</v>
      </c>
      <c r="O888" s="1" t="s">
        <v>5097</v>
      </c>
      <c r="P888" s="1" t="s">
        <v>5098</v>
      </c>
      <c r="Q888" s="1" t="s">
        <v>5099</v>
      </c>
      <c r="R888" s="1" t="s">
        <v>5100</v>
      </c>
      <c r="S888" s="1">
        <v>35785.0</v>
      </c>
      <c r="T888" s="7" t="str">
        <f>VLOOKUP(A888,Posters!A888:B1887,2)</f>
        <v>https://m.media-amazon.com/images/M/MV5BMTkwODUzODA0OV5BMl5BanBnXkFtZTgwMTA3ODkxNzE@._V1_UY98_CR0,0,67,98_AL_.jpg</v>
      </c>
      <c r="U888" s="8">
        <f>'Inflation Adjusted Gross'!F888</f>
        <v>933242</v>
      </c>
      <c r="V888" s="5">
        <f t="shared" si="1"/>
        <v>2020</v>
      </c>
    </row>
    <row r="889">
      <c r="A889" s="1">
        <v>888.0</v>
      </c>
      <c r="B889" s="1" t="s">
        <v>5101</v>
      </c>
      <c r="C889" s="6">
        <f>Gross_cleaning!E889</f>
        <v>389813101</v>
      </c>
      <c r="D889" s="1">
        <v>2017.0</v>
      </c>
      <c r="E889" s="1" t="s">
        <v>37</v>
      </c>
      <c r="F889" s="1" t="str">
        <f>VLOOKUP(Filmes_raw!E889,Rating_systems!$A$2:$C$29,3,FALSE)</f>
        <v>Criança</v>
      </c>
      <c r="G889" s="2">
        <f>Gross_cleaning!F889</f>
        <v>136</v>
      </c>
      <c r="H889" s="1" t="s">
        <v>127</v>
      </c>
      <c r="I889" s="1" t="s">
        <v>1252</v>
      </c>
      <c r="J889" s="1">
        <v>7.6</v>
      </c>
      <c r="K889" s="1" t="s">
        <v>5102</v>
      </c>
      <c r="L889" s="1" t="str">
        <f>IFERROR(__xludf.DUMMYFUNCTION("GOOGLETRANSLATE(K889,""en"", ""pt-br"")"),"Os guardiões lutam para se manter juntos como uma equipe, lidando com suas questões pessoais da família, nomeadamente o encontro de Star-Senhor com seu pai o ego celestial ambicioso.")</f>
        <v>Os guardiões lutam para se manter juntos como uma equipe, lidando com suas questões pessoais da família, nomeadamente o encontro de Star-Senhor com seu pai o ego celestial ambicioso.</v>
      </c>
      <c r="M889" s="1">
        <v>67.0</v>
      </c>
      <c r="N889" s="1" t="s">
        <v>2242</v>
      </c>
      <c r="O889" s="1" t="s">
        <v>2243</v>
      </c>
      <c r="P889" s="1" t="s">
        <v>2246</v>
      </c>
      <c r="Q889" s="1" t="s">
        <v>2250</v>
      </c>
      <c r="R889" s="1" t="s">
        <v>2244</v>
      </c>
      <c r="S889" s="1">
        <v>569974.0</v>
      </c>
      <c r="T889" s="7" t="str">
        <f>VLOOKUP(A889,Posters!A889:B1888,2)</f>
        <v>https://m.media-amazon.com/images/M/MV5BNjM0NTc0NzItM2FlYS00YzEwLWE0YmUtNTA2ZWIzODc2OTgxXkEyXkFqcGdeQXVyNTgwNzIyNzg@._V1_UX67_CR0,0,67,98_AL_.jpg</v>
      </c>
      <c r="U889" s="8">
        <f>'Inflation Adjusted Gross'!F889</f>
        <v>414103482</v>
      </c>
      <c r="V889" s="5">
        <f t="shared" si="1"/>
        <v>2020</v>
      </c>
    </row>
    <row r="890">
      <c r="A890" s="1">
        <v>889.0</v>
      </c>
      <c r="B890" s="1" t="s">
        <v>5103</v>
      </c>
      <c r="C890" s="6">
        <f>Gross_cleaning!E890</f>
        <v>107825862</v>
      </c>
      <c r="D890" s="1">
        <v>2017.0</v>
      </c>
      <c r="E890" s="1" t="s">
        <v>37</v>
      </c>
      <c r="F890" s="1" t="str">
        <f>VLOOKUP(Filmes_raw!E890,Rating_systems!$A$2:$C$29,3,FALSE)</f>
        <v>Criança</v>
      </c>
      <c r="G890" s="2">
        <f>Gross_cleaning!F890</f>
        <v>113</v>
      </c>
      <c r="H890" s="1" t="s">
        <v>543</v>
      </c>
      <c r="I890" s="1" t="s">
        <v>39</v>
      </c>
      <c r="J890" s="1">
        <v>7.6</v>
      </c>
      <c r="K890" s="1" t="s">
        <v>5104</v>
      </c>
      <c r="L890" s="1" t="str">
        <f>IFERROR(__xludf.DUMMYFUNCTION("GOOGLETRANSLATE(K890,""en"", ""pt-br"")"),"Depois de ser coagido em trabalhar para um chefe do crime, um jovem motorista de fuga se encontra participando de um heist condenado a falhar.")</f>
        <v>Depois de ser coagido em trabalhar para um chefe do crime, um jovem motorista de fuga se encontra participando de um heist condenado a falhar.</v>
      </c>
      <c r="M890" s="1">
        <v>86.0</v>
      </c>
      <c r="N890" s="1" t="s">
        <v>3158</v>
      </c>
      <c r="O890" s="1" t="s">
        <v>4363</v>
      </c>
      <c r="P890" s="1" t="s">
        <v>1512</v>
      </c>
      <c r="Q890" s="1" t="s">
        <v>5105</v>
      </c>
      <c r="R890" s="1" t="s">
        <v>5106</v>
      </c>
      <c r="S890" s="1">
        <v>439406.0</v>
      </c>
      <c r="T890" s="7" t="str">
        <f>VLOOKUP(A890,Posters!A890:B1889,2)</f>
        <v>https://m.media-amazon.com/images/M/MV5BMjM3MjQ1MzkxNl5BMl5BanBnXkFtZTgwODk1ODgyMjI@._V1_UX67_CR0,0,67,98_AL_.jpg</v>
      </c>
      <c r="U890" s="8">
        <f>'Inflation Adjusted Gross'!F890</f>
        <v>114544803</v>
      </c>
      <c r="V890" s="5">
        <f t="shared" si="1"/>
        <v>2020</v>
      </c>
    </row>
    <row r="891">
      <c r="A891" s="1">
        <v>890.0</v>
      </c>
      <c r="B891" s="1" t="s">
        <v>5107</v>
      </c>
      <c r="C891" s="6">
        <f>Gross_cleaning!E891</f>
        <v>18340051</v>
      </c>
      <c r="D891" s="1">
        <v>2017.0</v>
      </c>
      <c r="E891" s="1" t="s">
        <v>37</v>
      </c>
      <c r="F891" s="1" t="str">
        <f>VLOOKUP(Filmes_raw!E891,Rating_systems!$A$2:$C$29,3,FALSE)</f>
        <v>Criança</v>
      </c>
      <c r="G891" s="2">
        <f>Gross_cleaning!F891</f>
        <v>134</v>
      </c>
      <c r="H891" s="1" t="s">
        <v>550</v>
      </c>
      <c r="I891" s="1" t="s">
        <v>458</v>
      </c>
      <c r="J891" s="1">
        <v>7.6</v>
      </c>
      <c r="K891" s="1" t="s">
        <v>5108</v>
      </c>
      <c r="L891" s="1" t="str">
        <f>IFERROR(__xludf.DUMMYFUNCTION("GOOGLETRANSLATE(K891,""en"", ""pt-br"")"),"Com base na verdadeira história dos hotshots de montanha de granito, um grupo de bombeiros de elite que arriscam tudo para proteger uma cidade de um incêndio histórico.")</f>
        <v>Com base na verdadeira história dos hotshots de montanha de granito, um grupo de bombeiros de elite que arriscam tudo para proteger uma cidade de um incêndio histórico.</v>
      </c>
      <c r="M891" s="1">
        <v>72.0</v>
      </c>
      <c r="N891" s="1" t="s">
        <v>5109</v>
      </c>
      <c r="O891" s="1" t="s">
        <v>1616</v>
      </c>
      <c r="P891" s="1" t="s">
        <v>290</v>
      </c>
      <c r="Q891" s="1" t="s">
        <v>1727</v>
      </c>
      <c r="R891" s="1" t="s">
        <v>742</v>
      </c>
      <c r="S891" s="1">
        <v>58371.0</v>
      </c>
      <c r="T891" s="7" t="str">
        <f>VLOOKUP(A891,Posters!A891:B1890,2)</f>
        <v>https://m.media-amazon.com/images/M/MV5BYWFlOWI3YTMtYTk3NS00YWQ2LTlmYTMtZjk0ZDk4Y2NjODI0XkEyXkFqcGdeQXVyNTQxNTQ4Mg@@._V1_UX67_CR0,0,67,98_AL_.jpg</v>
      </c>
      <c r="U891" s="8">
        <f>'Inflation Adjusted Gross'!F891</f>
        <v>19482873</v>
      </c>
      <c r="V891" s="5">
        <f t="shared" si="1"/>
        <v>2020</v>
      </c>
    </row>
    <row r="892">
      <c r="A892" s="1">
        <v>891.0</v>
      </c>
      <c r="B892" s="1" t="s">
        <v>5110</v>
      </c>
      <c r="C892" s="6">
        <f>Gross_cleaning!E892</f>
        <v>72313754</v>
      </c>
      <c r="D892" s="1">
        <v>2015.0</v>
      </c>
      <c r="E892" s="1" t="s">
        <v>37</v>
      </c>
      <c r="F892" s="1" t="str">
        <f>VLOOKUP(Filmes_raw!E892,Rating_systems!$A$2:$C$29,3,FALSE)</f>
        <v>Criança</v>
      </c>
      <c r="G892" s="2">
        <f>Gross_cleaning!F892</f>
        <v>142</v>
      </c>
      <c r="H892" s="1" t="s">
        <v>19</v>
      </c>
      <c r="I892" s="1" t="s">
        <v>2593</v>
      </c>
      <c r="J892" s="1">
        <v>7.6</v>
      </c>
      <c r="K892" s="1" t="s">
        <v>5111</v>
      </c>
      <c r="L892" s="1" t="str">
        <f>IFERROR(__xludf.DUMMYFUNCTION("GOOGLETRANSLATE(K892,""en"", ""pt-br"")"),"Durante a Guerra Fria, um advogado americano é recrutado para defender um espião soviético preso no tribunal, e depois ajudar a CIA a facilitar uma troca do espião para o piloto do avião americano americano da American Soviética, Francis Gary Powers.")</f>
        <v>Durante a Guerra Fria, um advogado americano é recrutado para defender um espião soviético preso no tribunal, e depois ajudar a CIA a facilitar uma troca do espião para o piloto do avião americano americano da American Soviética, Francis Gary Powers.</v>
      </c>
      <c r="M892" s="1">
        <v>81.0</v>
      </c>
      <c r="N892" s="1" t="s">
        <v>81</v>
      </c>
      <c r="O892" s="1" t="s">
        <v>110</v>
      </c>
      <c r="P892" s="1" t="s">
        <v>3540</v>
      </c>
      <c r="Q892" s="1" t="s">
        <v>5112</v>
      </c>
      <c r="R892" s="1" t="s">
        <v>4485</v>
      </c>
      <c r="S892" s="1">
        <v>287659.0</v>
      </c>
      <c r="T892" s="7" t="str">
        <f>VLOOKUP(A892,Posters!A892:B1891,2)</f>
        <v>https://m.media-amazon.com/images/M/MV5BMjIxOTI0MjU5NV5BMl5BanBnXkFtZTgwNzM4OTk4NTE@._V1_UX67_CR0,0,67,98_AL_.jpg</v>
      </c>
      <c r="U892" s="8">
        <f>'Inflation Adjusted Gross'!F892</f>
        <v>79821535</v>
      </c>
      <c r="V892" s="5">
        <f t="shared" si="1"/>
        <v>2020</v>
      </c>
    </row>
    <row r="893">
      <c r="A893" s="1">
        <v>892.0</v>
      </c>
      <c r="B893" s="1" t="s">
        <v>5113</v>
      </c>
      <c r="C893" s="6">
        <f>Gross_cleaning!E893</f>
        <v>608581744</v>
      </c>
      <c r="D893" s="1">
        <v>2018.0</v>
      </c>
      <c r="E893" s="1" t="s">
        <v>37</v>
      </c>
      <c r="F893" s="1" t="str">
        <f>VLOOKUP(Filmes_raw!E893,Rating_systems!$A$2:$C$29,3,FALSE)</f>
        <v>Criança</v>
      </c>
      <c r="G893" s="2">
        <f>Gross_cleaning!F893</f>
        <v>118</v>
      </c>
      <c r="H893" s="1" t="s">
        <v>240</v>
      </c>
      <c r="I893" s="1" t="s">
        <v>467</v>
      </c>
      <c r="J893" s="1">
        <v>7.6</v>
      </c>
      <c r="K893" s="1" t="s">
        <v>5114</v>
      </c>
      <c r="L893" s="1" t="str">
        <f>IFERROR(__xludf.DUMMYFUNCTION("GOOGLETRANSLATE(K893,""en"", ""pt-br"")"),"A família Incredibles assume uma nova missão que envolve uma mudança nos papéis familiares: Bob Parr (Sr. Incredible) deve gerenciar a casa enquanto sua esposa Helen (Elastigirl) sai para salvar o mundo.")</f>
        <v>A família Incredibles assume uma nova missão que envolve uma mudança nos papéis familiares: Bob Parr (Sr. Incredible) deve gerenciar a casa enquanto sua esposa Helen (Elastigirl) sai para salvar o mundo.</v>
      </c>
      <c r="M893" s="1">
        <v>80.0</v>
      </c>
      <c r="N893" s="1" t="s">
        <v>2400</v>
      </c>
      <c r="O893" s="1" t="s">
        <v>2459</v>
      </c>
      <c r="P893" s="1" t="s">
        <v>2460</v>
      </c>
      <c r="Q893" s="1" t="s">
        <v>5115</v>
      </c>
      <c r="R893" s="1" t="s">
        <v>5116</v>
      </c>
      <c r="S893" s="1">
        <v>250057.0</v>
      </c>
      <c r="T893" s="7" t="str">
        <f>VLOOKUP(A893,Posters!A893:B1892,2)</f>
        <v>https://m.media-amazon.com/images/M/MV5BMTEzNzY0OTg0NTdeQTJeQWpwZ15BbWU4MDU3OTg3MjUz._V1_UX67_CR0,0,67,98_AL_.jpg</v>
      </c>
      <c r="U893" s="8">
        <f>'Inflation Adjusted Gross'!F893</f>
        <v>633389848</v>
      </c>
      <c r="V893" s="5">
        <f t="shared" si="1"/>
        <v>2020</v>
      </c>
    </row>
    <row r="894">
      <c r="A894" s="1">
        <v>893.0</v>
      </c>
      <c r="B894" s="1" t="s">
        <v>5117</v>
      </c>
      <c r="C894" s="6">
        <f>Gross_cleaning!E894</f>
        <v>248757044</v>
      </c>
      <c r="D894" s="1">
        <v>2016.0</v>
      </c>
      <c r="E894" s="1" t="s">
        <v>52</v>
      </c>
      <c r="F894" s="1" t="str">
        <f>VLOOKUP(Filmes_raw!E894,Rating_systems!$A$2:$C$29,3,FALSE)</f>
        <v>Criança</v>
      </c>
      <c r="G894" s="2">
        <f>Gross_cleaning!F894</f>
        <v>107</v>
      </c>
      <c r="H894" s="1" t="s">
        <v>907</v>
      </c>
      <c r="I894" s="1" t="s">
        <v>765</v>
      </c>
      <c r="J894" s="1">
        <v>7.6</v>
      </c>
      <c r="K894" s="1" t="s">
        <v>5118</v>
      </c>
      <c r="L894" s="1" t="str">
        <f>IFERROR(__xludf.DUMMYFUNCTION("GOOGLETRANSLATE(K894,""en"", ""pt-br"")"),"Na antiga Polinésia, quando uma maldição terrível incorrida pelo Demigod Maui atinge a ilha de Moana, ela responde ao chamado do oceano para procurar o semideus para colocar as coisas certas.")</f>
        <v>Na antiga Polinésia, quando uma maldição terrível incorrida pelo Demigod Maui atinge a ilha de Moana, ela responde ao chamado do oceano para procurar o semideus para colocar as coisas certas.</v>
      </c>
      <c r="M894" s="1">
        <v>81.0</v>
      </c>
      <c r="N894" s="1" t="s">
        <v>2588</v>
      </c>
      <c r="O894" s="1" t="s">
        <v>2589</v>
      </c>
      <c r="P894" s="1" t="s">
        <v>3645</v>
      </c>
      <c r="Q894" s="1" t="s">
        <v>3646</v>
      </c>
      <c r="R894" s="1" t="s">
        <v>5119</v>
      </c>
      <c r="S894" s="1">
        <v>272784.0</v>
      </c>
      <c r="T894" s="7" t="str">
        <f>VLOOKUP(A894,Posters!A894:B1893,2)</f>
        <v>https://m.media-amazon.com/images/M/MV5BMjI4MzU5NTExNF5BMl5BanBnXkFtZTgwNzY1MTEwMDI@._V1_UX67_CR0,0,67,98_AL_.jpg</v>
      </c>
      <c r="U894" s="8">
        <f>'Inflation Adjusted Gross'!F894</f>
        <v>270864371</v>
      </c>
      <c r="V894" s="5">
        <f t="shared" si="1"/>
        <v>2020</v>
      </c>
    </row>
    <row r="895">
      <c r="A895" s="1">
        <v>894.0</v>
      </c>
      <c r="B895" s="1" t="s">
        <v>5120</v>
      </c>
      <c r="C895" s="6">
        <f>Gross_cleaning!E895</f>
        <v>46889293</v>
      </c>
      <c r="D895" s="1">
        <v>2015.0</v>
      </c>
      <c r="E895" s="1" t="s">
        <v>18</v>
      </c>
      <c r="F895" s="1" t="str">
        <f>VLOOKUP(Filmes_raw!E895,Rating_systems!$A$2:$C$29,3,FALSE)</f>
        <v>Adulto</v>
      </c>
      <c r="G895" s="2">
        <f>Gross_cleaning!F895</f>
        <v>121</v>
      </c>
      <c r="H895" s="1" t="s">
        <v>249</v>
      </c>
      <c r="I895" s="1" t="s">
        <v>39</v>
      </c>
      <c r="J895" s="1">
        <v>7.6</v>
      </c>
      <c r="K895" s="1" t="s">
        <v>5121</v>
      </c>
      <c r="L895" s="1" t="str">
        <f>IFERROR(__xludf.DUMMYFUNCTION("GOOGLETRANSLATE(K895,""en"", ""pt-br"")"),"Um agente do FBI idealista é alistado por uma força-tarefa governamental para ajudar na guerra escalada contra drogas na área de fronteira entre os EUA e o México.")</f>
        <v>Um agente do FBI idealista é alistado por uma força-tarefa governamental para ajudar na guerra escalada contra drogas na área de fronteira entre os EUA e o México.</v>
      </c>
      <c r="M895" s="1">
        <v>82.0</v>
      </c>
      <c r="N895" s="1" t="s">
        <v>688</v>
      </c>
      <c r="O895" s="1" t="s">
        <v>3039</v>
      </c>
      <c r="P895" s="1" t="s">
        <v>1616</v>
      </c>
      <c r="Q895" s="1" t="s">
        <v>735</v>
      </c>
      <c r="R895" s="1" t="s">
        <v>1512</v>
      </c>
      <c r="S895" s="1">
        <v>371291.0</v>
      </c>
      <c r="T895" s="7" t="str">
        <f>VLOOKUP(A895,Posters!A895:B1894,2)</f>
        <v>https://m.media-amazon.com/images/M/MV5BMjA5NjM3NTk1M15BMl5BanBnXkFtZTgwMzg1MzU2NjE@._V1_UX67_CR0,0,67,98_AL_.jpg</v>
      </c>
      <c r="U895" s="8">
        <f>'Inflation Adjusted Gross'!F895</f>
        <v>51757448</v>
      </c>
      <c r="V895" s="5">
        <f t="shared" si="1"/>
        <v>2020</v>
      </c>
    </row>
    <row r="896">
      <c r="A896" s="1">
        <v>895.0</v>
      </c>
      <c r="B896" s="1" t="s">
        <v>5122</v>
      </c>
      <c r="C896" s="6">
        <f>Gross_cleaning!E896</f>
        <v>109767581</v>
      </c>
      <c r="D896" s="1">
        <v>2015.0</v>
      </c>
      <c r="E896" s="1" t="s">
        <v>18</v>
      </c>
      <c r="F896" s="1" t="str">
        <f>VLOOKUP(Filmes_raw!E896,Rating_systems!$A$2:$C$29,3,FALSE)</f>
        <v>Adulto</v>
      </c>
      <c r="G896" s="2">
        <f>Gross_cleaning!F896</f>
        <v>133</v>
      </c>
      <c r="H896" s="1" t="s">
        <v>153</v>
      </c>
      <c r="I896" s="1" t="s">
        <v>1622</v>
      </c>
      <c r="J896" s="1">
        <v>7.6</v>
      </c>
      <c r="K896" s="1" t="s">
        <v>5123</v>
      </c>
      <c r="L896" s="1" t="str">
        <f>IFERROR(__xludf.DUMMYFUNCTION("GOOGLETRANSLATE(K896,""en"", ""pt-br"")"),"O ex-campeão mundial do Worldweight Rocky Balboa serve como treinador e mentor para Adonis Johnson, filho de seu falecido amigo e ex-rival Apolo Creed.")</f>
        <v>O ex-campeão mundial do Worldweight Rocky Balboa serve como treinador e mentor para Adonis Johnson, filho de seu falecido amigo e ex-rival Apolo Creed.</v>
      </c>
      <c r="M896" s="1">
        <v>82.0</v>
      </c>
      <c r="N896" s="1" t="s">
        <v>5124</v>
      </c>
      <c r="O896" s="1" t="s">
        <v>5074</v>
      </c>
      <c r="P896" s="1" t="s">
        <v>1893</v>
      </c>
      <c r="Q896" s="1" t="s">
        <v>5125</v>
      </c>
      <c r="R896" s="1" t="s">
        <v>5126</v>
      </c>
      <c r="S896" s="1">
        <v>247666.0</v>
      </c>
      <c r="T896" s="7" t="str">
        <f>VLOOKUP(A896,Posters!A896:B1895,2)</f>
        <v>https://m.media-amazon.com/images/M/MV5BNmZkYjQzY2QtNjdkNC00YjkzLTk5NjUtY2MyNDNiYTBhN2M2XkEyXkFqcGdeQXVyMjMwNDgzNjc@._V1_UX67_CR0,0,67,98_AL_.jpg</v>
      </c>
      <c r="U896" s="8">
        <f>'Inflation Adjusted Gross'!F896</f>
        <v>121163905</v>
      </c>
      <c r="V896" s="5">
        <f t="shared" si="1"/>
        <v>2020</v>
      </c>
    </row>
    <row r="897">
      <c r="A897" s="1">
        <v>896.0</v>
      </c>
      <c r="B897" s="1" t="s">
        <v>5127</v>
      </c>
      <c r="C897" s="6">
        <f>Gross_cleaning!E897</f>
        <v>1092800</v>
      </c>
      <c r="D897" s="1">
        <v>2014.0</v>
      </c>
      <c r="E897" s="1" t="s">
        <v>212</v>
      </c>
      <c r="F897" s="1" t="str">
        <f>VLOOKUP(Filmes_raw!E897,Rating_systems!$A$2:$C$29,3,FALSE)</f>
        <v>Adulto</v>
      </c>
      <c r="G897" s="2">
        <f>Gross_cleaning!F897</f>
        <v>140</v>
      </c>
      <c r="H897" s="1" t="s">
        <v>1059</v>
      </c>
      <c r="I897" s="1" t="s">
        <v>29</v>
      </c>
      <c r="J897" s="1">
        <v>7.6</v>
      </c>
      <c r="K897" s="1" t="s">
        <v>5128</v>
      </c>
      <c r="L897" s="1" t="str">
        <f>IFERROR(__xludf.DUMMYFUNCTION("GOOGLETRANSLATE(K897,""en"", ""pt-br"")"),"Em uma cidade costeira russa, Kolya é forçado a lutar contra o prefeito corrupto quando é informado de que sua casa será demolida. Ele recruta um amigo advogado para ajudar, mas a chegada do homem traz mais infortúnio para Kolya e sua família.")</f>
        <v>Em uma cidade costeira russa, Kolya é forçado a lutar contra o prefeito corrupto quando é informado de que sua casa será demolida. Ele recruta um amigo advogado para ajudar, mas a chegada do homem traz mais infortúnio para Kolya e sua família.</v>
      </c>
      <c r="M897" s="1">
        <v>92.0</v>
      </c>
      <c r="N897" s="1" t="s">
        <v>2417</v>
      </c>
      <c r="O897" s="1" t="s">
        <v>5129</v>
      </c>
      <c r="P897" s="1" t="s">
        <v>5130</v>
      </c>
      <c r="Q897" s="1" t="s">
        <v>5131</v>
      </c>
      <c r="R897" s="1" t="s">
        <v>5132</v>
      </c>
      <c r="S897" s="1">
        <v>49397.0</v>
      </c>
      <c r="T897" s="7" t="str">
        <f>VLOOKUP(A897,Posters!A897:B1896,2)</f>
        <v>https://m.media-amazon.com/images/M/MV5BYTYxZjQ2YTktNmVkMC00ZTY4LThkZmItMDc4MTJiYjVhZjM0L2ltYWdlXkEyXkFqcGdeQXVyMjgyNjk3MzE@._V1_UY98_CR1,0,67,98_AL_.jpg</v>
      </c>
      <c r="U897" s="8">
        <f>'Inflation Adjusted Gross'!F897</f>
        <v>1205179</v>
      </c>
      <c r="V897" s="5">
        <f t="shared" si="1"/>
        <v>2020</v>
      </c>
    </row>
    <row r="898">
      <c r="A898" s="1">
        <v>897.0</v>
      </c>
      <c r="B898" s="1" t="s">
        <v>5133</v>
      </c>
      <c r="C898" s="6">
        <f>Gross_cleaning!E898</f>
        <v>26862450</v>
      </c>
      <c r="D898" s="1">
        <v>2016.0</v>
      </c>
      <c r="E898" s="1" t="s">
        <v>212</v>
      </c>
      <c r="F898" s="1" t="str">
        <f>VLOOKUP(Filmes_raw!E898,Rating_systems!$A$2:$C$29,3,FALSE)</f>
        <v>Adulto</v>
      </c>
      <c r="G898" s="2">
        <f>Gross_cleaning!F898</f>
        <v>102</v>
      </c>
      <c r="H898" s="1" t="s">
        <v>405</v>
      </c>
      <c r="I898" s="1" t="s">
        <v>39</v>
      </c>
      <c r="J898" s="1">
        <v>7.6</v>
      </c>
      <c r="K898" s="1" t="s">
        <v>5134</v>
      </c>
      <c r="L898" s="1" t="str">
        <f>IFERROR(__xludf.DUMMYFUNCTION("GOOGLETRANSLATE(K898,""en"", ""pt-br"")"),"Um pai divorciado e seu ex-preocuador irmão mais velho recorrem a um esquema desesperado, a fim de salvar o rancho de sua família no Ocidental Texas.")</f>
        <v>Um pai divorciado e seu ex-preocuador irmão mais velho recorrem a um esquema desesperado, a fim de salvar o rancho de sua família no Ocidental Texas.</v>
      </c>
      <c r="M898" s="1">
        <v>88.0</v>
      </c>
      <c r="N898" s="1" t="s">
        <v>5135</v>
      </c>
      <c r="O898" s="1" t="s">
        <v>3100</v>
      </c>
      <c r="P898" s="1" t="s">
        <v>4563</v>
      </c>
      <c r="Q898" s="1" t="s">
        <v>1727</v>
      </c>
      <c r="R898" s="1" t="s">
        <v>5136</v>
      </c>
      <c r="S898" s="1">
        <v>204175.0</v>
      </c>
      <c r="T898" s="7" t="str">
        <f>VLOOKUP(A898,Posters!A898:B1897,2)</f>
        <v>https://m.media-amazon.com/images/M/MV5BMTg4NDA1OTA5NF5BMl5BanBnXkFtZTgwMDQ2MDM5ODE@._V1_UX67_CR0,0,67,98_AL_.jpg</v>
      </c>
      <c r="U898" s="8">
        <f>'Inflation Adjusted Gross'!F898</f>
        <v>29249747</v>
      </c>
      <c r="V898" s="5">
        <f t="shared" si="1"/>
        <v>2020</v>
      </c>
    </row>
    <row r="899">
      <c r="A899" s="1">
        <v>898.0</v>
      </c>
      <c r="B899" s="1" t="s">
        <v>5137</v>
      </c>
      <c r="C899" s="6">
        <f>Gross_cleaning!E899</f>
        <v>37707719</v>
      </c>
      <c r="D899" s="1">
        <v>2013.0</v>
      </c>
      <c r="E899" s="1" t="s">
        <v>161</v>
      </c>
      <c r="F899" s="1" t="str">
        <f>VLOOKUP(Filmes_raw!E899,Rating_systems!$A$2:$C$29,3,FALSE)</f>
        <v>Criança</v>
      </c>
      <c r="G899" s="2">
        <f>Gross_cleaning!F899</f>
        <v>98</v>
      </c>
      <c r="H899" s="1" t="s">
        <v>519</v>
      </c>
      <c r="I899" s="1" t="s">
        <v>296</v>
      </c>
      <c r="J899" s="1">
        <v>7.6</v>
      </c>
      <c r="K899" s="1" t="s">
        <v>5138</v>
      </c>
      <c r="L899" s="1" t="str">
        <f>IFERROR(__xludf.DUMMYFUNCTION("GOOGLETRANSLATE(K899,""en"", ""pt-br"")"),"Um jornalista político cansado mundial pega a história da busca de uma mulher por seu filho, que foi tirada de suas décadas atrás depois que ela ficou grávida e foi forçada a viver em um convento.")</f>
        <v>Um jornalista político cansado mundial pega a história da busca de uma mulher por seu filho, que foi tirada de suas décadas atrás depois que ela ficou grávida e foi forçada a viver em um convento.</v>
      </c>
      <c r="M899" s="1">
        <v>77.0</v>
      </c>
      <c r="N899" s="1" t="s">
        <v>5139</v>
      </c>
      <c r="O899" s="1" t="s">
        <v>2411</v>
      </c>
      <c r="P899" s="1" t="s">
        <v>5140</v>
      </c>
      <c r="Q899" s="1" t="s">
        <v>5141</v>
      </c>
      <c r="R899" s="1" t="s">
        <v>5142</v>
      </c>
      <c r="S899" s="1">
        <v>94212.0</v>
      </c>
      <c r="T899" s="7" t="str">
        <f>VLOOKUP(A899,Posters!A899:B1898,2)</f>
        <v>https://m.media-amazon.com/images/M/MV5BMjA5ODgyNzcxMV5BMl5BanBnXkFtZTgwMzkzOTYzMDE@._V1_UX67_CR0,0,67,98_AL_.jpg</v>
      </c>
      <c r="U899" s="8">
        <f>'Inflation Adjusted Gross'!F899</f>
        <v>42242044</v>
      </c>
      <c r="V899" s="5">
        <f t="shared" si="1"/>
        <v>2020</v>
      </c>
    </row>
    <row r="900">
      <c r="A900" s="1">
        <v>899.0</v>
      </c>
      <c r="B900" s="1" t="s">
        <v>5143</v>
      </c>
      <c r="C900" s="6">
        <f>Gross_cleaning!E900</f>
        <v>208545589</v>
      </c>
      <c r="D900" s="1">
        <v>2014.0</v>
      </c>
      <c r="E900" s="1" t="s">
        <v>37</v>
      </c>
      <c r="F900" s="1" t="str">
        <f>VLOOKUP(Filmes_raw!E900,Rating_systems!$A$2:$C$29,3,FALSE)</f>
        <v>Criança</v>
      </c>
      <c r="G900" s="2">
        <f>Gross_cleaning!F900</f>
        <v>130</v>
      </c>
      <c r="H900" s="1" t="s">
        <v>195</v>
      </c>
      <c r="I900" s="1" t="s">
        <v>62</v>
      </c>
      <c r="J900" s="1">
        <v>7.6</v>
      </c>
      <c r="K900" s="1" t="s">
        <v>5144</v>
      </c>
      <c r="L900" s="1" t="str">
        <f>IFERROR(__xludf.DUMMYFUNCTION("GOOGLETRANSLATE(K900,""en"", ""pt-br"")"),"Uma nação crescente de macacos geneticamente evoluídos liderados por César é ameaçada por uma banda de sobreviventes humanos do vírus devastador desencadeou uma década mais cedo.")</f>
        <v>Uma nação crescente de macacos geneticamente evoluídos liderados por César é ameaçada por uma banda de sobreviventes humanos do vírus devastador desencadeou uma década mais cedo.</v>
      </c>
      <c r="M900" s="1">
        <v>79.0</v>
      </c>
      <c r="N900" s="1" t="s">
        <v>5145</v>
      </c>
      <c r="O900" s="1" t="s">
        <v>347</v>
      </c>
      <c r="P900" s="1" t="s">
        <v>5146</v>
      </c>
      <c r="Q900" s="1" t="s">
        <v>3783</v>
      </c>
      <c r="R900" s="1" t="s">
        <v>5147</v>
      </c>
      <c r="S900" s="1">
        <v>411599.0</v>
      </c>
      <c r="T900" s="7" t="str">
        <f>VLOOKUP(A900,Posters!A900:B1899,2)</f>
        <v>https://m.media-amazon.com/images/M/MV5BMTgwODk3NDc1N15BMl5BanBnXkFtZTgwNTc1NjQwMjE@._V1_UX67_CR0,0,67,98_AL_.jpg</v>
      </c>
      <c r="U900" s="8">
        <f>'Inflation Adjusted Gross'!F900</f>
        <v>229991596</v>
      </c>
      <c r="V900" s="5">
        <f t="shared" si="1"/>
        <v>2020</v>
      </c>
    </row>
    <row r="901">
      <c r="A901" s="1">
        <v>900.0</v>
      </c>
      <c r="B901" s="1" t="s">
        <v>5148</v>
      </c>
      <c r="C901" s="6">
        <f>Gross_cleaning!E901</f>
        <v>8779609</v>
      </c>
      <c r="D901" s="1">
        <v>2012.0</v>
      </c>
      <c r="E901" s="1">
        <v>16.0</v>
      </c>
      <c r="F901" s="1" t="str">
        <f>VLOOKUP(Filmes_raw!E901,Rating_systems!$A$2:$C$29,3,FALSE)</f>
        <v>Adolescente</v>
      </c>
      <c r="G901" s="2">
        <f>Gross_cleaning!F901</f>
        <v>112</v>
      </c>
      <c r="H901" s="1" t="s">
        <v>295</v>
      </c>
      <c r="I901" s="1" t="s">
        <v>544</v>
      </c>
      <c r="J901" s="1">
        <v>7.6</v>
      </c>
      <c r="K901" s="1" t="s">
        <v>5149</v>
      </c>
      <c r="L901" s="1" t="str">
        <f>IFERROR(__xludf.DUMMYFUNCTION("GOOGLETRANSLATE(K901,""en"", ""pt-br"")"),"Um detetive procura o corpo de uma femme fatale que desapareceu de um necrotério.")</f>
        <v>Um detetive procura o corpo de uma femme fatale que desapareceu de um necrotério.</v>
      </c>
      <c r="N901" s="1" t="s">
        <v>1392</v>
      </c>
      <c r="O901" s="1" t="s">
        <v>1395</v>
      </c>
      <c r="P901" s="1" t="s">
        <v>5150</v>
      </c>
      <c r="Q901" s="1" t="s">
        <v>2430</v>
      </c>
      <c r="R901" s="1" t="s">
        <v>5151</v>
      </c>
      <c r="S901" s="1">
        <v>57549.0</v>
      </c>
      <c r="T901" s="7" t="str">
        <f>VLOOKUP(A901,Posters!A901:B1900,2)</f>
        <v>https://m.media-amazon.com/images/M/MV5BNGMxZjFkN2EtMDRiMS00ZTBjLWI0M2MtZWUyYjFhZGViZDJlXkEyXkFqcGdeQXVyMTMxODk2OTU@._V1_UX67_CR0,0,67,98_AL_.jpg</v>
      </c>
      <c r="U901" s="8">
        <f>'Inflation Adjusted Gross'!F901</f>
        <v>9992211</v>
      </c>
      <c r="V901" s="5">
        <f t="shared" si="1"/>
        <v>2020</v>
      </c>
    </row>
    <row r="902">
      <c r="A902" s="1">
        <v>901.0</v>
      </c>
      <c r="B902" s="1" t="s">
        <v>5152</v>
      </c>
      <c r="C902" s="6">
        <f>Gross_cleaning!E902</f>
        <v>4105123</v>
      </c>
      <c r="D902" s="1">
        <v>2011.0</v>
      </c>
      <c r="E902" s="1" t="s">
        <v>18</v>
      </c>
      <c r="F902" s="1" t="str">
        <f>VLOOKUP(Filmes_raw!E902,Rating_systems!$A$2:$C$29,3,FALSE)</f>
        <v>Adulto</v>
      </c>
      <c r="G902" s="2">
        <f>Gross_cleaning!F902</f>
        <v>101</v>
      </c>
      <c r="H902" s="1" t="s">
        <v>535</v>
      </c>
      <c r="I902" s="1" t="s">
        <v>1214</v>
      </c>
      <c r="J902" s="1">
        <v>7.6</v>
      </c>
      <c r="K902" s="1" t="s">
        <v>5153</v>
      </c>
      <c r="L902" s="1" t="str">
        <f>IFERROR(__xludf.DUMMYFUNCTION("GOOGLETRANSLATE(K902,""en"", ""pt-br"")"),"Um s.w.a.t. Equipe fica preso em um anexo dirigido por um mobster implacável e seu exército de assassinos e bandidos.")</f>
        <v>Um s.w.a.t. Equipe fica preso em um anexo dirigido por um mobster implacável e seu exército de assassinos e bandidos.</v>
      </c>
      <c r="M902" s="1">
        <v>73.0</v>
      </c>
      <c r="N902" s="1" t="s">
        <v>2227</v>
      </c>
      <c r="O902" s="1" t="s">
        <v>2228</v>
      </c>
      <c r="P902" s="1" t="s">
        <v>5154</v>
      </c>
      <c r="Q902" s="1" t="s">
        <v>5155</v>
      </c>
      <c r="R902" s="1" t="s">
        <v>5156</v>
      </c>
      <c r="S902" s="1">
        <v>190531.0</v>
      </c>
      <c r="T902" s="7" t="str">
        <f>VLOOKUP(A902,Posters!A902:B1901,2)</f>
        <v>https://m.media-amazon.com/images/M/MV5BZGIxODNjM2YtZjA5Mi00MjA5LTk2YjItODE0OWI5NThjNTBmXkEyXkFqcGdeQXVyNzQ1ODk3MTQ@._V1_UX67_CR0,0,67,98_AL_.jpg</v>
      </c>
      <c r="U902" s="8">
        <f>'Inflation Adjusted Gross'!F902</f>
        <v>4808774</v>
      </c>
      <c r="V902" s="5">
        <f t="shared" si="1"/>
        <v>2020</v>
      </c>
    </row>
    <row r="903">
      <c r="A903" s="1">
        <v>902.0</v>
      </c>
      <c r="B903" s="1" t="s">
        <v>5157</v>
      </c>
      <c r="C903" s="6">
        <f>Gross_cleaning!E903</f>
        <v>41003371</v>
      </c>
      <c r="D903" s="1">
        <v>2012.0</v>
      </c>
      <c r="E903" s="1" t="s">
        <v>18</v>
      </c>
      <c r="F903" s="1" t="str">
        <f>VLOOKUP(Filmes_raw!E903,Rating_systems!$A$2:$C$29,3,FALSE)</f>
        <v>Adulto</v>
      </c>
      <c r="G903" s="2">
        <f>Gross_cleaning!F903</f>
        <v>109</v>
      </c>
      <c r="H903" s="1" t="s">
        <v>396</v>
      </c>
      <c r="I903" s="1" t="s">
        <v>39</v>
      </c>
      <c r="J903" s="1">
        <v>7.6</v>
      </c>
      <c r="K903" s="1" t="s">
        <v>5158</v>
      </c>
      <c r="L903" s="1" t="str">
        <f>IFERROR(__xludf.DUMMYFUNCTION("GOOGLETRANSLATE(K903,""en"", ""pt-br"")"),"Tiro Documentário, este filme segue a rotina diária de dois jovens policiais em Los Angeles que são parceiros e amigos, e o que acontece quando eles atendem às forças criminosas maiores que elas.")</f>
        <v>Tiro Documentário, este filme segue a rotina diária de dois jovens policiais em Los Angeles que são parceiros e amigos, e o que acontece quando eles atendem às forças criminosas maiores que elas.</v>
      </c>
      <c r="M903" s="1">
        <v>68.0</v>
      </c>
      <c r="N903" s="1" t="s">
        <v>5159</v>
      </c>
      <c r="O903" s="1" t="s">
        <v>1542</v>
      </c>
      <c r="P903" s="1" t="s">
        <v>5160</v>
      </c>
      <c r="Q903" s="1" t="s">
        <v>5161</v>
      </c>
      <c r="R903" s="1" t="s">
        <v>5162</v>
      </c>
      <c r="S903" s="1">
        <v>228132.0</v>
      </c>
      <c r="T903" s="7" t="str">
        <f>VLOOKUP(A903,Posters!A903:B1902,2)</f>
        <v>https://m.media-amazon.com/images/M/MV5BMjMxNjU0ODU5Ml5BMl5BanBnXkFtZTcwNjI4MzAyOA@@._V1_UX67_CR0,0,67,98_AL_.jpg</v>
      </c>
      <c r="U903" s="8">
        <f>'Inflation Adjusted Gross'!F903</f>
        <v>46666581</v>
      </c>
      <c r="V903" s="5">
        <f t="shared" si="1"/>
        <v>2020</v>
      </c>
    </row>
    <row r="904">
      <c r="A904" s="1">
        <v>903.0</v>
      </c>
      <c r="B904" s="1" t="s">
        <v>5163</v>
      </c>
      <c r="C904" s="6">
        <f>Gross_cleaning!E904</f>
        <v>19202743</v>
      </c>
      <c r="D904" s="1">
        <v>2010.0</v>
      </c>
      <c r="E904" s="1" t="s">
        <v>52</v>
      </c>
      <c r="F904" s="1" t="str">
        <f>VLOOKUP(Filmes_raw!E904,Rating_systems!$A$2:$C$29,3,FALSE)</f>
        <v>Criança</v>
      </c>
      <c r="G904" s="2">
        <f>Gross_cleaning!F904</f>
        <v>94</v>
      </c>
      <c r="H904" s="1" t="s">
        <v>1882</v>
      </c>
      <c r="I904" s="1" t="s">
        <v>204</v>
      </c>
      <c r="J904" s="1">
        <v>7.6</v>
      </c>
      <c r="K904" s="1" t="s">
        <v>5164</v>
      </c>
      <c r="L904" s="1" t="str">
        <f>IFERROR(__xludf.DUMMYFUNCTION("GOOGLETRANSLATE(K904,""en"", ""pt-br"")"),"A família do relógio são pessoas de quatro polegadas que vivem anonimamente na residência de outra família, emprestando itens simples para fazer sua casa. A vida muda para os relógios quando sua filha adolescente, Arrietty, é descoberta.")</f>
        <v>A família do relógio são pessoas de quatro polegadas que vivem anonimamente na residência de outra família, emprestando itens simples para fazer sua casa. A vida muda para os relógios quando sua filha adolescente, Arrietty, é descoberta.</v>
      </c>
      <c r="M904" s="1">
        <v>80.0</v>
      </c>
      <c r="N904" s="1" t="s">
        <v>4345</v>
      </c>
      <c r="O904" s="1" t="s">
        <v>1491</v>
      </c>
      <c r="P904" s="1" t="s">
        <v>5165</v>
      </c>
      <c r="Q904" s="1" t="s">
        <v>453</v>
      </c>
      <c r="R904" s="1" t="s">
        <v>4502</v>
      </c>
      <c r="S904" s="1">
        <v>80939.0</v>
      </c>
      <c r="T904" s="7" t="str">
        <f>VLOOKUP(A904,Posters!A904:B1903,2)</f>
        <v>https://m.media-amazon.com/images/M/MV5BZDY3ZGI0ZDAtMThlNy00MzAxLTg4YjAtNjkwYTkxNmQ4MjdlXkEyXkFqcGdeQXVyMTMxODk2OTU@._V1_UX67_CR0,0,67,98_AL_.jpg</v>
      </c>
      <c r="U904" s="8">
        <f>'Inflation Adjusted Gross'!F904</f>
        <v>22861320</v>
      </c>
      <c r="V904" s="5">
        <f t="shared" si="1"/>
        <v>2020</v>
      </c>
    </row>
    <row r="905">
      <c r="A905" s="1">
        <v>904.0</v>
      </c>
      <c r="B905" s="1" t="s">
        <v>5166</v>
      </c>
      <c r="C905" s="6">
        <f>Gross_cleaning!E905</f>
        <v>215288866</v>
      </c>
      <c r="D905" s="1">
        <v>2018.0</v>
      </c>
      <c r="E905" s="1" t="s">
        <v>37</v>
      </c>
      <c r="F905" s="1" t="str">
        <f>VLOOKUP(Filmes_raw!E905,Rating_systems!$A$2:$C$29,3,FALSE)</f>
        <v>Criança</v>
      </c>
      <c r="G905" s="2">
        <f>Gross_cleaning!F905</f>
        <v>136</v>
      </c>
      <c r="H905" s="1" t="s">
        <v>127</v>
      </c>
      <c r="I905" s="1" t="s">
        <v>1706</v>
      </c>
      <c r="J905" s="1">
        <v>7.6</v>
      </c>
      <c r="K905" s="1" t="s">
        <v>5167</v>
      </c>
      <c r="L905" s="1" t="str">
        <f>IFERROR(__xludf.DUMMYFUNCTION("GOOGLETRANSLATE(K905,""en"", ""pt-br"")"),"Um músico ajuda um jovem cantor a encontrar fama como idade e alcoolismo enviam sua própria carreira em uma espiral descendente.")</f>
        <v>Um músico ajuda um jovem cantor a encontrar fama como idade e alcoolismo enviam sua própria carreira em uma espiral descendente.</v>
      </c>
      <c r="M905" s="1">
        <v>88.0</v>
      </c>
      <c r="N905" s="1" t="s">
        <v>2245</v>
      </c>
      <c r="O905" s="1" t="s">
        <v>5168</v>
      </c>
      <c r="P905" s="1" t="s">
        <v>2245</v>
      </c>
      <c r="Q905" s="1" t="s">
        <v>3983</v>
      </c>
      <c r="R905" s="1" t="s">
        <v>5169</v>
      </c>
      <c r="S905" s="1">
        <v>334312.0</v>
      </c>
      <c r="T905" s="7" t="str">
        <f>VLOOKUP(A905,Posters!A905:B1904,2)</f>
        <v>https://m.media-amazon.com/images/M/MV5BNmE5ZmE3OGItNTdlNC00YmMxLWEzNjctYzAwOGQ5ODg0OTI0XkEyXkFqcGdeQXVyMTMxODk2OTU@._V1_UX67_CR0,0,67,98_AL_.jpg</v>
      </c>
      <c r="U905" s="8">
        <f>'Inflation Adjusted Gross'!F905</f>
        <v>224064858</v>
      </c>
      <c r="V905" s="5">
        <f t="shared" si="1"/>
        <v>2020</v>
      </c>
    </row>
    <row r="906">
      <c r="A906" s="1">
        <v>905.0</v>
      </c>
      <c r="B906" s="1" t="s">
        <v>5170</v>
      </c>
      <c r="C906" s="6">
        <f>Gross_cleaning!E906</f>
        <v>171243005</v>
      </c>
      <c r="D906" s="1">
        <v>2010.0</v>
      </c>
      <c r="E906" s="1" t="s">
        <v>161</v>
      </c>
      <c r="F906" s="1" t="str">
        <f>VLOOKUP(Filmes_raw!E906,Rating_systems!$A$2:$C$29,3,FALSE)</f>
        <v>Criança</v>
      </c>
      <c r="G906" s="2">
        <f>Gross_cleaning!F906</f>
        <v>110</v>
      </c>
      <c r="H906" s="1" t="s">
        <v>343</v>
      </c>
      <c r="I906" s="1" t="s">
        <v>495</v>
      </c>
      <c r="J906" s="1">
        <v>7.6</v>
      </c>
      <c r="K906" s="1" t="s">
        <v>5171</v>
      </c>
      <c r="L906" s="1" t="str">
        <f>IFERROR(__xludf.DUMMYFUNCTION("GOOGLETRANSLATE(K906,""en"", ""pt-br"")"),"Um adolescente teimoso encoraja a ajuda de um homem duro de U.S. para rastrear o assassino do pai.")</f>
        <v>Um adolescente teimoso encoraja a ajuda de um homem duro de U.S. para rastrear o assassino do pai.</v>
      </c>
      <c r="M906" s="1">
        <v>80.0</v>
      </c>
      <c r="N906" s="1" t="s">
        <v>1612</v>
      </c>
      <c r="O906" s="1" t="s">
        <v>1613</v>
      </c>
      <c r="P906" s="1" t="s">
        <v>1727</v>
      </c>
      <c r="Q906" s="1" t="s">
        <v>215</v>
      </c>
      <c r="R906" s="1" t="s">
        <v>5172</v>
      </c>
      <c r="S906" s="1">
        <v>311822.0</v>
      </c>
      <c r="T906" s="7" t="str">
        <f>VLOOKUP(A906,Posters!A906:B1905,2)</f>
        <v>https://m.media-amazon.com/images/M/MV5BODhkZDIzNjgtOTA5ZS00MmMzLWFkNjYtM2Y2MzFjN2FkNjAzL2ltYWdlXkEyXkFqcGdeQXVyNTAyODkwOQ@@._V1_UY98_CR1,0,67,98_AL_.jpg</v>
      </c>
      <c r="U906" s="8">
        <f>'Inflation Adjusted Gross'!F906</f>
        <v>203868849</v>
      </c>
      <c r="V906" s="5">
        <f t="shared" si="1"/>
        <v>2020</v>
      </c>
    </row>
    <row r="907">
      <c r="A907" s="1">
        <v>906.0</v>
      </c>
      <c r="B907" s="1" t="s">
        <v>5173</v>
      </c>
      <c r="C907" s="6">
        <f>Gross_cleaning!E907</f>
        <v>1008098</v>
      </c>
      <c r="D907" s="1">
        <v>2010.0</v>
      </c>
      <c r="E907" s="1" t="s">
        <v>212</v>
      </c>
      <c r="F907" s="1" t="str">
        <f>VLOOKUP(Filmes_raw!E907,Rating_systems!$A$2:$C$29,3,FALSE)</f>
        <v>Adulto</v>
      </c>
      <c r="G907" s="2">
        <f>Gross_cleaning!F907</f>
        <v>118</v>
      </c>
      <c r="H907" s="1" t="s">
        <v>240</v>
      </c>
      <c r="I907" s="1" t="s">
        <v>107</v>
      </c>
      <c r="J907" s="1">
        <v>7.6</v>
      </c>
      <c r="K907" s="1" t="s">
        <v>5174</v>
      </c>
      <c r="L907" s="1" t="str">
        <f>IFERROR(__xludf.DUMMYFUNCTION("GOOGLETRANSLATE(K907,""en"", ""pt-br"")"),"A vida de duas famílias dinamarquesas se cruzam, e uma amizade extraordinária mas arriscada entra em botão. Mas a solidão, a fragilidade e a tristeza estão à espera.")</f>
        <v>A vida de duas famílias dinamarquesas se cruzam, e uma amizade extraordinária mas arriscada entra em botão. Mas a solidão, a fragilidade e a tristeza estão à espera.</v>
      </c>
      <c r="M907" s="1">
        <v>65.0</v>
      </c>
      <c r="N907" s="1" t="s">
        <v>4520</v>
      </c>
      <c r="O907" s="1" t="s">
        <v>5175</v>
      </c>
      <c r="P907" s="1" t="s">
        <v>5176</v>
      </c>
      <c r="Q907" s="1" t="s">
        <v>5177</v>
      </c>
      <c r="R907" s="1" t="s">
        <v>5178</v>
      </c>
      <c r="S907" s="1">
        <v>38491.0</v>
      </c>
      <c r="T907" s="7" t="str">
        <f>VLOOKUP(A907,Posters!A907:B1906,2)</f>
        <v>https://m.media-amazon.com/images/M/MV5BNDY2OTE5MzE0Nl5BMl5BanBnXkFtZTcwNDAyOTc2NA@@._V1_UX67_CR0,0,67,98_AL_.jpg</v>
      </c>
      <c r="U907" s="8">
        <f>'Inflation Adjusted Gross'!F907</f>
        <v>1200165</v>
      </c>
      <c r="V907" s="5">
        <f t="shared" si="1"/>
        <v>2020</v>
      </c>
    </row>
    <row r="908">
      <c r="A908" s="1">
        <v>907.0</v>
      </c>
      <c r="B908" s="1" t="s">
        <v>5179</v>
      </c>
      <c r="C908" s="6">
        <f>Gross_cleaning!E908</f>
        <v>251513985</v>
      </c>
      <c r="D908" s="1">
        <v>2010.0</v>
      </c>
      <c r="E908" s="1" t="s">
        <v>52</v>
      </c>
      <c r="F908" s="1" t="str">
        <f>VLOOKUP(Filmes_raw!E908,Rating_systems!$A$2:$C$29,3,FALSE)</f>
        <v>Criança</v>
      </c>
      <c r="G908" s="2">
        <f>Gross_cleaning!F908</f>
        <v>95</v>
      </c>
      <c r="H908" s="1" t="s">
        <v>601</v>
      </c>
      <c r="I908" s="1" t="s">
        <v>5180</v>
      </c>
      <c r="J908" s="1">
        <v>7.6</v>
      </c>
      <c r="K908" s="1" t="s">
        <v>5181</v>
      </c>
      <c r="L908" s="1" t="str">
        <f>IFERROR(__xludf.DUMMYFUNCTION("GOOGLETRANSLATE(K908,""en"", ""pt-br"")"),"Quando um mastermind criminal usa um trio de garotas órfãs como peões para um grande esquema, ele encontra seu amor é mudando-o profundamente para melhor.")</f>
        <v>Quando um mastermind criminal usa um trio de garotas órfãs como peões para um grande esquema, ele encontra seu amor é mudando-o profundamente para melhor.</v>
      </c>
      <c r="M908" s="1">
        <v>72.0</v>
      </c>
      <c r="N908" s="1" t="s">
        <v>5182</v>
      </c>
      <c r="O908" s="1" t="s">
        <v>5183</v>
      </c>
      <c r="P908" s="1" t="s">
        <v>3685</v>
      </c>
      <c r="Q908" s="1" t="s">
        <v>5184</v>
      </c>
      <c r="R908" s="1" t="s">
        <v>5185</v>
      </c>
      <c r="S908" s="1">
        <v>500851.0</v>
      </c>
      <c r="T908" s="7" t="str">
        <f>VLOOKUP(A908,Posters!A908:B1907,2)</f>
        <v>https://m.media-amazon.com/images/M/MV5BMTY3NjY0MTQ0Nl5BMl5BanBnXkFtZTcwMzQ2MTc0Mw@@._V1_UX67_CR0,0,67,98_AL_.jpg</v>
      </c>
      <c r="U908" s="8">
        <f>'Inflation Adjusted Gross'!F908</f>
        <v>299433350</v>
      </c>
      <c r="V908" s="5">
        <f t="shared" si="1"/>
        <v>2020</v>
      </c>
    </row>
    <row r="909">
      <c r="A909" s="1">
        <v>908.0</v>
      </c>
      <c r="B909" s="1" t="s">
        <v>5186</v>
      </c>
      <c r="C909" s="6">
        <f>Gross_cleaning!E909</f>
        <v>35014192</v>
      </c>
      <c r="D909" s="1">
        <v>2011.0</v>
      </c>
      <c r="E909" s="1" t="s">
        <v>212</v>
      </c>
      <c r="F909" s="1" t="str">
        <f>VLOOKUP(Filmes_raw!E909,Rating_systems!$A$2:$C$29,3,FALSE)</f>
        <v>Adulto</v>
      </c>
      <c r="G909" s="2">
        <f>Gross_cleaning!F909</f>
        <v>100</v>
      </c>
      <c r="H909" s="1" t="s">
        <v>1439</v>
      </c>
      <c r="I909" s="1" t="s">
        <v>227</v>
      </c>
      <c r="J909" s="1">
        <v>7.6</v>
      </c>
      <c r="K909" s="1" t="s">
        <v>5187</v>
      </c>
      <c r="L909" s="1" t="str">
        <f>IFERROR(__xludf.DUMMYFUNCTION("GOOGLETRANSLATE(K909,""en"", ""pt-br"")"),"Inspirado por uma história verdadeira, uma comédia centrada em um cara de 27 anos que aprende sobre seu diagnóstico de câncer e sua luta subseqüente para vencer a doença.")</f>
        <v>Inspirado por uma história verdadeira, uma comédia centrada em um cara de 27 anos que aprende sobre seu diagnóstico de câncer e sua luta subseqüente para vencer a doença.</v>
      </c>
      <c r="M909" s="1">
        <v>72.0</v>
      </c>
      <c r="N909" s="1" t="s">
        <v>5188</v>
      </c>
      <c r="O909" s="1" t="s">
        <v>91</v>
      </c>
      <c r="P909" s="1" t="s">
        <v>5189</v>
      </c>
      <c r="Q909" s="1" t="s">
        <v>5161</v>
      </c>
      <c r="R909" s="1" t="s">
        <v>2287</v>
      </c>
      <c r="S909" s="1">
        <v>315426.0</v>
      </c>
      <c r="T909" s="7" t="str">
        <f>VLOOKUP(A909,Posters!A909:B1908,2)</f>
        <v>https://m.media-amazon.com/images/M/MV5BNjg3ODQyNTIyN15BMl5BanBnXkFtZTcwMjUzNzM5NQ@@._V1_UX67_CR0,0,67,98_AL_.jpg</v>
      </c>
      <c r="U909" s="8">
        <f>'Inflation Adjusted Gross'!F909</f>
        <v>41015907</v>
      </c>
      <c r="V909" s="5">
        <f t="shared" si="1"/>
        <v>2020</v>
      </c>
    </row>
    <row r="910">
      <c r="A910" s="1">
        <v>909.0</v>
      </c>
      <c r="B910" s="1" t="s">
        <v>5190</v>
      </c>
      <c r="C910" s="6">
        <f>Gross_cleaning!E910</f>
        <v>48071303</v>
      </c>
      <c r="D910" s="1">
        <v>2010.0</v>
      </c>
      <c r="E910" s="1" t="s">
        <v>37</v>
      </c>
      <c r="F910" s="1" t="str">
        <f>VLOOKUP(Filmes_raw!E910,Rating_systems!$A$2:$C$29,3,FALSE)</f>
        <v>Criança</v>
      </c>
      <c r="G910" s="2">
        <f>Gross_cleaning!F910</f>
        <v>117</v>
      </c>
      <c r="H910" s="1" t="s">
        <v>466</v>
      </c>
      <c r="I910" s="1" t="s">
        <v>1029</v>
      </c>
      <c r="J910" s="1">
        <v>7.6</v>
      </c>
      <c r="K910" s="1" t="s">
        <v>5191</v>
      </c>
      <c r="L910" s="1" t="str">
        <f>IFERROR(__xludf.DUMMYFUNCTION("GOOGLETRANSLATE(K910,""en"", ""pt-br"")"),"Dave Lizewski é um estudante do ensino médio notorável e fã de quadrinhos que um dia decide se tornar um super-herói, mesmo que ele não tenha poderes, treinamento ou motivo significativo para fazê-lo.")</f>
        <v>Dave Lizewski é um estudante do ensino médio notorável e fã de quadrinhos que um dia decide se tornar um super-herói, mesmo que ele não tenha poderes, treinamento ou motivo significativo para fazê-lo.</v>
      </c>
      <c r="M910" s="1">
        <v>66.0</v>
      </c>
      <c r="N910" s="1" t="s">
        <v>4357</v>
      </c>
      <c r="O910" s="1" t="s">
        <v>5192</v>
      </c>
      <c r="P910" s="1" t="s">
        <v>4629</v>
      </c>
      <c r="Q910" s="1" t="s">
        <v>2202</v>
      </c>
      <c r="R910" s="1" t="s">
        <v>5193</v>
      </c>
      <c r="S910" s="1">
        <v>524081.0</v>
      </c>
      <c r="T910" s="7" t="str">
        <f>VLOOKUP(A910,Posters!A910:B1909,2)</f>
        <v>https://m.media-amazon.com/images/M/MV5BMTMzNzEzMDYxM15BMl5BanBnXkFtZTcwMTc0NTMxMw@@._V1_UX67_CR0,0,67,98_AL_.jpg</v>
      </c>
      <c r="U910" s="8">
        <f>'Inflation Adjusted Gross'!F910</f>
        <v>57230024</v>
      </c>
      <c r="V910" s="5">
        <f t="shared" si="1"/>
        <v>2020</v>
      </c>
    </row>
    <row r="911">
      <c r="A911" s="1">
        <v>910.0</v>
      </c>
      <c r="B911" s="1" t="s">
        <v>5194</v>
      </c>
      <c r="C911" s="6">
        <f>Gross_cleaning!E911</f>
        <v>19305314</v>
      </c>
      <c r="D911" s="1">
        <v>2009.0</v>
      </c>
      <c r="E911" s="1" t="s">
        <v>212</v>
      </c>
      <c r="F911" s="1" t="str">
        <f>VLOOKUP(Filmes_raw!E911,Rating_systems!$A$2:$C$29,3,FALSE)</f>
        <v>Adulto</v>
      </c>
      <c r="G911" s="2">
        <f>Gross_cleaning!F911</f>
        <v>113</v>
      </c>
      <c r="H911" s="1" t="s">
        <v>543</v>
      </c>
      <c r="I911" s="1" t="s">
        <v>5195</v>
      </c>
      <c r="J911" s="1">
        <v>7.6</v>
      </c>
      <c r="K911" s="1" t="s">
        <v>5196</v>
      </c>
      <c r="L911" s="1" t="str">
        <f>IFERROR(__xludf.DUMMYFUNCTION("GOOGLETRANSLATE(K911,""en"", ""pt-br"")"),"A história de dois homens em lados diferentes de um tumulto de prisão - o preso que leva a rebelião e o jovem guarda preso na revolta, que posa como prisioneiro em uma tentativa desesperada de sobreviver à provação.")</f>
        <v>A história de dois homens em lados diferentes de um tumulto de prisão - o preso que leva a rebelião e o jovem guarda preso na revolta, que posa como prisioneiro em uma tentativa desesperada de sobreviver à provação.</v>
      </c>
      <c r="N911" s="1" t="s">
        <v>5197</v>
      </c>
      <c r="O911" s="1" t="s">
        <v>5198</v>
      </c>
      <c r="P911" s="1" t="s">
        <v>5199</v>
      </c>
      <c r="Q911" s="1" t="s">
        <v>5200</v>
      </c>
      <c r="R911" s="1" t="s">
        <v>5201</v>
      </c>
      <c r="S911" s="1">
        <v>63882.0</v>
      </c>
      <c r="T911" s="7" t="str">
        <f>VLOOKUP(A911,Posters!A911:B1910,2)</f>
        <v>https://m.media-amazon.com/images/M/MV5BMjI2ODE4ODAtMDA3MS00ODNkLTg4N2EtOGU0YjZmNGY4NjZlXkEyXkFqcGdeQXVyMTY5MDE5NA@@._V1_UY98_CR0,0,67,98_AL_.jpg</v>
      </c>
      <c r="U911" s="8">
        <f>'Inflation Adjusted Gross'!F911</f>
        <v>23586911</v>
      </c>
      <c r="V911" s="5">
        <f t="shared" si="1"/>
        <v>2020</v>
      </c>
    </row>
    <row r="912">
      <c r="A912" s="1">
        <v>911.0</v>
      </c>
      <c r="B912" s="1" t="s">
        <v>5202</v>
      </c>
      <c r="C912" s="6">
        <f>Gross_cleaning!E912</f>
        <v>75605492</v>
      </c>
      <c r="D912" s="1">
        <v>2011.0</v>
      </c>
      <c r="E912" s="1" t="s">
        <v>161</v>
      </c>
      <c r="F912" s="1" t="str">
        <f>VLOOKUP(Filmes_raw!E912,Rating_systems!$A$2:$C$29,3,FALSE)</f>
        <v>Criança</v>
      </c>
      <c r="G912" s="2">
        <f>Gross_cleaning!F912</f>
        <v>133</v>
      </c>
      <c r="H912" s="1" t="s">
        <v>153</v>
      </c>
      <c r="I912" s="1" t="s">
        <v>1020</v>
      </c>
      <c r="J912" s="1">
        <v>7.6</v>
      </c>
      <c r="K912" s="1" t="s">
        <v>5203</v>
      </c>
      <c r="L912" s="1" t="str">
        <f>IFERROR(__xludf.DUMMYFUNCTION("GOOGLETRANSLATE(K912,""en"", ""pt-br"")"),"O gerente geral de Oakland A Billy Beane é bem sucedido tentativa de montar uma equipe de beisebol em um orçamento enredo, empregando análise gerada por computador para adquirir novos jogadores.")</f>
        <v>O gerente geral de Oakland A Billy Beane é bem sucedido tentativa de montar uma equipe de beisebol em um orçamento enredo, empregando análise gerada por computador para adquirir novos jogadores.</v>
      </c>
      <c r="M912" s="1">
        <v>87.0</v>
      </c>
      <c r="N912" s="1" t="s">
        <v>5204</v>
      </c>
      <c r="O912" s="1" t="s">
        <v>98</v>
      </c>
      <c r="P912" s="1" t="s">
        <v>111</v>
      </c>
      <c r="Q912" s="1" t="s">
        <v>1079</v>
      </c>
      <c r="R912" s="1" t="s">
        <v>1593</v>
      </c>
      <c r="S912" s="1">
        <v>369529.0</v>
      </c>
      <c r="T912" s="7" t="str">
        <f>VLOOKUP(A912,Posters!A912:B1911,2)</f>
        <v>https://m.media-amazon.com/images/M/MV5BMjAxOTU3Mzc1M15BMl5BanBnXkFtZTcwMzk1ODUzNg@@._V1_UX67_CR0,0,67,98_AL_.jpg</v>
      </c>
      <c r="U912" s="8">
        <f>'Inflation Adjusted Gross'!F912</f>
        <v>88564883</v>
      </c>
      <c r="V912" s="5">
        <f t="shared" si="1"/>
        <v>2020</v>
      </c>
    </row>
    <row r="913">
      <c r="A913" s="1">
        <v>912.0</v>
      </c>
      <c r="B913" s="1" t="s">
        <v>5205</v>
      </c>
      <c r="C913" s="6">
        <f>Gross_cleaning!E913</f>
        <v>3185812</v>
      </c>
      <c r="D913" s="1">
        <v>2011.0</v>
      </c>
      <c r="E913" s="1" t="s">
        <v>212</v>
      </c>
      <c r="F913" s="1" t="str">
        <f>VLOOKUP(Filmes_raw!E913,Rating_systems!$A$2:$C$29,3,FALSE)</f>
        <v>Adulto</v>
      </c>
      <c r="G913" s="2">
        <f>Gross_cleaning!F913</f>
        <v>120</v>
      </c>
      <c r="H913" s="1" t="s">
        <v>1546</v>
      </c>
      <c r="I913" s="1" t="s">
        <v>1972</v>
      </c>
      <c r="J913" s="1">
        <v>7.6</v>
      </c>
      <c r="K913" s="1" t="s">
        <v>5206</v>
      </c>
      <c r="L913" s="1" t="str">
        <f>IFERROR(__xludf.DUMMYFUNCTION("GOOGLETRANSLATE(K913,""en"", ""pt-br"")"),"Um cirurgião plástico brilhante, assombrado por tragédias passadas, cria um tipo de pele sintética que suporta qualquer tipo de dano. Sua cobaia: uma mulher misteriosa e volátil que mantém a chave para sua obsessão.")</f>
        <v>Um cirurgião plástico brilhante, assombrado por tragédias passadas, cria um tipo de pele sintética que suporta qualquer tipo de dano. Sua cobaia: uma mulher misteriosa e volátil que mantém a chave para sua obsessão.</v>
      </c>
      <c r="M913" s="1">
        <v>70.0</v>
      </c>
      <c r="N913" s="1" t="s">
        <v>3184</v>
      </c>
      <c r="O913" s="1" t="s">
        <v>5207</v>
      </c>
      <c r="P913" s="1" t="s">
        <v>5208</v>
      </c>
      <c r="Q913" s="1" t="s">
        <v>5209</v>
      </c>
      <c r="R913" s="1" t="s">
        <v>3918</v>
      </c>
      <c r="S913" s="1">
        <v>138959.0</v>
      </c>
      <c r="T913" s="7" t="str">
        <f>VLOOKUP(A913,Posters!A913:B1912,2)</f>
        <v>https://m.media-amazon.com/images/M/MV5BYmFmNjY5NDYtZjlhNi00YjQ5LTgzNzctNWRiNWUzNmIyNjc4XkEyXkFqcGdeQXVyMTMxODk2OTU@._V1_UY98_CR0,0,67,98_AL_.jpg</v>
      </c>
      <c r="U913" s="8">
        <f>'Inflation Adjusted Gross'!F913</f>
        <v>3731886</v>
      </c>
      <c r="V913" s="5">
        <f t="shared" si="1"/>
        <v>2020</v>
      </c>
    </row>
    <row r="914">
      <c r="A914" s="1">
        <v>913.0</v>
      </c>
      <c r="B914" s="1" t="s">
        <v>5210</v>
      </c>
      <c r="C914" s="6">
        <f>Gross_cleaning!E914</f>
        <v>75590286</v>
      </c>
      <c r="D914" s="1">
        <v>2009.0</v>
      </c>
      <c r="E914" s="1" t="s">
        <v>18</v>
      </c>
      <c r="F914" s="1" t="str">
        <f>VLOOKUP(Filmes_raw!E914,Rating_systems!$A$2:$C$29,3,FALSE)</f>
        <v>Adulto</v>
      </c>
      <c r="G914" s="2">
        <f>Gross_cleaning!F914</f>
        <v>88</v>
      </c>
      <c r="H914" s="1" t="s">
        <v>351</v>
      </c>
      <c r="I914" s="1" t="s">
        <v>1260</v>
      </c>
      <c r="J914" s="1">
        <v>7.6</v>
      </c>
      <c r="K914" s="1" t="s">
        <v>5211</v>
      </c>
      <c r="L914" s="1" t="str">
        <f>IFERROR(__xludf.DUMMYFUNCTION("GOOGLETRANSLATE(K914,""en"", ""pt-br"")"),"Um estudante tímido tentando alcançar sua família em Ohio, um cara duro de arma tentando encontrar o último twinkie, e um par de irmãs tentando chegar a um parque de diversões unir forças para viajar através de uma América cheia de zumbis.")</f>
        <v>Um estudante tímido tentando alcançar sua família em Ohio, um cara duro de arma tentando encontrar o último twinkie, e um par de irmãs tentando chegar a um parque de diversões unir forças para viajar através de uma América cheia de zumbis.</v>
      </c>
      <c r="M914" s="1">
        <v>73.0</v>
      </c>
      <c r="N914" s="1" t="s">
        <v>5212</v>
      </c>
      <c r="O914" s="1" t="s">
        <v>4446</v>
      </c>
      <c r="P914" s="1" t="s">
        <v>2176</v>
      </c>
      <c r="Q914" s="1" t="s">
        <v>973</v>
      </c>
      <c r="R914" s="1" t="s">
        <v>5213</v>
      </c>
      <c r="S914" s="1">
        <v>520041.0</v>
      </c>
      <c r="T914" s="7" t="str">
        <f>VLOOKUP(A914,Posters!A914:B1913,2)</f>
        <v>https://m.media-amazon.com/images/M/MV5BMTU5MDg0NTQ1N15BMl5BanBnXkFtZTcwMjA4Mjg3Mg@@._V1_UY98_CR1,0,67,98_AL_.jpg</v>
      </c>
      <c r="U914" s="8">
        <f>'Inflation Adjusted Gross'!F914</f>
        <v>92354952</v>
      </c>
      <c r="V914" s="5">
        <f t="shared" si="1"/>
        <v>2020</v>
      </c>
    </row>
    <row r="915">
      <c r="A915" s="1">
        <v>914.0</v>
      </c>
      <c r="B915" s="1" t="s">
        <v>5214</v>
      </c>
      <c r="C915" s="6">
        <f>Gross_cleaning!E915</f>
        <v>32350637</v>
      </c>
      <c r="D915" s="1">
        <v>2008.0</v>
      </c>
      <c r="E915" s="1">
        <v>16.0</v>
      </c>
      <c r="F915" s="1" t="str">
        <f>VLOOKUP(Filmes_raw!E915,Rating_systems!$A$2:$C$29,3,FALSE)</f>
        <v>Adolescente</v>
      </c>
      <c r="G915" s="2">
        <f>Gross_cleaning!F915</f>
        <v>107</v>
      </c>
      <c r="H915" s="1" t="s">
        <v>907</v>
      </c>
      <c r="I915" s="1" t="s">
        <v>1377</v>
      </c>
      <c r="J915" s="1">
        <v>7.6</v>
      </c>
      <c r="K915" s="1" t="s">
        <v>5215</v>
      </c>
      <c r="L915" s="1" t="str">
        <f>IFERROR(__xludf.DUMMYFUNCTION("GOOGLETRANSLATE(K915,""en"", ""pt-br"")"),"Um experimento do professor do ensino médio para demonstrar aos seus alunos que a vida é como sob uma ditadura gira terrivelmente fora de controle quando forma uma unidade social com uma vida própria.")</f>
        <v>Um experimento do professor do ensino médio para demonstrar aos seus alunos que a vida é como sob uma ditadura gira terrivelmente fora de controle quando forma uma unidade social com uma vida própria.</v>
      </c>
      <c r="N915" s="1" t="s">
        <v>5216</v>
      </c>
      <c r="O915" s="1" t="s">
        <v>5217</v>
      </c>
      <c r="P915" s="1" t="s">
        <v>5091</v>
      </c>
      <c r="Q915" s="1" t="s">
        <v>5218</v>
      </c>
      <c r="R915" s="1" t="s">
        <v>5219</v>
      </c>
      <c r="S915" s="1">
        <v>102742.0</v>
      </c>
      <c r="T915" s="7" t="str">
        <f>VLOOKUP(A915,Posters!A915:B1914,2)</f>
        <v>https://m.media-amazon.com/images/M/MV5BMzc0ZmUyZjAtZThkMi00ZDY5LTg5YjctYmUwM2FiYjMyMDI5XkEyXkFqcGdeQXVyMTMxODk2OTU@._V1_UX67_CR0,0,67,98_AL_.jpg</v>
      </c>
      <c r="U915" s="8">
        <f>'Inflation Adjusted Gross'!F915</f>
        <v>39537266</v>
      </c>
      <c r="V915" s="5">
        <f t="shared" si="1"/>
        <v>2020</v>
      </c>
    </row>
    <row r="916">
      <c r="A916" s="1">
        <v>915.0</v>
      </c>
      <c r="B916" s="1" t="s">
        <v>5220</v>
      </c>
      <c r="C916" s="6">
        <f>Gross_cleaning!E916</f>
        <v>209028679</v>
      </c>
      <c r="D916" s="1">
        <v>2009.0</v>
      </c>
      <c r="E916" s="1" t="s">
        <v>161</v>
      </c>
      <c r="F916" s="1" t="str">
        <f>VLOOKUP(Filmes_raw!E916,Rating_systems!$A$2:$C$29,3,FALSE)</f>
        <v>Criança</v>
      </c>
      <c r="G916" s="2">
        <f>Gross_cleaning!F916</f>
        <v>128</v>
      </c>
      <c r="H916" s="1" t="s">
        <v>878</v>
      </c>
      <c r="I916" s="1" t="s">
        <v>5221</v>
      </c>
      <c r="J916" s="1">
        <v>7.6</v>
      </c>
      <c r="K916" s="1" t="s">
        <v>5222</v>
      </c>
      <c r="L916" s="1" t="str">
        <f>IFERROR(__xludf.DUMMYFUNCTION("GOOGLETRANSLATE(K916,""en"", ""pt-br"")"),"O detetive Sherlock Holmes e seu parceiro de Stalwart Watson se engaja em uma batalha de inteligência e fulgor com um nêmis cuja enredo é uma ameaça a toda a Inglaterra.")</f>
        <v>O detetive Sherlock Holmes e seu parceiro de Stalwart Watson se engaja em uma batalha de inteligência e fulgor com um nêmis cuja enredo é uma ameaça a toda a Inglaterra.</v>
      </c>
      <c r="M916" s="1">
        <v>57.0</v>
      </c>
      <c r="N916" s="1" t="s">
        <v>733</v>
      </c>
      <c r="O916" s="1" t="s">
        <v>479</v>
      </c>
      <c r="P916" s="1" t="s">
        <v>3962</v>
      </c>
      <c r="Q916" s="1" t="s">
        <v>1518</v>
      </c>
      <c r="R916" s="1" t="s">
        <v>5223</v>
      </c>
      <c r="S916" s="1">
        <v>583158.0</v>
      </c>
      <c r="T916" s="7" t="str">
        <f>VLOOKUP(A916,Posters!A916:B1915,2)</f>
        <v>https://m.media-amazon.com/images/M/MV5BMTg0NjEwNjUxM15BMl5BanBnXkFtZTcwMzk0MjQ5Mg@@._V1_UX67_CR0,0,67,98_AL_.jpg</v>
      </c>
      <c r="U916" s="8">
        <f>'Inflation Adjusted Gross'!F916</f>
        <v>255387758</v>
      </c>
      <c r="V916" s="5">
        <f t="shared" si="1"/>
        <v>2020</v>
      </c>
    </row>
    <row r="917">
      <c r="A917" s="1">
        <v>916.0</v>
      </c>
      <c r="B917" s="1" t="s">
        <v>5224</v>
      </c>
      <c r="C917" s="6">
        <f>Gross_cleaning!E917</f>
        <v>255959475</v>
      </c>
      <c r="D917" s="1">
        <v>2009.0</v>
      </c>
      <c r="E917" s="1" t="s">
        <v>37</v>
      </c>
      <c r="F917" s="1" t="str">
        <f>VLOOKUP(Filmes_raw!E917,Rating_systems!$A$2:$C$29,3,FALSE)</f>
        <v>Criança</v>
      </c>
      <c r="G917" s="2">
        <f>Gross_cleaning!F917</f>
        <v>129</v>
      </c>
      <c r="H917" s="1" t="s">
        <v>830</v>
      </c>
      <c r="I917" s="1" t="s">
        <v>1020</v>
      </c>
      <c r="J917" s="1">
        <v>7.6</v>
      </c>
      <c r="K917" s="1" t="s">
        <v>5225</v>
      </c>
      <c r="L917" s="1" t="str">
        <f>IFERROR(__xludf.DUMMYFUNCTION("GOOGLETRANSLATE(K917,""en"", ""pt-br"")"),"A história de Michael Oher, um menino sem-teto e traumatizado que se tornou um jogador de futebol americano e o primeiro round NFL esboçar com a ajuda de uma mulher carinhosa e sua família.")</f>
        <v>A história de Michael Oher, um menino sem-teto e traumatizado que se tornou um jogador de futebol americano e o primeiro round NFL esboçar com a ajuda de uma mulher carinhosa e sua família.</v>
      </c>
      <c r="M917" s="1">
        <v>53.0</v>
      </c>
      <c r="N917" s="1" t="s">
        <v>5226</v>
      </c>
      <c r="O917" s="1" t="s">
        <v>5227</v>
      </c>
      <c r="P917" s="1" t="s">
        <v>4433</v>
      </c>
      <c r="Q917" s="1" t="s">
        <v>5228</v>
      </c>
      <c r="R917" s="1" t="s">
        <v>5229</v>
      </c>
      <c r="S917" s="1">
        <v>293266.0</v>
      </c>
      <c r="T917" s="7" t="str">
        <f>VLOOKUP(A917,Posters!A917:B1916,2)</f>
        <v>https://m.media-amazon.com/images/M/MV5BMjEzOTE3ODM3OF5BMl5BanBnXkFtZTcwMzYyODI4Mg@@._V1_UX67_CR0,0,67,98_AL_.jpg</v>
      </c>
      <c r="U917" s="8">
        <f>'Inflation Adjusted Gross'!F917</f>
        <v>312727022</v>
      </c>
      <c r="V917" s="5">
        <f t="shared" si="1"/>
        <v>2020</v>
      </c>
    </row>
    <row r="918">
      <c r="A918" s="1">
        <v>917.0</v>
      </c>
      <c r="B918" s="1" t="s">
        <v>5230</v>
      </c>
      <c r="C918" s="6">
        <f>Gross_cleaning!E918</f>
        <v>9422422</v>
      </c>
      <c r="D918" s="1">
        <v>2007.0</v>
      </c>
      <c r="E918" s="1" t="s">
        <v>161</v>
      </c>
      <c r="F918" s="1" t="str">
        <f>VLOOKUP(Filmes_raw!E918,Rating_systems!$A$2:$C$29,3,FALSE)</f>
        <v>Criança</v>
      </c>
      <c r="G918" s="2">
        <f>Gross_cleaning!F918</f>
        <v>104</v>
      </c>
      <c r="H918" s="1" t="s">
        <v>647</v>
      </c>
      <c r="I918" s="1" t="s">
        <v>20</v>
      </c>
      <c r="J918" s="1">
        <v>7.6</v>
      </c>
      <c r="K918" s="1" t="s">
        <v>5231</v>
      </c>
      <c r="L918" s="1" t="str">
        <f>IFERROR(__xludf.DUMMYFUNCTION("GOOGLETRANSLATE(K918,""en"", ""pt-br"")"),"Um professor universitário viaja para Nova York para participar de uma conferência e encontra um jovem casal morando em seu apartamento.")</f>
        <v>Um professor universitário viaja para Nova York para participar de uma conferência e encontra um jovem casal morando em seu apartamento.</v>
      </c>
      <c r="M918" s="1">
        <v>79.0</v>
      </c>
      <c r="N918" s="1" t="s">
        <v>1516</v>
      </c>
      <c r="O918" s="1" t="s">
        <v>5232</v>
      </c>
      <c r="P918" s="1" t="s">
        <v>5233</v>
      </c>
      <c r="Q918" s="1" t="s">
        <v>5234</v>
      </c>
      <c r="R918" s="1" t="s">
        <v>5235</v>
      </c>
      <c r="S918" s="1">
        <v>41544.0</v>
      </c>
      <c r="T918" s="7" t="str">
        <f>VLOOKUP(A918,Posters!A918:B1917,2)</f>
        <v>https://m.media-amazon.com/images/M/MV5BMTIzNTg3NzkzNV5BMl5BanBnXkFtZTcwNzMwMjU2MQ@@._V1_UX67_CR0,0,67,98_AL_.jpg</v>
      </c>
      <c r="U918" s="8">
        <f>'Inflation Adjusted Gross'!F918</f>
        <v>12008496</v>
      </c>
      <c r="V918" s="5">
        <f t="shared" si="1"/>
        <v>2020</v>
      </c>
    </row>
    <row r="919">
      <c r="A919" s="1">
        <v>918.0</v>
      </c>
      <c r="B919" s="1" t="s">
        <v>5236</v>
      </c>
      <c r="C919" s="6">
        <f>Gross_cleaning!E919</f>
        <v>69951824</v>
      </c>
      <c r="D919" s="1">
        <v>2008.0</v>
      </c>
      <c r="E919" s="1" t="s">
        <v>37</v>
      </c>
      <c r="F919" s="1" t="str">
        <f>VLOOKUP(Filmes_raw!E919,Rating_systems!$A$2:$C$29,3,FALSE)</f>
        <v>Criança</v>
      </c>
      <c r="G919" s="2">
        <f>Gross_cleaning!F919</f>
        <v>123</v>
      </c>
      <c r="H919" s="1" t="s">
        <v>678</v>
      </c>
      <c r="I919" s="1" t="s">
        <v>20</v>
      </c>
      <c r="J919" s="1">
        <v>7.6</v>
      </c>
      <c r="K919" s="1" t="s">
        <v>5237</v>
      </c>
      <c r="L919" s="1" t="str">
        <f>IFERROR(__xludf.DUMMYFUNCTION("GOOGLETRANSLATE(K919,""en"", ""pt-br"")"),"Um homem com um segredo fatídico embarca em uma jornada extraordinária de redenção por mudar para sempre a vida de sete estranhos.")</f>
        <v>Um homem com um segredo fatídico embarca em uma jornada extraordinária de redenção por mudar para sempre a vida de sete estranhos.</v>
      </c>
      <c r="M919" s="1">
        <v>36.0</v>
      </c>
      <c r="N919" s="1" t="s">
        <v>2355</v>
      </c>
      <c r="O919" s="1" t="s">
        <v>2356</v>
      </c>
      <c r="P919" s="1" t="s">
        <v>5238</v>
      </c>
      <c r="Q919" s="1" t="s">
        <v>973</v>
      </c>
      <c r="R919" s="1" t="s">
        <v>5239</v>
      </c>
      <c r="S919" s="1">
        <v>286770.0</v>
      </c>
      <c r="T919" s="7" t="str">
        <f>VLOOKUP(A919,Posters!A919:B1918,2)</f>
        <v>https://m.media-amazon.com/images/M/MV5BMTU0NzY0MTY5OF5BMl5BanBnXkFtZTcwODY3MDEwMg@@._V1_UY98_CR3,0,67,98_AL_.jpg</v>
      </c>
      <c r="U919" s="8">
        <f>'Inflation Adjusted Gross'!F919</f>
        <v>85491482</v>
      </c>
      <c r="V919" s="5">
        <f t="shared" si="1"/>
        <v>2020</v>
      </c>
    </row>
    <row r="920">
      <c r="A920" s="1">
        <v>919.0</v>
      </c>
      <c r="B920" s="1" t="s">
        <v>5240</v>
      </c>
      <c r="C920" s="6">
        <f>Gross_cleaning!E920</f>
        <v>17114882</v>
      </c>
      <c r="D920" s="1">
        <v>2007.0</v>
      </c>
      <c r="E920" s="1" t="s">
        <v>212</v>
      </c>
      <c r="F920" s="1" t="str">
        <f>VLOOKUP(Filmes_raw!E920,Rating_systems!$A$2:$C$29,3,FALSE)</f>
        <v>Adulto</v>
      </c>
      <c r="G920" s="2">
        <f>Gross_cleaning!F920</f>
        <v>100</v>
      </c>
      <c r="H920" s="1" t="s">
        <v>1439</v>
      </c>
      <c r="I920" s="1" t="s">
        <v>39</v>
      </c>
      <c r="J920" s="1">
        <v>7.6</v>
      </c>
      <c r="K920" s="1" t="s">
        <v>5241</v>
      </c>
      <c r="L920" s="1" t="str">
        <f>IFERROR(__xludf.DUMMYFUNCTION("GOOGLETRANSLATE(K920,""en"", ""pt-br"")"),"Um adolescente que morre durante o parto deixa pistas em seu diário que poderia amarrar seu filho a um estupro envolvendo uma violenta família russa.")</f>
        <v>Um adolescente que morre durante o parto deixa pistas em seu diário que poderia amarrar seu filho a um estupro envolvendo uma violenta família russa.</v>
      </c>
      <c r="M920" s="1">
        <v>82.0</v>
      </c>
      <c r="N920" s="1" t="s">
        <v>5242</v>
      </c>
      <c r="O920" s="1" t="s">
        <v>3221</v>
      </c>
      <c r="P920" s="1" t="s">
        <v>66</v>
      </c>
      <c r="Q920" s="1" t="s">
        <v>4727</v>
      </c>
      <c r="R920" s="1" t="s">
        <v>5243</v>
      </c>
      <c r="S920" s="1">
        <v>227760.0</v>
      </c>
      <c r="T920" s="7" t="str">
        <f>VLOOKUP(A920,Posters!A920:B1919,2)</f>
        <v>https://m.media-amazon.com/images/M/MV5BMTcwMzU0OTY3NF5BMl5BanBnXkFtZTYwNzkwNjg2._V1_UX67_CR0,0,67,98_AL_.jpg</v>
      </c>
      <c r="U920" s="8">
        <f>'Inflation Adjusted Gross'!F920</f>
        <v>21812224</v>
      </c>
      <c r="V920" s="5">
        <f t="shared" si="1"/>
        <v>2020</v>
      </c>
    </row>
    <row r="921">
      <c r="A921" s="1">
        <v>920.0</v>
      </c>
      <c r="B921" s="1" t="s">
        <v>5244</v>
      </c>
      <c r="C921" s="6">
        <f>Gross_cleaning!E921</f>
        <v>38634938</v>
      </c>
      <c r="D921" s="1">
        <v>2007.0</v>
      </c>
      <c r="E921" s="1" t="s">
        <v>52</v>
      </c>
      <c r="F921" s="1" t="str">
        <f>VLOOKUP(Filmes_raw!E921,Rating_systems!$A$2:$C$29,3,FALSE)</f>
        <v>Criança</v>
      </c>
      <c r="G921" s="2">
        <f>Gross_cleaning!F921</f>
        <v>127</v>
      </c>
      <c r="H921" s="1" t="s">
        <v>234</v>
      </c>
      <c r="I921" s="1" t="s">
        <v>2629</v>
      </c>
      <c r="J921" s="1">
        <v>7.6</v>
      </c>
      <c r="K921" s="1" t="s">
        <v>5245</v>
      </c>
      <c r="L921" s="1" t="str">
        <f>IFERROR(__xludf.DUMMYFUNCTION("GOOGLETRANSLATE(K921,""en"", ""pt-br"")"),"Em uma cidade rural que faz fronteira com uma terra mágica, um jovem faz uma promessa a sua amada que ele recuperará uma estrela caída se aventurando para o reino mágico.")</f>
        <v>Em uma cidade rural que faz fronteira com uma terra mágica, um jovem faz uma promessa a sua amada que ele recuperará uma estrela caída se aventurando para o reino mágico.</v>
      </c>
      <c r="M921" s="1">
        <v>66.0</v>
      </c>
      <c r="N921" s="1" t="s">
        <v>4357</v>
      </c>
      <c r="O921" s="1" t="s">
        <v>5246</v>
      </c>
      <c r="P921" s="1" t="s">
        <v>5247</v>
      </c>
      <c r="Q921" s="1" t="s">
        <v>5248</v>
      </c>
      <c r="R921" s="1" t="s">
        <v>67</v>
      </c>
      <c r="S921" s="1">
        <v>255036.0</v>
      </c>
      <c r="T921" s="7" t="str">
        <f>VLOOKUP(A921,Posters!A921:B1920,2)</f>
        <v>https://m.media-amazon.com/images/M/MV5BMjkyMTE1OTYwNF5BMl5BanBnXkFtZTcwMDIxODYzMw@@._V1_UX67_CR0,0,67,98_AL_.jpg</v>
      </c>
      <c r="U921" s="8">
        <f>'Inflation Adjusted Gross'!F921</f>
        <v>49238665</v>
      </c>
      <c r="V921" s="5">
        <f t="shared" si="1"/>
        <v>2020</v>
      </c>
    </row>
    <row r="922">
      <c r="A922" s="1">
        <v>921.0</v>
      </c>
      <c r="B922" s="1" t="s">
        <v>5249</v>
      </c>
      <c r="C922" s="6">
        <f>Gross_cleaning!E922</f>
        <v>686383</v>
      </c>
      <c r="D922" s="1">
        <v>2009.0</v>
      </c>
      <c r="E922" s="1" t="s">
        <v>52</v>
      </c>
      <c r="F922" s="1" t="str">
        <f>VLOOKUP(Filmes_raw!E922,Rating_systems!$A$2:$C$29,3,FALSE)</f>
        <v>Criança</v>
      </c>
      <c r="G922" s="2">
        <f>Gross_cleaning!F922</f>
        <v>71</v>
      </c>
      <c r="H922" s="1" t="s">
        <v>5042</v>
      </c>
      <c r="I922" s="1" t="s">
        <v>204</v>
      </c>
      <c r="J922" s="1">
        <v>7.6</v>
      </c>
      <c r="K922" s="1" t="s">
        <v>5250</v>
      </c>
      <c r="L922" s="1" t="str">
        <f>IFERROR(__xludf.DUMMYFUNCTION("GOOGLETRANSLATE(K922,""en"", ""pt-br"")"),"Um menino em um posto avançado remoto medieval sob cerco dos ataques bárbaros é acenou para aventurar quando um célebre mestre iluminador chega com um antigo livro, transbordando de sabedoria secreta e poderes.")</f>
        <v>Um menino em um posto avançado remoto medieval sob cerco dos ataques bárbaros é acenou para aventurar quando um célebre mestre iluminador chega com um antigo livro, transbordando de sabedoria secreta e poderes.</v>
      </c>
      <c r="M922" s="1">
        <v>81.0</v>
      </c>
      <c r="N922" s="1" t="s">
        <v>1523</v>
      </c>
      <c r="O922" s="1" t="s">
        <v>5251</v>
      </c>
      <c r="P922" s="1" t="s">
        <v>5252</v>
      </c>
      <c r="Q922" s="1" t="s">
        <v>1525</v>
      </c>
      <c r="R922" s="1" t="s">
        <v>5253</v>
      </c>
      <c r="S922" s="1">
        <v>31779.0</v>
      </c>
      <c r="T922" s="7" t="str">
        <f>VLOOKUP(A922,Posters!A922:B1921,2)</f>
        <v>https://m.media-amazon.com/images/M/MV5BMjEzMjEzNTIzOF5BMl5BanBnXkFtZTcwMTg2MjAyMw@@._V1_UY98_CR0,0,67,98_AL_.jpg</v>
      </c>
      <c r="U922" s="8">
        <f>'Inflation Adjusted Gross'!F922</f>
        <v>838611</v>
      </c>
      <c r="V922" s="5">
        <f t="shared" si="1"/>
        <v>2020</v>
      </c>
    </row>
    <row r="923">
      <c r="A923" s="1">
        <v>922.0</v>
      </c>
      <c r="B923" s="1" t="s">
        <v>5254</v>
      </c>
      <c r="C923" s="6">
        <f>Gross_cleaning!E923</f>
        <v>88513495</v>
      </c>
      <c r="D923" s="1">
        <v>2006.0</v>
      </c>
      <c r="E923" s="1" t="s">
        <v>212</v>
      </c>
      <c r="F923" s="1" t="str">
        <f>VLOOKUP(Filmes_raw!E923,Rating_systems!$A$2:$C$29,3,FALSE)</f>
        <v>Adulto</v>
      </c>
      <c r="G923" s="2">
        <f>Gross_cleaning!F923</f>
        <v>129</v>
      </c>
      <c r="H923" s="1" t="s">
        <v>830</v>
      </c>
      <c r="I923" s="1" t="s">
        <v>235</v>
      </c>
      <c r="J923" s="1">
        <v>7.6</v>
      </c>
      <c r="K923" s="1" t="s">
        <v>5255</v>
      </c>
      <c r="L923" s="1" t="str">
        <f>IFERROR(__xludf.DUMMYFUNCTION("GOOGLETRANSLATE(K923,""en"", ""pt-br"")"),"Um detetive policial, um ladrão de banco e um corretor de alta potência entram em negociações de alta participação após as brilhantes espirais do Heist Heists em uma situação de reféns.")</f>
        <v>Um detetive policial, um ladrão de banco e um corretor de alta potência entram em negociações de alta participação após as brilhantes espirais do Heist Heists em uma situação de reféns.</v>
      </c>
      <c r="M923" s="1">
        <v>76.0</v>
      </c>
      <c r="N923" s="1" t="s">
        <v>2611</v>
      </c>
      <c r="O923" s="1" t="s">
        <v>3799</v>
      </c>
      <c r="P923" s="1" t="s">
        <v>2384</v>
      </c>
      <c r="Q923" s="1" t="s">
        <v>244</v>
      </c>
      <c r="R923" s="1" t="s">
        <v>1152</v>
      </c>
      <c r="S923" s="1">
        <v>339757.0</v>
      </c>
      <c r="T923" s="7" t="str">
        <f>VLOOKUP(A923,Posters!A923:B1922,2)</f>
        <v>https://m.media-amazon.com/images/M/MV5BYjc4MjA2ZDgtOGY3YS00NDYzLTlmNTEtYWMxMzcwZjgzYWNjXkEyXkFqcGdeQXVyMTQxNzMzNDI@._V1_UX67_CR0,0,67,98_AL_.jpg</v>
      </c>
      <c r="U923" s="8">
        <f>'Inflation Adjusted Gross'!F923</f>
        <v>115148335</v>
      </c>
      <c r="V923" s="5">
        <f t="shared" si="1"/>
        <v>2020</v>
      </c>
    </row>
    <row r="924">
      <c r="A924" s="1">
        <v>923.0</v>
      </c>
      <c r="B924" s="1" t="s">
        <v>5256</v>
      </c>
      <c r="C924" s="6">
        <f>Gross_cleaning!E924</f>
        <v>20300218</v>
      </c>
      <c r="D924" s="1">
        <v>2007.0</v>
      </c>
      <c r="E924" s="1" t="s">
        <v>212</v>
      </c>
      <c r="F924" s="1" t="str">
        <f>VLOOKUP(Filmes_raw!E924,Rating_systems!$A$2:$C$29,3,FALSE)</f>
        <v>Adulto</v>
      </c>
      <c r="G924" s="2">
        <f>Gross_cleaning!F924</f>
        <v>114</v>
      </c>
      <c r="H924" s="1" t="s">
        <v>825</v>
      </c>
      <c r="I924" s="1" t="s">
        <v>235</v>
      </c>
      <c r="J924" s="1">
        <v>7.6</v>
      </c>
      <c r="K924" s="1" t="s">
        <v>5257</v>
      </c>
      <c r="L924" s="1" t="str">
        <f>IFERROR(__xludf.DUMMYFUNCTION("GOOGLETRANSLATE(K924,""en"", ""pt-br"")"),"Dois detetives da área de Boston investigam o seqüestro de uma menina, que acaba se transformando em uma crise profissionalmente e pessoalmente.")</f>
        <v>Dois detetives da área de Boston investigam o seqüestro de uma menina, que acaba se transformando em uma crise profissionalmente e pessoalmente.</v>
      </c>
      <c r="M924" s="1">
        <v>72.0</v>
      </c>
      <c r="N924" s="1" t="s">
        <v>753</v>
      </c>
      <c r="O924" s="1" t="s">
        <v>24</v>
      </c>
      <c r="P924" s="1" t="s">
        <v>1151</v>
      </c>
      <c r="Q924" s="1" t="s">
        <v>3578</v>
      </c>
      <c r="R924" s="1" t="s">
        <v>5258</v>
      </c>
      <c r="S924" s="1">
        <v>250590.0</v>
      </c>
      <c r="T924" s="7" t="str">
        <f>VLOOKUP(A924,Posters!A924:B1923,2)</f>
        <v>https://m.media-amazon.com/images/M/MV5BYmM2NDNiNGItMTRhMi00ZDA2LTgzOWMtZTE2ZjFhMDQ2M2U5XkEyXkFqcGdeQXVyNTAyODkwOQ@@._V1_UX67_CR0,0,67,98_AL_.jpg</v>
      </c>
      <c r="U924" s="8">
        <f>'Inflation Adjusted Gross'!F924</f>
        <v>25871806</v>
      </c>
      <c r="V924" s="5">
        <f t="shared" si="1"/>
        <v>2020</v>
      </c>
    </row>
    <row r="925">
      <c r="A925" s="1">
        <v>924.0</v>
      </c>
      <c r="B925" s="1" t="s">
        <v>5259</v>
      </c>
      <c r="C925" s="6">
        <f>Gross_cleaning!E925</f>
        <v>10301706</v>
      </c>
      <c r="D925" s="1">
        <v>2007.0</v>
      </c>
      <c r="E925" s="1" t="s">
        <v>161</v>
      </c>
      <c r="F925" s="1" t="str">
        <f>VLOOKUP(Filmes_raw!E925,Rating_systems!$A$2:$C$29,3,FALSE)</f>
        <v>Criança</v>
      </c>
      <c r="G925" s="2">
        <f>Gross_cleaning!F925</f>
        <v>140</v>
      </c>
      <c r="H925" s="1" t="s">
        <v>1059</v>
      </c>
      <c r="I925" s="1" t="s">
        <v>314</v>
      </c>
      <c r="J925" s="1">
        <v>7.6</v>
      </c>
      <c r="K925" s="1" t="s">
        <v>5260</v>
      </c>
      <c r="L925" s="1" t="str">
        <f>IFERROR(__xludf.DUMMYFUNCTION("GOOGLETRANSLATE(K925,""en"", ""pt-br"")"),"Biopic do icônico cantor francês Édith Piaf. Criado por sua avó em um bordel, ela foi descoberta enquanto cantava em uma esquina com a idade de 19 anos. Apesar de seu sucesso, a vida de Piaf estava cheia de tragédia.")</f>
        <v>Biopic do icônico cantor francês Édith Piaf. Criado por sua avó em um bordel, ela foi descoberta enquanto cantava em uma esquina com a idade de 19 anos. Apesar de seu sucesso, a vida de Piaf estava cheia de tragédia.</v>
      </c>
      <c r="M925" s="1">
        <v>66.0</v>
      </c>
      <c r="N925" s="1" t="s">
        <v>5261</v>
      </c>
      <c r="O925" s="1" t="s">
        <v>4416</v>
      </c>
      <c r="P925" s="1" t="s">
        <v>5262</v>
      </c>
      <c r="Q925" s="1" t="s">
        <v>5263</v>
      </c>
      <c r="R925" s="1" t="s">
        <v>2389</v>
      </c>
      <c r="S925" s="1">
        <v>82781.0</v>
      </c>
      <c r="T925" s="7" t="str">
        <f>VLOOKUP(A925,Posters!A925:B1924,2)</f>
        <v>https://m.media-amazon.com/images/M/MV5BOTBmZDZkNWYtODIzYi00N2Y4LWFjMmMtNmM1OGYyNGVhYzUzXkEyXkFqcGdeQXVyNTAyODkwOQ@@._V1_UX67_CR0,0,67,98_AL_.jpg</v>
      </c>
      <c r="U925" s="8">
        <f>'Inflation Adjusted Gross'!F925</f>
        <v>13129107</v>
      </c>
      <c r="V925" s="5">
        <f t="shared" si="1"/>
        <v>2020</v>
      </c>
    </row>
    <row r="926">
      <c r="A926" s="1">
        <v>925.0</v>
      </c>
      <c r="B926" s="1" t="s">
        <v>5264</v>
      </c>
      <c r="C926" s="6">
        <f>Gross_cleaning!E926</f>
        <v>24633730</v>
      </c>
      <c r="D926" s="1">
        <v>2006.0</v>
      </c>
      <c r="E926" s="1" t="s">
        <v>161</v>
      </c>
      <c r="F926" s="1" t="str">
        <f>VLOOKUP(Filmes_raw!E926,Rating_systems!$A$2:$C$29,3,FALSE)</f>
        <v>Criança</v>
      </c>
      <c r="G926" s="2">
        <f>Gross_cleaning!F926</f>
        <v>104</v>
      </c>
      <c r="H926" s="1" t="s">
        <v>647</v>
      </c>
      <c r="I926" s="1" t="s">
        <v>458</v>
      </c>
      <c r="J926" s="1">
        <v>7.6</v>
      </c>
      <c r="K926" s="1" t="s">
        <v>5265</v>
      </c>
      <c r="L926" s="1" t="str">
        <f>IFERROR(__xludf.DUMMYFUNCTION("GOOGLETRANSLATE(K926,""en"", ""pt-br"")"),"Uma biografia de artes marciais chinesas Mestre Huo Yuanjia, que é o fundador e guru espiritual da Jin Wu Sports Federation.")</f>
        <v>Uma biografia de artes marciais chinesas Mestre Huo Yuanjia, que é o fundador e guru espiritual da Jin Wu Sports Federation.</v>
      </c>
      <c r="M926" s="1">
        <v>70.0</v>
      </c>
      <c r="N926" s="1" t="s">
        <v>5266</v>
      </c>
      <c r="O926" s="1" t="s">
        <v>3180</v>
      </c>
      <c r="P926" s="1" t="s">
        <v>5267</v>
      </c>
      <c r="Q926" s="1" t="s">
        <v>5268</v>
      </c>
      <c r="R926" s="1" t="s">
        <v>5269</v>
      </c>
      <c r="S926" s="1">
        <v>72863.0</v>
      </c>
      <c r="T926" s="7" t="str">
        <f>VLOOKUP(A926,Posters!A926:B1925,2)</f>
        <v>https://m.media-amazon.com/images/M/MV5BMTI5MjA2Mzk2M15BMl5BanBnXkFtZTcwODY1MDUzMQ@@._V1_UX67_CR0,0,67,98_AL_.jpg</v>
      </c>
      <c r="U926" s="8">
        <f>'Inflation Adjusted Gross'!F926</f>
        <v>32046334</v>
      </c>
      <c r="V926" s="5">
        <f t="shared" si="1"/>
        <v>2020</v>
      </c>
    </row>
    <row r="927">
      <c r="A927" s="1">
        <v>926.0</v>
      </c>
      <c r="B927" s="1" t="s">
        <v>5270</v>
      </c>
      <c r="C927" s="6">
        <f>Gross_cleaning!E927</f>
        <v>39868642</v>
      </c>
      <c r="D927" s="1">
        <v>2006.0</v>
      </c>
      <c r="E927" s="1" t="s">
        <v>52</v>
      </c>
      <c r="F927" s="1" t="str">
        <f>VLOOKUP(Filmes_raw!E927,Rating_systems!$A$2:$C$29,3,FALSE)</f>
        <v>Criança</v>
      </c>
      <c r="G927" s="2">
        <f>Gross_cleaning!F927</f>
        <v>110</v>
      </c>
      <c r="H927" s="1" t="s">
        <v>343</v>
      </c>
      <c r="I927" s="1" t="s">
        <v>3109</v>
      </c>
      <c r="J927" s="1">
        <v>7.6</v>
      </c>
      <c r="K927" s="1" t="s">
        <v>5271</v>
      </c>
      <c r="L927" s="1" t="str">
        <f>IFERROR(__xludf.DUMMYFUNCTION("GOOGLETRANSLATE(K927,""en"", ""pt-br"")"),"Em viriena do século virada, um mágico usa suas habilidades para garantir o amor de uma mulher muito acima de sua posição social.")</f>
        <v>Em viriena do século virada, um mágico usa suas habilidades para garantir o amor de uma mulher muito acima de sua posição social.</v>
      </c>
      <c r="M927" s="1">
        <v>68.0</v>
      </c>
      <c r="N927" s="1" t="s">
        <v>5272</v>
      </c>
      <c r="O927" s="1" t="s">
        <v>99</v>
      </c>
      <c r="P927" s="1" t="s">
        <v>5273</v>
      </c>
      <c r="Q927" s="1" t="s">
        <v>2437</v>
      </c>
      <c r="R927" s="1" t="s">
        <v>5274</v>
      </c>
      <c r="S927" s="1">
        <v>354728.0</v>
      </c>
      <c r="T927" s="7" t="str">
        <f>VLOOKUP(A927,Posters!A927:B1926,2)</f>
        <v>https://m.media-amazon.com/images/M/MV5BY2VkMzZlZDAtNTkzNS00MDIzLWFmOTctMWQwZjQ1OWJiYzQ1XkEyXkFqcGdeQXVyNTIzOTk5ODM@._V1_UY98_CR1,0,67,98_AL_.jpg</v>
      </c>
      <c r="U927" s="8">
        <f>'Inflation Adjusted Gross'!F927</f>
        <v>51865625</v>
      </c>
      <c r="V927" s="5">
        <f t="shared" si="1"/>
        <v>2020</v>
      </c>
    </row>
    <row r="928">
      <c r="A928" s="1">
        <v>927.0</v>
      </c>
      <c r="B928" s="1" t="s">
        <v>5275</v>
      </c>
      <c r="C928" s="6">
        <f>Gross_cleaning!E928</f>
        <v>6013</v>
      </c>
      <c r="D928" s="1">
        <v>2004.0</v>
      </c>
      <c r="E928" s="1" t="s">
        <v>212</v>
      </c>
      <c r="F928" s="1" t="str">
        <f>VLOOKUP(Filmes_raw!E928,Rating_systems!$A$2:$C$29,3,FALSE)</f>
        <v>Adulto</v>
      </c>
      <c r="G928" s="2">
        <f>Gross_cleaning!F928</f>
        <v>90</v>
      </c>
      <c r="H928" s="1" t="s">
        <v>2586</v>
      </c>
      <c r="I928" s="1" t="s">
        <v>241</v>
      </c>
      <c r="J928" s="1">
        <v>7.6</v>
      </c>
      <c r="K928" s="1" t="s">
        <v>5276</v>
      </c>
      <c r="L928" s="1" t="str">
        <f>IFERROR(__xludf.DUMMYFUNCTION("GOOGLETRANSLATE(K928,""en"", ""pt-br"")"),"Um soldado descontente retorna à sua cidade natal para sequer com os bandidos que brutalizavam seus irmãos desafiados mentalmente.")</f>
        <v>Um soldado descontente retorna à sua cidade natal para sequer com os bandidos que brutalizavam seus irmãos desafiados mentalmente.</v>
      </c>
      <c r="M928" s="1">
        <v>52.0</v>
      </c>
      <c r="N928" s="1" t="s">
        <v>4508</v>
      </c>
      <c r="O928" s="1" t="s">
        <v>3622</v>
      </c>
      <c r="P928" s="1" t="s">
        <v>5277</v>
      </c>
      <c r="Q928" s="1" t="s">
        <v>5278</v>
      </c>
      <c r="R928" s="1" t="s">
        <v>5279</v>
      </c>
      <c r="S928" s="1">
        <v>49728.0</v>
      </c>
      <c r="T928" s="7" t="str">
        <f>VLOOKUP(A928,Posters!A928:B1927,2)</f>
        <v>https://m.media-amazon.com/images/M/MV5BMTI5Mzk1MDc2M15BMl5BanBnXkFtZTcwMjIzMDA0MQ@@._V1_UX67_CR0,0,67,98_AL_.jpg</v>
      </c>
      <c r="U928" s="8">
        <f>'Inflation Adjusted Gross'!F928</f>
        <v>8376</v>
      </c>
      <c r="V928" s="5">
        <f t="shared" si="1"/>
        <v>2020</v>
      </c>
    </row>
    <row r="929">
      <c r="A929" s="1">
        <v>928.0</v>
      </c>
      <c r="B929" s="1" t="s">
        <v>5280</v>
      </c>
      <c r="C929" s="6">
        <f>Gross_cleaning!E929</f>
        <v>301959197</v>
      </c>
      <c r="D929" s="1">
        <v>2009.0</v>
      </c>
      <c r="E929" s="1" t="s">
        <v>37</v>
      </c>
      <c r="F929" s="1" t="str">
        <f>VLOOKUP(Filmes_raw!E929,Rating_systems!$A$2:$C$29,3,FALSE)</f>
        <v>Criança</v>
      </c>
      <c r="G929" s="2">
        <f>Gross_cleaning!F929</f>
        <v>153</v>
      </c>
      <c r="H929" s="1" t="s">
        <v>179</v>
      </c>
      <c r="I929" s="1" t="s">
        <v>5281</v>
      </c>
      <c r="J929" s="1">
        <v>7.6</v>
      </c>
      <c r="K929" s="1" t="s">
        <v>5282</v>
      </c>
      <c r="L929" s="1" t="str">
        <f>IFERROR(__xludf.DUMMYFUNCTION("GOOGLETRANSLATE(K929,""en"", ""pt-br"")"),"Como Harry Potter começa seu sexto ano em Hogwarts, ele descobre um livro antigo marcado como ""propriedade do meio-sangue príncipe"" e começa a aprender mais sobre o passado sombrio de Lord Voldemort.")</f>
        <v>Como Harry Potter começa seu sexto ano em Hogwarts, ele descobre um livro antigo marcado como "propriedade do meio-sangue príncipe" e começa a aprender mais sobre o passado sombrio de Lord Voldemort.</v>
      </c>
      <c r="M929" s="1">
        <v>78.0</v>
      </c>
      <c r="N929" s="1" t="s">
        <v>1567</v>
      </c>
      <c r="O929" s="1" t="s">
        <v>1568</v>
      </c>
      <c r="P929" s="1" t="s">
        <v>1569</v>
      </c>
      <c r="Q929" s="1" t="s">
        <v>1570</v>
      </c>
      <c r="R929" s="1" t="s">
        <v>1571</v>
      </c>
      <c r="S929" s="1">
        <v>474827.0</v>
      </c>
      <c r="T929" s="7" t="str">
        <f>VLOOKUP(A929,Posters!A929:B1928,2)</f>
        <v>https://m.media-amazon.com/images/M/MV5BNzU3NDg4NTAyNV5BMl5BanBnXkFtZTcwOTg2ODg1Mg@@._V1_UX67_CR0,0,67,98_AL_.jpg</v>
      </c>
      <c r="U929" s="8">
        <f>'Inflation Adjusted Gross'!F929</f>
        <v>368928716</v>
      </c>
      <c r="V929" s="5">
        <f t="shared" si="1"/>
        <v>2020</v>
      </c>
    </row>
    <row r="930">
      <c r="A930" s="1">
        <v>929.0</v>
      </c>
      <c r="B930" s="1">
        <v>300.0</v>
      </c>
      <c r="C930" s="6">
        <f>Gross_cleaning!E930</f>
        <v>210614939</v>
      </c>
      <c r="D930" s="1">
        <v>2006.0</v>
      </c>
      <c r="E930" s="1" t="s">
        <v>18</v>
      </c>
      <c r="F930" s="1" t="str">
        <f>VLOOKUP(Filmes_raw!E930,Rating_systems!$A$2:$C$29,3,FALSE)</f>
        <v>Adulto</v>
      </c>
      <c r="G930" s="2">
        <f>Gross_cleaning!F930</f>
        <v>117</v>
      </c>
      <c r="H930" s="1" t="s">
        <v>466</v>
      </c>
      <c r="I930" s="1" t="s">
        <v>956</v>
      </c>
      <c r="J930" s="1">
        <v>7.6</v>
      </c>
      <c r="K930" s="1" t="s">
        <v>5283</v>
      </c>
      <c r="L930" s="1" t="str">
        <f>IFERROR(__xludf.DUMMYFUNCTION("GOOGLETRANSLATE(K930,""en"", ""pt-br"")"),"King Leonidas de Sparta e uma força de 300 homens lutam contra os persas em termopilas em 480 b.c.")</f>
        <v>King Leonidas de Sparta e uma força de 300 homens lutam contra os persas em termopilas em 480 b.c.</v>
      </c>
      <c r="M930" s="1">
        <v>52.0</v>
      </c>
      <c r="N930" s="1" t="s">
        <v>5284</v>
      </c>
      <c r="O930" s="1" t="s">
        <v>1601</v>
      </c>
      <c r="P930" s="1" t="s">
        <v>5285</v>
      </c>
      <c r="Q930" s="1" t="s">
        <v>5286</v>
      </c>
      <c r="R930" s="1" t="s">
        <v>3621</v>
      </c>
      <c r="S930" s="1">
        <v>732876.0</v>
      </c>
      <c r="T930" s="7" t="str">
        <f>VLOOKUP(A930,Posters!A930:B1929,2)</f>
        <v>https://m.media-amazon.com/images/M/MV5BNWMxYTZlOTUtZDExMi00YzZmLTkwYTMtZmM2MmRjZmQ3OGY4XkEyXkFqcGdeQXVyMTAwMzUyMzUy._V1_UX67_CR0,0,67,98_AL_.jpg</v>
      </c>
      <c r="U930" s="8">
        <f>'Inflation Adjusted Gross'!F930</f>
        <v>273991662</v>
      </c>
      <c r="V930" s="5">
        <f t="shared" si="1"/>
        <v>2020</v>
      </c>
    </row>
    <row r="931">
      <c r="A931" s="1">
        <v>930.0</v>
      </c>
      <c r="B931" s="1" t="s">
        <v>5287</v>
      </c>
      <c r="C931" s="6">
        <f>Gross_cleaning!E931</f>
        <v>23089926</v>
      </c>
      <c r="D931" s="1">
        <v>2005.0</v>
      </c>
      <c r="E931" s="1" t="s">
        <v>212</v>
      </c>
      <c r="F931" s="1" t="str">
        <f>VLOOKUP(Filmes_raw!E931,Rating_systems!$A$2:$C$29,3,FALSE)</f>
        <v>Adulto</v>
      </c>
      <c r="G931" s="2">
        <f>Gross_cleaning!F931</f>
        <v>124</v>
      </c>
      <c r="H931" s="1" t="s">
        <v>144</v>
      </c>
      <c r="I931" s="1" t="s">
        <v>1399</v>
      </c>
      <c r="J931" s="1">
        <v>7.6</v>
      </c>
      <c r="K931" s="1" t="s">
        <v>5288</v>
      </c>
      <c r="L931" s="1" t="str">
        <f>IFERROR(__xludf.DUMMYFUNCTION("GOOGLETRANSLATE(K931,""en"", ""pt-br"")"),"Em um ponto de virada em sua vida, um ex-tênis pro cai por uma atriz que está namorando seu amigo e em breve - ser cunhado.")</f>
        <v>Em um ponto de virada em sua vida, um ex-tênis pro cai por uma atriz que está namorando seu amigo e em breve - ser cunhado.</v>
      </c>
      <c r="M931" s="1">
        <v>72.0</v>
      </c>
      <c r="N931" s="1" t="s">
        <v>2671</v>
      </c>
      <c r="O931" s="1" t="s">
        <v>307</v>
      </c>
      <c r="P931" s="1" t="s">
        <v>5289</v>
      </c>
      <c r="Q931" s="1" t="s">
        <v>1068</v>
      </c>
      <c r="R931" s="1" t="s">
        <v>2238</v>
      </c>
      <c r="S931" s="1">
        <v>206294.0</v>
      </c>
      <c r="T931" s="7" t="str">
        <f>VLOOKUP(A931,Posters!A931:B1930,2)</f>
        <v>https://m.media-amazon.com/images/M/MV5BMjRjOTMwMDEtNTY4NS00OWRjLWI4ZWItZDgwYmZhMzlkYzgxXkEyXkFqcGdeQXVyODIxOTg5MTc@._V1_UY98_CR1,0,67,98_AL_.jpg</v>
      </c>
      <c r="U931" s="8">
        <f>'Inflation Adjusted Gross'!F931</f>
        <v>31235088</v>
      </c>
      <c r="V931" s="5">
        <f t="shared" si="1"/>
        <v>2020</v>
      </c>
    </row>
    <row r="932">
      <c r="A932" s="1">
        <v>931.0</v>
      </c>
      <c r="B932" s="1" t="s">
        <v>5290</v>
      </c>
      <c r="C932" s="6">
        <f>Gross_cleaning!E932</f>
        <v>107509799</v>
      </c>
      <c r="D932" s="1">
        <v>2009.0</v>
      </c>
      <c r="E932" s="1" t="s">
        <v>18</v>
      </c>
      <c r="F932" s="1" t="str">
        <f>VLOOKUP(Filmes_raw!E932,Rating_systems!$A$2:$C$29,3,FALSE)</f>
        <v>Adulto</v>
      </c>
      <c r="G932" s="2">
        <f>Gross_cleaning!F932</f>
        <v>162</v>
      </c>
      <c r="H932" s="1" t="s">
        <v>1221</v>
      </c>
      <c r="I932" s="1" t="s">
        <v>254</v>
      </c>
      <c r="J932" s="1">
        <v>7.6</v>
      </c>
      <c r="K932" s="1" t="s">
        <v>5291</v>
      </c>
      <c r="L932" s="1" t="str">
        <f>IFERROR(__xludf.DUMMYFUNCTION("GOOGLETRANSLATE(K932,""en"", ""pt-br"")"),"Em 1985, onde existem ex-super-heróis, o assassinato de um colega envia vigilante ativo Rorschach em sua própria investigação, descobrindo algo que poderia mudar completamente o curso da história como o conhecemos.")</f>
        <v>Em 1985, onde existem ex-super-heróis, o assassinato de um colega envia vigilante ativo Rorschach em sua própria investigação, descobrindo algo que poderia mudar completamente o curso da história como o conhecemos.</v>
      </c>
      <c r="M932" s="1">
        <v>56.0</v>
      </c>
      <c r="N932" s="1" t="s">
        <v>5284</v>
      </c>
      <c r="O932" s="1" t="s">
        <v>5292</v>
      </c>
      <c r="P932" s="1" t="s">
        <v>5293</v>
      </c>
      <c r="Q932" s="1" t="s">
        <v>5294</v>
      </c>
      <c r="R932" s="1" t="s">
        <v>5295</v>
      </c>
      <c r="S932" s="1">
        <v>500799.0</v>
      </c>
      <c r="T932" s="7" t="str">
        <f>VLOOKUP(A932,Posters!A932:B1931,2)</f>
        <v>https://m.media-amazon.com/images/M/MV5BY2IzNGNiODgtOWYzOS00OTI0LTgxZTUtOTA5OTQ5YmI3NGUzXkEyXkFqcGdeQXVyNjU0OTQ0OTY@._V1_UX67_CR0,0,67,98_AL_.jpg</v>
      </c>
      <c r="U932" s="8">
        <f>'Inflation Adjusted Gross'!F932</f>
        <v>131353681</v>
      </c>
      <c r="V932" s="5">
        <f t="shared" si="1"/>
        <v>2020</v>
      </c>
    </row>
    <row r="933">
      <c r="A933" s="1">
        <v>932.0</v>
      </c>
      <c r="B933" s="1" t="s">
        <v>5296</v>
      </c>
      <c r="C933" s="6">
        <f>Gross_cleaning!E933</f>
        <v>24149632</v>
      </c>
      <c r="D933" s="1">
        <v>2005.0</v>
      </c>
      <c r="E933" s="1" t="s">
        <v>212</v>
      </c>
      <c r="F933" s="1" t="str">
        <f>VLOOKUP(Filmes_raw!E933,Rating_systems!$A$2:$C$29,3,FALSE)</f>
        <v>Adulto</v>
      </c>
      <c r="G933" s="2">
        <f>Gross_cleaning!F933</f>
        <v>122</v>
      </c>
      <c r="H933" s="1" t="s">
        <v>279</v>
      </c>
      <c r="I933" s="1" t="s">
        <v>39</v>
      </c>
      <c r="J933" s="1">
        <v>7.6</v>
      </c>
      <c r="K933" s="1" t="s">
        <v>5297</v>
      </c>
      <c r="L933" s="1" t="str">
        <f>IFERROR(__xludf.DUMMYFUNCTION("GOOGLETRANSLATE(K933,""en"", ""pt-br"")"),"Um revendedor de armas confronta a moralidade de seu trabalho como ele está sendo perseguido por um agente interpol.")</f>
        <v>Um revendedor de armas confronta a moralidade de seu trabalho como ele está sendo perseguido por um agente interpol.</v>
      </c>
      <c r="M933" s="1">
        <v>62.0</v>
      </c>
      <c r="N933" s="1" t="s">
        <v>3961</v>
      </c>
      <c r="O933" s="1" t="s">
        <v>4629</v>
      </c>
      <c r="P933" s="1" t="s">
        <v>1642</v>
      </c>
      <c r="Q933" s="1" t="s">
        <v>741</v>
      </c>
      <c r="R933" s="1" t="s">
        <v>5298</v>
      </c>
      <c r="S933" s="1">
        <v>294140.0</v>
      </c>
      <c r="T933" s="7" t="str">
        <f>VLOOKUP(A933,Posters!A933:B1932,2)</f>
        <v>https://m.media-amazon.com/images/M/MV5BMTYzZWE3MDAtZjZkMi00MzhlLTlhZDUtNmI2Zjg3OWVlZWI0XkEyXkFqcGdeQXVyNDk3NzU2MTQ@._V1_UX67_CR0,0,67,98_AL_.jpg</v>
      </c>
      <c r="U933" s="8">
        <f>'Inflation Adjusted Gross'!F933</f>
        <v>32668614</v>
      </c>
      <c r="V933" s="5">
        <f t="shared" si="1"/>
        <v>2020</v>
      </c>
    </row>
    <row r="934">
      <c r="A934" s="1">
        <v>933.0</v>
      </c>
      <c r="B934" s="1" t="s">
        <v>5299</v>
      </c>
      <c r="C934" s="6">
        <f>Gross_cleaning!E934</f>
        <v>56000369</v>
      </c>
      <c r="D934" s="1">
        <v>2004.0</v>
      </c>
      <c r="E934" s="1" t="s">
        <v>37</v>
      </c>
      <c r="F934" s="1" t="str">
        <f>VLOOKUP(Filmes_raw!E934,Rating_systems!$A$2:$C$29,3,FALSE)</f>
        <v>Criança</v>
      </c>
      <c r="G934" s="2">
        <f>Gross_cleaning!F934</f>
        <v>103</v>
      </c>
      <c r="H934" s="1" t="s">
        <v>885</v>
      </c>
      <c r="I934" s="1" t="s">
        <v>397</v>
      </c>
      <c r="J934" s="1">
        <v>7.6</v>
      </c>
      <c r="K934" s="1" t="s">
        <v>5300</v>
      </c>
      <c r="L934" s="1" t="str">
        <f>IFERROR(__xludf.DUMMYFUNCTION("GOOGLETRANSLATE(K934,""en"", ""pt-br"")"),"Dois estranhos despertaram em uma sala sem lembrança de como chegaram lá, e logo descobrir que são peões em um jogo mortal perpetrado por um notório serial killer.")</f>
        <v>Dois estranhos despertaram em uma sala sem lembrança de como chegaram lá, e logo descobrir que são peões em um jogo mortal perpetrado por um notório serial killer.</v>
      </c>
      <c r="M934" s="1">
        <v>46.0</v>
      </c>
      <c r="N934" s="1" t="s">
        <v>5301</v>
      </c>
      <c r="O934" s="1" t="s">
        <v>2631</v>
      </c>
      <c r="P934" s="1" t="s">
        <v>5302</v>
      </c>
      <c r="Q934" s="1" t="s">
        <v>4094</v>
      </c>
      <c r="R934" s="1" t="s">
        <v>5303</v>
      </c>
      <c r="S934" s="1">
        <v>379020.0</v>
      </c>
      <c r="T934" s="7" t="str">
        <f>VLOOKUP(A934,Posters!A934:B1933,2)</f>
        <v>https://m.media-amazon.com/images/M/MV5BMzQ2ZTBhNmEtZDBmYi00ODU0LTgzZmQtNmMxM2M4NzM1ZjE4XkEyXkFqcGdeQXVyNjE5MjUyOTM@._V1_UX67_CR0,0,67,98_AL_.jpg</v>
      </c>
      <c r="U934" s="8">
        <f>'Inflation Adjusted Gross'!F934</f>
        <v>78004704</v>
      </c>
      <c r="V934" s="5">
        <f t="shared" si="1"/>
        <v>2020</v>
      </c>
    </row>
    <row r="935">
      <c r="A935" s="1">
        <v>934.0</v>
      </c>
      <c r="B935" s="1" t="s">
        <v>5304</v>
      </c>
      <c r="C935" s="6">
        <f>Gross_cleaning!E935</f>
        <v>3081925</v>
      </c>
      <c r="D935" s="1">
        <v>2008.0</v>
      </c>
      <c r="E935" s="1" t="s">
        <v>212</v>
      </c>
      <c r="F935" s="1" t="str">
        <f>VLOOKUP(Filmes_raw!E935,Rating_systems!$A$2:$C$29,3,FALSE)</f>
        <v>Adulto</v>
      </c>
      <c r="G935" s="2">
        <f>Gross_cleaning!F935</f>
        <v>124</v>
      </c>
      <c r="H935" s="1" t="s">
        <v>144</v>
      </c>
      <c r="I935" s="1" t="s">
        <v>20</v>
      </c>
      <c r="J935" s="1">
        <v>7.6</v>
      </c>
      <c r="K935" s="1" t="s">
        <v>5305</v>
      </c>
      <c r="L935" s="1" t="str">
        <f>IFERROR(__xludf.DUMMYFUNCTION("GOOGLETRANSLATE(K935,""en"", ""pt-br"")"),"Um diretor de teatro se esforça com o seu trabalho e as mulheres em sua vida, como ele cria uma réplica de tamanho natural da cidade de Nova York dentro de um armazém como parte de sua nova peça.")</f>
        <v>Um diretor de teatro se esforça com o seu trabalho e as mulheres em sua vida, como ele cria uma réplica de tamanho natural da cidade de Nova York dentro de um armazém como parte de sua nova peça.</v>
      </c>
      <c r="M935" s="1">
        <v>67.0</v>
      </c>
      <c r="N935" s="1" t="s">
        <v>5306</v>
      </c>
      <c r="O935" s="1" t="s">
        <v>1593</v>
      </c>
      <c r="P935" s="1" t="s">
        <v>4544</v>
      </c>
      <c r="Q935" s="1" t="s">
        <v>3579</v>
      </c>
      <c r="R935" s="1" t="s">
        <v>1608</v>
      </c>
      <c r="S935" s="1">
        <v>83158.0</v>
      </c>
      <c r="T935" s="7" t="str">
        <f>VLOOKUP(A935,Posters!A935:B1934,2)</f>
        <v>https://m.media-amazon.com/images/M/MV5BMjA0MjIyOTI3MF5BMl5BanBnXkFtZTcwODM5NTY5MQ@@._V1_UX67_CR0,0,67,98_AL_.jpg</v>
      </c>
      <c r="U935" s="8">
        <f>'Inflation Adjusted Gross'!F935</f>
        <v>3766568</v>
      </c>
      <c r="V935" s="5">
        <f t="shared" si="1"/>
        <v>2020</v>
      </c>
    </row>
    <row r="936">
      <c r="A936" s="1">
        <v>935.0</v>
      </c>
      <c r="B936" s="1" t="s">
        <v>5307</v>
      </c>
      <c r="C936" s="6">
        <f>Gross_cleaning!E936</f>
        <v>697181</v>
      </c>
      <c r="D936" s="1">
        <v>2004.0</v>
      </c>
      <c r="E936" s="1" t="s">
        <v>212</v>
      </c>
      <c r="F936" s="1" t="str">
        <f>VLOOKUP(Filmes_raw!E936,Rating_systems!$A$2:$C$29,3,FALSE)</f>
        <v>Adulto</v>
      </c>
      <c r="G936" s="2">
        <f>Gross_cleaning!F936</f>
        <v>105</v>
      </c>
      <c r="H936" s="1" t="s">
        <v>487</v>
      </c>
      <c r="I936" s="1" t="s">
        <v>20</v>
      </c>
      <c r="J936" s="1">
        <v>7.6</v>
      </c>
      <c r="K936" s="1" t="s">
        <v>5308</v>
      </c>
      <c r="L936" s="1" t="str">
        <f>IFERROR(__xludf.DUMMYFUNCTION("GOOGLETRANSLATE(K936,""en"", ""pt-br"")"),"Um jovem adolescente e um jovem obcecado com os abdutos alienígenas cruzam caminhos, juntos descobrindo uma verdade horrível e libertadora.")</f>
        <v>Um jovem adolescente e um jovem obcecado com os abdutos alienígenas cruzam caminhos, juntos descobrindo uma verdade horrível e libertadora.</v>
      </c>
      <c r="M936" s="1">
        <v>73.0</v>
      </c>
      <c r="N936" s="1" t="s">
        <v>5309</v>
      </c>
      <c r="O936" s="1" t="s">
        <v>5310</v>
      </c>
      <c r="P936" s="1" t="s">
        <v>91</v>
      </c>
      <c r="Q936" s="1" t="s">
        <v>5311</v>
      </c>
      <c r="R936" s="1" t="s">
        <v>5312</v>
      </c>
      <c r="S936" s="1">
        <v>65939.0</v>
      </c>
      <c r="T936" s="7" t="str">
        <f>VLOOKUP(A936,Posters!A936:B1935,2)</f>
        <v>https://m.media-amazon.com/images/M/MV5BMTgxMjQ4NzE5OF5BMl5BanBnXkFtZTcwNzkwOTkyMQ@@._V1_UX67_CR0,0,67,98_AL_.jpg</v>
      </c>
      <c r="U936" s="8">
        <f>'Inflation Adjusted Gross'!F936</f>
        <v>971126</v>
      </c>
      <c r="V936" s="5">
        <f t="shared" si="1"/>
        <v>2020</v>
      </c>
    </row>
    <row r="937">
      <c r="A937" s="1">
        <v>936.0</v>
      </c>
      <c r="B937" s="1" t="s">
        <v>5313</v>
      </c>
      <c r="C937" s="6">
        <f>Gross_cleaning!E937</f>
        <v>548707</v>
      </c>
      <c r="D937" s="1">
        <v>2003.0</v>
      </c>
      <c r="E937" s="1" t="s">
        <v>212</v>
      </c>
      <c r="F937" s="1" t="str">
        <f>VLOOKUP(Filmes_raw!E937,Rating_systems!$A$2:$C$29,3,FALSE)</f>
        <v>Adulto</v>
      </c>
      <c r="G937" s="2">
        <f>Gross_cleaning!F937</f>
        <v>93</v>
      </c>
      <c r="H937" s="1" t="s">
        <v>1521</v>
      </c>
      <c r="I937" s="1" t="s">
        <v>227</v>
      </c>
      <c r="J937" s="1">
        <v>7.6</v>
      </c>
      <c r="K937" s="1" t="s">
        <v>5314</v>
      </c>
      <c r="L937" s="1" t="str">
        <f>IFERROR(__xludf.DUMMYFUNCTION("GOOGLETRANSLATE(K937,""en"", ""pt-br"")"),"Como adultos, os melhores amigos Julien e Sophie continuam no jogo estranho que começaram como filhos - uma competição destemida para superar um ao outro com acrobacias ousadas e escandalantes. Enquanto eles freqüentemente agem para aliviar a dor um do ou"&amp;"tro, seu jogo pode ser uma maneira de evitar o fato de que eles são verdadeiramente destinados um pelo outro.")</f>
        <v>Como adultos, os melhores amigos Julien e Sophie continuam no jogo estranho que começaram como filhos - uma competição destemida para superar um ao outro com acrobacias ousadas e escandalantes. Enquanto eles freqüentemente agem para aliviar a dor um do outro, seu jogo pode ser uma maneira de evitar o fato de que eles são verdadeiramente destinados um pelo outro.</v>
      </c>
      <c r="M937" s="1">
        <v>45.0</v>
      </c>
      <c r="N937" s="1" t="s">
        <v>5315</v>
      </c>
      <c r="O937" s="1" t="s">
        <v>4538</v>
      </c>
      <c r="P937" s="1" t="s">
        <v>4416</v>
      </c>
      <c r="Q937" s="1" t="s">
        <v>5316</v>
      </c>
      <c r="R937" s="1" t="s">
        <v>5317</v>
      </c>
      <c r="S937" s="1">
        <v>67360.0</v>
      </c>
      <c r="T937" s="7" t="str">
        <f>VLOOKUP(A937,Posters!A937:B1936,2)</f>
        <v>https://m.media-amazon.com/images/M/MV5BNjIwOGJhY2QtMTA5Yi00MDhlLWE5OTgtYmIzZDNlM2UwZjMyXkEyXkFqcGdeQXVyNTA4NzY1MzY@._V1_UX67_CR0,0,67,98_AL_.jpg</v>
      </c>
      <c r="U937" s="8">
        <f>'Inflation Adjusted Gross'!F937</f>
        <v>779034</v>
      </c>
      <c r="V937" s="5">
        <f t="shared" si="1"/>
        <v>2020</v>
      </c>
    </row>
    <row r="938">
      <c r="A938" s="1">
        <v>937.0</v>
      </c>
      <c r="B938" s="1" t="s">
        <v>5318</v>
      </c>
      <c r="C938" s="6">
        <f>Gross_cleaning!E938</f>
        <v>6167817</v>
      </c>
      <c r="D938" s="1">
        <v>2004.0</v>
      </c>
      <c r="E938" s="1" t="s">
        <v>52</v>
      </c>
      <c r="F938" s="1" t="str">
        <f>VLOOKUP(Filmes_raw!E938,Rating_systems!$A$2:$C$29,3,FALSE)</f>
        <v>Criança</v>
      </c>
      <c r="G938" s="2">
        <f>Gross_cleaning!F938</f>
        <v>133</v>
      </c>
      <c r="H938" s="1" t="s">
        <v>153</v>
      </c>
      <c r="I938" s="1" t="s">
        <v>1051</v>
      </c>
      <c r="J938" s="1">
        <v>7.6</v>
      </c>
      <c r="K938" s="1" t="s">
        <v>5319</v>
      </c>
      <c r="L938" s="1" t="str">
        <f>IFERROR(__xludf.DUMMYFUNCTION("GOOGLETRANSLATE(K938,""en"", ""pt-br"")"),"Conte a história da busca implacável de uma jovem mulher por seu noivo, que desapareceu das trincheiras do Somme durante a Primeira Guerra Mundial.")</f>
        <v>Conte a história da busca implacável de uma jovem mulher por seu noivo, que desapareceu das trincheiras do Somme durante a Primeira Guerra Mundial.</v>
      </c>
      <c r="M938" s="1">
        <v>76.0</v>
      </c>
      <c r="N938" s="1" t="s">
        <v>725</v>
      </c>
      <c r="O938" s="1" t="s">
        <v>726</v>
      </c>
      <c r="P938" s="1" t="s">
        <v>5320</v>
      </c>
      <c r="Q938" s="1" t="s">
        <v>244</v>
      </c>
      <c r="R938" s="1" t="s">
        <v>5321</v>
      </c>
      <c r="S938" s="1">
        <v>70925.0</v>
      </c>
      <c r="T938" s="7" t="str">
        <f>VLOOKUP(A938,Posters!A938:B1937,2)</f>
        <v>https://m.media-amazon.com/images/M/MV5BZWI4ZTgwMzktNjk3Yy00OTlhLTg3YTAtMTA1MWVlMWJiOTRiXkEyXkFqcGdeQXVyMTAwMzUyOTc@._V1_UX67_CR0,0,67,98_AL_.jpg</v>
      </c>
      <c r="U938" s="8">
        <f>'Inflation Adjusted Gross'!F938</f>
        <v>8591349</v>
      </c>
      <c r="V938" s="5">
        <f t="shared" si="1"/>
        <v>2020</v>
      </c>
    </row>
    <row r="939">
      <c r="A939" s="1">
        <v>938.0</v>
      </c>
      <c r="B939" s="1" t="s">
        <v>5322</v>
      </c>
      <c r="C939" s="6">
        <f>Gross_cleaning!E939</f>
        <v>5739376</v>
      </c>
      <c r="D939" s="1">
        <v>2003.0</v>
      </c>
      <c r="E939" s="1" t="s">
        <v>212</v>
      </c>
      <c r="F939" s="1" t="str">
        <f>VLOOKUP(Filmes_raw!E939,Rating_systems!$A$2:$C$29,3,FALSE)</f>
        <v>Adulto</v>
      </c>
      <c r="G939" s="2">
        <f>Gross_cleaning!F939</f>
        <v>89</v>
      </c>
      <c r="H939" s="1" t="s">
        <v>374</v>
      </c>
      <c r="I939" s="1" t="s">
        <v>507</v>
      </c>
      <c r="J939" s="1">
        <v>7.6</v>
      </c>
      <c r="K939" s="1" t="s">
        <v>5323</v>
      </c>
      <c r="L939" s="1" t="str">
        <f>IFERROR(__xludf.DUMMYFUNCTION("GOOGLETRANSLATE(K939,""en"", ""pt-br"")"),"Quando seu único amigo morre, um homem nascido com o anão se move para a Rural New Jersey para viver uma vida de solidão, apenas para conhecer um vendedor de cachorro-quente chatty e uma mulher lidando com sua própria perda pessoal.")</f>
        <v>Quando seu único amigo morre, um homem nascido com o anão se move para a Rural New Jersey para viver uma vida de solidão, apenas para conhecer um vendedor de cachorro-quente chatty e uma mulher lidando com sua própria perda pessoal.</v>
      </c>
      <c r="M939" s="1">
        <v>81.0</v>
      </c>
      <c r="N939" s="1" t="s">
        <v>1516</v>
      </c>
      <c r="O939" s="1" t="s">
        <v>5324</v>
      </c>
      <c r="P939" s="1" t="s">
        <v>5325</v>
      </c>
      <c r="Q939" s="1" t="s">
        <v>5326</v>
      </c>
      <c r="R939" s="1" t="s">
        <v>5327</v>
      </c>
      <c r="S939" s="1">
        <v>67370.0</v>
      </c>
      <c r="T939" s="7" t="str">
        <f>VLOOKUP(A939,Posters!A939:B1938,2)</f>
        <v>https://m.media-amazon.com/images/M/MV5BMTUzNDgyMzg3Ml5BMl5BanBnXkFtZTcwMzIxNTAwMQ@@._V1_UX67_CR0,0,67,98_AL_.jpg</v>
      </c>
      <c r="U939" s="8">
        <f>'Inflation Adjusted Gross'!F939</f>
        <v>8148556</v>
      </c>
      <c r="V939" s="5">
        <f t="shared" si="1"/>
        <v>2020</v>
      </c>
    </row>
    <row r="940">
      <c r="A940" s="1">
        <v>939.0</v>
      </c>
      <c r="B940" s="1" t="s">
        <v>5328</v>
      </c>
      <c r="C940" s="6">
        <f>Gross_cleaning!E940</f>
        <v>16290476</v>
      </c>
      <c r="D940" s="1">
        <v>2003.0</v>
      </c>
      <c r="E940" s="1" t="s">
        <v>37</v>
      </c>
      <c r="F940" s="1" t="str">
        <f>VLOOKUP(Filmes_raw!E940,Rating_systems!$A$2:$C$29,3,FALSE)</f>
        <v>Criança</v>
      </c>
      <c r="G940" s="2">
        <f>Gross_cleaning!F940</f>
        <v>124</v>
      </c>
      <c r="H940" s="1" t="s">
        <v>144</v>
      </c>
      <c r="I940" s="1" t="s">
        <v>241</v>
      </c>
      <c r="J940" s="1">
        <v>7.6</v>
      </c>
      <c r="K940" s="1" t="s">
        <v>5329</v>
      </c>
      <c r="L940" s="1" t="str">
        <f>IFERROR(__xludf.DUMMYFUNCTION("GOOGLETRANSLATE(K940,""en"", ""pt-br"")"),"Um acidente estranho reúne um matemático criticamente doente, uma mãe luta, e um nascimento de novo ex-con.")</f>
        <v>Um acidente estranho reúne um matemático criticamente doente, uma mãe luta, e um nascimento de novo ex-con.</v>
      </c>
      <c r="M940" s="1">
        <v>70.0</v>
      </c>
      <c r="N940" s="1" t="s">
        <v>1677</v>
      </c>
      <c r="O940" s="1" t="s">
        <v>1605</v>
      </c>
      <c r="P940" s="1" t="s">
        <v>735</v>
      </c>
      <c r="Q940" s="1" t="s">
        <v>3221</v>
      </c>
      <c r="R940" s="1" t="s">
        <v>5330</v>
      </c>
      <c r="S940" s="1">
        <v>224545.0</v>
      </c>
      <c r="T940" s="7" t="str">
        <f>VLOOKUP(A940,Posters!A940:B1939,2)</f>
        <v>https://m.media-amazon.com/images/M/MV5BMjA4MjI2OTM5N15BMl5BanBnXkFtZTcwNDA1NjUzMw@@._V1_UX67_CR0,0,67,98_AL_.jpg</v>
      </c>
      <c r="U940" s="8">
        <f>'Inflation Adjusted Gross'!F940</f>
        <v>23128621</v>
      </c>
      <c r="V940" s="5">
        <f t="shared" si="1"/>
        <v>2020</v>
      </c>
    </row>
    <row r="941">
      <c r="A941" s="1">
        <v>940.0</v>
      </c>
      <c r="B941" s="1" t="s">
        <v>5331</v>
      </c>
      <c r="C941" s="6">
        <f>Gross_cleaning!E941</f>
        <v>45289</v>
      </c>
      <c r="D941" s="1">
        <v>2002.0</v>
      </c>
      <c r="E941" s="1" t="s">
        <v>212</v>
      </c>
      <c r="F941" s="1" t="str">
        <f>VLOOKUP(Filmes_raw!E941,Rating_systems!$A$2:$C$29,3,FALSE)</f>
        <v>Adulto</v>
      </c>
      <c r="G941" s="2">
        <f>Gross_cleaning!F941</f>
        <v>129</v>
      </c>
      <c r="H941" s="1" t="s">
        <v>830</v>
      </c>
      <c r="I941" s="1" t="s">
        <v>241</v>
      </c>
      <c r="J941" s="1">
        <v>7.6</v>
      </c>
      <c r="K941" s="1" t="s">
        <v>5332</v>
      </c>
      <c r="L941" s="1" t="str">
        <f>IFERROR(__xludf.DUMMYFUNCTION("GOOGLETRANSLATE(K941,""en"", ""pt-br"")"),"Um trabalhador de fábrica recentemente desencadeado sequestra sua filha do ex-chefe do chefe, na esperança de usar o dinheiro do resgate para pagar pelo transplante renal de sua irmã.")</f>
        <v>Um trabalhador de fábrica recentemente desencadeado sequestra sua filha do ex-chefe do chefe, na esperança de usar o dinheiro do resgate para pagar pelo transplante renal de sua irmã.</v>
      </c>
      <c r="M941" s="1">
        <v>56.0</v>
      </c>
      <c r="N941" s="1" t="s">
        <v>537</v>
      </c>
      <c r="O941" s="1" t="s">
        <v>174</v>
      </c>
      <c r="P941" s="1" t="s">
        <v>5333</v>
      </c>
      <c r="Q941" s="1" t="s">
        <v>5334</v>
      </c>
      <c r="R941" s="1" t="s">
        <v>5335</v>
      </c>
      <c r="S941" s="1">
        <v>62659.0</v>
      </c>
      <c r="T941" s="7" t="str">
        <f>VLOOKUP(A941,Posters!A941:B1940,2)</f>
        <v>https://m.media-amazon.com/images/M/MV5BYmNlNDVjMWUtZDZjNS00YTBmLWE3NGUtNDcxMzE0YTQ2ODMxXkEyXkFqcGdeQXVyMTMxODk2OTU@._V1_UX67_CR0,0,67,98_AL_.jpg</v>
      </c>
      <c r="U941" s="8">
        <f>'Inflation Adjusted Gross'!F941</f>
        <v>65970</v>
      </c>
      <c r="V941" s="5">
        <f t="shared" si="1"/>
        <v>2020</v>
      </c>
    </row>
    <row r="942">
      <c r="A942" s="1">
        <v>941.0</v>
      </c>
      <c r="B942" s="1" t="s">
        <v>5336</v>
      </c>
      <c r="C942" s="6">
        <f>Gross_cleaning!E942</f>
        <v>51680613</v>
      </c>
      <c r="D942" s="1">
        <v>2004.0</v>
      </c>
      <c r="E942" s="1" t="s">
        <v>52</v>
      </c>
      <c r="F942" s="1" t="str">
        <f>VLOOKUP(Filmes_raw!E942,Rating_systems!$A$2:$C$29,3,FALSE)</f>
        <v>Criança</v>
      </c>
      <c r="G942" s="2">
        <f>Gross_cleaning!F942</f>
        <v>106</v>
      </c>
      <c r="H942" s="1" t="s">
        <v>286</v>
      </c>
      <c r="I942" s="1" t="s">
        <v>1580</v>
      </c>
      <c r="J942" s="1">
        <v>7.6</v>
      </c>
      <c r="K942" s="1" t="s">
        <v>5337</v>
      </c>
      <c r="L942" s="1" t="str">
        <f>IFERROR(__xludf.DUMMYFUNCTION("GOOGLETRANSLATE(K942,""en"", ""pt-br"")"),"A história da amizade de Sir J.M. Barrie com uma família que o inspirou a criar Peter Pan.")</f>
        <v>A história da amizade de Sir J.M. Barrie com uma família que o inspirou a criar Peter Pan.</v>
      </c>
      <c r="M942" s="1">
        <v>67.0</v>
      </c>
      <c r="N942" s="1" t="s">
        <v>5338</v>
      </c>
      <c r="O942" s="1" t="s">
        <v>2451</v>
      </c>
      <c r="P942" s="1" t="s">
        <v>719</v>
      </c>
      <c r="Q942" s="1" t="s">
        <v>2757</v>
      </c>
      <c r="R942" s="1" t="s">
        <v>4598</v>
      </c>
      <c r="S942" s="1">
        <v>198677.0</v>
      </c>
      <c r="T942" s="7" t="str">
        <f>VLOOKUP(A942,Posters!A942:B1941,2)</f>
        <v>https://m.media-amazon.com/images/M/MV5BMTMxNzYzNzUzMV5BMl5BanBnXkFtZTYwNjcwMjE3._V1_UX67_CR0,0,67,98_AL_.jpg</v>
      </c>
      <c r="U942" s="8">
        <f>'Inflation Adjusted Gross'!F942</f>
        <v>71987578</v>
      </c>
      <c r="V942" s="5">
        <f t="shared" si="1"/>
        <v>2020</v>
      </c>
    </row>
    <row r="943">
      <c r="A943" s="1">
        <v>942.0</v>
      </c>
      <c r="B943" s="1" t="s">
        <v>5339</v>
      </c>
      <c r="C943" s="6">
        <f>Gross_cleaning!E943</f>
        <v>13060843</v>
      </c>
      <c r="D943" s="1">
        <v>2002.0</v>
      </c>
      <c r="E943" s="1" t="s">
        <v>212</v>
      </c>
      <c r="F943" s="1" t="str">
        <f>VLOOKUP(Filmes_raw!E943,Rating_systems!$A$2:$C$29,3,FALSE)</f>
        <v>Adulto</v>
      </c>
      <c r="G943" s="2">
        <f>Gross_cleaning!F943</f>
        <v>135</v>
      </c>
      <c r="H943" s="1" t="s">
        <v>1044</v>
      </c>
      <c r="I943" s="1" t="s">
        <v>20</v>
      </c>
      <c r="J943" s="1">
        <v>7.6</v>
      </c>
      <c r="K943" s="1" t="s">
        <v>5340</v>
      </c>
      <c r="L943" s="1" t="str">
        <f>IFERROR(__xludf.DUMMYFUNCTION("GOOGLETRANSLATE(K943,""en"", ""pt-br"")"),"Encurralada pelo Dea, condenado Revendedor de Nova York Montgomery Brogan reavalua sua vida nas 24 horas restantes antes de enfrentar um termo de sete anos.")</f>
        <v>Encurralada pelo Dea, condenado Revendedor de Nova York Montgomery Brogan reavalua sua vida nas 24 horas restantes antes de enfrentar um termo de sete anos.</v>
      </c>
      <c r="M943" s="1">
        <v>68.0</v>
      </c>
      <c r="N943" s="1" t="s">
        <v>2611</v>
      </c>
      <c r="O943" s="1" t="s">
        <v>99</v>
      </c>
      <c r="P943" s="1" t="s">
        <v>5341</v>
      </c>
      <c r="Q943" s="1" t="s">
        <v>1593</v>
      </c>
      <c r="R943" s="1" t="s">
        <v>5238</v>
      </c>
      <c r="S943" s="1">
        <v>169708.0</v>
      </c>
      <c r="T943" s="7" t="str">
        <f>VLOOKUP(A943,Posters!A943:B1942,2)</f>
        <v>https://m.media-amazon.com/images/M/MV5BNmE0YjdlYTktMTU4Ni00Mjk2LWI3NWMtM2RjNmFiOTk4YjYxL2ltYWdlXkEyXkFqcGdeQXVyNTAyODkwOQ@@._V1_UY98_CR1,0,67,98_AL_.jpg</v>
      </c>
      <c r="U943" s="8">
        <f>'Inflation Adjusted Gross'!F943</f>
        <v>19024951</v>
      </c>
      <c r="V943" s="5">
        <f t="shared" si="1"/>
        <v>2020</v>
      </c>
    </row>
    <row r="944">
      <c r="A944" s="1">
        <v>943.0</v>
      </c>
      <c r="B944" s="1" t="s">
        <v>5342</v>
      </c>
      <c r="C944" s="6">
        <f>Gross_cleaning!E944</f>
        <v>57938693</v>
      </c>
      <c r="D944" s="1">
        <v>2004.0</v>
      </c>
      <c r="E944" s="1" t="s">
        <v>52</v>
      </c>
      <c r="F944" s="1" t="str">
        <f>VLOOKUP(Filmes_raw!E944,Rating_systems!$A$2:$C$29,3,FALSE)</f>
        <v>Criança</v>
      </c>
      <c r="G944" s="2">
        <f>Gross_cleaning!F944</f>
        <v>113</v>
      </c>
      <c r="H944" s="1" t="s">
        <v>543</v>
      </c>
      <c r="I944" s="1" t="s">
        <v>3959</v>
      </c>
      <c r="J944" s="1">
        <v>7.6</v>
      </c>
      <c r="K944" s="1" t="s">
        <v>5343</v>
      </c>
      <c r="L944" s="1" t="str">
        <f>IFERROR(__xludf.DUMMYFUNCTION("GOOGLETRANSLATE(K944,""en"", ""pt-br"")"),"Evan Treborn sofre blecautos durante eventos significativos de sua vida. Enquanto ele cresce, ele encontra uma maneira de lembrar essas memórias perdidas e uma maneira sobrenatural de alterar sua vida lendo sua revista.")</f>
        <v>Evan Treborn sofre blecautos durante eventos significativos de sua vida. Enquanto ele cresce, ele encontra uma maneira de lembrar essas memórias perdidas e uma maneira sobrenatural de alterar sua vida lendo sua revista.</v>
      </c>
      <c r="M944" s="1">
        <v>30.0</v>
      </c>
      <c r="N944" s="1" t="s">
        <v>5344</v>
      </c>
      <c r="O944" s="1" t="s">
        <v>5345</v>
      </c>
      <c r="P944" s="1" t="s">
        <v>5346</v>
      </c>
      <c r="Q944" s="1" t="s">
        <v>5347</v>
      </c>
      <c r="R944" s="1" t="s">
        <v>5348</v>
      </c>
      <c r="S944" s="1">
        <v>451479.0</v>
      </c>
      <c r="T944" s="7" t="str">
        <f>VLOOKUP(A944,Posters!A944:B1943,2)</f>
        <v>https://m.media-amazon.com/images/M/MV5BODNiZmY2MWUtMjFhMy00ZmM2LTg2MjYtNWY1OTY5NGU2MjdjL2ltYWdlXkEyXkFqcGdeQXVyNTAyODkwOQ@@._V1_UY98_CR0,0,67,98_AL_.jpg</v>
      </c>
      <c r="U944" s="8">
        <f>'Inflation Adjusted Gross'!F944</f>
        <v>80704658</v>
      </c>
      <c r="V944" s="5">
        <f t="shared" si="1"/>
        <v>2020</v>
      </c>
    </row>
    <row r="945">
      <c r="A945" s="1">
        <v>944.0</v>
      </c>
      <c r="B945" s="1" t="s">
        <v>5349</v>
      </c>
      <c r="C945" s="6">
        <f>Gross_cleaning!E945</f>
        <v>45064915</v>
      </c>
      <c r="D945" s="1">
        <v>2002.0</v>
      </c>
      <c r="E945" s="1" t="s">
        <v>18</v>
      </c>
      <c r="F945" s="1" t="str">
        <f>VLOOKUP(Filmes_raw!E945,Rating_systems!$A$2:$C$29,3,FALSE)</f>
        <v>Adulto</v>
      </c>
      <c r="G945" s="2">
        <f>Gross_cleaning!F945</f>
        <v>113</v>
      </c>
      <c r="H945" s="1" t="s">
        <v>543</v>
      </c>
      <c r="I945" s="1" t="s">
        <v>4275</v>
      </c>
      <c r="J945" s="1">
        <v>7.6</v>
      </c>
      <c r="K945" s="1" t="s">
        <v>5350</v>
      </c>
      <c r="L945" s="1" t="str">
        <f>IFERROR(__xludf.DUMMYFUNCTION("GOOGLETRANSLATE(K945,""en"", ""pt-br"")"),"Quatro semanas após um vírus misterioso e incurável se espalha em todo o Reino Unido, um punhado de sobreviventes tentam encontrar santuário.")</f>
        <v>Quatro semanas após um vírus misterioso e incurável se espalha em todo o Reino Unido, um punhado de sobreviventes tentam encontrar santuário.</v>
      </c>
      <c r="M945" s="1">
        <v>73.0</v>
      </c>
      <c r="N945" s="1" t="s">
        <v>1738</v>
      </c>
      <c r="O945" s="1" t="s">
        <v>5351</v>
      </c>
      <c r="P945" s="1" t="s">
        <v>4457</v>
      </c>
      <c r="Q945" s="1" t="s">
        <v>5352</v>
      </c>
      <c r="R945" s="1" t="s">
        <v>5353</v>
      </c>
      <c r="S945" s="1">
        <v>376853.0</v>
      </c>
      <c r="T945" s="7" t="str">
        <f>VLOOKUP(A945,Posters!A945:B1944,2)</f>
        <v>https://m.media-amazon.com/images/M/MV5BYTFkM2ViMmQtZmI5NS00MjQ2LWEyN2EtMTI1ZmNlZDU3MTZjXkEyXkFqcGdeQXVyNjU0OTQ0OTY@._V1_UX67_CR0,0,67,98_AL_.jpg</v>
      </c>
      <c r="U945" s="8">
        <f>'Inflation Adjusted Gross'!F945</f>
        <v>65643372</v>
      </c>
      <c r="V945" s="5">
        <f t="shared" si="1"/>
        <v>2020</v>
      </c>
    </row>
    <row r="946">
      <c r="A946" s="1">
        <v>945.0</v>
      </c>
      <c r="B946" s="1" t="s">
        <v>5354</v>
      </c>
      <c r="C946" s="6">
        <f>Gross_cleaning!E946</f>
        <v>958989</v>
      </c>
      <c r="D946" s="1">
        <v>2000.0</v>
      </c>
      <c r="E946" s="1" t="s">
        <v>212</v>
      </c>
      <c r="F946" s="1" t="str">
        <f>VLOOKUP(Filmes_raw!E946,Rating_systems!$A$2:$C$29,3,FALSE)</f>
        <v>Adulto</v>
      </c>
      <c r="G946" s="2">
        <f>Gross_cleaning!F946</f>
        <v>114</v>
      </c>
      <c r="H946" s="1" t="s">
        <v>825</v>
      </c>
      <c r="I946" s="1" t="s">
        <v>62</v>
      </c>
      <c r="J946" s="1">
        <v>7.6</v>
      </c>
      <c r="K946" s="1" t="s">
        <v>5355</v>
      </c>
      <c r="L946" s="1" t="str">
        <f>IFERROR(__xludf.DUMMYFUNCTION("GOOGLETRANSLATE(K946,""en"", ""pt-br"")"),"No futuro, o governo japonês capta uma classe de estudantes de nono ano e os força a se matar sob o revolucionário ""Battle Royale"" Ato.")</f>
        <v>No futuro, o governo japonês capta uma classe de estudantes de nono ano e os força a se matar sob o revolucionário "Battle Royale" Ato.</v>
      </c>
      <c r="M946" s="1">
        <v>81.0</v>
      </c>
      <c r="N946" s="1" t="s">
        <v>5356</v>
      </c>
      <c r="O946" s="1" t="s">
        <v>4502</v>
      </c>
      <c r="P946" s="1" t="s">
        <v>5357</v>
      </c>
      <c r="Q946" s="1" t="s">
        <v>5358</v>
      </c>
      <c r="R946" s="1" t="s">
        <v>3954</v>
      </c>
      <c r="S946" s="1">
        <v>169091.0</v>
      </c>
      <c r="T946" s="7" t="str">
        <f>VLOOKUP(A946,Posters!A946:B1945,2)</f>
        <v>https://m.media-amazon.com/images/M/MV5BMDc2MGYwYzAtNzE2Yi00YmU3LTkxMDUtODk2YjhiNDM5NDIyXkEyXkFqcGdeQXVyMTEwNDU1MzEy._V1_UX67_CR0,0,67,98_AL_.jpg</v>
      </c>
      <c r="U946" s="8">
        <f>'Inflation Adjusted Gross'!F946</f>
        <v>1465589</v>
      </c>
      <c r="V946" s="5">
        <f t="shared" si="1"/>
        <v>2020</v>
      </c>
    </row>
    <row r="947">
      <c r="A947" s="1">
        <v>946.0</v>
      </c>
      <c r="B947" s="1" t="s">
        <v>5359</v>
      </c>
      <c r="C947" s="6">
        <f>Gross_cleaning!E947</f>
        <v>52364010</v>
      </c>
      <c r="D947" s="1">
        <v>2001.0</v>
      </c>
      <c r="E947" s="1" t="s">
        <v>18</v>
      </c>
      <c r="F947" s="1" t="str">
        <f>VLOOKUP(Filmes_raw!E947,Rating_systems!$A$2:$C$29,3,FALSE)</f>
        <v>Adulto</v>
      </c>
      <c r="G947" s="2">
        <f>Gross_cleaning!F947</f>
        <v>110</v>
      </c>
      <c r="H947" s="1" t="s">
        <v>343</v>
      </c>
      <c r="I947" s="1" t="s">
        <v>507</v>
      </c>
      <c r="J947" s="1">
        <v>7.6</v>
      </c>
      <c r="K947" s="1" t="s">
        <v>5360</v>
      </c>
      <c r="L947" s="1" t="str">
        <f>IFERROR(__xludf.DUMMYFUNCTION("GOOGLETRANSLATE(K947,""en"", ""pt-br"")"),"Os membros excêntricos de uma família disfuncional relutantemente se reúnem sob o mesmo teto por várias razões.")</f>
        <v>Os membros excêntricos de uma família disfuncional relutantemente se reúnem sob o mesmo teto por várias razões.</v>
      </c>
      <c r="M947" s="1">
        <v>76.0</v>
      </c>
      <c r="N947" s="1" t="s">
        <v>1468</v>
      </c>
      <c r="O947" s="1" t="s">
        <v>1191</v>
      </c>
      <c r="P947" s="1" t="s">
        <v>3153</v>
      </c>
      <c r="Q947" s="1" t="s">
        <v>5361</v>
      </c>
      <c r="R947" s="1" t="s">
        <v>5362</v>
      </c>
      <c r="S947" s="1">
        <v>266842.0</v>
      </c>
      <c r="T947" s="7" t="str">
        <f>VLOOKUP(A947,Posters!A947:B1946,2)</f>
        <v>https://m.media-amazon.com/images/M/MV5BYmUzODQ5MGItZTZlNy00MDBhLWIxMmItMjg4Y2QyNDFlMWQ2XkEyXkFqcGdeQXVyMTMxODk2OTU@._V1_UX67_CR0,0,67,98_AL_.jpg</v>
      </c>
      <c r="U947" s="8">
        <f>'Inflation Adjusted Gross'!F947</f>
        <v>77146751</v>
      </c>
      <c r="V947" s="5">
        <f t="shared" si="1"/>
        <v>2020</v>
      </c>
    </row>
    <row r="948">
      <c r="A948" s="1">
        <v>947.0</v>
      </c>
      <c r="B948" s="1" t="s">
        <v>5363</v>
      </c>
      <c r="C948" s="6">
        <f>Gross_cleaning!E948</f>
        <v>13622333</v>
      </c>
      <c r="D948" s="1">
        <v>2001.0</v>
      </c>
      <c r="E948" s="1" t="s">
        <v>18</v>
      </c>
      <c r="F948" s="1" t="str">
        <f>VLOOKUP(Filmes_raw!E948,Rating_systems!$A$2:$C$29,3,FALSE)</f>
        <v>Adulto</v>
      </c>
      <c r="G948" s="2">
        <f>Gross_cleaning!F948</f>
        <v>106</v>
      </c>
      <c r="H948" s="1" t="s">
        <v>286</v>
      </c>
      <c r="I948" s="1" t="s">
        <v>20</v>
      </c>
      <c r="J948" s="1">
        <v>7.6</v>
      </c>
      <c r="K948" s="1" t="s">
        <v>5364</v>
      </c>
      <c r="L948" s="1" t="str">
        <f>IFERROR(__xludf.DUMMYFUNCTION("GOOGLETRANSLATE(K948,""en"", ""pt-br"")"),"No México, dois adolescentes e uma mulher mais velha atraente embarcam em uma viagem e aprende uma coisa ou duas sobre a vida, a amizade, o sexo e um ao outro.")</f>
        <v>No México, dois adolescentes e uma mulher mais velha atraente embarcam em uma viagem e aprende uma coisa ou duas sobre a vida, a amizade, o sexo e um ao outro.</v>
      </c>
      <c r="M948" s="1">
        <v>88.0</v>
      </c>
      <c r="N948" s="1" t="s">
        <v>3175</v>
      </c>
      <c r="O948" s="1" t="s">
        <v>1103</v>
      </c>
      <c r="P948" s="1" t="s">
        <v>492</v>
      </c>
      <c r="Q948" s="1" t="s">
        <v>5365</v>
      </c>
      <c r="R948" s="1" t="s">
        <v>5366</v>
      </c>
      <c r="S948" s="1">
        <v>115827.0</v>
      </c>
      <c r="T948" s="7" t="str">
        <f>VLOOKUP(A948,Posters!A948:B1947,2)</f>
        <v>https://m.media-amazon.com/images/M/MV5BNDhjMzc3ZTgtY2Y4MC00Y2U3LWFiMDctZGM3MmM4N2YzNDQ5XkEyXkFqcGdeQXVyMTQxNzMzNDI@._V1_UX67_CR0,0,67,98_AL_.jpg</v>
      </c>
      <c r="U948" s="8">
        <f>'Inflation Adjusted Gross'!F948</f>
        <v>20069485</v>
      </c>
      <c r="V948" s="5">
        <f t="shared" si="1"/>
        <v>2020</v>
      </c>
    </row>
    <row r="949">
      <c r="A949" s="1">
        <v>948.0</v>
      </c>
      <c r="B949" s="1" t="s">
        <v>5367</v>
      </c>
      <c r="C949" s="6">
        <f>Gross_cleaning!E949</f>
        <v>317575550</v>
      </c>
      <c r="D949" s="1">
        <v>2001.0</v>
      </c>
      <c r="E949" s="1" t="s">
        <v>52</v>
      </c>
      <c r="F949" s="1" t="str">
        <f>VLOOKUP(Filmes_raw!E949,Rating_systems!$A$2:$C$29,3,FALSE)</f>
        <v>Criança</v>
      </c>
      <c r="G949" s="2">
        <f>Gross_cleaning!F949</f>
        <v>152</v>
      </c>
      <c r="H949" s="1" t="s">
        <v>38</v>
      </c>
      <c r="I949" s="1" t="s">
        <v>2629</v>
      </c>
      <c r="J949" s="1">
        <v>7.6</v>
      </c>
      <c r="K949" s="1" t="s">
        <v>5368</v>
      </c>
      <c r="L949" s="1" t="str">
        <f>IFERROR(__xludf.DUMMYFUNCTION("GOOGLETRANSLATE(K949,""en"", ""pt-br"")"),"Um menino órfão se inscreve em uma escola de magia, onde aprende a verdade sobre si mesmo, sua família e o terrível mal que assombra o mundo mágico.")</f>
        <v>Um menino órfão se inscreve em uma escola de magia, onde aprende a verdade sobre si mesmo, sua família e o terrível mal que assombra o mundo mágico.</v>
      </c>
      <c r="M949" s="1">
        <v>64.0</v>
      </c>
      <c r="N949" s="1" t="s">
        <v>5369</v>
      </c>
      <c r="O949" s="1" t="s">
        <v>1568</v>
      </c>
      <c r="P949" s="1" t="s">
        <v>1570</v>
      </c>
      <c r="Q949" s="1" t="s">
        <v>1192</v>
      </c>
      <c r="R949" s="1" t="s">
        <v>5370</v>
      </c>
      <c r="S949" s="1">
        <v>658185.0</v>
      </c>
      <c r="T949" s="7" t="str">
        <f>VLOOKUP(A949,Posters!A949:B1948,2)</f>
        <v>https://m.media-amazon.com/images/M/MV5BNjQ3NWNlNmQtMTE5ZS00MDdmLTlkZjUtZTBlM2UxMGFiMTU3XkEyXkFqcGdeQXVyNjUwNzk3NDc@._V1_UX67_CR0,0,67,98_AL_.jpg</v>
      </c>
      <c r="U949" s="8">
        <f>'Inflation Adjusted Gross'!F949</f>
        <v>467877112</v>
      </c>
      <c r="V949" s="5">
        <f t="shared" si="1"/>
        <v>2020</v>
      </c>
    </row>
    <row r="950">
      <c r="A950" s="1">
        <v>949.0</v>
      </c>
      <c r="B950" s="1" t="s">
        <v>5371</v>
      </c>
      <c r="C950" s="6">
        <f>Gross_cleaning!E950</f>
        <v>96522687</v>
      </c>
      <c r="D950" s="1">
        <v>2001.0</v>
      </c>
      <c r="E950" s="1" t="s">
        <v>161</v>
      </c>
      <c r="F950" s="1" t="str">
        <f>VLOOKUP(Filmes_raw!E950,Rating_systems!$A$2:$C$29,3,FALSE)</f>
        <v>Criança</v>
      </c>
      <c r="G950" s="2">
        <f>Gross_cleaning!F950</f>
        <v>101</v>
      </c>
      <c r="H950" s="1" t="s">
        <v>535</v>
      </c>
      <c r="I950" s="1" t="s">
        <v>397</v>
      </c>
      <c r="J950" s="1">
        <v>7.6</v>
      </c>
      <c r="K950" s="1" t="s">
        <v>5372</v>
      </c>
      <c r="L950" s="1" t="str">
        <f>IFERROR(__xludf.DUMMYFUNCTION("GOOGLETRANSLATE(K950,""en"", ""pt-br"")"),"Uma mulher que mora em sua velha casa de família escuridão com suas duas crianças fotossensíveis se convenceu de que a casa é assombrada.")</f>
        <v>Uma mulher que mora em sua velha casa de família escuridão com suas duas crianças fotossensíveis se convenceu de que a casa é assombrada.</v>
      </c>
      <c r="M950" s="1">
        <v>74.0</v>
      </c>
      <c r="N950" s="1" t="s">
        <v>2429</v>
      </c>
      <c r="O950" s="1" t="s">
        <v>2182</v>
      </c>
      <c r="P950" s="1" t="s">
        <v>5352</v>
      </c>
      <c r="Q950" s="1" t="s">
        <v>1527</v>
      </c>
      <c r="R950" s="1" t="s">
        <v>5373</v>
      </c>
      <c r="S950" s="1">
        <v>337651.0</v>
      </c>
      <c r="T950" s="7" t="str">
        <f>VLOOKUP(A950,Posters!A950:B1949,2)</f>
        <v>https://m.media-amazon.com/images/M/MV5BMTAxMDE4Mzc3ODNeQTJeQWpwZ15BbWU4MDY2Mjg4MDcx._V1_UX67_CR0,0,67,98_AL_.jpg</v>
      </c>
      <c r="U950" s="8">
        <f>'Inflation Adjusted Gross'!F950</f>
        <v>142204764</v>
      </c>
      <c r="V950" s="5">
        <f t="shared" si="1"/>
        <v>2020</v>
      </c>
    </row>
    <row r="951">
      <c r="A951" s="1">
        <v>950.0</v>
      </c>
      <c r="B951" s="1" t="s">
        <v>5374</v>
      </c>
      <c r="C951" s="6">
        <f>Gross_cleaning!E951</f>
        <v>52990775</v>
      </c>
      <c r="D951" s="1">
        <v>2001.0</v>
      </c>
      <c r="E951" s="1" t="s">
        <v>212</v>
      </c>
      <c r="F951" s="1" t="str">
        <f>VLOOKUP(Filmes_raw!E951,Rating_systems!$A$2:$C$29,3,FALSE)</f>
        <v>Adulto</v>
      </c>
      <c r="G951" s="2">
        <f>Gross_cleaning!F951</f>
        <v>124</v>
      </c>
      <c r="H951" s="1" t="s">
        <v>144</v>
      </c>
      <c r="I951" s="1" t="s">
        <v>137</v>
      </c>
      <c r="J951" s="1">
        <v>7.6</v>
      </c>
      <c r="K951" s="1" t="s">
        <v>5375</v>
      </c>
      <c r="L951" s="1" t="str">
        <f>IFERROR(__xludf.DUMMYFUNCTION("GOOGLETRANSLATE(K951,""en"", ""pt-br"")"),"A história de como George Jung, junto com o Mediellín Cartel, chefiado por Pablo Escobar, estabeleceu o mercado de cocaína americano na década de 1970 nos Estados Unidos.")</f>
        <v>A história de como George Jung, junto com o Mediellín Cartel, chefiado por Pablo Escobar, estabeleceu o mercado de cocaína americano na década de 1970 nos Estados Unidos.</v>
      </c>
      <c r="M951" s="1">
        <v>52.0</v>
      </c>
      <c r="N951" s="1" t="s">
        <v>5376</v>
      </c>
      <c r="O951" s="1" t="s">
        <v>2451</v>
      </c>
      <c r="P951" s="1" t="s">
        <v>4701</v>
      </c>
      <c r="Q951" s="1" t="s">
        <v>3204</v>
      </c>
      <c r="R951" s="1" t="s">
        <v>5377</v>
      </c>
      <c r="S951" s="1">
        <v>240714.0</v>
      </c>
      <c r="T951" s="7" t="str">
        <f>VLOOKUP(A951,Posters!A951:B1950,2)</f>
        <v>https://m.media-amazon.com/images/M/MV5BYjg5ZDkzZWEtZDQ2ZC00Y2ViLThhMzYtMmIxZDYzYTY2Y2Y2XkEyXkFqcGdeQXVyODAwMTU1MTE@._V1_UY98_CR1,0,67,98_AL_.jpg</v>
      </c>
      <c r="U951" s="8">
        <f>'Inflation Adjusted Gross'!F951</f>
        <v>78070150</v>
      </c>
      <c r="V951" s="5">
        <f t="shared" si="1"/>
        <v>2020</v>
      </c>
    </row>
    <row r="952">
      <c r="A952" s="1">
        <v>951.0</v>
      </c>
      <c r="B952" s="1" t="s">
        <v>5378</v>
      </c>
      <c r="C952" s="6">
        <f>Gross_cleaning!E952</f>
        <v>51401758</v>
      </c>
      <c r="D952" s="1">
        <v>2001.0</v>
      </c>
      <c r="E952" s="1" t="s">
        <v>18</v>
      </c>
      <c r="F952" s="1" t="str">
        <f>VLOOKUP(Filmes_raw!E952,Rating_systems!$A$2:$C$29,3,FALSE)</f>
        <v>Adulto</v>
      </c>
      <c r="G952" s="2">
        <f>Gross_cleaning!F952</f>
        <v>131</v>
      </c>
      <c r="H952" s="1" t="s">
        <v>686</v>
      </c>
      <c r="I952" s="1" t="s">
        <v>2661</v>
      </c>
      <c r="J952" s="1">
        <v>7.6</v>
      </c>
      <c r="K952" s="1" t="s">
        <v>5379</v>
      </c>
      <c r="L952" s="1" t="str">
        <f>IFERROR(__xludf.DUMMYFUNCTION("GOOGLETRANSLATE(K952,""en"", ""pt-br"")"),"Um russo e um atirador alemão jogar um jogo de gato e rato durante a batalha de Stalingrado.")</f>
        <v>Um russo e um atirador alemão jogar um jogo de gato e rato durante a batalha de Stalingrado.</v>
      </c>
      <c r="M952" s="1">
        <v>53.0</v>
      </c>
      <c r="N952" s="1" t="s">
        <v>4836</v>
      </c>
      <c r="O952" s="1" t="s">
        <v>3962</v>
      </c>
      <c r="P952" s="1" t="s">
        <v>1151</v>
      </c>
      <c r="Q952" s="1" t="s">
        <v>5380</v>
      </c>
      <c r="R952" s="1" t="s">
        <v>5381</v>
      </c>
      <c r="S952" s="1">
        <v>243729.0</v>
      </c>
      <c r="T952" s="7" t="str">
        <f>VLOOKUP(A952,Posters!A952:B1951,2)</f>
        <v>https://m.media-amazon.com/images/M/MV5BYWFlY2E3ODQtZWNiNi00ZGU4LTkzNWEtZTQ2ZTViMWRhYjIzL2ltYWdlXkEyXkFqcGdeQXVyNTAyODkwOQ@@._V1_UX67_CR0,0,67,98_AL_.jpg</v>
      </c>
      <c r="U952" s="8">
        <f>'Inflation Adjusted Gross'!F952</f>
        <v>75729086</v>
      </c>
      <c r="V952" s="5">
        <f t="shared" si="1"/>
        <v>2020</v>
      </c>
    </row>
    <row r="953">
      <c r="A953" s="1">
        <v>952.0</v>
      </c>
      <c r="B953" s="1" t="s">
        <v>5382</v>
      </c>
      <c r="C953" s="6">
        <f>Gross_cleaning!E953</f>
        <v>132072926</v>
      </c>
      <c r="D953" s="1">
        <v>2002.0</v>
      </c>
      <c r="E953" s="1" t="s">
        <v>18</v>
      </c>
      <c r="F953" s="1" t="str">
        <f>VLOOKUP(Filmes_raw!E953,Rating_systems!$A$2:$C$29,3,FALSE)</f>
        <v>Adulto</v>
      </c>
      <c r="G953" s="2">
        <f>Gross_cleaning!F953</f>
        <v>145</v>
      </c>
      <c r="H953" s="1" t="s">
        <v>1398</v>
      </c>
      <c r="I953" s="1" t="s">
        <v>5383</v>
      </c>
      <c r="J953" s="1">
        <v>7.6</v>
      </c>
      <c r="K953" s="1" t="s">
        <v>5384</v>
      </c>
      <c r="L953" s="1" t="str">
        <f>IFERROR(__xludf.DUMMYFUNCTION("GOOGLETRANSLATE(K953,""en"", ""pt-br"")"),"Em um futuro em que uma unidade de polícia especial é capaz de prender os assassinos antes de cometer seus crimes, um oficial dessa unidade é o próprio acusado de um assassinato futuro.")</f>
        <v>Em um futuro em que uma unidade de polícia especial é capaz de prender os assassinos antes de cometer seus crimes, um oficial dessa unidade é o próprio acusado de um assassinato futuro.</v>
      </c>
      <c r="M953" s="1">
        <v>80.0</v>
      </c>
      <c r="N953" s="1" t="s">
        <v>81</v>
      </c>
      <c r="O953" s="1" t="s">
        <v>2486</v>
      </c>
      <c r="P953" s="1" t="s">
        <v>3106</v>
      </c>
      <c r="Q953" s="1" t="s">
        <v>4544</v>
      </c>
      <c r="R953" s="1" t="s">
        <v>1309</v>
      </c>
      <c r="S953" s="1">
        <v>508417.0</v>
      </c>
      <c r="T953" s="7" t="str">
        <f>VLOOKUP(A953,Posters!A953:B1952,2)</f>
        <v>https://m.media-amazon.com/images/M/MV5BZTI3YzZjZjEtMDdjOC00OWVjLTk0YmYtYzI2MGMwZjFiMzBlXkEyXkFqcGdeQXVyMTQxNzMzNDI@._V1_UX67_CR0,0,67,98_AL_.jpg</v>
      </c>
      <c r="U953" s="8">
        <f>'Inflation Adjusted Gross'!F953</f>
        <v>192382749</v>
      </c>
      <c r="V953" s="5">
        <f t="shared" si="1"/>
        <v>2020</v>
      </c>
    </row>
    <row r="954">
      <c r="A954" s="1">
        <v>953.0</v>
      </c>
      <c r="B954" s="1" t="s">
        <v>5385</v>
      </c>
      <c r="C954" s="6">
        <f>Gross_cleaning!E954</f>
        <v>50668906</v>
      </c>
      <c r="D954" s="1">
        <v>1999.0</v>
      </c>
      <c r="E954" s="1" t="s">
        <v>212</v>
      </c>
      <c r="F954" s="1" t="str">
        <f>VLOOKUP(Filmes_raw!E954,Rating_systems!$A$2:$C$29,3,FALSE)</f>
        <v>Adulto</v>
      </c>
      <c r="G954" s="2">
        <f>Gross_cleaning!F954</f>
        <v>146</v>
      </c>
      <c r="H954" s="1" t="s">
        <v>136</v>
      </c>
      <c r="I954" s="1" t="s">
        <v>1020</v>
      </c>
      <c r="J954" s="1">
        <v>7.6</v>
      </c>
      <c r="K954" s="1" t="s">
        <v>5386</v>
      </c>
      <c r="L954" s="1" t="str">
        <f>IFERROR(__xludf.DUMMYFUNCTION("GOOGLETRANSLATE(K954,""en"", ""pt-br"")"),"A história de Rubin 'Hurricane' Carter, um boxeador erroneamente aprisionado por assassinato, e as pessoas que ajudaram em sua luta para provar sua inocência.")</f>
        <v>A história de Rubin 'Hurricane' Carter, um boxeador erroneamente aprisionado por assassinato, e as pessoas que ajudaram em sua luta para provar sua inocência.</v>
      </c>
      <c r="M954" s="1">
        <v>74.0</v>
      </c>
      <c r="N954" s="1" t="s">
        <v>2711</v>
      </c>
      <c r="O954" s="1" t="s">
        <v>3799</v>
      </c>
      <c r="P954" s="1" t="s">
        <v>5387</v>
      </c>
      <c r="Q954" s="1" t="s">
        <v>3967</v>
      </c>
      <c r="R954" s="1" t="s">
        <v>1519</v>
      </c>
      <c r="S954" s="1">
        <v>91557.0</v>
      </c>
      <c r="T954" s="7" t="str">
        <f>VLOOKUP(A954,Posters!A954:B1953,2)</f>
        <v>https://m.media-amazon.com/images/M/MV5BMTA3OTYxMzg0MDFeQTJeQWpwZ15BbWU4MDY1MjY0MTEx._V1_UX67_CR0,0,67,98_AL_.jpg</v>
      </c>
      <c r="U954" s="8">
        <f>'Inflation Adjusted Gross'!F954</f>
        <v>79556350</v>
      </c>
      <c r="V954" s="5">
        <f t="shared" si="1"/>
        <v>2020</v>
      </c>
    </row>
    <row r="955">
      <c r="A955" s="1">
        <v>954.0</v>
      </c>
      <c r="B955" s="1" t="s">
        <v>5388</v>
      </c>
      <c r="C955" s="6">
        <f>Gross_cleaning!E955</f>
        <v>15070285</v>
      </c>
      <c r="D955" s="1">
        <v>2000.0</v>
      </c>
      <c r="E955" s="1" t="s">
        <v>18</v>
      </c>
      <c r="F955" s="1" t="str">
        <f>VLOOKUP(Filmes_raw!E955,Rating_systems!$A$2:$C$29,3,FALSE)</f>
        <v>Adulto</v>
      </c>
      <c r="G955" s="2">
        <f>Gross_cleaning!F955</f>
        <v>101</v>
      </c>
      <c r="H955" s="1" t="s">
        <v>535</v>
      </c>
      <c r="I955" s="1" t="s">
        <v>831</v>
      </c>
      <c r="J955" s="1">
        <v>7.6</v>
      </c>
      <c r="K955" s="1" t="s">
        <v>5389</v>
      </c>
      <c r="L955" s="1" t="str">
        <f>IFERROR(__xludf.DUMMYFUNCTION("GOOGLETRANSLATE(K955,""en"", ""pt-br"")"),"Um rico executivo bancário de investimento em Nova York, Patrick Bateman, esconde seu ego psicopático alternativo de seus colegas de trabalho e amigos enquanto ele se delicia mais profundamente em suas fantasias violentas e hedonistas.")</f>
        <v>Um rico executivo bancário de investimento em Nova York, Patrick Bateman, esconde seu ego psicopático alternativo de seus colegas de trabalho e amigos enquanto ele se delicia mais profundamente em suas fantasias violentas e hedonistas.</v>
      </c>
      <c r="M955" s="1">
        <v>64.0</v>
      </c>
      <c r="N955" s="1" t="s">
        <v>5390</v>
      </c>
      <c r="O955" s="1" t="s">
        <v>42</v>
      </c>
      <c r="P955" s="1" t="s">
        <v>3223</v>
      </c>
      <c r="Q955" s="1" t="s">
        <v>5391</v>
      </c>
      <c r="R955" s="1" t="s">
        <v>5392</v>
      </c>
      <c r="S955" s="1">
        <v>490062.0</v>
      </c>
      <c r="T955" s="7" t="str">
        <f>VLOOKUP(A955,Posters!A955:B1954,2)</f>
        <v>https://m.media-amazon.com/images/M/MV5BZTM2ZGJmNjQtN2UyOS00NjcxLWFjMDktMDE2NzMyNTZlZTBiXkEyXkFqcGdeQXVyNzkwMjQ5NzM@._V1_UX67_CR0,0,67,98_AL_.jpg</v>
      </c>
      <c r="U955" s="8">
        <f>'Inflation Adjusted Gross'!F955</f>
        <v>23031377</v>
      </c>
      <c r="V955" s="5">
        <f t="shared" si="1"/>
        <v>2020</v>
      </c>
    </row>
    <row r="956">
      <c r="A956" s="1">
        <v>955.0</v>
      </c>
      <c r="B956" s="1" t="s">
        <v>5393</v>
      </c>
      <c r="C956" s="6">
        <f>Gross_cleaning!E956</f>
        <v>7267585</v>
      </c>
      <c r="D956" s="1">
        <v>1998.0</v>
      </c>
      <c r="E956" s="1" t="s">
        <v>37</v>
      </c>
      <c r="F956" s="1" t="str">
        <f>VLOOKUP(Filmes_raw!E956,Rating_systems!$A$2:$C$29,3,FALSE)</f>
        <v>Criança</v>
      </c>
      <c r="G956" s="2">
        <f>Gross_cleaning!F956</f>
        <v>81</v>
      </c>
      <c r="H956" s="1" t="s">
        <v>764</v>
      </c>
      <c r="I956" s="1" t="s">
        <v>241</v>
      </c>
      <c r="J956" s="1">
        <v>7.6</v>
      </c>
      <c r="K956" s="1" t="s">
        <v>5394</v>
      </c>
      <c r="L956" s="1" t="str">
        <f>IFERROR(__xludf.DUMMYFUNCTION("GOOGLETRANSLATE(K956,""en"", ""pt-br"")"),"Depois de uma entrega de dinheiro fracassado, a Lola tem 20 minutos para chegar a 100.000 deutschoks.")</f>
        <v>Depois de uma entrega de dinheiro fracassado, a Lola tem 20 minutos para chegar a 100.000 deutschoks.</v>
      </c>
      <c r="M956" s="1">
        <v>77.0</v>
      </c>
      <c r="N956" s="1" t="s">
        <v>5395</v>
      </c>
      <c r="O956" s="1" t="s">
        <v>3204</v>
      </c>
      <c r="P956" s="1" t="s">
        <v>2530</v>
      </c>
      <c r="Q956" s="1" t="s">
        <v>5396</v>
      </c>
      <c r="R956" s="1" t="s">
        <v>5397</v>
      </c>
      <c r="S956" s="1">
        <v>188317.0</v>
      </c>
      <c r="T956" s="7" t="str">
        <f>VLOOKUP(A956,Posters!A956:B1955,2)</f>
        <v>https://m.media-amazon.com/images/M/MV5BMmU5ZjFmYjQtYmNjZC00Yjk4LWI1ZTQtZDJiMjM0YjQyNDU0L2ltYWdlL2ltYWdlXkEyXkFqcGdeQXVyMTQxNzMzNDI@._V1_UX67_CR0,0,67,98_AL_.jpg</v>
      </c>
      <c r="U956" s="8">
        <f>'Inflation Adjusted Gross'!F956</f>
        <v>11601647</v>
      </c>
      <c r="V956" s="5">
        <f t="shared" si="1"/>
        <v>2020</v>
      </c>
    </row>
    <row r="957">
      <c r="A957" s="1">
        <v>956.0</v>
      </c>
      <c r="B957" s="1" t="s">
        <v>5398</v>
      </c>
      <c r="C957" s="6">
        <f>Gross_cleaning!E957</f>
        <v>36400491</v>
      </c>
      <c r="D957" s="1">
        <v>1998.0</v>
      </c>
      <c r="E957" s="1" t="s">
        <v>18</v>
      </c>
      <c r="F957" s="1" t="str">
        <f>VLOOKUP(Filmes_raw!E957,Rating_systems!$A$2:$C$29,3,FALSE)</f>
        <v>Adulto</v>
      </c>
      <c r="G957" s="2">
        <f>Gross_cleaning!F957</f>
        <v>170</v>
      </c>
      <c r="H957" s="1" t="s">
        <v>506</v>
      </c>
      <c r="I957" s="1" t="s">
        <v>213</v>
      </c>
      <c r="J957" s="1">
        <v>7.6</v>
      </c>
      <c r="K957" s="1" t="s">
        <v>5399</v>
      </c>
      <c r="L957" s="1" t="str">
        <f>IFERROR(__xludf.DUMMYFUNCTION("GOOGLETRANSLATE(K957,""en"", ""pt-br"")"),"Adaptação do romance autobiográfico de James Jones ', concentrando-se no conflito em guadalcanal durante a Segunda Guerra Mundial.")</f>
        <v>Adaptação do romance autobiográfico de James Jones ', concentrando-se no conflito em guadalcanal durante a Segunda Guerra Mundial.</v>
      </c>
      <c r="M957" s="1">
        <v>78.0</v>
      </c>
      <c r="N957" s="1" t="s">
        <v>4140</v>
      </c>
      <c r="O957" s="1" t="s">
        <v>3896</v>
      </c>
      <c r="P957" s="1" t="s">
        <v>1605</v>
      </c>
      <c r="Q957" s="1" t="s">
        <v>1063</v>
      </c>
      <c r="R957" s="1" t="s">
        <v>5400</v>
      </c>
      <c r="S957" s="1">
        <v>172710.0</v>
      </c>
      <c r="T957" s="7" t="str">
        <f>VLOOKUP(A957,Posters!A957:B1956,2)</f>
        <v>https://m.media-amazon.com/images/M/MV5BYjEzMTM2NjAtNWFmZC00MTVlLTgyMmQtMGQyNTFjZDk5N2NmXkEyXkFqcGdeQXVyNzQ1ODk3MTQ@._V1_UX67_CR0,0,67,98_AL_.jpg</v>
      </c>
      <c r="U957" s="8">
        <f>'Inflation Adjusted Gross'!F957</f>
        <v>58108113</v>
      </c>
      <c r="V957" s="5">
        <f t="shared" si="1"/>
        <v>2020</v>
      </c>
    </row>
    <row r="958">
      <c r="A958" s="1">
        <v>957.0</v>
      </c>
      <c r="B958" s="1" t="s">
        <v>5401</v>
      </c>
      <c r="C958" s="6">
        <f>Gross_cleaning!E958</f>
        <v>120620254</v>
      </c>
      <c r="D958" s="1">
        <v>1998.0</v>
      </c>
      <c r="E958" s="1" t="s">
        <v>52</v>
      </c>
      <c r="F958" s="1" t="str">
        <f>VLOOKUP(Filmes_raw!E958,Rating_systems!$A$2:$C$29,3,FALSE)</f>
        <v>Criança</v>
      </c>
      <c r="G958" s="2">
        <f>Gross_cleaning!F958</f>
        <v>88</v>
      </c>
      <c r="H958" s="1" t="s">
        <v>351</v>
      </c>
      <c r="I958" s="1" t="s">
        <v>204</v>
      </c>
      <c r="J958" s="1">
        <v>7.6</v>
      </c>
      <c r="K958" s="1" t="s">
        <v>5402</v>
      </c>
      <c r="L958" s="1" t="str">
        <f>IFERROR(__xludf.DUMMYFUNCTION("GOOGLETRANSLATE(K958,""en"", ""pt-br"")"),"Para salvar seu pai da morte no exército, uma jovem solta secretamente vai em seu lugar e se torna uma das maiores heroínas da China no processo.")</f>
        <v>Para salvar seu pai da morte no exército, uma jovem solta secretamente vai em seu lugar e se torna uma das maiores heroínas da China no processo.</v>
      </c>
      <c r="M958" s="1">
        <v>71.0</v>
      </c>
      <c r="N958" s="1" t="s">
        <v>5403</v>
      </c>
      <c r="O958" s="1" t="s">
        <v>5404</v>
      </c>
      <c r="P958" s="1" t="s">
        <v>5405</v>
      </c>
      <c r="Q958" s="1" t="s">
        <v>3945</v>
      </c>
      <c r="R958" s="1" t="s">
        <v>5406</v>
      </c>
      <c r="S958" s="1">
        <v>256906.0</v>
      </c>
      <c r="T958" s="7" t="str">
        <f>VLOOKUP(A958,Posters!A958:B1957,2)</f>
        <v>https://m.media-amazon.com/images/M/MV5BODkxNGQ1NWYtNzg0Ny00Yjg3LThmZTItMjE2YjhmZTQ0ODY5XkEyXkFqcGdeQXVyMTQxNzMzNDI@._V1_UX67_CR0,0,67,98_AL_.jpg</v>
      </c>
      <c r="U958" s="8">
        <f>'Inflation Adjusted Gross'!F958</f>
        <v>192552770</v>
      </c>
      <c r="V958" s="5">
        <f t="shared" si="1"/>
        <v>2020</v>
      </c>
    </row>
    <row r="959">
      <c r="A959" s="1">
        <v>958.0</v>
      </c>
      <c r="B959" s="1" t="s">
        <v>5407</v>
      </c>
      <c r="C959" s="6">
        <f>Gross_cleaning!E959</f>
        <v>10680275</v>
      </c>
      <c r="D959" s="1">
        <v>1998.0</v>
      </c>
      <c r="E959" s="1" t="s">
        <v>212</v>
      </c>
      <c r="F959" s="1" t="str">
        <f>VLOOKUP(Filmes_raw!E959,Rating_systems!$A$2:$C$29,3,FALSE)</f>
        <v>Adulto</v>
      </c>
      <c r="G959" s="2">
        <f>Gross_cleaning!F959</f>
        <v>118</v>
      </c>
      <c r="H959" s="1" t="s">
        <v>240</v>
      </c>
      <c r="I959" s="1" t="s">
        <v>1004</v>
      </c>
      <c r="J959" s="1">
        <v>7.6</v>
      </c>
      <c r="K959" s="1" t="s">
        <v>5408</v>
      </c>
      <c r="L959" s="1" t="str">
        <f>IFERROR(__xludf.DUMMYFUNCTION("GOOGLETRANSLATE(K959,""en"", ""pt-br"")"),"Um jornalista excêntrico e seu advogado psicopático viajar para Las Vegas para uma série de escapadas psicodélicas.")</f>
        <v>Um jornalista excêntrico e seu advogado psicopático viajar para Las Vegas para uma série de escapadas psicodélicas.</v>
      </c>
      <c r="M959" s="1">
        <v>41.0</v>
      </c>
      <c r="N959" s="1" t="s">
        <v>1262</v>
      </c>
      <c r="O959" s="1" t="s">
        <v>2451</v>
      </c>
      <c r="P959" s="1" t="s">
        <v>735</v>
      </c>
      <c r="Q959" s="1" t="s">
        <v>5409</v>
      </c>
      <c r="R959" s="1" t="s">
        <v>5410</v>
      </c>
      <c r="S959" s="1">
        <v>259753.0</v>
      </c>
      <c r="T959" s="7" t="str">
        <f>VLOOKUP(A959,Posters!A959:B1958,2)</f>
        <v>https://m.media-amazon.com/images/M/MV5BNjA2ZDY3ZjYtZmNiMC00MDU5LTgxMWEtNzk1YmI3NzdkMTU0XkEyXkFqcGdeQXVyNjQyMjcwNDM@._V1_UX67_CR0,0,67,98_AL_.jpg</v>
      </c>
      <c r="U959" s="8">
        <f>'Inflation Adjusted Gross'!F959</f>
        <v>17049513</v>
      </c>
      <c r="V959" s="5">
        <f t="shared" si="1"/>
        <v>2020</v>
      </c>
    </row>
    <row r="960">
      <c r="A960" s="1">
        <v>959.0</v>
      </c>
      <c r="B960" s="1" t="s">
        <v>5411</v>
      </c>
      <c r="C960" s="6">
        <f>Gross_cleaning!E960</f>
        <v>1294919</v>
      </c>
      <c r="D960" s="1">
        <v>1997.0</v>
      </c>
      <c r="E960" s="1" t="s">
        <v>18</v>
      </c>
      <c r="F960" s="1" t="str">
        <f>VLOOKUP(Filmes_raw!E960,Rating_systems!$A$2:$C$29,3,FALSE)</f>
        <v>Adulto</v>
      </c>
      <c r="G960" s="2">
        <f>Gross_cleaning!F960</f>
        <v>108</v>
      </c>
      <c r="H960" s="1" t="s">
        <v>714</v>
      </c>
      <c r="I960" s="1" t="s">
        <v>241</v>
      </c>
      <c r="J960" s="1">
        <v>7.6</v>
      </c>
      <c r="K960" s="1" t="s">
        <v>5412</v>
      </c>
      <c r="L960" s="1" t="str">
        <f>IFERROR(__xludf.DUMMYFUNCTION("GOOGLETRANSLATE(K960,""en"", ""pt-br"")"),"Dois jovens violentos tomam uma mãe, pai e filho refém em sua cabana de férias e as forçam a jogar ""jogos"" sádicos um ao outro por sua própria diversão.")</f>
        <v>Dois jovens violentos tomam uma mãe, pai e filho refém em sua cabana de férias e as forçam a jogar "jogos" sádicos um ao outro por sua própria diversão.</v>
      </c>
      <c r="M960" s="1">
        <v>69.0</v>
      </c>
      <c r="N960" s="1" t="s">
        <v>3042</v>
      </c>
      <c r="O960" s="1" t="s">
        <v>5413</v>
      </c>
      <c r="P960" s="1" t="s">
        <v>530</v>
      </c>
      <c r="Q960" s="1" t="s">
        <v>5414</v>
      </c>
      <c r="R960" s="1" t="s">
        <v>5415</v>
      </c>
      <c r="S960" s="1">
        <v>65058.0</v>
      </c>
      <c r="T960" s="7" t="str">
        <f>VLOOKUP(A960,Posters!A960:B1959,2)</f>
        <v>https://m.media-amazon.com/images/M/MV5BMTkyNTAzZDYtNWUzYi00ODVjLTliZjYtNjc2YzJmODZhNTg3XkEyXkFqcGdeQXVyNjUxMDQ0MTg@._V1_UY98_CR6,0,67,98_AL_.jpg</v>
      </c>
      <c r="U960" s="8">
        <f>'Inflation Adjusted Gross'!F960</f>
        <v>2099633</v>
      </c>
      <c r="V960" s="5">
        <f t="shared" si="1"/>
        <v>2020</v>
      </c>
    </row>
    <row r="961">
      <c r="A961" s="1">
        <v>960.0</v>
      </c>
      <c r="B961" s="1" t="s">
        <v>5416</v>
      </c>
      <c r="C961" s="6">
        <f>Gross_cleaning!E961</f>
        <v>14378331</v>
      </c>
      <c r="D961" s="1">
        <v>1998.0</v>
      </c>
      <c r="E961" s="1" t="s">
        <v>18</v>
      </c>
      <c r="F961" s="1" t="str">
        <f>VLOOKUP(Filmes_raw!E961,Rating_systems!$A$2:$C$29,3,FALSE)</f>
        <v>Adulto</v>
      </c>
      <c r="G961" s="2">
        <f>Gross_cleaning!F961</f>
        <v>100</v>
      </c>
      <c r="H961" s="1" t="s">
        <v>1439</v>
      </c>
      <c r="I961" s="1" t="s">
        <v>2545</v>
      </c>
      <c r="J961" s="1">
        <v>7.6</v>
      </c>
      <c r="K961" s="1" t="s">
        <v>5417</v>
      </c>
      <c r="L961" s="1" t="str">
        <f>IFERROR(__xludf.DUMMYFUNCTION("GOOGLETRANSLATE(K961,""en"", ""pt-br"")"),"Um homem se esforça com memórias de seu passado, que incluem uma esposa que ele não consegue se lembrar e um mundo de pesadelo que ninguém mais parece acordar.")</f>
        <v>Um homem se esforça com memórias de seu passado, que incluem uma esposa que ele não consegue se lembrar e um mundo de pesadelo que ninguém mais parece acordar.</v>
      </c>
      <c r="M961" s="1">
        <v>66.0</v>
      </c>
      <c r="N961" s="1" t="s">
        <v>5418</v>
      </c>
      <c r="O961" s="1" t="s">
        <v>5274</v>
      </c>
      <c r="P961" s="1" t="s">
        <v>5419</v>
      </c>
      <c r="Q961" s="1" t="s">
        <v>742</v>
      </c>
      <c r="R961" s="1" t="s">
        <v>5420</v>
      </c>
      <c r="S961" s="1">
        <v>187927.0</v>
      </c>
      <c r="T961" s="7" t="str">
        <f>VLOOKUP(A961,Posters!A961:B1960,2)</f>
        <v>https://m.media-amazon.com/images/M/MV5BMGExOGExM2UtNWM5ZS00OWEzLTllNzYtM2NlMTJlYjBlZTJkXkEyXkFqcGdeQXVyMTQxNzMzNDI@._V1_UX67_CR0,0,67,98_AL_.jpg</v>
      </c>
      <c r="U961" s="8">
        <f>'Inflation Adjusted Gross'!F961</f>
        <v>22952923</v>
      </c>
      <c r="V961" s="5">
        <f t="shared" si="1"/>
        <v>2020</v>
      </c>
    </row>
    <row r="962">
      <c r="A962" s="1">
        <v>961.0</v>
      </c>
      <c r="B962" s="1" t="s">
        <v>5421</v>
      </c>
      <c r="C962" s="6">
        <f>Gross_cleaning!E962</f>
        <v>49100000</v>
      </c>
      <c r="D962" s="1">
        <v>1996.0</v>
      </c>
      <c r="E962" s="1" t="s">
        <v>37</v>
      </c>
      <c r="F962" s="1" t="str">
        <f>VLOOKUP(Filmes_raw!E962,Rating_systems!$A$2:$C$29,3,FALSE)</f>
        <v>Criança</v>
      </c>
      <c r="G962" s="2">
        <f>Gross_cleaning!F962</f>
        <v>147</v>
      </c>
      <c r="H962" s="1" t="s">
        <v>443</v>
      </c>
      <c r="I962" s="1" t="s">
        <v>241</v>
      </c>
      <c r="J962" s="1">
        <v>7.6</v>
      </c>
      <c r="K962" s="1" t="s">
        <v>5422</v>
      </c>
      <c r="L962" s="1" t="str">
        <f>IFERROR(__xludf.DUMMYFUNCTION("GOOGLETRANSLATE(K962,""en"", ""pt-br"")"),"Depois que uma brincadeira vai desastrosamente errada, um grupo de meninos é enviado para um centro de detenção onde eles são brutalizados. Treze anos depois, um inesperado encontro aleatório com uma antiga guarda lhes dá uma chance de vingança.")</f>
        <v>Depois que uma brincadeira vai desastrosamente errada, um grupo de meninos é enviado para um centro de detenção onde eles são brutalizados. Treze anos depois, um inesperado encontro aleatório com uma antiga guarda lhes dá uma chance de vingança.</v>
      </c>
      <c r="M962" s="1">
        <v>49.0</v>
      </c>
      <c r="N962" s="1" t="s">
        <v>2617</v>
      </c>
      <c r="O962" s="1" t="s">
        <v>49</v>
      </c>
      <c r="P962" s="1" t="s">
        <v>3171</v>
      </c>
      <c r="Q962" s="1" t="s">
        <v>98</v>
      </c>
      <c r="R962" s="1" t="s">
        <v>5423</v>
      </c>
      <c r="S962" s="1">
        <v>186734.0</v>
      </c>
      <c r="T962" s="7" t="str">
        <f>VLOOKUP(A962,Posters!A962:B1961,2)</f>
        <v>https://m.media-amazon.com/images/M/MV5BMzk1MmI4NzAtOGRiNS00YjY1LTllNmEtZDhiZDM4MjU2NTMxXkEyXkFqcGdeQXVyNjc3MjQzNTI@._V1_UY98_CR1,0,67,98_AL_.jpg</v>
      </c>
      <c r="U962" s="8">
        <f>'Inflation Adjusted Gross'!F962</f>
        <v>82036115</v>
      </c>
      <c r="V962" s="5">
        <f t="shared" si="1"/>
        <v>2020</v>
      </c>
    </row>
    <row r="963">
      <c r="A963" s="1">
        <v>962.0</v>
      </c>
      <c r="B963" s="1" t="s">
        <v>5424</v>
      </c>
      <c r="C963" s="6">
        <f>Gross_cleaning!E963</f>
        <v>3796699</v>
      </c>
      <c r="D963" s="1">
        <v>1997.0</v>
      </c>
      <c r="E963" s="1" t="s">
        <v>18</v>
      </c>
      <c r="F963" s="1" t="str">
        <f>VLOOKUP(Filmes_raw!E963,Rating_systems!$A$2:$C$29,3,FALSE)</f>
        <v>Adulto</v>
      </c>
      <c r="G963" s="2">
        <f>Gross_cleaning!F963</f>
        <v>134</v>
      </c>
      <c r="H963" s="1" t="s">
        <v>550</v>
      </c>
      <c r="I963" s="1" t="s">
        <v>544</v>
      </c>
      <c r="J963" s="1">
        <v>7.6</v>
      </c>
      <c r="K963" s="1" t="s">
        <v>5425</v>
      </c>
      <c r="L963" s="1" t="str">
        <f>IFERROR(__xludf.DUMMYFUNCTION("GOOGLETRANSLATE(K963,""en"", ""pt-br"")"),"Os vídeos anônimos presenciam a convicção de assassinato de um músico, e a namorada de um gangster leva um mecânico.")</f>
        <v>Os vídeos anônimos presenciam a convicção de assassinato de um músico, e a namorada de um gangster leva um mecânico.</v>
      </c>
      <c r="M963" s="1">
        <v>52.0</v>
      </c>
      <c r="N963" s="1" t="s">
        <v>1878</v>
      </c>
      <c r="O963" s="1" t="s">
        <v>5049</v>
      </c>
      <c r="P963" s="1" t="s">
        <v>3089</v>
      </c>
      <c r="Q963" s="1" t="s">
        <v>5426</v>
      </c>
      <c r="R963" s="1" t="s">
        <v>5427</v>
      </c>
      <c r="S963" s="1">
        <v>131101.0</v>
      </c>
      <c r="T963" s="7" t="str">
        <f>VLOOKUP(A963,Posters!A963:B1962,2)</f>
        <v>https://m.media-amazon.com/images/M/MV5BYWUxOWY4NDctMDFmMS00ZTQwLWExMGEtODg0ZWNhOTE5NzZmXkEyXkFqcGdeQXVyMTQxNzMzNDI@._V1_UY98_CR0,0,67,98_AL_.jpg</v>
      </c>
      <c r="U963" s="8">
        <f>'Inflation Adjusted Gross'!F963</f>
        <v>6156117</v>
      </c>
      <c r="V963" s="5">
        <f t="shared" si="1"/>
        <v>2020</v>
      </c>
    </row>
    <row r="964">
      <c r="A964" s="1">
        <v>963.0</v>
      </c>
      <c r="B964" s="1" t="s">
        <v>5428</v>
      </c>
      <c r="C964" s="6">
        <f>Gross_cleaning!E964</f>
        <v>43182776</v>
      </c>
      <c r="D964" s="1">
        <v>1995.0</v>
      </c>
      <c r="E964" s="1" t="s">
        <v>52</v>
      </c>
      <c r="F964" s="1" t="str">
        <f>VLOOKUP(Filmes_raw!E964,Rating_systems!$A$2:$C$29,3,FALSE)</f>
        <v>Criança</v>
      </c>
      <c r="G964" s="2">
        <f>Gross_cleaning!F964</f>
        <v>136</v>
      </c>
      <c r="H964" s="1" t="s">
        <v>127</v>
      </c>
      <c r="I964" s="1" t="s">
        <v>107</v>
      </c>
      <c r="J964" s="1">
        <v>7.6</v>
      </c>
      <c r="K964" s="1" t="s">
        <v>5429</v>
      </c>
      <c r="L964" s="1" t="str">
        <f>IFERROR(__xludf.DUMMYFUNCTION("GOOGLETRANSLATE(K964,""en"", ""pt-br"")"),"Rich Dashwood morre, deixando sua segunda esposa e suas três filhas pobres pelas regras de herança. As duas filhas mais elidas são o título de opostos.")</f>
        <v>Rich Dashwood morre, deixando sua segunda esposa e suas três filhas pobres pelas regras de herança. As duas filhas mais elidas são o título de opostos.</v>
      </c>
      <c r="M964" s="1">
        <v>84.0</v>
      </c>
      <c r="N964" s="1" t="s">
        <v>3130</v>
      </c>
      <c r="O964" s="1" t="s">
        <v>3994</v>
      </c>
      <c r="P964" s="1" t="s">
        <v>719</v>
      </c>
      <c r="Q964" s="1" t="s">
        <v>5430</v>
      </c>
      <c r="R964" s="1" t="s">
        <v>720</v>
      </c>
      <c r="S964" s="1">
        <v>102598.0</v>
      </c>
      <c r="T964" s="7" t="str">
        <f>VLOOKUP(A964,Posters!A964:B1963,2)</f>
        <v>https://m.media-amazon.com/images/M/MV5BNzk1MjU3MDQyMl5BMl5BanBnXkFtZTcwNjc1OTM2MQ@@._V1_UX67_CR0,0,67,98_AL_.jpg</v>
      </c>
      <c r="U964" s="8">
        <f>'Inflation Adjusted Gross'!F964</f>
        <v>74117791</v>
      </c>
      <c r="V964" s="5">
        <f t="shared" si="1"/>
        <v>2020</v>
      </c>
    </row>
    <row r="965">
      <c r="A965" s="1">
        <v>964.0</v>
      </c>
      <c r="B965" s="1" t="s">
        <v>5431</v>
      </c>
      <c r="C965" s="6">
        <f>Gross_cleaning!E965</f>
        <v>100012499</v>
      </c>
      <c r="D965" s="1">
        <v>1995.0</v>
      </c>
      <c r="E965" s="1" t="s">
        <v>18</v>
      </c>
      <c r="F965" s="1" t="str">
        <f>VLOOKUP(Filmes_raw!E965,Rating_systems!$A$2:$C$29,3,FALSE)</f>
        <v>Adulto</v>
      </c>
      <c r="G965" s="2">
        <f>Gross_cleaning!F965</f>
        <v>128</v>
      </c>
      <c r="H965" s="1" t="s">
        <v>878</v>
      </c>
      <c r="I965" s="1" t="s">
        <v>2406</v>
      </c>
      <c r="J965" s="1">
        <v>7.6</v>
      </c>
      <c r="K965" s="1" t="s">
        <v>5432</v>
      </c>
      <c r="L965" s="1" t="str">
        <f>IFERROR(__xludf.DUMMYFUNCTION("GOOGLETRANSLATE(K965,""en"", ""pt-br"")"),"John McClane e um dono da loja Harlem são direcionados pelo terrorista alemão Simon em Nova York, onde planeja roubar o prédio da Reserva Federal.")</f>
        <v>John McClane e um dono da loja Harlem são direcionados pelo terrorista alemão Simon em Nova York, onde planeja roubar o prédio da Reserva Federal.</v>
      </c>
      <c r="M965" s="1">
        <v>58.0</v>
      </c>
      <c r="N965" s="1" t="s">
        <v>1216</v>
      </c>
      <c r="O965" s="1" t="s">
        <v>76</v>
      </c>
      <c r="P965" s="1" t="s">
        <v>357</v>
      </c>
      <c r="Q965" s="1" t="s">
        <v>75</v>
      </c>
      <c r="R965" s="1" t="s">
        <v>2607</v>
      </c>
      <c r="S965" s="1">
        <v>364420.0</v>
      </c>
      <c r="T965" s="7" t="str">
        <f>VLOOKUP(A965,Posters!A965:B1964,2)</f>
        <v>https://m.media-amazon.com/images/M/MV5BZjI0ZWFiMmQtMjRlZi00ZmFhLWI4NmYtMjQ5YmY0MzIyMzRiXkEyXkFqcGdeQXVyMTQxNzMzNDI@._V1_UX67_CR0,0,67,98_AL_.jpg</v>
      </c>
      <c r="U965" s="8">
        <f>'Inflation Adjusted Gross'!F965</f>
        <v>171658845</v>
      </c>
      <c r="V965" s="5">
        <f t="shared" si="1"/>
        <v>2020</v>
      </c>
    </row>
    <row r="966">
      <c r="A966" s="1">
        <v>965.0</v>
      </c>
      <c r="B966" s="1" t="s">
        <v>5433</v>
      </c>
      <c r="C966" s="6">
        <f>Gross_cleaning!E966</f>
        <v>1037847</v>
      </c>
      <c r="D966" s="1">
        <v>1995.0</v>
      </c>
      <c r="E966" s="1" t="s">
        <v>212</v>
      </c>
      <c r="F966" s="1" t="str">
        <f>VLOOKUP(Filmes_raw!E966,Rating_systems!$A$2:$C$29,3,FALSE)</f>
        <v>Adulto</v>
      </c>
      <c r="G966" s="2">
        <f>Gross_cleaning!F966</f>
        <v>121</v>
      </c>
      <c r="H966" s="1" t="s">
        <v>249</v>
      </c>
      <c r="I966" s="1" t="s">
        <v>1565</v>
      </c>
      <c r="J966" s="1">
        <v>7.6</v>
      </c>
      <c r="K966" s="1" t="s">
        <v>5434</v>
      </c>
      <c r="L966" s="1" t="str">
        <f>IFERROR(__xludf.DUMMYFUNCTION("GOOGLETRANSLATE(K966,""en"", ""pt-br"")"),"Na corrida depois de assassinar um homem, o contador William Blake encontra um estranho homem americano aborígene chamado ninguém que o prepara para sua jornada no mundo espiritual.")</f>
        <v>Na corrida depois de assassinar um homem, o contador William Blake encontra um estranho homem americano aborígene chamado ninguém que o prepara para sua jornada no mundo espiritual.</v>
      </c>
      <c r="M966" s="1">
        <v>62.0</v>
      </c>
      <c r="N966" s="1" t="s">
        <v>4023</v>
      </c>
      <c r="O966" s="1" t="s">
        <v>2451</v>
      </c>
      <c r="P966" s="1" t="s">
        <v>5435</v>
      </c>
      <c r="Q966" s="1" t="s">
        <v>388</v>
      </c>
      <c r="R966" s="1" t="s">
        <v>5436</v>
      </c>
      <c r="S966" s="1">
        <v>90442.0</v>
      </c>
      <c r="T966" s="7" t="str">
        <f>VLOOKUP(A966,Posters!A966:B1965,2)</f>
        <v>https://m.media-amazon.com/images/M/MV5BYTJlZmQ1OTAtODQzZi00NGIzLWI1MmEtZGE4NjFlOWRhODIyXkEyXkFqcGdeQXVyNTc1NTQxODI@._V1_UY98_CR0,0,67,98_AL_.jpg</v>
      </c>
      <c r="U966" s="8">
        <f>'Inflation Adjusted Gross'!F966</f>
        <v>1781334</v>
      </c>
      <c r="V966" s="5">
        <f t="shared" si="1"/>
        <v>2020</v>
      </c>
    </row>
    <row r="967">
      <c r="A967" s="1">
        <v>966.0</v>
      </c>
      <c r="B967" s="1" t="s">
        <v>5437</v>
      </c>
      <c r="C967" s="6">
        <f>Gross_cleaning!E967</f>
        <v>71516617</v>
      </c>
      <c r="D967" s="1">
        <v>1995.0</v>
      </c>
      <c r="E967" s="1" t="s">
        <v>18</v>
      </c>
      <c r="F967" s="1" t="str">
        <f>VLOOKUP(Filmes_raw!E967,Rating_systems!$A$2:$C$29,3,FALSE)</f>
        <v>Adulto</v>
      </c>
      <c r="G967" s="2">
        <f>Gross_cleaning!F967</f>
        <v>135</v>
      </c>
      <c r="H967" s="1" t="s">
        <v>1044</v>
      </c>
      <c r="I967" s="1" t="s">
        <v>107</v>
      </c>
      <c r="J967" s="1">
        <v>7.6</v>
      </c>
      <c r="K967" s="1" t="s">
        <v>5438</v>
      </c>
      <c r="L967" s="1" t="str">
        <f>IFERROR(__xludf.DUMMYFUNCTION("GOOGLETRANSLATE(K967,""en"", ""pt-br"")"),"Fotógrafo Robert Kincaid Wanders na vida da Dona de casa Francesca Johnson por quatro dias na década de 1960.")</f>
        <v>Fotógrafo Robert Kincaid Wanders na vida da Dona de casa Francesca Johnson por quatro dias na década de 1960.</v>
      </c>
      <c r="M967" s="1">
        <v>69.0</v>
      </c>
      <c r="N967" s="1" t="s">
        <v>119</v>
      </c>
      <c r="O967" s="1" t="s">
        <v>119</v>
      </c>
      <c r="P967" s="1" t="s">
        <v>3136</v>
      </c>
      <c r="Q967" s="1" t="s">
        <v>5439</v>
      </c>
      <c r="R967" s="1" t="s">
        <v>5440</v>
      </c>
      <c r="S967" s="1">
        <v>73172.0</v>
      </c>
      <c r="T967" s="7" t="str">
        <f>VLOOKUP(A967,Posters!A967:B1966,2)</f>
        <v>https://m.media-amazon.com/images/M/MV5BNmRiZDZkN2EtNWI5ZS00ZDg3LTgyNDItMWI5NjVlNmE5ODJiXkEyXkFqcGdeQXVyMjQwMjk0NjI@._V1_UX67_CR0,0,67,98_AL_.jpg</v>
      </c>
      <c r="U967" s="8">
        <f>'Inflation Adjusted Gross'!F967</f>
        <v>122749256</v>
      </c>
      <c r="V967" s="5">
        <f t="shared" si="1"/>
        <v>2020</v>
      </c>
    </row>
    <row r="968">
      <c r="A968" s="1">
        <v>967.0</v>
      </c>
      <c r="B968" s="1" t="s">
        <v>5441</v>
      </c>
      <c r="C968" s="6">
        <f>Gross_cleaning!E968</f>
        <v>173837933</v>
      </c>
      <c r="D968" s="1">
        <v>1970.0</v>
      </c>
      <c r="E968" s="1" t="s">
        <v>52</v>
      </c>
      <c r="F968" s="1" t="str">
        <f>VLOOKUP(Filmes_raw!E968,Rating_systems!$A$2:$C$29,3,FALSE)</f>
        <v>Criança</v>
      </c>
      <c r="G968" s="2">
        <f>Gross_cleaning!F968</f>
        <v>140</v>
      </c>
      <c r="H968" s="1" t="s">
        <v>1059</v>
      </c>
      <c r="I968" s="1" t="s">
        <v>1269</v>
      </c>
      <c r="J968" s="1">
        <v>7.6</v>
      </c>
      <c r="K968" s="1" t="s">
        <v>5442</v>
      </c>
      <c r="L968" s="1" t="str">
        <f>IFERROR(__xludf.DUMMYFUNCTION("GOOGLETRANSLATE(K968,""en"", ""pt-br"")"),"A NASA deve conceber uma estratégia para retornar Apolo 13 à Terra com segurança após a espaçonave sofrer dano interno massivo colocando a vida dos três astronautas a bordo em risco.")</f>
        <v>A NASA deve conceber uma estratégia para retornar Apolo 13 à Terra com segurança após a espaçonave sofrer dano interno massivo colocando a vida dos três astronautas a bordo em risco.</v>
      </c>
      <c r="M968" s="1">
        <v>77.0</v>
      </c>
      <c r="N968" s="1" t="s">
        <v>1150</v>
      </c>
      <c r="O968" s="1" t="s">
        <v>110</v>
      </c>
      <c r="P968" s="1" t="s">
        <v>3001</v>
      </c>
      <c r="Q968" s="1" t="s">
        <v>3171</v>
      </c>
      <c r="R968" s="1" t="s">
        <v>112</v>
      </c>
      <c r="S968" s="1">
        <v>269197.0</v>
      </c>
      <c r="T968" s="7" t="str">
        <f>VLOOKUP(A968,Posters!A968:B1967,2)</f>
        <v>https://m.media-amazon.com/images/M/MV5BNjEzYjJmNzgtNDkwNy00MTQ4LTlmMWMtNzA4YjE2NjI0ZDg4XkEyXkFqcGdeQXVyNjU0OTQ0OTY@._V1_UX67_CR0,0,67,98_AL_.jpg</v>
      </c>
      <c r="U968" s="8">
        <f>'Inflation Adjusted Gross'!F968</f>
        <v>1186379508</v>
      </c>
      <c r="V968" s="5">
        <f t="shared" si="1"/>
        <v>2020</v>
      </c>
    </row>
    <row r="969">
      <c r="A969" s="1">
        <v>968.0</v>
      </c>
      <c r="B969" s="1" t="s">
        <v>5443</v>
      </c>
      <c r="C969" s="6">
        <f>Gross_cleaning!E969</f>
        <v>1464625</v>
      </c>
      <c r="D969" s="1">
        <v>1994.0</v>
      </c>
      <c r="E969" s="1" t="s">
        <v>52</v>
      </c>
      <c r="F969" s="1" t="str">
        <f>VLOOKUP(Filmes_raw!E969,Rating_systems!$A$2:$C$29,3,FALSE)</f>
        <v>Criança</v>
      </c>
      <c r="G969" s="2">
        <f>Gross_cleaning!F969</f>
        <v>92</v>
      </c>
      <c r="H969" s="1" t="s">
        <v>1588</v>
      </c>
      <c r="I969" s="1" t="s">
        <v>227</v>
      </c>
      <c r="J969" s="1">
        <v>7.6</v>
      </c>
      <c r="K969" s="1" t="s">
        <v>5444</v>
      </c>
      <c r="L969" s="1" t="str">
        <f>IFERROR(__xludf.DUMMYFUNCTION("GOOGLETRANSLATE(K969,""en"", ""pt-br"")"),"Depois que sua esposa te divorciar, um lotes de imigrantes polonês para sequer com ela.")</f>
        <v>Depois que sua esposa te divorciar, um lotes de imigrantes polonês para sequer com ela.</v>
      </c>
      <c r="M969" s="1">
        <v>88.0</v>
      </c>
      <c r="N969" s="1" t="s">
        <v>1771</v>
      </c>
      <c r="O969" s="1" t="s">
        <v>3255</v>
      </c>
      <c r="P969" s="1" t="s">
        <v>1643</v>
      </c>
      <c r="Q969" s="1" t="s">
        <v>5445</v>
      </c>
      <c r="R969" s="1" t="s">
        <v>5446</v>
      </c>
      <c r="S969" s="1">
        <v>64390.0</v>
      </c>
      <c r="T969" s="7" t="str">
        <f>VLOOKUP(A969,Posters!A969:B1968,2)</f>
        <v>https://m.media-amazon.com/images/M/MV5BNTliYTI1YTctMTE0Mi00NDM0LThjZDgtYmY3NGNiODBjZjAwXkEyXkFqcGdeQXVyMTAwMzUyOTc@._V1_UX67_CR0,0,67,98_AL_.jpg</v>
      </c>
      <c r="U969" s="8">
        <f>'Inflation Adjusted Gross'!F969</f>
        <v>2584342</v>
      </c>
      <c r="V969" s="5">
        <f t="shared" si="1"/>
        <v>2020</v>
      </c>
    </row>
    <row r="970">
      <c r="A970" s="1">
        <v>969.0</v>
      </c>
      <c r="B970" s="1" t="s">
        <v>5447</v>
      </c>
      <c r="C970" s="6">
        <f>Gross_cleaning!E970</f>
        <v>40903593</v>
      </c>
      <c r="D970" s="1">
        <v>1993.0</v>
      </c>
      <c r="E970" s="1" t="s">
        <v>212</v>
      </c>
      <c r="F970" s="1" t="str">
        <f>VLOOKUP(Filmes_raw!E970,Rating_systems!$A$2:$C$29,3,FALSE)</f>
        <v>Adulto</v>
      </c>
      <c r="G970" s="2">
        <f>Gross_cleaning!F970</f>
        <v>113</v>
      </c>
      <c r="H970" s="1" t="s">
        <v>543</v>
      </c>
      <c r="I970" s="1" t="s">
        <v>39</v>
      </c>
      <c r="J970" s="1">
        <v>7.6</v>
      </c>
      <c r="K970" s="1" t="s">
        <v>5448</v>
      </c>
      <c r="L970" s="1" t="str">
        <f>IFERROR(__xludf.DUMMYFUNCTION("GOOGLETRANSLATE(K970,""en"", ""pt-br"")"),"Um homem comum frustrado com as várias falhas que ele vê na sociedade começa a psicotricamente e violentamente atacar contra eles.")</f>
        <v>Um homem comum frustrado com as várias falhas que ele vê na sociedade começa a psicotricamente e violentamente atacar contra eles.</v>
      </c>
      <c r="M970" s="1">
        <v>56.0</v>
      </c>
      <c r="N970" s="1" t="s">
        <v>5449</v>
      </c>
      <c r="O970" s="1" t="s">
        <v>3966</v>
      </c>
      <c r="P970" s="1" t="s">
        <v>50</v>
      </c>
      <c r="Q970" s="1" t="s">
        <v>3286</v>
      </c>
      <c r="R970" s="1" t="s">
        <v>5450</v>
      </c>
      <c r="S970" s="1">
        <v>171640.0</v>
      </c>
      <c r="T970" s="7" t="str">
        <f>VLOOKUP(A970,Posters!A970:B1969,2)</f>
        <v>https://m.media-amazon.com/images/M/MV5BYjcxMzM3OWMtNmM3Yy00YzBkLTkxMmQtMDk4MmM3Y2Y4MDliL2ltYWdlXkEyXkFqcGdeQXVyMTQxNzMzNDI@._V1_UX67_CR0,0,67,98_AL_.jpg</v>
      </c>
      <c r="U970" s="8">
        <f>'Inflation Adjusted Gross'!F970</f>
        <v>73996780</v>
      </c>
      <c r="V970" s="5">
        <f t="shared" si="1"/>
        <v>2020</v>
      </c>
    </row>
    <row r="971">
      <c r="A971" s="1">
        <v>970.0</v>
      </c>
      <c r="B971" s="1" t="s">
        <v>5451</v>
      </c>
      <c r="C971" s="6">
        <f>Gross_cleaning!E971</f>
        <v>7993039</v>
      </c>
      <c r="D971" s="1">
        <v>1993.0</v>
      </c>
      <c r="E971" s="1" t="s">
        <v>52</v>
      </c>
      <c r="F971" s="1" t="str">
        <f>VLOOKUP(Filmes_raw!E971,Rating_systems!$A$2:$C$29,3,FALSE)</f>
        <v>Criança</v>
      </c>
      <c r="G971" s="2">
        <f>Gross_cleaning!F971</f>
        <v>102</v>
      </c>
      <c r="H971" s="1" t="s">
        <v>405</v>
      </c>
      <c r="I971" s="1" t="s">
        <v>602</v>
      </c>
      <c r="J971" s="1">
        <v>7.6</v>
      </c>
      <c r="K971" s="1" t="s">
        <v>5452</v>
      </c>
      <c r="L971" s="1" t="str">
        <f>IFERROR(__xludf.DUMMYFUNCTION("GOOGLETRANSLATE(K971,""en"", ""pt-br"")"),"As aventuras do ensino médio e dos alunos altos júnior no último dia de aula em maio de 1976.")</f>
        <v>As aventuras do ensino médio e dos alunos altos júnior no último dia de aula em maio de 1976.</v>
      </c>
      <c r="M971" s="1">
        <v>78.0</v>
      </c>
      <c r="N971" s="1" t="s">
        <v>1641</v>
      </c>
      <c r="O971" s="1" t="s">
        <v>5453</v>
      </c>
      <c r="P971" s="1" t="s">
        <v>3903</v>
      </c>
      <c r="Q971" s="1" t="s">
        <v>190</v>
      </c>
      <c r="R971" s="1" t="s">
        <v>5454</v>
      </c>
      <c r="S971" s="1">
        <v>165465.0</v>
      </c>
      <c r="T971" s="7" t="str">
        <f>VLOOKUP(A971,Posters!A971:B1970,2)</f>
        <v>https://m.media-amazon.com/images/M/MV5BMTM5MDY5MDQyOV5BMl5BanBnXkFtZTgwMzM3NzMxMDE@._V1_UX67_CR0,0,67,98_AL_.jpg</v>
      </c>
      <c r="U971" s="8">
        <f>'Inflation Adjusted Gross'!F971</f>
        <v>14459834</v>
      </c>
      <c r="V971" s="5">
        <f t="shared" si="1"/>
        <v>2020</v>
      </c>
    </row>
    <row r="972">
      <c r="A972" s="1">
        <v>971.0</v>
      </c>
      <c r="B972" s="1" t="s">
        <v>5455</v>
      </c>
      <c r="C972" s="6">
        <f>Gross_cleaning!E972</f>
        <v>52929168</v>
      </c>
      <c r="D972" s="1">
        <v>1992.0</v>
      </c>
      <c r="E972" s="1" t="s">
        <v>37</v>
      </c>
      <c r="F972" s="1" t="str">
        <f>VLOOKUP(Filmes_raw!E972,Rating_systems!$A$2:$C$29,3,FALSE)</f>
        <v>Criança</v>
      </c>
      <c r="G972" s="2">
        <f>Gross_cleaning!F972</f>
        <v>120</v>
      </c>
      <c r="H972" s="1" t="s">
        <v>1546</v>
      </c>
      <c r="I972" s="1" t="s">
        <v>731</v>
      </c>
      <c r="J972" s="1">
        <v>7.6</v>
      </c>
      <c r="K972" s="1" t="s">
        <v>5456</v>
      </c>
      <c r="L972" s="1" t="str">
        <f>IFERROR(__xludf.DUMMYFUNCTION("GOOGLETRANSLATE(K972,""en"", ""pt-br"")"),"Dois nova-iorquinos acusados ​​de assassinato no Alabama rural, enquanto em seu caminho de volta para a faculdade chamada na ajuda de um dos seus primos, um advogado de Loudmouth sem experiência experimental.")</f>
        <v>Dois nova-iorquinos acusados ​​de assassinato no Alabama rural, enquanto em seu caminho de volta para a faculdade chamada na ajuda de um dos seus primos, um advogado de Loudmouth sem experiência experimental.</v>
      </c>
      <c r="M972" s="1">
        <v>68.0</v>
      </c>
      <c r="N972" s="1" t="s">
        <v>5457</v>
      </c>
      <c r="O972" s="1" t="s">
        <v>141</v>
      </c>
      <c r="P972" s="1" t="s">
        <v>3077</v>
      </c>
      <c r="Q972" s="1" t="s">
        <v>5458</v>
      </c>
      <c r="R972" s="1" t="s">
        <v>5459</v>
      </c>
      <c r="S972" s="1">
        <v>107325.0</v>
      </c>
      <c r="T972" s="7" t="str">
        <f>VLOOKUP(A972,Posters!A972:B1971,2)</f>
        <v>https://m.media-amazon.com/images/M/MV5BMTQxNDYzMTg1M15BMl5BanBnXkFtZTgwNzk4MDgxMTE@._V1_UX67_CR0,0,67,98_AL_.jpg</v>
      </c>
      <c r="U972" s="8">
        <f>'Inflation Adjusted Gross'!F972</f>
        <v>98871763</v>
      </c>
      <c r="V972" s="5">
        <f t="shared" si="1"/>
        <v>2020</v>
      </c>
    </row>
    <row r="973">
      <c r="A973" s="1">
        <v>972.0</v>
      </c>
      <c r="B973" s="1" t="s">
        <v>5460</v>
      </c>
      <c r="C973" s="6">
        <f>Gross_cleaning!E973</f>
        <v>453243</v>
      </c>
      <c r="D973" s="1">
        <v>1991.0</v>
      </c>
      <c r="E973" s="1" t="s">
        <v>52</v>
      </c>
      <c r="F973" s="1" t="str">
        <f>VLOOKUP(Filmes_raw!E973,Rating_systems!$A$2:$C$29,3,FALSE)</f>
        <v>Criança</v>
      </c>
      <c r="G973" s="2">
        <f>Gross_cleaning!F973</f>
        <v>118</v>
      </c>
      <c r="H973" s="1" t="s">
        <v>240</v>
      </c>
      <c r="I973" s="1" t="s">
        <v>5461</v>
      </c>
      <c r="J973" s="1">
        <v>7.6</v>
      </c>
      <c r="K973" s="1" t="s">
        <v>5462</v>
      </c>
      <c r="L973" s="1" t="str">
        <f>IFERROR(__xludf.DUMMYFUNCTION("GOOGLETRANSLATE(K973,""en"", ""pt-br"")"),"Um trabalhador de escritório de vinte e sete anos viaja para o campo, enquanto relembrina com sua infância em Tóquio.")</f>
        <v>Um trabalhador de escritório de vinte e sete anos viaja para o campo, enquanto relembrina com sua infância em Tóquio.</v>
      </c>
      <c r="M973" s="1">
        <v>90.0</v>
      </c>
      <c r="N973" s="1" t="s">
        <v>377</v>
      </c>
      <c r="O973" s="1" t="s">
        <v>5463</v>
      </c>
      <c r="P973" s="1" t="s">
        <v>5464</v>
      </c>
      <c r="Q973" s="1" t="s">
        <v>3235</v>
      </c>
      <c r="R973" s="1" t="s">
        <v>5465</v>
      </c>
      <c r="S973" s="1">
        <v>27071.0</v>
      </c>
      <c r="T973" s="7" t="str">
        <f>VLOOKUP(A973,Posters!A973:B1972,2)</f>
        <v>https://m.media-amazon.com/images/M/MV5BMTY5NjI2MjQxMl5BMl5BanBnXkFtZTgwMDA2MzM2NzE@._V1_UY98_CR0,0,67,98_AL_.jpg</v>
      </c>
      <c r="U973" s="8">
        <f>'Inflation Adjusted Gross'!F973</f>
        <v>868674</v>
      </c>
      <c r="V973" s="5">
        <f t="shared" si="1"/>
        <v>2020</v>
      </c>
    </row>
    <row r="974">
      <c r="A974" s="1">
        <v>973.0</v>
      </c>
      <c r="B974" s="1" t="s">
        <v>5466</v>
      </c>
      <c r="C974" s="6">
        <f>Gross_cleaning!E974</f>
        <v>1794187</v>
      </c>
      <c r="D974" s="1">
        <v>1991.0</v>
      </c>
      <c r="E974" s="1" t="s">
        <v>212</v>
      </c>
      <c r="F974" s="1" t="str">
        <f>VLOOKUP(Filmes_raw!E974,Rating_systems!$A$2:$C$29,3,FALSE)</f>
        <v>Adulto</v>
      </c>
      <c r="G974" s="2">
        <f>Gross_cleaning!F974</f>
        <v>99</v>
      </c>
      <c r="H974" s="1" t="s">
        <v>778</v>
      </c>
      <c r="I974" s="1" t="s">
        <v>731</v>
      </c>
      <c r="J974" s="1">
        <v>7.6</v>
      </c>
      <c r="K974" s="1" t="s">
        <v>5467</v>
      </c>
      <c r="L974" s="1" t="str">
        <f>IFERROR(__xludf.DUMMYFUNCTION("GOOGLETRANSLATE(K974,""en"", ""pt-br"")"),"Comédia preta surrealista pós-apocalíptico sobre o senhorio de um prédio de apartamentos que ocasionalmente prepara uma delicadeza para seus inquilinos estranhos.")</f>
        <v>Comédia preta surrealista pós-apocalíptico sobre o senhorio de um prédio de apartamentos que ocasionalmente prepara uma delicadeza para seus inquilinos estranhos.</v>
      </c>
      <c r="M974" s="1">
        <v>66.0</v>
      </c>
      <c r="N974" s="1" t="s">
        <v>5468</v>
      </c>
      <c r="O974" s="1" t="s">
        <v>725</v>
      </c>
      <c r="P974" s="1" t="s">
        <v>5469</v>
      </c>
      <c r="Q974" s="1" t="s">
        <v>5321</v>
      </c>
      <c r="R974" s="1" t="s">
        <v>5470</v>
      </c>
      <c r="S974" s="1">
        <v>80487.0</v>
      </c>
      <c r="T974" s="7" t="str">
        <f>VLOOKUP(A974,Posters!A974:B1973,2)</f>
        <v>https://m.media-amazon.com/images/M/MV5BNjg5ZDM0MTEtYTZmNC00NDJiLWI5MTktYzk4N2QxY2IxZTc2L2ltYWdlXkEyXkFqcGdeQXVyNTAyODkwOQ@@._V1_UY98_CR3,0,67,98_AL_.jpg</v>
      </c>
      <c r="U974" s="8">
        <f>'Inflation Adjusted Gross'!F974</f>
        <v>3438694</v>
      </c>
      <c r="V974" s="5">
        <f t="shared" si="1"/>
        <v>2020</v>
      </c>
    </row>
    <row r="975">
      <c r="A975" s="1">
        <v>974.0</v>
      </c>
      <c r="B975" s="1" t="s">
        <v>5471</v>
      </c>
      <c r="C975" s="6">
        <f>Gross_cleaning!E975</f>
        <v>285761243</v>
      </c>
      <c r="D975" s="1">
        <v>1990.0</v>
      </c>
      <c r="E975" s="1" t="s">
        <v>52</v>
      </c>
      <c r="F975" s="1" t="str">
        <f>VLOOKUP(Filmes_raw!E975,Rating_systems!$A$2:$C$29,3,FALSE)</f>
        <v>Criança</v>
      </c>
      <c r="G975" s="2">
        <f>Gross_cleaning!F975</f>
        <v>103</v>
      </c>
      <c r="H975" s="1" t="s">
        <v>885</v>
      </c>
      <c r="I975" s="1" t="s">
        <v>3300</v>
      </c>
      <c r="J975" s="1">
        <v>7.6</v>
      </c>
      <c r="K975" s="1" t="s">
        <v>5472</v>
      </c>
      <c r="L975" s="1" t="str">
        <f>IFERROR(__xludf.DUMMYFUNCTION("GOOGLETRANSLATE(K975,""en"", ""pt-br"")"),"Um encrenqueiro de oito anos deve proteger sua casa de um par de assaltantes quando ele é acidentalmente deixado em casa sozinho por sua família durante as férias de Natal.")</f>
        <v>Um encrenqueiro de oito anos deve proteger sua casa de um par de assaltantes quando ele é acidentalmente deixado em casa sozinho por sua família durante as férias de Natal.</v>
      </c>
      <c r="M975" s="1">
        <v>63.0</v>
      </c>
      <c r="N975" s="1" t="s">
        <v>5369</v>
      </c>
      <c r="O975" s="1" t="s">
        <v>5473</v>
      </c>
      <c r="P975" s="1" t="s">
        <v>141</v>
      </c>
      <c r="Q975" s="1" t="s">
        <v>5474</v>
      </c>
      <c r="R975" s="1" t="s">
        <v>5475</v>
      </c>
      <c r="S975" s="1">
        <v>488817.0</v>
      </c>
      <c r="T975" s="7" t="str">
        <f>VLOOKUP(A975,Posters!A975:B1974,2)</f>
        <v>https://m.media-amazon.com/images/M/MV5BMzFkM2YwOTQtYzk2Mi00N2VlLWE3NTItN2YwNDg1YmY0ZDNmXkEyXkFqcGdeQXVyMTMxODk2OTU@._V1_UX67_CR0,0,67,98_AL_.jpg</v>
      </c>
      <c r="U975" s="8">
        <f>'Inflation Adjusted Gross'!F975</f>
        <v>578635115</v>
      </c>
      <c r="V975" s="5">
        <f t="shared" si="1"/>
        <v>2020</v>
      </c>
    </row>
    <row r="976">
      <c r="A976" s="1">
        <v>975.0</v>
      </c>
      <c r="B976" s="1" t="s">
        <v>5476</v>
      </c>
      <c r="C976" s="6">
        <f>Gross_cleaning!E976</f>
        <v>66666062</v>
      </c>
      <c r="D976" s="1">
        <v>1990.0</v>
      </c>
      <c r="E976" s="1" t="s">
        <v>18</v>
      </c>
      <c r="F976" s="1" t="str">
        <f>VLOOKUP(Filmes_raw!E976,Rating_systems!$A$2:$C$29,3,FALSE)</f>
        <v>Adulto</v>
      </c>
      <c r="G976" s="2">
        <f>Gross_cleaning!F976</f>
        <v>162</v>
      </c>
      <c r="H976" s="1" t="s">
        <v>1221</v>
      </c>
      <c r="I976" s="1" t="s">
        <v>29</v>
      </c>
      <c r="J976" s="1">
        <v>7.6</v>
      </c>
      <c r="K976" s="1" t="s">
        <v>5477</v>
      </c>
      <c r="L976" s="1" t="str">
        <f>IFERROR(__xludf.DUMMYFUNCTION("GOOGLETRANSLATE(K976,""en"", ""pt-br"")"),"Segue Michael Corleone, agora em seus 60 anos, como procura libertar sua família do crime e encontrar um sucessor adequado para seu império.")</f>
        <v>Segue Michael Corleone, agora em seus 60 anos, como procura libertar sua família do crime e encontrar um sucessor adequado para seu império.</v>
      </c>
      <c r="M976" s="1">
        <v>60.0</v>
      </c>
      <c r="N976" s="1" t="s">
        <v>31</v>
      </c>
      <c r="O976" s="1" t="s">
        <v>33</v>
      </c>
      <c r="P976" s="1" t="s">
        <v>35</v>
      </c>
      <c r="Q976" s="1" t="s">
        <v>5478</v>
      </c>
      <c r="R976" s="1" t="s">
        <v>1894</v>
      </c>
      <c r="S976" s="1">
        <v>359809.0</v>
      </c>
      <c r="T976" s="7" t="str">
        <f>VLOOKUP(A976,Posters!A976:B1975,2)</f>
        <v>https://m.media-amazon.com/images/M/MV5BNWFlYWY2YjYtNjdhNi00MzVlLTg2MTMtMWExNzg4NmM5NmEzXkEyXkFqcGdeQXVyMDk5Mzc5MQ@@._V1_UX67_CR0,0,67,98_AL_.jpg</v>
      </c>
      <c r="U976" s="8">
        <f>'Inflation Adjusted Gross'!F976</f>
        <v>134991450</v>
      </c>
      <c r="V976" s="5">
        <f t="shared" si="1"/>
        <v>2020</v>
      </c>
    </row>
    <row r="977">
      <c r="A977" s="1">
        <v>976.0</v>
      </c>
      <c r="B977" s="1" t="s">
        <v>5479</v>
      </c>
      <c r="C977" s="6">
        <f>Gross_cleaning!E977</f>
        <v>92823600</v>
      </c>
      <c r="D977" s="1">
        <v>1989.0</v>
      </c>
      <c r="E977" s="1" t="s">
        <v>37</v>
      </c>
      <c r="F977" s="1" t="str">
        <f>VLOOKUP(Filmes_raw!E977,Rating_systems!$A$2:$C$29,3,FALSE)</f>
        <v>Criança</v>
      </c>
      <c r="G977" s="2">
        <f>Gross_cleaning!F977</f>
        <v>95</v>
      </c>
      <c r="H977" s="1" t="s">
        <v>601</v>
      </c>
      <c r="I977" s="1" t="s">
        <v>227</v>
      </c>
      <c r="J977" s="1">
        <v>7.6</v>
      </c>
      <c r="K977" s="1" t="s">
        <v>5480</v>
      </c>
      <c r="L977" s="1" t="str">
        <f>IFERROR(__xludf.DUMMYFUNCTION("GOOGLETRANSLATE(K977,""en"", ""pt-br"")"),"Harry e Sally se conhecem há anos, e são muito bons amigos, mas temem que o sexo estrague a amizade.")</f>
        <v>Harry e Sally se conhecem há anos, e são muito bons amigos, mas temem que o sexo estrague a amizade.</v>
      </c>
      <c r="M977" s="1">
        <v>76.0</v>
      </c>
      <c r="N977" s="1" t="s">
        <v>1815</v>
      </c>
      <c r="O977" s="1" t="s">
        <v>1684</v>
      </c>
      <c r="P977" s="1" t="s">
        <v>5481</v>
      </c>
      <c r="Q977" s="1" t="s">
        <v>150</v>
      </c>
      <c r="R977" s="1" t="s">
        <v>4723</v>
      </c>
      <c r="S977" s="1">
        <v>195663.0</v>
      </c>
      <c r="T977" s="7" t="str">
        <f>VLOOKUP(A977,Posters!A977:B1976,2)</f>
        <v>https://m.media-amazon.com/images/M/MV5BMjE0ODEwNjM2NF5BMl5BanBnXkFtZTcwMjU2Mzg3NA@@._V1_UX67_CR0,0,67,98_AL_.jpg</v>
      </c>
      <c r="U977" s="8">
        <f>'Inflation Adjusted Gross'!F977</f>
        <v>197735730</v>
      </c>
      <c r="V977" s="5">
        <f t="shared" si="1"/>
        <v>2020</v>
      </c>
    </row>
    <row r="978">
      <c r="A978" s="1">
        <v>977.0</v>
      </c>
      <c r="B978" s="1" t="s">
        <v>5482</v>
      </c>
      <c r="C978" s="6">
        <f>Gross_cleaning!E978</f>
        <v>111543479</v>
      </c>
      <c r="D978" s="1">
        <v>1989.0</v>
      </c>
      <c r="E978" s="1" t="s">
        <v>52</v>
      </c>
      <c r="F978" s="1" t="str">
        <f>VLOOKUP(Filmes_raw!E978,Rating_systems!$A$2:$C$29,3,FALSE)</f>
        <v>Criança</v>
      </c>
      <c r="G978" s="2">
        <f>Gross_cleaning!F978</f>
        <v>83</v>
      </c>
      <c r="H978" s="1" t="s">
        <v>2550</v>
      </c>
      <c r="I978" s="1" t="s">
        <v>1207</v>
      </c>
      <c r="J978" s="1">
        <v>7.6</v>
      </c>
      <c r="K978" s="1" t="s">
        <v>5483</v>
      </c>
      <c r="L978" s="1" t="str">
        <f>IFERROR(__xludf.DUMMYFUNCTION("GOOGLETRANSLATE(K978,""en"", ""pt-br"")"),"Uma princesa sereia faz uma barganha faustiana em uma tentativa de se tornar humana e ganhar o amor de um príncipe.")</f>
        <v>Uma princesa sereia faz uma barganha faustiana em uma tentativa de se tornar humana e ganhar o amor de um príncipe.</v>
      </c>
      <c r="M978" s="1">
        <v>88.0</v>
      </c>
      <c r="N978" s="1" t="s">
        <v>2588</v>
      </c>
      <c r="O978" s="1" t="s">
        <v>2589</v>
      </c>
      <c r="P978" s="1" t="s">
        <v>5484</v>
      </c>
      <c r="Q978" s="1" t="s">
        <v>5485</v>
      </c>
      <c r="R978" s="1" t="s">
        <v>5486</v>
      </c>
      <c r="S978" s="1">
        <v>237696.0</v>
      </c>
      <c r="T978" s="7" t="str">
        <f>VLOOKUP(A978,Posters!A978:B1977,2)</f>
        <v>https://m.media-amazon.com/images/M/MV5BN2JlZTBhYTEtZDE3OC00NTA3LTk5NTQtNjg5M2RjODllM2M0XkEyXkFqcGdeQXVyNjk1Njg5NTA@._V1_UX67_CR0,0,67,98_AL_.jpg</v>
      </c>
      <c r="U978" s="8">
        <f>'Inflation Adjusted Gross'!F978</f>
        <v>237613400</v>
      </c>
      <c r="V978" s="5">
        <f t="shared" si="1"/>
        <v>2020</v>
      </c>
    </row>
    <row r="979">
      <c r="A979" s="1">
        <v>978.0</v>
      </c>
      <c r="B979" s="1" t="s">
        <v>5487</v>
      </c>
      <c r="C979" s="6">
        <f>Gross_cleaning!E979</f>
        <v>78756177</v>
      </c>
      <c r="D979" s="1">
        <v>1988.0</v>
      </c>
      <c r="E979" s="1" t="s">
        <v>52</v>
      </c>
      <c r="F979" s="1" t="str">
        <f>VLOOKUP(Filmes_raw!E979,Rating_systems!$A$2:$C$29,3,FALSE)</f>
        <v>Criança</v>
      </c>
      <c r="G979" s="2">
        <f>Gross_cleaning!F979</f>
        <v>85</v>
      </c>
      <c r="H979" s="1" t="s">
        <v>1947</v>
      </c>
      <c r="I979" s="1" t="s">
        <v>731</v>
      </c>
      <c r="J979" s="1">
        <v>7.6</v>
      </c>
      <c r="K979" s="1" t="s">
        <v>5488</v>
      </c>
      <c r="L979" s="1" t="str">
        <f>IFERROR(__xludf.DUMMYFUNCTION("GOOGLETRANSLATE(K979,""en"", ""pt-br"")"),"Detetive de polícia incompetente Frank Drebin deve fazer uma tentativa de assassinar a rainha Elizabeth II.")</f>
        <v>Detetive de polícia incompetente Frank Drebin deve fazer uma tentativa de assassinar a rainha Elizabeth II.</v>
      </c>
      <c r="M979" s="1">
        <v>76.0</v>
      </c>
      <c r="N979" s="1" t="s">
        <v>4879</v>
      </c>
      <c r="O979" s="1" t="s">
        <v>5489</v>
      </c>
      <c r="P979" s="1" t="s">
        <v>5490</v>
      </c>
      <c r="Q979" s="1" t="s">
        <v>5491</v>
      </c>
      <c r="R979" s="1" t="s">
        <v>5492</v>
      </c>
      <c r="S979" s="1">
        <v>152871.0</v>
      </c>
      <c r="T979" s="7" t="str">
        <f>VLOOKUP(A979,Posters!A979:B1978,2)</f>
        <v>https://m.media-amazon.com/images/M/MV5BODk1ZWM4ZjItMjFhZi00MDMxLTgxNmYtODFhNWZlZTkwM2UwXkEyXkFqcGdeQXVyMTQxNzMzNDI@._V1_UX67_CR0,0,67,98_AL_.jpg</v>
      </c>
      <c r="U979" s="8">
        <f>'Inflation Adjusted Gross'!F979</f>
        <v>175599047</v>
      </c>
      <c r="V979" s="5">
        <f t="shared" si="1"/>
        <v>2020</v>
      </c>
    </row>
    <row r="980">
      <c r="A980" s="1">
        <v>979.0</v>
      </c>
      <c r="B980" s="1" t="s">
        <v>5493</v>
      </c>
      <c r="C980" s="6">
        <f>Gross_cleaning!E980</f>
        <v>49530280</v>
      </c>
      <c r="D980" s="1">
        <v>1987.0</v>
      </c>
      <c r="E980" s="1" t="s">
        <v>52</v>
      </c>
      <c r="F980" s="1" t="str">
        <f>VLOOKUP(Filmes_raw!E980,Rating_systems!$A$2:$C$29,3,FALSE)</f>
        <v>Criança</v>
      </c>
      <c r="G980" s="2">
        <f>Gross_cleaning!F980</f>
        <v>93</v>
      </c>
      <c r="H980" s="1" t="s">
        <v>1521</v>
      </c>
      <c r="I980" s="1" t="s">
        <v>507</v>
      </c>
      <c r="J980" s="1">
        <v>7.6</v>
      </c>
      <c r="K980" s="1" t="s">
        <v>5494</v>
      </c>
      <c r="L980" s="1" t="str">
        <f>IFERROR(__xludf.DUMMYFUNCTION("GOOGLETRANSLATE(K980,""en"", ""pt-br"")"),"Um homem deve lutar para viajar para casa para o Dia de Ação de Graças com um amável oaf de um vendedor de anel de cortina de chuveiro como seu único companheiro.")</f>
        <v>Um homem deve lutar para viajar para casa para o Dia de Ação de Graças com um amável oaf de um vendedor de anel de cortina de chuveiro como seu único companheiro.</v>
      </c>
      <c r="M980" s="1">
        <v>72.0</v>
      </c>
      <c r="N980" s="1" t="s">
        <v>4079</v>
      </c>
      <c r="O980" s="1" t="s">
        <v>5495</v>
      </c>
      <c r="P980" s="1" t="s">
        <v>3313</v>
      </c>
      <c r="Q980" s="1" t="s">
        <v>5496</v>
      </c>
      <c r="R980" s="1" t="s">
        <v>3296</v>
      </c>
      <c r="S980" s="1">
        <v>124773.0</v>
      </c>
      <c r="T980" s="7" t="str">
        <f>VLOOKUP(A980,Posters!A980:B1979,2)</f>
        <v>https://m.media-amazon.com/images/M/MV5BM2I1ZWNkYjEtYWY3ZS00MmMwLWI5OTEtNWNkZjNiYjIwNzY0XkEyXkFqcGdeQXVyNTI4MjkwNjA@._V1_UX67_CR0,0,67,98_AL_.jpg</v>
      </c>
      <c r="U980" s="8">
        <f>'Inflation Adjusted Gross'!F980</f>
        <v>114904459</v>
      </c>
      <c r="V980" s="5">
        <f t="shared" si="1"/>
        <v>2020</v>
      </c>
    </row>
    <row r="981">
      <c r="A981" s="1">
        <v>980.0</v>
      </c>
      <c r="B981" s="1" t="s">
        <v>5497</v>
      </c>
      <c r="C981" s="6">
        <f>Gross_cleaning!E981</f>
        <v>65207127</v>
      </c>
      <c r="D981" s="1">
        <v>1987.0</v>
      </c>
      <c r="E981" s="1" t="s">
        <v>18</v>
      </c>
      <c r="F981" s="1" t="str">
        <f>VLOOKUP(Filmes_raw!E981,Rating_systems!$A$2:$C$29,3,FALSE)</f>
        <v>Adulto</v>
      </c>
      <c r="G981" s="2">
        <f>Gross_cleaning!F981</f>
        <v>109</v>
      </c>
      <c r="H981" s="1" t="s">
        <v>396</v>
      </c>
      <c r="I981" s="1" t="s">
        <v>2169</v>
      </c>
      <c r="J981" s="1">
        <v>7.6</v>
      </c>
      <c r="K981" s="1" t="s">
        <v>5498</v>
      </c>
      <c r="L981" s="1" t="str">
        <f>IFERROR(__xludf.DUMMYFUNCTION("GOOGLETRANSLATE(K981,""en"", ""pt-br"")"),"Dois policiais recentemente emparelhados que são completos os opostos devem deixar de lado suas diferenças para pegar uma gangue de contrabandistas de drogas.")</f>
        <v>Dois policiais recentemente emparelhados que são completos os opostos devem deixar de lado suas diferenças para pegar uma gangue de contrabandistas de drogas.</v>
      </c>
      <c r="M981" s="1">
        <v>68.0</v>
      </c>
      <c r="N981" s="1" t="s">
        <v>4089</v>
      </c>
      <c r="O981" s="1" t="s">
        <v>773</v>
      </c>
      <c r="P981" s="1" t="s">
        <v>4094</v>
      </c>
      <c r="Q981" s="1" t="s">
        <v>5499</v>
      </c>
      <c r="R981" s="1" t="s">
        <v>5500</v>
      </c>
      <c r="S981" s="1">
        <v>236894.0</v>
      </c>
      <c r="T981" s="7" t="str">
        <f>VLOOKUP(A981,Posters!A981:B1980,2)</f>
        <v>https://m.media-amazon.com/images/M/MV5BZTllNWNlZjctMWQwMS00ZDc3LTg5ZjMtNzhmNzhjMmVhYTFlXkEyXkFqcGdeQXVyNTc1NTQxODI@._V1_UX67_CR0,0,67,98_AL_.jpg</v>
      </c>
      <c r="U981" s="8">
        <f>'Inflation Adjusted Gross'!F981</f>
        <v>151272911</v>
      </c>
      <c r="V981" s="5">
        <f t="shared" si="1"/>
        <v>2020</v>
      </c>
    </row>
    <row r="982">
      <c r="A982" s="1">
        <v>981.0</v>
      </c>
      <c r="B982" s="1" t="s">
        <v>5501</v>
      </c>
      <c r="C982" s="6">
        <f>Gross_cleaning!E982</f>
        <v>2150000</v>
      </c>
      <c r="D982" s="1">
        <v>1984.0</v>
      </c>
      <c r="E982" s="1" t="s">
        <v>18</v>
      </c>
      <c r="F982" s="1" t="str">
        <f>VLOOKUP(Filmes_raw!E982,Rating_systems!$A$2:$C$29,3,FALSE)</f>
        <v>Adulto</v>
      </c>
      <c r="G982" s="2">
        <f>Gross_cleaning!F982</f>
        <v>99</v>
      </c>
      <c r="H982" s="1" t="s">
        <v>778</v>
      </c>
      <c r="I982" s="1" t="s">
        <v>241</v>
      </c>
      <c r="J982" s="1">
        <v>7.6</v>
      </c>
      <c r="K982" s="1" t="s">
        <v>5502</v>
      </c>
      <c r="L982" s="1" t="str">
        <f>IFERROR(__xludf.DUMMYFUNCTION("GOOGLETRANSLATE(K982,""en"", ""pt-br"")"),"O proprietário de uma barra de Texas de Cidade Pequena Seedy descobre que um de seus funcionários está tendo um caso com sua esposa. Uma cadeia caótica de mal-entendidos, mentiras e travessuras segue depois que ele inventa uma parcela para tê-los assassin"&amp;"ado.")</f>
        <v>O proprietário de uma barra de Texas de Cidade Pequena Seedy descobre que um de seus funcionários está tendo um caso com sua esposa. Uma cadeia caótica de mal-entendidos, mentiras e travessuras segue depois que ele inventa uma parcela para tê-los assassinado.</v>
      </c>
      <c r="M982" s="1">
        <v>82.0</v>
      </c>
      <c r="N982" s="1" t="s">
        <v>1613</v>
      </c>
      <c r="O982" s="1" t="s">
        <v>1612</v>
      </c>
      <c r="P982" s="1" t="s">
        <v>5503</v>
      </c>
      <c r="Q982" s="1" t="s">
        <v>972</v>
      </c>
      <c r="R982" s="1" t="s">
        <v>5504</v>
      </c>
      <c r="S982" s="1">
        <v>87745.0</v>
      </c>
      <c r="T982" s="7" t="str">
        <f>VLOOKUP(A982,Posters!A982:B1981,2)</f>
        <v>https://m.media-amazon.com/images/M/MV5BZmI5YzM1MjItMzFmNy00NGFkLThlMDUtZjZmYTZkM2QxMjU3XkEyXkFqcGdeQXVyNzkwMjQ5NzM@._V1_UX67_CR0,0,67,98_AL_.jpg</v>
      </c>
      <c r="U982" s="8">
        <f>'Inflation Adjusted Gross'!F982</f>
        <v>5442960</v>
      </c>
      <c r="V982" s="5">
        <f t="shared" si="1"/>
        <v>2020</v>
      </c>
    </row>
    <row r="983">
      <c r="A983" s="1">
        <v>982.0</v>
      </c>
      <c r="B983" s="1" t="s">
        <v>5505</v>
      </c>
      <c r="C983" s="6">
        <f>Gross_cleaning!E983</f>
        <v>119285432</v>
      </c>
      <c r="D983" s="1">
        <v>1981.0</v>
      </c>
      <c r="E983" s="1" t="s">
        <v>37</v>
      </c>
      <c r="F983" s="1" t="str">
        <f>VLOOKUP(Filmes_raw!E983,Rating_systems!$A$2:$C$29,3,FALSE)</f>
        <v>Criança</v>
      </c>
      <c r="G983" s="2">
        <f>Gross_cleaning!F983</f>
        <v>109</v>
      </c>
      <c r="H983" s="1" t="s">
        <v>396</v>
      </c>
      <c r="I983" s="1" t="s">
        <v>20</v>
      </c>
      <c r="J983" s="1">
        <v>7.6</v>
      </c>
      <c r="K983" s="1" t="s">
        <v>5506</v>
      </c>
      <c r="L983" s="1" t="str">
        <f>IFERROR(__xludf.DUMMYFUNCTION("GOOGLETRANSLATE(K983,""en"", ""pt-br"")"),"Norman é uma curmudgeon com um relacionamento estrangrado com sua filha Chelsea. Na lagoa dourada, ele e sua esposa, no entanto, concordam em cuidar de Billy, filho do novo namorado de Chelsea, e um relacionamento mais inesperado floresce.")</f>
        <v>Norman é uma curmudgeon com um relacionamento estrangrado com sua filha Chelsea. Na lagoa dourada, ele e sua esposa, no entanto, concordam em cuidar de Billy, filho do novo namorado de Chelsea, e um relacionamento mais inesperado floresce.</v>
      </c>
      <c r="M983" s="1">
        <v>68.0</v>
      </c>
      <c r="N983" s="1" t="s">
        <v>5507</v>
      </c>
      <c r="O983" s="1" t="s">
        <v>3385</v>
      </c>
      <c r="P983" s="1" t="s">
        <v>56</v>
      </c>
      <c r="Q983" s="1" t="s">
        <v>5508</v>
      </c>
      <c r="R983" s="1" t="s">
        <v>5509</v>
      </c>
      <c r="S983" s="1">
        <v>27650.0</v>
      </c>
      <c r="T983" s="7" t="str">
        <f>VLOOKUP(A983,Posters!A983:B1982,2)</f>
        <v>https://m.media-amazon.com/images/M/MV5BNWQ4MGZlZmYtZjY0MS00N2JhLWE0NmMtOTMwMTk4NDQ4NjE2XkEyXkFqcGdeQXVyNTI4MjkwNjA@._V1_UX67_CR0,0,67,98_AL_.jpg</v>
      </c>
      <c r="U983" s="8">
        <f>'Inflation Adjusted Gross'!F983</f>
        <v>353703244</v>
      </c>
      <c r="V983" s="5">
        <f t="shared" si="1"/>
        <v>2020</v>
      </c>
    </row>
    <row r="984">
      <c r="A984" s="1">
        <v>983.0</v>
      </c>
      <c r="B984" s="1" t="s">
        <v>5510</v>
      </c>
      <c r="C984" s="6">
        <f>Gross_cleaning!E984</f>
        <v>12465371</v>
      </c>
      <c r="D984" s="1">
        <v>1981.0</v>
      </c>
      <c r="E984" s="1" t="s">
        <v>18</v>
      </c>
      <c r="F984" s="1" t="str">
        <f>VLOOKUP(Filmes_raw!E984,Rating_systems!$A$2:$C$29,3,FALSE)</f>
        <v>Adulto</v>
      </c>
      <c r="G984" s="2">
        <f>Gross_cleaning!F984</f>
        <v>96</v>
      </c>
      <c r="H984" s="1" t="s">
        <v>53</v>
      </c>
      <c r="I984" s="1" t="s">
        <v>88</v>
      </c>
      <c r="J984" s="1">
        <v>7.6</v>
      </c>
      <c r="K984" s="1" t="s">
        <v>5511</v>
      </c>
      <c r="L984" s="1" t="str">
        <f>IFERROR(__xludf.DUMMYFUNCTION("GOOGLETRANSLATE(K984,""en"", ""pt-br"")"),"No deserto australiano pós-apocalíptico, um vagão cínico concorda em ajudar uma comunidade pequena e rica em gasolina escapar de uma horda de bandidos.")</f>
        <v>No deserto australiano pós-apocalíptico, um vagão cínico concorda em ajudar uma comunidade pequena e rica em gasolina escapar de uma horda de bandidos.</v>
      </c>
      <c r="M984" s="1">
        <v>77.0</v>
      </c>
      <c r="N984" s="1" t="s">
        <v>1548</v>
      </c>
      <c r="O984" s="1" t="s">
        <v>773</v>
      </c>
      <c r="P984" s="1" t="s">
        <v>5512</v>
      </c>
      <c r="Q984" s="1" t="s">
        <v>5513</v>
      </c>
      <c r="R984" s="1" t="s">
        <v>5514</v>
      </c>
      <c r="S984" s="1">
        <v>166588.0</v>
      </c>
      <c r="T984" s="7" t="str">
        <f>VLOOKUP(A984,Posters!A984:B1983,2)</f>
        <v>https://m.media-amazon.com/images/M/MV5BN2VlNjNhZWQtMTY2OC00Y2E1LWJkNGUtMDU4M2ViNzliMGYwXkEyXkFqcGdeQXVyNTAyODkwOQ@@._V1_UX67_CR0,0,67,98_AL_.jpg</v>
      </c>
      <c r="U984" s="8">
        <f>'Inflation Adjusted Gross'!F984</f>
        <v>36962118</v>
      </c>
      <c r="V984" s="5">
        <f t="shared" si="1"/>
        <v>2020</v>
      </c>
    </row>
    <row r="985">
      <c r="A985" s="1">
        <v>984.0</v>
      </c>
      <c r="B985" s="1" t="s">
        <v>5515</v>
      </c>
      <c r="C985" s="6">
        <f>Gross_cleaning!E985</f>
        <v>22490039</v>
      </c>
      <c r="D985" s="1">
        <v>1979.0</v>
      </c>
      <c r="E985" s="1" t="s">
        <v>37</v>
      </c>
      <c r="F985" s="1" t="str">
        <f>VLOOKUP(Filmes_raw!E985,Rating_systems!$A$2:$C$29,3,FALSE)</f>
        <v>Criança</v>
      </c>
      <c r="G985" s="2">
        <f>Gross_cleaning!F985</f>
        <v>92</v>
      </c>
      <c r="H985" s="1" t="s">
        <v>1588</v>
      </c>
      <c r="I985" s="1" t="s">
        <v>2169</v>
      </c>
      <c r="J985" s="1">
        <v>7.6</v>
      </c>
      <c r="K985" s="1" t="s">
        <v>5516</v>
      </c>
      <c r="L985" s="1" t="str">
        <f>IFERROR(__xludf.DUMMYFUNCTION("GOOGLETRANSLATE(K985,""en"", ""pt-br"")"),"No futuro próximo, um líder carismático convoca as gangues de rua de Nova York em uma tentativa de assumir. Quando ele é morto, os guerreiros são falsamente culpados e agora devem lutar contra casa enquanto todas as outras gangues estão caçando-as.")</f>
        <v>No futuro próximo, um líder carismático convoca as gangues de rua de Nova York em uma tentativa de assumir. Quando ele é morto, os guerreiros são falsamente culpados e agora devem lutar contra casa enquanto todas as outras gangues estão caçando-as.</v>
      </c>
      <c r="M985" s="1">
        <v>65.0</v>
      </c>
      <c r="N985" s="1" t="s">
        <v>5517</v>
      </c>
      <c r="O985" s="1" t="s">
        <v>5518</v>
      </c>
      <c r="P985" s="1" t="s">
        <v>5519</v>
      </c>
      <c r="Q985" s="1" t="s">
        <v>5520</v>
      </c>
      <c r="R985" s="1" t="s">
        <v>5521</v>
      </c>
      <c r="S985" s="1">
        <v>93878.0</v>
      </c>
      <c r="T985" s="7" t="str">
        <f>VLOOKUP(A985,Posters!A985:B1984,2)</f>
        <v>https://m.media-amazon.com/images/M/MV5BYTU2MWRiMTMtYzAzZi00NGYzLTlkMDEtNWQ3MzZlNTJlNzZkL2ltYWdlL2ltYWdlXkEyXkFqcGdeQXVyNjc1NTYyMjg@._V1_UX67_CR0,0,67,98_AL_.jpg</v>
      </c>
      <c r="U985" s="8">
        <f>'Inflation Adjusted Gross'!F985</f>
        <v>84945503</v>
      </c>
      <c r="V985" s="5">
        <f t="shared" si="1"/>
        <v>2020</v>
      </c>
    </row>
    <row r="986">
      <c r="A986" s="1">
        <v>985.0</v>
      </c>
      <c r="B986" s="1" t="s">
        <v>5522</v>
      </c>
      <c r="C986" s="6">
        <f>Gross_cleaning!E986</f>
        <v>76657000</v>
      </c>
      <c r="D986" s="1">
        <v>1979.0</v>
      </c>
      <c r="E986" s="1" t="s">
        <v>52</v>
      </c>
      <c r="F986" s="1" t="str">
        <f>VLOOKUP(Filmes_raw!E986,Rating_systems!$A$2:$C$29,3,FALSE)</f>
        <v>Criança</v>
      </c>
      <c r="G986" s="2">
        <f>Gross_cleaning!F986</f>
        <v>95</v>
      </c>
      <c r="H986" s="1" t="s">
        <v>601</v>
      </c>
      <c r="I986" s="1" t="s">
        <v>3555</v>
      </c>
      <c r="J986" s="1">
        <v>7.6</v>
      </c>
      <c r="K986" s="1" t="s">
        <v>5523</v>
      </c>
      <c r="L986" s="1" t="str">
        <f>IFERROR(__xludf.DUMMYFUNCTION("GOOGLETRANSLATE(K986,""en"", ""pt-br"")"),"Kermit e suas novas amigas trek através da América para encontrar sucesso em Hollywood, mas um comerciante de pernas de sapo é depois de Kermit.")</f>
        <v>Kermit e suas novas amigas trek através da América para encontrar sucesso em Hollywood, mas um comerciante de pernas de sapo é depois de Kermit.</v>
      </c>
      <c r="M986" s="1">
        <v>74.0</v>
      </c>
      <c r="N986" s="1" t="s">
        <v>5524</v>
      </c>
      <c r="O986" s="1" t="s">
        <v>5525</v>
      </c>
      <c r="P986" s="1" t="s">
        <v>5526</v>
      </c>
      <c r="Q986" s="1" t="s">
        <v>5527</v>
      </c>
      <c r="R986" s="1" t="s">
        <v>5528</v>
      </c>
      <c r="S986" s="1">
        <v>32802.0</v>
      </c>
      <c r="T986" s="7" t="str">
        <f>VLOOKUP(A986,Posters!A986:B1985,2)</f>
        <v>https://m.media-amazon.com/images/M/MV5BMGQ0OGM5YjItYzYyMi00NmVmLWI3ODMtMTY2NGRkZmI5MWU2XkEyXkFqcGdeQXVyMzI0NDc4ODY@._V1_UX67_CR0,0,67,98_AL_.jpg</v>
      </c>
      <c r="U986" s="8">
        <f>'Inflation Adjusted Gross'!F986</f>
        <v>289535622</v>
      </c>
      <c r="V986" s="5">
        <f t="shared" si="1"/>
        <v>2020</v>
      </c>
    </row>
    <row r="987">
      <c r="A987" s="1">
        <v>986.0</v>
      </c>
      <c r="B987" s="1" t="s">
        <v>5529</v>
      </c>
      <c r="C987" s="6">
        <f>Gross_cleaning!E987</f>
        <v>43000000</v>
      </c>
      <c r="D987" s="1">
        <v>1979.0</v>
      </c>
      <c r="E987" s="1" t="s">
        <v>18</v>
      </c>
      <c r="F987" s="1" t="str">
        <f>VLOOKUP(Filmes_raw!E987,Rating_systems!$A$2:$C$29,3,FALSE)</f>
        <v>Adulto</v>
      </c>
      <c r="G987" s="2">
        <f>Gross_cleaning!F987</f>
        <v>112</v>
      </c>
      <c r="H987" s="1" t="s">
        <v>295</v>
      </c>
      <c r="I987" s="1" t="s">
        <v>1045</v>
      </c>
      <c r="J987" s="1">
        <v>7.6</v>
      </c>
      <c r="K987" s="1" t="s">
        <v>5530</v>
      </c>
      <c r="L987" s="1" t="str">
        <f>IFERROR(__xludf.DUMMYFUNCTION("GOOGLETRANSLATE(K987,""en"", ""pt-br"")"),"Alcatraz é a prisão mais segura do seu tempo. Acredita-se que ninguém possa escapar dele, até que três homens ousados ​​fazem uma possível tentativa bem-sucedida de escapar de uma das prisões mais infames do mundo.")</f>
        <v>Alcatraz é a prisão mais segura do seu tempo. Acredita-se que ninguém possa escapar dele, até que três homens ousados ​​fazem uma possível tentativa bem-sucedida de escapar de uma das prisões mais infames do mundo.</v>
      </c>
      <c r="M987" s="1">
        <v>76.0</v>
      </c>
      <c r="N987" s="1" t="s">
        <v>4933</v>
      </c>
      <c r="O987" s="1" t="s">
        <v>119</v>
      </c>
      <c r="P987" s="1" t="s">
        <v>775</v>
      </c>
      <c r="Q987" s="1" t="s">
        <v>5531</v>
      </c>
      <c r="R987" s="1" t="s">
        <v>5532</v>
      </c>
      <c r="S987" s="1">
        <v>121731.0</v>
      </c>
      <c r="T987" s="7" t="str">
        <f>VLOOKUP(A987,Posters!A987:B1986,2)</f>
        <v>https://m.media-amazon.com/images/M/MV5BNDQ3MzNjMDItZjE0ZS00ZTYxLTgxNTAtM2I4YjZjNWFjYjJlL2ltYWdlXkEyXkFqcGdeQXVyNTAyODkwOQ@@._V1_UX67_CR0,0,67,98_AL_.jpg</v>
      </c>
      <c r="U987" s="8">
        <f>'Inflation Adjusted Gross'!F987</f>
        <v>162412196</v>
      </c>
      <c r="V987" s="5">
        <f t="shared" si="1"/>
        <v>2020</v>
      </c>
    </row>
    <row r="988">
      <c r="A988" s="1">
        <v>987.0</v>
      </c>
      <c r="B988" s="1" t="s">
        <v>5533</v>
      </c>
      <c r="C988" s="6">
        <f>Gross_cleaning!E988</f>
        <v>718597</v>
      </c>
      <c r="D988" s="1">
        <v>1978.0</v>
      </c>
      <c r="E988" s="1" t="s">
        <v>52</v>
      </c>
      <c r="F988" s="1" t="str">
        <f>VLOOKUP(Filmes_raw!E988,Rating_systems!$A$2:$C$29,3,FALSE)</f>
        <v>Criança</v>
      </c>
      <c r="G988" s="2">
        <f>Gross_cleaning!F988</f>
        <v>91</v>
      </c>
      <c r="H988" s="1" t="s">
        <v>1259</v>
      </c>
      <c r="I988" s="1" t="s">
        <v>352</v>
      </c>
      <c r="J988" s="1">
        <v>7.6</v>
      </c>
      <c r="K988" s="1" t="s">
        <v>5534</v>
      </c>
      <c r="L988" s="1" t="str">
        <f>IFERROR(__xludf.DUMMYFUNCTION("GOOGLETRANSLATE(K988,""en"", ""pt-br"")"),"Na esperança de escapar da destruição por desenvolvedores humanos e salvar sua comunidade, uma colônia de coelhos, liderada por Hazel and Fiver, procure um lugar seguro para criar um novo Warren.")</f>
        <v>Na esperança de escapar da destruição por desenvolvedores humanos e salvar sua comunidade, uma colônia de coelhos, liderada por Hazel and Fiver, procure um lugar seguro para criar um novo Warren.</v>
      </c>
      <c r="M988" s="1">
        <v>64.0</v>
      </c>
      <c r="N988" s="1" t="s">
        <v>5535</v>
      </c>
      <c r="O988" s="1" t="s">
        <v>5536</v>
      </c>
      <c r="P988" s="1" t="s">
        <v>585</v>
      </c>
      <c r="Q988" s="1" t="s">
        <v>5537</v>
      </c>
      <c r="R988" s="1" t="s">
        <v>5538</v>
      </c>
      <c r="S988" s="1">
        <v>33656.0</v>
      </c>
      <c r="T988" s="7" t="str">
        <f>VLOOKUP(A988,Posters!A988:B1987,2)</f>
        <v>https://m.media-amazon.com/images/M/MV5BMzZiODUwNzktNzBiZi00MDc4LThkMGMtZmE3MTE0M2E1MTM3L2ltYWdlXkEyXkFqcGdeQXVyNTAyODkwOQ@@._V1_UX67_CR0,0,67,98_AL_.jpg</v>
      </c>
      <c r="U988" s="8">
        <f>'Inflation Adjusted Gross'!F988</f>
        <v>2966035</v>
      </c>
      <c r="V988" s="5">
        <f t="shared" si="1"/>
        <v>2020</v>
      </c>
    </row>
    <row r="989">
      <c r="A989" s="1">
        <v>988.0</v>
      </c>
      <c r="B989" s="1" t="s">
        <v>5539</v>
      </c>
      <c r="C989" s="6">
        <f>Gross_cleaning!E989</f>
        <v>35000000</v>
      </c>
      <c r="D989" s="1">
        <v>1978.0</v>
      </c>
      <c r="E989" s="1" t="s">
        <v>18</v>
      </c>
      <c r="F989" s="1" t="str">
        <f>VLOOKUP(Filmes_raw!E989,Rating_systems!$A$2:$C$29,3,FALSE)</f>
        <v>Adulto</v>
      </c>
      <c r="G989" s="2">
        <f>Gross_cleaning!F989</f>
        <v>121</v>
      </c>
      <c r="H989" s="1" t="s">
        <v>249</v>
      </c>
      <c r="I989" s="1" t="s">
        <v>137</v>
      </c>
      <c r="J989" s="1">
        <v>7.6</v>
      </c>
      <c r="K989" s="1" t="s">
        <v>5540</v>
      </c>
      <c r="L989" s="1" t="str">
        <f>IFERROR(__xludf.DUMMYFUNCTION("GOOGLETRANSLATE(K989,""en"", ""pt-br"")"),"Billy Hayes, uma estudante universitária americana, é pego contrabando drogas fora da Turquia e jogada na prisão.")</f>
        <v>Billy Hayes, uma estudante universitária americana, é pego contrabando drogas fora da Turquia e jogada na prisão.</v>
      </c>
      <c r="M989" s="1">
        <v>59.0</v>
      </c>
      <c r="N989" s="1" t="s">
        <v>1852</v>
      </c>
      <c r="O989" s="1" t="s">
        <v>5541</v>
      </c>
      <c r="P989" s="1" t="s">
        <v>5542</v>
      </c>
      <c r="Q989" s="1" t="s">
        <v>5543</v>
      </c>
      <c r="R989" s="1" t="s">
        <v>5544</v>
      </c>
      <c r="S989" s="1">
        <v>73662.0</v>
      </c>
      <c r="T989" s="7" t="str">
        <f>VLOOKUP(A989,Posters!A989:B1988,2)</f>
        <v>https://m.media-amazon.com/images/M/MV5BNDU1MjQ0YWMtMWQ2MS00NTdmLTg1MGItNDA5NTNkNTRhOTIyXkEyXkFqcGdeQXVyNTIzOTk5ODM@._V1_UX67_CR0,0,67,98_AL_.jpg</v>
      </c>
      <c r="U989" s="8">
        <f>'Inflation Adjusted Gross'!F989</f>
        <v>144463760</v>
      </c>
      <c r="V989" s="5">
        <f t="shared" si="1"/>
        <v>2020</v>
      </c>
    </row>
    <row r="990">
      <c r="A990" s="1">
        <v>989.0</v>
      </c>
      <c r="B990" s="1" t="s">
        <v>5545</v>
      </c>
      <c r="C990" s="6">
        <f>Gross_cleaning!E990</f>
        <v>132088635</v>
      </c>
      <c r="D990" s="1">
        <v>1977.0</v>
      </c>
      <c r="E990" s="1" t="s">
        <v>52</v>
      </c>
      <c r="F990" s="1" t="str">
        <f>VLOOKUP(Filmes_raw!E990,Rating_systems!$A$2:$C$29,3,FALSE)</f>
        <v>Criança</v>
      </c>
      <c r="G990" s="2">
        <f>Gross_cleaning!F990</f>
        <v>138</v>
      </c>
      <c r="H990" s="1" t="s">
        <v>947</v>
      </c>
      <c r="I990" s="1" t="s">
        <v>928</v>
      </c>
      <c r="J990" s="1">
        <v>7.6</v>
      </c>
      <c r="K990" s="1" t="s">
        <v>5546</v>
      </c>
      <c r="L990" s="1" t="str">
        <f>IFERROR(__xludf.DUMMYFUNCTION("GOOGLETRANSLATE(K990,""en"", ""pt-br"")"),"Roy Neary, um lineman elétrico, assiste como sua vida diária tranquila e comum se vira de cabeça para baixo depois de um encontro próximo com um UFO.")</f>
        <v>Roy Neary, um lineman elétrico, assiste como sua vida diária tranquila e comum se vira de cabeça para baixo depois de um encontro próximo com um UFO.</v>
      </c>
      <c r="M990" s="1">
        <v>90.0</v>
      </c>
      <c r="N990" s="1" t="s">
        <v>81</v>
      </c>
      <c r="O990" s="1" t="s">
        <v>2678</v>
      </c>
      <c r="P990" s="1" t="s">
        <v>2004</v>
      </c>
      <c r="Q990" s="1" t="s">
        <v>5547</v>
      </c>
      <c r="R990" s="1" t="s">
        <v>3304</v>
      </c>
      <c r="S990" s="1">
        <v>184966.0</v>
      </c>
      <c r="T990" s="7" t="str">
        <f>VLOOKUP(A990,Posters!A990:B1989,2)</f>
        <v>https://m.media-amazon.com/images/M/MV5BMjM1NjE5NjQxN15BMl5BanBnXkFtZTgwMjYzMzQxMDE@._V1_UX67_CR0,0,67,98_AL_.jpg</v>
      </c>
      <c r="U990" s="8">
        <f>'Inflation Adjusted Gross'!F990</f>
        <v>582479269</v>
      </c>
      <c r="V990" s="5">
        <f t="shared" si="1"/>
        <v>2020</v>
      </c>
    </row>
    <row r="991">
      <c r="A991" s="1">
        <v>990.0</v>
      </c>
      <c r="B991" s="1" t="s">
        <v>5548</v>
      </c>
      <c r="C991" s="6">
        <f>Gross_cleaning!E991</f>
        <v>959</v>
      </c>
      <c r="D991" s="1">
        <v>1973.0</v>
      </c>
      <c r="E991" s="1" t="s">
        <v>18</v>
      </c>
      <c r="F991" s="1" t="str">
        <f>VLOOKUP(Filmes_raw!E991,Rating_systems!$A$2:$C$29,3,FALSE)</f>
        <v>Adulto</v>
      </c>
      <c r="G991" s="2">
        <f>Gross_cleaning!F991</f>
        <v>112</v>
      </c>
      <c r="H991" s="1" t="s">
        <v>295</v>
      </c>
      <c r="I991" s="1" t="s">
        <v>831</v>
      </c>
      <c r="J991" s="1">
        <v>7.6</v>
      </c>
      <c r="K991" s="1" t="s">
        <v>5549</v>
      </c>
      <c r="L991" s="1" t="str">
        <f>IFERROR(__xludf.DUMMYFUNCTION("GOOGLETRANSLATE(K991,""en"", ""pt-br"")"),"O investigador privado Philip Marlowe ajuda a amiga de um doce, mas ao fazê-lo é implicado no assassinato de sua esposa.")</f>
        <v>O investigador privado Philip Marlowe ajuda a amiga de um doce, mas ao fazê-lo é implicado no assassinato de sua esposa.</v>
      </c>
      <c r="M991" s="1">
        <v>87.0</v>
      </c>
      <c r="N991" s="1" t="s">
        <v>4763</v>
      </c>
      <c r="O991" s="1" t="s">
        <v>5550</v>
      </c>
      <c r="P991" s="1" t="s">
        <v>5551</v>
      </c>
      <c r="Q991" s="1" t="s">
        <v>606</v>
      </c>
      <c r="R991" s="1" t="s">
        <v>5507</v>
      </c>
      <c r="S991" s="1">
        <v>26337.0</v>
      </c>
      <c r="T991" s="7" t="str">
        <f>VLOOKUP(A991,Posters!A991:B1990,2)</f>
        <v>https://m.media-amazon.com/images/M/MV5BYzZhODNiOWYtMmNkNS00OTFhLTkzYzktYTQ4ZmNmZWMyN2ZiL2ltYWdlL2ltYWdlXkEyXkFqcGdeQXVyNjc1NTYyMjg@._V1_UX67_CR0,0,67,98_AL_.jpg</v>
      </c>
      <c r="U991" s="8">
        <f>'Inflation Adjusted Gross'!F991</f>
        <v>5807</v>
      </c>
      <c r="V991" s="5">
        <f t="shared" si="1"/>
        <v>2020</v>
      </c>
    </row>
    <row r="992">
      <c r="A992" s="1">
        <v>991.0</v>
      </c>
      <c r="B992" s="1" t="s">
        <v>5552</v>
      </c>
      <c r="C992" s="6">
        <f>Gross_cleaning!E992</f>
        <v>696690</v>
      </c>
      <c r="D992" s="1">
        <v>1971.0</v>
      </c>
      <c r="E992" s="1" t="s">
        <v>270</v>
      </c>
      <c r="F992" s="1" t="str">
        <f>VLOOKUP(Filmes_raw!E992,Rating_systems!$A$2:$C$29,3,FALSE)</f>
        <v>Criança</v>
      </c>
      <c r="G992" s="2">
        <f>Gross_cleaning!F992</f>
        <v>157</v>
      </c>
      <c r="H992" s="1" t="s">
        <v>3025</v>
      </c>
      <c r="I992" s="1" t="s">
        <v>5554</v>
      </c>
      <c r="J992" s="1">
        <v>7.6</v>
      </c>
      <c r="K992" s="1" t="s">
        <v>5555</v>
      </c>
      <c r="L992" s="1" t="str">
        <f>IFERROR(__xludf.DUMMYFUNCTION("GOOGLETRANSLATE(K992,""en"", ""pt-br"")"),"Um bandido de baixa vida e um i.r.a. Explosivos especializados rebeldes contra o governo e se tornam heróis da revolução mexicana.")</f>
        <v>Um bandido de baixa vida e um i.r.a. Explosivos especializados rebeldes contra o governo e se tornam heróis da revolução mexicana.</v>
      </c>
      <c r="M992" s="1">
        <v>77.0</v>
      </c>
      <c r="N992" s="1" t="s">
        <v>118</v>
      </c>
      <c r="O992" s="1" t="s">
        <v>2038</v>
      </c>
      <c r="P992" s="1" t="s">
        <v>3395</v>
      </c>
      <c r="Q992" s="1" t="s">
        <v>5556</v>
      </c>
      <c r="R992" s="1" t="s">
        <v>5557</v>
      </c>
      <c r="S992" s="1">
        <v>30144.0</v>
      </c>
      <c r="T992" s="7" t="str">
        <f>VLOOKUP(A992,Posters!A992:B1991,2)</f>
        <v>https://m.media-amazon.com/images/M/MV5BYjRmY2VjN2ItMzBmYy00YTRjLWFiMTgtNGZhNWJjMjk3YjZjXkEyXkFqcGdeQXVyNjc1NTYyMjg@._V1_UX67_CR0,0,67,98_AL_.jpg</v>
      </c>
      <c r="U992" s="8">
        <f>'Inflation Adjusted Gross'!F992</f>
        <v>4515724</v>
      </c>
      <c r="V992" s="5">
        <f t="shared" si="1"/>
        <v>2020</v>
      </c>
    </row>
    <row r="993">
      <c r="A993" s="1">
        <v>992.0</v>
      </c>
      <c r="B993" s="1" t="s">
        <v>5558</v>
      </c>
      <c r="C993" s="6">
        <f>Gross_cleaning!E993</f>
        <v>1378435</v>
      </c>
      <c r="D993" s="1">
        <v>1970.0</v>
      </c>
      <c r="E993" s="1" t="s">
        <v>1933</v>
      </c>
      <c r="F993" s="1" t="str">
        <f>VLOOKUP(Filmes_raw!E993,Rating_systems!$A$2:$C$29,3,FALSE)</f>
        <v>Criança</v>
      </c>
      <c r="G993" s="2">
        <f>Gross_cleaning!F993</f>
        <v>144</v>
      </c>
      <c r="H993" s="1" t="s">
        <v>1618</v>
      </c>
      <c r="I993" s="1" t="s">
        <v>5559</v>
      </c>
      <c r="J993" s="1">
        <v>7.6</v>
      </c>
      <c r="K993" s="1" t="s">
        <v>5560</v>
      </c>
      <c r="L993" s="1" t="str">
        <f>IFERROR(__xludf.DUMMYFUNCTION("GOOGLETRANSLATE(K993,""en"", ""pt-br"")"),"Um grupo de soldados de U.S. Sneaks através de linhas inimigas para colocar as mãos em um esconderijo secreto de tesouro nazista.")</f>
        <v>Um grupo de soldados de U.S. Sneaks através de linhas inimigas para colocar as mãos em um esconderijo secreto de tesouro nazista.</v>
      </c>
      <c r="M993" s="1">
        <v>50.0</v>
      </c>
      <c r="N993" s="1" t="s">
        <v>4940</v>
      </c>
      <c r="O993" s="1" t="s">
        <v>119</v>
      </c>
      <c r="P993" s="1" t="s">
        <v>5561</v>
      </c>
      <c r="Q993" s="1" t="s">
        <v>769</v>
      </c>
      <c r="R993" s="1" t="s">
        <v>5562</v>
      </c>
      <c r="S993" s="1">
        <v>45338.0</v>
      </c>
      <c r="T993" s="7" t="str">
        <f>VLOOKUP(A993,Posters!A993:B1992,2)</f>
        <v>https://m.media-amazon.com/images/M/MV5BMzAyNDUwYzUtN2NlMC00ODliLWExMjgtMGMzNmYzZmUwYTg1XkEyXkFqcGdeQXVyNjc1NTYyMjg@._V1_UX67_CR0,0,67,98_AL_.jpg</v>
      </c>
      <c r="U993" s="8">
        <f>'Inflation Adjusted Gross'!F993</f>
        <v>9407308</v>
      </c>
      <c r="V993" s="5">
        <f t="shared" si="1"/>
        <v>2020</v>
      </c>
    </row>
    <row r="994">
      <c r="A994" s="1">
        <v>993.0</v>
      </c>
      <c r="B994" s="1" t="s">
        <v>5563</v>
      </c>
      <c r="C994" s="6">
        <f>Gross_cleaning!E994</f>
        <v>141843612</v>
      </c>
      <c r="D994" s="1">
        <v>1967.0</v>
      </c>
      <c r="E994" s="1" t="s">
        <v>52</v>
      </c>
      <c r="F994" s="1" t="str">
        <f>VLOOKUP(Filmes_raw!E994,Rating_systems!$A$2:$C$29,3,FALSE)</f>
        <v>Criança</v>
      </c>
      <c r="G994" s="2">
        <f>Gross_cleaning!F994</f>
        <v>78</v>
      </c>
      <c r="H994" s="1" t="s">
        <v>5564</v>
      </c>
      <c r="I994" s="1" t="s">
        <v>204</v>
      </c>
      <c r="J994" s="1">
        <v>7.6</v>
      </c>
      <c r="K994" s="1" t="s">
        <v>5565</v>
      </c>
      <c r="L994" s="1" t="str">
        <f>IFERROR(__xludf.DUMMYFUNCTION("GOOGLETRANSLATE(K994,""en"", ""pt-br"")"),"Bagheera A Pantera e Baloo O urso tem dificuldade em tentar convencer um menino a deixar a selva para a civilização humana.")</f>
        <v>Bagheera A Pantera e Baloo O urso tem dificuldade em tentar convencer um menino a deixar a selva para a civilização humana.</v>
      </c>
      <c r="M994" s="1">
        <v>65.0</v>
      </c>
      <c r="N994" s="1" t="s">
        <v>5566</v>
      </c>
      <c r="O994" s="1" t="s">
        <v>5567</v>
      </c>
      <c r="P994" s="1" t="s">
        <v>5568</v>
      </c>
      <c r="Q994" s="1" t="s">
        <v>5569</v>
      </c>
      <c r="R994" s="1" t="s">
        <v>5570</v>
      </c>
      <c r="S994" s="1">
        <v>166409.0</v>
      </c>
      <c r="T994" s="7" t="str">
        <f>VLOOKUP(A994,Posters!A994:B1993,2)</f>
        <v>https://m.media-amazon.com/images/M/MV5BMjAwMTExODExNl5BMl5BanBnXkFtZTgwMjM2MDgyMTE@._V1_UX67_CR0,0,67,98_AL_.jpg</v>
      </c>
      <c r="U994" s="8">
        <f>'Inflation Adjusted Gross'!F994</f>
        <v>1112204816</v>
      </c>
      <c r="V994" s="5">
        <f t="shared" si="1"/>
        <v>2020</v>
      </c>
    </row>
    <row r="995">
      <c r="A995" s="1">
        <v>994.0</v>
      </c>
      <c r="B995" s="1" t="s">
        <v>5571</v>
      </c>
      <c r="C995" s="6">
        <f>Gross_cleaning!E995</f>
        <v>6066</v>
      </c>
      <c r="D995" s="1">
        <v>1966.0</v>
      </c>
      <c r="E995" s="1" t="s">
        <v>18</v>
      </c>
      <c r="F995" s="1" t="str">
        <f>VLOOKUP(Filmes_raw!E995,Rating_systems!$A$2:$C$29,3,FALSE)</f>
        <v>Adulto</v>
      </c>
      <c r="G995" s="2">
        <f>Gross_cleaning!F995</f>
        <v>111</v>
      </c>
      <c r="H995" s="1" t="s">
        <v>1663</v>
      </c>
      <c r="I995" s="1" t="s">
        <v>527</v>
      </c>
      <c r="J995" s="1">
        <v>7.6</v>
      </c>
      <c r="K995" s="1" t="s">
        <v>5572</v>
      </c>
      <c r="L995" s="1" t="str">
        <f>IFERROR(__xludf.DUMMYFUNCTION("GOOGLETRANSLATE(K995,""en"", ""pt-br"")"),"Um fotógrafo de moda, sem saber, captura uma morte no filme depois de seguir dois amantes em um parque.")</f>
        <v>Um fotógrafo de moda, sem saber, captura uma morte no filme depois de seguir dois amantes em um parque.</v>
      </c>
      <c r="M995" s="1">
        <v>82.0</v>
      </c>
      <c r="N995" s="1" t="s">
        <v>3407</v>
      </c>
      <c r="O995" s="1" t="s">
        <v>5573</v>
      </c>
      <c r="P995" s="1" t="s">
        <v>5574</v>
      </c>
      <c r="Q995" s="1" t="s">
        <v>5575</v>
      </c>
      <c r="R995" s="1" t="s">
        <v>3386</v>
      </c>
      <c r="S995" s="1">
        <v>56513.0</v>
      </c>
      <c r="T995" s="7" t="str">
        <f>VLOOKUP(A995,Posters!A995:B1994,2)</f>
        <v>https://m.media-amazon.com/images/M/MV5BYTE4YWU0NjAtMjNiYi00MTNiLTgwYzctZjk0YjY5NGVhNWQwXkEyXkFqcGdeQXVyMTY5Nzc4MDY@._V1_UY98_CR0,0,67,98_AL_.jpg</v>
      </c>
      <c r="U995" s="8">
        <f>'Inflation Adjusted Gross'!F995</f>
        <v>49209</v>
      </c>
      <c r="V995" s="5">
        <f t="shared" si="1"/>
        <v>2020</v>
      </c>
    </row>
    <row r="996">
      <c r="A996" s="1">
        <v>995.0</v>
      </c>
      <c r="B996" s="1" t="s">
        <v>5576</v>
      </c>
      <c r="C996" s="6">
        <f>Gross_cleaning!E996</f>
        <v>13780024</v>
      </c>
      <c r="D996" s="1">
        <v>1964.0</v>
      </c>
      <c r="E996" s="1" t="s">
        <v>52</v>
      </c>
      <c r="F996" s="1" t="str">
        <f>VLOOKUP(Filmes_raw!E996,Rating_systems!$A$2:$C$29,3,FALSE)</f>
        <v>Criança</v>
      </c>
      <c r="G996" s="2">
        <f>Gross_cleaning!F996</f>
        <v>87</v>
      </c>
      <c r="H996" s="1" t="s">
        <v>415</v>
      </c>
      <c r="I996" s="1" t="s">
        <v>3486</v>
      </c>
      <c r="J996" s="1">
        <v>7.6</v>
      </c>
      <c r="K996" s="1" t="s">
        <v>5577</v>
      </c>
      <c r="L996" s="1" t="str">
        <f>IFERROR(__xludf.DUMMYFUNCTION("GOOGLETRANSLATE(K996,""en"", ""pt-br"")"),"Mais de dois dias ""típicos"" na vida dos Beatles, os garotos lutam para manter a si mesmos e o avô travesso de Sir Paul McCartney sob controle enquanto se prepara para um desempenho de televisão ao vivo.")</f>
        <v>Mais de dois dias "típicos" na vida dos Beatles, os garotos lutam para manter a si mesmos e o avô travesso de Sir Paul McCartney sob controle enquanto se prepara para um desempenho de televisão ao vivo.</v>
      </c>
      <c r="M996" s="1">
        <v>96.0</v>
      </c>
      <c r="N996" s="1" t="s">
        <v>5578</v>
      </c>
      <c r="O996" s="1" t="s">
        <v>5579</v>
      </c>
      <c r="P996" s="1" t="s">
        <v>5580</v>
      </c>
      <c r="Q996" s="1" t="s">
        <v>5581</v>
      </c>
      <c r="R996" s="1" t="s">
        <v>5582</v>
      </c>
      <c r="S996" s="1">
        <v>40351.0</v>
      </c>
      <c r="T996" s="7" t="str">
        <f>VLOOKUP(A996,Posters!A996:B1995,2)</f>
        <v>https://m.media-amazon.com/images/M/MV5BZjQyMGUwNzAtNTc2MC00Y2FjLThlM2ItZGRjNzM0OWVmZGYyXkEyXkFqcGdeQXVyNjc1NTYyMjg@._V1_UX67_CR0,0,67,98_AL_.jpg</v>
      </c>
      <c r="U996" s="8">
        <f>'Inflation Adjusted Gross'!F996</f>
        <v>115043578</v>
      </c>
      <c r="V996" s="5">
        <f t="shared" si="1"/>
        <v>2020</v>
      </c>
    </row>
    <row r="997">
      <c r="A997" s="1">
        <v>996.0</v>
      </c>
      <c r="B997" s="1" t="s">
        <v>5583</v>
      </c>
      <c r="C997" s="6">
        <f>Gross_cleaning!E997</f>
        <v>508012</v>
      </c>
      <c r="D997" s="1">
        <v>1961.0</v>
      </c>
      <c r="E997" s="1" t="s">
        <v>18</v>
      </c>
      <c r="F997" s="1" t="str">
        <f>VLOOKUP(Filmes_raw!E997,Rating_systems!$A$2:$C$29,3,FALSE)</f>
        <v>Adulto</v>
      </c>
      <c r="G997" s="2">
        <f>Gross_cleaning!F997</f>
        <v>115</v>
      </c>
      <c r="H997" s="1" t="s">
        <v>563</v>
      </c>
      <c r="I997" s="1" t="s">
        <v>227</v>
      </c>
      <c r="J997" s="1">
        <v>7.6</v>
      </c>
      <c r="K997" s="1" t="s">
        <v>5584</v>
      </c>
      <c r="L997" s="1" t="str">
        <f>IFERROR(__xludf.DUMMYFUNCTION("GOOGLETRANSLATE(K997,""en"", ""pt-br"")"),"Uma jovem socialite de Nova York se interessa por um jovem que se mudou para o prédio de apartamentos, mas seu passado ameaça atrair o caminho.")</f>
        <v>Uma jovem socialite de Nova York se interessa por um jovem que se mudou para o prédio de apartamentos, mas seu passado ameaça atrair o caminho.</v>
      </c>
      <c r="M997" s="1">
        <v>76.0</v>
      </c>
      <c r="N997" s="1" t="s">
        <v>5585</v>
      </c>
      <c r="O997" s="1" t="s">
        <v>2839</v>
      </c>
      <c r="P997" s="1" t="s">
        <v>5586</v>
      </c>
      <c r="Q997" s="1" t="s">
        <v>5022</v>
      </c>
      <c r="R997" s="1" t="s">
        <v>5587</v>
      </c>
      <c r="S997" s="1">
        <v>166544.0</v>
      </c>
      <c r="T997" s="7" t="str">
        <f>VLOOKUP(A997,Posters!A997:B1996,2)</f>
        <v>https://m.media-amazon.com/images/M/MV5BNGEwMTRmZTQtMDY4Ni00MTliLTk5ZmMtOWMxYWMyMTllMDg0L2ltYWdlL2ltYWdlXkEyXkFqcGdeQXVyNjc1NTYyMjg@._V1_UX67_CR0,0,67,98_AL_.jpg</v>
      </c>
      <c r="U997" s="8">
        <f>'Inflation Adjusted Gross'!F997</f>
        <v>4397730</v>
      </c>
      <c r="V997" s="5">
        <f t="shared" si="1"/>
        <v>2020</v>
      </c>
    </row>
    <row r="998">
      <c r="A998" s="1">
        <v>997.0</v>
      </c>
      <c r="B998" s="1" t="s">
        <v>5588</v>
      </c>
      <c r="C998" s="6">
        <f>Gross_cleaning!E998</f>
        <v>5400000</v>
      </c>
      <c r="D998" s="1">
        <v>1956.0</v>
      </c>
      <c r="E998" s="1" t="s">
        <v>414</v>
      </c>
      <c r="F998" s="1" t="str">
        <f>VLOOKUP(Filmes_raw!E998,Rating_systems!$A$2:$C$29,3,FALSE)</f>
        <v>Criança</v>
      </c>
      <c r="G998" s="2">
        <f>Gross_cleaning!F998</f>
        <v>201</v>
      </c>
      <c r="H998" s="1" t="s">
        <v>61</v>
      </c>
      <c r="I998" s="1" t="s">
        <v>495</v>
      </c>
      <c r="J998" s="1">
        <v>7.6</v>
      </c>
      <c r="K998" s="1" t="s">
        <v>5590</v>
      </c>
      <c r="L998" s="1" t="str">
        <f>IFERROR(__xludf.DUMMYFUNCTION("GOOGLETRANSLATE(K998,""en"", ""pt-br"")"),"Apertar épico cobrindo a vida de um fazendeiro de gado do Texas e sua família e associados.")</f>
        <v>Apertar épico cobrindo a vida de um fazendeiro de gado do Texas e sua família e associados.</v>
      </c>
      <c r="M998" s="1">
        <v>84.0</v>
      </c>
      <c r="N998" s="1" t="s">
        <v>5591</v>
      </c>
      <c r="O998" s="1" t="s">
        <v>2743</v>
      </c>
      <c r="P998" s="1" t="s">
        <v>5592</v>
      </c>
      <c r="Q998" s="1" t="s">
        <v>3430</v>
      </c>
      <c r="R998" s="1" t="s">
        <v>5593</v>
      </c>
      <c r="S998" s="1">
        <v>34075.0</v>
      </c>
      <c r="T998" s="7" t="str">
        <f>VLOOKUP(A998,Posters!A998:B1997,2)</f>
        <v>https://m.media-amazon.com/images/M/MV5BODk3YjdjZTItOGVhYi00Mjc2LTgzMDAtMThmYTVkNTBlMWVkXkEyXkFqcGdeQXVyNDY2MTk1ODk@._V1_UX67_CR0,0,67,98_AL_.jpg</v>
      </c>
      <c r="U998" s="8">
        <f>'Inflation Adjusted Gross'!F998</f>
        <v>51979231</v>
      </c>
      <c r="V998" s="5">
        <f t="shared" si="1"/>
        <v>2020</v>
      </c>
    </row>
    <row r="999">
      <c r="A999" s="1">
        <v>998.0</v>
      </c>
      <c r="B999" s="1" t="s">
        <v>5594</v>
      </c>
      <c r="C999" s="6">
        <f>Gross_cleaning!E999</f>
        <v>30500000</v>
      </c>
      <c r="D999" s="1">
        <v>1953.0</v>
      </c>
      <c r="E999" s="1" t="s">
        <v>627</v>
      </c>
      <c r="F999" s="1" t="str">
        <f>VLOOKUP(Filmes_raw!E999,Rating_systems!$A$2:$C$29,3,FALSE)</f>
        <v>Adulto</v>
      </c>
      <c r="G999" s="2">
        <f>Gross_cleaning!F999</f>
        <v>118</v>
      </c>
      <c r="H999" s="1" t="s">
        <v>240</v>
      </c>
      <c r="I999" s="1" t="s">
        <v>406</v>
      </c>
      <c r="J999" s="1">
        <v>7.6</v>
      </c>
      <c r="K999" s="1" t="s">
        <v>5595</v>
      </c>
      <c r="L999" s="1" t="str">
        <f>IFERROR(__xludf.DUMMYFUNCTION("GOOGLETRANSLATE(K999,""en"", ""pt-br"")"),"No Havaí em 1941, um privado é cruelmente punido por não no boxe na equipe de sua unidade, enquanto a esposa do seu capitão e o segundo em comando estão se apaixonando.")</f>
        <v>No Havaí em 1941, um privado é cruelmente punido por não no boxe na equipe de sua unidade, enquanto a esposa do seu capitão e o segundo em comando estão se apaixonando.</v>
      </c>
      <c r="M999" s="1">
        <v>85.0</v>
      </c>
      <c r="N999" s="1" t="s">
        <v>3435</v>
      </c>
      <c r="O999" s="1" t="s">
        <v>1292</v>
      </c>
      <c r="P999" s="1" t="s">
        <v>4245</v>
      </c>
      <c r="Q999" s="1" t="s">
        <v>4232</v>
      </c>
      <c r="R999" s="1" t="s">
        <v>275</v>
      </c>
      <c r="S999" s="1">
        <v>43374.0</v>
      </c>
      <c r="T999" s="7" t="str">
        <f>VLOOKUP(A999,Posters!A999:B1998,2)</f>
        <v>https://m.media-amazon.com/images/M/MV5BM2U3YzkxNGMtYWE0YS00ODk0LTk1ZGEtNjk3ZTE0MTk4MzJjXkEyXkFqcGdeQXVyNDk0MDg4NDk@._V1_UX67_CR0,0,67,98_AL_.jpg</v>
      </c>
      <c r="U999" s="8">
        <f>'Inflation Adjusted Gross'!F999</f>
        <v>295793816</v>
      </c>
      <c r="V999" s="5">
        <f t="shared" si="1"/>
        <v>2020</v>
      </c>
    </row>
    <row r="1000">
      <c r="A1000" s="1">
        <v>999.0</v>
      </c>
      <c r="B1000" s="1" t="s">
        <v>5596</v>
      </c>
      <c r="C1000" s="6">
        <f>Gross_cleaning!E1000</f>
        <v>1590000</v>
      </c>
      <c r="D1000" s="1">
        <v>1944.0</v>
      </c>
      <c r="E1000" s="1" t="s">
        <v>2890</v>
      </c>
      <c r="F1000" s="1" t="str">
        <f>VLOOKUP(Filmes_raw!E1000,Rating_systems!$A$2:$C$29,3,FALSE)</f>
        <v>Criança</v>
      </c>
      <c r="G1000" s="2">
        <f>Gross_cleaning!F1000</f>
        <v>97</v>
      </c>
      <c r="H1000" s="1" t="s">
        <v>2864</v>
      </c>
      <c r="I1000" s="1" t="s">
        <v>213</v>
      </c>
      <c r="J1000" s="1">
        <v>7.6</v>
      </c>
      <c r="K1000" s="1" t="s">
        <v>5597</v>
      </c>
      <c r="L1000" s="1" t="str">
        <f>IFERROR(__xludf.DUMMYFUNCTION("GOOGLETRANSLATE(K1000,""en"", ""pt-br"")"),"Vários sobreviventes de um navio mercante torpedeado na Segunda Guerra Mundial se encontravam no mesmo barco salva-vidas com um dos membros da tripulação do U-Barco que afundou seu navio.")</f>
        <v>Vários sobreviventes de um navio mercante torpedeado na Segunda Guerra Mundial se encontravam no mesmo barco salva-vidas com um dos membros da tripulação do U-Barco que afundou seu navio.</v>
      </c>
      <c r="M1000" s="1">
        <v>78.0</v>
      </c>
      <c r="N1000" s="1" t="s">
        <v>399</v>
      </c>
      <c r="O1000" s="1" t="s">
        <v>5598</v>
      </c>
      <c r="P1000" s="1" t="s">
        <v>5599</v>
      </c>
      <c r="Q1000" s="1" t="s">
        <v>5600</v>
      </c>
      <c r="R1000" s="1" t="s">
        <v>5601</v>
      </c>
      <c r="S1000" s="1">
        <v>26471.0</v>
      </c>
      <c r="T1000" s="7" t="str">
        <f>VLOOKUP(A1000,Posters!A1000:B1999,2)</f>
        <v>https://m.media-amazon.com/images/M/MV5BZTBmMjUyMjItYTM4ZS00MjAwLWEyOGYtYjMyZTUxN2I3OTMxXkEyXkFqcGdeQXVyNjc1NTYyMjg@._V1_UX67_CR0,0,67,98_AL_.jpg</v>
      </c>
      <c r="U1000" s="8">
        <f>'Inflation Adjusted Gross'!F1000</f>
        <v>23573212</v>
      </c>
      <c r="V1000" s="5">
        <f t="shared" si="1"/>
        <v>2020</v>
      </c>
    </row>
    <row r="1001">
      <c r="A1001" s="1">
        <v>1000.0</v>
      </c>
      <c r="B1001" s="1" t="s">
        <v>5602</v>
      </c>
      <c r="C1001" s="6">
        <f>Gross_cleaning!E1001</f>
        <v>51711</v>
      </c>
      <c r="D1001" s="1">
        <v>1935.0</v>
      </c>
      <c r="E1001" s="1" t="s">
        <v>2890</v>
      </c>
      <c r="F1001" s="1" t="str">
        <f>VLOOKUP(Filmes_raw!E1001,Rating_systems!$A$2:$C$29,3,FALSE)</f>
        <v>Criança</v>
      </c>
      <c r="G1001" s="2">
        <f>Gross_cleaning!F1001</f>
        <v>86</v>
      </c>
      <c r="H1001" s="1" t="s">
        <v>1206</v>
      </c>
      <c r="I1001" s="1" t="s">
        <v>336</v>
      </c>
      <c r="J1001" s="1">
        <v>7.6</v>
      </c>
      <c r="K1001" s="1" t="s">
        <v>5603</v>
      </c>
      <c r="L1001" s="1" t="str">
        <f>IFERROR(__xludf.DUMMYFUNCTION("GOOGLETRANSLATE(K1001,""en"", ""pt-br"")"),"Um homem em Londres tenta ajudar um agente de contra-espionagem. Mas quando o agente é morto, e o homem é acusado, ele deve seguir a corrida para se salvar e parar um anel espião que está tentando roubar informações secretas.")</f>
        <v>Um homem em Londres tenta ajudar um agente de contra-espionagem. Mas quando o agente é morto, e o homem é acusado, ele deve seguir a corrida para se salvar e parar um anel espião que está tentando roubar informações secretas.</v>
      </c>
      <c r="M1001" s="1">
        <v>93.0</v>
      </c>
      <c r="N1001" s="1" t="s">
        <v>399</v>
      </c>
      <c r="O1001" s="1" t="s">
        <v>5604</v>
      </c>
      <c r="P1001" s="1" t="s">
        <v>5605</v>
      </c>
      <c r="Q1001" s="1" t="s">
        <v>5606</v>
      </c>
      <c r="R1001" s="1" t="s">
        <v>5607</v>
      </c>
      <c r="S1001" s="1">
        <v>51853.0</v>
      </c>
      <c r="T1001" s="7" t="str">
        <f>VLOOKUP(A1001,Posters!A1001:B2000,2)</f>
        <v>https://m.media-amazon.com/images/M/MV5BMTY5ODAzMTcwOF5BMl5BanBnXkFtZTcwMzYxNDYyNA@@._V1_UX67_CR0,0,67,98_AL_.jpg</v>
      </c>
      <c r="U1001" s="8">
        <f>'Inflation Adjusted Gross'!F1001</f>
        <v>980878</v>
      </c>
      <c r="V1001" s="5">
        <f t="shared" si="1"/>
        <v>2020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0</v>
      </c>
      <c r="B1" s="9" t="s">
        <v>1</v>
      </c>
      <c r="C1" s="9" t="s">
        <v>6</v>
      </c>
      <c r="D1" s="9" t="s">
        <v>6614</v>
      </c>
    </row>
    <row r="2">
      <c r="A2" s="5">
        <v>1.0</v>
      </c>
      <c r="B2" s="5" t="s">
        <v>17</v>
      </c>
      <c r="C2" s="5" t="s">
        <v>20</v>
      </c>
      <c r="D2" s="5">
        <v>1.0</v>
      </c>
    </row>
    <row r="3">
      <c r="A3" s="5">
        <v>2.0</v>
      </c>
      <c r="B3" s="5" t="s">
        <v>27</v>
      </c>
      <c r="C3" s="5" t="s">
        <v>6615</v>
      </c>
      <c r="D3" s="5">
        <v>1.0</v>
      </c>
    </row>
    <row r="4">
      <c r="A4" s="5">
        <v>2.0</v>
      </c>
      <c r="B4" s="5" t="s">
        <v>27</v>
      </c>
      <c r="C4" s="5" t="s">
        <v>20</v>
      </c>
      <c r="D4" s="5">
        <v>2.0</v>
      </c>
    </row>
    <row r="5">
      <c r="A5" s="5">
        <v>3.0</v>
      </c>
      <c r="B5" s="5" t="s">
        <v>36</v>
      </c>
      <c r="C5" s="5" t="s">
        <v>6616</v>
      </c>
      <c r="D5" s="5">
        <v>1.0</v>
      </c>
    </row>
    <row r="6">
      <c r="A6" s="5">
        <v>3.0</v>
      </c>
      <c r="B6" s="5" t="s">
        <v>36</v>
      </c>
      <c r="C6" s="5" t="s">
        <v>6615</v>
      </c>
      <c r="D6" s="5">
        <v>2.0</v>
      </c>
    </row>
    <row r="7">
      <c r="A7" s="5">
        <v>3.0</v>
      </c>
      <c r="B7" s="5" t="s">
        <v>36</v>
      </c>
      <c r="C7" s="5" t="s">
        <v>20</v>
      </c>
      <c r="D7" s="5">
        <v>3.0</v>
      </c>
    </row>
    <row r="8">
      <c r="A8" s="5">
        <v>4.0</v>
      </c>
      <c r="B8" s="5" t="s">
        <v>46</v>
      </c>
      <c r="C8" s="5" t="s">
        <v>6615</v>
      </c>
      <c r="D8" s="5">
        <v>1.0</v>
      </c>
    </row>
    <row r="9">
      <c r="A9" s="5">
        <v>4.0</v>
      </c>
      <c r="B9" s="5" t="s">
        <v>46</v>
      </c>
      <c r="C9" s="5" t="s">
        <v>20</v>
      </c>
      <c r="D9" s="5">
        <v>2.0</v>
      </c>
    </row>
    <row r="10">
      <c r="A10" s="5">
        <v>5.0</v>
      </c>
      <c r="B10" s="5" t="s">
        <v>51</v>
      </c>
      <c r="C10" s="5" t="s">
        <v>6615</v>
      </c>
      <c r="D10" s="5">
        <v>1.0</v>
      </c>
    </row>
    <row r="11">
      <c r="A11" s="5">
        <v>5.0</v>
      </c>
      <c r="B11" s="5" t="s">
        <v>51</v>
      </c>
      <c r="C11" s="5" t="s">
        <v>20</v>
      </c>
      <c r="D11" s="5">
        <v>2.0</v>
      </c>
    </row>
    <row r="12">
      <c r="A12" s="5">
        <v>6.0</v>
      </c>
      <c r="B12" s="5" t="s">
        <v>60</v>
      </c>
      <c r="C12" s="5" t="s">
        <v>6616</v>
      </c>
      <c r="D12" s="5">
        <v>1.0</v>
      </c>
    </row>
    <row r="13">
      <c r="A13" s="5">
        <v>6.0</v>
      </c>
      <c r="B13" s="5" t="s">
        <v>60</v>
      </c>
      <c r="C13" s="5" t="s">
        <v>6617</v>
      </c>
      <c r="D13" s="5">
        <v>2.0</v>
      </c>
    </row>
    <row r="14">
      <c r="A14" s="5">
        <v>6.0</v>
      </c>
      <c r="B14" s="5" t="s">
        <v>60</v>
      </c>
      <c r="C14" s="5" t="s">
        <v>20</v>
      </c>
      <c r="D14" s="5">
        <v>3.0</v>
      </c>
    </row>
    <row r="15">
      <c r="A15" s="5">
        <v>7.0</v>
      </c>
      <c r="B15" s="5" t="s">
        <v>69</v>
      </c>
      <c r="C15" s="5" t="s">
        <v>6615</v>
      </c>
      <c r="D15" s="5">
        <v>1.0</v>
      </c>
    </row>
    <row r="16">
      <c r="A16" s="5">
        <v>7.0</v>
      </c>
      <c r="B16" s="5" t="s">
        <v>69</v>
      </c>
      <c r="C16" s="5" t="s">
        <v>20</v>
      </c>
      <c r="D16" s="5">
        <v>2.0</v>
      </c>
    </row>
    <row r="17">
      <c r="A17" s="5">
        <v>8.0</v>
      </c>
      <c r="B17" s="5" t="s">
        <v>77</v>
      </c>
      <c r="C17" s="5" t="s">
        <v>6618</v>
      </c>
      <c r="D17" s="5">
        <v>1.0</v>
      </c>
    </row>
    <row r="18">
      <c r="A18" s="5">
        <v>8.0</v>
      </c>
      <c r="B18" s="5" t="s">
        <v>77</v>
      </c>
      <c r="C18" s="5" t="s">
        <v>20</v>
      </c>
      <c r="D18" s="5">
        <v>2.0</v>
      </c>
    </row>
    <row r="19">
      <c r="A19" s="5">
        <v>8.0</v>
      </c>
      <c r="B19" s="5" t="s">
        <v>77</v>
      </c>
      <c r="C19" s="5" t="s">
        <v>6619</v>
      </c>
      <c r="D19" s="5">
        <v>3.0</v>
      </c>
    </row>
    <row r="20">
      <c r="A20" s="5">
        <v>9.0</v>
      </c>
      <c r="B20" s="5" t="s">
        <v>86</v>
      </c>
      <c r="C20" s="5" t="s">
        <v>6616</v>
      </c>
      <c r="D20" s="5">
        <v>1.0</v>
      </c>
    </row>
    <row r="21">
      <c r="A21" s="5">
        <v>9.0</v>
      </c>
      <c r="B21" s="5" t="s">
        <v>86</v>
      </c>
      <c r="C21" s="5" t="s">
        <v>6617</v>
      </c>
      <c r="D21" s="5">
        <v>2.0</v>
      </c>
    </row>
    <row r="22">
      <c r="A22" s="5">
        <v>9.0</v>
      </c>
      <c r="B22" s="5" t="s">
        <v>86</v>
      </c>
      <c r="C22" s="5" t="s">
        <v>6620</v>
      </c>
      <c r="D22" s="5">
        <v>3.0</v>
      </c>
    </row>
    <row r="23">
      <c r="A23" s="5">
        <v>10.0</v>
      </c>
      <c r="B23" s="5" t="s">
        <v>94</v>
      </c>
      <c r="C23" s="5" t="s">
        <v>20</v>
      </c>
      <c r="D23" s="5">
        <v>1.0</v>
      </c>
    </row>
    <row r="24">
      <c r="A24" s="5">
        <v>11.0</v>
      </c>
      <c r="B24" s="5" t="s">
        <v>102</v>
      </c>
      <c r="C24" s="5" t="s">
        <v>6616</v>
      </c>
      <c r="D24" s="5">
        <v>1.0</v>
      </c>
    </row>
    <row r="25">
      <c r="A25" s="5">
        <v>11.0</v>
      </c>
      <c r="B25" s="5" t="s">
        <v>102</v>
      </c>
      <c r="C25" s="5" t="s">
        <v>6617</v>
      </c>
      <c r="D25" s="5">
        <v>2.0</v>
      </c>
    </row>
    <row r="26">
      <c r="A26" s="5">
        <v>11.0</v>
      </c>
      <c r="B26" s="5" t="s">
        <v>102</v>
      </c>
      <c r="C26" s="5" t="s">
        <v>20</v>
      </c>
      <c r="D26" s="5">
        <v>3.0</v>
      </c>
    </row>
    <row r="27">
      <c r="A27" s="5">
        <v>12.0</v>
      </c>
      <c r="B27" s="5" t="s">
        <v>106</v>
      </c>
      <c r="C27" s="5" t="s">
        <v>20</v>
      </c>
      <c r="D27" s="5">
        <v>1.0</v>
      </c>
    </row>
    <row r="28">
      <c r="A28" s="5">
        <v>12.0</v>
      </c>
      <c r="B28" s="5" t="s">
        <v>106</v>
      </c>
      <c r="C28" s="5" t="s">
        <v>6621</v>
      </c>
      <c r="D28" s="5">
        <v>2.0</v>
      </c>
    </row>
    <row r="29">
      <c r="A29" s="5">
        <v>13.0</v>
      </c>
      <c r="B29" s="5" t="s">
        <v>114</v>
      </c>
      <c r="C29" s="5" t="s">
        <v>116</v>
      </c>
      <c r="D29" s="5">
        <v>1.0</v>
      </c>
    </row>
    <row r="30">
      <c r="A30" s="5">
        <v>14.0</v>
      </c>
      <c r="B30" s="5" t="s">
        <v>123</v>
      </c>
      <c r="C30" s="5" t="s">
        <v>6616</v>
      </c>
      <c r="D30" s="5">
        <v>1.0</v>
      </c>
    </row>
    <row r="31">
      <c r="A31" s="5">
        <v>14.0</v>
      </c>
      <c r="B31" s="5" t="s">
        <v>123</v>
      </c>
      <c r="C31" s="5" t="s">
        <v>6617</v>
      </c>
      <c r="D31" s="5">
        <v>2.0</v>
      </c>
    </row>
    <row r="32">
      <c r="A32" s="5">
        <v>14.0</v>
      </c>
      <c r="B32" s="5" t="s">
        <v>123</v>
      </c>
      <c r="C32" s="5" t="s">
        <v>20</v>
      </c>
      <c r="D32" s="5">
        <v>3.0</v>
      </c>
    </row>
    <row r="33">
      <c r="A33" s="5">
        <v>15.0</v>
      </c>
      <c r="B33" s="5" t="s">
        <v>126</v>
      </c>
      <c r="C33" s="5" t="s">
        <v>6616</v>
      </c>
      <c r="D33" s="5">
        <v>1.0</v>
      </c>
    </row>
    <row r="34">
      <c r="A34" s="5">
        <v>15.0</v>
      </c>
      <c r="B34" s="5" t="s">
        <v>126</v>
      </c>
      <c r="C34" s="5" t="s">
        <v>6620</v>
      </c>
      <c r="D34" s="5">
        <v>2.0</v>
      </c>
    </row>
    <row r="35">
      <c r="A35" s="5">
        <v>16.0</v>
      </c>
      <c r="B35" s="5" t="s">
        <v>135</v>
      </c>
      <c r="C35" s="5" t="s">
        <v>6618</v>
      </c>
      <c r="D35" s="5">
        <v>1.0</v>
      </c>
    </row>
    <row r="36">
      <c r="A36" s="5">
        <v>16.0</v>
      </c>
      <c r="B36" s="5" t="s">
        <v>135</v>
      </c>
      <c r="C36" s="5" t="s">
        <v>6615</v>
      </c>
      <c r="D36" s="5">
        <v>2.0</v>
      </c>
    </row>
    <row r="37">
      <c r="A37" s="5">
        <v>16.0</v>
      </c>
      <c r="B37" s="5" t="s">
        <v>135</v>
      </c>
      <c r="C37" s="5" t="s">
        <v>20</v>
      </c>
      <c r="D37" s="5">
        <v>3.0</v>
      </c>
    </row>
    <row r="38">
      <c r="A38" s="5">
        <v>17.0</v>
      </c>
      <c r="B38" s="5" t="s">
        <v>143</v>
      </c>
      <c r="C38" s="5" t="s">
        <v>6616</v>
      </c>
      <c r="D38" s="5">
        <v>1.0</v>
      </c>
    </row>
    <row r="39">
      <c r="A39" s="5">
        <v>17.0</v>
      </c>
      <c r="B39" s="5" t="s">
        <v>143</v>
      </c>
      <c r="C39" s="5" t="s">
        <v>6617</v>
      </c>
      <c r="D39" s="5">
        <v>2.0</v>
      </c>
    </row>
    <row r="40">
      <c r="A40" s="5">
        <v>17.0</v>
      </c>
      <c r="B40" s="5" t="s">
        <v>143</v>
      </c>
      <c r="C40" s="5" t="s">
        <v>6622</v>
      </c>
      <c r="D40" s="5">
        <v>3.0</v>
      </c>
    </row>
    <row r="41">
      <c r="A41" s="5">
        <v>18.0</v>
      </c>
      <c r="B41" s="5" t="s">
        <v>152</v>
      </c>
      <c r="C41" s="5" t="s">
        <v>20</v>
      </c>
      <c r="D41" s="5">
        <v>1.0</v>
      </c>
    </row>
    <row r="42">
      <c r="A42" s="5">
        <v>19.0</v>
      </c>
      <c r="B42" s="5" t="s">
        <v>160</v>
      </c>
      <c r="C42" s="5" t="s">
        <v>6618</v>
      </c>
      <c r="D42" s="5">
        <v>1.0</v>
      </c>
    </row>
    <row r="43">
      <c r="A43" s="5">
        <v>19.0</v>
      </c>
      <c r="B43" s="5" t="s">
        <v>160</v>
      </c>
      <c r="C43" s="5" t="s">
        <v>20</v>
      </c>
      <c r="D43" s="5">
        <v>2.0</v>
      </c>
    </row>
    <row r="44">
      <c r="A44" s="5">
        <v>19.0</v>
      </c>
      <c r="B44" s="5" t="s">
        <v>160</v>
      </c>
      <c r="C44" s="5" t="s">
        <v>6619</v>
      </c>
      <c r="D44" s="5">
        <v>3.0</v>
      </c>
    </row>
    <row r="45">
      <c r="A45" s="5">
        <v>20.0</v>
      </c>
      <c r="B45" s="5" t="s">
        <v>169</v>
      </c>
      <c r="C45" s="5" t="s">
        <v>602</v>
      </c>
      <c r="D45" s="5">
        <v>1.0</v>
      </c>
    </row>
    <row r="46">
      <c r="A46" s="5">
        <v>20.0</v>
      </c>
      <c r="B46" s="5" t="s">
        <v>169</v>
      </c>
      <c r="C46" s="5" t="s">
        <v>20</v>
      </c>
      <c r="D46" s="5">
        <v>2.0</v>
      </c>
    </row>
    <row r="47">
      <c r="A47" s="5">
        <v>20.0</v>
      </c>
      <c r="B47" s="5" t="s">
        <v>169</v>
      </c>
      <c r="C47" s="5" t="s">
        <v>4191</v>
      </c>
      <c r="D47" s="5">
        <v>3.0</v>
      </c>
    </row>
    <row r="48">
      <c r="A48" s="5">
        <v>21.0</v>
      </c>
      <c r="B48" s="5" t="s">
        <v>178</v>
      </c>
      <c r="C48" s="5" t="s">
        <v>20</v>
      </c>
      <c r="D48" s="5">
        <v>1.0</v>
      </c>
    </row>
    <row r="49">
      <c r="A49" s="5">
        <v>22.0</v>
      </c>
      <c r="B49" s="5" t="s">
        <v>186</v>
      </c>
      <c r="C49" s="5" t="s">
        <v>6617</v>
      </c>
      <c r="D49" s="5">
        <v>1.0</v>
      </c>
    </row>
    <row r="50">
      <c r="A50" s="5">
        <v>22.0</v>
      </c>
      <c r="B50" s="5" t="s">
        <v>186</v>
      </c>
      <c r="C50" s="5" t="s">
        <v>20</v>
      </c>
      <c r="D50" s="5">
        <v>2.0</v>
      </c>
    </row>
    <row r="51">
      <c r="A51" s="5">
        <v>22.0</v>
      </c>
      <c r="B51" s="5" t="s">
        <v>186</v>
      </c>
      <c r="C51" s="5" t="s">
        <v>6620</v>
      </c>
      <c r="D51" s="5">
        <v>3.0</v>
      </c>
    </row>
    <row r="52">
      <c r="A52" s="5">
        <v>23.0</v>
      </c>
      <c r="B52" s="5" t="s">
        <v>194</v>
      </c>
      <c r="C52" s="5" t="s">
        <v>6615</v>
      </c>
      <c r="D52" s="5">
        <v>1.0</v>
      </c>
    </row>
    <row r="53">
      <c r="A53" s="5">
        <v>23.0</v>
      </c>
      <c r="B53" s="5" t="s">
        <v>194</v>
      </c>
      <c r="C53" s="5" t="s">
        <v>20</v>
      </c>
      <c r="D53" s="5">
        <v>2.0</v>
      </c>
    </row>
    <row r="54">
      <c r="A54" s="5">
        <v>24.0</v>
      </c>
      <c r="B54" s="5" t="s">
        <v>202</v>
      </c>
      <c r="C54" s="5" t="s">
        <v>6623</v>
      </c>
      <c r="D54" s="5">
        <v>1.0</v>
      </c>
    </row>
    <row r="55">
      <c r="A55" s="5">
        <v>24.0</v>
      </c>
      <c r="B55" s="5" t="s">
        <v>202</v>
      </c>
      <c r="C55" s="5" t="s">
        <v>6617</v>
      </c>
      <c r="D55" s="5">
        <v>2.0</v>
      </c>
    </row>
    <row r="56">
      <c r="A56" s="5">
        <v>24.0</v>
      </c>
      <c r="B56" s="5" t="s">
        <v>202</v>
      </c>
      <c r="C56" s="5" t="s">
        <v>6624</v>
      </c>
      <c r="D56" s="5">
        <v>3.0</v>
      </c>
    </row>
    <row r="57">
      <c r="A57" s="5">
        <v>25.0</v>
      </c>
      <c r="B57" s="5" t="s">
        <v>211</v>
      </c>
      <c r="C57" s="5" t="s">
        <v>20</v>
      </c>
      <c r="D57" s="5">
        <v>1.0</v>
      </c>
    </row>
    <row r="58">
      <c r="A58" s="5">
        <v>25.0</v>
      </c>
      <c r="B58" s="5" t="s">
        <v>211</v>
      </c>
      <c r="C58" s="5" t="s">
        <v>6625</v>
      </c>
      <c r="D58" s="5">
        <v>2.0</v>
      </c>
    </row>
    <row r="59">
      <c r="A59" s="5">
        <v>26.0</v>
      </c>
      <c r="B59" s="5" t="s">
        <v>218</v>
      </c>
      <c r="C59" s="5" t="s">
        <v>6615</v>
      </c>
      <c r="D59" s="5">
        <v>1.0</v>
      </c>
    </row>
    <row r="60">
      <c r="A60" s="5">
        <v>26.0</v>
      </c>
      <c r="B60" s="5" t="s">
        <v>218</v>
      </c>
      <c r="C60" s="5" t="s">
        <v>20</v>
      </c>
      <c r="D60" s="5">
        <v>2.0</v>
      </c>
    </row>
    <row r="61">
      <c r="A61" s="5">
        <v>26.0</v>
      </c>
      <c r="B61" s="5" t="s">
        <v>218</v>
      </c>
      <c r="C61" s="5" t="s">
        <v>6622</v>
      </c>
      <c r="D61" s="5">
        <v>3.0</v>
      </c>
    </row>
    <row r="62">
      <c r="A62" s="5">
        <v>27.0</v>
      </c>
      <c r="B62" s="5" t="s">
        <v>225</v>
      </c>
      <c r="C62" s="5" t="s">
        <v>602</v>
      </c>
      <c r="D62" s="5">
        <v>1.0</v>
      </c>
    </row>
    <row r="63">
      <c r="A63" s="5">
        <v>27.0</v>
      </c>
      <c r="B63" s="5" t="s">
        <v>225</v>
      </c>
      <c r="C63" s="5" t="s">
        <v>20</v>
      </c>
      <c r="D63" s="5">
        <v>2.0</v>
      </c>
    </row>
    <row r="64">
      <c r="A64" s="5">
        <v>27.0</v>
      </c>
      <c r="B64" s="5" t="s">
        <v>225</v>
      </c>
      <c r="C64" s="5" t="s">
        <v>6621</v>
      </c>
      <c r="D64" s="5">
        <v>3.0</v>
      </c>
    </row>
    <row r="65">
      <c r="A65" s="5">
        <v>28.0</v>
      </c>
      <c r="B65" s="5" t="s">
        <v>233</v>
      </c>
      <c r="C65" s="5" t="s">
        <v>6615</v>
      </c>
      <c r="D65" s="5">
        <v>1.0</v>
      </c>
    </row>
    <row r="66">
      <c r="A66" s="5">
        <v>28.0</v>
      </c>
      <c r="B66" s="5" t="s">
        <v>233</v>
      </c>
      <c r="C66" s="5" t="s">
        <v>20</v>
      </c>
      <c r="D66" s="5">
        <v>2.0</v>
      </c>
    </row>
    <row r="67">
      <c r="A67" s="5">
        <v>28.0</v>
      </c>
      <c r="B67" s="5" t="s">
        <v>233</v>
      </c>
      <c r="C67" s="5" t="s">
        <v>6626</v>
      </c>
      <c r="D67" s="5">
        <v>3.0</v>
      </c>
    </row>
    <row r="68">
      <c r="A68" s="5">
        <v>29.0</v>
      </c>
      <c r="B68" s="5" t="s">
        <v>239</v>
      </c>
      <c r="C68" s="5" t="s">
        <v>6615</v>
      </c>
      <c r="D68" s="5">
        <v>1.0</v>
      </c>
    </row>
    <row r="69">
      <c r="A69" s="5">
        <v>29.0</v>
      </c>
      <c r="B69" s="5" t="s">
        <v>239</v>
      </c>
      <c r="C69" s="5" t="s">
        <v>20</v>
      </c>
      <c r="D69" s="5">
        <v>2.0</v>
      </c>
    </row>
    <row r="70">
      <c r="A70" s="5">
        <v>29.0</v>
      </c>
      <c r="B70" s="5" t="s">
        <v>239</v>
      </c>
      <c r="C70" s="5" t="s">
        <v>4191</v>
      </c>
      <c r="D70" s="5">
        <v>3.0</v>
      </c>
    </row>
    <row r="71">
      <c r="A71" s="5">
        <v>30.0</v>
      </c>
      <c r="B71" s="5" t="s">
        <v>248</v>
      </c>
      <c r="C71" s="5" t="s">
        <v>6616</v>
      </c>
      <c r="D71" s="5">
        <v>1.0</v>
      </c>
    </row>
    <row r="72">
      <c r="A72" s="5">
        <v>30.0</v>
      </c>
      <c r="B72" s="5" t="s">
        <v>248</v>
      </c>
      <c r="C72" s="5" t="s">
        <v>6617</v>
      </c>
      <c r="D72" s="5">
        <v>2.0</v>
      </c>
    </row>
    <row r="73">
      <c r="A73" s="5">
        <v>30.0</v>
      </c>
      <c r="B73" s="5" t="s">
        <v>248</v>
      </c>
      <c r="C73" s="5" t="s">
        <v>6622</v>
      </c>
      <c r="D73" s="5">
        <v>3.0</v>
      </c>
    </row>
    <row r="74">
      <c r="A74" s="5">
        <v>31.0</v>
      </c>
      <c r="B74" s="5" t="s">
        <v>253</v>
      </c>
      <c r="C74" s="5" t="s">
        <v>6616</v>
      </c>
      <c r="D74" s="5">
        <v>1.0</v>
      </c>
    </row>
    <row r="75">
      <c r="A75" s="5">
        <v>31.0</v>
      </c>
      <c r="B75" s="5" t="s">
        <v>253</v>
      </c>
      <c r="C75" s="5" t="s">
        <v>20</v>
      </c>
      <c r="D75" s="5">
        <v>2.0</v>
      </c>
    </row>
    <row r="76">
      <c r="A76" s="5">
        <v>31.0</v>
      </c>
      <c r="B76" s="5" t="s">
        <v>253</v>
      </c>
      <c r="C76" s="5" t="s">
        <v>6626</v>
      </c>
      <c r="D76" s="5">
        <v>3.0</v>
      </c>
    </row>
    <row r="77">
      <c r="A77" s="5">
        <v>32.0</v>
      </c>
      <c r="B77" s="5" t="s">
        <v>261</v>
      </c>
      <c r="C77" s="5" t="s">
        <v>6616</v>
      </c>
      <c r="D77" s="5">
        <v>1.0</v>
      </c>
    </row>
    <row r="78">
      <c r="A78" s="5">
        <v>32.0</v>
      </c>
      <c r="B78" s="5" t="s">
        <v>261</v>
      </c>
      <c r="C78" s="5" t="s">
        <v>6617</v>
      </c>
      <c r="D78" s="5">
        <v>2.0</v>
      </c>
    </row>
    <row r="79">
      <c r="A79" s="5">
        <v>32.0</v>
      </c>
      <c r="B79" s="5" t="s">
        <v>261</v>
      </c>
      <c r="C79" s="5" t="s">
        <v>20</v>
      </c>
      <c r="D79" s="5">
        <v>3.0</v>
      </c>
    </row>
    <row r="80">
      <c r="A80" s="5">
        <v>33.0</v>
      </c>
      <c r="B80" s="5" t="s">
        <v>269</v>
      </c>
      <c r="C80" s="5" t="s">
        <v>20</v>
      </c>
      <c r="D80" s="5">
        <v>1.0</v>
      </c>
    </row>
    <row r="81">
      <c r="A81" s="5">
        <v>33.0</v>
      </c>
      <c r="B81" s="5" t="s">
        <v>269</v>
      </c>
      <c r="C81" s="5" t="s">
        <v>6624</v>
      </c>
      <c r="D81" s="5">
        <v>2.0</v>
      </c>
    </row>
    <row r="82">
      <c r="A82" s="5">
        <v>33.0</v>
      </c>
      <c r="B82" s="5" t="s">
        <v>269</v>
      </c>
      <c r="C82" s="5" t="s">
        <v>6622</v>
      </c>
      <c r="D82" s="5">
        <v>3.0</v>
      </c>
    </row>
    <row r="83">
      <c r="A83" s="5">
        <v>34.0</v>
      </c>
      <c r="B83" s="5" t="s">
        <v>278</v>
      </c>
      <c r="C83" s="5" t="s">
        <v>6615</v>
      </c>
      <c r="D83" s="5">
        <v>1.0</v>
      </c>
    </row>
    <row r="84">
      <c r="A84" s="5">
        <v>34.0</v>
      </c>
      <c r="B84" s="5" t="s">
        <v>278</v>
      </c>
      <c r="C84" s="5" t="s">
        <v>20</v>
      </c>
      <c r="D84" s="5">
        <v>2.0</v>
      </c>
    </row>
    <row r="85">
      <c r="A85" s="5">
        <v>34.0</v>
      </c>
      <c r="B85" s="5" t="s">
        <v>278</v>
      </c>
      <c r="C85" s="5" t="s">
        <v>4191</v>
      </c>
      <c r="D85" s="5">
        <v>3.0</v>
      </c>
    </row>
    <row r="86">
      <c r="A86" s="5">
        <v>35.0</v>
      </c>
      <c r="B86" s="5" t="s">
        <v>285</v>
      </c>
      <c r="C86" s="5" t="s">
        <v>20</v>
      </c>
      <c r="D86" s="5">
        <v>1.0</v>
      </c>
    </row>
    <row r="87">
      <c r="A87" s="5">
        <v>35.0</v>
      </c>
      <c r="B87" s="5" t="s">
        <v>285</v>
      </c>
      <c r="C87" s="5" t="s">
        <v>6627</v>
      </c>
      <c r="D87" s="5">
        <v>2.0</v>
      </c>
    </row>
    <row r="88">
      <c r="A88" s="5">
        <v>36.0</v>
      </c>
      <c r="B88" s="5" t="s">
        <v>294</v>
      </c>
      <c r="C88" s="5" t="s">
        <v>6618</v>
      </c>
      <c r="D88" s="5">
        <v>1.0</v>
      </c>
    </row>
    <row r="89">
      <c r="A89" s="5">
        <v>36.0</v>
      </c>
      <c r="B89" s="5" t="s">
        <v>294</v>
      </c>
      <c r="C89" s="5" t="s">
        <v>602</v>
      </c>
      <c r="D89" s="5">
        <v>2.0</v>
      </c>
    </row>
    <row r="90">
      <c r="A90" s="5">
        <v>36.0</v>
      </c>
      <c r="B90" s="5" t="s">
        <v>294</v>
      </c>
      <c r="C90" s="5" t="s">
        <v>20</v>
      </c>
      <c r="D90" s="5">
        <v>3.0</v>
      </c>
    </row>
    <row r="91">
      <c r="A91" s="5">
        <v>37.0</v>
      </c>
      <c r="B91" s="5" t="s">
        <v>303</v>
      </c>
      <c r="C91" s="5" t="s">
        <v>20</v>
      </c>
      <c r="D91" s="5">
        <v>1.0</v>
      </c>
    </row>
    <row r="92">
      <c r="A92" s="5">
        <v>37.0</v>
      </c>
      <c r="B92" s="5" t="s">
        <v>303</v>
      </c>
      <c r="C92" s="5" t="s">
        <v>6626</v>
      </c>
      <c r="D92" s="5">
        <v>2.0</v>
      </c>
    </row>
    <row r="93">
      <c r="A93" s="5">
        <v>37.0</v>
      </c>
      <c r="B93" s="5" t="s">
        <v>303</v>
      </c>
      <c r="C93" s="5" t="s">
        <v>6620</v>
      </c>
      <c r="D93" s="5">
        <v>3.0</v>
      </c>
    </row>
    <row r="94">
      <c r="A94" s="5">
        <v>38.0</v>
      </c>
      <c r="B94" s="5" t="s">
        <v>308</v>
      </c>
      <c r="C94" s="5" t="s">
        <v>6615</v>
      </c>
      <c r="D94" s="5">
        <v>1.0</v>
      </c>
    </row>
    <row r="95">
      <c r="A95" s="5">
        <v>38.0</v>
      </c>
      <c r="B95" s="5" t="s">
        <v>308</v>
      </c>
      <c r="C95" s="5" t="s">
        <v>20</v>
      </c>
      <c r="D95" s="5">
        <v>2.0</v>
      </c>
    </row>
    <row r="96">
      <c r="A96" s="5">
        <v>38.0</v>
      </c>
      <c r="B96" s="5" t="s">
        <v>308</v>
      </c>
      <c r="C96" s="5" t="s">
        <v>4191</v>
      </c>
      <c r="D96" s="5">
        <v>3.0</v>
      </c>
    </row>
    <row r="97">
      <c r="A97" s="5">
        <v>39.0</v>
      </c>
      <c r="B97" s="5" t="s">
        <v>312</v>
      </c>
      <c r="C97" s="5" t="s">
        <v>6618</v>
      </c>
      <c r="D97" s="5">
        <v>1.0</v>
      </c>
    </row>
    <row r="98">
      <c r="A98" s="5">
        <v>39.0</v>
      </c>
      <c r="B98" s="5" t="s">
        <v>312</v>
      </c>
      <c r="C98" s="5" t="s">
        <v>20</v>
      </c>
      <c r="D98" s="5">
        <v>2.0</v>
      </c>
    </row>
    <row r="99">
      <c r="A99" s="5">
        <v>39.0</v>
      </c>
      <c r="B99" s="5" t="s">
        <v>312</v>
      </c>
      <c r="C99" s="5" t="s">
        <v>6627</v>
      </c>
      <c r="D99" s="5">
        <v>3.0</v>
      </c>
    </row>
    <row r="100">
      <c r="A100" s="5">
        <v>40.0</v>
      </c>
      <c r="B100" s="5" t="s">
        <v>321</v>
      </c>
      <c r="C100" s="5" t="s">
        <v>6616</v>
      </c>
      <c r="D100" s="5">
        <v>1.0</v>
      </c>
    </row>
    <row r="101">
      <c r="A101" s="5">
        <v>40.0</v>
      </c>
      <c r="B101" s="5" t="s">
        <v>321</v>
      </c>
      <c r="C101" s="5" t="s">
        <v>6617</v>
      </c>
      <c r="D101" s="5">
        <v>2.0</v>
      </c>
    </row>
    <row r="102">
      <c r="A102" s="5">
        <v>40.0</v>
      </c>
      <c r="B102" s="5" t="s">
        <v>321</v>
      </c>
      <c r="C102" s="5" t="s">
        <v>20</v>
      </c>
      <c r="D102" s="5">
        <v>3.0</v>
      </c>
    </row>
    <row r="103">
      <c r="A103" s="5">
        <v>41.0</v>
      </c>
      <c r="B103" s="5" t="s">
        <v>328</v>
      </c>
      <c r="C103" s="5" t="s">
        <v>20</v>
      </c>
      <c r="D103" s="5">
        <v>1.0</v>
      </c>
    </row>
    <row r="104">
      <c r="A104" s="5">
        <v>42.0</v>
      </c>
      <c r="B104" s="5" t="s">
        <v>335</v>
      </c>
      <c r="C104" s="5" t="s">
        <v>6615</v>
      </c>
      <c r="D104" s="5">
        <v>1.0</v>
      </c>
    </row>
    <row r="105">
      <c r="A105" s="5">
        <v>42.0</v>
      </c>
      <c r="B105" s="5" t="s">
        <v>335</v>
      </c>
      <c r="C105" s="5" t="s">
        <v>6626</v>
      </c>
      <c r="D105" s="5">
        <v>2.0</v>
      </c>
    </row>
    <row r="106">
      <c r="A106" s="5">
        <v>42.0</v>
      </c>
      <c r="B106" s="5" t="s">
        <v>335</v>
      </c>
      <c r="C106" s="5" t="s">
        <v>4191</v>
      </c>
      <c r="D106" s="5">
        <v>3.0</v>
      </c>
    </row>
    <row r="107">
      <c r="A107" s="5">
        <v>43.0</v>
      </c>
      <c r="B107" s="5" t="s">
        <v>342</v>
      </c>
      <c r="C107" s="5" t="s">
        <v>6616</v>
      </c>
      <c r="D107" s="5">
        <v>1.0</v>
      </c>
    </row>
    <row r="108">
      <c r="A108" s="5">
        <v>43.0</v>
      </c>
      <c r="B108" s="5" t="s">
        <v>342</v>
      </c>
      <c r="C108" s="5" t="s">
        <v>6615</v>
      </c>
      <c r="D108" s="5">
        <v>2.0</v>
      </c>
    </row>
    <row r="109">
      <c r="A109" s="5">
        <v>43.0</v>
      </c>
      <c r="B109" s="5" t="s">
        <v>342</v>
      </c>
      <c r="C109" s="5" t="s">
        <v>20</v>
      </c>
      <c r="D109" s="5">
        <v>3.0</v>
      </c>
    </row>
    <row r="110">
      <c r="A110" s="5">
        <v>44.0</v>
      </c>
      <c r="B110" s="5" t="s">
        <v>350</v>
      </c>
      <c r="C110" s="5" t="s">
        <v>6623</v>
      </c>
      <c r="D110" s="5">
        <v>1.0</v>
      </c>
    </row>
    <row r="111">
      <c r="A111" s="5">
        <v>44.0</v>
      </c>
      <c r="B111" s="5" t="s">
        <v>350</v>
      </c>
      <c r="C111" s="5" t="s">
        <v>6617</v>
      </c>
      <c r="D111" s="5">
        <v>2.0</v>
      </c>
    </row>
    <row r="112">
      <c r="A112" s="5">
        <v>44.0</v>
      </c>
      <c r="B112" s="5" t="s">
        <v>350</v>
      </c>
      <c r="C112" s="5" t="s">
        <v>20</v>
      </c>
      <c r="D112" s="5">
        <v>3.0</v>
      </c>
    </row>
    <row r="113">
      <c r="A113" s="5">
        <v>45.0</v>
      </c>
      <c r="B113" s="5" t="s">
        <v>359</v>
      </c>
      <c r="C113" s="5" t="s">
        <v>6616</v>
      </c>
      <c r="D113" s="5">
        <v>1.0</v>
      </c>
    </row>
    <row r="114">
      <c r="A114" s="5">
        <v>45.0</v>
      </c>
      <c r="B114" s="5" t="s">
        <v>359</v>
      </c>
      <c r="C114" s="5" t="s">
        <v>6620</v>
      </c>
      <c r="D114" s="5">
        <v>2.0</v>
      </c>
    </row>
    <row r="115">
      <c r="A115" s="5">
        <v>46.0</v>
      </c>
      <c r="B115" s="5" t="s">
        <v>366</v>
      </c>
      <c r="C115" s="5" t="s">
        <v>20</v>
      </c>
      <c r="D115" s="5">
        <v>1.0</v>
      </c>
    </row>
    <row r="116">
      <c r="A116" s="5">
        <v>46.0</v>
      </c>
      <c r="B116" s="5" t="s">
        <v>366</v>
      </c>
      <c r="C116" s="5" t="s">
        <v>6621</v>
      </c>
      <c r="D116" s="5">
        <v>2.0</v>
      </c>
    </row>
    <row r="117">
      <c r="A117" s="5">
        <v>47.0</v>
      </c>
      <c r="B117" s="5" t="s">
        <v>373</v>
      </c>
      <c r="C117" s="5" t="s">
        <v>6623</v>
      </c>
      <c r="D117" s="5">
        <v>1.0</v>
      </c>
    </row>
    <row r="118">
      <c r="A118" s="5">
        <v>47.0</v>
      </c>
      <c r="B118" s="5" t="s">
        <v>373</v>
      </c>
      <c r="C118" s="5" t="s">
        <v>20</v>
      </c>
      <c r="D118" s="5">
        <v>2.0</v>
      </c>
    </row>
    <row r="119">
      <c r="A119" s="5">
        <v>47.0</v>
      </c>
      <c r="B119" s="5" t="s">
        <v>373</v>
      </c>
      <c r="C119" s="5" t="s">
        <v>6625</v>
      </c>
      <c r="D119" s="5">
        <v>3.0</v>
      </c>
    </row>
    <row r="120">
      <c r="A120" s="5">
        <v>48.0</v>
      </c>
      <c r="B120" s="5" t="s">
        <v>382</v>
      </c>
      <c r="C120" s="5" t="s">
        <v>6617</v>
      </c>
      <c r="D120" s="5">
        <v>1.0</v>
      </c>
    </row>
    <row r="121">
      <c r="A121" s="5">
        <v>48.0</v>
      </c>
      <c r="B121" s="5" t="s">
        <v>382</v>
      </c>
      <c r="C121" s="5" t="s">
        <v>602</v>
      </c>
      <c r="D121" s="5">
        <v>2.0</v>
      </c>
    </row>
    <row r="122">
      <c r="A122" s="5">
        <v>48.0</v>
      </c>
      <c r="B122" s="5" t="s">
        <v>382</v>
      </c>
      <c r="C122" s="5" t="s">
        <v>6620</v>
      </c>
      <c r="D122" s="5">
        <v>3.0</v>
      </c>
    </row>
    <row r="123">
      <c r="A123" s="5">
        <v>49.0</v>
      </c>
      <c r="B123" s="5" t="s">
        <v>389</v>
      </c>
      <c r="C123" s="5" t="s">
        <v>116</v>
      </c>
      <c r="D123" s="5">
        <v>1.0</v>
      </c>
    </row>
    <row r="124">
      <c r="A124" s="5">
        <v>50.0</v>
      </c>
      <c r="B124" s="5" t="s">
        <v>395</v>
      </c>
      <c r="C124" s="5" t="s">
        <v>2696</v>
      </c>
      <c r="D124" s="5">
        <v>1.0</v>
      </c>
    </row>
    <row r="125">
      <c r="A125" s="5">
        <v>50.0</v>
      </c>
      <c r="B125" s="5" t="s">
        <v>395</v>
      </c>
      <c r="C125" s="5" t="s">
        <v>6626</v>
      </c>
      <c r="D125" s="5">
        <v>2.0</v>
      </c>
    </row>
    <row r="126">
      <c r="A126" s="5">
        <v>50.0</v>
      </c>
      <c r="B126" s="5" t="s">
        <v>395</v>
      </c>
      <c r="C126" s="5" t="s">
        <v>4191</v>
      </c>
      <c r="D126" s="5">
        <v>3.0</v>
      </c>
    </row>
    <row r="127">
      <c r="A127" s="5">
        <v>51.0</v>
      </c>
      <c r="B127" s="5" t="s">
        <v>404</v>
      </c>
      <c r="C127" s="5" t="s">
        <v>20</v>
      </c>
      <c r="D127" s="5">
        <v>1.0</v>
      </c>
    </row>
    <row r="128">
      <c r="A128" s="5">
        <v>51.0</v>
      </c>
      <c r="B128" s="5" t="s">
        <v>404</v>
      </c>
      <c r="C128" s="5" t="s">
        <v>6621</v>
      </c>
      <c r="D128" s="5">
        <v>2.0</v>
      </c>
    </row>
    <row r="129">
      <c r="A129" s="5">
        <v>51.0</v>
      </c>
      <c r="B129" s="5" t="s">
        <v>404</v>
      </c>
      <c r="C129" s="5" t="s">
        <v>6625</v>
      </c>
      <c r="D129" s="5">
        <v>3.0</v>
      </c>
    </row>
    <row r="130">
      <c r="A130" s="5">
        <v>52.0</v>
      </c>
      <c r="B130" s="5" t="s">
        <v>413</v>
      </c>
      <c r="C130" s="5" t="s">
        <v>602</v>
      </c>
      <c r="D130" s="5">
        <v>1.0</v>
      </c>
    </row>
    <row r="131">
      <c r="A131" s="5">
        <v>52.0</v>
      </c>
      <c r="B131" s="5" t="s">
        <v>413</v>
      </c>
      <c r="C131" s="5" t="s">
        <v>20</v>
      </c>
      <c r="D131" s="5">
        <v>2.0</v>
      </c>
    </row>
    <row r="132">
      <c r="A132" s="5">
        <v>52.0</v>
      </c>
      <c r="B132" s="5" t="s">
        <v>413</v>
      </c>
      <c r="C132" s="5" t="s">
        <v>6624</v>
      </c>
      <c r="D132" s="5">
        <v>3.0</v>
      </c>
    </row>
    <row r="133">
      <c r="A133" s="5">
        <v>53.0</v>
      </c>
      <c r="B133" s="5" t="s">
        <v>422</v>
      </c>
      <c r="C133" s="5" t="s">
        <v>602</v>
      </c>
      <c r="D133" s="5">
        <v>1.0</v>
      </c>
    </row>
    <row r="134">
      <c r="A134" s="5">
        <v>53.0</v>
      </c>
      <c r="B134" s="5" t="s">
        <v>422</v>
      </c>
      <c r="C134" s="5" t="s">
        <v>20</v>
      </c>
      <c r="D134" s="5">
        <v>2.0</v>
      </c>
    </row>
    <row r="135">
      <c r="A135" s="5">
        <v>53.0</v>
      </c>
      <c r="B135" s="5" t="s">
        <v>422</v>
      </c>
      <c r="C135" s="5" t="s">
        <v>6621</v>
      </c>
      <c r="D135" s="5">
        <v>3.0</v>
      </c>
    </row>
    <row r="136">
      <c r="A136" s="5">
        <v>54.0</v>
      </c>
      <c r="B136" s="5" t="s">
        <v>427</v>
      </c>
      <c r="C136" s="5" t="s">
        <v>20</v>
      </c>
      <c r="D136" s="5">
        <v>1.0</v>
      </c>
    </row>
    <row r="137">
      <c r="A137" s="5">
        <v>55.0</v>
      </c>
      <c r="B137" s="5" t="s">
        <v>435</v>
      </c>
      <c r="C137" s="5" t="s">
        <v>6618</v>
      </c>
      <c r="D137" s="5">
        <v>1.0</v>
      </c>
    </row>
    <row r="138">
      <c r="A138" s="5">
        <v>55.0</v>
      </c>
      <c r="B138" s="5" t="s">
        <v>435</v>
      </c>
      <c r="C138" s="5" t="s">
        <v>20</v>
      </c>
      <c r="D138" s="5">
        <v>2.0</v>
      </c>
    </row>
    <row r="139">
      <c r="A139" s="5">
        <v>55.0</v>
      </c>
      <c r="B139" s="5" t="s">
        <v>435</v>
      </c>
      <c r="C139" s="5" t="s">
        <v>6619</v>
      </c>
      <c r="D139" s="5">
        <v>3.0</v>
      </c>
    </row>
    <row r="140">
      <c r="A140" s="5">
        <v>56.0</v>
      </c>
      <c r="B140" s="5" t="s">
        <v>442</v>
      </c>
      <c r="C140" s="5" t="s">
        <v>6616</v>
      </c>
      <c r="D140" s="5">
        <v>1.0</v>
      </c>
    </row>
    <row r="141">
      <c r="A141" s="5">
        <v>56.0</v>
      </c>
      <c r="B141" s="5" t="s">
        <v>442</v>
      </c>
      <c r="C141" s="5" t="s">
        <v>6615</v>
      </c>
      <c r="D141" s="5">
        <v>2.0</v>
      </c>
    </row>
    <row r="142">
      <c r="A142" s="5">
        <v>56.0</v>
      </c>
      <c r="B142" s="5" t="s">
        <v>442</v>
      </c>
      <c r="C142" s="5" t="s">
        <v>20</v>
      </c>
      <c r="D142" s="5">
        <v>3.0</v>
      </c>
    </row>
    <row r="143">
      <c r="A143" s="5">
        <v>57.0</v>
      </c>
      <c r="B143" s="5" t="s">
        <v>449</v>
      </c>
      <c r="C143" s="5" t="s">
        <v>6623</v>
      </c>
      <c r="D143" s="5">
        <v>1.0</v>
      </c>
    </row>
    <row r="144">
      <c r="A144" s="5">
        <v>57.0</v>
      </c>
      <c r="B144" s="5" t="s">
        <v>449</v>
      </c>
      <c r="C144" s="5" t="s">
        <v>20</v>
      </c>
      <c r="D144" s="5">
        <v>2.0</v>
      </c>
    </row>
    <row r="145">
      <c r="A145" s="5">
        <v>57.0</v>
      </c>
      <c r="B145" s="5" t="s">
        <v>449</v>
      </c>
      <c r="C145" s="5" t="s">
        <v>6622</v>
      </c>
      <c r="D145" s="5">
        <v>3.0</v>
      </c>
    </row>
    <row r="146">
      <c r="A146" s="5">
        <v>58.0</v>
      </c>
      <c r="B146" s="5" t="s">
        <v>457</v>
      </c>
      <c r="C146" s="5" t="s">
        <v>6616</v>
      </c>
      <c r="D146" s="5">
        <v>1.0</v>
      </c>
    </row>
    <row r="147">
      <c r="A147" s="5">
        <v>58.0</v>
      </c>
      <c r="B147" s="5" t="s">
        <v>457</v>
      </c>
      <c r="C147" s="5" t="s">
        <v>6618</v>
      </c>
      <c r="D147" s="5">
        <v>2.0</v>
      </c>
    </row>
    <row r="148">
      <c r="A148" s="5">
        <v>58.0</v>
      </c>
      <c r="B148" s="5" t="s">
        <v>457</v>
      </c>
      <c r="C148" s="5" t="s">
        <v>20</v>
      </c>
      <c r="D148" s="5">
        <v>3.0</v>
      </c>
    </row>
    <row r="149">
      <c r="A149" s="5">
        <v>59.0</v>
      </c>
      <c r="B149" s="5" t="s">
        <v>465</v>
      </c>
      <c r="C149" s="5" t="s">
        <v>6623</v>
      </c>
      <c r="D149" s="5">
        <v>1.0</v>
      </c>
    </row>
    <row r="150">
      <c r="A150" s="5">
        <v>59.0</v>
      </c>
      <c r="B150" s="5" t="s">
        <v>465</v>
      </c>
      <c r="C150" s="5" t="s">
        <v>6616</v>
      </c>
      <c r="D150" s="5">
        <v>2.0</v>
      </c>
    </row>
    <row r="151">
      <c r="A151" s="5">
        <v>59.0</v>
      </c>
      <c r="B151" s="5" t="s">
        <v>465</v>
      </c>
      <c r="C151" s="5" t="s">
        <v>6617</v>
      </c>
      <c r="D151" s="5">
        <v>3.0</v>
      </c>
    </row>
    <row r="152">
      <c r="A152" s="5">
        <v>60.0</v>
      </c>
      <c r="B152" s="5" t="s">
        <v>474</v>
      </c>
      <c r="C152" s="5" t="s">
        <v>6616</v>
      </c>
      <c r="D152" s="5">
        <v>1.0</v>
      </c>
    </row>
    <row r="153">
      <c r="A153" s="5">
        <v>60.0</v>
      </c>
      <c r="B153" s="5" t="s">
        <v>474</v>
      </c>
      <c r="C153" s="5" t="s">
        <v>6617</v>
      </c>
      <c r="D153" s="5">
        <v>2.0</v>
      </c>
    </row>
    <row r="154">
      <c r="A154" s="5">
        <v>60.0</v>
      </c>
      <c r="B154" s="5" t="s">
        <v>474</v>
      </c>
      <c r="C154" s="5" t="s">
        <v>20</v>
      </c>
      <c r="D154" s="5">
        <v>3.0</v>
      </c>
    </row>
    <row r="155">
      <c r="A155" s="5">
        <v>61.0</v>
      </c>
      <c r="B155" s="5" t="s">
        <v>482</v>
      </c>
      <c r="C155" s="5" t="s">
        <v>6616</v>
      </c>
      <c r="D155" s="5">
        <v>1.0</v>
      </c>
    </row>
    <row r="156">
      <c r="A156" s="5">
        <v>61.0</v>
      </c>
      <c r="B156" s="5" t="s">
        <v>482</v>
      </c>
      <c r="C156" s="5" t="s">
        <v>6617</v>
      </c>
      <c r="D156" s="5">
        <v>2.0</v>
      </c>
    </row>
    <row r="157">
      <c r="A157" s="5">
        <v>61.0</v>
      </c>
      <c r="B157" s="5" t="s">
        <v>482</v>
      </c>
      <c r="C157" s="5" t="s">
        <v>6620</v>
      </c>
      <c r="D157" s="5">
        <v>3.0</v>
      </c>
    </row>
    <row r="158">
      <c r="A158" s="5">
        <v>62.0</v>
      </c>
      <c r="B158" s="5" t="s">
        <v>486</v>
      </c>
      <c r="C158" s="5" t="s">
        <v>6623</v>
      </c>
      <c r="D158" s="5">
        <v>1.0</v>
      </c>
    </row>
    <row r="159">
      <c r="A159" s="5">
        <v>62.0</v>
      </c>
      <c r="B159" s="5" t="s">
        <v>486</v>
      </c>
      <c r="C159" s="5" t="s">
        <v>6617</v>
      </c>
      <c r="D159" s="5">
        <v>2.0</v>
      </c>
    </row>
    <row r="160">
      <c r="A160" s="5">
        <v>62.0</v>
      </c>
      <c r="B160" s="5" t="s">
        <v>486</v>
      </c>
      <c r="C160" s="5" t="s">
        <v>6624</v>
      </c>
      <c r="D160" s="5">
        <v>3.0</v>
      </c>
    </row>
    <row r="161">
      <c r="A161" s="5">
        <v>63.0</v>
      </c>
      <c r="B161" s="5" t="s">
        <v>494</v>
      </c>
      <c r="C161" s="5" t="s">
        <v>20</v>
      </c>
      <c r="D161" s="5">
        <v>1.0</v>
      </c>
    </row>
    <row r="162">
      <c r="A162" s="5">
        <v>63.0</v>
      </c>
      <c r="B162" s="5" t="s">
        <v>494</v>
      </c>
      <c r="C162" s="5" t="s">
        <v>116</v>
      </c>
      <c r="D162" s="5">
        <v>2.0</v>
      </c>
    </row>
    <row r="163">
      <c r="A163" s="5">
        <v>64.0</v>
      </c>
      <c r="B163" s="5" t="s">
        <v>500</v>
      </c>
      <c r="C163" s="5" t="s">
        <v>6616</v>
      </c>
      <c r="D163" s="5">
        <v>1.0</v>
      </c>
    </row>
    <row r="164">
      <c r="A164" s="5">
        <v>64.0</v>
      </c>
      <c r="B164" s="5" t="s">
        <v>500</v>
      </c>
      <c r="C164" s="5" t="s">
        <v>6617</v>
      </c>
      <c r="D164" s="5">
        <v>2.0</v>
      </c>
    </row>
    <row r="165">
      <c r="A165" s="5">
        <v>65.0</v>
      </c>
      <c r="B165" s="5" t="s">
        <v>505</v>
      </c>
      <c r="C165" s="5" t="s">
        <v>602</v>
      </c>
      <c r="D165" s="5">
        <v>1.0</v>
      </c>
    </row>
    <row r="166">
      <c r="A166" s="5">
        <v>65.0</v>
      </c>
      <c r="B166" s="5" t="s">
        <v>505</v>
      </c>
      <c r="C166" s="5" t="s">
        <v>20</v>
      </c>
      <c r="D166" s="5">
        <v>2.0</v>
      </c>
    </row>
    <row r="167">
      <c r="A167" s="5">
        <v>66.0</v>
      </c>
      <c r="B167" s="5" t="s">
        <v>512</v>
      </c>
      <c r="C167" s="5" t="s">
        <v>20</v>
      </c>
      <c r="D167" s="5">
        <v>1.0</v>
      </c>
    </row>
    <row r="168">
      <c r="A168" s="5">
        <v>66.0</v>
      </c>
      <c r="B168" s="5" t="s">
        <v>512</v>
      </c>
      <c r="C168" s="5" t="s">
        <v>6624</v>
      </c>
      <c r="D168" s="5">
        <v>2.0</v>
      </c>
    </row>
    <row r="169">
      <c r="A169" s="5">
        <v>67.0</v>
      </c>
      <c r="B169" s="5" t="s">
        <v>518</v>
      </c>
      <c r="C169" s="5" t="s">
        <v>6623</v>
      </c>
      <c r="D169" s="5">
        <v>1.0</v>
      </c>
    </row>
    <row r="170">
      <c r="A170" s="5">
        <v>67.0</v>
      </c>
      <c r="B170" s="5" t="s">
        <v>518</v>
      </c>
      <c r="C170" s="5" t="s">
        <v>6617</v>
      </c>
      <c r="D170" s="5">
        <v>2.0</v>
      </c>
    </row>
    <row r="171">
      <c r="A171" s="5">
        <v>67.0</v>
      </c>
      <c r="B171" s="5" t="s">
        <v>518</v>
      </c>
      <c r="C171" s="5" t="s">
        <v>6624</v>
      </c>
      <c r="D171" s="5">
        <v>3.0</v>
      </c>
    </row>
    <row r="172">
      <c r="A172" s="5">
        <v>68.0</v>
      </c>
      <c r="B172" s="5" t="s">
        <v>526</v>
      </c>
      <c r="C172" s="5" t="s">
        <v>20</v>
      </c>
      <c r="D172" s="5">
        <v>1.0</v>
      </c>
    </row>
    <row r="173">
      <c r="A173" s="5">
        <v>68.0</v>
      </c>
      <c r="B173" s="5" t="s">
        <v>526</v>
      </c>
      <c r="C173" s="5" t="s">
        <v>6626</v>
      </c>
      <c r="D173" s="5">
        <v>2.0</v>
      </c>
    </row>
    <row r="174">
      <c r="A174" s="5">
        <v>68.0</v>
      </c>
      <c r="B174" s="5" t="s">
        <v>526</v>
      </c>
      <c r="C174" s="5" t="s">
        <v>4191</v>
      </c>
      <c r="D174" s="5">
        <v>3.0</v>
      </c>
    </row>
    <row r="175">
      <c r="A175" s="5">
        <v>69.0</v>
      </c>
      <c r="B175" s="5" t="s">
        <v>534</v>
      </c>
      <c r="C175" s="5" t="s">
        <v>6616</v>
      </c>
      <c r="D175" s="5">
        <v>1.0</v>
      </c>
    </row>
    <row r="176">
      <c r="A176" s="5">
        <v>69.0</v>
      </c>
      <c r="B176" s="5" t="s">
        <v>534</v>
      </c>
      <c r="C176" s="5" t="s">
        <v>20</v>
      </c>
      <c r="D176" s="5">
        <v>2.0</v>
      </c>
    </row>
    <row r="177">
      <c r="A177" s="5">
        <v>69.0</v>
      </c>
      <c r="B177" s="5" t="s">
        <v>534</v>
      </c>
      <c r="C177" s="5" t="s">
        <v>6626</v>
      </c>
      <c r="D177" s="5">
        <v>3.0</v>
      </c>
    </row>
    <row r="178">
      <c r="A178" s="5">
        <v>70.0</v>
      </c>
      <c r="B178" s="5" t="s">
        <v>542</v>
      </c>
      <c r="C178" s="5" t="s">
        <v>6626</v>
      </c>
      <c r="D178" s="5">
        <v>1.0</v>
      </c>
    </row>
    <row r="179">
      <c r="A179" s="5">
        <v>70.0</v>
      </c>
      <c r="B179" s="5" t="s">
        <v>542</v>
      </c>
      <c r="C179" s="5" t="s">
        <v>4191</v>
      </c>
      <c r="D179" s="5">
        <v>2.0</v>
      </c>
    </row>
    <row r="180">
      <c r="A180" s="5">
        <v>71.0</v>
      </c>
      <c r="B180" s="5" t="s">
        <v>549</v>
      </c>
      <c r="C180" s="5" t="s">
        <v>6623</v>
      </c>
      <c r="D180" s="5">
        <v>1.0</v>
      </c>
    </row>
    <row r="181">
      <c r="A181" s="5">
        <v>71.0</v>
      </c>
      <c r="B181" s="5" t="s">
        <v>549</v>
      </c>
      <c r="C181" s="5" t="s">
        <v>6616</v>
      </c>
      <c r="D181" s="5">
        <v>2.0</v>
      </c>
    </row>
    <row r="182">
      <c r="A182" s="5">
        <v>71.0</v>
      </c>
      <c r="B182" s="5" t="s">
        <v>549</v>
      </c>
      <c r="C182" s="5" t="s">
        <v>6617</v>
      </c>
      <c r="D182" s="5">
        <v>3.0</v>
      </c>
    </row>
    <row r="183">
      <c r="A183" s="5">
        <v>72.0</v>
      </c>
      <c r="B183" s="5" t="s">
        <v>556</v>
      </c>
      <c r="C183" s="5" t="s">
        <v>6615</v>
      </c>
      <c r="D183" s="5">
        <v>1.0</v>
      </c>
    </row>
    <row r="184">
      <c r="A184" s="5">
        <v>72.0</v>
      </c>
      <c r="B184" s="5" t="s">
        <v>556</v>
      </c>
      <c r="C184" s="5" t="s">
        <v>20</v>
      </c>
      <c r="D184" s="5">
        <v>2.0</v>
      </c>
    </row>
    <row r="185">
      <c r="A185" s="5">
        <v>73.0</v>
      </c>
      <c r="B185" s="5" t="s">
        <v>562</v>
      </c>
      <c r="C185" s="5" t="s">
        <v>6616</v>
      </c>
      <c r="D185" s="5">
        <v>1.0</v>
      </c>
    </row>
    <row r="186">
      <c r="A186" s="5">
        <v>73.0</v>
      </c>
      <c r="B186" s="5" t="s">
        <v>562</v>
      </c>
      <c r="C186" s="5" t="s">
        <v>6617</v>
      </c>
      <c r="D186" s="5">
        <v>2.0</v>
      </c>
    </row>
    <row r="187">
      <c r="A187" s="5">
        <v>74.0</v>
      </c>
      <c r="B187" s="5" t="s">
        <v>568</v>
      </c>
      <c r="C187" s="5" t="s">
        <v>20</v>
      </c>
      <c r="D187" s="5">
        <v>1.0</v>
      </c>
    </row>
    <row r="188">
      <c r="A188" s="5">
        <v>74.0</v>
      </c>
      <c r="B188" s="5" t="s">
        <v>568</v>
      </c>
      <c r="C188" s="5" t="s">
        <v>2696</v>
      </c>
      <c r="D188" s="5">
        <v>2.0</v>
      </c>
    </row>
    <row r="189">
      <c r="A189" s="5">
        <v>75.0</v>
      </c>
      <c r="B189" s="5" t="s">
        <v>575</v>
      </c>
      <c r="C189" s="5" t="s">
        <v>20</v>
      </c>
      <c r="D189" s="5">
        <v>1.0</v>
      </c>
    </row>
    <row r="190">
      <c r="A190" s="5">
        <v>75.0</v>
      </c>
      <c r="B190" s="5" t="s">
        <v>575</v>
      </c>
      <c r="C190" s="5" t="s">
        <v>6626</v>
      </c>
      <c r="D190" s="5">
        <v>2.0</v>
      </c>
    </row>
    <row r="191">
      <c r="A191" s="5">
        <v>75.0</v>
      </c>
      <c r="B191" s="5" t="s">
        <v>575</v>
      </c>
      <c r="C191" s="5" t="s">
        <v>6625</v>
      </c>
      <c r="D191" s="5">
        <v>3.0</v>
      </c>
    </row>
    <row r="192">
      <c r="A192" s="5">
        <v>76.0</v>
      </c>
      <c r="B192" s="5" t="s">
        <v>580</v>
      </c>
      <c r="C192" s="5" t="s">
        <v>2696</v>
      </c>
      <c r="D192" s="5">
        <v>1.0</v>
      </c>
    </row>
    <row r="193">
      <c r="A193" s="5">
        <v>76.0</v>
      </c>
      <c r="B193" s="5" t="s">
        <v>580</v>
      </c>
      <c r="C193" s="5" t="s">
        <v>6620</v>
      </c>
      <c r="D193" s="5">
        <v>2.0</v>
      </c>
    </row>
    <row r="194">
      <c r="A194" s="5">
        <v>77.0</v>
      </c>
      <c r="B194" s="5" t="s">
        <v>587</v>
      </c>
      <c r="C194" s="5" t="s">
        <v>20</v>
      </c>
      <c r="D194" s="5">
        <v>1.0</v>
      </c>
    </row>
    <row r="195">
      <c r="A195" s="5">
        <v>77.0</v>
      </c>
      <c r="B195" s="5" t="s">
        <v>587</v>
      </c>
      <c r="C195" s="5" t="s">
        <v>6628</v>
      </c>
      <c r="D195" s="5">
        <v>2.0</v>
      </c>
    </row>
    <row r="196">
      <c r="A196" s="5">
        <v>78.0</v>
      </c>
      <c r="B196" s="5" t="s">
        <v>595</v>
      </c>
      <c r="C196" s="5" t="s">
        <v>6615</v>
      </c>
      <c r="D196" s="5">
        <v>1.0</v>
      </c>
    </row>
    <row r="197">
      <c r="A197" s="5">
        <v>78.0</v>
      </c>
      <c r="B197" s="5" t="s">
        <v>595</v>
      </c>
      <c r="C197" s="5" t="s">
        <v>20</v>
      </c>
      <c r="D197" s="5">
        <v>2.0</v>
      </c>
    </row>
    <row r="198">
      <c r="A198" s="5">
        <v>78.0</v>
      </c>
      <c r="B198" s="5" t="s">
        <v>595</v>
      </c>
      <c r="C198" s="5" t="s">
        <v>6626</v>
      </c>
      <c r="D198" s="5">
        <v>3.0</v>
      </c>
    </row>
    <row r="199">
      <c r="A199" s="5">
        <v>79.0</v>
      </c>
      <c r="B199" s="5" t="s">
        <v>600</v>
      </c>
      <c r="C199" s="5" t="s">
        <v>602</v>
      </c>
      <c r="D199" s="5">
        <v>1.0</v>
      </c>
    </row>
    <row r="200">
      <c r="A200" s="5">
        <v>80.0</v>
      </c>
      <c r="B200" s="5" t="s">
        <v>608</v>
      </c>
      <c r="C200" s="5" t="s">
        <v>6615</v>
      </c>
      <c r="D200" s="5">
        <v>1.0</v>
      </c>
    </row>
    <row r="201">
      <c r="A201" s="5">
        <v>80.0</v>
      </c>
      <c r="B201" s="5" t="s">
        <v>608</v>
      </c>
      <c r="C201" s="5" t="s">
        <v>20</v>
      </c>
      <c r="D201" s="5">
        <v>2.0</v>
      </c>
    </row>
    <row r="202">
      <c r="A202" s="5">
        <v>80.0</v>
      </c>
      <c r="B202" s="5" t="s">
        <v>608</v>
      </c>
      <c r="C202" s="5" t="s">
        <v>6626</v>
      </c>
      <c r="D202" s="5">
        <v>3.0</v>
      </c>
    </row>
    <row r="203">
      <c r="A203" s="5">
        <v>81.0</v>
      </c>
      <c r="B203" s="5" t="s">
        <v>615</v>
      </c>
      <c r="C203" s="5" t="s">
        <v>20</v>
      </c>
      <c r="D203" s="5">
        <v>1.0</v>
      </c>
    </row>
    <row r="204">
      <c r="A204" s="5">
        <v>81.0</v>
      </c>
      <c r="B204" s="5" t="s">
        <v>615</v>
      </c>
      <c r="C204" s="5" t="s">
        <v>6625</v>
      </c>
      <c r="D204" s="5">
        <v>2.0</v>
      </c>
    </row>
    <row r="205">
      <c r="A205" s="5">
        <v>82.0</v>
      </c>
      <c r="B205" s="5" t="s">
        <v>621</v>
      </c>
      <c r="C205" s="5" t="s">
        <v>6626</v>
      </c>
      <c r="D205" s="5">
        <v>1.0</v>
      </c>
    </row>
    <row r="206">
      <c r="A206" s="5">
        <v>82.0</v>
      </c>
      <c r="B206" s="5" t="s">
        <v>621</v>
      </c>
      <c r="C206" s="5" t="s">
        <v>4191</v>
      </c>
      <c r="D206" s="5">
        <v>2.0</v>
      </c>
    </row>
    <row r="207">
      <c r="A207" s="5">
        <v>83.0</v>
      </c>
      <c r="B207" s="5" t="s">
        <v>626</v>
      </c>
      <c r="C207" s="5" t="s">
        <v>20</v>
      </c>
      <c r="D207" s="5">
        <v>1.0</v>
      </c>
    </row>
    <row r="208">
      <c r="A208" s="5">
        <v>83.0</v>
      </c>
      <c r="B208" s="5" t="s">
        <v>626</v>
      </c>
      <c r="C208" s="5" t="s">
        <v>6629</v>
      </c>
      <c r="D208" s="5">
        <v>2.0</v>
      </c>
    </row>
    <row r="209">
      <c r="A209" s="5">
        <v>84.0</v>
      </c>
      <c r="B209" s="5" t="s">
        <v>634</v>
      </c>
      <c r="C209" s="5" t="s">
        <v>602</v>
      </c>
      <c r="D209" s="5">
        <v>1.0</v>
      </c>
    </row>
    <row r="210">
      <c r="A210" s="5">
        <v>84.0</v>
      </c>
      <c r="B210" s="5" t="s">
        <v>634</v>
      </c>
      <c r="C210" s="5" t="s">
        <v>20</v>
      </c>
      <c r="D210" s="5">
        <v>2.0</v>
      </c>
    </row>
    <row r="211">
      <c r="A211" s="5">
        <v>84.0</v>
      </c>
      <c r="B211" s="5" t="s">
        <v>634</v>
      </c>
      <c r="C211" s="5" t="s">
        <v>6625</v>
      </c>
      <c r="D211" s="5">
        <v>3.0</v>
      </c>
    </row>
    <row r="212">
      <c r="A212" s="5">
        <v>85.0</v>
      </c>
      <c r="B212" s="5">
        <v>1917.0</v>
      </c>
      <c r="C212" s="5" t="s">
        <v>20</v>
      </c>
      <c r="D212" s="5">
        <v>1.0</v>
      </c>
    </row>
    <row r="213">
      <c r="A213" s="5">
        <v>85.0</v>
      </c>
      <c r="B213" s="5">
        <v>1917.0</v>
      </c>
      <c r="C213" s="5" t="s">
        <v>4191</v>
      </c>
      <c r="D213" s="5">
        <v>2.0</v>
      </c>
    </row>
    <row r="214">
      <c r="A214" s="5">
        <v>85.0</v>
      </c>
      <c r="B214" s="5">
        <v>1917.0</v>
      </c>
      <c r="C214" s="5" t="s">
        <v>6625</v>
      </c>
      <c r="D214" s="5">
        <v>3.0</v>
      </c>
    </row>
    <row r="215">
      <c r="A215" s="5">
        <v>86.0</v>
      </c>
      <c r="B215" s="5" t="s">
        <v>646</v>
      </c>
      <c r="C215" s="5" t="s">
        <v>20</v>
      </c>
      <c r="D215" s="5">
        <v>1.0</v>
      </c>
    </row>
    <row r="216">
      <c r="A216" s="5">
        <v>86.0</v>
      </c>
      <c r="B216" s="5" t="s">
        <v>646</v>
      </c>
      <c r="C216" s="5" t="s">
        <v>6622</v>
      </c>
      <c r="D216" s="5">
        <v>2.0</v>
      </c>
    </row>
    <row r="217">
      <c r="A217" s="5">
        <v>86.0</v>
      </c>
      <c r="B217" s="5" t="s">
        <v>646</v>
      </c>
      <c r="C217" s="5" t="s">
        <v>2696</v>
      </c>
      <c r="D217" s="5">
        <v>3.0</v>
      </c>
    </row>
    <row r="218">
      <c r="A218" s="5">
        <v>87.0</v>
      </c>
      <c r="B218" s="5" t="s">
        <v>655</v>
      </c>
      <c r="C218" s="5" t="s">
        <v>6615</v>
      </c>
      <c r="D218" s="5">
        <v>1.0</v>
      </c>
    </row>
    <row r="219">
      <c r="A219" s="5">
        <v>87.0</v>
      </c>
      <c r="B219" s="5" t="s">
        <v>655</v>
      </c>
      <c r="C219" s="5" t="s">
        <v>20</v>
      </c>
      <c r="D219" s="5">
        <v>2.0</v>
      </c>
    </row>
    <row r="220">
      <c r="A220" s="5">
        <v>87.0</v>
      </c>
      <c r="B220" s="5" t="s">
        <v>655</v>
      </c>
      <c r="C220" s="5" t="s">
        <v>6627</v>
      </c>
      <c r="D220" s="5">
        <v>3.0</v>
      </c>
    </row>
    <row r="221">
      <c r="A221" s="5">
        <v>88.0</v>
      </c>
      <c r="B221" s="5" t="s">
        <v>663</v>
      </c>
      <c r="C221" s="5" t="s">
        <v>6615</v>
      </c>
      <c r="D221" s="5">
        <v>1.0</v>
      </c>
    </row>
    <row r="222">
      <c r="A222" s="5">
        <v>88.0</v>
      </c>
      <c r="B222" s="5" t="s">
        <v>663</v>
      </c>
      <c r="C222" s="5" t="s">
        <v>20</v>
      </c>
      <c r="D222" s="5">
        <v>2.0</v>
      </c>
    </row>
    <row r="223">
      <c r="A223" s="5">
        <v>88.0</v>
      </c>
      <c r="B223" s="5" t="s">
        <v>663</v>
      </c>
      <c r="C223" s="5" t="s">
        <v>4191</v>
      </c>
      <c r="D223" s="5">
        <v>3.0</v>
      </c>
    </row>
    <row r="224">
      <c r="A224" s="5">
        <v>89.0</v>
      </c>
      <c r="B224" s="5" t="s">
        <v>670</v>
      </c>
      <c r="C224" s="5" t="s">
        <v>20</v>
      </c>
      <c r="D224" s="5">
        <v>1.0</v>
      </c>
    </row>
    <row r="225">
      <c r="A225" s="5">
        <v>90.0</v>
      </c>
      <c r="B225" s="5" t="s">
        <v>677</v>
      </c>
      <c r="C225" s="5" t="s">
        <v>20</v>
      </c>
      <c r="D225" s="5">
        <v>1.0</v>
      </c>
    </row>
    <row r="226">
      <c r="A226" s="5">
        <v>91.0</v>
      </c>
      <c r="B226" s="5" t="s">
        <v>685</v>
      </c>
      <c r="C226" s="5" t="s">
        <v>20</v>
      </c>
      <c r="D226" s="5">
        <v>1.0</v>
      </c>
    </row>
    <row r="227">
      <c r="A227" s="5">
        <v>91.0</v>
      </c>
      <c r="B227" s="5" t="s">
        <v>685</v>
      </c>
      <c r="C227" s="5" t="s">
        <v>6626</v>
      </c>
      <c r="D227" s="5">
        <v>2.0</v>
      </c>
    </row>
    <row r="228">
      <c r="A228" s="5">
        <v>91.0</v>
      </c>
      <c r="B228" s="5" t="s">
        <v>685</v>
      </c>
      <c r="C228" s="5" t="s">
        <v>6625</v>
      </c>
      <c r="D228" s="5">
        <v>3.0</v>
      </c>
    </row>
    <row r="229">
      <c r="A229" s="5">
        <v>92.0</v>
      </c>
      <c r="B229" s="5" t="s">
        <v>693</v>
      </c>
      <c r="C229" s="5" t="s">
        <v>20</v>
      </c>
      <c r="D229" s="5">
        <v>1.0</v>
      </c>
    </row>
    <row r="230">
      <c r="A230" s="5">
        <v>93.0</v>
      </c>
      <c r="B230" s="5" t="s">
        <v>701</v>
      </c>
      <c r="C230" s="5" t="s">
        <v>20</v>
      </c>
      <c r="D230" s="5">
        <v>1.0</v>
      </c>
    </row>
    <row r="231">
      <c r="A231" s="5">
        <v>93.0</v>
      </c>
      <c r="B231" s="5" t="s">
        <v>701</v>
      </c>
      <c r="C231" s="5" t="s">
        <v>6624</v>
      </c>
      <c r="D231" s="5">
        <v>2.0</v>
      </c>
    </row>
    <row r="232">
      <c r="A232" s="5">
        <v>94.0</v>
      </c>
      <c r="B232" s="5" t="s">
        <v>707</v>
      </c>
      <c r="C232" s="5" t="s">
        <v>6617</v>
      </c>
      <c r="D232" s="5">
        <v>1.0</v>
      </c>
    </row>
    <row r="233">
      <c r="A233" s="5">
        <v>94.0</v>
      </c>
      <c r="B233" s="5" t="s">
        <v>707</v>
      </c>
      <c r="C233" s="5" t="s">
        <v>20</v>
      </c>
      <c r="D233" s="5">
        <v>2.0</v>
      </c>
    </row>
    <row r="234">
      <c r="A234" s="5">
        <v>94.0</v>
      </c>
      <c r="B234" s="5" t="s">
        <v>707</v>
      </c>
      <c r="C234" s="5" t="s">
        <v>6625</v>
      </c>
      <c r="D234" s="5">
        <v>3.0</v>
      </c>
    </row>
    <row r="235">
      <c r="A235" s="5">
        <v>95.0</v>
      </c>
      <c r="B235" s="5" t="s">
        <v>713</v>
      </c>
      <c r="C235" s="5" t="s">
        <v>20</v>
      </c>
      <c r="D235" s="5">
        <v>1.0</v>
      </c>
    </row>
    <row r="236">
      <c r="A236" s="5">
        <v>95.0</v>
      </c>
      <c r="B236" s="5" t="s">
        <v>713</v>
      </c>
      <c r="C236" s="5" t="s">
        <v>6621</v>
      </c>
      <c r="D236" s="5">
        <v>2.0</v>
      </c>
    </row>
    <row r="237">
      <c r="A237" s="5">
        <v>95.0</v>
      </c>
      <c r="B237" s="5" t="s">
        <v>713</v>
      </c>
      <c r="C237" s="5" t="s">
        <v>6620</v>
      </c>
      <c r="D237" s="5">
        <v>3.0</v>
      </c>
    </row>
    <row r="238">
      <c r="A238" s="5">
        <v>96.0</v>
      </c>
      <c r="B238" s="5" t="s">
        <v>722</v>
      </c>
      <c r="C238" s="5" t="s">
        <v>602</v>
      </c>
      <c r="D238" s="5">
        <v>1.0</v>
      </c>
    </row>
    <row r="239">
      <c r="A239" s="5">
        <v>96.0</v>
      </c>
      <c r="B239" s="5" t="s">
        <v>722</v>
      </c>
      <c r="C239" s="5" t="s">
        <v>6621</v>
      </c>
      <c r="D239" s="5">
        <v>2.0</v>
      </c>
    </row>
    <row r="240">
      <c r="A240" s="5">
        <v>97.0</v>
      </c>
      <c r="B240" s="5" t="s">
        <v>730</v>
      </c>
      <c r="C240" s="5" t="s">
        <v>602</v>
      </c>
      <c r="D240" s="5">
        <v>1.0</v>
      </c>
    </row>
    <row r="241">
      <c r="A241" s="5">
        <v>97.0</v>
      </c>
      <c r="B241" s="5" t="s">
        <v>730</v>
      </c>
      <c r="C241" s="5" t="s">
        <v>6615</v>
      </c>
      <c r="D241" s="5">
        <v>2.0</v>
      </c>
    </row>
    <row r="242">
      <c r="A242" s="5">
        <v>98.0</v>
      </c>
      <c r="B242" s="5" t="s">
        <v>737</v>
      </c>
      <c r="C242" s="5" t="s">
        <v>20</v>
      </c>
      <c r="D242" s="5">
        <v>1.0</v>
      </c>
    </row>
    <row r="243">
      <c r="A243" s="5">
        <v>99.0</v>
      </c>
      <c r="B243" s="5" t="s">
        <v>744</v>
      </c>
      <c r="C243" s="5" t="s">
        <v>20</v>
      </c>
      <c r="D243" s="5">
        <v>1.0</v>
      </c>
    </row>
    <row r="244">
      <c r="A244" s="5">
        <v>100.0</v>
      </c>
      <c r="B244" s="5" t="s">
        <v>749</v>
      </c>
      <c r="C244" s="5" t="s">
        <v>20</v>
      </c>
      <c r="D244" s="5">
        <v>1.0</v>
      </c>
    </row>
    <row r="245">
      <c r="A245" s="5">
        <v>100.0</v>
      </c>
      <c r="B245" s="5" t="s">
        <v>749</v>
      </c>
      <c r="C245" s="5" t="s">
        <v>6621</v>
      </c>
      <c r="D245" s="5">
        <v>2.0</v>
      </c>
    </row>
    <row r="246">
      <c r="A246" s="5">
        <v>101.0</v>
      </c>
      <c r="B246" s="5" t="s">
        <v>755</v>
      </c>
      <c r="C246" s="5" t="s">
        <v>20</v>
      </c>
      <c r="D246" s="5">
        <v>1.0</v>
      </c>
    </row>
    <row r="247">
      <c r="A247" s="5">
        <v>101.0</v>
      </c>
      <c r="B247" s="5" t="s">
        <v>755</v>
      </c>
      <c r="C247" s="5" t="s">
        <v>6624</v>
      </c>
      <c r="D247" s="5">
        <v>2.0</v>
      </c>
    </row>
    <row r="248">
      <c r="A248" s="5">
        <v>101.0</v>
      </c>
      <c r="B248" s="5" t="s">
        <v>755</v>
      </c>
      <c r="C248" s="5" t="s">
        <v>6630</v>
      </c>
      <c r="D248" s="5">
        <v>3.0</v>
      </c>
    </row>
    <row r="249">
      <c r="A249" s="5">
        <v>102.0</v>
      </c>
      <c r="B249" s="5" t="s">
        <v>763</v>
      </c>
      <c r="C249" s="5" t="s">
        <v>6623</v>
      </c>
      <c r="D249" s="5">
        <v>1.0</v>
      </c>
    </row>
    <row r="250">
      <c r="A250" s="5">
        <v>102.0</v>
      </c>
      <c r="B250" s="5" t="s">
        <v>763</v>
      </c>
      <c r="C250" s="5" t="s">
        <v>6617</v>
      </c>
      <c r="D250" s="5">
        <v>2.0</v>
      </c>
    </row>
    <row r="251">
      <c r="A251" s="5">
        <v>102.0</v>
      </c>
      <c r="B251" s="5" t="s">
        <v>763</v>
      </c>
      <c r="C251" s="5" t="s">
        <v>602</v>
      </c>
      <c r="D251" s="5">
        <v>3.0</v>
      </c>
    </row>
    <row r="252">
      <c r="A252" s="5">
        <v>103.0</v>
      </c>
      <c r="B252" s="5" t="s">
        <v>771</v>
      </c>
      <c r="C252" s="5" t="s">
        <v>6618</v>
      </c>
      <c r="D252" s="5">
        <v>1.0</v>
      </c>
    </row>
    <row r="253">
      <c r="A253" s="5">
        <v>103.0</v>
      </c>
      <c r="B253" s="5" t="s">
        <v>771</v>
      </c>
      <c r="C253" s="5" t="s">
        <v>20</v>
      </c>
      <c r="D253" s="5">
        <v>2.0</v>
      </c>
    </row>
    <row r="254">
      <c r="A254" s="5">
        <v>103.0</v>
      </c>
      <c r="B254" s="5" t="s">
        <v>771</v>
      </c>
      <c r="C254" s="5" t="s">
        <v>6619</v>
      </c>
      <c r="D254" s="5">
        <v>3.0</v>
      </c>
    </row>
    <row r="255">
      <c r="A255" s="5">
        <v>104.0</v>
      </c>
      <c r="B255" s="5" t="s">
        <v>777</v>
      </c>
      <c r="C255" s="5" t="s">
        <v>6615</v>
      </c>
      <c r="D255" s="5">
        <v>1.0</v>
      </c>
    </row>
    <row r="256">
      <c r="A256" s="5">
        <v>104.0</v>
      </c>
      <c r="B256" s="5" t="s">
        <v>777</v>
      </c>
      <c r="C256" s="5" t="s">
        <v>20</v>
      </c>
      <c r="D256" s="5">
        <v>2.0</v>
      </c>
    </row>
    <row r="257">
      <c r="A257" s="5">
        <v>104.0</v>
      </c>
      <c r="B257" s="5" t="s">
        <v>777</v>
      </c>
      <c r="C257" s="5" t="s">
        <v>4191</v>
      </c>
      <c r="D257" s="5">
        <v>3.0</v>
      </c>
    </row>
    <row r="258">
      <c r="A258" s="5">
        <v>105.0</v>
      </c>
      <c r="B258" s="5" t="s">
        <v>784</v>
      </c>
      <c r="C258" s="5" t="s">
        <v>20</v>
      </c>
      <c r="D258" s="5">
        <v>1.0</v>
      </c>
    </row>
    <row r="259">
      <c r="A259" s="5">
        <v>105.0</v>
      </c>
      <c r="B259" s="5" t="s">
        <v>784</v>
      </c>
      <c r="C259" s="5" t="s">
        <v>6625</v>
      </c>
      <c r="D259" s="5">
        <v>2.0</v>
      </c>
    </row>
    <row r="260">
      <c r="A260" s="5">
        <v>106.0</v>
      </c>
      <c r="B260" s="5" t="s">
        <v>790</v>
      </c>
      <c r="C260" s="5" t="s">
        <v>20</v>
      </c>
      <c r="D260" s="5">
        <v>1.0</v>
      </c>
    </row>
    <row r="261">
      <c r="A261" s="5">
        <v>106.0</v>
      </c>
      <c r="B261" s="5" t="s">
        <v>790</v>
      </c>
      <c r="C261" s="5" t="s">
        <v>4191</v>
      </c>
      <c r="D261" s="5">
        <v>2.0</v>
      </c>
    </row>
    <row r="262">
      <c r="A262" s="5">
        <v>106.0</v>
      </c>
      <c r="B262" s="5" t="s">
        <v>790</v>
      </c>
      <c r="C262" s="5" t="s">
        <v>6625</v>
      </c>
      <c r="D262" s="5">
        <v>3.0</v>
      </c>
    </row>
    <row r="263">
      <c r="A263" s="5">
        <v>107.0</v>
      </c>
      <c r="B263" s="5" t="s">
        <v>797</v>
      </c>
      <c r="C263" s="5" t="s">
        <v>6616</v>
      </c>
      <c r="D263" s="5">
        <v>1.0</v>
      </c>
    </row>
    <row r="264">
      <c r="A264" s="5">
        <v>107.0</v>
      </c>
      <c r="B264" s="5" t="s">
        <v>797</v>
      </c>
      <c r="C264" s="5" t="s">
        <v>6617</v>
      </c>
      <c r="D264" s="5">
        <v>2.0</v>
      </c>
    </row>
    <row r="265">
      <c r="A265" s="5">
        <v>107.0</v>
      </c>
      <c r="B265" s="5" t="s">
        <v>797</v>
      </c>
      <c r="C265" s="5" t="s">
        <v>6620</v>
      </c>
      <c r="D265" s="5">
        <v>3.0</v>
      </c>
    </row>
    <row r="266">
      <c r="A266" s="5">
        <v>108.0</v>
      </c>
      <c r="B266" s="5" t="s">
        <v>801</v>
      </c>
      <c r="C266" s="5" t="s">
        <v>6618</v>
      </c>
      <c r="D266" s="5">
        <v>1.0</v>
      </c>
    </row>
    <row r="267">
      <c r="A267" s="5">
        <v>108.0</v>
      </c>
      <c r="B267" s="5" t="s">
        <v>801</v>
      </c>
      <c r="C267" s="5" t="s">
        <v>20</v>
      </c>
      <c r="D267" s="5">
        <v>2.0</v>
      </c>
    </row>
    <row r="268">
      <c r="A268" s="5">
        <v>108.0</v>
      </c>
      <c r="B268" s="5" t="s">
        <v>801</v>
      </c>
      <c r="C268" s="5" t="s">
        <v>6619</v>
      </c>
      <c r="D268" s="5">
        <v>3.0</v>
      </c>
    </row>
    <row r="269">
      <c r="A269" s="5">
        <v>109.0</v>
      </c>
      <c r="B269" s="5" t="s">
        <v>807</v>
      </c>
      <c r="C269" s="5" t="s">
        <v>6615</v>
      </c>
      <c r="D269" s="5">
        <v>1.0</v>
      </c>
    </row>
    <row r="270">
      <c r="A270" s="5">
        <v>109.0</v>
      </c>
      <c r="B270" s="5" t="s">
        <v>807</v>
      </c>
      <c r="C270" s="5" t="s">
        <v>20</v>
      </c>
      <c r="D270" s="5">
        <v>2.0</v>
      </c>
    </row>
    <row r="271">
      <c r="A271" s="5">
        <v>110.0</v>
      </c>
      <c r="B271" s="5" t="s">
        <v>813</v>
      </c>
      <c r="C271" s="5" t="s">
        <v>6616</v>
      </c>
      <c r="D271" s="5">
        <v>1.0</v>
      </c>
    </row>
    <row r="272">
      <c r="A272" s="5">
        <v>110.0</v>
      </c>
      <c r="B272" s="5" t="s">
        <v>813</v>
      </c>
      <c r="C272" s="5" t="s">
        <v>6617</v>
      </c>
      <c r="D272" s="5">
        <v>2.0</v>
      </c>
    </row>
    <row r="273">
      <c r="A273" s="5">
        <v>110.0</v>
      </c>
      <c r="B273" s="5" t="s">
        <v>813</v>
      </c>
      <c r="C273" s="5" t="s">
        <v>6622</v>
      </c>
      <c r="D273" s="5">
        <v>3.0</v>
      </c>
    </row>
    <row r="274">
      <c r="A274" s="5">
        <v>111.0</v>
      </c>
      <c r="B274" s="5" t="s">
        <v>816</v>
      </c>
      <c r="C274" s="5" t="s">
        <v>6617</v>
      </c>
      <c r="D274" s="5">
        <v>1.0</v>
      </c>
    </row>
    <row r="275">
      <c r="A275" s="5">
        <v>111.0</v>
      </c>
      <c r="B275" s="5" t="s">
        <v>816</v>
      </c>
      <c r="C275" s="5" t="s">
        <v>20</v>
      </c>
      <c r="D275" s="5">
        <v>2.0</v>
      </c>
    </row>
    <row r="276">
      <c r="A276" s="5">
        <v>111.0</v>
      </c>
      <c r="B276" s="5" t="s">
        <v>816</v>
      </c>
      <c r="C276" s="5" t="s">
        <v>4191</v>
      </c>
      <c r="D276" s="5">
        <v>3.0</v>
      </c>
    </row>
    <row r="277">
      <c r="A277" s="5">
        <v>112.0</v>
      </c>
      <c r="B277" s="5" t="s">
        <v>824</v>
      </c>
      <c r="C277" s="5" t="s">
        <v>6615</v>
      </c>
      <c r="D277" s="5">
        <v>1.0</v>
      </c>
    </row>
    <row r="278">
      <c r="A278" s="5">
        <v>112.0</v>
      </c>
      <c r="B278" s="5" t="s">
        <v>824</v>
      </c>
      <c r="C278" s="5" t="s">
        <v>20</v>
      </c>
      <c r="D278" s="5">
        <v>2.0</v>
      </c>
    </row>
    <row r="279">
      <c r="A279" s="5">
        <v>113.0</v>
      </c>
      <c r="B279" s="5" t="s">
        <v>829</v>
      </c>
      <c r="C279" s="5" t="s">
        <v>602</v>
      </c>
      <c r="D279" s="5">
        <v>1.0</v>
      </c>
    </row>
    <row r="280">
      <c r="A280" s="5">
        <v>113.0</v>
      </c>
      <c r="B280" s="5" t="s">
        <v>829</v>
      </c>
      <c r="C280" s="5" t="s">
        <v>6615</v>
      </c>
      <c r="D280" s="5">
        <v>2.0</v>
      </c>
    </row>
    <row r="281">
      <c r="A281" s="5">
        <v>113.0</v>
      </c>
      <c r="B281" s="5" t="s">
        <v>829</v>
      </c>
      <c r="C281" s="5" t="s">
        <v>20</v>
      </c>
      <c r="D281" s="5">
        <v>3.0</v>
      </c>
    </row>
    <row r="282">
      <c r="A282" s="5">
        <v>114.0</v>
      </c>
      <c r="B282" s="5" t="s">
        <v>838</v>
      </c>
      <c r="C282" s="5" t="s">
        <v>6615</v>
      </c>
      <c r="D282" s="5">
        <v>1.0</v>
      </c>
    </row>
    <row r="283">
      <c r="A283" s="5">
        <v>114.0</v>
      </c>
      <c r="B283" s="5" t="s">
        <v>838</v>
      </c>
      <c r="C283" s="5" t="s">
        <v>20</v>
      </c>
      <c r="D283" s="5">
        <v>2.0</v>
      </c>
    </row>
    <row r="284">
      <c r="A284" s="5">
        <v>114.0</v>
      </c>
      <c r="B284" s="5" t="s">
        <v>838</v>
      </c>
      <c r="C284" s="5" t="s">
        <v>6620</v>
      </c>
      <c r="D284" s="5">
        <v>3.0</v>
      </c>
    </row>
    <row r="285">
      <c r="A285" s="5">
        <v>115.0</v>
      </c>
      <c r="B285" s="5" t="s">
        <v>845</v>
      </c>
      <c r="C285" s="5" t="s">
        <v>6617</v>
      </c>
      <c r="D285" s="5">
        <v>1.0</v>
      </c>
    </row>
    <row r="286">
      <c r="A286" s="5">
        <v>115.0</v>
      </c>
      <c r="B286" s="5" t="s">
        <v>845</v>
      </c>
      <c r="C286" s="5" t="s">
        <v>6620</v>
      </c>
      <c r="D286" s="5">
        <v>2.0</v>
      </c>
    </row>
    <row r="287">
      <c r="A287" s="5">
        <v>116.0</v>
      </c>
      <c r="B287" s="5" t="s">
        <v>852</v>
      </c>
      <c r="C287" s="5" t="s">
        <v>116</v>
      </c>
      <c r="D287" s="5">
        <v>1.0</v>
      </c>
    </row>
    <row r="288">
      <c r="A288" s="5">
        <v>117.0</v>
      </c>
      <c r="B288" s="5" t="s">
        <v>856</v>
      </c>
      <c r="C288" s="5" t="s">
        <v>6617</v>
      </c>
      <c r="D288" s="5">
        <v>1.0</v>
      </c>
    </row>
    <row r="289">
      <c r="A289" s="5">
        <v>117.0</v>
      </c>
      <c r="B289" s="5" t="s">
        <v>856</v>
      </c>
      <c r="C289" s="5" t="s">
        <v>6618</v>
      </c>
      <c r="D289" s="5">
        <v>2.0</v>
      </c>
    </row>
    <row r="290">
      <c r="A290" s="5">
        <v>117.0</v>
      </c>
      <c r="B290" s="5" t="s">
        <v>856</v>
      </c>
      <c r="C290" s="5" t="s">
        <v>20</v>
      </c>
      <c r="D290" s="5">
        <v>3.0</v>
      </c>
    </row>
    <row r="291">
      <c r="A291" s="5">
        <v>118.0</v>
      </c>
      <c r="B291" s="5" t="s">
        <v>864</v>
      </c>
      <c r="C291" s="5" t="s">
        <v>602</v>
      </c>
      <c r="D291" s="5">
        <v>1.0</v>
      </c>
    </row>
    <row r="292">
      <c r="A292" s="5">
        <v>118.0</v>
      </c>
      <c r="B292" s="5" t="s">
        <v>864</v>
      </c>
      <c r="C292" s="5" t="s">
        <v>20</v>
      </c>
      <c r="D292" s="5">
        <v>2.0</v>
      </c>
    </row>
    <row r="293">
      <c r="A293" s="5">
        <v>118.0</v>
      </c>
      <c r="B293" s="5" t="s">
        <v>864</v>
      </c>
      <c r="C293" s="5" t="s">
        <v>6621</v>
      </c>
      <c r="D293" s="5">
        <v>3.0</v>
      </c>
    </row>
    <row r="294">
      <c r="A294" s="5">
        <v>119.0</v>
      </c>
      <c r="B294" s="5" t="s">
        <v>870</v>
      </c>
      <c r="C294" s="5" t="s">
        <v>6617</v>
      </c>
      <c r="D294" s="5">
        <v>1.0</v>
      </c>
    </row>
    <row r="295">
      <c r="A295" s="5">
        <v>119.0</v>
      </c>
      <c r="B295" s="5" t="s">
        <v>870</v>
      </c>
      <c r="C295" s="5" t="s">
        <v>6626</v>
      </c>
      <c r="D295" s="5">
        <v>2.0</v>
      </c>
    </row>
    <row r="296">
      <c r="A296" s="5">
        <v>119.0</v>
      </c>
      <c r="B296" s="5" t="s">
        <v>870</v>
      </c>
      <c r="C296" s="5" t="s">
        <v>4191</v>
      </c>
      <c r="D296" s="5">
        <v>3.0</v>
      </c>
    </row>
    <row r="297">
      <c r="A297" s="5">
        <v>120.0</v>
      </c>
      <c r="B297" s="5" t="s">
        <v>877</v>
      </c>
      <c r="C297" s="5" t="s">
        <v>6626</v>
      </c>
      <c r="D297" s="5">
        <v>1.0</v>
      </c>
    </row>
    <row r="298">
      <c r="A298" s="5">
        <v>120.0</v>
      </c>
      <c r="B298" s="5" t="s">
        <v>877</v>
      </c>
      <c r="C298" s="5" t="s">
        <v>6621</v>
      </c>
      <c r="D298" s="5">
        <v>2.0</v>
      </c>
    </row>
    <row r="299">
      <c r="A299" s="5">
        <v>120.0</v>
      </c>
      <c r="B299" s="5" t="s">
        <v>877</v>
      </c>
      <c r="C299" s="5" t="s">
        <v>4191</v>
      </c>
      <c r="D299" s="5">
        <v>3.0</v>
      </c>
    </row>
    <row r="300">
      <c r="A300" s="5">
        <v>121.0</v>
      </c>
      <c r="B300" s="5" t="s">
        <v>884</v>
      </c>
      <c r="C300" s="5" t="s">
        <v>602</v>
      </c>
      <c r="D300" s="5">
        <v>1.0</v>
      </c>
    </row>
    <row r="301">
      <c r="A301" s="5">
        <v>121.0</v>
      </c>
      <c r="B301" s="5" t="s">
        <v>884</v>
      </c>
      <c r="C301" s="5" t="s">
        <v>6628</v>
      </c>
      <c r="D301" s="5">
        <v>2.0</v>
      </c>
    </row>
    <row r="302">
      <c r="A302" s="5">
        <v>121.0</v>
      </c>
      <c r="B302" s="5" t="s">
        <v>884</v>
      </c>
      <c r="C302" s="5" t="s">
        <v>6621</v>
      </c>
      <c r="D302" s="5">
        <v>3.0</v>
      </c>
    </row>
    <row r="303">
      <c r="A303" s="5">
        <v>122.0</v>
      </c>
      <c r="B303" s="5" t="s">
        <v>892</v>
      </c>
      <c r="C303" s="5" t="s">
        <v>20</v>
      </c>
      <c r="D303" s="5">
        <v>1.0</v>
      </c>
    </row>
    <row r="304">
      <c r="A304" s="5">
        <v>123.0</v>
      </c>
      <c r="B304" s="5" t="s">
        <v>898</v>
      </c>
      <c r="C304" s="5" t="s">
        <v>20</v>
      </c>
      <c r="D304" s="5">
        <v>1.0</v>
      </c>
    </row>
    <row r="305">
      <c r="A305" s="5">
        <v>124.0</v>
      </c>
      <c r="B305" s="5" t="s">
        <v>906</v>
      </c>
      <c r="C305" s="5" t="s">
        <v>6615</v>
      </c>
      <c r="D305" s="5">
        <v>1.0</v>
      </c>
    </row>
    <row r="306">
      <c r="A306" s="5">
        <v>124.0</v>
      </c>
      <c r="B306" s="5" t="s">
        <v>906</v>
      </c>
      <c r="C306" s="5" t="s">
        <v>20</v>
      </c>
      <c r="D306" s="5">
        <v>2.0</v>
      </c>
    </row>
    <row r="307">
      <c r="A307" s="5">
        <v>124.0</v>
      </c>
      <c r="B307" s="5" t="s">
        <v>906</v>
      </c>
      <c r="C307" s="5" t="s">
        <v>6629</v>
      </c>
      <c r="D307" s="5">
        <v>3.0</v>
      </c>
    </row>
    <row r="308">
      <c r="A308" s="5">
        <v>125.0</v>
      </c>
      <c r="B308" s="5" t="s">
        <v>913</v>
      </c>
      <c r="C308" s="5" t="s">
        <v>20</v>
      </c>
      <c r="D308" s="5">
        <v>1.0</v>
      </c>
    </row>
    <row r="309">
      <c r="A309" s="5">
        <v>125.0</v>
      </c>
      <c r="B309" s="5" t="s">
        <v>913</v>
      </c>
      <c r="C309" s="5" t="s">
        <v>6626</v>
      </c>
      <c r="D309" s="5">
        <v>2.0</v>
      </c>
    </row>
    <row r="310">
      <c r="A310" s="5">
        <v>126.0</v>
      </c>
      <c r="B310" s="5" t="s">
        <v>920</v>
      </c>
      <c r="C310" s="5" t="s">
        <v>6615</v>
      </c>
      <c r="D310" s="5">
        <v>1.0</v>
      </c>
    </row>
    <row r="311">
      <c r="A311" s="5">
        <v>126.0</v>
      </c>
      <c r="B311" s="5" t="s">
        <v>920</v>
      </c>
      <c r="C311" s="5" t="s">
        <v>6626</v>
      </c>
      <c r="D311" s="5">
        <v>2.0</v>
      </c>
    </row>
    <row r="312">
      <c r="A312" s="5">
        <v>126.0</v>
      </c>
      <c r="B312" s="5" t="s">
        <v>920</v>
      </c>
      <c r="C312" s="5" t="s">
        <v>4191</v>
      </c>
      <c r="D312" s="5">
        <v>3.0</v>
      </c>
    </row>
    <row r="313">
      <c r="A313" s="5">
        <v>127.0</v>
      </c>
      <c r="B313" s="5" t="s">
        <v>927</v>
      </c>
      <c r="C313" s="5" t="s">
        <v>20</v>
      </c>
      <c r="D313" s="5">
        <v>1.0</v>
      </c>
    </row>
    <row r="314">
      <c r="A314" s="5">
        <v>127.0</v>
      </c>
      <c r="B314" s="5" t="s">
        <v>927</v>
      </c>
      <c r="C314" s="5" t="s">
        <v>6620</v>
      </c>
      <c r="D314" s="5">
        <v>2.0</v>
      </c>
    </row>
    <row r="315">
      <c r="A315" s="5">
        <v>128.0</v>
      </c>
      <c r="B315" s="5" t="s">
        <v>934</v>
      </c>
      <c r="C315" s="5" t="s">
        <v>602</v>
      </c>
      <c r="D315" s="5">
        <v>1.0</v>
      </c>
    </row>
    <row r="316">
      <c r="A316" s="5">
        <v>128.0</v>
      </c>
      <c r="B316" s="5" t="s">
        <v>934</v>
      </c>
      <c r="C316" s="5" t="s">
        <v>20</v>
      </c>
      <c r="D316" s="5">
        <v>2.0</v>
      </c>
    </row>
    <row r="317">
      <c r="A317" s="5">
        <v>128.0</v>
      </c>
      <c r="B317" s="5" t="s">
        <v>934</v>
      </c>
      <c r="C317" s="5" t="s">
        <v>6624</v>
      </c>
      <c r="D317" s="5">
        <v>3.0</v>
      </c>
    </row>
    <row r="318">
      <c r="A318" s="5">
        <v>129.0</v>
      </c>
      <c r="B318" s="5" t="s">
        <v>940</v>
      </c>
      <c r="C318" s="5" t="s">
        <v>602</v>
      </c>
      <c r="D318" s="5">
        <v>1.0</v>
      </c>
    </row>
    <row r="319">
      <c r="A319" s="5">
        <v>129.0</v>
      </c>
      <c r="B319" s="5" t="s">
        <v>940</v>
      </c>
      <c r="C319" s="5" t="s">
        <v>20</v>
      </c>
      <c r="D319" s="5">
        <v>2.0</v>
      </c>
    </row>
    <row r="320">
      <c r="A320" s="5">
        <v>130.0</v>
      </c>
      <c r="B320" s="5" t="s">
        <v>946</v>
      </c>
      <c r="C320" s="5" t="s">
        <v>6616</v>
      </c>
      <c r="D320" s="5">
        <v>1.0</v>
      </c>
    </row>
    <row r="321">
      <c r="A321" s="5">
        <v>130.0</v>
      </c>
      <c r="B321" s="5" t="s">
        <v>946</v>
      </c>
      <c r="C321" s="5" t="s">
        <v>20</v>
      </c>
      <c r="D321" s="5">
        <v>2.0</v>
      </c>
    </row>
    <row r="322">
      <c r="A322" s="5">
        <v>130.0</v>
      </c>
      <c r="B322" s="5" t="s">
        <v>946</v>
      </c>
      <c r="C322" s="5" t="s">
        <v>6625</v>
      </c>
      <c r="D322" s="5">
        <v>3.0</v>
      </c>
    </row>
    <row r="323">
      <c r="A323" s="5">
        <v>131.0</v>
      </c>
      <c r="B323" s="5" t="s">
        <v>954</v>
      </c>
      <c r="C323" s="5" t="s">
        <v>6616</v>
      </c>
      <c r="D323" s="5">
        <v>1.0</v>
      </c>
    </row>
    <row r="324">
      <c r="A324" s="5">
        <v>131.0</v>
      </c>
      <c r="B324" s="5" t="s">
        <v>954</v>
      </c>
      <c r="C324" s="5" t="s">
        <v>20</v>
      </c>
      <c r="D324" s="5">
        <v>2.0</v>
      </c>
    </row>
    <row r="325">
      <c r="A325" s="5">
        <v>132.0</v>
      </c>
      <c r="B325" s="5" t="s">
        <v>963</v>
      </c>
      <c r="C325" s="5" t="s">
        <v>6618</v>
      </c>
      <c r="D325" s="5">
        <v>1.0</v>
      </c>
    </row>
    <row r="326">
      <c r="A326" s="5">
        <v>132.0</v>
      </c>
      <c r="B326" s="5" t="s">
        <v>963</v>
      </c>
      <c r="C326" s="5" t="s">
        <v>602</v>
      </c>
      <c r="D326" s="5">
        <v>2.0</v>
      </c>
    </row>
    <row r="327">
      <c r="A327" s="5">
        <v>132.0</v>
      </c>
      <c r="B327" s="5" t="s">
        <v>963</v>
      </c>
      <c r="C327" s="5" t="s">
        <v>20</v>
      </c>
      <c r="D327" s="5">
        <v>3.0</v>
      </c>
    </row>
    <row r="328">
      <c r="A328" s="5">
        <v>133.0</v>
      </c>
      <c r="B328" s="5" t="s">
        <v>969</v>
      </c>
      <c r="C328" s="5" t="s">
        <v>602</v>
      </c>
      <c r="D328" s="5">
        <v>1.0</v>
      </c>
    </row>
    <row r="329">
      <c r="A329" s="5">
        <v>133.0</v>
      </c>
      <c r="B329" s="5" t="s">
        <v>969</v>
      </c>
      <c r="C329" s="5" t="s">
        <v>6615</v>
      </c>
      <c r="D329" s="5">
        <v>2.0</v>
      </c>
    </row>
    <row r="330">
      <c r="A330" s="5">
        <v>133.0</v>
      </c>
      <c r="B330" s="5" t="s">
        <v>969</v>
      </c>
      <c r="C330" s="5" t="s">
        <v>20</v>
      </c>
      <c r="D330" s="5">
        <v>3.0</v>
      </c>
    </row>
    <row r="331">
      <c r="A331" s="5">
        <v>134.0</v>
      </c>
      <c r="B331" s="5" t="s">
        <v>976</v>
      </c>
      <c r="C331" s="5" t="s">
        <v>6615</v>
      </c>
      <c r="D331" s="5">
        <v>1.0</v>
      </c>
    </row>
    <row r="332">
      <c r="A332" s="5">
        <v>134.0</v>
      </c>
      <c r="B332" s="5" t="s">
        <v>976</v>
      </c>
      <c r="C332" s="5" t="s">
        <v>20</v>
      </c>
      <c r="D332" s="5">
        <v>2.0</v>
      </c>
    </row>
    <row r="333">
      <c r="A333" s="5">
        <v>134.0</v>
      </c>
      <c r="B333" s="5" t="s">
        <v>976</v>
      </c>
      <c r="C333" s="5" t="s">
        <v>6626</v>
      </c>
      <c r="D333" s="5">
        <v>3.0</v>
      </c>
    </row>
    <row r="334">
      <c r="A334" s="5">
        <v>135.0</v>
      </c>
      <c r="B334" s="5" t="s">
        <v>983</v>
      </c>
      <c r="C334" s="5" t="s">
        <v>6616</v>
      </c>
      <c r="D334" s="5">
        <v>1.0</v>
      </c>
    </row>
    <row r="335">
      <c r="A335" s="5">
        <v>135.0</v>
      </c>
      <c r="B335" s="5" t="s">
        <v>983</v>
      </c>
      <c r="C335" s="5" t="s">
        <v>20</v>
      </c>
      <c r="D335" s="5">
        <v>2.0</v>
      </c>
    </row>
    <row r="336">
      <c r="A336" s="5">
        <v>136.0</v>
      </c>
      <c r="B336" s="5" t="s">
        <v>991</v>
      </c>
      <c r="C336" s="5" t="s">
        <v>6623</v>
      </c>
      <c r="D336" s="5">
        <v>1.0</v>
      </c>
    </row>
    <row r="337">
      <c r="A337" s="5">
        <v>136.0</v>
      </c>
      <c r="B337" s="5" t="s">
        <v>991</v>
      </c>
      <c r="C337" s="5" t="s">
        <v>6617</v>
      </c>
      <c r="D337" s="5">
        <v>2.0</v>
      </c>
    </row>
    <row r="338">
      <c r="A338" s="5">
        <v>136.0</v>
      </c>
      <c r="B338" s="5" t="s">
        <v>991</v>
      </c>
      <c r="C338" s="5" t="s">
        <v>602</v>
      </c>
      <c r="D338" s="5">
        <v>3.0</v>
      </c>
    </row>
    <row r="339">
      <c r="A339" s="5">
        <v>137.0</v>
      </c>
      <c r="B339" s="5" t="s">
        <v>663</v>
      </c>
      <c r="C339" s="5" t="s">
        <v>6615</v>
      </c>
      <c r="D339" s="5">
        <v>1.0</v>
      </c>
    </row>
    <row r="340">
      <c r="A340" s="5">
        <v>137.0</v>
      </c>
      <c r="B340" s="5" t="s">
        <v>663</v>
      </c>
      <c r="C340" s="5" t="s">
        <v>20</v>
      </c>
      <c r="D340" s="5">
        <v>2.0</v>
      </c>
    </row>
    <row r="341">
      <c r="A341" s="5">
        <v>137.0</v>
      </c>
      <c r="B341" s="5" t="s">
        <v>663</v>
      </c>
      <c r="C341" s="5" t="s">
        <v>6626</v>
      </c>
      <c r="D341" s="5">
        <v>3.0</v>
      </c>
    </row>
    <row r="342">
      <c r="A342" s="5">
        <v>138.0</v>
      </c>
      <c r="B342" s="5" t="s">
        <v>1003</v>
      </c>
      <c r="C342" s="5" t="s">
        <v>6617</v>
      </c>
      <c r="D342" s="5">
        <v>1.0</v>
      </c>
    </row>
    <row r="343">
      <c r="A343" s="5">
        <v>138.0</v>
      </c>
      <c r="B343" s="5" t="s">
        <v>1003</v>
      </c>
      <c r="C343" s="5" t="s">
        <v>602</v>
      </c>
      <c r="D343" s="5">
        <v>2.0</v>
      </c>
    </row>
    <row r="344">
      <c r="A344" s="5">
        <v>138.0</v>
      </c>
      <c r="B344" s="5" t="s">
        <v>1003</v>
      </c>
      <c r="C344" s="5" t="s">
        <v>20</v>
      </c>
      <c r="D344" s="5">
        <v>3.0</v>
      </c>
    </row>
    <row r="345">
      <c r="A345" s="5">
        <v>139.0</v>
      </c>
      <c r="B345" s="5" t="s">
        <v>1011</v>
      </c>
      <c r="C345" s="5" t="s">
        <v>20</v>
      </c>
      <c r="D345" s="5">
        <v>1.0</v>
      </c>
    </row>
    <row r="346">
      <c r="A346" s="5">
        <v>139.0</v>
      </c>
      <c r="B346" s="5" t="s">
        <v>1011</v>
      </c>
      <c r="C346" s="5" t="s">
        <v>6625</v>
      </c>
      <c r="D346" s="5">
        <v>2.0</v>
      </c>
    </row>
    <row r="347">
      <c r="A347" s="5">
        <v>140.0</v>
      </c>
      <c r="B347" s="5" t="s">
        <v>1018</v>
      </c>
      <c r="C347" s="5" t="s">
        <v>6618</v>
      </c>
      <c r="D347" s="5">
        <v>1.0</v>
      </c>
    </row>
    <row r="348">
      <c r="A348" s="5">
        <v>140.0</v>
      </c>
      <c r="B348" s="5" t="s">
        <v>1018</v>
      </c>
      <c r="C348" s="5" t="s">
        <v>20</v>
      </c>
      <c r="D348" s="5">
        <v>2.0</v>
      </c>
    </row>
    <row r="349">
      <c r="A349" s="5">
        <v>140.0</v>
      </c>
      <c r="B349" s="5" t="s">
        <v>1018</v>
      </c>
      <c r="C349" s="5" t="s">
        <v>6630</v>
      </c>
      <c r="D349" s="5">
        <v>3.0</v>
      </c>
    </row>
    <row r="350">
      <c r="A350" s="5">
        <v>141.0</v>
      </c>
      <c r="B350" s="5" t="s">
        <v>1027</v>
      </c>
      <c r="C350" s="5" t="s">
        <v>6616</v>
      </c>
      <c r="D350" s="5">
        <v>1.0</v>
      </c>
    </row>
    <row r="351">
      <c r="A351" s="5">
        <v>141.0</v>
      </c>
      <c r="B351" s="5" t="s">
        <v>1027</v>
      </c>
      <c r="C351" s="5" t="s">
        <v>602</v>
      </c>
      <c r="D351" s="5">
        <v>2.0</v>
      </c>
    </row>
    <row r="352">
      <c r="A352" s="5">
        <v>141.0</v>
      </c>
      <c r="B352" s="5" t="s">
        <v>1027</v>
      </c>
      <c r="C352" s="5" t="s">
        <v>6615</v>
      </c>
      <c r="D352" s="5">
        <v>3.0</v>
      </c>
    </row>
    <row r="353">
      <c r="A353" s="5">
        <v>142.0</v>
      </c>
      <c r="B353" s="5" t="s">
        <v>1036</v>
      </c>
      <c r="C353" s="5" t="s">
        <v>20</v>
      </c>
      <c r="D353" s="5">
        <v>1.0</v>
      </c>
    </row>
    <row r="354">
      <c r="A354" s="5">
        <v>143.0</v>
      </c>
      <c r="B354" s="5" t="s">
        <v>1043</v>
      </c>
      <c r="C354" s="5" t="s">
        <v>6616</v>
      </c>
      <c r="D354" s="5">
        <v>1.0</v>
      </c>
    </row>
    <row r="355">
      <c r="A355" s="5">
        <v>143.0</v>
      </c>
      <c r="B355" s="5" t="s">
        <v>1043</v>
      </c>
      <c r="C355" s="5" t="s">
        <v>6618</v>
      </c>
      <c r="D355" s="5">
        <v>2.0</v>
      </c>
    </row>
    <row r="356">
      <c r="A356" s="5">
        <v>143.0</v>
      </c>
      <c r="B356" s="5" t="s">
        <v>1043</v>
      </c>
      <c r="C356" s="5" t="s">
        <v>6615</v>
      </c>
      <c r="D356" s="5">
        <v>3.0</v>
      </c>
    </row>
    <row r="357">
      <c r="A357" s="5">
        <v>144.0</v>
      </c>
      <c r="B357" s="5" t="s">
        <v>1050</v>
      </c>
      <c r="C357" s="5" t="s">
        <v>20</v>
      </c>
      <c r="D357" s="5">
        <v>1.0</v>
      </c>
    </row>
    <row r="358">
      <c r="A358" s="5">
        <v>144.0</v>
      </c>
      <c r="B358" s="5" t="s">
        <v>1050</v>
      </c>
      <c r="C358" s="5" t="s">
        <v>6626</v>
      </c>
      <c r="D358" s="5">
        <v>2.0</v>
      </c>
    </row>
    <row r="359">
      <c r="A359" s="5">
        <v>144.0</v>
      </c>
      <c r="B359" s="5" t="s">
        <v>1050</v>
      </c>
      <c r="C359" s="5" t="s">
        <v>6621</v>
      </c>
      <c r="D359" s="5">
        <v>3.0</v>
      </c>
    </row>
    <row r="360">
      <c r="A360" s="5">
        <v>145.0</v>
      </c>
      <c r="B360" s="5" t="s">
        <v>1058</v>
      </c>
      <c r="C360" s="5" t="s">
        <v>6616</v>
      </c>
      <c r="D360" s="5">
        <v>1.0</v>
      </c>
    </row>
    <row r="361">
      <c r="A361" s="5">
        <v>145.0</v>
      </c>
      <c r="B361" s="5" t="s">
        <v>1058</v>
      </c>
      <c r="C361" s="5" t="s">
        <v>20</v>
      </c>
      <c r="D361" s="5">
        <v>2.0</v>
      </c>
    </row>
    <row r="362">
      <c r="A362" s="5">
        <v>145.0</v>
      </c>
      <c r="B362" s="5" t="s">
        <v>1058</v>
      </c>
      <c r="C362" s="5" t="s">
        <v>6630</v>
      </c>
      <c r="D362" s="5">
        <v>3.0</v>
      </c>
    </row>
    <row r="363">
      <c r="A363" s="5">
        <v>146.0</v>
      </c>
      <c r="B363" s="5" t="s">
        <v>1066</v>
      </c>
      <c r="C363" s="5" t="s">
        <v>6626</v>
      </c>
      <c r="D363" s="5">
        <v>1.0</v>
      </c>
    </row>
    <row r="364">
      <c r="A364" s="5">
        <v>146.0</v>
      </c>
      <c r="B364" s="5" t="s">
        <v>1066</v>
      </c>
      <c r="C364" s="5" t="s">
        <v>4191</v>
      </c>
      <c r="D364" s="5">
        <v>2.0</v>
      </c>
    </row>
    <row r="365">
      <c r="A365" s="5">
        <v>147.0</v>
      </c>
      <c r="B365" s="5" t="s">
        <v>1069</v>
      </c>
      <c r="C365" s="5" t="s">
        <v>6623</v>
      </c>
      <c r="D365" s="5">
        <v>1.0</v>
      </c>
    </row>
    <row r="366">
      <c r="A366" s="5">
        <v>147.0</v>
      </c>
      <c r="B366" s="5" t="s">
        <v>1069</v>
      </c>
      <c r="C366" s="5" t="s">
        <v>6617</v>
      </c>
      <c r="D366" s="5">
        <v>2.0</v>
      </c>
    </row>
    <row r="367">
      <c r="A367" s="5">
        <v>147.0</v>
      </c>
      <c r="B367" s="5" t="s">
        <v>1069</v>
      </c>
      <c r="C367" s="5" t="s">
        <v>602</v>
      </c>
      <c r="D367" s="5">
        <v>3.0</v>
      </c>
    </row>
    <row r="368">
      <c r="A368" s="5">
        <v>148.0</v>
      </c>
      <c r="B368" s="5" t="s">
        <v>1076</v>
      </c>
      <c r="C368" s="5" t="s">
        <v>6618</v>
      </c>
      <c r="D368" s="5">
        <v>1.0</v>
      </c>
    </row>
    <row r="369">
      <c r="A369" s="5">
        <v>148.0</v>
      </c>
      <c r="B369" s="5" t="s">
        <v>1076</v>
      </c>
      <c r="C369" s="5" t="s">
        <v>6615</v>
      </c>
      <c r="D369" s="5">
        <v>2.0</v>
      </c>
    </row>
    <row r="370">
      <c r="A370" s="5">
        <v>148.0</v>
      </c>
      <c r="B370" s="5" t="s">
        <v>1076</v>
      </c>
      <c r="C370" s="5" t="s">
        <v>20</v>
      </c>
      <c r="D370" s="5">
        <v>3.0</v>
      </c>
    </row>
    <row r="371">
      <c r="A371" s="5">
        <v>149.0</v>
      </c>
      <c r="B371" s="5" t="s">
        <v>1081</v>
      </c>
      <c r="C371" s="5" t="s">
        <v>20</v>
      </c>
      <c r="D371" s="5">
        <v>1.0</v>
      </c>
    </row>
    <row r="372">
      <c r="A372" s="5">
        <v>149.0</v>
      </c>
      <c r="B372" s="5" t="s">
        <v>1081</v>
      </c>
      <c r="C372" s="5" t="s">
        <v>6624</v>
      </c>
      <c r="D372" s="5">
        <v>2.0</v>
      </c>
    </row>
    <row r="373">
      <c r="A373" s="5">
        <v>149.0</v>
      </c>
      <c r="B373" s="5" t="s">
        <v>1081</v>
      </c>
      <c r="C373" s="5" t="s">
        <v>6630</v>
      </c>
      <c r="D373" s="5">
        <v>3.0</v>
      </c>
    </row>
    <row r="374">
      <c r="A374" s="5">
        <v>150.0</v>
      </c>
      <c r="B374" s="5" t="s">
        <v>1088</v>
      </c>
      <c r="C374" s="5" t="s">
        <v>20</v>
      </c>
      <c r="D374" s="5">
        <v>1.0</v>
      </c>
    </row>
    <row r="375">
      <c r="A375" s="5">
        <v>151.0</v>
      </c>
      <c r="B375" s="5" t="s">
        <v>1096</v>
      </c>
      <c r="C375" s="5" t="s">
        <v>20</v>
      </c>
      <c r="D375" s="5">
        <v>1.0</v>
      </c>
    </row>
    <row r="376">
      <c r="A376" s="5">
        <v>151.0</v>
      </c>
      <c r="B376" s="5" t="s">
        <v>1096</v>
      </c>
      <c r="C376" s="5" t="s">
        <v>6622</v>
      </c>
      <c r="D376" s="5">
        <v>2.0</v>
      </c>
    </row>
    <row r="377">
      <c r="A377" s="5">
        <v>151.0</v>
      </c>
      <c r="B377" s="5" t="s">
        <v>1096</v>
      </c>
      <c r="C377" s="5" t="s">
        <v>6625</v>
      </c>
      <c r="D377" s="5">
        <v>3.0</v>
      </c>
    </row>
    <row r="378">
      <c r="A378" s="5">
        <v>152.0</v>
      </c>
      <c r="B378" s="5" t="s">
        <v>1104</v>
      </c>
      <c r="C378" s="5" t="s">
        <v>6623</v>
      </c>
      <c r="D378" s="5">
        <v>1.0</v>
      </c>
    </row>
    <row r="379">
      <c r="A379" s="5">
        <v>152.0</v>
      </c>
      <c r="B379" s="5" t="s">
        <v>1104</v>
      </c>
      <c r="C379" s="5" t="s">
        <v>6617</v>
      </c>
      <c r="D379" s="5">
        <v>2.0</v>
      </c>
    </row>
    <row r="380">
      <c r="A380" s="5">
        <v>152.0</v>
      </c>
      <c r="B380" s="5" t="s">
        <v>1104</v>
      </c>
      <c r="C380" s="5" t="s">
        <v>602</v>
      </c>
      <c r="D380" s="5">
        <v>3.0</v>
      </c>
    </row>
    <row r="381">
      <c r="A381" s="5">
        <v>153.0</v>
      </c>
      <c r="B381" s="5" t="s">
        <v>1108</v>
      </c>
      <c r="C381" s="5" t="s">
        <v>6616</v>
      </c>
      <c r="D381" s="5">
        <v>1.0</v>
      </c>
    </row>
    <row r="382">
      <c r="A382" s="5">
        <v>153.0</v>
      </c>
      <c r="B382" s="5" t="s">
        <v>1108</v>
      </c>
      <c r="C382" s="5" t="s">
        <v>20</v>
      </c>
      <c r="D382" s="5">
        <v>2.0</v>
      </c>
    </row>
    <row r="383">
      <c r="A383" s="5">
        <v>153.0</v>
      </c>
      <c r="B383" s="5" t="s">
        <v>1108</v>
      </c>
      <c r="C383" s="5" t="s">
        <v>6620</v>
      </c>
      <c r="D383" s="5">
        <v>3.0</v>
      </c>
    </row>
    <row r="384">
      <c r="A384" s="5">
        <v>154.0</v>
      </c>
      <c r="B384" s="5" t="s">
        <v>1115</v>
      </c>
      <c r="C384" s="5" t="s">
        <v>602</v>
      </c>
      <c r="D384" s="5">
        <v>1.0</v>
      </c>
    </row>
    <row r="385">
      <c r="A385" s="5">
        <v>154.0</v>
      </c>
      <c r="B385" s="5" t="s">
        <v>1115</v>
      </c>
      <c r="C385" s="5" t="s">
        <v>6615</v>
      </c>
      <c r="D385" s="5">
        <v>2.0</v>
      </c>
    </row>
    <row r="386">
      <c r="A386" s="5">
        <v>154.0</v>
      </c>
      <c r="B386" s="5" t="s">
        <v>1115</v>
      </c>
      <c r="C386" s="5" t="s">
        <v>20</v>
      </c>
      <c r="D386" s="5">
        <v>3.0</v>
      </c>
    </row>
    <row r="387">
      <c r="A387" s="5">
        <v>155.0</v>
      </c>
      <c r="B387" s="5" t="s">
        <v>1119</v>
      </c>
      <c r="C387" s="5" t="s">
        <v>20</v>
      </c>
      <c r="D387" s="5">
        <v>1.0</v>
      </c>
    </row>
    <row r="388">
      <c r="A388" s="5">
        <v>156.0</v>
      </c>
      <c r="B388" s="5" t="s">
        <v>1125</v>
      </c>
      <c r="C388" s="5" t="s">
        <v>6616</v>
      </c>
      <c r="D388" s="5">
        <v>1.0</v>
      </c>
    </row>
    <row r="389">
      <c r="A389" s="5">
        <v>156.0</v>
      </c>
      <c r="B389" s="5" t="s">
        <v>1125</v>
      </c>
      <c r="C389" s="5" t="s">
        <v>6617</v>
      </c>
      <c r="D389" s="5">
        <v>2.0</v>
      </c>
    </row>
    <row r="390">
      <c r="A390" s="5">
        <v>157.0</v>
      </c>
      <c r="B390" s="5" t="s">
        <v>1127</v>
      </c>
      <c r="C390" s="5" t="s">
        <v>20</v>
      </c>
      <c r="D390" s="5">
        <v>1.0</v>
      </c>
    </row>
    <row r="391">
      <c r="A391" s="5">
        <v>158.0</v>
      </c>
      <c r="B391" s="5" t="s">
        <v>1134</v>
      </c>
      <c r="C391" s="5" t="s">
        <v>6618</v>
      </c>
      <c r="D391" s="5">
        <v>1.0</v>
      </c>
    </row>
    <row r="392">
      <c r="A392" s="5">
        <v>158.0</v>
      </c>
      <c r="B392" s="5" t="s">
        <v>1134</v>
      </c>
      <c r="C392" s="5" t="s">
        <v>20</v>
      </c>
      <c r="D392" s="5">
        <v>2.0</v>
      </c>
    </row>
    <row r="393">
      <c r="A393" s="5">
        <v>158.0</v>
      </c>
      <c r="B393" s="5" t="s">
        <v>1134</v>
      </c>
      <c r="C393" s="5" t="s">
        <v>6619</v>
      </c>
      <c r="D393" s="5">
        <v>3.0</v>
      </c>
    </row>
    <row r="394">
      <c r="A394" s="5">
        <v>159.0</v>
      </c>
      <c r="B394" s="5" t="s">
        <v>1141</v>
      </c>
      <c r="C394" s="5" t="s">
        <v>6623</v>
      </c>
      <c r="D394" s="5">
        <v>1.0</v>
      </c>
    </row>
    <row r="395">
      <c r="A395" s="5">
        <v>159.0</v>
      </c>
      <c r="B395" s="5" t="s">
        <v>1141</v>
      </c>
      <c r="C395" s="5" t="s">
        <v>6617</v>
      </c>
      <c r="D395" s="5">
        <v>2.0</v>
      </c>
    </row>
    <row r="396">
      <c r="A396" s="5">
        <v>159.0</v>
      </c>
      <c r="B396" s="5" t="s">
        <v>1141</v>
      </c>
      <c r="C396" s="5" t="s">
        <v>6624</v>
      </c>
      <c r="D396" s="5">
        <v>3.0</v>
      </c>
    </row>
    <row r="397">
      <c r="A397" s="5">
        <v>160.0</v>
      </c>
      <c r="B397" s="5" t="s">
        <v>1147</v>
      </c>
      <c r="C397" s="5" t="s">
        <v>6618</v>
      </c>
      <c r="D397" s="5">
        <v>1.0</v>
      </c>
    </row>
    <row r="398">
      <c r="A398" s="5">
        <v>160.0</v>
      </c>
      <c r="B398" s="5" t="s">
        <v>1147</v>
      </c>
      <c r="C398" s="5" t="s">
        <v>20</v>
      </c>
      <c r="D398" s="5">
        <v>2.0</v>
      </c>
    </row>
    <row r="399">
      <c r="A399" s="5">
        <v>161.0</v>
      </c>
      <c r="B399" s="5" t="s">
        <v>1153</v>
      </c>
      <c r="C399" s="5" t="s">
        <v>6616</v>
      </c>
      <c r="D399" s="5">
        <v>1.0</v>
      </c>
    </row>
    <row r="400">
      <c r="A400" s="5">
        <v>161.0</v>
      </c>
      <c r="B400" s="5" t="s">
        <v>1153</v>
      </c>
      <c r="C400" s="5" t="s">
        <v>602</v>
      </c>
      <c r="D400" s="5">
        <v>2.0</v>
      </c>
    </row>
    <row r="401">
      <c r="A401" s="5">
        <v>161.0</v>
      </c>
      <c r="B401" s="5" t="s">
        <v>1153</v>
      </c>
      <c r="C401" s="5" t="s">
        <v>6615</v>
      </c>
      <c r="D401" s="5">
        <v>3.0</v>
      </c>
    </row>
    <row r="402">
      <c r="A402" s="5">
        <v>162.0</v>
      </c>
      <c r="B402" s="5" t="s">
        <v>1158</v>
      </c>
      <c r="C402" s="5" t="s">
        <v>6616</v>
      </c>
      <c r="D402" s="5">
        <v>1.0</v>
      </c>
    </row>
    <row r="403">
      <c r="A403" s="5">
        <v>162.0</v>
      </c>
      <c r="B403" s="5" t="s">
        <v>1158</v>
      </c>
      <c r="C403" s="5" t="s">
        <v>602</v>
      </c>
      <c r="D403" s="5">
        <v>2.0</v>
      </c>
    </row>
    <row r="404">
      <c r="A404" s="5">
        <v>162.0</v>
      </c>
      <c r="B404" s="5" t="s">
        <v>1158</v>
      </c>
      <c r="C404" s="5" t="s">
        <v>6615</v>
      </c>
      <c r="D404" s="5">
        <v>3.0</v>
      </c>
    </row>
    <row r="405">
      <c r="A405" s="5">
        <v>163.0</v>
      </c>
      <c r="B405" s="5" t="s">
        <v>1163</v>
      </c>
      <c r="C405" s="5" t="s">
        <v>6615</v>
      </c>
      <c r="D405" s="5">
        <v>1.0</v>
      </c>
    </row>
    <row r="406">
      <c r="A406" s="5">
        <v>163.0</v>
      </c>
      <c r="B406" s="5" t="s">
        <v>1163</v>
      </c>
      <c r="C406" s="5" t="s">
        <v>20</v>
      </c>
      <c r="D406" s="5">
        <v>2.0</v>
      </c>
    </row>
    <row r="407">
      <c r="A407" s="5">
        <v>163.0</v>
      </c>
      <c r="B407" s="5" t="s">
        <v>1163</v>
      </c>
      <c r="C407" s="5" t="s">
        <v>6626</v>
      </c>
      <c r="D407" s="5">
        <v>3.0</v>
      </c>
    </row>
    <row r="408">
      <c r="A408" s="5">
        <v>164.0</v>
      </c>
      <c r="B408" s="5" t="s">
        <v>1167</v>
      </c>
      <c r="C408" s="5" t="s">
        <v>6615</v>
      </c>
      <c r="D408" s="5">
        <v>1.0</v>
      </c>
    </row>
    <row r="409">
      <c r="A409" s="5">
        <v>164.0</v>
      </c>
      <c r="B409" s="5" t="s">
        <v>1167</v>
      </c>
      <c r="C409" s="5" t="s">
        <v>20</v>
      </c>
      <c r="D409" s="5">
        <v>2.0</v>
      </c>
    </row>
    <row r="410">
      <c r="A410" s="5">
        <v>164.0</v>
      </c>
      <c r="B410" s="5" t="s">
        <v>1167</v>
      </c>
      <c r="C410" s="5" t="s">
        <v>4191</v>
      </c>
      <c r="D410" s="5">
        <v>3.0</v>
      </c>
    </row>
    <row r="411">
      <c r="A411" s="5">
        <v>165.0</v>
      </c>
      <c r="B411" s="5" t="s">
        <v>1174</v>
      </c>
      <c r="C411" s="5" t="s">
        <v>6615</v>
      </c>
      <c r="D411" s="5">
        <v>1.0</v>
      </c>
    </row>
    <row r="412">
      <c r="A412" s="5">
        <v>165.0</v>
      </c>
      <c r="B412" s="5" t="s">
        <v>1174</v>
      </c>
      <c r="C412" s="5" t="s">
        <v>20</v>
      </c>
      <c r="D412" s="5">
        <v>2.0</v>
      </c>
    </row>
    <row r="413">
      <c r="A413" s="5">
        <v>165.0</v>
      </c>
      <c r="B413" s="5" t="s">
        <v>1174</v>
      </c>
      <c r="C413" s="5" t="s">
        <v>4191</v>
      </c>
      <c r="D413" s="5">
        <v>3.0</v>
      </c>
    </row>
    <row r="414">
      <c r="A414" s="5">
        <v>166.0</v>
      </c>
      <c r="B414" s="5" t="s">
        <v>1179</v>
      </c>
      <c r="C414" s="5" t="s">
        <v>6615</v>
      </c>
      <c r="D414" s="5">
        <v>1.0</v>
      </c>
    </row>
    <row r="415">
      <c r="A415" s="5">
        <v>166.0</v>
      </c>
      <c r="B415" s="5" t="s">
        <v>1179</v>
      </c>
      <c r="C415" s="5" t="s">
        <v>20</v>
      </c>
      <c r="D415" s="5">
        <v>2.0</v>
      </c>
    </row>
    <row r="416">
      <c r="A416" s="5">
        <v>167.0</v>
      </c>
      <c r="B416" s="5" t="s">
        <v>1182</v>
      </c>
      <c r="C416" s="5" t="s">
        <v>6616</v>
      </c>
      <c r="D416" s="5">
        <v>1.0</v>
      </c>
    </row>
    <row r="417">
      <c r="A417" s="5">
        <v>167.0</v>
      </c>
      <c r="B417" s="5" t="s">
        <v>1182</v>
      </c>
      <c r="C417" s="5" t="s">
        <v>602</v>
      </c>
      <c r="D417" s="5">
        <v>2.0</v>
      </c>
    </row>
    <row r="418">
      <c r="A418" s="5">
        <v>167.0</v>
      </c>
      <c r="B418" s="5" t="s">
        <v>1182</v>
      </c>
      <c r="C418" s="5" t="s">
        <v>6621</v>
      </c>
      <c r="D418" s="5">
        <v>3.0</v>
      </c>
    </row>
    <row r="419">
      <c r="A419" s="5">
        <v>168.0</v>
      </c>
      <c r="B419" s="5" t="s">
        <v>1189</v>
      </c>
      <c r="C419" s="5" t="s">
        <v>20</v>
      </c>
      <c r="D419" s="5">
        <v>1.0</v>
      </c>
    </row>
    <row r="420">
      <c r="A420" s="5">
        <v>168.0</v>
      </c>
      <c r="B420" s="5" t="s">
        <v>1189</v>
      </c>
      <c r="C420" s="5" t="s">
        <v>116</v>
      </c>
      <c r="D420" s="5">
        <v>2.0</v>
      </c>
    </row>
    <row r="421">
      <c r="A421" s="5">
        <v>169.0</v>
      </c>
      <c r="B421" s="5" t="s">
        <v>1193</v>
      </c>
      <c r="C421" s="5" t="s">
        <v>6616</v>
      </c>
      <c r="D421" s="5">
        <v>1.0</v>
      </c>
    </row>
    <row r="422">
      <c r="A422" s="5">
        <v>169.0</v>
      </c>
      <c r="B422" s="5" t="s">
        <v>1193</v>
      </c>
      <c r="C422" s="5" t="s">
        <v>6617</v>
      </c>
      <c r="D422" s="5">
        <v>2.0</v>
      </c>
    </row>
    <row r="423">
      <c r="A423" s="5">
        <v>170.0</v>
      </c>
      <c r="B423" s="5" t="s">
        <v>1198</v>
      </c>
      <c r="C423" s="5" t="s">
        <v>602</v>
      </c>
      <c r="D423" s="5">
        <v>1.0</v>
      </c>
    </row>
    <row r="424">
      <c r="A424" s="5">
        <v>170.0</v>
      </c>
      <c r="B424" s="5" t="s">
        <v>1198</v>
      </c>
      <c r="C424" s="5" t="s">
        <v>6615</v>
      </c>
      <c r="D424" s="5">
        <v>2.0</v>
      </c>
    </row>
    <row r="425">
      <c r="A425" s="5">
        <v>170.0</v>
      </c>
      <c r="B425" s="5" t="s">
        <v>1198</v>
      </c>
      <c r="C425" s="5" t="s">
        <v>20</v>
      </c>
      <c r="D425" s="5">
        <v>3.0</v>
      </c>
    </row>
    <row r="426">
      <c r="A426" s="5">
        <v>171.0</v>
      </c>
      <c r="B426" s="5" t="s">
        <v>1205</v>
      </c>
      <c r="C426" s="5" t="s">
        <v>6623</v>
      </c>
      <c r="D426" s="5">
        <v>1.0</v>
      </c>
    </row>
    <row r="427">
      <c r="A427" s="5">
        <v>171.0</v>
      </c>
      <c r="B427" s="5" t="s">
        <v>1205</v>
      </c>
      <c r="C427" s="5" t="s">
        <v>6624</v>
      </c>
      <c r="D427" s="5">
        <v>2.0</v>
      </c>
    </row>
    <row r="428">
      <c r="A428" s="5">
        <v>171.0</v>
      </c>
      <c r="B428" s="5" t="s">
        <v>1205</v>
      </c>
      <c r="C428" s="5" t="s">
        <v>6622</v>
      </c>
      <c r="D428" s="5">
        <v>3.0</v>
      </c>
    </row>
    <row r="429">
      <c r="A429" s="5">
        <v>172.0</v>
      </c>
      <c r="B429" s="5" t="s">
        <v>1213</v>
      </c>
      <c r="C429" s="5" t="s">
        <v>6616</v>
      </c>
      <c r="D429" s="5">
        <v>1.0</v>
      </c>
    </row>
    <row r="430">
      <c r="A430" s="5">
        <v>172.0</v>
      </c>
      <c r="B430" s="5" t="s">
        <v>1213</v>
      </c>
      <c r="C430" s="5" t="s">
        <v>4191</v>
      </c>
      <c r="D430" s="5">
        <v>2.0</v>
      </c>
    </row>
    <row r="431">
      <c r="A431" s="5">
        <v>173.0</v>
      </c>
      <c r="B431" s="5" t="s">
        <v>1220</v>
      </c>
      <c r="C431" s="5" t="s">
        <v>6616</v>
      </c>
      <c r="D431" s="5">
        <v>1.0</v>
      </c>
    </row>
    <row r="432">
      <c r="A432" s="5">
        <v>173.0</v>
      </c>
      <c r="B432" s="5" t="s">
        <v>1220</v>
      </c>
      <c r="C432" s="5" t="s">
        <v>20</v>
      </c>
      <c r="D432" s="5">
        <v>2.0</v>
      </c>
    </row>
    <row r="433">
      <c r="A433" s="5">
        <v>173.0</v>
      </c>
      <c r="B433" s="5" t="s">
        <v>1220</v>
      </c>
      <c r="C433" s="5" t="s">
        <v>6625</v>
      </c>
      <c r="D433" s="5">
        <v>3.0</v>
      </c>
    </row>
    <row r="434">
      <c r="A434" s="5">
        <v>174.0</v>
      </c>
      <c r="B434" s="5" t="s">
        <v>1226</v>
      </c>
      <c r="C434" s="5" t="s">
        <v>6618</v>
      </c>
      <c r="D434" s="5">
        <v>1.0</v>
      </c>
    </row>
    <row r="435">
      <c r="A435" s="5">
        <v>174.0</v>
      </c>
      <c r="B435" s="5" t="s">
        <v>1226</v>
      </c>
      <c r="C435" s="5" t="s">
        <v>20</v>
      </c>
      <c r="D435" s="5">
        <v>2.0</v>
      </c>
    </row>
    <row r="436">
      <c r="A436" s="5">
        <v>174.0</v>
      </c>
      <c r="B436" s="5" t="s">
        <v>1226</v>
      </c>
      <c r="C436" s="5" t="s">
        <v>6630</v>
      </c>
      <c r="D436" s="5">
        <v>3.0</v>
      </c>
    </row>
    <row r="437">
      <c r="A437" s="5">
        <v>175.0</v>
      </c>
      <c r="B437" s="5" t="s">
        <v>1230</v>
      </c>
      <c r="C437" s="5" t="s">
        <v>20</v>
      </c>
      <c r="D437" s="5">
        <v>1.0</v>
      </c>
    </row>
    <row r="438">
      <c r="A438" s="5">
        <v>175.0</v>
      </c>
      <c r="B438" s="5" t="s">
        <v>1230</v>
      </c>
      <c r="C438" s="5" t="s">
        <v>6620</v>
      </c>
      <c r="D438" s="5">
        <v>2.0</v>
      </c>
    </row>
    <row r="439">
      <c r="A439" s="5">
        <v>176.0</v>
      </c>
      <c r="B439" s="5" t="s">
        <v>1237</v>
      </c>
      <c r="C439" s="5" t="s">
        <v>20</v>
      </c>
      <c r="D439" s="5">
        <v>1.0</v>
      </c>
    </row>
    <row r="440">
      <c r="A440" s="5">
        <v>176.0</v>
      </c>
      <c r="B440" s="5" t="s">
        <v>1237</v>
      </c>
      <c r="C440" s="5" t="s">
        <v>6627</v>
      </c>
      <c r="D440" s="5">
        <v>2.0</v>
      </c>
    </row>
    <row r="441">
      <c r="A441" s="5">
        <v>177.0</v>
      </c>
      <c r="B441" s="5" t="s">
        <v>1243</v>
      </c>
      <c r="C441" s="5" t="s">
        <v>6618</v>
      </c>
      <c r="D441" s="5">
        <v>1.0</v>
      </c>
    </row>
    <row r="442">
      <c r="A442" s="5">
        <v>177.0</v>
      </c>
      <c r="B442" s="5" t="s">
        <v>1243</v>
      </c>
      <c r="C442" s="5" t="s">
        <v>20</v>
      </c>
      <c r="D442" s="5">
        <v>2.0</v>
      </c>
    </row>
    <row r="443">
      <c r="A443" s="5">
        <v>177.0</v>
      </c>
      <c r="B443" s="5" t="s">
        <v>1243</v>
      </c>
      <c r="C443" s="5" t="s">
        <v>6619</v>
      </c>
      <c r="D443" s="5">
        <v>3.0</v>
      </c>
    </row>
    <row r="444">
      <c r="A444" s="5">
        <v>178.0</v>
      </c>
      <c r="B444" s="5" t="s">
        <v>1250</v>
      </c>
      <c r="C444" s="5" t="s">
        <v>6616</v>
      </c>
      <c r="D444" s="5">
        <v>1.0</v>
      </c>
    </row>
    <row r="445">
      <c r="A445" s="5">
        <v>178.0</v>
      </c>
      <c r="B445" s="5" t="s">
        <v>1250</v>
      </c>
      <c r="C445" s="5" t="s">
        <v>6617</v>
      </c>
      <c r="D445" s="5">
        <v>2.0</v>
      </c>
    </row>
    <row r="446">
      <c r="A446" s="5">
        <v>178.0</v>
      </c>
      <c r="B446" s="5" t="s">
        <v>1250</v>
      </c>
      <c r="C446" s="5" t="s">
        <v>602</v>
      </c>
      <c r="D446" s="5">
        <v>3.0</v>
      </c>
    </row>
    <row r="447">
      <c r="A447" s="5">
        <v>179.0</v>
      </c>
      <c r="B447" s="5" t="s">
        <v>1258</v>
      </c>
      <c r="C447" s="5" t="s">
        <v>6617</v>
      </c>
      <c r="D447" s="5">
        <v>1.0</v>
      </c>
    </row>
    <row r="448">
      <c r="A448" s="5">
        <v>179.0</v>
      </c>
      <c r="B448" s="5" t="s">
        <v>1258</v>
      </c>
      <c r="C448" s="5" t="s">
        <v>602</v>
      </c>
      <c r="D448" s="5">
        <v>2.0</v>
      </c>
    </row>
    <row r="449">
      <c r="A449" s="5">
        <v>179.0</v>
      </c>
      <c r="B449" s="5" t="s">
        <v>1258</v>
      </c>
      <c r="C449" s="5" t="s">
        <v>6622</v>
      </c>
      <c r="D449" s="5">
        <v>3.0</v>
      </c>
    </row>
    <row r="450">
      <c r="A450" s="5">
        <v>180.0</v>
      </c>
      <c r="B450" s="5" t="s">
        <v>1267</v>
      </c>
      <c r="C450" s="5" t="s">
        <v>6617</v>
      </c>
      <c r="D450" s="5">
        <v>1.0</v>
      </c>
    </row>
    <row r="451">
      <c r="A451" s="5">
        <v>180.0</v>
      </c>
      <c r="B451" s="5" t="s">
        <v>1267</v>
      </c>
      <c r="C451" s="5" t="s">
        <v>20</v>
      </c>
      <c r="D451" s="5">
        <v>2.0</v>
      </c>
    </row>
    <row r="452">
      <c r="A452" s="5">
        <v>180.0</v>
      </c>
      <c r="B452" s="5" t="s">
        <v>1267</v>
      </c>
      <c r="C452" s="5" t="s">
        <v>6619</v>
      </c>
      <c r="D452" s="5">
        <v>3.0</v>
      </c>
    </row>
    <row r="453">
      <c r="A453" s="5">
        <v>181.0</v>
      </c>
      <c r="B453" s="5" t="s">
        <v>1275</v>
      </c>
      <c r="C453" s="5" t="s">
        <v>6615</v>
      </c>
      <c r="D453" s="5">
        <v>1.0</v>
      </c>
    </row>
    <row r="454">
      <c r="A454" s="5">
        <v>181.0</v>
      </c>
      <c r="B454" s="5" t="s">
        <v>1275</v>
      </c>
      <c r="C454" s="5" t="s">
        <v>20</v>
      </c>
      <c r="D454" s="5">
        <v>2.0</v>
      </c>
    </row>
    <row r="455">
      <c r="A455" s="5">
        <v>182.0</v>
      </c>
      <c r="B455" s="5" t="s">
        <v>1282</v>
      </c>
      <c r="C455" s="5" t="s">
        <v>6616</v>
      </c>
      <c r="D455" s="5">
        <v>1.0</v>
      </c>
    </row>
    <row r="456">
      <c r="A456" s="5">
        <v>182.0</v>
      </c>
      <c r="B456" s="5" t="s">
        <v>1282</v>
      </c>
      <c r="C456" s="5" t="s">
        <v>20</v>
      </c>
      <c r="D456" s="5">
        <v>2.0</v>
      </c>
    </row>
    <row r="457">
      <c r="A457" s="5">
        <v>182.0</v>
      </c>
      <c r="B457" s="5" t="s">
        <v>1282</v>
      </c>
      <c r="C457" s="5" t="s">
        <v>4191</v>
      </c>
      <c r="D457" s="5">
        <v>3.0</v>
      </c>
    </row>
    <row r="458">
      <c r="A458" s="5">
        <v>183.0</v>
      </c>
      <c r="B458" s="5" t="s">
        <v>1287</v>
      </c>
      <c r="C458" s="5" t="s">
        <v>20</v>
      </c>
      <c r="D458" s="5">
        <v>1.0</v>
      </c>
    </row>
    <row r="459">
      <c r="A459" s="5">
        <v>183.0</v>
      </c>
      <c r="B459" s="5" t="s">
        <v>1287</v>
      </c>
      <c r="C459" s="5" t="s">
        <v>6625</v>
      </c>
      <c r="D459" s="5">
        <v>2.0</v>
      </c>
    </row>
    <row r="460">
      <c r="A460" s="5">
        <v>184.0</v>
      </c>
      <c r="B460" s="5" t="s">
        <v>1294</v>
      </c>
      <c r="C460" s="5" t="s">
        <v>602</v>
      </c>
      <c r="D460" s="5">
        <v>1.0</v>
      </c>
    </row>
    <row r="461">
      <c r="A461" s="5">
        <v>184.0</v>
      </c>
      <c r="B461" s="5" t="s">
        <v>1294</v>
      </c>
      <c r="C461" s="5" t="s">
        <v>6627</v>
      </c>
      <c r="D461" s="5">
        <v>2.0</v>
      </c>
    </row>
    <row r="462">
      <c r="A462" s="5">
        <v>184.0</v>
      </c>
      <c r="B462" s="5" t="s">
        <v>1294</v>
      </c>
      <c r="C462" s="5" t="s">
        <v>6621</v>
      </c>
      <c r="D462" s="5">
        <v>3.0</v>
      </c>
    </row>
    <row r="463">
      <c r="A463" s="5">
        <v>185.0</v>
      </c>
      <c r="B463" s="5" t="s">
        <v>1300</v>
      </c>
      <c r="C463" s="5" t="s">
        <v>20</v>
      </c>
      <c r="D463" s="5">
        <v>1.0</v>
      </c>
    </row>
    <row r="464">
      <c r="A464" s="5">
        <v>185.0</v>
      </c>
      <c r="B464" s="5" t="s">
        <v>1300</v>
      </c>
      <c r="C464" s="5" t="s">
        <v>6621</v>
      </c>
      <c r="D464" s="5">
        <v>2.0</v>
      </c>
    </row>
    <row r="465">
      <c r="A465" s="5">
        <v>186.0</v>
      </c>
      <c r="B465" s="5" t="s">
        <v>1306</v>
      </c>
      <c r="C465" s="5" t="s">
        <v>20</v>
      </c>
      <c r="D465" s="5">
        <v>1.0</v>
      </c>
    </row>
    <row r="466">
      <c r="A466" s="5">
        <v>186.0</v>
      </c>
      <c r="B466" s="5" t="s">
        <v>1306</v>
      </c>
      <c r="C466" s="5" t="s">
        <v>6622</v>
      </c>
      <c r="D466" s="5">
        <v>2.0</v>
      </c>
    </row>
    <row r="467">
      <c r="A467" s="5">
        <v>186.0</v>
      </c>
      <c r="B467" s="5" t="s">
        <v>1306</v>
      </c>
      <c r="C467" s="5" t="s">
        <v>6619</v>
      </c>
      <c r="D467" s="5">
        <v>3.0</v>
      </c>
    </row>
    <row r="468">
      <c r="A468" s="5">
        <v>187.0</v>
      </c>
      <c r="B468" s="5" t="s">
        <v>1312</v>
      </c>
      <c r="C468" s="5" t="s">
        <v>6615</v>
      </c>
      <c r="D468" s="5">
        <v>1.0</v>
      </c>
    </row>
    <row r="469">
      <c r="A469" s="5">
        <v>187.0</v>
      </c>
      <c r="B469" s="5" t="s">
        <v>1312</v>
      </c>
      <c r="C469" s="5" t="s">
        <v>20</v>
      </c>
      <c r="D469" s="5">
        <v>2.0</v>
      </c>
    </row>
    <row r="470">
      <c r="A470" s="5">
        <v>187.0</v>
      </c>
      <c r="B470" s="5" t="s">
        <v>1312</v>
      </c>
      <c r="C470" s="5" t="s">
        <v>4191</v>
      </c>
      <c r="D470" s="5">
        <v>3.0</v>
      </c>
    </row>
    <row r="471">
      <c r="A471" s="5">
        <v>188.0</v>
      </c>
      <c r="B471" s="5" t="s">
        <v>1319</v>
      </c>
      <c r="C471" s="5" t="s">
        <v>6615</v>
      </c>
      <c r="D471" s="5">
        <v>1.0</v>
      </c>
    </row>
    <row r="472">
      <c r="A472" s="5">
        <v>188.0</v>
      </c>
      <c r="B472" s="5" t="s">
        <v>1319</v>
      </c>
      <c r="C472" s="5" t="s">
        <v>4191</v>
      </c>
      <c r="D472" s="5">
        <v>2.0</v>
      </c>
    </row>
    <row r="473">
      <c r="A473" s="5">
        <v>189.0</v>
      </c>
      <c r="B473" s="5" t="s">
        <v>1325</v>
      </c>
      <c r="C473" s="5" t="s">
        <v>20</v>
      </c>
      <c r="D473" s="5">
        <v>1.0</v>
      </c>
    </row>
    <row r="474">
      <c r="A474" s="5">
        <v>190.0</v>
      </c>
      <c r="B474" s="5" t="s">
        <v>1332</v>
      </c>
      <c r="C474" s="5" t="s">
        <v>6615</v>
      </c>
      <c r="D474" s="5">
        <v>1.0</v>
      </c>
    </row>
    <row r="475">
      <c r="A475" s="5">
        <v>190.0</v>
      </c>
      <c r="B475" s="5" t="s">
        <v>1332</v>
      </c>
      <c r="C475" s="5" t="s">
        <v>20</v>
      </c>
      <c r="D475" s="5">
        <v>2.0</v>
      </c>
    </row>
    <row r="476">
      <c r="A476" s="5">
        <v>190.0</v>
      </c>
      <c r="B476" s="5" t="s">
        <v>1332</v>
      </c>
      <c r="C476" s="5" t="s">
        <v>6626</v>
      </c>
      <c r="D476" s="5">
        <v>3.0</v>
      </c>
    </row>
    <row r="477">
      <c r="A477" s="5">
        <v>191.0</v>
      </c>
      <c r="B477" s="5" t="s">
        <v>1336</v>
      </c>
      <c r="C477" s="5" t="s">
        <v>20</v>
      </c>
      <c r="D477" s="5">
        <v>1.0</v>
      </c>
    </row>
    <row r="478">
      <c r="A478" s="5">
        <v>192.0</v>
      </c>
      <c r="B478" s="5" t="s">
        <v>1343</v>
      </c>
      <c r="C478" s="5" t="s">
        <v>6617</v>
      </c>
      <c r="D478" s="5">
        <v>1.0</v>
      </c>
    </row>
    <row r="479">
      <c r="A479" s="5">
        <v>192.0</v>
      </c>
      <c r="B479" s="5" t="s">
        <v>1343</v>
      </c>
      <c r="C479" s="5" t="s">
        <v>20</v>
      </c>
      <c r="D479" s="5">
        <v>2.0</v>
      </c>
    </row>
    <row r="480">
      <c r="A480" s="5">
        <v>192.0</v>
      </c>
      <c r="B480" s="5" t="s">
        <v>1343</v>
      </c>
      <c r="C480" s="5" t="s">
        <v>116</v>
      </c>
      <c r="D480" s="5">
        <v>3.0</v>
      </c>
    </row>
    <row r="481">
      <c r="A481" s="5">
        <v>193.0</v>
      </c>
      <c r="B481" s="5" t="s">
        <v>1350</v>
      </c>
      <c r="C481" s="5" t="s">
        <v>602</v>
      </c>
      <c r="D481" s="5">
        <v>1.0</v>
      </c>
    </row>
    <row r="482">
      <c r="A482" s="5">
        <v>193.0</v>
      </c>
      <c r="B482" s="5" t="s">
        <v>1350</v>
      </c>
      <c r="C482" s="5" t="s">
        <v>6625</v>
      </c>
      <c r="D482" s="5">
        <v>2.0</v>
      </c>
    </row>
    <row r="483">
      <c r="A483" s="5">
        <v>194.0</v>
      </c>
      <c r="B483" s="5" t="s">
        <v>1358</v>
      </c>
      <c r="C483" s="5" t="s">
        <v>6617</v>
      </c>
      <c r="D483" s="5">
        <v>1.0</v>
      </c>
    </row>
    <row r="484">
      <c r="A484" s="5">
        <v>194.0</v>
      </c>
      <c r="B484" s="5" t="s">
        <v>1358</v>
      </c>
      <c r="C484" s="5" t="s">
        <v>602</v>
      </c>
      <c r="D484" s="5">
        <v>2.0</v>
      </c>
    </row>
    <row r="485">
      <c r="A485" s="5">
        <v>194.0</v>
      </c>
      <c r="B485" s="5" t="s">
        <v>1358</v>
      </c>
      <c r="C485" s="5" t="s">
        <v>20</v>
      </c>
      <c r="D485" s="5">
        <v>3.0</v>
      </c>
    </row>
    <row r="486">
      <c r="A486" s="5">
        <v>195.0</v>
      </c>
      <c r="B486" s="5" t="s">
        <v>1362</v>
      </c>
      <c r="C486" s="5" t="s">
        <v>6616</v>
      </c>
      <c r="D486" s="5">
        <v>1.0</v>
      </c>
    </row>
    <row r="487">
      <c r="A487" s="5">
        <v>195.0</v>
      </c>
      <c r="B487" s="5" t="s">
        <v>1362</v>
      </c>
      <c r="C487" s="5" t="s">
        <v>602</v>
      </c>
      <c r="D487" s="5">
        <v>2.0</v>
      </c>
    </row>
    <row r="488">
      <c r="A488" s="5">
        <v>195.0</v>
      </c>
      <c r="B488" s="5" t="s">
        <v>1362</v>
      </c>
      <c r="C488" s="5" t="s">
        <v>6621</v>
      </c>
      <c r="D488" s="5">
        <v>3.0</v>
      </c>
    </row>
    <row r="489">
      <c r="A489" s="5">
        <v>196.0</v>
      </c>
      <c r="B489" s="5" t="s">
        <v>1369</v>
      </c>
      <c r="C489" s="5" t="s">
        <v>20</v>
      </c>
      <c r="D489" s="5">
        <v>1.0</v>
      </c>
    </row>
    <row r="490">
      <c r="A490" s="5">
        <v>196.0</v>
      </c>
      <c r="B490" s="5" t="s">
        <v>1369</v>
      </c>
      <c r="C490" s="5" t="s">
        <v>6621</v>
      </c>
      <c r="D490" s="5">
        <v>2.0</v>
      </c>
    </row>
    <row r="491">
      <c r="A491" s="5">
        <v>197.0</v>
      </c>
      <c r="B491" s="5" t="s">
        <v>1376</v>
      </c>
      <c r="C491" s="5" t="s">
        <v>20</v>
      </c>
      <c r="D491" s="5">
        <v>1.0</v>
      </c>
    </row>
    <row r="492">
      <c r="A492" s="5">
        <v>197.0</v>
      </c>
      <c r="B492" s="5" t="s">
        <v>1376</v>
      </c>
      <c r="C492" s="5" t="s">
        <v>4191</v>
      </c>
      <c r="D492" s="5">
        <v>2.0</v>
      </c>
    </row>
    <row r="493">
      <c r="A493" s="5">
        <v>198.0</v>
      </c>
      <c r="B493" s="5" t="s">
        <v>1383</v>
      </c>
      <c r="C493" s="5" t="s">
        <v>6623</v>
      </c>
      <c r="D493" s="5">
        <v>1.0</v>
      </c>
    </row>
    <row r="494">
      <c r="A494" s="5">
        <v>198.0</v>
      </c>
      <c r="B494" s="5" t="s">
        <v>1383</v>
      </c>
      <c r="C494" s="5" t="s">
        <v>20</v>
      </c>
      <c r="D494" s="5">
        <v>2.0</v>
      </c>
    </row>
    <row r="495">
      <c r="A495" s="5">
        <v>198.0</v>
      </c>
      <c r="B495" s="5" t="s">
        <v>1383</v>
      </c>
      <c r="C495" s="5" t="s">
        <v>6624</v>
      </c>
      <c r="D495" s="5">
        <v>3.0</v>
      </c>
    </row>
    <row r="496">
      <c r="A496" s="5">
        <v>199.0</v>
      </c>
      <c r="B496" s="5" t="s">
        <v>1389</v>
      </c>
      <c r="C496" s="5" t="s">
        <v>6615</v>
      </c>
      <c r="D496" s="5">
        <v>1.0</v>
      </c>
    </row>
    <row r="497">
      <c r="A497" s="5">
        <v>199.0</v>
      </c>
      <c r="B497" s="5" t="s">
        <v>1389</v>
      </c>
      <c r="C497" s="5" t="s">
        <v>20</v>
      </c>
      <c r="D497" s="5">
        <v>2.0</v>
      </c>
    </row>
    <row r="498">
      <c r="A498" s="5">
        <v>199.0</v>
      </c>
      <c r="B498" s="5" t="s">
        <v>1389</v>
      </c>
      <c r="C498" s="5" t="s">
        <v>6626</v>
      </c>
      <c r="D498" s="5">
        <v>3.0</v>
      </c>
    </row>
    <row r="499">
      <c r="A499" s="5">
        <v>200.0</v>
      </c>
      <c r="B499" s="5" t="s">
        <v>1397</v>
      </c>
      <c r="C499" s="5" t="s">
        <v>20</v>
      </c>
      <c r="D499" s="5">
        <v>1.0</v>
      </c>
    </row>
    <row r="500">
      <c r="A500" s="5">
        <v>200.0</v>
      </c>
      <c r="B500" s="5" t="s">
        <v>1397</v>
      </c>
      <c r="C500" s="5" t="s">
        <v>6621</v>
      </c>
      <c r="D500" s="5">
        <v>2.0</v>
      </c>
    </row>
    <row r="501">
      <c r="A501" s="5">
        <v>200.0</v>
      </c>
      <c r="B501" s="5" t="s">
        <v>1397</v>
      </c>
      <c r="C501" s="5" t="s">
        <v>4191</v>
      </c>
      <c r="D501" s="5">
        <v>3.0</v>
      </c>
    </row>
    <row r="502">
      <c r="A502" s="5">
        <v>201.0</v>
      </c>
      <c r="B502" s="5" t="s">
        <v>1405</v>
      </c>
      <c r="C502" s="5" t="s">
        <v>20</v>
      </c>
      <c r="D502" s="5">
        <v>1.0</v>
      </c>
    </row>
    <row r="503">
      <c r="A503" s="5">
        <v>202.0</v>
      </c>
      <c r="B503" s="5" t="s">
        <v>1412</v>
      </c>
      <c r="C503" s="5" t="s">
        <v>6616</v>
      </c>
      <c r="D503" s="5">
        <v>1.0</v>
      </c>
    </row>
    <row r="504">
      <c r="A504" s="5">
        <v>202.0</v>
      </c>
      <c r="B504" s="5" t="s">
        <v>1412</v>
      </c>
      <c r="C504" s="5" t="s">
        <v>6615</v>
      </c>
      <c r="D504" s="5">
        <v>2.0</v>
      </c>
    </row>
    <row r="505">
      <c r="A505" s="5">
        <v>202.0</v>
      </c>
      <c r="B505" s="5" t="s">
        <v>1412</v>
      </c>
      <c r="C505" s="5" t="s">
        <v>20</v>
      </c>
      <c r="D505" s="5">
        <v>3.0</v>
      </c>
    </row>
    <row r="506">
      <c r="A506" s="5">
        <v>203.0</v>
      </c>
      <c r="B506" s="5" t="s">
        <v>1418</v>
      </c>
      <c r="C506" s="5" t="s">
        <v>6616</v>
      </c>
      <c r="D506" s="5">
        <v>1.0</v>
      </c>
    </row>
    <row r="507">
      <c r="A507" s="5">
        <v>203.0</v>
      </c>
      <c r="B507" s="5" t="s">
        <v>1418</v>
      </c>
      <c r="C507" s="5" t="s">
        <v>20</v>
      </c>
      <c r="D507" s="5">
        <v>2.0</v>
      </c>
    </row>
    <row r="508">
      <c r="A508" s="5">
        <v>203.0</v>
      </c>
      <c r="B508" s="5" t="s">
        <v>1418</v>
      </c>
      <c r="C508" s="5" t="s">
        <v>6620</v>
      </c>
      <c r="D508" s="5">
        <v>3.0</v>
      </c>
    </row>
    <row r="509">
      <c r="A509" s="5">
        <v>204.0</v>
      </c>
      <c r="B509" s="5" t="s">
        <v>1424</v>
      </c>
      <c r="C509" s="5" t="s">
        <v>20</v>
      </c>
      <c r="D509" s="5">
        <v>1.0</v>
      </c>
    </row>
    <row r="510">
      <c r="A510" s="5">
        <v>204.0</v>
      </c>
      <c r="B510" s="5" t="s">
        <v>1424</v>
      </c>
      <c r="C510" s="5" t="s">
        <v>4191</v>
      </c>
      <c r="D510" s="5">
        <v>2.0</v>
      </c>
    </row>
    <row r="511">
      <c r="A511" s="5">
        <v>205.0</v>
      </c>
      <c r="B511" s="5" t="s">
        <v>1431</v>
      </c>
      <c r="C511" s="5" t="s">
        <v>602</v>
      </c>
      <c r="D511" s="5">
        <v>1.0</v>
      </c>
    </row>
    <row r="512">
      <c r="A512" s="5">
        <v>205.0</v>
      </c>
      <c r="B512" s="5" t="s">
        <v>1431</v>
      </c>
      <c r="C512" s="5" t="s">
        <v>20</v>
      </c>
      <c r="D512" s="5">
        <v>2.0</v>
      </c>
    </row>
    <row r="513">
      <c r="A513" s="5">
        <v>205.0</v>
      </c>
      <c r="B513" s="5" t="s">
        <v>1431</v>
      </c>
      <c r="C513" s="5" t="s">
        <v>4191</v>
      </c>
      <c r="D513" s="5">
        <v>3.0</v>
      </c>
    </row>
    <row r="514">
      <c r="A514" s="5">
        <v>206.0</v>
      </c>
      <c r="B514" s="5" t="s">
        <v>1438</v>
      </c>
      <c r="C514" s="5" t="s">
        <v>6623</v>
      </c>
      <c r="D514" s="5">
        <v>1.0</v>
      </c>
    </row>
    <row r="515">
      <c r="A515" s="5">
        <v>206.0</v>
      </c>
      <c r="B515" s="5" t="s">
        <v>1438</v>
      </c>
      <c r="C515" s="5" t="s">
        <v>6617</v>
      </c>
      <c r="D515" s="5">
        <v>2.0</v>
      </c>
    </row>
    <row r="516">
      <c r="A516" s="5">
        <v>206.0</v>
      </c>
      <c r="B516" s="5" t="s">
        <v>1438</v>
      </c>
      <c r="C516" s="5" t="s">
        <v>602</v>
      </c>
      <c r="D516" s="5">
        <v>3.0</v>
      </c>
    </row>
    <row r="517">
      <c r="A517" s="5">
        <v>207.0</v>
      </c>
      <c r="B517" s="5" t="s">
        <v>1444</v>
      </c>
      <c r="C517" s="5" t="s">
        <v>20</v>
      </c>
      <c r="D517" s="5">
        <v>1.0</v>
      </c>
    </row>
    <row r="518">
      <c r="A518" s="5">
        <v>208.0</v>
      </c>
      <c r="B518" s="5" t="s">
        <v>1453</v>
      </c>
      <c r="C518" s="5" t="s">
        <v>602</v>
      </c>
      <c r="D518" s="5">
        <v>1.0</v>
      </c>
    </row>
    <row r="519">
      <c r="A519" s="5">
        <v>208.0</v>
      </c>
      <c r="B519" s="5" t="s">
        <v>1453</v>
      </c>
      <c r="C519" s="5" t="s">
        <v>20</v>
      </c>
      <c r="D519" s="5">
        <v>2.0</v>
      </c>
    </row>
    <row r="520">
      <c r="A520" s="5">
        <v>208.0</v>
      </c>
      <c r="B520" s="5" t="s">
        <v>1453</v>
      </c>
      <c r="C520" s="5" t="s">
        <v>6628</v>
      </c>
      <c r="D520" s="5">
        <v>3.0</v>
      </c>
    </row>
    <row r="521">
      <c r="A521" s="5">
        <v>209.0</v>
      </c>
      <c r="B521" s="5" t="s">
        <v>1459</v>
      </c>
      <c r="C521" s="5" t="s">
        <v>602</v>
      </c>
      <c r="D521" s="5">
        <v>1.0</v>
      </c>
    </row>
    <row r="522">
      <c r="A522" s="5">
        <v>209.0</v>
      </c>
      <c r="B522" s="5" t="s">
        <v>1459</v>
      </c>
      <c r="C522" s="5" t="s">
        <v>20</v>
      </c>
      <c r="D522" s="5">
        <v>2.0</v>
      </c>
    </row>
    <row r="523">
      <c r="A523" s="5">
        <v>209.0</v>
      </c>
      <c r="B523" s="5" t="s">
        <v>1459</v>
      </c>
      <c r="C523" s="5" t="s">
        <v>6622</v>
      </c>
      <c r="D523" s="5">
        <v>3.0</v>
      </c>
    </row>
    <row r="524">
      <c r="A524" s="5">
        <v>210.0</v>
      </c>
      <c r="B524" s="5" t="s">
        <v>1465</v>
      </c>
      <c r="C524" s="5" t="s">
        <v>6617</v>
      </c>
      <c r="D524" s="5">
        <v>1.0</v>
      </c>
    </row>
    <row r="525">
      <c r="A525" s="5">
        <v>210.0</v>
      </c>
      <c r="B525" s="5" t="s">
        <v>1465</v>
      </c>
      <c r="C525" s="5" t="s">
        <v>602</v>
      </c>
      <c r="D525" s="5">
        <v>2.0</v>
      </c>
    </row>
    <row r="526">
      <c r="A526" s="5">
        <v>210.0</v>
      </c>
      <c r="B526" s="5" t="s">
        <v>1465</v>
      </c>
      <c r="C526" s="5" t="s">
        <v>6615</v>
      </c>
      <c r="D526" s="5">
        <v>3.0</v>
      </c>
    </row>
    <row r="527">
      <c r="A527" s="5">
        <v>211.0</v>
      </c>
      <c r="B527" s="5" t="s">
        <v>1470</v>
      </c>
      <c r="C527" s="5" t="s">
        <v>20</v>
      </c>
      <c r="D527" s="5">
        <v>1.0</v>
      </c>
    </row>
    <row r="528">
      <c r="A528" s="5">
        <v>211.0</v>
      </c>
      <c r="B528" s="5" t="s">
        <v>1470</v>
      </c>
      <c r="C528" s="5" t="s">
        <v>6626</v>
      </c>
      <c r="D528" s="5">
        <v>2.0</v>
      </c>
    </row>
    <row r="529">
      <c r="A529" s="5">
        <v>211.0</v>
      </c>
      <c r="B529" s="5" t="s">
        <v>1470</v>
      </c>
      <c r="C529" s="5" t="s">
        <v>4191</v>
      </c>
      <c r="D529" s="5">
        <v>3.0</v>
      </c>
    </row>
    <row r="530">
      <c r="A530" s="5">
        <v>212.0</v>
      </c>
      <c r="B530" s="5" t="s">
        <v>1475</v>
      </c>
      <c r="C530" s="5" t="s">
        <v>6623</v>
      </c>
      <c r="D530" s="5">
        <v>1.0</v>
      </c>
    </row>
    <row r="531">
      <c r="A531" s="5">
        <v>212.0</v>
      </c>
      <c r="B531" s="5" t="s">
        <v>1475</v>
      </c>
      <c r="C531" s="5" t="s">
        <v>20</v>
      </c>
      <c r="D531" s="5">
        <v>2.0</v>
      </c>
    </row>
    <row r="532">
      <c r="A532" s="5">
        <v>212.0</v>
      </c>
      <c r="B532" s="5" t="s">
        <v>1475</v>
      </c>
      <c r="C532" s="5" t="s">
        <v>6622</v>
      </c>
      <c r="D532" s="5">
        <v>3.0</v>
      </c>
    </row>
    <row r="533">
      <c r="A533" s="5">
        <v>213.0</v>
      </c>
      <c r="B533" s="5" t="s">
        <v>1482</v>
      </c>
      <c r="C533" s="5" t="s">
        <v>6618</v>
      </c>
      <c r="D533" s="5">
        <v>1.0</v>
      </c>
    </row>
    <row r="534">
      <c r="A534" s="5">
        <v>213.0</v>
      </c>
      <c r="B534" s="5" t="s">
        <v>1482</v>
      </c>
      <c r="C534" s="5" t="s">
        <v>20</v>
      </c>
      <c r="D534" s="5">
        <v>2.0</v>
      </c>
    </row>
    <row r="535">
      <c r="A535" s="5">
        <v>213.0</v>
      </c>
      <c r="B535" s="5" t="s">
        <v>1482</v>
      </c>
      <c r="C535" s="5" t="s">
        <v>6619</v>
      </c>
      <c r="D535" s="5">
        <v>3.0</v>
      </c>
    </row>
    <row r="536">
      <c r="A536" s="5">
        <v>214.0</v>
      </c>
      <c r="B536" s="5" t="s">
        <v>1488</v>
      </c>
      <c r="C536" s="5" t="s">
        <v>6623</v>
      </c>
      <c r="D536" s="5">
        <v>1.0</v>
      </c>
    </row>
    <row r="537">
      <c r="A537" s="5">
        <v>214.0</v>
      </c>
      <c r="B537" s="5" t="s">
        <v>1488</v>
      </c>
      <c r="C537" s="5" t="s">
        <v>6617</v>
      </c>
      <c r="D537" s="5">
        <v>2.0</v>
      </c>
    </row>
    <row r="538">
      <c r="A538" s="5">
        <v>214.0</v>
      </c>
      <c r="B538" s="5" t="s">
        <v>1488</v>
      </c>
      <c r="C538" s="5" t="s">
        <v>602</v>
      </c>
      <c r="D538" s="5">
        <v>3.0</v>
      </c>
    </row>
    <row r="539">
      <c r="A539" s="5">
        <v>215.0</v>
      </c>
      <c r="B539" s="5" t="s">
        <v>1494</v>
      </c>
      <c r="C539" s="5" t="s">
        <v>602</v>
      </c>
      <c r="D539" s="5">
        <v>1.0</v>
      </c>
    </row>
    <row r="540">
      <c r="A540" s="5">
        <v>215.0</v>
      </c>
      <c r="B540" s="5" t="s">
        <v>1494</v>
      </c>
      <c r="C540" s="5" t="s">
        <v>20</v>
      </c>
      <c r="D540" s="5">
        <v>2.0</v>
      </c>
    </row>
    <row r="541">
      <c r="A541" s="5">
        <v>215.0</v>
      </c>
      <c r="B541" s="5" t="s">
        <v>1494</v>
      </c>
      <c r="C541" s="5" t="s">
        <v>6621</v>
      </c>
      <c r="D541" s="5">
        <v>3.0</v>
      </c>
    </row>
    <row r="542">
      <c r="A542" s="5">
        <v>216.0</v>
      </c>
      <c r="B542" s="5" t="s">
        <v>1501</v>
      </c>
      <c r="C542" s="5" t="s">
        <v>6618</v>
      </c>
      <c r="D542" s="5">
        <v>1.0</v>
      </c>
    </row>
    <row r="543">
      <c r="A543" s="5">
        <v>216.0</v>
      </c>
      <c r="B543" s="5" t="s">
        <v>1501</v>
      </c>
      <c r="C543" s="5" t="s">
        <v>20</v>
      </c>
      <c r="D543" s="5">
        <v>2.0</v>
      </c>
    </row>
    <row r="544">
      <c r="A544" s="5">
        <v>216.0</v>
      </c>
      <c r="B544" s="5" t="s">
        <v>1501</v>
      </c>
      <c r="C544" s="5" t="s">
        <v>6619</v>
      </c>
      <c r="D544" s="5">
        <v>3.0</v>
      </c>
    </row>
    <row r="545">
      <c r="A545" s="5">
        <v>217.0</v>
      </c>
      <c r="B545" s="5" t="s">
        <v>1506</v>
      </c>
      <c r="C545" s="5" t="s">
        <v>6616</v>
      </c>
      <c r="D545" s="5">
        <v>1.0</v>
      </c>
    </row>
    <row r="546">
      <c r="A546" s="5">
        <v>217.0</v>
      </c>
      <c r="B546" s="5" t="s">
        <v>1506</v>
      </c>
      <c r="C546" s="5" t="s">
        <v>6618</v>
      </c>
      <c r="D546" s="5">
        <v>2.0</v>
      </c>
    </row>
    <row r="547">
      <c r="A547" s="5">
        <v>217.0</v>
      </c>
      <c r="B547" s="5" t="s">
        <v>1506</v>
      </c>
      <c r="C547" s="5" t="s">
        <v>20</v>
      </c>
      <c r="D547" s="5">
        <v>3.0</v>
      </c>
    </row>
    <row r="548">
      <c r="A548" s="5">
        <v>218.0</v>
      </c>
      <c r="B548" s="5" t="s">
        <v>1510</v>
      </c>
      <c r="C548" s="5" t="s">
        <v>6616</v>
      </c>
      <c r="D548" s="5">
        <v>1.0</v>
      </c>
    </row>
    <row r="549">
      <c r="A549" s="5">
        <v>218.0</v>
      </c>
      <c r="B549" s="5" t="s">
        <v>1510</v>
      </c>
      <c r="C549" s="5" t="s">
        <v>6618</v>
      </c>
      <c r="D549" s="5">
        <v>2.0</v>
      </c>
    </row>
    <row r="550">
      <c r="A550" s="5">
        <v>218.0</v>
      </c>
      <c r="B550" s="5" t="s">
        <v>1510</v>
      </c>
      <c r="C550" s="5" t="s">
        <v>20</v>
      </c>
      <c r="D550" s="5">
        <v>3.0</v>
      </c>
    </row>
    <row r="551">
      <c r="A551" s="5">
        <v>219.0</v>
      </c>
      <c r="B551" s="5" t="s">
        <v>1514</v>
      </c>
      <c r="C551" s="5" t="s">
        <v>6618</v>
      </c>
      <c r="D551" s="5">
        <v>1.0</v>
      </c>
    </row>
    <row r="552">
      <c r="A552" s="5">
        <v>219.0</v>
      </c>
      <c r="B552" s="5" t="s">
        <v>1514</v>
      </c>
      <c r="C552" s="5" t="s">
        <v>6615</v>
      </c>
      <c r="D552" s="5">
        <v>2.0</v>
      </c>
    </row>
    <row r="553">
      <c r="A553" s="5">
        <v>219.0</v>
      </c>
      <c r="B553" s="5" t="s">
        <v>1514</v>
      </c>
      <c r="C553" s="5" t="s">
        <v>20</v>
      </c>
      <c r="D553" s="5">
        <v>3.0</v>
      </c>
    </row>
    <row r="554">
      <c r="A554" s="5">
        <v>220.0</v>
      </c>
      <c r="B554" s="5" t="s">
        <v>1520</v>
      </c>
      <c r="C554" s="5" t="s">
        <v>6623</v>
      </c>
      <c r="D554" s="5">
        <v>1.0</v>
      </c>
    </row>
    <row r="555">
      <c r="A555" s="5">
        <v>220.0</v>
      </c>
      <c r="B555" s="5" t="s">
        <v>1520</v>
      </c>
      <c r="C555" s="5" t="s">
        <v>6617</v>
      </c>
      <c r="D555" s="5">
        <v>2.0</v>
      </c>
    </row>
    <row r="556">
      <c r="A556" s="5">
        <v>220.0</v>
      </c>
      <c r="B556" s="5" t="s">
        <v>1520</v>
      </c>
      <c r="C556" s="5" t="s">
        <v>20</v>
      </c>
      <c r="D556" s="5">
        <v>3.0</v>
      </c>
    </row>
    <row r="557">
      <c r="A557" s="5">
        <v>221.0</v>
      </c>
      <c r="B557" s="5" t="s">
        <v>1528</v>
      </c>
      <c r="C557" s="5" t="s">
        <v>6626</v>
      </c>
      <c r="D557" s="5">
        <v>1.0</v>
      </c>
    </row>
    <row r="558">
      <c r="A558" s="5">
        <v>221.0</v>
      </c>
      <c r="B558" s="5" t="s">
        <v>1528</v>
      </c>
      <c r="C558" s="5" t="s">
        <v>4191</v>
      </c>
      <c r="D558" s="5">
        <v>2.0</v>
      </c>
    </row>
    <row r="559">
      <c r="A559" s="5">
        <v>222.0</v>
      </c>
      <c r="B559" s="5" t="s">
        <v>1534</v>
      </c>
      <c r="C559" s="5" t="s">
        <v>602</v>
      </c>
      <c r="D559" s="5">
        <v>1.0</v>
      </c>
    </row>
    <row r="560">
      <c r="A560" s="5">
        <v>222.0</v>
      </c>
      <c r="B560" s="5" t="s">
        <v>1534</v>
      </c>
      <c r="C560" s="5" t="s">
        <v>20</v>
      </c>
      <c r="D560" s="5">
        <v>2.0</v>
      </c>
    </row>
    <row r="561">
      <c r="A561" s="5">
        <v>223.0</v>
      </c>
      <c r="B561" s="5" t="s">
        <v>1540</v>
      </c>
      <c r="C561" s="5" t="s">
        <v>6615</v>
      </c>
      <c r="D561" s="5">
        <v>1.0</v>
      </c>
    </row>
    <row r="562">
      <c r="A562" s="5">
        <v>223.0</v>
      </c>
      <c r="B562" s="5" t="s">
        <v>1540</v>
      </c>
      <c r="C562" s="5" t="s">
        <v>20</v>
      </c>
      <c r="D562" s="5">
        <v>2.0</v>
      </c>
    </row>
    <row r="563">
      <c r="A563" s="5">
        <v>223.0</v>
      </c>
      <c r="B563" s="5" t="s">
        <v>1540</v>
      </c>
      <c r="C563" s="5" t="s">
        <v>6626</v>
      </c>
      <c r="D563" s="5">
        <v>3.0</v>
      </c>
    </row>
    <row r="564">
      <c r="A564" s="5">
        <v>224.0</v>
      </c>
      <c r="B564" s="5" t="s">
        <v>1545</v>
      </c>
      <c r="C564" s="5" t="s">
        <v>6616</v>
      </c>
      <c r="D564" s="5">
        <v>1.0</v>
      </c>
    </row>
    <row r="565">
      <c r="A565" s="5">
        <v>224.0</v>
      </c>
      <c r="B565" s="5" t="s">
        <v>1545</v>
      </c>
      <c r="C565" s="5" t="s">
        <v>6617</v>
      </c>
      <c r="D565" s="5">
        <v>2.0</v>
      </c>
    </row>
    <row r="566">
      <c r="A566" s="5">
        <v>224.0</v>
      </c>
      <c r="B566" s="5" t="s">
        <v>1545</v>
      </c>
      <c r="C566" s="5" t="s">
        <v>6620</v>
      </c>
      <c r="D566" s="5">
        <v>3.0</v>
      </c>
    </row>
    <row r="567">
      <c r="A567" s="5">
        <v>225.0</v>
      </c>
      <c r="B567" s="5" t="s">
        <v>1552</v>
      </c>
      <c r="C567" s="5" t="s">
        <v>6616</v>
      </c>
      <c r="D567" s="5">
        <v>1.0</v>
      </c>
    </row>
    <row r="568">
      <c r="A568" s="5">
        <v>225.0</v>
      </c>
      <c r="B568" s="5" t="s">
        <v>1552</v>
      </c>
      <c r="C568" s="5" t="s">
        <v>6615</v>
      </c>
      <c r="D568" s="5">
        <v>2.0</v>
      </c>
    </row>
    <row r="569">
      <c r="A569" s="5">
        <v>225.0</v>
      </c>
      <c r="B569" s="5" t="s">
        <v>1552</v>
      </c>
      <c r="C569" s="5" t="s">
        <v>20</v>
      </c>
      <c r="D569" s="5">
        <v>3.0</v>
      </c>
    </row>
    <row r="570">
      <c r="A570" s="5">
        <v>226.0</v>
      </c>
      <c r="B570" s="5" t="s">
        <v>1559</v>
      </c>
      <c r="C570" s="5" t="s">
        <v>20</v>
      </c>
      <c r="D570" s="5">
        <v>1.0</v>
      </c>
    </row>
    <row r="571">
      <c r="A571" s="5">
        <v>227.0</v>
      </c>
      <c r="B571" s="5" t="s">
        <v>1564</v>
      </c>
      <c r="C571" s="5" t="s">
        <v>6617</v>
      </c>
      <c r="D571" s="5">
        <v>1.0</v>
      </c>
    </row>
    <row r="572">
      <c r="A572" s="5">
        <v>227.0</v>
      </c>
      <c r="B572" s="5" t="s">
        <v>1564</v>
      </c>
      <c r="C572" s="5" t="s">
        <v>20</v>
      </c>
      <c r="D572" s="5">
        <v>2.0</v>
      </c>
    </row>
    <row r="573">
      <c r="A573" s="5">
        <v>227.0</v>
      </c>
      <c r="B573" s="5" t="s">
        <v>1564</v>
      </c>
      <c r="C573" s="5" t="s">
        <v>6622</v>
      </c>
      <c r="D573" s="5">
        <v>3.0</v>
      </c>
    </row>
    <row r="574">
      <c r="A574" s="5">
        <v>228.0</v>
      </c>
      <c r="B574" s="5" t="s">
        <v>1572</v>
      </c>
      <c r="C574" s="5" t="s">
        <v>20</v>
      </c>
      <c r="D574" s="5">
        <v>1.0</v>
      </c>
    </row>
    <row r="575">
      <c r="A575" s="5">
        <v>228.0</v>
      </c>
      <c r="B575" s="5" t="s">
        <v>1572</v>
      </c>
      <c r="C575" s="5" t="s">
        <v>6627</v>
      </c>
      <c r="D575" s="5">
        <v>2.0</v>
      </c>
    </row>
    <row r="576">
      <c r="A576" s="5">
        <v>229.0</v>
      </c>
      <c r="B576" s="5" t="s">
        <v>1579</v>
      </c>
      <c r="C576" s="5" t="s">
        <v>6618</v>
      </c>
      <c r="D576" s="5">
        <v>1.0</v>
      </c>
    </row>
    <row r="577">
      <c r="A577" s="5">
        <v>229.0</v>
      </c>
      <c r="B577" s="5" t="s">
        <v>1579</v>
      </c>
      <c r="C577" s="5" t="s">
        <v>20</v>
      </c>
      <c r="D577" s="5">
        <v>2.0</v>
      </c>
    </row>
    <row r="578">
      <c r="A578" s="5">
        <v>229.0</v>
      </c>
      <c r="B578" s="5" t="s">
        <v>1579</v>
      </c>
      <c r="C578" s="5" t="s">
        <v>6624</v>
      </c>
      <c r="D578" s="5">
        <v>3.0</v>
      </c>
    </row>
    <row r="579">
      <c r="A579" s="5">
        <v>230.0</v>
      </c>
      <c r="B579" s="5" t="s">
        <v>1587</v>
      </c>
      <c r="C579" s="5" t="s">
        <v>6623</v>
      </c>
      <c r="D579" s="5">
        <v>1.0</v>
      </c>
    </row>
    <row r="580">
      <c r="A580" s="5">
        <v>230.0</v>
      </c>
      <c r="B580" s="5" t="s">
        <v>1587</v>
      </c>
      <c r="C580" s="5" t="s">
        <v>602</v>
      </c>
      <c r="D580" s="5">
        <v>2.0</v>
      </c>
    </row>
    <row r="581">
      <c r="A581" s="5">
        <v>230.0</v>
      </c>
      <c r="B581" s="5" t="s">
        <v>1587</v>
      </c>
      <c r="C581" s="5" t="s">
        <v>20</v>
      </c>
      <c r="D581" s="5">
        <v>3.0</v>
      </c>
    </row>
    <row r="582">
      <c r="A582" s="5">
        <v>231.0</v>
      </c>
      <c r="B582" s="5" t="s">
        <v>1596</v>
      </c>
      <c r="C582" s="5" t="s">
        <v>6623</v>
      </c>
      <c r="D582" s="5">
        <v>1.0</v>
      </c>
    </row>
    <row r="583">
      <c r="A583" s="5">
        <v>231.0</v>
      </c>
      <c r="B583" s="5" t="s">
        <v>1596</v>
      </c>
      <c r="C583" s="5" t="s">
        <v>6616</v>
      </c>
      <c r="D583" s="5">
        <v>2.0</v>
      </c>
    </row>
    <row r="584">
      <c r="A584" s="5">
        <v>231.0</v>
      </c>
      <c r="B584" s="5" t="s">
        <v>1596</v>
      </c>
      <c r="C584" s="5" t="s">
        <v>6617</v>
      </c>
      <c r="D584" s="5">
        <v>3.0</v>
      </c>
    </row>
    <row r="585">
      <c r="A585" s="5">
        <v>232.0</v>
      </c>
      <c r="B585" s="5" t="s">
        <v>1603</v>
      </c>
      <c r="C585" s="5" t="s">
        <v>6617</v>
      </c>
      <c r="D585" s="5">
        <v>1.0</v>
      </c>
    </row>
    <row r="586">
      <c r="A586" s="5">
        <v>232.0</v>
      </c>
      <c r="B586" s="5" t="s">
        <v>1603</v>
      </c>
      <c r="C586" s="5" t="s">
        <v>6618</v>
      </c>
      <c r="D586" s="5">
        <v>2.0</v>
      </c>
    </row>
    <row r="587">
      <c r="A587" s="5">
        <v>232.0</v>
      </c>
      <c r="B587" s="5" t="s">
        <v>1603</v>
      </c>
      <c r="C587" s="5" t="s">
        <v>20</v>
      </c>
      <c r="D587" s="5">
        <v>3.0</v>
      </c>
    </row>
    <row r="588">
      <c r="A588" s="5">
        <v>233.0</v>
      </c>
      <c r="B588" s="5" t="s">
        <v>1610</v>
      </c>
      <c r="C588" s="5" t="s">
        <v>6615</v>
      </c>
      <c r="D588" s="5">
        <v>1.0</v>
      </c>
    </row>
    <row r="589">
      <c r="A589" s="5">
        <v>233.0</v>
      </c>
      <c r="B589" s="5" t="s">
        <v>1610</v>
      </c>
      <c r="C589" s="5" t="s">
        <v>20</v>
      </c>
      <c r="D589" s="5">
        <v>2.0</v>
      </c>
    </row>
    <row r="590">
      <c r="A590" s="5">
        <v>233.0</v>
      </c>
      <c r="B590" s="5" t="s">
        <v>1610</v>
      </c>
      <c r="C590" s="5" t="s">
        <v>4191</v>
      </c>
      <c r="D590" s="5">
        <v>3.0</v>
      </c>
    </row>
    <row r="591">
      <c r="A591" s="5">
        <v>234.0</v>
      </c>
      <c r="B591" s="5" t="s">
        <v>1617</v>
      </c>
      <c r="C591" s="5" t="s">
        <v>602</v>
      </c>
      <c r="D591" s="5">
        <v>1.0</v>
      </c>
    </row>
    <row r="592">
      <c r="A592" s="5">
        <v>234.0</v>
      </c>
      <c r="B592" s="5" t="s">
        <v>1617</v>
      </c>
      <c r="C592" s="5" t="s">
        <v>20</v>
      </c>
      <c r="D592" s="5">
        <v>2.0</v>
      </c>
    </row>
    <row r="593">
      <c r="A593" s="5">
        <v>234.0</v>
      </c>
      <c r="B593" s="5" t="s">
        <v>1617</v>
      </c>
      <c r="C593" s="5" t="s">
        <v>6621</v>
      </c>
      <c r="D593" s="5">
        <v>3.0</v>
      </c>
    </row>
    <row r="594">
      <c r="A594" s="5">
        <v>235.0</v>
      </c>
      <c r="B594" s="5" t="s">
        <v>1621</v>
      </c>
      <c r="C594" s="5" t="s">
        <v>20</v>
      </c>
      <c r="D594" s="5">
        <v>1.0</v>
      </c>
    </row>
    <row r="595">
      <c r="A595" s="5">
        <v>235.0</v>
      </c>
      <c r="B595" s="5" t="s">
        <v>1621</v>
      </c>
      <c r="C595" s="5" t="s">
        <v>6630</v>
      </c>
      <c r="D595" s="5">
        <v>2.0</v>
      </c>
    </row>
    <row r="596">
      <c r="A596" s="5">
        <v>236.0</v>
      </c>
      <c r="B596" s="5" t="s">
        <v>1625</v>
      </c>
      <c r="C596" s="5" t="s">
        <v>6618</v>
      </c>
      <c r="D596" s="5">
        <v>1.0</v>
      </c>
    </row>
    <row r="597">
      <c r="A597" s="5">
        <v>236.0</v>
      </c>
      <c r="B597" s="5" t="s">
        <v>1625</v>
      </c>
      <c r="C597" s="5" t="s">
        <v>20</v>
      </c>
      <c r="D597" s="5">
        <v>2.0</v>
      </c>
    </row>
    <row r="598">
      <c r="A598" s="5">
        <v>236.0</v>
      </c>
      <c r="B598" s="5" t="s">
        <v>1625</v>
      </c>
      <c r="C598" s="5" t="s">
        <v>6619</v>
      </c>
      <c r="D598" s="5">
        <v>3.0</v>
      </c>
    </row>
    <row r="599">
      <c r="A599" s="5">
        <v>237.0</v>
      </c>
      <c r="B599" s="5" t="s">
        <v>1631</v>
      </c>
      <c r="C599" s="5" t="s">
        <v>6616</v>
      </c>
      <c r="D599" s="5">
        <v>1.0</v>
      </c>
    </row>
    <row r="600">
      <c r="A600" s="5">
        <v>237.0</v>
      </c>
      <c r="B600" s="5" t="s">
        <v>1631</v>
      </c>
      <c r="C600" s="5" t="s">
        <v>20</v>
      </c>
      <c r="D600" s="5">
        <v>2.0</v>
      </c>
    </row>
    <row r="601">
      <c r="A601" s="5">
        <v>237.0</v>
      </c>
      <c r="B601" s="5" t="s">
        <v>1631</v>
      </c>
      <c r="C601" s="5" t="s">
        <v>6625</v>
      </c>
      <c r="D601" s="5">
        <v>3.0</v>
      </c>
    </row>
    <row r="602">
      <c r="A602" s="5">
        <v>238.0</v>
      </c>
      <c r="B602" s="5" t="s">
        <v>1638</v>
      </c>
      <c r="C602" s="5" t="s">
        <v>20</v>
      </c>
      <c r="D602" s="5">
        <v>1.0</v>
      </c>
    </row>
    <row r="603">
      <c r="A603" s="5">
        <v>238.0</v>
      </c>
      <c r="B603" s="5" t="s">
        <v>1638</v>
      </c>
      <c r="C603" s="5" t="s">
        <v>6621</v>
      </c>
      <c r="D603" s="5">
        <v>2.0</v>
      </c>
    </row>
    <row r="604">
      <c r="A604" s="5">
        <v>239.0</v>
      </c>
      <c r="B604" s="5" t="s">
        <v>1646</v>
      </c>
      <c r="C604" s="5" t="s">
        <v>602</v>
      </c>
      <c r="D604" s="5">
        <v>1.0</v>
      </c>
    </row>
    <row r="605">
      <c r="A605" s="5">
        <v>239.0</v>
      </c>
      <c r="B605" s="5" t="s">
        <v>1646</v>
      </c>
      <c r="C605" s="5" t="s">
        <v>20</v>
      </c>
      <c r="D605" s="5">
        <v>2.0</v>
      </c>
    </row>
    <row r="606">
      <c r="A606" s="5">
        <v>239.0</v>
      </c>
      <c r="B606" s="5" t="s">
        <v>1646</v>
      </c>
      <c r="C606" s="5" t="s">
        <v>6628</v>
      </c>
      <c r="D606" s="5">
        <v>3.0</v>
      </c>
    </row>
    <row r="607">
      <c r="A607" s="5">
        <v>240.0</v>
      </c>
      <c r="B607" s="5" t="s">
        <v>1650</v>
      </c>
      <c r="C607" s="5" t="s">
        <v>6615</v>
      </c>
      <c r="D607" s="5">
        <v>1.0</v>
      </c>
    </row>
    <row r="608">
      <c r="A608" s="5">
        <v>240.0</v>
      </c>
      <c r="B608" s="5" t="s">
        <v>1650</v>
      </c>
      <c r="C608" s="5" t="s">
        <v>20</v>
      </c>
      <c r="D608" s="5">
        <v>2.0</v>
      </c>
    </row>
    <row r="609">
      <c r="A609" s="5">
        <v>240.0</v>
      </c>
      <c r="B609" s="5" t="s">
        <v>1650</v>
      </c>
      <c r="C609" s="5" t="s">
        <v>6626</v>
      </c>
      <c r="D609" s="5">
        <v>3.0</v>
      </c>
    </row>
    <row r="610">
      <c r="A610" s="5">
        <v>241.0</v>
      </c>
      <c r="B610" s="5" t="s">
        <v>1655</v>
      </c>
      <c r="C610" s="5" t="s">
        <v>602</v>
      </c>
      <c r="D610" s="5">
        <v>1.0</v>
      </c>
    </row>
    <row r="611">
      <c r="A611" s="5">
        <v>241.0</v>
      </c>
      <c r="B611" s="5" t="s">
        <v>1655</v>
      </c>
      <c r="C611" s="5" t="s">
        <v>20</v>
      </c>
      <c r="D611" s="5">
        <v>2.0</v>
      </c>
    </row>
    <row r="612">
      <c r="A612" s="5">
        <v>241.0</v>
      </c>
      <c r="B612" s="5" t="s">
        <v>1655</v>
      </c>
      <c r="C612" s="5" t="s">
        <v>6621</v>
      </c>
      <c r="D612" s="5">
        <v>3.0</v>
      </c>
    </row>
    <row r="613">
      <c r="A613" s="5">
        <v>242.0</v>
      </c>
      <c r="B613" s="5" t="s">
        <v>1662</v>
      </c>
      <c r="C613" s="5" t="s">
        <v>6616</v>
      </c>
      <c r="D613" s="5">
        <v>1.0</v>
      </c>
    </row>
    <row r="614">
      <c r="A614" s="5">
        <v>242.0</v>
      </c>
      <c r="B614" s="5" t="s">
        <v>1662</v>
      </c>
      <c r="C614" s="5" t="s">
        <v>6615</v>
      </c>
      <c r="D614" s="5">
        <v>2.0</v>
      </c>
    </row>
    <row r="615">
      <c r="A615" s="5">
        <v>242.0</v>
      </c>
      <c r="B615" s="5" t="s">
        <v>1662</v>
      </c>
      <c r="C615" s="5" t="s">
        <v>20</v>
      </c>
      <c r="D615" s="5">
        <v>3.0</v>
      </c>
    </row>
    <row r="616">
      <c r="A616" s="5">
        <v>243.0</v>
      </c>
      <c r="B616" s="5" t="s">
        <v>1667</v>
      </c>
      <c r="C616" s="5" t="s">
        <v>6623</v>
      </c>
      <c r="D616" s="5">
        <v>1.0</v>
      </c>
    </row>
    <row r="617">
      <c r="A617" s="5">
        <v>243.0</v>
      </c>
      <c r="B617" s="5" t="s">
        <v>1667</v>
      </c>
      <c r="C617" s="5" t="s">
        <v>6617</v>
      </c>
      <c r="D617" s="5">
        <v>2.0</v>
      </c>
    </row>
    <row r="618">
      <c r="A618" s="5">
        <v>243.0</v>
      </c>
      <c r="B618" s="5" t="s">
        <v>1667</v>
      </c>
      <c r="C618" s="5" t="s">
        <v>602</v>
      </c>
      <c r="D618" s="5">
        <v>3.0</v>
      </c>
    </row>
    <row r="619">
      <c r="A619" s="5">
        <v>244.0</v>
      </c>
      <c r="B619" s="5" t="s">
        <v>1671</v>
      </c>
      <c r="C619" s="5" t="s">
        <v>6618</v>
      </c>
      <c r="D619" s="5">
        <v>1.0</v>
      </c>
    </row>
    <row r="620">
      <c r="A620" s="5">
        <v>244.0</v>
      </c>
      <c r="B620" s="5" t="s">
        <v>1671</v>
      </c>
      <c r="C620" s="5" t="s">
        <v>6615</v>
      </c>
      <c r="D620" s="5">
        <v>2.0</v>
      </c>
    </row>
    <row r="621">
      <c r="A621" s="5">
        <v>244.0</v>
      </c>
      <c r="B621" s="5" t="s">
        <v>1671</v>
      </c>
      <c r="C621" s="5" t="s">
        <v>20</v>
      </c>
      <c r="D621" s="5">
        <v>3.0</v>
      </c>
    </row>
    <row r="622">
      <c r="A622" s="5">
        <v>245.0</v>
      </c>
      <c r="B622" s="5" t="s">
        <v>1675</v>
      </c>
      <c r="C622" s="5" t="s">
        <v>20</v>
      </c>
      <c r="D622" s="5">
        <v>1.0</v>
      </c>
    </row>
    <row r="623">
      <c r="A623" s="5">
        <v>245.0</v>
      </c>
      <c r="B623" s="5" t="s">
        <v>1675</v>
      </c>
      <c r="C623" s="5" t="s">
        <v>4191</v>
      </c>
      <c r="D623" s="5">
        <v>2.0</v>
      </c>
    </row>
    <row r="624">
      <c r="A624" s="5">
        <v>246.0</v>
      </c>
      <c r="B624" s="5" t="s">
        <v>1681</v>
      </c>
      <c r="C624" s="5" t="s">
        <v>6623</v>
      </c>
      <c r="D624" s="5">
        <v>1.0</v>
      </c>
    </row>
    <row r="625">
      <c r="A625" s="5">
        <v>246.0</v>
      </c>
      <c r="B625" s="5" t="s">
        <v>1681</v>
      </c>
      <c r="C625" s="5" t="s">
        <v>6617</v>
      </c>
      <c r="D625" s="5">
        <v>2.0</v>
      </c>
    </row>
    <row r="626">
      <c r="A626" s="5">
        <v>246.0</v>
      </c>
      <c r="B626" s="5" t="s">
        <v>1681</v>
      </c>
      <c r="C626" s="5" t="s">
        <v>602</v>
      </c>
      <c r="D626" s="5">
        <v>3.0</v>
      </c>
    </row>
    <row r="627">
      <c r="A627" s="5">
        <v>247.0</v>
      </c>
      <c r="B627" s="5" t="s">
        <v>1686</v>
      </c>
      <c r="C627" s="5" t="s">
        <v>6623</v>
      </c>
      <c r="D627" s="5">
        <v>1.0</v>
      </c>
    </row>
    <row r="628">
      <c r="A628" s="5">
        <v>247.0</v>
      </c>
      <c r="B628" s="5" t="s">
        <v>1686</v>
      </c>
      <c r="C628" s="5" t="s">
        <v>6616</v>
      </c>
      <c r="D628" s="5">
        <v>2.0</v>
      </c>
    </row>
    <row r="629">
      <c r="A629" s="5">
        <v>247.0</v>
      </c>
      <c r="B629" s="5" t="s">
        <v>1686</v>
      </c>
      <c r="C629" s="5" t="s">
        <v>20</v>
      </c>
      <c r="D629" s="5">
        <v>3.0</v>
      </c>
    </row>
    <row r="630">
      <c r="A630" s="5">
        <v>248.0</v>
      </c>
      <c r="B630" s="5" t="s">
        <v>1694</v>
      </c>
      <c r="C630" s="5" t="s">
        <v>6617</v>
      </c>
      <c r="D630" s="5">
        <v>1.0</v>
      </c>
    </row>
    <row r="631">
      <c r="A631" s="5">
        <v>248.0</v>
      </c>
      <c r="B631" s="5" t="s">
        <v>1694</v>
      </c>
      <c r="C631" s="5" t="s">
        <v>20</v>
      </c>
      <c r="D631" s="5">
        <v>2.0</v>
      </c>
    </row>
    <row r="632">
      <c r="A632" s="5">
        <v>248.0</v>
      </c>
      <c r="B632" s="5" t="s">
        <v>1694</v>
      </c>
      <c r="C632" s="5" t="s">
        <v>6628</v>
      </c>
      <c r="D632" s="5">
        <v>3.0</v>
      </c>
    </row>
    <row r="633">
      <c r="A633" s="5">
        <v>249.0</v>
      </c>
      <c r="B633" s="5" t="s">
        <v>1700</v>
      </c>
      <c r="C633" s="5" t="s">
        <v>20</v>
      </c>
      <c r="D633" s="5">
        <v>1.0</v>
      </c>
    </row>
    <row r="634">
      <c r="A634" s="5">
        <v>249.0</v>
      </c>
      <c r="B634" s="5" t="s">
        <v>1700</v>
      </c>
      <c r="C634" s="5" t="s">
        <v>6626</v>
      </c>
      <c r="D634" s="5">
        <v>2.0</v>
      </c>
    </row>
    <row r="635">
      <c r="A635" s="5">
        <v>249.0</v>
      </c>
      <c r="B635" s="5" t="s">
        <v>1700</v>
      </c>
      <c r="C635" s="5" t="s">
        <v>4191</v>
      </c>
      <c r="D635" s="5">
        <v>3.0</v>
      </c>
    </row>
    <row r="636">
      <c r="A636" s="5">
        <v>250.0</v>
      </c>
      <c r="B636" s="5" t="s">
        <v>1705</v>
      </c>
      <c r="C636" s="5" t="s">
        <v>20</v>
      </c>
      <c r="D636" s="5">
        <v>1.0</v>
      </c>
    </row>
    <row r="637">
      <c r="A637" s="5">
        <v>250.0</v>
      </c>
      <c r="B637" s="5" t="s">
        <v>1705</v>
      </c>
      <c r="C637" s="5" t="s">
        <v>6627</v>
      </c>
      <c r="D637" s="5">
        <v>2.0</v>
      </c>
    </row>
    <row r="638">
      <c r="A638" s="5">
        <v>250.0</v>
      </c>
      <c r="B638" s="5" t="s">
        <v>1705</v>
      </c>
      <c r="C638" s="5" t="s">
        <v>6621</v>
      </c>
      <c r="D638" s="5">
        <v>3.0</v>
      </c>
    </row>
    <row r="639">
      <c r="A639" s="5">
        <v>251.0</v>
      </c>
      <c r="B639" s="5" t="s">
        <v>1711</v>
      </c>
      <c r="C639" s="5" t="s">
        <v>602</v>
      </c>
      <c r="D639" s="5">
        <v>1.0</v>
      </c>
    </row>
    <row r="640">
      <c r="A640" s="5">
        <v>251.0</v>
      </c>
      <c r="B640" s="5" t="s">
        <v>1711</v>
      </c>
      <c r="C640" s="5" t="s">
        <v>20</v>
      </c>
      <c r="D640" s="5">
        <v>2.0</v>
      </c>
    </row>
    <row r="641">
      <c r="A641" s="5">
        <v>252.0</v>
      </c>
      <c r="B641" s="5" t="s">
        <v>1716</v>
      </c>
      <c r="C641" s="5" t="s">
        <v>602</v>
      </c>
      <c r="D641" s="5">
        <v>1.0</v>
      </c>
    </row>
    <row r="642">
      <c r="A642" s="5">
        <v>252.0</v>
      </c>
      <c r="B642" s="5" t="s">
        <v>1716</v>
      </c>
      <c r="C642" s="5" t="s">
        <v>6615</v>
      </c>
      <c r="D642" s="5">
        <v>2.0</v>
      </c>
    </row>
    <row r="643">
      <c r="A643" s="5">
        <v>252.0</v>
      </c>
      <c r="B643" s="5" t="s">
        <v>1716</v>
      </c>
      <c r="C643" s="5" t="s">
        <v>6621</v>
      </c>
      <c r="D643" s="5">
        <v>3.0</v>
      </c>
    </row>
    <row r="644">
      <c r="A644" s="5">
        <v>253.0</v>
      </c>
      <c r="B644" s="5" t="s">
        <v>1724</v>
      </c>
      <c r="C644" s="5" t="s">
        <v>602</v>
      </c>
      <c r="D644" s="5">
        <v>1.0</v>
      </c>
    </row>
    <row r="645">
      <c r="A645" s="5">
        <v>253.0</v>
      </c>
      <c r="B645" s="5" t="s">
        <v>1724</v>
      </c>
      <c r="C645" s="5" t="s">
        <v>6615</v>
      </c>
      <c r="D645" s="5">
        <v>2.0</v>
      </c>
    </row>
    <row r="646">
      <c r="A646" s="5">
        <v>253.0</v>
      </c>
      <c r="B646" s="5" t="s">
        <v>1724</v>
      </c>
      <c r="C646" s="5" t="s">
        <v>6630</v>
      </c>
      <c r="D646" s="5">
        <v>3.0</v>
      </c>
    </row>
    <row r="647">
      <c r="A647" s="5">
        <v>254.0</v>
      </c>
      <c r="B647" s="5" t="s">
        <v>1729</v>
      </c>
      <c r="C647" s="5" t="s">
        <v>20</v>
      </c>
      <c r="D647" s="5">
        <v>1.0</v>
      </c>
    </row>
    <row r="648">
      <c r="A648" s="5">
        <v>254.0</v>
      </c>
      <c r="B648" s="5" t="s">
        <v>1729</v>
      </c>
      <c r="C648" s="5" t="s">
        <v>6621</v>
      </c>
      <c r="D648" s="5">
        <v>2.0</v>
      </c>
    </row>
    <row r="649">
      <c r="A649" s="5">
        <v>255.0</v>
      </c>
      <c r="B649" s="5" t="s">
        <v>1736</v>
      </c>
      <c r="C649" s="5" t="s">
        <v>20</v>
      </c>
      <c r="D649" s="5">
        <v>1.0</v>
      </c>
    </row>
    <row r="650">
      <c r="A650" s="5">
        <v>256.0</v>
      </c>
      <c r="B650" s="5" t="s">
        <v>1743</v>
      </c>
      <c r="C650" s="5" t="s">
        <v>6615</v>
      </c>
      <c r="D650" s="5">
        <v>1.0</v>
      </c>
    </row>
    <row r="651">
      <c r="A651" s="5">
        <v>256.0</v>
      </c>
      <c r="B651" s="5" t="s">
        <v>1743</v>
      </c>
      <c r="C651" s="5" t="s">
        <v>20</v>
      </c>
      <c r="D651" s="5">
        <v>2.0</v>
      </c>
    </row>
    <row r="652">
      <c r="A652" s="5">
        <v>256.0</v>
      </c>
      <c r="B652" s="5" t="s">
        <v>1743</v>
      </c>
      <c r="C652" s="5" t="s">
        <v>4191</v>
      </c>
      <c r="D652" s="5">
        <v>3.0</v>
      </c>
    </row>
    <row r="653">
      <c r="A653" s="5">
        <v>257.0</v>
      </c>
      <c r="B653" s="5" t="s">
        <v>1747</v>
      </c>
      <c r="C653" s="5" t="s">
        <v>602</v>
      </c>
      <c r="D653" s="5">
        <v>1.0</v>
      </c>
    </row>
    <row r="654">
      <c r="A654" s="5">
        <v>257.0</v>
      </c>
      <c r="B654" s="5" t="s">
        <v>1747</v>
      </c>
      <c r="C654" s="5" t="s">
        <v>20</v>
      </c>
      <c r="D654" s="5">
        <v>2.0</v>
      </c>
    </row>
    <row r="655">
      <c r="A655" s="5">
        <v>257.0</v>
      </c>
      <c r="B655" s="5" t="s">
        <v>1747</v>
      </c>
      <c r="C655" s="5" t="s">
        <v>6625</v>
      </c>
      <c r="D655" s="5">
        <v>3.0</v>
      </c>
    </row>
    <row r="656">
      <c r="A656" s="5">
        <v>258.0</v>
      </c>
      <c r="B656" s="5" t="s">
        <v>1753</v>
      </c>
      <c r="C656" s="5" t="s">
        <v>6615</v>
      </c>
      <c r="D656" s="5">
        <v>1.0</v>
      </c>
    </row>
    <row r="657">
      <c r="A657" s="5">
        <v>258.0</v>
      </c>
      <c r="B657" s="5" t="s">
        <v>1753</v>
      </c>
      <c r="C657" s="5" t="s">
        <v>20</v>
      </c>
      <c r="D657" s="5">
        <v>2.0</v>
      </c>
    </row>
    <row r="658">
      <c r="A658" s="5">
        <v>259.0</v>
      </c>
      <c r="B658" s="5" t="s">
        <v>1759</v>
      </c>
      <c r="C658" s="5" t="s">
        <v>20</v>
      </c>
      <c r="D658" s="5">
        <v>1.0</v>
      </c>
    </row>
    <row r="659">
      <c r="A659" s="5">
        <v>259.0</v>
      </c>
      <c r="B659" s="5" t="s">
        <v>1759</v>
      </c>
      <c r="C659" s="5" t="s">
        <v>6621</v>
      </c>
      <c r="D659" s="5">
        <v>2.0</v>
      </c>
    </row>
    <row r="660">
      <c r="A660" s="5">
        <v>260.0</v>
      </c>
      <c r="B660" s="5" t="s">
        <v>1765</v>
      </c>
      <c r="C660" s="5" t="s">
        <v>20</v>
      </c>
      <c r="D660" s="5">
        <v>1.0</v>
      </c>
    </row>
    <row r="661">
      <c r="A661" s="5">
        <v>260.0</v>
      </c>
      <c r="B661" s="5" t="s">
        <v>1765</v>
      </c>
      <c r="C661" s="5" t="s">
        <v>6621</v>
      </c>
      <c r="D661" s="5">
        <v>2.0</v>
      </c>
    </row>
    <row r="662">
      <c r="A662" s="5">
        <v>261.0</v>
      </c>
      <c r="B662" s="5" t="s">
        <v>1769</v>
      </c>
      <c r="C662" s="5" t="s">
        <v>20</v>
      </c>
      <c r="D662" s="5">
        <v>1.0</v>
      </c>
    </row>
    <row r="663">
      <c r="A663" s="5">
        <v>261.0</v>
      </c>
      <c r="B663" s="5" t="s">
        <v>1769</v>
      </c>
      <c r="C663" s="5" t="s">
        <v>6626</v>
      </c>
      <c r="D663" s="5">
        <v>2.0</v>
      </c>
    </row>
    <row r="664">
      <c r="A664" s="5">
        <v>261.0</v>
      </c>
      <c r="B664" s="5" t="s">
        <v>1769</v>
      </c>
      <c r="C664" s="5" t="s">
        <v>6621</v>
      </c>
      <c r="D664" s="5">
        <v>3.0</v>
      </c>
    </row>
    <row r="665">
      <c r="A665" s="5">
        <v>262.0</v>
      </c>
      <c r="B665" s="5" t="s">
        <v>1776</v>
      </c>
      <c r="C665" s="5" t="s">
        <v>602</v>
      </c>
      <c r="D665" s="5">
        <v>1.0</v>
      </c>
    </row>
    <row r="666">
      <c r="A666" s="5">
        <v>262.0</v>
      </c>
      <c r="B666" s="5" t="s">
        <v>1776</v>
      </c>
      <c r="C666" s="5" t="s">
        <v>6615</v>
      </c>
      <c r="D666" s="5">
        <v>2.0</v>
      </c>
    </row>
    <row r="667">
      <c r="A667" s="5">
        <v>262.0</v>
      </c>
      <c r="B667" s="5" t="s">
        <v>1776</v>
      </c>
      <c r="C667" s="5" t="s">
        <v>20</v>
      </c>
      <c r="D667" s="5">
        <v>3.0</v>
      </c>
    </row>
    <row r="668">
      <c r="A668" s="5">
        <v>263.0</v>
      </c>
      <c r="B668" s="5" t="s">
        <v>1782</v>
      </c>
      <c r="C668" s="5" t="s">
        <v>6616</v>
      </c>
      <c r="D668" s="5">
        <v>1.0</v>
      </c>
    </row>
    <row r="669">
      <c r="A669" s="5">
        <v>263.0</v>
      </c>
      <c r="B669" s="5" t="s">
        <v>1782</v>
      </c>
      <c r="C669" s="5" t="s">
        <v>6617</v>
      </c>
      <c r="D669" s="5">
        <v>2.0</v>
      </c>
    </row>
    <row r="670">
      <c r="A670" s="5">
        <v>263.0</v>
      </c>
      <c r="B670" s="5" t="s">
        <v>1782</v>
      </c>
      <c r="C670" s="5" t="s">
        <v>6620</v>
      </c>
      <c r="D670" s="5">
        <v>3.0</v>
      </c>
    </row>
    <row r="671">
      <c r="A671" s="5">
        <v>264.0</v>
      </c>
      <c r="B671" s="5" t="s">
        <v>1787</v>
      </c>
      <c r="C671" s="5" t="s">
        <v>6618</v>
      </c>
      <c r="D671" s="5">
        <v>1.0</v>
      </c>
    </row>
    <row r="672">
      <c r="A672" s="5">
        <v>264.0</v>
      </c>
      <c r="B672" s="5" t="s">
        <v>1787</v>
      </c>
      <c r="C672" s="5" t="s">
        <v>6615</v>
      </c>
      <c r="D672" s="5">
        <v>2.0</v>
      </c>
    </row>
    <row r="673">
      <c r="A673" s="5">
        <v>264.0</v>
      </c>
      <c r="B673" s="5" t="s">
        <v>1787</v>
      </c>
      <c r="C673" s="5" t="s">
        <v>20</v>
      </c>
      <c r="D673" s="5">
        <v>3.0</v>
      </c>
    </row>
    <row r="674">
      <c r="A674" s="5">
        <v>265.0</v>
      </c>
      <c r="B674" s="5" t="s">
        <v>1793</v>
      </c>
      <c r="C674" s="5" t="s">
        <v>20</v>
      </c>
      <c r="D674" s="5">
        <v>1.0</v>
      </c>
    </row>
    <row r="675">
      <c r="A675" s="5">
        <v>265.0</v>
      </c>
      <c r="B675" s="5" t="s">
        <v>1793</v>
      </c>
      <c r="C675" s="5" t="s">
        <v>6627</v>
      </c>
      <c r="D675" s="5">
        <v>2.0</v>
      </c>
    </row>
    <row r="676">
      <c r="A676" s="5">
        <v>265.0</v>
      </c>
      <c r="B676" s="5" t="s">
        <v>1793</v>
      </c>
      <c r="C676" s="5" t="s">
        <v>6621</v>
      </c>
      <c r="D676" s="5">
        <v>3.0</v>
      </c>
    </row>
    <row r="677">
      <c r="A677" s="5">
        <v>266.0</v>
      </c>
      <c r="B677" s="5" t="s">
        <v>1801</v>
      </c>
      <c r="C677" s="5" t="s">
        <v>20</v>
      </c>
      <c r="D677" s="5">
        <v>1.0</v>
      </c>
    </row>
    <row r="678">
      <c r="A678" s="5">
        <v>266.0</v>
      </c>
      <c r="B678" s="5" t="s">
        <v>1801</v>
      </c>
      <c r="C678" s="5" t="s">
        <v>6619</v>
      </c>
      <c r="D678" s="5">
        <v>2.0</v>
      </c>
    </row>
    <row r="679">
      <c r="A679" s="5">
        <v>266.0</v>
      </c>
      <c r="B679" s="5" t="s">
        <v>1801</v>
      </c>
      <c r="C679" s="5" t="s">
        <v>6621</v>
      </c>
      <c r="D679" s="5">
        <v>3.0</v>
      </c>
    </row>
    <row r="680">
      <c r="A680" s="5">
        <v>267.0</v>
      </c>
      <c r="B680" s="5" t="s">
        <v>1808</v>
      </c>
      <c r="C680" s="5" t="s">
        <v>602</v>
      </c>
      <c r="D680" s="5">
        <v>1.0</v>
      </c>
    </row>
    <row r="681">
      <c r="A681" s="5">
        <v>267.0</v>
      </c>
      <c r="B681" s="5" t="s">
        <v>1808</v>
      </c>
      <c r="C681" s="5" t="s">
        <v>20</v>
      </c>
      <c r="D681" s="5">
        <v>2.0</v>
      </c>
    </row>
    <row r="682">
      <c r="A682" s="5">
        <v>268.0</v>
      </c>
      <c r="B682" s="5" t="s">
        <v>1812</v>
      </c>
      <c r="C682" s="5" t="s">
        <v>6617</v>
      </c>
      <c r="D682" s="5">
        <v>1.0</v>
      </c>
    </row>
    <row r="683">
      <c r="A683" s="5">
        <v>268.0</v>
      </c>
      <c r="B683" s="5" t="s">
        <v>1812</v>
      </c>
      <c r="C683" s="5" t="s">
        <v>20</v>
      </c>
      <c r="D683" s="5">
        <v>2.0</v>
      </c>
    </row>
    <row r="684">
      <c r="A684" s="5">
        <v>269.0</v>
      </c>
      <c r="B684" s="5" t="s">
        <v>1820</v>
      </c>
      <c r="C684" s="5" t="s">
        <v>20</v>
      </c>
      <c r="D684" s="5">
        <v>1.0</v>
      </c>
    </row>
    <row r="685">
      <c r="A685" s="5">
        <v>269.0</v>
      </c>
      <c r="B685" s="5" t="s">
        <v>1820</v>
      </c>
      <c r="C685" s="5" t="s">
        <v>6625</v>
      </c>
      <c r="D685" s="5">
        <v>2.0</v>
      </c>
    </row>
    <row r="686">
      <c r="A686" s="5">
        <v>270.0</v>
      </c>
      <c r="B686" s="5" t="s">
        <v>1827</v>
      </c>
      <c r="C686" s="5" t="s">
        <v>20</v>
      </c>
      <c r="D686" s="5">
        <v>1.0</v>
      </c>
    </row>
    <row r="687">
      <c r="A687" s="5">
        <v>271.0</v>
      </c>
      <c r="B687" s="5" t="s">
        <v>1834</v>
      </c>
      <c r="C687" s="5" t="s">
        <v>6623</v>
      </c>
      <c r="D687" s="5">
        <v>1.0</v>
      </c>
    </row>
    <row r="688">
      <c r="A688" s="5">
        <v>271.0</v>
      </c>
      <c r="B688" s="5" t="s">
        <v>1834</v>
      </c>
      <c r="C688" s="5" t="s">
        <v>6617</v>
      </c>
      <c r="D688" s="5">
        <v>2.0</v>
      </c>
    </row>
    <row r="689">
      <c r="A689" s="5">
        <v>271.0</v>
      </c>
      <c r="B689" s="5" t="s">
        <v>1834</v>
      </c>
      <c r="C689" s="5" t="s">
        <v>6622</v>
      </c>
      <c r="D689" s="5">
        <v>3.0</v>
      </c>
    </row>
    <row r="690">
      <c r="A690" s="5">
        <v>272.0</v>
      </c>
      <c r="B690" s="5" t="s">
        <v>1842</v>
      </c>
      <c r="C690" s="5" t="s">
        <v>2696</v>
      </c>
      <c r="D690" s="5">
        <v>1.0</v>
      </c>
    </row>
    <row r="691">
      <c r="A691" s="5">
        <v>272.0</v>
      </c>
      <c r="B691" s="5" t="s">
        <v>1842</v>
      </c>
      <c r="C691" s="5" t="s">
        <v>6626</v>
      </c>
      <c r="D691" s="5">
        <v>2.0</v>
      </c>
    </row>
    <row r="692">
      <c r="A692" s="5">
        <v>272.0</v>
      </c>
      <c r="B692" s="5" t="s">
        <v>1842</v>
      </c>
      <c r="C692" s="5" t="s">
        <v>6620</v>
      </c>
      <c r="D692" s="5">
        <v>3.0</v>
      </c>
    </row>
    <row r="693">
      <c r="A693" s="5">
        <v>273.0</v>
      </c>
      <c r="B693" s="5" t="s">
        <v>1849</v>
      </c>
      <c r="C693" s="5" t="s">
        <v>20</v>
      </c>
      <c r="D693" s="5">
        <v>1.0</v>
      </c>
    </row>
    <row r="694">
      <c r="A694" s="5">
        <v>273.0</v>
      </c>
      <c r="B694" s="5" t="s">
        <v>1849</v>
      </c>
      <c r="C694" s="5" t="s">
        <v>6622</v>
      </c>
      <c r="D694" s="5">
        <v>2.0</v>
      </c>
    </row>
    <row r="695">
      <c r="A695" s="5">
        <v>273.0</v>
      </c>
      <c r="B695" s="5" t="s">
        <v>1849</v>
      </c>
      <c r="C695" s="5" t="s">
        <v>6627</v>
      </c>
      <c r="D695" s="5">
        <v>3.0</v>
      </c>
    </row>
    <row r="696">
      <c r="A696" s="5">
        <v>274.0</v>
      </c>
      <c r="B696" s="5" t="s">
        <v>1857</v>
      </c>
      <c r="C696" s="5" t="s">
        <v>6617</v>
      </c>
      <c r="D696" s="5">
        <v>1.0</v>
      </c>
    </row>
    <row r="697">
      <c r="A697" s="5">
        <v>274.0</v>
      </c>
      <c r="B697" s="5" t="s">
        <v>1857</v>
      </c>
      <c r="C697" s="5" t="s">
        <v>20</v>
      </c>
      <c r="D697" s="5">
        <v>2.0</v>
      </c>
    </row>
    <row r="698">
      <c r="A698" s="5">
        <v>275.0</v>
      </c>
      <c r="B698" s="5" t="s">
        <v>1863</v>
      </c>
      <c r="C698" s="5" t="s">
        <v>20</v>
      </c>
      <c r="D698" s="5">
        <v>1.0</v>
      </c>
    </row>
    <row r="699">
      <c r="A699" s="5">
        <v>276.0</v>
      </c>
      <c r="B699" s="5" t="s">
        <v>1870</v>
      </c>
      <c r="C699" s="5" t="s">
        <v>6616</v>
      </c>
      <c r="D699" s="5">
        <v>1.0</v>
      </c>
    </row>
    <row r="700">
      <c r="A700" s="5">
        <v>276.0</v>
      </c>
      <c r="B700" s="5" t="s">
        <v>1870</v>
      </c>
      <c r="C700" s="5" t="s">
        <v>6620</v>
      </c>
      <c r="D700" s="5">
        <v>2.0</v>
      </c>
    </row>
    <row r="701">
      <c r="A701" s="5">
        <v>276.0</v>
      </c>
      <c r="B701" s="5" t="s">
        <v>1870</v>
      </c>
      <c r="C701" s="5" t="s">
        <v>4191</v>
      </c>
      <c r="D701" s="5">
        <v>3.0</v>
      </c>
    </row>
    <row r="702">
      <c r="A702" s="5">
        <v>277.0</v>
      </c>
      <c r="B702" s="5" t="s">
        <v>1876</v>
      </c>
      <c r="C702" s="5" t="s">
        <v>6618</v>
      </c>
      <c r="D702" s="5">
        <v>1.0</v>
      </c>
    </row>
    <row r="703">
      <c r="A703" s="5">
        <v>277.0</v>
      </c>
      <c r="B703" s="5" t="s">
        <v>1876</v>
      </c>
      <c r="C703" s="5" t="s">
        <v>20</v>
      </c>
      <c r="D703" s="5">
        <v>2.0</v>
      </c>
    </row>
    <row r="704">
      <c r="A704" s="5">
        <v>278.0</v>
      </c>
      <c r="B704" s="5" t="s">
        <v>1881</v>
      </c>
      <c r="C704" s="5" t="s">
        <v>602</v>
      </c>
      <c r="D704" s="5">
        <v>1.0</v>
      </c>
    </row>
    <row r="705">
      <c r="A705" s="5">
        <v>279.0</v>
      </c>
      <c r="B705" s="5" t="s">
        <v>1885</v>
      </c>
      <c r="C705" s="5" t="s">
        <v>20</v>
      </c>
      <c r="D705" s="5">
        <v>1.0</v>
      </c>
    </row>
    <row r="706">
      <c r="A706" s="5">
        <v>279.0</v>
      </c>
      <c r="B706" s="5" t="s">
        <v>1885</v>
      </c>
      <c r="C706" s="5" t="s">
        <v>6625</v>
      </c>
      <c r="D706" s="5">
        <v>2.0</v>
      </c>
    </row>
    <row r="707">
      <c r="A707" s="5">
        <v>280.0</v>
      </c>
      <c r="B707" s="5" t="s">
        <v>1890</v>
      </c>
      <c r="C707" s="5" t="s">
        <v>20</v>
      </c>
      <c r="D707" s="5">
        <v>1.0</v>
      </c>
    </row>
    <row r="708">
      <c r="A708" s="5">
        <v>280.0</v>
      </c>
      <c r="B708" s="5" t="s">
        <v>1890</v>
      </c>
      <c r="C708" s="5" t="s">
        <v>6630</v>
      </c>
      <c r="D708" s="5">
        <v>2.0</v>
      </c>
    </row>
    <row r="709">
      <c r="A709" s="5">
        <v>281.0</v>
      </c>
      <c r="B709" s="5" t="s">
        <v>1897</v>
      </c>
      <c r="C709" s="5" t="s">
        <v>20</v>
      </c>
      <c r="D709" s="5">
        <v>1.0</v>
      </c>
    </row>
    <row r="710">
      <c r="A710" s="5">
        <v>282.0</v>
      </c>
      <c r="B710" s="5" t="s">
        <v>1901</v>
      </c>
      <c r="C710" s="5" t="s">
        <v>6617</v>
      </c>
      <c r="D710" s="5">
        <v>1.0</v>
      </c>
    </row>
    <row r="711">
      <c r="A711" s="5">
        <v>282.0</v>
      </c>
      <c r="B711" s="5" t="s">
        <v>1901</v>
      </c>
      <c r="C711" s="5" t="s">
        <v>20</v>
      </c>
      <c r="D711" s="5">
        <v>2.0</v>
      </c>
    </row>
    <row r="712">
      <c r="A712" s="5">
        <v>282.0</v>
      </c>
      <c r="B712" s="5" t="s">
        <v>1901</v>
      </c>
      <c r="C712" s="5" t="s">
        <v>6619</v>
      </c>
      <c r="D712" s="5">
        <v>3.0</v>
      </c>
    </row>
    <row r="713">
      <c r="A713" s="5">
        <v>283.0</v>
      </c>
      <c r="B713" s="5" t="s">
        <v>1907</v>
      </c>
      <c r="C713" s="5" t="s">
        <v>6618</v>
      </c>
      <c r="D713" s="5">
        <v>1.0</v>
      </c>
    </row>
    <row r="714">
      <c r="A714" s="5">
        <v>283.0</v>
      </c>
      <c r="B714" s="5" t="s">
        <v>1907</v>
      </c>
      <c r="C714" s="5" t="s">
        <v>20</v>
      </c>
      <c r="D714" s="5">
        <v>2.0</v>
      </c>
    </row>
    <row r="715">
      <c r="A715" s="5">
        <v>284.0</v>
      </c>
      <c r="B715" s="5" t="s">
        <v>1913</v>
      </c>
      <c r="C715" s="5" t="s">
        <v>20</v>
      </c>
      <c r="D715" s="5">
        <v>1.0</v>
      </c>
    </row>
    <row r="716">
      <c r="A716" s="5">
        <v>284.0</v>
      </c>
      <c r="B716" s="5" t="s">
        <v>1913</v>
      </c>
      <c r="C716" s="5" t="s">
        <v>6626</v>
      </c>
      <c r="D716" s="5">
        <v>2.0</v>
      </c>
    </row>
    <row r="717">
      <c r="A717" s="5">
        <v>284.0</v>
      </c>
      <c r="B717" s="5" t="s">
        <v>1913</v>
      </c>
      <c r="C717" s="5" t="s">
        <v>4191</v>
      </c>
      <c r="D717" s="5">
        <v>3.0</v>
      </c>
    </row>
    <row r="718">
      <c r="A718" s="5">
        <v>285.0</v>
      </c>
      <c r="B718" s="5" t="s">
        <v>1916</v>
      </c>
      <c r="C718" s="5" t="s">
        <v>602</v>
      </c>
      <c r="D718" s="5">
        <v>1.0</v>
      </c>
    </row>
    <row r="719">
      <c r="A719" s="5">
        <v>285.0</v>
      </c>
      <c r="B719" s="5" t="s">
        <v>1916</v>
      </c>
      <c r="C719" s="5" t="s">
        <v>6615</v>
      </c>
      <c r="D719" s="5">
        <v>2.0</v>
      </c>
    </row>
    <row r="720">
      <c r="A720" s="5">
        <v>285.0</v>
      </c>
      <c r="B720" s="5" t="s">
        <v>1916</v>
      </c>
      <c r="C720" s="5" t="s">
        <v>20</v>
      </c>
      <c r="D720" s="5">
        <v>3.0</v>
      </c>
    </row>
    <row r="721">
      <c r="A721" s="5">
        <v>286.0</v>
      </c>
      <c r="B721" s="5" t="s">
        <v>1922</v>
      </c>
      <c r="C721" s="5" t="s">
        <v>20</v>
      </c>
      <c r="D721" s="5">
        <v>1.0</v>
      </c>
    </row>
    <row r="722">
      <c r="A722" s="5">
        <v>287.0</v>
      </c>
      <c r="B722" s="5" t="s">
        <v>1926</v>
      </c>
      <c r="C722" s="5" t="s">
        <v>20</v>
      </c>
      <c r="D722" s="5">
        <v>1.0</v>
      </c>
    </row>
    <row r="723">
      <c r="A723" s="5">
        <v>287.0</v>
      </c>
      <c r="B723" s="5" t="s">
        <v>1926</v>
      </c>
      <c r="C723" s="5" t="s">
        <v>6626</v>
      </c>
      <c r="D723" s="5">
        <v>2.0</v>
      </c>
    </row>
    <row r="724">
      <c r="A724" s="5">
        <v>287.0</v>
      </c>
      <c r="B724" s="5" t="s">
        <v>1926</v>
      </c>
      <c r="C724" s="5" t="s">
        <v>6620</v>
      </c>
      <c r="D724" s="5">
        <v>3.0</v>
      </c>
    </row>
    <row r="725">
      <c r="A725" s="5">
        <v>288.0</v>
      </c>
      <c r="B725" s="5" t="s">
        <v>1932</v>
      </c>
      <c r="C725" s="5" t="s">
        <v>6615</v>
      </c>
      <c r="D725" s="5">
        <v>1.0</v>
      </c>
    </row>
    <row r="726">
      <c r="A726" s="5">
        <v>288.0</v>
      </c>
      <c r="B726" s="5" t="s">
        <v>1932</v>
      </c>
      <c r="C726" s="5" t="s">
        <v>20</v>
      </c>
      <c r="D726" s="5">
        <v>2.0</v>
      </c>
    </row>
    <row r="727">
      <c r="A727" s="5">
        <v>288.0</v>
      </c>
      <c r="B727" s="5" t="s">
        <v>1932</v>
      </c>
      <c r="C727" s="5" t="s">
        <v>6626</v>
      </c>
      <c r="D727" s="5">
        <v>3.0</v>
      </c>
    </row>
    <row r="728">
      <c r="A728" s="5">
        <v>289.0</v>
      </c>
      <c r="B728" s="5" t="s">
        <v>1940</v>
      </c>
      <c r="C728" s="5" t="s">
        <v>6615</v>
      </c>
      <c r="D728" s="5">
        <v>1.0</v>
      </c>
    </row>
    <row r="729">
      <c r="A729" s="5">
        <v>289.0</v>
      </c>
      <c r="B729" s="5" t="s">
        <v>1940</v>
      </c>
      <c r="C729" s="5" t="s">
        <v>20</v>
      </c>
      <c r="D729" s="5">
        <v>2.0</v>
      </c>
    </row>
    <row r="730">
      <c r="A730" s="5">
        <v>290.0</v>
      </c>
      <c r="B730" s="5" t="s">
        <v>1946</v>
      </c>
      <c r="C730" s="5" t="s">
        <v>20</v>
      </c>
      <c r="D730" s="5">
        <v>1.0</v>
      </c>
    </row>
    <row r="731">
      <c r="A731" s="5">
        <v>290.0</v>
      </c>
      <c r="B731" s="5" t="s">
        <v>1946</v>
      </c>
      <c r="C731" s="5" t="s">
        <v>4191</v>
      </c>
      <c r="D731" s="5">
        <v>2.0</v>
      </c>
    </row>
    <row r="732">
      <c r="A732" s="5">
        <v>291.0</v>
      </c>
      <c r="B732" s="5" t="s">
        <v>1950</v>
      </c>
      <c r="C732" s="5" t="s">
        <v>6618</v>
      </c>
      <c r="D732" s="5">
        <v>1.0</v>
      </c>
    </row>
    <row r="733">
      <c r="A733" s="5">
        <v>291.0</v>
      </c>
      <c r="B733" s="5" t="s">
        <v>1950</v>
      </c>
      <c r="C733" s="5" t="s">
        <v>20</v>
      </c>
      <c r="D733" s="5">
        <v>2.0</v>
      </c>
    </row>
    <row r="734">
      <c r="A734" s="5">
        <v>291.0</v>
      </c>
      <c r="B734" s="5" t="s">
        <v>1950</v>
      </c>
      <c r="C734" s="5" t="s">
        <v>6619</v>
      </c>
      <c r="D734" s="5">
        <v>3.0</v>
      </c>
    </row>
    <row r="735">
      <c r="A735" s="5">
        <v>292.0</v>
      </c>
      <c r="B735" s="5" t="s">
        <v>1955</v>
      </c>
      <c r="C735" s="5" t="s">
        <v>20</v>
      </c>
      <c r="D735" s="5">
        <v>1.0</v>
      </c>
    </row>
    <row r="736">
      <c r="A736" s="5">
        <v>292.0</v>
      </c>
      <c r="B736" s="5" t="s">
        <v>1955</v>
      </c>
      <c r="C736" s="5" t="s">
        <v>6625</v>
      </c>
      <c r="D736" s="5">
        <v>2.0</v>
      </c>
    </row>
    <row r="737">
      <c r="A737" s="5">
        <v>293.0</v>
      </c>
      <c r="B737" s="5" t="s">
        <v>1962</v>
      </c>
      <c r="C737" s="5" t="s">
        <v>20</v>
      </c>
      <c r="D737" s="5">
        <v>1.0</v>
      </c>
    </row>
    <row r="738">
      <c r="A738" s="5">
        <v>293.0</v>
      </c>
      <c r="B738" s="5" t="s">
        <v>1962</v>
      </c>
      <c r="C738" s="5" t="s">
        <v>6622</v>
      </c>
      <c r="D738" s="5">
        <v>2.0</v>
      </c>
    </row>
    <row r="739">
      <c r="A739" s="5">
        <v>294.0</v>
      </c>
      <c r="B739" s="5" t="s">
        <v>1971</v>
      </c>
      <c r="C739" s="5" t="s">
        <v>20</v>
      </c>
      <c r="D739" s="5">
        <v>1.0</v>
      </c>
    </row>
    <row r="740">
      <c r="A740" s="5">
        <v>294.0</v>
      </c>
      <c r="B740" s="5" t="s">
        <v>1971</v>
      </c>
      <c r="C740" s="5" t="s">
        <v>2696</v>
      </c>
      <c r="D740" s="5">
        <v>2.0</v>
      </c>
    </row>
    <row r="741">
      <c r="A741" s="5">
        <v>294.0</v>
      </c>
      <c r="B741" s="5" t="s">
        <v>1971</v>
      </c>
      <c r="C741" s="5" t="s">
        <v>4191</v>
      </c>
      <c r="D741" s="5">
        <v>3.0</v>
      </c>
    </row>
    <row r="742">
      <c r="A742" s="5">
        <v>295.0</v>
      </c>
      <c r="B742" s="5" t="s">
        <v>1978</v>
      </c>
      <c r="C742" s="5" t="s">
        <v>6616</v>
      </c>
      <c r="D742" s="5">
        <v>1.0</v>
      </c>
    </row>
    <row r="743">
      <c r="A743" s="5">
        <v>295.0</v>
      </c>
      <c r="B743" s="5" t="s">
        <v>1978</v>
      </c>
      <c r="C743" s="5" t="s">
        <v>602</v>
      </c>
      <c r="D743" s="5">
        <v>2.0</v>
      </c>
    </row>
    <row r="744">
      <c r="A744" s="5">
        <v>295.0</v>
      </c>
      <c r="B744" s="5" t="s">
        <v>1978</v>
      </c>
      <c r="C744" s="5" t="s">
        <v>6615</v>
      </c>
      <c r="D744" s="5">
        <v>3.0</v>
      </c>
    </row>
    <row r="745">
      <c r="A745" s="5">
        <v>296.0</v>
      </c>
      <c r="B745" s="5" t="s">
        <v>1982</v>
      </c>
      <c r="C745" s="5" t="s">
        <v>20</v>
      </c>
      <c r="D745" s="5">
        <v>1.0</v>
      </c>
    </row>
    <row r="746">
      <c r="A746" s="5">
        <v>296.0</v>
      </c>
      <c r="B746" s="5" t="s">
        <v>1982</v>
      </c>
      <c r="C746" s="5" t="s">
        <v>116</v>
      </c>
      <c r="D746" s="5">
        <v>2.0</v>
      </c>
    </row>
    <row r="747">
      <c r="A747" s="5">
        <v>297.0</v>
      </c>
      <c r="B747" s="5" t="s">
        <v>1987</v>
      </c>
      <c r="C747" s="5" t="s">
        <v>20</v>
      </c>
      <c r="D747" s="5">
        <v>1.0</v>
      </c>
    </row>
    <row r="748">
      <c r="A748" s="5">
        <v>297.0</v>
      </c>
      <c r="B748" s="5" t="s">
        <v>1987</v>
      </c>
      <c r="C748" s="5" t="s">
        <v>6625</v>
      </c>
      <c r="D748" s="5">
        <v>2.0</v>
      </c>
    </row>
    <row r="749">
      <c r="A749" s="5">
        <v>298.0</v>
      </c>
      <c r="B749" s="5" t="s">
        <v>1993</v>
      </c>
      <c r="C749" s="5" t="s">
        <v>20</v>
      </c>
      <c r="D749" s="5">
        <v>1.0</v>
      </c>
    </row>
    <row r="750">
      <c r="A750" s="5">
        <v>299.0</v>
      </c>
      <c r="B750" s="5" t="s">
        <v>1998</v>
      </c>
      <c r="C750" s="5" t="s">
        <v>6618</v>
      </c>
      <c r="D750" s="5">
        <v>1.0</v>
      </c>
    </row>
    <row r="751">
      <c r="A751" s="5">
        <v>299.0</v>
      </c>
      <c r="B751" s="5" t="s">
        <v>1998</v>
      </c>
      <c r="C751" s="5" t="s">
        <v>20</v>
      </c>
      <c r="D751" s="5">
        <v>2.0</v>
      </c>
    </row>
    <row r="752">
      <c r="A752" s="5">
        <v>299.0</v>
      </c>
      <c r="B752" s="5" t="s">
        <v>1998</v>
      </c>
      <c r="C752" s="5" t="s">
        <v>6619</v>
      </c>
      <c r="D752" s="5">
        <v>3.0</v>
      </c>
    </row>
    <row r="753">
      <c r="A753" s="5">
        <v>300.0</v>
      </c>
      <c r="B753" s="5" t="s">
        <v>2002</v>
      </c>
      <c r="C753" s="5" t="s">
        <v>6615</v>
      </c>
      <c r="D753" s="5">
        <v>1.0</v>
      </c>
    </row>
    <row r="754">
      <c r="A754" s="5">
        <v>300.0</v>
      </c>
      <c r="B754" s="5" t="s">
        <v>2002</v>
      </c>
      <c r="C754" s="5" t="s">
        <v>20</v>
      </c>
      <c r="D754" s="5">
        <v>2.0</v>
      </c>
    </row>
    <row r="755">
      <c r="A755" s="5">
        <v>301.0</v>
      </c>
      <c r="B755" s="5" t="s">
        <v>2009</v>
      </c>
      <c r="C755" s="5" t="s">
        <v>6617</v>
      </c>
      <c r="D755" s="5">
        <v>1.0</v>
      </c>
    </row>
    <row r="756">
      <c r="A756" s="5">
        <v>301.0</v>
      </c>
      <c r="B756" s="5" t="s">
        <v>2009</v>
      </c>
      <c r="C756" s="5" t="s">
        <v>20</v>
      </c>
      <c r="D756" s="5">
        <v>2.0</v>
      </c>
    </row>
    <row r="757">
      <c r="A757" s="5">
        <v>301.0</v>
      </c>
      <c r="B757" s="5" t="s">
        <v>2009</v>
      </c>
      <c r="C757" s="5" t="s">
        <v>6619</v>
      </c>
      <c r="D757" s="5">
        <v>3.0</v>
      </c>
    </row>
    <row r="758">
      <c r="A758" s="5">
        <v>302.0</v>
      </c>
      <c r="B758" s="5" t="s">
        <v>2016</v>
      </c>
      <c r="C758" s="5" t="s">
        <v>6617</v>
      </c>
      <c r="D758" s="5">
        <v>1.0</v>
      </c>
    </row>
    <row r="759">
      <c r="A759" s="5">
        <v>302.0</v>
      </c>
      <c r="B759" s="5" t="s">
        <v>2016</v>
      </c>
      <c r="C759" s="5" t="s">
        <v>20</v>
      </c>
      <c r="D759" s="5">
        <v>2.0</v>
      </c>
    </row>
    <row r="760">
      <c r="A760" s="5">
        <v>303.0</v>
      </c>
      <c r="B760" s="5" t="s">
        <v>2021</v>
      </c>
      <c r="C760" s="5" t="s">
        <v>20</v>
      </c>
      <c r="D760" s="5">
        <v>1.0</v>
      </c>
    </row>
    <row r="761">
      <c r="A761" s="5">
        <v>304.0</v>
      </c>
      <c r="B761" s="5" t="s">
        <v>2027</v>
      </c>
      <c r="C761" s="5" t="s">
        <v>20</v>
      </c>
      <c r="D761" s="5">
        <v>1.0</v>
      </c>
    </row>
    <row r="762">
      <c r="A762" s="5">
        <v>304.0</v>
      </c>
      <c r="B762" s="5" t="s">
        <v>2027</v>
      </c>
      <c r="C762" s="5" t="s">
        <v>6619</v>
      </c>
      <c r="D762" s="5">
        <v>2.0</v>
      </c>
    </row>
    <row r="763">
      <c r="A763" s="5">
        <v>305.0</v>
      </c>
      <c r="B763" s="5" t="s">
        <v>2031</v>
      </c>
      <c r="C763" s="5" t="s">
        <v>6617</v>
      </c>
      <c r="D763" s="5">
        <v>1.0</v>
      </c>
    </row>
    <row r="764">
      <c r="A764" s="5">
        <v>305.0</v>
      </c>
      <c r="B764" s="5" t="s">
        <v>2031</v>
      </c>
      <c r="C764" s="5" t="s">
        <v>20</v>
      </c>
      <c r="D764" s="5">
        <v>2.0</v>
      </c>
    </row>
    <row r="765">
      <c r="A765" s="5">
        <v>305.0</v>
      </c>
      <c r="B765" s="5" t="s">
        <v>2031</v>
      </c>
      <c r="C765" s="5" t="s">
        <v>6625</v>
      </c>
      <c r="D765" s="5">
        <v>3.0</v>
      </c>
    </row>
    <row r="766">
      <c r="A766" s="5">
        <v>306.0</v>
      </c>
      <c r="B766" s="5" t="s">
        <v>2034</v>
      </c>
      <c r="C766" s="5" t="s">
        <v>6615</v>
      </c>
      <c r="D766" s="5">
        <v>1.0</v>
      </c>
    </row>
    <row r="767">
      <c r="A767" s="5">
        <v>306.0</v>
      </c>
      <c r="B767" s="5" t="s">
        <v>2034</v>
      </c>
      <c r="C767" s="5" t="s">
        <v>20</v>
      </c>
      <c r="D767" s="5">
        <v>2.0</v>
      </c>
    </row>
    <row r="768">
      <c r="A768" s="5">
        <v>306.0</v>
      </c>
      <c r="B768" s="5" t="s">
        <v>2034</v>
      </c>
      <c r="C768" s="5" t="s">
        <v>4191</v>
      </c>
      <c r="D768" s="5">
        <v>3.0</v>
      </c>
    </row>
    <row r="769">
      <c r="A769" s="5">
        <v>307.0</v>
      </c>
      <c r="B769" s="5" t="s">
        <v>2039</v>
      </c>
      <c r="C769" s="5" t="s">
        <v>6617</v>
      </c>
      <c r="D769" s="5">
        <v>1.0</v>
      </c>
    </row>
    <row r="770">
      <c r="A770" s="5">
        <v>307.0</v>
      </c>
      <c r="B770" s="5" t="s">
        <v>2039</v>
      </c>
      <c r="C770" s="5" t="s">
        <v>20</v>
      </c>
      <c r="D770" s="5">
        <v>2.0</v>
      </c>
    </row>
    <row r="771">
      <c r="A771" s="5">
        <v>307.0</v>
      </c>
      <c r="B771" s="5" t="s">
        <v>2039</v>
      </c>
      <c r="C771" s="5" t="s">
        <v>4191</v>
      </c>
      <c r="D771" s="5">
        <v>3.0</v>
      </c>
    </row>
    <row r="772">
      <c r="A772" s="5">
        <v>308.0</v>
      </c>
      <c r="B772" s="5" t="s">
        <v>2046</v>
      </c>
      <c r="C772" s="5" t="s">
        <v>20</v>
      </c>
      <c r="D772" s="5">
        <v>1.0</v>
      </c>
    </row>
    <row r="773">
      <c r="A773" s="5">
        <v>308.0</v>
      </c>
      <c r="B773" s="5" t="s">
        <v>2046</v>
      </c>
      <c r="C773" s="5" t="s">
        <v>6629</v>
      </c>
      <c r="D773" s="5">
        <v>2.0</v>
      </c>
    </row>
    <row r="774">
      <c r="A774" s="5">
        <v>309.0</v>
      </c>
      <c r="B774" s="5" t="s">
        <v>2052</v>
      </c>
      <c r="C774" s="5" t="s">
        <v>6616</v>
      </c>
      <c r="D774" s="5">
        <v>1.0</v>
      </c>
    </row>
    <row r="775">
      <c r="A775" s="5">
        <v>309.0</v>
      </c>
      <c r="B775" s="5" t="s">
        <v>2052</v>
      </c>
      <c r="C775" s="5" t="s">
        <v>6615</v>
      </c>
      <c r="D775" s="5">
        <v>2.0</v>
      </c>
    </row>
    <row r="776">
      <c r="A776" s="5">
        <v>309.0</v>
      </c>
      <c r="B776" s="5" t="s">
        <v>2052</v>
      </c>
      <c r="C776" s="5" t="s">
        <v>20</v>
      </c>
      <c r="D776" s="5">
        <v>3.0</v>
      </c>
    </row>
    <row r="777">
      <c r="A777" s="5">
        <v>310.0</v>
      </c>
      <c r="B777" s="5" t="s">
        <v>2059</v>
      </c>
      <c r="C777" s="5" t="s">
        <v>6629</v>
      </c>
      <c r="D777" s="5">
        <v>1.0</v>
      </c>
    </row>
    <row r="778">
      <c r="A778" s="5">
        <v>310.0</v>
      </c>
      <c r="B778" s="5" t="s">
        <v>2059</v>
      </c>
      <c r="C778" s="5" t="s">
        <v>6626</v>
      </c>
      <c r="D778" s="5">
        <v>2.0</v>
      </c>
    </row>
    <row r="779">
      <c r="A779" s="5">
        <v>310.0</v>
      </c>
      <c r="B779" s="5" t="s">
        <v>2059</v>
      </c>
      <c r="C779" s="5" t="s">
        <v>4191</v>
      </c>
      <c r="D779" s="5">
        <v>3.0</v>
      </c>
    </row>
    <row r="780">
      <c r="A780" s="5">
        <v>311.0</v>
      </c>
      <c r="B780" s="5" t="s">
        <v>2065</v>
      </c>
      <c r="C780" s="5" t="s">
        <v>20</v>
      </c>
      <c r="D780" s="5">
        <v>1.0</v>
      </c>
    </row>
    <row r="781">
      <c r="A781" s="5">
        <v>311.0</v>
      </c>
      <c r="B781" s="5" t="s">
        <v>2065</v>
      </c>
      <c r="C781" s="5" t="s">
        <v>6627</v>
      </c>
      <c r="D781" s="5">
        <v>2.0</v>
      </c>
    </row>
    <row r="782">
      <c r="A782" s="5">
        <v>311.0</v>
      </c>
      <c r="B782" s="5" t="s">
        <v>2065</v>
      </c>
      <c r="C782" s="5" t="s">
        <v>6621</v>
      </c>
      <c r="D782" s="5">
        <v>3.0</v>
      </c>
    </row>
    <row r="783">
      <c r="A783" s="5">
        <v>312.0</v>
      </c>
      <c r="B783" s="5" t="s">
        <v>2073</v>
      </c>
      <c r="C783" s="5" t="s">
        <v>602</v>
      </c>
      <c r="D783" s="5">
        <v>1.0</v>
      </c>
    </row>
    <row r="784">
      <c r="A784" s="5">
        <v>312.0</v>
      </c>
      <c r="B784" s="5" t="s">
        <v>2073</v>
      </c>
      <c r="C784" s="5" t="s">
        <v>20</v>
      </c>
      <c r="D784" s="5">
        <v>2.0</v>
      </c>
    </row>
    <row r="785">
      <c r="A785" s="5">
        <v>312.0</v>
      </c>
      <c r="B785" s="5" t="s">
        <v>2073</v>
      </c>
      <c r="C785" s="5" t="s">
        <v>6621</v>
      </c>
      <c r="D785" s="5">
        <v>3.0</v>
      </c>
    </row>
    <row r="786">
      <c r="A786" s="5">
        <v>313.0</v>
      </c>
      <c r="B786" s="5" t="s">
        <v>2079</v>
      </c>
      <c r="C786" s="5" t="s">
        <v>20</v>
      </c>
      <c r="D786" s="5">
        <v>1.0</v>
      </c>
    </row>
    <row r="787">
      <c r="A787" s="5">
        <v>313.0</v>
      </c>
      <c r="B787" s="5" t="s">
        <v>2079</v>
      </c>
      <c r="C787" s="5" t="s">
        <v>6626</v>
      </c>
      <c r="D787" s="5">
        <v>2.0</v>
      </c>
    </row>
    <row r="788">
      <c r="A788" s="5">
        <v>313.0</v>
      </c>
      <c r="B788" s="5" t="s">
        <v>2079</v>
      </c>
      <c r="C788" s="5" t="s">
        <v>6621</v>
      </c>
      <c r="D788" s="5">
        <v>3.0</v>
      </c>
    </row>
    <row r="789">
      <c r="A789" s="5">
        <v>314.0</v>
      </c>
      <c r="B789" s="5" t="s">
        <v>2084</v>
      </c>
      <c r="C789" s="5" t="s">
        <v>602</v>
      </c>
      <c r="D789" s="5">
        <v>1.0</v>
      </c>
    </row>
    <row r="790">
      <c r="A790" s="5">
        <v>314.0</v>
      </c>
      <c r="B790" s="5" t="s">
        <v>2084</v>
      </c>
      <c r="C790" s="5" t="s">
        <v>20</v>
      </c>
      <c r="D790" s="5">
        <v>2.0</v>
      </c>
    </row>
    <row r="791">
      <c r="A791" s="5">
        <v>315.0</v>
      </c>
      <c r="B791" s="5" t="s">
        <v>2088</v>
      </c>
      <c r="C791" s="5" t="s">
        <v>20</v>
      </c>
      <c r="D791" s="5">
        <v>1.0</v>
      </c>
    </row>
    <row r="792">
      <c r="A792" s="5">
        <v>315.0</v>
      </c>
      <c r="B792" s="5" t="s">
        <v>2088</v>
      </c>
      <c r="C792" s="5" t="s">
        <v>6619</v>
      </c>
      <c r="D792" s="5">
        <v>2.0</v>
      </c>
    </row>
    <row r="793">
      <c r="A793" s="5">
        <v>315.0</v>
      </c>
      <c r="B793" s="5" t="s">
        <v>2088</v>
      </c>
      <c r="C793" s="5" t="s">
        <v>6621</v>
      </c>
      <c r="D793" s="5">
        <v>3.0</v>
      </c>
    </row>
    <row r="794">
      <c r="A794" s="5">
        <v>316.0</v>
      </c>
      <c r="B794" s="5" t="s">
        <v>2096</v>
      </c>
      <c r="C794" s="5" t="s">
        <v>20</v>
      </c>
      <c r="D794" s="5">
        <v>1.0</v>
      </c>
    </row>
    <row r="795">
      <c r="A795" s="5">
        <v>316.0</v>
      </c>
      <c r="B795" s="5" t="s">
        <v>2096</v>
      </c>
      <c r="C795" s="5" t="s">
        <v>6625</v>
      </c>
      <c r="D795" s="5">
        <v>2.0</v>
      </c>
    </row>
    <row r="796">
      <c r="A796" s="5">
        <v>317.0</v>
      </c>
      <c r="B796" s="5" t="s">
        <v>2103</v>
      </c>
      <c r="C796" s="5" t="s">
        <v>602</v>
      </c>
      <c r="D796" s="5">
        <v>1.0</v>
      </c>
    </row>
    <row r="797">
      <c r="A797" s="5">
        <v>317.0</v>
      </c>
      <c r="B797" s="5" t="s">
        <v>2103</v>
      </c>
      <c r="C797" s="5" t="s">
        <v>6621</v>
      </c>
      <c r="D797" s="5">
        <v>2.0</v>
      </c>
    </row>
    <row r="798">
      <c r="A798" s="5">
        <v>318.0</v>
      </c>
      <c r="B798" s="5" t="s">
        <v>2108</v>
      </c>
      <c r="C798" s="5" t="s">
        <v>6618</v>
      </c>
      <c r="D798" s="5">
        <v>1.0</v>
      </c>
    </row>
    <row r="799">
      <c r="A799" s="5">
        <v>318.0</v>
      </c>
      <c r="B799" s="5" t="s">
        <v>2108</v>
      </c>
      <c r="C799" s="5" t="s">
        <v>20</v>
      </c>
      <c r="D799" s="5">
        <v>2.0</v>
      </c>
    </row>
    <row r="800">
      <c r="A800" s="5">
        <v>318.0</v>
      </c>
      <c r="B800" s="5" t="s">
        <v>2108</v>
      </c>
      <c r="C800" s="5" t="s">
        <v>6619</v>
      </c>
      <c r="D800" s="5">
        <v>3.0</v>
      </c>
    </row>
    <row r="801">
      <c r="A801" s="5">
        <v>319.0</v>
      </c>
      <c r="B801" s="5" t="s">
        <v>2115</v>
      </c>
      <c r="C801" s="5" t="s">
        <v>602</v>
      </c>
      <c r="D801" s="5">
        <v>1.0</v>
      </c>
    </row>
    <row r="802">
      <c r="A802" s="5">
        <v>319.0</v>
      </c>
      <c r="B802" s="5" t="s">
        <v>2115</v>
      </c>
      <c r="C802" s="5" t="s">
        <v>6621</v>
      </c>
      <c r="D802" s="5">
        <v>2.0</v>
      </c>
    </row>
    <row r="803">
      <c r="A803" s="5">
        <v>320.0</v>
      </c>
      <c r="B803" s="5" t="s">
        <v>2122</v>
      </c>
      <c r="C803" s="5" t="s">
        <v>20</v>
      </c>
      <c r="D803" s="5">
        <v>1.0</v>
      </c>
    </row>
    <row r="804">
      <c r="A804" s="5">
        <v>320.0</v>
      </c>
      <c r="B804" s="5" t="s">
        <v>2122</v>
      </c>
      <c r="C804" s="5" t="s">
        <v>6621</v>
      </c>
      <c r="D804" s="5">
        <v>2.0</v>
      </c>
    </row>
    <row r="805">
      <c r="A805" s="5">
        <v>321.0</v>
      </c>
      <c r="B805" s="5" t="s">
        <v>2130</v>
      </c>
      <c r="C805" s="5" t="s">
        <v>6616</v>
      </c>
      <c r="D805" s="5">
        <v>1.0</v>
      </c>
    </row>
    <row r="806">
      <c r="A806" s="5">
        <v>321.0</v>
      </c>
      <c r="B806" s="5" t="s">
        <v>2130</v>
      </c>
      <c r="C806" s="5" t="s">
        <v>6617</v>
      </c>
      <c r="D806" s="5">
        <v>2.0</v>
      </c>
    </row>
    <row r="807">
      <c r="A807" s="5">
        <v>321.0</v>
      </c>
      <c r="B807" s="5" t="s">
        <v>2130</v>
      </c>
      <c r="C807" s="5" t="s">
        <v>602</v>
      </c>
      <c r="D807" s="5">
        <v>3.0</v>
      </c>
    </row>
    <row r="808">
      <c r="A808" s="5">
        <v>322.0</v>
      </c>
      <c r="B808" s="5" t="s">
        <v>2136</v>
      </c>
      <c r="C808" s="5" t="s">
        <v>6622</v>
      </c>
      <c r="D808" s="5">
        <v>1.0</v>
      </c>
    </row>
    <row r="809">
      <c r="A809" s="5">
        <v>322.0</v>
      </c>
      <c r="B809" s="5" t="s">
        <v>2136</v>
      </c>
      <c r="C809" s="5" t="s">
        <v>2696</v>
      </c>
      <c r="D809" s="5">
        <v>2.0</v>
      </c>
    </row>
    <row r="810">
      <c r="A810" s="5">
        <v>322.0</v>
      </c>
      <c r="B810" s="5" t="s">
        <v>2136</v>
      </c>
      <c r="C810" s="5" t="s">
        <v>6626</v>
      </c>
      <c r="D810" s="5">
        <v>3.0</v>
      </c>
    </row>
    <row r="811">
      <c r="A811" s="5">
        <v>323.0</v>
      </c>
      <c r="B811" s="5" t="s">
        <v>2145</v>
      </c>
      <c r="C811" s="5" t="s">
        <v>602</v>
      </c>
      <c r="D811" s="5">
        <v>1.0</v>
      </c>
    </row>
    <row r="812">
      <c r="A812" s="5">
        <v>323.0</v>
      </c>
      <c r="B812" s="5" t="s">
        <v>2145</v>
      </c>
      <c r="C812" s="5" t="s">
        <v>20</v>
      </c>
      <c r="D812" s="5">
        <v>2.0</v>
      </c>
    </row>
    <row r="813">
      <c r="A813" s="5">
        <v>324.0</v>
      </c>
      <c r="B813" s="5" t="s">
        <v>2150</v>
      </c>
      <c r="C813" s="5" t="s">
        <v>6617</v>
      </c>
      <c r="D813" s="5">
        <v>1.0</v>
      </c>
    </row>
    <row r="814">
      <c r="A814" s="5">
        <v>324.0</v>
      </c>
      <c r="B814" s="5" t="s">
        <v>2150</v>
      </c>
      <c r="C814" s="5" t="s">
        <v>6618</v>
      </c>
      <c r="D814" s="5">
        <v>2.0</v>
      </c>
    </row>
    <row r="815">
      <c r="A815" s="5">
        <v>324.0</v>
      </c>
      <c r="B815" s="5" t="s">
        <v>2150</v>
      </c>
      <c r="C815" s="5" t="s">
        <v>20</v>
      </c>
      <c r="D815" s="5">
        <v>3.0</v>
      </c>
    </row>
    <row r="816">
      <c r="A816" s="5">
        <v>325.0</v>
      </c>
      <c r="B816" s="5" t="s">
        <v>2156</v>
      </c>
      <c r="C816" s="5" t="s">
        <v>20</v>
      </c>
      <c r="D816" s="5">
        <v>1.0</v>
      </c>
    </row>
    <row r="817">
      <c r="A817" s="5">
        <v>325.0</v>
      </c>
      <c r="B817" s="5" t="s">
        <v>2156</v>
      </c>
      <c r="C817" s="5" t="s">
        <v>6619</v>
      </c>
      <c r="D817" s="5">
        <v>2.0</v>
      </c>
    </row>
    <row r="818">
      <c r="A818" s="5">
        <v>326.0</v>
      </c>
      <c r="B818" s="5" t="s">
        <v>2162</v>
      </c>
      <c r="C818" s="5" t="s">
        <v>6616</v>
      </c>
      <c r="D818" s="5">
        <v>1.0</v>
      </c>
    </row>
    <row r="819">
      <c r="A819" s="5">
        <v>326.0</v>
      </c>
      <c r="B819" s="5" t="s">
        <v>2162</v>
      </c>
      <c r="C819" s="5" t="s">
        <v>6617</v>
      </c>
      <c r="D819" s="5">
        <v>2.0</v>
      </c>
    </row>
    <row r="820">
      <c r="A820" s="5">
        <v>326.0</v>
      </c>
      <c r="B820" s="5" t="s">
        <v>2162</v>
      </c>
      <c r="C820" s="5" t="s">
        <v>602</v>
      </c>
      <c r="D820" s="5">
        <v>3.0</v>
      </c>
    </row>
    <row r="821">
      <c r="A821" s="5">
        <v>327.0</v>
      </c>
      <c r="B821" s="5" t="s">
        <v>2167</v>
      </c>
      <c r="C821" s="5" t="s">
        <v>6616</v>
      </c>
      <c r="D821" s="5">
        <v>1.0</v>
      </c>
    </row>
    <row r="822">
      <c r="A822" s="5">
        <v>327.0</v>
      </c>
      <c r="B822" s="5" t="s">
        <v>2167</v>
      </c>
      <c r="C822" s="5" t="s">
        <v>6615</v>
      </c>
      <c r="D822" s="5">
        <v>2.0</v>
      </c>
    </row>
    <row r="823">
      <c r="A823" s="5">
        <v>327.0</v>
      </c>
      <c r="B823" s="5" t="s">
        <v>2167</v>
      </c>
      <c r="C823" s="5" t="s">
        <v>4191</v>
      </c>
      <c r="D823" s="5">
        <v>3.0</v>
      </c>
    </row>
    <row r="824">
      <c r="A824" s="5">
        <v>328.0</v>
      </c>
      <c r="B824" s="5" t="s">
        <v>2172</v>
      </c>
      <c r="C824" s="5" t="s">
        <v>602</v>
      </c>
      <c r="D824" s="5">
        <v>1.0</v>
      </c>
    </row>
    <row r="825">
      <c r="A825" s="5">
        <v>328.0</v>
      </c>
      <c r="B825" s="5" t="s">
        <v>2172</v>
      </c>
      <c r="C825" s="5" t="s">
        <v>20</v>
      </c>
      <c r="D825" s="5">
        <v>2.0</v>
      </c>
    </row>
    <row r="826">
      <c r="A826" s="5">
        <v>328.0</v>
      </c>
      <c r="B826" s="5" t="s">
        <v>2172</v>
      </c>
      <c r="C826" s="5" t="s">
        <v>6627</v>
      </c>
      <c r="D826" s="5">
        <v>3.0</v>
      </c>
    </row>
    <row r="827">
      <c r="A827" s="5">
        <v>329.0</v>
      </c>
      <c r="B827" s="5" t="s">
        <v>2178</v>
      </c>
      <c r="C827" s="5" t="s">
        <v>6618</v>
      </c>
      <c r="D827" s="5">
        <v>1.0</v>
      </c>
    </row>
    <row r="828">
      <c r="A828" s="5">
        <v>329.0</v>
      </c>
      <c r="B828" s="5" t="s">
        <v>2178</v>
      </c>
      <c r="C828" s="5" t="s">
        <v>20</v>
      </c>
      <c r="D828" s="5">
        <v>2.0</v>
      </c>
    </row>
    <row r="829">
      <c r="A829" s="5">
        <v>330.0</v>
      </c>
      <c r="B829" s="5" t="s">
        <v>2185</v>
      </c>
      <c r="C829" s="5" t="s">
        <v>6617</v>
      </c>
      <c r="D829" s="5">
        <v>1.0</v>
      </c>
    </row>
    <row r="830">
      <c r="A830" s="5">
        <v>330.0</v>
      </c>
      <c r="B830" s="5" t="s">
        <v>2185</v>
      </c>
      <c r="C830" s="5" t="s">
        <v>20</v>
      </c>
      <c r="D830" s="5">
        <v>2.0</v>
      </c>
    </row>
    <row r="831">
      <c r="A831" s="5">
        <v>330.0</v>
      </c>
      <c r="B831" s="5" t="s">
        <v>2185</v>
      </c>
      <c r="C831" s="5" t="s">
        <v>6620</v>
      </c>
      <c r="D831" s="5">
        <v>3.0</v>
      </c>
    </row>
    <row r="832">
      <c r="A832" s="5">
        <v>331.0</v>
      </c>
      <c r="B832" s="5" t="s">
        <v>2189</v>
      </c>
      <c r="C832" s="5" t="s">
        <v>6623</v>
      </c>
      <c r="D832" s="5">
        <v>1.0</v>
      </c>
    </row>
    <row r="833">
      <c r="A833" s="5">
        <v>331.0</v>
      </c>
      <c r="B833" s="5" t="s">
        <v>2189</v>
      </c>
      <c r="C833" s="5" t="s">
        <v>6617</v>
      </c>
      <c r="D833" s="5">
        <v>2.0</v>
      </c>
    </row>
    <row r="834">
      <c r="A834" s="5">
        <v>331.0</v>
      </c>
      <c r="B834" s="5" t="s">
        <v>2189</v>
      </c>
      <c r="C834" s="5" t="s">
        <v>602</v>
      </c>
      <c r="D834" s="5">
        <v>3.0</v>
      </c>
    </row>
    <row r="835">
      <c r="A835" s="5">
        <v>332.0</v>
      </c>
      <c r="B835" s="5" t="s">
        <v>2196</v>
      </c>
      <c r="C835" s="5" t="s">
        <v>6616</v>
      </c>
      <c r="D835" s="5">
        <v>1.0</v>
      </c>
    </row>
    <row r="836">
      <c r="A836" s="5">
        <v>332.0</v>
      </c>
      <c r="B836" s="5" t="s">
        <v>2196</v>
      </c>
      <c r="C836" s="5" t="s">
        <v>20</v>
      </c>
      <c r="D836" s="5">
        <v>2.0</v>
      </c>
    </row>
    <row r="837">
      <c r="A837" s="5">
        <v>333.0</v>
      </c>
      <c r="B837" s="5" t="s">
        <v>2200</v>
      </c>
      <c r="C837" s="5" t="s">
        <v>6623</v>
      </c>
      <c r="D837" s="5">
        <v>1.0</v>
      </c>
    </row>
    <row r="838">
      <c r="A838" s="5">
        <v>333.0</v>
      </c>
      <c r="B838" s="5" t="s">
        <v>2200</v>
      </c>
      <c r="C838" s="5" t="s">
        <v>6617</v>
      </c>
      <c r="D838" s="5">
        <v>2.0</v>
      </c>
    </row>
    <row r="839">
      <c r="A839" s="5">
        <v>333.0</v>
      </c>
      <c r="B839" s="5" t="s">
        <v>2200</v>
      </c>
      <c r="C839" s="5" t="s">
        <v>20</v>
      </c>
      <c r="D839" s="5">
        <v>3.0</v>
      </c>
    </row>
    <row r="840">
      <c r="A840" s="5">
        <v>334.0</v>
      </c>
      <c r="B840" s="5" t="s">
        <v>2205</v>
      </c>
      <c r="C840" s="5" t="s">
        <v>20</v>
      </c>
      <c r="D840" s="5">
        <v>1.0</v>
      </c>
    </row>
    <row r="841">
      <c r="A841" s="5">
        <v>334.0</v>
      </c>
      <c r="B841" s="5" t="s">
        <v>2205</v>
      </c>
      <c r="C841" s="5" t="s">
        <v>6624</v>
      </c>
      <c r="D841" s="5">
        <v>2.0</v>
      </c>
    </row>
    <row r="842">
      <c r="A842" s="5">
        <v>335.0</v>
      </c>
      <c r="B842" s="5" t="s">
        <v>2211</v>
      </c>
      <c r="C842" s="5" t="s">
        <v>20</v>
      </c>
      <c r="D842" s="5">
        <v>1.0</v>
      </c>
    </row>
    <row r="843">
      <c r="A843" s="5">
        <v>335.0</v>
      </c>
      <c r="B843" s="5" t="s">
        <v>2211</v>
      </c>
      <c r="C843" s="5" t="s">
        <v>6627</v>
      </c>
      <c r="D843" s="5">
        <v>2.0</v>
      </c>
    </row>
    <row r="844">
      <c r="A844" s="5">
        <v>335.0</v>
      </c>
      <c r="B844" s="5" t="s">
        <v>2211</v>
      </c>
      <c r="C844" s="5" t="s">
        <v>6621</v>
      </c>
      <c r="D844" s="5">
        <v>3.0</v>
      </c>
    </row>
    <row r="845">
      <c r="A845" s="5">
        <v>336.0</v>
      </c>
      <c r="B845" s="5" t="s">
        <v>2217</v>
      </c>
      <c r="C845" s="5" t="s">
        <v>6615</v>
      </c>
      <c r="D845" s="5">
        <v>1.0</v>
      </c>
    </row>
    <row r="846">
      <c r="A846" s="5">
        <v>336.0</v>
      </c>
      <c r="B846" s="5" t="s">
        <v>2217</v>
      </c>
      <c r="C846" s="5" t="s">
        <v>20</v>
      </c>
      <c r="D846" s="5">
        <v>2.0</v>
      </c>
    </row>
    <row r="847">
      <c r="A847" s="5">
        <v>336.0</v>
      </c>
      <c r="B847" s="5" t="s">
        <v>2217</v>
      </c>
      <c r="C847" s="5" t="s">
        <v>4191</v>
      </c>
      <c r="D847" s="5">
        <v>3.0</v>
      </c>
    </row>
    <row r="848">
      <c r="A848" s="5">
        <v>337.0</v>
      </c>
      <c r="B848" s="5" t="s">
        <v>2219</v>
      </c>
      <c r="C848" s="5" t="s">
        <v>20</v>
      </c>
      <c r="D848" s="5">
        <v>1.0</v>
      </c>
    </row>
    <row r="849">
      <c r="A849" s="5">
        <v>338.0</v>
      </c>
      <c r="B849" s="5" t="s">
        <v>2225</v>
      </c>
      <c r="C849" s="5" t="s">
        <v>6616</v>
      </c>
      <c r="D849" s="5">
        <v>1.0</v>
      </c>
    </row>
    <row r="850">
      <c r="A850" s="5">
        <v>338.0</v>
      </c>
      <c r="B850" s="5" t="s">
        <v>2225</v>
      </c>
      <c r="C850" s="5" t="s">
        <v>6615</v>
      </c>
      <c r="D850" s="5">
        <v>2.0</v>
      </c>
    </row>
    <row r="851">
      <c r="A851" s="5">
        <v>338.0</v>
      </c>
      <c r="B851" s="5" t="s">
        <v>2225</v>
      </c>
      <c r="C851" s="5" t="s">
        <v>4191</v>
      </c>
      <c r="D851" s="5">
        <v>3.0</v>
      </c>
    </row>
    <row r="852">
      <c r="A852" s="5">
        <v>339.0</v>
      </c>
      <c r="B852" s="5" t="s">
        <v>2232</v>
      </c>
      <c r="C852" s="5" t="s">
        <v>6618</v>
      </c>
      <c r="D852" s="5">
        <v>1.0</v>
      </c>
    </row>
    <row r="853">
      <c r="A853" s="5">
        <v>339.0</v>
      </c>
      <c r="B853" s="5" t="s">
        <v>2232</v>
      </c>
      <c r="C853" s="5" t="s">
        <v>20</v>
      </c>
      <c r="D853" s="5">
        <v>2.0</v>
      </c>
    </row>
    <row r="854">
      <c r="A854" s="5">
        <v>339.0</v>
      </c>
      <c r="B854" s="5" t="s">
        <v>2232</v>
      </c>
      <c r="C854" s="5" t="s">
        <v>4191</v>
      </c>
      <c r="D854" s="5">
        <v>3.0</v>
      </c>
    </row>
    <row r="855">
      <c r="A855" s="5">
        <v>340.0</v>
      </c>
      <c r="B855" s="5" t="s">
        <v>2240</v>
      </c>
      <c r="C855" s="5" t="s">
        <v>6616</v>
      </c>
      <c r="D855" s="5">
        <v>1.0</v>
      </c>
    </row>
    <row r="856">
      <c r="A856" s="5">
        <v>340.0</v>
      </c>
      <c r="B856" s="5" t="s">
        <v>2240</v>
      </c>
      <c r="C856" s="5" t="s">
        <v>6617</v>
      </c>
      <c r="D856" s="5">
        <v>2.0</v>
      </c>
    </row>
    <row r="857">
      <c r="A857" s="5">
        <v>340.0</v>
      </c>
      <c r="B857" s="5" t="s">
        <v>2240</v>
      </c>
      <c r="C857" s="5" t="s">
        <v>602</v>
      </c>
      <c r="D857" s="5">
        <v>3.0</v>
      </c>
    </row>
    <row r="858">
      <c r="A858" s="5">
        <v>341.0</v>
      </c>
      <c r="B858" s="5" t="s">
        <v>2247</v>
      </c>
      <c r="C858" s="5" t="s">
        <v>6616</v>
      </c>
      <c r="D858" s="5">
        <v>1.0</v>
      </c>
    </row>
    <row r="859">
      <c r="A859" s="5">
        <v>341.0</v>
      </c>
      <c r="B859" s="5" t="s">
        <v>2247</v>
      </c>
      <c r="C859" s="5" t="s">
        <v>20</v>
      </c>
      <c r="D859" s="5">
        <v>2.0</v>
      </c>
    </row>
    <row r="860">
      <c r="A860" s="5">
        <v>341.0</v>
      </c>
      <c r="B860" s="5" t="s">
        <v>2247</v>
      </c>
      <c r="C860" s="5" t="s">
        <v>6626</v>
      </c>
      <c r="D860" s="5">
        <v>3.0</v>
      </c>
    </row>
    <row r="861">
      <c r="A861" s="5">
        <v>342.0</v>
      </c>
      <c r="B861" s="5" t="s">
        <v>2251</v>
      </c>
      <c r="C861" s="5" t="s">
        <v>20</v>
      </c>
      <c r="D861" s="5">
        <v>1.0</v>
      </c>
    </row>
    <row r="862">
      <c r="A862" s="5">
        <v>342.0</v>
      </c>
      <c r="B862" s="5" t="s">
        <v>2251</v>
      </c>
      <c r="C862" s="5" t="s">
        <v>6621</v>
      </c>
      <c r="D862" s="5">
        <v>2.0</v>
      </c>
    </row>
    <row r="863">
      <c r="A863" s="5">
        <v>342.0</v>
      </c>
      <c r="B863" s="5" t="s">
        <v>2251</v>
      </c>
      <c r="C863" s="5" t="s">
        <v>6620</v>
      </c>
      <c r="D863" s="5">
        <v>3.0</v>
      </c>
    </row>
    <row r="864">
      <c r="A864" s="5">
        <v>343.0</v>
      </c>
      <c r="B864" s="5" t="s">
        <v>2255</v>
      </c>
      <c r="C864" s="5" t="s">
        <v>6618</v>
      </c>
      <c r="D864" s="5">
        <v>1.0</v>
      </c>
    </row>
    <row r="865">
      <c r="A865" s="5">
        <v>343.0</v>
      </c>
      <c r="B865" s="5" t="s">
        <v>2255</v>
      </c>
      <c r="C865" s="5" t="s">
        <v>20</v>
      </c>
      <c r="D865" s="5">
        <v>2.0</v>
      </c>
    </row>
    <row r="866">
      <c r="A866" s="5">
        <v>343.0</v>
      </c>
      <c r="B866" s="5" t="s">
        <v>2255</v>
      </c>
      <c r="C866" s="5" t="s">
        <v>6627</v>
      </c>
      <c r="D866" s="5">
        <v>3.0</v>
      </c>
    </row>
    <row r="867">
      <c r="A867" s="5">
        <v>344.0</v>
      </c>
      <c r="B867" s="5" t="s">
        <v>2261</v>
      </c>
      <c r="C867" s="5" t="s">
        <v>6616</v>
      </c>
      <c r="D867" s="5">
        <v>1.0</v>
      </c>
    </row>
    <row r="868">
      <c r="A868" s="5">
        <v>344.0</v>
      </c>
      <c r="B868" s="5" t="s">
        <v>2261</v>
      </c>
      <c r="C868" s="5" t="s">
        <v>6617</v>
      </c>
      <c r="D868" s="5">
        <v>2.0</v>
      </c>
    </row>
    <row r="869">
      <c r="A869" s="5">
        <v>344.0</v>
      </c>
      <c r="B869" s="5" t="s">
        <v>2261</v>
      </c>
      <c r="C869" s="5" t="s">
        <v>20</v>
      </c>
      <c r="D869" s="5">
        <v>3.0</v>
      </c>
    </row>
    <row r="870">
      <c r="A870" s="5">
        <v>345.0</v>
      </c>
      <c r="B870" s="5" t="s">
        <v>2265</v>
      </c>
      <c r="C870" s="5" t="s">
        <v>20</v>
      </c>
      <c r="D870" s="5">
        <v>1.0</v>
      </c>
    </row>
    <row r="871">
      <c r="A871" s="5">
        <v>345.0</v>
      </c>
      <c r="B871" s="5" t="s">
        <v>2265</v>
      </c>
      <c r="C871" s="5" t="s">
        <v>6621</v>
      </c>
      <c r="D871" s="5">
        <v>2.0</v>
      </c>
    </row>
    <row r="872">
      <c r="A872" s="5">
        <v>346.0</v>
      </c>
      <c r="B872" s="5" t="s">
        <v>2270</v>
      </c>
      <c r="C872" s="5" t="s">
        <v>6616</v>
      </c>
      <c r="D872" s="5">
        <v>1.0</v>
      </c>
    </row>
    <row r="873">
      <c r="A873" s="5">
        <v>346.0</v>
      </c>
      <c r="B873" s="5" t="s">
        <v>2270</v>
      </c>
      <c r="C873" s="5" t="s">
        <v>6615</v>
      </c>
      <c r="D873" s="5">
        <v>2.0</v>
      </c>
    </row>
    <row r="874">
      <c r="A874" s="5">
        <v>346.0</v>
      </c>
      <c r="B874" s="5" t="s">
        <v>2270</v>
      </c>
      <c r="C874" s="5" t="s">
        <v>20</v>
      </c>
      <c r="D874" s="5">
        <v>3.0</v>
      </c>
    </row>
    <row r="875">
      <c r="A875" s="5">
        <v>347.0</v>
      </c>
      <c r="B875" s="5" t="s">
        <v>2277</v>
      </c>
      <c r="C875" s="5" t="s">
        <v>6618</v>
      </c>
      <c r="D875" s="5">
        <v>1.0</v>
      </c>
    </row>
    <row r="876">
      <c r="A876" s="5">
        <v>347.0</v>
      </c>
      <c r="B876" s="5" t="s">
        <v>2277</v>
      </c>
      <c r="C876" s="5" t="s">
        <v>20</v>
      </c>
      <c r="D876" s="5">
        <v>2.0</v>
      </c>
    </row>
    <row r="877">
      <c r="A877" s="5">
        <v>347.0</v>
      </c>
      <c r="B877" s="5" t="s">
        <v>2277</v>
      </c>
      <c r="C877" s="5" t="s">
        <v>6619</v>
      </c>
      <c r="D877" s="5">
        <v>3.0</v>
      </c>
    </row>
    <row r="878">
      <c r="A878" s="5">
        <v>348.0</v>
      </c>
      <c r="B878" s="5" t="s">
        <v>2283</v>
      </c>
      <c r="C878" s="5" t="s">
        <v>20</v>
      </c>
      <c r="D878" s="5">
        <v>1.0</v>
      </c>
    </row>
    <row r="879">
      <c r="A879" s="5">
        <v>349.0</v>
      </c>
      <c r="B879" s="5" t="s">
        <v>2288</v>
      </c>
      <c r="C879" s="5" t="s">
        <v>6616</v>
      </c>
      <c r="D879" s="5">
        <v>1.0</v>
      </c>
    </row>
    <row r="880">
      <c r="A880" s="5">
        <v>349.0</v>
      </c>
      <c r="B880" s="5" t="s">
        <v>2288</v>
      </c>
      <c r="C880" s="5" t="s">
        <v>6617</v>
      </c>
      <c r="D880" s="5">
        <v>2.0</v>
      </c>
    </row>
    <row r="881">
      <c r="A881" s="5">
        <v>349.0</v>
      </c>
      <c r="B881" s="5" t="s">
        <v>2288</v>
      </c>
      <c r="C881" s="5" t="s">
        <v>602</v>
      </c>
      <c r="D881" s="5">
        <v>3.0</v>
      </c>
    </row>
    <row r="882">
      <c r="A882" s="5">
        <v>350.0</v>
      </c>
      <c r="B882" s="5" t="s">
        <v>2295</v>
      </c>
      <c r="C882" s="5" t="s">
        <v>20</v>
      </c>
      <c r="D882" s="5">
        <v>1.0</v>
      </c>
    </row>
    <row r="883">
      <c r="A883" s="5">
        <v>350.0</v>
      </c>
      <c r="B883" s="5" t="s">
        <v>2295</v>
      </c>
      <c r="C883" s="5" t="s">
        <v>6626</v>
      </c>
      <c r="D883" s="5">
        <v>2.0</v>
      </c>
    </row>
    <row r="884">
      <c r="A884" s="5">
        <v>351.0</v>
      </c>
      <c r="B884" s="5" t="s">
        <v>2301</v>
      </c>
      <c r="C884" s="5" t="s">
        <v>20</v>
      </c>
      <c r="D884" s="5">
        <v>1.0</v>
      </c>
    </row>
    <row r="885">
      <c r="A885" s="5">
        <v>351.0</v>
      </c>
      <c r="B885" s="5" t="s">
        <v>2301</v>
      </c>
      <c r="C885" s="5" t="s">
        <v>6621</v>
      </c>
      <c r="D885" s="5">
        <v>2.0</v>
      </c>
    </row>
    <row r="886">
      <c r="A886" s="5">
        <v>352.0</v>
      </c>
      <c r="B886" s="5" t="s">
        <v>2306</v>
      </c>
      <c r="C886" s="5" t="s">
        <v>6616</v>
      </c>
      <c r="D886" s="5">
        <v>1.0</v>
      </c>
    </row>
    <row r="887">
      <c r="A887" s="5">
        <v>352.0</v>
      </c>
      <c r="B887" s="5" t="s">
        <v>2306</v>
      </c>
      <c r="C887" s="5" t="s">
        <v>6618</v>
      </c>
      <c r="D887" s="5">
        <v>2.0</v>
      </c>
    </row>
    <row r="888">
      <c r="A888" s="5">
        <v>352.0</v>
      </c>
      <c r="B888" s="5" t="s">
        <v>2306</v>
      </c>
      <c r="C888" s="5" t="s">
        <v>20</v>
      </c>
      <c r="D888" s="5">
        <v>3.0</v>
      </c>
    </row>
    <row r="889">
      <c r="A889" s="5">
        <v>353.0</v>
      </c>
      <c r="B889" s="5" t="s">
        <v>2313</v>
      </c>
      <c r="C889" s="5" t="s">
        <v>20</v>
      </c>
      <c r="D889" s="5">
        <v>1.0</v>
      </c>
    </row>
    <row r="890">
      <c r="A890" s="5">
        <v>354.0</v>
      </c>
      <c r="B890" s="5" t="s">
        <v>2318</v>
      </c>
      <c r="C890" s="5" t="s">
        <v>6616</v>
      </c>
      <c r="D890" s="5">
        <v>1.0</v>
      </c>
    </row>
    <row r="891">
      <c r="A891" s="5">
        <v>354.0</v>
      </c>
      <c r="B891" s="5" t="s">
        <v>2318</v>
      </c>
      <c r="C891" s="5" t="s">
        <v>20</v>
      </c>
      <c r="D891" s="5">
        <v>2.0</v>
      </c>
    </row>
    <row r="892">
      <c r="A892" s="5">
        <v>354.0</v>
      </c>
      <c r="B892" s="5" t="s">
        <v>2318</v>
      </c>
      <c r="C892" s="5" t="s">
        <v>4191</v>
      </c>
      <c r="D892" s="5">
        <v>3.0</v>
      </c>
    </row>
    <row r="893">
      <c r="A893" s="5">
        <v>355.0</v>
      </c>
      <c r="B893" s="5" t="s">
        <v>2324</v>
      </c>
      <c r="C893" s="5" t="s">
        <v>20</v>
      </c>
      <c r="D893" s="5">
        <v>1.0</v>
      </c>
    </row>
    <row r="894">
      <c r="A894" s="5">
        <v>355.0</v>
      </c>
      <c r="B894" s="5" t="s">
        <v>2324</v>
      </c>
      <c r="C894" s="5" t="s">
        <v>6621</v>
      </c>
      <c r="D894" s="5">
        <v>2.0</v>
      </c>
    </row>
    <row r="895">
      <c r="A895" s="5">
        <v>356.0</v>
      </c>
      <c r="B895" s="5" t="s">
        <v>2328</v>
      </c>
      <c r="C895" s="5" t="s">
        <v>20</v>
      </c>
      <c r="D895" s="5">
        <v>1.0</v>
      </c>
    </row>
    <row r="896">
      <c r="A896" s="5">
        <v>356.0</v>
      </c>
      <c r="B896" s="5" t="s">
        <v>2328</v>
      </c>
      <c r="C896" s="5" t="s">
        <v>4191</v>
      </c>
      <c r="D896" s="5">
        <v>2.0</v>
      </c>
    </row>
    <row r="897">
      <c r="A897" s="5">
        <v>357.0</v>
      </c>
      <c r="B897" s="5" t="s">
        <v>2332</v>
      </c>
      <c r="C897" s="5" t="s">
        <v>6616</v>
      </c>
      <c r="D897" s="5">
        <v>1.0</v>
      </c>
    </row>
    <row r="898">
      <c r="A898" s="5">
        <v>357.0</v>
      </c>
      <c r="B898" s="5" t="s">
        <v>2332</v>
      </c>
      <c r="C898" s="5" t="s">
        <v>6615</v>
      </c>
      <c r="D898" s="5">
        <v>2.0</v>
      </c>
    </row>
    <row r="899">
      <c r="A899" s="5">
        <v>357.0</v>
      </c>
      <c r="B899" s="5" t="s">
        <v>2332</v>
      </c>
      <c r="C899" s="5" t="s">
        <v>20</v>
      </c>
      <c r="D899" s="5">
        <v>3.0</v>
      </c>
    </row>
    <row r="900">
      <c r="A900" s="5">
        <v>358.0</v>
      </c>
      <c r="B900" s="5" t="s">
        <v>2336</v>
      </c>
      <c r="C900" s="5" t="s">
        <v>6616</v>
      </c>
      <c r="D900" s="5">
        <v>1.0</v>
      </c>
    </row>
    <row r="901">
      <c r="A901" s="5">
        <v>358.0</v>
      </c>
      <c r="B901" s="5" t="s">
        <v>2336</v>
      </c>
      <c r="C901" s="5" t="s">
        <v>6617</v>
      </c>
      <c r="D901" s="5">
        <v>2.0</v>
      </c>
    </row>
    <row r="902">
      <c r="A902" s="5">
        <v>358.0</v>
      </c>
      <c r="B902" s="5" t="s">
        <v>2336</v>
      </c>
      <c r="C902" s="5" t="s">
        <v>6620</v>
      </c>
      <c r="D902" s="5">
        <v>3.0</v>
      </c>
    </row>
    <row r="903">
      <c r="A903" s="5">
        <v>359.0</v>
      </c>
      <c r="B903" s="5" t="s">
        <v>2340</v>
      </c>
      <c r="C903" s="5" t="s">
        <v>6623</v>
      </c>
      <c r="D903" s="5">
        <v>1.0</v>
      </c>
    </row>
    <row r="904">
      <c r="A904" s="5">
        <v>359.0</v>
      </c>
      <c r="B904" s="5" t="s">
        <v>2340</v>
      </c>
      <c r="C904" s="5" t="s">
        <v>6618</v>
      </c>
      <c r="D904" s="5">
        <v>2.0</v>
      </c>
    </row>
    <row r="905">
      <c r="A905" s="5">
        <v>359.0</v>
      </c>
      <c r="B905" s="5" t="s">
        <v>2340</v>
      </c>
      <c r="C905" s="5" t="s">
        <v>20</v>
      </c>
      <c r="D905" s="5">
        <v>3.0</v>
      </c>
    </row>
    <row r="906">
      <c r="A906" s="5">
        <v>360.0</v>
      </c>
      <c r="B906" s="5" t="s">
        <v>2348</v>
      </c>
      <c r="C906" s="5" t="s">
        <v>6618</v>
      </c>
      <c r="D906" s="5">
        <v>1.0</v>
      </c>
    </row>
    <row r="907">
      <c r="A907" s="5">
        <v>360.0</v>
      </c>
      <c r="B907" s="5" t="s">
        <v>2348</v>
      </c>
      <c r="C907" s="5" t="s">
        <v>20</v>
      </c>
      <c r="D907" s="5">
        <v>2.0</v>
      </c>
    </row>
    <row r="908">
      <c r="A908" s="5">
        <v>361.0</v>
      </c>
      <c r="B908" s="5" t="s">
        <v>2353</v>
      </c>
      <c r="C908" s="5" t="s">
        <v>6618</v>
      </c>
      <c r="D908" s="5">
        <v>1.0</v>
      </c>
    </row>
    <row r="909">
      <c r="A909" s="5">
        <v>361.0</v>
      </c>
      <c r="B909" s="5" t="s">
        <v>2353</v>
      </c>
      <c r="C909" s="5" t="s">
        <v>20</v>
      </c>
      <c r="D909" s="5">
        <v>2.0</v>
      </c>
    </row>
    <row r="910">
      <c r="A910" s="5">
        <v>362.0</v>
      </c>
      <c r="B910" s="5" t="s">
        <v>2360</v>
      </c>
      <c r="C910" s="5" t="s">
        <v>6617</v>
      </c>
      <c r="D910" s="5">
        <v>1.0</v>
      </c>
    </row>
    <row r="911">
      <c r="A911" s="5">
        <v>362.0</v>
      </c>
      <c r="B911" s="5" t="s">
        <v>2360</v>
      </c>
      <c r="C911" s="5" t="s">
        <v>20</v>
      </c>
      <c r="D911" s="5">
        <v>2.0</v>
      </c>
    </row>
    <row r="912">
      <c r="A912" s="5">
        <v>362.0</v>
      </c>
      <c r="B912" s="5" t="s">
        <v>2360</v>
      </c>
      <c r="C912" s="5" t="s">
        <v>4191</v>
      </c>
      <c r="D912" s="5">
        <v>3.0</v>
      </c>
    </row>
    <row r="913">
      <c r="A913" s="5">
        <v>363.0</v>
      </c>
      <c r="B913" s="5" t="s">
        <v>2365</v>
      </c>
      <c r="C913" s="5" t="s">
        <v>6616</v>
      </c>
      <c r="D913" s="5">
        <v>1.0</v>
      </c>
    </row>
    <row r="914">
      <c r="A914" s="5">
        <v>363.0</v>
      </c>
      <c r="B914" s="5" t="s">
        <v>2365</v>
      </c>
      <c r="C914" s="5" t="s">
        <v>6626</v>
      </c>
      <c r="D914" s="5">
        <v>2.0</v>
      </c>
    </row>
    <row r="915">
      <c r="A915" s="5">
        <v>363.0</v>
      </c>
      <c r="B915" s="5" t="s">
        <v>2365</v>
      </c>
      <c r="C915" s="5" t="s">
        <v>4191</v>
      </c>
      <c r="D915" s="5">
        <v>3.0</v>
      </c>
    </row>
    <row r="916">
      <c r="A916" s="5">
        <v>364.0</v>
      </c>
      <c r="B916" s="5" t="s">
        <v>2371</v>
      </c>
      <c r="C916" s="5" t="s">
        <v>6615</v>
      </c>
      <c r="D916" s="5">
        <v>1.0</v>
      </c>
    </row>
    <row r="917">
      <c r="A917" s="5">
        <v>364.0</v>
      </c>
      <c r="B917" s="5" t="s">
        <v>2371</v>
      </c>
      <c r="C917" s="5" t="s">
        <v>20</v>
      </c>
      <c r="D917" s="5">
        <v>2.0</v>
      </c>
    </row>
    <row r="918">
      <c r="A918" s="5">
        <v>364.0</v>
      </c>
      <c r="B918" s="5" t="s">
        <v>2371</v>
      </c>
      <c r="C918" s="5" t="s">
        <v>6621</v>
      </c>
      <c r="D918" s="5">
        <v>3.0</v>
      </c>
    </row>
    <row r="919">
      <c r="A919" s="5">
        <v>365.0</v>
      </c>
      <c r="B919" s="5" t="s">
        <v>2379</v>
      </c>
      <c r="C919" s="5" t="s">
        <v>6615</v>
      </c>
      <c r="D919" s="5">
        <v>1.0</v>
      </c>
    </row>
    <row r="920">
      <c r="A920" s="5">
        <v>365.0</v>
      </c>
      <c r="B920" s="5" t="s">
        <v>2379</v>
      </c>
      <c r="C920" s="5" t="s">
        <v>4191</v>
      </c>
      <c r="D920" s="5">
        <v>2.0</v>
      </c>
    </row>
    <row r="921">
      <c r="A921" s="5">
        <v>366.0</v>
      </c>
      <c r="B921" s="5" t="s">
        <v>2385</v>
      </c>
      <c r="C921" s="5" t="s">
        <v>6618</v>
      </c>
      <c r="D921" s="5">
        <v>1.0</v>
      </c>
    </row>
    <row r="922">
      <c r="A922" s="5">
        <v>366.0</v>
      </c>
      <c r="B922" s="5" t="s">
        <v>2385</v>
      </c>
      <c r="C922" s="5" t="s">
        <v>20</v>
      </c>
      <c r="D922" s="5">
        <v>2.0</v>
      </c>
    </row>
    <row r="923">
      <c r="A923" s="5">
        <v>367.0</v>
      </c>
      <c r="B923" s="5" t="s">
        <v>2391</v>
      </c>
      <c r="C923" s="5" t="s">
        <v>6617</v>
      </c>
      <c r="D923" s="5">
        <v>1.0</v>
      </c>
    </row>
    <row r="924">
      <c r="A924" s="5">
        <v>367.0</v>
      </c>
      <c r="B924" s="5" t="s">
        <v>2391</v>
      </c>
      <c r="C924" s="5" t="s">
        <v>602</v>
      </c>
      <c r="D924" s="5">
        <v>2.0</v>
      </c>
    </row>
    <row r="925">
      <c r="A925" s="5">
        <v>367.0</v>
      </c>
      <c r="B925" s="5" t="s">
        <v>2391</v>
      </c>
      <c r="C925" s="5" t="s">
        <v>6620</v>
      </c>
      <c r="D925" s="5">
        <v>3.0</v>
      </c>
    </row>
    <row r="926">
      <c r="A926" s="5">
        <v>368.0</v>
      </c>
      <c r="B926" s="5" t="s">
        <v>2398</v>
      </c>
      <c r="C926" s="5" t="s">
        <v>6623</v>
      </c>
      <c r="D926" s="5">
        <v>1.0</v>
      </c>
    </row>
    <row r="927">
      <c r="A927" s="5">
        <v>368.0</v>
      </c>
      <c r="B927" s="5" t="s">
        <v>2398</v>
      </c>
      <c r="C927" s="5" t="s">
        <v>6617</v>
      </c>
      <c r="D927" s="5">
        <v>2.0</v>
      </c>
    </row>
    <row r="928">
      <c r="A928" s="5">
        <v>368.0</v>
      </c>
      <c r="B928" s="5" t="s">
        <v>2398</v>
      </c>
      <c r="C928" s="5" t="s">
        <v>602</v>
      </c>
      <c r="D928" s="5">
        <v>3.0</v>
      </c>
    </row>
    <row r="929">
      <c r="A929" s="5">
        <v>369.0</v>
      </c>
      <c r="B929" s="5" t="s">
        <v>2405</v>
      </c>
      <c r="C929" s="5" t="s">
        <v>6616</v>
      </c>
      <c r="D929" s="5">
        <v>1.0</v>
      </c>
    </row>
    <row r="930">
      <c r="A930" s="5">
        <v>369.0</v>
      </c>
      <c r="B930" s="5" t="s">
        <v>2405</v>
      </c>
      <c r="C930" s="5" t="s">
        <v>6617</v>
      </c>
      <c r="D930" s="5">
        <v>2.0</v>
      </c>
    </row>
    <row r="931">
      <c r="A931" s="5">
        <v>369.0</v>
      </c>
      <c r="B931" s="5" t="s">
        <v>2405</v>
      </c>
      <c r="C931" s="5" t="s">
        <v>4191</v>
      </c>
      <c r="D931" s="5">
        <v>3.0</v>
      </c>
    </row>
    <row r="932">
      <c r="A932" s="5">
        <v>370.0</v>
      </c>
      <c r="B932" s="5" t="s">
        <v>2413</v>
      </c>
      <c r="C932" s="5" t="s">
        <v>6616</v>
      </c>
      <c r="D932" s="5">
        <v>1.0</v>
      </c>
    </row>
    <row r="933">
      <c r="A933" s="5">
        <v>370.0</v>
      </c>
      <c r="B933" s="5" t="s">
        <v>2413</v>
      </c>
      <c r="C933" s="5" t="s">
        <v>6615</v>
      </c>
      <c r="D933" s="5">
        <v>2.0</v>
      </c>
    </row>
    <row r="934">
      <c r="A934" s="5">
        <v>370.0</v>
      </c>
      <c r="B934" s="5" t="s">
        <v>2413</v>
      </c>
      <c r="C934" s="5" t="s">
        <v>4191</v>
      </c>
      <c r="D934" s="5">
        <v>3.0</v>
      </c>
    </row>
    <row r="935">
      <c r="A935" s="5">
        <v>371.0</v>
      </c>
      <c r="B935" s="5" t="s">
        <v>2415</v>
      </c>
      <c r="C935" s="5" t="s">
        <v>20</v>
      </c>
      <c r="D935" s="5">
        <v>1.0</v>
      </c>
    </row>
    <row r="936">
      <c r="A936" s="5">
        <v>372.0</v>
      </c>
      <c r="B936" s="5" t="s">
        <v>2422</v>
      </c>
      <c r="C936" s="5" t="s">
        <v>20</v>
      </c>
      <c r="D936" s="5">
        <v>1.0</v>
      </c>
    </row>
    <row r="937">
      <c r="A937" s="5">
        <v>372.0</v>
      </c>
      <c r="B937" s="5" t="s">
        <v>2422</v>
      </c>
      <c r="C937" s="5" t="s">
        <v>6621</v>
      </c>
      <c r="D937" s="5">
        <v>2.0</v>
      </c>
    </row>
    <row r="938">
      <c r="A938" s="5">
        <v>373.0</v>
      </c>
      <c r="B938" s="5" t="s">
        <v>2427</v>
      </c>
      <c r="C938" s="5" t="s">
        <v>6618</v>
      </c>
      <c r="D938" s="5">
        <v>1.0</v>
      </c>
    </row>
    <row r="939">
      <c r="A939" s="5">
        <v>373.0</v>
      </c>
      <c r="B939" s="5" t="s">
        <v>2427</v>
      </c>
      <c r="C939" s="5" t="s">
        <v>20</v>
      </c>
      <c r="D939" s="5">
        <v>2.0</v>
      </c>
    </row>
    <row r="940">
      <c r="A940" s="5">
        <v>374.0</v>
      </c>
      <c r="B940" s="5" t="s">
        <v>2433</v>
      </c>
      <c r="C940" s="5" t="s">
        <v>6618</v>
      </c>
      <c r="D940" s="5">
        <v>1.0</v>
      </c>
    </row>
    <row r="941">
      <c r="A941" s="5">
        <v>374.0</v>
      </c>
      <c r="B941" s="5" t="s">
        <v>2433</v>
      </c>
      <c r="C941" s="5" t="s">
        <v>20</v>
      </c>
      <c r="D941" s="5">
        <v>2.0</v>
      </c>
    </row>
    <row r="942">
      <c r="A942" s="5">
        <v>374.0</v>
      </c>
      <c r="B942" s="5" t="s">
        <v>2433</v>
      </c>
      <c r="C942" s="5" t="s">
        <v>6619</v>
      </c>
      <c r="D942" s="5">
        <v>3.0</v>
      </c>
    </row>
    <row r="943">
      <c r="A943" s="5">
        <v>375.0</v>
      </c>
      <c r="B943" s="5" t="s">
        <v>2438</v>
      </c>
      <c r="C943" s="5" t="s">
        <v>602</v>
      </c>
      <c r="D943" s="5">
        <v>1.0</v>
      </c>
    </row>
    <row r="944">
      <c r="A944" s="5">
        <v>375.0</v>
      </c>
      <c r="B944" s="5" t="s">
        <v>2438</v>
      </c>
      <c r="C944" s="5" t="s">
        <v>20</v>
      </c>
      <c r="D944" s="5">
        <v>2.0</v>
      </c>
    </row>
    <row r="945">
      <c r="A945" s="5">
        <v>375.0</v>
      </c>
      <c r="B945" s="5" t="s">
        <v>2438</v>
      </c>
      <c r="C945" s="5" t="s">
        <v>6628</v>
      </c>
      <c r="D945" s="5">
        <v>3.0</v>
      </c>
    </row>
    <row r="946">
      <c r="A946" s="5">
        <v>376.0</v>
      </c>
      <c r="B946" s="5" t="s">
        <v>2442</v>
      </c>
      <c r="C946" s="5" t="s">
        <v>6616</v>
      </c>
      <c r="D946" s="5">
        <v>1.0</v>
      </c>
    </row>
    <row r="947">
      <c r="A947" s="5">
        <v>376.0</v>
      </c>
      <c r="B947" s="5" t="s">
        <v>2442</v>
      </c>
      <c r="C947" s="5" t="s">
        <v>6615</v>
      </c>
      <c r="D947" s="5">
        <v>2.0</v>
      </c>
    </row>
    <row r="948">
      <c r="A948" s="5">
        <v>376.0</v>
      </c>
      <c r="B948" s="5" t="s">
        <v>2442</v>
      </c>
      <c r="C948" s="5" t="s">
        <v>20</v>
      </c>
      <c r="D948" s="5">
        <v>3.0</v>
      </c>
    </row>
    <row r="949">
      <c r="A949" s="5">
        <v>377.0</v>
      </c>
      <c r="B949" s="5" t="s">
        <v>2448</v>
      </c>
      <c r="C949" s="5" t="s">
        <v>6616</v>
      </c>
      <c r="D949" s="5">
        <v>1.0</v>
      </c>
    </row>
    <row r="950">
      <c r="A950" s="5">
        <v>377.0</v>
      </c>
      <c r="B950" s="5" t="s">
        <v>2448</v>
      </c>
      <c r="C950" s="5" t="s">
        <v>6617</v>
      </c>
      <c r="D950" s="5">
        <v>2.0</v>
      </c>
    </row>
    <row r="951">
      <c r="A951" s="5">
        <v>377.0</v>
      </c>
      <c r="B951" s="5" t="s">
        <v>2448</v>
      </c>
      <c r="C951" s="5" t="s">
        <v>6622</v>
      </c>
      <c r="D951" s="5">
        <v>3.0</v>
      </c>
    </row>
    <row r="952">
      <c r="A952" s="5">
        <v>378.0</v>
      </c>
      <c r="B952" s="5" t="s">
        <v>2452</v>
      </c>
      <c r="C952" s="5" t="s">
        <v>6617</v>
      </c>
      <c r="D952" s="5">
        <v>1.0</v>
      </c>
    </row>
    <row r="953">
      <c r="A953" s="5">
        <v>378.0</v>
      </c>
      <c r="B953" s="5" t="s">
        <v>2452</v>
      </c>
      <c r="C953" s="5" t="s">
        <v>20</v>
      </c>
      <c r="D953" s="5">
        <v>2.0</v>
      </c>
    </row>
    <row r="954">
      <c r="A954" s="5">
        <v>378.0</v>
      </c>
      <c r="B954" s="5" t="s">
        <v>2452</v>
      </c>
      <c r="C954" s="5" t="s">
        <v>6622</v>
      </c>
      <c r="D954" s="5">
        <v>3.0</v>
      </c>
    </row>
    <row r="955">
      <c r="A955" s="5">
        <v>379.0</v>
      </c>
      <c r="B955" s="5" t="s">
        <v>2457</v>
      </c>
      <c r="C955" s="5" t="s">
        <v>6623</v>
      </c>
      <c r="D955" s="5">
        <v>1.0</v>
      </c>
    </row>
    <row r="956">
      <c r="A956" s="5">
        <v>379.0</v>
      </c>
      <c r="B956" s="5" t="s">
        <v>2457</v>
      </c>
      <c r="C956" s="5" t="s">
        <v>6616</v>
      </c>
      <c r="D956" s="5">
        <v>2.0</v>
      </c>
    </row>
    <row r="957">
      <c r="A957" s="5">
        <v>379.0</v>
      </c>
      <c r="B957" s="5" t="s">
        <v>2457</v>
      </c>
      <c r="C957" s="5" t="s">
        <v>6617</v>
      </c>
      <c r="D957" s="5">
        <v>3.0</v>
      </c>
    </row>
    <row r="958">
      <c r="A958" s="5">
        <v>380.0</v>
      </c>
      <c r="B958" s="5" t="s">
        <v>2462</v>
      </c>
      <c r="C958" s="5" t="s">
        <v>602</v>
      </c>
      <c r="D958" s="5">
        <v>1.0</v>
      </c>
    </row>
    <row r="959">
      <c r="A959" s="5">
        <v>380.0</v>
      </c>
      <c r="B959" s="5" t="s">
        <v>2462</v>
      </c>
      <c r="C959" s="5" t="s">
        <v>20</v>
      </c>
      <c r="D959" s="5">
        <v>2.0</v>
      </c>
    </row>
    <row r="960">
      <c r="A960" s="5">
        <v>380.0</v>
      </c>
      <c r="B960" s="5" t="s">
        <v>2462</v>
      </c>
      <c r="C960" s="5" t="s">
        <v>6621</v>
      </c>
      <c r="D960" s="5">
        <v>3.0</v>
      </c>
    </row>
    <row r="961">
      <c r="A961" s="5">
        <v>381.0</v>
      </c>
      <c r="B961" s="5" t="s">
        <v>2469</v>
      </c>
      <c r="C961" s="5" t="s">
        <v>6615</v>
      </c>
      <c r="D961" s="5">
        <v>1.0</v>
      </c>
    </row>
    <row r="962">
      <c r="A962" s="5">
        <v>381.0</v>
      </c>
      <c r="B962" s="5" t="s">
        <v>2469</v>
      </c>
      <c r="C962" s="5" t="s">
        <v>20</v>
      </c>
      <c r="D962" s="5">
        <v>2.0</v>
      </c>
    </row>
    <row r="963">
      <c r="A963" s="5">
        <v>382.0</v>
      </c>
      <c r="B963" s="5" t="s">
        <v>2474</v>
      </c>
      <c r="C963" s="5" t="s">
        <v>602</v>
      </c>
      <c r="D963" s="5">
        <v>1.0</v>
      </c>
    </row>
    <row r="964">
      <c r="A964" s="5">
        <v>382.0</v>
      </c>
      <c r="B964" s="5" t="s">
        <v>2474</v>
      </c>
      <c r="C964" s="5" t="s">
        <v>20</v>
      </c>
      <c r="D964" s="5">
        <v>2.0</v>
      </c>
    </row>
    <row r="965">
      <c r="A965" s="5">
        <v>383.0</v>
      </c>
      <c r="B965" s="5" t="s">
        <v>2478</v>
      </c>
      <c r="C965" s="5" t="s">
        <v>20</v>
      </c>
      <c r="D965" s="5">
        <v>1.0</v>
      </c>
    </row>
    <row r="966">
      <c r="A966" s="5">
        <v>383.0</v>
      </c>
      <c r="B966" s="5" t="s">
        <v>2478</v>
      </c>
      <c r="C966" s="5" t="s">
        <v>6626</v>
      </c>
      <c r="D966" s="5">
        <v>2.0</v>
      </c>
    </row>
    <row r="967">
      <c r="A967" s="5">
        <v>383.0</v>
      </c>
      <c r="B967" s="5" t="s">
        <v>2478</v>
      </c>
      <c r="C967" s="5" t="s">
        <v>6620</v>
      </c>
      <c r="D967" s="5">
        <v>3.0</v>
      </c>
    </row>
    <row r="968">
      <c r="A968" s="5">
        <v>384.0</v>
      </c>
      <c r="B968" s="5" t="s">
        <v>2484</v>
      </c>
      <c r="C968" s="5" t="s">
        <v>20</v>
      </c>
      <c r="D968" s="5">
        <v>1.0</v>
      </c>
    </row>
    <row r="969">
      <c r="A969" s="5">
        <v>385.0</v>
      </c>
      <c r="B969" s="5" t="s">
        <v>2487</v>
      </c>
      <c r="C969" s="5" t="s">
        <v>6615</v>
      </c>
      <c r="D969" s="5">
        <v>1.0</v>
      </c>
    </row>
    <row r="970">
      <c r="A970" s="5">
        <v>385.0</v>
      </c>
      <c r="B970" s="5" t="s">
        <v>2487</v>
      </c>
      <c r="C970" s="5" t="s">
        <v>20</v>
      </c>
      <c r="D970" s="5">
        <v>2.0</v>
      </c>
    </row>
    <row r="971">
      <c r="A971" s="5">
        <v>385.0</v>
      </c>
      <c r="B971" s="5" t="s">
        <v>2487</v>
      </c>
      <c r="C971" s="5" t="s">
        <v>6628</v>
      </c>
      <c r="D971" s="5">
        <v>3.0</v>
      </c>
    </row>
    <row r="972">
      <c r="A972" s="5">
        <v>386.0</v>
      </c>
      <c r="B972" s="5" t="s">
        <v>2492</v>
      </c>
      <c r="C972" s="5" t="s">
        <v>6618</v>
      </c>
      <c r="D972" s="5">
        <v>1.0</v>
      </c>
    </row>
    <row r="973">
      <c r="A973" s="5">
        <v>386.0</v>
      </c>
      <c r="B973" s="5" t="s">
        <v>2492</v>
      </c>
      <c r="C973" s="5" t="s">
        <v>20</v>
      </c>
      <c r="D973" s="5">
        <v>2.0</v>
      </c>
    </row>
    <row r="974">
      <c r="A974" s="5">
        <v>387.0</v>
      </c>
      <c r="B974" s="5" t="s">
        <v>2498</v>
      </c>
      <c r="C974" s="5" t="s">
        <v>6623</v>
      </c>
      <c r="D974" s="5">
        <v>1.0</v>
      </c>
    </row>
    <row r="975">
      <c r="A975" s="5">
        <v>387.0</v>
      </c>
      <c r="B975" s="5" t="s">
        <v>2498</v>
      </c>
      <c r="C975" s="5" t="s">
        <v>6615</v>
      </c>
      <c r="D975" s="5">
        <v>2.0</v>
      </c>
    </row>
    <row r="976">
      <c r="A976" s="5">
        <v>387.0</v>
      </c>
      <c r="B976" s="5" t="s">
        <v>2498</v>
      </c>
      <c r="C976" s="5" t="s">
        <v>6626</v>
      </c>
      <c r="D976" s="5">
        <v>3.0</v>
      </c>
    </row>
    <row r="977">
      <c r="A977" s="5">
        <v>388.0</v>
      </c>
      <c r="B977" s="5" t="s">
        <v>2506</v>
      </c>
      <c r="C977" s="5" t="s">
        <v>20</v>
      </c>
      <c r="D977" s="5">
        <v>1.0</v>
      </c>
    </row>
    <row r="978">
      <c r="A978" s="5">
        <v>389.0</v>
      </c>
      <c r="B978" s="5" t="s">
        <v>2511</v>
      </c>
      <c r="C978" s="5" t="s">
        <v>20</v>
      </c>
      <c r="D978" s="5">
        <v>1.0</v>
      </c>
    </row>
    <row r="979">
      <c r="A979" s="5">
        <v>390.0</v>
      </c>
      <c r="B979" s="5" t="s">
        <v>2518</v>
      </c>
      <c r="C979" s="5" t="s">
        <v>6623</v>
      </c>
      <c r="D979" s="5">
        <v>1.0</v>
      </c>
    </row>
    <row r="980">
      <c r="A980" s="5">
        <v>390.0</v>
      </c>
      <c r="B980" s="5" t="s">
        <v>2518</v>
      </c>
      <c r="C980" s="5" t="s">
        <v>6616</v>
      </c>
      <c r="D980" s="5">
        <v>2.0</v>
      </c>
    </row>
    <row r="981">
      <c r="A981" s="5">
        <v>390.0</v>
      </c>
      <c r="B981" s="5" t="s">
        <v>2518</v>
      </c>
      <c r="C981" s="5" t="s">
        <v>6617</v>
      </c>
      <c r="D981" s="5">
        <v>3.0</v>
      </c>
    </row>
    <row r="982">
      <c r="A982" s="5">
        <v>391.0</v>
      </c>
      <c r="B982" s="5" t="s">
        <v>2523</v>
      </c>
      <c r="C982" s="5" t="s">
        <v>6616</v>
      </c>
      <c r="D982" s="5">
        <v>1.0</v>
      </c>
    </row>
    <row r="983">
      <c r="A983" s="5">
        <v>391.0</v>
      </c>
      <c r="B983" s="5" t="s">
        <v>2523</v>
      </c>
      <c r="C983" s="5" t="s">
        <v>6615</v>
      </c>
      <c r="D983" s="5">
        <v>2.0</v>
      </c>
    </row>
    <row r="984">
      <c r="A984" s="5">
        <v>391.0</v>
      </c>
      <c r="B984" s="5" t="s">
        <v>2523</v>
      </c>
      <c r="C984" s="5" t="s">
        <v>602</v>
      </c>
      <c r="D984" s="5">
        <v>3.0</v>
      </c>
    </row>
    <row r="985">
      <c r="A985" s="5">
        <v>392.0</v>
      </c>
      <c r="B985" s="5" t="s">
        <v>2531</v>
      </c>
      <c r="C985" s="5" t="s">
        <v>20</v>
      </c>
      <c r="D985" s="5">
        <v>1.0</v>
      </c>
    </row>
    <row r="986">
      <c r="A986" s="5">
        <v>393.0</v>
      </c>
      <c r="B986" s="5" t="s">
        <v>2537</v>
      </c>
      <c r="C986" s="5" t="s">
        <v>602</v>
      </c>
      <c r="D986" s="5">
        <v>1.0</v>
      </c>
    </row>
    <row r="987">
      <c r="A987" s="5">
        <v>393.0</v>
      </c>
      <c r="B987" s="5" t="s">
        <v>2537</v>
      </c>
      <c r="C987" s="5" t="s">
        <v>20</v>
      </c>
      <c r="D987" s="5">
        <v>2.0</v>
      </c>
    </row>
    <row r="988">
      <c r="A988" s="5">
        <v>394.0</v>
      </c>
      <c r="B988" s="5" t="s">
        <v>2544</v>
      </c>
      <c r="C988" s="5" t="s">
        <v>6626</v>
      </c>
      <c r="D988" s="5">
        <v>1.0</v>
      </c>
    </row>
    <row r="989">
      <c r="A989" s="5">
        <v>394.0</v>
      </c>
      <c r="B989" s="5" t="s">
        <v>2544</v>
      </c>
      <c r="C989" s="5" t="s">
        <v>6620</v>
      </c>
      <c r="D989" s="5">
        <v>2.0</v>
      </c>
    </row>
    <row r="990">
      <c r="A990" s="5">
        <v>394.0</v>
      </c>
      <c r="B990" s="5" t="s">
        <v>2544</v>
      </c>
      <c r="C990" s="5" t="s">
        <v>4191</v>
      </c>
      <c r="D990" s="5">
        <v>3.0</v>
      </c>
    </row>
    <row r="991">
      <c r="A991" s="5">
        <v>395.0</v>
      </c>
      <c r="B991" s="5" t="s">
        <v>2549</v>
      </c>
      <c r="C991" s="5" t="s">
        <v>6623</v>
      </c>
      <c r="D991" s="5">
        <v>1.0</v>
      </c>
    </row>
    <row r="992">
      <c r="A992" s="5">
        <v>395.0</v>
      </c>
      <c r="B992" s="5" t="s">
        <v>2549</v>
      </c>
      <c r="C992" s="5" t="s">
        <v>6616</v>
      </c>
      <c r="D992" s="5">
        <v>2.0</v>
      </c>
    </row>
    <row r="993">
      <c r="A993" s="5">
        <v>395.0</v>
      </c>
      <c r="B993" s="5" t="s">
        <v>2549</v>
      </c>
      <c r="C993" s="5" t="s">
        <v>6615</v>
      </c>
      <c r="D993" s="5">
        <v>3.0</v>
      </c>
    </row>
    <row r="994">
      <c r="A994" s="5">
        <v>396.0</v>
      </c>
      <c r="B994" s="5" t="s">
        <v>2558</v>
      </c>
      <c r="C994" s="5" t="s">
        <v>6623</v>
      </c>
      <c r="D994" s="5">
        <v>1.0</v>
      </c>
    </row>
    <row r="995">
      <c r="A995" s="5">
        <v>396.0</v>
      </c>
      <c r="B995" s="5" t="s">
        <v>2558</v>
      </c>
      <c r="C995" s="5" t="s">
        <v>6624</v>
      </c>
      <c r="D995" s="5">
        <v>2.0</v>
      </c>
    </row>
    <row r="996">
      <c r="A996" s="5">
        <v>396.0</v>
      </c>
      <c r="B996" s="5" t="s">
        <v>2558</v>
      </c>
      <c r="C996" s="5" t="s">
        <v>6622</v>
      </c>
      <c r="D996" s="5">
        <v>3.0</v>
      </c>
    </row>
    <row r="997">
      <c r="A997" s="5">
        <v>397.0</v>
      </c>
      <c r="B997" s="5" t="s">
        <v>2565</v>
      </c>
      <c r="C997" s="5" t="s">
        <v>602</v>
      </c>
      <c r="D997" s="5">
        <v>1.0</v>
      </c>
    </row>
    <row r="998">
      <c r="A998" s="5">
        <v>397.0</v>
      </c>
      <c r="B998" s="5" t="s">
        <v>2565</v>
      </c>
      <c r="C998" s="5" t="s">
        <v>6622</v>
      </c>
      <c r="D998" s="5">
        <v>2.0</v>
      </c>
    </row>
    <row r="999">
      <c r="A999" s="5">
        <v>397.0</v>
      </c>
      <c r="B999" s="5" t="s">
        <v>2565</v>
      </c>
      <c r="C999" s="5" t="s">
        <v>6621</v>
      </c>
      <c r="D999" s="5">
        <v>3.0</v>
      </c>
    </row>
    <row r="1000">
      <c r="A1000" s="5">
        <v>398.0</v>
      </c>
      <c r="B1000" s="5" t="s">
        <v>2573</v>
      </c>
      <c r="C1000" s="5" t="s">
        <v>6615</v>
      </c>
      <c r="D1000" s="5">
        <v>1.0</v>
      </c>
    </row>
    <row r="1001">
      <c r="A1001" s="5">
        <v>398.0</v>
      </c>
      <c r="B1001" s="5" t="s">
        <v>2573</v>
      </c>
      <c r="C1001" s="5" t="s">
        <v>20</v>
      </c>
      <c r="D1001" s="5">
        <v>2.0</v>
      </c>
    </row>
    <row r="1002">
      <c r="A1002" s="5">
        <v>399.0</v>
      </c>
      <c r="B1002" s="5" t="s">
        <v>2579</v>
      </c>
      <c r="C1002" s="5" t="s">
        <v>20</v>
      </c>
      <c r="D1002" s="5">
        <v>1.0</v>
      </c>
    </row>
    <row r="1003">
      <c r="A1003" s="5">
        <v>400.0</v>
      </c>
      <c r="B1003" s="5" t="s">
        <v>2585</v>
      </c>
      <c r="C1003" s="5" t="s">
        <v>6623</v>
      </c>
      <c r="D1003" s="5">
        <v>1.0</v>
      </c>
    </row>
    <row r="1004">
      <c r="A1004" s="5">
        <v>400.0</v>
      </c>
      <c r="B1004" s="5" t="s">
        <v>2585</v>
      </c>
      <c r="C1004" s="5" t="s">
        <v>6617</v>
      </c>
      <c r="D1004" s="5">
        <v>2.0</v>
      </c>
    </row>
    <row r="1005">
      <c r="A1005" s="5">
        <v>400.0</v>
      </c>
      <c r="B1005" s="5" t="s">
        <v>2585</v>
      </c>
      <c r="C1005" s="5" t="s">
        <v>602</v>
      </c>
      <c r="D1005" s="5">
        <v>3.0</v>
      </c>
    </row>
    <row r="1006">
      <c r="A1006" s="5">
        <v>401.0</v>
      </c>
      <c r="B1006" s="5" t="s">
        <v>2592</v>
      </c>
      <c r="C1006" s="5" t="s">
        <v>20</v>
      </c>
      <c r="D1006" s="5">
        <v>1.0</v>
      </c>
    </row>
    <row r="1007">
      <c r="A1007" s="5">
        <v>401.0</v>
      </c>
      <c r="B1007" s="5" t="s">
        <v>2592</v>
      </c>
      <c r="C1007" s="5" t="s">
        <v>6619</v>
      </c>
      <c r="D1007" s="5">
        <v>2.0</v>
      </c>
    </row>
    <row r="1008">
      <c r="A1008" s="5">
        <v>401.0</v>
      </c>
      <c r="B1008" s="5" t="s">
        <v>2592</v>
      </c>
      <c r="C1008" s="5" t="s">
        <v>4191</v>
      </c>
      <c r="D1008" s="5">
        <v>3.0</v>
      </c>
    </row>
    <row r="1009">
      <c r="A1009" s="5">
        <v>402.0</v>
      </c>
      <c r="B1009" s="5" t="s">
        <v>2597</v>
      </c>
      <c r="C1009" s="5" t="s">
        <v>6623</v>
      </c>
      <c r="D1009" s="5">
        <v>1.0</v>
      </c>
    </row>
    <row r="1010">
      <c r="A1010" s="5">
        <v>402.0</v>
      </c>
      <c r="B1010" s="5" t="s">
        <v>2597</v>
      </c>
      <c r="C1010" s="5" t="s">
        <v>6624</v>
      </c>
      <c r="D1010" s="5">
        <v>2.0</v>
      </c>
    </row>
    <row r="1011">
      <c r="A1011" s="5">
        <v>402.0</v>
      </c>
      <c r="B1011" s="5" t="s">
        <v>2597</v>
      </c>
      <c r="C1011" s="5" t="s">
        <v>6622</v>
      </c>
      <c r="D1011" s="5">
        <v>3.0</v>
      </c>
    </row>
    <row r="1012">
      <c r="A1012" s="5">
        <v>403.0</v>
      </c>
      <c r="B1012" s="5" t="s">
        <v>2605</v>
      </c>
      <c r="C1012" s="5" t="s">
        <v>6617</v>
      </c>
      <c r="D1012" s="5">
        <v>1.0</v>
      </c>
    </row>
    <row r="1013">
      <c r="A1013" s="5">
        <v>403.0</v>
      </c>
      <c r="B1013" s="5" t="s">
        <v>2605</v>
      </c>
      <c r="C1013" s="5" t="s">
        <v>20</v>
      </c>
      <c r="D1013" s="5">
        <v>2.0</v>
      </c>
    </row>
    <row r="1014">
      <c r="A1014" s="5">
        <v>403.0</v>
      </c>
      <c r="B1014" s="5" t="s">
        <v>2605</v>
      </c>
      <c r="C1014" s="5" t="s">
        <v>116</v>
      </c>
      <c r="D1014" s="5">
        <v>3.0</v>
      </c>
    </row>
    <row r="1015">
      <c r="A1015" s="5">
        <v>404.0</v>
      </c>
      <c r="B1015" s="5" t="s">
        <v>2609</v>
      </c>
      <c r="C1015" s="5" t="s">
        <v>602</v>
      </c>
      <c r="D1015" s="5">
        <v>1.0</v>
      </c>
    </row>
    <row r="1016">
      <c r="A1016" s="5">
        <v>404.0</v>
      </c>
      <c r="B1016" s="5" t="s">
        <v>2609</v>
      </c>
      <c r="C1016" s="5" t="s">
        <v>20</v>
      </c>
      <c r="D1016" s="5">
        <v>2.0</v>
      </c>
    </row>
    <row r="1017">
      <c r="A1017" s="5">
        <v>405.0</v>
      </c>
      <c r="B1017" s="5" t="s">
        <v>2615</v>
      </c>
      <c r="C1017" s="5" t="s">
        <v>20</v>
      </c>
      <c r="D1017" s="5">
        <v>1.0</v>
      </c>
    </row>
    <row r="1018">
      <c r="A1018" s="5">
        <v>406.0</v>
      </c>
      <c r="B1018" s="5" t="s">
        <v>2620</v>
      </c>
      <c r="C1018" s="5" t="s">
        <v>6623</v>
      </c>
      <c r="D1018" s="5">
        <v>1.0</v>
      </c>
    </row>
    <row r="1019">
      <c r="A1019" s="5">
        <v>406.0</v>
      </c>
      <c r="B1019" s="5" t="s">
        <v>2620</v>
      </c>
      <c r="C1019" s="5" t="s">
        <v>6616</v>
      </c>
      <c r="D1019" s="5">
        <v>2.0</v>
      </c>
    </row>
    <row r="1020">
      <c r="A1020" s="5">
        <v>406.0</v>
      </c>
      <c r="B1020" s="5" t="s">
        <v>2620</v>
      </c>
      <c r="C1020" s="5" t="s">
        <v>6620</v>
      </c>
      <c r="D1020" s="5">
        <v>3.0</v>
      </c>
    </row>
    <row r="1021">
      <c r="A1021" s="5">
        <v>407.0</v>
      </c>
      <c r="B1021" s="5" t="s">
        <v>2628</v>
      </c>
      <c r="C1021" s="5" t="s">
        <v>6617</v>
      </c>
      <c r="D1021" s="5">
        <v>1.0</v>
      </c>
    </row>
    <row r="1022">
      <c r="A1022" s="5">
        <v>407.0</v>
      </c>
      <c r="B1022" s="5" t="s">
        <v>2628</v>
      </c>
      <c r="C1022" s="5" t="s">
        <v>6624</v>
      </c>
      <c r="D1022" s="5">
        <v>2.0</v>
      </c>
    </row>
    <row r="1023">
      <c r="A1023" s="5">
        <v>407.0</v>
      </c>
      <c r="B1023" s="5" t="s">
        <v>2628</v>
      </c>
      <c r="C1023" s="5" t="s">
        <v>6622</v>
      </c>
      <c r="D1023" s="5">
        <v>3.0</v>
      </c>
    </row>
    <row r="1024">
      <c r="A1024" s="5">
        <v>408.0</v>
      </c>
      <c r="B1024" s="5" t="s">
        <v>2633</v>
      </c>
      <c r="C1024" s="5" t="s">
        <v>20</v>
      </c>
      <c r="D1024" s="5">
        <v>1.0</v>
      </c>
    </row>
    <row r="1025">
      <c r="A1025" s="5">
        <v>408.0</v>
      </c>
      <c r="B1025" s="5" t="s">
        <v>2633</v>
      </c>
      <c r="C1025" s="5" t="s">
        <v>6622</v>
      </c>
      <c r="D1025" s="5">
        <v>2.0</v>
      </c>
    </row>
    <row r="1026">
      <c r="A1026" s="5">
        <v>408.0</v>
      </c>
      <c r="B1026" s="5" t="s">
        <v>2633</v>
      </c>
      <c r="C1026" s="5" t="s">
        <v>6621</v>
      </c>
      <c r="D1026" s="5">
        <v>3.0</v>
      </c>
    </row>
    <row r="1027">
      <c r="A1027" s="5">
        <v>409.0</v>
      </c>
      <c r="B1027" s="5" t="s">
        <v>2639</v>
      </c>
      <c r="C1027" s="5" t="s">
        <v>20</v>
      </c>
      <c r="D1027" s="5">
        <v>1.0</v>
      </c>
    </row>
    <row r="1028">
      <c r="A1028" s="5">
        <v>409.0</v>
      </c>
      <c r="B1028" s="5" t="s">
        <v>2639</v>
      </c>
      <c r="C1028" s="5" t="s">
        <v>6625</v>
      </c>
      <c r="D1028" s="5">
        <v>2.0</v>
      </c>
    </row>
    <row r="1029">
      <c r="A1029" s="5">
        <v>410.0</v>
      </c>
      <c r="B1029" s="5" t="s">
        <v>2646</v>
      </c>
      <c r="C1029" s="5" t="s">
        <v>6623</v>
      </c>
      <c r="D1029" s="5">
        <v>1.0</v>
      </c>
    </row>
    <row r="1030">
      <c r="A1030" s="5">
        <v>410.0</v>
      </c>
      <c r="B1030" s="5" t="s">
        <v>2646</v>
      </c>
      <c r="C1030" s="5" t="s">
        <v>6617</v>
      </c>
      <c r="D1030" s="5">
        <v>2.0</v>
      </c>
    </row>
    <row r="1031">
      <c r="A1031" s="5">
        <v>410.0</v>
      </c>
      <c r="B1031" s="5" t="s">
        <v>2646</v>
      </c>
      <c r="C1031" s="5" t="s">
        <v>20</v>
      </c>
      <c r="D1031" s="5">
        <v>3.0</v>
      </c>
    </row>
    <row r="1032">
      <c r="A1032" s="5">
        <v>411.0</v>
      </c>
      <c r="B1032" s="5" t="s">
        <v>2652</v>
      </c>
      <c r="C1032" s="5" t="s">
        <v>6616</v>
      </c>
      <c r="D1032" s="5">
        <v>1.0</v>
      </c>
    </row>
    <row r="1033">
      <c r="A1033" s="5">
        <v>411.0</v>
      </c>
      <c r="B1033" s="5" t="s">
        <v>2652</v>
      </c>
      <c r="C1033" s="5" t="s">
        <v>6620</v>
      </c>
      <c r="D1033" s="5">
        <v>2.0</v>
      </c>
    </row>
    <row r="1034">
      <c r="A1034" s="5">
        <v>412.0</v>
      </c>
      <c r="B1034" s="5" t="s">
        <v>2655</v>
      </c>
      <c r="C1034" s="5" t="s">
        <v>6618</v>
      </c>
      <c r="D1034" s="5">
        <v>1.0</v>
      </c>
    </row>
    <row r="1035">
      <c r="A1035" s="5">
        <v>412.0</v>
      </c>
      <c r="B1035" s="5" t="s">
        <v>2655</v>
      </c>
      <c r="C1035" s="5" t="s">
        <v>20</v>
      </c>
      <c r="D1035" s="5">
        <v>2.0</v>
      </c>
    </row>
    <row r="1036">
      <c r="A1036" s="5">
        <v>412.0</v>
      </c>
      <c r="B1036" s="5" t="s">
        <v>2655</v>
      </c>
      <c r="C1036" s="5" t="s">
        <v>6619</v>
      </c>
      <c r="D1036" s="5">
        <v>3.0</v>
      </c>
    </row>
    <row r="1037">
      <c r="A1037" s="5">
        <v>413.0</v>
      </c>
      <c r="B1037" s="5" t="s">
        <v>2660</v>
      </c>
      <c r="C1037" s="5" t="s">
        <v>20</v>
      </c>
      <c r="D1037" s="5">
        <v>1.0</v>
      </c>
    </row>
    <row r="1038">
      <c r="A1038" s="5">
        <v>413.0</v>
      </c>
      <c r="B1038" s="5" t="s">
        <v>2660</v>
      </c>
      <c r="C1038" s="5" t="s">
        <v>6619</v>
      </c>
      <c r="D1038" s="5">
        <v>2.0</v>
      </c>
    </row>
    <row r="1039">
      <c r="A1039" s="5">
        <v>413.0</v>
      </c>
      <c r="B1039" s="5" t="s">
        <v>2660</v>
      </c>
      <c r="C1039" s="5" t="s">
        <v>6625</v>
      </c>
      <c r="D1039" s="5">
        <v>3.0</v>
      </c>
    </row>
    <row r="1040">
      <c r="A1040" s="5">
        <v>414.0</v>
      </c>
      <c r="B1040" s="5" t="s">
        <v>2664</v>
      </c>
      <c r="C1040" s="5" t="s">
        <v>602</v>
      </c>
      <c r="D1040" s="5">
        <v>1.0</v>
      </c>
    </row>
    <row r="1041">
      <c r="A1041" s="5">
        <v>414.0</v>
      </c>
      <c r="B1041" s="5" t="s">
        <v>2664</v>
      </c>
      <c r="C1041" s="5" t="s">
        <v>20</v>
      </c>
      <c r="D1041" s="5">
        <v>2.0</v>
      </c>
    </row>
    <row r="1042">
      <c r="A1042" s="5">
        <v>415.0</v>
      </c>
      <c r="B1042" s="5" t="s">
        <v>2669</v>
      </c>
      <c r="C1042" s="5" t="s">
        <v>602</v>
      </c>
      <c r="D1042" s="5">
        <v>1.0</v>
      </c>
    </row>
    <row r="1043">
      <c r="A1043" s="5">
        <v>415.0</v>
      </c>
      <c r="B1043" s="5" t="s">
        <v>2669</v>
      </c>
      <c r="C1043" s="5" t="s">
        <v>6621</v>
      </c>
      <c r="D1043" s="5">
        <v>2.0</v>
      </c>
    </row>
    <row r="1044">
      <c r="A1044" s="5">
        <v>416.0</v>
      </c>
      <c r="B1044" s="5" t="s">
        <v>2674</v>
      </c>
      <c r="C1044" s="5" t="s">
        <v>6617</v>
      </c>
      <c r="D1044" s="5">
        <v>1.0</v>
      </c>
    </row>
    <row r="1045">
      <c r="A1045" s="5">
        <v>416.0</v>
      </c>
      <c r="B1045" s="5" t="s">
        <v>2674</v>
      </c>
      <c r="C1045" s="5" t="s">
        <v>4191</v>
      </c>
      <c r="D1045" s="5">
        <v>2.0</v>
      </c>
    </row>
    <row r="1046">
      <c r="A1046" s="5">
        <v>417.0</v>
      </c>
      <c r="B1046" s="5" t="s">
        <v>2680</v>
      </c>
      <c r="C1046" s="5" t="s">
        <v>6618</v>
      </c>
      <c r="D1046" s="5">
        <v>1.0</v>
      </c>
    </row>
    <row r="1047">
      <c r="A1047" s="5">
        <v>417.0</v>
      </c>
      <c r="B1047" s="5" t="s">
        <v>2680</v>
      </c>
      <c r="C1047" s="5" t="s">
        <v>6615</v>
      </c>
      <c r="D1047" s="5">
        <v>2.0</v>
      </c>
    </row>
    <row r="1048">
      <c r="A1048" s="5">
        <v>417.0</v>
      </c>
      <c r="B1048" s="5" t="s">
        <v>2680</v>
      </c>
      <c r="C1048" s="5" t="s">
        <v>20</v>
      </c>
      <c r="D1048" s="5">
        <v>3.0</v>
      </c>
    </row>
    <row r="1049">
      <c r="A1049" s="5">
        <v>418.0</v>
      </c>
      <c r="B1049" s="5" t="s">
        <v>2684</v>
      </c>
      <c r="C1049" s="5" t="s">
        <v>602</v>
      </c>
      <c r="D1049" s="5">
        <v>1.0</v>
      </c>
    </row>
    <row r="1050">
      <c r="A1050" s="5">
        <v>419.0</v>
      </c>
      <c r="B1050" s="5" t="s">
        <v>2690</v>
      </c>
      <c r="C1050" s="5" t="s">
        <v>6618</v>
      </c>
      <c r="D1050" s="5">
        <v>1.0</v>
      </c>
    </row>
    <row r="1051">
      <c r="A1051" s="5">
        <v>419.0</v>
      </c>
      <c r="B1051" s="5" t="s">
        <v>2690</v>
      </c>
      <c r="C1051" s="5" t="s">
        <v>6615</v>
      </c>
      <c r="D1051" s="5">
        <v>2.0</v>
      </c>
    </row>
    <row r="1052">
      <c r="A1052" s="5">
        <v>419.0</v>
      </c>
      <c r="B1052" s="5" t="s">
        <v>2690</v>
      </c>
      <c r="C1052" s="5" t="s">
        <v>20</v>
      </c>
      <c r="D1052" s="5">
        <v>3.0</v>
      </c>
    </row>
    <row r="1053">
      <c r="A1053" s="5">
        <v>420.0</v>
      </c>
      <c r="B1053" s="5" t="s">
        <v>2695</v>
      </c>
      <c r="C1053" s="5" t="s">
        <v>2696</v>
      </c>
      <c r="D1053" s="5">
        <v>1.0</v>
      </c>
    </row>
    <row r="1054">
      <c r="A1054" s="5">
        <v>421.0</v>
      </c>
      <c r="B1054" s="5" t="s">
        <v>2700</v>
      </c>
      <c r="C1054" s="5" t="s">
        <v>6626</v>
      </c>
      <c r="D1054" s="5">
        <v>1.0</v>
      </c>
    </row>
    <row r="1055">
      <c r="A1055" s="5">
        <v>421.0</v>
      </c>
      <c r="B1055" s="5" t="s">
        <v>2700</v>
      </c>
      <c r="C1055" s="5" t="s">
        <v>4191</v>
      </c>
      <c r="D1055" s="5">
        <v>2.0</v>
      </c>
    </row>
    <row r="1056">
      <c r="A1056" s="5">
        <v>422.0</v>
      </c>
      <c r="B1056" s="5" t="s">
        <v>2704</v>
      </c>
      <c r="C1056" s="5" t="s">
        <v>20</v>
      </c>
      <c r="D1056" s="5">
        <v>1.0</v>
      </c>
    </row>
    <row r="1057">
      <c r="A1057" s="5">
        <v>422.0</v>
      </c>
      <c r="B1057" s="5" t="s">
        <v>2704</v>
      </c>
      <c r="C1057" s="5" t="s">
        <v>6621</v>
      </c>
      <c r="D1057" s="5">
        <v>2.0</v>
      </c>
    </row>
    <row r="1058">
      <c r="A1058" s="5">
        <v>423.0</v>
      </c>
      <c r="B1058" s="5" t="s">
        <v>2708</v>
      </c>
      <c r="C1058" s="5" t="s">
        <v>20</v>
      </c>
      <c r="D1058" s="5">
        <v>1.0</v>
      </c>
    </row>
    <row r="1059">
      <c r="A1059" s="5">
        <v>423.0</v>
      </c>
      <c r="B1059" s="5" t="s">
        <v>2708</v>
      </c>
      <c r="C1059" s="5" t="s">
        <v>6624</v>
      </c>
      <c r="D1059" s="5">
        <v>2.0</v>
      </c>
    </row>
    <row r="1060">
      <c r="A1060" s="5">
        <v>423.0</v>
      </c>
      <c r="B1060" s="5" t="s">
        <v>2708</v>
      </c>
      <c r="C1060" s="5" t="s">
        <v>6628</v>
      </c>
      <c r="D1060" s="5">
        <v>3.0</v>
      </c>
    </row>
    <row r="1061">
      <c r="A1061" s="5">
        <v>424.0</v>
      </c>
      <c r="B1061" s="5" t="s">
        <v>2716</v>
      </c>
      <c r="C1061" s="5" t="s">
        <v>20</v>
      </c>
      <c r="D1061" s="5">
        <v>1.0</v>
      </c>
    </row>
    <row r="1062">
      <c r="A1062" s="5">
        <v>425.0</v>
      </c>
      <c r="B1062" s="5" t="s">
        <v>2723</v>
      </c>
      <c r="C1062" s="5" t="s">
        <v>6618</v>
      </c>
      <c r="D1062" s="5">
        <v>1.0</v>
      </c>
    </row>
    <row r="1063">
      <c r="A1063" s="5">
        <v>425.0</v>
      </c>
      <c r="B1063" s="5" t="s">
        <v>2723</v>
      </c>
      <c r="C1063" s="5" t="s">
        <v>6615</v>
      </c>
      <c r="D1063" s="5">
        <v>2.0</v>
      </c>
    </row>
    <row r="1064">
      <c r="A1064" s="5">
        <v>425.0</v>
      </c>
      <c r="B1064" s="5" t="s">
        <v>2723</v>
      </c>
      <c r="C1064" s="5" t="s">
        <v>20</v>
      </c>
      <c r="D1064" s="5">
        <v>3.0</v>
      </c>
    </row>
    <row r="1065">
      <c r="A1065" s="5">
        <v>426.0</v>
      </c>
      <c r="B1065" s="5" t="s">
        <v>2726</v>
      </c>
      <c r="C1065" s="5" t="s">
        <v>20</v>
      </c>
      <c r="D1065" s="5">
        <v>1.0</v>
      </c>
    </row>
    <row r="1066">
      <c r="A1066" s="5">
        <v>426.0</v>
      </c>
      <c r="B1066" s="5" t="s">
        <v>2726</v>
      </c>
      <c r="C1066" s="5" t="s">
        <v>2696</v>
      </c>
      <c r="D1066" s="5">
        <v>2.0</v>
      </c>
    </row>
    <row r="1067">
      <c r="A1067" s="5">
        <v>427.0</v>
      </c>
      <c r="B1067" s="5" t="s">
        <v>2732</v>
      </c>
      <c r="C1067" s="5" t="s">
        <v>6617</v>
      </c>
      <c r="D1067" s="5">
        <v>1.0</v>
      </c>
    </row>
    <row r="1068">
      <c r="A1068" s="5">
        <v>427.0</v>
      </c>
      <c r="B1068" s="5" t="s">
        <v>2732</v>
      </c>
      <c r="C1068" s="5" t="s">
        <v>6620</v>
      </c>
      <c r="D1068" s="5">
        <v>2.0</v>
      </c>
    </row>
    <row r="1069">
      <c r="A1069" s="5">
        <v>428.0</v>
      </c>
      <c r="B1069" s="5" t="s">
        <v>2737</v>
      </c>
      <c r="C1069" s="5" t="s">
        <v>602</v>
      </c>
      <c r="D1069" s="5">
        <v>1.0</v>
      </c>
    </row>
    <row r="1070">
      <c r="A1070" s="5">
        <v>428.0</v>
      </c>
      <c r="B1070" s="5" t="s">
        <v>2737</v>
      </c>
      <c r="C1070" s="5" t="s">
        <v>20</v>
      </c>
      <c r="D1070" s="5">
        <v>2.0</v>
      </c>
    </row>
    <row r="1071">
      <c r="A1071" s="5">
        <v>428.0</v>
      </c>
      <c r="B1071" s="5" t="s">
        <v>2737</v>
      </c>
      <c r="C1071" s="5" t="s">
        <v>6621</v>
      </c>
      <c r="D1071" s="5">
        <v>3.0</v>
      </c>
    </row>
    <row r="1072">
      <c r="A1072" s="5">
        <v>429.0</v>
      </c>
      <c r="B1072" s="5" t="s">
        <v>2741</v>
      </c>
      <c r="C1072" s="5" t="s">
        <v>20</v>
      </c>
      <c r="D1072" s="5">
        <v>1.0</v>
      </c>
    </row>
    <row r="1073">
      <c r="A1073" s="5">
        <v>430.0</v>
      </c>
      <c r="B1073" s="5" t="s">
        <v>2747</v>
      </c>
      <c r="C1073" s="5" t="s">
        <v>6618</v>
      </c>
      <c r="D1073" s="5">
        <v>1.0</v>
      </c>
    </row>
    <row r="1074">
      <c r="A1074" s="5">
        <v>430.0</v>
      </c>
      <c r="B1074" s="5" t="s">
        <v>2747</v>
      </c>
      <c r="C1074" s="5" t="s">
        <v>20</v>
      </c>
      <c r="D1074" s="5">
        <v>2.0</v>
      </c>
    </row>
    <row r="1075">
      <c r="A1075" s="5">
        <v>430.0</v>
      </c>
      <c r="B1075" s="5" t="s">
        <v>2747</v>
      </c>
      <c r="C1075" s="5" t="s">
        <v>6624</v>
      </c>
      <c r="D1075" s="5">
        <v>3.0</v>
      </c>
    </row>
    <row r="1076">
      <c r="A1076" s="5">
        <v>431.0</v>
      </c>
      <c r="B1076" s="5" t="s">
        <v>2753</v>
      </c>
      <c r="C1076" s="5" t="s">
        <v>20</v>
      </c>
      <c r="D1076" s="5">
        <v>1.0</v>
      </c>
    </row>
    <row r="1077">
      <c r="A1077" s="5">
        <v>431.0</v>
      </c>
      <c r="B1077" s="5" t="s">
        <v>2753</v>
      </c>
      <c r="C1077" s="5" t="s">
        <v>6621</v>
      </c>
      <c r="D1077" s="5">
        <v>2.0</v>
      </c>
    </row>
    <row r="1078">
      <c r="A1078" s="5">
        <v>431.0</v>
      </c>
      <c r="B1078" s="5" t="s">
        <v>2753</v>
      </c>
      <c r="C1078" s="5" t="s">
        <v>6625</v>
      </c>
      <c r="D1078" s="5">
        <v>3.0</v>
      </c>
    </row>
    <row r="1079">
      <c r="A1079" s="5">
        <v>432.0</v>
      </c>
      <c r="B1079" s="5" t="s">
        <v>2759</v>
      </c>
      <c r="C1079" s="5" t="s">
        <v>6616</v>
      </c>
      <c r="D1079" s="5">
        <v>1.0</v>
      </c>
    </row>
    <row r="1080">
      <c r="A1080" s="5">
        <v>432.0</v>
      </c>
      <c r="B1080" s="5" t="s">
        <v>2759</v>
      </c>
      <c r="C1080" s="5" t="s">
        <v>20</v>
      </c>
      <c r="D1080" s="5">
        <v>2.0</v>
      </c>
    </row>
    <row r="1081">
      <c r="A1081" s="5">
        <v>432.0</v>
      </c>
      <c r="B1081" s="5" t="s">
        <v>2759</v>
      </c>
      <c r="C1081" s="5" t="s">
        <v>116</v>
      </c>
      <c r="D1081" s="5">
        <v>3.0</v>
      </c>
    </row>
    <row r="1082">
      <c r="A1082" s="5">
        <v>433.0</v>
      </c>
      <c r="B1082" s="5" t="s">
        <v>2764</v>
      </c>
      <c r="C1082" s="5" t="s">
        <v>20</v>
      </c>
      <c r="D1082" s="5">
        <v>1.0</v>
      </c>
    </row>
    <row r="1083">
      <c r="A1083" s="5">
        <v>434.0</v>
      </c>
      <c r="B1083" s="5" t="s">
        <v>2770</v>
      </c>
      <c r="C1083" s="5" t="s">
        <v>20</v>
      </c>
      <c r="D1083" s="5">
        <v>1.0</v>
      </c>
    </row>
    <row r="1084">
      <c r="A1084" s="5">
        <v>435.0</v>
      </c>
      <c r="B1084" s="5" t="s">
        <v>2777</v>
      </c>
      <c r="C1084" s="5" t="s">
        <v>20</v>
      </c>
      <c r="D1084" s="5">
        <v>1.0</v>
      </c>
    </row>
    <row r="1085">
      <c r="A1085" s="5">
        <v>435.0</v>
      </c>
      <c r="B1085" s="5" t="s">
        <v>2777</v>
      </c>
      <c r="C1085" s="5" t="s">
        <v>6630</v>
      </c>
      <c r="D1085" s="5">
        <v>2.0</v>
      </c>
    </row>
    <row r="1086">
      <c r="A1086" s="5">
        <v>436.0</v>
      </c>
      <c r="B1086" s="5" t="s">
        <v>2782</v>
      </c>
      <c r="C1086" s="5" t="s">
        <v>602</v>
      </c>
      <c r="D1086" s="5">
        <v>1.0</v>
      </c>
    </row>
    <row r="1087">
      <c r="A1087" s="5">
        <v>436.0</v>
      </c>
      <c r="B1087" s="5" t="s">
        <v>2782</v>
      </c>
      <c r="C1087" s="5" t="s">
        <v>20</v>
      </c>
      <c r="D1087" s="5">
        <v>2.0</v>
      </c>
    </row>
    <row r="1088">
      <c r="A1088" s="5">
        <v>437.0</v>
      </c>
      <c r="B1088" s="5" t="s">
        <v>2787</v>
      </c>
      <c r="C1088" s="5" t="s">
        <v>6616</v>
      </c>
      <c r="D1088" s="5">
        <v>1.0</v>
      </c>
    </row>
    <row r="1089">
      <c r="A1089" s="5">
        <v>437.0</v>
      </c>
      <c r="B1089" s="5" t="s">
        <v>2787</v>
      </c>
      <c r="C1089" s="5" t="s">
        <v>20</v>
      </c>
      <c r="D1089" s="5">
        <v>2.0</v>
      </c>
    </row>
    <row r="1090">
      <c r="A1090" s="5">
        <v>437.0</v>
      </c>
      <c r="B1090" s="5" t="s">
        <v>2787</v>
      </c>
      <c r="C1090" s="5" t="s">
        <v>116</v>
      </c>
      <c r="D1090" s="5">
        <v>3.0</v>
      </c>
    </row>
    <row r="1091">
      <c r="A1091" s="5">
        <v>438.0</v>
      </c>
      <c r="B1091" s="5" t="s">
        <v>2793</v>
      </c>
      <c r="C1091" s="5" t="s">
        <v>6615</v>
      </c>
      <c r="D1091" s="5">
        <v>1.0</v>
      </c>
    </row>
    <row r="1092">
      <c r="A1092" s="5">
        <v>438.0</v>
      </c>
      <c r="B1092" s="5" t="s">
        <v>2793</v>
      </c>
      <c r="C1092" s="5" t="s">
        <v>20</v>
      </c>
      <c r="D1092" s="5">
        <v>2.0</v>
      </c>
    </row>
    <row r="1093">
      <c r="A1093" s="5">
        <v>438.0</v>
      </c>
      <c r="B1093" s="5" t="s">
        <v>2793</v>
      </c>
      <c r="C1093" s="5" t="s">
        <v>6626</v>
      </c>
      <c r="D1093" s="5">
        <v>3.0</v>
      </c>
    </row>
    <row r="1094">
      <c r="A1094" s="5">
        <v>439.0</v>
      </c>
      <c r="B1094" s="5" t="s">
        <v>2799</v>
      </c>
      <c r="C1094" s="5" t="s">
        <v>6615</v>
      </c>
      <c r="D1094" s="5">
        <v>1.0</v>
      </c>
    </row>
    <row r="1095">
      <c r="A1095" s="5">
        <v>439.0</v>
      </c>
      <c r="B1095" s="5" t="s">
        <v>2799</v>
      </c>
      <c r="C1095" s="5" t="s">
        <v>20</v>
      </c>
      <c r="D1095" s="5">
        <v>2.0</v>
      </c>
    </row>
    <row r="1096">
      <c r="A1096" s="5">
        <v>439.0</v>
      </c>
      <c r="B1096" s="5" t="s">
        <v>2799</v>
      </c>
      <c r="C1096" s="5" t="s">
        <v>6629</v>
      </c>
      <c r="D1096" s="5">
        <v>3.0</v>
      </c>
    </row>
    <row r="1097">
      <c r="A1097" s="5">
        <v>440.0</v>
      </c>
      <c r="B1097" s="5" t="s">
        <v>2802</v>
      </c>
      <c r="C1097" s="5" t="s">
        <v>20</v>
      </c>
      <c r="D1097" s="5">
        <v>1.0</v>
      </c>
    </row>
    <row r="1098">
      <c r="A1098" s="5">
        <v>441.0</v>
      </c>
      <c r="B1098" s="5" t="s">
        <v>2807</v>
      </c>
      <c r="C1098" s="5" t="s">
        <v>20</v>
      </c>
      <c r="D1098" s="5">
        <v>1.0</v>
      </c>
    </row>
    <row r="1099">
      <c r="A1099" s="5">
        <v>441.0</v>
      </c>
      <c r="B1099" s="5" t="s">
        <v>2807</v>
      </c>
      <c r="C1099" s="5" t="s">
        <v>6629</v>
      </c>
      <c r="D1099" s="5">
        <v>2.0</v>
      </c>
    </row>
    <row r="1100">
      <c r="A1100" s="5">
        <v>442.0</v>
      </c>
      <c r="B1100" s="5" t="s">
        <v>2812</v>
      </c>
      <c r="C1100" s="5" t="s">
        <v>6615</v>
      </c>
      <c r="D1100" s="5">
        <v>1.0</v>
      </c>
    </row>
    <row r="1101">
      <c r="A1101" s="5">
        <v>442.0</v>
      </c>
      <c r="B1101" s="5" t="s">
        <v>2812</v>
      </c>
      <c r="C1101" s="5" t="s">
        <v>20</v>
      </c>
      <c r="D1101" s="5">
        <v>2.0</v>
      </c>
    </row>
    <row r="1102">
      <c r="A1102" s="5">
        <v>442.0</v>
      </c>
      <c r="B1102" s="5" t="s">
        <v>2812</v>
      </c>
      <c r="C1102" s="5" t="s">
        <v>6629</v>
      </c>
      <c r="D1102" s="5">
        <v>3.0</v>
      </c>
    </row>
    <row r="1103">
      <c r="A1103" s="5">
        <v>443.0</v>
      </c>
      <c r="B1103" s="5" t="s">
        <v>2817</v>
      </c>
      <c r="C1103" s="5" t="s">
        <v>6615</v>
      </c>
      <c r="D1103" s="5">
        <v>1.0</v>
      </c>
    </row>
    <row r="1104">
      <c r="A1104" s="5">
        <v>443.0</v>
      </c>
      <c r="B1104" s="5" t="s">
        <v>2817</v>
      </c>
      <c r="C1104" s="5" t="s">
        <v>20</v>
      </c>
      <c r="D1104" s="5">
        <v>2.0</v>
      </c>
    </row>
    <row r="1105">
      <c r="A1105" s="5">
        <v>443.0</v>
      </c>
      <c r="B1105" s="5" t="s">
        <v>2817</v>
      </c>
      <c r="C1105" s="5" t="s">
        <v>6629</v>
      </c>
      <c r="D1105" s="5">
        <v>3.0</v>
      </c>
    </row>
    <row r="1106">
      <c r="A1106" s="5">
        <v>444.0</v>
      </c>
      <c r="B1106" s="5" t="s">
        <v>2823</v>
      </c>
      <c r="C1106" s="5" t="s">
        <v>20</v>
      </c>
      <c r="D1106" s="5">
        <v>1.0</v>
      </c>
    </row>
    <row r="1107">
      <c r="A1107" s="5">
        <v>445.0</v>
      </c>
      <c r="B1107" s="5" t="s">
        <v>2827</v>
      </c>
      <c r="C1107" s="5" t="s">
        <v>6615</v>
      </c>
      <c r="D1107" s="5">
        <v>1.0</v>
      </c>
    </row>
    <row r="1108">
      <c r="A1108" s="5">
        <v>445.0</v>
      </c>
      <c r="B1108" s="5" t="s">
        <v>2827</v>
      </c>
      <c r="C1108" s="5" t="s">
        <v>20</v>
      </c>
      <c r="D1108" s="5">
        <v>2.0</v>
      </c>
    </row>
    <row r="1109">
      <c r="A1109" s="5">
        <v>445.0</v>
      </c>
      <c r="B1109" s="5" t="s">
        <v>2827</v>
      </c>
      <c r="C1109" s="5" t="s">
        <v>2696</v>
      </c>
      <c r="D1109" s="5">
        <v>3.0</v>
      </c>
    </row>
    <row r="1110">
      <c r="A1110" s="5">
        <v>446.0</v>
      </c>
      <c r="B1110" s="5" t="s">
        <v>2833</v>
      </c>
      <c r="C1110" s="5" t="s">
        <v>602</v>
      </c>
      <c r="D1110" s="5">
        <v>1.0</v>
      </c>
    </row>
    <row r="1111">
      <c r="A1111" s="5">
        <v>446.0</v>
      </c>
      <c r="B1111" s="5" t="s">
        <v>2833</v>
      </c>
      <c r="C1111" s="5" t="s">
        <v>20</v>
      </c>
      <c r="D1111" s="5">
        <v>2.0</v>
      </c>
    </row>
    <row r="1112">
      <c r="A1112" s="5">
        <v>446.0</v>
      </c>
      <c r="B1112" s="5" t="s">
        <v>2833</v>
      </c>
      <c r="C1112" s="5" t="s">
        <v>6625</v>
      </c>
      <c r="D1112" s="5">
        <v>3.0</v>
      </c>
    </row>
    <row r="1113">
      <c r="A1113" s="5">
        <v>447.0</v>
      </c>
      <c r="B1113" s="5" t="s">
        <v>2837</v>
      </c>
      <c r="C1113" s="5" t="s">
        <v>602</v>
      </c>
      <c r="D1113" s="5">
        <v>1.0</v>
      </c>
    </row>
    <row r="1114">
      <c r="A1114" s="5">
        <v>447.0</v>
      </c>
      <c r="B1114" s="5" t="s">
        <v>2837</v>
      </c>
      <c r="C1114" s="5" t="s">
        <v>6621</v>
      </c>
      <c r="D1114" s="5">
        <v>2.0</v>
      </c>
    </row>
    <row r="1115">
      <c r="A1115" s="5">
        <v>448.0</v>
      </c>
      <c r="B1115" s="5" t="s">
        <v>2842</v>
      </c>
      <c r="C1115" s="5" t="s">
        <v>20</v>
      </c>
      <c r="D1115" s="5">
        <v>1.0</v>
      </c>
    </row>
    <row r="1116">
      <c r="A1116" s="5">
        <v>449.0</v>
      </c>
      <c r="B1116" s="5" t="s">
        <v>2844</v>
      </c>
      <c r="C1116" s="5" t="s">
        <v>20</v>
      </c>
      <c r="D1116" s="5">
        <v>1.0</v>
      </c>
    </row>
    <row r="1117">
      <c r="A1117" s="5">
        <v>449.0</v>
      </c>
      <c r="B1117" s="5" t="s">
        <v>2844</v>
      </c>
      <c r="C1117" s="5" t="s">
        <v>6629</v>
      </c>
      <c r="D1117" s="5">
        <v>2.0</v>
      </c>
    </row>
    <row r="1118">
      <c r="A1118" s="5">
        <v>449.0</v>
      </c>
      <c r="B1118" s="5" t="s">
        <v>2844</v>
      </c>
      <c r="C1118" s="5" t="s">
        <v>6626</v>
      </c>
      <c r="D1118" s="5">
        <v>3.0</v>
      </c>
    </row>
    <row r="1119">
      <c r="A1119" s="5">
        <v>450.0</v>
      </c>
      <c r="B1119" s="5" t="s">
        <v>2851</v>
      </c>
      <c r="C1119" s="5" t="s">
        <v>602</v>
      </c>
      <c r="D1119" s="5">
        <v>1.0</v>
      </c>
    </row>
    <row r="1120">
      <c r="A1120" s="5">
        <v>450.0</v>
      </c>
      <c r="B1120" s="5" t="s">
        <v>2851</v>
      </c>
      <c r="C1120" s="5" t="s">
        <v>6615</v>
      </c>
      <c r="D1120" s="5">
        <v>2.0</v>
      </c>
    </row>
    <row r="1121">
      <c r="A1121" s="5">
        <v>451.0</v>
      </c>
      <c r="B1121" s="5" t="s">
        <v>2857</v>
      </c>
      <c r="C1121" s="5" t="s">
        <v>6615</v>
      </c>
      <c r="D1121" s="5">
        <v>1.0</v>
      </c>
    </row>
    <row r="1122">
      <c r="A1122" s="5">
        <v>451.0</v>
      </c>
      <c r="B1122" s="5" t="s">
        <v>2857</v>
      </c>
      <c r="C1122" s="5" t="s">
        <v>20</v>
      </c>
      <c r="D1122" s="5">
        <v>2.0</v>
      </c>
    </row>
    <row r="1123">
      <c r="A1123" s="5">
        <v>451.0</v>
      </c>
      <c r="B1123" s="5" t="s">
        <v>2857</v>
      </c>
      <c r="C1123" s="5" t="s">
        <v>6626</v>
      </c>
      <c r="D1123" s="5">
        <v>3.0</v>
      </c>
    </row>
    <row r="1124">
      <c r="A1124" s="5">
        <v>452.0</v>
      </c>
      <c r="B1124" s="5" t="s">
        <v>2863</v>
      </c>
      <c r="C1124" s="5" t="s">
        <v>6615</v>
      </c>
      <c r="D1124" s="5">
        <v>1.0</v>
      </c>
    </row>
    <row r="1125">
      <c r="A1125" s="5">
        <v>452.0</v>
      </c>
      <c r="B1125" s="5" t="s">
        <v>2863</v>
      </c>
      <c r="C1125" s="5" t="s">
        <v>20</v>
      </c>
      <c r="D1125" s="5">
        <v>2.0</v>
      </c>
    </row>
    <row r="1126">
      <c r="A1126" s="5">
        <v>452.0</v>
      </c>
      <c r="B1126" s="5" t="s">
        <v>2863</v>
      </c>
      <c r="C1126" s="5" t="s">
        <v>6629</v>
      </c>
      <c r="D1126" s="5">
        <v>3.0</v>
      </c>
    </row>
    <row r="1127">
      <c r="A1127" s="5">
        <v>453.0</v>
      </c>
      <c r="B1127" s="5" t="s">
        <v>2869</v>
      </c>
      <c r="C1127" s="5" t="s">
        <v>20</v>
      </c>
      <c r="D1127" s="5">
        <v>1.0</v>
      </c>
    </row>
    <row r="1128">
      <c r="A1128" s="5">
        <v>453.0</v>
      </c>
      <c r="B1128" s="5" t="s">
        <v>2869</v>
      </c>
      <c r="C1128" s="5" t="s">
        <v>6621</v>
      </c>
      <c r="D1128" s="5">
        <v>2.0</v>
      </c>
    </row>
    <row r="1129">
      <c r="A1129" s="5">
        <v>454.0</v>
      </c>
      <c r="B1129" s="5" t="s">
        <v>2874</v>
      </c>
      <c r="C1129" s="5" t="s">
        <v>20</v>
      </c>
      <c r="D1129" s="5">
        <v>1.0</v>
      </c>
    </row>
    <row r="1130">
      <c r="A1130" s="5">
        <v>454.0</v>
      </c>
      <c r="B1130" s="5" t="s">
        <v>2874</v>
      </c>
      <c r="C1130" s="5" t="s">
        <v>6629</v>
      </c>
      <c r="D1130" s="5">
        <v>2.0</v>
      </c>
    </row>
    <row r="1131">
      <c r="A1131" s="5">
        <v>454.0</v>
      </c>
      <c r="B1131" s="5" t="s">
        <v>2874</v>
      </c>
      <c r="C1131" s="5" t="s">
        <v>6626</v>
      </c>
      <c r="D1131" s="5">
        <v>3.0</v>
      </c>
    </row>
    <row r="1132">
      <c r="A1132" s="5">
        <v>455.0</v>
      </c>
      <c r="B1132" s="5" t="s">
        <v>2880</v>
      </c>
      <c r="C1132" s="5" t="s">
        <v>20</v>
      </c>
      <c r="D1132" s="5">
        <v>1.0</v>
      </c>
    </row>
    <row r="1133">
      <c r="A1133" s="5">
        <v>455.0</v>
      </c>
      <c r="B1133" s="5" t="s">
        <v>2880</v>
      </c>
      <c r="C1133" s="5" t="s">
        <v>6621</v>
      </c>
      <c r="D1133" s="5">
        <v>2.0</v>
      </c>
    </row>
    <row r="1134">
      <c r="A1134" s="5">
        <v>455.0</v>
      </c>
      <c r="B1134" s="5" t="s">
        <v>2880</v>
      </c>
      <c r="C1134" s="5" t="s">
        <v>6625</v>
      </c>
      <c r="D1134" s="5">
        <v>3.0</v>
      </c>
    </row>
    <row r="1135">
      <c r="A1135" s="5">
        <v>456.0</v>
      </c>
      <c r="B1135" s="5" t="s">
        <v>2884</v>
      </c>
      <c r="C1135" s="5" t="s">
        <v>602</v>
      </c>
      <c r="D1135" s="5">
        <v>1.0</v>
      </c>
    </row>
    <row r="1136">
      <c r="A1136" s="5">
        <v>456.0</v>
      </c>
      <c r="B1136" s="5" t="s">
        <v>2884</v>
      </c>
      <c r="C1136" s="5" t="s">
        <v>6615</v>
      </c>
      <c r="D1136" s="5">
        <v>2.0</v>
      </c>
    </row>
    <row r="1137">
      <c r="A1137" s="5">
        <v>456.0</v>
      </c>
      <c r="B1137" s="5" t="s">
        <v>2884</v>
      </c>
      <c r="C1137" s="5" t="s">
        <v>4191</v>
      </c>
      <c r="D1137" s="5">
        <v>3.0</v>
      </c>
    </row>
    <row r="1138">
      <c r="A1138" s="5">
        <v>457.0</v>
      </c>
      <c r="B1138" s="5" t="s">
        <v>2889</v>
      </c>
      <c r="C1138" s="5" t="s">
        <v>6629</v>
      </c>
      <c r="D1138" s="5">
        <v>1.0</v>
      </c>
    </row>
    <row r="1139">
      <c r="A1139" s="5">
        <v>457.0</v>
      </c>
      <c r="B1139" s="5" t="s">
        <v>2889</v>
      </c>
      <c r="C1139" s="5" t="s">
        <v>6626</v>
      </c>
      <c r="D1139" s="5">
        <v>2.0</v>
      </c>
    </row>
    <row r="1140">
      <c r="A1140" s="5">
        <v>458.0</v>
      </c>
      <c r="B1140" s="5" t="s">
        <v>2895</v>
      </c>
      <c r="C1140" s="5" t="s">
        <v>20</v>
      </c>
      <c r="D1140" s="5">
        <v>1.0</v>
      </c>
    </row>
    <row r="1141">
      <c r="A1141" s="5">
        <v>458.0</v>
      </c>
      <c r="B1141" s="5" t="s">
        <v>2895</v>
      </c>
      <c r="C1141" s="5" t="s">
        <v>6619</v>
      </c>
      <c r="D1141" s="5">
        <v>2.0</v>
      </c>
    </row>
    <row r="1142">
      <c r="A1142" s="5">
        <v>459.0</v>
      </c>
      <c r="B1142" s="5" t="s">
        <v>2900</v>
      </c>
      <c r="C1142" s="5" t="s">
        <v>6617</v>
      </c>
      <c r="D1142" s="5">
        <v>1.0</v>
      </c>
    </row>
    <row r="1143">
      <c r="A1143" s="5">
        <v>459.0</v>
      </c>
      <c r="B1143" s="5" t="s">
        <v>2900</v>
      </c>
      <c r="C1143" s="5" t="s">
        <v>6624</v>
      </c>
      <c r="D1143" s="5">
        <v>2.0</v>
      </c>
    </row>
    <row r="1144">
      <c r="A1144" s="5">
        <v>459.0</v>
      </c>
      <c r="B1144" s="5" t="s">
        <v>2900</v>
      </c>
      <c r="C1144" s="5" t="s">
        <v>6622</v>
      </c>
      <c r="D1144" s="5">
        <v>3.0</v>
      </c>
    </row>
    <row r="1145">
      <c r="A1145" s="5">
        <v>460.0</v>
      </c>
      <c r="B1145" s="5" t="s">
        <v>2905</v>
      </c>
      <c r="C1145" s="5" t="s">
        <v>602</v>
      </c>
      <c r="D1145" s="5">
        <v>1.0</v>
      </c>
    </row>
    <row r="1146">
      <c r="A1146" s="5">
        <v>460.0</v>
      </c>
      <c r="B1146" s="5" t="s">
        <v>2905</v>
      </c>
      <c r="C1146" s="5" t="s">
        <v>20</v>
      </c>
      <c r="D1146" s="5">
        <v>2.0</v>
      </c>
    </row>
    <row r="1147">
      <c r="A1147" s="5">
        <v>461.0</v>
      </c>
      <c r="B1147" s="5" t="s">
        <v>2911</v>
      </c>
      <c r="C1147" s="5" t="s">
        <v>602</v>
      </c>
      <c r="D1147" s="5">
        <v>1.0</v>
      </c>
    </row>
    <row r="1148">
      <c r="A1148" s="5">
        <v>461.0</v>
      </c>
      <c r="B1148" s="5" t="s">
        <v>2911</v>
      </c>
      <c r="C1148" s="5" t="s">
        <v>6615</v>
      </c>
      <c r="D1148" s="5">
        <v>2.0</v>
      </c>
    </row>
    <row r="1149">
      <c r="A1149" s="5">
        <v>461.0</v>
      </c>
      <c r="B1149" s="5" t="s">
        <v>2911</v>
      </c>
      <c r="C1149" s="5" t="s">
        <v>6626</v>
      </c>
      <c r="D1149" s="5">
        <v>3.0</v>
      </c>
    </row>
    <row r="1150">
      <c r="A1150" s="5">
        <v>462.0</v>
      </c>
      <c r="B1150" s="5" t="s">
        <v>2918</v>
      </c>
      <c r="C1150" s="5" t="s">
        <v>20</v>
      </c>
      <c r="D1150" s="5">
        <v>1.0</v>
      </c>
    </row>
    <row r="1151">
      <c r="A1151" s="5">
        <v>462.0</v>
      </c>
      <c r="B1151" s="5" t="s">
        <v>2918</v>
      </c>
      <c r="C1151" s="5" t="s">
        <v>6625</v>
      </c>
      <c r="D1151" s="5">
        <v>2.0</v>
      </c>
    </row>
    <row r="1152">
      <c r="A1152" s="5">
        <v>463.0</v>
      </c>
      <c r="B1152" s="5" t="s">
        <v>2925</v>
      </c>
      <c r="C1152" s="5" t="s">
        <v>20</v>
      </c>
      <c r="D1152" s="5">
        <v>1.0</v>
      </c>
    </row>
    <row r="1153">
      <c r="A1153" s="5">
        <v>463.0</v>
      </c>
      <c r="B1153" s="5" t="s">
        <v>2925</v>
      </c>
      <c r="C1153" s="5" t="s">
        <v>6619</v>
      </c>
      <c r="D1153" s="5">
        <v>2.0</v>
      </c>
    </row>
    <row r="1154">
      <c r="A1154" s="5">
        <v>463.0</v>
      </c>
      <c r="B1154" s="5" t="s">
        <v>2925</v>
      </c>
      <c r="C1154" s="5" t="s">
        <v>4191</v>
      </c>
      <c r="D1154" s="5">
        <v>3.0</v>
      </c>
    </row>
    <row r="1155">
      <c r="A1155" s="5">
        <v>464.0</v>
      </c>
      <c r="B1155" s="5" t="s">
        <v>2934</v>
      </c>
      <c r="C1155" s="5" t="s">
        <v>602</v>
      </c>
      <c r="D1155" s="5">
        <v>1.0</v>
      </c>
    </row>
    <row r="1156">
      <c r="A1156" s="5">
        <v>464.0</v>
      </c>
      <c r="B1156" s="5" t="s">
        <v>2934</v>
      </c>
      <c r="C1156" s="5" t="s">
        <v>6615</v>
      </c>
      <c r="D1156" s="5">
        <v>2.0</v>
      </c>
    </row>
    <row r="1157">
      <c r="A1157" s="5">
        <v>464.0</v>
      </c>
      <c r="B1157" s="5" t="s">
        <v>2934</v>
      </c>
      <c r="C1157" s="5" t="s">
        <v>20</v>
      </c>
      <c r="D1157" s="5">
        <v>3.0</v>
      </c>
    </row>
    <row r="1158">
      <c r="A1158" s="5">
        <v>465.0</v>
      </c>
      <c r="B1158" s="5" t="s">
        <v>2938</v>
      </c>
      <c r="C1158" s="5" t="s">
        <v>602</v>
      </c>
      <c r="D1158" s="5">
        <v>1.0</v>
      </c>
    </row>
    <row r="1159">
      <c r="A1159" s="5">
        <v>465.0</v>
      </c>
      <c r="B1159" s="5" t="s">
        <v>2938</v>
      </c>
      <c r="C1159" s="5" t="s">
        <v>20</v>
      </c>
      <c r="D1159" s="5">
        <v>2.0</v>
      </c>
    </row>
    <row r="1160">
      <c r="A1160" s="5">
        <v>465.0</v>
      </c>
      <c r="B1160" s="5" t="s">
        <v>2938</v>
      </c>
      <c r="C1160" s="5" t="s">
        <v>6621</v>
      </c>
      <c r="D1160" s="5">
        <v>3.0</v>
      </c>
    </row>
    <row r="1161">
      <c r="A1161" s="5">
        <v>466.0</v>
      </c>
      <c r="B1161" s="5" t="s">
        <v>2944</v>
      </c>
      <c r="C1161" s="5" t="s">
        <v>6615</v>
      </c>
      <c r="D1161" s="5">
        <v>1.0</v>
      </c>
    </row>
    <row r="1162">
      <c r="A1162" s="5">
        <v>466.0</v>
      </c>
      <c r="B1162" s="5" t="s">
        <v>2944</v>
      </c>
      <c r="C1162" s="5" t="s">
        <v>20</v>
      </c>
      <c r="D1162" s="5">
        <v>2.0</v>
      </c>
    </row>
    <row r="1163">
      <c r="A1163" s="5">
        <v>467.0</v>
      </c>
      <c r="B1163" s="5" t="s">
        <v>2951</v>
      </c>
      <c r="C1163" s="5" t="s">
        <v>602</v>
      </c>
      <c r="D1163" s="5">
        <v>1.0</v>
      </c>
    </row>
    <row r="1164">
      <c r="A1164" s="5">
        <v>467.0</v>
      </c>
      <c r="B1164" s="5" t="s">
        <v>2951</v>
      </c>
      <c r="C1164" s="5" t="s">
        <v>20</v>
      </c>
      <c r="D1164" s="5">
        <v>2.0</v>
      </c>
    </row>
    <row r="1165">
      <c r="A1165" s="5">
        <v>467.0</v>
      </c>
      <c r="B1165" s="5" t="s">
        <v>2951</v>
      </c>
      <c r="C1165" s="5" t="s">
        <v>6621</v>
      </c>
      <c r="D1165" s="5">
        <v>3.0</v>
      </c>
    </row>
    <row r="1166">
      <c r="A1166" s="5">
        <v>468.0</v>
      </c>
      <c r="B1166" s="5" t="s">
        <v>2957</v>
      </c>
      <c r="C1166" s="5" t="s">
        <v>20</v>
      </c>
      <c r="D1166" s="5">
        <v>1.0</v>
      </c>
    </row>
    <row r="1167">
      <c r="A1167" s="5">
        <v>468.0</v>
      </c>
      <c r="B1167" s="5" t="s">
        <v>2957</v>
      </c>
      <c r="C1167" s="5" t="s">
        <v>6621</v>
      </c>
      <c r="D1167" s="5">
        <v>2.0</v>
      </c>
    </row>
    <row r="1168">
      <c r="A1168" s="5">
        <v>469.0</v>
      </c>
      <c r="B1168" s="5" t="s">
        <v>2964</v>
      </c>
      <c r="C1168" s="5" t="s">
        <v>20</v>
      </c>
      <c r="D1168" s="5">
        <v>1.0</v>
      </c>
    </row>
    <row r="1169">
      <c r="A1169" s="5">
        <v>470.0</v>
      </c>
      <c r="B1169" s="5" t="s">
        <v>2970</v>
      </c>
      <c r="C1169" s="5" t="s">
        <v>6623</v>
      </c>
      <c r="D1169" s="5">
        <v>1.0</v>
      </c>
    </row>
    <row r="1170">
      <c r="A1170" s="5">
        <v>470.0</v>
      </c>
      <c r="B1170" s="5" t="s">
        <v>2970</v>
      </c>
      <c r="C1170" s="5" t="s">
        <v>6617</v>
      </c>
      <c r="D1170" s="5">
        <v>2.0</v>
      </c>
    </row>
    <row r="1171">
      <c r="A1171" s="5">
        <v>470.0</v>
      </c>
      <c r="B1171" s="5" t="s">
        <v>2970</v>
      </c>
      <c r="C1171" s="5" t="s">
        <v>602</v>
      </c>
      <c r="D1171" s="5">
        <v>3.0</v>
      </c>
    </row>
    <row r="1172">
      <c r="A1172" s="5">
        <v>471.0</v>
      </c>
      <c r="B1172" s="5" t="s">
        <v>2975</v>
      </c>
      <c r="C1172" s="5" t="s">
        <v>6617</v>
      </c>
      <c r="D1172" s="5">
        <v>1.0</v>
      </c>
    </row>
    <row r="1173">
      <c r="A1173" s="5">
        <v>471.0</v>
      </c>
      <c r="B1173" s="5" t="s">
        <v>2975</v>
      </c>
      <c r="C1173" s="5" t="s">
        <v>602</v>
      </c>
      <c r="D1173" s="5">
        <v>2.0</v>
      </c>
    </row>
    <row r="1174">
      <c r="A1174" s="5">
        <v>471.0</v>
      </c>
      <c r="B1174" s="5" t="s">
        <v>2975</v>
      </c>
      <c r="C1174" s="5" t="s">
        <v>20</v>
      </c>
      <c r="D1174" s="5">
        <v>3.0</v>
      </c>
    </row>
    <row r="1175">
      <c r="A1175" s="5">
        <v>472.0</v>
      </c>
      <c r="B1175" s="5" t="s">
        <v>2981</v>
      </c>
      <c r="C1175" s="5" t="s">
        <v>602</v>
      </c>
      <c r="D1175" s="5">
        <v>1.0</v>
      </c>
    </row>
    <row r="1176">
      <c r="A1176" s="5">
        <v>472.0</v>
      </c>
      <c r="B1176" s="5" t="s">
        <v>2981</v>
      </c>
      <c r="C1176" s="5" t="s">
        <v>20</v>
      </c>
      <c r="D1176" s="5">
        <v>2.0</v>
      </c>
    </row>
    <row r="1177">
      <c r="A1177" s="5">
        <v>473.0</v>
      </c>
      <c r="B1177" s="5" t="s">
        <v>2986</v>
      </c>
      <c r="C1177" s="5" t="s">
        <v>602</v>
      </c>
      <c r="D1177" s="5">
        <v>1.0</v>
      </c>
    </row>
    <row r="1178">
      <c r="A1178" s="5">
        <v>473.0</v>
      </c>
      <c r="B1178" s="5" t="s">
        <v>2986</v>
      </c>
      <c r="C1178" s="5" t="s">
        <v>20</v>
      </c>
      <c r="D1178" s="5">
        <v>2.0</v>
      </c>
    </row>
    <row r="1179">
      <c r="A1179" s="5">
        <v>473.0</v>
      </c>
      <c r="B1179" s="5" t="s">
        <v>2986</v>
      </c>
      <c r="C1179" s="5" t="s">
        <v>6627</v>
      </c>
      <c r="D1179" s="5">
        <v>3.0</v>
      </c>
    </row>
    <row r="1180">
      <c r="A1180" s="5">
        <v>474.0</v>
      </c>
      <c r="B1180" s="5" t="s">
        <v>2993</v>
      </c>
      <c r="C1180" s="5" t="s">
        <v>6616</v>
      </c>
      <c r="D1180" s="5">
        <v>1.0</v>
      </c>
    </row>
    <row r="1181">
      <c r="A1181" s="5">
        <v>474.0</v>
      </c>
      <c r="B1181" s="5" t="s">
        <v>2993</v>
      </c>
      <c r="C1181" s="5" t="s">
        <v>6617</v>
      </c>
      <c r="D1181" s="5">
        <v>2.0</v>
      </c>
    </row>
    <row r="1182">
      <c r="A1182" s="5">
        <v>474.0</v>
      </c>
      <c r="B1182" s="5" t="s">
        <v>2993</v>
      </c>
      <c r="C1182" s="5" t="s">
        <v>602</v>
      </c>
      <c r="D1182" s="5">
        <v>3.0</v>
      </c>
    </row>
    <row r="1183">
      <c r="A1183" s="5">
        <v>475.0</v>
      </c>
      <c r="B1183" s="5" t="s">
        <v>2997</v>
      </c>
      <c r="C1183" s="5" t="s">
        <v>6615</v>
      </c>
      <c r="D1183" s="5">
        <v>1.0</v>
      </c>
    </row>
    <row r="1184">
      <c r="A1184" s="5">
        <v>475.0</v>
      </c>
      <c r="B1184" s="5" t="s">
        <v>2997</v>
      </c>
      <c r="C1184" s="5" t="s">
        <v>20</v>
      </c>
      <c r="D1184" s="5">
        <v>2.0</v>
      </c>
    </row>
    <row r="1185">
      <c r="A1185" s="5">
        <v>475.0</v>
      </c>
      <c r="B1185" s="5" t="s">
        <v>2997</v>
      </c>
      <c r="C1185" s="5" t="s">
        <v>4191</v>
      </c>
      <c r="D1185" s="5">
        <v>3.0</v>
      </c>
    </row>
    <row r="1186">
      <c r="A1186" s="5">
        <v>476.0</v>
      </c>
      <c r="B1186" s="5" t="s">
        <v>3003</v>
      </c>
      <c r="C1186" s="5" t="s">
        <v>602</v>
      </c>
      <c r="D1186" s="5">
        <v>1.0</v>
      </c>
    </row>
    <row r="1187">
      <c r="A1187" s="5">
        <v>476.0</v>
      </c>
      <c r="B1187" s="5" t="s">
        <v>3003</v>
      </c>
      <c r="C1187" s="5" t="s">
        <v>20</v>
      </c>
      <c r="D1187" s="5">
        <v>2.0</v>
      </c>
    </row>
    <row r="1188">
      <c r="A1188" s="5">
        <v>476.0</v>
      </c>
      <c r="B1188" s="5" t="s">
        <v>3003</v>
      </c>
      <c r="C1188" s="5" t="s">
        <v>6625</v>
      </c>
      <c r="D1188" s="5">
        <v>3.0</v>
      </c>
    </row>
    <row r="1189">
      <c r="A1189" s="5">
        <v>477.0</v>
      </c>
      <c r="B1189" s="5" t="s">
        <v>3007</v>
      </c>
      <c r="C1189" s="5" t="s">
        <v>20</v>
      </c>
      <c r="D1189" s="5">
        <v>1.0</v>
      </c>
    </row>
    <row r="1190">
      <c r="A1190" s="5">
        <v>477.0</v>
      </c>
      <c r="B1190" s="5" t="s">
        <v>3007</v>
      </c>
      <c r="C1190" s="5" t="s">
        <v>6620</v>
      </c>
      <c r="D1190" s="5">
        <v>2.0</v>
      </c>
    </row>
    <row r="1191">
      <c r="A1191" s="5">
        <v>478.0</v>
      </c>
      <c r="B1191" s="5" t="s">
        <v>3010</v>
      </c>
      <c r="C1191" s="5" t="s">
        <v>6616</v>
      </c>
      <c r="D1191" s="5">
        <v>1.0</v>
      </c>
    </row>
    <row r="1192">
      <c r="A1192" s="5">
        <v>478.0</v>
      </c>
      <c r="B1192" s="5" t="s">
        <v>3010</v>
      </c>
      <c r="C1192" s="5" t="s">
        <v>6617</v>
      </c>
      <c r="D1192" s="5">
        <v>2.0</v>
      </c>
    </row>
    <row r="1193">
      <c r="A1193" s="5">
        <v>478.0</v>
      </c>
      <c r="B1193" s="5" t="s">
        <v>3010</v>
      </c>
      <c r="C1193" s="5" t="s">
        <v>6620</v>
      </c>
      <c r="D1193" s="5">
        <v>3.0</v>
      </c>
    </row>
    <row r="1194">
      <c r="A1194" s="5">
        <v>479.0</v>
      </c>
      <c r="B1194" s="5" t="s">
        <v>3016</v>
      </c>
      <c r="C1194" s="5" t="s">
        <v>20</v>
      </c>
      <c r="D1194" s="5">
        <v>1.0</v>
      </c>
    </row>
    <row r="1195">
      <c r="A1195" s="5">
        <v>479.0</v>
      </c>
      <c r="B1195" s="5" t="s">
        <v>3016</v>
      </c>
      <c r="C1195" s="5" t="s">
        <v>6621</v>
      </c>
      <c r="D1195" s="5">
        <v>2.0</v>
      </c>
    </row>
    <row r="1196">
      <c r="A1196" s="5">
        <v>480.0</v>
      </c>
      <c r="B1196" s="5" t="s">
        <v>3020</v>
      </c>
      <c r="C1196" s="5" t="s">
        <v>6616</v>
      </c>
      <c r="D1196" s="5">
        <v>1.0</v>
      </c>
    </row>
    <row r="1197">
      <c r="A1197" s="5">
        <v>480.0</v>
      </c>
      <c r="B1197" s="5" t="s">
        <v>3020</v>
      </c>
      <c r="C1197" s="5" t="s">
        <v>6617</v>
      </c>
      <c r="D1197" s="5">
        <v>2.0</v>
      </c>
    </row>
    <row r="1198">
      <c r="A1198" s="5">
        <v>480.0</v>
      </c>
      <c r="B1198" s="5" t="s">
        <v>3020</v>
      </c>
      <c r="C1198" s="5" t="s">
        <v>6620</v>
      </c>
      <c r="D1198" s="5">
        <v>3.0</v>
      </c>
    </row>
    <row r="1199">
      <c r="A1199" s="5">
        <v>481.0</v>
      </c>
      <c r="B1199" s="5" t="s">
        <v>3023</v>
      </c>
      <c r="C1199" s="5" t="s">
        <v>6615</v>
      </c>
      <c r="D1199" s="5">
        <v>1.0</v>
      </c>
    </row>
    <row r="1200">
      <c r="A1200" s="5">
        <v>481.0</v>
      </c>
      <c r="B1200" s="5" t="s">
        <v>3023</v>
      </c>
      <c r="C1200" s="5" t="s">
        <v>20</v>
      </c>
      <c r="D1200" s="5">
        <v>2.0</v>
      </c>
    </row>
    <row r="1201">
      <c r="A1201" s="5">
        <v>482.0</v>
      </c>
      <c r="B1201" s="5" t="s">
        <v>3030</v>
      </c>
      <c r="C1201" s="5" t="s">
        <v>602</v>
      </c>
      <c r="D1201" s="5">
        <v>1.0</v>
      </c>
    </row>
    <row r="1202">
      <c r="A1202" s="5">
        <v>482.0</v>
      </c>
      <c r="B1202" s="5" t="s">
        <v>3030</v>
      </c>
      <c r="C1202" s="5" t="s">
        <v>20</v>
      </c>
      <c r="D1202" s="5">
        <v>2.0</v>
      </c>
    </row>
    <row r="1203">
      <c r="A1203" s="5">
        <v>482.0</v>
      </c>
      <c r="B1203" s="5" t="s">
        <v>3030</v>
      </c>
      <c r="C1203" s="5" t="s">
        <v>6621</v>
      </c>
      <c r="D1203" s="5">
        <v>3.0</v>
      </c>
    </row>
    <row r="1204">
      <c r="A1204" s="5">
        <v>483.0</v>
      </c>
      <c r="B1204" s="5" t="s">
        <v>3036</v>
      </c>
      <c r="C1204" s="5" t="s">
        <v>6616</v>
      </c>
      <c r="D1204" s="5">
        <v>1.0</v>
      </c>
    </row>
    <row r="1205">
      <c r="A1205" s="5">
        <v>483.0</v>
      </c>
      <c r="B1205" s="5" t="s">
        <v>3036</v>
      </c>
      <c r="C1205" s="5" t="s">
        <v>6617</v>
      </c>
      <c r="D1205" s="5">
        <v>2.0</v>
      </c>
    </row>
    <row r="1206">
      <c r="A1206" s="5">
        <v>483.0</v>
      </c>
      <c r="B1206" s="5" t="s">
        <v>3036</v>
      </c>
      <c r="C1206" s="5" t="s">
        <v>6620</v>
      </c>
      <c r="D1206" s="5">
        <v>3.0</v>
      </c>
    </row>
    <row r="1207">
      <c r="A1207" s="5">
        <v>484.0</v>
      </c>
      <c r="B1207" s="5" t="s">
        <v>3040</v>
      </c>
      <c r="C1207" s="5" t="s">
        <v>20</v>
      </c>
      <c r="D1207" s="5">
        <v>1.0</v>
      </c>
    </row>
    <row r="1208">
      <c r="A1208" s="5">
        <v>484.0</v>
      </c>
      <c r="B1208" s="5" t="s">
        <v>3040</v>
      </c>
      <c r="C1208" s="5" t="s">
        <v>6621</v>
      </c>
      <c r="D1208" s="5">
        <v>2.0</v>
      </c>
    </row>
    <row r="1209">
      <c r="A1209" s="5">
        <v>485.0</v>
      </c>
      <c r="B1209" s="5" t="s">
        <v>3046</v>
      </c>
      <c r="C1209" s="5" t="s">
        <v>6618</v>
      </c>
      <c r="D1209" s="5">
        <v>1.0</v>
      </c>
    </row>
    <row r="1210">
      <c r="A1210" s="5">
        <v>485.0</v>
      </c>
      <c r="B1210" s="5" t="s">
        <v>3046</v>
      </c>
      <c r="C1210" s="5" t="s">
        <v>6615</v>
      </c>
      <c r="D1210" s="5">
        <v>2.0</v>
      </c>
    </row>
    <row r="1211">
      <c r="A1211" s="5">
        <v>485.0</v>
      </c>
      <c r="B1211" s="5" t="s">
        <v>3046</v>
      </c>
      <c r="C1211" s="5" t="s">
        <v>20</v>
      </c>
      <c r="D1211" s="5">
        <v>3.0</v>
      </c>
    </row>
    <row r="1212">
      <c r="A1212" s="5">
        <v>486.0</v>
      </c>
      <c r="B1212" s="5" t="s">
        <v>3049</v>
      </c>
      <c r="C1212" s="5" t="s">
        <v>6615</v>
      </c>
      <c r="D1212" s="5">
        <v>1.0</v>
      </c>
    </row>
    <row r="1213">
      <c r="A1213" s="5">
        <v>486.0</v>
      </c>
      <c r="B1213" s="5" t="s">
        <v>3049</v>
      </c>
      <c r="C1213" s="5" t="s">
        <v>20</v>
      </c>
      <c r="D1213" s="5">
        <v>2.0</v>
      </c>
    </row>
    <row r="1214">
      <c r="A1214" s="5">
        <v>487.0</v>
      </c>
      <c r="B1214" s="5" t="s">
        <v>3056</v>
      </c>
      <c r="C1214" s="5" t="s">
        <v>20</v>
      </c>
      <c r="D1214" s="5">
        <v>1.0</v>
      </c>
    </row>
    <row r="1215">
      <c r="A1215" s="5">
        <v>487.0</v>
      </c>
      <c r="B1215" s="5" t="s">
        <v>3056</v>
      </c>
      <c r="C1215" s="5" t="s">
        <v>6626</v>
      </c>
      <c r="D1215" s="5">
        <v>2.0</v>
      </c>
    </row>
    <row r="1216">
      <c r="A1216" s="5">
        <v>487.0</v>
      </c>
      <c r="B1216" s="5" t="s">
        <v>3056</v>
      </c>
      <c r="C1216" s="5" t="s">
        <v>6620</v>
      </c>
      <c r="D1216" s="5">
        <v>3.0</v>
      </c>
    </row>
    <row r="1217">
      <c r="A1217" s="5">
        <v>488.0</v>
      </c>
      <c r="B1217" s="5" t="s">
        <v>3061</v>
      </c>
      <c r="C1217" s="5" t="s">
        <v>6615</v>
      </c>
      <c r="D1217" s="5">
        <v>1.0</v>
      </c>
    </row>
    <row r="1218">
      <c r="A1218" s="5">
        <v>488.0</v>
      </c>
      <c r="B1218" s="5" t="s">
        <v>3061</v>
      </c>
      <c r="C1218" s="5" t="s">
        <v>20</v>
      </c>
      <c r="D1218" s="5">
        <v>2.0</v>
      </c>
    </row>
    <row r="1219">
      <c r="A1219" s="5">
        <v>488.0</v>
      </c>
      <c r="B1219" s="5" t="s">
        <v>3061</v>
      </c>
      <c r="C1219" s="5" t="s">
        <v>6622</v>
      </c>
      <c r="D1219" s="5">
        <v>3.0</v>
      </c>
    </row>
    <row r="1220">
      <c r="A1220" s="5">
        <v>489.0</v>
      </c>
      <c r="B1220" s="5" t="s">
        <v>3068</v>
      </c>
      <c r="C1220" s="5" t="s">
        <v>6616</v>
      </c>
      <c r="D1220" s="5">
        <v>1.0</v>
      </c>
    </row>
    <row r="1221">
      <c r="A1221" s="5">
        <v>489.0</v>
      </c>
      <c r="B1221" s="5" t="s">
        <v>3068</v>
      </c>
      <c r="C1221" s="5" t="s">
        <v>6620</v>
      </c>
      <c r="D1221" s="5">
        <v>2.0</v>
      </c>
    </row>
    <row r="1222">
      <c r="A1222" s="5">
        <v>489.0</v>
      </c>
      <c r="B1222" s="5" t="s">
        <v>3068</v>
      </c>
      <c r="C1222" s="5" t="s">
        <v>4191</v>
      </c>
      <c r="D1222" s="5">
        <v>3.0</v>
      </c>
    </row>
    <row r="1223">
      <c r="A1223" s="5">
        <v>490.0</v>
      </c>
      <c r="B1223" s="5" t="s">
        <v>3075</v>
      </c>
      <c r="C1223" s="5" t="s">
        <v>20</v>
      </c>
      <c r="D1223" s="5">
        <v>1.0</v>
      </c>
    </row>
    <row r="1224">
      <c r="A1224" s="5">
        <v>490.0</v>
      </c>
      <c r="B1224" s="5" t="s">
        <v>3075</v>
      </c>
      <c r="C1224" s="5" t="s">
        <v>6630</v>
      </c>
      <c r="D1224" s="5">
        <v>2.0</v>
      </c>
    </row>
    <row r="1225">
      <c r="A1225" s="5">
        <v>491.0</v>
      </c>
      <c r="B1225" s="5" t="s">
        <v>3080</v>
      </c>
      <c r="C1225" s="5" t="s">
        <v>602</v>
      </c>
      <c r="D1225" s="5">
        <v>1.0</v>
      </c>
    </row>
    <row r="1226">
      <c r="A1226" s="5">
        <v>491.0</v>
      </c>
      <c r="B1226" s="5" t="s">
        <v>3080</v>
      </c>
      <c r="C1226" s="5" t="s">
        <v>20</v>
      </c>
      <c r="D1226" s="5">
        <v>2.0</v>
      </c>
    </row>
    <row r="1227">
      <c r="A1227" s="5">
        <v>491.0</v>
      </c>
      <c r="B1227" s="5" t="s">
        <v>3080</v>
      </c>
      <c r="C1227" s="5" t="s">
        <v>6621</v>
      </c>
      <c r="D1227" s="5">
        <v>3.0</v>
      </c>
    </row>
    <row r="1228">
      <c r="A1228" s="5">
        <v>492.0</v>
      </c>
      <c r="B1228" s="5" t="s">
        <v>3086</v>
      </c>
      <c r="C1228" s="5" t="s">
        <v>20</v>
      </c>
      <c r="D1228" s="5">
        <v>1.0</v>
      </c>
    </row>
    <row r="1229">
      <c r="A1229" s="5">
        <v>493.0</v>
      </c>
      <c r="B1229" s="5" t="s">
        <v>3091</v>
      </c>
      <c r="C1229" s="5" t="s">
        <v>20</v>
      </c>
      <c r="D1229" s="5">
        <v>1.0</v>
      </c>
    </row>
    <row r="1230">
      <c r="A1230" s="5">
        <v>494.0</v>
      </c>
      <c r="B1230" s="5" t="s">
        <v>3098</v>
      </c>
      <c r="C1230" s="5" t="s">
        <v>6616</v>
      </c>
      <c r="D1230" s="5">
        <v>1.0</v>
      </c>
    </row>
    <row r="1231">
      <c r="A1231" s="5">
        <v>494.0</v>
      </c>
      <c r="B1231" s="5" t="s">
        <v>3098</v>
      </c>
      <c r="C1231" s="5" t="s">
        <v>6617</v>
      </c>
      <c r="D1231" s="5">
        <v>2.0</v>
      </c>
    </row>
    <row r="1232">
      <c r="A1232" s="5">
        <v>494.0</v>
      </c>
      <c r="B1232" s="5" t="s">
        <v>3098</v>
      </c>
      <c r="C1232" s="5" t="s">
        <v>6620</v>
      </c>
      <c r="D1232" s="5">
        <v>3.0</v>
      </c>
    </row>
    <row r="1233">
      <c r="A1233" s="5">
        <v>495.0</v>
      </c>
      <c r="B1233" s="5" t="s">
        <v>3104</v>
      </c>
      <c r="C1233" s="5" t="s">
        <v>602</v>
      </c>
      <c r="D1233" s="5">
        <v>1.0</v>
      </c>
    </row>
    <row r="1234">
      <c r="A1234" s="5">
        <v>495.0</v>
      </c>
      <c r="B1234" s="5" t="s">
        <v>3104</v>
      </c>
      <c r="C1234" s="5" t="s">
        <v>6615</v>
      </c>
      <c r="D1234" s="5">
        <v>2.0</v>
      </c>
    </row>
    <row r="1235">
      <c r="A1235" s="5">
        <v>495.0</v>
      </c>
      <c r="B1235" s="5" t="s">
        <v>3104</v>
      </c>
      <c r="C1235" s="5" t="s">
        <v>20</v>
      </c>
      <c r="D1235" s="5">
        <v>3.0</v>
      </c>
    </row>
    <row r="1236">
      <c r="A1236" s="5">
        <v>496.0</v>
      </c>
      <c r="B1236" s="5" t="s">
        <v>3108</v>
      </c>
      <c r="C1236" s="5" t="s">
        <v>20</v>
      </c>
      <c r="D1236" s="5">
        <v>1.0</v>
      </c>
    </row>
    <row r="1237">
      <c r="A1237" s="5">
        <v>496.0</v>
      </c>
      <c r="B1237" s="5" t="s">
        <v>3108</v>
      </c>
      <c r="C1237" s="5" t="s">
        <v>6622</v>
      </c>
      <c r="D1237" s="5">
        <v>2.0</v>
      </c>
    </row>
    <row r="1238">
      <c r="A1238" s="5">
        <v>496.0</v>
      </c>
      <c r="B1238" s="5" t="s">
        <v>3108</v>
      </c>
      <c r="C1238" s="5" t="s">
        <v>6626</v>
      </c>
      <c r="D1238" s="5">
        <v>3.0</v>
      </c>
    </row>
    <row r="1239">
      <c r="A1239" s="5">
        <v>497.0</v>
      </c>
      <c r="B1239" s="5" t="s">
        <v>3116</v>
      </c>
      <c r="C1239" s="5" t="s">
        <v>6616</v>
      </c>
      <c r="D1239" s="5">
        <v>1.0</v>
      </c>
    </row>
    <row r="1240">
      <c r="A1240" s="5">
        <v>497.0</v>
      </c>
      <c r="B1240" s="5" t="s">
        <v>3116</v>
      </c>
      <c r="C1240" s="5" t="s">
        <v>6617</v>
      </c>
      <c r="D1240" s="5">
        <v>2.0</v>
      </c>
    </row>
    <row r="1241">
      <c r="A1241" s="5">
        <v>497.0</v>
      </c>
      <c r="B1241" s="5" t="s">
        <v>3116</v>
      </c>
      <c r="C1241" s="5" t="s">
        <v>20</v>
      </c>
      <c r="D1241" s="5">
        <v>3.0</v>
      </c>
    </row>
    <row r="1242">
      <c r="A1242" s="5">
        <v>498.0</v>
      </c>
      <c r="B1242" s="5" t="s">
        <v>3121</v>
      </c>
      <c r="C1242" s="5" t="s">
        <v>6617</v>
      </c>
      <c r="D1242" s="5">
        <v>1.0</v>
      </c>
    </row>
    <row r="1243">
      <c r="A1243" s="5">
        <v>498.0</v>
      </c>
      <c r="B1243" s="5" t="s">
        <v>3121</v>
      </c>
      <c r="C1243" s="5" t="s">
        <v>20</v>
      </c>
      <c r="D1243" s="5">
        <v>2.0</v>
      </c>
    </row>
    <row r="1244">
      <c r="A1244" s="5">
        <v>498.0</v>
      </c>
      <c r="B1244" s="5" t="s">
        <v>3121</v>
      </c>
      <c r="C1244" s="5" t="s">
        <v>6622</v>
      </c>
      <c r="D1244" s="5">
        <v>3.0</v>
      </c>
    </row>
    <row r="1245">
      <c r="A1245" s="5">
        <v>499.0</v>
      </c>
      <c r="B1245" s="5" t="s">
        <v>3128</v>
      </c>
      <c r="C1245" s="5" t="s">
        <v>6617</v>
      </c>
      <c r="D1245" s="5">
        <v>1.0</v>
      </c>
    </row>
    <row r="1246">
      <c r="A1246" s="5">
        <v>499.0</v>
      </c>
      <c r="B1246" s="5" t="s">
        <v>3128</v>
      </c>
      <c r="C1246" s="5" t="s">
        <v>20</v>
      </c>
      <c r="D1246" s="5">
        <v>2.0</v>
      </c>
    </row>
    <row r="1247">
      <c r="A1247" s="5">
        <v>499.0</v>
      </c>
      <c r="B1247" s="5" t="s">
        <v>3128</v>
      </c>
      <c r="C1247" s="5" t="s">
        <v>6622</v>
      </c>
      <c r="D1247" s="5">
        <v>3.0</v>
      </c>
    </row>
    <row r="1248">
      <c r="A1248" s="5">
        <v>500.0</v>
      </c>
      <c r="B1248" s="5" t="s">
        <v>3133</v>
      </c>
      <c r="C1248" s="5" t="s">
        <v>6623</v>
      </c>
      <c r="D1248" s="5">
        <v>1.0</v>
      </c>
    </row>
    <row r="1249">
      <c r="A1249" s="5">
        <v>500.0</v>
      </c>
      <c r="B1249" s="5" t="s">
        <v>3133</v>
      </c>
      <c r="C1249" s="5" t="s">
        <v>6617</v>
      </c>
      <c r="D1249" s="5">
        <v>2.0</v>
      </c>
    </row>
    <row r="1250">
      <c r="A1250" s="5">
        <v>500.0</v>
      </c>
      <c r="B1250" s="5" t="s">
        <v>3133</v>
      </c>
      <c r="C1250" s="5" t="s">
        <v>602</v>
      </c>
      <c r="D1250" s="5">
        <v>3.0</v>
      </c>
    </row>
    <row r="1251">
      <c r="A1251" s="5">
        <v>501.0</v>
      </c>
      <c r="B1251" s="5" t="s">
        <v>3137</v>
      </c>
      <c r="C1251" s="5" t="s">
        <v>602</v>
      </c>
      <c r="D1251" s="5">
        <v>1.0</v>
      </c>
    </row>
    <row r="1252">
      <c r="A1252" s="5">
        <v>501.0</v>
      </c>
      <c r="B1252" s="5" t="s">
        <v>3137</v>
      </c>
      <c r="C1252" s="5" t="s">
        <v>20</v>
      </c>
      <c r="D1252" s="5">
        <v>2.0</v>
      </c>
    </row>
    <row r="1253">
      <c r="A1253" s="5">
        <v>502.0</v>
      </c>
      <c r="B1253" s="5" t="s">
        <v>3143</v>
      </c>
      <c r="C1253" s="5" t="s">
        <v>20</v>
      </c>
      <c r="D1253" s="5">
        <v>1.0</v>
      </c>
    </row>
    <row r="1254">
      <c r="A1254" s="5">
        <v>502.0</v>
      </c>
      <c r="B1254" s="5" t="s">
        <v>3143</v>
      </c>
      <c r="C1254" s="5" t="s">
        <v>6627</v>
      </c>
      <c r="D1254" s="5">
        <v>2.0</v>
      </c>
    </row>
    <row r="1255">
      <c r="A1255" s="5">
        <v>503.0</v>
      </c>
      <c r="B1255" s="5" t="s">
        <v>3150</v>
      </c>
      <c r="C1255" s="5" t="s">
        <v>6616</v>
      </c>
      <c r="D1255" s="5">
        <v>1.0</v>
      </c>
    </row>
    <row r="1256">
      <c r="A1256" s="5">
        <v>503.0</v>
      </c>
      <c r="B1256" s="5" t="s">
        <v>3150</v>
      </c>
      <c r="C1256" s="5" t="s">
        <v>6617</v>
      </c>
      <c r="D1256" s="5">
        <v>2.0</v>
      </c>
    </row>
    <row r="1257">
      <c r="A1257" s="5">
        <v>503.0</v>
      </c>
      <c r="B1257" s="5" t="s">
        <v>3150</v>
      </c>
      <c r="C1257" s="5" t="s">
        <v>6620</v>
      </c>
      <c r="D1257" s="5">
        <v>3.0</v>
      </c>
    </row>
    <row r="1258">
      <c r="A1258" s="5">
        <v>504.0</v>
      </c>
      <c r="B1258" s="5" t="s">
        <v>3155</v>
      </c>
      <c r="C1258" s="5" t="s">
        <v>602</v>
      </c>
      <c r="D1258" s="5">
        <v>1.0</v>
      </c>
    </row>
    <row r="1259">
      <c r="A1259" s="5">
        <v>504.0</v>
      </c>
      <c r="B1259" s="5" t="s">
        <v>3155</v>
      </c>
      <c r="C1259" s="5" t="s">
        <v>2696</v>
      </c>
      <c r="D1259" s="5">
        <v>2.0</v>
      </c>
    </row>
    <row r="1260">
      <c r="A1260" s="5">
        <v>505.0</v>
      </c>
      <c r="B1260" s="5" t="s">
        <v>3162</v>
      </c>
      <c r="C1260" s="5" t="s">
        <v>20</v>
      </c>
      <c r="D1260" s="5">
        <v>1.0</v>
      </c>
    </row>
    <row r="1261">
      <c r="A1261" s="5">
        <v>505.0</v>
      </c>
      <c r="B1261" s="5" t="s">
        <v>3162</v>
      </c>
      <c r="C1261" s="5" t="s">
        <v>6621</v>
      </c>
      <c r="D1261" s="5">
        <v>2.0</v>
      </c>
    </row>
    <row r="1262">
      <c r="A1262" s="5">
        <v>506.0</v>
      </c>
      <c r="B1262" s="5" t="s">
        <v>3169</v>
      </c>
      <c r="C1262" s="5" t="s">
        <v>6615</v>
      </c>
      <c r="D1262" s="5">
        <v>1.0</v>
      </c>
    </row>
    <row r="1263">
      <c r="A1263" s="5">
        <v>506.0</v>
      </c>
      <c r="B1263" s="5" t="s">
        <v>3169</v>
      </c>
      <c r="C1263" s="5" t="s">
        <v>20</v>
      </c>
      <c r="D1263" s="5">
        <v>2.0</v>
      </c>
    </row>
    <row r="1264">
      <c r="A1264" s="5">
        <v>506.0</v>
      </c>
      <c r="B1264" s="5" t="s">
        <v>3169</v>
      </c>
      <c r="C1264" s="5" t="s">
        <v>6626</v>
      </c>
      <c r="D1264" s="5">
        <v>3.0</v>
      </c>
    </row>
    <row r="1265">
      <c r="A1265" s="5">
        <v>507.0</v>
      </c>
      <c r="B1265" s="5" t="s">
        <v>3173</v>
      </c>
      <c r="C1265" s="5" t="s">
        <v>6617</v>
      </c>
      <c r="D1265" s="5">
        <v>1.0</v>
      </c>
    </row>
    <row r="1266">
      <c r="A1266" s="5">
        <v>507.0</v>
      </c>
      <c r="B1266" s="5" t="s">
        <v>3173</v>
      </c>
      <c r="C1266" s="5" t="s">
        <v>6624</v>
      </c>
      <c r="D1266" s="5">
        <v>2.0</v>
      </c>
    </row>
    <row r="1267">
      <c r="A1267" s="5">
        <v>507.0</v>
      </c>
      <c r="B1267" s="5" t="s">
        <v>3173</v>
      </c>
      <c r="C1267" s="5" t="s">
        <v>6622</v>
      </c>
      <c r="D1267" s="5">
        <v>3.0</v>
      </c>
    </row>
    <row r="1268">
      <c r="A1268" s="5">
        <v>508.0</v>
      </c>
      <c r="B1268" s="5" t="s">
        <v>3177</v>
      </c>
      <c r="C1268" s="5" t="s">
        <v>6616</v>
      </c>
      <c r="D1268" s="5">
        <v>1.0</v>
      </c>
    </row>
    <row r="1269">
      <c r="A1269" s="5">
        <v>508.0</v>
      </c>
      <c r="B1269" s="5" t="s">
        <v>3177</v>
      </c>
      <c r="C1269" s="5" t="s">
        <v>6617</v>
      </c>
      <c r="D1269" s="5">
        <v>2.0</v>
      </c>
    </row>
    <row r="1270">
      <c r="A1270" s="5">
        <v>508.0</v>
      </c>
      <c r="B1270" s="5" t="s">
        <v>3177</v>
      </c>
      <c r="C1270" s="5" t="s">
        <v>6619</v>
      </c>
      <c r="D1270" s="5">
        <v>3.0</v>
      </c>
    </row>
    <row r="1271">
      <c r="A1271" s="5">
        <v>509.0</v>
      </c>
      <c r="B1271" s="5" t="s">
        <v>3182</v>
      </c>
      <c r="C1271" s="5" t="s">
        <v>20</v>
      </c>
      <c r="D1271" s="5">
        <v>1.0</v>
      </c>
    </row>
    <row r="1272">
      <c r="A1272" s="5">
        <v>509.0</v>
      </c>
      <c r="B1272" s="5" t="s">
        <v>3182</v>
      </c>
      <c r="C1272" s="5" t="s">
        <v>6626</v>
      </c>
      <c r="D1272" s="5">
        <v>2.0</v>
      </c>
    </row>
    <row r="1273">
      <c r="A1273" s="5">
        <v>509.0</v>
      </c>
      <c r="B1273" s="5" t="s">
        <v>3182</v>
      </c>
      <c r="C1273" s="5" t="s">
        <v>6621</v>
      </c>
      <c r="D1273" s="5">
        <v>3.0</v>
      </c>
    </row>
    <row r="1274">
      <c r="A1274" s="5">
        <v>510.0</v>
      </c>
      <c r="B1274" s="5" t="s">
        <v>3188</v>
      </c>
      <c r="C1274" s="5" t="s">
        <v>602</v>
      </c>
      <c r="D1274" s="5">
        <v>1.0</v>
      </c>
    </row>
    <row r="1275">
      <c r="A1275" s="5">
        <v>510.0</v>
      </c>
      <c r="B1275" s="5" t="s">
        <v>3188</v>
      </c>
      <c r="C1275" s="5" t="s">
        <v>20</v>
      </c>
      <c r="D1275" s="5">
        <v>2.0</v>
      </c>
    </row>
    <row r="1276">
      <c r="A1276" s="5">
        <v>510.0</v>
      </c>
      <c r="B1276" s="5" t="s">
        <v>3188</v>
      </c>
      <c r="C1276" s="5" t="s">
        <v>6625</v>
      </c>
      <c r="D1276" s="5">
        <v>3.0</v>
      </c>
    </row>
    <row r="1277">
      <c r="A1277" s="5">
        <v>511.0</v>
      </c>
      <c r="B1277" s="5" t="s">
        <v>3195</v>
      </c>
      <c r="C1277" s="5" t="s">
        <v>6623</v>
      </c>
      <c r="D1277" s="5">
        <v>1.0</v>
      </c>
    </row>
    <row r="1278">
      <c r="A1278" s="5">
        <v>511.0</v>
      </c>
      <c r="B1278" s="5" t="s">
        <v>3195</v>
      </c>
      <c r="C1278" s="5" t="s">
        <v>6616</v>
      </c>
      <c r="D1278" s="5">
        <v>2.0</v>
      </c>
    </row>
    <row r="1279">
      <c r="A1279" s="5">
        <v>511.0</v>
      </c>
      <c r="B1279" s="5" t="s">
        <v>3195</v>
      </c>
      <c r="C1279" s="5" t="s">
        <v>6615</v>
      </c>
      <c r="D1279" s="5">
        <v>3.0</v>
      </c>
    </row>
    <row r="1280">
      <c r="A1280" s="5">
        <v>512.0</v>
      </c>
      <c r="B1280" s="5" t="s">
        <v>3202</v>
      </c>
      <c r="C1280" s="5" t="s">
        <v>6616</v>
      </c>
      <c r="D1280" s="5">
        <v>1.0</v>
      </c>
    </row>
    <row r="1281">
      <c r="A1281" s="5">
        <v>512.0</v>
      </c>
      <c r="B1281" s="5" t="s">
        <v>3202</v>
      </c>
      <c r="C1281" s="5" t="s">
        <v>6626</v>
      </c>
      <c r="D1281" s="5">
        <v>2.0</v>
      </c>
    </row>
    <row r="1282">
      <c r="A1282" s="5">
        <v>512.0</v>
      </c>
      <c r="B1282" s="5" t="s">
        <v>3202</v>
      </c>
      <c r="C1282" s="5" t="s">
        <v>4191</v>
      </c>
      <c r="D1282" s="5">
        <v>3.0</v>
      </c>
    </row>
    <row r="1283">
      <c r="A1283" s="5">
        <v>513.0</v>
      </c>
      <c r="B1283" s="5" t="s">
        <v>3206</v>
      </c>
      <c r="C1283" s="5" t="s">
        <v>6615</v>
      </c>
      <c r="D1283" s="5">
        <v>1.0</v>
      </c>
    </row>
    <row r="1284">
      <c r="A1284" s="5">
        <v>513.0</v>
      </c>
      <c r="B1284" s="5" t="s">
        <v>3206</v>
      </c>
      <c r="C1284" s="5" t="s">
        <v>20</v>
      </c>
      <c r="D1284" s="5">
        <v>2.0</v>
      </c>
    </row>
    <row r="1285">
      <c r="A1285" s="5">
        <v>513.0</v>
      </c>
      <c r="B1285" s="5" t="s">
        <v>3206</v>
      </c>
      <c r="C1285" s="5" t="s">
        <v>4191</v>
      </c>
      <c r="D1285" s="5">
        <v>3.0</v>
      </c>
    </row>
    <row r="1286">
      <c r="A1286" s="5">
        <v>514.0</v>
      </c>
      <c r="B1286" s="5" t="s">
        <v>3212</v>
      </c>
      <c r="C1286" s="5" t="s">
        <v>6617</v>
      </c>
      <c r="D1286" s="5">
        <v>1.0</v>
      </c>
    </row>
    <row r="1287">
      <c r="A1287" s="5">
        <v>514.0</v>
      </c>
      <c r="B1287" s="5" t="s">
        <v>3212</v>
      </c>
      <c r="C1287" s="5" t="s">
        <v>20</v>
      </c>
      <c r="D1287" s="5">
        <v>2.0</v>
      </c>
    </row>
    <row r="1288">
      <c r="A1288" s="5">
        <v>514.0</v>
      </c>
      <c r="B1288" s="5" t="s">
        <v>3212</v>
      </c>
      <c r="C1288" s="5" t="s">
        <v>6620</v>
      </c>
      <c r="D1288" s="5">
        <v>3.0</v>
      </c>
    </row>
    <row r="1289">
      <c r="A1289" s="5">
        <v>515.0</v>
      </c>
      <c r="B1289" s="5" t="s">
        <v>3214</v>
      </c>
      <c r="C1289" s="5" t="s">
        <v>6617</v>
      </c>
      <c r="D1289" s="5">
        <v>1.0</v>
      </c>
    </row>
    <row r="1290">
      <c r="A1290" s="5">
        <v>515.0</v>
      </c>
      <c r="B1290" s="5" t="s">
        <v>3214</v>
      </c>
      <c r="C1290" s="5" t="s">
        <v>602</v>
      </c>
      <c r="D1290" s="5">
        <v>2.0</v>
      </c>
    </row>
    <row r="1291">
      <c r="A1291" s="5">
        <v>515.0</v>
      </c>
      <c r="B1291" s="5" t="s">
        <v>3214</v>
      </c>
      <c r="C1291" s="5" t="s">
        <v>20</v>
      </c>
      <c r="D1291" s="5">
        <v>3.0</v>
      </c>
    </row>
    <row r="1292">
      <c r="A1292" s="5">
        <v>516.0</v>
      </c>
      <c r="B1292" s="5" t="s">
        <v>3219</v>
      </c>
      <c r="C1292" s="5" t="s">
        <v>20</v>
      </c>
      <c r="D1292" s="5">
        <v>1.0</v>
      </c>
    </row>
    <row r="1293">
      <c r="A1293" s="5">
        <v>516.0</v>
      </c>
      <c r="B1293" s="5" t="s">
        <v>3219</v>
      </c>
      <c r="C1293" s="5" t="s">
        <v>6626</v>
      </c>
      <c r="D1293" s="5">
        <v>2.0</v>
      </c>
    </row>
    <row r="1294">
      <c r="A1294" s="5">
        <v>516.0</v>
      </c>
      <c r="B1294" s="5" t="s">
        <v>3219</v>
      </c>
      <c r="C1294" s="5" t="s">
        <v>4191</v>
      </c>
      <c r="D1294" s="5">
        <v>3.0</v>
      </c>
    </row>
    <row r="1295">
      <c r="A1295" s="5">
        <v>517.0</v>
      </c>
      <c r="B1295" s="5" t="s">
        <v>3225</v>
      </c>
      <c r="C1295" s="5" t="s">
        <v>6623</v>
      </c>
      <c r="D1295" s="5">
        <v>1.0</v>
      </c>
    </row>
    <row r="1296">
      <c r="A1296" s="5">
        <v>517.0</v>
      </c>
      <c r="B1296" s="5" t="s">
        <v>3225</v>
      </c>
      <c r="C1296" s="5" t="s">
        <v>6617</v>
      </c>
      <c r="D1296" s="5">
        <v>2.0</v>
      </c>
    </row>
    <row r="1297">
      <c r="A1297" s="5">
        <v>517.0</v>
      </c>
      <c r="B1297" s="5" t="s">
        <v>3225</v>
      </c>
      <c r="C1297" s="5" t="s">
        <v>602</v>
      </c>
      <c r="D1297" s="5">
        <v>3.0</v>
      </c>
    </row>
    <row r="1298">
      <c r="A1298" s="5">
        <v>518.0</v>
      </c>
      <c r="B1298" s="5" t="s">
        <v>3228</v>
      </c>
      <c r="C1298" s="5" t="s">
        <v>20</v>
      </c>
      <c r="D1298" s="5">
        <v>1.0</v>
      </c>
    </row>
    <row r="1299">
      <c r="A1299" s="5">
        <v>519.0</v>
      </c>
      <c r="B1299" s="5" t="s">
        <v>3232</v>
      </c>
      <c r="C1299" s="5" t="s">
        <v>6623</v>
      </c>
      <c r="D1299" s="5">
        <v>1.0</v>
      </c>
    </row>
    <row r="1300">
      <c r="A1300" s="5">
        <v>519.0</v>
      </c>
      <c r="B1300" s="5" t="s">
        <v>3232</v>
      </c>
      <c r="C1300" s="5" t="s">
        <v>20</v>
      </c>
      <c r="D1300" s="5">
        <v>2.0</v>
      </c>
    </row>
    <row r="1301">
      <c r="A1301" s="5">
        <v>519.0</v>
      </c>
      <c r="B1301" s="5" t="s">
        <v>3232</v>
      </c>
      <c r="C1301" s="5" t="s">
        <v>6624</v>
      </c>
      <c r="D1301" s="5">
        <v>3.0</v>
      </c>
    </row>
    <row r="1302">
      <c r="A1302" s="5">
        <v>520.0</v>
      </c>
      <c r="B1302" s="5" t="s">
        <v>3239</v>
      </c>
      <c r="C1302" s="5" t="s">
        <v>6615</v>
      </c>
      <c r="D1302" s="5">
        <v>1.0</v>
      </c>
    </row>
    <row r="1303">
      <c r="A1303" s="5">
        <v>520.0</v>
      </c>
      <c r="B1303" s="5" t="s">
        <v>3239</v>
      </c>
      <c r="C1303" s="5" t="s">
        <v>20</v>
      </c>
      <c r="D1303" s="5">
        <v>2.0</v>
      </c>
    </row>
    <row r="1304">
      <c r="A1304" s="5">
        <v>521.0</v>
      </c>
      <c r="B1304" s="5" t="s">
        <v>3246</v>
      </c>
      <c r="C1304" s="5" t="s">
        <v>6615</v>
      </c>
      <c r="D1304" s="5">
        <v>1.0</v>
      </c>
    </row>
    <row r="1305">
      <c r="A1305" s="5">
        <v>521.0</v>
      </c>
      <c r="B1305" s="5" t="s">
        <v>3246</v>
      </c>
      <c r="C1305" s="5" t="s">
        <v>20</v>
      </c>
      <c r="D1305" s="5">
        <v>2.0</v>
      </c>
    </row>
    <row r="1306">
      <c r="A1306" s="5">
        <v>521.0</v>
      </c>
      <c r="B1306" s="5" t="s">
        <v>3246</v>
      </c>
      <c r="C1306" s="5" t="s">
        <v>6621</v>
      </c>
      <c r="D1306" s="5">
        <v>3.0</v>
      </c>
    </row>
    <row r="1307">
      <c r="A1307" s="5">
        <v>522.0</v>
      </c>
      <c r="B1307" s="5" t="s">
        <v>3251</v>
      </c>
      <c r="C1307" s="5" t="s">
        <v>20</v>
      </c>
      <c r="D1307" s="5">
        <v>1.0</v>
      </c>
    </row>
    <row r="1308">
      <c r="A1308" s="5">
        <v>522.0</v>
      </c>
      <c r="B1308" s="5" t="s">
        <v>3251</v>
      </c>
      <c r="C1308" s="5" t="s">
        <v>6627</v>
      </c>
      <c r="D1308" s="5">
        <v>2.0</v>
      </c>
    </row>
    <row r="1309">
      <c r="A1309" s="5">
        <v>522.0</v>
      </c>
      <c r="B1309" s="5" t="s">
        <v>3251</v>
      </c>
      <c r="C1309" s="5" t="s">
        <v>6626</v>
      </c>
      <c r="D1309" s="5">
        <v>3.0</v>
      </c>
    </row>
    <row r="1310">
      <c r="A1310" s="5">
        <v>523.0</v>
      </c>
      <c r="B1310" s="5" t="s">
        <v>3257</v>
      </c>
      <c r="C1310" s="5" t="s">
        <v>6623</v>
      </c>
      <c r="D1310" s="5">
        <v>1.0</v>
      </c>
    </row>
    <row r="1311">
      <c r="A1311" s="5">
        <v>523.0</v>
      </c>
      <c r="B1311" s="5" t="s">
        <v>3257</v>
      </c>
      <c r="C1311" s="5" t="s">
        <v>6616</v>
      </c>
      <c r="D1311" s="5">
        <v>2.0</v>
      </c>
    </row>
    <row r="1312">
      <c r="A1312" s="5">
        <v>523.0</v>
      </c>
      <c r="B1312" s="5" t="s">
        <v>3257</v>
      </c>
      <c r="C1312" s="5" t="s">
        <v>6617</v>
      </c>
      <c r="D1312" s="5">
        <v>3.0</v>
      </c>
    </row>
    <row r="1313">
      <c r="A1313" s="5">
        <v>524.0</v>
      </c>
      <c r="B1313" s="5" t="s">
        <v>3263</v>
      </c>
      <c r="C1313" s="5" t="s">
        <v>6615</v>
      </c>
      <c r="D1313" s="5">
        <v>1.0</v>
      </c>
    </row>
    <row r="1314">
      <c r="A1314" s="5">
        <v>524.0</v>
      </c>
      <c r="B1314" s="5" t="s">
        <v>3263</v>
      </c>
      <c r="C1314" s="5" t="s">
        <v>20</v>
      </c>
      <c r="D1314" s="5">
        <v>2.0</v>
      </c>
    </row>
    <row r="1315">
      <c r="A1315" s="5">
        <v>524.0</v>
      </c>
      <c r="B1315" s="5" t="s">
        <v>3263</v>
      </c>
      <c r="C1315" s="5" t="s">
        <v>4191</v>
      </c>
      <c r="D1315" s="5">
        <v>3.0</v>
      </c>
    </row>
    <row r="1316">
      <c r="A1316" s="5">
        <v>525.0</v>
      </c>
      <c r="B1316" s="5" t="s">
        <v>3267</v>
      </c>
      <c r="C1316" s="5" t="s">
        <v>20</v>
      </c>
      <c r="D1316" s="5">
        <v>1.0</v>
      </c>
    </row>
    <row r="1317">
      <c r="A1317" s="5">
        <v>525.0</v>
      </c>
      <c r="B1317" s="5" t="s">
        <v>3267</v>
      </c>
      <c r="C1317" s="5" t="s">
        <v>6622</v>
      </c>
      <c r="D1317" s="5">
        <v>2.0</v>
      </c>
    </row>
    <row r="1318">
      <c r="A1318" s="5">
        <v>525.0</v>
      </c>
      <c r="B1318" s="5" t="s">
        <v>3267</v>
      </c>
      <c r="C1318" s="5" t="s">
        <v>6621</v>
      </c>
      <c r="D1318" s="5">
        <v>3.0</v>
      </c>
    </row>
    <row r="1319">
      <c r="A1319" s="5">
        <v>526.0</v>
      </c>
      <c r="B1319" s="5" t="s">
        <v>3271</v>
      </c>
      <c r="C1319" s="5" t="s">
        <v>6618</v>
      </c>
      <c r="D1319" s="5">
        <v>1.0</v>
      </c>
    </row>
    <row r="1320">
      <c r="A1320" s="5">
        <v>526.0</v>
      </c>
      <c r="B1320" s="5" t="s">
        <v>3271</v>
      </c>
      <c r="C1320" s="5" t="s">
        <v>20</v>
      </c>
      <c r="D1320" s="5">
        <v>2.0</v>
      </c>
    </row>
    <row r="1321">
      <c r="A1321" s="5">
        <v>527.0</v>
      </c>
      <c r="B1321" s="5" t="s">
        <v>3276</v>
      </c>
      <c r="C1321" s="5" t="s">
        <v>602</v>
      </c>
      <c r="D1321" s="5">
        <v>1.0</v>
      </c>
    </row>
    <row r="1322">
      <c r="A1322" s="5">
        <v>527.0</v>
      </c>
      <c r="B1322" s="5" t="s">
        <v>3276</v>
      </c>
      <c r="C1322" s="5" t="s">
        <v>20</v>
      </c>
      <c r="D1322" s="5">
        <v>2.0</v>
      </c>
    </row>
    <row r="1323">
      <c r="A1323" s="5">
        <v>528.0</v>
      </c>
      <c r="B1323" s="5" t="s">
        <v>3281</v>
      </c>
      <c r="C1323" s="5" t="s">
        <v>6615</v>
      </c>
      <c r="D1323" s="5">
        <v>1.0</v>
      </c>
    </row>
    <row r="1324">
      <c r="A1324" s="5">
        <v>528.0</v>
      </c>
      <c r="B1324" s="5" t="s">
        <v>3281</v>
      </c>
      <c r="C1324" s="5" t="s">
        <v>20</v>
      </c>
      <c r="D1324" s="5">
        <v>2.0</v>
      </c>
    </row>
    <row r="1325">
      <c r="A1325" s="5">
        <v>528.0</v>
      </c>
      <c r="B1325" s="5" t="s">
        <v>3281</v>
      </c>
      <c r="C1325" s="5" t="s">
        <v>4191</v>
      </c>
      <c r="D1325" s="5">
        <v>3.0</v>
      </c>
    </row>
    <row r="1326">
      <c r="A1326" s="5">
        <v>529.0</v>
      </c>
      <c r="B1326" s="5" t="s">
        <v>3284</v>
      </c>
      <c r="C1326" s="5" t="s">
        <v>602</v>
      </c>
      <c r="D1326" s="5">
        <v>1.0</v>
      </c>
    </row>
    <row r="1327">
      <c r="A1327" s="5">
        <v>529.0</v>
      </c>
      <c r="B1327" s="5" t="s">
        <v>3284</v>
      </c>
      <c r="C1327" s="5" t="s">
        <v>20</v>
      </c>
      <c r="D1327" s="5">
        <v>2.0</v>
      </c>
    </row>
    <row r="1328">
      <c r="A1328" s="5">
        <v>530.0</v>
      </c>
      <c r="B1328" s="5" t="s">
        <v>3287</v>
      </c>
      <c r="C1328" s="5" t="s">
        <v>20</v>
      </c>
      <c r="D1328" s="5">
        <v>1.0</v>
      </c>
    </row>
    <row r="1329">
      <c r="A1329" s="5">
        <v>530.0</v>
      </c>
      <c r="B1329" s="5" t="s">
        <v>3287</v>
      </c>
      <c r="C1329" s="5" t="s">
        <v>6620</v>
      </c>
      <c r="D1329" s="5">
        <v>2.0</v>
      </c>
    </row>
    <row r="1330">
      <c r="A1330" s="5">
        <v>531.0</v>
      </c>
      <c r="B1330" s="5" t="s">
        <v>3292</v>
      </c>
      <c r="C1330" s="5" t="s">
        <v>602</v>
      </c>
      <c r="D1330" s="5">
        <v>1.0</v>
      </c>
    </row>
    <row r="1331">
      <c r="A1331" s="5">
        <v>531.0</v>
      </c>
      <c r="B1331" s="5" t="s">
        <v>3292</v>
      </c>
      <c r="C1331" s="5" t="s">
        <v>6627</v>
      </c>
      <c r="D1331" s="5">
        <v>2.0</v>
      </c>
    </row>
    <row r="1332">
      <c r="A1332" s="5">
        <v>532.0</v>
      </c>
      <c r="B1332" s="5" t="s">
        <v>3299</v>
      </c>
      <c r="C1332" s="5" t="s">
        <v>602</v>
      </c>
      <c r="D1332" s="5">
        <v>1.0</v>
      </c>
    </row>
    <row r="1333">
      <c r="A1333" s="5">
        <v>532.0</v>
      </c>
      <c r="B1333" s="5" t="s">
        <v>3299</v>
      </c>
      <c r="C1333" s="5" t="s">
        <v>6624</v>
      </c>
      <c r="D1333" s="5">
        <v>2.0</v>
      </c>
    </row>
    <row r="1334">
      <c r="A1334" s="5">
        <v>533.0</v>
      </c>
      <c r="B1334" s="5" t="s">
        <v>3307</v>
      </c>
      <c r="C1334" s="5" t="s">
        <v>6616</v>
      </c>
      <c r="D1334" s="5">
        <v>1.0</v>
      </c>
    </row>
    <row r="1335">
      <c r="A1335" s="5">
        <v>533.0</v>
      </c>
      <c r="B1335" s="5" t="s">
        <v>3307</v>
      </c>
      <c r="C1335" s="5" t="s">
        <v>6617</v>
      </c>
      <c r="D1335" s="5">
        <v>2.0</v>
      </c>
    </row>
    <row r="1336">
      <c r="A1336" s="5">
        <v>533.0</v>
      </c>
      <c r="B1336" s="5" t="s">
        <v>3307</v>
      </c>
      <c r="C1336" s="5" t="s">
        <v>602</v>
      </c>
      <c r="D1336" s="5">
        <v>3.0</v>
      </c>
    </row>
    <row r="1337">
      <c r="A1337" s="5">
        <v>534.0</v>
      </c>
      <c r="B1337" s="5" t="s">
        <v>3314</v>
      </c>
      <c r="C1337" s="5" t="s">
        <v>602</v>
      </c>
      <c r="D1337" s="5">
        <v>1.0</v>
      </c>
    </row>
    <row r="1338">
      <c r="A1338" s="5">
        <v>534.0</v>
      </c>
      <c r="B1338" s="5" t="s">
        <v>3314</v>
      </c>
      <c r="C1338" s="5" t="s">
        <v>20</v>
      </c>
      <c r="D1338" s="5">
        <v>2.0</v>
      </c>
    </row>
    <row r="1339">
      <c r="A1339" s="5">
        <v>534.0</v>
      </c>
      <c r="B1339" s="5" t="s">
        <v>3314</v>
      </c>
      <c r="C1339" s="5" t="s">
        <v>6621</v>
      </c>
      <c r="D1339" s="5">
        <v>3.0</v>
      </c>
    </row>
    <row r="1340">
      <c r="A1340" s="5">
        <v>535.0</v>
      </c>
      <c r="B1340" s="5" t="s">
        <v>3318</v>
      </c>
      <c r="C1340" s="5" t="s">
        <v>20</v>
      </c>
      <c r="D1340" s="5">
        <v>1.0</v>
      </c>
    </row>
    <row r="1341">
      <c r="A1341" s="5">
        <v>535.0</v>
      </c>
      <c r="B1341" s="5" t="s">
        <v>3318</v>
      </c>
      <c r="C1341" s="5" t="s">
        <v>6627</v>
      </c>
      <c r="D1341" s="5">
        <v>2.0</v>
      </c>
    </row>
    <row r="1342">
      <c r="A1342" s="5">
        <v>535.0</v>
      </c>
      <c r="B1342" s="5" t="s">
        <v>3318</v>
      </c>
      <c r="C1342" s="5" t="s">
        <v>6628</v>
      </c>
      <c r="D1342" s="5">
        <v>3.0</v>
      </c>
    </row>
    <row r="1343">
      <c r="A1343" s="5">
        <v>536.0</v>
      </c>
      <c r="B1343" s="5" t="s">
        <v>3324</v>
      </c>
      <c r="C1343" s="5" t="s">
        <v>6616</v>
      </c>
      <c r="D1343" s="5">
        <v>1.0</v>
      </c>
    </row>
    <row r="1344">
      <c r="A1344" s="5">
        <v>536.0</v>
      </c>
      <c r="B1344" s="5" t="s">
        <v>3324</v>
      </c>
      <c r="C1344" s="5" t="s">
        <v>6617</v>
      </c>
      <c r="D1344" s="5">
        <v>2.0</v>
      </c>
    </row>
    <row r="1345">
      <c r="A1345" s="5">
        <v>536.0</v>
      </c>
      <c r="B1345" s="5" t="s">
        <v>3324</v>
      </c>
      <c r="C1345" s="5" t="s">
        <v>2696</v>
      </c>
      <c r="D1345" s="5">
        <v>3.0</v>
      </c>
    </row>
    <row r="1346">
      <c r="A1346" s="5">
        <v>537.0</v>
      </c>
      <c r="B1346" s="5" t="s">
        <v>3332</v>
      </c>
      <c r="C1346" s="5" t="s">
        <v>6618</v>
      </c>
      <c r="D1346" s="5">
        <v>1.0</v>
      </c>
    </row>
    <row r="1347">
      <c r="A1347" s="5">
        <v>537.0</v>
      </c>
      <c r="B1347" s="5" t="s">
        <v>3332</v>
      </c>
      <c r="C1347" s="5" t="s">
        <v>20</v>
      </c>
      <c r="D1347" s="5">
        <v>2.0</v>
      </c>
    </row>
    <row r="1348">
      <c r="A1348" s="5">
        <v>537.0</v>
      </c>
      <c r="B1348" s="5" t="s">
        <v>3332</v>
      </c>
      <c r="C1348" s="5" t="s">
        <v>6619</v>
      </c>
      <c r="D1348" s="5">
        <v>3.0</v>
      </c>
    </row>
    <row r="1349">
      <c r="A1349" s="5">
        <v>538.0</v>
      </c>
      <c r="B1349" s="5" t="s">
        <v>3335</v>
      </c>
      <c r="C1349" s="5" t="s">
        <v>6617</v>
      </c>
      <c r="D1349" s="5">
        <v>1.0</v>
      </c>
    </row>
    <row r="1350">
      <c r="A1350" s="5">
        <v>538.0</v>
      </c>
      <c r="B1350" s="5" t="s">
        <v>3335</v>
      </c>
      <c r="C1350" s="5" t="s">
        <v>20</v>
      </c>
      <c r="D1350" s="5">
        <v>2.0</v>
      </c>
    </row>
    <row r="1351">
      <c r="A1351" s="5">
        <v>538.0</v>
      </c>
      <c r="B1351" s="5" t="s">
        <v>3335</v>
      </c>
      <c r="C1351" s="5" t="s">
        <v>6622</v>
      </c>
      <c r="D1351" s="5">
        <v>3.0</v>
      </c>
    </row>
    <row r="1352">
      <c r="A1352" s="5">
        <v>539.0</v>
      </c>
      <c r="B1352" s="5" t="s">
        <v>3341</v>
      </c>
      <c r="C1352" s="5" t="s">
        <v>602</v>
      </c>
      <c r="D1352" s="5">
        <v>1.0</v>
      </c>
    </row>
    <row r="1353">
      <c r="A1353" s="5">
        <v>539.0</v>
      </c>
      <c r="B1353" s="5" t="s">
        <v>3341</v>
      </c>
      <c r="C1353" s="5" t="s">
        <v>20</v>
      </c>
      <c r="D1353" s="5">
        <v>2.0</v>
      </c>
    </row>
    <row r="1354">
      <c r="A1354" s="5">
        <v>539.0</v>
      </c>
      <c r="B1354" s="5" t="s">
        <v>3341</v>
      </c>
      <c r="C1354" s="5" t="s">
        <v>6624</v>
      </c>
      <c r="D1354" s="5">
        <v>3.0</v>
      </c>
    </row>
    <row r="1355">
      <c r="A1355" s="5">
        <v>540.0</v>
      </c>
      <c r="B1355" s="5" t="s">
        <v>3347</v>
      </c>
      <c r="C1355" s="5" t="s">
        <v>602</v>
      </c>
      <c r="D1355" s="5">
        <v>1.0</v>
      </c>
    </row>
    <row r="1356">
      <c r="A1356" s="5">
        <v>541.0</v>
      </c>
      <c r="B1356" s="5" t="s">
        <v>3353</v>
      </c>
      <c r="C1356" s="5" t="s">
        <v>6616</v>
      </c>
      <c r="D1356" s="5">
        <v>1.0</v>
      </c>
    </row>
    <row r="1357">
      <c r="A1357" s="5">
        <v>541.0</v>
      </c>
      <c r="B1357" s="5" t="s">
        <v>3353</v>
      </c>
      <c r="C1357" s="5" t="s">
        <v>6617</v>
      </c>
      <c r="D1357" s="5">
        <v>2.0</v>
      </c>
    </row>
    <row r="1358">
      <c r="A1358" s="5">
        <v>541.0</v>
      </c>
      <c r="B1358" s="5" t="s">
        <v>3353</v>
      </c>
      <c r="C1358" s="5" t="s">
        <v>6618</v>
      </c>
      <c r="D1358" s="5">
        <v>3.0</v>
      </c>
    </row>
    <row r="1359">
      <c r="A1359" s="5">
        <v>542.0</v>
      </c>
      <c r="B1359" s="5" t="s">
        <v>3359</v>
      </c>
      <c r="C1359" s="5" t="s">
        <v>602</v>
      </c>
      <c r="D1359" s="5">
        <v>1.0</v>
      </c>
    </row>
    <row r="1360">
      <c r="A1360" s="5">
        <v>542.0</v>
      </c>
      <c r="B1360" s="5" t="s">
        <v>3359</v>
      </c>
      <c r="C1360" s="5" t="s">
        <v>20</v>
      </c>
      <c r="D1360" s="5">
        <v>2.0</v>
      </c>
    </row>
    <row r="1361">
      <c r="A1361" s="5">
        <v>542.0</v>
      </c>
      <c r="B1361" s="5" t="s">
        <v>3359</v>
      </c>
      <c r="C1361" s="5" t="s">
        <v>6621</v>
      </c>
      <c r="D1361" s="5">
        <v>3.0</v>
      </c>
    </row>
    <row r="1362">
      <c r="A1362" s="5">
        <v>543.0</v>
      </c>
      <c r="B1362" s="5" t="s">
        <v>3364</v>
      </c>
      <c r="C1362" s="5" t="s">
        <v>6618</v>
      </c>
      <c r="D1362" s="5">
        <v>1.0</v>
      </c>
    </row>
    <row r="1363">
      <c r="A1363" s="5">
        <v>543.0</v>
      </c>
      <c r="B1363" s="5" t="s">
        <v>3364</v>
      </c>
      <c r="C1363" s="5" t="s">
        <v>20</v>
      </c>
      <c r="D1363" s="5">
        <v>2.0</v>
      </c>
    </row>
    <row r="1364">
      <c r="A1364" s="5">
        <v>543.0</v>
      </c>
      <c r="B1364" s="5" t="s">
        <v>3364</v>
      </c>
      <c r="C1364" s="5" t="s">
        <v>6625</v>
      </c>
      <c r="D1364" s="5">
        <v>3.0</v>
      </c>
    </row>
    <row r="1365">
      <c r="A1365" s="5">
        <v>544.0</v>
      </c>
      <c r="B1365" s="5" t="s">
        <v>3369</v>
      </c>
      <c r="C1365" s="5" t="s">
        <v>6616</v>
      </c>
      <c r="D1365" s="5">
        <v>1.0</v>
      </c>
    </row>
    <row r="1366">
      <c r="A1366" s="5">
        <v>544.0</v>
      </c>
      <c r="B1366" s="5" t="s">
        <v>3369</v>
      </c>
      <c r="C1366" s="5" t="s">
        <v>6617</v>
      </c>
      <c r="D1366" s="5">
        <v>2.0</v>
      </c>
    </row>
    <row r="1367">
      <c r="A1367" s="5">
        <v>544.0</v>
      </c>
      <c r="B1367" s="5" t="s">
        <v>3369</v>
      </c>
      <c r="C1367" s="5" t="s">
        <v>116</v>
      </c>
      <c r="D1367" s="5">
        <v>3.0</v>
      </c>
    </row>
    <row r="1368">
      <c r="A1368" s="5">
        <v>545.0</v>
      </c>
      <c r="B1368" s="5" t="s">
        <v>3375</v>
      </c>
      <c r="C1368" s="5" t="s">
        <v>2696</v>
      </c>
      <c r="D1368" s="5">
        <v>1.0</v>
      </c>
    </row>
    <row r="1369">
      <c r="A1369" s="5">
        <v>545.0</v>
      </c>
      <c r="B1369" s="5" t="s">
        <v>3375</v>
      </c>
      <c r="C1369" s="5" t="s">
        <v>4191</v>
      </c>
      <c r="D1369" s="5">
        <v>2.0</v>
      </c>
    </row>
    <row r="1370">
      <c r="A1370" s="5">
        <v>546.0</v>
      </c>
      <c r="B1370" s="5" t="s">
        <v>3382</v>
      </c>
      <c r="C1370" s="5" t="s">
        <v>6618</v>
      </c>
      <c r="D1370" s="5">
        <v>1.0</v>
      </c>
    </row>
    <row r="1371">
      <c r="A1371" s="5">
        <v>546.0</v>
      </c>
      <c r="B1371" s="5" t="s">
        <v>3382</v>
      </c>
      <c r="C1371" s="5" t="s">
        <v>20</v>
      </c>
      <c r="D1371" s="5">
        <v>2.0</v>
      </c>
    </row>
    <row r="1372">
      <c r="A1372" s="5">
        <v>546.0</v>
      </c>
      <c r="B1372" s="5" t="s">
        <v>3382</v>
      </c>
      <c r="C1372" s="5" t="s">
        <v>6619</v>
      </c>
      <c r="D1372" s="5">
        <v>3.0</v>
      </c>
    </row>
    <row r="1373">
      <c r="A1373" s="5">
        <v>547.0</v>
      </c>
      <c r="B1373" s="5" t="s">
        <v>3387</v>
      </c>
      <c r="C1373" s="5" t="s">
        <v>6615</v>
      </c>
      <c r="D1373" s="5">
        <v>1.0</v>
      </c>
    </row>
    <row r="1374">
      <c r="A1374" s="5">
        <v>547.0</v>
      </c>
      <c r="B1374" s="5" t="s">
        <v>3387</v>
      </c>
      <c r="C1374" s="5" t="s">
        <v>20</v>
      </c>
      <c r="D1374" s="5">
        <v>2.0</v>
      </c>
    </row>
    <row r="1375">
      <c r="A1375" s="5">
        <v>547.0</v>
      </c>
      <c r="B1375" s="5" t="s">
        <v>3387</v>
      </c>
      <c r="C1375" s="5" t="s">
        <v>6626</v>
      </c>
      <c r="D1375" s="5">
        <v>3.0</v>
      </c>
    </row>
    <row r="1376">
      <c r="A1376" s="5">
        <v>548.0</v>
      </c>
      <c r="B1376" s="5" t="s">
        <v>3392</v>
      </c>
      <c r="C1376" s="5" t="s">
        <v>602</v>
      </c>
      <c r="D1376" s="5">
        <v>1.0</v>
      </c>
    </row>
    <row r="1377">
      <c r="A1377" s="5">
        <v>548.0</v>
      </c>
      <c r="B1377" s="5" t="s">
        <v>3392</v>
      </c>
      <c r="C1377" s="5" t="s">
        <v>6626</v>
      </c>
      <c r="D1377" s="5">
        <v>2.0</v>
      </c>
    </row>
    <row r="1378">
      <c r="A1378" s="5">
        <v>548.0</v>
      </c>
      <c r="B1378" s="5" t="s">
        <v>3392</v>
      </c>
      <c r="C1378" s="5" t="s">
        <v>6621</v>
      </c>
      <c r="D1378" s="5">
        <v>3.0</v>
      </c>
    </row>
    <row r="1379">
      <c r="A1379" s="5">
        <v>549.0</v>
      </c>
      <c r="B1379" s="5" t="s">
        <v>3396</v>
      </c>
      <c r="C1379" s="5" t="s">
        <v>20</v>
      </c>
      <c r="D1379" s="5">
        <v>1.0</v>
      </c>
    </row>
    <row r="1380">
      <c r="A1380" s="5">
        <v>549.0</v>
      </c>
      <c r="B1380" s="5" t="s">
        <v>3396</v>
      </c>
      <c r="C1380" s="5" t="s">
        <v>4191</v>
      </c>
      <c r="D1380" s="5">
        <v>2.0</v>
      </c>
    </row>
    <row r="1381">
      <c r="A1381" s="5">
        <v>550.0</v>
      </c>
      <c r="B1381" s="5" t="s">
        <v>3402</v>
      </c>
      <c r="C1381" s="5" t="s">
        <v>6617</v>
      </c>
      <c r="D1381" s="5">
        <v>1.0</v>
      </c>
    </row>
    <row r="1382">
      <c r="A1382" s="5">
        <v>550.0</v>
      </c>
      <c r="B1382" s="5" t="s">
        <v>3402</v>
      </c>
      <c r="C1382" s="5" t="s">
        <v>6618</v>
      </c>
      <c r="D1382" s="5">
        <v>2.0</v>
      </c>
    </row>
    <row r="1383">
      <c r="A1383" s="5">
        <v>550.0</v>
      </c>
      <c r="B1383" s="5" t="s">
        <v>3402</v>
      </c>
      <c r="C1383" s="5" t="s">
        <v>20</v>
      </c>
      <c r="D1383" s="5">
        <v>3.0</v>
      </c>
    </row>
    <row r="1384">
      <c r="A1384" s="5">
        <v>551.0</v>
      </c>
      <c r="B1384" s="5" t="s">
        <v>3405</v>
      </c>
      <c r="C1384" s="5" t="s">
        <v>20</v>
      </c>
      <c r="D1384" s="5">
        <v>1.0</v>
      </c>
    </row>
    <row r="1385">
      <c r="A1385" s="5">
        <v>551.0</v>
      </c>
      <c r="B1385" s="5" t="s">
        <v>3405</v>
      </c>
      <c r="C1385" s="5" t="s">
        <v>6626</v>
      </c>
      <c r="D1385" s="5">
        <v>2.0</v>
      </c>
    </row>
    <row r="1386">
      <c r="A1386" s="5">
        <v>552.0</v>
      </c>
      <c r="B1386" s="5" t="s">
        <v>3412</v>
      </c>
      <c r="C1386" s="5" t="s">
        <v>20</v>
      </c>
      <c r="D1386" s="5">
        <v>1.0</v>
      </c>
    </row>
    <row r="1387">
      <c r="A1387" s="5">
        <v>552.0</v>
      </c>
      <c r="B1387" s="5" t="s">
        <v>3412</v>
      </c>
      <c r="C1387" s="5" t="s">
        <v>6621</v>
      </c>
      <c r="D1387" s="5">
        <v>2.0</v>
      </c>
    </row>
    <row r="1388">
      <c r="A1388" s="5">
        <v>553.0</v>
      </c>
      <c r="B1388" s="5" t="s">
        <v>3419</v>
      </c>
      <c r="C1388" s="5" t="s">
        <v>6617</v>
      </c>
      <c r="D1388" s="5">
        <v>1.0</v>
      </c>
    </row>
    <row r="1389">
      <c r="A1389" s="5">
        <v>553.0</v>
      </c>
      <c r="B1389" s="5" t="s">
        <v>3419</v>
      </c>
      <c r="C1389" s="5" t="s">
        <v>20</v>
      </c>
      <c r="D1389" s="5">
        <v>2.0</v>
      </c>
    </row>
    <row r="1390">
      <c r="A1390" s="5">
        <v>554.0</v>
      </c>
      <c r="B1390" s="5" t="s">
        <v>3424</v>
      </c>
      <c r="C1390" s="5" t="s">
        <v>6617</v>
      </c>
      <c r="D1390" s="5">
        <v>1.0</v>
      </c>
    </row>
    <row r="1391">
      <c r="A1391" s="5">
        <v>554.0</v>
      </c>
      <c r="B1391" s="5" t="s">
        <v>3424</v>
      </c>
      <c r="C1391" s="5" t="s">
        <v>20</v>
      </c>
      <c r="D1391" s="5">
        <v>2.0</v>
      </c>
    </row>
    <row r="1392">
      <c r="A1392" s="5">
        <v>554.0</v>
      </c>
      <c r="B1392" s="5" t="s">
        <v>3424</v>
      </c>
      <c r="C1392" s="5" t="s">
        <v>116</v>
      </c>
      <c r="D1392" s="5">
        <v>3.0</v>
      </c>
    </row>
    <row r="1393">
      <c r="A1393" s="5">
        <v>555.0</v>
      </c>
      <c r="B1393" s="5" t="s">
        <v>3428</v>
      </c>
      <c r="C1393" s="5" t="s">
        <v>20</v>
      </c>
      <c r="D1393" s="5">
        <v>1.0</v>
      </c>
    </row>
    <row r="1394">
      <c r="A1394" s="5">
        <v>556.0</v>
      </c>
      <c r="B1394" s="5" t="s">
        <v>3432</v>
      </c>
      <c r="C1394" s="5" t="s">
        <v>20</v>
      </c>
      <c r="D1394" s="5">
        <v>1.0</v>
      </c>
    </row>
    <row r="1395">
      <c r="A1395" s="5">
        <v>556.0</v>
      </c>
      <c r="B1395" s="5" t="s">
        <v>3432</v>
      </c>
      <c r="C1395" s="5" t="s">
        <v>4191</v>
      </c>
      <c r="D1395" s="5">
        <v>2.0</v>
      </c>
    </row>
    <row r="1396">
      <c r="A1396" s="5">
        <v>556.0</v>
      </c>
      <c r="B1396" s="5" t="s">
        <v>3432</v>
      </c>
      <c r="C1396" s="5" t="s">
        <v>116</v>
      </c>
      <c r="D1396" s="5">
        <v>3.0</v>
      </c>
    </row>
    <row r="1397">
      <c r="A1397" s="5">
        <v>557.0</v>
      </c>
      <c r="B1397" s="5" t="s">
        <v>3438</v>
      </c>
      <c r="C1397" s="5" t="s">
        <v>6615</v>
      </c>
      <c r="D1397" s="5">
        <v>1.0</v>
      </c>
    </row>
    <row r="1398">
      <c r="A1398" s="5">
        <v>557.0</v>
      </c>
      <c r="B1398" s="5" t="s">
        <v>3438</v>
      </c>
      <c r="C1398" s="5" t="s">
        <v>6629</v>
      </c>
      <c r="D1398" s="5">
        <v>2.0</v>
      </c>
    </row>
    <row r="1399">
      <c r="A1399" s="5">
        <v>557.0</v>
      </c>
      <c r="B1399" s="5" t="s">
        <v>3438</v>
      </c>
      <c r="C1399" s="5" t="s">
        <v>4191</v>
      </c>
      <c r="D1399" s="5">
        <v>3.0</v>
      </c>
    </row>
    <row r="1400">
      <c r="A1400" s="5">
        <v>558.0</v>
      </c>
      <c r="B1400" s="5" t="s">
        <v>3444</v>
      </c>
      <c r="C1400" s="5" t="s">
        <v>602</v>
      </c>
      <c r="D1400" s="5">
        <v>1.0</v>
      </c>
    </row>
    <row r="1401">
      <c r="A1401" s="5">
        <v>558.0</v>
      </c>
      <c r="B1401" s="5" t="s">
        <v>3444</v>
      </c>
      <c r="C1401" s="5" t="s">
        <v>20</v>
      </c>
      <c r="D1401" s="5">
        <v>2.0</v>
      </c>
    </row>
    <row r="1402">
      <c r="A1402" s="5">
        <v>558.0</v>
      </c>
      <c r="B1402" s="5" t="s">
        <v>3444</v>
      </c>
      <c r="C1402" s="5" t="s">
        <v>6622</v>
      </c>
      <c r="D1402" s="5">
        <v>3.0</v>
      </c>
    </row>
    <row r="1403">
      <c r="A1403" s="5">
        <v>559.0</v>
      </c>
      <c r="B1403" s="5" t="s">
        <v>3450</v>
      </c>
      <c r="C1403" s="5" t="s">
        <v>602</v>
      </c>
      <c r="D1403" s="5">
        <v>1.0</v>
      </c>
    </row>
    <row r="1404">
      <c r="A1404" s="5">
        <v>559.0</v>
      </c>
      <c r="B1404" s="5" t="s">
        <v>3450</v>
      </c>
      <c r="C1404" s="5" t="s">
        <v>20</v>
      </c>
      <c r="D1404" s="5">
        <v>2.0</v>
      </c>
    </row>
    <row r="1405">
      <c r="A1405" s="5">
        <v>559.0</v>
      </c>
      <c r="B1405" s="5" t="s">
        <v>3450</v>
      </c>
      <c r="C1405" s="5" t="s">
        <v>6624</v>
      </c>
      <c r="D1405" s="5">
        <v>3.0</v>
      </c>
    </row>
    <row r="1406">
      <c r="A1406" s="5">
        <v>560.0</v>
      </c>
      <c r="B1406" s="5" t="s">
        <v>3457</v>
      </c>
      <c r="C1406" s="5" t="s">
        <v>20</v>
      </c>
      <c r="D1406" s="5">
        <v>1.0</v>
      </c>
    </row>
    <row r="1407">
      <c r="A1407" s="5">
        <v>560.0</v>
      </c>
      <c r="B1407" s="5" t="s">
        <v>3457</v>
      </c>
      <c r="C1407" s="5" t="s">
        <v>6629</v>
      </c>
      <c r="D1407" s="5">
        <v>2.0</v>
      </c>
    </row>
    <row r="1408">
      <c r="A1408" s="5">
        <v>560.0</v>
      </c>
      <c r="B1408" s="5" t="s">
        <v>3457</v>
      </c>
      <c r="C1408" s="5" t="s">
        <v>6621</v>
      </c>
      <c r="D1408" s="5">
        <v>3.0</v>
      </c>
    </row>
    <row r="1409">
      <c r="A1409" s="5">
        <v>561.0</v>
      </c>
      <c r="B1409" s="5" t="s">
        <v>3461</v>
      </c>
      <c r="C1409" s="5" t="s">
        <v>6615</v>
      </c>
      <c r="D1409" s="5">
        <v>1.0</v>
      </c>
    </row>
    <row r="1410">
      <c r="A1410" s="5">
        <v>561.0</v>
      </c>
      <c r="B1410" s="5" t="s">
        <v>3461</v>
      </c>
      <c r="C1410" s="5" t="s">
        <v>6629</v>
      </c>
      <c r="D1410" s="5">
        <v>2.0</v>
      </c>
    </row>
    <row r="1411">
      <c r="A1411" s="5">
        <v>561.0</v>
      </c>
      <c r="B1411" s="5" t="s">
        <v>3461</v>
      </c>
      <c r="C1411" s="5" t="s">
        <v>6626</v>
      </c>
      <c r="D1411" s="5">
        <v>3.0</v>
      </c>
    </row>
    <row r="1412">
      <c r="A1412" s="5">
        <v>562.0</v>
      </c>
      <c r="B1412" s="5" t="s">
        <v>3466</v>
      </c>
      <c r="C1412" s="5" t="s">
        <v>20</v>
      </c>
      <c r="D1412" s="5">
        <v>1.0</v>
      </c>
    </row>
    <row r="1413">
      <c r="A1413" s="5">
        <v>562.0</v>
      </c>
      <c r="B1413" s="5" t="s">
        <v>3466</v>
      </c>
      <c r="C1413" s="5" t="s">
        <v>6629</v>
      </c>
      <c r="D1413" s="5">
        <v>2.0</v>
      </c>
    </row>
    <row r="1414">
      <c r="A1414" s="5">
        <v>563.0</v>
      </c>
      <c r="B1414" s="5" t="s">
        <v>3471</v>
      </c>
      <c r="C1414" s="5" t="s">
        <v>602</v>
      </c>
      <c r="D1414" s="5">
        <v>1.0</v>
      </c>
    </row>
    <row r="1415">
      <c r="A1415" s="5">
        <v>563.0</v>
      </c>
      <c r="B1415" s="5" t="s">
        <v>3471</v>
      </c>
      <c r="C1415" s="5" t="s">
        <v>6621</v>
      </c>
      <c r="D1415" s="5">
        <v>2.0</v>
      </c>
    </row>
    <row r="1416">
      <c r="A1416" s="5">
        <v>564.0</v>
      </c>
      <c r="B1416" s="5" t="s">
        <v>3474</v>
      </c>
      <c r="C1416" s="5" t="s">
        <v>602</v>
      </c>
      <c r="D1416" s="5">
        <v>1.0</v>
      </c>
    </row>
    <row r="1417">
      <c r="A1417" s="5">
        <v>564.0</v>
      </c>
      <c r="B1417" s="5" t="s">
        <v>3474</v>
      </c>
      <c r="C1417" s="5" t="s">
        <v>20</v>
      </c>
      <c r="D1417" s="5">
        <v>2.0</v>
      </c>
    </row>
    <row r="1418">
      <c r="A1418" s="5">
        <v>564.0</v>
      </c>
      <c r="B1418" s="5" t="s">
        <v>3474</v>
      </c>
      <c r="C1418" s="5" t="s">
        <v>6621</v>
      </c>
      <c r="D1418" s="5">
        <v>3.0</v>
      </c>
    </row>
    <row r="1419">
      <c r="A1419" s="5">
        <v>565.0</v>
      </c>
      <c r="B1419" s="5" t="s">
        <v>3478</v>
      </c>
      <c r="C1419" s="5" t="s">
        <v>6616</v>
      </c>
      <c r="D1419" s="5">
        <v>1.0</v>
      </c>
    </row>
    <row r="1420">
      <c r="A1420" s="5">
        <v>565.0</v>
      </c>
      <c r="B1420" s="5" t="s">
        <v>3478</v>
      </c>
      <c r="C1420" s="5" t="s">
        <v>6617</v>
      </c>
      <c r="D1420" s="5">
        <v>2.0</v>
      </c>
    </row>
    <row r="1421">
      <c r="A1421" s="5">
        <v>565.0</v>
      </c>
      <c r="B1421" s="5" t="s">
        <v>3478</v>
      </c>
      <c r="C1421" s="5" t="s">
        <v>6621</v>
      </c>
      <c r="D1421" s="5">
        <v>3.0</v>
      </c>
    </row>
    <row r="1422">
      <c r="A1422" s="5">
        <v>566.0</v>
      </c>
      <c r="B1422" s="5" t="s">
        <v>3485</v>
      </c>
      <c r="C1422" s="5" t="s">
        <v>602</v>
      </c>
      <c r="D1422" s="5">
        <v>1.0</v>
      </c>
    </row>
    <row r="1423">
      <c r="A1423" s="5">
        <v>566.0</v>
      </c>
      <c r="B1423" s="5" t="s">
        <v>3485</v>
      </c>
      <c r="C1423" s="5" t="s">
        <v>6627</v>
      </c>
      <c r="D1423" s="5">
        <v>2.0</v>
      </c>
    </row>
    <row r="1424">
      <c r="A1424" s="5">
        <v>566.0</v>
      </c>
      <c r="B1424" s="5" t="s">
        <v>3485</v>
      </c>
      <c r="C1424" s="5" t="s">
        <v>6628</v>
      </c>
      <c r="D1424" s="5">
        <v>3.0</v>
      </c>
    </row>
    <row r="1425">
      <c r="A1425" s="5">
        <v>567.0</v>
      </c>
      <c r="B1425" s="5" t="s">
        <v>3492</v>
      </c>
      <c r="C1425" s="5" t="s">
        <v>6617</v>
      </c>
      <c r="D1425" s="5">
        <v>1.0</v>
      </c>
    </row>
    <row r="1426">
      <c r="A1426" s="5">
        <v>567.0</v>
      </c>
      <c r="B1426" s="5" t="s">
        <v>3492</v>
      </c>
      <c r="C1426" s="5" t="s">
        <v>2696</v>
      </c>
      <c r="D1426" s="5">
        <v>2.0</v>
      </c>
    </row>
    <row r="1427">
      <c r="A1427" s="5">
        <v>567.0</v>
      </c>
      <c r="B1427" s="5" t="s">
        <v>3492</v>
      </c>
      <c r="C1427" s="5" t="s">
        <v>6620</v>
      </c>
      <c r="D1427" s="5">
        <v>3.0</v>
      </c>
    </row>
    <row r="1428">
      <c r="A1428" s="5">
        <v>568.0</v>
      </c>
      <c r="B1428" s="5" t="s">
        <v>3500</v>
      </c>
      <c r="C1428" s="5" t="s">
        <v>20</v>
      </c>
      <c r="D1428" s="5">
        <v>1.0</v>
      </c>
    </row>
    <row r="1429">
      <c r="A1429" s="5">
        <v>568.0</v>
      </c>
      <c r="B1429" s="5" t="s">
        <v>3500</v>
      </c>
      <c r="C1429" s="5" t="s">
        <v>2696</v>
      </c>
      <c r="D1429" s="5">
        <v>2.0</v>
      </c>
    </row>
    <row r="1430">
      <c r="A1430" s="5">
        <v>569.0</v>
      </c>
      <c r="B1430" s="5" t="s">
        <v>3507</v>
      </c>
      <c r="C1430" s="5" t="s">
        <v>6622</v>
      </c>
      <c r="D1430" s="5">
        <v>1.0</v>
      </c>
    </row>
    <row r="1431">
      <c r="A1431" s="5">
        <v>569.0</v>
      </c>
      <c r="B1431" s="5" t="s">
        <v>3507</v>
      </c>
      <c r="C1431" s="5" t="s">
        <v>2696</v>
      </c>
      <c r="D1431" s="5">
        <v>2.0</v>
      </c>
    </row>
    <row r="1432">
      <c r="A1432" s="5">
        <v>570.0</v>
      </c>
      <c r="B1432" s="5" t="s">
        <v>3514</v>
      </c>
      <c r="C1432" s="5" t="s">
        <v>6616</v>
      </c>
      <c r="D1432" s="5">
        <v>1.0</v>
      </c>
    </row>
    <row r="1433">
      <c r="A1433" s="5">
        <v>570.0</v>
      </c>
      <c r="B1433" s="5" t="s">
        <v>3514</v>
      </c>
      <c r="C1433" s="5" t="s">
        <v>602</v>
      </c>
      <c r="D1433" s="5">
        <v>2.0</v>
      </c>
    </row>
    <row r="1434">
      <c r="A1434" s="5">
        <v>570.0</v>
      </c>
      <c r="B1434" s="5" t="s">
        <v>3514</v>
      </c>
      <c r="C1434" s="5" t="s">
        <v>6615</v>
      </c>
      <c r="D1434" s="5">
        <v>3.0</v>
      </c>
    </row>
    <row r="1435">
      <c r="A1435" s="5">
        <v>571.0</v>
      </c>
      <c r="B1435" s="5" t="s">
        <v>3519</v>
      </c>
      <c r="C1435" s="5" t="s">
        <v>6616</v>
      </c>
      <c r="D1435" s="5">
        <v>1.0</v>
      </c>
    </row>
    <row r="1436">
      <c r="A1436" s="5">
        <v>571.0</v>
      </c>
      <c r="B1436" s="5" t="s">
        <v>3519</v>
      </c>
      <c r="C1436" s="5" t="s">
        <v>20</v>
      </c>
      <c r="D1436" s="5">
        <v>2.0</v>
      </c>
    </row>
    <row r="1437">
      <c r="A1437" s="5">
        <v>571.0</v>
      </c>
      <c r="B1437" s="5" t="s">
        <v>3519</v>
      </c>
      <c r="C1437" s="5" t="s">
        <v>4191</v>
      </c>
      <c r="D1437" s="5">
        <v>3.0</v>
      </c>
    </row>
    <row r="1438">
      <c r="A1438" s="5">
        <v>572.0</v>
      </c>
      <c r="B1438" s="5" t="s">
        <v>3524</v>
      </c>
      <c r="C1438" s="5" t="s">
        <v>20</v>
      </c>
      <c r="D1438" s="5">
        <v>1.0</v>
      </c>
    </row>
    <row r="1439">
      <c r="A1439" s="5">
        <v>572.0</v>
      </c>
      <c r="B1439" s="5" t="s">
        <v>3524</v>
      </c>
      <c r="C1439" s="5" t="s">
        <v>6627</v>
      </c>
      <c r="D1439" s="5">
        <v>2.0</v>
      </c>
    </row>
    <row r="1440">
      <c r="A1440" s="5">
        <v>573.0</v>
      </c>
      <c r="B1440" s="5" t="s">
        <v>3531</v>
      </c>
      <c r="C1440" s="5" t="s">
        <v>20</v>
      </c>
      <c r="D1440" s="5">
        <v>1.0</v>
      </c>
    </row>
    <row r="1441">
      <c r="A1441" s="5">
        <v>574.0</v>
      </c>
      <c r="B1441" s="5" t="s">
        <v>3535</v>
      </c>
      <c r="C1441" s="5" t="s">
        <v>6616</v>
      </c>
      <c r="D1441" s="5">
        <v>1.0</v>
      </c>
    </row>
    <row r="1442">
      <c r="A1442" s="5">
        <v>574.0</v>
      </c>
      <c r="B1442" s="5" t="s">
        <v>3535</v>
      </c>
      <c r="C1442" s="5" t="s">
        <v>20</v>
      </c>
      <c r="D1442" s="5">
        <v>2.0</v>
      </c>
    </row>
    <row r="1443">
      <c r="A1443" s="5">
        <v>574.0</v>
      </c>
      <c r="B1443" s="5" t="s">
        <v>3535</v>
      </c>
      <c r="C1443" s="5" t="s">
        <v>6619</v>
      </c>
      <c r="D1443" s="5">
        <v>3.0</v>
      </c>
    </row>
    <row r="1444">
      <c r="A1444" s="5">
        <v>575.0</v>
      </c>
      <c r="B1444" s="5" t="s">
        <v>3541</v>
      </c>
      <c r="C1444" s="5" t="s">
        <v>602</v>
      </c>
      <c r="D1444" s="5">
        <v>1.0</v>
      </c>
    </row>
    <row r="1445">
      <c r="A1445" s="5">
        <v>575.0</v>
      </c>
      <c r="B1445" s="5" t="s">
        <v>3541</v>
      </c>
      <c r="C1445" s="5" t="s">
        <v>20</v>
      </c>
      <c r="D1445" s="5">
        <v>2.0</v>
      </c>
    </row>
    <row r="1446">
      <c r="A1446" s="5">
        <v>576.0</v>
      </c>
      <c r="B1446" s="5" t="s">
        <v>3549</v>
      </c>
      <c r="C1446" s="5" t="s">
        <v>6618</v>
      </c>
      <c r="D1446" s="5">
        <v>1.0</v>
      </c>
    </row>
    <row r="1447">
      <c r="A1447" s="5">
        <v>576.0</v>
      </c>
      <c r="B1447" s="5" t="s">
        <v>3549</v>
      </c>
      <c r="C1447" s="5" t="s">
        <v>20</v>
      </c>
      <c r="D1447" s="5">
        <v>2.0</v>
      </c>
    </row>
    <row r="1448">
      <c r="A1448" s="5">
        <v>576.0</v>
      </c>
      <c r="B1448" s="5" t="s">
        <v>3549</v>
      </c>
      <c r="C1448" s="5" t="s">
        <v>6619</v>
      </c>
      <c r="D1448" s="5">
        <v>3.0</v>
      </c>
    </row>
    <row r="1449">
      <c r="A1449" s="5">
        <v>577.0</v>
      </c>
      <c r="B1449" s="5" t="s">
        <v>3554</v>
      </c>
      <c r="C1449" s="5" t="s">
        <v>6617</v>
      </c>
      <c r="D1449" s="5">
        <v>1.0</v>
      </c>
    </row>
    <row r="1450">
      <c r="A1450" s="5">
        <v>577.0</v>
      </c>
      <c r="B1450" s="5" t="s">
        <v>3554</v>
      </c>
      <c r="C1450" s="5" t="s">
        <v>602</v>
      </c>
      <c r="D1450" s="5">
        <v>2.0</v>
      </c>
    </row>
    <row r="1451">
      <c r="A1451" s="5">
        <v>577.0</v>
      </c>
      <c r="B1451" s="5" t="s">
        <v>3554</v>
      </c>
      <c r="C1451" s="5" t="s">
        <v>6624</v>
      </c>
      <c r="D1451" s="5">
        <v>3.0</v>
      </c>
    </row>
    <row r="1452">
      <c r="A1452" s="5">
        <v>578.0</v>
      </c>
      <c r="B1452" s="5" t="s">
        <v>3562</v>
      </c>
      <c r="C1452" s="5" t="s">
        <v>6616</v>
      </c>
      <c r="D1452" s="5">
        <v>1.0</v>
      </c>
    </row>
    <row r="1453">
      <c r="A1453" s="5">
        <v>578.0</v>
      </c>
      <c r="B1453" s="5" t="s">
        <v>3562</v>
      </c>
      <c r="C1453" s="5" t="s">
        <v>6615</v>
      </c>
      <c r="D1453" s="5">
        <v>2.0</v>
      </c>
    </row>
    <row r="1454">
      <c r="A1454" s="5">
        <v>578.0</v>
      </c>
      <c r="B1454" s="5" t="s">
        <v>3562</v>
      </c>
      <c r="C1454" s="5" t="s">
        <v>20</v>
      </c>
      <c r="D1454" s="5">
        <v>3.0</v>
      </c>
    </row>
    <row r="1455">
      <c r="A1455" s="5">
        <v>579.0</v>
      </c>
      <c r="B1455" s="5" t="s">
        <v>3566</v>
      </c>
      <c r="C1455" s="5" t="s">
        <v>6623</v>
      </c>
      <c r="D1455" s="5">
        <v>1.0</v>
      </c>
    </row>
    <row r="1456">
      <c r="A1456" s="5">
        <v>579.0</v>
      </c>
      <c r="B1456" s="5" t="s">
        <v>3566</v>
      </c>
      <c r="C1456" s="5" t="s">
        <v>6616</v>
      </c>
      <c r="D1456" s="5">
        <v>2.0</v>
      </c>
    </row>
    <row r="1457">
      <c r="A1457" s="5">
        <v>579.0</v>
      </c>
      <c r="B1457" s="5" t="s">
        <v>3566</v>
      </c>
      <c r="C1457" s="5" t="s">
        <v>6617</v>
      </c>
      <c r="D1457" s="5">
        <v>3.0</v>
      </c>
    </row>
    <row r="1458">
      <c r="A1458" s="5">
        <v>580.0</v>
      </c>
      <c r="B1458" s="5" t="s">
        <v>3570</v>
      </c>
      <c r="C1458" s="5" t="s">
        <v>6618</v>
      </c>
      <c r="D1458" s="5">
        <v>1.0</v>
      </c>
    </row>
    <row r="1459">
      <c r="A1459" s="5">
        <v>580.0</v>
      </c>
      <c r="B1459" s="5" t="s">
        <v>3570</v>
      </c>
      <c r="C1459" s="5" t="s">
        <v>20</v>
      </c>
      <c r="D1459" s="5">
        <v>2.0</v>
      </c>
    </row>
    <row r="1460">
      <c r="A1460" s="5">
        <v>580.0</v>
      </c>
      <c r="B1460" s="5" t="s">
        <v>3570</v>
      </c>
      <c r="C1460" s="5" t="s">
        <v>6630</v>
      </c>
      <c r="D1460" s="5">
        <v>3.0</v>
      </c>
    </row>
    <row r="1461">
      <c r="A1461" s="5">
        <v>581.0</v>
      </c>
      <c r="B1461" s="5" t="s">
        <v>3575</v>
      </c>
      <c r="C1461" s="5" t="s">
        <v>20</v>
      </c>
      <c r="D1461" s="5">
        <v>1.0</v>
      </c>
    </row>
    <row r="1462">
      <c r="A1462" s="5">
        <v>582.0</v>
      </c>
      <c r="B1462" s="5" t="s">
        <v>3582</v>
      </c>
      <c r="C1462" s="5" t="s">
        <v>20</v>
      </c>
      <c r="D1462" s="5">
        <v>1.0</v>
      </c>
    </row>
    <row r="1463">
      <c r="A1463" s="5">
        <v>582.0</v>
      </c>
      <c r="B1463" s="5" t="s">
        <v>3582</v>
      </c>
      <c r="C1463" s="5" t="s">
        <v>6619</v>
      </c>
      <c r="D1463" s="5">
        <v>2.0</v>
      </c>
    </row>
    <row r="1464">
      <c r="A1464" s="5">
        <v>582.0</v>
      </c>
      <c r="B1464" s="5" t="s">
        <v>3582</v>
      </c>
      <c r="C1464" s="5" t="s">
        <v>6625</v>
      </c>
      <c r="D1464" s="5">
        <v>3.0</v>
      </c>
    </row>
    <row r="1465">
      <c r="A1465" s="5">
        <v>583.0</v>
      </c>
      <c r="B1465" s="5" t="s">
        <v>3589</v>
      </c>
      <c r="C1465" s="5" t="s">
        <v>6616</v>
      </c>
      <c r="D1465" s="5">
        <v>1.0</v>
      </c>
    </row>
    <row r="1466">
      <c r="A1466" s="5">
        <v>583.0</v>
      </c>
      <c r="B1466" s="5" t="s">
        <v>3589</v>
      </c>
      <c r="C1466" s="5" t="s">
        <v>6617</v>
      </c>
      <c r="D1466" s="5">
        <v>2.0</v>
      </c>
    </row>
    <row r="1467">
      <c r="A1467" s="5">
        <v>583.0</v>
      </c>
      <c r="B1467" s="5" t="s">
        <v>3589</v>
      </c>
      <c r="C1467" s="5" t="s">
        <v>6620</v>
      </c>
      <c r="D1467" s="5">
        <v>3.0</v>
      </c>
    </row>
    <row r="1468">
      <c r="A1468" s="5">
        <v>584.0</v>
      </c>
      <c r="B1468" s="5" t="s">
        <v>3595</v>
      </c>
      <c r="C1468" s="5" t="s">
        <v>6616</v>
      </c>
      <c r="D1468" s="5">
        <v>1.0</v>
      </c>
    </row>
    <row r="1469">
      <c r="A1469" s="5">
        <v>584.0</v>
      </c>
      <c r="B1469" s="5" t="s">
        <v>3595</v>
      </c>
      <c r="C1469" s="5" t="s">
        <v>6617</v>
      </c>
      <c r="D1469" s="5">
        <v>2.0</v>
      </c>
    </row>
    <row r="1470">
      <c r="A1470" s="5">
        <v>584.0</v>
      </c>
      <c r="B1470" s="5" t="s">
        <v>3595</v>
      </c>
      <c r="C1470" s="5" t="s">
        <v>6620</v>
      </c>
      <c r="D1470" s="5">
        <v>3.0</v>
      </c>
    </row>
    <row r="1471">
      <c r="A1471" s="5">
        <v>585.0</v>
      </c>
      <c r="B1471" s="5" t="s">
        <v>3597</v>
      </c>
      <c r="C1471" s="5" t="s">
        <v>6615</v>
      </c>
      <c r="D1471" s="5">
        <v>1.0</v>
      </c>
    </row>
    <row r="1472">
      <c r="A1472" s="5">
        <v>585.0</v>
      </c>
      <c r="B1472" s="5" t="s">
        <v>3597</v>
      </c>
      <c r="C1472" s="5" t="s">
        <v>20</v>
      </c>
      <c r="D1472" s="5">
        <v>2.0</v>
      </c>
    </row>
    <row r="1473">
      <c r="A1473" s="5">
        <v>585.0</v>
      </c>
      <c r="B1473" s="5" t="s">
        <v>3597</v>
      </c>
      <c r="C1473" s="5" t="s">
        <v>6626</v>
      </c>
      <c r="D1473" s="5">
        <v>3.0</v>
      </c>
    </row>
    <row r="1474">
      <c r="A1474" s="5">
        <v>586.0</v>
      </c>
      <c r="B1474" s="5" t="s">
        <v>3602</v>
      </c>
      <c r="C1474" s="5" t="s">
        <v>20</v>
      </c>
      <c r="D1474" s="5">
        <v>1.0</v>
      </c>
    </row>
    <row r="1475">
      <c r="A1475" s="5">
        <v>586.0</v>
      </c>
      <c r="B1475" s="5" t="s">
        <v>3602</v>
      </c>
      <c r="C1475" s="5" t="s">
        <v>6621</v>
      </c>
      <c r="D1475" s="5">
        <v>2.0</v>
      </c>
    </row>
    <row r="1476">
      <c r="A1476" s="5">
        <v>587.0</v>
      </c>
      <c r="B1476" s="5" t="s">
        <v>3608</v>
      </c>
      <c r="C1476" s="5" t="s">
        <v>6623</v>
      </c>
      <c r="D1476" s="5">
        <v>1.0</v>
      </c>
    </row>
    <row r="1477">
      <c r="A1477" s="5">
        <v>587.0</v>
      </c>
      <c r="B1477" s="5" t="s">
        <v>3608</v>
      </c>
      <c r="C1477" s="5" t="s">
        <v>6618</v>
      </c>
      <c r="D1477" s="5">
        <v>2.0</v>
      </c>
    </row>
    <row r="1478">
      <c r="A1478" s="5">
        <v>587.0</v>
      </c>
      <c r="B1478" s="5" t="s">
        <v>3608</v>
      </c>
      <c r="C1478" s="5" t="s">
        <v>6615</v>
      </c>
      <c r="D1478" s="5">
        <v>3.0</v>
      </c>
    </row>
    <row r="1479">
      <c r="A1479" s="5">
        <v>588.0</v>
      </c>
      <c r="B1479" s="5" t="s">
        <v>3616</v>
      </c>
      <c r="C1479" s="5" t="s">
        <v>6618</v>
      </c>
      <c r="D1479" s="5">
        <v>1.0</v>
      </c>
    </row>
    <row r="1480">
      <c r="A1480" s="5">
        <v>588.0</v>
      </c>
      <c r="B1480" s="5" t="s">
        <v>3616</v>
      </c>
      <c r="C1480" s="5" t="s">
        <v>602</v>
      </c>
      <c r="D1480" s="5">
        <v>2.0</v>
      </c>
    </row>
    <row r="1481">
      <c r="A1481" s="5">
        <v>588.0</v>
      </c>
      <c r="B1481" s="5" t="s">
        <v>3616</v>
      </c>
      <c r="C1481" s="5" t="s">
        <v>20</v>
      </c>
      <c r="D1481" s="5">
        <v>3.0</v>
      </c>
    </row>
    <row r="1482">
      <c r="A1482" s="5">
        <v>589.0</v>
      </c>
      <c r="B1482" s="5" t="s">
        <v>3623</v>
      </c>
      <c r="C1482" s="5" t="s">
        <v>20</v>
      </c>
      <c r="D1482" s="5">
        <v>1.0</v>
      </c>
    </row>
    <row r="1483">
      <c r="A1483" s="5">
        <v>589.0</v>
      </c>
      <c r="B1483" s="5" t="s">
        <v>3623</v>
      </c>
      <c r="C1483" s="5" t="s">
        <v>6626</v>
      </c>
      <c r="D1483" s="5">
        <v>2.0</v>
      </c>
    </row>
    <row r="1484">
      <c r="A1484" s="5">
        <v>590.0</v>
      </c>
      <c r="B1484" s="5" t="s">
        <v>3627</v>
      </c>
      <c r="C1484" s="5" t="s">
        <v>20</v>
      </c>
      <c r="D1484" s="5">
        <v>1.0</v>
      </c>
    </row>
    <row r="1485">
      <c r="A1485" s="5">
        <v>591.0</v>
      </c>
      <c r="B1485" s="5" t="s">
        <v>3634</v>
      </c>
      <c r="C1485" s="5" t="s">
        <v>20</v>
      </c>
      <c r="D1485" s="5">
        <v>1.0</v>
      </c>
    </row>
    <row r="1486">
      <c r="A1486" s="5">
        <v>591.0</v>
      </c>
      <c r="B1486" s="5" t="s">
        <v>3634</v>
      </c>
      <c r="C1486" s="5" t="s">
        <v>6621</v>
      </c>
      <c r="D1486" s="5">
        <v>2.0</v>
      </c>
    </row>
    <row r="1487">
      <c r="A1487" s="5">
        <v>592.0</v>
      </c>
      <c r="B1487" s="5" t="s">
        <v>3638</v>
      </c>
      <c r="C1487" s="5" t="s">
        <v>602</v>
      </c>
      <c r="D1487" s="5">
        <v>1.0</v>
      </c>
    </row>
    <row r="1488">
      <c r="A1488" s="5">
        <v>592.0</v>
      </c>
      <c r="B1488" s="5" t="s">
        <v>3638</v>
      </c>
      <c r="C1488" s="5" t="s">
        <v>6621</v>
      </c>
      <c r="D1488" s="5">
        <v>2.0</v>
      </c>
    </row>
    <row r="1489">
      <c r="A1489" s="5">
        <v>593.0</v>
      </c>
      <c r="B1489" s="5" t="s">
        <v>3643</v>
      </c>
      <c r="C1489" s="5" t="s">
        <v>6623</v>
      </c>
      <c r="D1489" s="5">
        <v>1.0</v>
      </c>
    </row>
    <row r="1490">
      <c r="A1490" s="5">
        <v>593.0</v>
      </c>
      <c r="B1490" s="5" t="s">
        <v>3643</v>
      </c>
      <c r="C1490" s="5" t="s">
        <v>6616</v>
      </c>
      <c r="D1490" s="5">
        <v>2.0</v>
      </c>
    </row>
    <row r="1491">
      <c r="A1491" s="5">
        <v>593.0</v>
      </c>
      <c r="B1491" s="5" t="s">
        <v>3643</v>
      </c>
      <c r="C1491" s="5" t="s">
        <v>6617</v>
      </c>
      <c r="D1491" s="5">
        <v>3.0</v>
      </c>
    </row>
    <row r="1492">
      <c r="A1492" s="5">
        <v>594.0</v>
      </c>
      <c r="B1492" s="5" t="s">
        <v>3650</v>
      </c>
      <c r="C1492" s="5" t="s">
        <v>602</v>
      </c>
      <c r="D1492" s="5">
        <v>1.0</v>
      </c>
    </row>
    <row r="1493">
      <c r="A1493" s="5">
        <v>594.0</v>
      </c>
      <c r="B1493" s="5" t="s">
        <v>3650</v>
      </c>
      <c r="C1493" s="5" t="s">
        <v>20</v>
      </c>
      <c r="D1493" s="5">
        <v>2.0</v>
      </c>
    </row>
    <row r="1494">
      <c r="A1494" s="5">
        <v>594.0</v>
      </c>
      <c r="B1494" s="5" t="s">
        <v>3650</v>
      </c>
      <c r="C1494" s="5" t="s">
        <v>6622</v>
      </c>
      <c r="D1494" s="5">
        <v>3.0</v>
      </c>
    </row>
    <row r="1495">
      <c r="A1495" s="5">
        <v>595.0</v>
      </c>
      <c r="B1495" s="5" t="s">
        <v>3654</v>
      </c>
      <c r="C1495" s="5" t="s">
        <v>602</v>
      </c>
      <c r="D1495" s="5">
        <v>1.0</v>
      </c>
    </row>
    <row r="1496">
      <c r="A1496" s="5">
        <v>595.0</v>
      </c>
      <c r="B1496" s="5" t="s">
        <v>3654</v>
      </c>
      <c r="C1496" s="5" t="s">
        <v>20</v>
      </c>
      <c r="D1496" s="5">
        <v>2.0</v>
      </c>
    </row>
    <row r="1497">
      <c r="A1497" s="5">
        <v>595.0</v>
      </c>
      <c r="B1497" s="5" t="s">
        <v>3654</v>
      </c>
      <c r="C1497" s="5" t="s">
        <v>6624</v>
      </c>
      <c r="D1497" s="5">
        <v>3.0</v>
      </c>
    </row>
    <row r="1498">
      <c r="A1498" s="5">
        <v>596.0</v>
      </c>
      <c r="B1498" s="5" t="s">
        <v>3660</v>
      </c>
      <c r="C1498" s="5" t="s">
        <v>6623</v>
      </c>
      <c r="D1498" s="5">
        <v>1.0</v>
      </c>
    </row>
    <row r="1499">
      <c r="A1499" s="5">
        <v>596.0</v>
      </c>
      <c r="B1499" s="5" t="s">
        <v>3660</v>
      </c>
      <c r="C1499" s="5" t="s">
        <v>6618</v>
      </c>
      <c r="D1499" s="5">
        <v>2.0</v>
      </c>
    </row>
    <row r="1500">
      <c r="A1500" s="5">
        <v>596.0</v>
      </c>
      <c r="B1500" s="5" t="s">
        <v>3660</v>
      </c>
      <c r="C1500" s="5" t="s">
        <v>20</v>
      </c>
      <c r="D1500" s="5">
        <v>3.0</v>
      </c>
    </row>
    <row r="1501">
      <c r="A1501" s="5">
        <v>597.0</v>
      </c>
      <c r="B1501" s="5" t="s">
        <v>3665</v>
      </c>
      <c r="C1501" s="5" t="s">
        <v>6623</v>
      </c>
      <c r="D1501" s="5">
        <v>1.0</v>
      </c>
    </row>
    <row r="1502">
      <c r="A1502" s="5">
        <v>597.0</v>
      </c>
      <c r="B1502" s="5" t="s">
        <v>3665</v>
      </c>
      <c r="C1502" s="5" t="s">
        <v>6617</v>
      </c>
      <c r="D1502" s="5">
        <v>2.0</v>
      </c>
    </row>
    <row r="1503">
      <c r="A1503" s="5">
        <v>597.0</v>
      </c>
      <c r="B1503" s="5" t="s">
        <v>3665</v>
      </c>
      <c r="C1503" s="5" t="s">
        <v>602</v>
      </c>
      <c r="D1503" s="5">
        <v>3.0</v>
      </c>
    </row>
    <row r="1504">
      <c r="A1504" s="5">
        <v>598.0</v>
      </c>
      <c r="B1504" s="5" t="s">
        <v>3670</v>
      </c>
      <c r="C1504" s="5" t="s">
        <v>6615</v>
      </c>
      <c r="D1504" s="5">
        <v>1.0</v>
      </c>
    </row>
    <row r="1505">
      <c r="A1505" s="5">
        <v>598.0</v>
      </c>
      <c r="B1505" s="5" t="s">
        <v>3670</v>
      </c>
      <c r="C1505" s="5" t="s">
        <v>20</v>
      </c>
      <c r="D1505" s="5">
        <v>2.0</v>
      </c>
    </row>
    <row r="1506">
      <c r="A1506" s="5">
        <v>598.0</v>
      </c>
      <c r="B1506" s="5" t="s">
        <v>3670</v>
      </c>
      <c r="C1506" s="5" t="s">
        <v>6626</v>
      </c>
      <c r="D1506" s="5">
        <v>3.0</v>
      </c>
    </row>
    <row r="1507">
      <c r="A1507" s="5">
        <v>599.0</v>
      </c>
      <c r="B1507" s="5" t="s">
        <v>3675</v>
      </c>
      <c r="C1507" s="5" t="s">
        <v>602</v>
      </c>
      <c r="D1507" s="5">
        <v>1.0</v>
      </c>
    </row>
    <row r="1508">
      <c r="A1508" s="5">
        <v>599.0</v>
      </c>
      <c r="B1508" s="5" t="s">
        <v>3675</v>
      </c>
      <c r="C1508" s="5" t="s">
        <v>20</v>
      </c>
      <c r="D1508" s="5">
        <v>2.0</v>
      </c>
    </row>
    <row r="1509">
      <c r="A1509" s="5">
        <v>599.0</v>
      </c>
      <c r="B1509" s="5" t="s">
        <v>3675</v>
      </c>
      <c r="C1509" s="5" t="s">
        <v>6621</v>
      </c>
      <c r="D1509" s="5">
        <v>3.0</v>
      </c>
    </row>
    <row r="1510">
      <c r="A1510" s="5">
        <v>600.0</v>
      </c>
      <c r="B1510" s="5" t="s">
        <v>3679</v>
      </c>
      <c r="C1510" s="5" t="s">
        <v>6623</v>
      </c>
      <c r="D1510" s="5">
        <v>1.0</v>
      </c>
    </row>
    <row r="1511">
      <c r="A1511" s="5">
        <v>600.0</v>
      </c>
      <c r="B1511" s="5" t="s">
        <v>3679</v>
      </c>
      <c r="C1511" s="5" t="s">
        <v>6616</v>
      </c>
      <c r="D1511" s="5">
        <v>2.0</v>
      </c>
    </row>
    <row r="1512">
      <c r="A1512" s="5">
        <v>600.0</v>
      </c>
      <c r="B1512" s="5" t="s">
        <v>3679</v>
      </c>
      <c r="C1512" s="5" t="s">
        <v>6617</v>
      </c>
      <c r="D1512" s="5">
        <v>3.0</v>
      </c>
    </row>
    <row r="1513">
      <c r="A1513" s="5">
        <v>601.0</v>
      </c>
      <c r="B1513" s="5" t="s">
        <v>3682</v>
      </c>
      <c r="C1513" s="5" t="s">
        <v>6618</v>
      </c>
      <c r="D1513" s="5">
        <v>1.0</v>
      </c>
    </row>
    <row r="1514">
      <c r="A1514" s="5">
        <v>601.0</v>
      </c>
      <c r="B1514" s="5" t="s">
        <v>3682</v>
      </c>
      <c r="C1514" s="5" t="s">
        <v>602</v>
      </c>
      <c r="D1514" s="5">
        <v>2.0</v>
      </c>
    </row>
    <row r="1515">
      <c r="A1515" s="5">
        <v>601.0</v>
      </c>
      <c r="B1515" s="5" t="s">
        <v>3682</v>
      </c>
      <c r="C1515" s="5" t="s">
        <v>20</v>
      </c>
      <c r="D1515" s="5">
        <v>3.0</v>
      </c>
    </row>
    <row r="1516">
      <c r="A1516" s="5">
        <v>602.0</v>
      </c>
      <c r="B1516" s="5" t="s">
        <v>3686</v>
      </c>
      <c r="C1516" s="5" t="s">
        <v>20</v>
      </c>
      <c r="D1516" s="5">
        <v>1.0</v>
      </c>
    </row>
    <row r="1517">
      <c r="A1517" s="5">
        <v>602.0</v>
      </c>
      <c r="B1517" s="5" t="s">
        <v>3686</v>
      </c>
      <c r="C1517" s="5" t="s">
        <v>4191</v>
      </c>
      <c r="D1517" s="5">
        <v>2.0</v>
      </c>
    </row>
    <row r="1518">
      <c r="A1518" s="5">
        <v>603.0</v>
      </c>
      <c r="B1518" s="5" t="s">
        <v>3692</v>
      </c>
      <c r="C1518" s="5" t="s">
        <v>6616</v>
      </c>
      <c r="D1518" s="5">
        <v>1.0</v>
      </c>
    </row>
    <row r="1519">
      <c r="A1519" s="5">
        <v>603.0</v>
      </c>
      <c r="B1519" s="5" t="s">
        <v>3692</v>
      </c>
      <c r="C1519" s="5" t="s">
        <v>6615</v>
      </c>
      <c r="D1519" s="5">
        <v>2.0</v>
      </c>
    </row>
    <row r="1520">
      <c r="A1520" s="5">
        <v>603.0</v>
      </c>
      <c r="B1520" s="5" t="s">
        <v>3692</v>
      </c>
      <c r="C1520" s="5" t="s">
        <v>20</v>
      </c>
      <c r="D1520" s="5">
        <v>3.0</v>
      </c>
    </row>
    <row r="1521">
      <c r="A1521" s="5">
        <v>604.0</v>
      </c>
      <c r="B1521" s="5" t="s">
        <v>3698</v>
      </c>
      <c r="C1521" s="5" t="s">
        <v>6615</v>
      </c>
      <c r="D1521" s="5">
        <v>1.0</v>
      </c>
    </row>
    <row r="1522">
      <c r="A1522" s="5">
        <v>604.0</v>
      </c>
      <c r="B1522" s="5" t="s">
        <v>3698</v>
      </c>
      <c r="C1522" s="5" t="s">
        <v>20</v>
      </c>
      <c r="D1522" s="5">
        <v>2.0</v>
      </c>
    </row>
    <row r="1523">
      <c r="A1523" s="5">
        <v>604.0</v>
      </c>
      <c r="B1523" s="5" t="s">
        <v>3698</v>
      </c>
      <c r="C1523" s="5" t="s">
        <v>6626</v>
      </c>
      <c r="D1523" s="5">
        <v>3.0</v>
      </c>
    </row>
    <row r="1524">
      <c r="A1524" s="5">
        <v>605.0</v>
      </c>
      <c r="B1524" s="5" t="s">
        <v>3700</v>
      </c>
      <c r="C1524" s="5" t="s">
        <v>6617</v>
      </c>
      <c r="D1524" s="5">
        <v>1.0</v>
      </c>
    </row>
    <row r="1525">
      <c r="A1525" s="5">
        <v>605.0</v>
      </c>
      <c r="B1525" s="5" t="s">
        <v>3700</v>
      </c>
      <c r="C1525" s="5" t="s">
        <v>6618</v>
      </c>
      <c r="D1525" s="5">
        <v>2.0</v>
      </c>
    </row>
    <row r="1526">
      <c r="A1526" s="5">
        <v>605.0</v>
      </c>
      <c r="B1526" s="5" t="s">
        <v>3700</v>
      </c>
      <c r="C1526" s="5" t="s">
        <v>6615</v>
      </c>
      <c r="D1526" s="5">
        <v>3.0</v>
      </c>
    </row>
    <row r="1527">
      <c r="A1527" s="5">
        <v>606.0</v>
      </c>
      <c r="B1527" s="5" t="s">
        <v>3705</v>
      </c>
      <c r="C1527" s="5" t="s">
        <v>6616</v>
      </c>
      <c r="D1527" s="5">
        <v>1.0</v>
      </c>
    </row>
    <row r="1528">
      <c r="A1528" s="5">
        <v>606.0</v>
      </c>
      <c r="B1528" s="5" t="s">
        <v>3705</v>
      </c>
      <c r="C1528" s="5" t="s">
        <v>6615</v>
      </c>
      <c r="D1528" s="5">
        <v>2.0</v>
      </c>
    </row>
    <row r="1529">
      <c r="A1529" s="5">
        <v>606.0</v>
      </c>
      <c r="B1529" s="5" t="s">
        <v>3705</v>
      </c>
      <c r="C1529" s="5" t="s">
        <v>20</v>
      </c>
      <c r="D1529" s="5">
        <v>3.0</v>
      </c>
    </row>
    <row r="1530">
      <c r="A1530" s="5">
        <v>607.0</v>
      </c>
      <c r="B1530" s="5" t="s">
        <v>3712</v>
      </c>
      <c r="C1530" s="5" t="s">
        <v>6618</v>
      </c>
      <c r="D1530" s="5">
        <v>1.0</v>
      </c>
    </row>
    <row r="1531">
      <c r="A1531" s="5">
        <v>607.0</v>
      </c>
      <c r="B1531" s="5" t="s">
        <v>3712</v>
      </c>
      <c r="C1531" s="5" t="s">
        <v>20</v>
      </c>
      <c r="D1531" s="5">
        <v>2.0</v>
      </c>
    </row>
    <row r="1532">
      <c r="A1532" s="5">
        <v>607.0</v>
      </c>
      <c r="B1532" s="5" t="s">
        <v>3712</v>
      </c>
      <c r="C1532" s="5" t="s">
        <v>6619</v>
      </c>
      <c r="D1532" s="5">
        <v>3.0</v>
      </c>
    </row>
    <row r="1533">
      <c r="A1533" s="5">
        <v>608.0</v>
      </c>
      <c r="B1533" s="5" t="s">
        <v>3719</v>
      </c>
      <c r="C1533" s="5" t="s">
        <v>6615</v>
      </c>
      <c r="D1533" s="5">
        <v>1.0</v>
      </c>
    </row>
    <row r="1534">
      <c r="A1534" s="5">
        <v>608.0</v>
      </c>
      <c r="B1534" s="5" t="s">
        <v>3719</v>
      </c>
      <c r="C1534" s="5" t="s">
        <v>20</v>
      </c>
      <c r="D1534" s="5">
        <v>2.0</v>
      </c>
    </row>
    <row r="1535">
      <c r="A1535" s="5">
        <v>608.0</v>
      </c>
      <c r="B1535" s="5" t="s">
        <v>3719</v>
      </c>
      <c r="C1535" s="5" t="s">
        <v>6626</v>
      </c>
      <c r="D1535" s="5">
        <v>3.0</v>
      </c>
    </row>
    <row r="1536">
      <c r="A1536" s="5">
        <v>609.0</v>
      </c>
      <c r="B1536" s="5" t="s">
        <v>3724</v>
      </c>
      <c r="C1536" s="5" t="s">
        <v>6616</v>
      </c>
      <c r="D1536" s="5">
        <v>1.0</v>
      </c>
    </row>
    <row r="1537">
      <c r="A1537" s="5">
        <v>609.0</v>
      </c>
      <c r="B1537" s="5" t="s">
        <v>3724</v>
      </c>
      <c r="C1537" s="5" t="s">
        <v>6615</v>
      </c>
      <c r="D1537" s="5">
        <v>2.0</v>
      </c>
    </row>
    <row r="1538">
      <c r="A1538" s="5">
        <v>609.0</v>
      </c>
      <c r="B1538" s="5" t="s">
        <v>3724</v>
      </c>
      <c r="C1538" s="5" t="s">
        <v>4191</v>
      </c>
      <c r="D1538" s="5">
        <v>3.0</v>
      </c>
    </row>
    <row r="1539">
      <c r="A1539" s="5">
        <v>610.0</v>
      </c>
      <c r="B1539" s="5" t="s">
        <v>3730</v>
      </c>
      <c r="C1539" s="5" t="s">
        <v>6617</v>
      </c>
      <c r="D1539" s="5">
        <v>1.0</v>
      </c>
    </row>
    <row r="1540">
      <c r="A1540" s="5">
        <v>610.0</v>
      </c>
      <c r="B1540" s="5" t="s">
        <v>3730</v>
      </c>
      <c r="C1540" s="5" t="s">
        <v>6622</v>
      </c>
      <c r="D1540" s="5">
        <v>2.0</v>
      </c>
    </row>
    <row r="1541">
      <c r="A1541" s="5">
        <v>611.0</v>
      </c>
      <c r="B1541" s="5" t="s">
        <v>3736</v>
      </c>
      <c r="C1541" s="5" t="s">
        <v>20</v>
      </c>
      <c r="D1541" s="5">
        <v>1.0</v>
      </c>
    </row>
    <row r="1542">
      <c r="A1542" s="5">
        <v>611.0</v>
      </c>
      <c r="B1542" s="5" t="s">
        <v>3736</v>
      </c>
      <c r="C1542" s="5" t="s">
        <v>6619</v>
      </c>
      <c r="D1542" s="5">
        <v>2.0</v>
      </c>
    </row>
    <row r="1543">
      <c r="A1543" s="5">
        <v>611.0</v>
      </c>
      <c r="B1543" s="5" t="s">
        <v>3736</v>
      </c>
      <c r="C1543" s="5" t="s">
        <v>6626</v>
      </c>
      <c r="D1543" s="5">
        <v>3.0</v>
      </c>
    </row>
    <row r="1544">
      <c r="A1544" s="5">
        <v>612.0</v>
      </c>
      <c r="B1544" s="5" t="s">
        <v>3742</v>
      </c>
      <c r="C1544" s="5" t="s">
        <v>6615</v>
      </c>
      <c r="D1544" s="5">
        <v>1.0</v>
      </c>
    </row>
    <row r="1545">
      <c r="A1545" s="5">
        <v>612.0</v>
      </c>
      <c r="B1545" s="5" t="s">
        <v>3742</v>
      </c>
      <c r="C1545" s="5" t="s">
        <v>20</v>
      </c>
      <c r="D1545" s="5">
        <v>2.0</v>
      </c>
    </row>
    <row r="1546">
      <c r="A1546" s="5">
        <v>612.0</v>
      </c>
      <c r="B1546" s="5" t="s">
        <v>3742</v>
      </c>
      <c r="C1546" s="5" t="s">
        <v>6626</v>
      </c>
      <c r="D1546" s="5">
        <v>3.0</v>
      </c>
    </row>
    <row r="1547">
      <c r="A1547" s="5">
        <v>613.0</v>
      </c>
      <c r="B1547" s="5" t="s">
        <v>3749</v>
      </c>
      <c r="C1547" s="5" t="s">
        <v>20</v>
      </c>
      <c r="D1547" s="5">
        <v>1.0</v>
      </c>
    </row>
    <row r="1548">
      <c r="A1548" s="5">
        <v>613.0</v>
      </c>
      <c r="B1548" s="5" t="s">
        <v>3749</v>
      </c>
      <c r="C1548" s="5" t="s">
        <v>6619</v>
      </c>
      <c r="D1548" s="5">
        <v>2.0</v>
      </c>
    </row>
    <row r="1549">
      <c r="A1549" s="5">
        <v>613.0</v>
      </c>
      <c r="B1549" s="5" t="s">
        <v>3749</v>
      </c>
      <c r="C1549" s="5" t="s">
        <v>4191</v>
      </c>
      <c r="D1549" s="5">
        <v>3.0</v>
      </c>
    </row>
    <row r="1550">
      <c r="A1550" s="5">
        <v>614.0</v>
      </c>
      <c r="B1550" s="5" t="s">
        <v>3755</v>
      </c>
      <c r="C1550" s="5" t="s">
        <v>602</v>
      </c>
      <c r="D1550" s="5">
        <v>1.0</v>
      </c>
    </row>
    <row r="1551">
      <c r="A1551" s="5">
        <v>614.0</v>
      </c>
      <c r="B1551" s="5" t="s">
        <v>3755</v>
      </c>
      <c r="C1551" s="5" t="s">
        <v>20</v>
      </c>
      <c r="D1551" s="5">
        <v>2.0</v>
      </c>
    </row>
    <row r="1552">
      <c r="A1552" s="5">
        <v>615.0</v>
      </c>
      <c r="B1552" s="5" t="s">
        <v>3759</v>
      </c>
      <c r="C1552" s="5" t="s">
        <v>6618</v>
      </c>
      <c r="D1552" s="5">
        <v>1.0</v>
      </c>
    </row>
    <row r="1553">
      <c r="A1553" s="5">
        <v>615.0</v>
      </c>
      <c r="B1553" s="5" t="s">
        <v>3759</v>
      </c>
      <c r="C1553" s="5" t="s">
        <v>20</v>
      </c>
      <c r="D1553" s="5">
        <v>2.0</v>
      </c>
    </row>
    <row r="1554">
      <c r="A1554" s="5">
        <v>615.0</v>
      </c>
      <c r="B1554" s="5" t="s">
        <v>3759</v>
      </c>
      <c r="C1554" s="5" t="s">
        <v>6630</v>
      </c>
      <c r="D1554" s="5">
        <v>3.0</v>
      </c>
    </row>
    <row r="1555">
      <c r="A1555" s="5">
        <v>616.0</v>
      </c>
      <c r="B1555" s="5" t="s">
        <v>3762</v>
      </c>
      <c r="C1555" s="5" t="s">
        <v>6616</v>
      </c>
      <c r="D1555" s="5">
        <v>1.0</v>
      </c>
    </row>
    <row r="1556">
      <c r="A1556" s="5">
        <v>616.0</v>
      </c>
      <c r="B1556" s="5" t="s">
        <v>3762</v>
      </c>
      <c r="C1556" s="5" t="s">
        <v>4191</v>
      </c>
      <c r="D1556" s="5">
        <v>2.0</v>
      </c>
    </row>
    <row r="1557">
      <c r="A1557" s="5">
        <v>617.0</v>
      </c>
      <c r="B1557" s="5" t="s">
        <v>3768</v>
      </c>
      <c r="C1557" s="5" t="s">
        <v>20</v>
      </c>
      <c r="D1557" s="5">
        <v>1.0</v>
      </c>
    </row>
    <row r="1558">
      <c r="A1558" s="5">
        <v>617.0</v>
      </c>
      <c r="B1558" s="5" t="s">
        <v>3768</v>
      </c>
      <c r="C1558" s="5" t="s">
        <v>6619</v>
      </c>
      <c r="D1558" s="5">
        <v>2.0</v>
      </c>
    </row>
    <row r="1559">
      <c r="A1559" s="5">
        <v>617.0</v>
      </c>
      <c r="B1559" s="5" t="s">
        <v>3768</v>
      </c>
      <c r="C1559" s="5" t="s">
        <v>6625</v>
      </c>
      <c r="D1559" s="5">
        <v>3.0</v>
      </c>
    </row>
    <row r="1560">
      <c r="A1560" s="5">
        <v>618.0</v>
      </c>
      <c r="B1560" s="5" t="s">
        <v>3775</v>
      </c>
      <c r="C1560" s="5" t="s">
        <v>20</v>
      </c>
      <c r="D1560" s="5">
        <v>1.0</v>
      </c>
    </row>
    <row r="1561">
      <c r="A1561" s="5">
        <v>618.0</v>
      </c>
      <c r="B1561" s="5" t="s">
        <v>3775</v>
      </c>
      <c r="C1561" s="5" t="s">
        <v>6627</v>
      </c>
      <c r="D1561" s="5">
        <v>2.0</v>
      </c>
    </row>
    <row r="1562">
      <c r="A1562" s="5">
        <v>618.0</v>
      </c>
      <c r="B1562" s="5" t="s">
        <v>3775</v>
      </c>
      <c r="C1562" s="5" t="s">
        <v>6621</v>
      </c>
      <c r="D1562" s="5">
        <v>3.0</v>
      </c>
    </row>
    <row r="1563">
      <c r="A1563" s="5">
        <v>619.0</v>
      </c>
      <c r="B1563" s="5" t="s">
        <v>3781</v>
      </c>
      <c r="C1563" s="5" t="s">
        <v>6617</v>
      </c>
      <c r="D1563" s="5">
        <v>1.0</v>
      </c>
    </row>
    <row r="1564">
      <c r="A1564" s="5">
        <v>619.0</v>
      </c>
      <c r="B1564" s="5" t="s">
        <v>3781</v>
      </c>
      <c r="C1564" s="5" t="s">
        <v>6622</v>
      </c>
      <c r="D1564" s="5">
        <v>2.0</v>
      </c>
    </row>
    <row r="1565">
      <c r="A1565" s="5">
        <v>620.0</v>
      </c>
      <c r="B1565" s="5" t="s">
        <v>3784</v>
      </c>
      <c r="C1565" s="5" t="s">
        <v>20</v>
      </c>
      <c r="D1565" s="5">
        <v>1.0</v>
      </c>
    </row>
    <row r="1566">
      <c r="A1566" s="5">
        <v>621.0</v>
      </c>
      <c r="B1566" s="5" t="s">
        <v>3790</v>
      </c>
      <c r="C1566" s="5" t="s">
        <v>20</v>
      </c>
      <c r="D1566" s="5">
        <v>1.0</v>
      </c>
    </row>
    <row r="1567">
      <c r="A1567" s="5">
        <v>621.0</v>
      </c>
      <c r="B1567" s="5" t="s">
        <v>3790</v>
      </c>
      <c r="C1567" s="5" t="s">
        <v>6626</v>
      </c>
      <c r="D1567" s="5">
        <v>2.0</v>
      </c>
    </row>
    <row r="1568">
      <c r="A1568" s="5">
        <v>621.0</v>
      </c>
      <c r="B1568" s="5" t="s">
        <v>3790</v>
      </c>
      <c r="C1568" s="5" t="s">
        <v>6621</v>
      </c>
      <c r="D1568" s="5">
        <v>3.0</v>
      </c>
    </row>
    <row r="1569">
      <c r="A1569" s="5">
        <v>622.0</v>
      </c>
      <c r="B1569" s="5" t="s">
        <v>3793</v>
      </c>
      <c r="C1569" s="5" t="s">
        <v>6615</v>
      </c>
      <c r="D1569" s="5">
        <v>1.0</v>
      </c>
    </row>
    <row r="1570">
      <c r="A1570" s="5">
        <v>622.0</v>
      </c>
      <c r="B1570" s="5" t="s">
        <v>3793</v>
      </c>
      <c r="C1570" s="5" t="s">
        <v>20</v>
      </c>
      <c r="D1570" s="5">
        <v>2.0</v>
      </c>
    </row>
    <row r="1571">
      <c r="A1571" s="5">
        <v>623.0</v>
      </c>
      <c r="B1571" s="5" t="s">
        <v>3797</v>
      </c>
      <c r="C1571" s="5" t="s">
        <v>6618</v>
      </c>
      <c r="D1571" s="5">
        <v>1.0</v>
      </c>
    </row>
    <row r="1572">
      <c r="A1572" s="5">
        <v>623.0</v>
      </c>
      <c r="B1572" s="5" t="s">
        <v>3797</v>
      </c>
      <c r="C1572" s="5" t="s">
        <v>6615</v>
      </c>
      <c r="D1572" s="5">
        <v>2.0</v>
      </c>
    </row>
    <row r="1573">
      <c r="A1573" s="5">
        <v>623.0</v>
      </c>
      <c r="B1573" s="5" t="s">
        <v>3797</v>
      </c>
      <c r="C1573" s="5" t="s">
        <v>20</v>
      </c>
      <c r="D1573" s="5">
        <v>3.0</v>
      </c>
    </row>
    <row r="1574">
      <c r="A1574" s="5">
        <v>624.0</v>
      </c>
      <c r="B1574" s="5" t="s">
        <v>3800</v>
      </c>
      <c r="C1574" s="5" t="s">
        <v>6616</v>
      </c>
      <c r="D1574" s="5">
        <v>1.0</v>
      </c>
    </row>
    <row r="1575">
      <c r="A1575" s="5">
        <v>624.0</v>
      </c>
      <c r="B1575" s="5" t="s">
        <v>3800</v>
      </c>
      <c r="C1575" s="5" t="s">
        <v>6617</v>
      </c>
      <c r="D1575" s="5">
        <v>2.0</v>
      </c>
    </row>
    <row r="1576">
      <c r="A1576" s="5">
        <v>624.0</v>
      </c>
      <c r="B1576" s="5" t="s">
        <v>3800</v>
      </c>
      <c r="C1576" s="5" t="s">
        <v>6622</v>
      </c>
      <c r="D1576" s="5">
        <v>3.0</v>
      </c>
    </row>
    <row r="1577">
      <c r="A1577" s="5">
        <v>625.0</v>
      </c>
      <c r="B1577" s="5" t="s">
        <v>3803</v>
      </c>
      <c r="C1577" s="5" t="s">
        <v>20</v>
      </c>
      <c r="D1577" s="5">
        <v>1.0</v>
      </c>
    </row>
    <row r="1578">
      <c r="A1578" s="5">
        <v>625.0</v>
      </c>
      <c r="B1578" s="5" t="s">
        <v>3803</v>
      </c>
      <c r="C1578" s="5" t="s">
        <v>6622</v>
      </c>
      <c r="D1578" s="5">
        <v>2.0</v>
      </c>
    </row>
    <row r="1579">
      <c r="A1579" s="5">
        <v>625.0</v>
      </c>
      <c r="B1579" s="5" t="s">
        <v>3803</v>
      </c>
      <c r="C1579" s="5" t="s">
        <v>6621</v>
      </c>
      <c r="D1579" s="5">
        <v>3.0</v>
      </c>
    </row>
    <row r="1580">
      <c r="A1580" s="5">
        <v>626.0</v>
      </c>
      <c r="B1580" s="5" t="s">
        <v>3809</v>
      </c>
      <c r="C1580" s="5" t="s">
        <v>6616</v>
      </c>
      <c r="D1580" s="5">
        <v>1.0</v>
      </c>
    </row>
    <row r="1581">
      <c r="A1581" s="5">
        <v>626.0</v>
      </c>
      <c r="B1581" s="5" t="s">
        <v>3809</v>
      </c>
      <c r="C1581" s="5" t="s">
        <v>6617</v>
      </c>
      <c r="D1581" s="5">
        <v>2.0</v>
      </c>
    </row>
    <row r="1582">
      <c r="A1582" s="5">
        <v>626.0</v>
      </c>
      <c r="B1582" s="5" t="s">
        <v>3809</v>
      </c>
      <c r="C1582" s="5" t="s">
        <v>20</v>
      </c>
      <c r="D1582" s="5">
        <v>3.0</v>
      </c>
    </row>
    <row r="1583">
      <c r="A1583" s="5">
        <v>627.0</v>
      </c>
      <c r="B1583" s="5" t="s">
        <v>3815</v>
      </c>
      <c r="C1583" s="5" t="s">
        <v>602</v>
      </c>
      <c r="D1583" s="5">
        <v>1.0</v>
      </c>
    </row>
    <row r="1584">
      <c r="A1584" s="5">
        <v>627.0</v>
      </c>
      <c r="B1584" s="5" t="s">
        <v>3815</v>
      </c>
      <c r="C1584" s="5" t="s">
        <v>20</v>
      </c>
      <c r="D1584" s="5">
        <v>2.0</v>
      </c>
    </row>
    <row r="1585">
      <c r="A1585" s="5">
        <v>628.0</v>
      </c>
      <c r="B1585" s="5" t="s">
        <v>3820</v>
      </c>
      <c r="C1585" s="5" t="s">
        <v>6616</v>
      </c>
      <c r="D1585" s="5">
        <v>1.0</v>
      </c>
    </row>
    <row r="1586">
      <c r="A1586" s="5">
        <v>628.0</v>
      </c>
      <c r="B1586" s="5" t="s">
        <v>3820</v>
      </c>
      <c r="C1586" s="5" t="s">
        <v>602</v>
      </c>
      <c r="D1586" s="5">
        <v>2.0</v>
      </c>
    </row>
    <row r="1587">
      <c r="A1587" s="5">
        <v>628.0</v>
      </c>
      <c r="B1587" s="5" t="s">
        <v>3820</v>
      </c>
      <c r="C1587" s="5" t="s">
        <v>6626</v>
      </c>
      <c r="D1587" s="5">
        <v>3.0</v>
      </c>
    </row>
    <row r="1588">
      <c r="A1588" s="5">
        <v>629.0</v>
      </c>
      <c r="B1588" s="5" t="s">
        <v>3823</v>
      </c>
      <c r="C1588" s="5" t="s">
        <v>20</v>
      </c>
      <c r="D1588" s="5">
        <v>1.0</v>
      </c>
    </row>
    <row r="1589">
      <c r="A1589" s="5">
        <v>629.0</v>
      </c>
      <c r="B1589" s="5" t="s">
        <v>3823</v>
      </c>
      <c r="C1589" s="5" t="s">
        <v>6622</v>
      </c>
      <c r="D1589" s="5">
        <v>2.0</v>
      </c>
    </row>
    <row r="1590">
      <c r="A1590" s="5">
        <v>629.0</v>
      </c>
      <c r="B1590" s="5" t="s">
        <v>3823</v>
      </c>
      <c r="C1590" s="5" t="s">
        <v>6621</v>
      </c>
      <c r="D1590" s="5">
        <v>3.0</v>
      </c>
    </row>
    <row r="1591">
      <c r="A1591" s="5">
        <v>630.0</v>
      </c>
      <c r="B1591" s="5" t="s">
        <v>3828</v>
      </c>
      <c r="C1591" s="5" t="s">
        <v>20</v>
      </c>
      <c r="D1591" s="5">
        <v>1.0</v>
      </c>
    </row>
    <row r="1592">
      <c r="A1592" s="5">
        <v>630.0</v>
      </c>
      <c r="B1592" s="5" t="s">
        <v>3828</v>
      </c>
      <c r="C1592" s="5" t="s">
        <v>6624</v>
      </c>
      <c r="D1592" s="5">
        <v>2.0</v>
      </c>
    </row>
    <row r="1593">
      <c r="A1593" s="5">
        <v>630.0</v>
      </c>
      <c r="B1593" s="5" t="s">
        <v>3828</v>
      </c>
      <c r="C1593" s="5" t="s">
        <v>6628</v>
      </c>
      <c r="D1593" s="5">
        <v>3.0</v>
      </c>
    </row>
    <row r="1594">
      <c r="A1594" s="5">
        <v>631.0</v>
      </c>
      <c r="B1594" s="5" t="s">
        <v>3833</v>
      </c>
      <c r="C1594" s="5" t="s">
        <v>602</v>
      </c>
      <c r="D1594" s="5">
        <v>1.0</v>
      </c>
    </row>
    <row r="1595">
      <c r="A1595" s="5">
        <v>631.0</v>
      </c>
      <c r="B1595" s="5" t="s">
        <v>3833</v>
      </c>
      <c r="C1595" s="5" t="s">
        <v>6615</v>
      </c>
      <c r="D1595" s="5">
        <v>2.0</v>
      </c>
    </row>
    <row r="1596">
      <c r="A1596" s="5">
        <v>631.0</v>
      </c>
      <c r="B1596" s="5" t="s">
        <v>3833</v>
      </c>
      <c r="C1596" s="5" t="s">
        <v>20</v>
      </c>
      <c r="D1596" s="5">
        <v>3.0</v>
      </c>
    </row>
    <row r="1597">
      <c r="A1597" s="5">
        <v>632.0</v>
      </c>
      <c r="B1597" s="5" t="s">
        <v>3837</v>
      </c>
      <c r="C1597" s="5" t="s">
        <v>20</v>
      </c>
      <c r="D1597" s="5">
        <v>1.0</v>
      </c>
    </row>
    <row r="1598">
      <c r="A1598" s="5">
        <v>632.0</v>
      </c>
      <c r="B1598" s="5" t="s">
        <v>3837</v>
      </c>
      <c r="C1598" s="5" t="s">
        <v>6621</v>
      </c>
      <c r="D1598" s="5">
        <v>2.0</v>
      </c>
    </row>
    <row r="1599">
      <c r="A1599" s="5">
        <v>633.0</v>
      </c>
      <c r="B1599" s="5" t="s">
        <v>3840</v>
      </c>
      <c r="C1599" s="5" t="s">
        <v>6618</v>
      </c>
      <c r="D1599" s="5">
        <v>1.0</v>
      </c>
    </row>
    <row r="1600">
      <c r="A1600" s="5">
        <v>633.0</v>
      </c>
      <c r="B1600" s="5" t="s">
        <v>3840</v>
      </c>
      <c r="C1600" s="5" t="s">
        <v>20</v>
      </c>
      <c r="D1600" s="5">
        <v>2.0</v>
      </c>
    </row>
    <row r="1601">
      <c r="A1601" s="5">
        <v>633.0</v>
      </c>
      <c r="B1601" s="5" t="s">
        <v>3840</v>
      </c>
      <c r="C1601" s="5" t="s">
        <v>6630</v>
      </c>
      <c r="D1601" s="5">
        <v>3.0</v>
      </c>
    </row>
    <row r="1602">
      <c r="A1602" s="5">
        <v>634.0</v>
      </c>
      <c r="B1602" s="5" t="s">
        <v>3846</v>
      </c>
      <c r="C1602" s="5" t="s">
        <v>6623</v>
      </c>
      <c r="D1602" s="5">
        <v>1.0</v>
      </c>
    </row>
    <row r="1603">
      <c r="A1603" s="5">
        <v>634.0</v>
      </c>
      <c r="B1603" s="5" t="s">
        <v>3846</v>
      </c>
      <c r="C1603" s="5" t="s">
        <v>6617</v>
      </c>
      <c r="D1603" s="5">
        <v>2.0</v>
      </c>
    </row>
    <row r="1604">
      <c r="A1604" s="5">
        <v>634.0</v>
      </c>
      <c r="B1604" s="5" t="s">
        <v>3846</v>
      </c>
      <c r="C1604" s="5" t="s">
        <v>602</v>
      </c>
      <c r="D1604" s="5">
        <v>3.0</v>
      </c>
    </row>
    <row r="1605">
      <c r="A1605" s="5">
        <v>635.0</v>
      </c>
      <c r="B1605" s="5" t="s">
        <v>3852</v>
      </c>
      <c r="C1605" s="5" t="s">
        <v>6616</v>
      </c>
      <c r="D1605" s="5">
        <v>1.0</v>
      </c>
    </row>
    <row r="1606">
      <c r="A1606" s="5">
        <v>635.0</v>
      </c>
      <c r="B1606" s="5" t="s">
        <v>3852</v>
      </c>
      <c r="C1606" s="5" t="s">
        <v>6617</v>
      </c>
      <c r="D1606" s="5">
        <v>2.0</v>
      </c>
    </row>
    <row r="1607">
      <c r="A1607" s="5">
        <v>635.0</v>
      </c>
      <c r="B1607" s="5" t="s">
        <v>3852</v>
      </c>
      <c r="C1607" s="5" t="s">
        <v>6620</v>
      </c>
      <c r="D1607" s="5">
        <v>3.0</v>
      </c>
    </row>
    <row r="1608">
      <c r="A1608" s="5">
        <v>636.0</v>
      </c>
      <c r="B1608" s="5" t="s">
        <v>3856</v>
      </c>
      <c r="C1608" s="5" t="s">
        <v>6618</v>
      </c>
      <c r="D1608" s="5">
        <v>1.0</v>
      </c>
    </row>
    <row r="1609">
      <c r="A1609" s="5">
        <v>636.0</v>
      </c>
      <c r="B1609" s="5" t="s">
        <v>3856</v>
      </c>
      <c r="C1609" s="5" t="s">
        <v>20</v>
      </c>
      <c r="D1609" s="5">
        <v>2.0</v>
      </c>
    </row>
    <row r="1610">
      <c r="A1610" s="5">
        <v>636.0</v>
      </c>
      <c r="B1610" s="5" t="s">
        <v>3856</v>
      </c>
      <c r="C1610" s="5" t="s">
        <v>6627</v>
      </c>
      <c r="D1610" s="5">
        <v>3.0</v>
      </c>
    </row>
    <row r="1611">
      <c r="A1611" s="5">
        <v>637.0</v>
      </c>
      <c r="B1611" s="5" t="s">
        <v>3859</v>
      </c>
      <c r="C1611" s="5" t="s">
        <v>20</v>
      </c>
      <c r="D1611" s="5">
        <v>1.0</v>
      </c>
    </row>
    <row r="1612">
      <c r="A1612" s="5">
        <v>638.0</v>
      </c>
      <c r="B1612" s="5" t="s">
        <v>3867</v>
      </c>
      <c r="C1612" s="5" t="s">
        <v>20</v>
      </c>
      <c r="D1612" s="5">
        <v>1.0</v>
      </c>
    </row>
    <row r="1613">
      <c r="A1613" s="5">
        <v>638.0</v>
      </c>
      <c r="B1613" s="5" t="s">
        <v>3867</v>
      </c>
      <c r="C1613" s="5" t="s">
        <v>6621</v>
      </c>
      <c r="D1613" s="5">
        <v>2.0</v>
      </c>
    </row>
    <row r="1614">
      <c r="A1614" s="5">
        <v>639.0</v>
      </c>
      <c r="B1614" s="5" t="s">
        <v>3870</v>
      </c>
      <c r="C1614" s="5" t="s">
        <v>6617</v>
      </c>
      <c r="D1614" s="5">
        <v>1.0</v>
      </c>
    </row>
    <row r="1615">
      <c r="A1615" s="5">
        <v>639.0</v>
      </c>
      <c r="B1615" s="5" t="s">
        <v>3870</v>
      </c>
      <c r="C1615" s="5" t="s">
        <v>6618</v>
      </c>
      <c r="D1615" s="5">
        <v>2.0</v>
      </c>
    </row>
    <row r="1616">
      <c r="A1616" s="5">
        <v>639.0</v>
      </c>
      <c r="B1616" s="5" t="s">
        <v>3870</v>
      </c>
      <c r="C1616" s="5" t="s">
        <v>20</v>
      </c>
      <c r="D1616" s="5">
        <v>3.0</v>
      </c>
    </row>
    <row r="1617">
      <c r="A1617" s="5">
        <v>640.0</v>
      </c>
      <c r="B1617" s="5" t="s">
        <v>3875</v>
      </c>
      <c r="C1617" s="5" t="s">
        <v>6615</v>
      </c>
      <c r="D1617" s="5">
        <v>1.0</v>
      </c>
    </row>
    <row r="1618">
      <c r="A1618" s="5">
        <v>640.0</v>
      </c>
      <c r="B1618" s="5" t="s">
        <v>3875</v>
      </c>
      <c r="C1618" s="5" t="s">
        <v>20</v>
      </c>
      <c r="D1618" s="5">
        <v>2.0</v>
      </c>
    </row>
    <row r="1619">
      <c r="A1619" s="5">
        <v>641.0</v>
      </c>
      <c r="B1619" s="5" t="s">
        <v>3882</v>
      </c>
      <c r="C1619" s="5" t="s">
        <v>6623</v>
      </c>
      <c r="D1619" s="5">
        <v>1.0</v>
      </c>
    </row>
    <row r="1620">
      <c r="A1620" s="5">
        <v>641.0</v>
      </c>
      <c r="B1620" s="5" t="s">
        <v>3882</v>
      </c>
      <c r="C1620" s="5" t="s">
        <v>602</v>
      </c>
      <c r="D1620" s="5">
        <v>2.0</v>
      </c>
    </row>
    <row r="1621">
      <c r="A1621" s="5">
        <v>641.0</v>
      </c>
      <c r="B1621" s="5" t="s">
        <v>3882</v>
      </c>
      <c r="C1621" s="5" t="s">
        <v>20</v>
      </c>
      <c r="D1621" s="5">
        <v>3.0</v>
      </c>
    </row>
    <row r="1622">
      <c r="A1622" s="5">
        <v>642.0</v>
      </c>
      <c r="B1622" s="5" t="s">
        <v>3889</v>
      </c>
      <c r="C1622" s="5" t="s">
        <v>6616</v>
      </c>
      <c r="D1622" s="5">
        <v>1.0</v>
      </c>
    </row>
    <row r="1623">
      <c r="A1623" s="5">
        <v>642.0</v>
      </c>
      <c r="B1623" s="5" t="s">
        <v>3889</v>
      </c>
      <c r="C1623" s="5" t="s">
        <v>20</v>
      </c>
      <c r="D1623" s="5">
        <v>2.0</v>
      </c>
    </row>
    <row r="1624">
      <c r="A1624" s="5">
        <v>642.0</v>
      </c>
      <c r="B1624" s="5" t="s">
        <v>3889</v>
      </c>
      <c r="C1624" s="5" t="s">
        <v>4191</v>
      </c>
      <c r="D1624" s="5">
        <v>3.0</v>
      </c>
    </row>
    <row r="1625">
      <c r="A1625" s="5">
        <v>643.0</v>
      </c>
      <c r="B1625" s="5" t="s">
        <v>3893</v>
      </c>
      <c r="C1625" s="5" t="s">
        <v>6616</v>
      </c>
      <c r="D1625" s="5">
        <v>1.0</v>
      </c>
    </row>
    <row r="1626">
      <c r="A1626" s="5">
        <v>643.0</v>
      </c>
      <c r="B1626" s="5" t="s">
        <v>3893</v>
      </c>
      <c r="C1626" s="5" t="s">
        <v>6617</v>
      </c>
      <c r="D1626" s="5">
        <v>2.0</v>
      </c>
    </row>
    <row r="1627">
      <c r="A1627" s="5">
        <v>643.0</v>
      </c>
      <c r="B1627" s="5" t="s">
        <v>3893</v>
      </c>
      <c r="C1627" s="5" t="s">
        <v>20</v>
      </c>
      <c r="D1627" s="5">
        <v>3.0</v>
      </c>
    </row>
    <row r="1628">
      <c r="A1628" s="5">
        <v>644.0</v>
      </c>
      <c r="B1628" s="5" t="s">
        <v>3899</v>
      </c>
      <c r="C1628" s="5" t="s">
        <v>6623</v>
      </c>
      <c r="D1628" s="5">
        <v>1.0</v>
      </c>
    </row>
    <row r="1629">
      <c r="A1629" s="5">
        <v>644.0</v>
      </c>
      <c r="B1629" s="5" t="s">
        <v>3899</v>
      </c>
      <c r="C1629" s="5" t="s">
        <v>20</v>
      </c>
      <c r="D1629" s="5">
        <v>2.0</v>
      </c>
    </row>
    <row r="1630">
      <c r="A1630" s="5">
        <v>644.0</v>
      </c>
      <c r="B1630" s="5" t="s">
        <v>3899</v>
      </c>
      <c r="C1630" s="5" t="s">
        <v>6622</v>
      </c>
      <c r="D1630" s="5">
        <v>3.0</v>
      </c>
    </row>
    <row r="1631">
      <c r="A1631" s="5">
        <v>645.0</v>
      </c>
      <c r="B1631" s="5" t="s">
        <v>3904</v>
      </c>
      <c r="C1631" s="5" t="s">
        <v>6618</v>
      </c>
      <c r="D1631" s="5">
        <v>1.0</v>
      </c>
    </row>
    <row r="1632">
      <c r="A1632" s="5">
        <v>645.0</v>
      </c>
      <c r="B1632" s="5" t="s">
        <v>3904</v>
      </c>
      <c r="C1632" s="5" t="s">
        <v>20</v>
      </c>
      <c r="D1632" s="5">
        <v>2.0</v>
      </c>
    </row>
    <row r="1633">
      <c r="A1633" s="5">
        <v>645.0</v>
      </c>
      <c r="B1633" s="5" t="s">
        <v>3904</v>
      </c>
      <c r="C1633" s="5" t="s">
        <v>6630</v>
      </c>
      <c r="D1633" s="5">
        <v>3.0</v>
      </c>
    </row>
    <row r="1634">
      <c r="A1634" s="5">
        <v>646.0</v>
      </c>
      <c r="B1634" s="5" t="s">
        <v>3910</v>
      </c>
      <c r="C1634" s="5" t="s">
        <v>6616</v>
      </c>
      <c r="D1634" s="5">
        <v>1.0</v>
      </c>
    </row>
    <row r="1635">
      <c r="A1635" s="5">
        <v>646.0</v>
      </c>
      <c r="B1635" s="5" t="s">
        <v>3910</v>
      </c>
      <c r="C1635" s="5" t="s">
        <v>6617</v>
      </c>
      <c r="D1635" s="5">
        <v>2.0</v>
      </c>
    </row>
    <row r="1636">
      <c r="A1636" s="5">
        <v>646.0</v>
      </c>
      <c r="B1636" s="5" t="s">
        <v>3910</v>
      </c>
      <c r="C1636" s="5" t="s">
        <v>6622</v>
      </c>
      <c r="D1636" s="5">
        <v>3.0</v>
      </c>
    </row>
    <row r="1637">
      <c r="A1637" s="5">
        <v>647.0</v>
      </c>
      <c r="B1637" s="5" t="s">
        <v>3915</v>
      </c>
      <c r="C1637" s="5" t="s">
        <v>20</v>
      </c>
      <c r="D1637" s="5">
        <v>1.0</v>
      </c>
    </row>
    <row r="1638">
      <c r="A1638" s="5">
        <v>648.0</v>
      </c>
      <c r="B1638" s="5" t="s">
        <v>3921</v>
      </c>
      <c r="C1638" s="5" t="s">
        <v>6617</v>
      </c>
      <c r="D1638" s="5">
        <v>1.0</v>
      </c>
    </row>
    <row r="1639">
      <c r="A1639" s="5">
        <v>648.0</v>
      </c>
      <c r="B1639" s="5" t="s">
        <v>3921</v>
      </c>
      <c r="C1639" s="5" t="s">
        <v>20</v>
      </c>
      <c r="D1639" s="5">
        <v>2.0</v>
      </c>
    </row>
    <row r="1640">
      <c r="A1640" s="5">
        <v>648.0</v>
      </c>
      <c r="B1640" s="5" t="s">
        <v>3921</v>
      </c>
      <c r="C1640" s="5" t="s">
        <v>6621</v>
      </c>
      <c r="D1640" s="5">
        <v>3.0</v>
      </c>
    </row>
    <row r="1641">
      <c r="A1641" s="5">
        <v>649.0</v>
      </c>
      <c r="B1641" s="5" t="s">
        <v>3927</v>
      </c>
      <c r="C1641" s="5" t="s">
        <v>6616</v>
      </c>
      <c r="D1641" s="5">
        <v>1.0</v>
      </c>
    </row>
    <row r="1642">
      <c r="A1642" s="5">
        <v>649.0</v>
      </c>
      <c r="B1642" s="5" t="s">
        <v>3927</v>
      </c>
      <c r="C1642" s="5" t="s">
        <v>6615</v>
      </c>
      <c r="D1642" s="5">
        <v>2.0</v>
      </c>
    </row>
    <row r="1643">
      <c r="A1643" s="5">
        <v>649.0</v>
      </c>
      <c r="B1643" s="5" t="s">
        <v>3927</v>
      </c>
      <c r="C1643" s="5" t="s">
        <v>4191</v>
      </c>
      <c r="D1643" s="5">
        <v>3.0</v>
      </c>
    </row>
    <row r="1644">
      <c r="A1644" s="5">
        <v>650.0</v>
      </c>
      <c r="B1644" s="5" t="s">
        <v>3933</v>
      </c>
      <c r="C1644" s="5" t="s">
        <v>6618</v>
      </c>
      <c r="D1644" s="5">
        <v>1.0</v>
      </c>
    </row>
    <row r="1645">
      <c r="A1645" s="5">
        <v>650.0</v>
      </c>
      <c r="B1645" s="5" t="s">
        <v>3933</v>
      </c>
      <c r="C1645" s="5" t="s">
        <v>20</v>
      </c>
      <c r="D1645" s="5">
        <v>2.0</v>
      </c>
    </row>
    <row r="1646">
      <c r="A1646" s="5">
        <v>650.0</v>
      </c>
      <c r="B1646" s="5" t="s">
        <v>3933</v>
      </c>
      <c r="C1646" s="5" t="s">
        <v>4191</v>
      </c>
      <c r="D1646" s="5">
        <v>3.0</v>
      </c>
    </row>
    <row r="1647">
      <c r="A1647" s="5">
        <v>651.0</v>
      </c>
      <c r="B1647" s="5" t="s">
        <v>3936</v>
      </c>
      <c r="C1647" s="5" t="s">
        <v>6618</v>
      </c>
      <c r="D1647" s="5">
        <v>1.0</v>
      </c>
    </row>
    <row r="1648">
      <c r="A1648" s="5">
        <v>651.0</v>
      </c>
      <c r="B1648" s="5" t="s">
        <v>3936</v>
      </c>
      <c r="C1648" s="5" t="s">
        <v>20</v>
      </c>
      <c r="D1648" s="5">
        <v>2.0</v>
      </c>
    </row>
    <row r="1649">
      <c r="A1649" s="5">
        <v>651.0</v>
      </c>
      <c r="B1649" s="5" t="s">
        <v>3936</v>
      </c>
      <c r="C1649" s="5" t="s">
        <v>6624</v>
      </c>
      <c r="D1649" s="5">
        <v>3.0</v>
      </c>
    </row>
    <row r="1650">
      <c r="A1650" s="5">
        <v>652.0</v>
      </c>
      <c r="B1650" s="5" t="s">
        <v>3940</v>
      </c>
      <c r="C1650" s="5" t="s">
        <v>6623</v>
      </c>
      <c r="D1650" s="5">
        <v>1.0</v>
      </c>
    </row>
    <row r="1651">
      <c r="A1651" s="5">
        <v>652.0</v>
      </c>
      <c r="B1651" s="5" t="s">
        <v>3940</v>
      </c>
      <c r="C1651" s="5" t="s">
        <v>6617</v>
      </c>
      <c r="D1651" s="5">
        <v>2.0</v>
      </c>
    </row>
    <row r="1652">
      <c r="A1652" s="5">
        <v>652.0</v>
      </c>
      <c r="B1652" s="5" t="s">
        <v>3940</v>
      </c>
      <c r="C1652" s="5" t="s">
        <v>602</v>
      </c>
      <c r="D1652" s="5">
        <v>3.0</v>
      </c>
    </row>
    <row r="1653">
      <c r="A1653" s="5">
        <v>653.0</v>
      </c>
      <c r="B1653" s="5" t="s">
        <v>3947</v>
      </c>
      <c r="C1653" s="5" t="s">
        <v>20</v>
      </c>
      <c r="D1653" s="5">
        <v>1.0</v>
      </c>
    </row>
    <row r="1654">
      <c r="A1654" s="5">
        <v>653.0</v>
      </c>
      <c r="B1654" s="5" t="s">
        <v>3947</v>
      </c>
      <c r="C1654" s="5" t="s">
        <v>6621</v>
      </c>
      <c r="D1654" s="5">
        <v>2.0</v>
      </c>
    </row>
    <row r="1655">
      <c r="A1655" s="5">
        <v>654.0</v>
      </c>
      <c r="B1655" s="5" t="s">
        <v>3952</v>
      </c>
      <c r="C1655" s="5" t="s">
        <v>6615</v>
      </c>
      <c r="D1655" s="5">
        <v>1.0</v>
      </c>
    </row>
    <row r="1656">
      <c r="A1656" s="5">
        <v>654.0</v>
      </c>
      <c r="B1656" s="5" t="s">
        <v>3952</v>
      </c>
      <c r="C1656" s="5" t="s">
        <v>20</v>
      </c>
      <c r="D1656" s="5">
        <v>2.0</v>
      </c>
    </row>
    <row r="1657">
      <c r="A1657" s="5">
        <v>654.0</v>
      </c>
      <c r="B1657" s="5" t="s">
        <v>3952</v>
      </c>
      <c r="C1657" s="5" t="s">
        <v>6621</v>
      </c>
      <c r="D1657" s="5">
        <v>3.0</v>
      </c>
    </row>
    <row r="1658">
      <c r="A1658" s="5">
        <v>655.0</v>
      </c>
      <c r="B1658" s="5" t="s">
        <v>3958</v>
      </c>
      <c r="C1658" s="5" t="s">
        <v>20</v>
      </c>
      <c r="D1658" s="5">
        <v>1.0</v>
      </c>
    </row>
    <row r="1659">
      <c r="A1659" s="5">
        <v>655.0</v>
      </c>
      <c r="B1659" s="5" t="s">
        <v>3958</v>
      </c>
      <c r="C1659" s="5" t="s">
        <v>6620</v>
      </c>
      <c r="D1659" s="5">
        <v>2.0</v>
      </c>
    </row>
    <row r="1660">
      <c r="A1660" s="5">
        <v>655.0</v>
      </c>
      <c r="B1660" s="5" t="s">
        <v>3958</v>
      </c>
      <c r="C1660" s="5" t="s">
        <v>4191</v>
      </c>
      <c r="D1660" s="5">
        <v>3.0</v>
      </c>
    </row>
    <row r="1661">
      <c r="A1661" s="5">
        <v>656.0</v>
      </c>
      <c r="B1661" s="5" t="s">
        <v>3964</v>
      </c>
      <c r="C1661" s="5" t="s">
        <v>6616</v>
      </c>
      <c r="D1661" s="5">
        <v>1.0</v>
      </c>
    </row>
    <row r="1662">
      <c r="A1662" s="5">
        <v>656.0</v>
      </c>
      <c r="B1662" s="5" t="s">
        <v>3964</v>
      </c>
      <c r="C1662" s="5" t="s">
        <v>20</v>
      </c>
      <c r="D1662" s="5">
        <v>2.0</v>
      </c>
    </row>
    <row r="1663">
      <c r="A1663" s="5">
        <v>656.0</v>
      </c>
      <c r="B1663" s="5" t="s">
        <v>3964</v>
      </c>
      <c r="C1663" s="5" t="s">
        <v>6626</v>
      </c>
      <c r="D1663" s="5">
        <v>3.0</v>
      </c>
    </row>
    <row r="1664">
      <c r="A1664" s="5">
        <v>657.0</v>
      </c>
      <c r="B1664" s="5" t="s">
        <v>3968</v>
      </c>
      <c r="C1664" s="5" t="s">
        <v>20</v>
      </c>
      <c r="D1664" s="5">
        <v>1.0</v>
      </c>
    </row>
    <row r="1665">
      <c r="A1665" s="5">
        <v>658.0</v>
      </c>
      <c r="B1665" s="5" t="s">
        <v>3973</v>
      </c>
      <c r="C1665" s="5" t="s">
        <v>6618</v>
      </c>
      <c r="D1665" s="5">
        <v>1.0</v>
      </c>
    </row>
    <row r="1666">
      <c r="A1666" s="5">
        <v>658.0</v>
      </c>
      <c r="B1666" s="5" t="s">
        <v>3973</v>
      </c>
      <c r="C1666" s="5" t="s">
        <v>602</v>
      </c>
      <c r="D1666" s="5">
        <v>2.0</v>
      </c>
    </row>
    <row r="1667">
      <c r="A1667" s="5">
        <v>658.0</v>
      </c>
      <c r="B1667" s="5" t="s">
        <v>3973</v>
      </c>
      <c r="C1667" s="5" t="s">
        <v>20</v>
      </c>
      <c r="D1667" s="5">
        <v>3.0</v>
      </c>
    </row>
    <row r="1668">
      <c r="A1668" s="5">
        <v>659.0</v>
      </c>
      <c r="B1668" s="5" t="s">
        <v>3976</v>
      </c>
      <c r="C1668" s="5" t="s">
        <v>20</v>
      </c>
      <c r="D1668" s="5">
        <v>1.0</v>
      </c>
    </row>
    <row r="1669">
      <c r="A1669" s="5">
        <v>660.0</v>
      </c>
      <c r="B1669" s="5" t="s">
        <v>3979</v>
      </c>
      <c r="C1669" s="5" t="s">
        <v>6616</v>
      </c>
      <c r="D1669" s="5">
        <v>1.0</v>
      </c>
    </row>
    <row r="1670">
      <c r="A1670" s="5">
        <v>660.0</v>
      </c>
      <c r="B1670" s="5" t="s">
        <v>3979</v>
      </c>
      <c r="C1670" s="5" t="s">
        <v>6618</v>
      </c>
      <c r="D1670" s="5">
        <v>2.0</v>
      </c>
    </row>
    <row r="1671">
      <c r="A1671" s="5">
        <v>660.0</v>
      </c>
      <c r="B1671" s="5" t="s">
        <v>3979</v>
      </c>
      <c r="C1671" s="5" t="s">
        <v>20</v>
      </c>
      <c r="D1671" s="5">
        <v>3.0</v>
      </c>
    </row>
    <row r="1672">
      <c r="A1672" s="5">
        <v>661.0</v>
      </c>
      <c r="B1672" s="5" t="s">
        <v>3984</v>
      </c>
      <c r="C1672" s="5" t="s">
        <v>602</v>
      </c>
      <c r="D1672" s="5">
        <v>1.0</v>
      </c>
    </row>
    <row r="1673">
      <c r="A1673" s="5">
        <v>661.0</v>
      </c>
      <c r="B1673" s="5" t="s">
        <v>3984</v>
      </c>
      <c r="C1673" s="5" t="s">
        <v>20</v>
      </c>
      <c r="D1673" s="5">
        <v>2.0</v>
      </c>
    </row>
    <row r="1674">
      <c r="A1674" s="5">
        <v>661.0</v>
      </c>
      <c r="B1674" s="5" t="s">
        <v>3984</v>
      </c>
      <c r="C1674" s="5" t="s">
        <v>6624</v>
      </c>
      <c r="D1674" s="5">
        <v>3.0</v>
      </c>
    </row>
    <row r="1675">
      <c r="A1675" s="5">
        <v>662.0</v>
      </c>
      <c r="B1675" s="5" t="s">
        <v>3991</v>
      </c>
      <c r="C1675" s="5" t="s">
        <v>20</v>
      </c>
      <c r="D1675" s="5">
        <v>1.0</v>
      </c>
    </row>
    <row r="1676">
      <c r="A1676" s="5">
        <v>662.0</v>
      </c>
      <c r="B1676" s="5" t="s">
        <v>3991</v>
      </c>
      <c r="C1676" s="5" t="s">
        <v>6621</v>
      </c>
      <c r="D1676" s="5">
        <v>2.0</v>
      </c>
    </row>
    <row r="1677">
      <c r="A1677" s="5">
        <v>663.0</v>
      </c>
      <c r="B1677" s="5" t="s">
        <v>3997</v>
      </c>
      <c r="C1677" s="5" t="s">
        <v>602</v>
      </c>
      <c r="D1677" s="5">
        <v>1.0</v>
      </c>
    </row>
    <row r="1678">
      <c r="A1678" s="5">
        <v>663.0</v>
      </c>
      <c r="B1678" s="5" t="s">
        <v>3997</v>
      </c>
      <c r="C1678" s="5" t="s">
        <v>20</v>
      </c>
      <c r="D1678" s="5">
        <v>2.0</v>
      </c>
    </row>
    <row r="1679">
      <c r="A1679" s="5">
        <v>664.0</v>
      </c>
      <c r="B1679" s="5" t="s">
        <v>4001</v>
      </c>
      <c r="C1679" s="5" t="s">
        <v>6616</v>
      </c>
      <c r="D1679" s="5">
        <v>1.0</v>
      </c>
    </row>
    <row r="1680">
      <c r="A1680" s="5">
        <v>664.0</v>
      </c>
      <c r="B1680" s="5" t="s">
        <v>4001</v>
      </c>
      <c r="C1680" s="5" t="s">
        <v>6615</v>
      </c>
      <c r="D1680" s="5">
        <v>2.0</v>
      </c>
    </row>
    <row r="1681">
      <c r="A1681" s="5">
        <v>664.0</v>
      </c>
      <c r="B1681" s="5" t="s">
        <v>4001</v>
      </c>
      <c r="C1681" s="5" t="s">
        <v>20</v>
      </c>
      <c r="D1681" s="5">
        <v>3.0</v>
      </c>
    </row>
    <row r="1682">
      <c r="A1682" s="5">
        <v>665.0</v>
      </c>
      <c r="B1682" s="5" t="s">
        <v>4005</v>
      </c>
      <c r="C1682" s="5" t="s">
        <v>6615</v>
      </c>
      <c r="D1682" s="5">
        <v>1.0</v>
      </c>
    </row>
    <row r="1683">
      <c r="A1683" s="5">
        <v>665.0</v>
      </c>
      <c r="B1683" s="5" t="s">
        <v>4005</v>
      </c>
      <c r="C1683" s="5" t="s">
        <v>20</v>
      </c>
      <c r="D1683" s="5">
        <v>2.0</v>
      </c>
    </row>
    <row r="1684">
      <c r="A1684" s="5">
        <v>665.0</v>
      </c>
      <c r="B1684" s="5" t="s">
        <v>4005</v>
      </c>
      <c r="C1684" s="5" t="s">
        <v>6621</v>
      </c>
      <c r="D1684" s="5">
        <v>3.0</v>
      </c>
    </row>
    <row r="1685">
      <c r="A1685" s="5">
        <v>666.0</v>
      </c>
      <c r="B1685" s="5" t="s">
        <v>4009</v>
      </c>
      <c r="C1685" s="5" t="s">
        <v>6623</v>
      </c>
      <c r="D1685" s="5">
        <v>1.0</v>
      </c>
    </row>
    <row r="1686">
      <c r="A1686" s="5">
        <v>666.0</v>
      </c>
      <c r="B1686" s="5" t="s">
        <v>4009</v>
      </c>
      <c r="C1686" s="5" t="s">
        <v>6616</v>
      </c>
      <c r="D1686" s="5">
        <v>2.0</v>
      </c>
    </row>
    <row r="1687">
      <c r="A1687" s="5">
        <v>666.0</v>
      </c>
      <c r="B1687" s="5" t="s">
        <v>4009</v>
      </c>
      <c r="C1687" s="5" t="s">
        <v>6615</v>
      </c>
      <c r="D1687" s="5">
        <v>3.0</v>
      </c>
    </row>
    <row r="1688">
      <c r="A1688" s="5">
        <v>667.0</v>
      </c>
      <c r="B1688" s="5" t="s">
        <v>4016</v>
      </c>
      <c r="C1688" s="5" t="s">
        <v>6616</v>
      </c>
      <c r="D1688" s="5">
        <v>1.0</v>
      </c>
    </row>
    <row r="1689">
      <c r="A1689" s="5">
        <v>667.0</v>
      </c>
      <c r="B1689" s="5" t="s">
        <v>4016</v>
      </c>
      <c r="C1689" s="5" t="s">
        <v>6615</v>
      </c>
      <c r="D1689" s="5">
        <v>2.0</v>
      </c>
    </row>
    <row r="1690">
      <c r="A1690" s="5">
        <v>667.0</v>
      </c>
      <c r="B1690" s="5" t="s">
        <v>4016</v>
      </c>
      <c r="C1690" s="5" t="s">
        <v>4191</v>
      </c>
      <c r="D1690" s="5">
        <v>3.0</v>
      </c>
    </row>
    <row r="1691">
      <c r="A1691" s="5">
        <v>668.0</v>
      </c>
      <c r="B1691" s="5" t="s">
        <v>4021</v>
      </c>
      <c r="C1691" s="5" t="s">
        <v>602</v>
      </c>
      <c r="D1691" s="5">
        <v>1.0</v>
      </c>
    </row>
    <row r="1692">
      <c r="A1692" s="5">
        <v>668.0</v>
      </c>
      <c r="B1692" s="5" t="s">
        <v>4021</v>
      </c>
      <c r="C1692" s="5" t="s">
        <v>20</v>
      </c>
      <c r="D1692" s="5">
        <v>2.0</v>
      </c>
    </row>
    <row r="1693">
      <c r="A1693" s="5">
        <v>669.0</v>
      </c>
      <c r="B1693" s="5" t="s">
        <v>4026</v>
      </c>
      <c r="C1693" s="5" t="s">
        <v>20</v>
      </c>
      <c r="D1693" s="5">
        <v>1.0</v>
      </c>
    </row>
    <row r="1694">
      <c r="A1694" s="5">
        <v>669.0</v>
      </c>
      <c r="B1694" s="5" t="s">
        <v>4026</v>
      </c>
      <c r="C1694" s="5" t="s">
        <v>6622</v>
      </c>
      <c r="D1694" s="5">
        <v>2.0</v>
      </c>
    </row>
    <row r="1695">
      <c r="A1695" s="5">
        <v>669.0</v>
      </c>
      <c r="B1695" s="5" t="s">
        <v>4026</v>
      </c>
      <c r="C1695" s="5" t="s">
        <v>6627</v>
      </c>
      <c r="D1695" s="5">
        <v>3.0</v>
      </c>
    </row>
    <row r="1696">
      <c r="A1696" s="5">
        <v>670.0</v>
      </c>
      <c r="B1696" s="5" t="s">
        <v>4031</v>
      </c>
      <c r="C1696" s="5" t="s">
        <v>6615</v>
      </c>
      <c r="D1696" s="5">
        <v>1.0</v>
      </c>
    </row>
    <row r="1697">
      <c r="A1697" s="5">
        <v>670.0</v>
      </c>
      <c r="B1697" s="5" t="s">
        <v>4031</v>
      </c>
      <c r="C1697" s="5" t="s">
        <v>20</v>
      </c>
      <c r="D1697" s="5">
        <v>2.0</v>
      </c>
    </row>
    <row r="1698">
      <c r="A1698" s="5">
        <v>671.0</v>
      </c>
      <c r="B1698" s="5" t="s">
        <v>4037</v>
      </c>
      <c r="C1698" s="5" t="s">
        <v>20</v>
      </c>
      <c r="D1698" s="5">
        <v>1.0</v>
      </c>
    </row>
    <row r="1699">
      <c r="A1699" s="5">
        <v>671.0</v>
      </c>
      <c r="B1699" s="5" t="s">
        <v>4037</v>
      </c>
      <c r="C1699" s="5" t="s">
        <v>4191</v>
      </c>
      <c r="D1699" s="5">
        <v>2.0</v>
      </c>
    </row>
    <row r="1700">
      <c r="A1700" s="5">
        <v>672.0</v>
      </c>
      <c r="B1700" s="5" t="s">
        <v>4040</v>
      </c>
      <c r="C1700" s="5" t="s">
        <v>6618</v>
      </c>
      <c r="D1700" s="5">
        <v>1.0</v>
      </c>
    </row>
    <row r="1701">
      <c r="A1701" s="5">
        <v>672.0</v>
      </c>
      <c r="B1701" s="5" t="s">
        <v>4040</v>
      </c>
      <c r="C1701" s="5" t="s">
        <v>20</v>
      </c>
      <c r="D1701" s="5">
        <v>2.0</v>
      </c>
    </row>
    <row r="1702">
      <c r="A1702" s="5">
        <v>673.0</v>
      </c>
      <c r="B1702" s="5" t="s">
        <v>4045</v>
      </c>
      <c r="C1702" s="5" t="s">
        <v>6623</v>
      </c>
      <c r="D1702" s="5">
        <v>1.0</v>
      </c>
    </row>
    <row r="1703">
      <c r="A1703" s="5">
        <v>673.0</v>
      </c>
      <c r="B1703" s="5" t="s">
        <v>4045</v>
      </c>
      <c r="C1703" s="5" t="s">
        <v>6617</v>
      </c>
      <c r="D1703" s="5">
        <v>2.0</v>
      </c>
    </row>
    <row r="1704">
      <c r="A1704" s="5">
        <v>673.0</v>
      </c>
      <c r="B1704" s="5" t="s">
        <v>4045</v>
      </c>
      <c r="C1704" s="5" t="s">
        <v>20</v>
      </c>
      <c r="D1704" s="5">
        <v>3.0</v>
      </c>
    </row>
    <row r="1705">
      <c r="A1705" s="5">
        <v>674.0</v>
      </c>
      <c r="B1705" s="5" t="s">
        <v>4051</v>
      </c>
      <c r="C1705" s="5" t="s">
        <v>6618</v>
      </c>
      <c r="D1705" s="5">
        <v>1.0</v>
      </c>
    </row>
    <row r="1706">
      <c r="A1706" s="5">
        <v>674.0</v>
      </c>
      <c r="B1706" s="5" t="s">
        <v>4051</v>
      </c>
      <c r="C1706" s="5" t="s">
        <v>20</v>
      </c>
      <c r="D1706" s="5">
        <v>2.0</v>
      </c>
    </row>
    <row r="1707">
      <c r="A1707" s="5">
        <v>674.0</v>
      </c>
      <c r="B1707" s="5" t="s">
        <v>4051</v>
      </c>
      <c r="C1707" s="5" t="s">
        <v>6619</v>
      </c>
      <c r="D1707" s="5">
        <v>3.0</v>
      </c>
    </row>
    <row r="1708">
      <c r="A1708" s="5">
        <v>675.0</v>
      </c>
      <c r="B1708" s="5" t="s">
        <v>4053</v>
      </c>
      <c r="C1708" s="5" t="s">
        <v>6616</v>
      </c>
      <c r="D1708" s="5">
        <v>1.0</v>
      </c>
    </row>
    <row r="1709">
      <c r="A1709" s="5">
        <v>675.0</v>
      </c>
      <c r="B1709" s="5" t="s">
        <v>4053</v>
      </c>
      <c r="C1709" s="5" t="s">
        <v>6615</v>
      </c>
      <c r="D1709" s="5">
        <v>2.0</v>
      </c>
    </row>
    <row r="1710">
      <c r="A1710" s="5">
        <v>675.0</v>
      </c>
      <c r="B1710" s="5" t="s">
        <v>4053</v>
      </c>
      <c r="C1710" s="5" t="s">
        <v>20</v>
      </c>
      <c r="D1710" s="5">
        <v>3.0</v>
      </c>
    </row>
    <row r="1711">
      <c r="A1711" s="5">
        <v>676.0</v>
      </c>
      <c r="B1711" s="5" t="s">
        <v>4058</v>
      </c>
      <c r="C1711" s="5" t="s">
        <v>6617</v>
      </c>
      <c r="D1711" s="5">
        <v>1.0</v>
      </c>
    </row>
    <row r="1712">
      <c r="A1712" s="5">
        <v>676.0</v>
      </c>
      <c r="B1712" s="5" t="s">
        <v>4058</v>
      </c>
      <c r="C1712" s="5" t="s">
        <v>602</v>
      </c>
      <c r="D1712" s="5">
        <v>2.0</v>
      </c>
    </row>
    <row r="1713">
      <c r="A1713" s="5">
        <v>676.0</v>
      </c>
      <c r="B1713" s="5" t="s">
        <v>4058</v>
      </c>
      <c r="C1713" s="5" t="s">
        <v>6620</v>
      </c>
      <c r="D1713" s="5">
        <v>3.0</v>
      </c>
    </row>
    <row r="1714">
      <c r="A1714" s="5">
        <v>677.0</v>
      </c>
      <c r="B1714" s="5" t="s">
        <v>4061</v>
      </c>
      <c r="C1714" s="5" t="s">
        <v>6615</v>
      </c>
      <c r="D1714" s="5">
        <v>1.0</v>
      </c>
    </row>
    <row r="1715">
      <c r="A1715" s="5">
        <v>677.0</v>
      </c>
      <c r="B1715" s="5" t="s">
        <v>4061</v>
      </c>
      <c r="C1715" s="5" t="s">
        <v>20</v>
      </c>
      <c r="D1715" s="5">
        <v>2.0</v>
      </c>
    </row>
    <row r="1716">
      <c r="A1716" s="5">
        <v>677.0</v>
      </c>
      <c r="B1716" s="5" t="s">
        <v>4061</v>
      </c>
      <c r="C1716" s="5" t="s">
        <v>6619</v>
      </c>
      <c r="D1716" s="5">
        <v>3.0</v>
      </c>
    </row>
    <row r="1717">
      <c r="A1717" s="5">
        <v>678.0</v>
      </c>
      <c r="B1717" s="5" t="s">
        <v>4065</v>
      </c>
      <c r="C1717" s="5" t="s">
        <v>6616</v>
      </c>
      <c r="D1717" s="5">
        <v>1.0</v>
      </c>
    </row>
    <row r="1718">
      <c r="A1718" s="5">
        <v>678.0</v>
      </c>
      <c r="B1718" s="5" t="s">
        <v>4065</v>
      </c>
      <c r="C1718" s="5" t="s">
        <v>6617</v>
      </c>
      <c r="D1718" s="5">
        <v>2.0</v>
      </c>
    </row>
    <row r="1719">
      <c r="A1719" s="5">
        <v>678.0</v>
      </c>
      <c r="B1719" s="5" t="s">
        <v>4065</v>
      </c>
      <c r="C1719" s="5" t="s">
        <v>6620</v>
      </c>
      <c r="D1719" s="5">
        <v>3.0</v>
      </c>
    </row>
    <row r="1720">
      <c r="A1720" s="5">
        <v>679.0</v>
      </c>
      <c r="B1720" s="5" t="s">
        <v>4069</v>
      </c>
      <c r="C1720" s="5" t="s">
        <v>6616</v>
      </c>
      <c r="D1720" s="5">
        <v>1.0</v>
      </c>
    </row>
    <row r="1721">
      <c r="A1721" s="5">
        <v>679.0</v>
      </c>
      <c r="B1721" s="5" t="s">
        <v>4069</v>
      </c>
      <c r="C1721" s="5" t="s">
        <v>602</v>
      </c>
      <c r="D1721" s="5">
        <v>2.0</v>
      </c>
    </row>
    <row r="1722">
      <c r="A1722" s="5">
        <v>679.0</v>
      </c>
      <c r="B1722" s="5" t="s">
        <v>4069</v>
      </c>
      <c r="C1722" s="5" t="s">
        <v>6622</v>
      </c>
      <c r="D1722" s="5">
        <v>3.0</v>
      </c>
    </row>
    <row r="1723">
      <c r="A1723" s="5">
        <v>680.0</v>
      </c>
      <c r="B1723" s="5" t="s">
        <v>4077</v>
      </c>
      <c r="C1723" s="5" t="s">
        <v>602</v>
      </c>
      <c r="D1723" s="5">
        <v>1.0</v>
      </c>
    </row>
    <row r="1724">
      <c r="A1724" s="5">
        <v>681.0</v>
      </c>
      <c r="B1724" s="5" t="s">
        <v>4083</v>
      </c>
      <c r="C1724" s="5" t="s">
        <v>602</v>
      </c>
      <c r="D1724" s="5">
        <v>1.0</v>
      </c>
    </row>
    <row r="1725">
      <c r="A1725" s="5">
        <v>681.0</v>
      </c>
      <c r="B1725" s="5" t="s">
        <v>4083</v>
      </c>
      <c r="C1725" s="5" t="s">
        <v>6615</v>
      </c>
      <c r="D1725" s="5">
        <v>2.0</v>
      </c>
    </row>
    <row r="1726">
      <c r="A1726" s="5">
        <v>681.0</v>
      </c>
      <c r="B1726" s="5" t="s">
        <v>4083</v>
      </c>
      <c r="C1726" s="5" t="s">
        <v>20</v>
      </c>
      <c r="D1726" s="5">
        <v>3.0</v>
      </c>
    </row>
    <row r="1727">
      <c r="A1727" s="5">
        <v>682.0</v>
      </c>
      <c r="B1727" s="5" t="s">
        <v>4087</v>
      </c>
      <c r="C1727" s="5" t="s">
        <v>6617</v>
      </c>
      <c r="D1727" s="5">
        <v>1.0</v>
      </c>
    </row>
    <row r="1728">
      <c r="A1728" s="5">
        <v>682.0</v>
      </c>
      <c r="B1728" s="5" t="s">
        <v>4087</v>
      </c>
      <c r="C1728" s="5" t="s">
        <v>602</v>
      </c>
      <c r="D1728" s="5">
        <v>2.0</v>
      </c>
    </row>
    <row r="1729">
      <c r="A1729" s="5">
        <v>682.0</v>
      </c>
      <c r="B1729" s="5" t="s">
        <v>4087</v>
      </c>
      <c r="C1729" s="5" t="s">
        <v>6624</v>
      </c>
      <c r="D1729" s="5">
        <v>3.0</v>
      </c>
    </row>
    <row r="1730">
      <c r="A1730" s="5">
        <v>683.0</v>
      </c>
      <c r="B1730" s="5" t="s">
        <v>4092</v>
      </c>
      <c r="C1730" s="5" t="s">
        <v>20</v>
      </c>
      <c r="D1730" s="5">
        <v>1.0</v>
      </c>
    </row>
    <row r="1731">
      <c r="A1731" s="5">
        <v>684.0</v>
      </c>
      <c r="B1731" s="5" t="s">
        <v>4098</v>
      </c>
      <c r="C1731" s="5" t="s">
        <v>602</v>
      </c>
      <c r="D1731" s="5">
        <v>1.0</v>
      </c>
    </row>
    <row r="1732">
      <c r="A1732" s="5">
        <v>684.0</v>
      </c>
      <c r="B1732" s="5" t="s">
        <v>4098</v>
      </c>
      <c r="C1732" s="5" t="s">
        <v>20</v>
      </c>
      <c r="D1732" s="5">
        <v>2.0</v>
      </c>
    </row>
    <row r="1733">
      <c r="A1733" s="5">
        <v>685.0</v>
      </c>
      <c r="B1733" s="5" t="s">
        <v>4104</v>
      </c>
      <c r="C1733" s="5" t="s">
        <v>6618</v>
      </c>
      <c r="D1733" s="5">
        <v>1.0</v>
      </c>
    </row>
    <row r="1734">
      <c r="A1734" s="5">
        <v>685.0</v>
      </c>
      <c r="B1734" s="5" t="s">
        <v>4104</v>
      </c>
      <c r="C1734" s="5" t="s">
        <v>20</v>
      </c>
      <c r="D1734" s="5">
        <v>2.0</v>
      </c>
    </row>
    <row r="1735">
      <c r="A1735" s="5">
        <v>685.0</v>
      </c>
      <c r="B1735" s="5" t="s">
        <v>4104</v>
      </c>
      <c r="C1735" s="5" t="s">
        <v>6619</v>
      </c>
      <c r="D1735" s="5">
        <v>3.0</v>
      </c>
    </row>
    <row r="1736">
      <c r="A1736" s="5">
        <v>686.0</v>
      </c>
      <c r="B1736" s="5" t="s">
        <v>4111</v>
      </c>
      <c r="C1736" s="5" t="s">
        <v>6616</v>
      </c>
      <c r="D1736" s="5">
        <v>1.0</v>
      </c>
    </row>
    <row r="1737">
      <c r="A1737" s="5">
        <v>686.0</v>
      </c>
      <c r="B1737" s="5" t="s">
        <v>4111</v>
      </c>
      <c r="C1737" s="5" t="s">
        <v>602</v>
      </c>
      <c r="D1737" s="5">
        <v>2.0</v>
      </c>
    </row>
    <row r="1738">
      <c r="A1738" s="5">
        <v>686.0</v>
      </c>
      <c r="B1738" s="5" t="s">
        <v>4111</v>
      </c>
      <c r="C1738" s="5" t="s">
        <v>6622</v>
      </c>
      <c r="D1738" s="5">
        <v>3.0</v>
      </c>
    </row>
    <row r="1739">
      <c r="A1739" s="5">
        <v>687.0</v>
      </c>
      <c r="B1739" s="5" t="s">
        <v>4114</v>
      </c>
      <c r="C1739" s="5" t="s">
        <v>6617</v>
      </c>
      <c r="D1739" s="5">
        <v>1.0</v>
      </c>
    </row>
    <row r="1740">
      <c r="A1740" s="5">
        <v>687.0</v>
      </c>
      <c r="B1740" s="5" t="s">
        <v>4114</v>
      </c>
      <c r="C1740" s="5" t="s">
        <v>6618</v>
      </c>
      <c r="D1740" s="5">
        <v>2.0</v>
      </c>
    </row>
    <row r="1741">
      <c r="A1741" s="5">
        <v>687.0</v>
      </c>
      <c r="B1741" s="5" t="s">
        <v>4114</v>
      </c>
      <c r="C1741" s="5" t="s">
        <v>20</v>
      </c>
      <c r="D1741" s="5">
        <v>3.0</v>
      </c>
    </row>
    <row r="1742">
      <c r="A1742" s="5">
        <v>688.0</v>
      </c>
      <c r="B1742" s="5" t="s">
        <v>4121</v>
      </c>
      <c r="C1742" s="5" t="s">
        <v>602</v>
      </c>
      <c r="D1742" s="5">
        <v>1.0</v>
      </c>
    </row>
    <row r="1743">
      <c r="A1743" s="5">
        <v>688.0</v>
      </c>
      <c r="B1743" s="5" t="s">
        <v>4121</v>
      </c>
      <c r="C1743" s="5" t="s">
        <v>6615</v>
      </c>
      <c r="D1743" s="5">
        <v>2.0</v>
      </c>
    </row>
    <row r="1744">
      <c r="A1744" s="5">
        <v>688.0</v>
      </c>
      <c r="B1744" s="5" t="s">
        <v>4121</v>
      </c>
      <c r="C1744" s="5" t="s">
        <v>20</v>
      </c>
      <c r="D1744" s="5">
        <v>3.0</v>
      </c>
    </row>
    <row r="1745">
      <c r="A1745" s="5">
        <v>689.0</v>
      </c>
      <c r="B1745" s="5" t="s">
        <v>4126</v>
      </c>
      <c r="C1745" s="5" t="s">
        <v>6624</v>
      </c>
      <c r="D1745" s="5">
        <v>1.0</v>
      </c>
    </row>
    <row r="1746">
      <c r="A1746" s="5">
        <v>689.0</v>
      </c>
      <c r="B1746" s="5" t="s">
        <v>4126</v>
      </c>
      <c r="C1746" s="5" t="s">
        <v>6620</v>
      </c>
      <c r="D1746" s="5">
        <v>2.0</v>
      </c>
    </row>
    <row r="1747">
      <c r="A1747" s="5">
        <v>690.0</v>
      </c>
      <c r="B1747" s="5" t="s">
        <v>4133</v>
      </c>
      <c r="C1747" s="5" t="s">
        <v>20</v>
      </c>
      <c r="D1747" s="5">
        <v>1.0</v>
      </c>
    </row>
    <row r="1748">
      <c r="A1748" s="5">
        <v>691.0</v>
      </c>
      <c r="B1748" s="5" t="s">
        <v>4138</v>
      </c>
      <c r="C1748" s="5" t="s">
        <v>20</v>
      </c>
      <c r="D1748" s="5">
        <v>1.0</v>
      </c>
    </row>
    <row r="1749">
      <c r="A1749" s="5">
        <v>691.0</v>
      </c>
      <c r="B1749" s="5" t="s">
        <v>4138</v>
      </c>
      <c r="C1749" s="5" t="s">
        <v>6621</v>
      </c>
      <c r="D1749" s="5">
        <v>2.0</v>
      </c>
    </row>
    <row r="1750">
      <c r="A1750" s="5">
        <v>692.0</v>
      </c>
      <c r="B1750" s="5" t="s">
        <v>4143</v>
      </c>
      <c r="C1750" s="5" t="s">
        <v>116</v>
      </c>
      <c r="D1750" s="5">
        <v>1.0</v>
      </c>
    </row>
    <row r="1751">
      <c r="A1751" s="5">
        <v>693.0</v>
      </c>
      <c r="B1751" s="5" t="s">
        <v>4148</v>
      </c>
      <c r="C1751" s="5" t="s">
        <v>6617</v>
      </c>
      <c r="D1751" s="5">
        <v>1.0</v>
      </c>
    </row>
    <row r="1752">
      <c r="A1752" s="5">
        <v>693.0</v>
      </c>
      <c r="B1752" s="5" t="s">
        <v>4148</v>
      </c>
      <c r="C1752" s="5" t="s">
        <v>6619</v>
      </c>
      <c r="D1752" s="5">
        <v>2.0</v>
      </c>
    </row>
    <row r="1753">
      <c r="A1753" s="5">
        <v>693.0</v>
      </c>
      <c r="B1753" s="5" t="s">
        <v>4148</v>
      </c>
      <c r="C1753" s="5" t="s">
        <v>6625</v>
      </c>
      <c r="D1753" s="5">
        <v>3.0</v>
      </c>
    </row>
    <row r="1754">
      <c r="A1754" s="5">
        <v>694.0</v>
      </c>
      <c r="B1754" s="5" t="s">
        <v>4152</v>
      </c>
      <c r="C1754" s="5" t="s">
        <v>20</v>
      </c>
      <c r="D1754" s="5">
        <v>1.0</v>
      </c>
    </row>
    <row r="1755">
      <c r="A1755" s="5">
        <v>694.0</v>
      </c>
      <c r="B1755" s="5" t="s">
        <v>4152</v>
      </c>
      <c r="C1755" s="5" t="s">
        <v>6626</v>
      </c>
      <c r="D1755" s="5">
        <v>2.0</v>
      </c>
    </row>
    <row r="1756">
      <c r="A1756" s="5">
        <v>694.0</v>
      </c>
      <c r="B1756" s="5" t="s">
        <v>4152</v>
      </c>
      <c r="C1756" s="5" t="s">
        <v>4191</v>
      </c>
      <c r="D1756" s="5">
        <v>3.0</v>
      </c>
    </row>
    <row r="1757">
      <c r="A1757" s="5">
        <v>695.0</v>
      </c>
      <c r="B1757" s="5" t="s">
        <v>4155</v>
      </c>
      <c r="C1757" s="5" t="s">
        <v>6623</v>
      </c>
      <c r="D1757" s="5">
        <v>1.0</v>
      </c>
    </row>
    <row r="1758">
      <c r="A1758" s="5">
        <v>695.0</v>
      </c>
      <c r="B1758" s="5" t="s">
        <v>4155</v>
      </c>
      <c r="C1758" s="5" t="s">
        <v>6620</v>
      </c>
      <c r="D1758" s="5">
        <v>2.0</v>
      </c>
    </row>
    <row r="1759">
      <c r="A1759" s="5">
        <v>696.0</v>
      </c>
      <c r="B1759" s="5" t="s">
        <v>4163</v>
      </c>
      <c r="C1759" s="5" t="s">
        <v>6615</v>
      </c>
      <c r="D1759" s="5">
        <v>1.0</v>
      </c>
    </row>
    <row r="1760">
      <c r="A1760" s="5">
        <v>696.0</v>
      </c>
      <c r="B1760" s="5" t="s">
        <v>4163</v>
      </c>
      <c r="C1760" s="5" t="s">
        <v>20</v>
      </c>
      <c r="D1760" s="5">
        <v>2.0</v>
      </c>
    </row>
    <row r="1761">
      <c r="A1761" s="5">
        <v>696.0</v>
      </c>
      <c r="B1761" s="5" t="s">
        <v>4163</v>
      </c>
      <c r="C1761" s="5" t="s">
        <v>4191</v>
      </c>
      <c r="D1761" s="5">
        <v>3.0</v>
      </c>
    </row>
    <row r="1762">
      <c r="A1762" s="5">
        <v>697.0</v>
      </c>
      <c r="B1762" s="5" t="s">
        <v>4169</v>
      </c>
      <c r="C1762" s="5" t="s">
        <v>6616</v>
      </c>
      <c r="D1762" s="5">
        <v>1.0</v>
      </c>
    </row>
    <row r="1763">
      <c r="A1763" s="5">
        <v>697.0</v>
      </c>
      <c r="B1763" s="5" t="s">
        <v>4169</v>
      </c>
      <c r="C1763" s="5" t="s">
        <v>6615</v>
      </c>
      <c r="D1763" s="5">
        <v>2.0</v>
      </c>
    </row>
    <row r="1764">
      <c r="A1764" s="5">
        <v>697.0</v>
      </c>
      <c r="B1764" s="5" t="s">
        <v>4169</v>
      </c>
      <c r="C1764" s="5" t="s">
        <v>20</v>
      </c>
      <c r="D1764" s="5">
        <v>3.0</v>
      </c>
    </row>
    <row r="1765">
      <c r="A1765" s="5">
        <v>698.0</v>
      </c>
      <c r="B1765" s="5" t="s">
        <v>4172</v>
      </c>
      <c r="C1765" s="5" t="s">
        <v>20</v>
      </c>
      <c r="D1765" s="5">
        <v>1.0</v>
      </c>
    </row>
    <row r="1766">
      <c r="A1766" s="5">
        <v>698.0</v>
      </c>
      <c r="B1766" s="5" t="s">
        <v>4172</v>
      </c>
      <c r="C1766" s="5" t="s">
        <v>6627</v>
      </c>
      <c r="D1766" s="5">
        <v>2.0</v>
      </c>
    </row>
    <row r="1767">
      <c r="A1767" s="5">
        <v>698.0</v>
      </c>
      <c r="B1767" s="5" t="s">
        <v>4172</v>
      </c>
      <c r="C1767" s="5" t="s">
        <v>6628</v>
      </c>
      <c r="D1767" s="5">
        <v>3.0</v>
      </c>
    </row>
    <row r="1768">
      <c r="A1768" s="5">
        <v>699.0</v>
      </c>
      <c r="B1768" s="5" t="s">
        <v>4178</v>
      </c>
      <c r="C1768" s="5" t="s">
        <v>6624</v>
      </c>
      <c r="D1768" s="5">
        <v>1.0</v>
      </c>
    </row>
    <row r="1769">
      <c r="A1769" s="5">
        <v>699.0</v>
      </c>
      <c r="B1769" s="5" t="s">
        <v>4178</v>
      </c>
      <c r="C1769" s="5" t="s">
        <v>6622</v>
      </c>
      <c r="D1769" s="5">
        <v>2.0</v>
      </c>
    </row>
    <row r="1770">
      <c r="A1770" s="5">
        <v>699.0</v>
      </c>
      <c r="B1770" s="5" t="s">
        <v>4178</v>
      </c>
      <c r="C1770" s="5" t="s">
        <v>6628</v>
      </c>
      <c r="D1770" s="5">
        <v>3.0</v>
      </c>
    </row>
    <row r="1771">
      <c r="A1771" s="5">
        <v>700.0</v>
      </c>
      <c r="B1771" s="5" t="s">
        <v>4185</v>
      </c>
      <c r="C1771" s="5" t="s">
        <v>20</v>
      </c>
      <c r="D1771" s="5">
        <v>1.0</v>
      </c>
    </row>
    <row r="1772">
      <c r="A1772" s="5">
        <v>701.0</v>
      </c>
      <c r="B1772" s="5" t="s">
        <v>4190</v>
      </c>
      <c r="C1772" s="5" t="s">
        <v>4191</v>
      </c>
      <c r="D1772" s="5">
        <v>1.0</v>
      </c>
    </row>
    <row r="1773">
      <c r="A1773" s="5">
        <v>702.0</v>
      </c>
      <c r="B1773" s="5" t="s">
        <v>4197</v>
      </c>
      <c r="C1773" s="5" t="s">
        <v>602</v>
      </c>
      <c r="D1773" s="5">
        <v>1.0</v>
      </c>
    </row>
    <row r="1774">
      <c r="A1774" s="5">
        <v>702.0</v>
      </c>
      <c r="B1774" s="5" t="s">
        <v>4197</v>
      </c>
      <c r="C1774" s="5" t="s">
        <v>20</v>
      </c>
      <c r="D1774" s="5">
        <v>2.0</v>
      </c>
    </row>
    <row r="1775">
      <c r="A1775" s="5">
        <v>703.0</v>
      </c>
      <c r="B1775" s="5" t="s">
        <v>4200</v>
      </c>
      <c r="C1775" s="5" t="s">
        <v>6616</v>
      </c>
      <c r="D1775" s="5">
        <v>1.0</v>
      </c>
    </row>
    <row r="1776">
      <c r="A1776" s="5">
        <v>703.0</v>
      </c>
      <c r="B1776" s="5" t="s">
        <v>4200</v>
      </c>
      <c r="C1776" s="5" t="s">
        <v>6618</v>
      </c>
      <c r="D1776" s="5">
        <v>2.0</v>
      </c>
    </row>
    <row r="1777">
      <c r="A1777" s="5">
        <v>703.0</v>
      </c>
      <c r="B1777" s="5" t="s">
        <v>4200</v>
      </c>
      <c r="C1777" s="5" t="s">
        <v>6615</v>
      </c>
      <c r="D1777" s="5">
        <v>3.0</v>
      </c>
    </row>
    <row r="1778">
      <c r="A1778" s="5">
        <v>704.0</v>
      </c>
      <c r="B1778" s="5" t="s">
        <v>4205</v>
      </c>
      <c r="C1778" s="5" t="s">
        <v>20</v>
      </c>
      <c r="D1778" s="5">
        <v>1.0</v>
      </c>
    </row>
    <row r="1779">
      <c r="A1779" s="5">
        <v>704.0</v>
      </c>
      <c r="B1779" s="5" t="s">
        <v>4205</v>
      </c>
      <c r="C1779" s="5" t="s">
        <v>6624</v>
      </c>
      <c r="D1779" s="5">
        <v>2.0</v>
      </c>
    </row>
    <row r="1780">
      <c r="A1780" s="5">
        <v>704.0</v>
      </c>
      <c r="B1780" s="5" t="s">
        <v>4205</v>
      </c>
      <c r="C1780" s="5" t="s">
        <v>6628</v>
      </c>
      <c r="D1780" s="5">
        <v>3.0</v>
      </c>
    </row>
    <row r="1781">
      <c r="A1781" s="5">
        <v>705.0</v>
      </c>
      <c r="B1781" s="5" t="s">
        <v>4209</v>
      </c>
      <c r="C1781" s="5" t="s">
        <v>602</v>
      </c>
      <c r="D1781" s="5">
        <v>1.0</v>
      </c>
    </row>
    <row r="1782">
      <c r="A1782" s="5">
        <v>705.0</v>
      </c>
      <c r="B1782" s="5" t="s">
        <v>4209</v>
      </c>
      <c r="C1782" s="5" t="s">
        <v>6624</v>
      </c>
      <c r="D1782" s="5">
        <v>2.0</v>
      </c>
    </row>
    <row r="1783">
      <c r="A1783" s="5">
        <v>705.0</v>
      </c>
      <c r="B1783" s="5" t="s">
        <v>4209</v>
      </c>
      <c r="C1783" s="5" t="s">
        <v>6622</v>
      </c>
      <c r="D1783" s="5">
        <v>3.0</v>
      </c>
    </row>
    <row r="1784">
      <c r="A1784" s="5">
        <v>706.0</v>
      </c>
      <c r="B1784" s="5" t="s">
        <v>4216</v>
      </c>
      <c r="C1784" s="5" t="s">
        <v>6616</v>
      </c>
      <c r="D1784" s="5">
        <v>1.0</v>
      </c>
    </row>
    <row r="1785">
      <c r="A1785" s="5">
        <v>706.0</v>
      </c>
      <c r="B1785" s="5" t="s">
        <v>4216</v>
      </c>
      <c r="C1785" s="5" t="s">
        <v>20</v>
      </c>
      <c r="D1785" s="5">
        <v>2.0</v>
      </c>
    </row>
    <row r="1786">
      <c r="A1786" s="5">
        <v>706.0</v>
      </c>
      <c r="B1786" s="5" t="s">
        <v>4216</v>
      </c>
      <c r="C1786" s="5" t="s">
        <v>6619</v>
      </c>
      <c r="D1786" s="5">
        <v>3.0</v>
      </c>
    </row>
    <row r="1787">
      <c r="A1787" s="5">
        <v>707.0</v>
      </c>
      <c r="B1787" s="5" t="s">
        <v>4223</v>
      </c>
      <c r="C1787" s="5" t="s">
        <v>20</v>
      </c>
      <c r="D1787" s="5">
        <v>1.0</v>
      </c>
    </row>
    <row r="1788">
      <c r="A1788" s="5">
        <v>707.0</v>
      </c>
      <c r="B1788" s="5" t="s">
        <v>4223</v>
      </c>
      <c r="C1788" s="5" t="s">
        <v>6621</v>
      </c>
      <c r="D1788" s="5">
        <v>2.0</v>
      </c>
    </row>
    <row r="1789">
      <c r="A1789" s="5">
        <v>708.0</v>
      </c>
      <c r="B1789" s="5" t="s">
        <v>4229</v>
      </c>
      <c r="C1789" s="5" t="s">
        <v>2696</v>
      </c>
      <c r="D1789" s="5">
        <v>1.0</v>
      </c>
    </row>
    <row r="1790">
      <c r="A1790" s="5">
        <v>709.0</v>
      </c>
      <c r="B1790" s="5" t="s">
        <v>4236</v>
      </c>
      <c r="C1790" s="5" t="s">
        <v>6615</v>
      </c>
      <c r="D1790" s="5">
        <v>1.0</v>
      </c>
    </row>
    <row r="1791">
      <c r="A1791" s="5">
        <v>709.0</v>
      </c>
      <c r="B1791" s="5" t="s">
        <v>4236</v>
      </c>
      <c r="C1791" s="5" t="s">
        <v>20</v>
      </c>
      <c r="D1791" s="5">
        <v>2.0</v>
      </c>
    </row>
    <row r="1792">
      <c r="A1792" s="5">
        <v>710.0</v>
      </c>
      <c r="B1792" s="5" t="s">
        <v>4242</v>
      </c>
      <c r="C1792" s="5" t="s">
        <v>6616</v>
      </c>
      <c r="D1792" s="5">
        <v>1.0</v>
      </c>
    </row>
    <row r="1793">
      <c r="A1793" s="5">
        <v>710.0</v>
      </c>
      <c r="B1793" s="5" t="s">
        <v>4242</v>
      </c>
      <c r="C1793" s="5" t="s">
        <v>6617</v>
      </c>
      <c r="D1793" s="5">
        <v>2.0</v>
      </c>
    </row>
    <row r="1794">
      <c r="A1794" s="5">
        <v>710.0</v>
      </c>
      <c r="B1794" s="5" t="s">
        <v>4242</v>
      </c>
      <c r="C1794" s="5" t="s">
        <v>20</v>
      </c>
      <c r="D1794" s="5">
        <v>3.0</v>
      </c>
    </row>
    <row r="1795">
      <c r="A1795" s="5">
        <v>711.0</v>
      </c>
      <c r="B1795" s="5" t="s">
        <v>4247</v>
      </c>
      <c r="C1795" s="5" t="s">
        <v>6616</v>
      </c>
      <c r="D1795" s="5">
        <v>1.0</v>
      </c>
    </row>
    <row r="1796">
      <c r="A1796" s="5">
        <v>711.0</v>
      </c>
      <c r="B1796" s="5" t="s">
        <v>4247</v>
      </c>
      <c r="C1796" s="5" t="s">
        <v>6615</v>
      </c>
      <c r="D1796" s="5">
        <v>2.0</v>
      </c>
    </row>
    <row r="1797">
      <c r="A1797" s="5">
        <v>711.0</v>
      </c>
      <c r="B1797" s="5" t="s">
        <v>4247</v>
      </c>
      <c r="C1797" s="5" t="s">
        <v>20</v>
      </c>
      <c r="D1797" s="5">
        <v>3.0</v>
      </c>
    </row>
    <row r="1798">
      <c r="A1798" s="5">
        <v>712.0</v>
      </c>
      <c r="B1798" s="5" t="s">
        <v>4249</v>
      </c>
      <c r="C1798" s="5" t="s">
        <v>6617</v>
      </c>
      <c r="D1798" s="5">
        <v>1.0</v>
      </c>
    </row>
    <row r="1799">
      <c r="A1799" s="5">
        <v>712.0</v>
      </c>
      <c r="B1799" s="5" t="s">
        <v>4249</v>
      </c>
      <c r="C1799" s="5" t="s">
        <v>602</v>
      </c>
      <c r="D1799" s="5">
        <v>2.0</v>
      </c>
    </row>
    <row r="1800">
      <c r="A1800" s="5">
        <v>712.0</v>
      </c>
      <c r="B1800" s="5" t="s">
        <v>4249</v>
      </c>
      <c r="C1800" s="5" t="s">
        <v>6629</v>
      </c>
      <c r="D1800" s="5">
        <v>3.0</v>
      </c>
    </row>
    <row r="1801">
      <c r="A1801" s="5">
        <v>713.0</v>
      </c>
      <c r="B1801" s="5" t="s">
        <v>4254</v>
      </c>
      <c r="C1801" s="5" t="s">
        <v>6629</v>
      </c>
      <c r="D1801" s="5">
        <v>1.0</v>
      </c>
    </row>
    <row r="1802">
      <c r="A1802" s="5">
        <v>713.0</v>
      </c>
      <c r="B1802" s="5" t="s">
        <v>4254</v>
      </c>
      <c r="C1802" s="5" t="s">
        <v>4191</v>
      </c>
      <c r="D1802" s="5">
        <v>2.0</v>
      </c>
    </row>
    <row r="1803">
      <c r="A1803" s="5">
        <v>714.0</v>
      </c>
      <c r="B1803" s="5" t="s">
        <v>4259</v>
      </c>
      <c r="C1803" s="5" t="s">
        <v>6617</v>
      </c>
      <c r="D1803" s="5">
        <v>1.0</v>
      </c>
    </row>
    <row r="1804">
      <c r="A1804" s="5">
        <v>714.0</v>
      </c>
      <c r="B1804" s="5" t="s">
        <v>4259</v>
      </c>
      <c r="C1804" s="5" t="s">
        <v>20</v>
      </c>
      <c r="D1804" s="5">
        <v>2.0</v>
      </c>
    </row>
    <row r="1805">
      <c r="A1805" s="5">
        <v>714.0</v>
      </c>
      <c r="B1805" s="5" t="s">
        <v>4259</v>
      </c>
      <c r="C1805" s="5" t="s">
        <v>116</v>
      </c>
      <c r="D1805" s="5">
        <v>3.0</v>
      </c>
    </row>
    <row r="1806">
      <c r="A1806" s="5">
        <v>715.0</v>
      </c>
      <c r="B1806" s="5" t="s">
        <v>4263</v>
      </c>
      <c r="C1806" s="5" t="s">
        <v>6626</v>
      </c>
      <c r="D1806" s="5">
        <v>1.0</v>
      </c>
    </row>
    <row r="1807">
      <c r="A1807" s="5">
        <v>715.0</v>
      </c>
      <c r="B1807" s="5" t="s">
        <v>4263</v>
      </c>
      <c r="C1807" s="5" t="s">
        <v>4191</v>
      </c>
      <c r="D1807" s="5">
        <v>2.0</v>
      </c>
    </row>
    <row r="1808">
      <c r="A1808" s="5">
        <v>716.0</v>
      </c>
      <c r="B1808" s="5" t="s">
        <v>4268</v>
      </c>
      <c r="C1808" s="5" t="s">
        <v>602</v>
      </c>
      <c r="D1808" s="5">
        <v>1.0</v>
      </c>
    </row>
    <row r="1809">
      <c r="A1809" s="5">
        <v>716.0</v>
      </c>
      <c r="B1809" s="5" t="s">
        <v>4268</v>
      </c>
      <c r="C1809" s="5" t="s">
        <v>6624</v>
      </c>
      <c r="D1809" s="5">
        <v>2.0</v>
      </c>
    </row>
    <row r="1810">
      <c r="A1810" s="5">
        <v>716.0</v>
      </c>
      <c r="B1810" s="5" t="s">
        <v>4268</v>
      </c>
      <c r="C1810" s="5" t="s">
        <v>6621</v>
      </c>
      <c r="D1810" s="5">
        <v>3.0</v>
      </c>
    </row>
    <row r="1811">
      <c r="A1811" s="5">
        <v>717.0</v>
      </c>
      <c r="B1811" s="5" t="s">
        <v>4274</v>
      </c>
      <c r="C1811" s="5" t="s">
        <v>20</v>
      </c>
      <c r="D1811" s="5">
        <v>1.0</v>
      </c>
    </row>
    <row r="1812">
      <c r="A1812" s="5">
        <v>717.0</v>
      </c>
      <c r="B1812" s="5" t="s">
        <v>4274</v>
      </c>
      <c r="C1812" s="5" t="s">
        <v>2696</v>
      </c>
      <c r="D1812" s="5">
        <v>2.0</v>
      </c>
    </row>
    <row r="1813">
      <c r="A1813" s="5">
        <v>717.0</v>
      </c>
      <c r="B1813" s="5" t="s">
        <v>4274</v>
      </c>
      <c r="C1813" s="5" t="s">
        <v>6620</v>
      </c>
      <c r="D1813" s="5">
        <v>3.0</v>
      </c>
    </row>
    <row r="1814">
      <c r="A1814" s="5">
        <v>718.0</v>
      </c>
      <c r="B1814" s="5" t="s">
        <v>4280</v>
      </c>
      <c r="C1814" s="5" t="s">
        <v>602</v>
      </c>
      <c r="D1814" s="5">
        <v>1.0</v>
      </c>
    </row>
    <row r="1815">
      <c r="A1815" s="5">
        <v>718.0</v>
      </c>
      <c r="B1815" s="5" t="s">
        <v>4280</v>
      </c>
      <c r="C1815" s="5" t="s">
        <v>6628</v>
      </c>
      <c r="D1815" s="5">
        <v>2.0</v>
      </c>
    </row>
    <row r="1816">
      <c r="A1816" s="5">
        <v>718.0</v>
      </c>
      <c r="B1816" s="5" t="s">
        <v>4280</v>
      </c>
      <c r="C1816" s="5" t="s">
        <v>6625</v>
      </c>
      <c r="D1816" s="5">
        <v>3.0</v>
      </c>
    </row>
    <row r="1817">
      <c r="A1817" s="5">
        <v>719.0</v>
      </c>
      <c r="B1817" s="5" t="s">
        <v>4287</v>
      </c>
      <c r="C1817" s="5" t="s">
        <v>6616</v>
      </c>
      <c r="D1817" s="5">
        <v>1.0</v>
      </c>
    </row>
    <row r="1818">
      <c r="A1818" s="5">
        <v>719.0</v>
      </c>
      <c r="B1818" s="5" t="s">
        <v>4287</v>
      </c>
      <c r="C1818" s="5" t="s">
        <v>6615</v>
      </c>
      <c r="D1818" s="5">
        <v>2.0</v>
      </c>
    </row>
    <row r="1819">
      <c r="A1819" s="5">
        <v>719.0</v>
      </c>
      <c r="B1819" s="5" t="s">
        <v>4287</v>
      </c>
      <c r="C1819" s="5" t="s">
        <v>20</v>
      </c>
      <c r="D1819" s="5">
        <v>3.0</v>
      </c>
    </row>
    <row r="1820">
      <c r="A1820" s="5">
        <v>720.0</v>
      </c>
      <c r="B1820" s="5" t="s">
        <v>4293</v>
      </c>
      <c r="C1820" s="5" t="s">
        <v>20</v>
      </c>
      <c r="D1820" s="5">
        <v>1.0</v>
      </c>
    </row>
    <row r="1821">
      <c r="A1821" s="5">
        <v>720.0</v>
      </c>
      <c r="B1821" s="5" t="s">
        <v>4293</v>
      </c>
      <c r="C1821" s="5" t="s">
        <v>2696</v>
      </c>
      <c r="D1821" s="5">
        <v>2.0</v>
      </c>
    </row>
    <row r="1822">
      <c r="A1822" s="5">
        <v>720.0</v>
      </c>
      <c r="B1822" s="5" t="s">
        <v>4293</v>
      </c>
      <c r="C1822" s="5" t="s">
        <v>6620</v>
      </c>
      <c r="D1822" s="5">
        <v>3.0</v>
      </c>
    </row>
    <row r="1823">
      <c r="A1823" s="5">
        <v>721.0</v>
      </c>
      <c r="B1823" s="5" t="s">
        <v>4298</v>
      </c>
      <c r="C1823" s="5" t="s">
        <v>20</v>
      </c>
      <c r="D1823" s="5">
        <v>1.0</v>
      </c>
    </row>
    <row r="1824">
      <c r="A1824" s="5">
        <v>722.0</v>
      </c>
      <c r="B1824" s="5" t="s">
        <v>4304</v>
      </c>
      <c r="C1824" s="5" t="s">
        <v>20</v>
      </c>
      <c r="D1824" s="5">
        <v>1.0</v>
      </c>
    </row>
    <row r="1825">
      <c r="A1825" s="5">
        <v>722.0</v>
      </c>
      <c r="B1825" s="5" t="s">
        <v>4304</v>
      </c>
      <c r="C1825" s="5" t="s">
        <v>6621</v>
      </c>
      <c r="D1825" s="5">
        <v>2.0</v>
      </c>
    </row>
    <row r="1826">
      <c r="A1826" s="5">
        <v>723.0</v>
      </c>
      <c r="B1826" s="5" t="s">
        <v>4311</v>
      </c>
      <c r="C1826" s="5" t="s">
        <v>6616</v>
      </c>
      <c r="D1826" s="5">
        <v>1.0</v>
      </c>
    </row>
    <row r="1827">
      <c r="A1827" s="5">
        <v>723.0</v>
      </c>
      <c r="B1827" s="5" t="s">
        <v>4311</v>
      </c>
      <c r="C1827" s="5" t="s">
        <v>6617</v>
      </c>
      <c r="D1827" s="5">
        <v>2.0</v>
      </c>
    </row>
    <row r="1828">
      <c r="A1828" s="5">
        <v>723.0</v>
      </c>
      <c r="B1828" s="5" t="s">
        <v>4311</v>
      </c>
      <c r="C1828" s="5" t="s">
        <v>602</v>
      </c>
      <c r="D1828" s="5">
        <v>3.0</v>
      </c>
    </row>
    <row r="1829">
      <c r="A1829" s="5">
        <v>724.0</v>
      </c>
      <c r="B1829" s="5" t="s">
        <v>4314</v>
      </c>
      <c r="C1829" s="5" t="s">
        <v>6615</v>
      </c>
      <c r="D1829" s="5">
        <v>1.0</v>
      </c>
    </row>
    <row r="1830">
      <c r="A1830" s="5">
        <v>724.0</v>
      </c>
      <c r="B1830" s="5" t="s">
        <v>4314</v>
      </c>
      <c r="C1830" s="5" t="s">
        <v>20</v>
      </c>
      <c r="D1830" s="5">
        <v>2.0</v>
      </c>
    </row>
    <row r="1831">
      <c r="A1831" s="5">
        <v>724.0</v>
      </c>
      <c r="B1831" s="5" t="s">
        <v>4314</v>
      </c>
      <c r="C1831" s="5" t="s">
        <v>6626</v>
      </c>
      <c r="D1831" s="5">
        <v>3.0</v>
      </c>
    </row>
    <row r="1832">
      <c r="A1832" s="5">
        <v>725.0</v>
      </c>
      <c r="B1832" s="5" t="s">
        <v>4320</v>
      </c>
      <c r="C1832" s="5" t="s">
        <v>2696</v>
      </c>
      <c r="D1832" s="5">
        <v>1.0</v>
      </c>
    </row>
    <row r="1833">
      <c r="A1833" s="5">
        <v>725.0</v>
      </c>
      <c r="B1833" s="5" t="s">
        <v>4320</v>
      </c>
      <c r="C1833" s="5" t="s">
        <v>6626</v>
      </c>
      <c r="D1833" s="5">
        <v>2.0</v>
      </c>
    </row>
    <row r="1834">
      <c r="A1834" s="5">
        <v>725.0</v>
      </c>
      <c r="B1834" s="5" t="s">
        <v>4320</v>
      </c>
      <c r="C1834" s="5" t="s">
        <v>4191</v>
      </c>
      <c r="D1834" s="5">
        <v>3.0</v>
      </c>
    </row>
    <row r="1835">
      <c r="A1835" s="5">
        <v>726.0</v>
      </c>
      <c r="B1835" s="5" t="s">
        <v>4326</v>
      </c>
      <c r="C1835" s="5" t="s">
        <v>6616</v>
      </c>
      <c r="D1835" s="5">
        <v>1.0</v>
      </c>
    </row>
    <row r="1836">
      <c r="A1836" s="5">
        <v>726.0</v>
      </c>
      <c r="B1836" s="5" t="s">
        <v>4326</v>
      </c>
      <c r="C1836" s="5" t="s">
        <v>6617</v>
      </c>
      <c r="D1836" s="5">
        <v>2.0</v>
      </c>
    </row>
    <row r="1837">
      <c r="A1837" s="5">
        <v>726.0</v>
      </c>
      <c r="B1837" s="5" t="s">
        <v>4326</v>
      </c>
      <c r="C1837" s="5" t="s">
        <v>4191</v>
      </c>
      <c r="D1837" s="5">
        <v>3.0</v>
      </c>
    </row>
    <row r="1838">
      <c r="A1838" s="5">
        <v>727.0</v>
      </c>
      <c r="B1838" s="5" t="s">
        <v>4331</v>
      </c>
      <c r="C1838" s="5" t="s">
        <v>602</v>
      </c>
      <c r="D1838" s="5">
        <v>1.0</v>
      </c>
    </row>
    <row r="1839">
      <c r="A1839" s="5">
        <v>727.0</v>
      </c>
      <c r="B1839" s="5" t="s">
        <v>4331</v>
      </c>
      <c r="C1839" s="5" t="s">
        <v>20</v>
      </c>
      <c r="D1839" s="5">
        <v>2.0</v>
      </c>
    </row>
    <row r="1840">
      <c r="A1840" s="5">
        <v>727.0</v>
      </c>
      <c r="B1840" s="5" t="s">
        <v>4331</v>
      </c>
      <c r="C1840" s="5" t="s">
        <v>6621</v>
      </c>
      <c r="D1840" s="5">
        <v>3.0</v>
      </c>
    </row>
    <row r="1841">
      <c r="A1841" s="5">
        <v>728.0</v>
      </c>
      <c r="B1841" s="5" t="s">
        <v>4338</v>
      </c>
      <c r="C1841" s="5" t="s">
        <v>602</v>
      </c>
      <c r="D1841" s="5">
        <v>1.0</v>
      </c>
    </row>
    <row r="1842">
      <c r="A1842" s="5">
        <v>728.0</v>
      </c>
      <c r="B1842" s="5" t="s">
        <v>4338</v>
      </c>
      <c r="C1842" s="5" t="s">
        <v>2696</v>
      </c>
      <c r="D1842" s="5">
        <v>2.0</v>
      </c>
    </row>
    <row r="1843">
      <c r="A1843" s="5">
        <v>729.0</v>
      </c>
      <c r="B1843" s="5" t="s">
        <v>4342</v>
      </c>
      <c r="C1843" s="5" t="s">
        <v>6623</v>
      </c>
      <c r="D1843" s="5">
        <v>1.0</v>
      </c>
    </row>
    <row r="1844">
      <c r="A1844" s="5">
        <v>729.0</v>
      </c>
      <c r="B1844" s="5" t="s">
        <v>4342</v>
      </c>
      <c r="C1844" s="5" t="s">
        <v>20</v>
      </c>
      <c r="D1844" s="5">
        <v>2.0</v>
      </c>
    </row>
    <row r="1845">
      <c r="A1845" s="5">
        <v>729.0</v>
      </c>
      <c r="B1845" s="5" t="s">
        <v>4342</v>
      </c>
      <c r="C1845" s="5" t="s">
        <v>6624</v>
      </c>
      <c r="D1845" s="5">
        <v>3.0</v>
      </c>
    </row>
    <row r="1846">
      <c r="A1846" s="5">
        <v>730.0</v>
      </c>
      <c r="B1846" s="5" t="s">
        <v>4349</v>
      </c>
      <c r="C1846" s="5" t="s">
        <v>6618</v>
      </c>
      <c r="D1846" s="5">
        <v>1.0</v>
      </c>
    </row>
    <row r="1847">
      <c r="A1847" s="5">
        <v>730.0</v>
      </c>
      <c r="B1847" s="5" t="s">
        <v>4349</v>
      </c>
      <c r="C1847" s="5" t="s">
        <v>20</v>
      </c>
      <c r="D1847" s="5">
        <v>2.0</v>
      </c>
    </row>
    <row r="1848">
      <c r="A1848" s="5">
        <v>730.0</v>
      </c>
      <c r="B1848" s="5" t="s">
        <v>4349</v>
      </c>
      <c r="C1848" s="5" t="s">
        <v>6621</v>
      </c>
      <c r="D1848" s="5">
        <v>3.0</v>
      </c>
    </row>
    <row r="1849">
      <c r="A1849" s="5">
        <v>731.0</v>
      </c>
      <c r="B1849" s="5" t="s">
        <v>4355</v>
      </c>
      <c r="C1849" s="5" t="s">
        <v>6616</v>
      </c>
      <c r="D1849" s="5">
        <v>1.0</v>
      </c>
    </row>
    <row r="1850">
      <c r="A1850" s="5">
        <v>731.0</v>
      </c>
      <c r="B1850" s="5" t="s">
        <v>4355</v>
      </c>
      <c r="C1850" s="5" t="s">
        <v>6617</v>
      </c>
      <c r="D1850" s="5">
        <v>2.0</v>
      </c>
    </row>
    <row r="1851">
      <c r="A1851" s="5">
        <v>731.0</v>
      </c>
      <c r="B1851" s="5" t="s">
        <v>4355</v>
      </c>
      <c r="C1851" s="5" t="s">
        <v>602</v>
      </c>
      <c r="D1851" s="5">
        <v>3.0</v>
      </c>
    </row>
    <row r="1852">
      <c r="A1852" s="5">
        <v>732.0</v>
      </c>
      <c r="B1852" s="5" t="s">
        <v>4359</v>
      </c>
      <c r="C1852" s="5" t="s">
        <v>20</v>
      </c>
      <c r="D1852" s="5">
        <v>1.0</v>
      </c>
    </row>
    <row r="1853">
      <c r="A1853" s="5">
        <v>732.0</v>
      </c>
      <c r="B1853" s="5" t="s">
        <v>4359</v>
      </c>
      <c r="C1853" s="5" t="s">
        <v>6621</v>
      </c>
      <c r="D1853" s="5">
        <v>2.0</v>
      </c>
    </row>
    <row r="1854">
      <c r="A1854" s="5">
        <v>733.0</v>
      </c>
      <c r="B1854" s="5" t="s">
        <v>4365</v>
      </c>
      <c r="C1854" s="5" t="s">
        <v>602</v>
      </c>
      <c r="D1854" s="5">
        <v>1.0</v>
      </c>
    </row>
    <row r="1855">
      <c r="A1855" s="5">
        <v>733.0</v>
      </c>
      <c r="B1855" s="5" t="s">
        <v>4365</v>
      </c>
      <c r="C1855" s="5" t="s">
        <v>20</v>
      </c>
      <c r="D1855" s="5">
        <v>2.0</v>
      </c>
    </row>
    <row r="1856">
      <c r="A1856" s="5">
        <v>734.0</v>
      </c>
      <c r="B1856" s="5" t="s">
        <v>4371</v>
      </c>
      <c r="C1856" s="5" t="s">
        <v>602</v>
      </c>
      <c r="D1856" s="5">
        <v>1.0</v>
      </c>
    </row>
    <row r="1857">
      <c r="A1857" s="5">
        <v>734.0</v>
      </c>
      <c r="B1857" s="5" t="s">
        <v>4371</v>
      </c>
      <c r="C1857" s="5" t="s">
        <v>20</v>
      </c>
      <c r="D1857" s="5">
        <v>2.0</v>
      </c>
    </row>
    <row r="1858">
      <c r="A1858" s="5">
        <v>735.0</v>
      </c>
      <c r="B1858" s="5" t="s">
        <v>4375</v>
      </c>
      <c r="C1858" s="5" t="s">
        <v>20</v>
      </c>
      <c r="D1858" s="5">
        <v>1.0</v>
      </c>
    </row>
    <row r="1859">
      <c r="A1859" s="5">
        <v>735.0</v>
      </c>
      <c r="B1859" s="5" t="s">
        <v>4375</v>
      </c>
      <c r="C1859" s="5" t="s">
        <v>6621</v>
      </c>
      <c r="D1859" s="5">
        <v>2.0</v>
      </c>
    </row>
    <row r="1860">
      <c r="A1860" s="5">
        <v>736.0</v>
      </c>
      <c r="B1860" s="5" t="s">
        <v>4382</v>
      </c>
      <c r="C1860" s="5" t="s">
        <v>20</v>
      </c>
      <c r="D1860" s="5">
        <v>1.0</v>
      </c>
    </row>
    <row r="1861">
      <c r="A1861" s="5">
        <v>736.0</v>
      </c>
      <c r="B1861" s="5" t="s">
        <v>4382</v>
      </c>
      <c r="C1861" s="5" t="s">
        <v>6630</v>
      </c>
      <c r="D1861" s="5">
        <v>2.0</v>
      </c>
    </row>
    <row r="1862">
      <c r="A1862" s="5">
        <v>737.0</v>
      </c>
      <c r="B1862" s="5" t="s">
        <v>4387</v>
      </c>
      <c r="C1862" s="5" t="s">
        <v>20</v>
      </c>
      <c r="D1862" s="5">
        <v>1.0</v>
      </c>
    </row>
    <row r="1863">
      <c r="A1863" s="5">
        <v>737.0</v>
      </c>
      <c r="B1863" s="5" t="s">
        <v>4387</v>
      </c>
      <c r="C1863" s="5" t="s">
        <v>6627</v>
      </c>
      <c r="D1863" s="5">
        <v>2.0</v>
      </c>
    </row>
    <row r="1864">
      <c r="A1864" s="5">
        <v>737.0</v>
      </c>
      <c r="B1864" s="5" t="s">
        <v>4387</v>
      </c>
      <c r="C1864" s="5" t="s">
        <v>6621</v>
      </c>
      <c r="D1864" s="5">
        <v>3.0</v>
      </c>
    </row>
    <row r="1865">
      <c r="A1865" s="5">
        <v>738.0</v>
      </c>
      <c r="B1865" s="5" t="s">
        <v>4394</v>
      </c>
      <c r="C1865" s="5" t="s">
        <v>6616</v>
      </c>
      <c r="D1865" s="5">
        <v>1.0</v>
      </c>
    </row>
    <row r="1866">
      <c r="A1866" s="5">
        <v>738.0</v>
      </c>
      <c r="B1866" s="5" t="s">
        <v>4394</v>
      </c>
      <c r="C1866" s="5" t="s">
        <v>6617</v>
      </c>
      <c r="D1866" s="5">
        <v>2.0</v>
      </c>
    </row>
    <row r="1867">
      <c r="A1867" s="5">
        <v>738.0</v>
      </c>
      <c r="B1867" s="5" t="s">
        <v>4394</v>
      </c>
      <c r="C1867" s="5" t="s">
        <v>6620</v>
      </c>
      <c r="D1867" s="5">
        <v>3.0</v>
      </c>
    </row>
    <row r="1868">
      <c r="A1868" s="5">
        <v>739.0</v>
      </c>
      <c r="B1868" s="5" t="s">
        <v>4396</v>
      </c>
      <c r="C1868" s="5" t="s">
        <v>20</v>
      </c>
      <c r="D1868" s="5">
        <v>1.0</v>
      </c>
    </row>
    <row r="1869">
      <c r="A1869" s="5">
        <v>739.0</v>
      </c>
      <c r="B1869" s="5" t="s">
        <v>4396</v>
      </c>
      <c r="C1869" s="5" t="s">
        <v>6627</v>
      </c>
      <c r="D1869" s="5">
        <v>2.0</v>
      </c>
    </row>
    <row r="1870">
      <c r="A1870" s="5">
        <v>739.0</v>
      </c>
      <c r="B1870" s="5" t="s">
        <v>4396</v>
      </c>
      <c r="C1870" s="5" t="s">
        <v>6628</v>
      </c>
      <c r="D1870" s="5">
        <v>3.0</v>
      </c>
    </row>
    <row r="1871">
      <c r="A1871" s="5">
        <v>740.0</v>
      </c>
      <c r="B1871" s="5" t="s">
        <v>4400</v>
      </c>
      <c r="C1871" s="5" t="s">
        <v>6617</v>
      </c>
      <c r="D1871" s="5">
        <v>1.0</v>
      </c>
    </row>
    <row r="1872">
      <c r="A1872" s="5">
        <v>740.0</v>
      </c>
      <c r="B1872" s="5" t="s">
        <v>4400</v>
      </c>
      <c r="C1872" s="5" t="s">
        <v>602</v>
      </c>
      <c r="D1872" s="5">
        <v>2.0</v>
      </c>
    </row>
    <row r="1873">
      <c r="A1873" s="5">
        <v>740.0</v>
      </c>
      <c r="B1873" s="5" t="s">
        <v>4400</v>
      </c>
      <c r="C1873" s="5" t="s">
        <v>20</v>
      </c>
      <c r="D1873" s="5">
        <v>3.0</v>
      </c>
    </row>
    <row r="1874">
      <c r="A1874" s="5">
        <v>741.0</v>
      </c>
      <c r="B1874" s="5" t="s">
        <v>4407</v>
      </c>
      <c r="C1874" s="5" t="s">
        <v>6623</v>
      </c>
      <c r="D1874" s="5">
        <v>1.0</v>
      </c>
    </row>
    <row r="1875">
      <c r="A1875" s="5">
        <v>741.0</v>
      </c>
      <c r="B1875" s="5" t="s">
        <v>4407</v>
      </c>
      <c r="C1875" s="5" t="s">
        <v>6617</v>
      </c>
      <c r="D1875" s="5">
        <v>2.0</v>
      </c>
    </row>
    <row r="1876">
      <c r="A1876" s="5">
        <v>741.0</v>
      </c>
      <c r="B1876" s="5" t="s">
        <v>4407</v>
      </c>
      <c r="C1876" s="5" t="s">
        <v>602</v>
      </c>
      <c r="D1876" s="5">
        <v>3.0</v>
      </c>
    </row>
    <row r="1877">
      <c r="A1877" s="5">
        <v>742.0</v>
      </c>
      <c r="B1877" s="5" t="s">
        <v>4413</v>
      </c>
      <c r="C1877" s="5" t="s">
        <v>6623</v>
      </c>
      <c r="D1877" s="5">
        <v>1.0</v>
      </c>
    </row>
    <row r="1878">
      <c r="A1878" s="5">
        <v>742.0</v>
      </c>
      <c r="B1878" s="5" t="s">
        <v>4413</v>
      </c>
      <c r="C1878" s="5" t="s">
        <v>6617</v>
      </c>
      <c r="D1878" s="5">
        <v>2.0</v>
      </c>
    </row>
    <row r="1879">
      <c r="A1879" s="5">
        <v>742.0</v>
      </c>
      <c r="B1879" s="5" t="s">
        <v>4413</v>
      </c>
      <c r="C1879" s="5" t="s">
        <v>20</v>
      </c>
      <c r="D1879" s="5">
        <v>3.0</v>
      </c>
    </row>
    <row r="1880">
      <c r="A1880" s="5">
        <v>743.0</v>
      </c>
      <c r="B1880" s="5" t="s">
        <v>4417</v>
      </c>
      <c r="C1880" s="5" t="s">
        <v>20</v>
      </c>
      <c r="D1880" s="5">
        <v>1.0</v>
      </c>
    </row>
    <row r="1881">
      <c r="A1881" s="5">
        <v>744.0</v>
      </c>
      <c r="B1881" s="5" t="s">
        <v>4422</v>
      </c>
      <c r="C1881" s="5" t="s">
        <v>602</v>
      </c>
      <c r="D1881" s="5">
        <v>1.0</v>
      </c>
    </row>
    <row r="1882">
      <c r="A1882" s="5">
        <v>744.0</v>
      </c>
      <c r="B1882" s="5" t="s">
        <v>4422</v>
      </c>
      <c r="C1882" s="5" t="s">
        <v>6622</v>
      </c>
      <c r="D1882" s="5">
        <v>2.0</v>
      </c>
    </row>
    <row r="1883">
      <c r="A1883" s="5">
        <v>744.0</v>
      </c>
      <c r="B1883" s="5" t="s">
        <v>4422</v>
      </c>
      <c r="C1883" s="5" t="s">
        <v>6621</v>
      </c>
      <c r="D1883" s="5">
        <v>3.0</v>
      </c>
    </row>
    <row r="1884">
      <c r="A1884" s="5">
        <v>745.0</v>
      </c>
      <c r="B1884" s="5" t="s">
        <v>4425</v>
      </c>
      <c r="C1884" s="5" t="s">
        <v>6623</v>
      </c>
      <c r="D1884" s="5">
        <v>1.0</v>
      </c>
    </row>
    <row r="1885">
      <c r="A1885" s="5">
        <v>745.0</v>
      </c>
      <c r="B1885" s="5" t="s">
        <v>4425</v>
      </c>
      <c r="C1885" s="5" t="s">
        <v>6616</v>
      </c>
      <c r="D1885" s="5">
        <v>2.0</v>
      </c>
    </row>
    <row r="1886">
      <c r="A1886" s="5">
        <v>745.0</v>
      </c>
      <c r="B1886" s="5" t="s">
        <v>4425</v>
      </c>
      <c r="C1886" s="5" t="s">
        <v>6617</v>
      </c>
      <c r="D1886" s="5">
        <v>3.0</v>
      </c>
    </row>
    <row r="1887">
      <c r="A1887" s="5">
        <v>746.0</v>
      </c>
      <c r="B1887" s="5" t="s">
        <v>4431</v>
      </c>
      <c r="C1887" s="5" t="s">
        <v>20</v>
      </c>
      <c r="D1887" s="5">
        <v>1.0</v>
      </c>
    </row>
    <row r="1888">
      <c r="A1888" s="5">
        <v>746.0</v>
      </c>
      <c r="B1888" s="5" t="s">
        <v>4431</v>
      </c>
      <c r="C1888" s="5" t="s">
        <v>6620</v>
      </c>
      <c r="D1888" s="5">
        <v>2.0</v>
      </c>
    </row>
    <row r="1889">
      <c r="A1889" s="5">
        <v>746.0</v>
      </c>
      <c r="B1889" s="5" t="s">
        <v>4431</v>
      </c>
      <c r="C1889" s="5" t="s">
        <v>4191</v>
      </c>
      <c r="D1889" s="5">
        <v>3.0</v>
      </c>
    </row>
    <row r="1890">
      <c r="A1890" s="5">
        <v>747.0</v>
      </c>
      <c r="B1890" s="5" t="s">
        <v>4435</v>
      </c>
      <c r="C1890" s="5" t="s">
        <v>6616</v>
      </c>
      <c r="D1890" s="5">
        <v>1.0</v>
      </c>
    </row>
    <row r="1891">
      <c r="A1891" s="5">
        <v>747.0</v>
      </c>
      <c r="B1891" s="5" t="s">
        <v>4435</v>
      </c>
      <c r="C1891" s="5" t="s">
        <v>6617</v>
      </c>
      <c r="D1891" s="5">
        <v>2.0</v>
      </c>
    </row>
    <row r="1892">
      <c r="A1892" s="5">
        <v>747.0</v>
      </c>
      <c r="B1892" s="5" t="s">
        <v>4435</v>
      </c>
      <c r="C1892" s="5" t="s">
        <v>6620</v>
      </c>
      <c r="D1892" s="5">
        <v>3.0</v>
      </c>
    </row>
    <row r="1893">
      <c r="A1893" s="5">
        <v>748.0</v>
      </c>
      <c r="B1893" s="5" t="s">
        <v>4437</v>
      </c>
      <c r="C1893" s="5" t="s">
        <v>20</v>
      </c>
      <c r="D1893" s="5">
        <v>1.0</v>
      </c>
    </row>
    <row r="1894">
      <c r="A1894" s="5">
        <v>748.0</v>
      </c>
      <c r="B1894" s="5" t="s">
        <v>4437</v>
      </c>
      <c r="C1894" s="5" t="s">
        <v>6625</v>
      </c>
      <c r="D1894" s="5">
        <v>2.0</v>
      </c>
    </row>
    <row r="1895">
      <c r="A1895" s="5">
        <v>749.0</v>
      </c>
      <c r="B1895" s="5" t="s">
        <v>4444</v>
      </c>
      <c r="C1895" s="5" t="s">
        <v>6618</v>
      </c>
      <c r="D1895" s="5">
        <v>1.0</v>
      </c>
    </row>
    <row r="1896">
      <c r="A1896" s="5">
        <v>749.0</v>
      </c>
      <c r="B1896" s="5" t="s">
        <v>4444</v>
      </c>
      <c r="C1896" s="5" t="s">
        <v>20</v>
      </c>
      <c r="D1896" s="5">
        <v>2.0</v>
      </c>
    </row>
    <row r="1897">
      <c r="A1897" s="5">
        <v>750.0</v>
      </c>
      <c r="B1897" s="5" t="s">
        <v>4448</v>
      </c>
      <c r="C1897" s="5" t="s">
        <v>6616</v>
      </c>
      <c r="D1897" s="5">
        <v>1.0</v>
      </c>
    </row>
    <row r="1898">
      <c r="A1898" s="5">
        <v>750.0</v>
      </c>
      <c r="B1898" s="5" t="s">
        <v>4448</v>
      </c>
      <c r="C1898" s="5" t="s">
        <v>6617</v>
      </c>
      <c r="D1898" s="5">
        <v>2.0</v>
      </c>
    </row>
    <row r="1899">
      <c r="A1899" s="5">
        <v>750.0</v>
      </c>
      <c r="B1899" s="5" t="s">
        <v>4448</v>
      </c>
      <c r="C1899" s="5" t="s">
        <v>6620</v>
      </c>
      <c r="D1899" s="5">
        <v>3.0</v>
      </c>
    </row>
    <row r="1900">
      <c r="A1900" s="5">
        <v>751.0</v>
      </c>
      <c r="B1900" s="5" t="s">
        <v>4451</v>
      </c>
      <c r="C1900" s="5" t="s">
        <v>602</v>
      </c>
      <c r="D1900" s="5">
        <v>1.0</v>
      </c>
    </row>
    <row r="1901">
      <c r="A1901" s="5">
        <v>752.0</v>
      </c>
      <c r="B1901" s="5" t="s">
        <v>4455</v>
      </c>
      <c r="C1901" s="5" t="s">
        <v>6616</v>
      </c>
      <c r="D1901" s="5">
        <v>1.0</v>
      </c>
    </row>
    <row r="1902">
      <c r="A1902" s="5">
        <v>752.0</v>
      </c>
      <c r="B1902" s="5" t="s">
        <v>4455</v>
      </c>
      <c r="C1902" s="5" t="s">
        <v>6617</v>
      </c>
      <c r="D1902" s="5">
        <v>2.0</v>
      </c>
    </row>
    <row r="1903">
      <c r="A1903" s="5">
        <v>752.0</v>
      </c>
      <c r="B1903" s="5" t="s">
        <v>4455</v>
      </c>
      <c r="C1903" s="5" t="s">
        <v>4191</v>
      </c>
      <c r="D1903" s="5">
        <v>3.0</v>
      </c>
    </row>
    <row r="1904">
      <c r="A1904" s="5">
        <v>753.0</v>
      </c>
      <c r="B1904" s="5" t="s">
        <v>4458</v>
      </c>
      <c r="C1904" s="5" t="s">
        <v>602</v>
      </c>
      <c r="D1904" s="5">
        <v>1.0</v>
      </c>
    </row>
    <row r="1905">
      <c r="A1905" s="5">
        <v>753.0</v>
      </c>
      <c r="B1905" s="5" t="s">
        <v>4458</v>
      </c>
      <c r="C1905" s="5" t="s">
        <v>20</v>
      </c>
      <c r="D1905" s="5">
        <v>2.0</v>
      </c>
    </row>
    <row r="1906">
      <c r="A1906" s="5">
        <v>753.0</v>
      </c>
      <c r="B1906" s="5" t="s">
        <v>4458</v>
      </c>
      <c r="C1906" s="5" t="s">
        <v>6621</v>
      </c>
      <c r="D1906" s="5">
        <v>3.0</v>
      </c>
    </row>
    <row r="1907">
      <c r="A1907" s="5">
        <v>754.0</v>
      </c>
      <c r="B1907" s="5" t="s">
        <v>4461</v>
      </c>
      <c r="C1907" s="5" t="s">
        <v>6618</v>
      </c>
      <c r="D1907" s="5">
        <v>1.0</v>
      </c>
    </row>
    <row r="1908">
      <c r="A1908" s="5">
        <v>754.0</v>
      </c>
      <c r="B1908" s="5" t="s">
        <v>4461</v>
      </c>
      <c r="C1908" s="5" t="s">
        <v>20</v>
      </c>
      <c r="D1908" s="5">
        <v>2.0</v>
      </c>
    </row>
    <row r="1909">
      <c r="A1909" s="5">
        <v>754.0</v>
      </c>
      <c r="B1909" s="5" t="s">
        <v>4461</v>
      </c>
      <c r="C1909" s="5" t="s">
        <v>4191</v>
      </c>
      <c r="D1909" s="5">
        <v>3.0</v>
      </c>
    </row>
    <row r="1910">
      <c r="A1910" s="5">
        <v>755.0</v>
      </c>
      <c r="B1910" s="5" t="s">
        <v>4463</v>
      </c>
      <c r="C1910" s="5" t="s">
        <v>602</v>
      </c>
      <c r="D1910" s="5">
        <v>1.0</v>
      </c>
    </row>
    <row r="1911">
      <c r="A1911" s="5">
        <v>755.0</v>
      </c>
      <c r="B1911" s="5" t="s">
        <v>4463</v>
      </c>
      <c r="C1911" s="5" t="s">
        <v>20</v>
      </c>
      <c r="D1911" s="5">
        <v>2.0</v>
      </c>
    </row>
    <row r="1912">
      <c r="A1912" s="5">
        <v>755.0</v>
      </c>
      <c r="B1912" s="5" t="s">
        <v>4463</v>
      </c>
      <c r="C1912" s="5" t="s">
        <v>6621</v>
      </c>
      <c r="D1912" s="5">
        <v>3.0</v>
      </c>
    </row>
    <row r="1913">
      <c r="A1913" s="5">
        <v>756.0</v>
      </c>
      <c r="B1913" s="5" t="s">
        <v>4468</v>
      </c>
      <c r="C1913" s="5" t="s">
        <v>6617</v>
      </c>
      <c r="D1913" s="5">
        <v>1.0</v>
      </c>
    </row>
    <row r="1914">
      <c r="A1914" s="5">
        <v>756.0</v>
      </c>
      <c r="B1914" s="5" t="s">
        <v>4468</v>
      </c>
      <c r="C1914" s="5" t="s">
        <v>6624</v>
      </c>
      <c r="D1914" s="5">
        <v>2.0</v>
      </c>
    </row>
    <row r="1915">
      <c r="A1915" s="5">
        <v>756.0</v>
      </c>
      <c r="B1915" s="5" t="s">
        <v>4468</v>
      </c>
      <c r="C1915" s="5" t="s">
        <v>6622</v>
      </c>
      <c r="D1915" s="5">
        <v>3.0</v>
      </c>
    </row>
    <row r="1916">
      <c r="A1916" s="5">
        <v>757.0</v>
      </c>
      <c r="B1916" s="5" t="s">
        <v>4470</v>
      </c>
      <c r="C1916" s="5" t="s">
        <v>6623</v>
      </c>
      <c r="D1916" s="5">
        <v>1.0</v>
      </c>
    </row>
    <row r="1917">
      <c r="A1917" s="5">
        <v>757.0</v>
      </c>
      <c r="B1917" s="5" t="s">
        <v>4470</v>
      </c>
      <c r="C1917" s="5" t="s">
        <v>6617</v>
      </c>
      <c r="D1917" s="5">
        <v>2.0</v>
      </c>
    </row>
    <row r="1918">
      <c r="A1918" s="5">
        <v>757.0</v>
      </c>
      <c r="B1918" s="5" t="s">
        <v>4470</v>
      </c>
      <c r="C1918" s="5" t="s">
        <v>602</v>
      </c>
      <c r="D1918" s="5">
        <v>3.0</v>
      </c>
    </row>
    <row r="1919">
      <c r="A1919" s="5">
        <v>758.0</v>
      </c>
      <c r="B1919" s="5" t="s">
        <v>4473</v>
      </c>
      <c r="C1919" s="5" t="s">
        <v>6618</v>
      </c>
      <c r="D1919" s="5">
        <v>1.0</v>
      </c>
    </row>
    <row r="1920">
      <c r="A1920" s="5">
        <v>758.0</v>
      </c>
      <c r="B1920" s="5" t="s">
        <v>4473</v>
      </c>
      <c r="C1920" s="5" t="s">
        <v>20</v>
      </c>
      <c r="D1920" s="5">
        <v>2.0</v>
      </c>
    </row>
    <row r="1921">
      <c r="A1921" s="5">
        <v>758.0</v>
      </c>
      <c r="B1921" s="5" t="s">
        <v>4473</v>
      </c>
      <c r="C1921" s="5" t="s">
        <v>6619</v>
      </c>
      <c r="D1921" s="5">
        <v>3.0</v>
      </c>
    </row>
    <row r="1922">
      <c r="A1922" s="5">
        <v>759.0</v>
      </c>
      <c r="B1922" s="5" t="s">
        <v>4477</v>
      </c>
      <c r="C1922" s="5" t="s">
        <v>6623</v>
      </c>
      <c r="D1922" s="5">
        <v>1.0</v>
      </c>
    </row>
    <row r="1923">
      <c r="A1923" s="5">
        <v>759.0</v>
      </c>
      <c r="B1923" s="5" t="s">
        <v>4477</v>
      </c>
      <c r="C1923" s="5" t="s">
        <v>20</v>
      </c>
      <c r="D1923" s="5">
        <v>2.0</v>
      </c>
    </row>
    <row r="1924">
      <c r="A1924" s="5">
        <v>759.0</v>
      </c>
      <c r="B1924" s="5" t="s">
        <v>4477</v>
      </c>
      <c r="C1924" s="5" t="s">
        <v>6622</v>
      </c>
      <c r="D1924" s="5">
        <v>3.0</v>
      </c>
    </row>
    <row r="1925">
      <c r="A1925" s="5">
        <v>760.0</v>
      </c>
      <c r="B1925" s="5" t="s">
        <v>4481</v>
      </c>
      <c r="C1925" s="5" t="s">
        <v>6618</v>
      </c>
      <c r="D1925" s="5">
        <v>1.0</v>
      </c>
    </row>
    <row r="1926">
      <c r="A1926" s="5">
        <v>760.0</v>
      </c>
      <c r="B1926" s="5" t="s">
        <v>4481</v>
      </c>
      <c r="C1926" s="5" t="s">
        <v>6615</v>
      </c>
      <c r="D1926" s="5">
        <v>2.0</v>
      </c>
    </row>
    <row r="1927">
      <c r="A1927" s="5">
        <v>760.0</v>
      </c>
      <c r="B1927" s="5" t="s">
        <v>4481</v>
      </c>
      <c r="C1927" s="5" t="s">
        <v>20</v>
      </c>
      <c r="D1927" s="5">
        <v>3.0</v>
      </c>
    </row>
    <row r="1928">
      <c r="A1928" s="5">
        <v>761.0</v>
      </c>
      <c r="B1928" s="5" t="s">
        <v>4487</v>
      </c>
      <c r="C1928" s="5" t="s">
        <v>602</v>
      </c>
      <c r="D1928" s="5">
        <v>1.0</v>
      </c>
    </row>
    <row r="1929">
      <c r="A1929" s="5">
        <v>761.0</v>
      </c>
      <c r="B1929" s="5" t="s">
        <v>4487</v>
      </c>
      <c r="C1929" s="5" t="s">
        <v>20</v>
      </c>
      <c r="D1929" s="5">
        <v>2.0</v>
      </c>
    </row>
    <row r="1930">
      <c r="A1930" s="5">
        <v>761.0</v>
      </c>
      <c r="B1930" s="5" t="s">
        <v>4487</v>
      </c>
      <c r="C1930" s="5" t="s">
        <v>6621</v>
      </c>
      <c r="D1930" s="5">
        <v>3.0</v>
      </c>
    </row>
    <row r="1931">
      <c r="A1931" s="5">
        <v>762.0</v>
      </c>
      <c r="B1931" s="5" t="s">
        <v>4493</v>
      </c>
      <c r="C1931" s="5" t="s">
        <v>6623</v>
      </c>
      <c r="D1931" s="5">
        <v>1.0</v>
      </c>
    </row>
    <row r="1932">
      <c r="A1932" s="5">
        <v>762.0</v>
      </c>
      <c r="B1932" s="5" t="s">
        <v>4493</v>
      </c>
      <c r="C1932" s="5" t="s">
        <v>6617</v>
      </c>
      <c r="D1932" s="5">
        <v>2.0</v>
      </c>
    </row>
    <row r="1933">
      <c r="A1933" s="5">
        <v>762.0</v>
      </c>
      <c r="B1933" s="5" t="s">
        <v>4493</v>
      </c>
      <c r="C1933" s="5" t="s">
        <v>602</v>
      </c>
      <c r="D1933" s="5">
        <v>3.0</v>
      </c>
    </row>
    <row r="1934">
      <c r="A1934" s="5">
        <v>763.0</v>
      </c>
      <c r="B1934" s="5" t="s">
        <v>4499</v>
      </c>
      <c r="C1934" s="5" t="s">
        <v>6615</v>
      </c>
      <c r="D1934" s="5">
        <v>1.0</v>
      </c>
    </row>
    <row r="1935">
      <c r="A1935" s="5">
        <v>763.0</v>
      </c>
      <c r="B1935" s="5" t="s">
        <v>4499</v>
      </c>
      <c r="C1935" s="5" t="s">
        <v>20</v>
      </c>
      <c r="D1935" s="5">
        <v>2.0</v>
      </c>
    </row>
    <row r="1936">
      <c r="A1936" s="5">
        <v>763.0</v>
      </c>
      <c r="B1936" s="5" t="s">
        <v>4499</v>
      </c>
      <c r="C1936" s="5" t="s">
        <v>6622</v>
      </c>
      <c r="D1936" s="5">
        <v>3.0</v>
      </c>
    </row>
    <row r="1937">
      <c r="A1937" s="5">
        <v>764.0</v>
      </c>
      <c r="B1937" s="5" t="s">
        <v>4506</v>
      </c>
      <c r="C1937" s="5" t="s">
        <v>6615</v>
      </c>
      <c r="D1937" s="5">
        <v>1.0</v>
      </c>
    </row>
    <row r="1938">
      <c r="A1938" s="5">
        <v>764.0</v>
      </c>
      <c r="B1938" s="5" t="s">
        <v>4506</v>
      </c>
      <c r="C1938" s="5" t="s">
        <v>20</v>
      </c>
      <c r="D1938" s="5">
        <v>2.0</v>
      </c>
    </row>
    <row r="1939">
      <c r="A1939" s="5">
        <v>765.0</v>
      </c>
      <c r="B1939" s="5" t="s">
        <v>4513</v>
      </c>
      <c r="C1939" s="5" t="s">
        <v>20</v>
      </c>
      <c r="D1939" s="5">
        <v>1.0</v>
      </c>
    </row>
    <row r="1940">
      <c r="A1940" s="5">
        <v>765.0</v>
      </c>
      <c r="B1940" s="5" t="s">
        <v>4513</v>
      </c>
      <c r="C1940" s="5" t="s">
        <v>6620</v>
      </c>
      <c r="D1940" s="5">
        <v>2.0</v>
      </c>
    </row>
    <row r="1941">
      <c r="A1941" s="5">
        <v>765.0</v>
      </c>
      <c r="B1941" s="5" t="s">
        <v>4513</v>
      </c>
      <c r="C1941" s="5" t="s">
        <v>4191</v>
      </c>
      <c r="D1941" s="5">
        <v>3.0</v>
      </c>
    </row>
    <row r="1942">
      <c r="A1942" s="5">
        <v>766.0</v>
      </c>
      <c r="B1942" s="5" t="s">
        <v>4518</v>
      </c>
      <c r="C1942" s="5" t="s">
        <v>20</v>
      </c>
      <c r="D1942" s="5">
        <v>1.0</v>
      </c>
    </row>
    <row r="1943">
      <c r="A1943" s="5">
        <v>767.0</v>
      </c>
      <c r="B1943" s="5" t="s">
        <v>4523</v>
      </c>
      <c r="C1943" s="5" t="s">
        <v>6618</v>
      </c>
      <c r="D1943" s="5">
        <v>1.0</v>
      </c>
    </row>
    <row r="1944">
      <c r="A1944" s="5">
        <v>767.0</v>
      </c>
      <c r="B1944" s="5" t="s">
        <v>4523</v>
      </c>
      <c r="C1944" s="5" t="s">
        <v>20</v>
      </c>
      <c r="D1944" s="5">
        <v>2.0</v>
      </c>
    </row>
    <row r="1945">
      <c r="A1945" s="5">
        <v>767.0</v>
      </c>
      <c r="B1945" s="5" t="s">
        <v>4523</v>
      </c>
      <c r="C1945" s="5" t="s">
        <v>6619</v>
      </c>
      <c r="D1945" s="5">
        <v>3.0</v>
      </c>
    </row>
    <row r="1946">
      <c r="A1946" s="5">
        <v>768.0</v>
      </c>
      <c r="B1946" s="5" t="s">
        <v>4527</v>
      </c>
      <c r="C1946" s="5" t="s">
        <v>6615</v>
      </c>
      <c r="D1946" s="5">
        <v>1.0</v>
      </c>
    </row>
    <row r="1947">
      <c r="A1947" s="5">
        <v>768.0</v>
      </c>
      <c r="B1947" s="5" t="s">
        <v>4527</v>
      </c>
      <c r="C1947" s="5" t="s">
        <v>20</v>
      </c>
      <c r="D1947" s="5">
        <v>2.0</v>
      </c>
    </row>
    <row r="1948">
      <c r="A1948" s="5">
        <v>768.0</v>
      </c>
      <c r="B1948" s="5" t="s">
        <v>4527</v>
      </c>
      <c r="C1948" s="5" t="s">
        <v>6626</v>
      </c>
      <c r="D1948" s="5">
        <v>3.0</v>
      </c>
    </row>
    <row r="1949">
      <c r="A1949" s="5">
        <v>769.0</v>
      </c>
      <c r="B1949" s="5" t="s">
        <v>4529</v>
      </c>
      <c r="C1949" s="5" t="s">
        <v>6616</v>
      </c>
      <c r="D1949" s="5">
        <v>1.0</v>
      </c>
    </row>
    <row r="1950">
      <c r="A1950" s="5">
        <v>769.0</v>
      </c>
      <c r="B1950" s="5" t="s">
        <v>4529</v>
      </c>
      <c r="C1950" s="5" t="s">
        <v>6615</v>
      </c>
      <c r="D1950" s="5">
        <v>2.0</v>
      </c>
    </row>
    <row r="1951">
      <c r="A1951" s="5">
        <v>769.0</v>
      </c>
      <c r="B1951" s="5" t="s">
        <v>4529</v>
      </c>
      <c r="C1951" s="5" t="s">
        <v>20</v>
      </c>
      <c r="D1951" s="5">
        <v>3.0</v>
      </c>
    </row>
    <row r="1952">
      <c r="A1952" s="5">
        <v>770.0</v>
      </c>
      <c r="B1952" s="5" t="s">
        <v>4533</v>
      </c>
      <c r="C1952" s="5" t="s">
        <v>20</v>
      </c>
      <c r="D1952" s="5">
        <v>1.0</v>
      </c>
    </row>
    <row r="1953">
      <c r="A1953" s="5">
        <v>770.0</v>
      </c>
      <c r="B1953" s="5" t="s">
        <v>4533</v>
      </c>
      <c r="C1953" s="5" t="s">
        <v>6619</v>
      </c>
      <c r="D1953" s="5">
        <v>2.0</v>
      </c>
    </row>
    <row r="1954">
      <c r="A1954" s="5">
        <v>770.0</v>
      </c>
      <c r="B1954" s="5" t="s">
        <v>4533</v>
      </c>
      <c r="C1954" s="5" t="s">
        <v>6627</v>
      </c>
      <c r="D1954" s="5">
        <v>3.0</v>
      </c>
    </row>
    <row r="1955">
      <c r="A1955" s="5">
        <v>771.0</v>
      </c>
      <c r="B1955" s="5" t="s">
        <v>4540</v>
      </c>
      <c r="C1955" s="5" t="s">
        <v>6618</v>
      </c>
      <c r="D1955" s="5">
        <v>1.0</v>
      </c>
    </row>
    <row r="1956">
      <c r="A1956" s="5">
        <v>771.0</v>
      </c>
      <c r="B1956" s="5" t="s">
        <v>4540</v>
      </c>
      <c r="C1956" s="5" t="s">
        <v>20</v>
      </c>
      <c r="D1956" s="5">
        <v>2.0</v>
      </c>
    </row>
    <row r="1957">
      <c r="A1957" s="5">
        <v>771.0</v>
      </c>
      <c r="B1957" s="5" t="s">
        <v>4540</v>
      </c>
      <c r="C1957" s="5" t="s">
        <v>6627</v>
      </c>
      <c r="D1957" s="5">
        <v>3.0</v>
      </c>
    </row>
    <row r="1958">
      <c r="A1958" s="5">
        <v>772.0</v>
      </c>
      <c r="B1958" s="5" t="s">
        <v>4546</v>
      </c>
      <c r="C1958" s="5" t="s">
        <v>6623</v>
      </c>
      <c r="D1958" s="5">
        <v>1.0</v>
      </c>
    </row>
    <row r="1959">
      <c r="A1959" s="5">
        <v>772.0</v>
      </c>
      <c r="B1959" s="5" t="s">
        <v>4546</v>
      </c>
      <c r="C1959" s="5" t="s">
        <v>6617</v>
      </c>
      <c r="D1959" s="5">
        <v>2.0</v>
      </c>
    </row>
    <row r="1960">
      <c r="A1960" s="5">
        <v>772.0</v>
      </c>
      <c r="B1960" s="5" t="s">
        <v>4546</v>
      </c>
      <c r="C1960" s="5" t="s">
        <v>602</v>
      </c>
      <c r="D1960" s="5">
        <v>3.0</v>
      </c>
    </row>
    <row r="1961">
      <c r="A1961" s="5">
        <v>773.0</v>
      </c>
      <c r="B1961" s="5" t="s">
        <v>4552</v>
      </c>
      <c r="C1961" s="5" t="s">
        <v>20</v>
      </c>
      <c r="D1961" s="5">
        <v>1.0</v>
      </c>
    </row>
    <row r="1962">
      <c r="A1962" s="5">
        <v>773.0</v>
      </c>
      <c r="B1962" s="5" t="s">
        <v>4552</v>
      </c>
      <c r="C1962" s="5" t="s">
        <v>4191</v>
      </c>
      <c r="D1962" s="5">
        <v>2.0</v>
      </c>
    </row>
    <row r="1963">
      <c r="A1963" s="5">
        <v>773.0</v>
      </c>
      <c r="B1963" s="5" t="s">
        <v>4552</v>
      </c>
      <c r="C1963" s="5" t="s">
        <v>6625</v>
      </c>
      <c r="D1963" s="5">
        <v>3.0</v>
      </c>
    </row>
    <row r="1964">
      <c r="A1964" s="5">
        <v>774.0</v>
      </c>
      <c r="B1964" s="5" t="s">
        <v>4558</v>
      </c>
      <c r="C1964" s="5" t="s">
        <v>20</v>
      </c>
      <c r="D1964" s="5">
        <v>1.0</v>
      </c>
    </row>
    <row r="1965">
      <c r="A1965" s="5">
        <v>774.0</v>
      </c>
      <c r="B1965" s="5" t="s">
        <v>4558</v>
      </c>
      <c r="C1965" s="5" t="s">
        <v>6621</v>
      </c>
      <c r="D1965" s="5">
        <v>2.0</v>
      </c>
    </row>
    <row r="1966">
      <c r="A1966" s="5">
        <v>775.0</v>
      </c>
      <c r="B1966" s="5" t="s">
        <v>4561</v>
      </c>
      <c r="C1966" s="5" t="s">
        <v>6616</v>
      </c>
      <c r="D1966" s="5">
        <v>1.0</v>
      </c>
    </row>
    <row r="1967">
      <c r="A1967" s="5">
        <v>775.0</v>
      </c>
      <c r="B1967" s="5" t="s">
        <v>4561</v>
      </c>
      <c r="C1967" s="5" t="s">
        <v>6615</v>
      </c>
      <c r="D1967" s="5">
        <v>2.0</v>
      </c>
    </row>
    <row r="1968">
      <c r="A1968" s="5">
        <v>775.0</v>
      </c>
      <c r="B1968" s="5" t="s">
        <v>4561</v>
      </c>
      <c r="C1968" s="5" t="s">
        <v>20</v>
      </c>
      <c r="D1968" s="5">
        <v>3.0</v>
      </c>
    </row>
    <row r="1969">
      <c r="A1969" s="5">
        <v>776.0</v>
      </c>
      <c r="B1969" s="5" t="s">
        <v>4564</v>
      </c>
      <c r="C1969" s="5" t="s">
        <v>6615</v>
      </c>
      <c r="D1969" s="5">
        <v>1.0</v>
      </c>
    </row>
    <row r="1970">
      <c r="A1970" s="5">
        <v>776.0</v>
      </c>
      <c r="B1970" s="5" t="s">
        <v>4564</v>
      </c>
      <c r="C1970" s="5" t="s">
        <v>20</v>
      </c>
      <c r="D1970" s="5">
        <v>2.0</v>
      </c>
    </row>
    <row r="1971">
      <c r="A1971" s="5">
        <v>776.0</v>
      </c>
      <c r="B1971" s="5" t="s">
        <v>4564</v>
      </c>
      <c r="C1971" s="5" t="s">
        <v>4191</v>
      </c>
      <c r="D1971" s="5">
        <v>3.0</v>
      </c>
    </row>
    <row r="1972">
      <c r="A1972" s="5">
        <v>777.0</v>
      </c>
      <c r="B1972" s="5" t="s">
        <v>4568</v>
      </c>
      <c r="C1972" s="5" t="s">
        <v>6616</v>
      </c>
      <c r="D1972" s="5">
        <v>1.0</v>
      </c>
    </row>
    <row r="1973">
      <c r="A1973" s="5">
        <v>777.0</v>
      </c>
      <c r="B1973" s="5" t="s">
        <v>4568</v>
      </c>
      <c r="C1973" s="5" t="s">
        <v>602</v>
      </c>
      <c r="D1973" s="5">
        <v>2.0</v>
      </c>
    </row>
    <row r="1974">
      <c r="A1974" s="5">
        <v>777.0</v>
      </c>
      <c r="B1974" s="5" t="s">
        <v>4568</v>
      </c>
      <c r="C1974" s="5" t="s">
        <v>6622</v>
      </c>
      <c r="D1974" s="5">
        <v>3.0</v>
      </c>
    </row>
    <row r="1975">
      <c r="A1975" s="5">
        <v>778.0</v>
      </c>
      <c r="B1975" s="5" t="s">
        <v>4574</v>
      </c>
      <c r="C1975" s="5" t="s">
        <v>6616</v>
      </c>
      <c r="D1975" s="5">
        <v>1.0</v>
      </c>
    </row>
    <row r="1976">
      <c r="A1976" s="5">
        <v>778.0</v>
      </c>
      <c r="B1976" s="5" t="s">
        <v>4574</v>
      </c>
      <c r="C1976" s="5" t="s">
        <v>6626</v>
      </c>
      <c r="D1976" s="5">
        <v>2.0</v>
      </c>
    </row>
    <row r="1977">
      <c r="A1977" s="5">
        <v>778.0</v>
      </c>
      <c r="B1977" s="5" t="s">
        <v>4574</v>
      </c>
      <c r="C1977" s="5" t="s">
        <v>4191</v>
      </c>
      <c r="D1977" s="5">
        <v>3.0</v>
      </c>
    </row>
    <row r="1978">
      <c r="A1978" s="5">
        <v>779.0</v>
      </c>
      <c r="B1978" s="5" t="s">
        <v>4577</v>
      </c>
      <c r="C1978" s="5" t="s">
        <v>20</v>
      </c>
      <c r="D1978" s="5">
        <v>1.0</v>
      </c>
    </row>
    <row r="1979">
      <c r="A1979" s="5">
        <v>779.0</v>
      </c>
      <c r="B1979" s="5" t="s">
        <v>4577</v>
      </c>
      <c r="C1979" s="5" t="s">
        <v>4191</v>
      </c>
      <c r="D1979" s="5">
        <v>2.0</v>
      </c>
    </row>
    <row r="1980">
      <c r="A1980" s="5">
        <v>780.0</v>
      </c>
      <c r="B1980" s="5" t="s">
        <v>4582</v>
      </c>
      <c r="C1980" s="5" t="s">
        <v>6618</v>
      </c>
      <c r="D1980" s="5">
        <v>1.0</v>
      </c>
    </row>
    <row r="1981">
      <c r="A1981" s="5">
        <v>780.0</v>
      </c>
      <c r="B1981" s="5" t="s">
        <v>4582</v>
      </c>
      <c r="C1981" s="5" t="s">
        <v>20</v>
      </c>
      <c r="D1981" s="5">
        <v>2.0</v>
      </c>
    </row>
    <row r="1982">
      <c r="A1982" s="5">
        <v>780.0</v>
      </c>
      <c r="B1982" s="5" t="s">
        <v>4582</v>
      </c>
      <c r="C1982" s="5" t="s">
        <v>6627</v>
      </c>
      <c r="D1982" s="5">
        <v>3.0</v>
      </c>
    </row>
    <row r="1983">
      <c r="A1983" s="5">
        <v>781.0</v>
      </c>
      <c r="B1983" s="5" t="s">
        <v>4586</v>
      </c>
      <c r="C1983" s="5" t="s">
        <v>602</v>
      </c>
      <c r="D1983" s="5">
        <v>1.0</v>
      </c>
    </row>
    <row r="1984">
      <c r="A1984" s="5">
        <v>781.0</v>
      </c>
      <c r="B1984" s="5" t="s">
        <v>4586</v>
      </c>
      <c r="C1984" s="5" t="s">
        <v>20</v>
      </c>
      <c r="D1984" s="5">
        <v>2.0</v>
      </c>
    </row>
    <row r="1985">
      <c r="A1985" s="5">
        <v>782.0</v>
      </c>
      <c r="B1985" s="5" t="s">
        <v>4591</v>
      </c>
      <c r="C1985" s="5" t="s">
        <v>6617</v>
      </c>
      <c r="D1985" s="5">
        <v>1.0</v>
      </c>
    </row>
    <row r="1986">
      <c r="A1986" s="5">
        <v>782.0</v>
      </c>
      <c r="B1986" s="5" t="s">
        <v>4591</v>
      </c>
      <c r="C1986" s="5" t="s">
        <v>6624</v>
      </c>
      <c r="D1986" s="5">
        <v>2.0</v>
      </c>
    </row>
    <row r="1987">
      <c r="A1987" s="5">
        <v>782.0</v>
      </c>
      <c r="B1987" s="5" t="s">
        <v>4591</v>
      </c>
      <c r="C1987" s="5" t="s">
        <v>6622</v>
      </c>
      <c r="D1987" s="5">
        <v>3.0</v>
      </c>
    </row>
    <row r="1988">
      <c r="A1988" s="5">
        <v>783.0</v>
      </c>
      <c r="B1988" s="5" t="s">
        <v>4595</v>
      </c>
      <c r="C1988" s="5" t="s">
        <v>6616</v>
      </c>
      <c r="D1988" s="5">
        <v>1.0</v>
      </c>
    </row>
    <row r="1989">
      <c r="A1989" s="5">
        <v>783.0</v>
      </c>
      <c r="B1989" s="5" t="s">
        <v>4595</v>
      </c>
      <c r="C1989" s="5" t="s">
        <v>6615</v>
      </c>
      <c r="D1989" s="5">
        <v>2.0</v>
      </c>
    </row>
    <row r="1990">
      <c r="A1990" s="5">
        <v>783.0</v>
      </c>
      <c r="B1990" s="5" t="s">
        <v>4595</v>
      </c>
      <c r="C1990" s="5" t="s">
        <v>20</v>
      </c>
      <c r="D1990" s="5">
        <v>3.0</v>
      </c>
    </row>
    <row r="1991">
      <c r="A1991" s="5">
        <v>784.0</v>
      </c>
      <c r="B1991" s="5" t="s">
        <v>4599</v>
      </c>
      <c r="C1991" s="5" t="s">
        <v>6623</v>
      </c>
      <c r="D1991" s="5">
        <v>1.0</v>
      </c>
    </row>
    <row r="1992">
      <c r="A1992" s="5">
        <v>784.0</v>
      </c>
      <c r="B1992" s="5" t="s">
        <v>4599</v>
      </c>
      <c r="C1992" s="5" t="s">
        <v>20</v>
      </c>
      <c r="D1992" s="5">
        <v>2.0</v>
      </c>
    </row>
    <row r="1993">
      <c r="A1993" s="5">
        <v>784.0</v>
      </c>
      <c r="B1993" s="5" t="s">
        <v>4599</v>
      </c>
      <c r="C1993" s="5" t="s">
        <v>6624</v>
      </c>
      <c r="D1993" s="5">
        <v>3.0</v>
      </c>
    </row>
    <row r="1994">
      <c r="A1994" s="5">
        <v>785.0</v>
      </c>
      <c r="B1994" s="5" t="s">
        <v>4604</v>
      </c>
      <c r="C1994" s="5" t="s">
        <v>6616</v>
      </c>
      <c r="D1994" s="5">
        <v>1.0</v>
      </c>
    </row>
    <row r="1995">
      <c r="A1995" s="5">
        <v>785.0</v>
      </c>
      <c r="B1995" s="5" t="s">
        <v>4604</v>
      </c>
      <c r="C1995" s="5" t="s">
        <v>20</v>
      </c>
      <c r="D1995" s="5">
        <v>2.0</v>
      </c>
    </row>
    <row r="1996">
      <c r="A1996" s="5">
        <v>786.0</v>
      </c>
      <c r="B1996" s="5" t="s">
        <v>4608</v>
      </c>
      <c r="C1996" s="5" t="s">
        <v>20</v>
      </c>
      <c r="D1996" s="5">
        <v>1.0</v>
      </c>
    </row>
    <row r="1997">
      <c r="A1997" s="5">
        <v>787.0</v>
      </c>
      <c r="B1997" s="5" t="s">
        <v>4615</v>
      </c>
      <c r="C1997" s="5" t="s">
        <v>602</v>
      </c>
      <c r="D1997" s="5">
        <v>1.0</v>
      </c>
    </row>
    <row r="1998">
      <c r="A1998" s="5">
        <v>787.0</v>
      </c>
      <c r="B1998" s="5" t="s">
        <v>4615</v>
      </c>
      <c r="C1998" s="5" t="s">
        <v>20</v>
      </c>
      <c r="D1998" s="5">
        <v>2.0</v>
      </c>
    </row>
    <row r="1999">
      <c r="A1999" s="5">
        <v>787.0</v>
      </c>
      <c r="B1999" s="5" t="s">
        <v>4615</v>
      </c>
      <c r="C1999" s="5" t="s">
        <v>6621</v>
      </c>
      <c r="D1999" s="5">
        <v>3.0</v>
      </c>
    </row>
    <row r="2000">
      <c r="A2000" s="5">
        <v>788.0</v>
      </c>
      <c r="B2000" s="5" t="s">
        <v>4621</v>
      </c>
      <c r="C2000" s="5" t="s">
        <v>20</v>
      </c>
      <c r="D2000" s="5">
        <v>1.0</v>
      </c>
    </row>
    <row r="2001">
      <c r="A2001" s="5">
        <v>789.0</v>
      </c>
      <c r="B2001" s="5" t="s">
        <v>4624</v>
      </c>
      <c r="C2001" s="5" t="s">
        <v>20</v>
      </c>
      <c r="D2001" s="5">
        <v>1.0</v>
      </c>
    </row>
    <row r="2002">
      <c r="A2002" s="5">
        <v>790.0</v>
      </c>
      <c r="B2002" s="5" t="s">
        <v>4627</v>
      </c>
      <c r="C2002" s="5" t="s">
        <v>602</v>
      </c>
      <c r="D2002" s="5">
        <v>1.0</v>
      </c>
    </row>
    <row r="2003">
      <c r="A2003" s="5">
        <v>790.0</v>
      </c>
      <c r="B2003" s="5" t="s">
        <v>4627</v>
      </c>
      <c r="C2003" s="5" t="s">
        <v>20</v>
      </c>
      <c r="D2003" s="5">
        <v>2.0</v>
      </c>
    </row>
    <row r="2004">
      <c r="A2004" s="5">
        <v>791.0</v>
      </c>
      <c r="B2004" s="5" t="s">
        <v>4630</v>
      </c>
      <c r="C2004" s="5" t="s">
        <v>20</v>
      </c>
      <c r="D2004" s="5">
        <v>1.0</v>
      </c>
    </row>
    <row r="2005">
      <c r="A2005" s="5">
        <v>791.0</v>
      </c>
      <c r="B2005" s="5" t="s">
        <v>4630</v>
      </c>
      <c r="C2005" s="5" t="s">
        <v>6619</v>
      </c>
      <c r="D2005" s="5">
        <v>2.0</v>
      </c>
    </row>
    <row r="2006">
      <c r="A2006" s="5">
        <v>791.0</v>
      </c>
      <c r="B2006" s="5" t="s">
        <v>4630</v>
      </c>
      <c r="C2006" s="5" t="s">
        <v>6625</v>
      </c>
      <c r="D2006" s="5">
        <v>3.0</v>
      </c>
    </row>
    <row r="2007">
      <c r="A2007" s="5">
        <v>792.0</v>
      </c>
      <c r="B2007" s="5" t="s">
        <v>4632</v>
      </c>
      <c r="C2007" s="5" t="s">
        <v>6615</v>
      </c>
      <c r="D2007" s="5">
        <v>1.0</v>
      </c>
    </row>
    <row r="2008">
      <c r="A2008" s="5">
        <v>792.0</v>
      </c>
      <c r="B2008" s="5" t="s">
        <v>4632</v>
      </c>
      <c r="C2008" s="5" t="s">
        <v>20</v>
      </c>
      <c r="D2008" s="5">
        <v>2.0</v>
      </c>
    </row>
    <row r="2009">
      <c r="A2009" s="5">
        <v>792.0</v>
      </c>
      <c r="B2009" s="5" t="s">
        <v>4632</v>
      </c>
      <c r="C2009" s="5" t="s">
        <v>4191</v>
      </c>
      <c r="D2009" s="5">
        <v>3.0</v>
      </c>
    </row>
    <row r="2010">
      <c r="A2010" s="5">
        <v>793.0</v>
      </c>
      <c r="B2010" s="5" t="s">
        <v>4637</v>
      </c>
      <c r="C2010" s="5" t="s">
        <v>20</v>
      </c>
      <c r="D2010" s="5">
        <v>1.0</v>
      </c>
    </row>
    <row r="2011">
      <c r="A2011" s="5">
        <v>793.0</v>
      </c>
      <c r="B2011" s="5" t="s">
        <v>4637</v>
      </c>
      <c r="C2011" s="5" t="s">
        <v>4191</v>
      </c>
      <c r="D2011" s="5">
        <v>2.0</v>
      </c>
    </row>
    <row r="2012">
      <c r="A2012" s="5">
        <v>794.0</v>
      </c>
      <c r="B2012" s="5" t="s">
        <v>4642</v>
      </c>
      <c r="C2012" s="5" t="s">
        <v>20</v>
      </c>
      <c r="D2012" s="5">
        <v>1.0</v>
      </c>
    </row>
    <row r="2013">
      <c r="A2013" s="5">
        <v>794.0</v>
      </c>
      <c r="B2013" s="5" t="s">
        <v>4642</v>
      </c>
      <c r="C2013" s="5" t="s">
        <v>6627</v>
      </c>
      <c r="D2013" s="5">
        <v>2.0</v>
      </c>
    </row>
    <row r="2014">
      <c r="A2014" s="5">
        <v>795.0</v>
      </c>
      <c r="B2014" s="5" t="s">
        <v>4649</v>
      </c>
      <c r="C2014" s="5" t="s">
        <v>602</v>
      </c>
      <c r="D2014" s="5">
        <v>1.0</v>
      </c>
    </row>
    <row r="2015">
      <c r="A2015" s="5">
        <v>795.0</v>
      </c>
      <c r="B2015" s="5" t="s">
        <v>4649</v>
      </c>
      <c r="C2015" s="5" t="s">
        <v>20</v>
      </c>
      <c r="D2015" s="5">
        <v>2.0</v>
      </c>
    </row>
    <row r="2016">
      <c r="A2016" s="5">
        <v>795.0</v>
      </c>
      <c r="B2016" s="5" t="s">
        <v>4649</v>
      </c>
      <c r="C2016" s="5" t="s">
        <v>6627</v>
      </c>
      <c r="D2016" s="5">
        <v>3.0</v>
      </c>
    </row>
    <row r="2017">
      <c r="A2017" s="5">
        <v>796.0</v>
      </c>
      <c r="B2017" s="5" t="s">
        <v>4655</v>
      </c>
      <c r="C2017" s="5" t="s">
        <v>6615</v>
      </c>
      <c r="D2017" s="5">
        <v>1.0</v>
      </c>
    </row>
    <row r="2018">
      <c r="A2018" s="5">
        <v>796.0</v>
      </c>
      <c r="B2018" s="5" t="s">
        <v>4655</v>
      </c>
      <c r="C2018" s="5" t="s">
        <v>4191</v>
      </c>
      <c r="D2018" s="5">
        <v>2.0</v>
      </c>
    </row>
    <row r="2019">
      <c r="A2019" s="5">
        <v>797.0</v>
      </c>
      <c r="B2019" s="5" t="s">
        <v>4658</v>
      </c>
      <c r="C2019" s="5" t="s">
        <v>6623</v>
      </c>
      <c r="D2019" s="5">
        <v>1.0</v>
      </c>
    </row>
    <row r="2020">
      <c r="A2020" s="5">
        <v>797.0</v>
      </c>
      <c r="B2020" s="5" t="s">
        <v>4658</v>
      </c>
      <c r="C2020" s="5" t="s">
        <v>6616</v>
      </c>
      <c r="D2020" s="5">
        <v>2.0</v>
      </c>
    </row>
    <row r="2021">
      <c r="A2021" s="5">
        <v>797.0</v>
      </c>
      <c r="B2021" s="5" t="s">
        <v>4658</v>
      </c>
      <c r="C2021" s="5" t="s">
        <v>6622</v>
      </c>
      <c r="D2021" s="5">
        <v>3.0</v>
      </c>
    </row>
    <row r="2022">
      <c r="A2022" s="5">
        <v>798.0</v>
      </c>
      <c r="B2022" s="5" t="s">
        <v>4665</v>
      </c>
      <c r="C2022" s="5" t="s">
        <v>6617</v>
      </c>
      <c r="D2022" s="5">
        <v>1.0</v>
      </c>
    </row>
    <row r="2023">
      <c r="A2023" s="5">
        <v>798.0</v>
      </c>
      <c r="B2023" s="5" t="s">
        <v>4665</v>
      </c>
      <c r="C2023" s="5" t="s">
        <v>602</v>
      </c>
      <c r="D2023" s="5">
        <v>2.0</v>
      </c>
    </row>
    <row r="2024">
      <c r="A2024" s="5">
        <v>798.0</v>
      </c>
      <c r="B2024" s="5" t="s">
        <v>4665</v>
      </c>
      <c r="C2024" s="5" t="s">
        <v>6615</v>
      </c>
      <c r="D2024" s="5">
        <v>3.0</v>
      </c>
    </row>
    <row r="2025">
      <c r="A2025" s="5">
        <v>799.0</v>
      </c>
      <c r="B2025" s="5" t="s">
        <v>4669</v>
      </c>
      <c r="C2025" s="5" t="s">
        <v>6617</v>
      </c>
      <c r="D2025" s="5">
        <v>1.0</v>
      </c>
    </row>
    <row r="2026">
      <c r="A2026" s="5">
        <v>799.0</v>
      </c>
      <c r="B2026" s="5" t="s">
        <v>4669</v>
      </c>
      <c r="C2026" s="5" t="s">
        <v>602</v>
      </c>
      <c r="D2026" s="5">
        <v>2.0</v>
      </c>
    </row>
    <row r="2027">
      <c r="A2027" s="5">
        <v>799.0</v>
      </c>
      <c r="B2027" s="5" t="s">
        <v>4669</v>
      </c>
      <c r="C2027" s="5" t="s">
        <v>20</v>
      </c>
      <c r="D2027" s="5">
        <v>3.0</v>
      </c>
    </row>
    <row r="2028">
      <c r="A2028" s="5">
        <v>800.0</v>
      </c>
      <c r="B2028" s="5" t="s">
        <v>4673</v>
      </c>
      <c r="C2028" s="5" t="s">
        <v>6623</v>
      </c>
      <c r="D2028" s="5">
        <v>1.0</v>
      </c>
    </row>
    <row r="2029">
      <c r="A2029" s="5">
        <v>800.0</v>
      </c>
      <c r="B2029" s="5" t="s">
        <v>4673</v>
      </c>
      <c r="C2029" s="5" t="s">
        <v>602</v>
      </c>
      <c r="D2029" s="5">
        <v>2.0</v>
      </c>
    </row>
    <row r="2030">
      <c r="A2030" s="5">
        <v>800.0</v>
      </c>
      <c r="B2030" s="5" t="s">
        <v>4673</v>
      </c>
      <c r="C2030" s="5" t="s">
        <v>6622</v>
      </c>
      <c r="D2030" s="5">
        <v>3.0</v>
      </c>
    </row>
    <row r="2031">
      <c r="A2031" s="5">
        <v>801.0</v>
      </c>
      <c r="B2031" s="5" t="s">
        <v>4680</v>
      </c>
      <c r="C2031" s="5" t="s">
        <v>602</v>
      </c>
      <c r="D2031" s="5">
        <v>1.0</v>
      </c>
    </row>
    <row r="2032">
      <c r="A2032" s="5">
        <v>802.0</v>
      </c>
      <c r="B2032" s="5" t="s">
        <v>4686</v>
      </c>
      <c r="C2032" s="5" t="s">
        <v>602</v>
      </c>
      <c r="D2032" s="5">
        <v>1.0</v>
      </c>
    </row>
    <row r="2033">
      <c r="A2033" s="5">
        <v>802.0</v>
      </c>
      <c r="B2033" s="5" t="s">
        <v>4686</v>
      </c>
      <c r="C2033" s="5" t="s">
        <v>20</v>
      </c>
      <c r="D2033" s="5">
        <v>2.0</v>
      </c>
    </row>
    <row r="2034">
      <c r="A2034" s="5">
        <v>803.0</v>
      </c>
      <c r="B2034" s="5" t="s">
        <v>4692</v>
      </c>
      <c r="C2034" s="5" t="s">
        <v>6615</v>
      </c>
      <c r="D2034" s="5">
        <v>1.0</v>
      </c>
    </row>
    <row r="2035">
      <c r="A2035" s="5">
        <v>803.0</v>
      </c>
      <c r="B2035" s="5" t="s">
        <v>4692</v>
      </c>
      <c r="C2035" s="5" t="s">
        <v>20</v>
      </c>
      <c r="D2035" s="5">
        <v>2.0</v>
      </c>
    </row>
    <row r="2036">
      <c r="A2036" s="5">
        <v>803.0</v>
      </c>
      <c r="B2036" s="5" t="s">
        <v>4692</v>
      </c>
      <c r="C2036" s="5" t="s">
        <v>4191</v>
      </c>
      <c r="D2036" s="5">
        <v>3.0</v>
      </c>
    </row>
    <row r="2037">
      <c r="A2037" s="5">
        <v>804.0</v>
      </c>
      <c r="B2037" s="5" t="s">
        <v>4695</v>
      </c>
      <c r="C2037" s="5" t="s">
        <v>602</v>
      </c>
      <c r="D2037" s="5">
        <v>1.0</v>
      </c>
    </row>
    <row r="2038">
      <c r="A2038" s="5">
        <v>804.0</v>
      </c>
      <c r="B2038" s="5" t="s">
        <v>4695</v>
      </c>
      <c r="C2038" s="5" t="s">
        <v>20</v>
      </c>
      <c r="D2038" s="5">
        <v>2.0</v>
      </c>
    </row>
    <row r="2039">
      <c r="A2039" s="5">
        <v>804.0</v>
      </c>
      <c r="B2039" s="5" t="s">
        <v>4695</v>
      </c>
      <c r="C2039" s="5" t="s">
        <v>6621</v>
      </c>
      <c r="D2039" s="5">
        <v>3.0</v>
      </c>
    </row>
    <row r="2040">
      <c r="A2040" s="5">
        <v>805.0</v>
      </c>
      <c r="B2040" s="5" t="s">
        <v>4698</v>
      </c>
      <c r="C2040" s="5" t="s">
        <v>20</v>
      </c>
      <c r="D2040" s="5">
        <v>1.0</v>
      </c>
    </row>
    <row r="2041">
      <c r="A2041" s="5">
        <v>805.0</v>
      </c>
      <c r="B2041" s="5" t="s">
        <v>4698</v>
      </c>
      <c r="C2041" s="5" t="s">
        <v>6626</v>
      </c>
      <c r="D2041" s="5">
        <v>2.0</v>
      </c>
    </row>
    <row r="2042">
      <c r="A2042" s="5">
        <v>805.0</v>
      </c>
      <c r="B2042" s="5" t="s">
        <v>4698</v>
      </c>
      <c r="C2042" s="5" t="s">
        <v>6620</v>
      </c>
      <c r="D2042" s="5">
        <v>3.0</v>
      </c>
    </row>
    <row r="2043">
      <c r="A2043" s="5">
        <v>806.0</v>
      </c>
      <c r="B2043" s="5" t="s">
        <v>4704</v>
      </c>
      <c r="C2043" s="5" t="s">
        <v>602</v>
      </c>
      <c r="D2043" s="5">
        <v>1.0</v>
      </c>
    </row>
    <row r="2044">
      <c r="A2044" s="5">
        <v>806.0</v>
      </c>
      <c r="B2044" s="5" t="s">
        <v>4704</v>
      </c>
      <c r="C2044" s="5" t="s">
        <v>20</v>
      </c>
      <c r="D2044" s="5">
        <v>2.0</v>
      </c>
    </row>
    <row r="2045">
      <c r="A2045" s="5">
        <v>806.0</v>
      </c>
      <c r="B2045" s="5" t="s">
        <v>4704</v>
      </c>
      <c r="C2045" s="5" t="s">
        <v>6622</v>
      </c>
      <c r="D2045" s="5">
        <v>3.0</v>
      </c>
    </row>
    <row r="2046">
      <c r="A2046" s="5">
        <v>807.0</v>
      </c>
      <c r="B2046" s="5" t="s">
        <v>4707</v>
      </c>
      <c r="C2046" s="5" t="s">
        <v>602</v>
      </c>
      <c r="D2046" s="5">
        <v>1.0</v>
      </c>
    </row>
    <row r="2047">
      <c r="A2047" s="5">
        <v>807.0</v>
      </c>
      <c r="B2047" s="5" t="s">
        <v>4707</v>
      </c>
      <c r="C2047" s="5" t="s">
        <v>20</v>
      </c>
      <c r="D2047" s="5">
        <v>2.0</v>
      </c>
    </row>
    <row r="2048">
      <c r="A2048" s="5">
        <v>807.0</v>
      </c>
      <c r="B2048" s="5" t="s">
        <v>4707</v>
      </c>
      <c r="C2048" s="5" t="s">
        <v>6621</v>
      </c>
      <c r="D2048" s="5">
        <v>3.0</v>
      </c>
    </row>
    <row r="2049">
      <c r="A2049" s="5">
        <v>808.0</v>
      </c>
      <c r="B2049" s="5" t="s">
        <v>4710</v>
      </c>
      <c r="C2049" s="5" t="s">
        <v>6616</v>
      </c>
      <c r="D2049" s="5">
        <v>1.0</v>
      </c>
    </row>
    <row r="2050">
      <c r="A2050" s="5">
        <v>808.0</v>
      </c>
      <c r="B2050" s="5" t="s">
        <v>4710</v>
      </c>
      <c r="C2050" s="5" t="s">
        <v>6617</v>
      </c>
      <c r="D2050" s="5">
        <v>2.0</v>
      </c>
    </row>
    <row r="2051">
      <c r="A2051" s="5">
        <v>808.0</v>
      </c>
      <c r="B2051" s="5" t="s">
        <v>4710</v>
      </c>
      <c r="C2051" s="5" t="s">
        <v>6620</v>
      </c>
      <c r="D2051" s="5">
        <v>3.0</v>
      </c>
    </row>
    <row r="2052">
      <c r="A2052" s="5">
        <v>809.0</v>
      </c>
      <c r="B2052" s="5" t="s">
        <v>4714</v>
      </c>
      <c r="C2052" s="5" t="s">
        <v>602</v>
      </c>
      <c r="D2052" s="5">
        <v>1.0</v>
      </c>
    </row>
    <row r="2053">
      <c r="A2053" s="5">
        <v>810.0</v>
      </c>
      <c r="B2053" s="5" t="s">
        <v>4721</v>
      </c>
      <c r="C2053" s="5" t="s">
        <v>6618</v>
      </c>
      <c r="D2053" s="5">
        <v>1.0</v>
      </c>
    </row>
    <row r="2054">
      <c r="A2054" s="5">
        <v>810.0</v>
      </c>
      <c r="B2054" s="5" t="s">
        <v>4721</v>
      </c>
      <c r="C2054" s="5" t="s">
        <v>6615</v>
      </c>
      <c r="D2054" s="5">
        <v>2.0</v>
      </c>
    </row>
    <row r="2055">
      <c r="A2055" s="5">
        <v>810.0</v>
      </c>
      <c r="B2055" s="5" t="s">
        <v>4721</v>
      </c>
      <c r="C2055" s="5" t="s">
        <v>20</v>
      </c>
      <c r="D2055" s="5">
        <v>3.0</v>
      </c>
    </row>
    <row r="2056">
      <c r="A2056" s="5">
        <v>811.0</v>
      </c>
      <c r="B2056" s="5" t="s">
        <v>4724</v>
      </c>
      <c r="C2056" s="5" t="s">
        <v>6618</v>
      </c>
      <c r="D2056" s="5">
        <v>1.0</v>
      </c>
    </row>
    <row r="2057">
      <c r="A2057" s="5">
        <v>811.0</v>
      </c>
      <c r="B2057" s="5" t="s">
        <v>4724</v>
      </c>
      <c r="C2057" s="5" t="s">
        <v>20</v>
      </c>
      <c r="D2057" s="5">
        <v>2.0</v>
      </c>
    </row>
    <row r="2058">
      <c r="A2058" s="5">
        <v>811.0</v>
      </c>
      <c r="B2058" s="5" t="s">
        <v>4724</v>
      </c>
      <c r="C2058" s="5" t="s">
        <v>6627</v>
      </c>
      <c r="D2058" s="5">
        <v>3.0</v>
      </c>
    </row>
    <row r="2059">
      <c r="A2059" s="5">
        <v>812.0</v>
      </c>
      <c r="B2059" s="5" t="s">
        <v>4730</v>
      </c>
      <c r="C2059" s="5" t="s">
        <v>6615</v>
      </c>
      <c r="D2059" s="5">
        <v>1.0</v>
      </c>
    </row>
    <row r="2060">
      <c r="A2060" s="5">
        <v>812.0</v>
      </c>
      <c r="B2060" s="5" t="s">
        <v>4730</v>
      </c>
      <c r="C2060" s="5" t="s">
        <v>20</v>
      </c>
      <c r="D2060" s="5">
        <v>2.0</v>
      </c>
    </row>
    <row r="2061">
      <c r="A2061" s="5">
        <v>812.0</v>
      </c>
      <c r="B2061" s="5" t="s">
        <v>4730</v>
      </c>
      <c r="C2061" s="5" t="s">
        <v>6626</v>
      </c>
      <c r="D2061" s="5">
        <v>3.0</v>
      </c>
    </row>
    <row r="2062">
      <c r="A2062" s="5">
        <v>813.0</v>
      </c>
      <c r="B2062" s="5" t="s">
        <v>4734</v>
      </c>
      <c r="C2062" s="5" t="s">
        <v>20</v>
      </c>
      <c r="D2062" s="5">
        <v>1.0</v>
      </c>
    </row>
    <row r="2063">
      <c r="A2063" s="5">
        <v>814.0</v>
      </c>
      <c r="B2063" s="5" t="s">
        <v>4738</v>
      </c>
      <c r="C2063" s="5" t="s">
        <v>20</v>
      </c>
      <c r="D2063" s="5">
        <v>1.0</v>
      </c>
    </row>
    <row r="2064">
      <c r="A2064" s="5">
        <v>814.0</v>
      </c>
      <c r="B2064" s="5" t="s">
        <v>4738</v>
      </c>
      <c r="C2064" s="5" t="s">
        <v>6624</v>
      </c>
      <c r="D2064" s="5">
        <v>2.0</v>
      </c>
    </row>
    <row r="2065">
      <c r="A2065" s="5">
        <v>814.0</v>
      </c>
      <c r="B2065" s="5" t="s">
        <v>4738</v>
      </c>
      <c r="C2065" s="5" t="s">
        <v>6622</v>
      </c>
      <c r="D2065" s="5">
        <v>3.0</v>
      </c>
    </row>
    <row r="2066">
      <c r="A2066" s="5">
        <v>815.0</v>
      </c>
      <c r="B2066" s="5" t="s">
        <v>4744</v>
      </c>
      <c r="C2066" s="5" t="s">
        <v>602</v>
      </c>
      <c r="D2066" s="5">
        <v>1.0</v>
      </c>
    </row>
    <row r="2067">
      <c r="A2067" s="5">
        <v>815.0</v>
      </c>
      <c r="B2067" s="5" t="s">
        <v>4744</v>
      </c>
      <c r="C2067" s="5" t="s">
        <v>6615</v>
      </c>
      <c r="D2067" s="5">
        <v>2.0</v>
      </c>
    </row>
    <row r="2068">
      <c r="A2068" s="5">
        <v>815.0</v>
      </c>
      <c r="B2068" s="5" t="s">
        <v>4744</v>
      </c>
      <c r="C2068" s="5" t="s">
        <v>20</v>
      </c>
      <c r="D2068" s="5">
        <v>3.0</v>
      </c>
    </row>
    <row r="2069">
      <c r="A2069" s="5">
        <v>816.0</v>
      </c>
      <c r="B2069" s="5" t="s">
        <v>4749</v>
      </c>
      <c r="C2069" s="5" t="s">
        <v>6618</v>
      </c>
      <c r="D2069" s="5">
        <v>1.0</v>
      </c>
    </row>
    <row r="2070">
      <c r="A2070" s="5">
        <v>816.0</v>
      </c>
      <c r="B2070" s="5" t="s">
        <v>4749</v>
      </c>
      <c r="C2070" s="5" t="s">
        <v>602</v>
      </c>
      <c r="D2070" s="5">
        <v>2.0</v>
      </c>
    </row>
    <row r="2071">
      <c r="A2071" s="5">
        <v>816.0</v>
      </c>
      <c r="B2071" s="5" t="s">
        <v>4749</v>
      </c>
      <c r="C2071" s="5" t="s">
        <v>20</v>
      </c>
      <c r="D2071" s="5">
        <v>3.0</v>
      </c>
    </row>
    <row r="2072">
      <c r="A2072" s="5">
        <v>817.0</v>
      </c>
      <c r="B2072" s="5" t="s">
        <v>4754</v>
      </c>
      <c r="C2072" s="5" t="s">
        <v>602</v>
      </c>
      <c r="D2072" s="5">
        <v>1.0</v>
      </c>
    </row>
    <row r="2073">
      <c r="A2073" s="5">
        <v>818.0</v>
      </c>
      <c r="B2073" s="5" t="s">
        <v>4761</v>
      </c>
      <c r="C2073" s="5" t="s">
        <v>602</v>
      </c>
      <c r="D2073" s="5">
        <v>1.0</v>
      </c>
    </row>
    <row r="2074">
      <c r="A2074" s="5">
        <v>818.0</v>
      </c>
      <c r="B2074" s="5" t="s">
        <v>4761</v>
      </c>
      <c r="C2074" s="5" t="s">
        <v>20</v>
      </c>
      <c r="D2074" s="5">
        <v>2.0</v>
      </c>
    </row>
    <row r="2075">
      <c r="A2075" s="5">
        <v>819.0</v>
      </c>
      <c r="B2075" s="5" t="s">
        <v>4765</v>
      </c>
      <c r="C2075" s="5" t="s">
        <v>20</v>
      </c>
      <c r="D2075" s="5">
        <v>1.0</v>
      </c>
    </row>
    <row r="2076">
      <c r="A2076" s="5">
        <v>820.0</v>
      </c>
      <c r="B2076" s="5" t="s">
        <v>4769</v>
      </c>
      <c r="C2076" s="5" t="s">
        <v>602</v>
      </c>
      <c r="D2076" s="5">
        <v>1.0</v>
      </c>
    </row>
    <row r="2077">
      <c r="A2077" s="5">
        <v>820.0</v>
      </c>
      <c r="B2077" s="5" t="s">
        <v>4769</v>
      </c>
      <c r="C2077" s="5" t="s">
        <v>20</v>
      </c>
      <c r="D2077" s="5">
        <v>2.0</v>
      </c>
    </row>
    <row r="2078">
      <c r="A2078" s="5">
        <v>820.0</v>
      </c>
      <c r="B2078" s="5" t="s">
        <v>4769</v>
      </c>
      <c r="C2078" s="5" t="s">
        <v>6624</v>
      </c>
      <c r="D2078" s="5">
        <v>3.0</v>
      </c>
    </row>
    <row r="2079">
      <c r="A2079" s="5">
        <v>821.0</v>
      </c>
      <c r="B2079" s="5" t="s">
        <v>4775</v>
      </c>
      <c r="C2079" s="5" t="s">
        <v>6618</v>
      </c>
      <c r="D2079" s="5">
        <v>1.0</v>
      </c>
    </row>
    <row r="2080">
      <c r="A2080" s="5">
        <v>821.0</v>
      </c>
      <c r="B2080" s="5" t="s">
        <v>4775</v>
      </c>
      <c r="C2080" s="5" t="s">
        <v>20</v>
      </c>
      <c r="D2080" s="5">
        <v>2.0</v>
      </c>
    </row>
    <row r="2081">
      <c r="A2081" s="5">
        <v>821.0</v>
      </c>
      <c r="B2081" s="5" t="s">
        <v>4775</v>
      </c>
      <c r="C2081" s="5" t="s">
        <v>6619</v>
      </c>
      <c r="D2081" s="5">
        <v>3.0</v>
      </c>
    </row>
    <row r="2082">
      <c r="A2082" s="5">
        <v>822.0</v>
      </c>
      <c r="B2082" s="5" t="s">
        <v>4779</v>
      </c>
      <c r="C2082" s="5" t="s">
        <v>6616</v>
      </c>
      <c r="D2082" s="5">
        <v>1.0</v>
      </c>
    </row>
    <row r="2083">
      <c r="A2083" s="5">
        <v>822.0</v>
      </c>
      <c r="B2083" s="5" t="s">
        <v>4779</v>
      </c>
      <c r="C2083" s="5" t="s">
        <v>6617</v>
      </c>
      <c r="D2083" s="5">
        <v>2.0</v>
      </c>
    </row>
    <row r="2084">
      <c r="A2084" s="5">
        <v>822.0</v>
      </c>
      <c r="B2084" s="5" t="s">
        <v>4779</v>
      </c>
      <c r="C2084" s="5" t="s">
        <v>20</v>
      </c>
      <c r="D2084" s="5">
        <v>3.0</v>
      </c>
    </row>
    <row r="2085">
      <c r="A2085" s="5">
        <v>823.0</v>
      </c>
      <c r="B2085" s="5" t="s">
        <v>4783</v>
      </c>
      <c r="C2085" s="5" t="s">
        <v>6623</v>
      </c>
      <c r="D2085" s="5">
        <v>1.0</v>
      </c>
    </row>
    <row r="2086">
      <c r="A2086" s="5">
        <v>823.0</v>
      </c>
      <c r="B2086" s="5" t="s">
        <v>4783</v>
      </c>
      <c r="C2086" s="5" t="s">
        <v>6617</v>
      </c>
      <c r="D2086" s="5">
        <v>2.0</v>
      </c>
    </row>
    <row r="2087">
      <c r="A2087" s="5">
        <v>823.0</v>
      </c>
      <c r="B2087" s="5" t="s">
        <v>4783</v>
      </c>
      <c r="C2087" s="5" t="s">
        <v>602</v>
      </c>
      <c r="D2087" s="5">
        <v>3.0</v>
      </c>
    </row>
    <row r="2088">
      <c r="A2088" s="5">
        <v>824.0</v>
      </c>
      <c r="B2088" s="5" t="s">
        <v>4789</v>
      </c>
      <c r="C2088" s="5" t="s">
        <v>6615</v>
      </c>
      <c r="D2088" s="5">
        <v>1.0</v>
      </c>
    </row>
    <row r="2089">
      <c r="A2089" s="5">
        <v>824.0</v>
      </c>
      <c r="B2089" s="5" t="s">
        <v>4789</v>
      </c>
      <c r="C2089" s="5" t="s">
        <v>20</v>
      </c>
      <c r="D2089" s="5">
        <v>2.0</v>
      </c>
    </row>
    <row r="2090">
      <c r="A2090" s="5">
        <v>824.0</v>
      </c>
      <c r="B2090" s="5" t="s">
        <v>4789</v>
      </c>
      <c r="C2090" s="5" t="s">
        <v>6626</v>
      </c>
      <c r="D2090" s="5">
        <v>3.0</v>
      </c>
    </row>
    <row r="2091">
      <c r="A2091" s="5">
        <v>825.0</v>
      </c>
      <c r="B2091" s="5" t="s">
        <v>4793</v>
      </c>
      <c r="C2091" s="5" t="s">
        <v>20</v>
      </c>
      <c r="D2091" s="5">
        <v>1.0</v>
      </c>
    </row>
    <row r="2092">
      <c r="A2092" s="5">
        <v>825.0</v>
      </c>
      <c r="B2092" s="5" t="s">
        <v>4793</v>
      </c>
      <c r="C2092" s="5" t="s">
        <v>4191</v>
      </c>
      <c r="D2092" s="5">
        <v>2.0</v>
      </c>
    </row>
    <row r="2093">
      <c r="A2093" s="5">
        <v>826.0</v>
      </c>
      <c r="B2093" s="5" t="s">
        <v>4796</v>
      </c>
      <c r="C2093" s="5" t="s">
        <v>20</v>
      </c>
      <c r="D2093" s="5">
        <v>1.0</v>
      </c>
    </row>
    <row r="2094">
      <c r="A2094" s="5">
        <v>827.0</v>
      </c>
      <c r="B2094" s="5" t="s">
        <v>4802</v>
      </c>
      <c r="C2094" s="5" t="s">
        <v>602</v>
      </c>
      <c r="D2094" s="5">
        <v>1.0</v>
      </c>
    </row>
    <row r="2095">
      <c r="A2095" s="5">
        <v>827.0</v>
      </c>
      <c r="B2095" s="5" t="s">
        <v>4802</v>
      </c>
      <c r="C2095" s="5" t="s">
        <v>20</v>
      </c>
      <c r="D2095" s="5">
        <v>2.0</v>
      </c>
    </row>
    <row r="2096">
      <c r="A2096" s="5">
        <v>827.0</v>
      </c>
      <c r="B2096" s="5" t="s">
        <v>4802</v>
      </c>
      <c r="C2096" s="5" t="s">
        <v>4191</v>
      </c>
      <c r="D2096" s="5">
        <v>3.0</v>
      </c>
    </row>
    <row r="2097">
      <c r="A2097" s="5">
        <v>828.0</v>
      </c>
      <c r="B2097" s="5" t="s">
        <v>4805</v>
      </c>
      <c r="C2097" s="5" t="s">
        <v>6615</v>
      </c>
      <c r="D2097" s="5">
        <v>1.0</v>
      </c>
    </row>
    <row r="2098">
      <c r="A2098" s="5">
        <v>828.0</v>
      </c>
      <c r="B2098" s="5" t="s">
        <v>4805</v>
      </c>
      <c r="C2098" s="5" t="s">
        <v>20</v>
      </c>
      <c r="D2098" s="5">
        <v>2.0</v>
      </c>
    </row>
    <row r="2099">
      <c r="A2099" s="5">
        <v>828.0</v>
      </c>
      <c r="B2099" s="5" t="s">
        <v>4805</v>
      </c>
      <c r="C2099" s="5" t="s">
        <v>4191</v>
      </c>
      <c r="D2099" s="5">
        <v>3.0</v>
      </c>
    </row>
    <row r="2100">
      <c r="A2100" s="5">
        <v>829.0</v>
      </c>
      <c r="B2100" s="5" t="s">
        <v>4807</v>
      </c>
      <c r="C2100" s="5" t="s">
        <v>6623</v>
      </c>
      <c r="D2100" s="5">
        <v>1.0</v>
      </c>
    </row>
    <row r="2101">
      <c r="A2101" s="5">
        <v>829.0</v>
      </c>
      <c r="B2101" s="5" t="s">
        <v>4807</v>
      </c>
      <c r="C2101" s="5" t="s">
        <v>6617</v>
      </c>
      <c r="D2101" s="5">
        <v>2.0</v>
      </c>
    </row>
    <row r="2102">
      <c r="A2102" s="5">
        <v>829.0</v>
      </c>
      <c r="B2102" s="5" t="s">
        <v>4807</v>
      </c>
      <c r="C2102" s="5" t="s">
        <v>602</v>
      </c>
      <c r="D2102" s="5">
        <v>3.0</v>
      </c>
    </row>
    <row r="2103">
      <c r="A2103" s="5">
        <v>830.0</v>
      </c>
      <c r="B2103" s="5" t="s">
        <v>4812</v>
      </c>
      <c r="C2103" s="5" t="s">
        <v>6626</v>
      </c>
      <c r="D2103" s="5">
        <v>1.0</v>
      </c>
    </row>
    <row r="2104">
      <c r="A2104" s="5">
        <v>830.0</v>
      </c>
      <c r="B2104" s="5" t="s">
        <v>4812</v>
      </c>
      <c r="C2104" s="5" t="s">
        <v>4191</v>
      </c>
      <c r="D2104" s="5">
        <v>2.0</v>
      </c>
    </row>
    <row r="2105">
      <c r="A2105" s="5">
        <v>831.0</v>
      </c>
      <c r="B2105" s="5" t="s">
        <v>4819</v>
      </c>
      <c r="C2105" s="5" t="s">
        <v>602</v>
      </c>
      <c r="D2105" s="5">
        <v>1.0</v>
      </c>
    </row>
    <row r="2106">
      <c r="A2106" s="5">
        <v>831.0</v>
      </c>
      <c r="B2106" s="5" t="s">
        <v>4819</v>
      </c>
      <c r="C2106" s="5" t="s">
        <v>20</v>
      </c>
      <c r="D2106" s="5">
        <v>2.0</v>
      </c>
    </row>
    <row r="2107">
      <c r="A2107" s="5">
        <v>832.0</v>
      </c>
      <c r="B2107" s="5" t="s">
        <v>4825</v>
      </c>
      <c r="C2107" s="5" t="s">
        <v>6618</v>
      </c>
      <c r="D2107" s="5">
        <v>1.0</v>
      </c>
    </row>
    <row r="2108">
      <c r="A2108" s="5">
        <v>832.0</v>
      </c>
      <c r="B2108" s="5" t="s">
        <v>4825</v>
      </c>
      <c r="C2108" s="5" t="s">
        <v>20</v>
      </c>
      <c r="D2108" s="5">
        <v>2.0</v>
      </c>
    </row>
    <row r="2109">
      <c r="A2109" s="5">
        <v>832.0</v>
      </c>
      <c r="B2109" s="5" t="s">
        <v>4825</v>
      </c>
      <c r="C2109" s="5" t="s">
        <v>6619</v>
      </c>
      <c r="D2109" s="5">
        <v>3.0</v>
      </c>
    </row>
    <row r="2110">
      <c r="A2110" s="5">
        <v>833.0</v>
      </c>
      <c r="B2110" s="5" t="s">
        <v>4830</v>
      </c>
      <c r="C2110" s="5" t="s">
        <v>6616</v>
      </c>
      <c r="D2110" s="5">
        <v>1.0</v>
      </c>
    </row>
    <row r="2111">
      <c r="A2111" s="5">
        <v>833.0</v>
      </c>
      <c r="B2111" s="5" t="s">
        <v>4830</v>
      </c>
      <c r="C2111" s="5" t="s">
        <v>20</v>
      </c>
      <c r="D2111" s="5">
        <v>2.0</v>
      </c>
    </row>
    <row r="2112">
      <c r="A2112" s="5">
        <v>833.0</v>
      </c>
      <c r="B2112" s="5" t="s">
        <v>4830</v>
      </c>
      <c r="C2112" s="5" t="s">
        <v>6619</v>
      </c>
      <c r="D2112" s="5">
        <v>3.0</v>
      </c>
    </row>
    <row r="2113">
      <c r="A2113" s="5">
        <v>834.0</v>
      </c>
      <c r="B2113" s="5" t="s">
        <v>4834</v>
      </c>
      <c r="C2113" s="5" t="s">
        <v>6615</v>
      </c>
      <c r="D2113" s="5">
        <v>1.0</v>
      </c>
    </row>
    <row r="2114">
      <c r="A2114" s="5">
        <v>834.0</v>
      </c>
      <c r="B2114" s="5" t="s">
        <v>4834</v>
      </c>
      <c r="C2114" s="5" t="s">
        <v>20</v>
      </c>
      <c r="D2114" s="5">
        <v>2.0</v>
      </c>
    </row>
    <row r="2115">
      <c r="A2115" s="5">
        <v>834.0</v>
      </c>
      <c r="B2115" s="5" t="s">
        <v>4834</v>
      </c>
      <c r="C2115" s="5" t="s">
        <v>6626</v>
      </c>
      <c r="D2115" s="5">
        <v>3.0</v>
      </c>
    </row>
    <row r="2116">
      <c r="A2116" s="5">
        <v>835.0</v>
      </c>
      <c r="B2116" s="5" t="s">
        <v>4839</v>
      </c>
      <c r="C2116" s="5" t="s">
        <v>20</v>
      </c>
      <c r="D2116" s="5">
        <v>1.0</v>
      </c>
    </row>
    <row r="2117">
      <c r="A2117" s="5">
        <v>835.0</v>
      </c>
      <c r="B2117" s="5" t="s">
        <v>4839</v>
      </c>
      <c r="C2117" s="5" t="s">
        <v>6626</v>
      </c>
      <c r="D2117" s="5">
        <v>2.0</v>
      </c>
    </row>
    <row r="2118">
      <c r="A2118" s="5">
        <v>835.0</v>
      </c>
      <c r="B2118" s="5" t="s">
        <v>4839</v>
      </c>
      <c r="C2118" s="5" t="s">
        <v>4191</v>
      </c>
      <c r="D2118" s="5">
        <v>3.0</v>
      </c>
    </row>
    <row r="2119">
      <c r="A2119" s="5">
        <v>836.0</v>
      </c>
      <c r="B2119" s="5" t="s">
        <v>4843</v>
      </c>
      <c r="C2119" s="5" t="s">
        <v>602</v>
      </c>
      <c r="D2119" s="5">
        <v>1.0</v>
      </c>
    </row>
    <row r="2120">
      <c r="A2120" s="5">
        <v>836.0</v>
      </c>
      <c r="B2120" s="5" t="s">
        <v>4843</v>
      </c>
      <c r="C2120" s="5" t="s">
        <v>6622</v>
      </c>
      <c r="D2120" s="5">
        <v>2.0</v>
      </c>
    </row>
    <row r="2121">
      <c r="A2121" s="5">
        <v>836.0</v>
      </c>
      <c r="B2121" s="5" t="s">
        <v>4843</v>
      </c>
      <c r="C2121" s="5" t="s">
        <v>6621</v>
      </c>
      <c r="D2121" s="5">
        <v>3.0</v>
      </c>
    </row>
    <row r="2122">
      <c r="A2122" s="5">
        <v>837.0</v>
      </c>
      <c r="B2122" s="5" t="s">
        <v>4847</v>
      </c>
      <c r="C2122" s="5" t="s">
        <v>602</v>
      </c>
      <c r="D2122" s="5">
        <v>1.0</v>
      </c>
    </row>
    <row r="2123">
      <c r="A2123" s="5">
        <v>837.0</v>
      </c>
      <c r="B2123" s="5" t="s">
        <v>4847</v>
      </c>
      <c r="C2123" s="5" t="s">
        <v>6615</v>
      </c>
      <c r="D2123" s="5">
        <v>2.0</v>
      </c>
    </row>
    <row r="2124">
      <c r="A2124" s="5">
        <v>837.0</v>
      </c>
      <c r="B2124" s="5" t="s">
        <v>4847</v>
      </c>
      <c r="C2124" s="5" t="s">
        <v>20</v>
      </c>
      <c r="D2124" s="5">
        <v>3.0</v>
      </c>
    </row>
    <row r="2125">
      <c r="A2125" s="5">
        <v>838.0</v>
      </c>
      <c r="B2125" s="5" t="s">
        <v>4853</v>
      </c>
      <c r="C2125" s="5" t="s">
        <v>602</v>
      </c>
      <c r="D2125" s="5">
        <v>1.0</v>
      </c>
    </row>
    <row r="2126">
      <c r="A2126" s="5">
        <v>839.0</v>
      </c>
      <c r="B2126" s="5" t="s">
        <v>4858</v>
      </c>
      <c r="C2126" s="5" t="s">
        <v>20</v>
      </c>
      <c r="D2126" s="5">
        <v>1.0</v>
      </c>
    </row>
    <row r="2127">
      <c r="A2127" s="5">
        <v>840.0</v>
      </c>
      <c r="B2127" s="5" t="s">
        <v>4861</v>
      </c>
      <c r="C2127" s="5" t="s">
        <v>6616</v>
      </c>
      <c r="D2127" s="5">
        <v>1.0</v>
      </c>
    </row>
    <row r="2128">
      <c r="A2128" s="5">
        <v>840.0</v>
      </c>
      <c r="B2128" s="5" t="s">
        <v>4861</v>
      </c>
      <c r="C2128" s="5" t="s">
        <v>6617</v>
      </c>
      <c r="D2128" s="5">
        <v>2.0</v>
      </c>
    </row>
    <row r="2129">
      <c r="A2129" s="5">
        <v>840.0</v>
      </c>
      <c r="B2129" s="5" t="s">
        <v>4861</v>
      </c>
      <c r="C2129" s="5" t="s">
        <v>6620</v>
      </c>
      <c r="D2129" s="5">
        <v>3.0</v>
      </c>
    </row>
    <row r="2130">
      <c r="A2130" s="5">
        <v>841.0</v>
      </c>
      <c r="B2130" s="5" t="s">
        <v>4867</v>
      </c>
      <c r="C2130" s="5" t="s">
        <v>6616</v>
      </c>
      <c r="D2130" s="5">
        <v>1.0</v>
      </c>
    </row>
    <row r="2131">
      <c r="A2131" s="5">
        <v>841.0</v>
      </c>
      <c r="B2131" s="5" t="s">
        <v>4867</v>
      </c>
      <c r="C2131" s="5" t="s">
        <v>6617</v>
      </c>
      <c r="D2131" s="5">
        <v>2.0</v>
      </c>
    </row>
    <row r="2132">
      <c r="A2132" s="5">
        <v>842.0</v>
      </c>
      <c r="B2132" s="5" t="s">
        <v>4871</v>
      </c>
      <c r="C2132" s="5" t="s">
        <v>20</v>
      </c>
      <c r="D2132" s="5">
        <v>1.0</v>
      </c>
    </row>
    <row r="2133">
      <c r="A2133" s="5">
        <v>843.0</v>
      </c>
      <c r="B2133" s="5" t="s">
        <v>4876</v>
      </c>
      <c r="C2133" s="5" t="s">
        <v>602</v>
      </c>
      <c r="D2133" s="5">
        <v>1.0</v>
      </c>
    </row>
    <row r="2134">
      <c r="A2134" s="5">
        <v>844.0</v>
      </c>
      <c r="B2134" s="5" t="s">
        <v>4883</v>
      </c>
      <c r="C2134" s="5" t="s">
        <v>6623</v>
      </c>
      <c r="D2134" s="5">
        <v>1.0</v>
      </c>
    </row>
    <row r="2135">
      <c r="A2135" s="5">
        <v>844.0</v>
      </c>
      <c r="B2135" s="5" t="s">
        <v>4883</v>
      </c>
      <c r="C2135" s="5" t="s">
        <v>6617</v>
      </c>
      <c r="D2135" s="5">
        <v>2.0</v>
      </c>
    </row>
    <row r="2136">
      <c r="A2136" s="5">
        <v>844.0</v>
      </c>
      <c r="B2136" s="5" t="s">
        <v>4883</v>
      </c>
      <c r="C2136" s="5" t="s">
        <v>6624</v>
      </c>
      <c r="D2136" s="5">
        <v>3.0</v>
      </c>
    </row>
    <row r="2137">
      <c r="A2137" s="5">
        <v>845.0</v>
      </c>
      <c r="B2137" s="5" t="s">
        <v>4889</v>
      </c>
      <c r="C2137" s="5" t="s">
        <v>2696</v>
      </c>
      <c r="D2137" s="5">
        <v>1.0</v>
      </c>
    </row>
    <row r="2138">
      <c r="A2138" s="5">
        <v>845.0</v>
      </c>
      <c r="B2138" s="5" t="s">
        <v>4889</v>
      </c>
      <c r="C2138" s="5" t="s">
        <v>4191</v>
      </c>
      <c r="D2138" s="5">
        <v>2.0</v>
      </c>
    </row>
    <row r="2139">
      <c r="A2139" s="5">
        <v>846.0</v>
      </c>
      <c r="B2139" s="5" t="s">
        <v>4894</v>
      </c>
      <c r="C2139" s="5" t="s">
        <v>20</v>
      </c>
      <c r="D2139" s="5">
        <v>1.0</v>
      </c>
    </row>
    <row r="2140">
      <c r="A2140" s="5">
        <v>846.0</v>
      </c>
      <c r="B2140" s="5" t="s">
        <v>4894</v>
      </c>
      <c r="C2140" s="5" t="s">
        <v>4191</v>
      </c>
      <c r="D2140" s="5">
        <v>2.0</v>
      </c>
    </row>
    <row r="2141">
      <c r="A2141" s="5">
        <v>847.0</v>
      </c>
      <c r="B2141" s="5" t="s">
        <v>4898</v>
      </c>
      <c r="C2141" s="5" t="s">
        <v>602</v>
      </c>
      <c r="D2141" s="5">
        <v>1.0</v>
      </c>
    </row>
    <row r="2142">
      <c r="A2142" s="5">
        <v>847.0</v>
      </c>
      <c r="B2142" s="5" t="s">
        <v>4898</v>
      </c>
      <c r="C2142" s="5" t="s">
        <v>6625</v>
      </c>
      <c r="D2142" s="5">
        <v>2.0</v>
      </c>
    </row>
    <row r="2143">
      <c r="A2143" s="5">
        <v>848.0</v>
      </c>
      <c r="B2143" s="5" t="s">
        <v>4902</v>
      </c>
      <c r="C2143" s="5" t="s">
        <v>6616</v>
      </c>
      <c r="D2143" s="5">
        <v>1.0</v>
      </c>
    </row>
    <row r="2144">
      <c r="A2144" s="5">
        <v>848.0</v>
      </c>
      <c r="B2144" s="5" t="s">
        <v>4902</v>
      </c>
      <c r="C2144" s="5" t="s">
        <v>6615</v>
      </c>
      <c r="D2144" s="5">
        <v>2.0</v>
      </c>
    </row>
    <row r="2145">
      <c r="A2145" s="5">
        <v>848.0</v>
      </c>
      <c r="B2145" s="5" t="s">
        <v>4902</v>
      </c>
      <c r="C2145" s="5" t="s">
        <v>4191</v>
      </c>
      <c r="D2145" s="5">
        <v>3.0</v>
      </c>
    </row>
    <row r="2146">
      <c r="A2146" s="5">
        <v>849.0</v>
      </c>
      <c r="B2146" s="5" t="s">
        <v>4906</v>
      </c>
      <c r="C2146" s="5" t="s">
        <v>602</v>
      </c>
      <c r="D2146" s="5">
        <v>1.0</v>
      </c>
    </row>
    <row r="2147">
      <c r="A2147" s="5">
        <v>849.0</v>
      </c>
      <c r="B2147" s="5" t="s">
        <v>4906</v>
      </c>
      <c r="C2147" s="5" t="s">
        <v>116</v>
      </c>
      <c r="D2147" s="5">
        <v>2.0</v>
      </c>
    </row>
    <row r="2148">
      <c r="A2148" s="5">
        <v>850.0</v>
      </c>
      <c r="B2148" s="5" t="s">
        <v>4912</v>
      </c>
      <c r="C2148" s="5" t="s">
        <v>6618</v>
      </c>
      <c r="D2148" s="5">
        <v>1.0</v>
      </c>
    </row>
    <row r="2149">
      <c r="A2149" s="5">
        <v>850.0</v>
      </c>
      <c r="B2149" s="5" t="s">
        <v>4912</v>
      </c>
      <c r="C2149" s="5" t="s">
        <v>6615</v>
      </c>
      <c r="D2149" s="5">
        <v>2.0</v>
      </c>
    </row>
    <row r="2150">
      <c r="A2150" s="5">
        <v>850.0</v>
      </c>
      <c r="B2150" s="5" t="s">
        <v>4912</v>
      </c>
      <c r="C2150" s="5" t="s">
        <v>20</v>
      </c>
      <c r="D2150" s="5">
        <v>3.0</v>
      </c>
    </row>
    <row r="2151">
      <c r="A2151" s="5">
        <v>851.0</v>
      </c>
      <c r="B2151" s="5" t="s">
        <v>4917</v>
      </c>
      <c r="C2151" s="5" t="s">
        <v>6616</v>
      </c>
      <c r="D2151" s="5">
        <v>1.0</v>
      </c>
    </row>
    <row r="2152">
      <c r="A2152" s="5">
        <v>851.0</v>
      </c>
      <c r="B2152" s="5" t="s">
        <v>4917</v>
      </c>
      <c r="C2152" s="5" t="s">
        <v>6615</v>
      </c>
      <c r="D2152" s="5">
        <v>2.0</v>
      </c>
    </row>
    <row r="2153">
      <c r="A2153" s="5">
        <v>851.0</v>
      </c>
      <c r="B2153" s="5" t="s">
        <v>4917</v>
      </c>
      <c r="C2153" s="5" t="s">
        <v>20</v>
      </c>
      <c r="D2153" s="5">
        <v>3.0</v>
      </c>
    </row>
    <row r="2154">
      <c r="A2154" s="5">
        <v>852.0</v>
      </c>
      <c r="B2154" s="5" t="s">
        <v>4924</v>
      </c>
      <c r="C2154" s="5" t="s">
        <v>6617</v>
      </c>
      <c r="D2154" s="5">
        <v>1.0</v>
      </c>
    </row>
    <row r="2155">
      <c r="A2155" s="5">
        <v>852.0</v>
      </c>
      <c r="B2155" s="5" t="s">
        <v>4924</v>
      </c>
      <c r="C2155" s="5" t="s">
        <v>20</v>
      </c>
      <c r="D2155" s="5">
        <v>2.0</v>
      </c>
    </row>
    <row r="2156">
      <c r="A2156" s="5">
        <v>852.0</v>
      </c>
      <c r="B2156" s="5" t="s">
        <v>4924</v>
      </c>
      <c r="C2156" s="5" t="s">
        <v>4191</v>
      </c>
      <c r="D2156" s="5">
        <v>3.0</v>
      </c>
    </row>
    <row r="2157">
      <c r="A2157" s="5">
        <v>853.0</v>
      </c>
      <c r="B2157" s="5" t="s">
        <v>4928</v>
      </c>
      <c r="C2157" s="5" t="s">
        <v>6616</v>
      </c>
      <c r="D2157" s="5">
        <v>1.0</v>
      </c>
    </row>
    <row r="2158">
      <c r="A2158" s="5">
        <v>853.0</v>
      </c>
      <c r="B2158" s="5" t="s">
        <v>4928</v>
      </c>
      <c r="C2158" s="5" t="s">
        <v>6615</v>
      </c>
      <c r="D2158" s="5">
        <v>2.0</v>
      </c>
    </row>
    <row r="2159">
      <c r="A2159" s="5">
        <v>853.0</v>
      </c>
      <c r="B2159" s="5" t="s">
        <v>4928</v>
      </c>
      <c r="C2159" s="5" t="s">
        <v>20</v>
      </c>
      <c r="D2159" s="5">
        <v>3.0</v>
      </c>
    </row>
    <row r="2160">
      <c r="A2160" s="5">
        <v>854.0</v>
      </c>
      <c r="B2160" s="5" t="s">
        <v>4931</v>
      </c>
      <c r="C2160" s="5" t="s">
        <v>6616</v>
      </c>
      <c r="D2160" s="5">
        <v>1.0</v>
      </c>
    </row>
    <row r="2161">
      <c r="A2161" s="5">
        <v>854.0</v>
      </c>
      <c r="B2161" s="5" t="s">
        <v>4931</v>
      </c>
      <c r="C2161" s="5" t="s">
        <v>6615</v>
      </c>
      <c r="D2161" s="5">
        <v>2.0</v>
      </c>
    </row>
    <row r="2162">
      <c r="A2162" s="5">
        <v>854.0</v>
      </c>
      <c r="B2162" s="5" t="s">
        <v>4931</v>
      </c>
      <c r="C2162" s="5" t="s">
        <v>4191</v>
      </c>
      <c r="D2162" s="5">
        <v>3.0</v>
      </c>
    </row>
    <row r="2163">
      <c r="A2163" s="5">
        <v>855.0</v>
      </c>
      <c r="B2163" s="5" t="s">
        <v>4937</v>
      </c>
      <c r="C2163" s="5" t="s">
        <v>6616</v>
      </c>
      <c r="D2163" s="5">
        <v>1.0</v>
      </c>
    </row>
    <row r="2164">
      <c r="A2164" s="5">
        <v>855.0</v>
      </c>
      <c r="B2164" s="5" t="s">
        <v>4937</v>
      </c>
      <c r="C2164" s="5" t="s">
        <v>6617</v>
      </c>
      <c r="D2164" s="5">
        <v>2.0</v>
      </c>
    </row>
    <row r="2165">
      <c r="A2165" s="5">
        <v>855.0</v>
      </c>
      <c r="B2165" s="5" t="s">
        <v>4937</v>
      </c>
      <c r="C2165" s="5" t="s">
        <v>6625</v>
      </c>
      <c r="D2165" s="5">
        <v>3.0</v>
      </c>
    </row>
    <row r="2166">
      <c r="A2166" s="5">
        <v>856.0</v>
      </c>
      <c r="B2166" s="5" t="s">
        <v>4943</v>
      </c>
      <c r="C2166" s="5" t="s">
        <v>602</v>
      </c>
      <c r="D2166" s="5">
        <v>1.0</v>
      </c>
    </row>
    <row r="2167">
      <c r="A2167" s="5">
        <v>857.0</v>
      </c>
      <c r="B2167" s="5" t="s">
        <v>4947</v>
      </c>
      <c r="C2167" s="5" t="s">
        <v>6616</v>
      </c>
      <c r="D2167" s="5">
        <v>1.0</v>
      </c>
    </row>
    <row r="2168">
      <c r="A2168" s="5">
        <v>857.0</v>
      </c>
      <c r="B2168" s="5" t="s">
        <v>4947</v>
      </c>
      <c r="C2168" s="5" t="s">
        <v>6617</v>
      </c>
      <c r="D2168" s="5">
        <v>2.0</v>
      </c>
    </row>
    <row r="2169">
      <c r="A2169" s="5">
        <v>857.0</v>
      </c>
      <c r="B2169" s="5" t="s">
        <v>4947</v>
      </c>
      <c r="C2169" s="5" t="s">
        <v>6625</v>
      </c>
      <c r="D2169" s="5">
        <v>3.0</v>
      </c>
    </row>
    <row r="2170">
      <c r="A2170" s="5">
        <v>858.0</v>
      </c>
      <c r="B2170" s="5" t="s">
        <v>4949</v>
      </c>
      <c r="C2170" s="5" t="s">
        <v>20</v>
      </c>
      <c r="D2170" s="5">
        <v>1.0</v>
      </c>
    </row>
    <row r="2171">
      <c r="A2171" s="5">
        <v>858.0</v>
      </c>
      <c r="B2171" s="5" t="s">
        <v>4949</v>
      </c>
      <c r="C2171" s="5" t="s">
        <v>6621</v>
      </c>
      <c r="D2171" s="5">
        <v>2.0</v>
      </c>
    </row>
    <row r="2172">
      <c r="A2172" s="5">
        <v>859.0</v>
      </c>
      <c r="B2172" s="5" t="s">
        <v>4954</v>
      </c>
      <c r="C2172" s="5" t="s">
        <v>6618</v>
      </c>
      <c r="D2172" s="5">
        <v>1.0</v>
      </c>
    </row>
    <row r="2173">
      <c r="A2173" s="5">
        <v>859.0</v>
      </c>
      <c r="B2173" s="5" t="s">
        <v>4954</v>
      </c>
      <c r="C2173" s="5" t="s">
        <v>20</v>
      </c>
      <c r="D2173" s="5">
        <v>2.0</v>
      </c>
    </row>
    <row r="2174">
      <c r="A2174" s="5">
        <v>859.0</v>
      </c>
      <c r="B2174" s="5" t="s">
        <v>4954</v>
      </c>
      <c r="C2174" s="5" t="s">
        <v>6619</v>
      </c>
      <c r="D2174" s="5">
        <v>3.0</v>
      </c>
    </row>
    <row r="2175">
      <c r="A2175" s="5">
        <v>860.0</v>
      </c>
      <c r="B2175" s="5" t="s">
        <v>4959</v>
      </c>
      <c r="C2175" s="5" t="s">
        <v>20</v>
      </c>
      <c r="D2175" s="5">
        <v>1.0</v>
      </c>
    </row>
    <row r="2176">
      <c r="A2176" s="5">
        <v>860.0</v>
      </c>
      <c r="B2176" s="5" t="s">
        <v>4959</v>
      </c>
      <c r="C2176" s="5" t="s">
        <v>2696</v>
      </c>
      <c r="D2176" s="5">
        <v>2.0</v>
      </c>
    </row>
    <row r="2177">
      <c r="A2177" s="5">
        <v>860.0</v>
      </c>
      <c r="B2177" s="5" t="s">
        <v>4959</v>
      </c>
      <c r="C2177" s="5" t="s">
        <v>4191</v>
      </c>
      <c r="D2177" s="5">
        <v>3.0</v>
      </c>
    </row>
    <row r="2178">
      <c r="A2178" s="5">
        <v>861.0</v>
      </c>
      <c r="B2178" s="5" t="s">
        <v>4963</v>
      </c>
      <c r="C2178" s="5" t="s">
        <v>20</v>
      </c>
      <c r="D2178" s="5">
        <v>1.0</v>
      </c>
    </row>
    <row r="2179">
      <c r="A2179" s="5">
        <v>861.0</v>
      </c>
      <c r="B2179" s="5" t="s">
        <v>4963</v>
      </c>
      <c r="C2179" s="5" t="s">
        <v>6619</v>
      </c>
      <c r="D2179" s="5">
        <v>2.0</v>
      </c>
    </row>
    <row r="2180">
      <c r="A2180" s="5">
        <v>861.0</v>
      </c>
      <c r="B2180" s="5" t="s">
        <v>4963</v>
      </c>
      <c r="C2180" s="5" t="s">
        <v>6625</v>
      </c>
      <c r="D2180" s="5">
        <v>3.0</v>
      </c>
    </row>
    <row r="2181">
      <c r="A2181" s="5">
        <v>862.0</v>
      </c>
      <c r="B2181" s="5" t="s">
        <v>4969</v>
      </c>
      <c r="C2181" s="5" t="s">
        <v>6616</v>
      </c>
      <c r="D2181" s="5">
        <v>1.0</v>
      </c>
    </row>
    <row r="2182">
      <c r="A2182" s="5">
        <v>862.0</v>
      </c>
      <c r="B2182" s="5" t="s">
        <v>4969</v>
      </c>
      <c r="C2182" s="5" t="s">
        <v>6617</v>
      </c>
      <c r="D2182" s="5">
        <v>2.0</v>
      </c>
    </row>
    <row r="2183">
      <c r="A2183" s="5">
        <v>862.0</v>
      </c>
      <c r="B2183" s="5" t="s">
        <v>4969</v>
      </c>
      <c r="C2183" s="5" t="s">
        <v>4191</v>
      </c>
      <c r="D2183" s="5">
        <v>3.0</v>
      </c>
    </row>
    <row r="2184">
      <c r="A2184" s="5">
        <v>863.0</v>
      </c>
      <c r="B2184" s="5" t="s">
        <v>4975</v>
      </c>
      <c r="C2184" s="5" t="s">
        <v>20</v>
      </c>
      <c r="D2184" s="5">
        <v>1.0</v>
      </c>
    </row>
    <row r="2185">
      <c r="A2185" s="5">
        <v>863.0</v>
      </c>
      <c r="B2185" s="5" t="s">
        <v>4975</v>
      </c>
      <c r="C2185" s="5" t="s">
        <v>2696</v>
      </c>
      <c r="D2185" s="5">
        <v>2.0</v>
      </c>
    </row>
    <row r="2186">
      <c r="A2186" s="5">
        <v>863.0</v>
      </c>
      <c r="B2186" s="5" t="s">
        <v>4975</v>
      </c>
      <c r="C2186" s="5" t="s">
        <v>6626</v>
      </c>
      <c r="D2186" s="5">
        <v>3.0</v>
      </c>
    </row>
    <row r="2187">
      <c r="A2187" s="5">
        <v>864.0</v>
      </c>
      <c r="B2187" s="5" t="s">
        <v>4980</v>
      </c>
      <c r="C2187" s="5" t="s">
        <v>20</v>
      </c>
      <c r="D2187" s="5">
        <v>1.0</v>
      </c>
    </row>
    <row r="2188">
      <c r="A2188" s="5">
        <v>864.0</v>
      </c>
      <c r="B2188" s="5" t="s">
        <v>4980</v>
      </c>
      <c r="C2188" s="5" t="s">
        <v>4191</v>
      </c>
      <c r="D2188" s="5">
        <v>2.0</v>
      </c>
    </row>
    <row r="2189">
      <c r="A2189" s="5">
        <v>865.0</v>
      </c>
      <c r="B2189" s="5" t="s">
        <v>4985</v>
      </c>
      <c r="C2189" s="5" t="s">
        <v>20</v>
      </c>
      <c r="D2189" s="5">
        <v>1.0</v>
      </c>
    </row>
    <row r="2190">
      <c r="A2190" s="5">
        <v>865.0</v>
      </c>
      <c r="B2190" s="5" t="s">
        <v>4985</v>
      </c>
      <c r="C2190" s="5" t="s">
        <v>2696</v>
      </c>
      <c r="D2190" s="5">
        <v>2.0</v>
      </c>
    </row>
    <row r="2191">
      <c r="A2191" s="5">
        <v>865.0</v>
      </c>
      <c r="B2191" s="5" t="s">
        <v>4985</v>
      </c>
      <c r="C2191" s="5" t="s">
        <v>4191</v>
      </c>
      <c r="D2191" s="5">
        <v>3.0</v>
      </c>
    </row>
    <row r="2192">
      <c r="A2192" s="5">
        <v>866.0</v>
      </c>
      <c r="B2192" s="5" t="s">
        <v>4990</v>
      </c>
      <c r="C2192" s="5" t="s">
        <v>6616</v>
      </c>
      <c r="D2192" s="5">
        <v>1.0</v>
      </c>
    </row>
    <row r="2193">
      <c r="A2193" s="5">
        <v>866.0</v>
      </c>
      <c r="B2193" s="5" t="s">
        <v>4990</v>
      </c>
      <c r="C2193" s="5" t="s">
        <v>6617</v>
      </c>
      <c r="D2193" s="5">
        <v>2.0</v>
      </c>
    </row>
    <row r="2194">
      <c r="A2194" s="5">
        <v>866.0</v>
      </c>
      <c r="B2194" s="5" t="s">
        <v>4990</v>
      </c>
      <c r="C2194" s="5" t="s">
        <v>116</v>
      </c>
      <c r="D2194" s="5">
        <v>3.0</v>
      </c>
    </row>
    <row r="2195">
      <c r="A2195" s="5">
        <v>867.0</v>
      </c>
      <c r="B2195" s="5" t="s">
        <v>4992</v>
      </c>
      <c r="C2195" s="5" t="s">
        <v>20</v>
      </c>
      <c r="D2195" s="5">
        <v>1.0</v>
      </c>
    </row>
    <row r="2196">
      <c r="A2196" s="5">
        <v>867.0</v>
      </c>
      <c r="B2196" s="5" t="s">
        <v>4992</v>
      </c>
      <c r="C2196" s="5" t="s">
        <v>2696</v>
      </c>
      <c r="D2196" s="5">
        <v>2.0</v>
      </c>
    </row>
    <row r="2197">
      <c r="A2197" s="5">
        <v>868.0</v>
      </c>
      <c r="B2197" s="5" t="s">
        <v>4998</v>
      </c>
      <c r="C2197" s="5" t="s">
        <v>20</v>
      </c>
      <c r="D2197" s="5">
        <v>1.0</v>
      </c>
    </row>
    <row r="2198">
      <c r="A2198" s="5">
        <v>868.0</v>
      </c>
      <c r="B2198" s="5" t="s">
        <v>4998</v>
      </c>
      <c r="C2198" s="5" t="s">
        <v>2696</v>
      </c>
      <c r="D2198" s="5">
        <v>2.0</v>
      </c>
    </row>
    <row r="2199">
      <c r="A2199" s="5">
        <v>868.0</v>
      </c>
      <c r="B2199" s="5" t="s">
        <v>4998</v>
      </c>
      <c r="C2199" s="5" t="s">
        <v>6620</v>
      </c>
      <c r="D2199" s="5">
        <v>3.0</v>
      </c>
    </row>
    <row r="2200">
      <c r="A2200" s="5">
        <v>869.0</v>
      </c>
      <c r="B2200" s="5" t="s">
        <v>5004</v>
      </c>
      <c r="C2200" s="5" t="s">
        <v>20</v>
      </c>
      <c r="D2200" s="5">
        <v>1.0</v>
      </c>
    </row>
    <row r="2201">
      <c r="A2201" s="5">
        <v>870.0</v>
      </c>
      <c r="B2201" s="5" t="s">
        <v>5009</v>
      </c>
      <c r="C2201" s="5" t="s">
        <v>602</v>
      </c>
      <c r="D2201" s="5">
        <v>1.0</v>
      </c>
    </row>
    <row r="2202">
      <c r="A2202" s="5">
        <v>870.0</v>
      </c>
      <c r="B2202" s="5" t="s">
        <v>5009</v>
      </c>
      <c r="C2202" s="5" t="s">
        <v>6615</v>
      </c>
      <c r="D2202" s="5">
        <v>2.0</v>
      </c>
    </row>
    <row r="2203">
      <c r="A2203" s="5">
        <v>871.0</v>
      </c>
      <c r="B2203" s="5" t="s">
        <v>5013</v>
      </c>
      <c r="C2203" s="5" t="s">
        <v>602</v>
      </c>
      <c r="D2203" s="5">
        <v>1.0</v>
      </c>
    </row>
    <row r="2204">
      <c r="A2204" s="5">
        <v>871.0</v>
      </c>
      <c r="B2204" s="5" t="s">
        <v>5013</v>
      </c>
      <c r="C2204" s="5" t="s">
        <v>20</v>
      </c>
      <c r="D2204" s="5">
        <v>2.0</v>
      </c>
    </row>
    <row r="2205">
      <c r="A2205" s="5">
        <v>871.0</v>
      </c>
      <c r="B2205" s="5" t="s">
        <v>5013</v>
      </c>
      <c r="C2205" s="5" t="s">
        <v>6621</v>
      </c>
      <c r="D2205" s="5">
        <v>3.0</v>
      </c>
    </row>
    <row r="2206">
      <c r="A2206" s="5">
        <v>872.0</v>
      </c>
      <c r="B2206" s="5" t="s">
        <v>5016</v>
      </c>
      <c r="C2206" s="5" t="s">
        <v>602</v>
      </c>
      <c r="D2206" s="5">
        <v>1.0</v>
      </c>
    </row>
    <row r="2207">
      <c r="A2207" s="5">
        <v>872.0</v>
      </c>
      <c r="B2207" s="5" t="s">
        <v>5016</v>
      </c>
      <c r="C2207" s="5" t="s">
        <v>20</v>
      </c>
      <c r="D2207" s="5">
        <v>2.0</v>
      </c>
    </row>
    <row r="2208">
      <c r="A2208" s="5">
        <v>872.0</v>
      </c>
      <c r="B2208" s="5" t="s">
        <v>5016</v>
      </c>
      <c r="C2208" s="5" t="s">
        <v>6621</v>
      </c>
      <c r="D2208" s="5">
        <v>3.0</v>
      </c>
    </row>
    <row r="2209">
      <c r="A2209" s="5">
        <v>873.0</v>
      </c>
      <c r="B2209" s="5" t="s">
        <v>5019</v>
      </c>
      <c r="C2209" s="5" t="s">
        <v>20</v>
      </c>
      <c r="D2209" s="5">
        <v>1.0</v>
      </c>
    </row>
    <row r="2210">
      <c r="A2210" s="5">
        <v>873.0</v>
      </c>
      <c r="B2210" s="5" t="s">
        <v>5019</v>
      </c>
      <c r="C2210" s="5" t="s">
        <v>6620</v>
      </c>
      <c r="D2210" s="5">
        <v>2.0</v>
      </c>
    </row>
    <row r="2211">
      <c r="A2211" s="5">
        <v>874.0</v>
      </c>
      <c r="B2211" s="5" t="s">
        <v>5025</v>
      </c>
      <c r="C2211" s="5" t="s">
        <v>6617</v>
      </c>
      <c r="D2211" s="5">
        <v>1.0</v>
      </c>
    </row>
    <row r="2212">
      <c r="A2212" s="5">
        <v>874.0</v>
      </c>
      <c r="B2212" s="5" t="s">
        <v>5025</v>
      </c>
      <c r="C2212" s="5" t="s">
        <v>20</v>
      </c>
      <c r="D2212" s="5">
        <v>2.0</v>
      </c>
    </row>
    <row r="2213">
      <c r="A2213" s="5">
        <v>874.0</v>
      </c>
      <c r="B2213" s="5" t="s">
        <v>5025</v>
      </c>
      <c r="C2213" s="5" t="s">
        <v>6621</v>
      </c>
      <c r="D2213" s="5">
        <v>3.0</v>
      </c>
    </row>
    <row r="2214">
      <c r="A2214" s="5">
        <v>875.0</v>
      </c>
      <c r="B2214" s="5" t="s">
        <v>5029</v>
      </c>
      <c r="C2214" s="5" t="s">
        <v>20</v>
      </c>
      <c r="D2214" s="5">
        <v>1.0</v>
      </c>
    </row>
    <row r="2215">
      <c r="A2215" s="5">
        <v>875.0</v>
      </c>
      <c r="B2215" s="5" t="s">
        <v>5029</v>
      </c>
      <c r="C2215" s="5" t="s">
        <v>6629</v>
      </c>
      <c r="D2215" s="5">
        <v>2.0</v>
      </c>
    </row>
    <row r="2216">
      <c r="A2216" s="5">
        <v>875.0</v>
      </c>
      <c r="B2216" s="5" t="s">
        <v>5029</v>
      </c>
      <c r="C2216" s="5" t="s">
        <v>6621</v>
      </c>
      <c r="D2216" s="5">
        <v>3.0</v>
      </c>
    </row>
    <row r="2217">
      <c r="A2217" s="5">
        <v>876.0</v>
      </c>
      <c r="B2217" s="5" t="s">
        <v>5034</v>
      </c>
      <c r="C2217" s="5" t="s">
        <v>6623</v>
      </c>
      <c r="D2217" s="5">
        <v>1.0</v>
      </c>
    </row>
    <row r="2218">
      <c r="A2218" s="5">
        <v>876.0</v>
      </c>
      <c r="B2218" s="5" t="s">
        <v>5034</v>
      </c>
      <c r="C2218" s="5" t="s">
        <v>6624</v>
      </c>
      <c r="D2218" s="5">
        <v>2.0</v>
      </c>
    </row>
    <row r="2219">
      <c r="A2219" s="5">
        <v>876.0</v>
      </c>
      <c r="B2219" s="5" t="s">
        <v>5034</v>
      </c>
      <c r="C2219" s="5" t="s">
        <v>6622</v>
      </c>
      <c r="D2219" s="5">
        <v>3.0</v>
      </c>
    </row>
    <row r="2220">
      <c r="A2220" s="5">
        <v>877.0</v>
      </c>
      <c r="B2220" s="5" t="s">
        <v>5041</v>
      </c>
      <c r="C2220" s="5" t="s">
        <v>2696</v>
      </c>
      <c r="D2220" s="5">
        <v>1.0</v>
      </c>
    </row>
    <row r="2221">
      <c r="A2221" s="5">
        <v>877.0</v>
      </c>
      <c r="B2221" s="5" t="s">
        <v>5041</v>
      </c>
      <c r="C2221" s="5" t="s">
        <v>6620</v>
      </c>
      <c r="D2221" s="5">
        <v>2.0</v>
      </c>
    </row>
    <row r="2222">
      <c r="A2222" s="5">
        <v>878.0</v>
      </c>
      <c r="B2222" s="5" t="s">
        <v>5046</v>
      </c>
      <c r="C2222" s="5" t="s">
        <v>6618</v>
      </c>
      <c r="D2222" s="5">
        <v>1.0</v>
      </c>
    </row>
    <row r="2223">
      <c r="A2223" s="5">
        <v>878.0</v>
      </c>
      <c r="B2223" s="5" t="s">
        <v>5046</v>
      </c>
      <c r="C2223" s="5" t="s">
        <v>20</v>
      </c>
      <c r="D2223" s="5">
        <v>2.0</v>
      </c>
    </row>
    <row r="2224">
      <c r="A2224" s="5">
        <v>878.0</v>
      </c>
      <c r="B2224" s="5" t="s">
        <v>5046</v>
      </c>
      <c r="C2224" s="5" t="s">
        <v>6619</v>
      </c>
      <c r="D2224" s="5">
        <v>3.0</v>
      </c>
    </row>
    <row r="2225">
      <c r="A2225" s="5">
        <v>879.0</v>
      </c>
      <c r="B2225" s="5" t="s">
        <v>5050</v>
      </c>
      <c r="C2225" s="5" t="s">
        <v>20</v>
      </c>
      <c r="D2225" s="5">
        <v>1.0</v>
      </c>
    </row>
    <row r="2226">
      <c r="A2226" s="5">
        <v>879.0</v>
      </c>
      <c r="B2226" s="5" t="s">
        <v>5050</v>
      </c>
      <c r="C2226" s="5" t="s">
        <v>6626</v>
      </c>
      <c r="D2226" s="5">
        <v>2.0</v>
      </c>
    </row>
    <row r="2227">
      <c r="A2227" s="5">
        <v>879.0</v>
      </c>
      <c r="B2227" s="5" t="s">
        <v>5050</v>
      </c>
      <c r="C2227" s="5" t="s">
        <v>4191</v>
      </c>
      <c r="D2227" s="5">
        <v>3.0</v>
      </c>
    </row>
    <row r="2228">
      <c r="A2228" s="5">
        <v>880.0</v>
      </c>
      <c r="B2228" s="5" t="s">
        <v>5058</v>
      </c>
      <c r="C2228" s="5" t="s">
        <v>602</v>
      </c>
      <c r="D2228" s="5">
        <v>1.0</v>
      </c>
    </row>
    <row r="2229">
      <c r="A2229" s="5">
        <v>880.0</v>
      </c>
      <c r="B2229" s="5" t="s">
        <v>5058</v>
      </c>
      <c r="C2229" s="5" t="s">
        <v>20</v>
      </c>
      <c r="D2229" s="5">
        <v>2.0</v>
      </c>
    </row>
    <row r="2230">
      <c r="A2230" s="5">
        <v>881.0</v>
      </c>
      <c r="B2230" s="5" t="s">
        <v>5060</v>
      </c>
      <c r="C2230" s="5" t="s">
        <v>20</v>
      </c>
      <c r="D2230" s="5">
        <v>1.0</v>
      </c>
    </row>
    <row r="2231">
      <c r="A2231" s="5">
        <v>882.0</v>
      </c>
      <c r="B2231" s="5" t="s">
        <v>5066</v>
      </c>
      <c r="C2231" s="5" t="s">
        <v>20</v>
      </c>
      <c r="D2231" s="5">
        <v>1.0</v>
      </c>
    </row>
    <row r="2232">
      <c r="A2232" s="5">
        <v>883.0</v>
      </c>
      <c r="B2232" s="5" t="s">
        <v>5072</v>
      </c>
      <c r="C2232" s="5" t="s">
        <v>6618</v>
      </c>
      <c r="D2232" s="5">
        <v>1.0</v>
      </c>
    </row>
    <row r="2233">
      <c r="A2233" s="5">
        <v>883.0</v>
      </c>
      <c r="B2233" s="5" t="s">
        <v>5072</v>
      </c>
      <c r="C2233" s="5" t="s">
        <v>6615</v>
      </c>
      <c r="D2233" s="5">
        <v>2.0</v>
      </c>
    </row>
    <row r="2234">
      <c r="A2234" s="5">
        <v>883.0</v>
      </c>
      <c r="B2234" s="5" t="s">
        <v>5072</v>
      </c>
      <c r="C2234" s="5" t="s">
        <v>20</v>
      </c>
      <c r="D2234" s="5">
        <v>3.0</v>
      </c>
    </row>
    <row r="2235">
      <c r="A2235" s="5">
        <v>884.0</v>
      </c>
      <c r="B2235" s="5" t="s">
        <v>5076</v>
      </c>
      <c r="C2235" s="5" t="s">
        <v>20</v>
      </c>
      <c r="D2235" s="5">
        <v>1.0</v>
      </c>
    </row>
    <row r="2236">
      <c r="A2236" s="5">
        <v>885.0</v>
      </c>
      <c r="B2236" s="5" t="s">
        <v>5080</v>
      </c>
      <c r="C2236" s="5" t="s">
        <v>6617</v>
      </c>
      <c r="D2236" s="5">
        <v>1.0</v>
      </c>
    </row>
    <row r="2237">
      <c r="A2237" s="5">
        <v>885.0</v>
      </c>
      <c r="B2237" s="5" t="s">
        <v>5080</v>
      </c>
      <c r="C2237" s="5" t="s">
        <v>602</v>
      </c>
      <c r="D2237" s="5">
        <v>2.0</v>
      </c>
    </row>
    <row r="2238">
      <c r="A2238" s="5">
        <v>885.0</v>
      </c>
      <c r="B2238" s="5" t="s">
        <v>5080</v>
      </c>
      <c r="C2238" s="5" t="s">
        <v>20</v>
      </c>
      <c r="D2238" s="5">
        <v>3.0</v>
      </c>
    </row>
    <row r="2239">
      <c r="A2239" s="5">
        <v>886.0</v>
      </c>
      <c r="B2239" s="5" t="s">
        <v>5087</v>
      </c>
      <c r="C2239" s="5" t="s">
        <v>6615</v>
      </c>
      <c r="D2239" s="5">
        <v>1.0</v>
      </c>
    </row>
    <row r="2240">
      <c r="A2240" s="5">
        <v>886.0</v>
      </c>
      <c r="B2240" s="5" t="s">
        <v>5087</v>
      </c>
      <c r="C2240" s="5" t="s">
        <v>20</v>
      </c>
      <c r="D2240" s="5">
        <v>2.0</v>
      </c>
    </row>
    <row r="2241">
      <c r="A2241" s="5">
        <v>886.0</v>
      </c>
      <c r="B2241" s="5" t="s">
        <v>5087</v>
      </c>
      <c r="C2241" s="5" t="s">
        <v>6621</v>
      </c>
      <c r="D2241" s="5">
        <v>3.0</v>
      </c>
    </row>
    <row r="2242">
      <c r="A2242" s="5">
        <v>887.0</v>
      </c>
      <c r="B2242" s="5" t="s">
        <v>5094</v>
      </c>
      <c r="C2242" s="5" t="s">
        <v>20</v>
      </c>
      <c r="D2242" s="5">
        <v>1.0</v>
      </c>
    </row>
    <row r="2243">
      <c r="A2243" s="5">
        <v>888.0</v>
      </c>
      <c r="B2243" s="5" t="s">
        <v>5101</v>
      </c>
      <c r="C2243" s="5" t="s">
        <v>6616</v>
      </c>
      <c r="D2243" s="5">
        <v>1.0</v>
      </c>
    </row>
    <row r="2244">
      <c r="A2244" s="5">
        <v>888.0</v>
      </c>
      <c r="B2244" s="5" t="s">
        <v>5101</v>
      </c>
      <c r="C2244" s="5" t="s">
        <v>6617</v>
      </c>
      <c r="D2244" s="5">
        <v>2.0</v>
      </c>
    </row>
    <row r="2245">
      <c r="A2245" s="5">
        <v>888.0</v>
      </c>
      <c r="B2245" s="5" t="s">
        <v>5101</v>
      </c>
      <c r="C2245" s="5" t="s">
        <v>602</v>
      </c>
      <c r="D2245" s="5">
        <v>3.0</v>
      </c>
    </row>
    <row r="2246">
      <c r="A2246" s="5">
        <v>889.0</v>
      </c>
      <c r="B2246" s="5" t="s">
        <v>5103</v>
      </c>
      <c r="C2246" s="5" t="s">
        <v>6616</v>
      </c>
      <c r="D2246" s="5">
        <v>1.0</v>
      </c>
    </row>
    <row r="2247">
      <c r="A2247" s="5">
        <v>889.0</v>
      </c>
      <c r="B2247" s="5" t="s">
        <v>5103</v>
      </c>
      <c r="C2247" s="5" t="s">
        <v>6615</v>
      </c>
      <c r="D2247" s="5">
        <v>2.0</v>
      </c>
    </row>
    <row r="2248">
      <c r="A2248" s="5">
        <v>889.0</v>
      </c>
      <c r="B2248" s="5" t="s">
        <v>5103</v>
      </c>
      <c r="C2248" s="5" t="s">
        <v>20</v>
      </c>
      <c r="D2248" s="5">
        <v>3.0</v>
      </c>
    </row>
    <row r="2249">
      <c r="A2249" s="5">
        <v>890.0</v>
      </c>
      <c r="B2249" s="5" t="s">
        <v>5107</v>
      </c>
      <c r="C2249" s="5" t="s">
        <v>6616</v>
      </c>
      <c r="D2249" s="5">
        <v>1.0</v>
      </c>
    </row>
    <row r="2250">
      <c r="A2250" s="5">
        <v>890.0</v>
      </c>
      <c r="B2250" s="5" t="s">
        <v>5107</v>
      </c>
      <c r="C2250" s="5" t="s">
        <v>6618</v>
      </c>
      <c r="D2250" s="5">
        <v>2.0</v>
      </c>
    </row>
    <row r="2251">
      <c r="A2251" s="5">
        <v>890.0</v>
      </c>
      <c r="B2251" s="5" t="s">
        <v>5107</v>
      </c>
      <c r="C2251" s="5" t="s">
        <v>20</v>
      </c>
      <c r="D2251" s="5">
        <v>3.0</v>
      </c>
    </row>
    <row r="2252">
      <c r="A2252" s="5">
        <v>891.0</v>
      </c>
      <c r="B2252" s="5" t="s">
        <v>5110</v>
      </c>
      <c r="C2252" s="5" t="s">
        <v>20</v>
      </c>
      <c r="D2252" s="5">
        <v>1.0</v>
      </c>
    </row>
    <row r="2253">
      <c r="A2253" s="5">
        <v>891.0</v>
      </c>
      <c r="B2253" s="5" t="s">
        <v>5110</v>
      </c>
      <c r="C2253" s="5" t="s">
        <v>6619</v>
      </c>
      <c r="D2253" s="5">
        <v>2.0</v>
      </c>
    </row>
    <row r="2254">
      <c r="A2254" s="5">
        <v>891.0</v>
      </c>
      <c r="B2254" s="5" t="s">
        <v>5110</v>
      </c>
      <c r="C2254" s="5" t="s">
        <v>4191</v>
      </c>
      <c r="D2254" s="5">
        <v>3.0</v>
      </c>
    </row>
    <row r="2255">
      <c r="A2255" s="5">
        <v>892.0</v>
      </c>
      <c r="B2255" s="5" t="s">
        <v>5113</v>
      </c>
      <c r="C2255" s="5" t="s">
        <v>6623</v>
      </c>
      <c r="D2255" s="5">
        <v>1.0</v>
      </c>
    </row>
    <row r="2256">
      <c r="A2256" s="5">
        <v>892.0</v>
      </c>
      <c r="B2256" s="5" t="s">
        <v>5113</v>
      </c>
      <c r="C2256" s="5" t="s">
        <v>6616</v>
      </c>
      <c r="D2256" s="5">
        <v>2.0</v>
      </c>
    </row>
    <row r="2257">
      <c r="A2257" s="5">
        <v>892.0</v>
      </c>
      <c r="B2257" s="5" t="s">
        <v>5113</v>
      </c>
      <c r="C2257" s="5" t="s">
        <v>6617</v>
      </c>
      <c r="D2257" s="5">
        <v>3.0</v>
      </c>
    </row>
    <row r="2258">
      <c r="A2258" s="5">
        <v>893.0</v>
      </c>
      <c r="B2258" s="5" t="s">
        <v>5117</v>
      </c>
      <c r="C2258" s="5" t="s">
        <v>6623</v>
      </c>
      <c r="D2258" s="5">
        <v>1.0</v>
      </c>
    </row>
    <row r="2259">
      <c r="A2259" s="5">
        <v>893.0</v>
      </c>
      <c r="B2259" s="5" t="s">
        <v>5117</v>
      </c>
      <c r="C2259" s="5" t="s">
        <v>6617</v>
      </c>
      <c r="D2259" s="5">
        <v>2.0</v>
      </c>
    </row>
    <row r="2260">
      <c r="A2260" s="5">
        <v>893.0</v>
      </c>
      <c r="B2260" s="5" t="s">
        <v>5117</v>
      </c>
      <c r="C2260" s="5" t="s">
        <v>602</v>
      </c>
      <c r="D2260" s="5">
        <v>3.0</v>
      </c>
    </row>
    <row r="2261">
      <c r="A2261" s="5">
        <v>894.0</v>
      </c>
      <c r="B2261" s="5" t="s">
        <v>5120</v>
      </c>
      <c r="C2261" s="5" t="s">
        <v>6616</v>
      </c>
      <c r="D2261" s="5">
        <v>1.0</v>
      </c>
    </row>
    <row r="2262">
      <c r="A2262" s="5">
        <v>894.0</v>
      </c>
      <c r="B2262" s="5" t="s">
        <v>5120</v>
      </c>
      <c r="C2262" s="5" t="s">
        <v>6615</v>
      </c>
      <c r="D2262" s="5">
        <v>2.0</v>
      </c>
    </row>
    <row r="2263">
      <c r="A2263" s="5">
        <v>894.0</v>
      </c>
      <c r="B2263" s="5" t="s">
        <v>5120</v>
      </c>
      <c r="C2263" s="5" t="s">
        <v>20</v>
      </c>
      <c r="D2263" s="5">
        <v>3.0</v>
      </c>
    </row>
    <row r="2264">
      <c r="A2264" s="5">
        <v>895.0</v>
      </c>
      <c r="B2264" s="5" t="s">
        <v>5122</v>
      </c>
      <c r="C2264" s="5" t="s">
        <v>20</v>
      </c>
      <c r="D2264" s="5">
        <v>1.0</v>
      </c>
    </row>
    <row r="2265">
      <c r="A2265" s="5">
        <v>895.0</v>
      </c>
      <c r="B2265" s="5" t="s">
        <v>5122</v>
      </c>
      <c r="C2265" s="5" t="s">
        <v>6630</v>
      </c>
      <c r="D2265" s="5">
        <v>2.0</v>
      </c>
    </row>
    <row r="2266">
      <c r="A2266" s="5">
        <v>896.0</v>
      </c>
      <c r="B2266" s="5" t="s">
        <v>5127</v>
      </c>
      <c r="C2266" s="5" t="s">
        <v>6615</v>
      </c>
      <c r="D2266" s="5">
        <v>1.0</v>
      </c>
    </row>
    <row r="2267">
      <c r="A2267" s="5">
        <v>896.0</v>
      </c>
      <c r="B2267" s="5" t="s">
        <v>5127</v>
      </c>
      <c r="C2267" s="5" t="s">
        <v>20</v>
      </c>
      <c r="D2267" s="5">
        <v>2.0</v>
      </c>
    </row>
    <row r="2268">
      <c r="A2268" s="5">
        <v>897.0</v>
      </c>
      <c r="B2268" s="5" t="s">
        <v>5133</v>
      </c>
      <c r="C2268" s="5" t="s">
        <v>6616</v>
      </c>
      <c r="D2268" s="5">
        <v>1.0</v>
      </c>
    </row>
    <row r="2269">
      <c r="A2269" s="5">
        <v>897.0</v>
      </c>
      <c r="B2269" s="5" t="s">
        <v>5133</v>
      </c>
      <c r="C2269" s="5" t="s">
        <v>6615</v>
      </c>
      <c r="D2269" s="5">
        <v>2.0</v>
      </c>
    </row>
    <row r="2270">
      <c r="A2270" s="5">
        <v>897.0</v>
      </c>
      <c r="B2270" s="5" t="s">
        <v>5133</v>
      </c>
      <c r="C2270" s="5" t="s">
        <v>20</v>
      </c>
      <c r="D2270" s="5">
        <v>3.0</v>
      </c>
    </row>
    <row r="2271">
      <c r="A2271" s="5">
        <v>898.0</v>
      </c>
      <c r="B2271" s="5" t="s">
        <v>5137</v>
      </c>
      <c r="C2271" s="5" t="s">
        <v>6618</v>
      </c>
      <c r="D2271" s="5">
        <v>1.0</v>
      </c>
    </row>
    <row r="2272">
      <c r="A2272" s="5">
        <v>898.0</v>
      </c>
      <c r="B2272" s="5" t="s">
        <v>5137</v>
      </c>
      <c r="C2272" s="5" t="s">
        <v>602</v>
      </c>
      <c r="D2272" s="5">
        <v>2.0</v>
      </c>
    </row>
    <row r="2273">
      <c r="A2273" s="5">
        <v>898.0</v>
      </c>
      <c r="B2273" s="5" t="s">
        <v>5137</v>
      </c>
      <c r="C2273" s="5" t="s">
        <v>20</v>
      </c>
      <c r="D2273" s="5">
        <v>3.0</v>
      </c>
    </row>
    <row r="2274">
      <c r="A2274" s="5">
        <v>899.0</v>
      </c>
      <c r="B2274" s="5" t="s">
        <v>5143</v>
      </c>
      <c r="C2274" s="5" t="s">
        <v>6616</v>
      </c>
      <c r="D2274" s="5">
        <v>1.0</v>
      </c>
    </row>
    <row r="2275">
      <c r="A2275" s="5">
        <v>899.0</v>
      </c>
      <c r="B2275" s="5" t="s">
        <v>5143</v>
      </c>
      <c r="C2275" s="5" t="s">
        <v>6617</v>
      </c>
      <c r="D2275" s="5">
        <v>2.0</v>
      </c>
    </row>
    <row r="2276">
      <c r="A2276" s="5">
        <v>899.0</v>
      </c>
      <c r="B2276" s="5" t="s">
        <v>5143</v>
      </c>
      <c r="C2276" s="5" t="s">
        <v>20</v>
      </c>
      <c r="D2276" s="5">
        <v>3.0</v>
      </c>
    </row>
    <row r="2277">
      <c r="A2277" s="5">
        <v>900.0</v>
      </c>
      <c r="B2277" s="5" t="s">
        <v>5148</v>
      </c>
      <c r="C2277" s="5" t="s">
        <v>6626</v>
      </c>
      <c r="D2277" s="5">
        <v>1.0</v>
      </c>
    </row>
    <row r="2278">
      <c r="A2278" s="5">
        <v>900.0</v>
      </c>
      <c r="B2278" s="5" t="s">
        <v>5148</v>
      </c>
      <c r="C2278" s="5" t="s">
        <v>4191</v>
      </c>
      <c r="D2278" s="5">
        <v>2.0</v>
      </c>
    </row>
    <row r="2279">
      <c r="A2279" s="5">
        <v>901.0</v>
      </c>
      <c r="B2279" s="5" t="s">
        <v>5152</v>
      </c>
      <c r="C2279" s="5" t="s">
        <v>6616</v>
      </c>
      <c r="D2279" s="5">
        <v>1.0</v>
      </c>
    </row>
    <row r="2280">
      <c r="A2280" s="5">
        <v>901.0</v>
      </c>
      <c r="B2280" s="5" t="s">
        <v>5152</v>
      </c>
      <c r="C2280" s="5" t="s">
        <v>4191</v>
      </c>
      <c r="D2280" s="5">
        <v>2.0</v>
      </c>
    </row>
    <row r="2281">
      <c r="A2281" s="5">
        <v>902.0</v>
      </c>
      <c r="B2281" s="5" t="s">
        <v>5157</v>
      </c>
      <c r="C2281" s="5" t="s">
        <v>6616</v>
      </c>
      <c r="D2281" s="5">
        <v>1.0</v>
      </c>
    </row>
    <row r="2282">
      <c r="A2282" s="5">
        <v>902.0</v>
      </c>
      <c r="B2282" s="5" t="s">
        <v>5157</v>
      </c>
      <c r="C2282" s="5" t="s">
        <v>6615</v>
      </c>
      <c r="D2282" s="5">
        <v>2.0</v>
      </c>
    </row>
    <row r="2283">
      <c r="A2283" s="5">
        <v>902.0</v>
      </c>
      <c r="B2283" s="5" t="s">
        <v>5157</v>
      </c>
      <c r="C2283" s="5" t="s">
        <v>20</v>
      </c>
      <c r="D2283" s="5">
        <v>3.0</v>
      </c>
    </row>
    <row r="2284">
      <c r="A2284" s="5">
        <v>903.0</v>
      </c>
      <c r="B2284" s="5" t="s">
        <v>5163</v>
      </c>
      <c r="C2284" s="5" t="s">
        <v>6623</v>
      </c>
      <c r="D2284" s="5">
        <v>1.0</v>
      </c>
    </row>
    <row r="2285">
      <c r="A2285" s="5">
        <v>903.0</v>
      </c>
      <c r="B2285" s="5" t="s">
        <v>5163</v>
      </c>
      <c r="C2285" s="5" t="s">
        <v>6617</v>
      </c>
      <c r="D2285" s="5">
        <v>2.0</v>
      </c>
    </row>
    <row r="2286">
      <c r="A2286" s="5">
        <v>903.0</v>
      </c>
      <c r="B2286" s="5" t="s">
        <v>5163</v>
      </c>
      <c r="C2286" s="5" t="s">
        <v>6624</v>
      </c>
      <c r="D2286" s="5">
        <v>3.0</v>
      </c>
    </row>
    <row r="2287">
      <c r="A2287" s="5">
        <v>904.0</v>
      </c>
      <c r="B2287" s="5" t="s">
        <v>5166</v>
      </c>
      <c r="C2287" s="5" t="s">
        <v>20</v>
      </c>
      <c r="D2287" s="5">
        <v>1.0</v>
      </c>
    </row>
    <row r="2288">
      <c r="A2288" s="5">
        <v>904.0</v>
      </c>
      <c r="B2288" s="5" t="s">
        <v>5166</v>
      </c>
      <c r="C2288" s="5" t="s">
        <v>6627</v>
      </c>
      <c r="D2288" s="5">
        <v>2.0</v>
      </c>
    </row>
    <row r="2289">
      <c r="A2289" s="5">
        <v>904.0</v>
      </c>
      <c r="B2289" s="5" t="s">
        <v>5166</v>
      </c>
      <c r="C2289" s="5" t="s">
        <v>6621</v>
      </c>
      <c r="D2289" s="5">
        <v>3.0</v>
      </c>
    </row>
    <row r="2290">
      <c r="A2290" s="5">
        <v>905.0</v>
      </c>
      <c r="B2290" s="5" t="s">
        <v>5170</v>
      </c>
      <c r="C2290" s="5" t="s">
        <v>20</v>
      </c>
      <c r="D2290" s="5">
        <v>1.0</v>
      </c>
    </row>
    <row r="2291">
      <c r="A2291" s="5">
        <v>905.0</v>
      </c>
      <c r="B2291" s="5" t="s">
        <v>5170</v>
      </c>
      <c r="C2291" s="5" t="s">
        <v>116</v>
      </c>
      <c r="D2291" s="5">
        <v>2.0</v>
      </c>
    </row>
    <row r="2292">
      <c r="A2292" s="5">
        <v>906.0</v>
      </c>
      <c r="B2292" s="5" t="s">
        <v>5173</v>
      </c>
      <c r="C2292" s="5" t="s">
        <v>20</v>
      </c>
      <c r="D2292" s="5">
        <v>1.0</v>
      </c>
    </row>
    <row r="2293">
      <c r="A2293" s="5">
        <v>906.0</v>
      </c>
      <c r="B2293" s="5" t="s">
        <v>5173</v>
      </c>
      <c r="C2293" s="5" t="s">
        <v>6621</v>
      </c>
      <c r="D2293" s="5">
        <v>2.0</v>
      </c>
    </row>
    <row r="2294">
      <c r="A2294" s="5">
        <v>907.0</v>
      </c>
      <c r="B2294" s="5" t="s">
        <v>5179</v>
      </c>
      <c r="C2294" s="5" t="s">
        <v>6623</v>
      </c>
      <c r="D2294" s="5">
        <v>1.0</v>
      </c>
    </row>
    <row r="2295">
      <c r="A2295" s="5">
        <v>907.0</v>
      </c>
      <c r="B2295" s="5" t="s">
        <v>5179</v>
      </c>
      <c r="C2295" s="5" t="s">
        <v>602</v>
      </c>
      <c r="D2295" s="5">
        <v>2.0</v>
      </c>
    </row>
    <row r="2296">
      <c r="A2296" s="5">
        <v>907.0</v>
      </c>
      <c r="B2296" s="5" t="s">
        <v>5179</v>
      </c>
      <c r="C2296" s="5" t="s">
        <v>6615</v>
      </c>
      <c r="D2296" s="5">
        <v>3.0</v>
      </c>
    </row>
    <row r="2297">
      <c r="A2297" s="5">
        <v>908.0</v>
      </c>
      <c r="B2297" s="5" t="s">
        <v>5186</v>
      </c>
      <c r="C2297" s="5" t="s">
        <v>602</v>
      </c>
      <c r="D2297" s="5">
        <v>1.0</v>
      </c>
    </row>
    <row r="2298">
      <c r="A2298" s="5">
        <v>908.0</v>
      </c>
      <c r="B2298" s="5" t="s">
        <v>5186</v>
      </c>
      <c r="C2298" s="5" t="s">
        <v>20</v>
      </c>
      <c r="D2298" s="5">
        <v>2.0</v>
      </c>
    </row>
    <row r="2299">
      <c r="A2299" s="5">
        <v>908.0</v>
      </c>
      <c r="B2299" s="5" t="s">
        <v>5186</v>
      </c>
      <c r="C2299" s="5" t="s">
        <v>6621</v>
      </c>
      <c r="D2299" s="5">
        <v>3.0</v>
      </c>
    </row>
    <row r="2300">
      <c r="A2300" s="5">
        <v>909.0</v>
      </c>
      <c r="B2300" s="5" t="s">
        <v>5190</v>
      </c>
      <c r="C2300" s="5" t="s">
        <v>6616</v>
      </c>
      <c r="D2300" s="5">
        <v>1.0</v>
      </c>
    </row>
    <row r="2301">
      <c r="A2301" s="5">
        <v>909.0</v>
      </c>
      <c r="B2301" s="5" t="s">
        <v>5190</v>
      </c>
      <c r="C2301" s="5" t="s">
        <v>602</v>
      </c>
      <c r="D2301" s="5">
        <v>2.0</v>
      </c>
    </row>
    <row r="2302">
      <c r="A2302" s="5">
        <v>909.0</v>
      </c>
      <c r="B2302" s="5" t="s">
        <v>5190</v>
      </c>
      <c r="C2302" s="5" t="s">
        <v>6615</v>
      </c>
      <c r="D2302" s="5">
        <v>3.0</v>
      </c>
    </row>
    <row r="2303">
      <c r="A2303" s="5">
        <v>910.0</v>
      </c>
      <c r="B2303" s="5" t="s">
        <v>5194</v>
      </c>
      <c r="C2303" s="5" t="s">
        <v>6616</v>
      </c>
      <c r="D2303" s="5">
        <v>1.0</v>
      </c>
    </row>
    <row r="2304">
      <c r="A2304" s="5">
        <v>910.0</v>
      </c>
      <c r="B2304" s="5" t="s">
        <v>5194</v>
      </c>
      <c r="C2304" s="5" t="s">
        <v>6617</v>
      </c>
      <c r="D2304" s="5">
        <v>2.0</v>
      </c>
    </row>
    <row r="2305">
      <c r="A2305" s="5">
        <v>910.0</v>
      </c>
      <c r="B2305" s="5" t="s">
        <v>5194</v>
      </c>
      <c r="C2305" s="5" t="s">
        <v>6615</v>
      </c>
      <c r="D2305" s="5">
        <v>3.0</v>
      </c>
    </row>
    <row r="2306">
      <c r="A2306" s="5">
        <v>911.0</v>
      </c>
      <c r="B2306" s="5" t="s">
        <v>5202</v>
      </c>
      <c r="C2306" s="5" t="s">
        <v>6618</v>
      </c>
      <c r="D2306" s="5">
        <v>1.0</v>
      </c>
    </row>
    <row r="2307">
      <c r="A2307" s="5">
        <v>911.0</v>
      </c>
      <c r="B2307" s="5" t="s">
        <v>5202</v>
      </c>
      <c r="C2307" s="5" t="s">
        <v>20</v>
      </c>
      <c r="D2307" s="5">
        <v>2.0</v>
      </c>
    </row>
    <row r="2308">
      <c r="A2308" s="5">
        <v>911.0</v>
      </c>
      <c r="B2308" s="5" t="s">
        <v>5202</v>
      </c>
      <c r="C2308" s="5" t="s">
        <v>6630</v>
      </c>
      <c r="D2308" s="5">
        <v>3.0</v>
      </c>
    </row>
    <row r="2309">
      <c r="A2309" s="5">
        <v>912.0</v>
      </c>
      <c r="B2309" s="5" t="s">
        <v>5205</v>
      </c>
      <c r="C2309" s="5" t="s">
        <v>20</v>
      </c>
      <c r="D2309" s="5">
        <v>1.0</v>
      </c>
    </row>
    <row r="2310">
      <c r="A2310" s="5">
        <v>912.0</v>
      </c>
      <c r="B2310" s="5" t="s">
        <v>5205</v>
      </c>
      <c r="C2310" s="5" t="s">
        <v>2696</v>
      </c>
      <c r="D2310" s="5">
        <v>2.0</v>
      </c>
    </row>
    <row r="2311">
      <c r="A2311" s="5">
        <v>912.0</v>
      </c>
      <c r="B2311" s="5" t="s">
        <v>5205</v>
      </c>
      <c r="C2311" s="5" t="s">
        <v>4191</v>
      </c>
      <c r="D2311" s="5">
        <v>3.0</v>
      </c>
    </row>
    <row r="2312">
      <c r="A2312" s="5">
        <v>913.0</v>
      </c>
      <c r="B2312" s="5" t="s">
        <v>5210</v>
      </c>
      <c r="C2312" s="5" t="s">
        <v>6617</v>
      </c>
      <c r="D2312" s="5">
        <v>1.0</v>
      </c>
    </row>
    <row r="2313">
      <c r="A2313" s="5">
        <v>913.0</v>
      </c>
      <c r="B2313" s="5" t="s">
        <v>5210</v>
      </c>
      <c r="C2313" s="5" t="s">
        <v>602</v>
      </c>
      <c r="D2313" s="5">
        <v>2.0</v>
      </c>
    </row>
    <row r="2314">
      <c r="A2314" s="5">
        <v>913.0</v>
      </c>
      <c r="B2314" s="5" t="s">
        <v>5210</v>
      </c>
      <c r="C2314" s="5" t="s">
        <v>6622</v>
      </c>
      <c r="D2314" s="5">
        <v>3.0</v>
      </c>
    </row>
    <row r="2315">
      <c r="A2315" s="5">
        <v>914.0</v>
      </c>
      <c r="B2315" s="5" t="s">
        <v>5214</v>
      </c>
      <c r="C2315" s="5" t="s">
        <v>20</v>
      </c>
      <c r="D2315" s="5">
        <v>1.0</v>
      </c>
    </row>
    <row r="2316">
      <c r="A2316" s="5">
        <v>914.0</v>
      </c>
      <c r="B2316" s="5" t="s">
        <v>5214</v>
      </c>
      <c r="C2316" s="5" t="s">
        <v>4191</v>
      </c>
      <c r="D2316" s="5">
        <v>2.0</v>
      </c>
    </row>
    <row r="2317">
      <c r="A2317" s="5">
        <v>915.0</v>
      </c>
      <c r="B2317" s="5" t="s">
        <v>5220</v>
      </c>
      <c r="C2317" s="5" t="s">
        <v>6616</v>
      </c>
      <c r="D2317" s="5">
        <v>1.0</v>
      </c>
    </row>
    <row r="2318">
      <c r="A2318" s="5">
        <v>915.0</v>
      </c>
      <c r="B2318" s="5" t="s">
        <v>5220</v>
      </c>
      <c r="C2318" s="5" t="s">
        <v>6617</v>
      </c>
      <c r="D2318" s="5">
        <v>2.0</v>
      </c>
    </row>
    <row r="2319">
      <c r="A2319" s="5">
        <v>915.0</v>
      </c>
      <c r="B2319" s="5" t="s">
        <v>5220</v>
      </c>
      <c r="C2319" s="5" t="s">
        <v>6626</v>
      </c>
      <c r="D2319" s="5">
        <v>3.0</v>
      </c>
    </row>
    <row r="2320">
      <c r="A2320" s="5">
        <v>916.0</v>
      </c>
      <c r="B2320" s="5" t="s">
        <v>5224</v>
      </c>
      <c r="C2320" s="5" t="s">
        <v>6618</v>
      </c>
      <c r="D2320" s="5">
        <v>1.0</v>
      </c>
    </row>
    <row r="2321">
      <c r="A2321" s="5">
        <v>916.0</v>
      </c>
      <c r="B2321" s="5" t="s">
        <v>5224</v>
      </c>
      <c r="C2321" s="5" t="s">
        <v>20</v>
      </c>
      <c r="D2321" s="5">
        <v>2.0</v>
      </c>
    </row>
    <row r="2322">
      <c r="A2322" s="5">
        <v>916.0</v>
      </c>
      <c r="B2322" s="5" t="s">
        <v>5224</v>
      </c>
      <c r="C2322" s="5" t="s">
        <v>6630</v>
      </c>
      <c r="D2322" s="5">
        <v>3.0</v>
      </c>
    </row>
    <row r="2323">
      <c r="A2323" s="5">
        <v>917.0</v>
      </c>
      <c r="B2323" s="5" t="s">
        <v>5230</v>
      </c>
      <c r="C2323" s="5" t="s">
        <v>20</v>
      </c>
      <c r="D2323" s="5">
        <v>1.0</v>
      </c>
    </row>
    <row r="2324">
      <c r="A2324" s="5">
        <v>918.0</v>
      </c>
      <c r="B2324" s="5" t="s">
        <v>5236</v>
      </c>
      <c r="C2324" s="5" t="s">
        <v>20</v>
      </c>
      <c r="D2324" s="5">
        <v>1.0</v>
      </c>
    </row>
    <row r="2325">
      <c r="A2325" s="5">
        <v>919.0</v>
      </c>
      <c r="B2325" s="5" t="s">
        <v>5240</v>
      </c>
      <c r="C2325" s="5" t="s">
        <v>6616</v>
      </c>
      <c r="D2325" s="5">
        <v>1.0</v>
      </c>
    </row>
    <row r="2326">
      <c r="A2326" s="5">
        <v>919.0</v>
      </c>
      <c r="B2326" s="5" t="s">
        <v>5240</v>
      </c>
      <c r="C2326" s="5" t="s">
        <v>6615</v>
      </c>
      <c r="D2326" s="5">
        <v>2.0</v>
      </c>
    </row>
    <row r="2327">
      <c r="A2327" s="5">
        <v>919.0</v>
      </c>
      <c r="B2327" s="5" t="s">
        <v>5240</v>
      </c>
      <c r="C2327" s="5" t="s">
        <v>20</v>
      </c>
      <c r="D2327" s="5">
        <v>3.0</v>
      </c>
    </row>
    <row r="2328">
      <c r="A2328" s="5">
        <v>920.0</v>
      </c>
      <c r="B2328" s="5" t="s">
        <v>5244</v>
      </c>
      <c r="C2328" s="5" t="s">
        <v>6617</v>
      </c>
      <c r="D2328" s="5">
        <v>1.0</v>
      </c>
    </row>
    <row r="2329">
      <c r="A2329" s="5">
        <v>920.0</v>
      </c>
      <c r="B2329" s="5" t="s">
        <v>5244</v>
      </c>
      <c r="C2329" s="5" t="s">
        <v>6624</v>
      </c>
      <c r="D2329" s="5">
        <v>2.0</v>
      </c>
    </row>
    <row r="2330">
      <c r="A2330" s="5">
        <v>920.0</v>
      </c>
      <c r="B2330" s="5" t="s">
        <v>5244</v>
      </c>
      <c r="C2330" s="5" t="s">
        <v>6622</v>
      </c>
      <c r="D2330" s="5">
        <v>3.0</v>
      </c>
    </row>
    <row r="2331">
      <c r="A2331" s="5">
        <v>921.0</v>
      </c>
      <c r="B2331" s="5" t="s">
        <v>5249</v>
      </c>
      <c r="C2331" s="5" t="s">
        <v>6623</v>
      </c>
      <c r="D2331" s="5">
        <v>1.0</v>
      </c>
    </row>
    <row r="2332">
      <c r="A2332" s="5">
        <v>921.0</v>
      </c>
      <c r="B2332" s="5" t="s">
        <v>5249</v>
      </c>
      <c r="C2332" s="5" t="s">
        <v>6617</v>
      </c>
      <c r="D2332" s="5">
        <v>2.0</v>
      </c>
    </row>
    <row r="2333">
      <c r="A2333" s="5">
        <v>921.0</v>
      </c>
      <c r="B2333" s="5" t="s">
        <v>5249</v>
      </c>
      <c r="C2333" s="5" t="s">
        <v>6624</v>
      </c>
      <c r="D2333" s="5">
        <v>3.0</v>
      </c>
    </row>
    <row r="2334">
      <c r="A2334" s="5">
        <v>922.0</v>
      </c>
      <c r="B2334" s="5" t="s">
        <v>5254</v>
      </c>
      <c r="C2334" s="5" t="s">
        <v>6615</v>
      </c>
      <c r="D2334" s="5">
        <v>1.0</v>
      </c>
    </row>
    <row r="2335">
      <c r="A2335" s="5">
        <v>922.0</v>
      </c>
      <c r="B2335" s="5" t="s">
        <v>5254</v>
      </c>
      <c r="C2335" s="5" t="s">
        <v>20</v>
      </c>
      <c r="D2335" s="5">
        <v>2.0</v>
      </c>
    </row>
    <row r="2336">
      <c r="A2336" s="5">
        <v>922.0</v>
      </c>
      <c r="B2336" s="5" t="s">
        <v>5254</v>
      </c>
      <c r="C2336" s="5" t="s">
        <v>6626</v>
      </c>
      <c r="D2336" s="5">
        <v>3.0</v>
      </c>
    </row>
    <row r="2337">
      <c r="A2337" s="5">
        <v>923.0</v>
      </c>
      <c r="B2337" s="5" t="s">
        <v>5256</v>
      </c>
      <c r="C2337" s="5" t="s">
        <v>6615</v>
      </c>
      <c r="D2337" s="5">
        <v>1.0</v>
      </c>
    </row>
    <row r="2338">
      <c r="A2338" s="5">
        <v>923.0</v>
      </c>
      <c r="B2338" s="5" t="s">
        <v>5256</v>
      </c>
      <c r="C2338" s="5" t="s">
        <v>20</v>
      </c>
      <c r="D2338" s="5">
        <v>2.0</v>
      </c>
    </row>
    <row r="2339">
      <c r="A2339" s="5">
        <v>923.0</v>
      </c>
      <c r="B2339" s="5" t="s">
        <v>5256</v>
      </c>
      <c r="C2339" s="5" t="s">
        <v>6626</v>
      </c>
      <c r="D2339" s="5">
        <v>3.0</v>
      </c>
    </row>
    <row r="2340">
      <c r="A2340" s="5">
        <v>924.0</v>
      </c>
      <c r="B2340" s="5" t="s">
        <v>5259</v>
      </c>
      <c r="C2340" s="5" t="s">
        <v>6618</v>
      </c>
      <c r="D2340" s="5">
        <v>1.0</v>
      </c>
    </row>
    <row r="2341">
      <c r="A2341" s="5">
        <v>924.0</v>
      </c>
      <c r="B2341" s="5" t="s">
        <v>5259</v>
      </c>
      <c r="C2341" s="5" t="s">
        <v>20</v>
      </c>
      <c r="D2341" s="5">
        <v>2.0</v>
      </c>
    </row>
    <row r="2342">
      <c r="A2342" s="5">
        <v>924.0</v>
      </c>
      <c r="B2342" s="5" t="s">
        <v>5259</v>
      </c>
      <c r="C2342" s="5" t="s">
        <v>6627</v>
      </c>
      <c r="D2342" s="5">
        <v>3.0</v>
      </c>
    </row>
    <row r="2343">
      <c r="A2343" s="5">
        <v>925.0</v>
      </c>
      <c r="B2343" s="5" t="s">
        <v>5264</v>
      </c>
      <c r="C2343" s="5" t="s">
        <v>6616</v>
      </c>
      <c r="D2343" s="5">
        <v>1.0</v>
      </c>
    </row>
    <row r="2344">
      <c r="A2344" s="5">
        <v>925.0</v>
      </c>
      <c r="B2344" s="5" t="s">
        <v>5264</v>
      </c>
      <c r="C2344" s="5" t="s">
        <v>6618</v>
      </c>
      <c r="D2344" s="5">
        <v>2.0</v>
      </c>
    </row>
    <row r="2345">
      <c r="A2345" s="5">
        <v>925.0</v>
      </c>
      <c r="B2345" s="5" t="s">
        <v>5264</v>
      </c>
      <c r="C2345" s="5" t="s">
        <v>20</v>
      </c>
      <c r="D2345" s="5">
        <v>3.0</v>
      </c>
    </row>
    <row r="2346">
      <c r="A2346" s="5">
        <v>926.0</v>
      </c>
      <c r="B2346" s="5" t="s">
        <v>5270</v>
      </c>
      <c r="C2346" s="5" t="s">
        <v>20</v>
      </c>
      <c r="D2346" s="5">
        <v>1.0</v>
      </c>
    </row>
    <row r="2347">
      <c r="A2347" s="5">
        <v>926.0</v>
      </c>
      <c r="B2347" s="5" t="s">
        <v>5270</v>
      </c>
      <c r="C2347" s="5" t="s">
        <v>6622</v>
      </c>
      <c r="D2347" s="5">
        <v>2.0</v>
      </c>
    </row>
    <row r="2348">
      <c r="A2348" s="5">
        <v>926.0</v>
      </c>
      <c r="B2348" s="5" t="s">
        <v>5270</v>
      </c>
      <c r="C2348" s="5" t="s">
        <v>6626</v>
      </c>
      <c r="D2348" s="5">
        <v>3.0</v>
      </c>
    </row>
    <row r="2349">
      <c r="A2349" s="5">
        <v>927.0</v>
      </c>
      <c r="B2349" s="5" t="s">
        <v>5275</v>
      </c>
      <c r="C2349" s="5" t="s">
        <v>6615</v>
      </c>
      <c r="D2349" s="5">
        <v>1.0</v>
      </c>
    </row>
    <row r="2350">
      <c r="A2350" s="5">
        <v>927.0</v>
      </c>
      <c r="B2350" s="5" t="s">
        <v>5275</v>
      </c>
      <c r="C2350" s="5" t="s">
        <v>20</v>
      </c>
      <c r="D2350" s="5">
        <v>2.0</v>
      </c>
    </row>
    <row r="2351">
      <c r="A2351" s="5">
        <v>927.0</v>
      </c>
      <c r="B2351" s="5" t="s">
        <v>5275</v>
      </c>
      <c r="C2351" s="5" t="s">
        <v>4191</v>
      </c>
      <c r="D2351" s="5">
        <v>3.0</v>
      </c>
    </row>
    <row r="2352">
      <c r="A2352" s="5">
        <v>928.0</v>
      </c>
      <c r="B2352" s="5" t="s">
        <v>5280</v>
      </c>
      <c r="C2352" s="5" t="s">
        <v>6616</v>
      </c>
      <c r="D2352" s="5">
        <v>1.0</v>
      </c>
    </row>
    <row r="2353">
      <c r="A2353" s="5">
        <v>928.0</v>
      </c>
      <c r="B2353" s="5" t="s">
        <v>5280</v>
      </c>
      <c r="C2353" s="5" t="s">
        <v>6617</v>
      </c>
      <c r="D2353" s="5">
        <v>2.0</v>
      </c>
    </row>
    <row r="2354">
      <c r="A2354" s="5">
        <v>928.0</v>
      </c>
      <c r="B2354" s="5" t="s">
        <v>5280</v>
      </c>
      <c r="C2354" s="5" t="s">
        <v>6624</v>
      </c>
      <c r="D2354" s="5">
        <v>3.0</v>
      </c>
    </row>
    <row r="2355">
      <c r="A2355" s="5">
        <v>929.0</v>
      </c>
      <c r="B2355" s="5">
        <v>300.0</v>
      </c>
      <c r="C2355" s="5" t="s">
        <v>6616</v>
      </c>
      <c r="D2355" s="5">
        <v>1.0</v>
      </c>
    </row>
    <row r="2356">
      <c r="A2356" s="5">
        <v>929.0</v>
      </c>
      <c r="B2356" s="5">
        <v>300.0</v>
      </c>
      <c r="C2356" s="5" t="s">
        <v>20</v>
      </c>
      <c r="D2356" s="5">
        <v>2.0</v>
      </c>
    </row>
    <row r="2357">
      <c r="A2357" s="5">
        <v>930.0</v>
      </c>
      <c r="B2357" s="5" t="s">
        <v>5287</v>
      </c>
      <c r="C2357" s="5" t="s">
        <v>20</v>
      </c>
      <c r="D2357" s="5">
        <v>1.0</v>
      </c>
    </row>
    <row r="2358">
      <c r="A2358" s="5">
        <v>930.0</v>
      </c>
      <c r="B2358" s="5" t="s">
        <v>5287</v>
      </c>
      <c r="C2358" s="5" t="s">
        <v>6621</v>
      </c>
      <c r="D2358" s="5">
        <v>2.0</v>
      </c>
    </row>
    <row r="2359">
      <c r="A2359" s="5">
        <v>930.0</v>
      </c>
      <c r="B2359" s="5" t="s">
        <v>5287</v>
      </c>
      <c r="C2359" s="5" t="s">
        <v>4191</v>
      </c>
      <c r="D2359" s="5">
        <v>3.0</v>
      </c>
    </row>
    <row r="2360">
      <c r="A2360" s="5">
        <v>931.0</v>
      </c>
      <c r="B2360" s="5" t="s">
        <v>5290</v>
      </c>
      <c r="C2360" s="5" t="s">
        <v>6616</v>
      </c>
      <c r="D2360" s="5">
        <v>1.0</v>
      </c>
    </row>
    <row r="2361">
      <c r="A2361" s="5">
        <v>931.0</v>
      </c>
      <c r="B2361" s="5" t="s">
        <v>5290</v>
      </c>
      <c r="C2361" s="5" t="s">
        <v>20</v>
      </c>
      <c r="D2361" s="5">
        <v>2.0</v>
      </c>
    </row>
    <row r="2362">
      <c r="A2362" s="5">
        <v>931.0</v>
      </c>
      <c r="B2362" s="5" t="s">
        <v>5290</v>
      </c>
      <c r="C2362" s="5" t="s">
        <v>6626</v>
      </c>
      <c r="D2362" s="5">
        <v>3.0</v>
      </c>
    </row>
    <row r="2363">
      <c r="A2363" s="5">
        <v>932.0</v>
      </c>
      <c r="B2363" s="5" t="s">
        <v>5296</v>
      </c>
      <c r="C2363" s="5" t="s">
        <v>6616</v>
      </c>
      <c r="D2363" s="5">
        <v>1.0</v>
      </c>
    </row>
    <row r="2364">
      <c r="A2364" s="5">
        <v>932.0</v>
      </c>
      <c r="B2364" s="5" t="s">
        <v>5296</v>
      </c>
      <c r="C2364" s="5" t="s">
        <v>6615</v>
      </c>
      <c r="D2364" s="5">
        <v>2.0</v>
      </c>
    </row>
    <row r="2365">
      <c r="A2365" s="5">
        <v>932.0</v>
      </c>
      <c r="B2365" s="5" t="s">
        <v>5296</v>
      </c>
      <c r="C2365" s="5" t="s">
        <v>20</v>
      </c>
      <c r="D2365" s="5">
        <v>3.0</v>
      </c>
    </row>
    <row r="2366">
      <c r="A2366" s="5">
        <v>933.0</v>
      </c>
      <c r="B2366" s="5" t="s">
        <v>5299</v>
      </c>
      <c r="C2366" s="5" t="s">
        <v>2696</v>
      </c>
      <c r="D2366" s="5">
        <v>1.0</v>
      </c>
    </row>
    <row r="2367">
      <c r="A2367" s="5">
        <v>933.0</v>
      </c>
      <c r="B2367" s="5" t="s">
        <v>5299</v>
      </c>
      <c r="C2367" s="5" t="s">
        <v>6626</v>
      </c>
      <c r="D2367" s="5">
        <v>2.0</v>
      </c>
    </row>
    <row r="2368">
      <c r="A2368" s="5">
        <v>933.0</v>
      </c>
      <c r="B2368" s="5" t="s">
        <v>5299</v>
      </c>
      <c r="C2368" s="5" t="s">
        <v>4191</v>
      </c>
      <c r="D2368" s="5">
        <v>3.0</v>
      </c>
    </row>
    <row r="2369">
      <c r="A2369" s="5">
        <v>934.0</v>
      </c>
      <c r="B2369" s="5" t="s">
        <v>5304</v>
      </c>
      <c r="C2369" s="5" t="s">
        <v>20</v>
      </c>
      <c r="D2369" s="5">
        <v>1.0</v>
      </c>
    </row>
    <row r="2370">
      <c r="A2370" s="5">
        <v>935.0</v>
      </c>
      <c r="B2370" s="5" t="s">
        <v>5307</v>
      </c>
      <c r="C2370" s="5" t="s">
        <v>20</v>
      </c>
      <c r="D2370" s="5">
        <v>1.0</v>
      </c>
    </row>
    <row r="2371">
      <c r="A2371" s="5">
        <v>936.0</v>
      </c>
      <c r="B2371" s="5" t="s">
        <v>5313</v>
      </c>
      <c r="C2371" s="5" t="s">
        <v>602</v>
      </c>
      <c r="D2371" s="5">
        <v>1.0</v>
      </c>
    </row>
    <row r="2372">
      <c r="A2372" s="5">
        <v>936.0</v>
      </c>
      <c r="B2372" s="5" t="s">
        <v>5313</v>
      </c>
      <c r="C2372" s="5" t="s">
        <v>20</v>
      </c>
      <c r="D2372" s="5">
        <v>2.0</v>
      </c>
    </row>
    <row r="2373">
      <c r="A2373" s="5">
        <v>936.0</v>
      </c>
      <c r="B2373" s="5" t="s">
        <v>5313</v>
      </c>
      <c r="C2373" s="5" t="s">
        <v>6621</v>
      </c>
      <c r="D2373" s="5">
        <v>3.0</v>
      </c>
    </row>
    <row r="2374">
      <c r="A2374" s="5">
        <v>937.0</v>
      </c>
      <c r="B2374" s="5" t="s">
        <v>5318</v>
      </c>
      <c r="C2374" s="5" t="s">
        <v>20</v>
      </c>
      <c r="D2374" s="5">
        <v>1.0</v>
      </c>
    </row>
    <row r="2375">
      <c r="A2375" s="5">
        <v>937.0</v>
      </c>
      <c r="B2375" s="5" t="s">
        <v>5318</v>
      </c>
      <c r="C2375" s="5" t="s">
        <v>6626</v>
      </c>
      <c r="D2375" s="5">
        <v>2.0</v>
      </c>
    </row>
    <row r="2376">
      <c r="A2376" s="5">
        <v>937.0</v>
      </c>
      <c r="B2376" s="5" t="s">
        <v>5318</v>
      </c>
      <c r="C2376" s="5" t="s">
        <v>6621</v>
      </c>
      <c r="D2376" s="5">
        <v>3.0</v>
      </c>
    </row>
    <row r="2377">
      <c r="A2377" s="5">
        <v>938.0</v>
      </c>
      <c r="B2377" s="5" t="s">
        <v>5322</v>
      </c>
      <c r="C2377" s="5" t="s">
        <v>602</v>
      </c>
      <c r="D2377" s="5">
        <v>1.0</v>
      </c>
    </row>
    <row r="2378">
      <c r="A2378" s="5">
        <v>938.0</v>
      </c>
      <c r="B2378" s="5" t="s">
        <v>5322</v>
      </c>
      <c r="C2378" s="5" t="s">
        <v>20</v>
      </c>
      <c r="D2378" s="5">
        <v>2.0</v>
      </c>
    </row>
    <row r="2379">
      <c r="A2379" s="5">
        <v>939.0</v>
      </c>
      <c r="B2379" s="5" t="s">
        <v>5328</v>
      </c>
      <c r="C2379" s="5" t="s">
        <v>6615</v>
      </c>
      <c r="D2379" s="5">
        <v>1.0</v>
      </c>
    </row>
    <row r="2380">
      <c r="A2380" s="5">
        <v>939.0</v>
      </c>
      <c r="B2380" s="5" t="s">
        <v>5328</v>
      </c>
      <c r="C2380" s="5" t="s">
        <v>20</v>
      </c>
      <c r="D2380" s="5">
        <v>2.0</v>
      </c>
    </row>
    <row r="2381">
      <c r="A2381" s="5">
        <v>939.0</v>
      </c>
      <c r="B2381" s="5" t="s">
        <v>5328</v>
      </c>
      <c r="C2381" s="5" t="s">
        <v>4191</v>
      </c>
      <c r="D2381" s="5">
        <v>3.0</v>
      </c>
    </row>
    <row r="2382">
      <c r="A2382" s="5">
        <v>940.0</v>
      </c>
      <c r="B2382" s="5" t="s">
        <v>5331</v>
      </c>
      <c r="C2382" s="5" t="s">
        <v>6615</v>
      </c>
      <c r="D2382" s="5">
        <v>1.0</v>
      </c>
    </row>
    <row r="2383">
      <c r="A2383" s="5">
        <v>940.0</v>
      </c>
      <c r="B2383" s="5" t="s">
        <v>5331</v>
      </c>
      <c r="C2383" s="5" t="s">
        <v>20</v>
      </c>
      <c r="D2383" s="5">
        <v>2.0</v>
      </c>
    </row>
    <row r="2384">
      <c r="A2384" s="5">
        <v>940.0</v>
      </c>
      <c r="B2384" s="5" t="s">
        <v>5331</v>
      </c>
      <c r="C2384" s="5" t="s">
        <v>4191</v>
      </c>
      <c r="D2384" s="5">
        <v>3.0</v>
      </c>
    </row>
    <row r="2385">
      <c r="A2385" s="5">
        <v>941.0</v>
      </c>
      <c r="B2385" s="5" t="s">
        <v>5336</v>
      </c>
      <c r="C2385" s="5" t="s">
        <v>6618</v>
      </c>
      <c r="D2385" s="5">
        <v>1.0</v>
      </c>
    </row>
    <row r="2386">
      <c r="A2386" s="5">
        <v>941.0</v>
      </c>
      <c r="B2386" s="5" t="s">
        <v>5336</v>
      </c>
      <c r="C2386" s="5" t="s">
        <v>20</v>
      </c>
      <c r="D2386" s="5">
        <v>2.0</v>
      </c>
    </row>
    <row r="2387">
      <c r="A2387" s="5">
        <v>941.0</v>
      </c>
      <c r="B2387" s="5" t="s">
        <v>5336</v>
      </c>
      <c r="C2387" s="5" t="s">
        <v>6624</v>
      </c>
      <c r="D2387" s="5">
        <v>3.0</v>
      </c>
    </row>
    <row r="2388">
      <c r="A2388" s="5">
        <v>942.0</v>
      </c>
      <c r="B2388" s="5" t="s">
        <v>5339</v>
      </c>
      <c r="C2388" s="5" t="s">
        <v>20</v>
      </c>
      <c r="D2388" s="5">
        <v>1.0</v>
      </c>
    </row>
    <row r="2389">
      <c r="A2389" s="5">
        <v>943.0</v>
      </c>
      <c r="B2389" s="5" t="s">
        <v>5342</v>
      </c>
      <c r="C2389" s="5" t="s">
        <v>20</v>
      </c>
      <c r="D2389" s="5">
        <v>1.0</v>
      </c>
    </row>
    <row r="2390">
      <c r="A2390" s="5">
        <v>943.0</v>
      </c>
      <c r="B2390" s="5" t="s">
        <v>5342</v>
      </c>
      <c r="C2390" s="5" t="s">
        <v>6620</v>
      </c>
      <c r="D2390" s="5">
        <v>2.0</v>
      </c>
    </row>
    <row r="2391">
      <c r="A2391" s="5">
        <v>943.0</v>
      </c>
      <c r="B2391" s="5" t="s">
        <v>5342</v>
      </c>
      <c r="C2391" s="5" t="s">
        <v>4191</v>
      </c>
      <c r="D2391" s="5">
        <v>3.0</v>
      </c>
    </row>
    <row r="2392">
      <c r="A2392" s="5">
        <v>944.0</v>
      </c>
      <c r="B2392" s="5" t="s">
        <v>5349</v>
      </c>
      <c r="C2392" s="5" t="s">
        <v>20</v>
      </c>
      <c r="D2392" s="5">
        <v>1.0</v>
      </c>
    </row>
    <row r="2393">
      <c r="A2393" s="5">
        <v>944.0</v>
      </c>
      <c r="B2393" s="5" t="s">
        <v>5349</v>
      </c>
      <c r="C2393" s="5" t="s">
        <v>2696</v>
      </c>
      <c r="D2393" s="5">
        <v>2.0</v>
      </c>
    </row>
    <row r="2394">
      <c r="A2394" s="5">
        <v>944.0</v>
      </c>
      <c r="B2394" s="5" t="s">
        <v>5349</v>
      </c>
      <c r="C2394" s="5" t="s">
        <v>6620</v>
      </c>
      <c r="D2394" s="5">
        <v>3.0</v>
      </c>
    </row>
    <row r="2395">
      <c r="A2395" s="5">
        <v>945.0</v>
      </c>
      <c r="B2395" s="5" t="s">
        <v>5354</v>
      </c>
      <c r="C2395" s="5" t="s">
        <v>6616</v>
      </c>
      <c r="D2395" s="5">
        <v>1.0</v>
      </c>
    </row>
    <row r="2396">
      <c r="A2396" s="5">
        <v>945.0</v>
      </c>
      <c r="B2396" s="5" t="s">
        <v>5354</v>
      </c>
      <c r="C2396" s="5" t="s">
        <v>6617</v>
      </c>
      <c r="D2396" s="5">
        <v>2.0</v>
      </c>
    </row>
    <row r="2397">
      <c r="A2397" s="5">
        <v>945.0</v>
      </c>
      <c r="B2397" s="5" t="s">
        <v>5354</v>
      </c>
      <c r="C2397" s="5" t="s">
        <v>20</v>
      </c>
      <c r="D2397" s="5">
        <v>3.0</v>
      </c>
    </row>
    <row r="2398">
      <c r="A2398" s="5">
        <v>946.0</v>
      </c>
      <c r="B2398" s="5" t="s">
        <v>5359</v>
      </c>
      <c r="C2398" s="5" t="s">
        <v>602</v>
      </c>
      <c r="D2398" s="5">
        <v>1.0</v>
      </c>
    </row>
    <row r="2399">
      <c r="A2399" s="5">
        <v>946.0</v>
      </c>
      <c r="B2399" s="5" t="s">
        <v>5359</v>
      </c>
      <c r="C2399" s="5" t="s">
        <v>20</v>
      </c>
      <c r="D2399" s="5">
        <v>2.0</v>
      </c>
    </row>
    <row r="2400">
      <c r="A2400" s="5">
        <v>947.0</v>
      </c>
      <c r="B2400" s="5" t="s">
        <v>5363</v>
      </c>
      <c r="C2400" s="5" t="s">
        <v>20</v>
      </c>
      <c r="D2400" s="5">
        <v>1.0</v>
      </c>
    </row>
    <row r="2401">
      <c r="A2401" s="5">
        <v>948.0</v>
      </c>
      <c r="B2401" s="5" t="s">
        <v>5367</v>
      </c>
      <c r="C2401" s="5" t="s">
        <v>6617</v>
      </c>
      <c r="D2401" s="5">
        <v>1.0</v>
      </c>
    </row>
    <row r="2402">
      <c r="A2402" s="5">
        <v>948.0</v>
      </c>
      <c r="B2402" s="5" t="s">
        <v>5367</v>
      </c>
      <c r="C2402" s="5" t="s">
        <v>6624</v>
      </c>
      <c r="D2402" s="5">
        <v>2.0</v>
      </c>
    </row>
    <row r="2403">
      <c r="A2403" s="5">
        <v>948.0</v>
      </c>
      <c r="B2403" s="5" t="s">
        <v>5367</v>
      </c>
      <c r="C2403" s="5" t="s">
        <v>6622</v>
      </c>
      <c r="D2403" s="5">
        <v>3.0</v>
      </c>
    </row>
    <row r="2404">
      <c r="A2404" s="5">
        <v>949.0</v>
      </c>
      <c r="B2404" s="5" t="s">
        <v>5371</v>
      </c>
      <c r="C2404" s="5" t="s">
        <v>2696</v>
      </c>
      <c r="D2404" s="5">
        <v>1.0</v>
      </c>
    </row>
    <row r="2405">
      <c r="A2405" s="5">
        <v>949.0</v>
      </c>
      <c r="B2405" s="5" t="s">
        <v>5371</v>
      </c>
      <c r="C2405" s="5" t="s">
        <v>6626</v>
      </c>
      <c r="D2405" s="5">
        <v>2.0</v>
      </c>
    </row>
    <row r="2406">
      <c r="A2406" s="5">
        <v>949.0</v>
      </c>
      <c r="B2406" s="5" t="s">
        <v>5371</v>
      </c>
      <c r="C2406" s="5" t="s">
        <v>4191</v>
      </c>
      <c r="D2406" s="5">
        <v>3.0</v>
      </c>
    </row>
    <row r="2407">
      <c r="A2407" s="5">
        <v>950.0</v>
      </c>
      <c r="B2407" s="5" t="s">
        <v>5374</v>
      </c>
      <c r="C2407" s="5" t="s">
        <v>6618</v>
      </c>
      <c r="D2407" s="5">
        <v>1.0</v>
      </c>
    </row>
    <row r="2408">
      <c r="A2408" s="5">
        <v>950.0</v>
      </c>
      <c r="B2408" s="5" t="s">
        <v>5374</v>
      </c>
      <c r="C2408" s="5" t="s">
        <v>6615</v>
      </c>
      <c r="D2408" s="5">
        <v>2.0</v>
      </c>
    </row>
    <row r="2409">
      <c r="A2409" s="5">
        <v>950.0</v>
      </c>
      <c r="B2409" s="5" t="s">
        <v>5374</v>
      </c>
      <c r="C2409" s="5" t="s">
        <v>20</v>
      </c>
      <c r="D2409" s="5">
        <v>3.0</v>
      </c>
    </row>
    <row r="2410">
      <c r="A2410" s="5">
        <v>951.0</v>
      </c>
      <c r="B2410" s="5" t="s">
        <v>5378</v>
      </c>
      <c r="C2410" s="5" t="s">
        <v>20</v>
      </c>
      <c r="D2410" s="5">
        <v>1.0</v>
      </c>
    </row>
    <row r="2411">
      <c r="A2411" s="5">
        <v>951.0</v>
      </c>
      <c r="B2411" s="5" t="s">
        <v>5378</v>
      </c>
      <c r="C2411" s="5" t="s">
        <v>6619</v>
      </c>
      <c r="D2411" s="5">
        <v>2.0</v>
      </c>
    </row>
    <row r="2412">
      <c r="A2412" s="5">
        <v>951.0</v>
      </c>
      <c r="B2412" s="5" t="s">
        <v>5378</v>
      </c>
      <c r="C2412" s="5" t="s">
        <v>6625</v>
      </c>
      <c r="D2412" s="5">
        <v>3.0</v>
      </c>
    </row>
    <row r="2413">
      <c r="A2413" s="5">
        <v>952.0</v>
      </c>
      <c r="B2413" s="5" t="s">
        <v>5382</v>
      </c>
      <c r="C2413" s="5" t="s">
        <v>6616</v>
      </c>
      <c r="D2413" s="5">
        <v>1.0</v>
      </c>
    </row>
    <row r="2414">
      <c r="A2414" s="5">
        <v>952.0</v>
      </c>
      <c r="B2414" s="5" t="s">
        <v>5382</v>
      </c>
      <c r="C2414" s="5" t="s">
        <v>6615</v>
      </c>
      <c r="D2414" s="5">
        <v>2.0</v>
      </c>
    </row>
    <row r="2415">
      <c r="A2415" s="5">
        <v>952.0</v>
      </c>
      <c r="B2415" s="5" t="s">
        <v>5382</v>
      </c>
      <c r="C2415" s="5" t="s">
        <v>6626</v>
      </c>
      <c r="D2415" s="5">
        <v>3.0</v>
      </c>
    </row>
    <row r="2416">
      <c r="A2416" s="5">
        <v>953.0</v>
      </c>
      <c r="B2416" s="5" t="s">
        <v>5385</v>
      </c>
      <c r="C2416" s="5" t="s">
        <v>6618</v>
      </c>
      <c r="D2416" s="5">
        <v>1.0</v>
      </c>
    </row>
    <row r="2417">
      <c r="A2417" s="5">
        <v>953.0</v>
      </c>
      <c r="B2417" s="5" t="s">
        <v>5385</v>
      </c>
      <c r="C2417" s="5" t="s">
        <v>20</v>
      </c>
      <c r="D2417" s="5">
        <v>2.0</v>
      </c>
    </row>
    <row r="2418">
      <c r="A2418" s="5">
        <v>953.0</v>
      </c>
      <c r="B2418" s="5" t="s">
        <v>5385</v>
      </c>
      <c r="C2418" s="5" t="s">
        <v>6630</v>
      </c>
      <c r="D2418" s="5">
        <v>3.0</v>
      </c>
    </row>
    <row r="2419">
      <c r="A2419" s="5">
        <v>954.0</v>
      </c>
      <c r="B2419" s="5" t="s">
        <v>5388</v>
      </c>
      <c r="C2419" s="5" t="s">
        <v>602</v>
      </c>
      <c r="D2419" s="5">
        <v>1.0</v>
      </c>
    </row>
    <row r="2420">
      <c r="A2420" s="5">
        <v>954.0</v>
      </c>
      <c r="B2420" s="5" t="s">
        <v>5388</v>
      </c>
      <c r="C2420" s="5" t="s">
        <v>6615</v>
      </c>
      <c r="D2420" s="5">
        <v>2.0</v>
      </c>
    </row>
    <row r="2421">
      <c r="A2421" s="5">
        <v>954.0</v>
      </c>
      <c r="B2421" s="5" t="s">
        <v>5388</v>
      </c>
      <c r="C2421" s="5" t="s">
        <v>20</v>
      </c>
      <c r="D2421" s="5">
        <v>3.0</v>
      </c>
    </row>
    <row r="2422">
      <c r="A2422" s="5">
        <v>955.0</v>
      </c>
      <c r="B2422" s="5" t="s">
        <v>5393</v>
      </c>
      <c r="C2422" s="5" t="s">
        <v>6615</v>
      </c>
      <c r="D2422" s="5">
        <v>1.0</v>
      </c>
    </row>
    <row r="2423">
      <c r="A2423" s="5">
        <v>955.0</v>
      </c>
      <c r="B2423" s="5" t="s">
        <v>5393</v>
      </c>
      <c r="C2423" s="5" t="s">
        <v>20</v>
      </c>
      <c r="D2423" s="5">
        <v>2.0</v>
      </c>
    </row>
    <row r="2424">
      <c r="A2424" s="5">
        <v>955.0</v>
      </c>
      <c r="B2424" s="5" t="s">
        <v>5393</v>
      </c>
      <c r="C2424" s="5" t="s">
        <v>4191</v>
      </c>
      <c r="D2424" s="5">
        <v>3.0</v>
      </c>
    </row>
    <row r="2425">
      <c r="A2425" s="5">
        <v>956.0</v>
      </c>
      <c r="B2425" s="5" t="s">
        <v>5398</v>
      </c>
      <c r="C2425" s="5" t="s">
        <v>20</v>
      </c>
      <c r="D2425" s="5">
        <v>1.0</v>
      </c>
    </row>
    <row r="2426">
      <c r="A2426" s="5">
        <v>956.0</v>
      </c>
      <c r="B2426" s="5" t="s">
        <v>5398</v>
      </c>
      <c r="C2426" s="5" t="s">
        <v>6625</v>
      </c>
      <c r="D2426" s="5">
        <v>2.0</v>
      </c>
    </row>
    <row r="2427">
      <c r="A2427" s="5">
        <v>957.0</v>
      </c>
      <c r="B2427" s="5" t="s">
        <v>5401</v>
      </c>
      <c r="C2427" s="5" t="s">
        <v>6623</v>
      </c>
      <c r="D2427" s="5">
        <v>1.0</v>
      </c>
    </row>
    <row r="2428">
      <c r="A2428" s="5">
        <v>957.0</v>
      </c>
      <c r="B2428" s="5" t="s">
        <v>5401</v>
      </c>
      <c r="C2428" s="5" t="s">
        <v>6617</v>
      </c>
      <c r="D2428" s="5">
        <v>2.0</v>
      </c>
    </row>
    <row r="2429">
      <c r="A2429" s="5">
        <v>957.0</v>
      </c>
      <c r="B2429" s="5" t="s">
        <v>5401</v>
      </c>
      <c r="C2429" s="5" t="s">
        <v>6624</v>
      </c>
      <c r="D2429" s="5">
        <v>3.0</v>
      </c>
    </row>
    <row r="2430">
      <c r="A2430" s="5">
        <v>958.0</v>
      </c>
      <c r="B2430" s="5" t="s">
        <v>5407</v>
      </c>
      <c r="C2430" s="5" t="s">
        <v>6617</v>
      </c>
      <c r="D2430" s="5">
        <v>1.0</v>
      </c>
    </row>
    <row r="2431">
      <c r="A2431" s="5">
        <v>958.0</v>
      </c>
      <c r="B2431" s="5" t="s">
        <v>5407</v>
      </c>
      <c r="C2431" s="5" t="s">
        <v>602</v>
      </c>
      <c r="D2431" s="5">
        <v>2.0</v>
      </c>
    </row>
    <row r="2432">
      <c r="A2432" s="5">
        <v>958.0</v>
      </c>
      <c r="B2432" s="5" t="s">
        <v>5407</v>
      </c>
      <c r="C2432" s="5" t="s">
        <v>20</v>
      </c>
      <c r="D2432" s="5">
        <v>3.0</v>
      </c>
    </row>
    <row r="2433">
      <c r="A2433" s="5">
        <v>959.0</v>
      </c>
      <c r="B2433" s="5" t="s">
        <v>5411</v>
      </c>
      <c r="C2433" s="5" t="s">
        <v>6615</v>
      </c>
      <c r="D2433" s="5">
        <v>1.0</v>
      </c>
    </row>
    <row r="2434">
      <c r="A2434" s="5">
        <v>959.0</v>
      </c>
      <c r="B2434" s="5" t="s">
        <v>5411</v>
      </c>
      <c r="C2434" s="5" t="s">
        <v>20</v>
      </c>
      <c r="D2434" s="5">
        <v>2.0</v>
      </c>
    </row>
    <row r="2435">
      <c r="A2435" s="5">
        <v>959.0</v>
      </c>
      <c r="B2435" s="5" t="s">
        <v>5411</v>
      </c>
      <c r="C2435" s="5" t="s">
        <v>4191</v>
      </c>
      <c r="D2435" s="5">
        <v>3.0</v>
      </c>
    </row>
    <row r="2436">
      <c r="A2436" s="5">
        <v>960.0</v>
      </c>
      <c r="B2436" s="5" t="s">
        <v>5416</v>
      </c>
      <c r="C2436" s="5" t="s">
        <v>6626</v>
      </c>
      <c r="D2436" s="5">
        <v>1.0</v>
      </c>
    </row>
    <row r="2437">
      <c r="A2437" s="5">
        <v>960.0</v>
      </c>
      <c r="B2437" s="5" t="s">
        <v>5416</v>
      </c>
      <c r="C2437" s="5" t="s">
        <v>6620</v>
      </c>
      <c r="D2437" s="5">
        <v>2.0</v>
      </c>
    </row>
    <row r="2438">
      <c r="A2438" s="5">
        <v>960.0</v>
      </c>
      <c r="B2438" s="5" t="s">
        <v>5416</v>
      </c>
      <c r="C2438" s="5" t="s">
        <v>4191</v>
      </c>
      <c r="D2438" s="5">
        <v>3.0</v>
      </c>
    </row>
    <row r="2439">
      <c r="A2439" s="5">
        <v>961.0</v>
      </c>
      <c r="B2439" s="5" t="s">
        <v>5421</v>
      </c>
      <c r="C2439" s="5" t="s">
        <v>6615</v>
      </c>
      <c r="D2439" s="5">
        <v>1.0</v>
      </c>
    </row>
    <row r="2440">
      <c r="A2440" s="5">
        <v>961.0</v>
      </c>
      <c r="B2440" s="5" t="s">
        <v>5421</v>
      </c>
      <c r="C2440" s="5" t="s">
        <v>20</v>
      </c>
      <c r="D2440" s="5">
        <v>2.0</v>
      </c>
    </row>
    <row r="2441">
      <c r="A2441" s="5">
        <v>961.0</v>
      </c>
      <c r="B2441" s="5" t="s">
        <v>5421</v>
      </c>
      <c r="C2441" s="5" t="s">
        <v>4191</v>
      </c>
      <c r="D2441" s="5">
        <v>3.0</v>
      </c>
    </row>
    <row r="2442">
      <c r="A2442" s="5">
        <v>962.0</v>
      </c>
      <c r="B2442" s="5" t="s">
        <v>5424</v>
      </c>
      <c r="C2442" s="5" t="s">
        <v>6626</v>
      </c>
      <c r="D2442" s="5">
        <v>1.0</v>
      </c>
    </row>
    <row r="2443">
      <c r="A2443" s="5">
        <v>962.0</v>
      </c>
      <c r="B2443" s="5" t="s">
        <v>5424</v>
      </c>
      <c r="C2443" s="5" t="s">
        <v>4191</v>
      </c>
      <c r="D2443" s="5">
        <v>2.0</v>
      </c>
    </row>
    <row r="2444">
      <c r="A2444" s="5">
        <v>963.0</v>
      </c>
      <c r="B2444" s="5" t="s">
        <v>5428</v>
      </c>
      <c r="C2444" s="5" t="s">
        <v>20</v>
      </c>
      <c r="D2444" s="5">
        <v>1.0</v>
      </c>
    </row>
    <row r="2445">
      <c r="A2445" s="5">
        <v>963.0</v>
      </c>
      <c r="B2445" s="5" t="s">
        <v>5428</v>
      </c>
      <c r="C2445" s="5" t="s">
        <v>6621</v>
      </c>
      <c r="D2445" s="5">
        <v>2.0</v>
      </c>
    </row>
    <row r="2446">
      <c r="A2446" s="5">
        <v>964.0</v>
      </c>
      <c r="B2446" s="5" t="s">
        <v>5431</v>
      </c>
      <c r="C2446" s="5" t="s">
        <v>6616</v>
      </c>
      <c r="D2446" s="5">
        <v>1.0</v>
      </c>
    </row>
    <row r="2447">
      <c r="A2447" s="5">
        <v>964.0</v>
      </c>
      <c r="B2447" s="5" t="s">
        <v>5431</v>
      </c>
      <c r="C2447" s="5" t="s">
        <v>6617</v>
      </c>
      <c r="D2447" s="5">
        <v>2.0</v>
      </c>
    </row>
    <row r="2448">
      <c r="A2448" s="5">
        <v>964.0</v>
      </c>
      <c r="B2448" s="5" t="s">
        <v>5431</v>
      </c>
      <c r="C2448" s="5" t="s">
        <v>4191</v>
      </c>
      <c r="D2448" s="5">
        <v>3.0</v>
      </c>
    </row>
    <row r="2449">
      <c r="A2449" s="5">
        <v>965.0</v>
      </c>
      <c r="B2449" s="5" t="s">
        <v>5433</v>
      </c>
      <c r="C2449" s="5" t="s">
        <v>6617</v>
      </c>
      <c r="D2449" s="5">
        <v>1.0</v>
      </c>
    </row>
    <row r="2450">
      <c r="A2450" s="5">
        <v>965.0</v>
      </c>
      <c r="B2450" s="5" t="s">
        <v>5433</v>
      </c>
      <c r="C2450" s="5" t="s">
        <v>20</v>
      </c>
      <c r="D2450" s="5">
        <v>2.0</v>
      </c>
    </row>
    <row r="2451">
      <c r="A2451" s="5">
        <v>965.0</v>
      </c>
      <c r="B2451" s="5" t="s">
        <v>5433</v>
      </c>
      <c r="C2451" s="5" t="s">
        <v>6622</v>
      </c>
      <c r="D2451" s="5">
        <v>3.0</v>
      </c>
    </row>
    <row r="2452">
      <c r="A2452" s="5">
        <v>966.0</v>
      </c>
      <c r="B2452" s="5" t="s">
        <v>5437</v>
      </c>
      <c r="C2452" s="5" t="s">
        <v>20</v>
      </c>
      <c r="D2452" s="5">
        <v>1.0</v>
      </c>
    </row>
    <row r="2453">
      <c r="A2453" s="5">
        <v>966.0</v>
      </c>
      <c r="B2453" s="5" t="s">
        <v>5437</v>
      </c>
      <c r="C2453" s="5" t="s">
        <v>6621</v>
      </c>
      <c r="D2453" s="5">
        <v>2.0</v>
      </c>
    </row>
    <row r="2454">
      <c r="A2454" s="5">
        <v>967.0</v>
      </c>
      <c r="B2454" s="5" t="s">
        <v>5441</v>
      </c>
      <c r="C2454" s="5" t="s">
        <v>6617</v>
      </c>
      <c r="D2454" s="5">
        <v>1.0</v>
      </c>
    </row>
    <row r="2455">
      <c r="A2455" s="5">
        <v>967.0</v>
      </c>
      <c r="B2455" s="5" t="s">
        <v>5441</v>
      </c>
      <c r="C2455" s="5" t="s">
        <v>20</v>
      </c>
      <c r="D2455" s="5">
        <v>2.0</v>
      </c>
    </row>
    <row r="2456">
      <c r="A2456" s="5">
        <v>967.0</v>
      </c>
      <c r="B2456" s="5" t="s">
        <v>5441</v>
      </c>
      <c r="C2456" s="5" t="s">
        <v>6619</v>
      </c>
      <c r="D2456" s="5">
        <v>3.0</v>
      </c>
    </row>
    <row r="2457">
      <c r="A2457" s="5">
        <v>968.0</v>
      </c>
      <c r="B2457" s="5" t="s">
        <v>5443</v>
      </c>
      <c r="C2457" s="5" t="s">
        <v>602</v>
      </c>
      <c r="D2457" s="5">
        <v>1.0</v>
      </c>
    </row>
    <row r="2458">
      <c r="A2458" s="5">
        <v>968.0</v>
      </c>
      <c r="B2458" s="5" t="s">
        <v>5443</v>
      </c>
      <c r="C2458" s="5" t="s">
        <v>20</v>
      </c>
      <c r="D2458" s="5">
        <v>2.0</v>
      </c>
    </row>
    <row r="2459">
      <c r="A2459" s="5">
        <v>968.0</v>
      </c>
      <c r="B2459" s="5" t="s">
        <v>5443</v>
      </c>
      <c r="C2459" s="5" t="s">
        <v>6621</v>
      </c>
      <c r="D2459" s="5">
        <v>3.0</v>
      </c>
    </row>
    <row r="2460">
      <c r="A2460" s="5">
        <v>969.0</v>
      </c>
      <c r="B2460" s="5" t="s">
        <v>5447</v>
      </c>
      <c r="C2460" s="5" t="s">
        <v>6616</v>
      </c>
      <c r="D2460" s="5">
        <v>1.0</v>
      </c>
    </row>
    <row r="2461">
      <c r="A2461" s="5">
        <v>969.0</v>
      </c>
      <c r="B2461" s="5" t="s">
        <v>5447</v>
      </c>
      <c r="C2461" s="5" t="s">
        <v>6615</v>
      </c>
      <c r="D2461" s="5">
        <v>2.0</v>
      </c>
    </row>
    <row r="2462">
      <c r="A2462" s="5">
        <v>969.0</v>
      </c>
      <c r="B2462" s="5" t="s">
        <v>5447</v>
      </c>
      <c r="C2462" s="5" t="s">
        <v>20</v>
      </c>
      <c r="D2462" s="5">
        <v>3.0</v>
      </c>
    </row>
    <row r="2463">
      <c r="A2463" s="5">
        <v>970.0</v>
      </c>
      <c r="B2463" s="5" t="s">
        <v>5451</v>
      </c>
      <c r="C2463" s="5" t="s">
        <v>602</v>
      </c>
      <c r="D2463" s="5">
        <v>1.0</v>
      </c>
    </row>
    <row r="2464">
      <c r="A2464" s="5">
        <v>971.0</v>
      </c>
      <c r="B2464" s="5" t="s">
        <v>5455</v>
      </c>
      <c r="C2464" s="5" t="s">
        <v>602</v>
      </c>
      <c r="D2464" s="5">
        <v>1.0</v>
      </c>
    </row>
    <row r="2465">
      <c r="A2465" s="5">
        <v>971.0</v>
      </c>
      <c r="B2465" s="5" t="s">
        <v>5455</v>
      </c>
      <c r="C2465" s="5" t="s">
        <v>6615</v>
      </c>
      <c r="D2465" s="5">
        <v>2.0</v>
      </c>
    </row>
    <row r="2466">
      <c r="A2466" s="5">
        <v>972.0</v>
      </c>
      <c r="B2466" s="5" t="s">
        <v>5460</v>
      </c>
      <c r="C2466" s="5" t="s">
        <v>6623</v>
      </c>
      <c r="D2466" s="5">
        <v>1.0</v>
      </c>
    </row>
    <row r="2467">
      <c r="A2467" s="5">
        <v>972.0</v>
      </c>
      <c r="B2467" s="5" t="s">
        <v>5460</v>
      </c>
      <c r="C2467" s="5" t="s">
        <v>20</v>
      </c>
      <c r="D2467" s="5">
        <v>2.0</v>
      </c>
    </row>
    <row r="2468">
      <c r="A2468" s="5">
        <v>972.0</v>
      </c>
      <c r="B2468" s="5" t="s">
        <v>5460</v>
      </c>
      <c r="C2468" s="5" t="s">
        <v>6621</v>
      </c>
      <c r="D2468" s="5">
        <v>3.0</v>
      </c>
    </row>
    <row r="2469">
      <c r="A2469" s="5">
        <v>973.0</v>
      </c>
      <c r="B2469" s="5" t="s">
        <v>5466</v>
      </c>
      <c r="C2469" s="5" t="s">
        <v>602</v>
      </c>
      <c r="D2469" s="5">
        <v>1.0</v>
      </c>
    </row>
    <row r="2470">
      <c r="A2470" s="5">
        <v>973.0</v>
      </c>
      <c r="B2470" s="5" t="s">
        <v>5466</v>
      </c>
      <c r="C2470" s="5" t="s">
        <v>6615</v>
      </c>
      <c r="D2470" s="5">
        <v>2.0</v>
      </c>
    </row>
    <row r="2471">
      <c r="A2471" s="5">
        <v>974.0</v>
      </c>
      <c r="B2471" s="5" t="s">
        <v>5471</v>
      </c>
      <c r="C2471" s="5" t="s">
        <v>602</v>
      </c>
      <c r="D2471" s="5">
        <v>1.0</v>
      </c>
    </row>
    <row r="2472">
      <c r="A2472" s="5">
        <v>974.0</v>
      </c>
      <c r="B2472" s="5" t="s">
        <v>5471</v>
      </c>
      <c r="C2472" s="5" t="s">
        <v>6624</v>
      </c>
      <c r="D2472" s="5">
        <v>2.0</v>
      </c>
    </row>
    <row r="2473">
      <c r="A2473" s="5">
        <v>975.0</v>
      </c>
      <c r="B2473" s="5" t="s">
        <v>5476</v>
      </c>
      <c r="C2473" s="5" t="s">
        <v>6615</v>
      </c>
      <c r="D2473" s="5">
        <v>1.0</v>
      </c>
    </row>
    <row r="2474">
      <c r="A2474" s="5">
        <v>975.0</v>
      </c>
      <c r="B2474" s="5" t="s">
        <v>5476</v>
      </c>
      <c r="C2474" s="5" t="s">
        <v>20</v>
      </c>
      <c r="D2474" s="5">
        <v>2.0</v>
      </c>
    </row>
    <row r="2475">
      <c r="A2475" s="5">
        <v>976.0</v>
      </c>
      <c r="B2475" s="5" t="s">
        <v>5479</v>
      </c>
      <c r="C2475" s="5" t="s">
        <v>602</v>
      </c>
      <c r="D2475" s="5">
        <v>1.0</v>
      </c>
    </row>
    <row r="2476">
      <c r="A2476" s="5">
        <v>976.0</v>
      </c>
      <c r="B2476" s="5" t="s">
        <v>5479</v>
      </c>
      <c r="C2476" s="5" t="s">
        <v>20</v>
      </c>
      <c r="D2476" s="5">
        <v>2.0</v>
      </c>
    </row>
    <row r="2477">
      <c r="A2477" s="5">
        <v>976.0</v>
      </c>
      <c r="B2477" s="5" t="s">
        <v>5479</v>
      </c>
      <c r="C2477" s="5" t="s">
        <v>6621</v>
      </c>
      <c r="D2477" s="5">
        <v>3.0</v>
      </c>
    </row>
    <row r="2478">
      <c r="A2478" s="5">
        <v>977.0</v>
      </c>
      <c r="B2478" s="5" t="s">
        <v>5482</v>
      </c>
      <c r="C2478" s="5" t="s">
        <v>6623</v>
      </c>
      <c r="D2478" s="5">
        <v>1.0</v>
      </c>
    </row>
    <row r="2479">
      <c r="A2479" s="5">
        <v>977.0</v>
      </c>
      <c r="B2479" s="5" t="s">
        <v>5482</v>
      </c>
      <c r="C2479" s="5" t="s">
        <v>6624</v>
      </c>
      <c r="D2479" s="5">
        <v>2.0</v>
      </c>
    </row>
    <row r="2480">
      <c r="A2480" s="5">
        <v>977.0</v>
      </c>
      <c r="B2480" s="5" t="s">
        <v>5482</v>
      </c>
      <c r="C2480" s="5" t="s">
        <v>6622</v>
      </c>
      <c r="D2480" s="5">
        <v>3.0</v>
      </c>
    </row>
    <row r="2481">
      <c r="A2481" s="5">
        <v>978.0</v>
      </c>
      <c r="B2481" s="5" t="s">
        <v>5487</v>
      </c>
      <c r="C2481" s="5" t="s">
        <v>602</v>
      </c>
      <c r="D2481" s="5">
        <v>1.0</v>
      </c>
    </row>
    <row r="2482">
      <c r="A2482" s="5">
        <v>978.0</v>
      </c>
      <c r="B2482" s="5" t="s">
        <v>5487</v>
      </c>
      <c r="C2482" s="5" t="s">
        <v>6615</v>
      </c>
      <c r="D2482" s="5">
        <v>2.0</v>
      </c>
    </row>
    <row r="2483">
      <c r="A2483" s="5">
        <v>979.0</v>
      </c>
      <c r="B2483" s="5" t="s">
        <v>5493</v>
      </c>
      <c r="C2483" s="5" t="s">
        <v>602</v>
      </c>
      <c r="D2483" s="5">
        <v>1.0</v>
      </c>
    </row>
    <row r="2484">
      <c r="A2484" s="5">
        <v>979.0</v>
      </c>
      <c r="B2484" s="5" t="s">
        <v>5493</v>
      </c>
      <c r="C2484" s="5" t="s">
        <v>20</v>
      </c>
      <c r="D2484" s="5">
        <v>2.0</v>
      </c>
    </row>
    <row r="2485">
      <c r="A2485" s="5">
        <v>980.0</v>
      </c>
      <c r="B2485" s="5" t="s">
        <v>5497</v>
      </c>
      <c r="C2485" s="5" t="s">
        <v>6616</v>
      </c>
      <c r="D2485" s="5">
        <v>1.0</v>
      </c>
    </row>
    <row r="2486">
      <c r="A2486" s="5">
        <v>980.0</v>
      </c>
      <c r="B2486" s="5" t="s">
        <v>5497</v>
      </c>
      <c r="C2486" s="5" t="s">
        <v>6615</v>
      </c>
      <c r="D2486" s="5">
        <v>2.0</v>
      </c>
    </row>
    <row r="2487">
      <c r="A2487" s="5">
        <v>980.0</v>
      </c>
      <c r="B2487" s="5" t="s">
        <v>5497</v>
      </c>
      <c r="C2487" s="5" t="s">
        <v>4191</v>
      </c>
      <c r="D2487" s="5">
        <v>3.0</v>
      </c>
    </row>
    <row r="2488">
      <c r="A2488" s="5">
        <v>981.0</v>
      </c>
      <c r="B2488" s="5" t="s">
        <v>5501</v>
      </c>
      <c r="C2488" s="5" t="s">
        <v>6615</v>
      </c>
      <c r="D2488" s="5">
        <v>1.0</v>
      </c>
    </row>
    <row r="2489">
      <c r="A2489" s="5">
        <v>981.0</v>
      </c>
      <c r="B2489" s="5" t="s">
        <v>5501</v>
      </c>
      <c r="C2489" s="5" t="s">
        <v>20</v>
      </c>
      <c r="D2489" s="5">
        <v>2.0</v>
      </c>
    </row>
    <row r="2490">
      <c r="A2490" s="5">
        <v>981.0</v>
      </c>
      <c r="B2490" s="5" t="s">
        <v>5501</v>
      </c>
      <c r="C2490" s="5" t="s">
        <v>4191</v>
      </c>
      <c r="D2490" s="5">
        <v>3.0</v>
      </c>
    </row>
    <row r="2491">
      <c r="A2491" s="5">
        <v>982.0</v>
      </c>
      <c r="B2491" s="5" t="s">
        <v>5505</v>
      </c>
      <c r="C2491" s="5" t="s">
        <v>20</v>
      </c>
      <c r="D2491" s="5">
        <v>1.0</v>
      </c>
    </row>
    <row r="2492">
      <c r="A2492" s="5">
        <v>983.0</v>
      </c>
      <c r="B2492" s="5" t="s">
        <v>5510</v>
      </c>
      <c r="C2492" s="5" t="s">
        <v>6616</v>
      </c>
      <c r="D2492" s="5">
        <v>1.0</v>
      </c>
    </row>
    <row r="2493">
      <c r="A2493" s="5">
        <v>983.0</v>
      </c>
      <c r="B2493" s="5" t="s">
        <v>5510</v>
      </c>
      <c r="C2493" s="5" t="s">
        <v>6617</v>
      </c>
      <c r="D2493" s="5">
        <v>2.0</v>
      </c>
    </row>
    <row r="2494">
      <c r="A2494" s="5">
        <v>983.0</v>
      </c>
      <c r="B2494" s="5" t="s">
        <v>5510</v>
      </c>
      <c r="C2494" s="5" t="s">
        <v>6620</v>
      </c>
      <c r="D2494" s="5">
        <v>3.0</v>
      </c>
    </row>
    <row r="2495">
      <c r="A2495" s="5">
        <v>984.0</v>
      </c>
      <c r="B2495" s="5" t="s">
        <v>5515</v>
      </c>
      <c r="C2495" s="5" t="s">
        <v>6616</v>
      </c>
      <c r="D2495" s="5">
        <v>1.0</v>
      </c>
    </row>
    <row r="2496">
      <c r="A2496" s="5">
        <v>984.0</v>
      </c>
      <c r="B2496" s="5" t="s">
        <v>5515</v>
      </c>
      <c r="C2496" s="5" t="s">
        <v>6615</v>
      </c>
      <c r="D2496" s="5">
        <v>2.0</v>
      </c>
    </row>
    <row r="2497">
      <c r="A2497" s="5">
        <v>984.0</v>
      </c>
      <c r="B2497" s="5" t="s">
        <v>5515</v>
      </c>
      <c r="C2497" s="5" t="s">
        <v>4191</v>
      </c>
      <c r="D2497" s="5">
        <v>3.0</v>
      </c>
    </row>
    <row r="2498">
      <c r="A2498" s="5">
        <v>985.0</v>
      </c>
      <c r="B2498" s="5" t="s">
        <v>5522</v>
      </c>
      <c r="C2498" s="5" t="s">
        <v>6617</v>
      </c>
      <c r="D2498" s="5">
        <v>1.0</v>
      </c>
    </row>
    <row r="2499">
      <c r="A2499" s="5">
        <v>985.0</v>
      </c>
      <c r="B2499" s="5" t="s">
        <v>5522</v>
      </c>
      <c r="C2499" s="5" t="s">
        <v>602</v>
      </c>
      <c r="D2499" s="5">
        <v>2.0</v>
      </c>
    </row>
    <row r="2500">
      <c r="A2500" s="5">
        <v>985.0</v>
      </c>
      <c r="B2500" s="5" t="s">
        <v>5522</v>
      </c>
      <c r="C2500" s="5" t="s">
        <v>6624</v>
      </c>
      <c r="D2500" s="5">
        <v>3.0</v>
      </c>
    </row>
    <row r="2501">
      <c r="A2501" s="5">
        <v>986.0</v>
      </c>
      <c r="B2501" s="5" t="s">
        <v>5529</v>
      </c>
      <c r="C2501" s="5" t="s">
        <v>6616</v>
      </c>
      <c r="D2501" s="5">
        <v>1.0</v>
      </c>
    </row>
    <row r="2502">
      <c r="A2502" s="5">
        <v>986.0</v>
      </c>
      <c r="B2502" s="5" t="s">
        <v>5529</v>
      </c>
      <c r="C2502" s="5" t="s">
        <v>6618</v>
      </c>
      <c r="D2502" s="5">
        <v>2.0</v>
      </c>
    </row>
    <row r="2503">
      <c r="A2503" s="5">
        <v>986.0</v>
      </c>
      <c r="B2503" s="5" t="s">
        <v>5529</v>
      </c>
      <c r="C2503" s="5" t="s">
        <v>6615</v>
      </c>
      <c r="D2503" s="5">
        <v>3.0</v>
      </c>
    </row>
    <row r="2504">
      <c r="A2504" s="5">
        <v>987.0</v>
      </c>
      <c r="B2504" s="5" t="s">
        <v>5533</v>
      </c>
      <c r="C2504" s="5" t="s">
        <v>6623</v>
      </c>
      <c r="D2504" s="5">
        <v>1.0</v>
      </c>
    </row>
    <row r="2505">
      <c r="A2505" s="5">
        <v>987.0</v>
      </c>
      <c r="B2505" s="5" t="s">
        <v>5533</v>
      </c>
      <c r="C2505" s="5" t="s">
        <v>6617</v>
      </c>
      <c r="D2505" s="5">
        <v>2.0</v>
      </c>
    </row>
    <row r="2506">
      <c r="A2506" s="5">
        <v>987.0</v>
      </c>
      <c r="B2506" s="5" t="s">
        <v>5533</v>
      </c>
      <c r="C2506" s="5" t="s">
        <v>20</v>
      </c>
      <c r="D2506" s="5">
        <v>3.0</v>
      </c>
    </row>
    <row r="2507">
      <c r="A2507" s="5">
        <v>988.0</v>
      </c>
      <c r="B2507" s="5" t="s">
        <v>5539</v>
      </c>
      <c r="C2507" s="5" t="s">
        <v>6618</v>
      </c>
      <c r="D2507" s="5">
        <v>1.0</v>
      </c>
    </row>
    <row r="2508">
      <c r="A2508" s="5">
        <v>988.0</v>
      </c>
      <c r="B2508" s="5" t="s">
        <v>5539</v>
      </c>
      <c r="C2508" s="5" t="s">
        <v>6615</v>
      </c>
      <c r="D2508" s="5">
        <v>2.0</v>
      </c>
    </row>
    <row r="2509">
      <c r="A2509" s="5">
        <v>988.0</v>
      </c>
      <c r="B2509" s="5" t="s">
        <v>5539</v>
      </c>
      <c r="C2509" s="5" t="s">
        <v>20</v>
      </c>
      <c r="D2509" s="5">
        <v>3.0</v>
      </c>
    </row>
    <row r="2510">
      <c r="A2510" s="5">
        <v>989.0</v>
      </c>
      <c r="B2510" s="5" t="s">
        <v>5545</v>
      </c>
      <c r="C2510" s="5" t="s">
        <v>20</v>
      </c>
      <c r="D2510" s="5">
        <v>1.0</v>
      </c>
    </row>
    <row r="2511">
      <c r="A2511" s="5">
        <v>989.0</v>
      </c>
      <c r="B2511" s="5" t="s">
        <v>5545</v>
      </c>
      <c r="C2511" s="5" t="s">
        <v>6620</v>
      </c>
      <c r="D2511" s="5">
        <v>2.0</v>
      </c>
    </row>
    <row r="2512">
      <c r="A2512" s="5">
        <v>990.0</v>
      </c>
      <c r="B2512" s="5" t="s">
        <v>5548</v>
      </c>
      <c r="C2512" s="5" t="s">
        <v>602</v>
      </c>
      <c r="D2512" s="5">
        <v>1.0</v>
      </c>
    </row>
    <row r="2513">
      <c r="A2513" s="5">
        <v>990.0</v>
      </c>
      <c r="B2513" s="5" t="s">
        <v>5548</v>
      </c>
      <c r="C2513" s="5" t="s">
        <v>6615</v>
      </c>
      <c r="D2513" s="5">
        <v>2.0</v>
      </c>
    </row>
    <row r="2514">
      <c r="A2514" s="5">
        <v>990.0</v>
      </c>
      <c r="B2514" s="5" t="s">
        <v>5548</v>
      </c>
      <c r="C2514" s="5" t="s">
        <v>20</v>
      </c>
      <c r="D2514" s="5">
        <v>3.0</v>
      </c>
    </row>
    <row r="2515">
      <c r="A2515" s="5">
        <v>991.0</v>
      </c>
      <c r="B2515" s="5" t="s">
        <v>5552</v>
      </c>
      <c r="C2515" s="5" t="s">
        <v>20</v>
      </c>
      <c r="D2515" s="5">
        <v>1.0</v>
      </c>
    </row>
    <row r="2516">
      <c r="A2516" s="5">
        <v>991.0</v>
      </c>
      <c r="B2516" s="5" t="s">
        <v>5552</v>
      </c>
      <c r="C2516" s="5" t="s">
        <v>6625</v>
      </c>
      <c r="D2516" s="5">
        <v>2.0</v>
      </c>
    </row>
    <row r="2517">
      <c r="A2517" s="5">
        <v>991.0</v>
      </c>
      <c r="B2517" s="5" t="s">
        <v>5552</v>
      </c>
      <c r="C2517" s="5" t="s">
        <v>116</v>
      </c>
      <c r="D2517" s="5">
        <v>3.0</v>
      </c>
    </row>
    <row r="2518">
      <c r="A2518" s="5">
        <v>992.0</v>
      </c>
      <c r="B2518" s="5" t="s">
        <v>5558</v>
      </c>
      <c r="C2518" s="5" t="s">
        <v>6617</v>
      </c>
      <c r="D2518" s="5">
        <v>1.0</v>
      </c>
    </row>
    <row r="2519">
      <c r="A2519" s="5">
        <v>992.0</v>
      </c>
      <c r="B2519" s="5" t="s">
        <v>5558</v>
      </c>
      <c r="C2519" s="5" t="s">
        <v>602</v>
      </c>
      <c r="D2519" s="5">
        <v>2.0</v>
      </c>
    </row>
    <row r="2520">
      <c r="A2520" s="5">
        <v>992.0</v>
      </c>
      <c r="B2520" s="5" t="s">
        <v>5558</v>
      </c>
      <c r="C2520" s="5" t="s">
        <v>6625</v>
      </c>
      <c r="D2520" s="5">
        <v>3.0</v>
      </c>
    </row>
    <row r="2521">
      <c r="A2521" s="5">
        <v>993.0</v>
      </c>
      <c r="B2521" s="5" t="s">
        <v>5563</v>
      </c>
      <c r="C2521" s="5" t="s">
        <v>6623</v>
      </c>
      <c r="D2521" s="5">
        <v>1.0</v>
      </c>
    </row>
    <row r="2522">
      <c r="A2522" s="5">
        <v>993.0</v>
      </c>
      <c r="B2522" s="5" t="s">
        <v>5563</v>
      </c>
      <c r="C2522" s="5" t="s">
        <v>6617</v>
      </c>
      <c r="D2522" s="5">
        <v>2.0</v>
      </c>
    </row>
    <row r="2523">
      <c r="A2523" s="5">
        <v>993.0</v>
      </c>
      <c r="B2523" s="5" t="s">
        <v>5563</v>
      </c>
      <c r="C2523" s="5" t="s">
        <v>6624</v>
      </c>
      <c r="D2523" s="5">
        <v>3.0</v>
      </c>
    </row>
    <row r="2524">
      <c r="A2524" s="5">
        <v>994.0</v>
      </c>
      <c r="B2524" s="5" t="s">
        <v>5571</v>
      </c>
      <c r="C2524" s="5" t="s">
        <v>20</v>
      </c>
      <c r="D2524" s="5">
        <v>1.0</v>
      </c>
    </row>
    <row r="2525">
      <c r="A2525" s="5">
        <v>994.0</v>
      </c>
      <c r="B2525" s="5" t="s">
        <v>5571</v>
      </c>
      <c r="C2525" s="5" t="s">
        <v>6626</v>
      </c>
      <c r="D2525" s="5">
        <v>2.0</v>
      </c>
    </row>
    <row r="2526">
      <c r="A2526" s="5">
        <v>994.0</v>
      </c>
      <c r="B2526" s="5" t="s">
        <v>5571</v>
      </c>
      <c r="C2526" s="5" t="s">
        <v>4191</v>
      </c>
      <c r="D2526" s="5">
        <v>3.0</v>
      </c>
    </row>
    <row r="2527">
      <c r="A2527" s="5">
        <v>995.0</v>
      </c>
      <c r="B2527" s="5" t="s">
        <v>5576</v>
      </c>
      <c r="C2527" s="5" t="s">
        <v>602</v>
      </c>
      <c r="D2527" s="5">
        <v>1.0</v>
      </c>
    </row>
    <row r="2528">
      <c r="A2528" s="5">
        <v>995.0</v>
      </c>
      <c r="B2528" s="5" t="s">
        <v>5576</v>
      </c>
      <c r="C2528" s="5" t="s">
        <v>6627</v>
      </c>
      <c r="D2528" s="5">
        <v>2.0</v>
      </c>
    </row>
    <row r="2529">
      <c r="A2529" s="5">
        <v>995.0</v>
      </c>
      <c r="B2529" s="5" t="s">
        <v>5576</v>
      </c>
      <c r="C2529" s="5" t="s">
        <v>6628</v>
      </c>
      <c r="D2529" s="5">
        <v>3.0</v>
      </c>
    </row>
    <row r="2530">
      <c r="A2530" s="5">
        <v>996.0</v>
      </c>
      <c r="B2530" s="5" t="s">
        <v>5583</v>
      </c>
      <c r="C2530" s="5" t="s">
        <v>602</v>
      </c>
      <c r="D2530" s="5">
        <v>1.0</v>
      </c>
    </row>
    <row r="2531">
      <c r="A2531" s="5">
        <v>996.0</v>
      </c>
      <c r="B2531" s="5" t="s">
        <v>5583</v>
      </c>
      <c r="C2531" s="5" t="s">
        <v>20</v>
      </c>
      <c r="D2531" s="5">
        <v>2.0</v>
      </c>
    </row>
    <row r="2532">
      <c r="A2532" s="5">
        <v>996.0</v>
      </c>
      <c r="B2532" s="5" t="s">
        <v>5583</v>
      </c>
      <c r="C2532" s="5" t="s">
        <v>6621</v>
      </c>
      <c r="D2532" s="5">
        <v>3.0</v>
      </c>
    </row>
    <row r="2533">
      <c r="A2533" s="5">
        <v>997.0</v>
      </c>
      <c r="B2533" s="5" t="s">
        <v>5588</v>
      </c>
      <c r="C2533" s="5" t="s">
        <v>20</v>
      </c>
      <c r="D2533" s="5">
        <v>1.0</v>
      </c>
    </row>
    <row r="2534">
      <c r="A2534" s="5">
        <v>997.0</v>
      </c>
      <c r="B2534" s="5" t="s">
        <v>5588</v>
      </c>
      <c r="C2534" s="5" t="s">
        <v>116</v>
      </c>
      <c r="D2534" s="5">
        <v>2.0</v>
      </c>
    </row>
    <row r="2535">
      <c r="A2535" s="5">
        <v>998.0</v>
      </c>
      <c r="B2535" s="5" t="s">
        <v>5594</v>
      </c>
      <c r="C2535" s="5" t="s">
        <v>20</v>
      </c>
      <c r="D2535" s="5">
        <v>1.0</v>
      </c>
    </row>
    <row r="2536">
      <c r="A2536" s="5">
        <v>998.0</v>
      </c>
      <c r="B2536" s="5" t="s">
        <v>5594</v>
      </c>
      <c r="C2536" s="5" t="s">
        <v>6621</v>
      </c>
      <c r="D2536" s="5">
        <v>2.0</v>
      </c>
    </row>
    <row r="2537">
      <c r="A2537" s="5">
        <v>998.0</v>
      </c>
      <c r="B2537" s="5" t="s">
        <v>5594</v>
      </c>
      <c r="C2537" s="5" t="s">
        <v>6625</v>
      </c>
      <c r="D2537" s="5">
        <v>3.0</v>
      </c>
    </row>
    <row r="2538">
      <c r="A2538" s="5">
        <v>999.0</v>
      </c>
      <c r="B2538" s="5" t="s">
        <v>5596</v>
      </c>
      <c r="C2538" s="5" t="s">
        <v>20</v>
      </c>
      <c r="D2538" s="5">
        <v>1.0</v>
      </c>
    </row>
    <row r="2539">
      <c r="A2539" s="5">
        <v>999.0</v>
      </c>
      <c r="B2539" s="5" t="s">
        <v>5596</v>
      </c>
      <c r="C2539" s="5" t="s">
        <v>6625</v>
      </c>
      <c r="D2539" s="5">
        <v>2.0</v>
      </c>
    </row>
    <row r="2540">
      <c r="A2540" s="5">
        <v>1000.0</v>
      </c>
      <c r="B2540" s="5" t="s">
        <v>5602</v>
      </c>
      <c r="C2540" s="5" t="s">
        <v>6615</v>
      </c>
      <c r="D2540" s="5">
        <v>1.0</v>
      </c>
    </row>
    <row r="2541">
      <c r="A2541" s="5">
        <v>1000.0</v>
      </c>
      <c r="B2541" s="5" t="s">
        <v>5602</v>
      </c>
      <c r="C2541" s="5" t="s">
        <v>6626</v>
      </c>
      <c r="D2541" s="5">
        <v>2.0</v>
      </c>
    </row>
    <row r="2542">
      <c r="A2542" s="5">
        <v>1000.0</v>
      </c>
      <c r="B2542" s="5" t="s">
        <v>5602</v>
      </c>
      <c r="C2542" s="5" t="s">
        <v>4191</v>
      </c>
      <c r="D2542" s="5">
        <v>3.0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0</v>
      </c>
      <c r="B1" s="9" t="s">
        <v>1</v>
      </c>
      <c r="C1" s="10" t="s">
        <v>6631</v>
      </c>
      <c r="D1" s="10" t="s">
        <v>6632</v>
      </c>
      <c r="E1" s="10" t="str">
        <f>Filmes_final!U1</f>
        <v>Inflation_Adj_Gross</v>
      </c>
      <c r="F1" s="1" t="s">
        <v>6633</v>
      </c>
      <c r="G1" s="1" t="s">
        <v>10</v>
      </c>
    </row>
    <row r="2">
      <c r="A2" s="5">
        <v>1.0</v>
      </c>
      <c r="B2" s="5" t="s">
        <v>17</v>
      </c>
      <c r="C2" s="5" t="s">
        <v>23</v>
      </c>
      <c r="D2" s="5" t="s">
        <v>6634</v>
      </c>
      <c r="E2" s="8">
        <f>vlookup(B2,Filmes_final!$B$2:$U$1001,20,FALSE)</f>
        <v>50008735</v>
      </c>
      <c r="F2" s="5">
        <f>vlookup(B2,Filmes_final!$B$2:$U$1001,3,FALSE)</f>
        <v>1994</v>
      </c>
      <c r="G2" s="5" t="str">
        <f>vlookup(B2,Filmes_final!$B$2:$U$1001,13,FALSE)</f>
        <v>Frank Darabont</v>
      </c>
    </row>
    <row r="3">
      <c r="A3" s="5">
        <v>1.0</v>
      </c>
      <c r="B3" s="5" t="s">
        <v>17</v>
      </c>
      <c r="C3" s="5" t="s">
        <v>24</v>
      </c>
      <c r="D3" s="5" t="s">
        <v>6635</v>
      </c>
      <c r="E3" s="8">
        <f>vlookup(B3,Filmes_final!$B$2:$U$1001,20,FALSE)</f>
        <v>50008735</v>
      </c>
      <c r="F3" s="5">
        <f>vlookup(B3,Filmes_final!$B$2:$U$1001,3,FALSE)</f>
        <v>1994</v>
      </c>
      <c r="G3" s="5" t="str">
        <f>vlookup(B3,Filmes_final!$B$2:$U$1001,13,FALSE)</f>
        <v>Frank Darabont</v>
      </c>
    </row>
    <row r="4">
      <c r="A4" s="5">
        <v>1.0</v>
      </c>
      <c r="B4" s="5" t="s">
        <v>17</v>
      </c>
      <c r="C4" s="5" t="s">
        <v>25</v>
      </c>
      <c r="D4" s="5" t="s">
        <v>6636</v>
      </c>
      <c r="E4" s="8">
        <f>vlookup(B4,Filmes_final!$B$2:$U$1001,20,FALSE)</f>
        <v>50008735</v>
      </c>
      <c r="F4" s="5">
        <f>vlookup(B4,Filmes_final!$B$2:$U$1001,3,FALSE)</f>
        <v>1994</v>
      </c>
      <c r="G4" s="5" t="str">
        <f>vlookup(B4,Filmes_final!$B$2:$U$1001,13,FALSE)</f>
        <v>Frank Darabont</v>
      </c>
      <c r="K4" s="5">
        <f>IFERROR(__xludf.DUMMYFUNCTION("COUNTUNIQUE(B2:B3001)"),749.0)</f>
        <v>749</v>
      </c>
    </row>
    <row r="5">
      <c r="A5" s="5">
        <v>1.0</v>
      </c>
      <c r="B5" s="5" t="s">
        <v>17</v>
      </c>
      <c r="C5" s="5" t="s">
        <v>26</v>
      </c>
      <c r="D5" s="5" t="s">
        <v>6637</v>
      </c>
      <c r="E5" s="8">
        <f>vlookup(B5,Filmes_final!$B$2:$U$1001,20,FALSE)</f>
        <v>50008735</v>
      </c>
      <c r="F5" s="5">
        <f>vlookup(B5,Filmes_final!$B$2:$U$1001,3,FALSE)</f>
        <v>1994</v>
      </c>
      <c r="G5" s="5" t="str">
        <f>vlookup(B5,Filmes_final!$B$2:$U$1001,13,FALSE)</f>
        <v>Frank Darabont</v>
      </c>
      <c r="K5" s="5">
        <f>COUNTA(Filmes_final!O1:O1001)</f>
        <v>1001</v>
      </c>
    </row>
    <row r="6">
      <c r="A6" s="5">
        <v>2.0</v>
      </c>
      <c r="B6" s="5" t="s">
        <v>27</v>
      </c>
      <c r="C6" s="5" t="s">
        <v>32</v>
      </c>
      <c r="D6" s="5" t="s">
        <v>6634</v>
      </c>
      <c r="E6" s="8">
        <f>vlookup(B6,Filmes_final!$B$2:$U$1001,20,FALSE)</f>
        <v>847139173</v>
      </c>
      <c r="F6" s="5">
        <f>vlookup(B6,Filmes_final!$B$2:$U$1001,3,FALSE)</f>
        <v>1972</v>
      </c>
      <c r="G6" s="5" t="str">
        <f>vlookup(B6,Filmes_final!$B$2:$U$1001,13,FALSE)</f>
        <v>Francis Ford Coppola</v>
      </c>
    </row>
    <row r="7">
      <c r="A7" s="5">
        <v>2.0</v>
      </c>
      <c r="B7" s="5" t="s">
        <v>27</v>
      </c>
      <c r="C7" s="5" t="s">
        <v>33</v>
      </c>
      <c r="D7" s="5" t="s">
        <v>6635</v>
      </c>
      <c r="E7" s="8">
        <f>vlookup(B7,Filmes_final!$B$2:$U$1001,20,FALSE)</f>
        <v>847139173</v>
      </c>
      <c r="F7" s="5">
        <f>vlookup(B7,Filmes_final!$B$2:$U$1001,3,FALSE)</f>
        <v>1972</v>
      </c>
      <c r="G7" s="5" t="str">
        <f>vlookup(B7,Filmes_final!$B$2:$U$1001,13,FALSE)</f>
        <v>Francis Ford Coppola</v>
      </c>
    </row>
    <row r="8">
      <c r="A8" s="5">
        <v>2.0</v>
      </c>
      <c r="B8" s="5" t="s">
        <v>27</v>
      </c>
      <c r="C8" s="5" t="s">
        <v>34</v>
      </c>
      <c r="D8" s="5" t="s">
        <v>6636</v>
      </c>
      <c r="E8" s="8">
        <f>vlookup(B8,Filmes_final!$B$2:$U$1001,20,FALSE)</f>
        <v>847139173</v>
      </c>
      <c r="F8" s="5">
        <f>vlookup(B8,Filmes_final!$B$2:$U$1001,3,FALSE)</f>
        <v>1972</v>
      </c>
      <c r="G8" s="5" t="str">
        <f>vlookup(B8,Filmes_final!$B$2:$U$1001,13,FALSE)</f>
        <v>Francis Ford Coppola</v>
      </c>
    </row>
    <row r="9">
      <c r="A9" s="5">
        <v>2.0</v>
      </c>
      <c r="B9" s="5" t="s">
        <v>27</v>
      </c>
      <c r="C9" s="5" t="s">
        <v>35</v>
      </c>
      <c r="D9" s="5" t="s">
        <v>6637</v>
      </c>
      <c r="E9" s="8">
        <f>vlookup(B9,Filmes_final!$B$2:$U$1001,20,FALSE)</f>
        <v>847139173</v>
      </c>
      <c r="F9" s="5">
        <f>vlookup(B9,Filmes_final!$B$2:$U$1001,3,FALSE)</f>
        <v>1972</v>
      </c>
      <c r="G9" s="5" t="str">
        <f>vlookup(B9,Filmes_final!$B$2:$U$1001,13,FALSE)</f>
        <v>Francis Ford Coppola</v>
      </c>
    </row>
    <row r="10">
      <c r="A10" s="5">
        <v>3.0</v>
      </c>
      <c r="B10" s="5" t="s">
        <v>36</v>
      </c>
      <c r="C10" s="5" t="s">
        <v>42</v>
      </c>
      <c r="D10" s="5" t="s">
        <v>6634</v>
      </c>
      <c r="E10" s="8">
        <f>vlookup(B10,Filmes_final!$B$2:$U$1001,20,FALSE)</f>
        <v>653676178</v>
      </c>
      <c r="F10" s="5">
        <f>vlookup(B10,Filmes_final!$B$2:$U$1001,3,FALSE)</f>
        <v>2008</v>
      </c>
      <c r="G10" s="5" t="str">
        <f>vlookup(B10,Filmes_final!$B$2:$U$1001,13,FALSE)</f>
        <v>Christopher Nolan</v>
      </c>
    </row>
    <row r="11">
      <c r="A11" s="5">
        <v>3.0</v>
      </c>
      <c r="B11" s="5" t="s">
        <v>36</v>
      </c>
      <c r="C11" s="5" t="s">
        <v>43</v>
      </c>
      <c r="D11" s="5" t="s">
        <v>6635</v>
      </c>
      <c r="E11" s="8">
        <f>vlookup(B11,Filmes_final!$B$2:$U$1001,20,FALSE)</f>
        <v>653676178</v>
      </c>
      <c r="F11" s="5">
        <f>vlookup(B11,Filmes_final!$B$2:$U$1001,3,FALSE)</f>
        <v>2008</v>
      </c>
      <c r="G11" s="5" t="str">
        <f>vlookup(B11,Filmes_final!$B$2:$U$1001,13,FALSE)</f>
        <v>Christopher Nolan</v>
      </c>
    </row>
    <row r="12">
      <c r="A12" s="5">
        <v>3.0</v>
      </c>
      <c r="B12" s="5" t="s">
        <v>36</v>
      </c>
      <c r="C12" s="5" t="s">
        <v>44</v>
      </c>
      <c r="D12" s="5" t="s">
        <v>6636</v>
      </c>
      <c r="E12" s="8">
        <f>vlookup(B12,Filmes_final!$B$2:$U$1001,20,FALSE)</f>
        <v>653676178</v>
      </c>
      <c r="F12" s="5">
        <f>vlookup(B12,Filmes_final!$B$2:$U$1001,3,FALSE)</f>
        <v>2008</v>
      </c>
      <c r="G12" s="5" t="str">
        <f>vlookup(B12,Filmes_final!$B$2:$U$1001,13,FALSE)</f>
        <v>Christopher Nolan</v>
      </c>
    </row>
    <row r="13">
      <c r="A13" s="5">
        <v>3.0</v>
      </c>
      <c r="B13" s="5" t="s">
        <v>36</v>
      </c>
      <c r="C13" s="5" t="s">
        <v>45</v>
      </c>
      <c r="D13" s="5" t="s">
        <v>6637</v>
      </c>
      <c r="E13" s="8">
        <f>vlookup(B13,Filmes_final!$B$2:$U$1001,20,FALSE)</f>
        <v>653676178</v>
      </c>
      <c r="F13" s="5">
        <f>vlookup(B13,Filmes_final!$B$2:$U$1001,3,FALSE)</f>
        <v>2008</v>
      </c>
      <c r="G13" s="5" t="str">
        <f>vlookup(B13,Filmes_final!$B$2:$U$1001,13,FALSE)</f>
        <v>Christopher Nolan</v>
      </c>
    </row>
    <row r="14">
      <c r="A14" s="5">
        <v>4.0</v>
      </c>
      <c r="B14" s="5" t="s">
        <v>46</v>
      </c>
      <c r="C14" s="5" t="s">
        <v>33</v>
      </c>
      <c r="D14" s="5" t="s">
        <v>6634</v>
      </c>
      <c r="E14" s="8">
        <f>vlookup(B14,Filmes_final!$B$2:$U$1001,20,FALSE)</f>
        <v>317204685</v>
      </c>
      <c r="F14" s="5">
        <f>vlookup(B14,Filmes_final!$B$2:$U$1001,3,FALSE)</f>
        <v>1974</v>
      </c>
      <c r="G14" s="5" t="str">
        <f>vlookup(B14,Filmes_final!$B$2:$U$1001,13,FALSE)</f>
        <v>Francis Ford Coppola</v>
      </c>
    </row>
    <row r="15">
      <c r="A15" s="5">
        <v>4.0</v>
      </c>
      <c r="B15" s="5" t="s">
        <v>46</v>
      </c>
      <c r="C15" s="5" t="s">
        <v>49</v>
      </c>
      <c r="D15" s="5" t="s">
        <v>6635</v>
      </c>
      <c r="E15" s="8">
        <f>vlookup(B15,Filmes_final!$B$2:$U$1001,20,FALSE)</f>
        <v>317204685</v>
      </c>
      <c r="F15" s="5">
        <f>vlookup(B15,Filmes_final!$B$2:$U$1001,3,FALSE)</f>
        <v>1974</v>
      </c>
      <c r="G15" s="5" t="str">
        <f>vlookup(B15,Filmes_final!$B$2:$U$1001,13,FALSE)</f>
        <v>Francis Ford Coppola</v>
      </c>
    </row>
    <row r="16">
      <c r="A16" s="5">
        <v>4.0</v>
      </c>
      <c r="B16" s="5" t="s">
        <v>46</v>
      </c>
      <c r="C16" s="5" t="s">
        <v>50</v>
      </c>
      <c r="D16" s="5" t="s">
        <v>6636</v>
      </c>
      <c r="E16" s="8">
        <f>vlookup(B16,Filmes_final!$B$2:$U$1001,20,FALSE)</f>
        <v>317204685</v>
      </c>
      <c r="F16" s="5">
        <f>vlookup(B16,Filmes_final!$B$2:$U$1001,3,FALSE)</f>
        <v>1974</v>
      </c>
      <c r="G16" s="5" t="str">
        <f>vlookup(B16,Filmes_final!$B$2:$U$1001,13,FALSE)</f>
        <v>Francis Ford Coppola</v>
      </c>
    </row>
    <row r="17">
      <c r="A17" s="5">
        <v>4.0</v>
      </c>
      <c r="B17" s="5" t="s">
        <v>46</v>
      </c>
      <c r="C17" s="5" t="s">
        <v>35</v>
      </c>
      <c r="D17" s="5" t="s">
        <v>6637</v>
      </c>
      <c r="E17" s="8">
        <f>vlookup(B17,Filmes_final!$B$2:$U$1001,20,FALSE)</f>
        <v>317204685</v>
      </c>
      <c r="F17" s="5">
        <f>vlookup(B17,Filmes_final!$B$2:$U$1001,3,FALSE)</f>
        <v>1974</v>
      </c>
      <c r="G17" s="5" t="str">
        <f>vlookup(B17,Filmes_final!$B$2:$U$1001,13,FALSE)</f>
        <v>Francis Ford Coppola</v>
      </c>
    </row>
    <row r="18">
      <c r="A18" s="5">
        <v>5.0</v>
      </c>
      <c r="B18" s="5" t="s">
        <v>51</v>
      </c>
      <c r="C18" s="5" t="s">
        <v>56</v>
      </c>
      <c r="D18" s="5" t="s">
        <v>6634</v>
      </c>
      <c r="E18" s="8">
        <f>vlookup(B18,Filmes_final!$B$2:$U$1001,20,FALSE)</f>
        <v>40751941</v>
      </c>
      <c r="F18" s="5">
        <f>vlookup(B18,Filmes_final!$B$2:$U$1001,3,FALSE)</f>
        <v>1957</v>
      </c>
      <c r="G18" s="5" t="str">
        <f>vlookup(B18,Filmes_final!$B$2:$U$1001,13,FALSE)</f>
        <v>Sidney Lumet</v>
      </c>
    </row>
    <row r="19">
      <c r="A19" s="5">
        <v>5.0</v>
      </c>
      <c r="B19" s="5" t="s">
        <v>51</v>
      </c>
      <c r="C19" s="5" t="s">
        <v>57</v>
      </c>
      <c r="D19" s="5" t="s">
        <v>6635</v>
      </c>
      <c r="E19" s="8">
        <f>vlookup(B19,Filmes_final!$B$2:$U$1001,20,FALSE)</f>
        <v>40751941</v>
      </c>
      <c r="F19" s="5">
        <f>vlookup(B19,Filmes_final!$B$2:$U$1001,3,FALSE)</f>
        <v>1957</v>
      </c>
      <c r="G19" s="5" t="str">
        <f>vlookup(B19,Filmes_final!$B$2:$U$1001,13,FALSE)</f>
        <v>Sidney Lumet</v>
      </c>
    </row>
    <row r="20">
      <c r="A20" s="5">
        <v>5.0</v>
      </c>
      <c r="B20" s="5" t="s">
        <v>51</v>
      </c>
      <c r="C20" s="5" t="s">
        <v>58</v>
      </c>
      <c r="D20" s="5" t="s">
        <v>6636</v>
      </c>
      <c r="E20" s="8">
        <f>vlookup(B20,Filmes_final!$B$2:$U$1001,20,FALSE)</f>
        <v>40751941</v>
      </c>
      <c r="F20" s="5">
        <f>vlookup(B20,Filmes_final!$B$2:$U$1001,3,FALSE)</f>
        <v>1957</v>
      </c>
      <c r="G20" s="5" t="str">
        <f>vlookup(B20,Filmes_final!$B$2:$U$1001,13,FALSE)</f>
        <v>Sidney Lumet</v>
      </c>
    </row>
    <row r="21">
      <c r="A21" s="5">
        <v>5.0</v>
      </c>
      <c r="B21" s="5" t="s">
        <v>51</v>
      </c>
      <c r="C21" s="5" t="s">
        <v>59</v>
      </c>
      <c r="D21" s="5" t="s">
        <v>6637</v>
      </c>
      <c r="E21" s="8">
        <f>vlookup(B21,Filmes_final!$B$2:$U$1001,20,FALSE)</f>
        <v>40751941</v>
      </c>
      <c r="F21" s="5">
        <f>vlookup(B21,Filmes_final!$B$2:$U$1001,3,FALSE)</f>
        <v>1957</v>
      </c>
      <c r="G21" s="5" t="str">
        <f>vlookup(B21,Filmes_final!$B$2:$U$1001,13,FALSE)</f>
        <v>Sidney Lumet</v>
      </c>
    </row>
    <row r="22">
      <c r="A22" s="5">
        <v>6.0</v>
      </c>
      <c r="B22" s="5" t="s">
        <v>60</v>
      </c>
      <c r="C22" s="5" t="s">
        <v>65</v>
      </c>
      <c r="D22" s="5" t="s">
        <v>6634</v>
      </c>
      <c r="E22" s="8">
        <f>vlookup(B22,Filmes_final!$B$2:$U$1001,20,FALSE)</f>
        <v>536451768</v>
      </c>
      <c r="F22" s="5">
        <f>vlookup(B22,Filmes_final!$B$2:$U$1001,3,FALSE)</f>
        <v>2003</v>
      </c>
      <c r="G22" s="5" t="str">
        <f>vlookup(B22,Filmes_final!$B$2:$U$1001,13,FALSE)</f>
        <v>Peter Jackson</v>
      </c>
    </row>
    <row r="23">
      <c r="A23" s="5">
        <v>6.0</v>
      </c>
      <c r="B23" s="5" t="s">
        <v>60</v>
      </c>
      <c r="C23" s="5" t="s">
        <v>66</v>
      </c>
      <c r="D23" s="5" t="s">
        <v>6635</v>
      </c>
      <c r="E23" s="8">
        <f>vlookup(B23,Filmes_final!$B$2:$U$1001,20,FALSE)</f>
        <v>536451768</v>
      </c>
      <c r="F23" s="5">
        <f>vlookup(B23,Filmes_final!$B$2:$U$1001,3,FALSE)</f>
        <v>2003</v>
      </c>
      <c r="G23" s="5" t="str">
        <f>vlookup(B23,Filmes_final!$B$2:$U$1001,13,FALSE)</f>
        <v>Peter Jackson</v>
      </c>
    </row>
    <row r="24">
      <c r="A24" s="5">
        <v>6.0</v>
      </c>
      <c r="B24" s="5" t="s">
        <v>60</v>
      </c>
      <c r="C24" s="5" t="s">
        <v>67</v>
      </c>
      <c r="D24" s="5" t="s">
        <v>6636</v>
      </c>
      <c r="E24" s="8">
        <f>vlookup(B24,Filmes_final!$B$2:$U$1001,20,FALSE)</f>
        <v>536451768</v>
      </c>
      <c r="F24" s="5">
        <f>vlookup(B24,Filmes_final!$B$2:$U$1001,3,FALSE)</f>
        <v>2003</v>
      </c>
      <c r="G24" s="5" t="str">
        <f>vlookup(B24,Filmes_final!$B$2:$U$1001,13,FALSE)</f>
        <v>Peter Jackson</v>
      </c>
    </row>
    <row r="25">
      <c r="A25" s="5">
        <v>6.0</v>
      </c>
      <c r="B25" s="5" t="s">
        <v>60</v>
      </c>
      <c r="C25" s="5" t="s">
        <v>68</v>
      </c>
      <c r="D25" s="5" t="s">
        <v>6637</v>
      </c>
      <c r="E25" s="8">
        <f>vlookup(B25,Filmes_final!$B$2:$U$1001,20,FALSE)</f>
        <v>536451768</v>
      </c>
      <c r="F25" s="5">
        <f>vlookup(B25,Filmes_final!$B$2:$U$1001,3,FALSE)</f>
        <v>2003</v>
      </c>
      <c r="G25" s="5" t="str">
        <f>vlookup(B25,Filmes_final!$B$2:$U$1001,13,FALSE)</f>
        <v>Peter Jackson</v>
      </c>
    </row>
    <row r="26">
      <c r="A26" s="5">
        <v>7.0</v>
      </c>
      <c r="B26" s="5" t="s">
        <v>69</v>
      </c>
      <c r="C26" s="5" t="s">
        <v>73</v>
      </c>
      <c r="D26" s="5" t="s">
        <v>6634</v>
      </c>
      <c r="E26" s="8">
        <f>vlookup(B26,Filmes_final!$B$2:$U$1001,20,FALSE)</f>
        <v>190441112</v>
      </c>
      <c r="F26" s="5">
        <f>vlookup(B26,Filmes_final!$B$2:$U$1001,3,FALSE)</f>
        <v>1994</v>
      </c>
      <c r="G26" s="5" t="str">
        <f>vlookup(B26,Filmes_final!$B$2:$U$1001,13,FALSE)</f>
        <v>Quentin Tarantino</v>
      </c>
    </row>
    <row r="27">
      <c r="A27" s="5">
        <v>7.0</v>
      </c>
      <c r="B27" s="5" t="s">
        <v>69</v>
      </c>
      <c r="C27" s="5" t="s">
        <v>74</v>
      </c>
      <c r="D27" s="5" t="s">
        <v>6635</v>
      </c>
      <c r="E27" s="8">
        <f>vlookup(B27,Filmes_final!$B$2:$U$1001,20,FALSE)</f>
        <v>190441112</v>
      </c>
      <c r="F27" s="5">
        <f>vlookup(B27,Filmes_final!$B$2:$U$1001,3,FALSE)</f>
        <v>1994</v>
      </c>
      <c r="G27" s="5" t="str">
        <f>vlookup(B27,Filmes_final!$B$2:$U$1001,13,FALSE)</f>
        <v>Quentin Tarantino</v>
      </c>
    </row>
    <row r="28">
      <c r="A28" s="5">
        <v>7.0</v>
      </c>
      <c r="B28" s="5" t="s">
        <v>69</v>
      </c>
      <c r="C28" s="5" t="s">
        <v>75</v>
      </c>
      <c r="D28" s="5" t="s">
        <v>6636</v>
      </c>
      <c r="E28" s="8">
        <f>vlookup(B28,Filmes_final!$B$2:$U$1001,20,FALSE)</f>
        <v>190441112</v>
      </c>
      <c r="F28" s="5">
        <f>vlookup(B28,Filmes_final!$B$2:$U$1001,3,FALSE)</f>
        <v>1994</v>
      </c>
      <c r="G28" s="5" t="str">
        <f>vlookup(B28,Filmes_final!$B$2:$U$1001,13,FALSE)</f>
        <v>Quentin Tarantino</v>
      </c>
    </row>
    <row r="29">
      <c r="A29" s="5">
        <v>7.0</v>
      </c>
      <c r="B29" s="5" t="s">
        <v>69</v>
      </c>
      <c r="C29" s="5" t="s">
        <v>76</v>
      </c>
      <c r="D29" s="5" t="s">
        <v>6637</v>
      </c>
      <c r="E29" s="8">
        <f>vlookup(B29,Filmes_final!$B$2:$U$1001,20,FALSE)</f>
        <v>190441112</v>
      </c>
      <c r="F29" s="5">
        <f>vlookup(B29,Filmes_final!$B$2:$U$1001,3,FALSE)</f>
        <v>1994</v>
      </c>
      <c r="G29" s="5" t="str">
        <f>vlookup(B29,Filmes_final!$B$2:$U$1001,13,FALSE)</f>
        <v>Quentin Tarantino</v>
      </c>
    </row>
    <row r="30">
      <c r="A30" s="5">
        <v>8.0</v>
      </c>
      <c r="B30" s="5" t="s">
        <v>77</v>
      </c>
      <c r="C30" s="5" t="s">
        <v>82</v>
      </c>
      <c r="D30" s="5" t="s">
        <v>6634</v>
      </c>
      <c r="E30" s="8">
        <f>vlookup(B30,Filmes_final!$B$2:$U$1001,20,FALSE)</f>
        <v>175295126</v>
      </c>
      <c r="F30" s="5">
        <f>vlookup(B30,Filmes_final!$B$2:$U$1001,3,FALSE)</f>
        <v>1993</v>
      </c>
      <c r="G30" s="5" t="str">
        <f>vlookup(B30,Filmes_final!$B$2:$U$1001,13,FALSE)</f>
        <v>Steven Spielberg</v>
      </c>
    </row>
    <row r="31">
      <c r="A31" s="5">
        <v>8.0</v>
      </c>
      <c r="B31" s="5" t="s">
        <v>77</v>
      </c>
      <c r="C31" s="5" t="s">
        <v>83</v>
      </c>
      <c r="D31" s="5" t="s">
        <v>6635</v>
      </c>
      <c r="E31" s="8">
        <f>vlookup(B31,Filmes_final!$B$2:$U$1001,20,FALSE)</f>
        <v>175295126</v>
      </c>
      <c r="F31" s="5">
        <f>vlookup(B31,Filmes_final!$B$2:$U$1001,3,FALSE)</f>
        <v>1993</v>
      </c>
      <c r="G31" s="5" t="str">
        <f>vlookup(B31,Filmes_final!$B$2:$U$1001,13,FALSE)</f>
        <v>Steven Spielberg</v>
      </c>
    </row>
    <row r="32">
      <c r="A32" s="5">
        <v>8.0</v>
      </c>
      <c r="B32" s="5" t="s">
        <v>77</v>
      </c>
      <c r="C32" s="5" t="s">
        <v>84</v>
      </c>
      <c r="D32" s="5" t="s">
        <v>6636</v>
      </c>
      <c r="E32" s="8">
        <f>vlookup(B32,Filmes_final!$B$2:$U$1001,20,FALSE)</f>
        <v>175295126</v>
      </c>
      <c r="F32" s="5">
        <f>vlookup(B32,Filmes_final!$B$2:$U$1001,3,FALSE)</f>
        <v>1993</v>
      </c>
      <c r="G32" s="5" t="str">
        <f>vlookup(B32,Filmes_final!$B$2:$U$1001,13,FALSE)</f>
        <v>Steven Spielberg</v>
      </c>
    </row>
    <row r="33">
      <c r="A33" s="5">
        <v>8.0</v>
      </c>
      <c r="B33" s="5" t="s">
        <v>77</v>
      </c>
      <c r="C33" s="5" t="s">
        <v>85</v>
      </c>
      <c r="D33" s="5" t="s">
        <v>6637</v>
      </c>
      <c r="E33" s="8">
        <f>vlookup(B33,Filmes_final!$B$2:$U$1001,20,FALSE)</f>
        <v>175295126</v>
      </c>
      <c r="F33" s="5">
        <f>vlookup(B33,Filmes_final!$B$2:$U$1001,3,FALSE)</f>
        <v>1993</v>
      </c>
      <c r="G33" s="5" t="str">
        <f>vlookup(B33,Filmes_final!$B$2:$U$1001,13,FALSE)</f>
        <v>Steven Spielberg</v>
      </c>
    </row>
    <row r="34">
      <c r="A34" s="5">
        <v>9.0</v>
      </c>
      <c r="B34" s="5" t="s">
        <v>86</v>
      </c>
      <c r="C34" s="5" t="s">
        <v>90</v>
      </c>
      <c r="D34" s="5" t="s">
        <v>6634</v>
      </c>
      <c r="E34" s="8">
        <f>vlookup(B34,Filmes_final!$B$2:$U$1001,20,FALSE)</f>
        <v>348318883</v>
      </c>
      <c r="F34" s="5">
        <f>vlookup(B34,Filmes_final!$B$2:$U$1001,3,FALSE)</f>
        <v>2010</v>
      </c>
      <c r="G34" s="5" t="str">
        <f>vlookup(B34,Filmes_final!$B$2:$U$1001,13,FALSE)</f>
        <v>Christopher Nolan</v>
      </c>
    </row>
    <row r="35">
      <c r="A35" s="5">
        <v>9.0</v>
      </c>
      <c r="B35" s="5" t="s">
        <v>86</v>
      </c>
      <c r="C35" s="5" t="s">
        <v>91</v>
      </c>
      <c r="D35" s="5" t="s">
        <v>6635</v>
      </c>
      <c r="E35" s="8">
        <f>vlookup(B35,Filmes_final!$B$2:$U$1001,20,FALSE)</f>
        <v>348318883</v>
      </c>
      <c r="F35" s="5">
        <f>vlookup(B35,Filmes_final!$B$2:$U$1001,3,FALSE)</f>
        <v>2010</v>
      </c>
      <c r="G35" s="5" t="str">
        <f>vlookup(B35,Filmes_final!$B$2:$U$1001,13,FALSE)</f>
        <v>Christopher Nolan</v>
      </c>
    </row>
    <row r="36">
      <c r="A36" s="5">
        <v>9.0</v>
      </c>
      <c r="B36" s="5" t="s">
        <v>86</v>
      </c>
      <c r="C36" s="5" t="s">
        <v>92</v>
      </c>
      <c r="D36" s="5" t="s">
        <v>6636</v>
      </c>
      <c r="E36" s="8">
        <f>vlookup(B36,Filmes_final!$B$2:$U$1001,20,FALSE)</f>
        <v>348318883</v>
      </c>
      <c r="F36" s="5">
        <f>vlookup(B36,Filmes_final!$B$2:$U$1001,3,FALSE)</f>
        <v>2010</v>
      </c>
      <c r="G36" s="5" t="str">
        <f>vlookup(B36,Filmes_final!$B$2:$U$1001,13,FALSE)</f>
        <v>Christopher Nolan</v>
      </c>
    </row>
    <row r="37">
      <c r="A37" s="5">
        <v>9.0</v>
      </c>
      <c r="B37" s="5" t="s">
        <v>86</v>
      </c>
      <c r="C37" s="5" t="s">
        <v>93</v>
      </c>
      <c r="D37" s="5" t="s">
        <v>6637</v>
      </c>
      <c r="E37" s="8">
        <f>vlookup(B37,Filmes_final!$B$2:$U$1001,20,FALSE)</f>
        <v>348318883</v>
      </c>
      <c r="F37" s="5">
        <f>vlookup(B37,Filmes_final!$B$2:$U$1001,3,FALSE)</f>
        <v>2010</v>
      </c>
      <c r="G37" s="5" t="str">
        <f>vlookup(B37,Filmes_final!$B$2:$U$1001,13,FALSE)</f>
        <v>Christopher Nolan</v>
      </c>
    </row>
    <row r="38">
      <c r="A38" s="5">
        <v>10.0</v>
      </c>
      <c r="B38" s="5" t="s">
        <v>94</v>
      </c>
      <c r="C38" s="5" t="s">
        <v>98</v>
      </c>
      <c r="D38" s="5" t="s">
        <v>6634</v>
      </c>
      <c r="E38" s="8">
        <f>vlookup(B38,Filmes_final!$B$2:$U$1001,20,FALSE)</f>
        <v>58141768</v>
      </c>
      <c r="F38" s="5">
        <f>vlookup(B38,Filmes_final!$B$2:$U$1001,3,FALSE)</f>
        <v>1999</v>
      </c>
      <c r="G38" s="5" t="str">
        <f>vlookup(B38,Filmes_final!$B$2:$U$1001,13,FALSE)</f>
        <v>David Fincher</v>
      </c>
    </row>
    <row r="39">
      <c r="A39" s="5">
        <v>10.0</v>
      </c>
      <c r="B39" s="5" t="s">
        <v>94</v>
      </c>
      <c r="C39" s="5" t="s">
        <v>99</v>
      </c>
      <c r="D39" s="5" t="s">
        <v>6635</v>
      </c>
      <c r="E39" s="8">
        <f>vlookup(B39,Filmes_final!$B$2:$U$1001,20,FALSE)</f>
        <v>58141768</v>
      </c>
      <c r="F39" s="5">
        <f>vlookup(B39,Filmes_final!$B$2:$U$1001,3,FALSE)</f>
        <v>1999</v>
      </c>
      <c r="G39" s="5" t="str">
        <f>vlookup(B39,Filmes_final!$B$2:$U$1001,13,FALSE)</f>
        <v>David Fincher</v>
      </c>
    </row>
    <row r="40">
      <c r="A40" s="5">
        <v>10.0</v>
      </c>
      <c r="B40" s="5" t="s">
        <v>94</v>
      </c>
      <c r="C40" s="5" t="s">
        <v>100</v>
      </c>
      <c r="D40" s="5" t="s">
        <v>6636</v>
      </c>
      <c r="E40" s="8">
        <f>vlookup(B40,Filmes_final!$B$2:$U$1001,20,FALSE)</f>
        <v>58141768</v>
      </c>
      <c r="F40" s="5">
        <f>vlookup(B40,Filmes_final!$B$2:$U$1001,3,FALSE)</f>
        <v>1999</v>
      </c>
      <c r="G40" s="5" t="str">
        <f>vlookup(B40,Filmes_final!$B$2:$U$1001,13,FALSE)</f>
        <v>David Fincher</v>
      </c>
    </row>
    <row r="41">
      <c r="A41" s="5">
        <v>10.0</v>
      </c>
      <c r="B41" s="5" t="s">
        <v>94</v>
      </c>
      <c r="C41" s="5" t="s">
        <v>101</v>
      </c>
      <c r="D41" s="5" t="s">
        <v>6637</v>
      </c>
      <c r="E41" s="8">
        <f>vlookup(B41,Filmes_final!$B$2:$U$1001,20,FALSE)</f>
        <v>58141768</v>
      </c>
      <c r="F41" s="5">
        <f>vlookup(B41,Filmes_final!$B$2:$U$1001,3,FALSE)</f>
        <v>1999</v>
      </c>
      <c r="G41" s="5" t="str">
        <f>vlookup(B41,Filmes_final!$B$2:$U$1001,13,FALSE)</f>
        <v>David Fincher</v>
      </c>
    </row>
    <row r="42">
      <c r="A42" s="5">
        <v>11.0</v>
      </c>
      <c r="B42" s="5" t="s">
        <v>102</v>
      </c>
      <c r="C42" s="5" t="s">
        <v>65</v>
      </c>
      <c r="D42" s="5" t="s">
        <v>6634</v>
      </c>
      <c r="E42" s="8">
        <f>vlookup(B42,Filmes_final!$B$2:$U$1001,20,FALSE)</f>
        <v>464885179</v>
      </c>
      <c r="F42" s="5">
        <f>vlookup(B42,Filmes_final!$B$2:$U$1001,3,FALSE)</f>
        <v>2001</v>
      </c>
      <c r="G42" s="5" t="str">
        <f>vlookup(B42,Filmes_final!$B$2:$U$1001,13,FALSE)</f>
        <v>Peter Jackson</v>
      </c>
    </row>
    <row r="43">
      <c r="A43" s="5">
        <v>11.0</v>
      </c>
      <c r="B43" s="5" t="s">
        <v>102</v>
      </c>
      <c r="C43" s="5" t="s">
        <v>67</v>
      </c>
      <c r="D43" s="5" t="s">
        <v>6635</v>
      </c>
      <c r="E43" s="8">
        <f>vlookup(B43,Filmes_final!$B$2:$U$1001,20,FALSE)</f>
        <v>464885179</v>
      </c>
      <c r="F43" s="5">
        <f>vlookup(B43,Filmes_final!$B$2:$U$1001,3,FALSE)</f>
        <v>2001</v>
      </c>
      <c r="G43" s="5" t="str">
        <f>vlookup(B43,Filmes_final!$B$2:$U$1001,13,FALSE)</f>
        <v>Peter Jackson</v>
      </c>
    </row>
    <row r="44">
      <c r="A44" s="5">
        <v>11.0</v>
      </c>
      <c r="B44" s="5" t="s">
        <v>102</v>
      </c>
      <c r="C44" s="5" t="s">
        <v>68</v>
      </c>
      <c r="D44" s="5" t="s">
        <v>6636</v>
      </c>
      <c r="E44" s="8">
        <f>vlookup(B44,Filmes_final!$B$2:$U$1001,20,FALSE)</f>
        <v>464885179</v>
      </c>
      <c r="F44" s="5">
        <f>vlookup(B44,Filmes_final!$B$2:$U$1001,3,FALSE)</f>
        <v>2001</v>
      </c>
      <c r="G44" s="5" t="str">
        <f>vlookup(B44,Filmes_final!$B$2:$U$1001,13,FALSE)</f>
        <v>Peter Jackson</v>
      </c>
    </row>
    <row r="45">
      <c r="A45" s="5">
        <v>11.0</v>
      </c>
      <c r="B45" s="5" t="s">
        <v>102</v>
      </c>
      <c r="C45" s="5" t="s">
        <v>105</v>
      </c>
      <c r="D45" s="5" t="s">
        <v>6637</v>
      </c>
      <c r="E45" s="8">
        <f>vlookup(B45,Filmes_final!$B$2:$U$1001,20,FALSE)</f>
        <v>464885179</v>
      </c>
      <c r="F45" s="5">
        <f>vlookup(B45,Filmes_final!$B$2:$U$1001,3,FALSE)</f>
        <v>2001</v>
      </c>
      <c r="G45" s="5" t="str">
        <f>vlookup(B45,Filmes_final!$B$2:$U$1001,13,FALSE)</f>
        <v>Peter Jackson</v>
      </c>
    </row>
    <row r="46">
      <c r="A46" s="5">
        <v>12.0</v>
      </c>
      <c r="B46" s="5" t="s">
        <v>106</v>
      </c>
      <c r="C46" s="5" t="s">
        <v>110</v>
      </c>
      <c r="D46" s="5" t="s">
        <v>6634</v>
      </c>
      <c r="E46" s="8">
        <f>vlookup(B46,Filmes_final!$B$2:$U$1001,20,FALSE)</f>
        <v>582732459</v>
      </c>
      <c r="F46" s="5">
        <f>vlookup(B46,Filmes_final!$B$2:$U$1001,3,FALSE)</f>
        <v>1994</v>
      </c>
      <c r="G46" s="5" t="str">
        <f>vlookup(B46,Filmes_final!$B$2:$U$1001,13,FALSE)</f>
        <v>Robert Zemeckis</v>
      </c>
    </row>
    <row r="47">
      <c r="A47" s="5">
        <v>12.0</v>
      </c>
      <c r="B47" s="5" t="s">
        <v>106</v>
      </c>
      <c r="C47" s="5" t="s">
        <v>111</v>
      </c>
      <c r="D47" s="5" t="s">
        <v>6635</v>
      </c>
      <c r="E47" s="8">
        <f>vlookup(B47,Filmes_final!$B$2:$U$1001,20,FALSE)</f>
        <v>582732459</v>
      </c>
      <c r="F47" s="5">
        <f>vlookup(B47,Filmes_final!$B$2:$U$1001,3,FALSE)</f>
        <v>1994</v>
      </c>
      <c r="G47" s="5" t="str">
        <f>vlookup(B47,Filmes_final!$B$2:$U$1001,13,FALSE)</f>
        <v>Robert Zemeckis</v>
      </c>
    </row>
    <row r="48">
      <c r="A48" s="5">
        <v>12.0</v>
      </c>
      <c r="B48" s="5" t="s">
        <v>106</v>
      </c>
      <c r="C48" s="5" t="s">
        <v>112</v>
      </c>
      <c r="D48" s="5" t="s">
        <v>6636</v>
      </c>
      <c r="E48" s="8">
        <f>vlookup(B48,Filmes_final!$B$2:$U$1001,20,FALSE)</f>
        <v>582732459</v>
      </c>
      <c r="F48" s="5">
        <f>vlookup(B48,Filmes_final!$B$2:$U$1001,3,FALSE)</f>
        <v>1994</v>
      </c>
      <c r="G48" s="5" t="str">
        <f>vlookup(B48,Filmes_final!$B$2:$U$1001,13,FALSE)</f>
        <v>Robert Zemeckis</v>
      </c>
    </row>
    <row r="49">
      <c r="A49" s="5">
        <v>12.0</v>
      </c>
      <c r="B49" s="5" t="s">
        <v>106</v>
      </c>
      <c r="C49" s="5" t="s">
        <v>113</v>
      </c>
      <c r="D49" s="5" t="s">
        <v>6637</v>
      </c>
      <c r="E49" s="8">
        <f>vlookup(B49,Filmes_final!$B$2:$U$1001,20,FALSE)</f>
        <v>582732459</v>
      </c>
      <c r="F49" s="5">
        <f>vlookup(B49,Filmes_final!$B$2:$U$1001,3,FALSE)</f>
        <v>1994</v>
      </c>
      <c r="G49" s="5" t="str">
        <f>vlookup(B49,Filmes_final!$B$2:$U$1001,13,FALSE)</f>
        <v>Robert Zemeckis</v>
      </c>
    </row>
    <row r="50">
      <c r="A50" s="5">
        <v>13.0</v>
      </c>
      <c r="B50" s="5" t="s">
        <v>114</v>
      </c>
      <c r="C50" s="5" t="s">
        <v>119</v>
      </c>
      <c r="D50" s="5" t="s">
        <v>6634</v>
      </c>
      <c r="E50" s="8">
        <f>vlookup(B50,Filmes_final!$B$2:$U$1001,20,FALSE)</f>
        <v>49485003</v>
      </c>
      <c r="F50" s="5">
        <f>vlookup(B50,Filmes_final!$B$2:$U$1001,3,FALSE)</f>
        <v>1966</v>
      </c>
      <c r="G50" s="5" t="str">
        <f>vlookup(B50,Filmes_final!$B$2:$U$1001,13,FALSE)</f>
        <v>Sergio Leone</v>
      </c>
    </row>
    <row r="51">
      <c r="A51" s="5">
        <v>13.0</v>
      </c>
      <c r="B51" s="5" t="s">
        <v>114</v>
      </c>
      <c r="C51" s="5" t="s">
        <v>120</v>
      </c>
      <c r="D51" s="5" t="s">
        <v>6635</v>
      </c>
      <c r="E51" s="8">
        <f>vlookup(B51,Filmes_final!$B$2:$U$1001,20,FALSE)</f>
        <v>49485003</v>
      </c>
      <c r="F51" s="5">
        <f>vlookup(B51,Filmes_final!$B$2:$U$1001,3,FALSE)</f>
        <v>1966</v>
      </c>
      <c r="G51" s="5" t="str">
        <f>vlookup(B51,Filmes_final!$B$2:$U$1001,13,FALSE)</f>
        <v>Sergio Leone</v>
      </c>
    </row>
    <row r="52">
      <c r="A52" s="5">
        <v>13.0</v>
      </c>
      <c r="B52" s="5" t="s">
        <v>114</v>
      </c>
      <c r="C52" s="5" t="s">
        <v>121</v>
      </c>
      <c r="D52" s="5" t="s">
        <v>6636</v>
      </c>
      <c r="E52" s="8">
        <f>vlookup(B52,Filmes_final!$B$2:$U$1001,20,FALSE)</f>
        <v>49485003</v>
      </c>
      <c r="F52" s="5">
        <f>vlookup(B52,Filmes_final!$B$2:$U$1001,3,FALSE)</f>
        <v>1966</v>
      </c>
      <c r="G52" s="5" t="str">
        <f>vlookup(B52,Filmes_final!$B$2:$U$1001,13,FALSE)</f>
        <v>Sergio Leone</v>
      </c>
    </row>
    <row r="53">
      <c r="A53" s="5">
        <v>13.0</v>
      </c>
      <c r="B53" s="5" t="s">
        <v>114</v>
      </c>
      <c r="C53" s="5" t="s">
        <v>122</v>
      </c>
      <c r="D53" s="5" t="s">
        <v>6637</v>
      </c>
      <c r="E53" s="8">
        <f>vlookup(B53,Filmes_final!$B$2:$U$1001,20,FALSE)</f>
        <v>49485003</v>
      </c>
      <c r="F53" s="5">
        <f>vlookup(B53,Filmes_final!$B$2:$U$1001,3,FALSE)</f>
        <v>1966</v>
      </c>
      <c r="G53" s="5" t="str">
        <f>vlookup(B53,Filmes_final!$B$2:$U$1001,13,FALSE)</f>
        <v>Sergio Leone</v>
      </c>
    </row>
    <row r="54">
      <c r="A54" s="5">
        <v>14.0</v>
      </c>
      <c r="B54" s="5" t="s">
        <v>123</v>
      </c>
      <c r="C54" s="5" t="s">
        <v>65</v>
      </c>
      <c r="D54" s="5" t="s">
        <v>6634</v>
      </c>
      <c r="E54" s="8">
        <f>vlookup(B54,Filmes_final!$B$2:$U$1001,20,FALSE)</f>
        <v>498974130</v>
      </c>
      <c r="F54" s="5">
        <f>vlookup(B54,Filmes_final!$B$2:$U$1001,3,FALSE)</f>
        <v>2002</v>
      </c>
      <c r="G54" s="5" t="str">
        <f>vlookup(B54,Filmes_final!$B$2:$U$1001,13,FALSE)</f>
        <v>Peter Jackson</v>
      </c>
    </row>
    <row r="55">
      <c r="A55" s="5">
        <v>14.0</v>
      </c>
      <c r="B55" s="5" t="s">
        <v>123</v>
      </c>
      <c r="C55" s="5" t="s">
        <v>67</v>
      </c>
      <c r="D55" s="5" t="s">
        <v>6635</v>
      </c>
      <c r="E55" s="8">
        <f>vlookup(B55,Filmes_final!$B$2:$U$1001,20,FALSE)</f>
        <v>498974130</v>
      </c>
      <c r="F55" s="5">
        <f>vlookup(B55,Filmes_final!$B$2:$U$1001,3,FALSE)</f>
        <v>2002</v>
      </c>
      <c r="G55" s="5" t="str">
        <f>vlookup(B55,Filmes_final!$B$2:$U$1001,13,FALSE)</f>
        <v>Peter Jackson</v>
      </c>
    </row>
    <row r="56">
      <c r="A56" s="5">
        <v>14.0</v>
      </c>
      <c r="B56" s="5" t="s">
        <v>123</v>
      </c>
      <c r="C56" s="5" t="s">
        <v>66</v>
      </c>
      <c r="D56" s="5" t="s">
        <v>6636</v>
      </c>
      <c r="E56" s="8">
        <f>vlookup(B56,Filmes_final!$B$2:$U$1001,20,FALSE)</f>
        <v>498974130</v>
      </c>
      <c r="F56" s="5">
        <f>vlookup(B56,Filmes_final!$B$2:$U$1001,3,FALSE)</f>
        <v>2002</v>
      </c>
      <c r="G56" s="5" t="str">
        <f>vlookup(B56,Filmes_final!$B$2:$U$1001,13,FALSE)</f>
        <v>Peter Jackson</v>
      </c>
    </row>
    <row r="57">
      <c r="A57" s="5">
        <v>14.0</v>
      </c>
      <c r="B57" s="5" t="s">
        <v>123</v>
      </c>
      <c r="C57" s="5" t="s">
        <v>68</v>
      </c>
      <c r="D57" s="5" t="s">
        <v>6637</v>
      </c>
      <c r="E57" s="8">
        <f>vlookup(B57,Filmes_final!$B$2:$U$1001,20,FALSE)</f>
        <v>498974130</v>
      </c>
      <c r="F57" s="5">
        <f>vlookup(B57,Filmes_final!$B$2:$U$1001,3,FALSE)</f>
        <v>2002</v>
      </c>
      <c r="G57" s="5" t="str">
        <f>vlookup(B57,Filmes_final!$B$2:$U$1001,13,FALSE)</f>
        <v>Peter Jackson</v>
      </c>
    </row>
    <row r="58">
      <c r="A58" s="5">
        <v>15.0</v>
      </c>
      <c r="B58" s="5" t="s">
        <v>126</v>
      </c>
      <c r="C58" s="5" t="s">
        <v>131</v>
      </c>
      <c r="D58" s="5" t="s">
        <v>6634</v>
      </c>
      <c r="E58" s="8">
        <f>vlookup(B58,Filmes_final!$B$2:$U$1001,20,FALSE)</f>
        <v>269244364</v>
      </c>
      <c r="F58" s="5">
        <f>vlookup(B58,Filmes_final!$B$2:$U$1001,3,FALSE)</f>
        <v>1999</v>
      </c>
      <c r="G58" s="5" t="str">
        <f>vlookup(B58,Filmes_final!$B$2:$U$1001,13,FALSE)</f>
        <v>Lana Wachowski</v>
      </c>
    </row>
    <row r="59">
      <c r="A59" s="5">
        <v>15.0</v>
      </c>
      <c r="B59" s="5" t="s">
        <v>126</v>
      </c>
      <c r="C59" s="5" t="s">
        <v>132</v>
      </c>
      <c r="D59" s="5" t="s">
        <v>6635</v>
      </c>
      <c r="E59" s="8">
        <f>vlookup(B59,Filmes_final!$B$2:$U$1001,20,FALSE)</f>
        <v>269244364</v>
      </c>
      <c r="F59" s="5">
        <f>vlookup(B59,Filmes_final!$B$2:$U$1001,3,FALSE)</f>
        <v>1999</v>
      </c>
      <c r="G59" s="5" t="str">
        <f>vlookup(B59,Filmes_final!$B$2:$U$1001,13,FALSE)</f>
        <v>Lana Wachowski</v>
      </c>
    </row>
    <row r="60">
      <c r="A60" s="5">
        <v>15.0</v>
      </c>
      <c r="B60" s="5" t="s">
        <v>126</v>
      </c>
      <c r="C60" s="5" t="s">
        <v>133</v>
      </c>
      <c r="D60" s="5" t="s">
        <v>6636</v>
      </c>
      <c r="E60" s="8">
        <f>vlookup(B60,Filmes_final!$B$2:$U$1001,20,FALSE)</f>
        <v>269244364</v>
      </c>
      <c r="F60" s="5">
        <f>vlookup(B60,Filmes_final!$B$2:$U$1001,3,FALSE)</f>
        <v>1999</v>
      </c>
      <c r="G60" s="5" t="str">
        <f>vlookup(B60,Filmes_final!$B$2:$U$1001,13,FALSE)</f>
        <v>Lana Wachowski</v>
      </c>
    </row>
    <row r="61">
      <c r="A61" s="5">
        <v>15.0</v>
      </c>
      <c r="B61" s="5" t="s">
        <v>126</v>
      </c>
      <c r="C61" s="5" t="s">
        <v>134</v>
      </c>
      <c r="D61" s="5" t="s">
        <v>6637</v>
      </c>
      <c r="E61" s="8">
        <f>vlookup(B61,Filmes_final!$B$2:$U$1001,20,FALSE)</f>
        <v>269244364</v>
      </c>
      <c r="F61" s="5">
        <f>vlookup(B61,Filmes_final!$B$2:$U$1001,3,FALSE)</f>
        <v>1999</v>
      </c>
      <c r="G61" s="5" t="str">
        <f>vlookup(B61,Filmes_final!$B$2:$U$1001,13,FALSE)</f>
        <v>Lana Wachowski</v>
      </c>
    </row>
    <row r="62">
      <c r="A62" s="5">
        <v>16.0</v>
      </c>
      <c r="B62" s="5" t="s">
        <v>135</v>
      </c>
      <c r="C62" s="5" t="s">
        <v>49</v>
      </c>
      <c r="D62" s="5" t="s">
        <v>6634</v>
      </c>
      <c r="E62" s="8">
        <f>vlookup(B62,Filmes_final!$B$2:$U$1001,20,FALSE)</f>
        <v>94838551</v>
      </c>
      <c r="F62" s="5">
        <f>vlookup(B62,Filmes_final!$B$2:$U$1001,3,FALSE)</f>
        <v>1990</v>
      </c>
      <c r="G62" s="5" t="str">
        <f>vlookup(B62,Filmes_final!$B$2:$U$1001,13,FALSE)</f>
        <v>Martin Scorsese</v>
      </c>
    </row>
    <row r="63">
      <c r="A63" s="5">
        <v>16.0</v>
      </c>
      <c r="B63" s="5" t="s">
        <v>135</v>
      </c>
      <c r="C63" s="5" t="s">
        <v>140</v>
      </c>
      <c r="D63" s="5" t="s">
        <v>6635</v>
      </c>
      <c r="E63" s="8">
        <f>vlookup(B63,Filmes_final!$B$2:$U$1001,20,FALSE)</f>
        <v>94838551</v>
      </c>
      <c r="F63" s="5">
        <f>vlookup(B63,Filmes_final!$B$2:$U$1001,3,FALSE)</f>
        <v>1990</v>
      </c>
      <c r="G63" s="5" t="str">
        <f>vlookup(B63,Filmes_final!$B$2:$U$1001,13,FALSE)</f>
        <v>Martin Scorsese</v>
      </c>
    </row>
    <row r="64">
      <c r="A64" s="5">
        <v>16.0</v>
      </c>
      <c r="B64" s="5" t="s">
        <v>135</v>
      </c>
      <c r="C64" s="5" t="s">
        <v>141</v>
      </c>
      <c r="D64" s="5" t="s">
        <v>6636</v>
      </c>
      <c r="E64" s="8">
        <f>vlookup(B64,Filmes_final!$B$2:$U$1001,20,FALSE)</f>
        <v>94838551</v>
      </c>
      <c r="F64" s="5">
        <f>vlookup(B64,Filmes_final!$B$2:$U$1001,3,FALSE)</f>
        <v>1990</v>
      </c>
      <c r="G64" s="5" t="str">
        <f>vlookup(B64,Filmes_final!$B$2:$U$1001,13,FALSE)</f>
        <v>Martin Scorsese</v>
      </c>
    </row>
    <row r="65">
      <c r="A65" s="5">
        <v>16.0</v>
      </c>
      <c r="B65" s="5" t="s">
        <v>135</v>
      </c>
      <c r="C65" s="5" t="s">
        <v>142</v>
      </c>
      <c r="D65" s="5" t="s">
        <v>6637</v>
      </c>
      <c r="E65" s="8">
        <f>vlookup(B65,Filmes_final!$B$2:$U$1001,20,FALSE)</f>
        <v>94838551</v>
      </c>
      <c r="F65" s="5">
        <f>vlookup(B65,Filmes_final!$B$2:$U$1001,3,FALSE)</f>
        <v>1990</v>
      </c>
      <c r="G65" s="5" t="str">
        <f>vlookup(B65,Filmes_final!$B$2:$U$1001,13,FALSE)</f>
        <v>Martin Scorsese</v>
      </c>
    </row>
    <row r="66">
      <c r="A66" s="5">
        <v>17.0</v>
      </c>
      <c r="B66" s="5" t="s">
        <v>143</v>
      </c>
      <c r="C66" s="5" t="s">
        <v>148</v>
      </c>
      <c r="D66" s="5" t="s">
        <v>6634</v>
      </c>
      <c r="E66" s="8">
        <f>vlookup(B66,Filmes_final!$B$2:$U$1001,20,FALSE)</f>
        <v>963163798</v>
      </c>
      <c r="F66" s="5">
        <f>vlookup(B66,Filmes_final!$B$2:$U$1001,3,FALSE)</f>
        <v>1980</v>
      </c>
      <c r="G66" s="5" t="str">
        <f>vlookup(B66,Filmes_final!$B$2:$U$1001,13,FALSE)</f>
        <v>Irvin Kershner</v>
      </c>
    </row>
    <row r="67">
      <c r="A67" s="5">
        <v>17.0</v>
      </c>
      <c r="B67" s="5" t="s">
        <v>143</v>
      </c>
      <c r="C67" s="5" t="s">
        <v>149</v>
      </c>
      <c r="D67" s="5" t="s">
        <v>6635</v>
      </c>
      <c r="E67" s="8">
        <f>vlookup(B67,Filmes_final!$B$2:$U$1001,20,FALSE)</f>
        <v>963163798</v>
      </c>
      <c r="F67" s="5">
        <f>vlookup(B67,Filmes_final!$B$2:$U$1001,3,FALSE)</f>
        <v>1980</v>
      </c>
      <c r="G67" s="5" t="str">
        <f>vlookup(B67,Filmes_final!$B$2:$U$1001,13,FALSE)</f>
        <v>Irvin Kershner</v>
      </c>
    </row>
    <row r="68">
      <c r="A68" s="5">
        <v>17.0</v>
      </c>
      <c r="B68" s="5" t="s">
        <v>143</v>
      </c>
      <c r="C68" s="5" t="s">
        <v>150</v>
      </c>
      <c r="D68" s="5" t="s">
        <v>6636</v>
      </c>
      <c r="E68" s="8">
        <f>vlookup(B68,Filmes_final!$B$2:$U$1001,20,FALSE)</f>
        <v>963163798</v>
      </c>
      <c r="F68" s="5">
        <f>vlookup(B68,Filmes_final!$B$2:$U$1001,3,FALSE)</f>
        <v>1980</v>
      </c>
      <c r="G68" s="5" t="str">
        <f>vlookup(B68,Filmes_final!$B$2:$U$1001,13,FALSE)</f>
        <v>Irvin Kershner</v>
      </c>
    </row>
    <row r="69">
      <c r="A69" s="5">
        <v>17.0</v>
      </c>
      <c r="B69" s="5" t="s">
        <v>143</v>
      </c>
      <c r="C69" s="5" t="s">
        <v>151</v>
      </c>
      <c r="D69" s="5" t="s">
        <v>6637</v>
      </c>
      <c r="E69" s="8">
        <f>vlookup(B69,Filmes_final!$B$2:$U$1001,20,FALSE)</f>
        <v>963163798</v>
      </c>
      <c r="F69" s="5">
        <f>vlookup(B69,Filmes_final!$B$2:$U$1001,3,FALSE)</f>
        <v>1980</v>
      </c>
      <c r="G69" s="5" t="str">
        <f>vlookup(B69,Filmes_final!$B$2:$U$1001,13,FALSE)</f>
        <v>Irvin Kershner</v>
      </c>
    </row>
    <row r="70">
      <c r="A70" s="5">
        <v>18.0</v>
      </c>
      <c r="B70" s="5" t="s">
        <v>152</v>
      </c>
      <c r="C70" s="5" t="s">
        <v>156</v>
      </c>
      <c r="D70" s="5" t="s">
        <v>6634</v>
      </c>
      <c r="E70" s="8">
        <f>vlookup(B70,Filmes_final!$B$2:$U$1001,20,FALSE)</f>
        <v>554563378</v>
      </c>
      <c r="F70" s="5">
        <f>vlookup(B70,Filmes_final!$B$2:$U$1001,3,FALSE)</f>
        <v>1975</v>
      </c>
      <c r="G70" s="5" t="str">
        <f>vlookup(B70,Filmes_final!$B$2:$U$1001,13,FALSE)</f>
        <v>Milos Forman</v>
      </c>
    </row>
    <row r="71">
      <c r="A71" s="5">
        <v>18.0</v>
      </c>
      <c r="B71" s="5" t="s">
        <v>152</v>
      </c>
      <c r="C71" s="5" t="s">
        <v>157</v>
      </c>
      <c r="D71" s="5" t="s">
        <v>6635</v>
      </c>
      <c r="E71" s="8">
        <f>vlookup(B71,Filmes_final!$B$2:$U$1001,20,FALSE)</f>
        <v>554563378</v>
      </c>
      <c r="F71" s="5">
        <f>vlookup(B71,Filmes_final!$B$2:$U$1001,3,FALSE)</f>
        <v>1975</v>
      </c>
      <c r="G71" s="5" t="str">
        <f>vlookup(B71,Filmes_final!$B$2:$U$1001,13,FALSE)</f>
        <v>Milos Forman</v>
      </c>
    </row>
    <row r="72">
      <c r="A72" s="5">
        <v>18.0</v>
      </c>
      <c r="B72" s="5" t="s">
        <v>152</v>
      </c>
      <c r="C72" s="5" t="s">
        <v>158</v>
      </c>
      <c r="D72" s="5" t="s">
        <v>6636</v>
      </c>
      <c r="E72" s="8">
        <f>vlookup(B72,Filmes_final!$B$2:$U$1001,20,FALSE)</f>
        <v>554563378</v>
      </c>
      <c r="F72" s="5">
        <f>vlookup(B72,Filmes_final!$B$2:$U$1001,3,FALSE)</f>
        <v>1975</v>
      </c>
      <c r="G72" s="5" t="str">
        <f>vlookup(B72,Filmes_final!$B$2:$U$1001,13,FALSE)</f>
        <v>Milos Forman</v>
      </c>
    </row>
    <row r="73">
      <c r="A73" s="5">
        <v>18.0</v>
      </c>
      <c r="B73" s="5" t="s">
        <v>152</v>
      </c>
      <c r="C73" s="5" t="s">
        <v>159</v>
      </c>
      <c r="D73" s="5" t="s">
        <v>6637</v>
      </c>
      <c r="E73" s="8">
        <f>vlookup(B73,Filmes_final!$B$2:$U$1001,20,FALSE)</f>
        <v>554563378</v>
      </c>
      <c r="F73" s="5">
        <f>vlookup(B73,Filmes_final!$B$2:$U$1001,3,FALSE)</f>
        <v>1975</v>
      </c>
      <c r="G73" s="5" t="str">
        <f>vlookup(B73,Filmes_final!$B$2:$U$1001,13,FALSE)</f>
        <v>Milos Forman</v>
      </c>
    </row>
    <row r="74">
      <c r="A74" s="5">
        <v>19.0</v>
      </c>
      <c r="B74" s="5" t="s">
        <v>160</v>
      </c>
      <c r="C74" s="5" t="s">
        <v>165</v>
      </c>
      <c r="D74" s="5" t="s">
        <v>6634</v>
      </c>
      <c r="E74" s="8">
        <f>vlookup(B74,Filmes_final!$B$2:$U$1001,20,FALSE)</f>
        <v>0</v>
      </c>
      <c r="F74" s="5">
        <f>vlookup(B74,Filmes_final!$B$2:$U$1001,3,FALSE)</f>
        <v>2020</v>
      </c>
      <c r="G74" s="5" t="str">
        <f>vlookup(B74,Filmes_final!$B$2:$U$1001,13,FALSE)</f>
        <v>Thomas Kail</v>
      </c>
    </row>
    <row r="75">
      <c r="A75" s="5">
        <v>19.0</v>
      </c>
      <c r="B75" s="5" t="s">
        <v>160</v>
      </c>
      <c r="C75" s="5" t="s">
        <v>166</v>
      </c>
      <c r="D75" s="5" t="s">
        <v>6635</v>
      </c>
      <c r="E75" s="8">
        <f>vlookup(B75,Filmes_final!$B$2:$U$1001,20,FALSE)</f>
        <v>0</v>
      </c>
      <c r="F75" s="5">
        <f>vlookup(B75,Filmes_final!$B$2:$U$1001,3,FALSE)</f>
        <v>2020</v>
      </c>
      <c r="G75" s="5" t="str">
        <f>vlookup(B75,Filmes_final!$B$2:$U$1001,13,FALSE)</f>
        <v>Thomas Kail</v>
      </c>
    </row>
    <row r="76">
      <c r="A76" s="5">
        <v>19.0</v>
      </c>
      <c r="B76" s="5" t="s">
        <v>160</v>
      </c>
      <c r="C76" s="5" t="s">
        <v>167</v>
      </c>
      <c r="D76" s="5" t="s">
        <v>6636</v>
      </c>
      <c r="E76" s="8">
        <f>vlookup(B76,Filmes_final!$B$2:$U$1001,20,FALSE)</f>
        <v>0</v>
      </c>
      <c r="F76" s="5">
        <f>vlookup(B76,Filmes_final!$B$2:$U$1001,3,FALSE)</f>
        <v>2020</v>
      </c>
      <c r="G76" s="5" t="str">
        <f>vlookup(B76,Filmes_final!$B$2:$U$1001,13,FALSE)</f>
        <v>Thomas Kail</v>
      </c>
    </row>
    <row r="77">
      <c r="A77" s="5">
        <v>19.0</v>
      </c>
      <c r="B77" s="5" t="s">
        <v>160</v>
      </c>
      <c r="C77" s="5" t="s">
        <v>168</v>
      </c>
      <c r="D77" s="5" t="s">
        <v>6637</v>
      </c>
      <c r="E77" s="8">
        <f>vlookup(B77,Filmes_final!$B$2:$U$1001,20,FALSE)</f>
        <v>0</v>
      </c>
      <c r="F77" s="5">
        <f>vlookup(B77,Filmes_final!$B$2:$U$1001,3,FALSE)</f>
        <v>2020</v>
      </c>
      <c r="G77" s="5" t="str">
        <f>vlookup(B77,Filmes_final!$B$2:$U$1001,13,FALSE)</f>
        <v>Thomas Kail</v>
      </c>
    </row>
    <row r="78">
      <c r="A78" s="5">
        <v>20.0</v>
      </c>
      <c r="B78" s="5" t="s">
        <v>169</v>
      </c>
      <c r="C78" s="5" t="s">
        <v>174</v>
      </c>
      <c r="D78" s="5" t="s">
        <v>6634</v>
      </c>
      <c r="E78" s="8">
        <f>vlookup(B78,Filmes_final!$B$2:$U$1001,20,FALSE)</f>
        <v>54694874</v>
      </c>
      <c r="F78" s="5">
        <f>vlookup(B78,Filmes_final!$B$2:$U$1001,3,FALSE)</f>
        <v>2019</v>
      </c>
      <c r="G78" s="5" t="str">
        <f>vlookup(B78,Filmes_final!$B$2:$U$1001,13,FALSE)</f>
        <v>Bong Joon Ho</v>
      </c>
    </row>
    <row r="79">
      <c r="A79" s="5">
        <v>20.0</v>
      </c>
      <c r="B79" s="5" t="s">
        <v>169</v>
      </c>
      <c r="C79" s="5" t="s">
        <v>175</v>
      </c>
      <c r="D79" s="5" t="s">
        <v>6635</v>
      </c>
      <c r="E79" s="8">
        <f>vlookup(B79,Filmes_final!$B$2:$U$1001,20,FALSE)</f>
        <v>54694874</v>
      </c>
      <c r="F79" s="5">
        <f>vlookup(B79,Filmes_final!$B$2:$U$1001,3,FALSE)</f>
        <v>2019</v>
      </c>
      <c r="G79" s="5" t="str">
        <f>vlookup(B79,Filmes_final!$B$2:$U$1001,13,FALSE)</f>
        <v>Bong Joon Ho</v>
      </c>
    </row>
    <row r="80">
      <c r="A80" s="5">
        <v>20.0</v>
      </c>
      <c r="B80" s="5" t="s">
        <v>169</v>
      </c>
      <c r="C80" s="5" t="s">
        <v>176</v>
      </c>
      <c r="D80" s="5" t="s">
        <v>6636</v>
      </c>
      <c r="E80" s="8">
        <f>vlookup(B80,Filmes_final!$B$2:$U$1001,20,FALSE)</f>
        <v>54694874</v>
      </c>
      <c r="F80" s="5">
        <f>vlookup(B80,Filmes_final!$B$2:$U$1001,3,FALSE)</f>
        <v>2019</v>
      </c>
      <c r="G80" s="5" t="str">
        <f>vlookup(B80,Filmes_final!$B$2:$U$1001,13,FALSE)</f>
        <v>Bong Joon Ho</v>
      </c>
    </row>
    <row r="81">
      <c r="A81" s="5">
        <v>20.0</v>
      </c>
      <c r="B81" s="5" t="s">
        <v>169</v>
      </c>
      <c r="C81" s="5" t="s">
        <v>177</v>
      </c>
      <c r="D81" s="5" t="s">
        <v>6637</v>
      </c>
      <c r="E81" s="8">
        <f>vlookup(B81,Filmes_final!$B$2:$U$1001,20,FALSE)</f>
        <v>54694874</v>
      </c>
      <c r="F81" s="5">
        <f>vlookup(B81,Filmes_final!$B$2:$U$1001,3,FALSE)</f>
        <v>2019</v>
      </c>
      <c r="G81" s="5" t="str">
        <f>vlookup(B81,Filmes_final!$B$2:$U$1001,13,FALSE)</f>
        <v>Bong Joon Ho</v>
      </c>
    </row>
    <row r="82">
      <c r="A82" s="5">
        <v>21.0</v>
      </c>
      <c r="B82" s="5" t="s">
        <v>178</v>
      </c>
      <c r="C82" s="5" t="s">
        <v>182</v>
      </c>
      <c r="D82" s="5" t="s">
        <v>6634</v>
      </c>
      <c r="E82" s="8">
        <f>vlookup(B82,Filmes_final!$B$2:$U$1001,20,FALSE)</f>
        <v>2024032</v>
      </c>
      <c r="F82" s="5">
        <f>vlookup(B82,Filmes_final!$B$2:$U$1001,3,FALSE)</f>
        <v>2020</v>
      </c>
      <c r="G82" s="5" t="str">
        <f>vlookup(B82,Filmes_final!$B$2:$U$1001,13,FALSE)</f>
        <v>Sudha Kongara</v>
      </c>
    </row>
    <row r="83">
      <c r="A83" s="5">
        <v>21.0</v>
      </c>
      <c r="B83" s="5" t="s">
        <v>178</v>
      </c>
      <c r="C83" s="5" t="s">
        <v>183</v>
      </c>
      <c r="D83" s="5" t="s">
        <v>6635</v>
      </c>
      <c r="E83" s="8">
        <f>vlookup(B83,Filmes_final!$B$2:$U$1001,20,FALSE)</f>
        <v>2024032</v>
      </c>
      <c r="F83" s="5">
        <f>vlookup(B83,Filmes_final!$B$2:$U$1001,3,FALSE)</f>
        <v>2020</v>
      </c>
      <c r="G83" s="5" t="str">
        <f>vlookup(B83,Filmes_final!$B$2:$U$1001,13,FALSE)</f>
        <v>Sudha Kongara</v>
      </c>
    </row>
    <row r="84">
      <c r="A84" s="5">
        <v>21.0</v>
      </c>
      <c r="B84" s="5" t="s">
        <v>178</v>
      </c>
      <c r="C84" s="5" t="s">
        <v>184</v>
      </c>
      <c r="D84" s="5" t="s">
        <v>6636</v>
      </c>
      <c r="E84" s="8">
        <f>vlookup(B84,Filmes_final!$B$2:$U$1001,20,FALSE)</f>
        <v>2024032</v>
      </c>
      <c r="F84" s="5">
        <f>vlookup(B84,Filmes_final!$B$2:$U$1001,3,FALSE)</f>
        <v>2020</v>
      </c>
      <c r="G84" s="5" t="str">
        <f>vlookup(B84,Filmes_final!$B$2:$U$1001,13,FALSE)</f>
        <v>Sudha Kongara</v>
      </c>
    </row>
    <row r="85">
      <c r="A85" s="5">
        <v>21.0</v>
      </c>
      <c r="B85" s="5" t="s">
        <v>178</v>
      </c>
      <c r="C85" s="5" t="s">
        <v>185</v>
      </c>
      <c r="D85" s="5" t="s">
        <v>6637</v>
      </c>
      <c r="E85" s="8">
        <f>vlookup(B85,Filmes_final!$B$2:$U$1001,20,FALSE)</f>
        <v>2024032</v>
      </c>
      <c r="F85" s="5">
        <f>vlookup(B85,Filmes_final!$B$2:$U$1001,3,FALSE)</f>
        <v>2020</v>
      </c>
      <c r="G85" s="5" t="str">
        <f>vlookup(B85,Filmes_final!$B$2:$U$1001,13,FALSE)</f>
        <v>Sudha Kongara</v>
      </c>
    </row>
    <row r="86">
      <c r="A86" s="5">
        <v>22.0</v>
      </c>
      <c r="B86" s="5" t="s">
        <v>186</v>
      </c>
      <c r="C86" s="5" t="s">
        <v>190</v>
      </c>
      <c r="D86" s="5" t="s">
        <v>6634</v>
      </c>
      <c r="E86" s="8">
        <f>vlookup(B86,Filmes_final!$B$2:$U$1001,20,FALSE)</f>
        <v>207355255</v>
      </c>
      <c r="F86" s="5">
        <f>vlookup(B86,Filmes_final!$B$2:$U$1001,3,FALSE)</f>
        <v>2014</v>
      </c>
      <c r="G86" s="5" t="str">
        <f>vlookup(B86,Filmes_final!$B$2:$U$1001,13,FALSE)</f>
        <v>Christopher Nolan</v>
      </c>
    </row>
    <row r="87">
      <c r="A87" s="5">
        <v>22.0</v>
      </c>
      <c r="B87" s="5" t="s">
        <v>186</v>
      </c>
      <c r="C87" s="5" t="s">
        <v>191</v>
      </c>
      <c r="D87" s="5" t="s">
        <v>6635</v>
      </c>
      <c r="E87" s="8">
        <f>vlookup(B87,Filmes_final!$B$2:$U$1001,20,FALSE)</f>
        <v>207355255</v>
      </c>
      <c r="F87" s="5">
        <f>vlookup(B87,Filmes_final!$B$2:$U$1001,3,FALSE)</f>
        <v>2014</v>
      </c>
      <c r="G87" s="5" t="str">
        <f>vlookup(B87,Filmes_final!$B$2:$U$1001,13,FALSE)</f>
        <v>Christopher Nolan</v>
      </c>
    </row>
    <row r="88">
      <c r="A88" s="5">
        <v>22.0</v>
      </c>
      <c r="B88" s="5" t="s">
        <v>186</v>
      </c>
      <c r="C88" s="5" t="s">
        <v>192</v>
      </c>
      <c r="D88" s="5" t="s">
        <v>6636</v>
      </c>
      <c r="E88" s="8">
        <f>vlookup(B88,Filmes_final!$B$2:$U$1001,20,FALSE)</f>
        <v>207355255</v>
      </c>
      <c r="F88" s="5">
        <f>vlookup(B88,Filmes_final!$B$2:$U$1001,3,FALSE)</f>
        <v>2014</v>
      </c>
      <c r="G88" s="5" t="str">
        <f>vlookup(B88,Filmes_final!$B$2:$U$1001,13,FALSE)</f>
        <v>Christopher Nolan</v>
      </c>
    </row>
    <row r="89">
      <c r="A89" s="5">
        <v>22.0</v>
      </c>
      <c r="B89" s="5" t="s">
        <v>186</v>
      </c>
      <c r="C89" s="5" t="s">
        <v>193</v>
      </c>
      <c r="D89" s="5" t="s">
        <v>6637</v>
      </c>
      <c r="E89" s="8">
        <f>vlookup(B89,Filmes_final!$B$2:$U$1001,20,FALSE)</f>
        <v>207355255</v>
      </c>
      <c r="F89" s="5">
        <f>vlookup(B89,Filmes_final!$B$2:$U$1001,3,FALSE)</f>
        <v>2014</v>
      </c>
      <c r="G89" s="5" t="str">
        <f>vlookup(B89,Filmes_final!$B$2:$U$1001,13,FALSE)</f>
        <v>Christopher Nolan</v>
      </c>
    </row>
    <row r="90">
      <c r="A90" s="5">
        <v>23.0</v>
      </c>
      <c r="B90" s="5" t="s">
        <v>194</v>
      </c>
      <c r="C90" s="5" t="s">
        <v>198</v>
      </c>
      <c r="D90" s="5" t="s">
        <v>6634</v>
      </c>
      <c r="E90" s="8">
        <f>vlookup(B90,Filmes_final!$B$2:$U$1001,20,FALSE)</f>
        <v>11017149</v>
      </c>
      <c r="F90" s="5">
        <f>vlookup(B90,Filmes_final!$B$2:$U$1001,3,FALSE)</f>
        <v>2002</v>
      </c>
      <c r="G90" s="5" t="str">
        <f>vlookup(B90,Filmes_final!$B$2:$U$1001,13,FALSE)</f>
        <v>Fernando Meirelles</v>
      </c>
    </row>
    <row r="91">
      <c r="A91" s="5">
        <v>23.0</v>
      </c>
      <c r="B91" s="5" t="s">
        <v>194</v>
      </c>
      <c r="C91" s="5" t="s">
        <v>199</v>
      </c>
      <c r="D91" s="5" t="s">
        <v>6635</v>
      </c>
      <c r="E91" s="8">
        <f>vlookup(B91,Filmes_final!$B$2:$U$1001,20,FALSE)</f>
        <v>11017149</v>
      </c>
      <c r="F91" s="5">
        <f>vlookup(B91,Filmes_final!$B$2:$U$1001,3,FALSE)</f>
        <v>2002</v>
      </c>
      <c r="G91" s="5" t="str">
        <f>vlookup(B91,Filmes_final!$B$2:$U$1001,13,FALSE)</f>
        <v>Fernando Meirelles</v>
      </c>
    </row>
    <row r="92">
      <c r="A92" s="5">
        <v>23.0</v>
      </c>
      <c r="B92" s="5" t="s">
        <v>194</v>
      </c>
      <c r="C92" s="5" t="s">
        <v>200</v>
      </c>
      <c r="D92" s="5" t="s">
        <v>6636</v>
      </c>
      <c r="E92" s="8">
        <f>vlookup(B92,Filmes_final!$B$2:$U$1001,20,FALSE)</f>
        <v>11017149</v>
      </c>
      <c r="F92" s="5">
        <f>vlookup(B92,Filmes_final!$B$2:$U$1001,3,FALSE)</f>
        <v>2002</v>
      </c>
      <c r="G92" s="5" t="str">
        <f>vlookup(B92,Filmes_final!$B$2:$U$1001,13,FALSE)</f>
        <v>Fernando Meirelles</v>
      </c>
    </row>
    <row r="93">
      <c r="A93" s="5">
        <v>23.0</v>
      </c>
      <c r="B93" s="5" t="s">
        <v>194</v>
      </c>
      <c r="C93" s="5" t="s">
        <v>201</v>
      </c>
      <c r="D93" s="5" t="s">
        <v>6637</v>
      </c>
      <c r="E93" s="8">
        <f>vlookup(B93,Filmes_final!$B$2:$U$1001,20,FALSE)</f>
        <v>11017149</v>
      </c>
      <c r="F93" s="5">
        <f>vlookup(B93,Filmes_final!$B$2:$U$1001,3,FALSE)</f>
        <v>2002</v>
      </c>
      <c r="G93" s="5" t="str">
        <f>vlookup(B93,Filmes_final!$B$2:$U$1001,13,FALSE)</f>
        <v>Fernando Meirelles</v>
      </c>
    </row>
    <row r="94">
      <c r="A94" s="5">
        <v>24.0</v>
      </c>
      <c r="B94" s="5" t="s">
        <v>202</v>
      </c>
      <c r="C94" s="5" t="s">
        <v>207</v>
      </c>
      <c r="D94" s="5" t="s">
        <v>6634</v>
      </c>
      <c r="E94" s="8">
        <f>vlookup(B94,Filmes_final!$B$2:$U$1001,20,FALSE)</f>
        <v>14815077</v>
      </c>
      <c r="F94" s="5">
        <f>vlookup(B94,Filmes_final!$B$2:$U$1001,3,FALSE)</f>
        <v>2001</v>
      </c>
      <c r="G94" s="5" t="str">
        <f>vlookup(B94,Filmes_final!$B$2:$U$1001,13,FALSE)</f>
        <v>Hayao Miyazaki</v>
      </c>
    </row>
    <row r="95">
      <c r="A95" s="5">
        <v>24.0</v>
      </c>
      <c r="B95" s="5" t="s">
        <v>202</v>
      </c>
      <c r="C95" s="5" t="s">
        <v>208</v>
      </c>
      <c r="D95" s="5" t="s">
        <v>6635</v>
      </c>
      <c r="E95" s="8">
        <f>vlookup(B95,Filmes_final!$B$2:$U$1001,20,FALSE)</f>
        <v>14815077</v>
      </c>
      <c r="F95" s="5">
        <f>vlookup(B95,Filmes_final!$B$2:$U$1001,3,FALSE)</f>
        <v>2001</v>
      </c>
      <c r="G95" s="5" t="str">
        <f>vlookup(B95,Filmes_final!$B$2:$U$1001,13,FALSE)</f>
        <v>Hayao Miyazaki</v>
      </c>
    </row>
    <row r="96">
      <c r="A96" s="5">
        <v>24.0</v>
      </c>
      <c r="B96" s="5" t="s">
        <v>202</v>
      </c>
      <c r="C96" s="5" t="s">
        <v>209</v>
      </c>
      <c r="D96" s="5" t="s">
        <v>6636</v>
      </c>
      <c r="E96" s="8">
        <f>vlookup(B96,Filmes_final!$B$2:$U$1001,20,FALSE)</f>
        <v>14815077</v>
      </c>
      <c r="F96" s="5">
        <f>vlookup(B96,Filmes_final!$B$2:$U$1001,3,FALSE)</f>
        <v>2001</v>
      </c>
      <c r="G96" s="5" t="str">
        <f>vlookup(B96,Filmes_final!$B$2:$U$1001,13,FALSE)</f>
        <v>Hayao Miyazaki</v>
      </c>
    </row>
    <row r="97">
      <c r="A97" s="5">
        <v>24.0</v>
      </c>
      <c r="B97" s="5" t="s">
        <v>202</v>
      </c>
      <c r="C97" s="5" t="s">
        <v>210</v>
      </c>
      <c r="D97" s="5" t="s">
        <v>6637</v>
      </c>
      <c r="E97" s="8">
        <f>vlookup(B97,Filmes_final!$B$2:$U$1001,20,FALSE)</f>
        <v>14815077</v>
      </c>
      <c r="F97" s="5">
        <f>vlookup(B97,Filmes_final!$B$2:$U$1001,3,FALSE)</f>
        <v>2001</v>
      </c>
      <c r="G97" s="5" t="str">
        <f>vlookup(B97,Filmes_final!$B$2:$U$1001,13,FALSE)</f>
        <v>Hayao Miyazaki</v>
      </c>
    </row>
    <row r="98">
      <c r="A98" s="5">
        <v>25.0</v>
      </c>
      <c r="B98" s="5" t="s">
        <v>211</v>
      </c>
      <c r="C98" s="5" t="s">
        <v>110</v>
      </c>
      <c r="D98" s="5" t="s">
        <v>6634</v>
      </c>
      <c r="E98" s="8">
        <f>vlookup(B98,Filmes_final!$B$2:$U$1001,20,FALSE)</f>
        <v>345676206</v>
      </c>
      <c r="F98" s="5">
        <f>vlookup(B98,Filmes_final!$B$2:$U$1001,3,FALSE)</f>
        <v>1998</v>
      </c>
      <c r="G98" s="5" t="str">
        <f>vlookup(B98,Filmes_final!$B$2:$U$1001,13,FALSE)</f>
        <v>Steven Spielberg</v>
      </c>
    </row>
    <row r="99">
      <c r="A99" s="5">
        <v>25.0</v>
      </c>
      <c r="B99" s="5" t="s">
        <v>211</v>
      </c>
      <c r="C99" s="5" t="s">
        <v>215</v>
      </c>
      <c r="D99" s="5" t="s">
        <v>6635</v>
      </c>
      <c r="E99" s="8">
        <f>vlookup(B99,Filmes_final!$B$2:$U$1001,20,FALSE)</f>
        <v>345676206</v>
      </c>
      <c r="F99" s="5">
        <f>vlookup(B99,Filmes_final!$B$2:$U$1001,3,FALSE)</f>
        <v>1998</v>
      </c>
      <c r="G99" s="5" t="str">
        <f>vlookup(B99,Filmes_final!$B$2:$U$1001,13,FALSE)</f>
        <v>Steven Spielberg</v>
      </c>
    </row>
    <row r="100">
      <c r="A100" s="5">
        <v>25.0</v>
      </c>
      <c r="B100" s="5" t="s">
        <v>211</v>
      </c>
      <c r="C100" s="5" t="s">
        <v>216</v>
      </c>
      <c r="D100" s="5" t="s">
        <v>6636</v>
      </c>
      <c r="E100" s="8">
        <f>vlookup(B100,Filmes_final!$B$2:$U$1001,20,FALSE)</f>
        <v>345676206</v>
      </c>
      <c r="F100" s="5">
        <f>vlookup(B100,Filmes_final!$B$2:$U$1001,3,FALSE)</f>
        <v>1998</v>
      </c>
      <c r="G100" s="5" t="str">
        <f>vlookup(B100,Filmes_final!$B$2:$U$1001,13,FALSE)</f>
        <v>Steven Spielberg</v>
      </c>
    </row>
    <row r="101">
      <c r="A101" s="5">
        <v>25.0</v>
      </c>
      <c r="B101" s="5" t="s">
        <v>211</v>
      </c>
      <c r="C101" s="5" t="s">
        <v>217</v>
      </c>
      <c r="D101" s="5" t="s">
        <v>6637</v>
      </c>
      <c r="E101" s="8">
        <f>vlookup(B101,Filmes_final!$B$2:$U$1001,20,FALSE)</f>
        <v>345676206</v>
      </c>
      <c r="F101" s="5">
        <f>vlookup(B101,Filmes_final!$B$2:$U$1001,3,FALSE)</f>
        <v>1998</v>
      </c>
      <c r="G101" s="5" t="str">
        <f>vlookup(B101,Filmes_final!$B$2:$U$1001,13,FALSE)</f>
        <v>Steven Spielberg</v>
      </c>
    </row>
    <row r="102">
      <c r="A102" s="5">
        <v>26.0</v>
      </c>
      <c r="B102" s="5" t="s">
        <v>218</v>
      </c>
      <c r="C102" s="5" t="s">
        <v>110</v>
      </c>
      <c r="D102" s="5" t="s">
        <v>6634</v>
      </c>
      <c r="E102" s="8">
        <f>vlookup(B102,Filmes_final!$B$2:$U$1001,20,FALSE)</f>
        <v>214794810</v>
      </c>
      <c r="F102" s="5">
        <f>vlookup(B102,Filmes_final!$B$2:$U$1001,3,FALSE)</f>
        <v>1999</v>
      </c>
      <c r="G102" s="5" t="str">
        <f>vlookup(B102,Filmes_final!$B$2:$U$1001,13,FALSE)</f>
        <v>Frank Darabont</v>
      </c>
    </row>
    <row r="103">
      <c r="A103" s="5">
        <v>26.0</v>
      </c>
      <c r="B103" s="5" t="s">
        <v>218</v>
      </c>
      <c r="C103" s="5" t="s">
        <v>222</v>
      </c>
      <c r="D103" s="5" t="s">
        <v>6635</v>
      </c>
      <c r="E103" s="8">
        <f>vlookup(B103,Filmes_final!$B$2:$U$1001,20,FALSE)</f>
        <v>214794810</v>
      </c>
      <c r="F103" s="5">
        <f>vlookup(B103,Filmes_final!$B$2:$U$1001,3,FALSE)</f>
        <v>1999</v>
      </c>
      <c r="G103" s="5" t="str">
        <f>vlookup(B103,Filmes_final!$B$2:$U$1001,13,FALSE)</f>
        <v>Frank Darabont</v>
      </c>
    </row>
    <row r="104">
      <c r="A104" s="5">
        <v>26.0</v>
      </c>
      <c r="B104" s="5" t="s">
        <v>218</v>
      </c>
      <c r="C104" s="5" t="s">
        <v>223</v>
      </c>
      <c r="D104" s="5" t="s">
        <v>6636</v>
      </c>
      <c r="E104" s="8">
        <f>vlookup(B104,Filmes_final!$B$2:$U$1001,20,FALSE)</f>
        <v>214794810</v>
      </c>
      <c r="F104" s="5">
        <f>vlookup(B104,Filmes_final!$B$2:$U$1001,3,FALSE)</f>
        <v>1999</v>
      </c>
      <c r="G104" s="5" t="str">
        <f>vlookup(B104,Filmes_final!$B$2:$U$1001,13,FALSE)</f>
        <v>Frank Darabont</v>
      </c>
    </row>
    <row r="105">
      <c r="A105" s="5">
        <v>26.0</v>
      </c>
      <c r="B105" s="5" t="s">
        <v>218</v>
      </c>
      <c r="C105" s="5" t="s">
        <v>224</v>
      </c>
      <c r="D105" s="5" t="s">
        <v>6637</v>
      </c>
      <c r="E105" s="8">
        <f>vlookup(B105,Filmes_final!$B$2:$U$1001,20,FALSE)</f>
        <v>214794810</v>
      </c>
      <c r="F105" s="5">
        <f>vlookup(B105,Filmes_final!$B$2:$U$1001,3,FALSE)</f>
        <v>1999</v>
      </c>
      <c r="G105" s="5" t="str">
        <f>vlookup(B105,Filmes_final!$B$2:$U$1001,13,FALSE)</f>
        <v>Frank Darabont</v>
      </c>
    </row>
    <row r="106">
      <c r="A106" s="5">
        <v>27.0</v>
      </c>
      <c r="B106" s="5" t="s">
        <v>225</v>
      </c>
      <c r="C106" s="5" t="s">
        <v>229</v>
      </c>
      <c r="D106" s="5" t="s">
        <v>6634</v>
      </c>
      <c r="E106" s="8">
        <f>vlookup(B106,Filmes_final!$B$2:$U$1001,20,FALSE)</f>
        <v>93392064</v>
      </c>
      <c r="F106" s="5">
        <f>vlookup(B106,Filmes_final!$B$2:$U$1001,3,FALSE)</f>
        <v>1997</v>
      </c>
      <c r="G106" s="5" t="str">
        <f>vlookup(B106,Filmes_final!$B$2:$U$1001,13,FALSE)</f>
        <v>Roberto Benigni</v>
      </c>
    </row>
    <row r="107">
      <c r="A107" s="5">
        <v>27.0</v>
      </c>
      <c r="B107" s="5" t="s">
        <v>225</v>
      </c>
      <c r="C107" s="5" t="s">
        <v>230</v>
      </c>
      <c r="D107" s="5" t="s">
        <v>6635</v>
      </c>
      <c r="E107" s="8">
        <f>vlookup(B107,Filmes_final!$B$2:$U$1001,20,FALSE)</f>
        <v>93392064</v>
      </c>
      <c r="F107" s="5">
        <f>vlookup(B107,Filmes_final!$B$2:$U$1001,3,FALSE)</f>
        <v>1997</v>
      </c>
      <c r="G107" s="5" t="str">
        <f>vlookup(B107,Filmes_final!$B$2:$U$1001,13,FALSE)</f>
        <v>Roberto Benigni</v>
      </c>
    </row>
    <row r="108">
      <c r="A108" s="5">
        <v>27.0</v>
      </c>
      <c r="B108" s="5" t="s">
        <v>225</v>
      </c>
      <c r="C108" s="5" t="s">
        <v>231</v>
      </c>
      <c r="D108" s="5" t="s">
        <v>6636</v>
      </c>
      <c r="E108" s="8">
        <f>vlookup(B108,Filmes_final!$B$2:$U$1001,20,FALSE)</f>
        <v>93392064</v>
      </c>
      <c r="F108" s="5">
        <f>vlookup(B108,Filmes_final!$B$2:$U$1001,3,FALSE)</f>
        <v>1997</v>
      </c>
      <c r="G108" s="5" t="str">
        <f>vlookup(B108,Filmes_final!$B$2:$U$1001,13,FALSE)</f>
        <v>Roberto Benigni</v>
      </c>
    </row>
    <row r="109">
      <c r="A109" s="5">
        <v>27.0</v>
      </c>
      <c r="B109" s="5" t="s">
        <v>225</v>
      </c>
      <c r="C109" s="5" t="s">
        <v>232</v>
      </c>
      <c r="D109" s="5" t="s">
        <v>6637</v>
      </c>
      <c r="E109" s="8">
        <f>vlookup(B109,Filmes_final!$B$2:$U$1001,20,FALSE)</f>
        <v>93392064</v>
      </c>
      <c r="F109" s="5">
        <f>vlookup(B109,Filmes_final!$B$2:$U$1001,3,FALSE)</f>
        <v>1997</v>
      </c>
      <c r="G109" s="5" t="str">
        <f>vlookup(B109,Filmes_final!$B$2:$U$1001,13,FALSE)</f>
        <v>Roberto Benigni</v>
      </c>
    </row>
    <row r="110">
      <c r="A110" s="5">
        <v>28.0</v>
      </c>
      <c r="B110" s="5" t="s">
        <v>233</v>
      </c>
      <c r="C110" s="5" t="s">
        <v>24</v>
      </c>
      <c r="D110" s="5" t="s">
        <v>6634</v>
      </c>
      <c r="E110" s="8">
        <f>vlookup(B110,Filmes_final!$B$2:$U$1001,20,FALSE)</f>
        <v>171853042</v>
      </c>
      <c r="F110" s="5">
        <f>vlookup(B110,Filmes_final!$B$2:$U$1001,3,FALSE)</f>
        <v>1995</v>
      </c>
      <c r="G110" s="5" t="str">
        <f>vlookup(B110,Filmes_final!$B$2:$U$1001,13,FALSE)</f>
        <v>David Fincher</v>
      </c>
    </row>
    <row r="111">
      <c r="A111" s="5">
        <v>28.0</v>
      </c>
      <c r="B111" s="5" t="s">
        <v>233</v>
      </c>
      <c r="C111" s="5" t="s">
        <v>98</v>
      </c>
      <c r="D111" s="5" t="s">
        <v>6635</v>
      </c>
      <c r="E111" s="8">
        <f>vlookup(B111,Filmes_final!$B$2:$U$1001,20,FALSE)</f>
        <v>171853042</v>
      </c>
      <c r="F111" s="5">
        <f>vlookup(B111,Filmes_final!$B$2:$U$1001,3,FALSE)</f>
        <v>1995</v>
      </c>
      <c r="G111" s="5" t="str">
        <f>vlookup(B111,Filmes_final!$B$2:$U$1001,13,FALSE)</f>
        <v>David Fincher</v>
      </c>
    </row>
    <row r="112">
      <c r="A112" s="5">
        <v>28.0</v>
      </c>
      <c r="B112" s="5" t="s">
        <v>233</v>
      </c>
      <c r="C112" s="5" t="s">
        <v>237</v>
      </c>
      <c r="D112" s="5" t="s">
        <v>6636</v>
      </c>
      <c r="E112" s="8">
        <f>vlookup(B112,Filmes_final!$B$2:$U$1001,20,FALSE)</f>
        <v>171853042</v>
      </c>
      <c r="F112" s="5">
        <f>vlookup(B112,Filmes_final!$B$2:$U$1001,3,FALSE)</f>
        <v>1995</v>
      </c>
      <c r="G112" s="5" t="str">
        <f>vlookup(B112,Filmes_final!$B$2:$U$1001,13,FALSE)</f>
        <v>David Fincher</v>
      </c>
    </row>
    <row r="113">
      <c r="A113" s="5">
        <v>28.0</v>
      </c>
      <c r="B113" s="5" t="s">
        <v>233</v>
      </c>
      <c r="C113" s="5" t="s">
        <v>238</v>
      </c>
      <c r="D113" s="5" t="s">
        <v>6637</v>
      </c>
      <c r="E113" s="8">
        <f>vlookup(B113,Filmes_final!$B$2:$U$1001,20,FALSE)</f>
        <v>171853042</v>
      </c>
      <c r="F113" s="5">
        <f>vlookup(B113,Filmes_final!$B$2:$U$1001,3,FALSE)</f>
        <v>1995</v>
      </c>
      <c r="G113" s="5" t="str">
        <f>vlookup(B113,Filmes_final!$B$2:$U$1001,13,FALSE)</f>
        <v>David Fincher</v>
      </c>
    </row>
    <row r="114">
      <c r="A114" s="5">
        <v>29.0</v>
      </c>
      <c r="B114" s="5" t="s">
        <v>239</v>
      </c>
      <c r="C114" s="5" t="s">
        <v>244</v>
      </c>
      <c r="D114" s="5" t="s">
        <v>6634</v>
      </c>
      <c r="E114" s="8">
        <f>vlookup(B114,Filmes_final!$B$2:$U$1001,20,FALSE)</f>
        <v>250578621</v>
      </c>
      <c r="F114" s="5">
        <f>vlookup(B114,Filmes_final!$B$2:$U$1001,3,FALSE)</f>
        <v>1991</v>
      </c>
      <c r="G114" s="5" t="str">
        <f>vlookup(B114,Filmes_final!$B$2:$U$1001,13,FALSE)</f>
        <v>Jonathan Demme</v>
      </c>
    </row>
    <row r="115">
      <c r="A115" s="5">
        <v>29.0</v>
      </c>
      <c r="B115" s="5" t="s">
        <v>239</v>
      </c>
      <c r="C115" s="5" t="s">
        <v>245</v>
      </c>
      <c r="D115" s="5" t="s">
        <v>6635</v>
      </c>
      <c r="E115" s="8">
        <f>vlookup(B115,Filmes_final!$B$2:$U$1001,20,FALSE)</f>
        <v>250578621</v>
      </c>
      <c r="F115" s="5">
        <f>vlookup(B115,Filmes_final!$B$2:$U$1001,3,FALSE)</f>
        <v>1991</v>
      </c>
      <c r="G115" s="5" t="str">
        <f>vlookup(B115,Filmes_final!$B$2:$U$1001,13,FALSE)</f>
        <v>Jonathan Demme</v>
      </c>
    </row>
    <row r="116">
      <c r="A116" s="5">
        <v>29.0</v>
      </c>
      <c r="B116" s="5" t="s">
        <v>239</v>
      </c>
      <c r="C116" s="5" t="s">
        <v>246</v>
      </c>
      <c r="D116" s="5" t="s">
        <v>6636</v>
      </c>
      <c r="E116" s="8">
        <f>vlookup(B116,Filmes_final!$B$2:$U$1001,20,FALSE)</f>
        <v>250578621</v>
      </c>
      <c r="F116" s="5">
        <f>vlookup(B116,Filmes_final!$B$2:$U$1001,3,FALSE)</f>
        <v>1991</v>
      </c>
      <c r="G116" s="5" t="str">
        <f>vlookup(B116,Filmes_final!$B$2:$U$1001,13,FALSE)</f>
        <v>Jonathan Demme</v>
      </c>
    </row>
    <row r="117">
      <c r="A117" s="5">
        <v>29.0</v>
      </c>
      <c r="B117" s="5" t="s">
        <v>239</v>
      </c>
      <c r="C117" s="5" t="s">
        <v>247</v>
      </c>
      <c r="D117" s="5" t="s">
        <v>6637</v>
      </c>
      <c r="E117" s="8">
        <f>vlookup(B117,Filmes_final!$B$2:$U$1001,20,FALSE)</f>
        <v>250578621</v>
      </c>
      <c r="F117" s="5">
        <f>vlookup(B117,Filmes_final!$B$2:$U$1001,3,FALSE)</f>
        <v>1991</v>
      </c>
      <c r="G117" s="5" t="str">
        <f>vlookup(B117,Filmes_final!$B$2:$U$1001,13,FALSE)</f>
        <v>Jonathan Demme</v>
      </c>
    </row>
    <row r="118">
      <c r="A118" s="5">
        <v>30.0</v>
      </c>
      <c r="B118" s="5" t="s">
        <v>248</v>
      </c>
      <c r="C118" s="5" t="s">
        <v>148</v>
      </c>
      <c r="D118" s="5" t="s">
        <v>6634</v>
      </c>
      <c r="E118" s="8">
        <f>vlookup(B118,Filmes_final!$B$2:$U$1001,20,FALSE)</f>
        <v>1423206779</v>
      </c>
      <c r="F118" s="5">
        <f>vlookup(B118,Filmes_final!$B$2:$U$1001,3,FALSE)</f>
        <v>1977</v>
      </c>
      <c r="G118" s="5" t="str">
        <f>vlookup(B118,Filmes_final!$B$2:$U$1001,13,FALSE)</f>
        <v>George Lucas</v>
      </c>
    </row>
    <row r="119">
      <c r="A119" s="5">
        <v>30.0</v>
      </c>
      <c r="B119" s="5" t="s">
        <v>248</v>
      </c>
      <c r="C119" s="5" t="s">
        <v>149</v>
      </c>
      <c r="D119" s="5" t="s">
        <v>6635</v>
      </c>
      <c r="E119" s="8">
        <f>vlookup(B119,Filmes_final!$B$2:$U$1001,20,FALSE)</f>
        <v>1423206779</v>
      </c>
      <c r="F119" s="5">
        <f>vlookup(B119,Filmes_final!$B$2:$U$1001,3,FALSE)</f>
        <v>1977</v>
      </c>
      <c r="G119" s="5" t="str">
        <f>vlookup(B119,Filmes_final!$B$2:$U$1001,13,FALSE)</f>
        <v>George Lucas</v>
      </c>
    </row>
    <row r="120">
      <c r="A120" s="5">
        <v>30.0</v>
      </c>
      <c r="B120" s="5" t="s">
        <v>248</v>
      </c>
      <c r="C120" s="5" t="s">
        <v>150</v>
      </c>
      <c r="D120" s="5" t="s">
        <v>6636</v>
      </c>
      <c r="E120" s="8">
        <f>vlookup(B120,Filmes_final!$B$2:$U$1001,20,FALSE)</f>
        <v>1423206779</v>
      </c>
      <c r="F120" s="5">
        <f>vlookup(B120,Filmes_final!$B$2:$U$1001,3,FALSE)</f>
        <v>1977</v>
      </c>
      <c r="G120" s="5" t="str">
        <f>vlookup(B120,Filmes_final!$B$2:$U$1001,13,FALSE)</f>
        <v>George Lucas</v>
      </c>
    </row>
    <row r="121">
      <c r="A121" s="5">
        <v>30.0</v>
      </c>
      <c r="B121" s="5" t="s">
        <v>248</v>
      </c>
      <c r="C121" s="5" t="s">
        <v>252</v>
      </c>
      <c r="D121" s="5" t="s">
        <v>6637</v>
      </c>
      <c r="E121" s="8">
        <f>vlookup(B121,Filmes_final!$B$2:$U$1001,20,FALSE)</f>
        <v>1423206779</v>
      </c>
      <c r="F121" s="5">
        <f>vlookup(B121,Filmes_final!$B$2:$U$1001,3,FALSE)</f>
        <v>1977</v>
      </c>
      <c r="G121" s="5" t="str">
        <f>vlookup(B121,Filmes_final!$B$2:$U$1001,13,FALSE)</f>
        <v>George Lucas</v>
      </c>
    </row>
    <row r="122">
      <c r="A122" s="5">
        <v>31.0</v>
      </c>
      <c r="B122" s="5" t="s">
        <v>253</v>
      </c>
      <c r="C122" s="5" t="s">
        <v>257</v>
      </c>
      <c r="D122" s="5" t="s">
        <v>6634</v>
      </c>
      <c r="E122" s="8">
        <f>vlookup(B122,Filmes_final!$B$2:$U$1001,20,FALSE)</f>
        <v>130894</v>
      </c>
      <c r="F122" s="5">
        <f>vlookup(B122,Filmes_final!$B$2:$U$1001,3,FALSE)</f>
        <v>1962</v>
      </c>
      <c r="G122" s="5" t="str">
        <f>vlookup(B122,Filmes_final!$B$2:$U$1001,13,FALSE)</f>
        <v>Masaki Kobayashi</v>
      </c>
    </row>
    <row r="123">
      <c r="A123" s="5">
        <v>31.0</v>
      </c>
      <c r="B123" s="5" t="s">
        <v>253</v>
      </c>
      <c r="C123" s="5" t="s">
        <v>258</v>
      </c>
      <c r="D123" s="5" t="s">
        <v>6635</v>
      </c>
      <c r="E123" s="8">
        <f>vlookup(B123,Filmes_final!$B$2:$U$1001,20,FALSE)</f>
        <v>130894</v>
      </c>
      <c r="F123" s="5">
        <f>vlookup(B123,Filmes_final!$B$2:$U$1001,3,FALSE)</f>
        <v>1962</v>
      </c>
      <c r="G123" s="5" t="str">
        <f>vlookup(B123,Filmes_final!$B$2:$U$1001,13,FALSE)</f>
        <v>Masaki Kobayashi</v>
      </c>
    </row>
    <row r="124">
      <c r="A124" s="5">
        <v>31.0</v>
      </c>
      <c r="B124" s="5" t="s">
        <v>253</v>
      </c>
      <c r="C124" s="5" t="s">
        <v>259</v>
      </c>
      <c r="D124" s="5" t="s">
        <v>6636</v>
      </c>
      <c r="E124" s="8">
        <f>vlookup(B124,Filmes_final!$B$2:$U$1001,20,FALSE)</f>
        <v>130894</v>
      </c>
      <c r="F124" s="5">
        <f>vlookup(B124,Filmes_final!$B$2:$U$1001,3,FALSE)</f>
        <v>1962</v>
      </c>
      <c r="G124" s="5" t="str">
        <f>vlookup(B124,Filmes_final!$B$2:$U$1001,13,FALSE)</f>
        <v>Masaki Kobayashi</v>
      </c>
    </row>
    <row r="125">
      <c r="A125" s="5">
        <v>31.0</v>
      </c>
      <c r="B125" s="5" t="s">
        <v>253</v>
      </c>
      <c r="C125" s="5" t="s">
        <v>260</v>
      </c>
      <c r="D125" s="5" t="s">
        <v>6637</v>
      </c>
      <c r="E125" s="8">
        <f>vlookup(B125,Filmes_final!$B$2:$U$1001,20,FALSE)</f>
        <v>130894</v>
      </c>
      <c r="F125" s="5">
        <f>vlookup(B125,Filmes_final!$B$2:$U$1001,3,FALSE)</f>
        <v>1962</v>
      </c>
      <c r="G125" s="5" t="str">
        <f>vlookup(B125,Filmes_final!$B$2:$U$1001,13,FALSE)</f>
        <v>Masaki Kobayashi</v>
      </c>
    </row>
    <row r="126">
      <c r="A126" s="5">
        <v>32.0</v>
      </c>
      <c r="B126" s="5" t="s">
        <v>261</v>
      </c>
      <c r="C126" s="5" t="s">
        <v>265</v>
      </c>
      <c r="D126" s="5" t="s">
        <v>6634</v>
      </c>
      <c r="E126" s="8">
        <f>vlookup(B126,Filmes_final!$B$2:$U$1001,20,FALSE)</f>
        <v>2580295</v>
      </c>
      <c r="F126" s="5">
        <f>vlookup(B126,Filmes_final!$B$2:$U$1001,3,FALSE)</f>
        <v>1954</v>
      </c>
      <c r="G126" s="5" t="str">
        <f>vlookup(B126,Filmes_final!$B$2:$U$1001,13,FALSE)</f>
        <v>Akira Kurosawa</v>
      </c>
    </row>
    <row r="127">
      <c r="A127" s="5">
        <v>32.0</v>
      </c>
      <c r="B127" s="5" t="s">
        <v>261</v>
      </c>
      <c r="C127" s="5" t="s">
        <v>266</v>
      </c>
      <c r="D127" s="5" t="s">
        <v>6635</v>
      </c>
      <c r="E127" s="8">
        <f>vlookup(B127,Filmes_final!$B$2:$U$1001,20,FALSE)</f>
        <v>2580295</v>
      </c>
      <c r="F127" s="5">
        <f>vlookup(B127,Filmes_final!$B$2:$U$1001,3,FALSE)</f>
        <v>1954</v>
      </c>
      <c r="G127" s="5" t="str">
        <f>vlookup(B127,Filmes_final!$B$2:$U$1001,13,FALSE)</f>
        <v>Akira Kurosawa</v>
      </c>
    </row>
    <row r="128">
      <c r="A128" s="5">
        <v>32.0</v>
      </c>
      <c r="B128" s="5" t="s">
        <v>261</v>
      </c>
      <c r="C128" s="5" t="s">
        <v>267</v>
      </c>
      <c r="D128" s="5" t="s">
        <v>6636</v>
      </c>
      <c r="E128" s="8">
        <f>vlookup(B128,Filmes_final!$B$2:$U$1001,20,FALSE)</f>
        <v>2580295</v>
      </c>
      <c r="F128" s="5">
        <f>vlookup(B128,Filmes_final!$B$2:$U$1001,3,FALSE)</f>
        <v>1954</v>
      </c>
      <c r="G128" s="5" t="str">
        <f>vlookup(B128,Filmes_final!$B$2:$U$1001,13,FALSE)</f>
        <v>Akira Kurosawa</v>
      </c>
    </row>
    <row r="129">
      <c r="A129" s="5">
        <v>32.0</v>
      </c>
      <c r="B129" s="5" t="s">
        <v>261</v>
      </c>
      <c r="C129" s="5" t="s">
        <v>268</v>
      </c>
      <c r="D129" s="5" t="s">
        <v>6637</v>
      </c>
      <c r="E129" s="8">
        <f>vlookup(B129,Filmes_final!$B$2:$U$1001,20,FALSE)</f>
        <v>2580295</v>
      </c>
      <c r="F129" s="5">
        <f>vlookup(B129,Filmes_final!$B$2:$U$1001,3,FALSE)</f>
        <v>1954</v>
      </c>
      <c r="G129" s="5" t="str">
        <f>vlookup(B129,Filmes_final!$B$2:$U$1001,13,FALSE)</f>
        <v>Akira Kurosawa</v>
      </c>
    </row>
    <row r="130">
      <c r="A130" s="5">
        <v>33.0</v>
      </c>
      <c r="B130" s="5" t="s">
        <v>269</v>
      </c>
      <c r="C130" s="5" t="s">
        <v>274</v>
      </c>
      <c r="D130" s="5" t="s">
        <v>6634</v>
      </c>
      <c r="E130" s="8">
        <f>vlookup(B130,Filmes_final!$B$2:$U$1001,20,FALSE)</f>
        <v>623666</v>
      </c>
      <c r="F130" s="5">
        <f>vlookup(B130,Filmes_final!$B$2:$U$1001,3,FALSE)</f>
        <v>1946</v>
      </c>
      <c r="G130" s="5" t="str">
        <f>vlookup(B130,Filmes_final!$B$2:$U$1001,13,FALSE)</f>
        <v>Frank Capra</v>
      </c>
    </row>
    <row r="131">
      <c r="A131" s="5">
        <v>33.0</v>
      </c>
      <c r="B131" s="5" t="s">
        <v>269</v>
      </c>
      <c r="C131" s="5" t="s">
        <v>275</v>
      </c>
      <c r="D131" s="5" t="s">
        <v>6635</v>
      </c>
      <c r="E131" s="8">
        <f>vlookup(B131,Filmes_final!$B$2:$U$1001,20,FALSE)</f>
        <v>623666</v>
      </c>
      <c r="F131" s="5">
        <f>vlookup(B131,Filmes_final!$B$2:$U$1001,3,FALSE)</f>
        <v>1946</v>
      </c>
      <c r="G131" s="5" t="str">
        <f>vlookup(B131,Filmes_final!$B$2:$U$1001,13,FALSE)</f>
        <v>Frank Capra</v>
      </c>
    </row>
    <row r="132">
      <c r="A132" s="5">
        <v>33.0</v>
      </c>
      <c r="B132" s="5" t="s">
        <v>269</v>
      </c>
      <c r="C132" s="5" t="s">
        <v>276</v>
      </c>
      <c r="D132" s="5" t="s">
        <v>6636</v>
      </c>
      <c r="E132" s="8">
        <f>vlookup(B132,Filmes_final!$B$2:$U$1001,20,FALSE)</f>
        <v>623666</v>
      </c>
      <c r="F132" s="5">
        <f>vlookup(B132,Filmes_final!$B$2:$U$1001,3,FALSE)</f>
        <v>1946</v>
      </c>
      <c r="G132" s="5" t="str">
        <f>vlookup(B132,Filmes_final!$B$2:$U$1001,13,FALSE)</f>
        <v>Frank Capra</v>
      </c>
    </row>
    <row r="133">
      <c r="A133" s="5">
        <v>33.0</v>
      </c>
      <c r="B133" s="5" t="s">
        <v>269</v>
      </c>
      <c r="C133" s="5" t="s">
        <v>277</v>
      </c>
      <c r="D133" s="5" t="s">
        <v>6637</v>
      </c>
      <c r="E133" s="8">
        <f>vlookup(B133,Filmes_final!$B$2:$U$1001,20,FALSE)</f>
        <v>623666</v>
      </c>
      <c r="F133" s="5">
        <f>vlookup(B133,Filmes_final!$B$2:$U$1001,3,FALSE)</f>
        <v>1946</v>
      </c>
      <c r="G133" s="5" t="str">
        <f>vlookup(B133,Filmes_final!$B$2:$U$1001,13,FALSE)</f>
        <v>Frank Capra</v>
      </c>
    </row>
    <row r="134">
      <c r="A134" s="5">
        <v>34.0</v>
      </c>
      <c r="B134" s="5" t="s">
        <v>278</v>
      </c>
      <c r="C134" s="5" t="s">
        <v>282</v>
      </c>
      <c r="D134" s="5" t="s">
        <v>6634</v>
      </c>
      <c r="E134" s="8">
        <f>vlookup(B134,Filmes_final!$B$2:$U$1001,20,FALSE)</f>
        <v>343792549</v>
      </c>
      <c r="F134" s="5">
        <f>vlookup(B134,Filmes_final!$B$2:$U$1001,3,FALSE)</f>
        <v>2019</v>
      </c>
      <c r="G134" s="5" t="str">
        <f>vlookup(B134,Filmes_final!$B$2:$U$1001,13,FALSE)</f>
        <v>Todd Phillips</v>
      </c>
    </row>
    <row r="135">
      <c r="A135" s="5">
        <v>34.0</v>
      </c>
      <c r="B135" s="5" t="s">
        <v>278</v>
      </c>
      <c r="C135" s="5" t="s">
        <v>49</v>
      </c>
      <c r="D135" s="5" t="s">
        <v>6635</v>
      </c>
      <c r="E135" s="8">
        <f>vlookup(B135,Filmes_final!$B$2:$U$1001,20,FALSE)</f>
        <v>343792549</v>
      </c>
      <c r="F135" s="5">
        <f>vlookup(B135,Filmes_final!$B$2:$U$1001,3,FALSE)</f>
        <v>2019</v>
      </c>
      <c r="G135" s="5" t="str">
        <f>vlookup(B135,Filmes_final!$B$2:$U$1001,13,FALSE)</f>
        <v>Todd Phillips</v>
      </c>
    </row>
    <row r="136">
      <c r="A136" s="5">
        <v>34.0</v>
      </c>
      <c r="B136" s="5" t="s">
        <v>278</v>
      </c>
      <c r="C136" s="5" t="s">
        <v>283</v>
      </c>
      <c r="D136" s="5" t="s">
        <v>6636</v>
      </c>
      <c r="E136" s="8">
        <f>vlookup(B136,Filmes_final!$B$2:$U$1001,20,FALSE)</f>
        <v>343792549</v>
      </c>
      <c r="F136" s="5">
        <f>vlookup(B136,Filmes_final!$B$2:$U$1001,3,FALSE)</f>
        <v>2019</v>
      </c>
      <c r="G136" s="5" t="str">
        <f>vlookup(B136,Filmes_final!$B$2:$U$1001,13,FALSE)</f>
        <v>Todd Phillips</v>
      </c>
    </row>
    <row r="137">
      <c r="A137" s="5">
        <v>34.0</v>
      </c>
      <c r="B137" s="5" t="s">
        <v>278</v>
      </c>
      <c r="C137" s="5" t="s">
        <v>284</v>
      </c>
      <c r="D137" s="5" t="s">
        <v>6637</v>
      </c>
      <c r="E137" s="8">
        <f>vlookup(B137,Filmes_final!$B$2:$U$1001,20,FALSE)</f>
        <v>343792549</v>
      </c>
      <c r="F137" s="5">
        <f>vlookup(B137,Filmes_final!$B$2:$U$1001,3,FALSE)</f>
        <v>2019</v>
      </c>
      <c r="G137" s="5" t="str">
        <f>vlookup(B137,Filmes_final!$B$2:$U$1001,13,FALSE)</f>
        <v>Todd Phillips</v>
      </c>
    </row>
    <row r="138">
      <c r="A138" s="5">
        <v>35.0</v>
      </c>
      <c r="B138" s="5" t="s">
        <v>285</v>
      </c>
      <c r="C138" s="5" t="s">
        <v>290</v>
      </c>
      <c r="D138" s="5" t="s">
        <v>6634</v>
      </c>
      <c r="E138" s="8">
        <f>vlookup(B138,Filmes_final!$B$2:$U$1001,20,FALSE)</f>
        <v>14438330</v>
      </c>
      <c r="F138" s="5">
        <f>vlookup(B138,Filmes_final!$B$2:$U$1001,3,FALSE)</f>
        <v>2014</v>
      </c>
      <c r="G138" s="5" t="str">
        <f>vlookup(B138,Filmes_final!$B$2:$U$1001,13,FALSE)</f>
        <v>Damien Chazelle</v>
      </c>
    </row>
    <row r="139">
      <c r="A139" s="5">
        <v>35.0</v>
      </c>
      <c r="B139" s="5" t="s">
        <v>285</v>
      </c>
      <c r="C139" s="5" t="s">
        <v>291</v>
      </c>
      <c r="D139" s="5" t="s">
        <v>6635</v>
      </c>
      <c r="E139" s="8">
        <f>vlookup(B139,Filmes_final!$B$2:$U$1001,20,FALSE)</f>
        <v>14438330</v>
      </c>
      <c r="F139" s="5">
        <f>vlookup(B139,Filmes_final!$B$2:$U$1001,3,FALSE)</f>
        <v>2014</v>
      </c>
      <c r="G139" s="5" t="str">
        <f>vlookup(B139,Filmes_final!$B$2:$U$1001,13,FALSE)</f>
        <v>Damien Chazelle</v>
      </c>
    </row>
    <row r="140">
      <c r="A140" s="5">
        <v>35.0</v>
      </c>
      <c r="B140" s="5" t="s">
        <v>285</v>
      </c>
      <c r="C140" s="5" t="s">
        <v>292</v>
      </c>
      <c r="D140" s="5" t="s">
        <v>6636</v>
      </c>
      <c r="E140" s="8">
        <f>vlookup(B140,Filmes_final!$B$2:$U$1001,20,FALSE)</f>
        <v>14438330</v>
      </c>
      <c r="F140" s="5">
        <f>vlookup(B140,Filmes_final!$B$2:$U$1001,3,FALSE)</f>
        <v>2014</v>
      </c>
      <c r="G140" s="5" t="str">
        <f>vlookup(B140,Filmes_final!$B$2:$U$1001,13,FALSE)</f>
        <v>Damien Chazelle</v>
      </c>
    </row>
    <row r="141">
      <c r="A141" s="5">
        <v>35.0</v>
      </c>
      <c r="B141" s="5" t="s">
        <v>285</v>
      </c>
      <c r="C141" s="5" t="s">
        <v>293</v>
      </c>
      <c r="D141" s="5" t="s">
        <v>6637</v>
      </c>
      <c r="E141" s="8">
        <f>vlookup(B141,Filmes_final!$B$2:$U$1001,20,FALSE)</f>
        <v>14438330</v>
      </c>
      <c r="F141" s="5">
        <f>vlookup(B141,Filmes_final!$B$2:$U$1001,3,FALSE)</f>
        <v>2014</v>
      </c>
      <c r="G141" s="5" t="str">
        <f>vlookup(B141,Filmes_final!$B$2:$U$1001,13,FALSE)</f>
        <v>Damien Chazelle</v>
      </c>
    </row>
    <row r="142">
      <c r="A142" s="5">
        <v>36.0</v>
      </c>
      <c r="B142" s="5" t="s">
        <v>294</v>
      </c>
      <c r="C142" s="5" t="s">
        <v>299</v>
      </c>
      <c r="D142" s="5" t="s">
        <v>6634</v>
      </c>
      <c r="E142" s="8">
        <f>vlookup(B142,Filmes_final!$B$2:$U$1001,20,FALSE)</f>
        <v>15441830</v>
      </c>
      <c r="F142" s="5">
        <f>vlookup(B142,Filmes_final!$B$2:$U$1001,3,FALSE)</f>
        <v>2011</v>
      </c>
      <c r="G142" s="5" t="str">
        <f>vlookup(B142,Filmes_final!$B$2:$U$1001,13,FALSE)</f>
        <v>Olivier Nakache</v>
      </c>
    </row>
    <row r="143">
      <c r="A143" s="5">
        <v>36.0</v>
      </c>
      <c r="B143" s="5" t="s">
        <v>294</v>
      </c>
      <c r="C143" s="5" t="s">
        <v>300</v>
      </c>
      <c r="D143" s="5" t="s">
        <v>6635</v>
      </c>
      <c r="E143" s="8">
        <f>vlookup(B143,Filmes_final!$B$2:$U$1001,20,FALSE)</f>
        <v>15441830</v>
      </c>
      <c r="F143" s="5">
        <f>vlookup(B143,Filmes_final!$B$2:$U$1001,3,FALSE)</f>
        <v>2011</v>
      </c>
      <c r="G143" s="5" t="str">
        <f>vlookup(B143,Filmes_final!$B$2:$U$1001,13,FALSE)</f>
        <v>Olivier Nakache</v>
      </c>
    </row>
    <row r="144">
      <c r="A144" s="5">
        <v>36.0</v>
      </c>
      <c r="B144" s="5" t="s">
        <v>294</v>
      </c>
      <c r="C144" s="5" t="s">
        <v>301</v>
      </c>
      <c r="D144" s="5" t="s">
        <v>6636</v>
      </c>
      <c r="E144" s="8">
        <f>vlookup(B144,Filmes_final!$B$2:$U$1001,20,FALSE)</f>
        <v>15441830</v>
      </c>
      <c r="F144" s="5">
        <f>vlookup(B144,Filmes_final!$B$2:$U$1001,3,FALSE)</f>
        <v>2011</v>
      </c>
      <c r="G144" s="5" t="str">
        <f>vlookup(B144,Filmes_final!$B$2:$U$1001,13,FALSE)</f>
        <v>Olivier Nakache</v>
      </c>
    </row>
    <row r="145">
      <c r="A145" s="5">
        <v>36.0</v>
      </c>
      <c r="B145" s="5" t="s">
        <v>294</v>
      </c>
      <c r="C145" s="5" t="s">
        <v>302</v>
      </c>
      <c r="D145" s="5" t="s">
        <v>6637</v>
      </c>
      <c r="E145" s="8">
        <f>vlookup(B145,Filmes_final!$B$2:$U$1001,20,FALSE)</f>
        <v>15441830</v>
      </c>
      <c r="F145" s="5">
        <f>vlookup(B145,Filmes_final!$B$2:$U$1001,3,FALSE)</f>
        <v>2011</v>
      </c>
      <c r="G145" s="5" t="str">
        <f>vlookup(B145,Filmes_final!$B$2:$U$1001,13,FALSE)</f>
        <v>Olivier Nakache</v>
      </c>
    </row>
    <row r="146">
      <c r="A146" s="5">
        <v>37.0</v>
      </c>
      <c r="B146" s="5" t="s">
        <v>303</v>
      </c>
      <c r="C146" s="5" t="s">
        <v>42</v>
      </c>
      <c r="D146" s="5" t="s">
        <v>6634</v>
      </c>
      <c r="E146" s="8">
        <f>vlookup(B146,Filmes_final!$B$2:$U$1001,20,FALSE)</f>
        <v>69065317</v>
      </c>
      <c r="F146" s="5">
        <f>vlookup(B146,Filmes_final!$B$2:$U$1001,3,FALSE)</f>
        <v>2006</v>
      </c>
      <c r="G146" s="5" t="str">
        <f>vlookup(B146,Filmes_final!$B$2:$U$1001,13,FALSE)</f>
        <v>Christopher Nolan</v>
      </c>
    </row>
    <row r="147">
      <c r="A147" s="5">
        <v>37.0</v>
      </c>
      <c r="B147" s="5" t="s">
        <v>303</v>
      </c>
      <c r="C147" s="5" t="s">
        <v>306</v>
      </c>
      <c r="D147" s="5" t="s">
        <v>6635</v>
      </c>
      <c r="E147" s="8">
        <f>vlookup(B147,Filmes_final!$B$2:$U$1001,20,FALSE)</f>
        <v>69065317</v>
      </c>
      <c r="F147" s="5">
        <f>vlookup(B147,Filmes_final!$B$2:$U$1001,3,FALSE)</f>
        <v>2006</v>
      </c>
      <c r="G147" s="5" t="str">
        <f>vlookup(B147,Filmes_final!$B$2:$U$1001,13,FALSE)</f>
        <v>Christopher Nolan</v>
      </c>
    </row>
    <row r="148">
      <c r="A148" s="5">
        <v>37.0</v>
      </c>
      <c r="B148" s="5" t="s">
        <v>303</v>
      </c>
      <c r="C148" s="5" t="s">
        <v>307</v>
      </c>
      <c r="D148" s="5" t="s">
        <v>6636</v>
      </c>
      <c r="E148" s="8">
        <f>vlookup(B148,Filmes_final!$B$2:$U$1001,20,FALSE)</f>
        <v>69065317</v>
      </c>
      <c r="F148" s="5">
        <f>vlookup(B148,Filmes_final!$B$2:$U$1001,3,FALSE)</f>
        <v>2006</v>
      </c>
      <c r="G148" s="5" t="str">
        <f>vlookup(B148,Filmes_final!$B$2:$U$1001,13,FALSE)</f>
        <v>Christopher Nolan</v>
      </c>
    </row>
    <row r="149">
      <c r="A149" s="5">
        <v>37.0</v>
      </c>
      <c r="B149" s="5" t="s">
        <v>303</v>
      </c>
      <c r="C149" s="5" t="s">
        <v>45</v>
      </c>
      <c r="D149" s="5" t="s">
        <v>6637</v>
      </c>
      <c r="E149" s="8">
        <f>vlookup(B149,Filmes_final!$B$2:$U$1001,20,FALSE)</f>
        <v>69065317</v>
      </c>
      <c r="F149" s="5">
        <f>vlookup(B149,Filmes_final!$B$2:$U$1001,3,FALSE)</f>
        <v>2006</v>
      </c>
      <c r="G149" s="5" t="str">
        <f>vlookup(B149,Filmes_final!$B$2:$U$1001,13,FALSE)</f>
        <v>Christopher Nolan</v>
      </c>
    </row>
    <row r="150">
      <c r="A150" s="5">
        <v>38.0</v>
      </c>
      <c r="B150" s="5" t="s">
        <v>308</v>
      </c>
      <c r="C150" s="5" t="s">
        <v>90</v>
      </c>
      <c r="D150" s="5" t="s">
        <v>6634</v>
      </c>
      <c r="E150" s="8">
        <f>vlookup(B150,Filmes_final!$B$2:$U$1001,20,FALSE)</f>
        <v>172220445</v>
      </c>
      <c r="F150" s="5">
        <f>vlookup(B150,Filmes_final!$B$2:$U$1001,3,FALSE)</f>
        <v>2006</v>
      </c>
      <c r="G150" s="5" t="str">
        <f>vlookup(B150,Filmes_final!$B$2:$U$1001,13,FALSE)</f>
        <v>Martin Scorsese</v>
      </c>
    </row>
    <row r="151">
      <c r="A151" s="5">
        <v>38.0</v>
      </c>
      <c r="B151" s="5" t="s">
        <v>308</v>
      </c>
      <c r="C151" s="5" t="s">
        <v>215</v>
      </c>
      <c r="D151" s="5" t="s">
        <v>6635</v>
      </c>
      <c r="E151" s="8">
        <f>vlookup(B151,Filmes_final!$B$2:$U$1001,20,FALSE)</f>
        <v>172220445</v>
      </c>
      <c r="F151" s="5">
        <f>vlookup(B151,Filmes_final!$B$2:$U$1001,3,FALSE)</f>
        <v>2006</v>
      </c>
      <c r="G151" s="5" t="str">
        <f>vlookup(B151,Filmes_final!$B$2:$U$1001,13,FALSE)</f>
        <v>Martin Scorsese</v>
      </c>
    </row>
    <row r="152">
      <c r="A152" s="5">
        <v>38.0</v>
      </c>
      <c r="B152" s="5" t="s">
        <v>308</v>
      </c>
      <c r="C152" s="5" t="s">
        <v>156</v>
      </c>
      <c r="D152" s="5" t="s">
        <v>6636</v>
      </c>
      <c r="E152" s="8">
        <f>vlookup(B152,Filmes_final!$B$2:$U$1001,20,FALSE)</f>
        <v>172220445</v>
      </c>
      <c r="F152" s="5">
        <f>vlookup(B152,Filmes_final!$B$2:$U$1001,3,FALSE)</f>
        <v>2006</v>
      </c>
      <c r="G152" s="5" t="str">
        <f>vlookup(B152,Filmes_final!$B$2:$U$1001,13,FALSE)</f>
        <v>Martin Scorsese</v>
      </c>
    </row>
    <row r="153">
      <c r="A153" s="5">
        <v>38.0</v>
      </c>
      <c r="B153" s="5" t="s">
        <v>308</v>
      </c>
      <c r="C153" s="5" t="s">
        <v>311</v>
      </c>
      <c r="D153" s="5" t="s">
        <v>6637</v>
      </c>
      <c r="E153" s="8">
        <f>vlookup(B153,Filmes_final!$B$2:$U$1001,20,FALSE)</f>
        <v>172220445</v>
      </c>
      <c r="F153" s="5">
        <f>vlookup(B153,Filmes_final!$B$2:$U$1001,3,FALSE)</f>
        <v>2006</v>
      </c>
      <c r="G153" s="5" t="str">
        <f>vlookup(B153,Filmes_final!$B$2:$U$1001,13,FALSE)</f>
        <v>Martin Scorsese</v>
      </c>
    </row>
    <row r="154">
      <c r="A154" s="5">
        <v>39.0</v>
      </c>
      <c r="B154" s="5" t="s">
        <v>312</v>
      </c>
      <c r="C154" s="5" t="s">
        <v>317</v>
      </c>
      <c r="D154" s="5" t="s">
        <v>6634</v>
      </c>
      <c r="E154" s="8">
        <f>vlookup(B154,Filmes_final!$B$2:$U$1001,20,FALSE)</f>
        <v>47446529</v>
      </c>
      <c r="F154" s="5">
        <f>vlookup(B154,Filmes_final!$B$2:$U$1001,3,FALSE)</f>
        <v>2002</v>
      </c>
      <c r="G154" s="5" t="str">
        <f>vlookup(B154,Filmes_final!$B$2:$U$1001,13,FALSE)</f>
        <v>Roman Polanski</v>
      </c>
    </row>
    <row r="155">
      <c r="A155" s="5">
        <v>39.0</v>
      </c>
      <c r="B155" s="5" t="s">
        <v>312</v>
      </c>
      <c r="C155" s="5" t="s">
        <v>318</v>
      </c>
      <c r="D155" s="5" t="s">
        <v>6635</v>
      </c>
      <c r="E155" s="8">
        <f>vlookup(B155,Filmes_final!$B$2:$U$1001,20,FALSE)</f>
        <v>47446529</v>
      </c>
      <c r="F155" s="5">
        <f>vlookup(B155,Filmes_final!$B$2:$U$1001,3,FALSE)</f>
        <v>2002</v>
      </c>
      <c r="G155" s="5" t="str">
        <f>vlookup(B155,Filmes_final!$B$2:$U$1001,13,FALSE)</f>
        <v>Roman Polanski</v>
      </c>
    </row>
    <row r="156">
      <c r="A156" s="5">
        <v>39.0</v>
      </c>
      <c r="B156" s="5" t="s">
        <v>312</v>
      </c>
      <c r="C156" s="5" t="s">
        <v>319</v>
      </c>
      <c r="D156" s="5" t="s">
        <v>6636</v>
      </c>
      <c r="E156" s="8">
        <f>vlookup(B156,Filmes_final!$B$2:$U$1001,20,FALSE)</f>
        <v>47446529</v>
      </c>
      <c r="F156" s="5">
        <f>vlookup(B156,Filmes_final!$B$2:$U$1001,3,FALSE)</f>
        <v>2002</v>
      </c>
      <c r="G156" s="5" t="str">
        <f>vlookup(B156,Filmes_final!$B$2:$U$1001,13,FALSE)</f>
        <v>Roman Polanski</v>
      </c>
    </row>
    <row r="157">
      <c r="A157" s="5">
        <v>39.0</v>
      </c>
      <c r="B157" s="5" t="s">
        <v>312</v>
      </c>
      <c r="C157" s="5" t="s">
        <v>320</v>
      </c>
      <c r="D157" s="5" t="s">
        <v>6637</v>
      </c>
      <c r="E157" s="8">
        <f>vlookup(B157,Filmes_final!$B$2:$U$1001,20,FALSE)</f>
        <v>47446529</v>
      </c>
      <c r="F157" s="5">
        <f>vlookup(B157,Filmes_final!$B$2:$U$1001,3,FALSE)</f>
        <v>2002</v>
      </c>
      <c r="G157" s="5" t="str">
        <f>vlookup(B157,Filmes_final!$B$2:$U$1001,13,FALSE)</f>
        <v>Roman Polanski</v>
      </c>
    </row>
    <row r="158">
      <c r="A158" s="5">
        <v>40.0</v>
      </c>
      <c r="B158" s="5" t="s">
        <v>321</v>
      </c>
      <c r="C158" s="5" t="s">
        <v>325</v>
      </c>
      <c r="D158" s="5" t="s">
        <v>6634</v>
      </c>
      <c r="E158" s="8">
        <f>vlookup(B158,Filmes_final!$B$2:$U$1001,20,FALSE)</f>
        <v>286863488</v>
      </c>
      <c r="F158" s="5">
        <f>vlookup(B158,Filmes_final!$B$2:$U$1001,3,FALSE)</f>
        <v>2000</v>
      </c>
      <c r="G158" s="5" t="str">
        <f>vlookup(B158,Filmes_final!$B$2:$U$1001,13,FALSE)</f>
        <v>Ridley Scott</v>
      </c>
    </row>
    <row r="159">
      <c r="A159" s="5">
        <v>40.0</v>
      </c>
      <c r="B159" s="5" t="s">
        <v>321</v>
      </c>
      <c r="C159" s="5" t="s">
        <v>282</v>
      </c>
      <c r="D159" s="5" t="s">
        <v>6635</v>
      </c>
      <c r="E159" s="8">
        <f>vlookup(B159,Filmes_final!$B$2:$U$1001,20,FALSE)</f>
        <v>286863488</v>
      </c>
      <c r="F159" s="5">
        <f>vlookup(B159,Filmes_final!$B$2:$U$1001,3,FALSE)</f>
        <v>2000</v>
      </c>
      <c r="G159" s="5" t="str">
        <f>vlookup(B159,Filmes_final!$B$2:$U$1001,13,FALSE)</f>
        <v>Ridley Scott</v>
      </c>
    </row>
    <row r="160">
      <c r="A160" s="5">
        <v>40.0</v>
      </c>
      <c r="B160" s="5" t="s">
        <v>321</v>
      </c>
      <c r="C160" s="5" t="s">
        <v>326</v>
      </c>
      <c r="D160" s="5" t="s">
        <v>6636</v>
      </c>
      <c r="E160" s="8">
        <f>vlookup(B160,Filmes_final!$B$2:$U$1001,20,FALSE)</f>
        <v>286863488</v>
      </c>
      <c r="F160" s="5">
        <f>vlookup(B160,Filmes_final!$B$2:$U$1001,3,FALSE)</f>
        <v>2000</v>
      </c>
      <c r="G160" s="5" t="str">
        <f>vlookup(B160,Filmes_final!$B$2:$U$1001,13,FALSE)</f>
        <v>Ridley Scott</v>
      </c>
    </row>
    <row r="161">
      <c r="A161" s="5">
        <v>40.0</v>
      </c>
      <c r="B161" s="5" t="s">
        <v>321</v>
      </c>
      <c r="C161" s="5" t="s">
        <v>327</v>
      </c>
      <c r="D161" s="5" t="s">
        <v>6637</v>
      </c>
      <c r="E161" s="8">
        <f>vlookup(B161,Filmes_final!$B$2:$U$1001,20,FALSE)</f>
        <v>286863488</v>
      </c>
      <c r="F161" s="5">
        <f>vlookup(B161,Filmes_final!$B$2:$U$1001,3,FALSE)</f>
        <v>2000</v>
      </c>
      <c r="G161" s="5" t="str">
        <f>vlookup(B161,Filmes_final!$B$2:$U$1001,13,FALSE)</f>
        <v>Ridley Scott</v>
      </c>
    </row>
    <row r="162">
      <c r="A162" s="5">
        <v>41.0</v>
      </c>
      <c r="B162" s="5" t="s">
        <v>328</v>
      </c>
      <c r="C162" s="5" t="s">
        <v>99</v>
      </c>
      <c r="D162" s="5" t="s">
        <v>6634</v>
      </c>
      <c r="E162" s="8">
        <f>vlookup(B162,Filmes_final!$B$2:$U$1001,20,FALSE)</f>
        <v>10727290</v>
      </c>
      <c r="F162" s="5">
        <f>vlookup(B162,Filmes_final!$B$2:$U$1001,3,FALSE)</f>
        <v>1998</v>
      </c>
      <c r="G162" s="5" t="str">
        <f>vlookup(B162,Filmes_final!$B$2:$U$1001,13,FALSE)</f>
        <v>Tony Kaye</v>
      </c>
    </row>
    <row r="163">
      <c r="A163" s="5">
        <v>41.0</v>
      </c>
      <c r="B163" s="5" t="s">
        <v>328</v>
      </c>
      <c r="C163" s="5" t="s">
        <v>332</v>
      </c>
      <c r="D163" s="5" t="s">
        <v>6635</v>
      </c>
      <c r="E163" s="8">
        <f>vlookup(B163,Filmes_final!$B$2:$U$1001,20,FALSE)</f>
        <v>10727290</v>
      </c>
      <c r="F163" s="5">
        <f>vlookup(B163,Filmes_final!$B$2:$U$1001,3,FALSE)</f>
        <v>1998</v>
      </c>
      <c r="G163" s="5" t="str">
        <f>vlookup(B163,Filmes_final!$B$2:$U$1001,13,FALSE)</f>
        <v>Tony Kaye</v>
      </c>
    </row>
    <row r="164">
      <c r="A164" s="5">
        <v>41.0</v>
      </c>
      <c r="B164" s="5" t="s">
        <v>328</v>
      </c>
      <c r="C164" s="5" t="s">
        <v>333</v>
      </c>
      <c r="D164" s="5" t="s">
        <v>6636</v>
      </c>
      <c r="E164" s="8">
        <f>vlookup(B164,Filmes_final!$B$2:$U$1001,20,FALSE)</f>
        <v>10727290</v>
      </c>
      <c r="F164" s="5">
        <f>vlookup(B164,Filmes_final!$B$2:$U$1001,3,FALSE)</f>
        <v>1998</v>
      </c>
      <c r="G164" s="5" t="str">
        <f>vlookup(B164,Filmes_final!$B$2:$U$1001,13,FALSE)</f>
        <v>Tony Kaye</v>
      </c>
    </row>
    <row r="165">
      <c r="A165" s="5">
        <v>41.0</v>
      </c>
      <c r="B165" s="5" t="s">
        <v>328</v>
      </c>
      <c r="C165" s="5" t="s">
        <v>334</v>
      </c>
      <c r="D165" s="5" t="s">
        <v>6637</v>
      </c>
      <c r="E165" s="8">
        <f>vlookup(B165,Filmes_final!$B$2:$U$1001,20,FALSE)</f>
        <v>10727290</v>
      </c>
      <c r="F165" s="5">
        <f>vlookup(B165,Filmes_final!$B$2:$U$1001,3,FALSE)</f>
        <v>1998</v>
      </c>
      <c r="G165" s="5" t="str">
        <f>vlookup(B165,Filmes_final!$B$2:$U$1001,13,FALSE)</f>
        <v>Tony Kaye</v>
      </c>
    </row>
    <row r="166">
      <c r="A166" s="5">
        <v>42.0</v>
      </c>
      <c r="B166" s="5" t="s">
        <v>335</v>
      </c>
      <c r="C166" s="5" t="s">
        <v>237</v>
      </c>
      <c r="D166" s="5" t="s">
        <v>6634</v>
      </c>
      <c r="E166" s="8">
        <f>vlookup(B166,Filmes_final!$B$2:$U$1001,20,FALSE)</f>
        <v>40062859</v>
      </c>
      <c r="F166" s="5">
        <f>vlookup(B166,Filmes_final!$B$2:$U$1001,3,FALSE)</f>
        <v>1995</v>
      </c>
      <c r="G166" s="5" t="str">
        <f>vlookup(B166,Filmes_final!$B$2:$U$1001,13,FALSE)</f>
        <v>Bryan Singer</v>
      </c>
    </row>
    <row r="167">
      <c r="A167" s="5">
        <v>42.0</v>
      </c>
      <c r="B167" s="5" t="s">
        <v>335</v>
      </c>
      <c r="C167" s="5" t="s">
        <v>339</v>
      </c>
      <c r="D167" s="5" t="s">
        <v>6635</v>
      </c>
      <c r="E167" s="8">
        <f>vlookup(B167,Filmes_final!$B$2:$U$1001,20,FALSE)</f>
        <v>40062859</v>
      </c>
      <c r="F167" s="5">
        <f>vlookup(B167,Filmes_final!$B$2:$U$1001,3,FALSE)</f>
        <v>1995</v>
      </c>
      <c r="G167" s="5" t="str">
        <f>vlookup(B167,Filmes_final!$B$2:$U$1001,13,FALSE)</f>
        <v>Bryan Singer</v>
      </c>
    </row>
    <row r="168">
      <c r="A168" s="5">
        <v>42.0</v>
      </c>
      <c r="B168" s="5" t="s">
        <v>335</v>
      </c>
      <c r="C168" s="5" t="s">
        <v>340</v>
      </c>
      <c r="D168" s="5" t="s">
        <v>6636</v>
      </c>
      <c r="E168" s="8">
        <f>vlookup(B168,Filmes_final!$B$2:$U$1001,20,FALSE)</f>
        <v>40062859</v>
      </c>
      <c r="F168" s="5">
        <f>vlookup(B168,Filmes_final!$B$2:$U$1001,3,FALSE)</f>
        <v>1995</v>
      </c>
      <c r="G168" s="5" t="str">
        <f>vlookup(B168,Filmes_final!$B$2:$U$1001,13,FALSE)</f>
        <v>Bryan Singer</v>
      </c>
    </row>
    <row r="169">
      <c r="A169" s="5">
        <v>42.0</v>
      </c>
      <c r="B169" s="5" t="s">
        <v>335</v>
      </c>
      <c r="C169" s="5" t="s">
        <v>341</v>
      </c>
      <c r="D169" s="5" t="s">
        <v>6637</v>
      </c>
      <c r="E169" s="8">
        <f>vlookup(B169,Filmes_final!$B$2:$U$1001,20,FALSE)</f>
        <v>40062859</v>
      </c>
      <c r="F169" s="5">
        <f>vlookup(B169,Filmes_final!$B$2:$U$1001,3,FALSE)</f>
        <v>1995</v>
      </c>
      <c r="G169" s="5" t="str">
        <f>vlookup(B169,Filmes_final!$B$2:$U$1001,13,FALSE)</f>
        <v>Bryan Singer</v>
      </c>
    </row>
    <row r="170">
      <c r="A170" s="5">
        <v>43.0</v>
      </c>
      <c r="B170" s="5" t="s">
        <v>342</v>
      </c>
      <c r="C170" s="5" t="s">
        <v>346</v>
      </c>
      <c r="D170" s="5" t="s">
        <v>6634</v>
      </c>
      <c r="E170" s="8">
        <f>vlookup(B170,Filmes_final!$B$2:$U$1001,20,FALSE)</f>
        <v>34410081</v>
      </c>
      <c r="F170" s="5">
        <f>vlookup(B170,Filmes_final!$B$2:$U$1001,3,FALSE)</f>
        <v>1994</v>
      </c>
      <c r="G170" s="5" t="str">
        <f>vlookup(B170,Filmes_final!$B$2:$U$1001,13,FALSE)</f>
        <v>Luc Besson</v>
      </c>
    </row>
    <row r="171">
      <c r="A171" s="5">
        <v>43.0</v>
      </c>
      <c r="B171" s="5" t="s">
        <v>342</v>
      </c>
      <c r="C171" s="5" t="s">
        <v>347</v>
      </c>
      <c r="D171" s="5" t="s">
        <v>6635</v>
      </c>
      <c r="E171" s="8">
        <f>vlookup(B171,Filmes_final!$B$2:$U$1001,20,FALSE)</f>
        <v>34410081</v>
      </c>
      <c r="F171" s="5">
        <f>vlookup(B171,Filmes_final!$B$2:$U$1001,3,FALSE)</f>
        <v>1994</v>
      </c>
      <c r="G171" s="5" t="str">
        <f>vlookup(B171,Filmes_final!$B$2:$U$1001,13,FALSE)</f>
        <v>Luc Besson</v>
      </c>
    </row>
    <row r="172">
      <c r="A172" s="5">
        <v>43.0</v>
      </c>
      <c r="B172" s="5" t="s">
        <v>342</v>
      </c>
      <c r="C172" s="5" t="s">
        <v>348</v>
      </c>
      <c r="D172" s="5" t="s">
        <v>6636</v>
      </c>
      <c r="E172" s="8">
        <f>vlookup(B172,Filmes_final!$B$2:$U$1001,20,FALSE)</f>
        <v>34410081</v>
      </c>
      <c r="F172" s="5">
        <f>vlookup(B172,Filmes_final!$B$2:$U$1001,3,FALSE)</f>
        <v>1994</v>
      </c>
      <c r="G172" s="5" t="str">
        <f>vlookup(B172,Filmes_final!$B$2:$U$1001,13,FALSE)</f>
        <v>Luc Besson</v>
      </c>
    </row>
    <row r="173">
      <c r="A173" s="5">
        <v>43.0</v>
      </c>
      <c r="B173" s="5" t="s">
        <v>342</v>
      </c>
      <c r="C173" s="5" t="s">
        <v>349</v>
      </c>
      <c r="D173" s="5" t="s">
        <v>6637</v>
      </c>
      <c r="E173" s="8">
        <f>vlookup(B173,Filmes_final!$B$2:$U$1001,20,FALSE)</f>
        <v>34410081</v>
      </c>
      <c r="F173" s="5">
        <f>vlookup(B173,Filmes_final!$B$2:$U$1001,3,FALSE)</f>
        <v>1994</v>
      </c>
      <c r="G173" s="5" t="str">
        <f>vlookup(B173,Filmes_final!$B$2:$U$1001,13,FALSE)</f>
        <v>Luc Besson</v>
      </c>
    </row>
    <row r="174">
      <c r="A174" s="5">
        <v>44.0</v>
      </c>
      <c r="B174" s="5" t="s">
        <v>350</v>
      </c>
      <c r="C174" s="5" t="s">
        <v>355</v>
      </c>
      <c r="D174" s="5" t="s">
        <v>6634</v>
      </c>
      <c r="E174" s="8">
        <f>vlookup(B174,Filmes_final!$B$2:$U$1001,20,FALSE)</f>
        <v>746005154</v>
      </c>
      <c r="F174" s="5">
        <f>vlookup(B174,Filmes_final!$B$2:$U$1001,3,FALSE)</f>
        <v>1994</v>
      </c>
      <c r="G174" s="5" t="str">
        <f>vlookup(B174,Filmes_final!$B$2:$U$1001,13,FALSE)</f>
        <v>Roger Allers</v>
      </c>
    </row>
    <row r="175">
      <c r="A175" s="5">
        <v>44.0</v>
      </c>
      <c r="B175" s="5" t="s">
        <v>350</v>
      </c>
      <c r="C175" s="5" t="s">
        <v>356</v>
      </c>
      <c r="D175" s="5" t="s">
        <v>6635</v>
      </c>
      <c r="E175" s="8">
        <f>vlookup(B175,Filmes_final!$B$2:$U$1001,20,FALSE)</f>
        <v>746005154</v>
      </c>
      <c r="F175" s="5">
        <f>vlookup(B175,Filmes_final!$B$2:$U$1001,3,FALSE)</f>
        <v>1994</v>
      </c>
      <c r="G175" s="5" t="str">
        <f>vlookup(B175,Filmes_final!$B$2:$U$1001,13,FALSE)</f>
        <v>Roger Allers</v>
      </c>
    </row>
    <row r="176">
      <c r="A176" s="5">
        <v>44.0</v>
      </c>
      <c r="B176" s="5" t="s">
        <v>350</v>
      </c>
      <c r="C176" s="5" t="s">
        <v>357</v>
      </c>
      <c r="D176" s="5" t="s">
        <v>6636</v>
      </c>
      <c r="E176" s="8">
        <f>vlookup(B176,Filmes_final!$B$2:$U$1001,20,FALSE)</f>
        <v>746005154</v>
      </c>
      <c r="F176" s="5">
        <f>vlookup(B176,Filmes_final!$B$2:$U$1001,3,FALSE)</f>
        <v>1994</v>
      </c>
      <c r="G176" s="5" t="str">
        <f>vlookup(B176,Filmes_final!$B$2:$U$1001,13,FALSE)</f>
        <v>Roger Allers</v>
      </c>
    </row>
    <row r="177">
      <c r="A177" s="5">
        <v>44.0</v>
      </c>
      <c r="B177" s="5" t="s">
        <v>350</v>
      </c>
      <c r="C177" s="5" t="s">
        <v>358</v>
      </c>
      <c r="D177" s="5" t="s">
        <v>6637</v>
      </c>
      <c r="E177" s="8">
        <f>vlookup(B177,Filmes_final!$B$2:$U$1001,20,FALSE)</f>
        <v>746005154</v>
      </c>
      <c r="F177" s="5">
        <f>vlookup(B177,Filmes_final!$B$2:$U$1001,3,FALSE)</f>
        <v>1994</v>
      </c>
      <c r="G177" s="5" t="str">
        <f>vlookup(B177,Filmes_final!$B$2:$U$1001,13,FALSE)</f>
        <v>Roger Allers</v>
      </c>
    </row>
    <row r="178">
      <c r="A178" s="5">
        <v>45.0</v>
      </c>
      <c r="B178" s="5" t="s">
        <v>359</v>
      </c>
      <c r="C178" s="5" t="s">
        <v>363</v>
      </c>
      <c r="D178" s="5" t="s">
        <v>6634</v>
      </c>
      <c r="E178" s="8">
        <f>vlookup(B178,Filmes_final!$B$2:$U$1001,20,FALSE)</f>
        <v>392597652</v>
      </c>
      <c r="F178" s="5">
        <f>vlookup(B178,Filmes_final!$B$2:$U$1001,3,FALSE)</f>
        <v>1991</v>
      </c>
      <c r="G178" s="5" t="str">
        <f>vlookup(B178,Filmes_final!$B$2:$U$1001,13,FALSE)</f>
        <v>James Cameron</v>
      </c>
    </row>
    <row r="179">
      <c r="A179" s="5">
        <v>45.0</v>
      </c>
      <c r="B179" s="5" t="s">
        <v>359</v>
      </c>
      <c r="C179" s="5" t="s">
        <v>364</v>
      </c>
      <c r="D179" s="5" t="s">
        <v>6635</v>
      </c>
      <c r="E179" s="8">
        <f>vlookup(B179,Filmes_final!$B$2:$U$1001,20,FALSE)</f>
        <v>392597652</v>
      </c>
      <c r="F179" s="5">
        <f>vlookup(B179,Filmes_final!$B$2:$U$1001,3,FALSE)</f>
        <v>1991</v>
      </c>
      <c r="G179" s="5" t="str">
        <f>vlookup(B179,Filmes_final!$B$2:$U$1001,13,FALSE)</f>
        <v>James Cameron</v>
      </c>
    </row>
    <row r="180">
      <c r="A180" s="5">
        <v>45.0</v>
      </c>
      <c r="B180" s="5" t="s">
        <v>359</v>
      </c>
      <c r="C180" s="5" t="s">
        <v>332</v>
      </c>
      <c r="D180" s="5" t="s">
        <v>6636</v>
      </c>
      <c r="E180" s="8">
        <f>vlookup(B180,Filmes_final!$B$2:$U$1001,20,FALSE)</f>
        <v>392597652</v>
      </c>
      <c r="F180" s="5">
        <f>vlookup(B180,Filmes_final!$B$2:$U$1001,3,FALSE)</f>
        <v>1991</v>
      </c>
      <c r="G180" s="5" t="str">
        <f>vlookup(B180,Filmes_final!$B$2:$U$1001,13,FALSE)</f>
        <v>James Cameron</v>
      </c>
    </row>
    <row r="181">
      <c r="A181" s="5">
        <v>45.0</v>
      </c>
      <c r="B181" s="5" t="s">
        <v>359</v>
      </c>
      <c r="C181" s="5" t="s">
        <v>365</v>
      </c>
      <c r="D181" s="5" t="s">
        <v>6637</v>
      </c>
      <c r="E181" s="8">
        <f>vlookup(B181,Filmes_final!$B$2:$U$1001,20,FALSE)</f>
        <v>392597652</v>
      </c>
      <c r="F181" s="5">
        <f>vlookup(B181,Filmes_final!$B$2:$U$1001,3,FALSE)</f>
        <v>1991</v>
      </c>
      <c r="G181" s="5" t="str">
        <f>vlookup(B181,Filmes_final!$B$2:$U$1001,13,FALSE)</f>
        <v>James Cameron</v>
      </c>
    </row>
    <row r="182">
      <c r="A182" s="5">
        <v>46.0</v>
      </c>
      <c r="B182" s="5" t="s">
        <v>366</v>
      </c>
      <c r="C182" s="5" t="s">
        <v>369</v>
      </c>
      <c r="D182" s="5" t="s">
        <v>6634</v>
      </c>
      <c r="E182" s="8">
        <f>vlookup(B182,Filmes_final!$B$2:$U$1001,20,FALSE)</f>
        <v>26734449</v>
      </c>
      <c r="F182" s="5">
        <f>vlookup(B182,Filmes_final!$B$2:$U$1001,3,FALSE)</f>
        <v>1988</v>
      </c>
      <c r="G182" s="5" t="str">
        <f>vlookup(B182,Filmes_final!$B$2:$U$1001,13,FALSE)</f>
        <v>Giuseppe Tornatore</v>
      </c>
    </row>
    <row r="183">
      <c r="A183" s="5">
        <v>46.0</v>
      </c>
      <c r="B183" s="5" t="s">
        <v>366</v>
      </c>
      <c r="C183" s="5" t="s">
        <v>370</v>
      </c>
      <c r="D183" s="5" t="s">
        <v>6635</v>
      </c>
      <c r="E183" s="8">
        <f>vlookup(B183,Filmes_final!$B$2:$U$1001,20,FALSE)</f>
        <v>26734449</v>
      </c>
      <c r="F183" s="5">
        <f>vlookup(B183,Filmes_final!$B$2:$U$1001,3,FALSE)</f>
        <v>1988</v>
      </c>
      <c r="G183" s="5" t="str">
        <f>vlookup(B183,Filmes_final!$B$2:$U$1001,13,FALSE)</f>
        <v>Giuseppe Tornatore</v>
      </c>
    </row>
    <row r="184">
      <c r="A184" s="5">
        <v>46.0</v>
      </c>
      <c r="B184" s="5" t="s">
        <v>366</v>
      </c>
      <c r="C184" s="5" t="s">
        <v>371</v>
      </c>
      <c r="D184" s="5" t="s">
        <v>6636</v>
      </c>
      <c r="E184" s="8">
        <f>vlookup(B184,Filmes_final!$B$2:$U$1001,20,FALSE)</f>
        <v>26734449</v>
      </c>
      <c r="F184" s="5">
        <f>vlookup(B184,Filmes_final!$B$2:$U$1001,3,FALSE)</f>
        <v>1988</v>
      </c>
      <c r="G184" s="5" t="str">
        <f>vlookup(B184,Filmes_final!$B$2:$U$1001,13,FALSE)</f>
        <v>Giuseppe Tornatore</v>
      </c>
    </row>
    <row r="185">
      <c r="A185" s="5">
        <v>46.0</v>
      </c>
      <c r="B185" s="5" t="s">
        <v>366</v>
      </c>
      <c r="C185" s="5" t="s">
        <v>372</v>
      </c>
      <c r="D185" s="5" t="s">
        <v>6637</v>
      </c>
      <c r="E185" s="8">
        <f>vlookup(B185,Filmes_final!$B$2:$U$1001,20,FALSE)</f>
        <v>26734449</v>
      </c>
      <c r="F185" s="5">
        <f>vlookup(B185,Filmes_final!$B$2:$U$1001,3,FALSE)</f>
        <v>1988</v>
      </c>
      <c r="G185" s="5" t="str">
        <f>vlookup(B185,Filmes_final!$B$2:$U$1001,13,FALSE)</f>
        <v>Giuseppe Tornatore</v>
      </c>
    </row>
    <row r="186">
      <c r="A186" s="5">
        <v>47.0</v>
      </c>
      <c r="B186" s="5" t="s">
        <v>373</v>
      </c>
      <c r="C186" s="5" t="s">
        <v>378</v>
      </c>
      <c r="D186" s="5" t="s">
        <v>6634</v>
      </c>
      <c r="E186" s="8">
        <f>vlookup(B186,Filmes_final!$B$2:$U$1001,20,FALSE)</f>
        <v>1152647</v>
      </c>
      <c r="F186" s="5">
        <f>vlookup(B186,Filmes_final!$B$2:$U$1001,3,FALSE)</f>
        <v>1988</v>
      </c>
      <c r="G186" s="5" t="str">
        <f>vlookup(B186,Filmes_final!$B$2:$U$1001,13,FALSE)</f>
        <v>Isao Takahata</v>
      </c>
    </row>
    <row r="187">
      <c r="A187" s="5">
        <v>47.0</v>
      </c>
      <c r="B187" s="5" t="s">
        <v>373</v>
      </c>
      <c r="C187" s="5" t="s">
        <v>379</v>
      </c>
      <c r="D187" s="5" t="s">
        <v>6635</v>
      </c>
      <c r="E187" s="8">
        <f>vlookup(B187,Filmes_final!$B$2:$U$1001,20,FALSE)</f>
        <v>1152647</v>
      </c>
      <c r="F187" s="5">
        <f>vlookup(B187,Filmes_final!$B$2:$U$1001,3,FALSE)</f>
        <v>1988</v>
      </c>
      <c r="G187" s="5" t="str">
        <f>vlookup(B187,Filmes_final!$B$2:$U$1001,13,FALSE)</f>
        <v>Isao Takahata</v>
      </c>
    </row>
    <row r="188">
      <c r="A188" s="5">
        <v>47.0</v>
      </c>
      <c r="B188" s="5" t="s">
        <v>373</v>
      </c>
      <c r="C188" s="5" t="s">
        <v>380</v>
      </c>
      <c r="D188" s="5" t="s">
        <v>6636</v>
      </c>
      <c r="E188" s="8">
        <f>vlookup(B188,Filmes_final!$B$2:$U$1001,20,FALSE)</f>
        <v>1152647</v>
      </c>
      <c r="F188" s="5">
        <f>vlookup(B188,Filmes_final!$B$2:$U$1001,3,FALSE)</f>
        <v>1988</v>
      </c>
      <c r="G188" s="5" t="str">
        <f>vlookup(B188,Filmes_final!$B$2:$U$1001,13,FALSE)</f>
        <v>Isao Takahata</v>
      </c>
    </row>
    <row r="189">
      <c r="A189" s="5">
        <v>47.0</v>
      </c>
      <c r="B189" s="5" t="s">
        <v>373</v>
      </c>
      <c r="C189" s="5" t="s">
        <v>381</v>
      </c>
      <c r="D189" s="5" t="s">
        <v>6637</v>
      </c>
      <c r="E189" s="8">
        <f>vlookup(B189,Filmes_final!$B$2:$U$1001,20,FALSE)</f>
        <v>1152647</v>
      </c>
      <c r="F189" s="5">
        <f>vlookup(B189,Filmes_final!$B$2:$U$1001,3,FALSE)</f>
        <v>1988</v>
      </c>
      <c r="G189" s="5" t="str">
        <f>vlookup(B189,Filmes_final!$B$2:$U$1001,13,FALSE)</f>
        <v>Isao Takahata</v>
      </c>
    </row>
    <row r="190">
      <c r="A190" s="5">
        <v>48.0</v>
      </c>
      <c r="B190" s="5" t="s">
        <v>382</v>
      </c>
      <c r="C190" s="5" t="s">
        <v>385</v>
      </c>
      <c r="D190" s="5" t="s">
        <v>6634</v>
      </c>
      <c r="E190" s="8">
        <f>vlookup(B190,Filmes_final!$B$2:$U$1001,20,FALSE)</f>
        <v>514987781</v>
      </c>
      <c r="F190" s="5">
        <f>vlookup(B190,Filmes_final!$B$2:$U$1001,3,FALSE)</f>
        <v>1985</v>
      </c>
      <c r="G190" s="5" t="str">
        <f>vlookup(B190,Filmes_final!$B$2:$U$1001,13,FALSE)</f>
        <v>Robert Zemeckis</v>
      </c>
    </row>
    <row r="191">
      <c r="A191" s="5">
        <v>48.0</v>
      </c>
      <c r="B191" s="5" t="s">
        <v>382</v>
      </c>
      <c r="C191" s="5" t="s">
        <v>386</v>
      </c>
      <c r="D191" s="5" t="s">
        <v>6635</v>
      </c>
      <c r="E191" s="8">
        <f>vlookup(B191,Filmes_final!$B$2:$U$1001,20,FALSE)</f>
        <v>514987781</v>
      </c>
      <c r="F191" s="5">
        <f>vlookup(B191,Filmes_final!$B$2:$U$1001,3,FALSE)</f>
        <v>1985</v>
      </c>
      <c r="G191" s="5" t="str">
        <f>vlookup(B191,Filmes_final!$B$2:$U$1001,13,FALSE)</f>
        <v>Robert Zemeckis</v>
      </c>
    </row>
    <row r="192">
      <c r="A192" s="5">
        <v>48.0</v>
      </c>
      <c r="B192" s="5" t="s">
        <v>382</v>
      </c>
      <c r="C192" s="5" t="s">
        <v>387</v>
      </c>
      <c r="D192" s="5" t="s">
        <v>6636</v>
      </c>
      <c r="E192" s="8">
        <f>vlookup(B192,Filmes_final!$B$2:$U$1001,20,FALSE)</f>
        <v>514987781</v>
      </c>
      <c r="F192" s="5">
        <f>vlookup(B192,Filmes_final!$B$2:$U$1001,3,FALSE)</f>
        <v>1985</v>
      </c>
      <c r="G192" s="5" t="str">
        <f>vlookup(B192,Filmes_final!$B$2:$U$1001,13,FALSE)</f>
        <v>Robert Zemeckis</v>
      </c>
    </row>
    <row r="193">
      <c r="A193" s="5">
        <v>48.0</v>
      </c>
      <c r="B193" s="5" t="s">
        <v>382</v>
      </c>
      <c r="C193" s="5" t="s">
        <v>388</v>
      </c>
      <c r="D193" s="5" t="s">
        <v>6637</v>
      </c>
      <c r="E193" s="8">
        <f>vlookup(B193,Filmes_final!$B$2:$U$1001,20,FALSE)</f>
        <v>514987781</v>
      </c>
      <c r="F193" s="5">
        <f>vlookup(B193,Filmes_final!$B$2:$U$1001,3,FALSE)</f>
        <v>1985</v>
      </c>
      <c r="G193" s="5" t="str">
        <f>vlookup(B193,Filmes_final!$B$2:$U$1001,13,FALSE)</f>
        <v>Robert Zemeckis</v>
      </c>
    </row>
    <row r="194">
      <c r="A194" s="5">
        <v>49.0</v>
      </c>
      <c r="B194" s="5" t="s">
        <v>389</v>
      </c>
      <c r="C194" s="5" t="s">
        <v>56</v>
      </c>
      <c r="D194" s="5" t="s">
        <v>6634</v>
      </c>
      <c r="E194" s="8">
        <f>vlookup(B194,Filmes_final!$B$2:$U$1001,20,FALSE)</f>
        <v>40257910</v>
      </c>
      <c r="F194" s="5">
        <f>vlookup(B194,Filmes_final!$B$2:$U$1001,3,FALSE)</f>
        <v>1968</v>
      </c>
      <c r="G194" s="5" t="str">
        <f>vlookup(B194,Filmes_final!$B$2:$U$1001,13,FALSE)</f>
        <v>Sergio Leone</v>
      </c>
    </row>
    <row r="195">
      <c r="A195" s="5">
        <v>49.0</v>
      </c>
      <c r="B195" s="5" t="s">
        <v>389</v>
      </c>
      <c r="C195" s="5" t="s">
        <v>392</v>
      </c>
      <c r="D195" s="5" t="s">
        <v>6635</v>
      </c>
      <c r="E195" s="8">
        <f>vlookup(B195,Filmes_final!$B$2:$U$1001,20,FALSE)</f>
        <v>40257910</v>
      </c>
      <c r="F195" s="5">
        <f>vlookup(B195,Filmes_final!$B$2:$U$1001,3,FALSE)</f>
        <v>1968</v>
      </c>
      <c r="G195" s="5" t="str">
        <f>vlookup(B195,Filmes_final!$B$2:$U$1001,13,FALSE)</f>
        <v>Sergio Leone</v>
      </c>
    </row>
    <row r="196">
      <c r="A196" s="5">
        <v>49.0</v>
      </c>
      <c r="B196" s="5" t="s">
        <v>389</v>
      </c>
      <c r="C196" s="5" t="s">
        <v>393</v>
      </c>
      <c r="D196" s="5" t="s">
        <v>6636</v>
      </c>
      <c r="E196" s="8">
        <f>vlookup(B196,Filmes_final!$B$2:$U$1001,20,FALSE)</f>
        <v>40257910</v>
      </c>
      <c r="F196" s="5">
        <f>vlookup(B196,Filmes_final!$B$2:$U$1001,3,FALSE)</f>
        <v>1968</v>
      </c>
      <c r="G196" s="5" t="str">
        <f>vlookup(B196,Filmes_final!$B$2:$U$1001,13,FALSE)</f>
        <v>Sergio Leone</v>
      </c>
    </row>
    <row r="197">
      <c r="A197" s="5">
        <v>49.0</v>
      </c>
      <c r="B197" s="5" t="s">
        <v>389</v>
      </c>
      <c r="C197" s="5" t="s">
        <v>394</v>
      </c>
      <c r="D197" s="5" t="s">
        <v>6637</v>
      </c>
      <c r="E197" s="8">
        <f>vlookup(B197,Filmes_final!$B$2:$U$1001,20,FALSE)</f>
        <v>40257910</v>
      </c>
      <c r="F197" s="5">
        <f>vlookup(B197,Filmes_final!$B$2:$U$1001,3,FALSE)</f>
        <v>1968</v>
      </c>
      <c r="G197" s="5" t="str">
        <f>vlookup(B197,Filmes_final!$B$2:$U$1001,13,FALSE)</f>
        <v>Sergio Leone</v>
      </c>
    </row>
    <row r="198">
      <c r="A198" s="5">
        <v>50.0</v>
      </c>
      <c r="B198" s="5" t="s">
        <v>395</v>
      </c>
      <c r="C198" s="5" t="s">
        <v>400</v>
      </c>
      <c r="D198" s="5" t="s">
        <v>6634</v>
      </c>
      <c r="E198" s="8">
        <f>vlookup(B198,Filmes_final!$B$2:$U$1001,20,FALSE)</f>
        <v>281743072</v>
      </c>
      <c r="F198" s="5">
        <f>vlookup(B198,Filmes_final!$B$2:$U$1001,3,FALSE)</f>
        <v>1960</v>
      </c>
      <c r="G198" s="5" t="str">
        <f>vlookup(B198,Filmes_final!$B$2:$U$1001,13,FALSE)</f>
        <v>Alfred Hitchcock</v>
      </c>
    </row>
    <row r="199">
      <c r="A199" s="5">
        <v>50.0</v>
      </c>
      <c r="B199" s="5" t="s">
        <v>395</v>
      </c>
      <c r="C199" s="5" t="s">
        <v>401</v>
      </c>
      <c r="D199" s="5" t="s">
        <v>6635</v>
      </c>
      <c r="E199" s="8">
        <f>vlookup(B199,Filmes_final!$B$2:$U$1001,20,FALSE)</f>
        <v>281743072</v>
      </c>
      <c r="F199" s="5">
        <f>vlookup(B199,Filmes_final!$B$2:$U$1001,3,FALSE)</f>
        <v>1960</v>
      </c>
      <c r="G199" s="5" t="str">
        <f>vlookup(B199,Filmes_final!$B$2:$U$1001,13,FALSE)</f>
        <v>Alfred Hitchcock</v>
      </c>
    </row>
    <row r="200">
      <c r="A200" s="5">
        <v>50.0</v>
      </c>
      <c r="B200" s="5" t="s">
        <v>395</v>
      </c>
      <c r="C200" s="5" t="s">
        <v>402</v>
      </c>
      <c r="D200" s="5" t="s">
        <v>6636</v>
      </c>
      <c r="E200" s="8">
        <f>vlookup(B200,Filmes_final!$B$2:$U$1001,20,FALSE)</f>
        <v>281743072</v>
      </c>
      <c r="F200" s="5">
        <f>vlookup(B200,Filmes_final!$B$2:$U$1001,3,FALSE)</f>
        <v>1960</v>
      </c>
      <c r="G200" s="5" t="str">
        <f>vlookup(B200,Filmes_final!$B$2:$U$1001,13,FALSE)</f>
        <v>Alfred Hitchcock</v>
      </c>
    </row>
    <row r="201">
      <c r="A201" s="5">
        <v>50.0</v>
      </c>
      <c r="B201" s="5" t="s">
        <v>395</v>
      </c>
      <c r="C201" s="5" t="s">
        <v>403</v>
      </c>
      <c r="D201" s="5" t="s">
        <v>6637</v>
      </c>
      <c r="E201" s="8">
        <f>vlookup(B201,Filmes_final!$B$2:$U$1001,20,FALSE)</f>
        <v>281743072</v>
      </c>
      <c r="F201" s="5">
        <f>vlookup(B201,Filmes_final!$B$2:$U$1001,3,FALSE)</f>
        <v>1960</v>
      </c>
      <c r="G201" s="5" t="str">
        <f>vlookup(B201,Filmes_final!$B$2:$U$1001,13,FALSE)</f>
        <v>Alfred Hitchcock</v>
      </c>
    </row>
    <row r="202">
      <c r="A202" s="5">
        <v>51.0</v>
      </c>
      <c r="B202" s="5" t="s">
        <v>404</v>
      </c>
      <c r="C202" s="5" t="s">
        <v>409</v>
      </c>
      <c r="D202" s="5" t="s">
        <v>6634</v>
      </c>
      <c r="E202" s="8">
        <f>vlookup(B202,Filmes_final!$B$2:$U$1001,20,FALSE)</f>
        <v>16834826</v>
      </c>
      <c r="F202" s="5">
        <f>vlookup(B202,Filmes_final!$B$2:$U$1001,3,FALSE)</f>
        <v>1942</v>
      </c>
      <c r="G202" s="5" t="str">
        <f>vlookup(B202,Filmes_final!$B$2:$U$1001,13,FALSE)</f>
        <v>Michael Curtiz</v>
      </c>
    </row>
    <row r="203">
      <c r="A203" s="5">
        <v>51.0</v>
      </c>
      <c r="B203" s="5" t="s">
        <v>404</v>
      </c>
      <c r="C203" s="5" t="s">
        <v>410</v>
      </c>
      <c r="D203" s="5" t="s">
        <v>6635</v>
      </c>
      <c r="E203" s="8">
        <f>vlookup(B203,Filmes_final!$B$2:$U$1001,20,FALSE)</f>
        <v>16834826</v>
      </c>
      <c r="F203" s="5">
        <f>vlookup(B203,Filmes_final!$B$2:$U$1001,3,FALSE)</f>
        <v>1942</v>
      </c>
      <c r="G203" s="5" t="str">
        <f>vlookup(B203,Filmes_final!$B$2:$U$1001,13,FALSE)</f>
        <v>Michael Curtiz</v>
      </c>
    </row>
    <row r="204">
      <c r="A204" s="5">
        <v>51.0</v>
      </c>
      <c r="B204" s="5" t="s">
        <v>404</v>
      </c>
      <c r="C204" s="5" t="s">
        <v>411</v>
      </c>
      <c r="D204" s="5" t="s">
        <v>6636</v>
      </c>
      <c r="E204" s="8">
        <f>vlookup(B204,Filmes_final!$B$2:$U$1001,20,FALSE)</f>
        <v>16834826</v>
      </c>
      <c r="F204" s="5">
        <f>vlookup(B204,Filmes_final!$B$2:$U$1001,3,FALSE)</f>
        <v>1942</v>
      </c>
      <c r="G204" s="5" t="str">
        <f>vlookup(B204,Filmes_final!$B$2:$U$1001,13,FALSE)</f>
        <v>Michael Curtiz</v>
      </c>
    </row>
    <row r="205">
      <c r="A205" s="5">
        <v>51.0</v>
      </c>
      <c r="B205" s="5" t="s">
        <v>404</v>
      </c>
      <c r="C205" s="5" t="s">
        <v>412</v>
      </c>
      <c r="D205" s="5" t="s">
        <v>6637</v>
      </c>
      <c r="E205" s="8">
        <f>vlookup(B205,Filmes_final!$B$2:$U$1001,20,FALSE)</f>
        <v>16834826</v>
      </c>
      <c r="F205" s="5">
        <f>vlookup(B205,Filmes_final!$B$2:$U$1001,3,FALSE)</f>
        <v>1942</v>
      </c>
      <c r="G205" s="5" t="str">
        <f>vlookup(B205,Filmes_final!$B$2:$U$1001,13,FALSE)</f>
        <v>Michael Curtiz</v>
      </c>
    </row>
    <row r="206">
      <c r="A206" s="5">
        <v>52.0</v>
      </c>
      <c r="B206" s="5" t="s">
        <v>413</v>
      </c>
      <c r="C206" s="5" t="s">
        <v>418</v>
      </c>
      <c r="D206" s="5" t="s">
        <v>6634</v>
      </c>
      <c r="E206" s="8">
        <f>vlookup(B206,Filmes_final!$B$2:$U$1001,20,FALSE)</f>
        <v>3051629</v>
      </c>
      <c r="F206" s="5">
        <f>vlookup(B206,Filmes_final!$B$2:$U$1001,3,FALSE)</f>
        <v>1936</v>
      </c>
      <c r="G206" s="5" t="str">
        <f>vlookup(B206,Filmes_final!$B$2:$U$1001,13,FALSE)</f>
        <v>Charles Chaplin</v>
      </c>
    </row>
    <row r="207">
      <c r="A207" s="5">
        <v>52.0</v>
      </c>
      <c r="B207" s="5" t="s">
        <v>413</v>
      </c>
      <c r="C207" s="5" t="s">
        <v>419</v>
      </c>
      <c r="D207" s="5" t="s">
        <v>6635</v>
      </c>
      <c r="E207" s="8">
        <f>vlookup(B207,Filmes_final!$B$2:$U$1001,20,FALSE)</f>
        <v>3051629</v>
      </c>
      <c r="F207" s="5">
        <f>vlookup(B207,Filmes_final!$B$2:$U$1001,3,FALSE)</f>
        <v>1936</v>
      </c>
      <c r="G207" s="5" t="str">
        <f>vlookup(B207,Filmes_final!$B$2:$U$1001,13,FALSE)</f>
        <v>Charles Chaplin</v>
      </c>
    </row>
    <row r="208">
      <c r="A208" s="5">
        <v>52.0</v>
      </c>
      <c r="B208" s="5" t="s">
        <v>413</v>
      </c>
      <c r="C208" s="5" t="s">
        <v>420</v>
      </c>
      <c r="D208" s="5" t="s">
        <v>6636</v>
      </c>
      <c r="E208" s="8">
        <f>vlookup(B208,Filmes_final!$B$2:$U$1001,20,FALSE)</f>
        <v>3051629</v>
      </c>
      <c r="F208" s="5">
        <f>vlookup(B208,Filmes_final!$B$2:$U$1001,3,FALSE)</f>
        <v>1936</v>
      </c>
      <c r="G208" s="5" t="str">
        <f>vlookup(B208,Filmes_final!$B$2:$U$1001,13,FALSE)</f>
        <v>Charles Chaplin</v>
      </c>
    </row>
    <row r="209">
      <c r="A209" s="5">
        <v>52.0</v>
      </c>
      <c r="B209" s="5" t="s">
        <v>413</v>
      </c>
      <c r="C209" s="5" t="s">
        <v>421</v>
      </c>
      <c r="D209" s="5" t="s">
        <v>6637</v>
      </c>
      <c r="E209" s="8">
        <f>vlookup(B209,Filmes_final!$B$2:$U$1001,20,FALSE)</f>
        <v>3051629</v>
      </c>
      <c r="F209" s="5">
        <f>vlookup(B209,Filmes_final!$B$2:$U$1001,3,FALSE)</f>
        <v>1936</v>
      </c>
      <c r="G209" s="5" t="str">
        <f>vlookup(B209,Filmes_final!$B$2:$U$1001,13,FALSE)</f>
        <v>Charles Chaplin</v>
      </c>
    </row>
    <row r="210">
      <c r="A210" s="5">
        <v>53.0</v>
      </c>
      <c r="B210" s="5" t="s">
        <v>422</v>
      </c>
      <c r="C210" s="5" t="s">
        <v>418</v>
      </c>
      <c r="D210" s="5" t="s">
        <v>6634</v>
      </c>
      <c r="E210" s="8">
        <f>vlookup(B210,Filmes_final!$B$2:$U$1001,20,FALSE)</f>
        <v>762832</v>
      </c>
      <c r="F210" s="5">
        <f>vlookup(B210,Filmes_final!$B$2:$U$1001,3,FALSE)</f>
        <v>1931</v>
      </c>
      <c r="G210" s="5" t="str">
        <f>vlookup(B210,Filmes_final!$B$2:$U$1001,13,FALSE)</f>
        <v>Charles Chaplin</v>
      </c>
    </row>
    <row r="211">
      <c r="A211" s="5">
        <v>53.0</v>
      </c>
      <c r="B211" s="5" t="s">
        <v>422</v>
      </c>
      <c r="C211" s="5" t="s">
        <v>424</v>
      </c>
      <c r="D211" s="5" t="s">
        <v>6635</v>
      </c>
      <c r="E211" s="8">
        <f>vlookup(B211,Filmes_final!$B$2:$U$1001,20,FALSE)</f>
        <v>762832</v>
      </c>
      <c r="F211" s="5">
        <f>vlookup(B211,Filmes_final!$B$2:$U$1001,3,FALSE)</f>
        <v>1931</v>
      </c>
      <c r="G211" s="5" t="str">
        <f>vlookup(B211,Filmes_final!$B$2:$U$1001,13,FALSE)</f>
        <v>Charles Chaplin</v>
      </c>
    </row>
    <row r="212">
      <c r="A212" s="5">
        <v>53.0</v>
      </c>
      <c r="B212" s="5" t="s">
        <v>422</v>
      </c>
      <c r="C212" s="5" t="s">
        <v>425</v>
      </c>
      <c r="D212" s="5" t="s">
        <v>6636</v>
      </c>
      <c r="E212" s="8">
        <f>vlookup(B212,Filmes_final!$B$2:$U$1001,20,FALSE)</f>
        <v>762832</v>
      </c>
      <c r="F212" s="5">
        <f>vlookup(B212,Filmes_final!$B$2:$U$1001,3,FALSE)</f>
        <v>1931</v>
      </c>
      <c r="G212" s="5" t="str">
        <f>vlookup(B212,Filmes_final!$B$2:$U$1001,13,FALSE)</f>
        <v>Charles Chaplin</v>
      </c>
    </row>
    <row r="213">
      <c r="A213" s="5">
        <v>53.0</v>
      </c>
      <c r="B213" s="5" t="s">
        <v>422</v>
      </c>
      <c r="C213" s="5" t="s">
        <v>426</v>
      </c>
      <c r="D213" s="5" t="s">
        <v>6637</v>
      </c>
      <c r="E213" s="8">
        <f>vlookup(B213,Filmes_final!$B$2:$U$1001,20,FALSE)</f>
        <v>762832</v>
      </c>
      <c r="F213" s="5">
        <f>vlookup(B213,Filmes_final!$B$2:$U$1001,3,FALSE)</f>
        <v>1931</v>
      </c>
      <c r="G213" s="5" t="str">
        <f>vlookup(B213,Filmes_final!$B$2:$U$1001,13,FALSE)</f>
        <v>Charles Chaplin</v>
      </c>
    </row>
    <row r="214">
      <c r="A214" s="5">
        <v>54.0</v>
      </c>
      <c r="B214" s="5" t="s">
        <v>427</v>
      </c>
      <c r="C214" s="5" t="s">
        <v>431</v>
      </c>
      <c r="D214" s="5" t="s">
        <v>6634</v>
      </c>
      <c r="E214" s="8">
        <f>vlookup(B214,Filmes_final!$B$2:$U$1001,20,FALSE)</f>
        <v>1728809</v>
      </c>
      <c r="F214" s="5">
        <f>vlookup(B214,Filmes_final!$B$2:$U$1001,3,FALSE)</f>
        <v>2018</v>
      </c>
      <c r="G214" s="5" t="str">
        <f>vlookup(B214,Filmes_final!$B$2:$U$1001,13,FALSE)</f>
        <v>Nadine Labaki</v>
      </c>
    </row>
    <row r="215">
      <c r="A215" s="5">
        <v>54.0</v>
      </c>
      <c r="B215" s="5" t="s">
        <v>427</v>
      </c>
      <c r="C215" s="5" t="s">
        <v>432</v>
      </c>
      <c r="D215" s="5" t="s">
        <v>6635</v>
      </c>
      <c r="E215" s="8">
        <f>vlookup(B215,Filmes_final!$B$2:$U$1001,20,FALSE)</f>
        <v>1728809</v>
      </c>
      <c r="F215" s="5">
        <f>vlookup(B215,Filmes_final!$B$2:$U$1001,3,FALSE)</f>
        <v>2018</v>
      </c>
      <c r="G215" s="5" t="str">
        <f>vlookup(B215,Filmes_final!$B$2:$U$1001,13,FALSE)</f>
        <v>Nadine Labaki</v>
      </c>
    </row>
    <row r="216">
      <c r="A216" s="5">
        <v>54.0</v>
      </c>
      <c r="B216" s="5" t="s">
        <v>427</v>
      </c>
      <c r="C216" s="5" t="s">
        <v>433</v>
      </c>
      <c r="D216" s="5" t="s">
        <v>6636</v>
      </c>
      <c r="E216" s="8">
        <f>vlookup(B216,Filmes_final!$B$2:$U$1001,20,FALSE)</f>
        <v>1728809</v>
      </c>
      <c r="F216" s="5">
        <f>vlookup(B216,Filmes_final!$B$2:$U$1001,3,FALSE)</f>
        <v>2018</v>
      </c>
      <c r="G216" s="5" t="str">
        <f>vlookup(B216,Filmes_final!$B$2:$U$1001,13,FALSE)</f>
        <v>Nadine Labaki</v>
      </c>
    </row>
    <row r="217">
      <c r="A217" s="5">
        <v>54.0</v>
      </c>
      <c r="B217" s="5" t="s">
        <v>427</v>
      </c>
      <c r="C217" s="5" t="s">
        <v>434</v>
      </c>
      <c r="D217" s="5" t="s">
        <v>6637</v>
      </c>
      <c r="E217" s="8">
        <f>vlookup(B217,Filmes_final!$B$2:$U$1001,20,FALSE)</f>
        <v>1728809</v>
      </c>
      <c r="F217" s="5">
        <f>vlookup(B217,Filmes_final!$B$2:$U$1001,3,FALSE)</f>
        <v>2018</v>
      </c>
      <c r="G217" s="5" t="str">
        <f>vlookup(B217,Filmes_final!$B$2:$U$1001,13,FALSE)</f>
        <v>Nadine Labaki</v>
      </c>
    </row>
    <row r="218">
      <c r="A218" s="5">
        <v>55.0</v>
      </c>
      <c r="B218" s="5" t="s">
        <v>435</v>
      </c>
      <c r="C218" s="5" t="s">
        <v>438</v>
      </c>
      <c r="D218" s="5" t="s">
        <v>6634</v>
      </c>
      <c r="E218" s="8">
        <f>vlookup(B218,Filmes_final!$B$2:$U$1001,20,FALSE)</f>
        <v>1005954</v>
      </c>
      <c r="F218" s="5">
        <f>vlookup(B218,Filmes_final!$B$2:$U$1001,3,FALSE)</f>
        <v>2017</v>
      </c>
      <c r="G218" s="5" t="str">
        <f>vlookup(B218,Filmes_final!$B$2:$U$1001,13,FALSE)</f>
        <v>Can Ulkay</v>
      </c>
    </row>
    <row r="219">
      <c r="A219" s="5">
        <v>55.0</v>
      </c>
      <c r="B219" s="5" t="s">
        <v>435</v>
      </c>
      <c r="C219" s="5" t="s">
        <v>439</v>
      </c>
      <c r="D219" s="5" t="s">
        <v>6635</v>
      </c>
      <c r="E219" s="8">
        <f>vlookup(B219,Filmes_final!$B$2:$U$1001,20,FALSE)</f>
        <v>1005954</v>
      </c>
      <c r="F219" s="5">
        <f>vlookup(B219,Filmes_final!$B$2:$U$1001,3,FALSE)</f>
        <v>2017</v>
      </c>
      <c r="G219" s="5" t="str">
        <f>vlookup(B219,Filmes_final!$B$2:$U$1001,13,FALSE)</f>
        <v>Can Ulkay</v>
      </c>
    </row>
    <row r="220">
      <c r="A220" s="5">
        <v>55.0</v>
      </c>
      <c r="B220" s="5" t="s">
        <v>435</v>
      </c>
      <c r="C220" s="5" t="s">
        <v>440</v>
      </c>
      <c r="D220" s="5" t="s">
        <v>6636</v>
      </c>
      <c r="E220" s="8">
        <f>vlookup(B220,Filmes_final!$B$2:$U$1001,20,FALSE)</f>
        <v>1005954</v>
      </c>
      <c r="F220" s="5">
        <f>vlookup(B220,Filmes_final!$B$2:$U$1001,3,FALSE)</f>
        <v>2017</v>
      </c>
      <c r="G220" s="5" t="str">
        <f>vlookup(B220,Filmes_final!$B$2:$U$1001,13,FALSE)</f>
        <v>Can Ulkay</v>
      </c>
    </row>
    <row r="221">
      <c r="A221" s="5">
        <v>55.0</v>
      </c>
      <c r="B221" s="5" t="s">
        <v>435</v>
      </c>
      <c r="C221" s="5" t="s">
        <v>441</v>
      </c>
      <c r="D221" s="5" t="s">
        <v>6637</v>
      </c>
      <c r="E221" s="8">
        <f>vlookup(B221,Filmes_final!$B$2:$U$1001,20,FALSE)</f>
        <v>1005954</v>
      </c>
      <c r="F221" s="5">
        <f>vlookup(B221,Filmes_final!$B$2:$U$1001,3,FALSE)</f>
        <v>2017</v>
      </c>
      <c r="G221" s="5" t="str">
        <f>vlookup(B221,Filmes_final!$B$2:$U$1001,13,FALSE)</f>
        <v>Can Ulkay</v>
      </c>
    </row>
    <row r="222">
      <c r="A222" s="5">
        <v>56.0</v>
      </c>
      <c r="B222" s="5" t="s">
        <v>442</v>
      </c>
      <c r="C222" s="5" t="s">
        <v>446</v>
      </c>
      <c r="D222" s="5" t="s">
        <v>6634</v>
      </c>
      <c r="E222" s="8">
        <f>vlookup(B222,Filmes_final!$B$2:$U$1001,20,FALSE)</f>
        <v>580864</v>
      </c>
      <c r="F222" s="5">
        <f>vlookup(B222,Filmes_final!$B$2:$U$1001,3,FALSE)</f>
        <v>2017</v>
      </c>
      <c r="G222" s="5" t="str">
        <f>vlookup(B222,Filmes_final!$B$2:$U$1001,13,FALSE)</f>
        <v>Gayatri</v>
      </c>
    </row>
    <row r="223">
      <c r="A223" s="5">
        <v>56.0</v>
      </c>
      <c r="B223" s="5" t="s">
        <v>442</v>
      </c>
      <c r="C223" s="5" t="s">
        <v>183</v>
      </c>
      <c r="D223" s="5" t="s">
        <v>6635</v>
      </c>
      <c r="E223" s="8">
        <f>vlookup(B223,Filmes_final!$B$2:$U$1001,20,FALSE)</f>
        <v>580864</v>
      </c>
      <c r="F223" s="5">
        <f>vlookup(B223,Filmes_final!$B$2:$U$1001,3,FALSE)</f>
        <v>2017</v>
      </c>
      <c r="G223" s="5" t="str">
        <f>vlookup(B223,Filmes_final!$B$2:$U$1001,13,FALSE)</f>
        <v>Gayatri</v>
      </c>
    </row>
    <row r="224">
      <c r="A224" s="5">
        <v>56.0</v>
      </c>
      <c r="B224" s="5" t="s">
        <v>442</v>
      </c>
      <c r="C224" s="5" t="s">
        <v>447</v>
      </c>
      <c r="D224" s="5" t="s">
        <v>6636</v>
      </c>
      <c r="E224" s="8">
        <f>vlookup(B224,Filmes_final!$B$2:$U$1001,20,FALSE)</f>
        <v>580864</v>
      </c>
      <c r="F224" s="5">
        <f>vlookup(B224,Filmes_final!$B$2:$U$1001,3,FALSE)</f>
        <v>2017</v>
      </c>
      <c r="G224" s="5" t="str">
        <f>vlookup(B224,Filmes_final!$B$2:$U$1001,13,FALSE)</f>
        <v>Gayatri</v>
      </c>
    </row>
    <row r="225">
      <c r="A225" s="5">
        <v>56.0</v>
      </c>
      <c r="B225" s="5" t="s">
        <v>442</v>
      </c>
      <c r="C225" s="5" t="s">
        <v>448</v>
      </c>
      <c r="D225" s="5" t="s">
        <v>6637</v>
      </c>
      <c r="E225" s="8">
        <f>vlookup(B225,Filmes_final!$B$2:$U$1001,20,FALSE)</f>
        <v>580864</v>
      </c>
      <c r="F225" s="5">
        <f>vlookup(B225,Filmes_final!$B$2:$U$1001,3,FALSE)</f>
        <v>2017</v>
      </c>
      <c r="G225" s="5" t="str">
        <f>vlookup(B225,Filmes_final!$B$2:$U$1001,13,FALSE)</f>
        <v>Gayatri</v>
      </c>
    </row>
    <row r="226">
      <c r="A226" s="5">
        <v>57.0</v>
      </c>
      <c r="B226" s="5" t="s">
        <v>449</v>
      </c>
      <c r="C226" s="5" t="s">
        <v>453</v>
      </c>
      <c r="D226" s="5" t="s">
        <v>6634</v>
      </c>
      <c r="E226" s="8">
        <f>vlookup(B226,Filmes_final!$B$2:$U$1001,20,FALSE)</f>
        <v>5463134</v>
      </c>
      <c r="F226" s="5">
        <f>vlookup(B226,Filmes_final!$B$2:$U$1001,3,FALSE)</f>
        <v>2016</v>
      </c>
      <c r="G226" s="5" t="str">
        <f>vlookup(B226,Filmes_final!$B$2:$U$1001,13,FALSE)</f>
        <v>Makoto Shinkai</v>
      </c>
    </row>
    <row r="227">
      <c r="A227" s="5">
        <v>57.0</v>
      </c>
      <c r="B227" s="5" t="s">
        <v>449</v>
      </c>
      <c r="C227" s="5" t="s">
        <v>454</v>
      </c>
      <c r="D227" s="5" t="s">
        <v>6635</v>
      </c>
      <c r="E227" s="8">
        <f>vlookup(B227,Filmes_final!$B$2:$U$1001,20,FALSE)</f>
        <v>5463134</v>
      </c>
      <c r="F227" s="5">
        <f>vlookup(B227,Filmes_final!$B$2:$U$1001,3,FALSE)</f>
        <v>2016</v>
      </c>
      <c r="G227" s="5" t="str">
        <f>vlookup(B227,Filmes_final!$B$2:$U$1001,13,FALSE)</f>
        <v>Makoto Shinkai</v>
      </c>
    </row>
    <row r="228">
      <c r="A228" s="5">
        <v>57.0</v>
      </c>
      <c r="B228" s="5" t="s">
        <v>449</v>
      </c>
      <c r="C228" s="5" t="s">
        <v>455</v>
      </c>
      <c r="D228" s="5" t="s">
        <v>6636</v>
      </c>
      <c r="E228" s="8">
        <f>vlookup(B228,Filmes_final!$B$2:$U$1001,20,FALSE)</f>
        <v>5463134</v>
      </c>
      <c r="F228" s="5">
        <f>vlookup(B228,Filmes_final!$B$2:$U$1001,3,FALSE)</f>
        <v>2016</v>
      </c>
      <c r="G228" s="5" t="str">
        <f>vlookup(B228,Filmes_final!$B$2:$U$1001,13,FALSE)</f>
        <v>Makoto Shinkai</v>
      </c>
    </row>
    <row r="229">
      <c r="A229" s="5">
        <v>57.0</v>
      </c>
      <c r="B229" s="5" t="s">
        <v>449</v>
      </c>
      <c r="C229" s="5" t="s">
        <v>456</v>
      </c>
      <c r="D229" s="5" t="s">
        <v>6637</v>
      </c>
      <c r="E229" s="8">
        <f>vlookup(B229,Filmes_final!$B$2:$U$1001,20,FALSE)</f>
        <v>5463134</v>
      </c>
      <c r="F229" s="5">
        <f>vlookup(B229,Filmes_final!$B$2:$U$1001,3,FALSE)</f>
        <v>2016</v>
      </c>
      <c r="G229" s="5" t="str">
        <f>vlookup(B229,Filmes_final!$B$2:$U$1001,13,FALSE)</f>
        <v>Makoto Shinkai</v>
      </c>
    </row>
    <row r="230">
      <c r="A230" s="5">
        <v>58.0</v>
      </c>
      <c r="B230" s="5" t="s">
        <v>457</v>
      </c>
      <c r="C230" s="5" t="s">
        <v>461</v>
      </c>
      <c r="D230" s="5" t="s">
        <v>6634</v>
      </c>
      <c r="E230" s="8">
        <f>vlookup(B230,Filmes_final!$B$2:$U$1001,20,FALSE)</f>
        <v>13493031</v>
      </c>
      <c r="F230" s="5">
        <f>vlookup(B230,Filmes_final!$B$2:$U$1001,3,FALSE)</f>
        <v>2016</v>
      </c>
      <c r="G230" s="5" t="str">
        <f>vlookup(B230,Filmes_final!$B$2:$U$1001,13,FALSE)</f>
        <v>Nitesh Tiwari</v>
      </c>
    </row>
    <row r="231">
      <c r="A231" s="5">
        <v>58.0</v>
      </c>
      <c r="B231" s="5" t="s">
        <v>457</v>
      </c>
      <c r="C231" s="5" t="s">
        <v>462</v>
      </c>
      <c r="D231" s="5" t="s">
        <v>6635</v>
      </c>
      <c r="E231" s="8">
        <f>vlookup(B231,Filmes_final!$B$2:$U$1001,20,FALSE)</f>
        <v>13493031</v>
      </c>
      <c r="F231" s="5">
        <f>vlookup(B231,Filmes_final!$B$2:$U$1001,3,FALSE)</f>
        <v>2016</v>
      </c>
      <c r="G231" s="5" t="str">
        <f>vlookup(B231,Filmes_final!$B$2:$U$1001,13,FALSE)</f>
        <v>Nitesh Tiwari</v>
      </c>
    </row>
    <row r="232">
      <c r="A232" s="5">
        <v>58.0</v>
      </c>
      <c r="B232" s="5" t="s">
        <v>457</v>
      </c>
      <c r="C232" s="5" t="s">
        <v>463</v>
      </c>
      <c r="D232" s="5" t="s">
        <v>6636</v>
      </c>
      <c r="E232" s="8">
        <f>vlookup(B232,Filmes_final!$B$2:$U$1001,20,FALSE)</f>
        <v>13493031</v>
      </c>
      <c r="F232" s="5">
        <f>vlookup(B232,Filmes_final!$B$2:$U$1001,3,FALSE)</f>
        <v>2016</v>
      </c>
      <c r="G232" s="5" t="str">
        <f>vlookup(B232,Filmes_final!$B$2:$U$1001,13,FALSE)</f>
        <v>Nitesh Tiwari</v>
      </c>
    </row>
    <row r="233">
      <c r="A233" s="5">
        <v>58.0</v>
      </c>
      <c r="B233" s="5" t="s">
        <v>457</v>
      </c>
      <c r="C233" s="5" t="s">
        <v>464</v>
      </c>
      <c r="D233" s="5" t="s">
        <v>6637</v>
      </c>
      <c r="E233" s="8">
        <f>vlookup(B233,Filmes_final!$B$2:$U$1001,20,FALSE)</f>
        <v>13493031</v>
      </c>
      <c r="F233" s="5">
        <f>vlookup(B233,Filmes_final!$B$2:$U$1001,3,FALSE)</f>
        <v>2016</v>
      </c>
      <c r="G233" s="5" t="str">
        <f>vlookup(B233,Filmes_final!$B$2:$U$1001,13,FALSE)</f>
        <v>Nitesh Tiwari</v>
      </c>
    </row>
    <row r="234">
      <c r="A234" s="5">
        <v>59.0</v>
      </c>
      <c r="B234" s="5" t="s">
        <v>465</v>
      </c>
      <c r="C234" s="5" t="s">
        <v>470</v>
      </c>
      <c r="D234" s="5" t="s">
        <v>6634</v>
      </c>
      <c r="E234" s="8">
        <f>vlookup(B234,Filmes_final!$B$2:$U$1001,20,FALSE)</f>
        <v>197996269</v>
      </c>
      <c r="F234" s="5">
        <f>vlookup(B234,Filmes_final!$B$2:$U$1001,3,FALSE)</f>
        <v>2018</v>
      </c>
      <c r="G234" s="5" t="str">
        <f>vlookup(B234,Filmes_final!$B$2:$U$1001,13,FALSE)</f>
        <v>Bob Persichetti</v>
      </c>
    </row>
    <row r="235">
      <c r="A235" s="5">
        <v>59.0</v>
      </c>
      <c r="B235" s="5" t="s">
        <v>465</v>
      </c>
      <c r="C235" s="5" t="s">
        <v>471</v>
      </c>
      <c r="D235" s="5" t="s">
        <v>6635</v>
      </c>
      <c r="E235" s="8">
        <f>vlookup(B235,Filmes_final!$B$2:$U$1001,20,FALSE)</f>
        <v>197996269</v>
      </c>
      <c r="F235" s="5">
        <f>vlookup(B235,Filmes_final!$B$2:$U$1001,3,FALSE)</f>
        <v>2018</v>
      </c>
      <c r="G235" s="5" t="str">
        <f>vlookup(B235,Filmes_final!$B$2:$U$1001,13,FALSE)</f>
        <v>Bob Persichetti</v>
      </c>
    </row>
    <row r="236">
      <c r="A236" s="5">
        <v>59.0</v>
      </c>
      <c r="B236" s="5" t="s">
        <v>465</v>
      </c>
      <c r="C236" s="5" t="s">
        <v>472</v>
      </c>
      <c r="D236" s="5" t="s">
        <v>6636</v>
      </c>
      <c r="E236" s="8">
        <f>vlookup(B236,Filmes_final!$B$2:$U$1001,20,FALSE)</f>
        <v>197996269</v>
      </c>
      <c r="F236" s="5">
        <f>vlookup(B236,Filmes_final!$B$2:$U$1001,3,FALSE)</f>
        <v>2018</v>
      </c>
      <c r="G236" s="5" t="str">
        <f>vlookup(B236,Filmes_final!$B$2:$U$1001,13,FALSE)</f>
        <v>Bob Persichetti</v>
      </c>
    </row>
    <row r="237">
      <c r="A237" s="5">
        <v>59.0</v>
      </c>
      <c r="B237" s="5" t="s">
        <v>465</v>
      </c>
      <c r="C237" s="5" t="s">
        <v>473</v>
      </c>
      <c r="D237" s="5" t="s">
        <v>6637</v>
      </c>
      <c r="E237" s="8">
        <f>vlookup(B237,Filmes_final!$B$2:$U$1001,20,FALSE)</f>
        <v>197996269</v>
      </c>
      <c r="F237" s="5">
        <f>vlookup(B237,Filmes_final!$B$2:$U$1001,3,FALSE)</f>
        <v>2018</v>
      </c>
      <c r="G237" s="5" t="str">
        <f>vlookup(B237,Filmes_final!$B$2:$U$1001,13,FALSE)</f>
        <v>Bob Persichetti</v>
      </c>
    </row>
    <row r="238">
      <c r="A238" s="5">
        <v>60.0</v>
      </c>
      <c r="B238" s="5" t="s">
        <v>474</v>
      </c>
      <c r="C238" s="5" t="s">
        <v>478</v>
      </c>
      <c r="D238" s="5" t="s">
        <v>6634</v>
      </c>
      <c r="E238" s="8">
        <f>vlookup(B238,Filmes_final!$B$2:$U$1001,20,FALSE)</f>
        <v>879717063</v>
      </c>
      <c r="F238" s="5">
        <f>vlookup(B238,Filmes_final!$B$2:$U$1001,3,FALSE)</f>
        <v>2019</v>
      </c>
      <c r="G238" s="5" t="str">
        <f>vlookup(B238,Filmes_final!$B$2:$U$1001,13,FALSE)</f>
        <v>Anthony Russo</v>
      </c>
    </row>
    <row r="239">
      <c r="A239" s="5">
        <v>60.0</v>
      </c>
      <c r="B239" s="5" t="s">
        <v>474</v>
      </c>
      <c r="C239" s="5" t="s">
        <v>479</v>
      </c>
      <c r="D239" s="5" t="s">
        <v>6635</v>
      </c>
      <c r="E239" s="8">
        <f>vlookup(B239,Filmes_final!$B$2:$U$1001,20,FALSE)</f>
        <v>879717063</v>
      </c>
      <c r="F239" s="5">
        <f>vlookup(B239,Filmes_final!$B$2:$U$1001,3,FALSE)</f>
        <v>2019</v>
      </c>
      <c r="G239" s="5" t="str">
        <f>vlookup(B239,Filmes_final!$B$2:$U$1001,13,FALSE)</f>
        <v>Anthony Russo</v>
      </c>
    </row>
    <row r="240">
      <c r="A240" s="5">
        <v>60.0</v>
      </c>
      <c r="B240" s="5" t="s">
        <v>474</v>
      </c>
      <c r="C240" s="5" t="s">
        <v>480</v>
      </c>
      <c r="D240" s="5" t="s">
        <v>6636</v>
      </c>
      <c r="E240" s="8">
        <f>vlookup(B240,Filmes_final!$B$2:$U$1001,20,FALSE)</f>
        <v>879717063</v>
      </c>
      <c r="F240" s="5">
        <f>vlookup(B240,Filmes_final!$B$2:$U$1001,3,FALSE)</f>
        <v>2019</v>
      </c>
      <c r="G240" s="5" t="str">
        <f>vlookup(B240,Filmes_final!$B$2:$U$1001,13,FALSE)</f>
        <v>Anthony Russo</v>
      </c>
    </row>
    <row r="241">
      <c r="A241" s="5">
        <v>60.0</v>
      </c>
      <c r="B241" s="5" t="s">
        <v>474</v>
      </c>
      <c r="C241" s="5" t="s">
        <v>481</v>
      </c>
      <c r="D241" s="5" t="s">
        <v>6637</v>
      </c>
      <c r="E241" s="8">
        <f>vlookup(B241,Filmes_final!$B$2:$U$1001,20,FALSE)</f>
        <v>879717063</v>
      </c>
      <c r="F241" s="5">
        <f>vlookup(B241,Filmes_final!$B$2:$U$1001,3,FALSE)</f>
        <v>2019</v>
      </c>
      <c r="G241" s="5" t="str">
        <f>vlookup(B241,Filmes_final!$B$2:$U$1001,13,FALSE)</f>
        <v>Anthony Russo</v>
      </c>
    </row>
    <row r="242">
      <c r="A242" s="5">
        <v>61.0</v>
      </c>
      <c r="B242" s="5" t="s">
        <v>482</v>
      </c>
      <c r="C242" s="5" t="s">
        <v>478</v>
      </c>
      <c r="D242" s="5" t="s">
        <v>6634</v>
      </c>
      <c r="E242" s="8">
        <f>vlookup(B242,Filmes_final!$B$2:$U$1001,20,FALSE)</f>
        <v>706486581</v>
      </c>
      <c r="F242" s="5">
        <f>vlookup(B242,Filmes_final!$B$2:$U$1001,3,FALSE)</f>
        <v>2018</v>
      </c>
      <c r="G242" s="5" t="str">
        <f>vlookup(B242,Filmes_final!$B$2:$U$1001,13,FALSE)</f>
        <v>Anthony Russo</v>
      </c>
    </row>
    <row r="243">
      <c r="A243" s="5">
        <v>61.0</v>
      </c>
      <c r="B243" s="5" t="s">
        <v>482</v>
      </c>
      <c r="C243" s="5" t="s">
        <v>479</v>
      </c>
      <c r="D243" s="5" t="s">
        <v>6635</v>
      </c>
      <c r="E243" s="8">
        <f>vlookup(B243,Filmes_final!$B$2:$U$1001,20,FALSE)</f>
        <v>706486581</v>
      </c>
      <c r="F243" s="5">
        <f>vlookup(B243,Filmes_final!$B$2:$U$1001,3,FALSE)</f>
        <v>2018</v>
      </c>
      <c r="G243" s="5" t="str">
        <f>vlookup(B243,Filmes_final!$B$2:$U$1001,13,FALSE)</f>
        <v>Anthony Russo</v>
      </c>
    </row>
    <row r="244">
      <c r="A244" s="5">
        <v>61.0</v>
      </c>
      <c r="B244" s="5" t="s">
        <v>482</v>
      </c>
      <c r="C244" s="5" t="s">
        <v>485</v>
      </c>
      <c r="D244" s="5" t="s">
        <v>6636</v>
      </c>
      <c r="E244" s="8">
        <f>vlookup(B244,Filmes_final!$B$2:$U$1001,20,FALSE)</f>
        <v>706486581</v>
      </c>
      <c r="F244" s="5">
        <f>vlookup(B244,Filmes_final!$B$2:$U$1001,3,FALSE)</f>
        <v>2018</v>
      </c>
      <c r="G244" s="5" t="str">
        <f>vlookup(B244,Filmes_final!$B$2:$U$1001,13,FALSE)</f>
        <v>Anthony Russo</v>
      </c>
    </row>
    <row r="245">
      <c r="A245" s="5">
        <v>61.0</v>
      </c>
      <c r="B245" s="5" t="s">
        <v>482</v>
      </c>
      <c r="C245" s="5" t="s">
        <v>481</v>
      </c>
      <c r="D245" s="5" t="s">
        <v>6637</v>
      </c>
      <c r="E245" s="8">
        <f>vlookup(B245,Filmes_final!$B$2:$U$1001,20,FALSE)</f>
        <v>706486581</v>
      </c>
      <c r="F245" s="5">
        <f>vlookup(B245,Filmes_final!$B$2:$U$1001,3,FALSE)</f>
        <v>2018</v>
      </c>
      <c r="G245" s="5" t="str">
        <f>vlookup(B245,Filmes_final!$B$2:$U$1001,13,FALSE)</f>
        <v>Anthony Russo</v>
      </c>
    </row>
    <row r="246">
      <c r="A246" s="5">
        <v>62.0</v>
      </c>
      <c r="B246" s="5" t="s">
        <v>486</v>
      </c>
      <c r="C246" s="5" t="s">
        <v>490</v>
      </c>
      <c r="D246" s="5" t="s">
        <v>6634</v>
      </c>
      <c r="E246" s="8">
        <f>vlookup(B246,Filmes_final!$B$2:$U$1001,20,FALSE)</f>
        <v>222794649</v>
      </c>
      <c r="F246" s="5">
        <f>vlookup(B246,Filmes_final!$B$2:$U$1001,3,FALSE)</f>
        <v>2017</v>
      </c>
      <c r="G246" s="5" t="str">
        <f>vlookup(B246,Filmes_final!$B$2:$U$1001,13,FALSE)</f>
        <v>Lee Unkrich</v>
      </c>
    </row>
    <row r="247">
      <c r="A247" s="5">
        <v>62.0</v>
      </c>
      <c r="B247" s="5" t="s">
        <v>486</v>
      </c>
      <c r="C247" s="5" t="s">
        <v>491</v>
      </c>
      <c r="D247" s="5" t="s">
        <v>6635</v>
      </c>
      <c r="E247" s="8">
        <f>vlookup(B247,Filmes_final!$B$2:$U$1001,20,FALSE)</f>
        <v>222794649</v>
      </c>
      <c r="F247" s="5">
        <f>vlookup(B247,Filmes_final!$B$2:$U$1001,3,FALSE)</f>
        <v>2017</v>
      </c>
      <c r="G247" s="5" t="str">
        <f>vlookup(B247,Filmes_final!$B$2:$U$1001,13,FALSE)</f>
        <v>Lee Unkrich</v>
      </c>
    </row>
    <row r="248">
      <c r="A248" s="5">
        <v>62.0</v>
      </c>
      <c r="B248" s="5" t="s">
        <v>486</v>
      </c>
      <c r="C248" s="5" t="s">
        <v>492</v>
      </c>
      <c r="D248" s="5" t="s">
        <v>6636</v>
      </c>
      <c r="E248" s="8">
        <f>vlookup(B248,Filmes_final!$B$2:$U$1001,20,FALSE)</f>
        <v>222794649</v>
      </c>
      <c r="F248" s="5">
        <f>vlookup(B248,Filmes_final!$B$2:$U$1001,3,FALSE)</f>
        <v>2017</v>
      </c>
      <c r="G248" s="5" t="str">
        <f>vlookup(B248,Filmes_final!$B$2:$U$1001,13,FALSE)</f>
        <v>Lee Unkrich</v>
      </c>
    </row>
    <row r="249">
      <c r="A249" s="5">
        <v>62.0</v>
      </c>
      <c r="B249" s="5" t="s">
        <v>486</v>
      </c>
      <c r="C249" s="5" t="s">
        <v>493</v>
      </c>
      <c r="D249" s="5" t="s">
        <v>6637</v>
      </c>
      <c r="E249" s="8">
        <f>vlookup(B249,Filmes_final!$B$2:$U$1001,20,FALSE)</f>
        <v>222794649</v>
      </c>
      <c r="F249" s="5">
        <f>vlookup(B249,Filmes_final!$B$2:$U$1001,3,FALSE)</f>
        <v>2017</v>
      </c>
      <c r="G249" s="5" t="str">
        <f>vlookup(B249,Filmes_final!$B$2:$U$1001,13,FALSE)</f>
        <v>Lee Unkrich</v>
      </c>
    </row>
    <row r="250">
      <c r="A250" s="5">
        <v>63.0</v>
      </c>
      <c r="B250" s="5" t="s">
        <v>494</v>
      </c>
      <c r="C250" s="5" t="s">
        <v>497</v>
      </c>
      <c r="D250" s="5" t="s">
        <v>6634</v>
      </c>
      <c r="E250" s="8">
        <f>vlookup(B250,Filmes_final!$B$2:$U$1001,20,FALSE)</f>
        <v>185291424</v>
      </c>
      <c r="F250" s="5">
        <f>vlookup(B250,Filmes_final!$B$2:$U$1001,3,FALSE)</f>
        <v>2012</v>
      </c>
      <c r="G250" s="5" t="str">
        <f>vlookup(B250,Filmes_final!$B$2:$U$1001,13,FALSE)</f>
        <v>Quentin Tarantino</v>
      </c>
    </row>
    <row r="251">
      <c r="A251" s="5">
        <v>63.0</v>
      </c>
      <c r="B251" s="5" t="s">
        <v>494</v>
      </c>
      <c r="C251" s="5" t="s">
        <v>498</v>
      </c>
      <c r="D251" s="5" t="s">
        <v>6635</v>
      </c>
      <c r="E251" s="8">
        <f>vlookup(B251,Filmes_final!$B$2:$U$1001,20,FALSE)</f>
        <v>185291424</v>
      </c>
      <c r="F251" s="5">
        <f>vlookup(B251,Filmes_final!$B$2:$U$1001,3,FALSE)</f>
        <v>2012</v>
      </c>
      <c r="G251" s="5" t="str">
        <f>vlookup(B251,Filmes_final!$B$2:$U$1001,13,FALSE)</f>
        <v>Quentin Tarantino</v>
      </c>
    </row>
    <row r="252">
      <c r="A252" s="5">
        <v>63.0</v>
      </c>
      <c r="B252" s="5" t="s">
        <v>494</v>
      </c>
      <c r="C252" s="5" t="s">
        <v>90</v>
      </c>
      <c r="D252" s="5" t="s">
        <v>6636</v>
      </c>
      <c r="E252" s="8">
        <f>vlookup(B252,Filmes_final!$B$2:$U$1001,20,FALSE)</f>
        <v>185291424</v>
      </c>
      <c r="F252" s="5">
        <f>vlookup(B252,Filmes_final!$B$2:$U$1001,3,FALSE)</f>
        <v>2012</v>
      </c>
      <c r="G252" s="5" t="str">
        <f>vlookup(B252,Filmes_final!$B$2:$U$1001,13,FALSE)</f>
        <v>Quentin Tarantino</v>
      </c>
    </row>
    <row r="253">
      <c r="A253" s="5">
        <v>63.0</v>
      </c>
      <c r="B253" s="5" t="s">
        <v>494</v>
      </c>
      <c r="C253" s="5" t="s">
        <v>499</v>
      </c>
      <c r="D253" s="5" t="s">
        <v>6637</v>
      </c>
      <c r="E253" s="8">
        <f>vlookup(B253,Filmes_final!$B$2:$U$1001,20,FALSE)</f>
        <v>185291424</v>
      </c>
      <c r="F253" s="5">
        <f>vlookup(B253,Filmes_final!$B$2:$U$1001,3,FALSE)</f>
        <v>2012</v>
      </c>
      <c r="G253" s="5" t="str">
        <f>vlookup(B253,Filmes_final!$B$2:$U$1001,13,FALSE)</f>
        <v>Quentin Tarantino</v>
      </c>
    </row>
    <row r="254">
      <c r="A254" s="5">
        <v>64.0</v>
      </c>
      <c r="B254" s="5" t="s">
        <v>500</v>
      </c>
      <c r="C254" s="5" t="s">
        <v>42</v>
      </c>
      <c r="D254" s="5" t="s">
        <v>6634</v>
      </c>
      <c r="E254" s="8">
        <f>vlookup(B254,Filmes_final!$B$2:$U$1001,20,FALSE)</f>
        <v>510034153</v>
      </c>
      <c r="F254" s="5">
        <f>vlookup(B254,Filmes_final!$B$2:$U$1001,3,FALSE)</f>
        <v>2012</v>
      </c>
      <c r="G254" s="5" t="str">
        <f>vlookup(B254,Filmes_final!$B$2:$U$1001,13,FALSE)</f>
        <v>Christopher Nolan</v>
      </c>
    </row>
    <row r="255">
      <c r="A255" s="5">
        <v>64.0</v>
      </c>
      <c r="B255" s="5" t="s">
        <v>500</v>
      </c>
      <c r="C255" s="5" t="s">
        <v>504</v>
      </c>
      <c r="D255" s="5" t="s">
        <v>6635</v>
      </c>
      <c r="E255" s="8">
        <f>vlookup(B255,Filmes_final!$B$2:$U$1001,20,FALSE)</f>
        <v>510034153</v>
      </c>
      <c r="F255" s="5">
        <f>vlookup(B255,Filmes_final!$B$2:$U$1001,3,FALSE)</f>
        <v>2012</v>
      </c>
      <c r="G255" s="5" t="str">
        <f>vlookup(B255,Filmes_final!$B$2:$U$1001,13,FALSE)</f>
        <v>Christopher Nolan</v>
      </c>
    </row>
    <row r="256">
      <c r="A256" s="5">
        <v>64.0</v>
      </c>
      <c r="B256" s="5" t="s">
        <v>500</v>
      </c>
      <c r="C256" s="5" t="s">
        <v>191</v>
      </c>
      <c r="D256" s="5" t="s">
        <v>6636</v>
      </c>
      <c r="E256" s="8">
        <f>vlookup(B256,Filmes_final!$B$2:$U$1001,20,FALSE)</f>
        <v>510034153</v>
      </c>
      <c r="F256" s="5">
        <f>vlookup(B256,Filmes_final!$B$2:$U$1001,3,FALSE)</f>
        <v>2012</v>
      </c>
      <c r="G256" s="5" t="str">
        <f>vlookup(B256,Filmes_final!$B$2:$U$1001,13,FALSE)</f>
        <v>Christopher Nolan</v>
      </c>
    </row>
    <row r="257">
      <c r="A257" s="5">
        <v>64.0</v>
      </c>
      <c r="B257" s="5" t="s">
        <v>500</v>
      </c>
      <c r="C257" s="5" t="s">
        <v>347</v>
      </c>
      <c r="D257" s="5" t="s">
        <v>6637</v>
      </c>
      <c r="E257" s="8">
        <f>vlookup(B257,Filmes_final!$B$2:$U$1001,20,FALSE)</f>
        <v>510034153</v>
      </c>
      <c r="F257" s="5">
        <f>vlookup(B257,Filmes_final!$B$2:$U$1001,3,FALSE)</f>
        <v>2012</v>
      </c>
      <c r="G257" s="5" t="str">
        <f>vlookup(B257,Filmes_final!$B$2:$U$1001,13,FALSE)</f>
        <v>Christopher Nolan</v>
      </c>
    </row>
    <row r="258">
      <c r="A258" s="5">
        <v>65.0</v>
      </c>
      <c r="B258" s="5" t="s">
        <v>505</v>
      </c>
      <c r="C258" s="5" t="s">
        <v>461</v>
      </c>
      <c r="D258" s="5" t="s">
        <v>6634</v>
      </c>
      <c r="E258" s="8">
        <f>vlookup(B258,Filmes_final!$B$2:$U$1001,20,FALSE)</f>
        <v>7981798</v>
      </c>
      <c r="F258" s="5">
        <f>vlookup(B258,Filmes_final!$B$2:$U$1001,3,FALSE)</f>
        <v>2009</v>
      </c>
      <c r="G258" s="5" t="str">
        <f>vlookup(B258,Filmes_final!$B$2:$U$1001,13,FALSE)</f>
        <v>Rajkumar Hirani</v>
      </c>
    </row>
    <row r="259">
      <c r="A259" s="5">
        <v>65.0</v>
      </c>
      <c r="B259" s="5" t="s">
        <v>505</v>
      </c>
      <c r="C259" s="5" t="s">
        <v>183</v>
      </c>
      <c r="D259" s="5" t="s">
        <v>6635</v>
      </c>
      <c r="E259" s="8">
        <f>vlookup(B259,Filmes_final!$B$2:$U$1001,20,FALSE)</f>
        <v>7981798</v>
      </c>
      <c r="F259" s="5">
        <f>vlookup(B259,Filmes_final!$B$2:$U$1001,3,FALSE)</f>
        <v>2009</v>
      </c>
      <c r="G259" s="5" t="str">
        <f>vlookup(B259,Filmes_final!$B$2:$U$1001,13,FALSE)</f>
        <v>Rajkumar Hirani</v>
      </c>
    </row>
    <row r="260">
      <c r="A260" s="5">
        <v>65.0</v>
      </c>
      <c r="B260" s="5" t="s">
        <v>505</v>
      </c>
      <c r="C260" s="5" t="s">
        <v>510</v>
      </c>
      <c r="D260" s="5" t="s">
        <v>6636</v>
      </c>
      <c r="E260" s="8">
        <f>vlookup(B260,Filmes_final!$B$2:$U$1001,20,FALSE)</f>
        <v>7981798</v>
      </c>
      <c r="F260" s="5">
        <f>vlookup(B260,Filmes_final!$B$2:$U$1001,3,FALSE)</f>
        <v>2009</v>
      </c>
      <c r="G260" s="5" t="str">
        <f>vlookup(B260,Filmes_final!$B$2:$U$1001,13,FALSE)</f>
        <v>Rajkumar Hirani</v>
      </c>
    </row>
    <row r="261">
      <c r="A261" s="5">
        <v>65.0</v>
      </c>
      <c r="B261" s="5" t="s">
        <v>505</v>
      </c>
      <c r="C261" s="5" t="s">
        <v>511</v>
      </c>
      <c r="D261" s="5" t="s">
        <v>6637</v>
      </c>
      <c r="E261" s="8">
        <f>vlookup(B261,Filmes_final!$B$2:$U$1001,20,FALSE)</f>
        <v>7981798</v>
      </c>
      <c r="F261" s="5">
        <f>vlookup(B261,Filmes_final!$B$2:$U$1001,3,FALSE)</f>
        <v>2009</v>
      </c>
      <c r="G261" s="5" t="str">
        <f>vlookup(B261,Filmes_final!$B$2:$U$1001,13,FALSE)</f>
        <v>Rajkumar Hirani</v>
      </c>
    </row>
    <row r="262">
      <c r="A262" s="5">
        <v>66.0</v>
      </c>
      <c r="B262" s="5" t="s">
        <v>512</v>
      </c>
      <c r="C262" s="5" t="s">
        <v>515</v>
      </c>
      <c r="D262" s="5" t="s">
        <v>6634</v>
      </c>
      <c r="E262" s="8">
        <f>vlookup(B262,Filmes_final!$B$2:$U$1001,20,FALSE)</f>
        <v>1559772</v>
      </c>
      <c r="F262" s="5">
        <f>vlookup(B262,Filmes_final!$B$2:$U$1001,3,FALSE)</f>
        <v>2007</v>
      </c>
      <c r="G262" s="5" t="str">
        <f>vlookup(B262,Filmes_final!$B$2:$U$1001,13,FALSE)</f>
        <v>Aamir Khan</v>
      </c>
    </row>
    <row r="263">
      <c r="A263" s="5">
        <v>66.0</v>
      </c>
      <c r="B263" s="5" t="s">
        <v>512</v>
      </c>
      <c r="C263" s="5" t="s">
        <v>516</v>
      </c>
      <c r="D263" s="5" t="s">
        <v>6635</v>
      </c>
      <c r="E263" s="8">
        <f>vlookup(B263,Filmes_final!$B$2:$U$1001,20,FALSE)</f>
        <v>1559772</v>
      </c>
      <c r="F263" s="5">
        <f>vlookup(B263,Filmes_final!$B$2:$U$1001,3,FALSE)</f>
        <v>2007</v>
      </c>
      <c r="G263" s="5" t="str">
        <f>vlookup(B263,Filmes_final!$B$2:$U$1001,13,FALSE)</f>
        <v>Aamir Khan</v>
      </c>
    </row>
    <row r="264">
      <c r="A264" s="5">
        <v>66.0</v>
      </c>
      <c r="B264" s="5" t="s">
        <v>512</v>
      </c>
      <c r="C264" s="5" t="s">
        <v>461</v>
      </c>
      <c r="D264" s="5" t="s">
        <v>6636</v>
      </c>
      <c r="E264" s="8">
        <f>vlookup(B264,Filmes_final!$B$2:$U$1001,20,FALSE)</f>
        <v>1559772</v>
      </c>
      <c r="F264" s="5">
        <f>vlookup(B264,Filmes_final!$B$2:$U$1001,3,FALSE)</f>
        <v>2007</v>
      </c>
      <c r="G264" s="5" t="str">
        <f>vlookup(B264,Filmes_final!$B$2:$U$1001,13,FALSE)</f>
        <v>Aamir Khan</v>
      </c>
    </row>
    <row r="265">
      <c r="A265" s="5">
        <v>66.0</v>
      </c>
      <c r="B265" s="5" t="s">
        <v>512</v>
      </c>
      <c r="C265" s="5" t="s">
        <v>517</v>
      </c>
      <c r="D265" s="5" t="s">
        <v>6637</v>
      </c>
      <c r="E265" s="8">
        <f>vlookup(B265,Filmes_final!$B$2:$U$1001,20,FALSE)</f>
        <v>1559772</v>
      </c>
      <c r="F265" s="5">
        <f>vlookup(B265,Filmes_final!$B$2:$U$1001,3,FALSE)</f>
        <v>2007</v>
      </c>
      <c r="G265" s="5" t="str">
        <f>vlookup(B265,Filmes_final!$B$2:$U$1001,13,FALSE)</f>
        <v>Aamir Khan</v>
      </c>
    </row>
    <row r="266">
      <c r="A266" s="5">
        <v>67.0</v>
      </c>
      <c r="B266" s="5" t="s">
        <v>518</v>
      </c>
      <c r="C266" s="5" t="s">
        <v>522</v>
      </c>
      <c r="D266" s="5" t="s">
        <v>6634</v>
      </c>
      <c r="E266" s="8">
        <f>vlookup(B266,Filmes_final!$B$2:$U$1001,20,FALSE)</f>
        <v>273526700</v>
      </c>
      <c r="F266" s="5">
        <f>vlookup(B266,Filmes_final!$B$2:$U$1001,3,FALSE)</f>
        <v>2008</v>
      </c>
      <c r="G266" s="5" t="str">
        <f>vlookup(B266,Filmes_final!$B$2:$U$1001,13,FALSE)</f>
        <v>Andrew Stanton</v>
      </c>
    </row>
    <row r="267">
      <c r="A267" s="5">
        <v>67.0</v>
      </c>
      <c r="B267" s="5" t="s">
        <v>518</v>
      </c>
      <c r="C267" s="5" t="s">
        <v>523</v>
      </c>
      <c r="D267" s="5" t="s">
        <v>6635</v>
      </c>
      <c r="E267" s="8">
        <f>vlookup(B267,Filmes_final!$B$2:$U$1001,20,FALSE)</f>
        <v>273526700</v>
      </c>
      <c r="F267" s="5">
        <f>vlookup(B267,Filmes_final!$B$2:$U$1001,3,FALSE)</f>
        <v>2008</v>
      </c>
      <c r="G267" s="5" t="str">
        <f>vlookup(B267,Filmes_final!$B$2:$U$1001,13,FALSE)</f>
        <v>Andrew Stanton</v>
      </c>
    </row>
    <row r="268">
      <c r="A268" s="5">
        <v>67.0</v>
      </c>
      <c r="B268" s="5" t="s">
        <v>518</v>
      </c>
      <c r="C268" s="5" t="s">
        <v>524</v>
      </c>
      <c r="D268" s="5" t="s">
        <v>6636</v>
      </c>
      <c r="E268" s="8">
        <f>vlookup(B268,Filmes_final!$B$2:$U$1001,20,FALSE)</f>
        <v>273526700</v>
      </c>
      <c r="F268" s="5">
        <f>vlookup(B268,Filmes_final!$B$2:$U$1001,3,FALSE)</f>
        <v>2008</v>
      </c>
      <c r="G268" s="5" t="str">
        <f>vlookup(B268,Filmes_final!$B$2:$U$1001,13,FALSE)</f>
        <v>Andrew Stanton</v>
      </c>
    </row>
    <row r="269">
      <c r="A269" s="5">
        <v>67.0</v>
      </c>
      <c r="B269" s="5" t="s">
        <v>518</v>
      </c>
      <c r="C269" s="5" t="s">
        <v>525</v>
      </c>
      <c r="D269" s="5" t="s">
        <v>6637</v>
      </c>
      <c r="E269" s="8">
        <f>vlookup(B269,Filmes_final!$B$2:$U$1001,20,FALSE)</f>
        <v>273526700</v>
      </c>
      <c r="F269" s="5">
        <f>vlookup(B269,Filmes_final!$B$2:$U$1001,3,FALSE)</f>
        <v>2008</v>
      </c>
      <c r="G269" s="5" t="str">
        <f>vlookup(B269,Filmes_final!$B$2:$U$1001,13,FALSE)</f>
        <v>Andrew Stanton</v>
      </c>
    </row>
    <row r="270">
      <c r="A270" s="5">
        <v>68.0</v>
      </c>
      <c r="B270" s="5" t="s">
        <v>526</v>
      </c>
      <c r="C270" s="5" t="s">
        <v>530</v>
      </c>
      <c r="D270" s="5" t="s">
        <v>6634</v>
      </c>
      <c r="E270" s="8">
        <f>vlookup(B270,Filmes_final!$B$2:$U$1001,20,FALSE)</f>
        <v>14682247</v>
      </c>
      <c r="F270" s="5">
        <f>vlookup(B270,Filmes_final!$B$2:$U$1001,3,FALSE)</f>
        <v>2006</v>
      </c>
      <c r="G270" s="5" t="str">
        <f>vlookup(B270,Filmes_final!$B$2:$U$1001,13,FALSE)</f>
        <v>Florian Henckel von Donnersmarck</v>
      </c>
    </row>
    <row r="271">
      <c r="A271" s="5">
        <v>68.0</v>
      </c>
      <c r="B271" s="5" t="s">
        <v>526</v>
      </c>
      <c r="C271" s="5" t="s">
        <v>531</v>
      </c>
      <c r="D271" s="5" t="s">
        <v>6635</v>
      </c>
      <c r="E271" s="8">
        <f>vlookup(B271,Filmes_final!$B$2:$U$1001,20,FALSE)</f>
        <v>14682247</v>
      </c>
      <c r="F271" s="5">
        <f>vlookup(B271,Filmes_final!$B$2:$U$1001,3,FALSE)</f>
        <v>2006</v>
      </c>
      <c r="G271" s="5" t="str">
        <f>vlookup(B271,Filmes_final!$B$2:$U$1001,13,FALSE)</f>
        <v>Florian Henckel von Donnersmarck</v>
      </c>
    </row>
    <row r="272">
      <c r="A272" s="5">
        <v>68.0</v>
      </c>
      <c r="B272" s="5" t="s">
        <v>526</v>
      </c>
      <c r="C272" s="5" t="s">
        <v>532</v>
      </c>
      <c r="D272" s="5" t="s">
        <v>6636</v>
      </c>
      <c r="E272" s="8">
        <f>vlookup(B272,Filmes_final!$B$2:$U$1001,20,FALSE)</f>
        <v>14682247</v>
      </c>
      <c r="F272" s="5">
        <f>vlookup(B272,Filmes_final!$B$2:$U$1001,3,FALSE)</f>
        <v>2006</v>
      </c>
      <c r="G272" s="5" t="str">
        <f>vlookup(B272,Filmes_final!$B$2:$U$1001,13,FALSE)</f>
        <v>Florian Henckel von Donnersmarck</v>
      </c>
    </row>
    <row r="273">
      <c r="A273" s="5">
        <v>68.0</v>
      </c>
      <c r="B273" s="5" t="s">
        <v>526</v>
      </c>
      <c r="C273" s="5" t="s">
        <v>533</v>
      </c>
      <c r="D273" s="5" t="s">
        <v>6637</v>
      </c>
      <c r="E273" s="8">
        <f>vlookup(B273,Filmes_final!$B$2:$U$1001,20,FALSE)</f>
        <v>14682247</v>
      </c>
      <c r="F273" s="5">
        <f>vlookup(B273,Filmes_final!$B$2:$U$1001,3,FALSE)</f>
        <v>2006</v>
      </c>
      <c r="G273" s="5" t="str">
        <f>vlookup(B273,Filmes_final!$B$2:$U$1001,13,FALSE)</f>
        <v>Florian Henckel von Donnersmarck</v>
      </c>
    </row>
    <row r="274">
      <c r="A274" s="5">
        <v>69.0</v>
      </c>
      <c r="B274" s="5" t="s">
        <v>534</v>
      </c>
      <c r="C274" s="5" t="s">
        <v>538</v>
      </c>
      <c r="D274" s="5" t="s">
        <v>6634</v>
      </c>
      <c r="E274" s="8">
        <f>vlookup(B274,Filmes_final!$B$2:$U$1001,20,FALSE)</f>
        <v>1004456</v>
      </c>
      <c r="F274" s="5">
        <f>vlookup(B274,Filmes_final!$B$2:$U$1001,3,FALSE)</f>
        <v>2003</v>
      </c>
      <c r="G274" s="5" t="str">
        <f>vlookup(B274,Filmes_final!$B$2:$U$1001,13,FALSE)</f>
        <v>Chan-wook Park</v>
      </c>
    </row>
    <row r="275">
      <c r="A275" s="5">
        <v>69.0</v>
      </c>
      <c r="B275" s="5" t="s">
        <v>534</v>
      </c>
      <c r="C275" s="5" t="s">
        <v>539</v>
      </c>
      <c r="D275" s="5" t="s">
        <v>6635</v>
      </c>
      <c r="E275" s="8">
        <f>vlookup(B275,Filmes_final!$B$2:$U$1001,20,FALSE)</f>
        <v>1004456</v>
      </c>
      <c r="F275" s="5">
        <f>vlookup(B275,Filmes_final!$B$2:$U$1001,3,FALSE)</f>
        <v>2003</v>
      </c>
      <c r="G275" s="5" t="str">
        <f>vlookup(B275,Filmes_final!$B$2:$U$1001,13,FALSE)</f>
        <v>Chan-wook Park</v>
      </c>
    </row>
    <row r="276">
      <c r="A276" s="5">
        <v>69.0</v>
      </c>
      <c r="B276" s="5" t="s">
        <v>534</v>
      </c>
      <c r="C276" s="5" t="s">
        <v>540</v>
      </c>
      <c r="D276" s="5" t="s">
        <v>6636</v>
      </c>
      <c r="E276" s="8">
        <f>vlookup(B276,Filmes_final!$B$2:$U$1001,20,FALSE)</f>
        <v>1004456</v>
      </c>
      <c r="F276" s="5">
        <f>vlookup(B276,Filmes_final!$B$2:$U$1001,3,FALSE)</f>
        <v>2003</v>
      </c>
      <c r="G276" s="5" t="str">
        <f>vlookup(B276,Filmes_final!$B$2:$U$1001,13,FALSE)</f>
        <v>Chan-wook Park</v>
      </c>
    </row>
    <row r="277">
      <c r="A277" s="5">
        <v>69.0</v>
      </c>
      <c r="B277" s="5" t="s">
        <v>534</v>
      </c>
      <c r="C277" s="5" t="s">
        <v>541</v>
      </c>
      <c r="D277" s="5" t="s">
        <v>6637</v>
      </c>
      <c r="E277" s="8">
        <f>vlookup(B277,Filmes_final!$B$2:$U$1001,20,FALSE)</f>
        <v>1004456</v>
      </c>
      <c r="F277" s="5">
        <f>vlookup(B277,Filmes_final!$B$2:$U$1001,3,FALSE)</f>
        <v>2003</v>
      </c>
      <c r="G277" s="5" t="str">
        <f>vlookup(B277,Filmes_final!$B$2:$U$1001,13,FALSE)</f>
        <v>Chan-wook Park</v>
      </c>
    </row>
    <row r="278">
      <c r="A278" s="5">
        <v>70.0</v>
      </c>
      <c r="B278" s="5" t="s">
        <v>542</v>
      </c>
      <c r="C278" s="5" t="s">
        <v>546</v>
      </c>
      <c r="D278" s="5" t="s">
        <v>6634</v>
      </c>
      <c r="E278" s="8">
        <f>vlookup(B278,Filmes_final!$B$2:$U$1001,20,FALSE)</f>
        <v>39039306</v>
      </c>
      <c r="F278" s="5">
        <f>vlookup(B278,Filmes_final!$B$2:$U$1001,3,FALSE)</f>
        <v>2000</v>
      </c>
      <c r="G278" s="5" t="str">
        <f>vlookup(B278,Filmes_final!$B$2:$U$1001,13,FALSE)</f>
        <v>Christopher Nolan</v>
      </c>
    </row>
    <row r="279">
      <c r="A279" s="5">
        <v>70.0</v>
      </c>
      <c r="B279" s="5" t="s">
        <v>542</v>
      </c>
      <c r="C279" s="5" t="s">
        <v>134</v>
      </c>
      <c r="D279" s="5" t="s">
        <v>6635</v>
      </c>
      <c r="E279" s="8">
        <f>vlookup(B279,Filmes_final!$B$2:$U$1001,20,FALSE)</f>
        <v>39039306</v>
      </c>
      <c r="F279" s="5">
        <f>vlookup(B279,Filmes_final!$B$2:$U$1001,3,FALSE)</f>
        <v>2000</v>
      </c>
      <c r="G279" s="5" t="str">
        <f>vlookup(B279,Filmes_final!$B$2:$U$1001,13,FALSE)</f>
        <v>Christopher Nolan</v>
      </c>
    </row>
    <row r="280">
      <c r="A280" s="5">
        <v>70.0</v>
      </c>
      <c r="B280" s="5" t="s">
        <v>542</v>
      </c>
      <c r="C280" s="5" t="s">
        <v>547</v>
      </c>
      <c r="D280" s="5" t="s">
        <v>6636</v>
      </c>
      <c r="E280" s="8">
        <f>vlookup(B280,Filmes_final!$B$2:$U$1001,20,FALSE)</f>
        <v>39039306</v>
      </c>
      <c r="F280" s="5">
        <f>vlookup(B280,Filmes_final!$B$2:$U$1001,3,FALSE)</f>
        <v>2000</v>
      </c>
      <c r="G280" s="5" t="str">
        <f>vlookup(B280,Filmes_final!$B$2:$U$1001,13,FALSE)</f>
        <v>Christopher Nolan</v>
      </c>
    </row>
    <row r="281">
      <c r="A281" s="5">
        <v>70.0</v>
      </c>
      <c r="B281" s="5" t="s">
        <v>542</v>
      </c>
      <c r="C281" s="5" t="s">
        <v>548</v>
      </c>
      <c r="D281" s="5" t="s">
        <v>6637</v>
      </c>
      <c r="E281" s="8">
        <f>vlookup(B281,Filmes_final!$B$2:$U$1001,20,FALSE)</f>
        <v>39039306</v>
      </c>
      <c r="F281" s="5">
        <f>vlookup(B281,Filmes_final!$B$2:$U$1001,3,FALSE)</f>
        <v>2000</v>
      </c>
      <c r="G281" s="5" t="str">
        <f>vlookup(B281,Filmes_final!$B$2:$U$1001,13,FALSE)</f>
        <v>Christopher Nolan</v>
      </c>
    </row>
    <row r="282">
      <c r="A282" s="5">
        <v>71.0</v>
      </c>
      <c r="B282" s="5" t="s">
        <v>549</v>
      </c>
      <c r="C282" s="5" t="s">
        <v>552</v>
      </c>
      <c r="D282" s="5" t="s">
        <v>6634</v>
      </c>
      <c r="E282" s="8">
        <f>vlookup(B282,Filmes_final!$B$2:$U$1001,20,FALSE)</f>
        <v>3851418</v>
      </c>
      <c r="F282" s="5">
        <f>vlookup(B282,Filmes_final!$B$2:$U$1001,3,FALSE)</f>
        <v>1997</v>
      </c>
      <c r="G282" s="5" t="str">
        <f>vlookup(B282,Filmes_final!$B$2:$U$1001,13,FALSE)</f>
        <v>Hayao Miyazaki</v>
      </c>
    </row>
    <row r="283">
      <c r="A283" s="5">
        <v>71.0</v>
      </c>
      <c r="B283" s="5" t="s">
        <v>549</v>
      </c>
      <c r="C283" s="5" t="s">
        <v>553</v>
      </c>
      <c r="D283" s="5" t="s">
        <v>6635</v>
      </c>
      <c r="E283" s="8">
        <f>vlookup(B283,Filmes_final!$B$2:$U$1001,20,FALSE)</f>
        <v>3851418</v>
      </c>
      <c r="F283" s="5">
        <f>vlookup(B283,Filmes_final!$B$2:$U$1001,3,FALSE)</f>
        <v>1997</v>
      </c>
      <c r="G283" s="5" t="str">
        <f>vlookup(B283,Filmes_final!$B$2:$U$1001,13,FALSE)</f>
        <v>Hayao Miyazaki</v>
      </c>
    </row>
    <row r="284">
      <c r="A284" s="5">
        <v>71.0</v>
      </c>
      <c r="B284" s="5" t="s">
        <v>549</v>
      </c>
      <c r="C284" s="5" t="s">
        <v>554</v>
      </c>
      <c r="D284" s="5" t="s">
        <v>6636</v>
      </c>
      <c r="E284" s="8">
        <f>vlookup(B284,Filmes_final!$B$2:$U$1001,20,FALSE)</f>
        <v>3851418</v>
      </c>
      <c r="F284" s="5">
        <f>vlookup(B284,Filmes_final!$B$2:$U$1001,3,FALSE)</f>
        <v>1997</v>
      </c>
      <c r="G284" s="5" t="str">
        <f>vlookup(B284,Filmes_final!$B$2:$U$1001,13,FALSE)</f>
        <v>Hayao Miyazaki</v>
      </c>
    </row>
    <row r="285">
      <c r="A285" s="5">
        <v>71.0</v>
      </c>
      <c r="B285" s="5" t="s">
        <v>549</v>
      </c>
      <c r="C285" s="5" t="s">
        <v>555</v>
      </c>
      <c r="D285" s="5" t="s">
        <v>6637</v>
      </c>
      <c r="E285" s="8">
        <f>vlookup(B285,Filmes_final!$B$2:$U$1001,20,FALSE)</f>
        <v>3851418</v>
      </c>
      <c r="F285" s="5">
        <f>vlookup(B285,Filmes_final!$B$2:$U$1001,3,FALSE)</f>
        <v>1997</v>
      </c>
      <c r="G285" s="5" t="str">
        <f>vlookup(B285,Filmes_final!$B$2:$U$1001,13,FALSE)</f>
        <v>Hayao Miyazaki</v>
      </c>
    </row>
    <row r="286">
      <c r="A286" s="5">
        <v>72.0</v>
      </c>
      <c r="B286" s="5" t="s">
        <v>556</v>
      </c>
      <c r="C286" s="5" t="s">
        <v>49</v>
      </c>
      <c r="D286" s="5" t="s">
        <v>6634</v>
      </c>
      <c r="E286" s="8">
        <f>vlookup(B286,Filmes_final!$B$2:$U$1001,20,FALSE)</f>
        <v>13471980</v>
      </c>
      <c r="F286" s="5">
        <f>vlookup(B286,Filmes_final!$B$2:$U$1001,3,FALSE)</f>
        <v>1984</v>
      </c>
      <c r="G286" s="5" t="str">
        <f>vlookup(B286,Filmes_final!$B$2:$U$1001,13,FALSE)</f>
        <v>Sergio Leone</v>
      </c>
    </row>
    <row r="287">
      <c r="A287" s="5">
        <v>72.0</v>
      </c>
      <c r="B287" s="5" t="s">
        <v>556</v>
      </c>
      <c r="C287" s="5" t="s">
        <v>559</v>
      </c>
      <c r="D287" s="5" t="s">
        <v>6635</v>
      </c>
      <c r="E287" s="8">
        <f>vlookup(B287,Filmes_final!$B$2:$U$1001,20,FALSE)</f>
        <v>13471980</v>
      </c>
      <c r="F287" s="5">
        <f>vlookup(B287,Filmes_final!$B$2:$U$1001,3,FALSE)</f>
        <v>1984</v>
      </c>
      <c r="G287" s="5" t="str">
        <f>vlookup(B287,Filmes_final!$B$2:$U$1001,13,FALSE)</f>
        <v>Sergio Leone</v>
      </c>
    </row>
    <row r="288">
      <c r="A288" s="5">
        <v>72.0</v>
      </c>
      <c r="B288" s="5" t="s">
        <v>556</v>
      </c>
      <c r="C288" s="5" t="s">
        <v>560</v>
      </c>
      <c r="D288" s="5" t="s">
        <v>6636</v>
      </c>
      <c r="E288" s="8">
        <f>vlookup(B288,Filmes_final!$B$2:$U$1001,20,FALSE)</f>
        <v>13471980</v>
      </c>
      <c r="F288" s="5">
        <f>vlookup(B288,Filmes_final!$B$2:$U$1001,3,FALSE)</f>
        <v>1984</v>
      </c>
      <c r="G288" s="5" t="str">
        <f>vlookup(B288,Filmes_final!$B$2:$U$1001,13,FALSE)</f>
        <v>Sergio Leone</v>
      </c>
    </row>
    <row r="289">
      <c r="A289" s="5">
        <v>72.0</v>
      </c>
      <c r="B289" s="5" t="s">
        <v>556</v>
      </c>
      <c r="C289" s="5" t="s">
        <v>561</v>
      </c>
      <c r="D289" s="5" t="s">
        <v>6637</v>
      </c>
      <c r="E289" s="8">
        <f>vlookup(B289,Filmes_final!$B$2:$U$1001,20,FALSE)</f>
        <v>13471980</v>
      </c>
      <c r="F289" s="5">
        <f>vlookup(B289,Filmes_final!$B$2:$U$1001,3,FALSE)</f>
        <v>1984</v>
      </c>
      <c r="G289" s="5" t="str">
        <f>vlookup(B289,Filmes_final!$B$2:$U$1001,13,FALSE)</f>
        <v>Sergio Leone</v>
      </c>
    </row>
    <row r="290">
      <c r="A290" s="5">
        <v>73.0</v>
      </c>
      <c r="B290" s="5" t="s">
        <v>562</v>
      </c>
      <c r="C290" s="5" t="s">
        <v>149</v>
      </c>
      <c r="D290" s="5" t="s">
        <v>6634</v>
      </c>
      <c r="E290" s="8">
        <f>vlookup(B290,Filmes_final!$B$2:$U$1001,20,FALSE)</f>
        <v>735839953</v>
      </c>
      <c r="F290" s="5">
        <f>vlookup(B290,Filmes_final!$B$2:$U$1001,3,FALSE)</f>
        <v>1981</v>
      </c>
      <c r="G290" s="5" t="str">
        <f>vlookup(B290,Filmes_final!$B$2:$U$1001,13,FALSE)</f>
        <v>Steven Spielberg</v>
      </c>
    </row>
    <row r="291">
      <c r="A291" s="5">
        <v>73.0</v>
      </c>
      <c r="B291" s="5" t="s">
        <v>562</v>
      </c>
      <c r="C291" s="5" t="s">
        <v>565</v>
      </c>
      <c r="D291" s="5" t="s">
        <v>6635</v>
      </c>
      <c r="E291" s="8">
        <f>vlookup(B291,Filmes_final!$B$2:$U$1001,20,FALSE)</f>
        <v>735839953</v>
      </c>
      <c r="F291" s="5">
        <f>vlookup(B291,Filmes_final!$B$2:$U$1001,3,FALSE)</f>
        <v>1981</v>
      </c>
      <c r="G291" s="5" t="str">
        <f>vlookup(B291,Filmes_final!$B$2:$U$1001,13,FALSE)</f>
        <v>Steven Spielberg</v>
      </c>
    </row>
    <row r="292">
      <c r="A292" s="5">
        <v>73.0</v>
      </c>
      <c r="B292" s="5" t="s">
        <v>562</v>
      </c>
      <c r="C292" s="5" t="s">
        <v>566</v>
      </c>
      <c r="D292" s="5" t="s">
        <v>6636</v>
      </c>
      <c r="E292" s="8">
        <f>vlookup(B292,Filmes_final!$B$2:$U$1001,20,FALSE)</f>
        <v>735839953</v>
      </c>
      <c r="F292" s="5">
        <f>vlookup(B292,Filmes_final!$B$2:$U$1001,3,FALSE)</f>
        <v>1981</v>
      </c>
      <c r="G292" s="5" t="str">
        <f>vlookup(B292,Filmes_final!$B$2:$U$1001,13,FALSE)</f>
        <v>Steven Spielberg</v>
      </c>
    </row>
    <row r="293">
      <c r="A293" s="5">
        <v>73.0</v>
      </c>
      <c r="B293" s="5" t="s">
        <v>562</v>
      </c>
      <c r="C293" s="5" t="s">
        <v>567</v>
      </c>
      <c r="D293" s="5" t="s">
        <v>6637</v>
      </c>
      <c r="E293" s="8">
        <f>vlookup(B293,Filmes_final!$B$2:$U$1001,20,FALSE)</f>
        <v>735839953</v>
      </c>
      <c r="F293" s="5">
        <f>vlookup(B293,Filmes_final!$B$2:$U$1001,3,FALSE)</f>
        <v>1981</v>
      </c>
      <c r="G293" s="5" t="str">
        <f>vlookup(B293,Filmes_final!$B$2:$U$1001,13,FALSE)</f>
        <v>Steven Spielberg</v>
      </c>
    </row>
    <row r="294">
      <c r="A294" s="5">
        <v>74.0</v>
      </c>
      <c r="B294" s="5" t="s">
        <v>568</v>
      </c>
      <c r="C294" s="5" t="s">
        <v>156</v>
      </c>
      <c r="D294" s="5" t="s">
        <v>6634</v>
      </c>
      <c r="E294" s="8">
        <f>vlookup(B294,Filmes_final!$B$2:$U$1001,20,FALSE)</f>
        <v>145953804</v>
      </c>
      <c r="F294" s="5">
        <f>vlookup(B294,Filmes_final!$B$2:$U$1001,3,FALSE)</f>
        <v>1980</v>
      </c>
      <c r="G294" s="5" t="str">
        <f>vlookup(B294,Filmes_final!$B$2:$U$1001,13,FALSE)</f>
        <v>Stanley Kubrick</v>
      </c>
    </row>
    <row r="295">
      <c r="A295" s="5">
        <v>74.0</v>
      </c>
      <c r="B295" s="5" t="s">
        <v>568</v>
      </c>
      <c r="C295" s="5" t="s">
        <v>572</v>
      </c>
      <c r="D295" s="5" t="s">
        <v>6635</v>
      </c>
      <c r="E295" s="8">
        <f>vlookup(B295,Filmes_final!$B$2:$U$1001,20,FALSE)</f>
        <v>145953804</v>
      </c>
      <c r="F295" s="5">
        <f>vlookup(B295,Filmes_final!$B$2:$U$1001,3,FALSE)</f>
        <v>1980</v>
      </c>
      <c r="G295" s="5" t="str">
        <f>vlookup(B295,Filmes_final!$B$2:$U$1001,13,FALSE)</f>
        <v>Stanley Kubrick</v>
      </c>
    </row>
    <row r="296">
      <c r="A296" s="5">
        <v>74.0</v>
      </c>
      <c r="B296" s="5" t="s">
        <v>568</v>
      </c>
      <c r="C296" s="5" t="s">
        <v>573</v>
      </c>
      <c r="D296" s="5" t="s">
        <v>6636</v>
      </c>
      <c r="E296" s="8">
        <f>vlookup(B296,Filmes_final!$B$2:$U$1001,20,FALSE)</f>
        <v>145953804</v>
      </c>
      <c r="F296" s="5">
        <f>vlookup(B296,Filmes_final!$B$2:$U$1001,3,FALSE)</f>
        <v>1980</v>
      </c>
      <c r="G296" s="5" t="str">
        <f>vlookup(B296,Filmes_final!$B$2:$U$1001,13,FALSE)</f>
        <v>Stanley Kubrick</v>
      </c>
    </row>
    <row r="297">
      <c r="A297" s="5">
        <v>74.0</v>
      </c>
      <c r="B297" s="5" t="s">
        <v>568</v>
      </c>
      <c r="C297" s="5" t="s">
        <v>574</v>
      </c>
      <c r="D297" s="5" t="s">
        <v>6637</v>
      </c>
      <c r="E297" s="8">
        <f>vlookup(B297,Filmes_final!$B$2:$U$1001,20,FALSE)</f>
        <v>145953804</v>
      </c>
      <c r="F297" s="5">
        <f>vlookup(B297,Filmes_final!$B$2:$U$1001,3,FALSE)</f>
        <v>1980</v>
      </c>
      <c r="G297" s="5" t="str">
        <f>vlookup(B297,Filmes_final!$B$2:$U$1001,13,FALSE)</f>
        <v>Stanley Kubrick</v>
      </c>
    </row>
    <row r="298">
      <c r="A298" s="5">
        <v>75.0</v>
      </c>
      <c r="B298" s="5" t="s">
        <v>575</v>
      </c>
      <c r="C298" s="5" t="s">
        <v>578</v>
      </c>
      <c r="D298" s="5" t="s">
        <v>6634</v>
      </c>
      <c r="E298" s="8">
        <f>vlookup(B298,Filmes_final!$B$2:$U$1001,20,FALSE)</f>
        <v>315274219</v>
      </c>
      <c r="F298" s="5">
        <f>vlookup(B298,Filmes_final!$B$2:$U$1001,3,FALSE)</f>
        <v>1979</v>
      </c>
      <c r="G298" s="5" t="str">
        <f>vlookup(B298,Filmes_final!$B$2:$U$1001,13,FALSE)</f>
        <v>Francis Ford Coppola</v>
      </c>
    </row>
    <row r="299">
      <c r="A299" s="5">
        <v>75.0</v>
      </c>
      <c r="B299" s="5" t="s">
        <v>575</v>
      </c>
      <c r="C299" s="5" t="s">
        <v>32</v>
      </c>
      <c r="D299" s="5" t="s">
        <v>6635</v>
      </c>
      <c r="E299" s="8">
        <f>vlookup(B299,Filmes_final!$B$2:$U$1001,20,FALSE)</f>
        <v>315274219</v>
      </c>
      <c r="F299" s="5">
        <f>vlookup(B299,Filmes_final!$B$2:$U$1001,3,FALSE)</f>
        <v>1979</v>
      </c>
      <c r="G299" s="5" t="str">
        <f>vlookup(B299,Filmes_final!$B$2:$U$1001,13,FALSE)</f>
        <v>Francis Ford Coppola</v>
      </c>
    </row>
    <row r="300">
      <c r="A300" s="5">
        <v>75.0</v>
      </c>
      <c r="B300" s="5" t="s">
        <v>575</v>
      </c>
      <c r="C300" s="5" t="s">
        <v>50</v>
      </c>
      <c r="D300" s="5" t="s">
        <v>6636</v>
      </c>
      <c r="E300" s="8">
        <f>vlookup(B300,Filmes_final!$B$2:$U$1001,20,FALSE)</f>
        <v>315274219</v>
      </c>
      <c r="F300" s="5">
        <f>vlookup(B300,Filmes_final!$B$2:$U$1001,3,FALSE)</f>
        <v>1979</v>
      </c>
      <c r="G300" s="5" t="str">
        <f>vlookup(B300,Filmes_final!$B$2:$U$1001,13,FALSE)</f>
        <v>Francis Ford Coppola</v>
      </c>
    </row>
    <row r="301">
      <c r="A301" s="5">
        <v>75.0</v>
      </c>
      <c r="B301" s="5" t="s">
        <v>575</v>
      </c>
      <c r="C301" s="5" t="s">
        <v>579</v>
      </c>
      <c r="D301" s="5" t="s">
        <v>6637</v>
      </c>
      <c r="E301" s="8">
        <f>vlookup(B301,Filmes_final!$B$2:$U$1001,20,FALSE)</f>
        <v>315274219</v>
      </c>
      <c r="F301" s="5">
        <f>vlookup(B301,Filmes_final!$B$2:$U$1001,3,FALSE)</f>
        <v>1979</v>
      </c>
      <c r="G301" s="5" t="str">
        <f>vlookup(B301,Filmes_final!$B$2:$U$1001,13,FALSE)</f>
        <v>Francis Ford Coppola</v>
      </c>
    </row>
    <row r="302">
      <c r="A302" s="5">
        <v>76.0</v>
      </c>
      <c r="B302" s="5" t="s">
        <v>580</v>
      </c>
      <c r="C302" s="5" t="s">
        <v>583</v>
      </c>
      <c r="D302" s="5" t="s">
        <v>6634</v>
      </c>
      <c r="E302" s="8">
        <f>vlookup(B302,Filmes_final!$B$2:$U$1001,20,FALSE)</f>
        <v>298007495</v>
      </c>
      <c r="F302" s="5">
        <f>vlookup(B302,Filmes_final!$B$2:$U$1001,3,FALSE)</f>
        <v>1979</v>
      </c>
      <c r="G302" s="5" t="str">
        <f>vlookup(B302,Filmes_final!$B$2:$U$1001,13,FALSE)</f>
        <v>Ridley Scott</v>
      </c>
    </row>
    <row r="303">
      <c r="A303" s="5">
        <v>76.0</v>
      </c>
      <c r="B303" s="5" t="s">
        <v>580</v>
      </c>
      <c r="C303" s="5" t="s">
        <v>584</v>
      </c>
      <c r="D303" s="5" t="s">
        <v>6635</v>
      </c>
      <c r="E303" s="8">
        <f>vlookup(B303,Filmes_final!$B$2:$U$1001,20,FALSE)</f>
        <v>298007495</v>
      </c>
      <c r="F303" s="5">
        <f>vlookup(B303,Filmes_final!$B$2:$U$1001,3,FALSE)</f>
        <v>1979</v>
      </c>
      <c r="G303" s="5" t="str">
        <f>vlookup(B303,Filmes_final!$B$2:$U$1001,13,FALSE)</f>
        <v>Ridley Scott</v>
      </c>
    </row>
    <row r="304">
      <c r="A304" s="5">
        <v>76.0</v>
      </c>
      <c r="B304" s="5" t="s">
        <v>580</v>
      </c>
      <c r="C304" s="5" t="s">
        <v>585</v>
      </c>
      <c r="D304" s="5" t="s">
        <v>6636</v>
      </c>
      <c r="E304" s="8">
        <f>vlookup(B304,Filmes_final!$B$2:$U$1001,20,FALSE)</f>
        <v>298007495</v>
      </c>
      <c r="F304" s="5">
        <f>vlookup(B304,Filmes_final!$B$2:$U$1001,3,FALSE)</f>
        <v>1979</v>
      </c>
      <c r="G304" s="5" t="str">
        <f>vlookup(B304,Filmes_final!$B$2:$U$1001,13,FALSE)</f>
        <v>Ridley Scott</v>
      </c>
    </row>
    <row r="305">
      <c r="A305" s="5">
        <v>76.0</v>
      </c>
      <c r="B305" s="5" t="s">
        <v>580</v>
      </c>
      <c r="C305" s="5" t="s">
        <v>586</v>
      </c>
      <c r="D305" s="5" t="s">
        <v>6637</v>
      </c>
      <c r="E305" s="8">
        <f>vlookup(B305,Filmes_final!$B$2:$U$1001,20,FALSE)</f>
        <v>298007495</v>
      </c>
      <c r="F305" s="5">
        <f>vlookup(B305,Filmes_final!$B$2:$U$1001,3,FALSE)</f>
        <v>1979</v>
      </c>
      <c r="G305" s="5" t="str">
        <f>vlookup(B305,Filmes_final!$B$2:$U$1001,13,FALSE)</f>
        <v>Ridley Scott</v>
      </c>
    </row>
    <row r="306">
      <c r="A306" s="5">
        <v>77.0</v>
      </c>
      <c r="B306" s="5" t="s">
        <v>587</v>
      </c>
      <c r="C306" s="5" t="s">
        <v>591</v>
      </c>
      <c r="D306" s="5" t="s">
        <v>6634</v>
      </c>
      <c r="E306" s="8">
        <f>vlookup(B306,Filmes_final!$B$2:$U$1001,20,FALSE)</f>
        <v>19445050</v>
      </c>
      <c r="F306" s="5">
        <f>vlookup(B306,Filmes_final!$B$2:$U$1001,3,FALSE)</f>
        <v>1971</v>
      </c>
      <c r="G306" s="5" t="str">
        <f>vlookup(B306,Filmes_final!$B$2:$U$1001,13,FALSE)</f>
        <v>Hrishikesh Mukherjee</v>
      </c>
    </row>
    <row r="307">
      <c r="A307" s="5">
        <v>77.0</v>
      </c>
      <c r="B307" s="5" t="s">
        <v>587</v>
      </c>
      <c r="C307" s="5" t="s">
        <v>592</v>
      </c>
      <c r="D307" s="5" t="s">
        <v>6635</v>
      </c>
      <c r="E307" s="8">
        <f>vlookup(B307,Filmes_final!$B$2:$U$1001,20,FALSE)</f>
        <v>19445050</v>
      </c>
      <c r="F307" s="5">
        <f>vlookup(B307,Filmes_final!$B$2:$U$1001,3,FALSE)</f>
        <v>1971</v>
      </c>
      <c r="G307" s="5" t="str">
        <f>vlookup(B307,Filmes_final!$B$2:$U$1001,13,FALSE)</f>
        <v>Hrishikesh Mukherjee</v>
      </c>
    </row>
    <row r="308">
      <c r="A308" s="5">
        <v>77.0</v>
      </c>
      <c r="B308" s="5" t="s">
        <v>587</v>
      </c>
      <c r="C308" s="5" t="s">
        <v>593</v>
      </c>
      <c r="D308" s="5" t="s">
        <v>6636</v>
      </c>
      <c r="E308" s="8">
        <f>vlookup(B308,Filmes_final!$B$2:$U$1001,20,FALSE)</f>
        <v>19445050</v>
      </c>
      <c r="F308" s="5">
        <f>vlookup(B308,Filmes_final!$B$2:$U$1001,3,FALSE)</f>
        <v>1971</v>
      </c>
      <c r="G308" s="5" t="str">
        <f>vlookup(B308,Filmes_final!$B$2:$U$1001,13,FALSE)</f>
        <v>Hrishikesh Mukherjee</v>
      </c>
    </row>
    <row r="309">
      <c r="A309" s="5">
        <v>77.0</v>
      </c>
      <c r="B309" s="5" t="s">
        <v>587</v>
      </c>
      <c r="C309" s="5" t="s">
        <v>594</v>
      </c>
      <c r="D309" s="5" t="s">
        <v>6637</v>
      </c>
      <c r="E309" s="8">
        <f>vlookup(B309,Filmes_final!$B$2:$U$1001,20,FALSE)</f>
        <v>19445050</v>
      </c>
      <c r="F309" s="5">
        <f>vlookup(B309,Filmes_final!$B$2:$U$1001,3,FALSE)</f>
        <v>1971</v>
      </c>
      <c r="G309" s="5" t="str">
        <f>vlookup(B309,Filmes_final!$B$2:$U$1001,13,FALSE)</f>
        <v>Hrishikesh Mukherjee</v>
      </c>
    </row>
    <row r="310">
      <c r="A310" s="5">
        <v>78.0</v>
      </c>
      <c r="B310" s="5" t="s">
        <v>595</v>
      </c>
      <c r="C310" s="5" t="s">
        <v>265</v>
      </c>
      <c r="D310" s="5" t="s">
        <v>6634</v>
      </c>
      <c r="E310" s="8">
        <f>vlookup(B310,Filmes_final!$B$2:$U$1001,20,FALSE)</f>
        <v>397207</v>
      </c>
      <c r="F310" s="5">
        <f>vlookup(B310,Filmes_final!$B$2:$U$1001,3,FALSE)</f>
        <v>1963</v>
      </c>
      <c r="G310" s="5" t="str">
        <f>vlookup(B310,Filmes_final!$B$2:$U$1001,13,FALSE)</f>
        <v>Akira Kurosawa</v>
      </c>
    </row>
    <row r="311">
      <c r="A311" s="5">
        <v>78.0</v>
      </c>
      <c r="B311" s="5" t="s">
        <v>595</v>
      </c>
      <c r="C311" s="5" t="s">
        <v>598</v>
      </c>
      <c r="D311" s="5" t="s">
        <v>6635</v>
      </c>
      <c r="E311" s="8">
        <f>vlookup(B311,Filmes_final!$B$2:$U$1001,20,FALSE)</f>
        <v>397207</v>
      </c>
      <c r="F311" s="5">
        <f>vlookup(B311,Filmes_final!$B$2:$U$1001,3,FALSE)</f>
        <v>1963</v>
      </c>
      <c r="G311" s="5" t="str">
        <f>vlookup(B311,Filmes_final!$B$2:$U$1001,13,FALSE)</f>
        <v>Akira Kurosawa</v>
      </c>
    </row>
    <row r="312">
      <c r="A312" s="5">
        <v>78.0</v>
      </c>
      <c r="B312" s="5" t="s">
        <v>595</v>
      </c>
      <c r="C312" s="5" t="s">
        <v>257</v>
      </c>
      <c r="D312" s="5" t="s">
        <v>6636</v>
      </c>
      <c r="E312" s="8">
        <f>vlookup(B312,Filmes_final!$B$2:$U$1001,20,FALSE)</f>
        <v>397207</v>
      </c>
      <c r="F312" s="5">
        <f>vlookup(B312,Filmes_final!$B$2:$U$1001,3,FALSE)</f>
        <v>1963</v>
      </c>
      <c r="G312" s="5" t="str">
        <f>vlookup(B312,Filmes_final!$B$2:$U$1001,13,FALSE)</f>
        <v>Akira Kurosawa</v>
      </c>
    </row>
    <row r="313">
      <c r="A313" s="5">
        <v>78.0</v>
      </c>
      <c r="B313" s="5" t="s">
        <v>595</v>
      </c>
      <c r="C313" s="5" t="s">
        <v>599</v>
      </c>
      <c r="D313" s="5" t="s">
        <v>6637</v>
      </c>
      <c r="E313" s="8">
        <f>vlookup(B313,Filmes_final!$B$2:$U$1001,20,FALSE)</f>
        <v>397207</v>
      </c>
      <c r="F313" s="5">
        <f>vlookup(B313,Filmes_final!$B$2:$U$1001,3,FALSE)</f>
        <v>1963</v>
      </c>
      <c r="G313" s="5" t="str">
        <f>vlookup(B313,Filmes_final!$B$2:$U$1001,13,FALSE)</f>
        <v>Akira Kurosawa</v>
      </c>
    </row>
    <row r="314">
      <c r="A314" s="5">
        <v>79.0</v>
      </c>
      <c r="B314" s="5" t="s">
        <v>600</v>
      </c>
      <c r="C314" s="5" t="s">
        <v>604</v>
      </c>
      <c r="D314" s="5" t="s">
        <v>6634</v>
      </c>
      <c r="E314" s="8">
        <f>vlookup(B314,Filmes_final!$B$2:$U$1001,20,FALSE)</f>
        <v>2303389</v>
      </c>
      <c r="F314" s="5">
        <f>vlookup(B314,Filmes_final!$B$2:$U$1001,3,FALSE)</f>
        <v>1964</v>
      </c>
      <c r="G314" s="5" t="str">
        <f>vlookup(B314,Filmes_final!$B$2:$U$1001,13,FALSE)</f>
        <v>Stanley Kubrick</v>
      </c>
    </row>
    <row r="315">
      <c r="A315" s="5">
        <v>79.0</v>
      </c>
      <c r="B315" s="5" t="s">
        <v>600</v>
      </c>
      <c r="C315" s="5" t="s">
        <v>605</v>
      </c>
      <c r="D315" s="5" t="s">
        <v>6635</v>
      </c>
      <c r="E315" s="8">
        <f>vlookup(B315,Filmes_final!$B$2:$U$1001,20,FALSE)</f>
        <v>2303389</v>
      </c>
      <c r="F315" s="5">
        <f>vlookup(B315,Filmes_final!$B$2:$U$1001,3,FALSE)</f>
        <v>1964</v>
      </c>
      <c r="G315" s="5" t="str">
        <f>vlookup(B315,Filmes_final!$B$2:$U$1001,13,FALSE)</f>
        <v>Stanley Kubrick</v>
      </c>
    </row>
    <row r="316">
      <c r="A316" s="5">
        <v>79.0</v>
      </c>
      <c r="B316" s="5" t="s">
        <v>600</v>
      </c>
      <c r="C316" s="5" t="s">
        <v>606</v>
      </c>
      <c r="D316" s="5" t="s">
        <v>6636</v>
      </c>
      <c r="E316" s="8">
        <f>vlookup(B316,Filmes_final!$B$2:$U$1001,20,FALSE)</f>
        <v>2303389</v>
      </c>
      <c r="F316" s="5">
        <f>vlookup(B316,Filmes_final!$B$2:$U$1001,3,FALSE)</f>
        <v>1964</v>
      </c>
      <c r="G316" s="5" t="str">
        <f>vlookup(B316,Filmes_final!$B$2:$U$1001,13,FALSE)</f>
        <v>Stanley Kubrick</v>
      </c>
    </row>
    <row r="317">
      <c r="A317" s="5">
        <v>79.0</v>
      </c>
      <c r="B317" s="5" t="s">
        <v>600</v>
      </c>
      <c r="C317" s="5" t="s">
        <v>607</v>
      </c>
      <c r="D317" s="5" t="s">
        <v>6637</v>
      </c>
      <c r="E317" s="8">
        <f>vlookup(B317,Filmes_final!$B$2:$U$1001,20,FALSE)</f>
        <v>2303389</v>
      </c>
      <c r="F317" s="5">
        <f>vlookup(B317,Filmes_final!$B$2:$U$1001,3,FALSE)</f>
        <v>1964</v>
      </c>
      <c r="G317" s="5" t="str">
        <f>vlookup(B317,Filmes_final!$B$2:$U$1001,13,FALSE)</f>
        <v>Stanley Kubrick</v>
      </c>
    </row>
    <row r="318">
      <c r="A318" s="5">
        <v>80.0</v>
      </c>
      <c r="B318" s="5" t="s">
        <v>608</v>
      </c>
      <c r="C318" s="5" t="s">
        <v>611</v>
      </c>
      <c r="D318" s="5" t="s">
        <v>6634</v>
      </c>
      <c r="E318" s="8">
        <f>vlookup(B318,Filmes_final!$B$2:$U$1001,20,FALSE)</f>
        <v>76409889</v>
      </c>
      <c r="F318" s="5">
        <f>vlookup(B318,Filmes_final!$B$2:$U$1001,3,FALSE)</f>
        <v>1957</v>
      </c>
      <c r="G318" s="5" t="str">
        <f>vlookup(B318,Filmes_final!$B$2:$U$1001,13,FALSE)</f>
        <v>Billy Wilder</v>
      </c>
    </row>
    <row r="319">
      <c r="A319" s="5">
        <v>80.0</v>
      </c>
      <c r="B319" s="5" t="s">
        <v>608</v>
      </c>
      <c r="C319" s="5" t="s">
        <v>612</v>
      </c>
      <c r="D319" s="5" t="s">
        <v>6635</v>
      </c>
      <c r="E319" s="8">
        <f>vlookup(B319,Filmes_final!$B$2:$U$1001,20,FALSE)</f>
        <v>76409889</v>
      </c>
      <c r="F319" s="5">
        <f>vlookup(B319,Filmes_final!$B$2:$U$1001,3,FALSE)</f>
        <v>1957</v>
      </c>
      <c r="G319" s="5" t="str">
        <f>vlookup(B319,Filmes_final!$B$2:$U$1001,13,FALSE)</f>
        <v>Billy Wilder</v>
      </c>
    </row>
    <row r="320">
      <c r="A320" s="5">
        <v>80.0</v>
      </c>
      <c r="B320" s="5" t="s">
        <v>608</v>
      </c>
      <c r="C320" s="5" t="s">
        <v>613</v>
      </c>
      <c r="D320" s="5" t="s">
        <v>6636</v>
      </c>
      <c r="E320" s="8">
        <f>vlookup(B320,Filmes_final!$B$2:$U$1001,20,FALSE)</f>
        <v>76409889</v>
      </c>
      <c r="F320" s="5">
        <f>vlookup(B320,Filmes_final!$B$2:$U$1001,3,FALSE)</f>
        <v>1957</v>
      </c>
      <c r="G320" s="5" t="str">
        <f>vlookup(B320,Filmes_final!$B$2:$U$1001,13,FALSE)</f>
        <v>Billy Wilder</v>
      </c>
    </row>
    <row r="321">
      <c r="A321" s="5">
        <v>80.0</v>
      </c>
      <c r="B321" s="5" t="s">
        <v>608</v>
      </c>
      <c r="C321" s="5" t="s">
        <v>614</v>
      </c>
      <c r="D321" s="5" t="s">
        <v>6637</v>
      </c>
      <c r="E321" s="8">
        <f>vlookup(B321,Filmes_final!$B$2:$U$1001,20,FALSE)</f>
        <v>76409889</v>
      </c>
      <c r="F321" s="5">
        <f>vlookup(B321,Filmes_final!$B$2:$U$1001,3,FALSE)</f>
        <v>1957</v>
      </c>
      <c r="G321" s="5" t="str">
        <f>vlookup(B321,Filmes_final!$B$2:$U$1001,13,FALSE)</f>
        <v>Billy Wilder</v>
      </c>
    </row>
    <row r="322">
      <c r="A322" s="5">
        <v>81.0</v>
      </c>
      <c r="B322" s="5" t="s">
        <v>615</v>
      </c>
      <c r="C322" s="5" t="s">
        <v>617</v>
      </c>
      <c r="D322" s="5" t="s">
        <v>6634</v>
      </c>
      <c r="E322" s="8">
        <f>vlookup(B322,Filmes_final!$B$2:$U$1001,20,FALSE)</f>
        <v>49089</v>
      </c>
      <c r="F322" s="5">
        <f>vlookup(B322,Filmes_final!$B$2:$U$1001,3,FALSE)</f>
        <v>1957</v>
      </c>
      <c r="G322" s="5" t="str">
        <f>vlookup(B322,Filmes_final!$B$2:$U$1001,13,FALSE)</f>
        <v>Stanley Kubrick</v>
      </c>
    </row>
    <row r="323">
      <c r="A323" s="5">
        <v>81.0</v>
      </c>
      <c r="B323" s="5" t="s">
        <v>615</v>
      </c>
      <c r="C323" s="5" t="s">
        <v>618</v>
      </c>
      <c r="D323" s="5" t="s">
        <v>6635</v>
      </c>
      <c r="E323" s="8">
        <f>vlookup(B323,Filmes_final!$B$2:$U$1001,20,FALSE)</f>
        <v>49089</v>
      </c>
      <c r="F323" s="5">
        <f>vlookup(B323,Filmes_final!$B$2:$U$1001,3,FALSE)</f>
        <v>1957</v>
      </c>
      <c r="G323" s="5" t="str">
        <f>vlookup(B323,Filmes_final!$B$2:$U$1001,13,FALSE)</f>
        <v>Stanley Kubrick</v>
      </c>
    </row>
    <row r="324">
      <c r="A324" s="5">
        <v>81.0</v>
      </c>
      <c r="B324" s="5" t="s">
        <v>615</v>
      </c>
      <c r="C324" s="5" t="s">
        <v>619</v>
      </c>
      <c r="D324" s="5" t="s">
        <v>6636</v>
      </c>
      <c r="E324" s="8">
        <f>vlookup(B324,Filmes_final!$B$2:$U$1001,20,FALSE)</f>
        <v>49089</v>
      </c>
      <c r="F324" s="5">
        <f>vlookup(B324,Filmes_final!$B$2:$U$1001,3,FALSE)</f>
        <v>1957</v>
      </c>
      <c r="G324" s="5" t="str">
        <f>vlookup(B324,Filmes_final!$B$2:$U$1001,13,FALSE)</f>
        <v>Stanley Kubrick</v>
      </c>
    </row>
    <row r="325">
      <c r="A325" s="5">
        <v>81.0</v>
      </c>
      <c r="B325" s="5" t="s">
        <v>615</v>
      </c>
      <c r="C325" s="5" t="s">
        <v>620</v>
      </c>
      <c r="D325" s="5" t="s">
        <v>6637</v>
      </c>
      <c r="E325" s="8">
        <f>vlookup(B325,Filmes_final!$B$2:$U$1001,20,FALSE)</f>
        <v>49089</v>
      </c>
      <c r="F325" s="5">
        <f>vlookup(B325,Filmes_final!$B$2:$U$1001,3,FALSE)</f>
        <v>1957</v>
      </c>
      <c r="G325" s="5" t="str">
        <f>vlookup(B325,Filmes_final!$B$2:$U$1001,13,FALSE)</f>
        <v>Stanley Kubrick</v>
      </c>
    </row>
    <row r="326">
      <c r="A326" s="5">
        <v>82.0</v>
      </c>
      <c r="B326" s="5" t="s">
        <v>621</v>
      </c>
      <c r="C326" s="5" t="s">
        <v>274</v>
      </c>
      <c r="D326" s="5" t="s">
        <v>6634</v>
      </c>
      <c r="E326" s="8">
        <f>vlookup(B326,Filmes_final!$B$2:$U$1001,20,FALSE)</f>
        <v>352569762</v>
      </c>
      <c r="F326" s="5">
        <f>vlookup(B326,Filmes_final!$B$2:$U$1001,3,FALSE)</f>
        <v>1954</v>
      </c>
      <c r="G326" s="5" t="str">
        <f>vlookup(B326,Filmes_final!$B$2:$U$1001,13,FALSE)</f>
        <v>Alfred Hitchcock</v>
      </c>
    </row>
    <row r="327">
      <c r="A327" s="5">
        <v>82.0</v>
      </c>
      <c r="B327" s="5" t="s">
        <v>621</v>
      </c>
      <c r="C327" s="5" t="s">
        <v>623</v>
      </c>
      <c r="D327" s="5" t="s">
        <v>6635</v>
      </c>
      <c r="E327" s="8">
        <f>vlookup(B327,Filmes_final!$B$2:$U$1001,20,FALSE)</f>
        <v>352569762</v>
      </c>
      <c r="F327" s="5">
        <f>vlookup(B327,Filmes_final!$B$2:$U$1001,3,FALSE)</f>
        <v>1954</v>
      </c>
      <c r="G327" s="5" t="str">
        <f>vlookup(B327,Filmes_final!$B$2:$U$1001,13,FALSE)</f>
        <v>Alfred Hitchcock</v>
      </c>
    </row>
    <row r="328">
      <c r="A328" s="5">
        <v>82.0</v>
      </c>
      <c r="B328" s="5" t="s">
        <v>621</v>
      </c>
      <c r="C328" s="5" t="s">
        <v>624</v>
      </c>
      <c r="D328" s="5" t="s">
        <v>6636</v>
      </c>
      <c r="E328" s="8">
        <f>vlookup(B328,Filmes_final!$B$2:$U$1001,20,FALSE)</f>
        <v>352569762</v>
      </c>
      <c r="F328" s="5">
        <f>vlookup(B328,Filmes_final!$B$2:$U$1001,3,FALSE)</f>
        <v>1954</v>
      </c>
      <c r="G328" s="5" t="str">
        <f>vlookup(B328,Filmes_final!$B$2:$U$1001,13,FALSE)</f>
        <v>Alfred Hitchcock</v>
      </c>
    </row>
    <row r="329">
      <c r="A329" s="5">
        <v>82.0</v>
      </c>
      <c r="B329" s="5" t="s">
        <v>621</v>
      </c>
      <c r="C329" s="5" t="s">
        <v>625</v>
      </c>
      <c r="D329" s="5" t="s">
        <v>6637</v>
      </c>
      <c r="E329" s="8">
        <f>vlookup(B329,Filmes_final!$B$2:$U$1001,20,FALSE)</f>
        <v>352569762</v>
      </c>
      <c r="F329" s="5">
        <f>vlookup(B329,Filmes_final!$B$2:$U$1001,3,FALSE)</f>
        <v>1954</v>
      </c>
      <c r="G329" s="5" t="str">
        <f>vlookup(B329,Filmes_final!$B$2:$U$1001,13,FALSE)</f>
        <v>Alfred Hitchcock</v>
      </c>
    </row>
    <row r="330">
      <c r="A330" s="5">
        <v>83.0</v>
      </c>
      <c r="B330" s="5" t="s">
        <v>626</v>
      </c>
      <c r="C330" s="5" t="s">
        <v>630</v>
      </c>
      <c r="D330" s="5" t="s">
        <v>6634</v>
      </c>
      <c r="E330" s="8">
        <f>vlookup(B330,Filmes_final!$B$2:$U$1001,20,FALSE)</f>
        <v>3289350</v>
      </c>
      <c r="F330" s="5">
        <f>vlookup(B330,Filmes_final!$B$2:$U$1001,3,FALSE)</f>
        <v>1950</v>
      </c>
      <c r="G330" s="5" t="str">
        <f>vlookup(B330,Filmes_final!$B$2:$U$1001,13,FALSE)</f>
        <v>Billy Wilder</v>
      </c>
    </row>
    <row r="331">
      <c r="A331" s="5">
        <v>83.0</v>
      </c>
      <c r="B331" s="5" t="s">
        <v>626</v>
      </c>
      <c r="C331" s="5" t="s">
        <v>631</v>
      </c>
      <c r="D331" s="5" t="s">
        <v>6635</v>
      </c>
      <c r="E331" s="8">
        <f>vlookup(B331,Filmes_final!$B$2:$U$1001,20,FALSE)</f>
        <v>3289350</v>
      </c>
      <c r="F331" s="5">
        <f>vlookup(B331,Filmes_final!$B$2:$U$1001,3,FALSE)</f>
        <v>1950</v>
      </c>
      <c r="G331" s="5" t="str">
        <f>vlookup(B331,Filmes_final!$B$2:$U$1001,13,FALSE)</f>
        <v>Billy Wilder</v>
      </c>
    </row>
    <row r="332">
      <c r="A332" s="5">
        <v>83.0</v>
      </c>
      <c r="B332" s="5" t="s">
        <v>626</v>
      </c>
      <c r="C332" s="5" t="s">
        <v>632</v>
      </c>
      <c r="D332" s="5" t="s">
        <v>6636</v>
      </c>
      <c r="E332" s="8">
        <f>vlookup(B332,Filmes_final!$B$2:$U$1001,20,FALSE)</f>
        <v>3289350</v>
      </c>
      <c r="F332" s="5">
        <f>vlookup(B332,Filmes_final!$B$2:$U$1001,3,FALSE)</f>
        <v>1950</v>
      </c>
      <c r="G332" s="5" t="str">
        <f>vlookup(B332,Filmes_final!$B$2:$U$1001,13,FALSE)</f>
        <v>Billy Wilder</v>
      </c>
    </row>
    <row r="333">
      <c r="A333" s="5">
        <v>83.0</v>
      </c>
      <c r="B333" s="5" t="s">
        <v>626</v>
      </c>
      <c r="C333" s="5" t="s">
        <v>633</v>
      </c>
      <c r="D333" s="5" t="s">
        <v>6637</v>
      </c>
      <c r="E333" s="8">
        <f>vlookup(B333,Filmes_final!$B$2:$U$1001,20,FALSE)</f>
        <v>3289350</v>
      </c>
      <c r="F333" s="5">
        <f>vlookup(B333,Filmes_final!$B$2:$U$1001,3,FALSE)</f>
        <v>1950</v>
      </c>
      <c r="G333" s="5" t="str">
        <f>vlookup(B333,Filmes_final!$B$2:$U$1001,13,FALSE)</f>
        <v>Billy Wilder</v>
      </c>
    </row>
    <row r="334">
      <c r="A334" s="5">
        <v>84.0</v>
      </c>
      <c r="B334" s="5" t="s">
        <v>634</v>
      </c>
      <c r="C334" s="5" t="s">
        <v>418</v>
      </c>
      <c r="D334" s="5" t="s">
        <v>6634</v>
      </c>
      <c r="E334" s="8">
        <f>vlookup(B334,Filmes_final!$B$2:$U$1001,20,FALSE)</f>
        <v>5353826</v>
      </c>
      <c r="F334" s="5">
        <f>vlookup(B334,Filmes_final!$B$2:$U$1001,3,FALSE)</f>
        <v>1940</v>
      </c>
      <c r="G334" s="5" t="str">
        <f>vlookup(B334,Filmes_final!$B$2:$U$1001,13,FALSE)</f>
        <v>Charles Chaplin</v>
      </c>
    </row>
    <row r="335">
      <c r="A335" s="5">
        <v>84.0</v>
      </c>
      <c r="B335" s="5" t="s">
        <v>634</v>
      </c>
      <c r="C335" s="5" t="s">
        <v>419</v>
      </c>
      <c r="D335" s="5" t="s">
        <v>6635</v>
      </c>
      <c r="E335" s="8">
        <f>vlookup(B335,Filmes_final!$B$2:$U$1001,20,FALSE)</f>
        <v>5353826</v>
      </c>
      <c r="F335" s="5">
        <f>vlookup(B335,Filmes_final!$B$2:$U$1001,3,FALSE)</f>
        <v>1940</v>
      </c>
      <c r="G335" s="5" t="str">
        <f>vlookup(B335,Filmes_final!$B$2:$U$1001,13,FALSE)</f>
        <v>Charles Chaplin</v>
      </c>
    </row>
    <row r="336">
      <c r="A336" s="5">
        <v>84.0</v>
      </c>
      <c r="B336" s="5" t="s">
        <v>634</v>
      </c>
      <c r="C336" s="5" t="s">
        <v>637</v>
      </c>
      <c r="D336" s="5" t="s">
        <v>6636</v>
      </c>
      <c r="E336" s="8">
        <f>vlookup(B336,Filmes_final!$B$2:$U$1001,20,FALSE)</f>
        <v>5353826</v>
      </c>
      <c r="F336" s="5">
        <f>vlookup(B336,Filmes_final!$B$2:$U$1001,3,FALSE)</f>
        <v>1940</v>
      </c>
      <c r="G336" s="5" t="str">
        <f>vlookup(B336,Filmes_final!$B$2:$U$1001,13,FALSE)</f>
        <v>Charles Chaplin</v>
      </c>
    </row>
    <row r="337">
      <c r="A337" s="5">
        <v>84.0</v>
      </c>
      <c r="B337" s="5" t="s">
        <v>634</v>
      </c>
      <c r="C337" s="5" t="s">
        <v>638</v>
      </c>
      <c r="D337" s="5" t="s">
        <v>6637</v>
      </c>
      <c r="E337" s="8">
        <f>vlookup(B337,Filmes_final!$B$2:$U$1001,20,FALSE)</f>
        <v>5353826</v>
      </c>
      <c r="F337" s="5">
        <f>vlookup(B337,Filmes_final!$B$2:$U$1001,3,FALSE)</f>
        <v>1940</v>
      </c>
      <c r="G337" s="5" t="str">
        <f>vlookup(B337,Filmes_final!$B$2:$U$1001,13,FALSE)</f>
        <v>Charles Chaplin</v>
      </c>
    </row>
    <row r="338">
      <c r="A338" s="5">
        <v>85.0</v>
      </c>
      <c r="B338" s="5">
        <v>1917.0</v>
      </c>
      <c r="C338" s="5" t="s">
        <v>642</v>
      </c>
      <c r="D338" s="5" t="s">
        <v>6634</v>
      </c>
      <c r="E338" s="8">
        <f>vlookup(B338,Filmes_final!$B$2:$U$1001,20,FALSE)</f>
        <v>163186954</v>
      </c>
      <c r="F338" s="5">
        <f>vlookup(B338,Filmes_final!$B$2:$U$1001,3,FALSE)</f>
        <v>2019</v>
      </c>
      <c r="G338" s="5" t="str">
        <f>vlookup(B338,Filmes_final!$B$2:$U$1001,13,FALSE)</f>
        <v>Sam Mendes</v>
      </c>
    </row>
    <row r="339">
      <c r="A339" s="5">
        <v>85.0</v>
      </c>
      <c r="B339" s="5">
        <v>1917.0</v>
      </c>
      <c r="C339" s="5" t="s">
        <v>643</v>
      </c>
      <c r="D339" s="5" t="s">
        <v>6635</v>
      </c>
      <c r="E339" s="8">
        <f>vlookup(B339,Filmes_final!$B$2:$U$1001,20,FALSE)</f>
        <v>163186954</v>
      </c>
      <c r="F339" s="5">
        <f>vlookup(B339,Filmes_final!$B$2:$U$1001,3,FALSE)</f>
        <v>2019</v>
      </c>
      <c r="G339" s="5" t="str">
        <f>vlookup(B339,Filmes_final!$B$2:$U$1001,13,FALSE)</f>
        <v>Sam Mendes</v>
      </c>
    </row>
    <row r="340">
      <c r="A340" s="5">
        <v>85.0</v>
      </c>
      <c r="B340" s="5">
        <v>1917.0</v>
      </c>
      <c r="C340" s="5" t="s">
        <v>644</v>
      </c>
      <c r="D340" s="5" t="s">
        <v>6636</v>
      </c>
      <c r="E340" s="8">
        <f>vlookup(B340,Filmes_final!$B$2:$U$1001,20,FALSE)</f>
        <v>163186954</v>
      </c>
      <c r="F340" s="5">
        <f>vlookup(B340,Filmes_final!$B$2:$U$1001,3,FALSE)</f>
        <v>2019</v>
      </c>
      <c r="G340" s="5" t="str">
        <f>vlookup(B340,Filmes_final!$B$2:$U$1001,13,FALSE)</f>
        <v>Sam Mendes</v>
      </c>
    </row>
    <row r="341">
      <c r="A341" s="5">
        <v>85.0</v>
      </c>
      <c r="B341" s="5">
        <v>1917.0</v>
      </c>
      <c r="C341" s="5" t="s">
        <v>645</v>
      </c>
      <c r="D341" s="5" t="s">
        <v>6637</v>
      </c>
      <c r="E341" s="8">
        <f>vlookup(B341,Filmes_final!$B$2:$U$1001,20,FALSE)</f>
        <v>163186954</v>
      </c>
      <c r="F341" s="5">
        <f>vlookup(B341,Filmes_final!$B$2:$U$1001,3,FALSE)</f>
        <v>2019</v>
      </c>
      <c r="G341" s="5" t="str">
        <f>vlookup(B341,Filmes_final!$B$2:$U$1001,13,FALSE)</f>
        <v>Sam Mendes</v>
      </c>
    </row>
    <row r="342">
      <c r="A342" s="5">
        <v>86.0</v>
      </c>
      <c r="B342" s="5" t="s">
        <v>646</v>
      </c>
      <c r="C342" s="5" t="s">
        <v>651</v>
      </c>
      <c r="D342" s="5" t="s">
        <v>6634</v>
      </c>
      <c r="E342" s="8">
        <f>vlookup(B342,Filmes_final!$B$2:$U$1001,20,FALSE)</f>
        <v>1760952</v>
      </c>
      <c r="F342" s="5">
        <f>vlookup(B342,Filmes_final!$B$2:$U$1001,3,FALSE)</f>
        <v>2018</v>
      </c>
      <c r="G342" s="5" t="str">
        <f>vlookup(B342,Filmes_final!$B$2:$U$1001,13,FALSE)</f>
        <v>Rahi Anil Barve</v>
      </c>
    </row>
    <row r="343">
      <c r="A343" s="5">
        <v>86.0</v>
      </c>
      <c r="B343" s="5" t="s">
        <v>646</v>
      </c>
      <c r="C343" s="5" t="s">
        <v>652</v>
      </c>
      <c r="D343" s="5" t="s">
        <v>6635</v>
      </c>
      <c r="E343" s="8">
        <f>vlookup(B343,Filmes_final!$B$2:$U$1001,20,FALSE)</f>
        <v>1760952</v>
      </c>
      <c r="F343" s="5">
        <f>vlookup(B343,Filmes_final!$B$2:$U$1001,3,FALSE)</f>
        <v>2018</v>
      </c>
      <c r="G343" s="5" t="str">
        <f>vlookup(B343,Filmes_final!$B$2:$U$1001,13,FALSE)</f>
        <v>Rahi Anil Barve</v>
      </c>
    </row>
    <row r="344">
      <c r="A344" s="5">
        <v>86.0</v>
      </c>
      <c r="B344" s="5" t="s">
        <v>646</v>
      </c>
      <c r="C344" s="5" t="s">
        <v>653</v>
      </c>
      <c r="D344" s="5" t="s">
        <v>6636</v>
      </c>
      <c r="E344" s="8">
        <f>vlookup(B344,Filmes_final!$B$2:$U$1001,20,FALSE)</f>
        <v>1760952</v>
      </c>
      <c r="F344" s="5">
        <f>vlookup(B344,Filmes_final!$B$2:$U$1001,3,FALSE)</f>
        <v>2018</v>
      </c>
      <c r="G344" s="5" t="str">
        <f>vlookup(B344,Filmes_final!$B$2:$U$1001,13,FALSE)</f>
        <v>Rahi Anil Barve</v>
      </c>
    </row>
    <row r="345">
      <c r="A345" s="5">
        <v>86.0</v>
      </c>
      <c r="B345" s="5" t="s">
        <v>646</v>
      </c>
      <c r="C345" s="5" t="s">
        <v>654</v>
      </c>
      <c r="D345" s="5" t="s">
        <v>6637</v>
      </c>
      <c r="E345" s="8">
        <f>vlookup(B345,Filmes_final!$B$2:$U$1001,20,FALSE)</f>
        <v>1760952</v>
      </c>
      <c r="F345" s="5">
        <f>vlookup(B345,Filmes_final!$B$2:$U$1001,3,FALSE)</f>
        <v>2018</v>
      </c>
      <c r="G345" s="5" t="str">
        <f>vlookup(B345,Filmes_final!$B$2:$U$1001,13,FALSE)</f>
        <v>Rahi Anil Barve</v>
      </c>
    </row>
    <row r="346">
      <c r="A346" s="5">
        <v>87.0</v>
      </c>
      <c r="B346" s="5" t="s">
        <v>655</v>
      </c>
      <c r="C346" s="5" t="s">
        <v>659</v>
      </c>
      <c r="D346" s="5" t="s">
        <v>6634</v>
      </c>
      <c r="E346" s="8">
        <f>vlookup(B346,Filmes_final!$B$2:$U$1001,20,FALSE)</f>
        <v>1429950</v>
      </c>
      <c r="F346" s="5">
        <f>vlookup(B346,Filmes_final!$B$2:$U$1001,3,FALSE)</f>
        <v>2018</v>
      </c>
      <c r="G346" s="5" t="str">
        <f>vlookup(B346,Filmes_final!$B$2:$U$1001,13,FALSE)</f>
        <v>Sriram Raghavan</v>
      </c>
    </row>
    <row r="347">
      <c r="A347" s="5">
        <v>87.0</v>
      </c>
      <c r="B347" s="5" t="s">
        <v>655</v>
      </c>
      <c r="C347" s="5" t="s">
        <v>660</v>
      </c>
      <c r="D347" s="5" t="s">
        <v>6635</v>
      </c>
      <c r="E347" s="8">
        <f>vlookup(B347,Filmes_final!$B$2:$U$1001,20,FALSE)</f>
        <v>1429950</v>
      </c>
      <c r="F347" s="5">
        <f>vlookup(B347,Filmes_final!$B$2:$U$1001,3,FALSE)</f>
        <v>2018</v>
      </c>
      <c r="G347" s="5" t="str">
        <f>vlookup(B347,Filmes_final!$B$2:$U$1001,13,FALSE)</f>
        <v>Sriram Raghavan</v>
      </c>
    </row>
    <row r="348">
      <c r="A348" s="5">
        <v>87.0</v>
      </c>
      <c r="B348" s="5" t="s">
        <v>655</v>
      </c>
      <c r="C348" s="5" t="s">
        <v>661</v>
      </c>
      <c r="D348" s="5" t="s">
        <v>6636</v>
      </c>
      <c r="E348" s="8">
        <f>vlookup(B348,Filmes_final!$B$2:$U$1001,20,FALSE)</f>
        <v>1429950</v>
      </c>
      <c r="F348" s="5">
        <f>vlookup(B348,Filmes_final!$B$2:$U$1001,3,FALSE)</f>
        <v>2018</v>
      </c>
      <c r="G348" s="5" t="str">
        <f>vlookup(B348,Filmes_final!$B$2:$U$1001,13,FALSE)</f>
        <v>Sriram Raghavan</v>
      </c>
    </row>
    <row r="349">
      <c r="A349" s="5">
        <v>87.0</v>
      </c>
      <c r="B349" s="5" t="s">
        <v>655</v>
      </c>
      <c r="C349" s="5" t="s">
        <v>662</v>
      </c>
      <c r="D349" s="5" t="s">
        <v>6637</v>
      </c>
      <c r="E349" s="8">
        <f>vlookup(B349,Filmes_final!$B$2:$U$1001,20,FALSE)</f>
        <v>1429950</v>
      </c>
      <c r="F349" s="5">
        <f>vlookup(B349,Filmes_final!$B$2:$U$1001,3,FALSE)</f>
        <v>2018</v>
      </c>
      <c r="G349" s="5" t="str">
        <f>vlookup(B349,Filmes_final!$B$2:$U$1001,13,FALSE)</f>
        <v>Sriram Raghavan</v>
      </c>
    </row>
    <row r="350">
      <c r="A350" s="5">
        <v>88.0</v>
      </c>
      <c r="B350" s="5" t="s">
        <v>663</v>
      </c>
      <c r="C350" s="5" t="s">
        <v>666</v>
      </c>
      <c r="D350" s="5" t="s">
        <v>6634</v>
      </c>
      <c r="E350" s="8">
        <f>vlookup(B350,Filmes_final!$B$2:$U$1001,20,FALSE)</f>
        <v>4303</v>
      </c>
      <c r="F350" s="5">
        <f>vlookup(B350,Filmes_final!$B$2:$U$1001,3,FALSE)</f>
        <v>2013</v>
      </c>
      <c r="G350" s="5" t="str">
        <f>vlookup(B350,Filmes_final!$B$2:$U$1001,13,FALSE)</f>
        <v>Jeethu Joseph</v>
      </c>
    </row>
    <row r="351">
      <c r="A351" s="5">
        <v>88.0</v>
      </c>
      <c r="B351" s="5" t="s">
        <v>663</v>
      </c>
      <c r="C351" s="5" t="s">
        <v>667</v>
      </c>
      <c r="D351" s="5" t="s">
        <v>6635</v>
      </c>
      <c r="E351" s="8">
        <f>vlookup(B351,Filmes_final!$B$2:$U$1001,20,FALSE)</f>
        <v>4303</v>
      </c>
      <c r="F351" s="5">
        <f>vlookup(B351,Filmes_final!$B$2:$U$1001,3,FALSE)</f>
        <v>2013</v>
      </c>
      <c r="G351" s="5" t="str">
        <f>vlookup(B351,Filmes_final!$B$2:$U$1001,13,FALSE)</f>
        <v>Jeethu Joseph</v>
      </c>
    </row>
    <row r="352">
      <c r="A352" s="5">
        <v>88.0</v>
      </c>
      <c r="B352" s="5" t="s">
        <v>663</v>
      </c>
      <c r="C352" s="5" t="s">
        <v>668</v>
      </c>
      <c r="D352" s="5" t="s">
        <v>6636</v>
      </c>
      <c r="E352" s="8">
        <f>vlookup(B352,Filmes_final!$B$2:$U$1001,20,FALSE)</f>
        <v>4303</v>
      </c>
      <c r="F352" s="5">
        <f>vlookup(B352,Filmes_final!$B$2:$U$1001,3,FALSE)</f>
        <v>2013</v>
      </c>
      <c r="G352" s="5" t="str">
        <f>vlookup(B352,Filmes_final!$B$2:$U$1001,13,FALSE)</f>
        <v>Jeethu Joseph</v>
      </c>
    </row>
    <row r="353">
      <c r="A353" s="5">
        <v>88.0</v>
      </c>
      <c r="B353" s="5" t="s">
        <v>663</v>
      </c>
      <c r="C353" s="5" t="s">
        <v>669</v>
      </c>
      <c r="D353" s="5" t="s">
        <v>6637</v>
      </c>
      <c r="E353" s="8">
        <f>vlookup(B353,Filmes_final!$B$2:$U$1001,20,FALSE)</f>
        <v>4303</v>
      </c>
      <c r="F353" s="5">
        <f>vlookup(B353,Filmes_final!$B$2:$U$1001,3,FALSE)</f>
        <v>2013</v>
      </c>
      <c r="G353" s="5" t="str">
        <f>vlookup(B353,Filmes_final!$B$2:$U$1001,13,FALSE)</f>
        <v>Jeethu Joseph</v>
      </c>
    </row>
    <row r="354">
      <c r="A354" s="5">
        <v>89.0</v>
      </c>
      <c r="B354" s="5" t="s">
        <v>670</v>
      </c>
      <c r="C354" s="5" t="s">
        <v>673</v>
      </c>
      <c r="D354" s="5" t="s">
        <v>6634</v>
      </c>
      <c r="E354" s="8">
        <f>vlookup(B354,Filmes_final!$B$2:$U$1001,20,FALSE)</f>
        <v>782096</v>
      </c>
      <c r="F354" s="5">
        <f>vlookup(B354,Filmes_final!$B$2:$U$1001,3,FALSE)</f>
        <v>2012</v>
      </c>
      <c r="G354" s="5" t="str">
        <f>vlookup(B354,Filmes_final!$B$2:$U$1001,13,FALSE)</f>
        <v>Thomas Vinterberg</v>
      </c>
    </row>
    <row r="355">
      <c r="A355" s="5">
        <v>89.0</v>
      </c>
      <c r="B355" s="5" t="s">
        <v>670</v>
      </c>
      <c r="C355" s="5" t="s">
        <v>674</v>
      </c>
      <c r="D355" s="5" t="s">
        <v>6635</v>
      </c>
      <c r="E355" s="8">
        <f>vlookup(B355,Filmes_final!$B$2:$U$1001,20,FALSE)</f>
        <v>782096</v>
      </c>
      <c r="F355" s="5">
        <f>vlookup(B355,Filmes_final!$B$2:$U$1001,3,FALSE)</f>
        <v>2012</v>
      </c>
      <c r="G355" s="5" t="str">
        <f>vlookup(B355,Filmes_final!$B$2:$U$1001,13,FALSE)</f>
        <v>Thomas Vinterberg</v>
      </c>
    </row>
    <row r="356">
      <c r="A356" s="5">
        <v>89.0</v>
      </c>
      <c r="B356" s="5" t="s">
        <v>670</v>
      </c>
      <c r="C356" s="5" t="s">
        <v>675</v>
      </c>
      <c r="D356" s="5" t="s">
        <v>6636</v>
      </c>
      <c r="E356" s="8">
        <f>vlookup(B356,Filmes_final!$B$2:$U$1001,20,FALSE)</f>
        <v>782096</v>
      </c>
      <c r="F356" s="5">
        <f>vlookup(B356,Filmes_final!$B$2:$U$1001,3,FALSE)</f>
        <v>2012</v>
      </c>
      <c r="G356" s="5" t="str">
        <f>vlookup(B356,Filmes_final!$B$2:$U$1001,13,FALSE)</f>
        <v>Thomas Vinterberg</v>
      </c>
    </row>
    <row r="357">
      <c r="A357" s="5">
        <v>89.0</v>
      </c>
      <c r="B357" s="5" t="s">
        <v>670</v>
      </c>
      <c r="C357" s="5" t="s">
        <v>676</v>
      </c>
      <c r="D357" s="5" t="s">
        <v>6637</v>
      </c>
      <c r="E357" s="8">
        <f>vlookup(B357,Filmes_final!$B$2:$U$1001,20,FALSE)</f>
        <v>782096</v>
      </c>
      <c r="F357" s="5">
        <f>vlookup(B357,Filmes_final!$B$2:$U$1001,3,FALSE)</f>
        <v>2012</v>
      </c>
      <c r="G357" s="5" t="str">
        <f>vlookup(B357,Filmes_final!$B$2:$U$1001,13,FALSE)</f>
        <v>Thomas Vinterberg</v>
      </c>
    </row>
    <row r="358">
      <c r="A358" s="5">
        <v>90.0</v>
      </c>
      <c r="B358" s="5" t="s">
        <v>677</v>
      </c>
      <c r="C358" s="5" t="s">
        <v>681</v>
      </c>
      <c r="D358" s="5" t="s">
        <v>6634</v>
      </c>
      <c r="E358" s="8">
        <f>vlookup(B358,Filmes_final!$B$2:$U$1001,20,FALSE)</f>
        <v>8315231</v>
      </c>
      <c r="F358" s="5">
        <f>vlookup(B358,Filmes_final!$B$2:$U$1001,3,FALSE)</f>
        <v>2011</v>
      </c>
      <c r="G358" s="5" t="str">
        <f>vlookup(B358,Filmes_final!$B$2:$U$1001,13,FALSE)</f>
        <v>Asghar Farhadi</v>
      </c>
    </row>
    <row r="359">
      <c r="A359" s="5">
        <v>90.0</v>
      </c>
      <c r="B359" s="5" t="s">
        <v>677</v>
      </c>
      <c r="C359" s="5" t="s">
        <v>682</v>
      </c>
      <c r="D359" s="5" t="s">
        <v>6635</v>
      </c>
      <c r="E359" s="8">
        <f>vlookup(B359,Filmes_final!$B$2:$U$1001,20,FALSE)</f>
        <v>8315231</v>
      </c>
      <c r="F359" s="5">
        <f>vlookup(B359,Filmes_final!$B$2:$U$1001,3,FALSE)</f>
        <v>2011</v>
      </c>
      <c r="G359" s="5" t="str">
        <f>vlookup(B359,Filmes_final!$B$2:$U$1001,13,FALSE)</f>
        <v>Asghar Farhadi</v>
      </c>
    </row>
    <row r="360">
      <c r="A360" s="5">
        <v>90.0</v>
      </c>
      <c r="B360" s="5" t="s">
        <v>677</v>
      </c>
      <c r="C360" s="5" t="s">
        <v>683</v>
      </c>
      <c r="D360" s="5" t="s">
        <v>6636</v>
      </c>
      <c r="E360" s="8">
        <f>vlookup(B360,Filmes_final!$B$2:$U$1001,20,FALSE)</f>
        <v>8315231</v>
      </c>
      <c r="F360" s="5">
        <f>vlookup(B360,Filmes_final!$B$2:$U$1001,3,FALSE)</f>
        <v>2011</v>
      </c>
      <c r="G360" s="5" t="str">
        <f>vlookup(B360,Filmes_final!$B$2:$U$1001,13,FALSE)</f>
        <v>Asghar Farhadi</v>
      </c>
    </row>
    <row r="361">
      <c r="A361" s="5">
        <v>90.0</v>
      </c>
      <c r="B361" s="5" t="s">
        <v>677</v>
      </c>
      <c r="C361" s="5" t="s">
        <v>684</v>
      </c>
      <c r="D361" s="5" t="s">
        <v>6637</v>
      </c>
      <c r="E361" s="8">
        <f>vlookup(B361,Filmes_final!$B$2:$U$1001,20,FALSE)</f>
        <v>8315231</v>
      </c>
      <c r="F361" s="5">
        <f>vlookup(B361,Filmes_final!$B$2:$U$1001,3,FALSE)</f>
        <v>2011</v>
      </c>
      <c r="G361" s="5" t="str">
        <f>vlookup(B361,Filmes_final!$B$2:$U$1001,13,FALSE)</f>
        <v>Asghar Farhadi</v>
      </c>
    </row>
    <row r="362">
      <c r="A362" s="5">
        <v>91.0</v>
      </c>
      <c r="B362" s="5" t="s">
        <v>685</v>
      </c>
      <c r="C362" s="5" t="s">
        <v>689</v>
      </c>
      <c r="D362" s="5" t="s">
        <v>6634</v>
      </c>
      <c r="E362" s="8">
        <f>vlookup(B362,Filmes_final!$B$2:$U$1001,20,FALSE)</f>
        <v>8163535</v>
      </c>
      <c r="F362" s="5">
        <f>vlookup(B362,Filmes_final!$B$2:$U$1001,3,FALSE)</f>
        <v>2010</v>
      </c>
      <c r="G362" s="5" t="str">
        <f>vlookup(B362,Filmes_final!$B$2:$U$1001,13,FALSE)</f>
        <v>Denis Villeneuve</v>
      </c>
    </row>
    <row r="363">
      <c r="A363" s="5">
        <v>91.0</v>
      </c>
      <c r="B363" s="5" t="s">
        <v>685</v>
      </c>
      <c r="C363" s="5" t="s">
        <v>690</v>
      </c>
      <c r="D363" s="5" t="s">
        <v>6635</v>
      </c>
      <c r="E363" s="8">
        <f>vlookup(B363,Filmes_final!$B$2:$U$1001,20,FALSE)</f>
        <v>8163535</v>
      </c>
      <c r="F363" s="5">
        <f>vlookup(B363,Filmes_final!$B$2:$U$1001,3,FALSE)</f>
        <v>2010</v>
      </c>
      <c r="G363" s="5" t="str">
        <f>vlookup(B363,Filmes_final!$B$2:$U$1001,13,FALSE)</f>
        <v>Denis Villeneuve</v>
      </c>
    </row>
    <row r="364">
      <c r="A364" s="5">
        <v>91.0</v>
      </c>
      <c r="B364" s="5" t="s">
        <v>685</v>
      </c>
      <c r="C364" s="5" t="s">
        <v>691</v>
      </c>
      <c r="D364" s="5" t="s">
        <v>6636</v>
      </c>
      <c r="E364" s="8">
        <f>vlookup(B364,Filmes_final!$B$2:$U$1001,20,FALSE)</f>
        <v>8163535</v>
      </c>
      <c r="F364" s="5">
        <f>vlookup(B364,Filmes_final!$B$2:$U$1001,3,FALSE)</f>
        <v>2010</v>
      </c>
      <c r="G364" s="5" t="str">
        <f>vlookup(B364,Filmes_final!$B$2:$U$1001,13,FALSE)</f>
        <v>Denis Villeneuve</v>
      </c>
    </row>
    <row r="365">
      <c r="A365" s="5">
        <v>91.0</v>
      </c>
      <c r="B365" s="5" t="s">
        <v>685</v>
      </c>
      <c r="C365" s="5" t="s">
        <v>692</v>
      </c>
      <c r="D365" s="5" t="s">
        <v>6637</v>
      </c>
      <c r="E365" s="8">
        <f>vlookup(B365,Filmes_final!$B$2:$U$1001,20,FALSE)</f>
        <v>8163535</v>
      </c>
      <c r="F365" s="5">
        <f>vlookup(B365,Filmes_final!$B$2:$U$1001,3,FALSE)</f>
        <v>2010</v>
      </c>
      <c r="G365" s="5" t="str">
        <f>vlookup(B365,Filmes_final!$B$2:$U$1001,13,FALSE)</f>
        <v>Denis Villeneuve</v>
      </c>
    </row>
    <row r="366">
      <c r="A366" s="5">
        <v>92.0</v>
      </c>
      <c r="B366" s="5" t="s">
        <v>693</v>
      </c>
      <c r="C366" s="5" t="s">
        <v>697</v>
      </c>
      <c r="D366" s="5" t="s">
        <v>6634</v>
      </c>
      <c r="E366" s="8">
        <f>vlookup(B366,Filmes_final!$B$2:$U$1001,20,FALSE)</f>
        <v>17590447</v>
      </c>
      <c r="F366" s="5">
        <f>vlookup(B366,Filmes_final!$B$2:$U$1001,3,FALSE)</f>
        <v>2019</v>
      </c>
      <c r="G366" s="5" t="str">
        <f>vlookup(B366,Filmes_final!$B$2:$U$1001,13,FALSE)</f>
        <v>Mehmet Ada Öztekin</v>
      </c>
    </row>
    <row r="367">
      <c r="A367" s="5">
        <v>92.0</v>
      </c>
      <c r="B367" s="5" t="s">
        <v>693</v>
      </c>
      <c r="C367" s="5" t="s">
        <v>698</v>
      </c>
      <c r="D367" s="5" t="s">
        <v>6635</v>
      </c>
      <c r="E367" s="8">
        <f>vlookup(B367,Filmes_final!$B$2:$U$1001,20,FALSE)</f>
        <v>17590447</v>
      </c>
      <c r="F367" s="5">
        <f>vlookup(B367,Filmes_final!$B$2:$U$1001,3,FALSE)</f>
        <v>2019</v>
      </c>
      <c r="G367" s="5" t="str">
        <f>vlookup(B367,Filmes_final!$B$2:$U$1001,13,FALSE)</f>
        <v>Mehmet Ada Öztekin</v>
      </c>
    </row>
    <row r="368">
      <c r="A368" s="5">
        <v>92.0</v>
      </c>
      <c r="B368" s="5" t="s">
        <v>693</v>
      </c>
      <c r="C368" s="5" t="s">
        <v>699</v>
      </c>
      <c r="D368" s="5" t="s">
        <v>6636</v>
      </c>
      <c r="E368" s="8">
        <f>vlookup(B368,Filmes_final!$B$2:$U$1001,20,FALSE)</f>
        <v>17590447</v>
      </c>
      <c r="F368" s="5">
        <f>vlookup(B368,Filmes_final!$B$2:$U$1001,3,FALSE)</f>
        <v>2019</v>
      </c>
      <c r="G368" s="5" t="str">
        <f>vlookup(B368,Filmes_final!$B$2:$U$1001,13,FALSE)</f>
        <v>Mehmet Ada Öztekin</v>
      </c>
    </row>
    <row r="369">
      <c r="A369" s="5">
        <v>92.0</v>
      </c>
      <c r="B369" s="5" t="s">
        <v>693</v>
      </c>
      <c r="C369" s="5" t="s">
        <v>700</v>
      </c>
      <c r="D369" s="5" t="s">
        <v>6637</v>
      </c>
      <c r="E369" s="8">
        <f>vlookup(B369,Filmes_final!$B$2:$U$1001,20,FALSE)</f>
        <v>17590447</v>
      </c>
      <c r="F369" s="5">
        <f>vlookup(B369,Filmes_final!$B$2:$U$1001,3,FALSE)</f>
        <v>2019</v>
      </c>
      <c r="G369" s="5" t="str">
        <f>vlookup(B369,Filmes_final!$B$2:$U$1001,13,FALSE)</f>
        <v>Mehmet Ada Öztekin</v>
      </c>
    </row>
    <row r="370">
      <c r="A370" s="5">
        <v>93.0</v>
      </c>
      <c r="B370" s="5" t="s">
        <v>701</v>
      </c>
      <c r="C370" s="5" t="s">
        <v>439</v>
      </c>
      <c r="D370" s="5" t="s">
        <v>6634</v>
      </c>
      <c r="E370" s="8">
        <f>vlookup(B370,Filmes_final!$B$2:$U$1001,20,FALSE)</f>
        <v>25178888</v>
      </c>
      <c r="F370" s="5">
        <f>vlookup(B370,Filmes_final!$B$2:$U$1001,3,FALSE)</f>
        <v>2005</v>
      </c>
      <c r="G370" s="5" t="str">
        <f>vlookup(B370,Filmes_final!$B$2:$U$1001,13,FALSE)</f>
        <v>Çagan Irmak</v>
      </c>
    </row>
    <row r="371">
      <c r="A371" s="5">
        <v>93.0</v>
      </c>
      <c r="B371" s="5" t="s">
        <v>701</v>
      </c>
      <c r="C371" s="5" t="s">
        <v>704</v>
      </c>
      <c r="D371" s="5" t="s">
        <v>6635</v>
      </c>
      <c r="E371" s="8">
        <f>vlookup(B371,Filmes_final!$B$2:$U$1001,20,FALSE)</f>
        <v>25178888</v>
      </c>
      <c r="F371" s="5">
        <f>vlookup(B371,Filmes_final!$B$2:$U$1001,3,FALSE)</f>
        <v>2005</v>
      </c>
      <c r="G371" s="5" t="str">
        <f>vlookup(B371,Filmes_final!$B$2:$U$1001,13,FALSE)</f>
        <v>Çagan Irmak</v>
      </c>
    </row>
    <row r="372">
      <c r="A372" s="5">
        <v>93.0</v>
      </c>
      <c r="B372" s="5" t="s">
        <v>701</v>
      </c>
      <c r="C372" s="5" t="s">
        <v>705</v>
      </c>
      <c r="D372" s="5" t="s">
        <v>6636</v>
      </c>
      <c r="E372" s="8">
        <f>vlookup(B372,Filmes_final!$B$2:$U$1001,20,FALSE)</f>
        <v>25178888</v>
      </c>
      <c r="F372" s="5">
        <f>vlookup(B372,Filmes_final!$B$2:$U$1001,3,FALSE)</f>
        <v>2005</v>
      </c>
      <c r="G372" s="5" t="str">
        <f>vlookup(B372,Filmes_final!$B$2:$U$1001,13,FALSE)</f>
        <v>Çagan Irmak</v>
      </c>
    </row>
    <row r="373">
      <c r="A373" s="5">
        <v>93.0</v>
      </c>
      <c r="B373" s="5" t="s">
        <v>701</v>
      </c>
      <c r="C373" s="5" t="s">
        <v>706</v>
      </c>
      <c r="D373" s="5" t="s">
        <v>6637</v>
      </c>
      <c r="E373" s="8">
        <f>vlookup(B373,Filmes_final!$B$2:$U$1001,20,FALSE)</f>
        <v>25178888</v>
      </c>
      <c r="F373" s="5">
        <f>vlookup(B373,Filmes_final!$B$2:$U$1001,3,FALSE)</f>
        <v>2005</v>
      </c>
      <c r="G373" s="5" t="str">
        <f>vlookup(B373,Filmes_final!$B$2:$U$1001,13,FALSE)</f>
        <v>Çagan Irmak</v>
      </c>
    </row>
    <row r="374">
      <c r="A374" s="5">
        <v>94.0</v>
      </c>
      <c r="B374" s="5" t="s">
        <v>707</v>
      </c>
      <c r="C374" s="5" t="s">
        <v>98</v>
      </c>
      <c r="D374" s="5" t="s">
        <v>6634</v>
      </c>
      <c r="E374" s="8">
        <f>vlookup(B374,Filmes_final!$B$2:$U$1001,20,FALSE)</f>
        <v>147274642</v>
      </c>
      <c r="F374" s="5">
        <f>vlookup(B374,Filmes_final!$B$2:$U$1001,3,FALSE)</f>
        <v>2009</v>
      </c>
      <c r="G374" s="5" t="str">
        <f>vlookup(B374,Filmes_final!$B$2:$U$1001,13,FALSE)</f>
        <v>Quentin Tarantino</v>
      </c>
    </row>
    <row r="375">
      <c r="A375" s="5">
        <v>94.0</v>
      </c>
      <c r="B375" s="5" t="s">
        <v>707</v>
      </c>
      <c r="C375" s="5" t="s">
        <v>710</v>
      </c>
      <c r="D375" s="5" t="s">
        <v>6635</v>
      </c>
      <c r="E375" s="8">
        <f>vlookup(B375,Filmes_final!$B$2:$U$1001,20,FALSE)</f>
        <v>147274642</v>
      </c>
      <c r="F375" s="5">
        <f>vlookup(B375,Filmes_final!$B$2:$U$1001,3,FALSE)</f>
        <v>2009</v>
      </c>
      <c r="G375" s="5" t="str">
        <f>vlookup(B375,Filmes_final!$B$2:$U$1001,13,FALSE)</f>
        <v>Quentin Tarantino</v>
      </c>
    </row>
    <row r="376">
      <c r="A376" s="5">
        <v>94.0</v>
      </c>
      <c r="B376" s="5" t="s">
        <v>707</v>
      </c>
      <c r="C376" s="5" t="s">
        <v>711</v>
      </c>
      <c r="D376" s="5" t="s">
        <v>6636</v>
      </c>
      <c r="E376" s="8">
        <f>vlookup(B376,Filmes_final!$B$2:$U$1001,20,FALSE)</f>
        <v>147274642</v>
      </c>
      <c r="F376" s="5">
        <f>vlookup(B376,Filmes_final!$B$2:$U$1001,3,FALSE)</f>
        <v>2009</v>
      </c>
      <c r="G376" s="5" t="str">
        <f>vlookup(B376,Filmes_final!$B$2:$U$1001,13,FALSE)</f>
        <v>Quentin Tarantino</v>
      </c>
    </row>
    <row r="377">
      <c r="A377" s="5">
        <v>94.0</v>
      </c>
      <c r="B377" s="5" t="s">
        <v>707</v>
      </c>
      <c r="C377" s="5" t="s">
        <v>712</v>
      </c>
      <c r="D377" s="5" t="s">
        <v>6637</v>
      </c>
      <c r="E377" s="8">
        <f>vlookup(B377,Filmes_final!$B$2:$U$1001,20,FALSE)</f>
        <v>147274642</v>
      </c>
      <c r="F377" s="5">
        <f>vlookup(B377,Filmes_final!$B$2:$U$1001,3,FALSE)</f>
        <v>2009</v>
      </c>
      <c r="G377" s="5" t="str">
        <f>vlookup(B377,Filmes_final!$B$2:$U$1001,13,FALSE)</f>
        <v>Quentin Tarantino</v>
      </c>
    </row>
    <row r="378">
      <c r="A378" s="5">
        <v>95.0</v>
      </c>
      <c r="B378" s="5" t="s">
        <v>713</v>
      </c>
      <c r="C378" s="5" t="s">
        <v>718</v>
      </c>
      <c r="D378" s="5" t="s">
        <v>6634</v>
      </c>
      <c r="E378" s="8">
        <f>vlookup(B378,Filmes_final!$B$2:$U$1001,20,FALSE)</f>
        <v>47917279</v>
      </c>
      <c r="F378" s="5">
        <f>vlookup(B378,Filmes_final!$B$2:$U$1001,3,FALSE)</f>
        <v>2004</v>
      </c>
      <c r="G378" s="5" t="str">
        <f>vlookup(B378,Filmes_final!$B$2:$U$1001,13,FALSE)</f>
        <v>Michel Gondry</v>
      </c>
    </row>
    <row r="379">
      <c r="A379" s="5">
        <v>95.0</v>
      </c>
      <c r="B379" s="5" t="s">
        <v>713</v>
      </c>
      <c r="C379" s="5" t="s">
        <v>719</v>
      </c>
      <c r="D379" s="5" t="s">
        <v>6635</v>
      </c>
      <c r="E379" s="8">
        <f>vlookup(B379,Filmes_final!$B$2:$U$1001,20,FALSE)</f>
        <v>47917279</v>
      </c>
      <c r="F379" s="5">
        <f>vlookup(B379,Filmes_final!$B$2:$U$1001,3,FALSE)</f>
        <v>2004</v>
      </c>
      <c r="G379" s="5" t="str">
        <f>vlookup(B379,Filmes_final!$B$2:$U$1001,13,FALSE)</f>
        <v>Michel Gondry</v>
      </c>
    </row>
    <row r="380">
      <c r="A380" s="5">
        <v>95.0</v>
      </c>
      <c r="B380" s="5" t="s">
        <v>713</v>
      </c>
      <c r="C380" s="5" t="s">
        <v>720</v>
      </c>
      <c r="D380" s="5" t="s">
        <v>6636</v>
      </c>
      <c r="E380" s="8">
        <f>vlookup(B380,Filmes_final!$B$2:$U$1001,20,FALSE)</f>
        <v>47917279</v>
      </c>
      <c r="F380" s="5">
        <f>vlookup(B380,Filmes_final!$B$2:$U$1001,3,FALSE)</f>
        <v>2004</v>
      </c>
      <c r="G380" s="5" t="str">
        <f>vlookup(B380,Filmes_final!$B$2:$U$1001,13,FALSE)</f>
        <v>Michel Gondry</v>
      </c>
    </row>
    <row r="381">
      <c r="A381" s="5">
        <v>95.0</v>
      </c>
      <c r="B381" s="5" t="s">
        <v>713</v>
      </c>
      <c r="C381" s="5" t="s">
        <v>721</v>
      </c>
      <c r="D381" s="5" t="s">
        <v>6637</v>
      </c>
      <c r="E381" s="8">
        <f>vlookup(B381,Filmes_final!$B$2:$U$1001,20,FALSE)</f>
        <v>47917279</v>
      </c>
      <c r="F381" s="5">
        <f>vlookup(B381,Filmes_final!$B$2:$U$1001,3,FALSE)</f>
        <v>2004</v>
      </c>
      <c r="G381" s="5" t="str">
        <f>vlookup(B381,Filmes_final!$B$2:$U$1001,13,FALSE)</f>
        <v>Michel Gondry</v>
      </c>
    </row>
    <row r="382">
      <c r="A382" s="5">
        <v>96.0</v>
      </c>
      <c r="B382" s="5" t="s">
        <v>722</v>
      </c>
      <c r="C382" s="5" t="s">
        <v>726</v>
      </c>
      <c r="D382" s="5" t="s">
        <v>6634</v>
      </c>
      <c r="E382" s="8">
        <f>vlookup(B382,Filmes_final!$B$2:$U$1001,20,FALSE)</f>
        <v>48950401</v>
      </c>
      <c r="F382" s="5">
        <f>vlookup(B382,Filmes_final!$B$2:$U$1001,3,FALSE)</f>
        <v>2001</v>
      </c>
      <c r="G382" s="5" t="str">
        <f>vlookup(B382,Filmes_final!$B$2:$U$1001,13,FALSE)</f>
        <v>Jean-Pierre Jeunet</v>
      </c>
    </row>
    <row r="383">
      <c r="A383" s="5">
        <v>96.0</v>
      </c>
      <c r="B383" s="5" t="s">
        <v>722</v>
      </c>
      <c r="C383" s="5" t="s">
        <v>727</v>
      </c>
      <c r="D383" s="5" t="s">
        <v>6635</v>
      </c>
      <c r="E383" s="8">
        <f>vlookup(B383,Filmes_final!$B$2:$U$1001,20,FALSE)</f>
        <v>48950401</v>
      </c>
      <c r="F383" s="5">
        <f>vlookup(B383,Filmes_final!$B$2:$U$1001,3,FALSE)</f>
        <v>2001</v>
      </c>
      <c r="G383" s="5" t="str">
        <f>vlookup(B383,Filmes_final!$B$2:$U$1001,13,FALSE)</f>
        <v>Jean-Pierre Jeunet</v>
      </c>
    </row>
    <row r="384">
      <c r="A384" s="5">
        <v>96.0</v>
      </c>
      <c r="B384" s="5" t="s">
        <v>722</v>
      </c>
      <c r="C384" s="5" t="s">
        <v>728</v>
      </c>
      <c r="D384" s="5" t="s">
        <v>6636</v>
      </c>
      <c r="E384" s="8">
        <f>vlookup(B384,Filmes_final!$B$2:$U$1001,20,FALSE)</f>
        <v>48950401</v>
      </c>
      <c r="F384" s="5">
        <f>vlookup(B384,Filmes_final!$B$2:$U$1001,3,FALSE)</f>
        <v>2001</v>
      </c>
      <c r="G384" s="5" t="str">
        <f>vlookup(B384,Filmes_final!$B$2:$U$1001,13,FALSE)</f>
        <v>Jean-Pierre Jeunet</v>
      </c>
    </row>
    <row r="385">
      <c r="A385" s="5">
        <v>96.0</v>
      </c>
      <c r="B385" s="5" t="s">
        <v>722</v>
      </c>
      <c r="C385" s="5" t="s">
        <v>729</v>
      </c>
      <c r="D385" s="5" t="s">
        <v>6637</v>
      </c>
      <c r="E385" s="8">
        <f>vlookup(B385,Filmes_final!$B$2:$U$1001,20,FALSE)</f>
        <v>48950401</v>
      </c>
      <c r="F385" s="5">
        <f>vlookup(B385,Filmes_final!$B$2:$U$1001,3,FALSE)</f>
        <v>2001</v>
      </c>
      <c r="G385" s="5" t="str">
        <f>vlookup(B385,Filmes_final!$B$2:$U$1001,13,FALSE)</f>
        <v>Jean-Pierre Jeunet</v>
      </c>
    </row>
    <row r="386">
      <c r="A386" s="5">
        <v>97.0</v>
      </c>
      <c r="B386" s="5" t="s">
        <v>730</v>
      </c>
      <c r="C386" s="5" t="s">
        <v>734</v>
      </c>
      <c r="D386" s="5" t="s">
        <v>6634</v>
      </c>
      <c r="E386" s="8">
        <f>vlookup(B386,Filmes_final!$B$2:$U$1001,20,FALSE)</f>
        <v>46349436</v>
      </c>
      <c r="F386" s="5">
        <f>vlookup(B386,Filmes_final!$B$2:$U$1001,3,FALSE)</f>
        <v>2000</v>
      </c>
      <c r="G386" s="5" t="str">
        <f>vlookup(B386,Filmes_final!$B$2:$U$1001,13,FALSE)</f>
        <v>Guy Ritchie</v>
      </c>
    </row>
    <row r="387">
      <c r="A387" s="5">
        <v>97.0</v>
      </c>
      <c r="B387" s="5" t="s">
        <v>730</v>
      </c>
      <c r="C387" s="5" t="s">
        <v>98</v>
      </c>
      <c r="D387" s="5" t="s">
        <v>6635</v>
      </c>
      <c r="E387" s="8">
        <f>vlookup(B387,Filmes_final!$B$2:$U$1001,20,FALSE)</f>
        <v>46349436</v>
      </c>
      <c r="F387" s="5">
        <f>vlookup(B387,Filmes_final!$B$2:$U$1001,3,FALSE)</f>
        <v>2000</v>
      </c>
      <c r="G387" s="5" t="str">
        <f>vlookup(B387,Filmes_final!$B$2:$U$1001,13,FALSE)</f>
        <v>Guy Ritchie</v>
      </c>
    </row>
    <row r="388">
      <c r="A388" s="5">
        <v>97.0</v>
      </c>
      <c r="B388" s="5" t="s">
        <v>730</v>
      </c>
      <c r="C388" s="5" t="s">
        <v>735</v>
      </c>
      <c r="D388" s="5" t="s">
        <v>6636</v>
      </c>
      <c r="E388" s="8">
        <f>vlookup(B388,Filmes_final!$B$2:$U$1001,20,FALSE)</f>
        <v>46349436</v>
      </c>
      <c r="F388" s="5">
        <f>vlookup(B388,Filmes_final!$B$2:$U$1001,3,FALSE)</f>
        <v>2000</v>
      </c>
      <c r="G388" s="5" t="str">
        <f>vlookup(B388,Filmes_final!$B$2:$U$1001,13,FALSE)</f>
        <v>Guy Ritchie</v>
      </c>
    </row>
    <row r="389">
      <c r="A389" s="5">
        <v>97.0</v>
      </c>
      <c r="B389" s="5" t="s">
        <v>730</v>
      </c>
      <c r="C389" s="5" t="s">
        <v>736</v>
      </c>
      <c r="D389" s="5" t="s">
        <v>6637</v>
      </c>
      <c r="E389" s="8">
        <f>vlookup(B389,Filmes_final!$B$2:$U$1001,20,FALSE)</f>
        <v>46349436</v>
      </c>
      <c r="F389" s="5">
        <f>vlookup(B389,Filmes_final!$B$2:$U$1001,3,FALSE)</f>
        <v>2000</v>
      </c>
      <c r="G389" s="5" t="str">
        <f>vlookup(B389,Filmes_final!$B$2:$U$1001,13,FALSE)</f>
        <v>Guy Ritchie</v>
      </c>
    </row>
    <row r="390">
      <c r="A390" s="5">
        <v>98.0</v>
      </c>
      <c r="B390" s="5" t="s">
        <v>737</v>
      </c>
      <c r="C390" s="5" t="s">
        <v>740</v>
      </c>
      <c r="D390" s="5" t="s">
        <v>6634</v>
      </c>
      <c r="E390" s="8">
        <f>vlookup(B390,Filmes_final!$B$2:$U$1001,20,FALSE)</f>
        <v>5555977</v>
      </c>
      <c r="F390" s="5">
        <f>vlookup(B390,Filmes_final!$B$2:$U$1001,3,FALSE)</f>
        <v>2000</v>
      </c>
      <c r="G390" s="5" t="str">
        <f>vlookup(B390,Filmes_final!$B$2:$U$1001,13,FALSE)</f>
        <v>Darren Aronofsky</v>
      </c>
    </row>
    <row r="391">
      <c r="A391" s="5">
        <v>98.0</v>
      </c>
      <c r="B391" s="5" t="s">
        <v>737</v>
      </c>
      <c r="C391" s="5" t="s">
        <v>741</v>
      </c>
      <c r="D391" s="5" t="s">
        <v>6635</v>
      </c>
      <c r="E391" s="8">
        <f>vlookup(B391,Filmes_final!$B$2:$U$1001,20,FALSE)</f>
        <v>5555977</v>
      </c>
      <c r="F391" s="5">
        <f>vlookup(B391,Filmes_final!$B$2:$U$1001,3,FALSE)</f>
        <v>2000</v>
      </c>
      <c r="G391" s="5" t="str">
        <f>vlookup(B391,Filmes_final!$B$2:$U$1001,13,FALSE)</f>
        <v>Darren Aronofsky</v>
      </c>
    </row>
    <row r="392">
      <c r="A392" s="5">
        <v>98.0</v>
      </c>
      <c r="B392" s="5" t="s">
        <v>737</v>
      </c>
      <c r="C392" s="5" t="s">
        <v>742</v>
      </c>
      <c r="D392" s="5" t="s">
        <v>6636</v>
      </c>
      <c r="E392" s="8">
        <f>vlookup(B392,Filmes_final!$B$2:$U$1001,20,FALSE)</f>
        <v>5555977</v>
      </c>
      <c r="F392" s="5">
        <f>vlookup(B392,Filmes_final!$B$2:$U$1001,3,FALSE)</f>
        <v>2000</v>
      </c>
      <c r="G392" s="5" t="str">
        <f>vlookup(B392,Filmes_final!$B$2:$U$1001,13,FALSE)</f>
        <v>Darren Aronofsky</v>
      </c>
    </row>
    <row r="393">
      <c r="A393" s="5">
        <v>98.0</v>
      </c>
      <c r="B393" s="5" t="s">
        <v>737</v>
      </c>
      <c r="C393" s="5" t="s">
        <v>743</v>
      </c>
      <c r="D393" s="5" t="s">
        <v>6637</v>
      </c>
      <c r="E393" s="8">
        <f>vlookup(B393,Filmes_final!$B$2:$U$1001,20,FALSE)</f>
        <v>5555977</v>
      </c>
      <c r="F393" s="5">
        <f>vlookup(B393,Filmes_final!$B$2:$U$1001,3,FALSE)</f>
        <v>2000</v>
      </c>
      <c r="G393" s="5" t="str">
        <f>vlookup(B393,Filmes_final!$B$2:$U$1001,13,FALSE)</f>
        <v>Darren Aronofsky</v>
      </c>
    </row>
    <row r="394">
      <c r="A394" s="5">
        <v>99.0</v>
      </c>
      <c r="B394" s="5" t="s">
        <v>744</v>
      </c>
      <c r="C394" s="5" t="s">
        <v>237</v>
      </c>
      <c r="D394" s="5" t="s">
        <v>6634</v>
      </c>
      <c r="E394" s="8">
        <f>vlookup(B394,Filmes_final!$B$2:$U$1001,20,FALSE)</f>
        <v>204267500</v>
      </c>
      <c r="F394" s="5">
        <f>vlookup(B394,Filmes_final!$B$2:$U$1001,3,FALSE)</f>
        <v>1999</v>
      </c>
      <c r="G394" s="5" t="str">
        <f>vlookup(B394,Filmes_final!$B$2:$U$1001,13,FALSE)</f>
        <v>Sam Mendes</v>
      </c>
    </row>
    <row r="395">
      <c r="A395" s="5">
        <v>99.0</v>
      </c>
      <c r="B395" s="5" t="s">
        <v>744</v>
      </c>
      <c r="C395" s="5" t="s">
        <v>746</v>
      </c>
      <c r="D395" s="5" t="s">
        <v>6635</v>
      </c>
      <c r="E395" s="8">
        <f>vlookup(B395,Filmes_final!$B$2:$U$1001,20,FALSE)</f>
        <v>204267500</v>
      </c>
      <c r="F395" s="5">
        <f>vlookup(B395,Filmes_final!$B$2:$U$1001,3,FALSE)</f>
        <v>1999</v>
      </c>
      <c r="G395" s="5" t="str">
        <f>vlookup(B395,Filmes_final!$B$2:$U$1001,13,FALSE)</f>
        <v>Sam Mendes</v>
      </c>
    </row>
    <row r="396">
      <c r="A396" s="5">
        <v>99.0</v>
      </c>
      <c r="B396" s="5" t="s">
        <v>744</v>
      </c>
      <c r="C396" s="5" t="s">
        <v>747</v>
      </c>
      <c r="D396" s="5" t="s">
        <v>6636</v>
      </c>
      <c r="E396" s="8">
        <f>vlookup(B396,Filmes_final!$B$2:$U$1001,20,FALSE)</f>
        <v>204267500</v>
      </c>
      <c r="F396" s="5">
        <f>vlookup(B396,Filmes_final!$B$2:$U$1001,3,FALSE)</f>
        <v>1999</v>
      </c>
      <c r="G396" s="5" t="str">
        <f>vlookup(B396,Filmes_final!$B$2:$U$1001,13,FALSE)</f>
        <v>Sam Mendes</v>
      </c>
    </row>
    <row r="397">
      <c r="A397" s="5">
        <v>99.0</v>
      </c>
      <c r="B397" s="5" t="s">
        <v>744</v>
      </c>
      <c r="C397" s="5" t="s">
        <v>748</v>
      </c>
      <c r="D397" s="5" t="s">
        <v>6637</v>
      </c>
      <c r="E397" s="8">
        <f>vlookup(B397,Filmes_final!$B$2:$U$1001,20,FALSE)</f>
        <v>204267500</v>
      </c>
      <c r="F397" s="5">
        <f>vlookup(B397,Filmes_final!$B$2:$U$1001,3,FALSE)</f>
        <v>1999</v>
      </c>
      <c r="G397" s="5" t="str">
        <f>vlookup(B397,Filmes_final!$B$2:$U$1001,13,FALSE)</f>
        <v>Sam Mendes</v>
      </c>
    </row>
    <row r="398">
      <c r="A398" s="5">
        <v>100.0</v>
      </c>
      <c r="B398" s="5" t="s">
        <v>749</v>
      </c>
      <c r="C398" s="5" t="s">
        <v>752</v>
      </c>
      <c r="D398" s="5" t="s">
        <v>6634</v>
      </c>
      <c r="E398" s="8">
        <f>vlookup(B398,Filmes_final!$B$2:$U$1001,20,FALSE)</f>
        <v>224461419</v>
      </c>
      <c r="F398" s="5">
        <f>vlookup(B398,Filmes_final!$B$2:$U$1001,3,FALSE)</f>
        <v>1997</v>
      </c>
      <c r="G398" s="5" t="str">
        <f>vlookup(B398,Filmes_final!$B$2:$U$1001,13,FALSE)</f>
        <v>Gus Van Sant</v>
      </c>
    </row>
    <row r="399">
      <c r="A399" s="5">
        <v>100.0</v>
      </c>
      <c r="B399" s="5" t="s">
        <v>749</v>
      </c>
      <c r="C399" s="5" t="s">
        <v>215</v>
      </c>
      <c r="D399" s="5" t="s">
        <v>6635</v>
      </c>
      <c r="E399" s="8">
        <f>vlookup(B399,Filmes_final!$B$2:$U$1001,20,FALSE)</f>
        <v>224461419</v>
      </c>
      <c r="F399" s="5">
        <f>vlookup(B399,Filmes_final!$B$2:$U$1001,3,FALSE)</f>
        <v>1997</v>
      </c>
      <c r="G399" s="5" t="str">
        <f>vlookup(B399,Filmes_final!$B$2:$U$1001,13,FALSE)</f>
        <v>Gus Van Sant</v>
      </c>
    </row>
    <row r="400">
      <c r="A400" s="5">
        <v>100.0</v>
      </c>
      <c r="B400" s="5" t="s">
        <v>749</v>
      </c>
      <c r="C400" s="5" t="s">
        <v>753</v>
      </c>
      <c r="D400" s="5" t="s">
        <v>6636</v>
      </c>
      <c r="E400" s="8">
        <f>vlookup(B400,Filmes_final!$B$2:$U$1001,20,FALSE)</f>
        <v>224461419</v>
      </c>
      <c r="F400" s="5">
        <f>vlookup(B400,Filmes_final!$B$2:$U$1001,3,FALSE)</f>
        <v>1997</v>
      </c>
      <c r="G400" s="5" t="str">
        <f>vlookup(B400,Filmes_final!$B$2:$U$1001,13,FALSE)</f>
        <v>Gus Van Sant</v>
      </c>
    </row>
    <row r="401">
      <c r="A401" s="5">
        <v>100.0</v>
      </c>
      <c r="B401" s="5" t="s">
        <v>749</v>
      </c>
      <c r="C401" s="5" t="s">
        <v>754</v>
      </c>
      <c r="D401" s="5" t="s">
        <v>6637</v>
      </c>
      <c r="E401" s="8">
        <f>vlookup(B401,Filmes_final!$B$2:$U$1001,20,FALSE)</f>
        <v>224461419</v>
      </c>
      <c r="F401" s="5">
        <f>vlookup(B401,Filmes_final!$B$2:$U$1001,3,FALSE)</f>
        <v>1997</v>
      </c>
      <c r="G401" s="5" t="str">
        <f>vlookup(B401,Filmes_final!$B$2:$U$1001,13,FALSE)</f>
        <v>Gus Van Sant</v>
      </c>
    </row>
    <row r="402">
      <c r="A402" s="5">
        <v>101.0</v>
      </c>
      <c r="B402" s="5" t="s">
        <v>755</v>
      </c>
      <c r="C402" s="5" t="s">
        <v>759</v>
      </c>
      <c r="D402" s="5" t="s">
        <v>6634</v>
      </c>
      <c r="E402" s="8">
        <f>vlookup(B402,Filmes_final!$B$2:$U$1001,20,FALSE)</f>
        <v>1514316</v>
      </c>
      <c r="F402" s="5">
        <f>vlookup(B402,Filmes_final!$B$2:$U$1001,3,FALSE)</f>
        <v>1997</v>
      </c>
      <c r="G402" s="5" t="str">
        <f>vlookup(B402,Filmes_final!$B$2:$U$1001,13,FALSE)</f>
        <v>Majid Majidi</v>
      </c>
    </row>
    <row r="403">
      <c r="A403" s="5">
        <v>101.0</v>
      </c>
      <c r="B403" s="5" t="s">
        <v>755</v>
      </c>
      <c r="C403" s="5" t="s">
        <v>760</v>
      </c>
      <c r="D403" s="5" t="s">
        <v>6635</v>
      </c>
      <c r="E403" s="8">
        <f>vlookup(B403,Filmes_final!$B$2:$U$1001,20,FALSE)</f>
        <v>1514316</v>
      </c>
      <c r="F403" s="5">
        <f>vlookup(B403,Filmes_final!$B$2:$U$1001,3,FALSE)</f>
        <v>1997</v>
      </c>
      <c r="G403" s="5" t="str">
        <f>vlookup(B403,Filmes_final!$B$2:$U$1001,13,FALSE)</f>
        <v>Majid Majidi</v>
      </c>
    </row>
    <row r="404">
      <c r="A404" s="5">
        <v>101.0</v>
      </c>
      <c r="B404" s="5" t="s">
        <v>755</v>
      </c>
      <c r="C404" s="5" t="s">
        <v>761</v>
      </c>
      <c r="D404" s="5" t="s">
        <v>6636</v>
      </c>
      <c r="E404" s="8">
        <f>vlookup(B404,Filmes_final!$B$2:$U$1001,20,FALSE)</f>
        <v>1514316</v>
      </c>
      <c r="F404" s="5">
        <f>vlookup(B404,Filmes_final!$B$2:$U$1001,3,FALSE)</f>
        <v>1997</v>
      </c>
      <c r="G404" s="5" t="str">
        <f>vlookup(B404,Filmes_final!$B$2:$U$1001,13,FALSE)</f>
        <v>Majid Majidi</v>
      </c>
    </row>
    <row r="405">
      <c r="A405" s="5">
        <v>101.0</v>
      </c>
      <c r="B405" s="5" t="s">
        <v>755</v>
      </c>
      <c r="C405" s="5" t="s">
        <v>762</v>
      </c>
      <c r="D405" s="5" t="s">
        <v>6637</v>
      </c>
      <c r="E405" s="8">
        <f>vlookup(B405,Filmes_final!$B$2:$U$1001,20,FALSE)</f>
        <v>1514316</v>
      </c>
      <c r="F405" s="5">
        <f>vlookup(B405,Filmes_final!$B$2:$U$1001,3,FALSE)</f>
        <v>1997</v>
      </c>
      <c r="G405" s="5" t="str">
        <f>vlookup(B405,Filmes_final!$B$2:$U$1001,13,FALSE)</f>
        <v>Majid Majidi</v>
      </c>
    </row>
    <row r="406">
      <c r="A406" s="5">
        <v>102.0</v>
      </c>
      <c r="B406" s="5" t="s">
        <v>763</v>
      </c>
      <c r="C406" s="5" t="s">
        <v>110</v>
      </c>
      <c r="D406" s="5" t="s">
        <v>6634</v>
      </c>
      <c r="E406" s="8">
        <f>vlookup(B406,Filmes_final!$B$2:$U$1001,20,FALSE)</f>
        <v>329194052</v>
      </c>
      <c r="F406" s="5">
        <f>vlookup(B406,Filmes_final!$B$2:$U$1001,3,FALSE)</f>
        <v>1995</v>
      </c>
      <c r="G406" s="5" t="str">
        <f>vlookup(B406,Filmes_final!$B$2:$U$1001,13,FALSE)</f>
        <v>John Lasseter</v>
      </c>
    </row>
    <row r="407">
      <c r="A407" s="5">
        <v>102.0</v>
      </c>
      <c r="B407" s="5" t="s">
        <v>763</v>
      </c>
      <c r="C407" s="5" t="s">
        <v>768</v>
      </c>
      <c r="D407" s="5" t="s">
        <v>6635</v>
      </c>
      <c r="E407" s="8">
        <f>vlookup(B407,Filmes_final!$B$2:$U$1001,20,FALSE)</f>
        <v>329194052</v>
      </c>
      <c r="F407" s="5">
        <f>vlookup(B407,Filmes_final!$B$2:$U$1001,3,FALSE)</f>
        <v>1995</v>
      </c>
      <c r="G407" s="5" t="str">
        <f>vlookup(B407,Filmes_final!$B$2:$U$1001,13,FALSE)</f>
        <v>John Lasseter</v>
      </c>
    </row>
    <row r="408">
      <c r="A408" s="5">
        <v>102.0</v>
      </c>
      <c r="B408" s="5" t="s">
        <v>763</v>
      </c>
      <c r="C408" s="5" t="s">
        <v>769</v>
      </c>
      <c r="D408" s="5" t="s">
        <v>6636</v>
      </c>
      <c r="E408" s="8">
        <f>vlookup(B408,Filmes_final!$B$2:$U$1001,20,FALSE)</f>
        <v>329194052</v>
      </c>
      <c r="F408" s="5">
        <f>vlookup(B408,Filmes_final!$B$2:$U$1001,3,FALSE)</f>
        <v>1995</v>
      </c>
      <c r="G408" s="5" t="str">
        <f>vlookup(B408,Filmes_final!$B$2:$U$1001,13,FALSE)</f>
        <v>John Lasseter</v>
      </c>
    </row>
    <row r="409">
      <c r="A409" s="5">
        <v>102.0</v>
      </c>
      <c r="B409" s="5" t="s">
        <v>763</v>
      </c>
      <c r="C409" s="5" t="s">
        <v>770</v>
      </c>
      <c r="D409" s="5" t="s">
        <v>6637</v>
      </c>
      <c r="E409" s="8">
        <f>vlookup(B409,Filmes_final!$B$2:$U$1001,20,FALSE)</f>
        <v>329194052</v>
      </c>
      <c r="F409" s="5">
        <f>vlookup(B409,Filmes_final!$B$2:$U$1001,3,FALSE)</f>
        <v>1995</v>
      </c>
      <c r="G409" s="5" t="str">
        <f>vlookup(B409,Filmes_final!$B$2:$U$1001,13,FALSE)</f>
        <v>John Lasseter</v>
      </c>
    </row>
    <row r="410">
      <c r="A410" s="5">
        <v>103.0</v>
      </c>
      <c r="B410" s="5" t="s">
        <v>771</v>
      </c>
      <c r="C410" s="5" t="s">
        <v>773</v>
      </c>
      <c r="D410" s="5" t="s">
        <v>6634</v>
      </c>
      <c r="E410" s="8">
        <f>vlookup(B410,Filmes_final!$B$2:$U$1001,20,FALSE)</f>
        <v>129757868</v>
      </c>
      <c r="F410" s="5">
        <f>vlookup(B410,Filmes_final!$B$2:$U$1001,3,FALSE)</f>
        <v>1995</v>
      </c>
      <c r="G410" s="5" t="str">
        <f>vlookup(B410,Filmes_final!$B$2:$U$1001,13,FALSE)</f>
        <v>Mel Gibson</v>
      </c>
    </row>
    <row r="411">
      <c r="A411" s="5">
        <v>103.0</v>
      </c>
      <c r="B411" s="5" t="s">
        <v>771</v>
      </c>
      <c r="C411" s="5" t="s">
        <v>774</v>
      </c>
      <c r="D411" s="5" t="s">
        <v>6635</v>
      </c>
      <c r="E411" s="8">
        <f>vlookup(B411,Filmes_final!$B$2:$U$1001,20,FALSE)</f>
        <v>129757868</v>
      </c>
      <c r="F411" s="5">
        <f>vlookup(B411,Filmes_final!$B$2:$U$1001,3,FALSE)</f>
        <v>1995</v>
      </c>
      <c r="G411" s="5" t="str">
        <f>vlookup(B411,Filmes_final!$B$2:$U$1001,13,FALSE)</f>
        <v>Mel Gibson</v>
      </c>
    </row>
    <row r="412">
      <c r="A412" s="5">
        <v>103.0</v>
      </c>
      <c r="B412" s="5" t="s">
        <v>771</v>
      </c>
      <c r="C412" s="5" t="s">
        <v>775</v>
      </c>
      <c r="D412" s="5" t="s">
        <v>6636</v>
      </c>
      <c r="E412" s="8">
        <f>vlookup(B412,Filmes_final!$B$2:$U$1001,20,FALSE)</f>
        <v>129757868</v>
      </c>
      <c r="F412" s="5">
        <f>vlookup(B412,Filmes_final!$B$2:$U$1001,3,FALSE)</f>
        <v>1995</v>
      </c>
      <c r="G412" s="5" t="str">
        <f>vlookup(B412,Filmes_final!$B$2:$U$1001,13,FALSE)</f>
        <v>Mel Gibson</v>
      </c>
    </row>
    <row r="413">
      <c r="A413" s="5">
        <v>103.0</v>
      </c>
      <c r="B413" s="5" t="s">
        <v>771</v>
      </c>
      <c r="C413" s="5" t="s">
        <v>776</v>
      </c>
      <c r="D413" s="5" t="s">
        <v>6637</v>
      </c>
      <c r="E413" s="8">
        <f>vlookup(B413,Filmes_final!$B$2:$U$1001,20,FALSE)</f>
        <v>129757868</v>
      </c>
      <c r="F413" s="5">
        <f>vlookup(B413,Filmes_final!$B$2:$U$1001,3,FALSE)</f>
        <v>1995</v>
      </c>
      <c r="G413" s="5" t="str">
        <f>vlookup(B413,Filmes_final!$B$2:$U$1001,13,FALSE)</f>
        <v>Mel Gibson</v>
      </c>
    </row>
    <row r="414">
      <c r="A414" s="5">
        <v>104.0</v>
      </c>
      <c r="B414" s="5" t="s">
        <v>777</v>
      </c>
      <c r="C414" s="5" t="s">
        <v>780</v>
      </c>
      <c r="D414" s="5" t="s">
        <v>6634</v>
      </c>
      <c r="E414" s="8">
        <f>vlookup(B414,Filmes_final!$B$2:$U$1001,20,FALSE)</f>
        <v>5290234</v>
      </c>
      <c r="F414" s="5">
        <f>vlookup(B414,Filmes_final!$B$2:$U$1001,3,FALSE)</f>
        <v>1992</v>
      </c>
      <c r="G414" s="5" t="str">
        <f>vlookup(B414,Filmes_final!$B$2:$U$1001,13,FALSE)</f>
        <v>Quentin Tarantino</v>
      </c>
    </row>
    <row r="415">
      <c r="A415" s="5">
        <v>104.0</v>
      </c>
      <c r="B415" s="5" t="s">
        <v>777</v>
      </c>
      <c r="C415" s="5" t="s">
        <v>781</v>
      </c>
      <c r="D415" s="5" t="s">
        <v>6635</v>
      </c>
      <c r="E415" s="8">
        <f>vlookup(B415,Filmes_final!$B$2:$U$1001,20,FALSE)</f>
        <v>5290234</v>
      </c>
      <c r="F415" s="5">
        <f>vlookup(B415,Filmes_final!$B$2:$U$1001,3,FALSE)</f>
        <v>1992</v>
      </c>
      <c r="G415" s="5" t="str">
        <f>vlookup(B415,Filmes_final!$B$2:$U$1001,13,FALSE)</f>
        <v>Quentin Tarantino</v>
      </c>
    </row>
    <row r="416">
      <c r="A416" s="5">
        <v>104.0</v>
      </c>
      <c r="B416" s="5" t="s">
        <v>777</v>
      </c>
      <c r="C416" s="5" t="s">
        <v>782</v>
      </c>
      <c r="D416" s="5" t="s">
        <v>6636</v>
      </c>
      <c r="E416" s="8">
        <f>vlookup(B416,Filmes_final!$B$2:$U$1001,20,FALSE)</f>
        <v>5290234</v>
      </c>
      <c r="F416" s="5">
        <f>vlookup(B416,Filmes_final!$B$2:$U$1001,3,FALSE)</f>
        <v>1992</v>
      </c>
      <c r="G416" s="5" t="str">
        <f>vlookup(B416,Filmes_final!$B$2:$U$1001,13,FALSE)</f>
        <v>Quentin Tarantino</v>
      </c>
    </row>
    <row r="417">
      <c r="A417" s="5">
        <v>104.0</v>
      </c>
      <c r="B417" s="5" t="s">
        <v>777</v>
      </c>
      <c r="C417" s="5" t="s">
        <v>783</v>
      </c>
      <c r="D417" s="5" t="s">
        <v>6637</v>
      </c>
      <c r="E417" s="8">
        <f>vlookup(B417,Filmes_final!$B$2:$U$1001,20,FALSE)</f>
        <v>5290234</v>
      </c>
      <c r="F417" s="5">
        <f>vlookup(B417,Filmes_final!$B$2:$U$1001,3,FALSE)</f>
        <v>1992</v>
      </c>
      <c r="G417" s="5" t="str">
        <f>vlookup(B417,Filmes_final!$B$2:$U$1001,13,FALSE)</f>
        <v>Quentin Tarantino</v>
      </c>
    </row>
    <row r="418">
      <c r="A418" s="5">
        <v>105.0</v>
      </c>
      <c r="B418" s="5" t="s">
        <v>784</v>
      </c>
      <c r="C418" s="5" t="s">
        <v>786</v>
      </c>
      <c r="D418" s="5" t="s">
        <v>6634</v>
      </c>
      <c r="E418" s="8">
        <f>vlookup(B418,Filmes_final!$B$2:$U$1001,20,FALSE)</f>
        <v>107544389</v>
      </c>
      <c r="F418" s="5">
        <f>vlookup(B418,Filmes_final!$B$2:$U$1001,3,FALSE)</f>
        <v>1987</v>
      </c>
      <c r="G418" s="5" t="str">
        <f>vlookup(B418,Filmes_final!$B$2:$U$1001,13,FALSE)</f>
        <v>Stanley Kubrick</v>
      </c>
    </row>
    <row r="419">
      <c r="A419" s="5">
        <v>105.0</v>
      </c>
      <c r="B419" s="5" t="s">
        <v>784</v>
      </c>
      <c r="C419" s="5" t="s">
        <v>787</v>
      </c>
      <c r="D419" s="5" t="s">
        <v>6635</v>
      </c>
      <c r="E419" s="8">
        <f>vlookup(B419,Filmes_final!$B$2:$U$1001,20,FALSE)</f>
        <v>107544389</v>
      </c>
      <c r="F419" s="5">
        <f>vlookup(B419,Filmes_final!$B$2:$U$1001,3,FALSE)</f>
        <v>1987</v>
      </c>
      <c r="G419" s="5" t="str">
        <f>vlookup(B419,Filmes_final!$B$2:$U$1001,13,FALSE)</f>
        <v>Stanley Kubrick</v>
      </c>
    </row>
    <row r="420">
      <c r="A420" s="5">
        <v>105.0</v>
      </c>
      <c r="B420" s="5" t="s">
        <v>784</v>
      </c>
      <c r="C420" s="5" t="s">
        <v>788</v>
      </c>
      <c r="D420" s="5" t="s">
        <v>6636</v>
      </c>
      <c r="E420" s="8">
        <f>vlookup(B420,Filmes_final!$B$2:$U$1001,20,FALSE)</f>
        <v>107544389</v>
      </c>
      <c r="F420" s="5">
        <f>vlookup(B420,Filmes_final!$B$2:$U$1001,3,FALSE)</f>
        <v>1987</v>
      </c>
      <c r="G420" s="5" t="str">
        <f>vlookup(B420,Filmes_final!$B$2:$U$1001,13,FALSE)</f>
        <v>Stanley Kubrick</v>
      </c>
    </row>
    <row r="421">
      <c r="A421" s="5">
        <v>105.0</v>
      </c>
      <c r="B421" s="5" t="s">
        <v>784</v>
      </c>
      <c r="C421" s="5" t="s">
        <v>789</v>
      </c>
      <c r="D421" s="5" t="s">
        <v>6637</v>
      </c>
      <c r="E421" s="8">
        <f>vlookup(B421,Filmes_final!$B$2:$U$1001,20,FALSE)</f>
        <v>107544389</v>
      </c>
      <c r="F421" s="5">
        <f>vlookup(B421,Filmes_final!$B$2:$U$1001,3,FALSE)</f>
        <v>1987</v>
      </c>
      <c r="G421" s="5" t="str">
        <f>vlookup(B421,Filmes_final!$B$2:$U$1001,13,FALSE)</f>
        <v>Stanley Kubrick</v>
      </c>
    </row>
    <row r="422">
      <c r="A422" s="5">
        <v>106.0</v>
      </c>
      <c r="B422" s="5" t="s">
        <v>790</v>
      </c>
      <c r="C422" s="5" t="s">
        <v>793</v>
      </c>
      <c r="D422" s="5" t="s">
        <v>6634</v>
      </c>
      <c r="E422" s="8">
        <f>vlookup(B422,Filmes_final!$B$2:$U$1001,20,FALSE)</f>
        <v>175834</v>
      </c>
      <c r="F422" s="5">
        <f>vlookup(B422,Filmes_final!$B$2:$U$1001,3,FALSE)</f>
        <v>1985</v>
      </c>
      <c r="G422" s="5" t="str">
        <f>vlookup(B422,Filmes_final!$B$2:$U$1001,13,FALSE)</f>
        <v>Elem Klimov</v>
      </c>
    </row>
    <row r="423">
      <c r="A423" s="5">
        <v>106.0</v>
      </c>
      <c r="B423" s="5" t="s">
        <v>790</v>
      </c>
      <c r="C423" s="5" t="s">
        <v>794</v>
      </c>
      <c r="D423" s="5" t="s">
        <v>6635</v>
      </c>
      <c r="E423" s="8">
        <f>vlookup(B423,Filmes_final!$B$2:$U$1001,20,FALSE)</f>
        <v>175834</v>
      </c>
      <c r="F423" s="5">
        <f>vlookup(B423,Filmes_final!$B$2:$U$1001,3,FALSE)</f>
        <v>1985</v>
      </c>
      <c r="G423" s="5" t="str">
        <f>vlookup(B423,Filmes_final!$B$2:$U$1001,13,FALSE)</f>
        <v>Elem Klimov</v>
      </c>
    </row>
    <row r="424">
      <c r="A424" s="5">
        <v>106.0</v>
      </c>
      <c r="B424" s="5" t="s">
        <v>790</v>
      </c>
      <c r="C424" s="5" t="s">
        <v>795</v>
      </c>
      <c r="D424" s="5" t="s">
        <v>6636</v>
      </c>
      <c r="E424" s="8">
        <f>vlookup(B424,Filmes_final!$B$2:$U$1001,20,FALSE)</f>
        <v>175834</v>
      </c>
      <c r="F424" s="5">
        <f>vlookup(B424,Filmes_final!$B$2:$U$1001,3,FALSE)</f>
        <v>1985</v>
      </c>
      <c r="G424" s="5" t="str">
        <f>vlookup(B424,Filmes_final!$B$2:$U$1001,13,FALSE)</f>
        <v>Elem Klimov</v>
      </c>
    </row>
    <row r="425">
      <c r="A425" s="5">
        <v>106.0</v>
      </c>
      <c r="B425" s="5" t="s">
        <v>790</v>
      </c>
      <c r="C425" s="5" t="s">
        <v>796</v>
      </c>
      <c r="D425" s="5" t="s">
        <v>6637</v>
      </c>
      <c r="E425" s="8">
        <f>vlookup(B425,Filmes_final!$B$2:$U$1001,20,FALSE)</f>
        <v>175834</v>
      </c>
      <c r="F425" s="5">
        <f>vlookup(B425,Filmes_final!$B$2:$U$1001,3,FALSE)</f>
        <v>1985</v>
      </c>
      <c r="G425" s="5" t="str">
        <f>vlookup(B425,Filmes_final!$B$2:$U$1001,13,FALSE)</f>
        <v>Elem Klimov</v>
      </c>
    </row>
    <row r="426">
      <c r="A426" s="5">
        <v>107.0</v>
      </c>
      <c r="B426" s="5" t="s">
        <v>797</v>
      </c>
      <c r="C426" s="5" t="s">
        <v>583</v>
      </c>
      <c r="D426" s="5" t="s">
        <v>6634</v>
      </c>
      <c r="E426" s="8">
        <f>vlookup(B426,Filmes_final!$B$2:$U$1001,20,FALSE)</f>
        <v>200445934</v>
      </c>
      <c r="F426" s="5">
        <f>vlookup(B426,Filmes_final!$B$2:$U$1001,3,FALSE)</f>
        <v>1986</v>
      </c>
      <c r="G426" s="5" t="str">
        <f>vlookup(B426,Filmes_final!$B$2:$U$1001,13,FALSE)</f>
        <v>James Cameron</v>
      </c>
    </row>
    <row r="427">
      <c r="A427" s="5">
        <v>107.0</v>
      </c>
      <c r="B427" s="5" t="s">
        <v>797</v>
      </c>
      <c r="C427" s="5" t="s">
        <v>799</v>
      </c>
      <c r="D427" s="5" t="s">
        <v>6635</v>
      </c>
      <c r="E427" s="8">
        <f>vlookup(B427,Filmes_final!$B$2:$U$1001,20,FALSE)</f>
        <v>200445934</v>
      </c>
      <c r="F427" s="5">
        <f>vlookup(B427,Filmes_final!$B$2:$U$1001,3,FALSE)</f>
        <v>1986</v>
      </c>
      <c r="G427" s="5" t="str">
        <f>vlookup(B427,Filmes_final!$B$2:$U$1001,13,FALSE)</f>
        <v>James Cameron</v>
      </c>
    </row>
    <row r="428">
      <c r="A428" s="5">
        <v>107.0</v>
      </c>
      <c r="B428" s="5" t="s">
        <v>797</v>
      </c>
      <c r="C428" s="5" t="s">
        <v>800</v>
      </c>
      <c r="D428" s="5" t="s">
        <v>6636</v>
      </c>
      <c r="E428" s="8">
        <f>vlookup(B428,Filmes_final!$B$2:$U$1001,20,FALSE)</f>
        <v>200445934</v>
      </c>
      <c r="F428" s="5">
        <f>vlookup(B428,Filmes_final!$B$2:$U$1001,3,FALSE)</f>
        <v>1986</v>
      </c>
      <c r="G428" s="5" t="str">
        <f>vlookup(B428,Filmes_final!$B$2:$U$1001,13,FALSE)</f>
        <v>James Cameron</v>
      </c>
    </row>
    <row r="429">
      <c r="A429" s="5">
        <v>107.0</v>
      </c>
      <c r="B429" s="5" t="s">
        <v>797</v>
      </c>
      <c r="C429" s="5" t="s">
        <v>293</v>
      </c>
      <c r="D429" s="5" t="s">
        <v>6637</v>
      </c>
      <c r="E429" s="8">
        <f>vlookup(B429,Filmes_final!$B$2:$U$1001,20,FALSE)</f>
        <v>200445934</v>
      </c>
      <c r="F429" s="5">
        <f>vlookup(B429,Filmes_final!$B$2:$U$1001,3,FALSE)</f>
        <v>1986</v>
      </c>
      <c r="G429" s="5" t="str">
        <f>vlookup(B429,Filmes_final!$B$2:$U$1001,13,FALSE)</f>
        <v>James Cameron</v>
      </c>
    </row>
    <row r="430">
      <c r="A430" s="5">
        <v>108.0</v>
      </c>
      <c r="B430" s="5" t="s">
        <v>801</v>
      </c>
      <c r="C430" s="5" t="s">
        <v>803</v>
      </c>
      <c r="D430" s="5" t="s">
        <v>6634</v>
      </c>
      <c r="E430" s="8">
        <f>vlookup(B430,Filmes_final!$B$2:$U$1001,20,FALSE)</f>
        <v>131575410</v>
      </c>
      <c r="F430" s="5">
        <f>vlookup(B430,Filmes_final!$B$2:$U$1001,3,FALSE)</f>
        <v>1984</v>
      </c>
      <c r="G430" s="5" t="str">
        <f>vlookup(B430,Filmes_final!$B$2:$U$1001,13,FALSE)</f>
        <v>Milos Forman</v>
      </c>
    </row>
    <row r="431">
      <c r="A431" s="5">
        <v>108.0</v>
      </c>
      <c r="B431" s="5" t="s">
        <v>801</v>
      </c>
      <c r="C431" s="5" t="s">
        <v>804</v>
      </c>
      <c r="D431" s="5" t="s">
        <v>6635</v>
      </c>
      <c r="E431" s="8">
        <f>vlookup(B431,Filmes_final!$B$2:$U$1001,20,FALSE)</f>
        <v>131575410</v>
      </c>
      <c r="F431" s="5">
        <f>vlookup(B431,Filmes_final!$B$2:$U$1001,3,FALSE)</f>
        <v>1984</v>
      </c>
      <c r="G431" s="5" t="str">
        <f>vlookup(B431,Filmes_final!$B$2:$U$1001,13,FALSE)</f>
        <v>Milos Forman</v>
      </c>
    </row>
    <row r="432">
      <c r="A432" s="5">
        <v>108.0</v>
      </c>
      <c r="B432" s="5" t="s">
        <v>801</v>
      </c>
      <c r="C432" s="5" t="s">
        <v>805</v>
      </c>
      <c r="D432" s="5" t="s">
        <v>6636</v>
      </c>
      <c r="E432" s="8">
        <f>vlookup(B432,Filmes_final!$B$2:$U$1001,20,FALSE)</f>
        <v>131575410</v>
      </c>
      <c r="F432" s="5">
        <f>vlookup(B432,Filmes_final!$B$2:$U$1001,3,FALSE)</f>
        <v>1984</v>
      </c>
      <c r="G432" s="5" t="str">
        <f>vlookup(B432,Filmes_final!$B$2:$U$1001,13,FALSE)</f>
        <v>Milos Forman</v>
      </c>
    </row>
    <row r="433">
      <c r="A433" s="5">
        <v>108.0</v>
      </c>
      <c r="B433" s="5" t="s">
        <v>801</v>
      </c>
      <c r="C433" s="5" t="s">
        <v>806</v>
      </c>
      <c r="D433" s="5" t="s">
        <v>6637</v>
      </c>
      <c r="E433" s="8">
        <f>vlookup(B433,Filmes_final!$B$2:$U$1001,20,FALSE)</f>
        <v>131575410</v>
      </c>
      <c r="F433" s="5">
        <f>vlookup(B433,Filmes_final!$B$2:$U$1001,3,FALSE)</f>
        <v>1984</v>
      </c>
      <c r="G433" s="5" t="str">
        <f>vlookup(B433,Filmes_final!$B$2:$U$1001,13,FALSE)</f>
        <v>Milos Forman</v>
      </c>
    </row>
    <row r="434">
      <c r="A434" s="5">
        <v>109.0</v>
      </c>
      <c r="B434" s="5" t="s">
        <v>807</v>
      </c>
      <c r="C434" s="5" t="s">
        <v>33</v>
      </c>
      <c r="D434" s="5" t="s">
        <v>6634</v>
      </c>
      <c r="E434" s="8">
        <f>vlookup(B434,Filmes_final!$B$2:$U$1001,20,FALSE)</f>
        <v>120278272</v>
      </c>
      <c r="F434" s="5">
        <f>vlookup(B434,Filmes_final!$B$2:$U$1001,3,FALSE)</f>
        <v>1983</v>
      </c>
      <c r="G434" s="5" t="str">
        <f>vlookup(B434,Filmes_final!$B$2:$U$1001,13,FALSE)</f>
        <v>Brian De Palma</v>
      </c>
    </row>
    <row r="435">
      <c r="A435" s="5">
        <v>109.0</v>
      </c>
      <c r="B435" s="5" t="s">
        <v>807</v>
      </c>
      <c r="C435" s="5" t="s">
        <v>810</v>
      </c>
      <c r="D435" s="5" t="s">
        <v>6635</v>
      </c>
      <c r="E435" s="8">
        <f>vlookup(B435,Filmes_final!$B$2:$U$1001,20,FALSE)</f>
        <v>120278272</v>
      </c>
      <c r="F435" s="5">
        <f>vlookup(B435,Filmes_final!$B$2:$U$1001,3,FALSE)</f>
        <v>1983</v>
      </c>
      <c r="G435" s="5" t="str">
        <f>vlookup(B435,Filmes_final!$B$2:$U$1001,13,FALSE)</f>
        <v>Brian De Palma</v>
      </c>
    </row>
    <row r="436">
      <c r="A436" s="5">
        <v>109.0</v>
      </c>
      <c r="B436" s="5" t="s">
        <v>807</v>
      </c>
      <c r="C436" s="5" t="s">
        <v>811</v>
      </c>
      <c r="D436" s="5" t="s">
        <v>6636</v>
      </c>
      <c r="E436" s="8">
        <f>vlookup(B436,Filmes_final!$B$2:$U$1001,20,FALSE)</f>
        <v>120278272</v>
      </c>
      <c r="F436" s="5">
        <f>vlookup(B436,Filmes_final!$B$2:$U$1001,3,FALSE)</f>
        <v>1983</v>
      </c>
      <c r="G436" s="5" t="str">
        <f>vlookup(B436,Filmes_final!$B$2:$U$1001,13,FALSE)</f>
        <v>Brian De Palma</v>
      </c>
    </row>
    <row r="437">
      <c r="A437" s="5">
        <v>109.0</v>
      </c>
      <c r="B437" s="5" t="s">
        <v>807</v>
      </c>
      <c r="C437" s="5" t="s">
        <v>812</v>
      </c>
      <c r="D437" s="5" t="s">
        <v>6637</v>
      </c>
      <c r="E437" s="8">
        <f>vlookup(B437,Filmes_final!$B$2:$U$1001,20,FALSE)</f>
        <v>120278272</v>
      </c>
      <c r="F437" s="5">
        <f>vlookup(B437,Filmes_final!$B$2:$U$1001,3,FALSE)</f>
        <v>1983</v>
      </c>
      <c r="G437" s="5" t="str">
        <f>vlookup(B437,Filmes_final!$B$2:$U$1001,13,FALSE)</f>
        <v>Brian De Palma</v>
      </c>
    </row>
    <row r="438">
      <c r="A438" s="5">
        <v>110.0</v>
      </c>
      <c r="B438" s="5" t="s">
        <v>813</v>
      </c>
      <c r="C438" s="5" t="s">
        <v>148</v>
      </c>
      <c r="D438" s="5" t="s">
        <v>6634</v>
      </c>
      <c r="E438" s="8">
        <f>vlookup(B438,Filmes_final!$B$2:$U$1001,20,FALSE)</f>
        <v>815392546</v>
      </c>
      <c r="F438" s="5">
        <f>vlookup(B438,Filmes_final!$B$2:$U$1001,3,FALSE)</f>
        <v>1983</v>
      </c>
      <c r="G438" s="5" t="str">
        <f>vlookup(B438,Filmes_final!$B$2:$U$1001,13,FALSE)</f>
        <v>Richard Marquand</v>
      </c>
    </row>
    <row r="439">
      <c r="A439" s="5">
        <v>110.0</v>
      </c>
      <c r="B439" s="5" t="s">
        <v>813</v>
      </c>
      <c r="C439" s="5" t="s">
        <v>149</v>
      </c>
      <c r="D439" s="5" t="s">
        <v>6635</v>
      </c>
      <c r="E439" s="8">
        <f>vlookup(B439,Filmes_final!$B$2:$U$1001,20,FALSE)</f>
        <v>815392546</v>
      </c>
      <c r="F439" s="5">
        <f>vlookup(B439,Filmes_final!$B$2:$U$1001,3,FALSE)</f>
        <v>1983</v>
      </c>
      <c r="G439" s="5" t="str">
        <f>vlookup(B439,Filmes_final!$B$2:$U$1001,13,FALSE)</f>
        <v>Richard Marquand</v>
      </c>
    </row>
    <row r="440">
      <c r="A440" s="5">
        <v>110.0</v>
      </c>
      <c r="B440" s="5" t="s">
        <v>813</v>
      </c>
      <c r="C440" s="5" t="s">
        <v>150</v>
      </c>
      <c r="D440" s="5" t="s">
        <v>6636</v>
      </c>
      <c r="E440" s="8">
        <f>vlookup(B440,Filmes_final!$B$2:$U$1001,20,FALSE)</f>
        <v>815392546</v>
      </c>
      <c r="F440" s="5">
        <f>vlookup(B440,Filmes_final!$B$2:$U$1001,3,FALSE)</f>
        <v>1983</v>
      </c>
      <c r="G440" s="5" t="str">
        <f>vlookup(B440,Filmes_final!$B$2:$U$1001,13,FALSE)</f>
        <v>Richard Marquand</v>
      </c>
    </row>
    <row r="441">
      <c r="A441" s="5">
        <v>110.0</v>
      </c>
      <c r="B441" s="5" t="s">
        <v>813</v>
      </c>
      <c r="C441" s="5" t="s">
        <v>151</v>
      </c>
      <c r="D441" s="5" t="s">
        <v>6637</v>
      </c>
      <c r="E441" s="8">
        <f>vlookup(B441,Filmes_final!$B$2:$U$1001,20,FALSE)</f>
        <v>815392546</v>
      </c>
      <c r="F441" s="5">
        <f>vlookup(B441,Filmes_final!$B$2:$U$1001,3,FALSE)</f>
        <v>1983</v>
      </c>
      <c r="G441" s="5" t="str">
        <f>vlookup(B441,Filmes_final!$B$2:$U$1001,13,FALSE)</f>
        <v>Richard Marquand</v>
      </c>
    </row>
    <row r="442">
      <c r="A442" s="5">
        <v>111.0</v>
      </c>
      <c r="B442" s="5" t="s">
        <v>816</v>
      </c>
      <c r="C442" s="5" t="s">
        <v>820</v>
      </c>
      <c r="D442" s="5" t="s">
        <v>6634</v>
      </c>
      <c r="E442" s="8">
        <f>vlookup(B442,Filmes_final!$B$2:$U$1001,20,FALSE)</f>
        <v>34063072</v>
      </c>
      <c r="F442" s="5">
        <f>vlookup(B442,Filmes_final!$B$2:$U$1001,3,FALSE)</f>
        <v>1981</v>
      </c>
      <c r="G442" s="5" t="str">
        <f>vlookup(B442,Filmes_final!$B$2:$U$1001,13,FALSE)</f>
        <v>Wolfgang Petersen</v>
      </c>
    </row>
    <row r="443">
      <c r="A443" s="5">
        <v>111.0</v>
      </c>
      <c r="B443" s="5" t="s">
        <v>816</v>
      </c>
      <c r="C443" s="5" t="s">
        <v>821</v>
      </c>
      <c r="D443" s="5" t="s">
        <v>6635</v>
      </c>
      <c r="E443" s="8">
        <f>vlookup(B443,Filmes_final!$B$2:$U$1001,20,FALSE)</f>
        <v>34063072</v>
      </c>
      <c r="F443" s="5">
        <f>vlookup(B443,Filmes_final!$B$2:$U$1001,3,FALSE)</f>
        <v>1981</v>
      </c>
      <c r="G443" s="5" t="str">
        <f>vlookup(B443,Filmes_final!$B$2:$U$1001,13,FALSE)</f>
        <v>Wolfgang Petersen</v>
      </c>
    </row>
    <row r="444">
      <c r="A444" s="5">
        <v>111.0</v>
      </c>
      <c r="B444" s="5" t="s">
        <v>816</v>
      </c>
      <c r="C444" s="5" t="s">
        <v>822</v>
      </c>
      <c r="D444" s="5" t="s">
        <v>6636</v>
      </c>
      <c r="E444" s="8">
        <f>vlookup(B444,Filmes_final!$B$2:$U$1001,20,FALSE)</f>
        <v>34063072</v>
      </c>
      <c r="F444" s="5">
        <f>vlookup(B444,Filmes_final!$B$2:$U$1001,3,FALSE)</f>
        <v>1981</v>
      </c>
      <c r="G444" s="5" t="str">
        <f>vlookup(B444,Filmes_final!$B$2:$U$1001,13,FALSE)</f>
        <v>Wolfgang Petersen</v>
      </c>
    </row>
    <row r="445">
      <c r="A445" s="5">
        <v>111.0</v>
      </c>
      <c r="B445" s="5" t="s">
        <v>816</v>
      </c>
      <c r="C445" s="5" t="s">
        <v>823</v>
      </c>
      <c r="D445" s="5" t="s">
        <v>6637</v>
      </c>
      <c r="E445" s="8">
        <f>vlookup(B445,Filmes_final!$B$2:$U$1001,20,FALSE)</f>
        <v>34063072</v>
      </c>
      <c r="F445" s="5">
        <f>vlookup(B445,Filmes_final!$B$2:$U$1001,3,FALSE)</f>
        <v>1981</v>
      </c>
      <c r="G445" s="5" t="str">
        <f>vlookup(B445,Filmes_final!$B$2:$U$1001,13,FALSE)</f>
        <v>Wolfgang Petersen</v>
      </c>
    </row>
    <row r="446">
      <c r="A446" s="5">
        <v>112.0</v>
      </c>
      <c r="B446" s="5" t="s">
        <v>824</v>
      </c>
      <c r="C446" s="5" t="s">
        <v>49</v>
      </c>
      <c r="D446" s="5" t="s">
        <v>6634</v>
      </c>
      <c r="E446" s="8">
        <f>vlookup(B446,Filmes_final!$B$2:$U$1001,20,FALSE)</f>
        <v>131131735</v>
      </c>
      <c r="F446" s="5">
        <f>vlookup(B446,Filmes_final!$B$2:$U$1001,3,FALSE)</f>
        <v>1976</v>
      </c>
      <c r="G446" s="5" t="str">
        <f>vlookup(B446,Filmes_final!$B$2:$U$1001,13,FALSE)</f>
        <v>Martin Scorsese</v>
      </c>
    </row>
    <row r="447">
      <c r="A447" s="5">
        <v>112.0</v>
      </c>
      <c r="B447" s="5" t="s">
        <v>824</v>
      </c>
      <c r="C447" s="5" t="s">
        <v>244</v>
      </c>
      <c r="D447" s="5" t="s">
        <v>6635</v>
      </c>
      <c r="E447" s="8">
        <f>vlookup(B447,Filmes_final!$B$2:$U$1001,20,FALSE)</f>
        <v>131131735</v>
      </c>
      <c r="F447" s="5">
        <f>vlookup(B447,Filmes_final!$B$2:$U$1001,3,FALSE)</f>
        <v>1976</v>
      </c>
      <c r="G447" s="5" t="str">
        <f>vlookup(B447,Filmes_final!$B$2:$U$1001,13,FALSE)</f>
        <v>Martin Scorsese</v>
      </c>
    </row>
    <row r="448">
      <c r="A448" s="5">
        <v>112.0</v>
      </c>
      <c r="B448" s="5" t="s">
        <v>824</v>
      </c>
      <c r="C448" s="5" t="s">
        <v>827</v>
      </c>
      <c r="D448" s="5" t="s">
        <v>6636</v>
      </c>
      <c r="E448" s="8">
        <f>vlookup(B448,Filmes_final!$B$2:$U$1001,20,FALSE)</f>
        <v>131131735</v>
      </c>
      <c r="F448" s="5">
        <f>vlookup(B448,Filmes_final!$B$2:$U$1001,3,FALSE)</f>
        <v>1976</v>
      </c>
      <c r="G448" s="5" t="str">
        <f>vlookup(B448,Filmes_final!$B$2:$U$1001,13,FALSE)</f>
        <v>Martin Scorsese</v>
      </c>
    </row>
    <row r="449">
      <c r="A449" s="5">
        <v>112.0</v>
      </c>
      <c r="B449" s="5" t="s">
        <v>824</v>
      </c>
      <c r="C449" s="5" t="s">
        <v>828</v>
      </c>
      <c r="D449" s="5" t="s">
        <v>6637</v>
      </c>
      <c r="E449" s="8">
        <f>vlookup(B449,Filmes_final!$B$2:$U$1001,20,FALSE)</f>
        <v>131131735</v>
      </c>
      <c r="F449" s="5">
        <f>vlookup(B449,Filmes_final!$B$2:$U$1001,3,FALSE)</f>
        <v>1976</v>
      </c>
      <c r="G449" s="5" t="str">
        <f>vlookup(B449,Filmes_final!$B$2:$U$1001,13,FALSE)</f>
        <v>Martin Scorsese</v>
      </c>
    </row>
    <row r="450">
      <c r="A450" s="5">
        <v>113.0</v>
      </c>
      <c r="B450" s="5" t="s">
        <v>829</v>
      </c>
      <c r="C450" s="5" t="s">
        <v>834</v>
      </c>
      <c r="D450" s="5" t="s">
        <v>6634</v>
      </c>
      <c r="E450" s="8">
        <f>vlookup(B450,Filmes_final!$B$2:$U$1001,20,FALSE)</f>
        <v>966482902</v>
      </c>
      <c r="F450" s="5">
        <f>vlookup(B450,Filmes_final!$B$2:$U$1001,3,FALSE)</f>
        <v>1973</v>
      </c>
      <c r="G450" s="5" t="str">
        <f>vlookup(B450,Filmes_final!$B$2:$U$1001,13,FALSE)</f>
        <v>George Roy Hill</v>
      </c>
    </row>
    <row r="451">
      <c r="A451" s="5">
        <v>113.0</v>
      </c>
      <c r="B451" s="5" t="s">
        <v>829</v>
      </c>
      <c r="C451" s="5" t="s">
        <v>835</v>
      </c>
      <c r="D451" s="5" t="s">
        <v>6635</v>
      </c>
      <c r="E451" s="8">
        <f>vlookup(B451,Filmes_final!$B$2:$U$1001,20,FALSE)</f>
        <v>966482902</v>
      </c>
      <c r="F451" s="5">
        <f>vlookup(B451,Filmes_final!$B$2:$U$1001,3,FALSE)</f>
        <v>1973</v>
      </c>
      <c r="G451" s="5" t="str">
        <f>vlookup(B451,Filmes_final!$B$2:$U$1001,13,FALSE)</f>
        <v>George Roy Hill</v>
      </c>
    </row>
    <row r="452">
      <c r="A452" s="5">
        <v>113.0</v>
      </c>
      <c r="B452" s="5" t="s">
        <v>829</v>
      </c>
      <c r="C452" s="5" t="s">
        <v>836</v>
      </c>
      <c r="D452" s="5" t="s">
        <v>6636</v>
      </c>
      <c r="E452" s="8">
        <f>vlookup(B452,Filmes_final!$B$2:$U$1001,20,FALSE)</f>
        <v>966482902</v>
      </c>
      <c r="F452" s="5">
        <f>vlookup(B452,Filmes_final!$B$2:$U$1001,3,FALSE)</f>
        <v>1973</v>
      </c>
      <c r="G452" s="5" t="str">
        <f>vlookup(B452,Filmes_final!$B$2:$U$1001,13,FALSE)</f>
        <v>George Roy Hill</v>
      </c>
    </row>
    <row r="453">
      <c r="A453" s="5">
        <v>113.0</v>
      </c>
      <c r="B453" s="5" t="s">
        <v>829</v>
      </c>
      <c r="C453" s="5" t="s">
        <v>837</v>
      </c>
      <c r="D453" s="5" t="s">
        <v>6637</v>
      </c>
      <c r="E453" s="8">
        <f>vlookup(B453,Filmes_final!$B$2:$U$1001,20,FALSE)</f>
        <v>966482902</v>
      </c>
      <c r="F453" s="5">
        <f>vlookup(B453,Filmes_final!$B$2:$U$1001,3,FALSE)</f>
        <v>1973</v>
      </c>
      <c r="G453" s="5" t="str">
        <f>vlookup(B453,Filmes_final!$B$2:$U$1001,13,FALSE)</f>
        <v>George Roy Hill</v>
      </c>
    </row>
    <row r="454">
      <c r="A454" s="5">
        <v>114.0</v>
      </c>
      <c r="B454" s="5" t="s">
        <v>838</v>
      </c>
      <c r="C454" s="5" t="s">
        <v>841</v>
      </c>
      <c r="D454" s="5" t="s">
        <v>6634</v>
      </c>
      <c r="E454" s="8">
        <f>vlookup(B454,Filmes_final!$B$2:$U$1001,20,FALSE)</f>
        <v>40236508</v>
      </c>
      <c r="F454" s="5">
        <f>vlookup(B454,Filmes_final!$B$2:$U$1001,3,FALSE)</f>
        <v>1971</v>
      </c>
      <c r="G454" s="5" t="str">
        <f>vlookup(B454,Filmes_final!$B$2:$U$1001,13,FALSE)</f>
        <v>Stanley Kubrick</v>
      </c>
    </row>
    <row r="455">
      <c r="A455" s="5">
        <v>114.0</v>
      </c>
      <c r="B455" s="5" t="s">
        <v>838</v>
      </c>
      <c r="C455" s="5" t="s">
        <v>842</v>
      </c>
      <c r="D455" s="5" t="s">
        <v>6635</v>
      </c>
      <c r="E455" s="8">
        <f>vlookup(B455,Filmes_final!$B$2:$U$1001,20,FALSE)</f>
        <v>40236508</v>
      </c>
      <c r="F455" s="5">
        <f>vlookup(B455,Filmes_final!$B$2:$U$1001,3,FALSE)</f>
        <v>1971</v>
      </c>
      <c r="G455" s="5" t="str">
        <f>vlookup(B455,Filmes_final!$B$2:$U$1001,13,FALSE)</f>
        <v>Stanley Kubrick</v>
      </c>
    </row>
    <row r="456">
      <c r="A456" s="5">
        <v>114.0</v>
      </c>
      <c r="B456" s="5" t="s">
        <v>838</v>
      </c>
      <c r="C456" s="5" t="s">
        <v>843</v>
      </c>
      <c r="D456" s="5" t="s">
        <v>6636</v>
      </c>
      <c r="E456" s="8">
        <f>vlookup(B456,Filmes_final!$B$2:$U$1001,20,FALSE)</f>
        <v>40236508</v>
      </c>
      <c r="F456" s="5">
        <f>vlookup(B456,Filmes_final!$B$2:$U$1001,3,FALSE)</f>
        <v>1971</v>
      </c>
      <c r="G456" s="5" t="str">
        <f>vlookup(B456,Filmes_final!$B$2:$U$1001,13,FALSE)</f>
        <v>Stanley Kubrick</v>
      </c>
    </row>
    <row r="457">
      <c r="A457" s="5">
        <v>114.0</v>
      </c>
      <c r="B457" s="5" t="s">
        <v>838</v>
      </c>
      <c r="C457" s="5" t="s">
        <v>844</v>
      </c>
      <c r="D457" s="5" t="s">
        <v>6637</v>
      </c>
      <c r="E457" s="8">
        <f>vlookup(B457,Filmes_final!$B$2:$U$1001,20,FALSE)</f>
        <v>40236508</v>
      </c>
      <c r="F457" s="5">
        <f>vlookup(B457,Filmes_final!$B$2:$U$1001,3,FALSE)</f>
        <v>1971</v>
      </c>
      <c r="G457" s="5" t="str">
        <f>vlookup(B457,Filmes_final!$B$2:$U$1001,13,FALSE)</f>
        <v>Stanley Kubrick</v>
      </c>
    </row>
    <row r="458">
      <c r="A458" s="5">
        <v>115.0</v>
      </c>
      <c r="B458" s="5" t="s">
        <v>845</v>
      </c>
      <c r="C458" s="5" t="s">
        <v>848</v>
      </c>
      <c r="D458" s="5" t="s">
        <v>6634</v>
      </c>
      <c r="E458" s="8">
        <f>vlookup(B458,Filmes_final!$B$2:$U$1001,20,FALSE)</f>
        <v>430872030</v>
      </c>
      <c r="F458" s="5">
        <f>vlookup(B458,Filmes_final!$B$2:$U$1001,3,FALSE)</f>
        <v>1968</v>
      </c>
      <c r="G458" s="5" t="str">
        <f>vlookup(B458,Filmes_final!$B$2:$U$1001,13,FALSE)</f>
        <v>Stanley Kubrick</v>
      </c>
    </row>
    <row r="459">
      <c r="A459" s="5">
        <v>115.0</v>
      </c>
      <c r="B459" s="5" t="s">
        <v>845</v>
      </c>
      <c r="C459" s="5" t="s">
        <v>849</v>
      </c>
      <c r="D459" s="5" t="s">
        <v>6635</v>
      </c>
      <c r="E459" s="8">
        <f>vlookup(B459,Filmes_final!$B$2:$U$1001,20,FALSE)</f>
        <v>430872030</v>
      </c>
      <c r="F459" s="5">
        <f>vlookup(B459,Filmes_final!$B$2:$U$1001,3,FALSE)</f>
        <v>1968</v>
      </c>
      <c r="G459" s="5" t="str">
        <f>vlookup(B459,Filmes_final!$B$2:$U$1001,13,FALSE)</f>
        <v>Stanley Kubrick</v>
      </c>
    </row>
    <row r="460">
      <c r="A460" s="5">
        <v>115.0</v>
      </c>
      <c r="B460" s="5" t="s">
        <v>845</v>
      </c>
      <c r="C460" s="5" t="s">
        <v>850</v>
      </c>
      <c r="D460" s="5" t="s">
        <v>6636</v>
      </c>
      <c r="E460" s="8">
        <f>vlookup(B460,Filmes_final!$B$2:$U$1001,20,FALSE)</f>
        <v>430872030</v>
      </c>
      <c r="F460" s="5">
        <f>vlookup(B460,Filmes_final!$B$2:$U$1001,3,FALSE)</f>
        <v>1968</v>
      </c>
      <c r="G460" s="5" t="str">
        <f>vlookup(B460,Filmes_final!$B$2:$U$1001,13,FALSE)</f>
        <v>Stanley Kubrick</v>
      </c>
    </row>
    <row r="461">
      <c r="A461" s="5">
        <v>115.0</v>
      </c>
      <c r="B461" s="5" t="s">
        <v>845</v>
      </c>
      <c r="C461" s="5" t="s">
        <v>851</v>
      </c>
      <c r="D461" s="5" t="s">
        <v>6637</v>
      </c>
      <c r="E461" s="8">
        <f>vlookup(B461,Filmes_final!$B$2:$U$1001,20,FALSE)</f>
        <v>430872030</v>
      </c>
      <c r="F461" s="5">
        <f>vlookup(B461,Filmes_final!$B$2:$U$1001,3,FALSE)</f>
        <v>1968</v>
      </c>
      <c r="G461" s="5" t="str">
        <f>vlookup(B461,Filmes_final!$B$2:$U$1001,13,FALSE)</f>
        <v>Stanley Kubrick</v>
      </c>
    </row>
    <row r="462">
      <c r="A462" s="5">
        <v>116.0</v>
      </c>
      <c r="B462" s="5" t="s">
        <v>852</v>
      </c>
      <c r="C462" s="5" t="s">
        <v>119</v>
      </c>
      <c r="D462" s="5" t="s">
        <v>6634</v>
      </c>
      <c r="E462" s="8">
        <f>vlookup(B462,Filmes_final!$B$2:$U$1001,20,FALSE)</f>
        <v>124024519</v>
      </c>
      <c r="F462" s="5">
        <f>vlookup(B462,Filmes_final!$B$2:$U$1001,3,FALSE)</f>
        <v>1965</v>
      </c>
      <c r="G462" s="5" t="str">
        <f>vlookup(B462,Filmes_final!$B$2:$U$1001,13,FALSE)</f>
        <v>Sergio Leone</v>
      </c>
    </row>
    <row r="463">
      <c r="A463" s="5">
        <v>116.0</v>
      </c>
      <c r="B463" s="5" t="s">
        <v>852</v>
      </c>
      <c r="C463" s="5" t="s">
        <v>121</v>
      </c>
      <c r="D463" s="5" t="s">
        <v>6635</v>
      </c>
      <c r="E463" s="8">
        <f>vlookup(B463,Filmes_final!$B$2:$U$1001,20,FALSE)</f>
        <v>124024519</v>
      </c>
      <c r="F463" s="5">
        <f>vlookup(B463,Filmes_final!$B$2:$U$1001,3,FALSE)</f>
        <v>1965</v>
      </c>
      <c r="G463" s="5" t="str">
        <f>vlookup(B463,Filmes_final!$B$2:$U$1001,13,FALSE)</f>
        <v>Sergio Leone</v>
      </c>
    </row>
    <row r="464">
      <c r="A464" s="5">
        <v>116.0</v>
      </c>
      <c r="B464" s="5" t="s">
        <v>852</v>
      </c>
      <c r="C464" s="5" t="s">
        <v>854</v>
      </c>
      <c r="D464" s="5" t="s">
        <v>6636</v>
      </c>
      <c r="E464" s="8">
        <f>vlookup(B464,Filmes_final!$B$2:$U$1001,20,FALSE)</f>
        <v>124024519</v>
      </c>
      <c r="F464" s="5">
        <f>vlookup(B464,Filmes_final!$B$2:$U$1001,3,FALSE)</f>
        <v>1965</v>
      </c>
      <c r="G464" s="5" t="str">
        <f>vlookup(B464,Filmes_final!$B$2:$U$1001,13,FALSE)</f>
        <v>Sergio Leone</v>
      </c>
    </row>
    <row r="465">
      <c r="A465" s="5">
        <v>116.0</v>
      </c>
      <c r="B465" s="5" t="s">
        <v>852</v>
      </c>
      <c r="C465" s="5" t="s">
        <v>855</v>
      </c>
      <c r="D465" s="5" t="s">
        <v>6637</v>
      </c>
      <c r="E465" s="8">
        <f>vlookup(B465,Filmes_final!$B$2:$U$1001,20,FALSE)</f>
        <v>124024519</v>
      </c>
      <c r="F465" s="5">
        <f>vlookup(B465,Filmes_final!$B$2:$U$1001,3,FALSE)</f>
        <v>1965</v>
      </c>
      <c r="G465" s="5" t="str">
        <f>vlookup(B465,Filmes_final!$B$2:$U$1001,13,FALSE)</f>
        <v>Sergio Leone</v>
      </c>
    </row>
    <row r="466">
      <c r="A466" s="5">
        <v>117.0</v>
      </c>
      <c r="B466" s="5" t="s">
        <v>856</v>
      </c>
      <c r="C466" s="5" t="s">
        <v>861</v>
      </c>
      <c r="D466" s="5" t="s">
        <v>6634</v>
      </c>
      <c r="E466" s="8">
        <f>vlookup(B466,Filmes_final!$B$2:$U$1001,20,FALSE)</f>
        <v>385444308</v>
      </c>
      <c r="F466" s="5">
        <f>vlookup(B466,Filmes_final!$B$2:$U$1001,3,FALSE)</f>
        <v>1962</v>
      </c>
      <c r="G466" s="5" t="str">
        <f>vlookup(B466,Filmes_final!$B$2:$U$1001,13,FALSE)</f>
        <v>David Lean</v>
      </c>
    </row>
    <row r="467">
      <c r="A467" s="5">
        <v>117.0</v>
      </c>
      <c r="B467" s="5" t="s">
        <v>856</v>
      </c>
      <c r="C467" s="5" t="s">
        <v>252</v>
      </c>
      <c r="D467" s="5" t="s">
        <v>6635</v>
      </c>
      <c r="E467" s="8">
        <f>vlookup(B467,Filmes_final!$B$2:$U$1001,20,FALSE)</f>
        <v>385444308</v>
      </c>
      <c r="F467" s="5">
        <f>vlookup(B467,Filmes_final!$B$2:$U$1001,3,FALSE)</f>
        <v>1962</v>
      </c>
      <c r="G467" s="5" t="str">
        <f>vlookup(B467,Filmes_final!$B$2:$U$1001,13,FALSE)</f>
        <v>David Lean</v>
      </c>
    </row>
    <row r="468">
      <c r="A468" s="5">
        <v>117.0</v>
      </c>
      <c r="B468" s="5" t="s">
        <v>856</v>
      </c>
      <c r="C468" s="5" t="s">
        <v>862</v>
      </c>
      <c r="D468" s="5" t="s">
        <v>6636</v>
      </c>
      <c r="E468" s="8">
        <f>vlookup(B468,Filmes_final!$B$2:$U$1001,20,FALSE)</f>
        <v>385444308</v>
      </c>
      <c r="F468" s="5">
        <f>vlookup(B468,Filmes_final!$B$2:$U$1001,3,FALSE)</f>
        <v>1962</v>
      </c>
      <c r="G468" s="5" t="str">
        <f>vlookup(B468,Filmes_final!$B$2:$U$1001,13,FALSE)</f>
        <v>David Lean</v>
      </c>
    </row>
    <row r="469">
      <c r="A469" s="5">
        <v>117.0</v>
      </c>
      <c r="B469" s="5" t="s">
        <v>856</v>
      </c>
      <c r="C469" s="5" t="s">
        <v>863</v>
      </c>
      <c r="D469" s="5" t="s">
        <v>6637</v>
      </c>
      <c r="E469" s="8">
        <f>vlookup(B469,Filmes_final!$B$2:$U$1001,20,FALSE)</f>
        <v>385444308</v>
      </c>
      <c r="F469" s="5">
        <f>vlookup(B469,Filmes_final!$B$2:$U$1001,3,FALSE)</f>
        <v>1962</v>
      </c>
      <c r="G469" s="5" t="str">
        <f>vlookup(B469,Filmes_final!$B$2:$U$1001,13,FALSE)</f>
        <v>David Lean</v>
      </c>
    </row>
    <row r="470">
      <c r="A470" s="5">
        <v>118.0</v>
      </c>
      <c r="B470" s="5" t="s">
        <v>864</v>
      </c>
      <c r="C470" s="5" t="s">
        <v>866</v>
      </c>
      <c r="D470" s="5" t="s">
        <v>6634</v>
      </c>
      <c r="E470" s="8">
        <f>vlookup(B470,Filmes_final!$B$2:$U$1001,20,FALSE)</f>
        <v>163763160</v>
      </c>
      <c r="F470" s="5">
        <f>vlookup(B470,Filmes_final!$B$2:$U$1001,3,FALSE)</f>
        <v>1960</v>
      </c>
      <c r="G470" s="5" t="str">
        <f>vlookup(B470,Filmes_final!$B$2:$U$1001,13,FALSE)</f>
        <v>Billy Wilder</v>
      </c>
    </row>
    <row r="471">
      <c r="A471" s="5">
        <v>118.0</v>
      </c>
      <c r="B471" s="5" t="s">
        <v>864</v>
      </c>
      <c r="C471" s="5" t="s">
        <v>867</v>
      </c>
      <c r="D471" s="5" t="s">
        <v>6635</v>
      </c>
      <c r="E471" s="8">
        <f>vlookup(B471,Filmes_final!$B$2:$U$1001,20,FALSE)</f>
        <v>163763160</v>
      </c>
      <c r="F471" s="5">
        <f>vlookup(B471,Filmes_final!$B$2:$U$1001,3,FALSE)</f>
        <v>1960</v>
      </c>
      <c r="G471" s="5" t="str">
        <f>vlookup(B471,Filmes_final!$B$2:$U$1001,13,FALSE)</f>
        <v>Billy Wilder</v>
      </c>
    </row>
    <row r="472">
      <c r="A472" s="5">
        <v>118.0</v>
      </c>
      <c r="B472" s="5" t="s">
        <v>864</v>
      </c>
      <c r="C472" s="5" t="s">
        <v>868</v>
      </c>
      <c r="D472" s="5" t="s">
        <v>6636</v>
      </c>
      <c r="E472" s="8">
        <f>vlookup(B472,Filmes_final!$B$2:$U$1001,20,FALSE)</f>
        <v>163763160</v>
      </c>
      <c r="F472" s="5">
        <f>vlookup(B472,Filmes_final!$B$2:$U$1001,3,FALSE)</f>
        <v>1960</v>
      </c>
      <c r="G472" s="5" t="str">
        <f>vlookup(B472,Filmes_final!$B$2:$U$1001,13,FALSE)</f>
        <v>Billy Wilder</v>
      </c>
    </row>
    <row r="473">
      <c r="A473" s="5">
        <v>118.0</v>
      </c>
      <c r="B473" s="5" t="s">
        <v>864</v>
      </c>
      <c r="C473" s="5" t="s">
        <v>869</v>
      </c>
      <c r="D473" s="5" t="s">
        <v>6637</v>
      </c>
      <c r="E473" s="8">
        <f>vlookup(B473,Filmes_final!$B$2:$U$1001,20,FALSE)</f>
        <v>163763160</v>
      </c>
      <c r="F473" s="5">
        <f>vlookup(B473,Filmes_final!$B$2:$U$1001,3,FALSE)</f>
        <v>1960</v>
      </c>
      <c r="G473" s="5" t="str">
        <f>vlookup(B473,Filmes_final!$B$2:$U$1001,13,FALSE)</f>
        <v>Billy Wilder</v>
      </c>
    </row>
    <row r="474">
      <c r="A474" s="5">
        <v>119.0</v>
      </c>
      <c r="B474" s="5" t="s">
        <v>870</v>
      </c>
      <c r="C474" s="5" t="s">
        <v>873</v>
      </c>
      <c r="D474" s="5" t="s">
        <v>6634</v>
      </c>
      <c r="E474" s="8">
        <f>vlookup(B474,Filmes_final!$B$2:$U$1001,20,FALSE)</f>
        <v>118088449</v>
      </c>
      <c r="F474" s="5">
        <f>vlookup(B474,Filmes_final!$B$2:$U$1001,3,FALSE)</f>
        <v>1959</v>
      </c>
      <c r="G474" s="5" t="str">
        <f>vlookup(B474,Filmes_final!$B$2:$U$1001,13,FALSE)</f>
        <v>Alfred Hitchcock</v>
      </c>
    </row>
    <row r="475">
      <c r="A475" s="5">
        <v>119.0</v>
      </c>
      <c r="B475" s="5" t="s">
        <v>870</v>
      </c>
      <c r="C475" s="5" t="s">
        <v>874</v>
      </c>
      <c r="D475" s="5" t="s">
        <v>6635</v>
      </c>
      <c r="E475" s="8">
        <f>vlookup(B475,Filmes_final!$B$2:$U$1001,20,FALSE)</f>
        <v>118088449</v>
      </c>
      <c r="F475" s="5">
        <f>vlookup(B475,Filmes_final!$B$2:$U$1001,3,FALSE)</f>
        <v>1959</v>
      </c>
      <c r="G475" s="5" t="str">
        <f>vlookup(B475,Filmes_final!$B$2:$U$1001,13,FALSE)</f>
        <v>Alfred Hitchcock</v>
      </c>
    </row>
    <row r="476">
      <c r="A476" s="5">
        <v>119.0</v>
      </c>
      <c r="B476" s="5" t="s">
        <v>870</v>
      </c>
      <c r="C476" s="5" t="s">
        <v>875</v>
      </c>
      <c r="D476" s="5" t="s">
        <v>6636</v>
      </c>
      <c r="E476" s="8">
        <f>vlookup(B476,Filmes_final!$B$2:$U$1001,20,FALSE)</f>
        <v>118088449</v>
      </c>
      <c r="F476" s="5">
        <f>vlookup(B476,Filmes_final!$B$2:$U$1001,3,FALSE)</f>
        <v>1959</v>
      </c>
      <c r="G476" s="5" t="str">
        <f>vlookup(B476,Filmes_final!$B$2:$U$1001,13,FALSE)</f>
        <v>Alfred Hitchcock</v>
      </c>
    </row>
    <row r="477">
      <c r="A477" s="5">
        <v>119.0</v>
      </c>
      <c r="B477" s="5" t="s">
        <v>870</v>
      </c>
      <c r="C477" s="5" t="s">
        <v>876</v>
      </c>
      <c r="D477" s="5" t="s">
        <v>6637</v>
      </c>
      <c r="E477" s="8">
        <f>vlookup(B477,Filmes_final!$B$2:$U$1001,20,FALSE)</f>
        <v>118088449</v>
      </c>
      <c r="F477" s="5">
        <f>vlookup(B477,Filmes_final!$B$2:$U$1001,3,FALSE)</f>
        <v>1959</v>
      </c>
      <c r="G477" s="5" t="str">
        <f>vlookup(B477,Filmes_final!$B$2:$U$1001,13,FALSE)</f>
        <v>Alfred Hitchcock</v>
      </c>
    </row>
    <row r="478">
      <c r="A478" s="5">
        <v>120.0</v>
      </c>
      <c r="B478" s="5" t="s">
        <v>877</v>
      </c>
      <c r="C478" s="5" t="s">
        <v>274</v>
      </c>
      <c r="D478" s="5" t="s">
        <v>6634</v>
      </c>
      <c r="E478" s="8">
        <f>vlookup(B478,Filmes_final!$B$2:$U$1001,20,FALSE)</f>
        <v>28863888</v>
      </c>
      <c r="F478" s="5">
        <f>vlookup(B478,Filmes_final!$B$2:$U$1001,3,FALSE)</f>
        <v>1958</v>
      </c>
      <c r="G478" s="5" t="str">
        <f>vlookup(B478,Filmes_final!$B$2:$U$1001,13,FALSE)</f>
        <v>Alfred Hitchcock</v>
      </c>
    </row>
    <row r="479">
      <c r="A479" s="5">
        <v>120.0</v>
      </c>
      <c r="B479" s="5" t="s">
        <v>877</v>
      </c>
      <c r="C479" s="5" t="s">
        <v>881</v>
      </c>
      <c r="D479" s="5" t="s">
        <v>6635</v>
      </c>
      <c r="E479" s="8">
        <f>vlookup(B479,Filmes_final!$B$2:$U$1001,20,FALSE)</f>
        <v>28863888</v>
      </c>
      <c r="F479" s="5">
        <f>vlookup(B479,Filmes_final!$B$2:$U$1001,3,FALSE)</f>
        <v>1958</v>
      </c>
      <c r="G479" s="5" t="str">
        <f>vlookup(B479,Filmes_final!$B$2:$U$1001,13,FALSE)</f>
        <v>Alfred Hitchcock</v>
      </c>
    </row>
    <row r="480">
      <c r="A480" s="5">
        <v>120.0</v>
      </c>
      <c r="B480" s="5" t="s">
        <v>877</v>
      </c>
      <c r="C480" s="5" t="s">
        <v>882</v>
      </c>
      <c r="D480" s="5" t="s">
        <v>6636</v>
      </c>
      <c r="E480" s="8">
        <f>vlookup(B480,Filmes_final!$B$2:$U$1001,20,FALSE)</f>
        <v>28863888</v>
      </c>
      <c r="F480" s="5">
        <f>vlookup(B480,Filmes_final!$B$2:$U$1001,3,FALSE)</f>
        <v>1958</v>
      </c>
      <c r="G480" s="5" t="str">
        <f>vlookup(B480,Filmes_final!$B$2:$U$1001,13,FALSE)</f>
        <v>Alfred Hitchcock</v>
      </c>
    </row>
    <row r="481">
      <c r="A481" s="5">
        <v>120.0</v>
      </c>
      <c r="B481" s="5" t="s">
        <v>877</v>
      </c>
      <c r="C481" s="5" t="s">
        <v>883</v>
      </c>
      <c r="D481" s="5" t="s">
        <v>6637</v>
      </c>
      <c r="E481" s="8">
        <f>vlookup(B481,Filmes_final!$B$2:$U$1001,20,FALSE)</f>
        <v>28863888</v>
      </c>
      <c r="F481" s="5">
        <f>vlookup(B481,Filmes_final!$B$2:$U$1001,3,FALSE)</f>
        <v>1958</v>
      </c>
      <c r="G481" s="5" t="str">
        <f>vlookup(B481,Filmes_final!$B$2:$U$1001,13,FALSE)</f>
        <v>Alfred Hitchcock</v>
      </c>
    </row>
    <row r="482">
      <c r="A482" s="5">
        <v>121.0</v>
      </c>
      <c r="B482" s="5" t="s">
        <v>884</v>
      </c>
      <c r="C482" s="5" t="s">
        <v>889</v>
      </c>
      <c r="D482" s="5" t="s">
        <v>6634</v>
      </c>
      <c r="E482" s="8">
        <f>vlookup(B482,Filmes_final!$B$2:$U$1001,20,FALSE)</f>
        <v>85851074</v>
      </c>
      <c r="F482" s="5">
        <f>vlookup(B482,Filmes_final!$B$2:$U$1001,3,FALSE)</f>
        <v>1952</v>
      </c>
      <c r="G482" s="5" t="str">
        <f>vlookup(B482,Filmes_final!$B$2:$U$1001,13,FALSE)</f>
        <v>Stanley Donen</v>
      </c>
    </row>
    <row r="483">
      <c r="A483" s="5">
        <v>121.0</v>
      </c>
      <c r="B483" s="5" t="s">
        <v>884</v>
      </c>
      <c r="C483" s="5" t="s">
        <v>889</v>
      </c>
      <c r="D483" s="5" t="s">
        <v>6635</v>
      </c>
      <c r="E483" s="8">
        <f>vlookup(B483,Filmes_final!$B$2:$U$1001,20,FALSE)</f>
        <v>85851074</v>
      </c>
      <c r="F483" s="5">
        <f>vlookup(B483,Filmes_final!$B$2:$U$1001,3,FALSE)</f>
        <v>1952</v>
      </c>
      <c r="G483" s="5" t="str">
        <f>vlookup(B483,Filmes_final!$B$2:$U$1001,13,FALSE)</f>
        <v>Stanley Donen</v>
      </c>
    </row>
    <row r="484">
      <c r="A484" s="5">
        <v>121.0</v>
      </c>
      <c r="B484" s="5" t="s">
        <v>884</v>
      </c>
      <c r="C484" s="5" t="s">
        <v>890</v>
      </c>
      <c r="D484" s="5" t="s">
        <v>6636</v>
      </c>
      <c r="E484" s="8">
        <f>vlookup(B484,Filmes_final!$B$2:$U$1001,20,FALSE)</f>
        <v>85851074</v>
      </c>
      <c r="F484" s="5">
        <f>vlookup(B484,Filmes_final!$B$2:$U$1001,3,FALSE)</f>
        <v>1952</v>
      </c>
      <c r="G484" s="5" t="str">
        <f>vlookup(B484,Filmes_final!$B$2:$U$1001,13,FALSE)</f>
        <v>Stanley Donen</v>
      </c>
    </row>
    <row r="485">
      <c r="A485" s="5">
        <v>121.0</v>
      </c>
      <c r="B485" s="5" t="s">
        <v>884</v>
      </c>
      <c r="C485" s="5" t="s">
        <v>891</v>
      </c>
      <c r="D485" s="5" t="s">
        <v>6637</v>
      </c>
      <c r="E485" s="8">
        <f>vlookup(B485,Filmes_final!$B$2:$U$1001,20,FALSE)</f>
        <v>85851074</v>
      </c>
      <c r="F485" s="5">
        <f>vlookup(B485,Filmes_final!$B$2:$U$1001,3,FALSE)</f>
        <v>1952</v>
      </c>
      <c r="G485" s="5" t="str">
        <f>vlookup(B485,Filmes_final!$B$2:$U$1001,13,FALSE)</f>
        <v>Stanley Donen</v>
      </c>
    </row>
    <row r="486">
      <c r="A486" s="5">
        <v>122.0</v>
      </c>
      <c r="B486" s="5" t="s">
        <v>892</v>
      </c>
      <c r="C486" s="5" t="s">
        <v>266</v>
      </c>
      <c r="D486" s="5" t="s">
        <v>6634</v>
      </c>
      <c r="E486" s="8">
        <f>vlookup(B486,Filmes_final!$B$2:$U$1001,20,FALSE)</f>
        <v>537748</v>
      </c>
      <c r="F486" s="5">
        <f>vlookup(B486,Filmes_final!$B$2:$U$1001,3,FALSE)</f>
        <v>1952</v>
      </c>
      <c r="G486" s="5" t="str">
        <f>vlookup(B486,Filmes_final!$B$2:$U$1001,13,FALSE)</f>
        <v>Akira Kurosawa</v>
      </c>
    </row>
    <row r="487">
      <c r="A487" s="5">
        <v>122.0</v>
      </c>
      <c r="B487" s="5" t="s">
        <v>892</v>
      </c>
      <c r="C487" s="5" t="s">
        <v>895</v>
      </c>
      <c r="D487" s="5" t="s">
        <v>6635</v>
      </c>
      <c r="E487" s="8">
        <f>vlookup(B487,Filmes_final!$B$2:$U$1001,20,FALSE)</f>
        <v>537748</v>
      </c>
      <c r="F487" s="5">
        <f>vlookup(B487,Filmes_final!$B$2:$U$1001,3,FALSE)</f>
        <v>1952</v>
      </c>
      <c r="G487" s="5" t="str">
        <f>vlookup(B487,Filmes_final!$B$2:$U$1001,13,FALSE)</f>
        <v>Akira Kurosawa</v>
      </c>
    </row>
    <row r="488">
      <c r="A488" s="5">
        <v>122.0</v>
      </c>
      <c r="B488" s="5" t="s">
        <v>892</v>
      </c>
      <c r="C488" s="5" t="s">
        <v>896</v>
      </c>
      <c r="D488" s="5" t="s">
        <v>6636</v>
      </c>
      <c r="E488" s="8">
        <f>vlookup(B488,Filmes_final!$B$2:$U$1001,20,FALSE)</f>
        <v>537748</v>
      </c>
      <c r="F488" s="5">
        <f>vlookup(B488,Filmes_final!$B$2:$U$1001,3,FALSE)</f>
        <v>1952</v>
      </c>
      <c r="G488" s="5" t="str">
        <f>vlookup(B488,Filmes_final!$B$2:$U$1001,13,FALSE)</f>
        <v>Akira Kurosawa</v>
      </c>
    </row>
    <row r="489">
      <c r="A489" s="5">
        <v>122.0</v>
      </c>
      <c r="B489" s="5" t="s">
        <v>892</v>
      </c>
      <c r="C489" s="5" t="s">
        <v>897</v>
      </c>
      <c r="D489" s="5" t="s">
        <v>6637</v>
      </c>
      <c r="E489" s="8">
        <f>vlookup(B489,Filmes_final!$B$2:$U$1001,20,FALSE)</f>
        <v>537748</v>
      </c>
      <c r="F489" s="5">
        <f>vlookup(B489,Filmes_final!$B$2:$U$1001,3,FALSE)</f>
        <v>1952</v>
      </c>
      <c r="G489" s="5" t="str">
        <f>vlookup(B489,Filmes_final!$B$2:$U$1001,13,FALSE)</f>
        <v>Akira Kurosawa</v>
      </c>
    </row>
    <row r="490">
      <c r="A490" s="5">
        <v>123.0</v>
      </c>
      <c r="B490" s="5" t="s">
        <v>898</v>
      </c>
      <c r="C490" s="5" t="s">
        <v>902</v>
      </c>
      <c r="D490" s="5" t="s">
        <v>6634</v>
      </c>
      <c r="E490" s="8">
        <f>vlookup(B490,Filmes_final!$B$2:$U$1001,20,FALSE)</f>
        <v>3623894</v>
      </c>
      <c r="F490" s="5">
        <f>vlookup(B490,Filmes_final!$B$2:$U$1001,3,FALSE)</f>
        <v>1948</v>
      </c>
      <c r="G490" s="5" t="str">
        <f>vlookup(B490,Filmes_final!$B$2:$U$1001,13,FALSE)</f>
        <v>Vittorio De Sica</v>
      </c>
    </row>
    <row r="491">
      <c r="A491" s="5">
        <v>123.0</v>
      </c>
      <c r="B491" s="5" t="s">
        <v>898</v>
      </c>
      <c r="C491" s="5" t="s">
        <v>903</v>
      </c>
      <c r="D491" s="5" t="s">
        <v>6635</v>
      </c>
      <c r="E491" s="8">
        <f>vlookup(B491,Filmes_final!$B$2:$U$1001,20,FALSE)</f>
        <v>3623894</v>
      </c>
      <c r="F491" s="5">
        <f>vlookup(B491,Filmes_final!$B$2:$U$1001,3,FALSE)</f>
        <v>1948</v>
      </c>
      <c r="G491" s="5" t="str">
        <f>vlookup(B491,Filmes_final!$B$2:$U$1001,13,FALSE)</f>
        <v>Vittorio De Sica</v>
      </c>
    </row>
    <row r="492">
      <c r="A492" s="5">
        <v>123.0</v>
      </c>
      <c r="B492" s="5" t="s">
        <v>898</v>
      </c>
      <c r="C492" s="5" t="s">
        <v>904</v>
      </c>
      <c r="D492" s="5" t="s">
        <v>6636</v>
      </c>
      <c r="E492" s="8">
        <f>vlookup(B492,Filmes_final!$B$2:$U$1001,20,FALSE)</f>
        <v>3623894</v>
      </c>
      <c r="F492" s="5">
        <f>vlookup(B492,Filmes_final!$B$2:$U$1001,3,FALSE)</f>
        <v>1948</v>
      </c>
      <c r="G492" s="5" t="str">
        <f>vlookup(B492,Filmes_final!$B$2:$U$1001,13,FALSE)</f>
        <v>Vittorio De Sica</v>
      </c>
    </row>
    <row r="493">
      <c r="A493" s="5">
        <v>123.0</v>
      </c>
      <c r="B493" s="5" t="s">
        <v>898</v>
      </c>
      <c r="C493" s="5" t="s">
        <v>905</v>
      </c>
      <c r="D493" s="5" t="s">
        <v>6637</v>
      </c>
      <c r="E493" s="8">
        <f>vlookup(B493,Filmes_final!$B$2:$U$1001,20,FALSE)</f>
        <v>3623894</v>
      </c>
      <c r="F493" s="5">
        <f>vlookup(B493,Filmes_final!$B$2:$U$1001,3,FALSE)</f>
        <v>1948</v>
      </c>
      <c r="G493" s="5" t="str">
        <f>vlookup(B493,Filmes_final!$B$2:$U$1001,13,FALSE)</f>
        <v>Vittorio De Sica</v>
      </c>
    </row>
    <row r="494">
      <c r="A494" s="5">
        <v>124.0</v>
      </c>
      <c r="B494" s="5" t="s">
        <v>906</v>
      </c>
      <c r="C494" s="5" t="s">
        <v>868</v>
      </c>
      <c r="D494" s="5" t="s">
        <v>6634</v>
      </c>
      <c r="E494" s="8">
        <f>vlookup(B494,Filmes_final!$B$2:$U$1001,20,FALSE)</f>
        <v>84804260</v>
      </c>
      <c r="F494" s="5">
        <f>vlookup(B494,Filmes_final!$B$2:$U$1001,3,FALSE)</f>
        <v>1944</v>
      </c>
      <c r="G494" s="5" t="str">
        <f>vlookup(B494,Filmes_final!$B$2:$U$1001,13,FALSE)</f>
        <v>Billy Wilder</v>
      </c>
    </row>
    <row r="495">
      <c r="A495" s="5">
        <v>124.0</v>
      </c>
      <c r="B495" s="5" t="s">
        <v>906</v>
      </c>
      <c r="C495" s="5" t="s">
        <v>910</v>
      </c>
      <c r="D495" s="5" t="s">
        <v>6635</v>
      </c>
      <c r="E495" s="8">
        <f>vlookup(B495,Filmes_final!$B$2:$U$1001,20,FALSE)</f>
        <v>84804260</v>
      </c>
      <c r="F495" s="5">
        <f>vlookup(B495,Filmes_final!$B$2:$U$1001,3,FALSE)</f>
        <v>1944</v>
      </c>
      <c r="G495" s="5" t="str">
        <f>vlookup(B495,Filmes_final!$B$2:$U$1001,13,FALSE)</f>
        <v>Billy Wilder</v>
      </c>
    </row>
    <row r="496">
      <c r="A496" s="5">
        <v>124.0</v>
      </c>
      <c r="B496" s="5" t="s">
        <v>906</v>
      </c>
      <c r="C496" s="5" t="s">
        <v>911</v>
      </c>
      <c r="D496" s="5" t="s">
        <v>6636</v>
      </c>
      <c r="E496" s="8">
        <f>vlookup(B496,Filmes_final!$B$2:$U$1001,20,FALSE)</f>
        <v>84804260</v>
      </c>
      <c r="F496" s="5">
        <f>vlookup(B496,Filmes_final!$B$2:$U$1001,3,FALSE)</f>
        <v>1944</v>
      </c>
      <c r="G496" s="5" t="str">
        <f>vlookup(B496,Filmes_final!$B$2:$U$1001,13,FALSE)</f>
        <v>Billy Wilder</v>
      </c>
    </row>
    <row r="497">
      <c r="A497" s="5">
        <v>124.0</v>
      </c>
      <c r="B497" s="5" t="s">
        <v>906</v>
      </c>
      <c r="C497" s="5" t="s">
        <v>912</v>
      </c>
      <c r="D497" s="5" t="s">
        <v>6637</v>
      </c>
      <c r="E497" s="8">
        <f>vlookup(B497,Filmes_final!$B$2:$U$1001,20,FALSE)</f>
        <v>84804260</v>
      </c>
      <c r="F497" s="5">
        <f>vlookup(B497,Filmes_final!$B$2:$U$1001,3,FALSE)</f>
        <v>1944</v>
      </c>
      <c r="G497" s="5" t="str">
        <f>vlookup(B497,Filmes_final!$B$2:$U$1001,13,FALSE)</f>
        <v>Billy Wilder</v>
      </c>
    </row>
    <row r="498">
      <c r="A498" s="5">
        <v>125.0</v>
      </c>
      <c r="B498" s="5" t="s">
        <v>913</v>
      </c>
      <c r="C498" s="5" t="s">
        <v>916</v>
      </c>
      <c r="D498" s="5" t="s">
        <v>6634</v>
      </c>
      <c r="E498" s="8">
        <f>vlookup(B498,Filmes_final!$B$2:$U$1001,20,FALSE)</f>
        <v>29010467</v>
      </c>
      <c r="F498" s="5">
        <f>vlookup(B498,Filmes_final!$B$2:$U$1001,3,FALSE)</f>
        <v>1941</v>
      </c>
      <c r="G498" s="5" t="str">
        <f>vlookup(B498,Filmes_final!$B$2:$U$1001,13,FALSE)</f>
        <v>Orson Welles</v>
      </c>
    </row>
    <row r="499">
      <c r="A499" s="5">
        <v>125.0</v>
      </c>
      <c r="B499" s="5" t="s">
        <v>913</v>
      </c>
      <c r="C499" s="5" t="s">
        <v>917</v>
      </c>
      <c r="D499" s="5" t="s">
        <v>6635</v>
      </c>
      <c r="E499" s="8">
        <f>vlookup(B499,Filmes_final!$B$2:$U$1001,20,FALSE)</f>
        <v>29010467</v>
      </c>
      <c r="F499" s="5">
        <f>vlookup(B499,Filmes_final!$B$2:$U$1001,3,FALSE)</f>
        <v>1941</v>
      </c>
      <c r="G499" s="5" t="str">
        <f>vlookup(B499,Filmes_final!$B$2:$U$1001,13,FALSE)</f>
        <v>Orson Welles</v>
      </c>
    </row>
    <row r="500">
      <c r="A500" s="5">
        <v>125.0</v>
      </c>
      <c r="B500" s="5" t="s">
        <v>913</v>
      </c>
      <c r="C500" s="5" t="s">
        <v>918</v>
      </c>
      <c r="D500" s="5" t="s">
        <v>6636</v>
      </c>
      <c r="E500" s="8">
        <f>vlookup(B500,Filmes_final!$B$2:$U$1001,20,FALSE)</f>
        <v>29010467</v>
      </c>
      <c r="F500" s="5">
        <f>vlookup(B500,Filmes_final!$B$2:$U$1001,3,FALSE)</f>
        <v>1941</v>
      </c>
      <c r="G500" s="5" t="str">
        <f>vlookup(B500,Filmes_final!$B$2:$U$1001,13,FALSE)</f>
        <v>Orson Welles</v>
      </c>
    </row>
    <row r="501">
      <c r="A501" s="5">
        <v>125.0</v>
      </c>
      <c r="B501" s="5" t="s">
        <v>913</v>
      </c>
      <c r="C501" s="5" t="s">
        <v>919</v>
      </c>
      <c r="D501" s="5" t="s">
        <v>6637</v>
      </c>
      <c r="E501" s="8">
        <f>vlookup(B501,Filmes_final!$B$2:$U$1001,20,FALSE)</f>
        <v>29010467</v>
      </c>
      <c r="F501" s="5">
        <f>vlookup(B501,Filmes_final!$B$2:$U$1001,3,FALSE)</f>
        <v>1941</v>
      </c>
      <c r="G501" s="5" t="str">
        <f>vlookup(B501,Filmes_final!$B$2:$U$1001,13,FALSE)</f>
        <v>Orson Welles</v>
      </c>
    </row>
    <row r="502">
      <c r="A502" s="5">
        <v>126.0</v>
      </c>
      <c r="B502" s="5" t="s">
        <v>920</v>
      </c>
      <c r="C502" s="5" t="s">
        <v>923</v>
      </c>
      <c r="D502" s="5" t="s">
        <v>6634</v>
      </c>
      <c r="E502" s="8">
        <f>vlookup(B502,Filmes_final!$B$2:$U$1001,20,FALSE)</f>
        <v>468518</v>
      </c>
      <c r="F502" s="5">
        <f>vlookup(B502,Filmes_final!$B$2:$U$1001,3,FALSE)</f>
        <v>1931</v>
      </c>
      <c r="G502" s="5" t="str">
        <f>vlookup(B502,Filmes_final!$B$2:$U$1001,13,FALSE)</f>
        <v>Fritz Lang</v>
      </c>
    </row>
    <row r="503">
      <c r="A503" s="5">
        <v>126.0</v>
      </c>
      <c r="B503" s="5" t="s">
        <v>920</v>
      </c>
      <c r="C503" s="5" t="s">
        <v>924</v>
      </c>
      <c r="D503" s="5" t="s">
        <v>6635</v>
      </c>
      <c r="E503" s="8">
        <f>vlookup(B503,Filmes_final!$B$2:$U$1001,20,FALSE)</f>
        <v>468518</v>
      </c>
      <c r="F503" s="5">
        <f>vlookup(B503,Filmes_final!$B$2:$U$1001,3,FALSE)</f>
        <v>1931</v>
      </c>
      <c r="G503" s="5" t="str">
        <f>vlookup(B503,Filmes_final!$B$2:$U$1001,13,FALSE)</f>
        <v>Fritz Lang</v>
      </c>
    </row>
    <row r="504">
      <c r="A504" s="5">
        <v>126.0</v>
      </c>
      <c r="B504" s="5" t="s">
        <v>920</v>
      </c>
      <c r="C504" s="5" t="s">
        <v>925</v>
      </c>
      <c r="D504" s="5" t="s">
        <v>6636</v>
      </c>
      <c r="E504" s="8">
        <f>vlookup(B504,Filmes_final!$B$2:$U$1001,20,FALSE)</f>
        <v>468518</v>
      </c>
      <c r="F504" s="5">
        <f>vlookup(B504,Filmes_final!$B$2:$U$1001,3,FALSE)</f>
        <v>1931</v>
      </c>
      <c r="G504" s="5" t="str">
        <f>vlookup(B504,Filmes_final!$B$2:$U$1001,13,FALSE)</f>
        <v>Fritz Lang</v>
      </c>
    </row>
    <row r="505">
      <c r="A505" s="5">
        <v>126.0</v>
      </c>
      <c r="B505" s="5" t="s">
        <v>920</v>
      </c>
      <c r="C505" s="5" t="s">
        <v>926</v>
      </c>
      <c r="D505" s="5" t="s">
        <v>6637</v>
      </c>
      <c r="E505" s="8">
        <f>vlookup(B505,Filmes_final!$B$2:$U$1001,20,FALSE)</f>
        <v>468518</v>
      </c>
      <c r="F505" s="5">
        <f>vlookup(B505,Filmes_final!$B$2:$U$1001,3,FALSE)</f>
        <v>1931</v>
      </c>
      <c r="G505" s="5" t="str">
        <f>vlookup(B505,Filmes_final!$B$2:$U$1001,13,FALSE)</f>
        <v>Fritz Lang</v>
      </c>
    </row>
    <row r="506">
      <c r="A506" s="5">
        <v>127.0</v>
      </c>
      <c r="B506" s="5" t="s">
        <v>927</v>
      </c>
      <c r="C506" s="5" t="s">
        <v>930</v>
      </c>
      <c r="D506" s="5" t="s">
        <v>6634</v>
      </c>
      <c r="E506" s="8">
        <f>vlookup(B506,Filmes_final!$B$2:$U$1001,20,FALSE)</f>
        <v>18222570</v>
      </c>
      <c r="F506" s="5">
        <f>vlookup(B506,Filmes_final!$B$2:$U$1001,3,FALSE)</f>
        <v>1927</v>
      </c>
      <c r="G506" s="5" t="str">
        <f>vlookup(B506,Filmes_final!$B$2:$U$1001,13,FALSE)</f>
        <v>Fritz Lang</v>
      </c>
    </row>
    <row r="507">
      <c r="A507" s="5">
        <v>127.0</v>
      </c>
      <c r="B507" s="5" t="s">
        <v>927</v>
      </c>
      <c r="C507" s="5" t="s">
        <v>931</v>
      </c>
      <c r="D507" s="5" t="s">
        <v>6635</v>
      </c>
      <c r="E507" s="8">
        <f>vlookup(B507,Filmes_final!$B$2:$U$1001,20,FALSE)</f>
        <v>18222570</v>
      </c>
      <c r="F507" s="5">
        <f>vlookup(B507,Filmes_final!$B$2:$U$1001,3,FALSE)</f>
        <v>1927</v>
      </c>
      <c r="G507" s="5" t="str">
        <f>vlookup(B507,Filmes_final!$B$2:$U$1001,13,FALSE)</f>
        <v>Fritz Lang</v>
      </c>
    </row>
    <row r="508">
      <c r="A508" s="5">
        <v>127.0</v>
      </c>
      <c r="B508" s="5" t="s">
        <v>927</v>
      </c>
      <c r="C508" s="5" t="s">
        <v>932</v>
      </c>
      <c r="D508" s="5" t="s">
        <v>6636</v>
      </c>
      <c r="E508" s="8">
        <f>vlookup(B508,Filmes_final!$B$2:$U$1001,20,FALSE)</f>
        <v>18222570</v>
      </c>
      <c r="F508" s="5">
        <f>vlookup(B508,Filmes_final!$B$2:$U$1001,3,FALSE)</f>
        <v>1927</v>
      </c>
      <c r="G508" s="5" t="str">
        <f>vlookup(B508,Filmes_final!$B$2:$U$1001,13,FALSE)</f>
        <v>Fritz Lang</v>
      </c>
    </row>
    <row r="509">
      <c r="A509" s="5">
        <v>127.0</v>
      </c>
      <c r="B509" s="5" t="s">
        <v>927</v>
      </c>
      <c r="C509" s="5" t="s">
        <v>933</v>
      </c>
      <c r="D509" s="5" t="s">
        <v>6637</v>
      </c>
      <c r="E509" s="8">
        <f>vlookup(B509,Filmes_final!$B$2:$U$1001,20,FALSE)</f>
        <v>18222570</v>
      </c>
      <c r="F509" s="5">
        <f>vlookup(B509,Filmes_final!$B$2:$U$1001,3,FALSE)</f>
        <v>1927</v>
      </c>
      <c r="G509" s="5" t="str">
        <f>vlookup(B509,Filmes_final!$B$2:$U$1001,13,FALSE)</f>
        <v>Fritz Lang</v>
      </c>
    </row>
    <row r="510">
      <c r="A510" s="5">
        <v>128.0</v>
      </c>
      <c r="B510" s="5" t="s">
        <v>934</v>
      </c>
      <c r="C510" s="5" t="s">
        <v>418</v>
      </c>
      <c r="D510" s="5" t="s">
        <v>6634</v>
      </c>
      <c r="E510" s="8">
        <f>vlookup(B510,Filmes_final!$B$2:$U$1001,20,FALSE)</f>
        <v>73996945</v>
      </c>
      <c r="F510" s="5">
        <f>vlookup(B510,Filmes_final!$B$2:$U$1001,3,FALSE)</f>
        <v>1921</v>
      </c>
      <c r="G510" s="5" t="str">
        <f>vlookup(B510,Filmes_final!$B$2:$U$1001,13,FALSE)</f>
        <v>Charles Chaplin</v>
      </c>
    </row>
    <row r="511">
      <c r="A511" s="5">
        <v>128.0</v>
      </c>
      <c r="B511" s="5" t="s">
        <v>934</v>
      </c>
      <c r="C511" s="5" t="s">
        <v>937</v>
      </c>
      <c r="D511" s="5" t="s">
        <v>6635</v>
      </c>
      <c r="E511" s="8">
        <f>vlookup(B511,Filmes_final!$B$2:$U$1001,20,FALSE)</f>
        <v>73996945</v>
      </c>
      <c r="F511" s="5">
        <f>vlookup(B511,Filmes_final!$B$2:$U$1001,3,FALSE)</f>
        <v>1921</v>
      </c>
      <c r="G511" s="5" t="str">
        <f>vlookup(B511,Filmes_final!$B$2:$U$1001,13,FALSE)</f>
        <v>Charles Chaplin</v>
      </c>
    </row>
    <row r="512">
      <c r="A512" s="5">
        <v>128.0</v>
      </c>
      <c r="B512" s="5" t="s">
        <v>934</v>
      </c>
      <c r="C512" s="5" t="s">
        <v>938</v>
      </c>
      <c r="D512" s="5" t="s">
        <v>6636</v>
      </c>
      <c r="E512" s="8">
        <f>vlookup(B512,Filmes_final!$B$2:$U$1001,20,FALSE)</f>
        <v>73996945</v>
      </c>
      <c r="F512" s="5">
        <f>vlookup(B512,Filmes_final!$B$2:$U$1001,3,FALSE)</f>
        <v>1921</v>
      </c>
      <c r="G512" s="5" t="str">
        <f>vlookup(B512,Filmes_final!$B$2:$U$1001,13,FALSE)</f>
        <v>Charles Chaplin</v>
      </c>
    </row>
    <row r="513">
      <c r="A513" s="5">
        <v>128.0</v>
      </c>
      <c r="B513" s="5" t="s">
        <v>934</v>
      </c>
      <c r="C513" s="5" t="s">
        <v>939</v>
      </c>
      <c r="D513" s="5" t="s">
        <v>6637</v>
      </c>
      <c r="E513" s="8">
        <f>vlookup(B513,Filmes_final!$B$2:$U$1001,20,FALSE)</f>
        <v>73996945</v>
      </c>
      <c r="F513" s="5">
        <f>vlookup(B513,Filmes_final!$B$2:$U$1001,3,FALSE)</f>
        <v>1921</v>
      </c>
      <c r="G513" s="5" t="str">
        <f>vlookup(B513,Filmes_final!$B$2:$U$1001,13,FALSE)</f>
        <v>Charles Chaplin</v>
      </c>
    </row>
    <row r="514">
      <c r="A514" s="5">
        <v>129.0</v>
      </c>
      <c r="B514" s="5" t="s">
        <v>940</v>
      </c>
      <c r="C514" s="5" t="s">
        <v>942</v>
      </c>
      <c r="D514" s="5" t="s">
        <v>6634</v>
      </c>
      <c r="E514" s="8">
        <f>vlookup(B514,Filmes_final!$B$2:$U$1001,20,FALSE)</f>
        <v>920919</v>
      </c>
      <c r="F514" s="5">
        <f>vlookup(B514,Filmes_final!$B$2:$U$1001,3,FALSE)</f>
        <v>2019</v>
      </c>
      <c r="G514" s="5" t="str">
        <f>vlookup(B514,Filmes_final!$B$2:$U$1001,13,FALSE)</f>
        <v>Nitesh Tiwari</v>
      </c>
    </row>
    <row r="515">
      <c r="A515" s="5">
        <v>129.0</v>
      </c>
      <c r="B515" s="5" t="s">
        <v>940</v>
      </c>
      <c r="C515" s="5" t="s">
        <v>943</v>
      </c>
      <c r="D515" s="5" t="s">
        <v>6635</v>
      </c>
      <c r="E515" s="8">
        <f>vlookup(B515,Filmes_final!$B$2:$U$1001,20,FALSE)</f>
        <v>920919</v>
      </c>
      <c r="F515" s="5">
        <f>vlookup(B515,Filmes_final!$B$2:$U$1001,3,FALSE)</f>
        <v>2019</v>
      </c>
      <c r="G515" s="5" t="str">
        <f>vlookup(B515,Filmes_final!$B$2:$U$1001,13,FALSE)</f>
        <v>Nitesh Tiwari</v>
      </c>
    </row>
    <row r="516">
      <c r="A516" s="5">
        <v>129.0</v>
      </c>
      <c r="B516" s="5" t="s">
        <v>940</v>
      </c>
      <c r="C516" s="5" t="s">
        <v>944</v>
      </c>
      <c r="D516" s="5" t="s">
        <v>6636</v>
      </c>
      <c r="E516" s="8">
        <f>vlookup(B516,Filmes_final!$B$2:$U$1001,20,FALSE)</f>
        <v>920919</v>
      </c>
      <c r="F516" s="5">
        <f>vlookup(B516,Filmes_final!$B$2:$U$1001,3,FALSE)</f>
        <v>2019</v>
      </c>
      <c r="G516" s="5" t="str">
        <f>vlookup(B516,Filmes_final!$B$2:$U$1001,13,FALSE)</f>
        <v>Nitesh Tiwari</v>
      </c>
    </row>
    <row r="517">
      <c r="A517" s="5">
        <v>129.0</v>
      </c>
      <c r="B517" s="5" t="s">
        <v>940</v>
      </c>
      <c r="C517" s="5" t="s">
        <v>945</v>
      </c>
      <c r="D517" s="5" t="s">
        <v>6637</v>
      </c>
      <c r="E517" s="8">
        <f>vlookup(B517,Filmes_final!$B$2:$U$1001,20,FALSE)</f>
        <v>920919</v>
      </c>
      <c r="F517" s="5">
        <f>vlookup(B517,Filmes_final!$B$2:$U$1001,3,FALSE)</f>
        <v>2019</v>
      </c>
      <c r="G517" s="5" t="str">
        <f>vlookup(B517,Filmes_final!$B$2:$U$1001,13,FALSE)</f>
        <v>Nitesh Tiwari</v>
      </c>
    </row>
    <row r="518">
      <c r="A518" s="5">
        <v>130.0</v>
      </c>
      <c r="B518" s="5" t="s">
        <v>946</v>
      </c>
      <c r="C518" s="5" t="s">
        <v>951</v>
      </c>
      <c r="D518" s="5" t="s">
        <v>6634</v>
      </c>
      <c r="E518" s="8">
        <f>vlookup(B518,Filmes_final!$B$2:$U$1001,20,FALSE)</f>
        <v>4356812</v>
      </c>
      <c r="F518" s="5">
        <f>vlookup(B518,Filmes_final!$B$2:$U$1001,3,FALSE)</f>
        <v>2018</v>
      </c>
      <c r="G518" s="5" t="str">
        <f>vlookup(B518,Filmes_final!$B$2:$U$1001,13,FALSE)</f>
        <v>Aditya Dhar</v>
      </c>
    </row>
    <row r="519">
      <c r="A519" s="5">
        <v>130.0</v>
      </c>
      <c r="B519" s="5" t="s">
        <v>946</v>
      </c>
      <c r="C519" s="5" t="s">
        <v>184</v>
      </c>
      <c r="D519" s="5" t="s">
        <v>6635</v>
      </c>
      <c r="E519" s="8">
        <f>vlookup(B519,Filmes_final!$B$2:$U$1001,20,FALSE)</f>
        <v>4356812</v>
      </c>
      <c r="F519" s="5">
        <f>vlookup(B519,Filmes_final!$B$2:$U$1001,3,FALSE)</f>
        <v>2018</v>
      </c>
      <c r="G519" s="5" t="str">
        <f>vlookup(B519,Filmes_final!$B$2:$U$1001,13,FALSE)</f>
        <v>Aditya Dhar</v>
      </c>
    </row>
    <row r="520">
      <c r="A520" s="5">
        <v>130.0</v>
      </c>
      <c r="B520" s="5" t="s">
        <v>946</v>
      </c>
      <c r="C520" s="5" t="s">
        <v>952</v>
      </c>
      <c r="D520" s="5" t="s">
        <v>6636</v>
      </c>
      <c r="E520" s="8">
        <f>vlookup(B520,Filmes_final!$B$2:$U$1001,20,FALSE)</f>
        <v>4356812</v>
      </c>
      <c r="F520" s="5">
        <f>vlookup(B520,Filmes_final!$B$2:$U$1001,3,FALSE)</f>
        <v>2018</v>
      </c>
      <c r="G520" s="5" t="str">
        <f>vlookup(B520,Filmes_final!$B$2:$U$1001,13,FALSE)</f>
        <v>Aditya Dhar</v>
      </c>
    </row>
    <row r="521">
      <c r="A521" s="5">
        <v>130.0</v>
      </c>
      <c r="B521" s="5" t="s">
        <v>946</v>
      </c>
      <c r="C521" s="5" t="s">
        <v>953</v>
      </c>
      <c r="D521" s="5" t="s">
        <v>6637</v>
      </c>
      <c r="E521" s="8">
        <f>vlookup(B521,Filmes_final!$B$2:$U$1001,20,FALSE)</f>
        <v>4356812</v>
      </c>
      <c r="F521" s="5">
        <f>vlookup(B521,Filmes_final!$B$2:$U$1001,3,FALSE)</f>
        <v>2018</v>
      </c>
      <c r="G521" s="5" t="str">
        <f>vlookup(B521,Filmes_final!$B$2:$U$1001,13,FALSE)</f>
        <v>Aditya Dhar</v>
      </c>
    </row>
    <row r="522">
      <c r="A522" s="5">
        <v>131.0</v>
      </c>
      <c r="B522" s="5" t="s">
        <v>954</v>
      </c>
      <c r="C522" s="5" t="s">
        <v>959</v>
      </c>
      <c r="D522" s="5" t="s">
        <v>6634</v>
      </c>
      <c r="E522" s="8">
        <f>vlookup(B522,Filmes_final!$B$2:$U$1001,20,FALSE)</f>
        <v>6683366</v>
      </c>
      <c r="F522" s="5">
        <f>vlookup(B522,Filmes_final!$B$2:$U$1001,3,FALSE)</f>
        <v>2018</v>
      </c>
      <c r="G522" s="5" t="str">
        <f>vlookup(B522,Filmes_final!$B$2:$U$1001,13,FALSE)</f>
        <v>Prashanth Neel</v>
      </c>
    </row>
    <row r="523">
      <c r="A523" s="5">
        <v>131.0</v>
      </c>
      <c r="B523" s="5" t="s">
        <v>954</v>
      </c>
      <c r="C523" s="5" t="s">
        <v>960</v>
      </c>
      <c r="D523" s="5" t="s">
        <v>6635</v>
      </c>
      <c r="E523" s="8">
        <f>vlookup(B523,Filmes_final!$B$2:$U$1001,20,FALSE)</f>
        <v>6683366</v>
      </c>
      <c r="F523" s="5">
        <f>vlookup(B523,Filmes_final!$B$2:$U$1001,3,FALSE)</f>
        <v>2018</v>
      </c>
      <c r="G523" s="5" t="str">
        <f>vlookup(B523,Filmes_final!$B$2:$U$1001,13,FALSE)</f>
        <v>Prashanth Neel</v>
      </c>
    </row>
    <row r="524">
      <c r="A524" s="5">
        <v>131.0</v>
      </c>
      <c r="B524" s="5" t="s">
        <v>954</v>
      </c>
      <c r="C524" s="5" t="s">
        <v>961</v>
      </c>
      <c r="D524" s="5" t="s">
        <v>6636</v>
      </c>
      <c r="E524" s="8">
        <f>vlookup(B524,Filmes_final!$B$2:$U$1001,20,FALSE)</f>
        <v>6683366</v>
      </c>
      <c r="F524" s="5">
        <f>vlookup(B524,Filmes_final!$B$2:$U$1001,3,FALSE)</f>
        <v>2018</v>
      </c>
      <c r="G524" s="5" t="str">
        <f>vlookup(B524,Filmes_final!$B$2:$U$1001,13,FALSE)</f>
        <v>Prashanth Neel</v>
      </c>
    </row>
    <row r="525">
      <c r="A525" s="5">
        <v>131.0</v>
      </c>
      <c r="B525" s="5" t="s">
        <v>954</v>
      </c>
      <c r="C525" s="5" t="s">
        <v>962</v>
      </c>
      <c r="D525" s="5" t="s">
        <v>6637</v>
      </c>
      <c r="E525" s="8">
        <f>vlookup(B525,Filmes_final!$B$2:$U$1001,20,FALSE)</f>
        <v>6683366</v>
      </c>
      <c r="F525" s="5">
        <f>vlookup(B525,Filmes_final!$B$2:$U$1001,3,FALSE)</f>
        <v>2018</v>
      </c>
      <c r="G525" s="5" t="str">
        <f>vlookup(B525,Filmes_final!$B$2:$U$1001,13,FALSE)</f>
        <v>Prashanth Neel</v>
      </c>
    </row>
    <row r="526">
      <c r="A526" s="5">
        <v>132.0</v>
      </c>
      <c r="B526" s="5" t="s">
        <v>963</v>
      </c>
      <c r="C526" s="5" t="s">
        <v>66</v>
      </c>
      <c r="D526" s="5" t="s">
        <v>6634</v>
      </c>
      <c r="E526" s="8">
        <f>vlookup(B526,Filmes_final!$B$2:$U$1001,20,FALSE)</f>
        <v>88548362</v>
      </c>
      <c r="F526" s="5">
        <f>vlookup(B526,Filmes_final!$B$2:$U$1001,3,FALSE)</f>
        <v>2018</v>
      </c>
      <c r="G526" s="5" t="str">
        <f>vlookup(B526,Filmes_final!$B$2:$U$1001,13,FALSE)</f>
        <v>Peter Farrelly</v>
      </c>
    </row>
    <row r="527">
      <c r="A527" s="5">
        <v>132.0</v>
      </c>
      <c r="B527" s="5" t="s">
        <v>963</v>
      </c>
      <c r="C527" s="5" t="s">
        <v>966</v>
      </c>
      <c r="D527" s="5" t="s">
        <v>6635</v>
      </c>
      <c r="E527" s="8">
        <f>vlookup(B527,Filmes_final!$B$2:$U$1001,20,FALSE)</f>
        <v>88548362</v>
      </c>
      <c r="F527" s="5">
        <f>vlookup(B527,Filmes_final!$B$2:$U$1001,3,FALSE)</f>
        <v>2018</v>
      </c>
      <c r="G527" s="5" t="str">
        <f>vlookup(B527,Filmes_final!$B$2:$U$1001,13,FALSE)</f>
        <v>Peter Farrelly</v>
      </c>
    </row>
    <row r="528">
      <c r="A528" s="5">
        <v>132.0</v>
      </c>
      <c r="B528" s="5" t="s">
        <v>963</v>
      </c>
      <c r="C528" s="5" t="s">
        <v>967</v>
      </c>
      <c r="D528" s="5" t="s">
        <v>6636</v>
      </c>
      <c r="E528" s="8">
        <f>vlookup(B528,Filmes_final!$B$2:$U$1001,20,FALSE)</f>
        <v>88548362</v>
      </c>
      <c r="F528" s="5">
        <f>vlookup(B528,Filmes_final!$B$2:$U$1001,3,FALSE)</f>
        <v>2018</v>
      </c>
      <c r="G528" s="5" t="str">
        <f>vlookup(B528,Filmes_final!$B$2:$U$1001,13,FALSE)</f>
        <v>Peter Farrelly</v>
      </c>
    </row>
    <row r="529">
      <c r="A529" s="5">
        <v>132.0</v>
      </c>
      <c r="B529" s="5" t="s">
        <v>963</v>
      </c>
      <c r="C529" s="5" t="s">
        <v>968</v>
      </c>
      <c r="D529" s="5" t="s">
        <v>6637</v>
      </c>
      <c r="E529" s="8">
        <f>vlookup(B529,Filmes_final!$B$2:$U$1001,20,FALSE)</f>
        <v>88548362</v>
      </c>
      <c r="F529" s="5">
        <f>vlookup(B529,Filmes_final!$B$2:$U$1001,3,FALSE)</f>
        <v>2018</v>
      </c>
      <c r="G529" s="5" t="str">
        <f>vlookup(B529,Filmes_final!$B$2:$U$1001,13,FALSE)</f>
        <v>Peter Farrelly</v>
      </c>
    </row>
    <row r="530">
      <c r="A530" s="5">
        <v>133.0</v>
      </c>
      <c r="B530" s="5" t="s">
        <v>969</v>
      </c>
      <c r="C530" s="5" t="s">
        <v>972</v>
      </c>
      <c r="D530" s="5" t="s">
        <v>6634</v>
      </c>
      <c r="E530" s="8">
        <f>vlookup(B530,Filmes_final!$B$2:$U$1001,20,FALSE)</f>
        <v>57910649</v>
      </c>
      <c r="F530" s="5">
        <f>vlookup(B530,Filmes_final!$B$2:$U$1001,3,FALSE)</f>
        <v>2017</v>
      </c>
      <c r="G530" s="5" t="str">
        <f>vlookup(B530,Filmes_final!$B$2:$U$1001,13,FALSE)</f>
        <v>Martin McDonagh</v>
      </c>
    </row>
    <row r="531">
      <c r="A531" s="5">
        <v>133.0</v>
      </c>
      <c r="B531" s="5" t="s">
        <v>969</v>
      </c>
      <c r="C531" s="5" t="s">
        <v>973</v>
      </c>
      <c r="D531" s="5" t="s">
        <v>6635</v>
      </c>
      <c r="E531" s="8">
        <f>vlookup(B531,Filmes_final!$B$2:$U$1001,20,FALSE)</f>
        <v>57910649</v>
      </c>
      <c r="F531" s="5">
        <f>vlookup(B531,Filmes_final!$B$2:$U$1001,3,FALSE)</f>
        <v>2017</v>
      </c>
      <c r="G531" s="5" t="str">
        <f>vlookup(B531,Filmes_final!$B$2:$U$1001,13,FALSE)</f>
        <v>Martin McDonagh</v>
      </c>
    </row>
    <row r="532">
      <c r="A532" s="5">
        <v>133.0</v>
      </c>
      <c r="B532" s="5" t="s">
        <v>969</v>
      </c>
      <c r="C532" s="5" t="s">
        <v>974</v>
      </c>
      <c r="D532" s="5" t="s">
        <v>6636</v>
      </c>
      <c r="E532" s="8">
        <f>vlookup(B532,Filmes_final!$B$2:$U$1001,20,FALSE)</f>
        <v>57910649</v>
      </c>
      <c r="F532" s="5">
        <f>vlookup(B532,Filmes_final!$B$2:$U$1001,3,FALSE)</f>
        <v>2017</v>
      </c>
      <c r="G532" s="5" t="str">
        <f>vlookup(B532,Filmes_final!$B$2:$U$1001,13,FALSE)</f>
        <v>Martin McDonagh</v>
      </c>
    </row>
    <row r="533">
      <c r="A533" s="5">
        <v>133.0</v>
      </c>
      <c r="B533" s="5" t="s">
        <v>969</v>
      </c>
      <c r="C533" s="5" t="s">
        <v>975</v>
      </c>
      <c r="D533" s="5" t="s">
        <v>6637</v>
      </c>
      <c r="E533" s="8">
        <f>vlookup(B533,Filmes_final!$B$2:$U$1001,20,FALSE)</f>
        <v>57910649</v>
      </c>
      <c r="F533" s="5">
        <f>vlookup(B533,Filmes_final!$B$2:$U$1001,3,FALSE)</f>
        <v>2017</v>
      </c>
      <c r="G533" s="5" t="str">
        <f>vlookup(B533,Filmes_final!$B$2:$U$1001,13,FALSE)</f>
        <v>Martin McDonagh</v>
      </c>
    </row>
    <row r="534">
      <c r="A534" s="5">
        <v>134.0</v>
      </c>
      <c r="B534" s="5" t="s">
        <v>976</v>
      </c>
      <c r="C534" s="5" t="s">
        <v>980</v>
      </c>
      <c r="D534" s="5" t="s">
        <v>6634</v>
      </c>
      <c r="E534" s="8">
        <f>vlookup(B534,Filmes_final!$B$2:$U$1001,20,FALSE)</f>
        <v>377916</v>
      </c>
      <c r="F534" s="5">
        <f>vlookup(B534,Filmes_final!$B$2:$U$1001,3,FALSE)</f>
        <v>2015</v>
      </c>
      <c r="G534" s="5" t="str">
        <f>vlookup(B534,Filmes_final!$B$2:$U$1001,13,FALSE)</f>
        <v>Meghna Gulzar</v>
      </c>
    </row>
    <row r="535">
      <c r="A535" s="5">
        <v>134.0</v>
      </c>
      <c r="B535" s="5" t="s">
        <v>976</v>
      </c>
      <c r="C535" s="5" t="s">
        <v>981</v>
      </c>
      <c r="D535" s="5" t="s">
        <v>6635</v>
      </c>
      <c r="E535" s="8">
        <f>vlookup(B535,Filmes_final!$B$2:$U$1001,20,FALSE)</f>
        <v>377916</v>
      </c>
      <c r="F535" s="5">
        <f>vlookup(B535,Filmes_final!$B$2:$U$1001,3,FALSE)</f>
        <v>2015</v>
      </c>
      <c r="G535" s="5" t="str">
        <f>vlookup(B535,Filmes_final!$B$2:$U$1001,13,FALSE)</f>
        <v>Meghna Gulzar</v>
      </c>
    </row>
    <row r="536">
      <c r="A536" s="5">
        <v>134.0</v>
      </c>
      <c r="B536" s="5" t="s">
        <v>976</v>
      </c>
      <c r="C536" s="5" t="s">
        <v>982</v>
      </c>
      <c r="D536" s="5" t="s">
        <v>6636</v>
      </c>
      <c r="E536" s="8">
        <f>vlookup(B536,Filmes_final!$B$2:$U$1001,20,FALSE)</f>
        <v>377916</v>
      </c>
      <c r="F536" s="5">
        <f>vlookup(B536,Filmes_final!$B$2:$U$1001,3,FALSE)</f>
        <v>2015</v>
      </c>
      <c r="G536" s="5" t="str">
        <f>vlookup(B536,Filmes_final!$B$2:$U$1001,13,FALSE)</f>
        <v>Meghna Gulzar</v>
      </c>
    </row>
    <row r="537">
      <c r="A537" s="5">
        <v>134.0</v>
      </c>
      <c r="B537" s="5" t="s">
        <v>976</v>
      </c>
      <c r="C537" s="5" t="s">
        <v>653</v>
      </c>
      <c r="D537" s="5" t="s">
        <v>6637</v>
      </c>
      <c r="E537" s="8">
        <f>vlookup(B537,Filmes_final!$B$2:$U$1001,20,FALSE)</f>
        <v>377916</v>
      </c>
      <c r="F537" s="5">
        <f>vlookup(B537,Filmes_final!$B$2:$U$1001,3,FALSE)</f>
        <v>2015</v>
      </c>
      <c r="G537" s="5" t="str">
        <f>vlookup(B537,Filmes_final!$B$2:$U$1001,13,FALSE)</f>
        <v>Meghna Gulzar</v>
      </c>
    </row>
    <row r="538">
      <c r="A538" s="5">
        <v>135.0</v>
      </c>
      <c r="B538" s="5" t="s">
        <v>983</v>
      </c>
      <c r="C538" s="5" t="s">
        <v>987</v>
      </c>
      <c r="D538" s="5" t="s">
        <v>6634</v>
      </c>
      <c r="E538" s="8">
        <f>vlookup(B538,Filmes_final!$B$2:$U$1001,20,FALSE)</f>
        <v>21444548</v>
      </c>
      <c r="F538" s="5">
        <f>vlookup(B538,Filmes_final!$B$2:$U$1001,3,FALSE)</f>
        <v>2017</v>
      </c>
      <c r="G538" s="5" t="str">
        <f>vlookup(B538,Filmes_final!$B$2:$U$1001,13,FALSE)</f>
        <v>S.S. Rajamouli</v>
      </c>
    </row>
    <row r="539">
      <c r="A539" s="5">
        <v>135.0</v>
      </c>
      <c r="B539" s="5" t="s">
        <v>983</v>
      </c>
      <c r="C539" s="5" t="s">
        <v>988</v>
      </c>
      <c r="D539" s="5" t="s">
        <v>6635</v>
      </c>
      <c r="E539" s="8">
        <f>vlookup(B539,Filmes_final!$B$2:$U$1001,20,FALSE)</f>
        <v>21444548</v>
      </c>
      <c r="F539" s="5">
        <f>vlookup(B539,Filmes_final!$B$2:$U$1001,3,FALSE)</f>
        <v>2017</v>
      </c>
      <c r="G539" s="5" t="str">
        <f>vlookup(B539,Filmes_final!$B$2:$U$1001,13,FALSE)</f>
        <v>S.S. Rajamouli</v>
      </c>
    </row>
    <row r="540">
      <c r="A540" s="5">
        <v>135.0</v>
      </c>
      <c r="B540" s="5" t="s">
        <v>983</v>
      </c>
      <c r="C540" s="5" t="s">
        <v>989</v>
      </c>
      <c r="D540" s="5" t="s">
        <v>6636</v>
      </c>
      <c r="E540" s="8">
        <f>vlookup(B540,Filmes_final!$B$2:$U$1001,20,FALSE)</f>
        <v>21444548</v>
      </c>
      <c r="F540" s="5">
        <f>vlookup(B540,Filmes_final!$B$2:$U$1001,3,FALSE)</f>
        <v>2017</v>
      </c>
      <c r="G540" s="5" t="str">
        <f>vlookup(B540,Filmes_final!$B$2:$U$1001,13,FALSE)</f>
        <v>S.S. Rajamouli</v>
      </c>
    </row>
    <row r="541">
      <c r="A541" s="5">
        <v>135.0</v>
      </c>
      <c r="B541" s="5" t="s">
        <v>983</v>
      </c>
      <c r="C541" s="5" t="s">
        <v>990</v>
      </c>
      <c r="D541" s="5" t="s">
        <v>6637</v>
      </c>
      <c r="E541" s="8">
        <f>vlookup(B541,Filmes_final!$B$2:$U$1001,20,FALSE)</f>
        <v>21444548</v>
      </c>
      <c r="F541" s="5">
        <f>vlookup(B541,Filmes_final!$B$2:$U$1001,3,FALSE)</f>
        <v>2017</v>
      </c>
      <c r="G541" s="5" t="str">
        <f>vlookup(B541,Filmes_final!$B$2:$U$1001,13,FALSE)</f>
        <v>S.S. Rajamouli</v>
      </c>
    </row>
    <row r="542">
      <c r="A542" s="5">
        <v>136.0</v>
      </c>
      <c r="B542" s="5" t="s">
        <v>991</v>
      </c>
      <c r="C542" s="5" t="s">
        <v>994</v>
      </c>
      <c r="D542" s="5" t="s">
        <v>6634</v>
      </c>
      <c r="E542" s="8">
        <f>vlookup(B542,Filmes_final!$B$2:$U$1001,20,FALSE)</f>
        <v>40994629</v>
      </c>
      <c r="F542" s="5">
        <f>vlookup(B542,Filmes_final!$B$2:$U$1001,3,FALSE)</f>
        <v>2019</v>
      </c>
      <c r="G542" s="5" t="str">
        <f>vlookup(B542,Filmes_final!$B$2:$U$1001,13,FALSE)</f>
        <v>Sergio Pablos</v>
      </c>
    </row>
    <row r="543">
      <c r="A543" s="5">
        <v>136.0</v>
      </c>
      <c r="B543" s="5" t="s">
        <v>991</v>
      </c>
      <c r="C543" s="5" t="s">
        <v>995</v>
      </c>
      <c r="D543" s="5" t="s">
        <v>6635</v>
      </c>
      <c r="E543" s="8">
        <f>vlookup(B543,Filmes_final!$B$2:$U$1001,20,FALSE)</f>
        <v>40994629</v>
      </c>
      <c r="F543" s="5">
        <f>vlookup(B543,Filmes_final!$B$2:$U$1001,3,FALSE)</f>
        <v>2019</v>
      </c>
      <c r="G543" s="5" t="str">
        <f>vlookup(B543,Filmes_final!$B$2:$U$1001,13,FALSE)</f>
        <v>Sergio Pablos</v>
      </c>
    </row>
    <row r="544">
      <c r="A544" s="5">
        <v>136.0</v>
      </c>
      <c r="B544" s="5" t="s">
        <v>991</v>
      </c>
      <c r="C544" s="5" t="s">
        <v>291</v>
      </c>
      <c r="D544" s="5" t="s">
        <v>6636</v>
      </c>
      <c r="E544" s="8">
        <f>vlookup(B544,Filmes_final!$B$2:$U$1001,20,FALSE)</f>
        <v>40994629</v>
      </c>
      <c r="F544" s="5">
        <f>vlookup(B544,Filmes_final!$B$2:$U$1001,3,FALSE)</f>
        <v>2019</v>
      </c>
      <c r="G544" s="5" t="str">
        <f>vlookup(B544,Filmes_final!$B$2:$U$1001,13,FALSE)</f>
        <v>Sergio Pablos</v>
      </c>
    </row>
    <row r="545">
      <c r="A545" s="5">
        <v>136.0</v>
      </c>
      <c r="B545" s="5" t="s">
        <v>991</v>
      </c>
      <c r="C545" s="5" t="s">
        <v>996</v>
      </c>
      <c r="D545" s="5" t="s">
        <v>6637</v>
      </c>
      <c r="E545" s="8">
        <f>vlookup(B545,Filmes_final!$B$2:$U$1001,20,FALSE)</f>
        <v>40994629</v>
      </c>
      <c r="F545" s="5">
        <f>vlookup(B545,Filmes_final!$B$2:$U$1001,3,FALSE)</f>
        <v>2019</v>
      </c>
      <c r="G545" s="5" t="str">
        <f>vlookup(B545,Filmes_final!$B$2:$U$1001,13,FALSE)</f>
        <v>Sergio Pablos</v>
      </c>
    </row>
    <row r="546">
      <c r="A546" s="5">
        <v>137.0</v>
      </c>
      <c r="B546" s="5" t="s">
        <v>663</v>
      </c>
      <c r="C546" s="5" t="s">
        <v>1000</v>
      </c>
      <c r="D546" s="5" t="s">
        <v>6634</v>
      </c>
      <c r="E546" s="8">
        <f>vlookup(B546,Filmes_final!$B$2:$U$1001,20,FALSE)</f>
        <v>4303</v>
      </c>
      <c r="F546" s="5">
        <f>vlookup(B546,Filmes_final!$B$2:$U$1001,3,FALSE)</f>
        <v>2013</v>
      </c>
      <c r="G546" s="5" t="str">
        <f>vlookup(B546,Filmes_final!$B$2:$U$1001,13,FALSE)</f>
        <v>Jeethu Joseph</v>
      </c>
    </row>
    <row r="547">
      <c r="A547" s="5">
        <v>137.0</v>
      </c>
      <c r="B547" s="5" t="s">
        <v>663</v>
      </c>
      <c r="C547" s="5" t="s">
        <v>1001</v>
      </c>
      <c r="D547" s="5" t="s">
        <v>6635</v>
      </c>
      <c r="E547" s="8">
        <f>vlookup(B547,Filmes_final!$B$2:$U$1001,20,FALSE)</f>
        <v>4303</v>
      </c>
      <c r="F547" s="5">
        <f>vlookup(B547,Filmes_final!$B$2:$U$1001,3,FALSE)</f>
        <v>2013</v>
      </c>
      <c r="G547" s="5" t="str">
        <f>vlookup(B547,Filmes_final!$B$2:$U$1001,13,FALSE)</f>
        <v>Jeethu Joseph</v>
      </c>
    </row>
    <row r="548">
      <c r="A548" s="5">
        <v>137.0</v>
      </c>
      <c r="B548" s="5" t="s">
        <v>663</v>
      </c>
      <c r="C548" s="5" t="s">
        <v>660</v>
      </c>
      <c r="D548" s="5" t="s">
        <v>6636</v>
      </c>
      <c r="E548" s="8">
        <f>vlookup(B548,Filmes_final!$B$2:$U$1001,20,FALSE)</f>
        <v>4303</v>
      </c>
      <c r="F548" s="5">
        <f>vlookup(B548,Filmes_final!$B$2:$U$1001,3,FALSE)</f>
        <v>2013</v>
      </c>
      <c r="G548" s="5" t="str">
        <f>vlookup(B548,Filmes_final!$B$2:$U$1001,13,FALSE)</f>
        <v>Jeethu Joseph</v>
      </c>
    </row>
    <row r="549">
      <c r="A549" s="5">
        <v>137.0</v>
      </c>
      <c r="B549" s="5" t="s">
        <v>663</v>
      </c>
      <c r="C549" s="5" t="s">
        <v>1002</v>
      </c>
      <c r="D549" s="5" t="s">
        <v>6637</v>
      </c>
      <c r="E549" s="8">
        <f>vlookup(B549,Filmes_final!$B$2:$U$1001,20,FALSE)</f>
        <v>4303</v>
      </c>
      <c r="F549" s="5">
        <f>vlookup(B549,Filmes_final!$B$2:$U$1001,3,FALSE)</f>
        <v>2013</v>
      </c>
      <c r="G549" s="5" t="str">
        <f>vlookup(B549,Filmes_final!$B$2:$U$1001,13,FALSE)</f>
        <v>Jeethu Joseph</v>
      </c>
    </row>
    <row r="550">
      <c r="A550" s="5">
        <v>138.0</v>
      </c>
      <c r="B550" s="5" t="s">
        <v>1003</v>
      </c>
      <c r="C550" s="5" t="s">
        <v>1007</v>
      </c>
      <c r="D550" s="5" t="s">
        <v>6634</v>
      </c>
      <c r="E550" s="8">
        <f>vlookup(B550,Filmes_final!$B$2:$U$1001,20,FALSE)</f>
        <v>1601434</v>
      </c>
      <c r="F550" s="5">
        <f>vlookup(B550,Filmes_final!$B$2:$U$1001,3,FALSE)</f>
        <v>2013</v>
      </c>
      <c r="G550" s="5" t="str">
        <f>vlookup(B550,Filmes_final!$B$2:$U$1001,13,FALSE)</f>
        <v>Vikas Bahl</v>
      </c>
    </row>
    <row r="551">
      <c r="A551" s="5">
        <v>138.0</v>
      </c>
      <c r="B551" s="5" t="s">
        <v>1003</v>
      </c>
      <c r="C551" s="5" t="s">
        <v>1008</v>
      </c>
      <c r="D551" s="5" t="s">
        <v>6635</v>
      </c>
      <c r="E551" s="8">
        <f>vlookup(B551,Filmes_final!$B$2:$U$1001,20,FALSE)</f>
        <v>1601434</v>
      </c>
      <c r="F551" s="5">
        <f>vlookup(B551,Filmes_final!$B$2:$U$1001,3,FALSE)</f>
        <v>2013</v>
      </c>
      <c r="G551" s="5" t="str">
        <f>vlookup(B551,Filmes_final!$B$2:$U$1001,13,FALSE)</f>
        <v>Vikas Bahl</v>
      </c>
    </row>
    <row r="552">
      <c r="A552" s="5">
        <v>138.0</v>
      </c>
      <c r="B552" s="5" t="s">
        <v>1003</v>
      </c>
      <c r="C552" s="5" t="s">
        <v>1009</v>
      </c>
      <c r="D552" s="5" t="s">
        <v>6636</v>
      </c>
      <c r="E552" s="8">
        <f>vlookup(B552,Filmes_final!$B$2:$U$1001,20,FALSE)</f>
        <v>1601434</v>
      </c>
      <c r="F552" s="5">
        <f>vlookup(B552,Filmes_final!$B$2:$U$1001,3,FALSE)</f>
        <v>2013</v>
      </c>
      <c r="G552" s="5" t="str">
        <f>vlookup(B552,Filmes_final!$B$2:$U$1001,13,FALSE)</f>
        <v>Vikas Bahl</v>
      </c>
    </row>
    <row r="553">
      <c r="A553" s="5">
        <v>138.0</v>
      </c>
      <c r="B553" s="5" t="s">
        <v>1003</v>
      </c>
      <c r="C553" s="5" t="s">
        <v>1010</v>
      </c>
      <c r="D553" s="5" t="s">
        <v>6637</v>
      </c>
      <c r="E553" s="8">
        <f>vlookup(B553,Filmes_final!$B$2:$U$1001,20,FALSE)</f>
        <v>1601434</v>
      </c>
      <c r="F553" s="5">
        <f>vlookup(B553,Filmes_final!$B$2:$U$1001,3,FALSE)</f>
        <v>2013</v>
      </c>
      <c r="G553" s="5" t="str">
        <f>vlookup(B553,Filmes_final!$B$2:$U$1001,13,FALSE)</f>
        <v>Vikas Bahl</v>
      </c>
    </row>
    <row r="554">
      <c r="A554" s="5">
        <v>139.0</v>
      </c>
      <c r="B554" s="5" t="s">
        <v>1011</v>
      </c>
      <c r="C554" s="5" t="s">
        <v>1014</v>
      </c>
      <c r="D554" s="5" t="s">
        <v>6634</v>
      </c>
      <c r="E554" s="8">
        <f>vlookup(B554,Filmes_final!$B$2:$U$1001,20,FALSE)</f>
        <v>161877</v>
      </c>
      <c r="F554" s="5">
        <f>vlookup(B554,Filmes_final!$B$2:$U$1001,3,FALSE)</f>
        <v>2013</v>
      </c>
      <c r="G554" s="5" t="str">
        <f>vlookup(B554,Filmes_final!$B$2:$U$1001,13,FALSE)</f>
        <v>Zaza Urushadze</v>
      </c>
    </row>
    <row r="555">
      <c r="A555" s="5">
        <v>139.0</v>
      </c>
      <c r="B555" s="5" t="s">
        <v>1011</v>
      </c>
      <c r="C555" s="5" t="s">
        <v>1015</v>
      </c>
      <c r="D555" s="5" t="s">
        <v>6635</v>
      </c>
      <c r="E555" s="8">
        <f>vlookup(B555,Filmes_final!$B$2:$U$1001,20,FALSE)</f>
        <v>161877</v>
      </c>
      <c r="F555" s="5">
        <f>vlookup(B555,Filmes_final!$B$2:$U$1001,3,FALSE)</f>
        <v>2013</v>
      </c>
      <c r="G555" s="5" t="str">
        <f>vlookup(B555,Filmes_final!$B$2:$U$1001,13,FALSE)</f>
        <v>Zaza Urushadze</v>
      </c>
    </row>
    <row r="556">
      <c r="A556" s="5">
        <v>139.0</v>
      </c>
      <c r="B556" s="5" t="s">
        <v>1011</v>
      </c>
      <c r="C556" s="5" t="s">
        <v>1016</v>
      </c>
      <c r="D556" s="5" t="s">
        <v>6636</v>
      </c>
      <c r="E556" s="8">
        <f>vlookup(B556,Filmes_final!$B$2:$U$1001,20,FALSE)</f>
        <v>161877</v>
      </c>
      <c r="F556" s="5">
        <f>vlookup(B556,Filmes_final!$B$2:$U$1001,3,FALSE)</f>
        <v>2013</v>
      </c>
      <c r="G556" s="5" t="str">
        <f>vlookup(B556,Filmes_final!$B$2:$U$1001,13,FALSE)</f>
        <v>Zaza Urushadze</v>
      </c>
    </row>
    <row r="557">
      <c r="A557" s="5">
        <v>139.0</v>
      </c>
      <c r="B557" s="5" t="s">
        <v>1011</v>
      </c>
      <c r="C557" s="5" t="s">
        <v>1017</v>
      </c>
      <c r="D557" s="5" t="s">
        <v>6637</v>
      </c>
      <c r="E557" s="8">
        <f>vlookup(B557,Filmes_final!$B$2:$U$1001,20,FALSE)</f>
        <v>161877</v>
      </c>
      <c r="F557" s="5">
        <f>vlookup(B557,Filmes_final!$B$2:$U$1001,3,FALSE)</f>
        <v>2013</v>
      </c>
      <c r="G557" s="5" t="str">
        <f>vlookup(B557,Filmes_final!$B$2:$U$1001,13,FALSE)</f>
        <v>Zaza Urushadze</v>
      </c>
    </row>
    <row r="558">
      <c r="A558" s="5">
        <v>140.0</v>
      </c>
      <c r="B558" s="5" t="s">
        <v>1018</v>
      </c>
      <c r="C558" s="5" t="s">
        <v>1023</v>
      </c>
      <c r="D558" s="5" t="s">
        <v>6634</v>
      </c>
      <c r="E558" s="8">
        <f>vlookup(B558,Filmes_final!$B$2:$U$1001,20,FALSE)</f>
        <v>1821849</v>
      </c>
      <c r="F558" s="5">
        <f>vlookup(B558,Filmes_final!$B$2:$U$1001,3,FALSE)</f>
        <v>2013</v>
      </c>
      <c r="G558" s="5" t="str">
        <f>vlookup(B558,Filmes_final!$B$2:$U$1001,13,FALSE)</f>
        <v>Rakeysh Omprakash Mehra</v>
      </c>
    </row>
    <row r="559">
      <c r="A559" s="5">
        <v>140.0</v>
      </c>
      <c r="B559" s="5" t="s">
        <v>1018</v>
      </c>
      <c r="C559" s="5" t="s">
        <v>1024</v>
      </c>
      <c r="D559" s="5" t="s">
        <v>6635</v>
      </c>
      <c r="E559" s="8">
        <f>vlookup(B559,Filmes_final!$B$2:$U$1001,20,FALSE)</f>
        <v>1821849</v>
      </c>
      <c r="F559" s="5">
        <f>vlookup(B559,Filmes_final!$B$2:$U$1001,3,FALSE)</f>
        <v>2013</v>
      </c>
      <c r="G559" s="5" t="str">
        <f>vlookup(B559,Filmes_final!$B$2:$U$1001,13,FALSE)</f>
        <v>Rakeysh Omprakash Mehra</v>
      </c>
    </row>
    <row r="560">
      <c r="A560" s="5">
        <v>140.0</v>
      </c>
      <c r="B560" s="5" t="s">
        <v>1018</v>
      </c>
      <c r="C560" s="5" t="s">
        <v>1025</v>
      </c>
      <c r="D560" s="5" t="s">
        <v>6636</v>
      </c>
      <c r="E560" s="8">
        <f>vlookup(B560,Filmes_final!$B$2:$U$1001,20,FALSE)</f>
        <v>1821849</v>
      </c>
      <c r="F560" s="5">
        <f>vlookup(B560,Filmes_final!$B$2:$U$1001,3,FALSE)</f>
        <v>2013</v>
      </c>
      <c r="G560" s="5" t="str">
        <f>vlookup(B560,Filmes_final!$B$2:$U$1001,13,FALSE)</f>
        <v>Rakeysh Omprakash Mehra</v>
      </c>
    </row>
    <row r="561">
      <c r="A561" s="5">
        <v>140.0</v>
      </c>
      <c r="B561" s="5" t="s">
        <v>1018</v>
      </c>
      <c r="C561" s="5" t="s">
        <v>1026</v>
      </c>
      <c r="D561" s="5" t="s">
        <v>6637</v>
      </c>
      <c r="E561" s="8">
        <f>vlookup(B561,Filmes_final!$B$2:$U$1001,20,FALSE)</f>
        <v>1821849</v>
      </c>
      <c r="F561" s="5">
        <f>vlookup(B561,Filmes_final!$B$2:$U$1001,3,FALSE)</f>
        <v>2013</v>
      </c>
      <c r="G561" s="5" t="str">
        <f>vlookup(B561,Filmes_final!$B$2:$U$1001,13,FALSE)</f>
        <v>Rakeysh Omprakash Mehra</v>
      </c>
    </row>
    <row r="562">
      <c r="A562" s="5">
        <v>141.0</v>
      </c>
      <c r="B562" s="5" t="s">
        <v>1027</v>
      </c>
      <c r="C562" s="5" t="s">
        <v>1032</v>
      </c>
      <c r="D562" s="5" t="s">
        <v>6634</v>
      </c>
      <c r="E562" s="8">
        <f>vlookup(B562,Filmes_final!$B$2:$U$1001,20,FALSE)</f>
        <v>4990230</v>
      </c>
      <c r="F562" s="5">
        <f>vlookup(B562,Filmes_final!$B$2:$U$1001,3,FALSE)</f>
        <v>2012</v>
      </c>
      <c r="G562" s="5" t="str">
        <f>vlookup(B562,Filmes_final!$B$2:$U$1001,13,FALSE)</f>
        <v>Anurag Kashyap</v>
      </c>
    </row>
    <row r="563">
      <c r="A563" s="5">
        <v>141.0</v>
      </c>
      <c r="B563" s="5" t="s">
        <v>1027</v>
      </c>
      <c r="C563" s="5" t="s">
        <v>1033</v>
      </c>
      <c r="D563" s="5" t="s">
        <v>6635</v>
      </c>
      <c r="E563" s="8">
        <f>vlookup(B563,Filmes_final!$B$2:$U$1001,20,FALSE)</f>
        <v>4990230</v>
      </c>
      <c r="F563" s="5">
        <f>vlookup(B563,Filmes_final!$B$2:$U$1001,3,FALSE)</f>
        <v>2012</v>
      </c>
      <c r="G563" s="5" t="str">
        <f>vlookup(B563,Filmes_final!$B$2:$U$1001,13,FALSE)</f>
        <v>Anurag Kashyap</v>
      </c>
    </row>
    <row r="564">
      <c r="A564" s="5">
        <v>141.0</v>
      </c>
      <c r="B564" s="5" t="s">
        <v>1027</v>
      </c>
      <c r="C564" s="5" t="s">
        <v>1034</v>
      </c>
      <c r="D564" s="5" t="s">
        <v>6636</v>
      </c>
      <c r="E564" s="8">
        <f>vlookup(B564,Filmes_final!$B$2:$U$1001,20,FALSE)</f>
        <v>4990230</v>
      </c>
      <c r="F564" s="5">
        <f>vlookup(B564,Filmes_final!$B$2:$U$1001,3,FALSE)</f>
        <v>2012</v>
      </c>
      <c r="G564" s="5" t="str">
        <f>vlookup(B564,Filmes_final!$B$2:$U$1001,13,FALSE)</f>
        <v>Anurag Kashyap</v>
      </c>
    </row>
    <row r="565">
      <c r="A565" s="5">
        <v>141.0</v>
      </c>
      <c r="B565" s="5" t="s">
        <v>1027</v>
      </c>
      <c r="C565" s="5" t="s">
        <v>1035</v>
      </c>
      <c r="D565" s="5" t="s">
        <v>6637</v>
      </c>
      <c r="E565" s="8">
        <f>vlookup(B565,Filmes_final!$B$2:$U$1001,20,FALSE)</f>
        <v>4990230</v>
      </c>
      <c r="F565" s="5">
        <f>vlookup(B565,Filmes_final!$B$2:$U$1001,3,FALSE)</f>
        <v>2012</v>
      </c>
      <c r="G565" s="5" t="str">
        <f>vlookup(B565,Filmes_final!$B$2:$U$1001,13,FALSE)</f>
        <v>Anurag Kashyap</v>
      </c>
    </row>
    <row r="566">
      <c r="A566" s="5">
        <v>142.0</v>
      </c>
      <c r="B566" s="5" t="s">
        <v>1036</v>
      </c>
      <c r="C566" s="5" t="s">
        <v>1039</v>
      </c>
      <c r="D566" s="5" t="s">
        <v>6634</v>
      </c>
      <c r="E566" s="8">
        <f>vlookup(B566,Filmes_final!$B$2:$U$1001,20,FALSE)</f>
        <v>8882</v>
      </c>
      <c r="F566" s="5">
        <f>vlookup(B566,Filmes_final!$B$2:$U$1001,3,FALSE)</f>
        <v>2010</v>
      </c>
      <c r="G566" s="5" t="str">
        <f>vlookup(B566,Filmes_final!$B$2:$U$1001,13,FALSE)</f>
        <v>Vikramaditya Motwane</v>
      </c>
    </row>
    <row r="567">
      <c r="A567" s="5">
        <v>142.0</v>
      </c>
      <c r="B567" s="5" t="s">
        <v>1036</v>
      </c>
      <c r="C567" s="5" t="s">
        <v>1040</v>
      </c>
      <c r="D567" s="5" t="s">
        <v>6635</v>
      </c>
      <c r="E567" s="8">
        <f>vlookup(B567,Filmes_final!$B$2:$U$1001,20,FALSE)</f>
        <v>8882</v>
      </c>
      <c r="F567" s="5">
        <f>vlookup(B567,Filmes_final!$B$2:$U$1001,3,FALSE)</f>
        <v>2010</v>
      </c>
      <c r="G567" s="5" t="str">
        <f>vlookup(B567,Filmes_final!$B$2:$U$1001,13,FALSE)</f>
        <v>Vikramaditya Motwane</v>
      </c>
    </row>
    <row r="568">
      <c r="A568" s="5">
        <v>142.0</v>
      </c>
      <c r="B568" s="5" t="s">
        <v>1036</v>
      </c>
      <c r="C568" s="5" t="s">
        <v>1041</v>
      </c>
      <c r="D568" s="5" t="s">
        <v>6636</v>
      </c>
      <c r="E568" s="8">
        <f>vlookup(B568,Filmes_final!$B$2:$U$1001,20,FALSE)</f>
        <v>8882</v>
      </c>
      <c r="F568" s="5">
        <f>vlookup(B568,Filmes_final!$B$2:$U$1001,3,FALSE)</f>
        <v>2010</v>
      </c>
      <c r="G568" s="5" t="str">
        <f>vlookup(B568,Filmes_final!$B$2:$U$1001,13,FALSE)</f>
        <v>Vikramaditya Motwane</v>
      </c>
    </row>
    <row r="569">
      <c r="A569" s="5">
        <v>142.0</v>
      </c>
      <c r="B569" s="5" t="s">
        <v>1036</v>
      </c>
      <c r="C569" s="5" t="s">
        <v>1042</v>
      </c>
      <c r="D569" s="5" t="s">
        <v>6637</v>
      </c>
      <c r="E569" s="8">
        <f>vlookup(B569,Filmes_final!$B$2:$U$1001,20,FALSE)</f>
        <v>8882</v>
      </c>
      <c r="F569" s="5">
        <f>vlookup(B569,Filmes_final!$B$2:$U$1001,3,FALSE)</f>
        <v>2010</v>
      </c>
      <c r="G569" s="5" t="str">
        <f>vlookup(B569,Filmes_final!$B$2:$U$1001,13,FALSE)</f>
        <v>Vikramaditya Motwane</v>
      </c>
    </row>
    <row r="570">
      <c r="A570" s="5">
        <v>143.0</v>
      </c>
      <c r="B570" s="5" t="s">
        <v>1043</v>
      </c>
      <c r="C570" s="5" t="s">
        <v>980</v>
      </c>
      <c r="D570" s="5" t="s">
        <v>6634</v>
      </c>
      <c r="E570" s="8">
        <f>vlookup(B570,Filmes_final!$B$2:$U$1001,20,FALSE)</f>
        <v>45032</v>
      </c>
      <c r="F570" s="5">
        <f>vlookup(B570,Filmes_final!$B$2:$U$1001,3,FALSE)</f>
        <v>2012</v>
      </c>
      <c r="G570" s="5" t="str">
        <f>vlookup(B570,Filmes_final!$B$2:$U$1001,13,FALSE)</f>
        <v>Tigmanshu Dhulia</v>
      </c>
    </row>
    <row r="571">
      <c r="A571" s="5">
        <v>143.0</v>
      </c>
      <c r="B571" s="5" t="s">
        <v>1043</v>
      </c>
      <c r="C571" s="5" t="s">
        <v>1047</v>
      </c>
      <c r="D571" s="5" t="s">
        <v>6635</v>
      </c>
      <c r="E571" s="8">
        <f>vlookup(B571,Filmes_final!$B$2:$U$1001,20,FALSE)</f>
        <v>45032</v>
      </c>
      <c r="F571" s="5">
        <f>vlookup(B571,Filmes_final!$B$2:$U$1001,3,FALSE)</f>
        <v>2012</v>
      </c>
      <c r="G571" s="5" t="str">
        <f>vlookup(B571,Filmes_final!$B$2:$U$1001,13,FALSE)</f>
        <v>Tigmanshu Dhulia</v>
      </c>
    </row>
    <row r="572">
      <c r="A572" s="5">
        <v>143.0</v>
      </c>
      <c r="B572" s="5" t="s">
        <v>1043</v>
      </c>
      <c r="C572" s="5" t="s">
        <v>1048</v>
      </c>
      <c r="D572" s="5" t="s">
        <v>6636</v>
      </c>
      <c r="E572" s="8">
        <f>vlookup(B572,Filmes_final!$B$2:$U$1001,20,FALSE)</f>
        <v>45032</v>
      </c>
      <c r="F572" s="5">
        <f>vlookup(B572,Filmes_final!$B$2:$U$1001,3,FALSE)</f>
        <v>2012</v>
      </c>
      <c r="G572" s="5" t="str">
        <f>vlookup(B572,Filmes_final!$B$2:$U$1001,13,FALSE)</f>
        <v>Tigmanshu Dhulia</v>
      </c>
    </row>
    <row r="573">
      <c r="A573" s="5">
        <v>143.0</v>
      </c>
      <c r="B573" s="5" t="s">
        <v>1043</v>
      </c>
      <c r="C573" s="5" t="s">
        <v>1049</v>
      </c>
      <c r="D573" s="5" t="s">
        <v>6637</v>
      </c>
      <c r="E573" s="8">
        <f>vlookup(B573,Filmes_final!$B$2:$U$1001,20,FALSE)</f>
        <v>45032</v>
      </c>
      <c r="F573" s="5">
        <f>vlookup(B573,Filmes_final!$B$2:$U$1001,3,FALSE)</f>
        <v>2012</v>
      </c>
      <c r="G573" s="5" t="str">
        <f>vlookup(B573,Filmes_final!$B$2:$U$1001,13,FALSE)</f>
        <v>Tigmanshu Dhulia</v>
      </c>
    </row>
    <row r="574">
      <c r="A574" s="5">
        <v>144.0</v>
      </c>
      <c r="B574" s="5" t="s">
        <v>1050</v>
      </c>
      <c r="C574" s="5" t="s">
        <v>1054</v>
      </c>
      <c r="D574" s="5" t="s">
        <v>6634</v>
      </c>
      <c r="E574" s="8">
        <f>vlookup(B574,Filmes_final!$B$2:$U$1001,20,FALSE)</f>
        <v>7808950</v>
      </c>
      <c r="F574" s="5">
        <f>vlookup(B574,Filmes_final!$B$2:$U$1001,3,FALSE)</f>
        <v>2009</v>
      </c>
      <c r="G574" s="5" t="str">
        <f>vlookup(B574,Filmes_final!$B$2:$U$1001,13,FALSE)</f>
        <v>Juan José Campanella</v>
      </c>
    </row>
    <row r="575">
      <c r="A575" s="5">
        <v>144.0</v>
      </c>
      <c r="B575" s="5" t="s">
        <v>1050</v>
      </c>
      <c r="C575" s="5" t="s">
        <v>1055</v>
      </c>
      <c r="D575" s="5" t="s">
        <v>6635</v>
      </c>
      <c r="E575" s="8">
        <f>vlookup(B575,Filmes_final!$B$2:$U$1001,20,FALSE)</f>
        <v>7808950</v>
      </c>
      <c r="F575" s="5">
        <f>vlookup(B575,Filmes_final!$B$2:$U$1001,3,FALSE)</f>
        <v>2009</v>
      </c>
      <c r="G575" s="5" t="str">
        <f>vlookup(B575,Filmes_final!$B$2:$U$1001,13,FALSE)</f>
        <v>Juan José Campanella</v>
      </c>
    </row>
    <row r="576">
      <c r="A576" s="5">
        <v>144.0</v>
      </c>
      <c r="B576" s="5" t="s">
        <v>1050</v>
      </c>
      <c r="C576" s="5" t="s">
        <v>1056</v>
      </c>
      <c r="D576" s="5" t="s">
        <v>6636</v>
      </c>
      <c r="E576" s="8">
        <f>vlookup(B576,Filmes_final!$B$2:$U$1001,20,FALSE)</f>
        <v>7808950</v>
      </c>
      <c r="F576" s="5">
        <f>vlookup(B576,Filmes_final!$B$2:$U$1001,3,FALSE)</f>
        <v>2009</v>
      </c>
      <c r="G576" s="5" t="str">
        <f>vlookup(B576,Filmes_final!$B$2:$U$1001,13,FALSE)</f>
        <v>Juan José Campanella</v>
      </c>
    </row>
    <row r="577">
      <c r="A577" s="5">
        <v>144.0</v>
      </c>
      <c r="B577" s="5" t="s">
        <v>1050</v>
      </c>
      <c r="C577" s="5" t="s">
        <v>1057</v>
      </c>
      <c r="D577" s="5" t="s">
        <v>6637</v>
      </c>
      <c r="E577" s="8">
        <f>vlookup(B577,Filmes_final!$B$2:$U$1001,20,FALSE)</f>
        <v>7808950</v>
      </c>
      <c r="F577" s="5">
        <f>vlookup(B577,Filmes_final!$B$2:$U$1001,3,FALSE)</f>
        <v>2009</v>
      </c>
      <c r="G577" s="5" t="str">
        <f>vlookup(B577,Filmes_final!$B$2:$U$1001,13,FALSE)</f>
        <v>Juan José Campanella</v>
      </c>
    </row>
    <row r="578">
      <c r="A578" s="5">
        <v>145.0</v>
      </c>
      <c r="B578" s="5" t="s">
        <v>1058</v>
      </c>
      <c r="C578" s="5" t="s">
        <v>504</v>
      </c>
      <c r="D578" s="5" t="s">
        <v>6634</v>
      </c>
      <c r="E578" s="8">
        <f>vlookup(B578,Filmes_final!$B$2:$U$1001,20,FALSE)</f>
        <v>15998055</v>
      </c>
      <c r="F578" s="5">
        <f>vlookup(B578,Filmes_final!$B$2:$U$1001,3,FALSE)</f>
        <v>2011</v>
      </c>
      <c r="G578" s="5" t="str">
        <f>vlookup(B578,Filmes_final!$B$2:$U$1001,13,FALSE)</f>
        <v>Gavin O'Connor</v>
      </c>
    </row>
    <row r="579">
      <c r="A579" s="5">
        <v>145.0</v>
      </c>
      <c r="B579" s="5" t="s">
        <v>1058</v>
      </c>
      <c r="C579" s="5" t="s">
        <v>1063</v>
      </c>
      <c r="D579" s="5" t="s">
        <v>6635</v>
      </c>
      <c r="E579" s="8">
        <f>vlookup(B579,Filmes_final!$B$2:$U$1001,20,FALSE)</f>
        <v>15998055</v>
      </c>
      <c r="F579" s="5">
        <f>vlookup(B579,Filmes_final!$B$2:$U$1001,3,FALSE)</f>
        <v>2011</v>
      </c>
      <c r="G579" s="5" t="str">
        <f>vlookup(B579,Filmes_final!$B$2:$U$1001,13,FALSE)</f>
        <v>Gavin O'Connor</v>
      </c>
    </row>
    <row r="580">
      <c r="A580" s="5">
        <v>145.0</v>
      </c>
      <c r="B580" s="5" t="s">
        <v>1058</v>
      </c>
      <c r="C580" s="5" t="s">
        <v>1064</v>
      </c>
      <c r="D580" s="5" t="s">
        <v>6636</v>
      </c>
      <c r="E580" s="8">
        <f>vlookup(B580,Filmes_final!$B$2:$U$1001,20,FALSE)</f>
        <v>15998055</v>
      </c>
      <c r="F580" s="5">
        <f>vlookup(B580,Filmes_final!$B$2:$U$1001,3,FALSE)</f>
        <v>2011</v>
      </c>
      <c r="G580" s="5" t="str">
        <f>vlookup(B580,Filmes_final!$B$2:$U$1001,13,FALSE)</f>
        <v>Gavin O'Connor</v>
      </c>
    </row>
    <row r="581">
      <c r="A581" s="5">
        <v>145.0</v>
      </c>
      <c r="B581" s="5" t="s">
        <v>1058</v>
      </c>
      <c r="C581" s="5" t="s">
        <v>1065</v>
      </c>
      <c r="D581" s="5" t="s">
        <v>6637</v>
      </c>
      <c r="E581" s="8">
        <f>vlookup(B581,Filmes_final!$B$2:$U$1001,20,FALSE)</f>
        <v>15998055</v>
      </c>
      <c r="F581" s="5">
        <f>vlookup(B581,Filmes_final!$B$2:$U$1001,3,FALSE)</f>
        <v>2011</v>
      </c>
      <c r="G581" s="5" t="str">
        <f>vlookup(B581,Filmes_final!$B$2:$U$1001,13,FALSE)</f>
        <v>Gavin O'Connor</v>
      </c>
    </row>
    <row r="582">
      <c r="A582" s="5">
        <v>146.0</v>
      </c>
      <c r="B582" s="5" t="s">
        <v>1066</v>
      </c>
      <c r="C582" s="5" t="s">
        <v>90</v>
      </c>
      <c r="D582" s="5" t="s">
        <v>6634</v>
      </c>
      <c r="E582" s="8">
        <f>vlookup(B582,Filmes_final!$B$2:$U$1001,20,FALSE)</f>
        <v>152402427</v>
      </c>
      <c r="F582" s="5">
        <f>vlookup(B582,Filmes_final!$B$2:$U$1001,3,FALSE)</f>
        <v>2010</v>
      </c>
      <c r="G582" s="5" t="str">
        <f>vlookup(B582,Filmes_final!$B$2:$U$1001,13,FALSE)</f>
        <v>Martin Scorsese</v>
      </c>
    </row>
    <row r="583">
      <c r="A583" s="5">
        <v>146.0</v>
      </c>
      <c r="B583" s="5" t="s">
        <v>1066</v>
      </c>
      <c r="C583" s="5" t="s">
        <v>1068</v>
      </c>
      <c r="D583" s="5" t="s">
        <v>6635</v>
      </c>
      <c r="E583" s="8">
        <f>vlookup(B583,Filmes_final!$B$2:$U$1001,20,FALSE)</f>
        <v>152402427</v>
      </c>
      <c r="F583" s="5">
        <f>vlookup(B583,Filmes_final!$B$2:$U$1001,3,FALSE)</f>
        <v>2010</v>
      </c>
      <c r="G583" s="5" t="str">
        <f>vlookup(B583,Filmes_final!$B$2:$U$1001,13,FALSE)</f>
        <v>Martin Scorsese</v>
      </c>
    </row>
    <row r="584">
      <c r="A584" s="5">
        <v>146.0</v>
      </c>
      <c r="B584" s="5" t="s">
        <v>1066</v>
      </c>
      <c r="C584" s="5" t="s">
        <v>481</v>
      </c>
      <c r="D584" s="5" t="s">
        <v>6636</v>
      </c>
      <c r="E584" s="8">
        <f>vlookup(B584,Filmes_final!$B$2:$U$1001,20,FALSE)</f>
        <v>152402427</v>
      </c>
      <c r="F584" s="5">
        <f>vlookup(B584,Filmes_final!$B$2:$U$1001,3,FALSE)</f>
        <v>2010</v>
      </c>
      <c r="G584" s="5" t="str">
        <f>vlookup(B584,Filmes_final!$B$2:$U$1001,13,FALSE)</f>
        <v>Martin Scorsese</v>
      </c>
    </row>
    <row r="585">
      <c r="A585" s="5">
        <v>146.0</v>
      </c>
      <c r="B585" s="5" t="s">
        <v>1066</v>
      </c>
      <c r="C585" s="5" t="s">
        <v>84</v>
      </c>
      <c r="D585" s="5" t="s">
        <v>6637</v>
      </c>
      <c r="E585" s="8">
        <f>vlookup(B585,Filmes_final!$B$2:$U$1001,20,FALSE)</f>
        <v>152402427</v>
      </c>
      <c r="F585" s="5">
        <f>vlookup(B585,Filmes_final!$B$2:$U$1001,3,FALSE)</f>
        <v>2010</v>
      </c>
      <c r="G585" s="5" t="str">
        <f>vlookup(B585,Filmes_final!$B$2:$U$1001,13,FALSE)</f>
        <v>Martin Scorsese</v>
      </c>
    </row>
    <row r="586">
      <c r="A586" s="5">
        <v>147.0</v>
      </c>
      <c r="B586" s="5" t="s">
        <v>1069</v>
      </c>
      <c r="C586" s="5" t="s">
        <v>1072</v>
      </c>
      <c r="D586" s="5" t="s">
        <v>6634</v>
      </c>
      <c r="E586" s="8">
        <f>vlookup(B586,Filmes_final!$B$2:$U$1001,20,FALSE)</f>
        <v>357987606</v>
      </c>
      <c r="F586" s="5">
        <f>vlookup(B586,Filmes_final!$B$2:$U$1001,3,FALSE)</f>
        <v>2009</v>
      </c>
      <c r="G586" s="5" t="str">
        <f>vlookup(B586,Filmes_final!$B$2:$U$1001,13,FALSE)</f>
        <v>Pete Docter</v>
      </c>
    </row>
    <row r="587">
      <c r="A587" s="5">
        <v>147.0</v>
      </c>
      <c r="B587" s="5" t="s">
        <v>1069</v>
      </c>
      <c r="C587" s="5" t="s">
        <v>1073</v>
      </c>
      <c r="D587" s="5" t="s">
        <v>6635</v>
      </c>
      <c r="E587" s="8">
        <f>vlookup(B587,Filmes_final!$B$2:$U$1001,20,FALSE)</f>
        <v>357987606</v>
      </c>
      <c r="F587" s="5">
        <f>vlookup(B587,Filmes_final!$B$2:$U$1001,3,FALSE)</f>
        <v>2009</v>
      </c>
      <c r="G587" s="5" t="str">
        <f>vlookup(B587,Filmes_final!$B$2:$U$1001,13,FALSE)</f>
        <v>Pete Docter</v>
      </c>
    </row>
    <row r="588">
      <c r="A588" s="5">
        <v>147.0</v>
      </c>
      <c r="B588" s="5" t="s">
        <v>1069</v>
      </c>
      <c r="C588" s="5" t="s">
        <v>1074</v>
      </c>
      <c r="D588" s="5" t="s">
        <v>6636</v>
      </c>
      <c r="E588" s="8">
        <f>vlookup(B588,Filmes_final!$B$2:$U$1001,20,FALSE)</f>
        <v>357987606</v>
      </c>
      <c r="F588" s="5">
        <f>vlookup(B588,Filmes_final!$B$2:$U$1001,3,FALSE)</f>
        <v>2009</v>
      </c>
      <c r="G588" s="5" t="str">
        <f>vlookup(B588,Filmes_final!$B$2:$U$1001,13,FALSE)</f>
        <v>Pete Docter</v>
      </c>
    </row>
    <row r="589">
      <c r="A589" s="5">
        <v>147.0</v>
      </c>
      <c r="B589" s="5" t="s">
        <v>1069</v>
      </c>
      <c r="C589" s="5" t="s">
        <v>1075</v>
      </c>
      <c r="D589" s="5" t="s">
        <v>6637</v>
      </c>
      <c r="E589" s="8">
        <f>vlookup(B589,Filmes_final!$B$2:$U$1001,20,FALSE)</f>
        <v>357987606</v>
      </c>
      <c r="F589" s="5">
        <f>vlookup(B589,Filmes_final!$B$2:$U$1001,3,FALSE)</f>
        <v>2009</v>
      </c>
      <c r="G589" s="5" t="str">
        <f>vlookup(B589,Filmes_final!$B$2:$U$1001,13,FALSE)</f>
        <v>Pete Docter</v>
      </c>
    </row>
    <row r="590">
      <c r="A590" s="5">
        <v>148.0</v>
      </c>
      <c r="B590" s="5" t="s">
        <v>1076</v>
      </c>
      <c r="C590" s="5" t="s">
        <v>90</v>
      </c>
      <c r="D590" s="5" t="s">
        <v>6634</v>
      </c>
      <c r="E590" s="8">
        <f>vlookup(B590,Filmes_final!$B$2:$U$1001,20,FALSE)</f>
        <v>130957916</v>
      </c>
      <c r="F590" s="5">
        <f>vlookup(B590,Filmes_final!$B$2:$U$1001,3,FALSE)</f>
        <v>2013</v>
      </c>
      <c r="G590" s="5" t="str">
        <f>vlookup(B590,Filmes_final!$B$2:$U$1001,13,FALSE)</f>
        <v>Martin Scorsese</v>
      </c>
    </row>
    <row r="591">
      <c r="A591" s="5">
        <v>148.0</v>
      </c>
      <c r="B591" s="5" t="s">
        <v>1076</v>
      </c>
      <c r="C591" s="5" t="s">
        <v>1079</v>
      </c>
      <c r="D591" s="5" t="s">
        <v>6635</v>
      </c>
      <c r="E591" s="8">
        <f>vlookup(B591,Filmes_final!$B$2:$U$1001,20,FALSE)</f>
        <v>130957916</v>
      </c>
      <c r="F591" s="5">
        <f>vlookup(B591,Filmes_final!$B$2:$U$1001,3,FALSE)</f>
        <v>2013</v>
      </c>
      <c r="G591" s="5" t="str">
        <f>vlookup(B591,Filmes_final!$B$2:$U$1001,13,FALSE)</f>
        <v>Martin Scorsese</v>
      </c>
    </row>
    <row r="592">
      <c r="A592" s="5">
        <v>148.0</v>
      </c>
      <c r="B592" s="5" t="s">
        <v>1076</v>
      </c>
      <c r="C592" s="5" t="s">
        <v>1080</v>
      </c>
      <c r="D592" s="5" t="s">
        <v>6636</v>
      </c>
      <c r="E592" s="8">
        <f>vlookup(B592,Filmes_final!$B$2:$U$1001,20,FALSE)</f>
        <v>130957916</v>
      </c>
      <c r="F592" s="5">
        <f>vlookup(B592,Filmes_final!$B$2:$U$1001,3,FALSE)</f>
        <v>2013</v>
      </c>
      <c r="G592" s="5" t="str">
        <f>vlookup(B592,Filmes_final!$B$2:$U$1001,13,FALSE)</f>
        <v>Martin Scorsese</v>
      </c>
    </row>
    <row r="593">
      <c r="A593" s="5">
        <v>148.0</v>
      </c>
      <c r="B593" s="5" t="s">
        <v>1076</v>
      </c>
      <c r="C593" s="5" t="s">
        <v>190</v>
      </c>
      <c r="D593" s="5" t="s">
        <v>6637</v>
      </c>
      <c r="E593" s="8">
        <f>vlookup(B593,Filmes_final!$B$2:$U$1001,20,FALSE)</f>
        <v>130957916</v>
      </c>
      <c r="F593" s="5">
        <f>vlookup(B593,Filmes_final!$B$2:$U$1001,3,FALSE)</f>
        <v>2013</v>
      </c>
      <c r="G593" s="5" t="str">
        <f>vlookup(B593,Filmes_final!$B$2:$U$1001,13,FALSE)</f>
        <v>Martin Scorsese</v>
      </c>
    </row>
    <row r="594">
      <c r="A594" s="5">
        <v>149.0</v>
      </c>
      <c r="B594" s="5" t="s">
        <v>1081</v>
      </c>
      <c r="C594" s="5" t="s">
        <v>1084</v>
      </c>
      <c r="D594" s="5" t="s">
        <v>6634</v>
      </c>
      <c r="E594" s="8">
        <f>vlookup(B594,Filmes_final!$B$2:$U$1001,20,FALSE)</f>
        <v>1419163</v>
      </c>
      <c r="F594" s="5">
        <f>vlookup(B594,Filmes_final!$B$2:$U$1001,3,FALSE)</f>
        <v>2007</v>
      </c>
      <c r="G594" s="5" t="str">
        <f>vlookup(B594,Filmes_final!$B$2:$U$1001,13,FALSE)</f>
        <v>Shimit Amin</v>
      </c>
    </row>
    <row r="595">
      <c r="A595" s="5">
        <v>149.0</v>
      </c>
      <c r="B595" s="5" t="s">
        <v>1081</v>
      </c>
      <c r="C595" s="5" t="s">
        <v>1085</v>
      </c>
      <c r="D595" s="5" t="s">
        <v>6635</v>
      </c>
      <c r="E595" s="8">
        <f>vlookup(B595,Filmes_final!$B$2:$U$1001,20,FALSE)</f>
        <v>1419163</v>
      </c>
      <c r="F595" s="5">
        <f>vlookup(B595,Filmes_final!$B$2:$U$1001,3,FALSE)</f>
        <v>2007</v>
      </c>
      <c r="G595" s="5" t="str">
        <f>vlookup(B595,Filmes_final!$B$2:$U$1001,13,FALSE)</f>
        <v>Shimit Amin</v>
      </c>
    </row>
    <row r="596">
      <c r="A596" s="5">
        <v>149.0</v>
      </c>
      <c r="B596" s="5" t="s">
        <v>1081</v>
      </c>
      <c r="C596" s="5" t="s">
        <v>1086</v>
      </c>
      <c r="D596" s="5" t="s">
        <v>6636</v>
      </c>
      <c r="E596" s="8">
        <f>vlookup(B596,Filmes_final!$B$2:$U$1001,20,FALSE)</f>
        <v>1419163</v>
      </c>
      <c r="F596" s="5">
        <f>vlookup(B596,Filmes_final!$B$2:$U$1001,3,FALSE)</f>
        <v>2007</v>
      </c>
      <c r="G596" s="5" t="str">
        <f>vlookup(B596,Filmes_final!$B$2:$U$1001,13,FALSE)</f>
        <v>Shimit Amin</v>
      </c>
    </row>
    <row r="597">
      <c r="A597" s="5">
        <v>149.0</v>
      </c>
      <c r="B597" s="5" t="s">
        <v>1081</v>
      </c>
      <c r="C597" s="5" t="s">
        <v>1087</v>
      </c>
      <c r="D597" s="5" t="s">
        <v>6637</v>
      </c>
      <c r="E597" s="8">
        <f>vlookup(B597,Filmes_final!$B$2:$U$1001,20,FALSE)</f>
        <v>1419163</v>
      </c>
      <c r="F597" s="5">
        <f>vlookup(B597,Filmes_final!$B$2:$U$1001,3,FALSE)</f>
        <v>2007</v>
      </c>
      <c r="G597" s="5" t="str">
        <f>vlookup(B597,Filmes_final!$B$2:$U$1001,13,FALSE)</f>
        <v>Shimit Amin</v>
      </c>
    </row>
    <row r="598">
      <c r="A598" s="5">
        <v>150.0</v>
      </c>
      <c r="B598" s="5" t="s">
        <v>1088</v>
      </c>
      <c r="C598" s="5" t="s">
        <v>1092</v>
      </c>
      <c r="D598" s="5" t="s">
        <v>6634</v>
      </c>
      <c r="E598" s="8">
        <f>vlookup(B598,Filmes_final!$B$2:$U$1001,20,FALSE)</f>
        <v>51261966</v>
      </c>
      <c r="F598" s="5">
        <f>vlookup(B598,Filmes_final!$B$2:$U$1001,3,FALSE)</f>
        <v>2007</v>
      </c>
      <c r="G598" s="5" t="str">
        <f>vlookup(B598,Filmes_final!$B$2:$U$1001,13,FALSE)</f>
        <v>Paul Thomas Anderson</v>
      </c>
    </row>
    <row r="599">
      <c r="A599" s="5">
        <v>150.0</v>
      </c>
      <c r="B599" s="5" t="s">
        <v>1088</v>
      </c>
      <c r="C599" s="5" t="s">
        <v>1093</v>
      </c>
      <c r="D599" s="5" t="s">
        <v>6635</v>
      </c>
      <c r="E599" s="8">
        <f>vlookup(B599,Filmes_final!$B$2:$U$1001,20,FALSE)</f>
        <v>51261966</v>
      </c>
      <c r="F599" s="5">
        <f>vlookup(B599,Filmes_final!$B$2:$U$1001,3,FALSE)</f>
        <v>2007</v>
      </c>
      <c r="G599" s="5" t="str">
        <f>vlookup(B599,Filmes_final!$B$2:$U$1001,13,FALSE)</f>
        <v>Paul Thomas Anderson</v>
      </c>
    </row>
    <row r="600">
      <c r="A600" s="5">
        <v>150.0</v>
      </c>
      <c r="B600" s="5" t="s">
        <v>1088</v>
      </c>
      <c r="C600" s="5" t="s">
        <v>1094</v>
      </c>
      <c r="D600" s="5" t="s">
        <v>6636</v>
      </c>
      <c r="E600" s="8">
        <f>vlookup(B600,Filmes_final!$B$2:$U$1001,20,FALSE)</f>
        <v>51261966</v>
      </c>
      <c r="F600" s="5">
        <f>vlookup(B600,Filmes_final!$B$2:$U$1001,3,FALSE)</f>
        <v>2007</v>
      </c>
      <c r="G600" s="5" t="str">
        <f>vlookup(B600,Filmes_final!$B$2:$U$1001,13,FALSE)</f>
        <v>Paul Thomas Anderson</v>
      </c>
    </row>
    <row r="601">
      <c r="A601" s="5">
        <v>150.0</v>
      </c>
      <c r="B601" s="5" t="s">
        <v>1088</v>
      </c>
      <c r="C601" s="5" t="s">
        <v>1095</v>
      </c>
      <c r="D601" s="5" t="s">
        <v>6637</v>
      </c>
      <c r="E601" s="8">
        <f>vlookup(B601,Filmes_final!$B$2:$U$1001,20,FALSE)</f>
        <v>51261966</v>
      </c>
      <c r="F601" s="5">
        <f>vlookup(B601,Filmes_final!$B$2:$U$1001,3,FALSE)</f>
        <v>2007</v>
      </c>
      <c r="G601" s="5" t="str">
        <f>vlookup(B601,Filmes_final!$B$2:$U$1001,13,FALSE)</f>
        <v>Paul Thomas Anderson</v>
      </c>
    </row>
    <row r="602">
      <c r="A602" s="5">
        <v>151.0</v>
      </c>
      <c r="B602" s="5" t="s">
        <v>1096</v>
      </c>
      <c r="C602" s="5" t="s">
        <v>1100</v>
      </c>
      <c r="D602" s="5" t="s">
        <v>6634</v>
      </c>
      <c r="E602" s="8">
        <f>vlookup(B602,Filmes_final!$B$2:$U$1001,20,FALSE)</f>
        <v>48959351</v>
      </c>
      <c r="F602" s="5">
        <f>vlookup(B602,Filmes_final!$B$2:$U$1001,3,FALSE)</f>
        <v>2006</v>
      </c>
      <c r="G602" s="5" t="str">
        <f>vlookup(B602,Filmes_final!$B$2:$U$1001,13,FALSE)</f>
        <v>Guillermo del Toro</v>
      </c>
    </row>
    <row r="603">
      <c r="A603" s="5">
        <v>151.0</v>
      </c>
      <c r="B603" s="5" t="s">
        <v>1096</v>
      </c>
      <c r="C603" s="5" t="s">
        <v>1101</v>
      </c>
      <c r="D603" s="5" t="s">
        <v>6635</v>
      </c>
      <c r="E603" s="8">
        <f>vlookup(B603,Filmes_final!$B$2:$U$1001,20,FALSE)</f>
        <v>48959351</v>
      </c>
      <c r="F603" s="5">
        <f>vlookup(B603,Filmes_final!$B$2:$U$1001,3,FALSE)</f>
        <v>2006</v>
      </c>
      <c r="G603" s="5" t="str">
        <f>vlookup(B603,Filmes_final!$B$2:$U$1001,13,FALSE)</f>
        <v>Guillermo del Toro</v>
      </c>
    </row>
    <row r="604">
      <c r="A604" s="5">
        <v>151.0</v>
      </c>
      <c r="B604" s="5" t="s">
        <v>1096</v>
      </c>
      <c r="C604" s="5" t="s">
        <v>1102</v>
      </c>
      <c r="D604" s="5" t="s">
        <v>6636</v>
      </c>
      <c r="E604" s="8">
        <f>vlookup(B604,Filmes_final!$B$2:$U$1001,20,FALSE)</f>
        <v>48959351</v>
      </c>
      <c r="F604" s="5">
        <f>vlookup(B604,Filmes_final!$B$2:$U$1001,3,FALSE)</f>
        <v>2006</v>
      </c>
      <c r="G604" s="5" t="str">
        <f>vlookup(B604,Filmes_final!$B$2:$U$1001,13,FALSE)</f>
        <v>Guillermo del Toro</v>
      </c>
    </row>
    <row r="605">
      <c r="A605" s="5">
        <v>151.0</v>
      </c>
      <c r="B605" s="5" t="s">
        <v>1096</v>
      </c>
      <c r="C605" s="5" t="s">
        <v>1103</v>
      </c>
      <c r="D605" s="5" t="s">
        <v>6637</v>
      </c>
      <c r="E605" s="8">
        <f>vlookup(B605,Filmes_final!$B$2:$U$1001,20,FALSE)</f>
        <v>48959351</v>
      </c>
      <c r="F605" s="5">
        <f>vlookup(B605,Filmes_final!$B$2:$U$1001,3,FALSE)</f>
        <v>2006</v>
      </c>
      <c r="G605" s="5" t="str">
        <f>vlookup(B605,Filmes_final!$B$2:$U$1001,13,FALSE)</f>
        <v>Guillermo del Toro</v>
      </c>
    </row>
    <row r="606">
      <c r="A606" s="5">
        <v>152.0</v>
      </c>
      <c r="B606" s="5" t="s">
        <v>1104</v>
      </c>
      <c r="C606" s="5" t="s">
        <v>110</v>
      </c>
      <c r="D606" s="5" t="s">
        <v>6634</v>
      </c>
      <c r="E606" s="8">
        <f>vlookup(B606,Filmes_final!$B$2:$U$1001,20,FALSE)</f>
        <v>494073129</v>
      </c>
      <c r="F606" s="5">
        <f>vlookup(B606,Filmes_final!$B$2:$U$1001,3,FALSE)</f>
        <v>2010</v>
      </c>
      <c r="G606" s="5" t="str">
        <f>vlookup(B606,Filmes_final!$B$2:$U$1001,13,FALSE)</f>
        <v>Lee Unkrich</v>
      </c>
    </row>
    <row r="607">
      <c r="A607" s="5">
        <v>152.0</v>
      </c>
      <c r="B607" s="5" t="s">
        <v>1104</v>
      </c>
      <c r="C607" s="5" t="s">
        <v>768</v>
      </c>
      <c r="D607" s="5" t="s">
        <v>6635</v>
      </c>
      <c r="E607" s="8">
        <f>vlookup(B607,Filmes_final!$B$2:$U$1001,20,FALSE)</f>
        <v>494073129</v>
      </c>
      <c r="F607" s="5">
        <f>vlookup(B607,Filmes_final!$B$2:$U$1001,3,FALSE)</f>
        <v>2010</v>
      </c>
      <c r="G607" s="5" t="str">
        <f>vlookup(B607,Filmes_final!$B$2:$U$1001,13,FALSE)</f>
        <v>Lee Unkrich</v>
      </c>
    </row>
    <row r="608">
      <c r="A608" s="5">
        <v>152.0</v>
      </c>
      <c r="B608" s="5" t="s">
        <v>1104</v>
      </c>
      <c r="C608" s="5" t="s">
        <v>1106</v>
      </c>
      <c r="D608" s="5" t="s">
        <v>6636</v>
      </c>
      <c r="E608" s="8">
        <f>vlookup(B608,Filmes_final!$B$2:$U$1001,20,FALSE)</f>
        <v>494073129</v>
      </c>
      <c r="F608" s="5">
        <f>vlookup(B608,Filmes_final!$B$2:$U$1001,3,FALSE)</f>
        <v>2010</v>
      </c>
      <c r="G608" s="5" t="str">
        <f>vlookup(B608,Filmes_final!$B$2:$U$1001,13,FALSE)</f>
        <v>Lee Unkrich</v>
      </c>
    </row>
    <row r="609">
      <c r="A609" s="5">
        <v>152.0</v>
      </c>
      <c r="B609" s="5" t="s">
        <v>1104</v>
      </c>
      <c r="C609" s="5" t="s">
        <v>1107</v>
      </c>
      <c r="D609" s="5" t="s">
        <v>6637</v>
      </c>
      <c r="E609" s="8">
        <f>vlookup(B609,Filmes_final!$B$2:$U$1001,20,FALSE)</f>
        <v>494073129</v>
      </c>
      <c r="F609" s="5">
        <f>vlookup(B609,Filmes_final!$B$2:$U$1001,3,FALSE)</f>
        <v>2010</v>
      </c>
      <c r="G609" s="5" t="str">
        <f>vlookup(B609,Filmes_final!$B$2:$U$1001,13,FALSE)</f>
        <v>Lee Unkrich</v>
      </c>
    </row>
    <row r="610">
      <c r="A610" s="5">
        <v>153.0</v>
      </c>
      <c r="B610" s="5" t="s">
        <v>1108</v>
      </c>
      <c r="C610" s="5" t="s">
        <v>1112</v>
      </c>
      <c r="D610" s="5" t="s">
        <v>6634</v>
      </c>
      <c r="E610" s="8">
        <f>vlookup(B610,Filmes_final!$B$2:$U$1001,20,FALSE)</f>
        <v>95384385</v>
      </c>
      <c r="F610" s="5">
        <f>vlookup(B610,Filmes_final!$B$2:$U$1001,3,FALSE)</f>
        <v>2005</v>
      </c>
      <c r="G610" s="5" t="str">
        <f>vlookup(B610,Filmes_final!$B$2:$U$1001,13,FALSE)</f>
        <v>James McTeigue</v>
      </c>
    </row>
    <row r="611">
      <c r="A611" s="5">
        <v>153.0</v>
      </c>
      <c r="B611" s="5" t="s">
        <v>1108</v>
      </c>
      <c r="C611" s="5" t="s">
        <v>348</v>
      </c>
      <c r="D611" s="5" t="s">
        <v>6635</v>
      </c>
      <c r="E611" s="8">
        <f>vlookup(B611,Filmes_final!$B$2:$U$1001,20,FALSE)</f>
        <v>95384385</v>
      </c>
      <c r="F611" s="5">
        <f>vlookup(B611,Filmes_final!$B$2:$U$1001,3,FALSE)</f>
        <v>2005</v>
      </c>
      <c r="G611" s="5" t="str">
        <f>vlookup(B611,Filmes_final!$B$2:$U$1001,13,FALSE)</f>
        <v>James McTeigue</v>
      </c>
    </row>
    <row r="612">
      <c r="A612" s="5">
        <v>153.0</v>
      </c>
      <c r="B612" s="5" t="s">
        <v>1108</v>
      </c>
      <c r="C612" s="5" t="s">
        <v>1113</v>
      </c>
      <c r="D612" s="5" t="s">
        <v>6636</v>
      </c>
      <c r="E612" s="8">
        <f>vlookup(B612,Filmes_final!$B$2:$U$1001,20,FALSE)</f>
        <v>95384385</v>
      </c>
      <c r="F612" s="5">
        <f>vlookup(B612,Filmes_final!$B$2:$U$1001,3,FALSE)</f>
        <v>2005</v>
      </c>
      <c r="G612" s="5" t="str">
        <f>vlookup(B612,Filmes_final!$B$2:$U$1001,13,FALSE)</f>
        <v>James McTeigue</v>
      </c>
    </row>
    <row r="613">
      <c r="A613" s="5">
        <v>153.0</v>
      </c>
      <c r="B613" s="5" t="s">
        <v>1108</v>
      </c>
      <c r="C613" s="5" t="s">
        <v>1114</v>
      </c>
      <c r="D613" s="5" t="s">
        <v>6637</v>
      </c>
      <c r="E613" s="8">
        <f>vlookup(B613,Filmes_final!$B$2:$U$1001,20,FALSE)</f>
        <v>95384385</v>
      </c>
      <c r="F613" s="5">
        <f>vlookup(B613,Filmes_final!$B$2:$U$1001,3,FALSE)</f>
        <v>2005</v>
      </c>
      <c r="G613" s="5" t="str">
        <f>vlookup(B613,Filmes_final!$B$2:$U$1001,13,FALSE)</f>
        <v>James McTeigue</v>
      </c>
    </row>
    <row r="614">
      <c r="A614" s="5">
        <v>154.0</v>
      </c>
      <c r="B614" s="5" t="s">
        <v>1115</v>
      </c>
      <c r="C614" s="5" t="s">
        <v>461</v>
      </c>
      <c r="D614" s="5" t="s">
        <v>6634</v>
      </c>
      <c r="E614" s="8">
        <f>vlookup(B614,Filmes_final!$B$2:$U$1001,20,FALSE)</f>
        <v>2858536</v>
      </c>
      <c r="F614" s="5">
        <f>vlookup(B614,Filmes_final!$B$2:$U$1001,3,FALSE)</f>
        <v>2006</v>
      </c>
      <c r="G614" s="5" t="str">
        <f>vlookup(B614,Filmes_final!$B$2:$U$1001,13,FALSE)</f>
        <v>Rakeysh Omprakash Mehra</v>
      </c>
    </row>
    <row r="615">
      <c r="A615" s="5">
        <v>154.0</v>
      </c>
      <c r="B615" s="5" t="s">
        <v>1115</v>
      </c>
      <c r="C615" s="5" t="s">
        <v>1117</v>
      </c>
      <c r="D615" s="5" t="s">
        <v>6635</v>
      </c>
      <c r="E615" s="8">
        <f>vlookup(B615,Filmes_final!$B$2:$U$1001,20,FALSE)</f>
        <v>2858536</v>
      </c>
      <c r="F615" s="5">
        <f>vlookup(B615,Filmes_final!$B$2:$U$1001,3,FALSE)</f>
        <v>2006</v>
      </c>
      <c r="G615" s="5" t="str">
        <f>vlookup(B615,Filmes_final!$B$2:$U$1001,13,FALSE)</f>
        <v>Rakeysh Omprakash Mehra</v>
      </c>
    </row>
    <row r="616">
      <c r="A616" s="5">
        <v>154.0</v>
      </c>
      <c r="B616" s="5" t="s">
        <v>1115</v>
      </c>
      <c r="C616" s="5" t="s">
        <v>1118</v>
      </c>
      <c r="D616" s="5" t="s">
        <v>6636</v>
      </c>
      <c r="E616" s="8">
        <f>vlookup(B616,Filmes_final!$B$2:$U$1001,20,FALSE)</f>
        <v>2858536</v>
      </c>
      <c r="F616" s="5">
        <f>vlookup(B616,Filmes_final!$B$2:$U$1001,3,FALSE)</f>
        <v>2006</v>
      </c>
      <c r="G616" s="5" t="str">
        <f>vlookup(B616,Filmes_final!$B$2:$U$1001,13,FALSE)</f>
        <v>Rakeysh Omprakash Mehra</v>
      </c>
    </row>
    <row r="617">
      <c r="A617" s="5">
        <v>154.0</v>
      </c>
      <c r="B617" s="5" t="s">
        <v>1115</v>
      </c>
      <c r="C617" s="5" t="s">
        <v>511</v>
      </c>
      <c r="D617" s="5" t="s">
        <v>6637</v>
      </c>
      <c r="E617" s="8">
        <f>vlookup(B617,Filmes_final!$B$2:$U$1001,20,FALSE)</f>
        <v>2858536</v>
      </c>
      <c r="F617" s="5">
        <f>vlookup(B617,Filmes_final!$B$2:$U$1001,3,FALSE)</f>
        <v>2006</v>
      </c>
      <c r="G617" s="5" t="str">
        <f>vlookup(B617,Filmes_final!$B$2:$U$1001,13,FALSE)</f>
        <v>Rakeysh Omprakash Mehra</v>
      </c>
    </row>
    <row r="618">
      <c r="A618" s="5">
        <v>155.0</v>
      </c>
      <c r="B618" s="5" t="s">
        <v>1119</v>
      </c>
      <c r="C618" s="5" t="s">
        <v>592</v>
      </c>
      <c r="D618" s="5" t="s">
        <v>6634</v>
      </c>
      <c r="E618" s="8">
        <f>vlookup(B618,Filmes_final!$B$2:$U$1001,20,FALSE)</f>
        <v>991699</v>
      </c>
      <c r="F618" s="5">
        <f>vlookup(B618,Filmes_final!$B$2:$U$1001,3,FALSE)</f>
        <v>2005</v>
      </c>
      <c r="G618" s="5" t="str">
        <f>vlookup(B618,Filmes_final!$B$2:$U$1001,13,FALSE)</f>
        <v>Sanjay Leela Bhansali</v>
      </c>
    </row>
    <row r="619">
      <c r="A619" s="5">
        <v>155.0</v>
      </c>
      <c r="B619" s="5" t="s">
        <v>1119</v>
      </c>
      <c r="C619" s="5" t="s">
        <v>1122</v>
      </c>
      <c r="D619" s="5" t="s">
        <v>6635</v>
      </c>
      <c r="E619" s="8">
        <f>vlookup(B619,Filmes_final!$B$2:$U$1001,20,FALSE)</f>
        <v>991699</v>
      </c>
      <c r="F619" s="5">
        <f>vlookup(B619,Filmes_final!$B$2:$U$1001,3,FALSE)</f>
        <v>2005</v>
      </c>
      <c r="G619" s="5" t="str">
        <f>vlookup(B619,Filmes_final!$B$2:$U$1001,13,FALSE)</f>
        <v>Sanjay Leela Bhansali</v>
      </c>
    </row>
    <row r="620">
      <c r="A620" s="5">
        <v>155.0</v>
      </c>
      <c r="B620" s="5" t="s">
        <v>1119</v>
      </c>
      <c r="C620" s="5" t="s">
        <v>1123</v>
      </c>
      <c r="D620" s="5" t="s">
        <v>6636</v>
      </c>
      <c r="E620" s="8">
        <f>vlookup(B620,Filmes_final!$B$2:$U$1001,20,FALSE)</f>
        <v>991699</v>
      </c>
      <c r="F620" s="5">
        <f>vlookup(B620,Filmes_final!$B$2:$U$1001,3,FALSE)</f>
        <v>2005</v>
      </c>
      <c r="G620" s="5" t="str">
        <f>vlookup(B620,Filmes_final!$B$2:$U$1001,13,FALSE)</f>
        <v>Sanjay Leela Bhansali</v>
      </c>
    </row>
    <row r="621">
      <c r="A621" s="5">
        <v>155.0</v>
      </c>
      <c r="B621" s="5" t="s">
        <v>1119</v>
      </c>
      <c r="C621" s="5" t="s">
        <v>1124</v>
      </c>
      <c r="D621" s="5" t="s">
        <v>6637</v>
      </c>
      <c r="E621" s="8">
        <f>vlookup(B621,Filmes_final!$B$2:$U$1001,20,FALSE)</f>
        <v>991699</v>
      </c>
      <c r="F621" s="5">
        <f>vlookup(B621,Filmes_final!$B$2:$U$1001,3,FALSE)</f>
        <v>2005</v>
      </c>
      <c r="G621" s="5" t="str">
        <f>vlookup(B621,Filmes_final!$B$2:$U$1001,13,FALSE)</f>
        <v>Sanjay Leela Bhansali</v>
      </c>
    </row>
    <row r="622">
      <c r="A622" s="5">
        <v>156.0</v>
      </c>
      <c r="B622" s="5" t="s">
        <v>1125</v>
      </c>
      <c r="C622" s="5" t="s">
        <v>42</v>
      </c>
      <c r="D622" s="5" t="s">
        <v>6634</v>
      </c>
      <c r="E622" s="8">
        <f>vlookup(B622,Filmes_final!$B$2:$U$1001,20,FALSE)</f>
        <v>279821336</v>
      </c>
      <c r="F622" s="5">
        <f>vlookup(B622,Filmes_final!$B$2:$U$1001,3,FALSE)</f>
        <v>2005</v>
      </c>
      <c r="G622" s="5" t="str">
        <f>vlookup(B622,Filmes_final!$B$2:$U$1001,13,FALSE)</f>
        <v>Christopher Nolan</v>
      </c>
    </row>
    <row r="623">
      <c r="A623" s="5">
        <v>156.0</v>
      </c>
      <c r="B623" s="5" t="s">
        <v>1125</v>
      </c>
      <c r="C623" s="5" t="s">
        <v>45</v>
      </c>
      <c r="D623" s="5" t="s">
        <v>6635</v>
      </c>
      <c r="E623" s="8">
        <f>vlookup(B623,Filmes_final!$B$2:$U$1001,20,FALSE)</f>
        <v>279821336</v>
      </c>
      <c r="F623" s="5">
        <f>vlookup(B623,Filmes_final!$B$2:$U$1001,3,FALSE)</f>
        <v>2005</v>
      </c>
      <c r="G623" s="5" t="str">
        <f>vlookup(B623,Filmes_final!$B$2:$U$1001,13,FALSE)</f>
        <v>Christopher Nolan</v>
      </c>
    </row>
    <row r="624">
      <c r="A624" s="5">
        <v>156.0</v>
      </c>
      <c r="B624" s="5" t="s">
        <v>1125</v>
      </c>
      <c r="C624" s="5" t="s">
        <v>93</v>
      </c>
      <c r="D624" s="5" t="s">
        <v>6636</v>
      </c>
      <c r="E624" s="8">
        <f>vlookup(B624,Filmes_final!$B$2:$U$1001,20,FALSE)</f>
        <v>279821336</v>
      </c>
      <c r="F624" s="5">
        <f>vlookup(B624,Filmes_final!$B$2:$U$1001,3,FALSE)</f>
        <v>2005</v>
      </c>
      <c r="G624" s="5" t="str">
        <f>vlookup(B624,Filmes_final!$B$2:$U$1001,13,FALSE)</f>
        <v>Christopher Nolan</v>
      </c>
    </row>
    <row r="625">
      <c r="A625" s="5">
        <v>156.0</v>
      </c>
      <c r="B625" s="5" t="s">
        <v>1125</v>
      </c>
      <c r="C625" s="5" t="s">
        <v>82</v>
      </c>
      <c r="D625" s="5" t="s">
        <v>6637</v>
      </c>
      <c r="E625" s="8">
        <f>vlookup(B625,Filmes_final!$B$2:$U$1001,20,FALSE)</f>
        <v>279821336</v>
      </c>
      <c r="F625" s="5">
        <f>vlookup(B625,Filmes_final!$B$2:$U$1001,3,FALSE)</f>
        <v>2005</v>
      </c>
      <c r="G625" s="5" t="str">
        <f>vlookup(B625,Filmes_final!$B$2:$U$1001,13,FALSE)</f>
        <v>Christopher Nolan</v>
      </c>
    </row>
    <row r="626">
      <c r="A626" s="5">
        <v>157.0</v>
      </c>
      <c r="B626" s="5" t="s">
        <v>1127</v>
      </c>
      <c r="C626" s="5" t="s">
        <v>1084</v>
      </c>
      <c r="D626" s="5" t="s">
        <v>6634</v>
      </c>
      <c r="E626" s="8">
        <f>vlookup(B626,Filmes_final!$B$2:$U$1001,20,FALSE)</f>
        <v>1703890</v>
      </c>
      <c r="F626" s="5">
        <f>vlookup(B626,Filmes_final!$B$2:$U$1001,3,FALSE)</f>
        <v>2004</v>
      </c>
      <c r="G626" s="5" t="str">
        <f>vlookup(B626,Filmes_final!$B$2:$U$1001,13,FALSE)</f>
        <v>Ashutosh Gowariker</v>
      </c>
    </row>
    <row r="627">
      <c r="A627" s="5">
        <v>157.0</v>
      </c>
      <c r="B627" s="5" t="s">
        <v>1127</v>
      </c>
      <c r="C627" s="5" t="s">
        <v>1131</v>
      </c>
      <c r="D627" s="5" t="s">
        <v>6635</v>
      </c>
      <c r="E627" s="8">
        <f>vlookup(B627,Filmes_final!$B$2:$U$1001,20,FALSE)</f>
        <v>1703890</v>
      </c>
      <c r="F627" s="5">
        <f>vlookup(B627,Filmes_final!$B$2:$U$1001,3,FALSE)</f>
        <v>2004</v>
      </c>
      <c r="G627" s="5" t="str">
        <f>vlookup(B627,Filmes_final!$B$2:$U$1001,13,FALSE)</f>
        <v>Ashutosh Gowariker</v>
      </c>
    </row>
    <row r="628">
      <c r="A628" s="5">
        <v>157.0</v>
      </c>
      <c r="B628" s="5" t="s">
        <v>1127</v>
      </c>
      <c r="C628" s="5" t="s">
        <v>1132</v>
      </c>
      <c r="D628" s="5" t="s">
        <v>6636</v>
      </c>
      <c r="E628" s="8">
        <f>vlookup(B628,Filmes_final!$B$2:$U$1001,20,FALSE)</f>
        <v>1703890</v>
      </c>
      <c r="F628" s="5">
        <f>vlookup(B628,Filmes_final!$B$2:$U$1001,3,FALSE)</f>
        <v>2004</v>
      </c>
      <c r="G628" s="5" t="str">
        <f>vlookup(B628,Filmes_final!$B$2:$U$1001,13,FALSE)</f>
        <v>Ashutosh Gowariker</v>
      </c>
    </row>
    <row r="629">
      <c r="A629" s="5">
        <v>157.0</v>
      </c>
      <c r="B629" s="5" t="s">
        <v>1127</v>
      </c>
      <c r="C629" s="5" t="s">
        <v>1133</v>
      </c>
      <c r="D629" s="5" t="s">
        <v>6637</v>
      </c>
      <c r="E629" s="8">
        <f>vlookup(B629,Filmes_final!$B$2:$U$1001,20,FALSE)</f>
        <v>1703890</v>
      </c>
      <c r="F629" s="5">
        <f>vlookup(B629,Filmes_final!$B$2:$U$1001,3,FALSE)</f>
        <v>2004</v>
      </c>
      <c r="G629" s="5" t="str">
        <f>vlookup(B629,Filmes_final!$B$2:$U$1001,13,FALSE)</f>
        <v>Ashutosh Gowariker</v>
      </c>
    </row>
    <row r="630">
      <c r="A630" s="5">
        <v>158.0</v>
      </c>
      <c r="B630" s="5" t="s">
        <v>1134</v>
      </c>
      <c r="C630" s="5" t="s">
        <v>1137</v>
      </c>
      <c r="D630" s="5" t="s">
        <v>6634</v>
      </c>
      <c r="E630" s="8">
        <f>vlookup(B630,Filmes_final!$B$2:$U$1001,20,FALSE)</f>
        <v>7673718</v>
      </c>
      <c r="F630" s="5">
        <f>vlookup(B630,Filmes_final!$B$2:$U$1001,3,FALSE)</f>
        <v>2004</v>
      </c>
      <c r="G630" s="5" t="str">
        <f>vlookup(B630,Filmes_final!$B$2:$U$1001,13,FALSE)</f>
        <v>Oliver Hirschbiegel</v>
      </c>
    </row>
    <row r="631">
      <c r="A631" s="5">
        <v>158.0</v>
      </c>
      <c r="B631" s="5" t="s">
        <v>1134</v>
      </c>
      <c r="C631" s="5" t="s">
        <v>1138</v>
      </c>
      <c r="D631" s="5" t="s">
        <v>6635</v>
      </c>
      <c r="E631" s="8">
        <f>vlookup(B631,Filmes_final!$B$2:$U$1001,20,FALSE)</f>
        <v>7673718</v>
      </c>
      <c r="F631" s="5">
        <f>vlookup(B631,Filmes_final!$B$2:$U$1001,3,FALSE)</f>
        <v>2004</v>
      </c>
      <c r="G631" s="5" t="str">
        <f>vlookup(B631,Filmes_final!$B$2:$U$1001,13,FALSE)</f>
        <v>Oliver Hirschbiegel</v>
      </c>
    </row>
    <row r="632">
      <c r="A632" s="5">
        <v>158.0</v>
      </c>
      <c r="B632" s="5" t="s">
        <v>1134</v>
      </c>
      <c r="C632" s="5" t="s">
        <v>1139</v>
      </c>
      <c r="D632" s="5" t="s">
        <v>6636</v>
      </c>
      <c r="E632" s="8">
        <f>vlookup(B632,Filmes_final!$B$2:$U$1001,20,FALSE)</f>
        <v>7673718</v>
      </c>
      <c r="F632" s="5">
        <f>vlookup(B632,Filmes_final!$B$2:$U$1001,3,FALSE)</f>
        <v>2004</v>
      </c>
      <c r="G632" s="5" t="str">
        <f>vlookup(B632,Filmes_final!$B$2:$U$1001,13,FALSE)</f>
        <v>Oliver Hirschbiegel</v>
      </c>
    </row>
    <row r="633">
      <c r="A633" s="5">
        <v>158.0</v>
      </c>
      <c r="B633" s="5" t="s">
        <v>1134</v>
      </c>
      <c r="C633" s="5" t="s">
        <v>1140</v>
      </c>
      <c r="D633" s="5" t="s">
        <v>6637</v>
      </c>
      <c r="E633" s="8">
        <f>vlookup(B633,Filmes_final!$B$2:$U$1001,20,FALSE)</f>
        <v>7673718</v>
      </c>
      <c r="F633" s="5">
        <f>vlookup(B633,Filmes_final!$B$2:$U$1001,3,FALSE)</f>
        <v>2004</v>
      </c>
      <c r="G633" s="5" t="str">
        <f>vlookup(B633,Filmes_final!$B$2:$U$1001,13,FALSE)</f>
        <v>Oliver Hirschbiegel</v>
      </c>
    </row>
    <row r="634">
      <c r="A634" s="5">
        <v>159.0</v>
      </c>
      <c r="B634" s="5" t="s">
        <v>1141</v>
      </c>
      <c r="C634" s="5" t="s">
        <v>1143</v>
      </c>
      <c r="D634" s="5" t="s">
        <v>6634</v>
      </c>
      <c r="E634" s="8">
        <f>vlookup(B634,Filmes_final!$B$2:$U$1001,20,FALSE)</f>
        <v>6562236</v>
      </c>
      <c r="F634" s="5">
        <f>vlookup(B634,Filmes_final!$B$2:$U$1001,3,FALSE)</f>
        <v>2004</v>
      </c>
      <c r="G634" s="5" t="str">
        <f>vlookup(B634,Filmes_final!$B$2:$U$1001,13,FALSE)</f>
        <v>Hayao Miyazaki</v>
      </c>
    </row>
    <row r="635">
      <c r="A635" s="5">
        <v>159.0</v>
      </c>
      <c r="B635" s="5" t="s">
        <v>1141</v>
      </c>
      <c r="C635" s="5" t="s">
        <v>1144</v>
      </c>
      <c r="D635" s="5" t="s">
        <v>6635</v>
      </c>
      <c r="E635" s="8">
        <f>vlookup(B635,Filmes_final!$B$2:$U$1001,20,FALSE)</f>
        <v>6562236</v>
      </c>
      <c r="F635" s="5">
        <f>vlookup(B635,Filmes_final!$B$2:$U$1001,3,FALSE)</f>
        <v>2004</v>
      </c>
      <c r="G635" s="5" t="str">
        <f>vlookup(B635,Filmes_final!$B$2:$U$1001,13,FALSE)</f>
        <v>Hayao Miyazaki</v>
      </c>
    </row>
    <row r="636">
      <c r="A636" s="5">
        <v>159.0</v>
      </c>
      <c r="B636" s="5" t="s">
        <v>1141</v>
      </c>
      <c r="C636" s="5" t="s">
        <v>1145</v>
      </c>
      <c r="D636" s="5" t="s">
        <v>6636</v>
      </c>
      <c r="E636" s="8">
        <f>vlookup(B636,Filmes_final!$B$2:$U$1001,20,FALSE)</f>
        <v>6562236</v>
      </c>
      <c r="F636" s="5">
        <f>vlookup(B636,Filmes_final!$B$2:$U$1001,3,FALSE)</f>
        <v>2004</v>
      </c>
      <c r="G636" s="5" t="str">
        <f>vlookup(B636,Filmes_final!$B$2:$U$1001,13,FALSE)</f>
        <v>Hayao Miyazaki</v>
      </c>
    </row>
    <row r="637">
      <c r="A637" s="5">
        <v>159.0</v>
      </c>
      <c r="B637" s="5" t="s">
        <v>1141</v>
      </c>
      <c r="C637" s="5" t="s">
        <v>1146</v>
      </c>
      <c r="D637" s="5" t="s">
        <v>6637</v>
      </c>
      <c r="E637" s="8">
        <f>vlookup(B637,Filmes_final!$B$2:$U$1001,20,FALSE)</f>
        <v>6562236</v>
      </c>
      <c r="F637" s="5">
        <f>vlookup(B637,Filmes_final!$B$2:$U$1001,3,FALSE)</f>
        <v>2004</v>
      </c>
      <c r="G637" s="5" t="str">
        <f>vlookup(B637,Filmes_final!$B$2:$U$1001,13,FALSE)</f>
        <v>Hayao Miyazaki</v>
      </c>
    </row>
    <row r="638">
      <c r="A638" s="5">
        <v>160.0</v>
      </c>
      <c r="B638" s="5" t="s">
        <v>1147</v>
      </c>
      <c r="C638" s="5" t="s">
        <v>325</v>
      </c>
      <c r="D638" s="5" t="s">
        <v>6634</v>
      </c>
      <c r="E638" s="8">
        <f>vlookup(B638,Filmes_final!$B$2:$U$1001,20,FALSE)</f>
        <v>251550957</v>
      </c>
      <c r="F638" s="5">
        <f>vlookup(B638,Filmes_final!$B$2:$U$1001,3,FALSE)</f>
        <v>2001</v>
      </c>
      <c r="G638" s="5" t="str">
        <f>vlookup(B638,Filmes_final!$B$2:$U$1001,13,FALSE)</f>
        <v>Ron Howard</v>
      </c>
    </row>
    <row r="639">
      <c r="A639" s="5">
        <v>160.0</v>
      </c>
      <c r="B639" s="5" t="s">
        <v>1147</v>
      </c>
      <c r="C639" s="5" t="s">
        <v>1151</v>
      </c>
      <c r="D639" s="5" t="s">
        <v>6635</v>
      </c>
      <c r="E639" s="8">
        <f>vlookup(B639,Filmes_final!$B$2:$U$1001,20,FALSE)</f>
        <v>251550957</v>
      </c>
      <c r="F639" s="5">
        <f>vlookup(B639,Filmes_final!$B$2:$U$1001,3,FALSE)</f>
        <v>2001</v>
      </c>
      <c r="G639" s="5" t="str">
        <f>vlookup(B639,Filmes_final!$B$2:$U$1001,13,FALSE)</f>
        <v>Ron Howard</v>
      </c>
    </row>
    <row r="640">
      <c r="A640" s="5">
        <v>160.0</v>
      </c>
      <c r="B640" s="5" t="s">
        <v>1147</v>
      </c>
      <c r="C640" s="5" t="s">
        <v>742</v>
      </c>
      <c r="D640" s="5" t="s">
        <v>6636</v>
      </c>
      <c r="E640" s="8">
        <f>vlookup(B640,Filmes_final!$B$2:$U$1001,20,FALSE)</f>
        <v>251550957</v>
      </c>
      <c r="F640" s="5">
        <f>vlookup(B640,Filmes_final!$B$2:$U$1001,3,FALSE)</f>
        <v>2001</v>
      </c>
      <c r="G640" s="5" t="str">
        <f>vlookup(B640,Filmes_final!$B$2:$U$1001,13,FALSE)</f>
        <v>Ron Howard</v>
      </c>
    </row>
    <row r="641">
      <c r="A641" s="5">
        <v>160.0</v>
      </c>
      <c r="B641" s="5" t="s">
        <v>1147</v>
      </c>
      <c r="C641" s="5" t="s">
        <v>1152</v>
      </c>
      <c r="D641" s="5" t="s">
        <v>6637</v>
      </c>
      <c r="E641" s="8">
        <f>vlookup(B641,Filmes_final!$B$2:$U$1001,20,FALSE)</f>
        <v>251550957</v>
      </c>
      <c r="F641" s="5">
        <f>vlookup(B641,Filmes_final!$B$2:$U$1001,3,FALSE)</f>
        <v>2001</v>
      </c>
      <c r="G641" s="5" t="str">
        <f>vlookup(B641,Filmes_final!$B$2:$U$1001,13,FALSE)</f>
        <v>Ron Howard</v>
      </c>
    </row>
    <row r="642">
      <c r="A642" s="5">
        <v>161.0</v>
      </c>
      <c r="B642" s="5" t="s">
        <v>1153</v>
      </c>
      <c r="C642" s="5" t="s">
        <v>1156</v>
      </c>
      <c r="D642" s="5" t="s">
        <v>6634</v>
      </c>
      <c r="E642" s="8">
        <f>vlookup(B642,Filmes_final!$B$2:$U$1001,20,FALSE)</f>
        <v>0</v>
      </c>
      <c r="F642" s="5">
        <f>vlookup(B642,Filmes_final!$B$2:$U$1001,3,FALSE)</f>
        <v>2000</v>
      </c>
      <c r="G642" s="5" t="str">
        <f>vlookup(B642,Filmes_final!$B$2:$U$1001,13,FALSE)</f>
        <v>Priyadarshan</v>
      </c>
    </row>
    <row r="643">
      <c r="A643" s="5">
        <v>161.0</v>
      </c>
      <c r="B643" s="5" t="s">
        <v>1153</v>
      </c>
      <c r="C643" s="5" t="s">
        <v>1157</v>
      </c>
      <c r="D643" s="5" t="s">
        <v>6635</v>
      </c>
      <c r="E643" s="8">
        <f>vlookup(B643,Filmes_final!$B$2:$U$1001,20,FALSE)</f>
        <v>0</v>
      </c>
      <c r="F643" s="5">
        <f>vlookup(B643,Filmes_final!$B$2:$U$1001,3,FALSE)</f>
        <v>2000</v>
      </c>
      <c r="G643" s="5" t="str">
        <f>vlookup(B643,Filmes_final!$B$2:$U$1001,13,FALSE)</f>
        <v>Priyadarshan</v>
      </c>
    </row>
    <row r="644">
      <c r="A644" s="5">
        <v>161.0</v>
      </c>
      <c r="B644" s="5" t="s">
        <v>1153</v>
      </c>
      <c r="C644" s="5" t="s">
        <v>184</v>
      </c>
      <c r="D644" s="5" t="s">
        <v>6636</v>
      </c>
      <c r="E644" s="8">
        <f>vlookup(B644,Filmes_final!$B$2:$U$1001,20,FALSE)</f>
        <v>0</v>
      </c>
      <c r="F644" s="5">
        <f>vlookup(B644,Filmes_final!$B$2:$U$1001,3,FALSE)</f>
        <v>2000</v>
      </c>
      <c r="G644" s="5" t="str">
        <f>vlookup(B644,Filmes_final!$B$2:$U$1001,13,FALSE)</f>
        <v>Priyadarshan</v>
      </c>
    </row>
    <row r="645">
      <c r="A645" s="5">
        <v>161.0</v>
      </c>
      <c r="B645" s="5" t="s">
        <v>1153</v>
      </c>
      <c r="C645" s="5" t="s">
        <v>660</v>
      </c>
      <c r="D645" s="5" t="s">
        <v>6637</v>
      </c>
      <c r="E645" s="8">
        <f>vlookup(B645,Filmes_final!$B$2:$U$1001,20,FALSE)</f>
        <v>0</v>
      </c>
      <c r="F645" s="5">
        <f>vlookup(B645,Filmes_final!$B$2:$U$1001,3,FALSE)</f>
        <v>2000</v>
      </c>
      <c r="G645" s="5" t="str">
        <f>vlookup(B645,Filmes_final!$B$2:$U$1001,13,FALSE)</f>
        <v>Priyadarshan</v>
      </c>
    </row>
    <row r="646">
      <c r="A646" s="5">
        <v>162.0</v>
      </c>
      <c r="B646" s="5" t="s">
        <v>1158</v>
      </c>
      <c r="C646" s="5" t="s">
        <v>1160</v>
      </c>
      <c r="D646" s="5" t="s">
        <v>6634</v>
      </c>
      <c r="E646" s="8">
        <f>vlookup(B646,Filmes_final!$B$2:$U$1001,20,FALSE)</f>
        <v>6221905</v>
      </c>
      <c r="F646" s="5">
        <f>vlookup(B646,Filmes_final!$B$2:$U$1001,3,FALSE)</f>
        <v>1998</v>
      </c>
      <c r="G646" s="5" t="str">
        <f>vlookup(B646,Filmes_final!$B$2:$U$1001,13,FALSE)</f>
        <v>Guy Ritchie</v>
      </c>
    </row>
    <row r="647">
      <c r="A647" s="5">
        <v>162.0</v>
      </c>
      <c r="B647" s="5" t="s">
        <v>1158</v>
      </c>
      <c r="C647" s="5" t="s">
        <v>1161</v>
      </c>
      <c r="D647" s="5" t="s">
        <v>6635</v>
      </c>
      <c r="E647" s="8">
        <f>vlookup(B647,Filmes_final!$B$2:$U$1001,20,FALSE)</f>
        <v>6221905</v>
      </c>
      <c r="F647" s="5">
        <f>vlookup(B647,Filmes_final!$B$2:$U$1001,3,FALSE)</f>
        <v>1998</v>
      </c>
      <c r="G647" s="5" t="str">
        <f>vlookup(B647,Filmes_final!$B$2:$U$1001,13,FALSE)</f>
        <v>Guy Ritchie</v>
      </c>
    </row>
    <row r="648">
      <c r="A648" s="5">
        <v>162.0</v>
      </c>
      <c r="B648" s="5" t="s">
        <v>1158</v>
      </c>
      <c r="C648" s="5" t="s">
        <v>1162</v>
      </c>
      <c r="D648" s="5" t="s">
        <v>6636</v>
      </c>
      <c r="E648" s="8">
        <f>vlookup(B648,Filmes_final!$B$2:$U$1001,20,FALSE)</f>
        <v>6221905</v>
      </c>
      <c r="F648" s="5">
        <f>vlookup(B648,Filmes_final!$B$2:$U$1001,3,FALSE)</f>
        <v>1998</v>
      </c>
      <c r="G648" s="5" t="str">
        <f>vlookup(B648,Filmes_final!$B$2:$U$1001,13,FALSE)</f>
        <v>Guy Ritchie</v>
      </c>
    </row>
    <row r="649">
      <c r="A649" s="5">
        <v>162.0</v>
      </c>
      <c r="B649" s="5" t="s">
        <v>1158</v>
      </c>
      <c r="C649" s="5" t="s">
        <v>734</v>
      </c>
      <c r="D649" s="5" t="s">
        <v>6637</v>
      </c>
      <c r="E649" s="8">
        <f>vlookup(B649,Filmes_final!$B$2:$U$1001,20,FALSE)</f>
        <v>6221905</v>
      </c>
      <c r="F649" s="5">
        <f>vlookup(B649,Filmes_final!$B$2:$U$1001,3,FALSE)</f>
        <v>1998</v>
      </c>
      <c r="G649" s="5" t="str">
        <f>vlookup(B649,Filmes_final!$B$2:$U$1001,13,FALSE)</f>
        <v>Guy Ritchie</v>
      </c>
    </row>
    <row r="650">
      <c r="A650" s="5">
        <v>163.0</v>
      </c>
      <c r="B650" s="5" t="s">
        <v>1163</v>
      </c>
      <c r="C650" s="5" t="s">
        <v>237</v>
      </c>
      <c r="D650" s="5" t="s">
        <v>6634</v>
      </c>
      <c r="E650" s="8">
        <f>vlookup(B650,Filmes_final!$B$2:$U$1001,20,FALSE)</f>
        <v>104772449</v>
      </c>
      <c r="F650" s="5">
        <f>vlookup(B650,Filmes_final!$B$2:$U$1001,3,FALSE)</f>
        <v>1997</v>
      </c>
      <c r="G650" s="5" t="str">
        <f>vlookup(B650,Filmes_final!$B$2:$U$1001,13,FALSE)</f>
        <v>Curtis Hanson</v>
      </c>
    </row>
    <row r="651">
      <c r="A651" s="5">
        <v>163.0</v>
      </c>
      <c r="B651" s="5" t="s">
        <v>1163</v>
      </c>
      <c r="C651" s="5" t="s">
        <v>325</v>
      </c>
      <c r="D651" s="5" t="s">
        <v>6635</v>
      </c>
      <c r="E651" s="8">
        <f>vlookup(B651,Filmes_final!$B$2:$U$1001,20,FALSE)</f>
        <v>104772449</v>
      </c>
      <c r="F651" s="5">
        <f>vlookup(B651,Filmes_final!$B$2:$U$1001,3,FALSE)</f>
        <v>1997</v>
      </c>
      <c r="G651" s="5" t="str">
        <f>vlookup(B651,Filmes_final!$B$2:$U$1001,13,FALSE)</f>
        <v>Curtis Hanson</v>
      </c>
    </row>
    <row r="652">
      <c r="A652" s="5">
        <v>163.0</v>
      </c>
      <c r="B652" s="5" t="s">
        <v>1163</v>
      </c>
      <c r="C652" s="5" t="s">
        <v>546</v>
      </c>
      <c r="D652" s="5" t="s">
        <v>6636</v>
      </c>
      <c r="E652" s="8">
        <f>vlookup(B652,Filmes_final!$B$2:$U$1001,20,FALSE)</f>
        <v>104772449</v>
      </c>
      <c r="F652" s="5">
        <f>vlookup(B652,Filmes_final!$B$2:$U$1001,3,FALSE)</f>
        <v>1997</v>
      </c>
      <c r="G652" s="5" t="str">
        <f>vlookup(B652,Filmes_final!$B$2:$U$1001,13,FALSE)</f>
        <v>Curtis Hanson</v>
      </c>
    </row>
    <row r="653">
      <c r="A653" s="5">
        <v>163.0</v>
      </c>
      <c r="B653" s="5" t="s">
        <v>1163</v>
      </c>
      <c r="C653" s="5" t="s">
        <v>1166</v>
      </c>
      <c r="D653" s="5" t="s">
        <v>6637</v>
      </c>
      <c r="E653" s="8">
        <f>vlookup(B653,Filmes_final!$B$2:$U$1001,20,FALSE)</f>
        <v>104772449</v>
      </c>
      <c r="F653" s="5">
        <f>vlookup(B653,Filmes_final!$B$2:$U$1001,3,FALSE)</f>
        <v>1997</v>
      </c>
      <c r="G653" s="5" t="str">
        <f>vlookup(B653,Filmes_final!$B$2:$U$1001,13,FALSE)</f>
        <v>Curtis Hanson</v>
      </c>
    </row>
    <row r="654">
      <c r="A654" s="5">
        <v>164.0</v>
      </c>
      <c r="B654" s="5" t="s">
        <v>1167</v>
      </c>
      <c r="C654" s="5" t="s">
        <v>1170</v>
      </c>
      <c r="D654" s="5" t="s">
        <v>6634</v>
      </c>
      <c r="E654" s="8">
        <f>vlookup(B654,Filmes_final!$B$2:$U$1001,20,FALSE)</f>
        <v>2004956</v>
      </c>
      <c r="F654" s="5">
        <f>vlookup(B654,Filmes_final!$B$2:$U$1001,3,FALSE)</f>
        <v>1996</v>
      </c>
      <c r="G654" s="5" t="str">
        <f>vlookup(B654,Filmes_final!$B$2:$U$1001,13,FALSE)</f>
        <v>Yavuz Turgul</v>
      </c>
    </row>
    <row r="655">
      <c r="A655" s="5">
        <v>164.0</v>
      </c>
      <c r="B655" s="5" t="s">
        <v>1167</v>
      </c>
      <c r="C655" s="5" t="s">
        <v>1171</v>
      </c>
      <c r="D655" s="5" t="s">
        <v>6635</v>
      </c>
      <c r="E655" s="8">
        <f>vlookup(B655,Filmes_final!$B$2:$U$1001,20,FALSE)</f>
        <v>2004956</v>
      </c>
      <c r="F655" s="5">
        <f>vlookup(B655,Filmes_final!$B$2:$U$1001,3,FALSE)</f>
        <v>1996</v>
      </c>
      <c r="G655" s="5" t="str">
        <f>vlookup(B655,Filmes_final!$B$2:$U$1001,13,FALSE)</f>
        <v>Yavuz Turgul</v>
      </c>
    </row>
    <row r="656">
      <c r="A656" s="5">
        <v>164.0</v>
      </c>
      <c r="B656" s="5" t="s">
        <v>1167</v>
      </c>
      <c r="C656" s="5" t="s">
        <v>1172</v>
      </c>
      <c r="D656" s="5" t="s">
        <v>6636</v>
      </c>
      <c r="E656" s="8">
        <f>vlookup(B656,Filmes_final!$B$2:$U$1001,20,FALSE)</f>
        <v>2004956</v>
      </c>
      <c r="F656" s="5">
        <f>vlookup(B656,Filmes_final!$B$2:$U$1001,3,FALSE)</f>
        <v>1996</v>
      </c>
      <c r="G656" s="5" t="str">
        <f>vlookup(B656,Filmes_final!$B$2:$U$1001,13,FALSE)</f>
        <v>Yavuz Turgul</v>
      </c>
    </row>
    <row r="657">
      <c r="A657" s="5">
        <v>164.0</v>
      </c>
      <c r="B657" s="5" t="s">
        <v>1167</v>
      </c>
      <c r="C657" s="5" t="s">
        <v>1173</v>
      </c>
      <c r="D657" s="5" t="s">
        <v>6637</v>
      </c>
      <c r="E657" s="8">
        <f>vlookup(B657,Filmes_final!$B$2:$U$1001,20,FALSE)</f>
        <v>2004956</v>
      </c>
      <c r="F657" s="5">
        <f>vlookup(B657,Filmes_final!$B$2:$U$1001,3,FALSE)</f>
        <v>1996</v>
      </c>
      <c r="G657" s="5" t="str">
        <f>vlookup(B657,Filmes_final!$B$2:$U$1001,13,FALSE)</f>
        <v>Yavuz Turgul</v>
      </c>
    </row>
    <row r="658">
      <c r="A658" s="5">
        <v>165.0</v>
      </c>
      <c r="B658" s="5" t="s">
        <v>1174</v>
      </c>
      <c r="C658" s="5" t="s">
        <v>33</v>
      </c>
      <c r="D658" s="5" t="s">
        <v>6634</v>
      </c>
      <c r="E658" s="8">
        <f>vlookup(B658,Filmes_final!$B$2:$U$1001,20,FALSE)</f>
        <v>115746796</v>
      </c>
      <c r="F658" s="5">
        <f>vlookup(B658,Filmes_final!$B$2:$U$1001,3,FALSE)</f>
        <v>1995</v>
      </c>
      <c r="G658" s="5" t="str">
        <f>vlookup(B658,Filmes_final!$B$2:$U$1001,13,FALSE)</f>
        <v>Michael Mann</v>
      </c>
    </row>
    <row r="659">
      <c r="A659" s="5">
        <v>165.0</v>
      </c>
      <c r="B659" s="5" t="s">
        <v>1174</v>
      </c>
      <c r="C659" s="5" t="s">
        <v>49</v>
      </c>
      <c r="D659" s="5" t="s">
        <v>6635</v>
      </c>
      <c r="E659" s="8">
        <f>vlookup(B659,Filmes_final!$B$2:$U$1001,20,FALSE)</f>
        <v>115746796</v>
      </c>
      <c r="F659" s="5">
        <f>vlookup(B659,Filmes_final!$B$2:$U$1001,3,FALSE)</f>
        <v>1995</v>
      </c>
      <c r="G659" s="5" t="str">
        <f>vlookup(B659,Filmes_final!$B$2:$U$1001,13,FALSE)</f>
        <v>Michael Mann</v>
      </c>
    </row>
    <row r="660">
      <c r="A660" s="5">
        <v>165.0</v>
      </c>
      <c r="B660" s="5" t="s">
        <v>1174</v>
      </c>
      <c r="C660" s="5" t="s">
        <v>1177</v>
      </c>
      <c r="D660" s="5" t="s">
        <v>6636</v>
      </c>
      <c r="E660" s="8">
        <f>vlookup(B660,Filmes_final!$B$2:$U$1001,20,FALSE)</f>
        <v>115746796</v>
      </c>
      <c r="F660" s="5">
        <f>vlookup(B660,Filmes_final!$B$2:$U$1001,3,FALSE)</f>
        <v>1995</v>
      </c>
      <c r="G660" s="5" t="str">
        <f>vlookup(B660,Filmes_final!$B$2:$U$1001,13,FALSE)</f>
        <v>Michael Mann</v>
      </c>
    </row>
    <row r="661">
      <c r="A661" s="5">
        <v>165.0</v>
      </c>
      <c r="B661" s="5" t="s">
        <v>1174</v>
      </c>
      <c r="C661" s="5" t="s">
        <v>1178</v>
      </c>
      <c r="D661" s="5" t="s">
        <v>6637</v>
      </c>
      <c r="E661" s="8">
        <f>vlookup(B661,Filmes_final!$B$2:$U$1001,20,FALSE)</f>
        <v>115746796</v>
      </c>
      <c r="F661" s="5">
        <f>vlookup(B661,Filmes_final!$B$2:$U$1001,3,FALSE)</f>
        <v>1995</v>
      </c>
      <c r="G661" s="5" t="str">
        <f>vlookup(B661,Filmes_final!$B$2:$U$1001,13,FALSE)</f>
        <v>Michael Mann</v>
      </c>
    </row>
    <row r="662">
      <c r="A662" s="5">
        <v>166.0</v>
      </c>
      <c r="B662" s="5" t="s">
        <v>1179</v>
      </c>
      <c r="C662" s="5" t="s">
        <v>49</v>
      </c>
      <c r="D662" s="5" t="s">
        <v>6634</v>
      </c>
      <c r="E662" s="8">
        <f>vlookup(B662,Filmes_final!$B$2:$U$1001,20,FALSE)</f>
        <v>72839991</v>
      </c>
      <c r="F662" s="5">
        <f>vlookup(B662,Filmes_final!$B$2:$U$1001,3,FALSE)</f>
        <v>1995</v>
      </c>
      <c r="G662" s="5" t="str">
        <f>vlookup(B662,Filmes_final!$B$2:$U$1001,13,FALSE)</f>
        <v>Martin Scorsese</v>
      </c>
    </row>
    <row r="663">
      <c r="A663" s="5">
        <v>166.0</v>
      </c>
      <c r="B663" s="5" t="s">
        <v>1179</v>
      </c>
      <c r="C663" s="5" t="s">
        <v>1181</v>
      </c>
      <c r="D663" s="5" t="s">
        <v>6635</v>
      </c>
      <c r="E663" s="8">
        <f>vlookup(B663,Filmes_final!$B$2:$U$1001,20,FALSE)</f>
        <v>72839991</v>
      </c>
      <c r="F663" s="5">
        <f>vlookup(B663,Filmes_final!$B$2:$U$1001,3,FALSE)</f>
        <v>1995</v>
      </c>
      <c r="G663" s="5" t="str">
        <f>vlookup(B663,Filmes_final!$B$2:$U$1001,13,FALSE)</f>
        <v>Martin Scorsese</v>
      </c>
    </row>
    <row r="664">
      <c r="A664" s="5">
        <v>166.0</v>
      </c>
      <c r="B664" s="5" t="s">
        <v>1179</v>
      </c>
      <c r="C664" s="5" t="s">
        <v>141</v>
      </c>
      <c r="D664" s="5" t="s">
        <v>6636</v>
      </c>
      <c r="E664" s="8">
        <f>vlookup(B664,Filmes_final!$B$2:$U$1001,20,FALSE)</f>
        <v>72839991</v>
      </c>
      <c r="F664" s="5">
        <f>vlookup(B664,Filmes_final!$B$2:$U$1001,3,FALSE)</f>
        <v>1995</v>
      </c>
      <c r="G664" s="5" t="str">
        <f>vlookup(B664,Filmes_final!$B$2:$U$1001,13,FALSE)</f>
        <v>Martin Scorsese</v>
      </c>
    </row>
    <row r="665">
      <c r="A665" s="5">
        <v>166.0</v>
      </c>
      <c r="B665" s="5" t="s">
        <v>1179</v>
      </c>
      <c r="C665" s="5" t="s">
        <v>559</v>
      </c>
      <c r="D665" s="5" t="s">
        <v>6637</v>
      </c>
      <c r="E665" s="8">
        <f>vlookup(B665,Filmes_final!$B$2:$U$1001,20,FALSE)</f>
        <v>72839991</v>
      </c>
      <c r="F665" s="5">
        <f>vlookup(B665,Filmes_final!$B$2:$U$1001,3,FALSE)</f>
        <v>1995</v>
      </c>
      <c r="G665" s="5" t="str">
        <f>vlookup(B665,Filmes_final!$B$2:$U$1001,13,FALSE)</f>
        <v>Martin Scorsese</v>
      </c>
    </row>
    <row r="666">
      <c r="A666" s="5">
        <v>167.0</v>
      </c>
      <c r="B666" s="5" t="s">
        <v>1182</v>
      </c>
      <c r="C666" s="5" t="s">
        <v>461</v>
      </c>
      <c r="D666" s="5" t="s">
        <v>6634</v>
      </c>
      <c r="E666" s="8">
        <f>vlookup(B666,Filmes_final!$B$2:$U$1001,20,FALSE)</f>
        <v>0</v>
      </c>
      <c r="F666" s="5">
        <f>vlookup(B666,Filmes_final!$B$2:$U$1001,3,FALSE)</f>
        <v>1994</v>
      </c>
      <c r="G666" s="5" t="str">
        <f>vlookup(B666,Filmes_final!$B$2:$U$1001,13,FALSE)</f>
        <v>Rajkumar Santoshi</v>
      </c>
    </row>
    <row r="667">
      <c r="A667" s="5">
        <v>167.0</v>
      </c>
      <c r="B667" s="5" t="s">
        <v>1182</v>
      </c>
      <c r="C667" s="5" t="s">
        <v>1186</v>
      </c>
      <c r="D667" s="5" t="s">
        <v>6635</v>
      </c>
      <c r="E667" s="8">
        <f>vlookup(B667,Filmes_final!$B$2:$U$1001,20,FALSE)</f>
        <v>0</v>
      </c>
      <c r="F667" s="5">
        <f>vlookup(B667,Filmes_final!$B$2:$U$1001,3,FALSE)</f>
        <v>1994</v>
      </c>
      <c r="G667" s="5" t="str">
        <f>vlookup(B667,Filmes_final!$B$2:$U$1001,13,FALSE)</f>
        <v>Rajkumar Santoshi</v>
      </c>
    </row>
    <row r="668">
      <c r="A668" s="5">
        <v>167.0</v>
      </c>
      <c r="B668" s="5" t="s">
        <v>1182</v>
      </c>
      <c r="C668" s="5" t="s">
        <v>1187</v>
      </c>
      <c r="D668" s="5" t="s">
        <v>6636</v>
      </c>
      <c r="E668" s="8">
        <f>vlookup(B668,Filmes_final!$B$2:$U$1001,20,FALSE)</f>
        <v>0</v>
      </c>
      <c r="F668" s="5">
        <f>vlookup(B668,Filmes_final!$B$2:$U$1001,3,FALSE)</f>
        <v>1994</v>
      </c>
      <c r="G668" s="5" t="str">
        <f>vlookup(B668,Filmes_final!$B$2:$U$1001,13,FALSE)</f>
        <v>Rajkumar Santoshi</v>
      </c>
    </row>
    <row r="669">
      <c r="A669" s="5">
        <v>167.0</v>
      </c>
      <c r="B669" s="5" t="s">
        <v>1182</v>
      </c>
      <c r="C669" s="5" t="s">
        <v>1188</v>
      </c>
      <c r="D669" s="5" t="s">
        <v>6637</v>
      </c>
      <c r="E669" s="8">
        <f>vlookup(B669,Filmes_final!$B$2:$U$1001,20,FALSE)</f>
        <v>0</v>
      </c>
      <c r="F669" s="5">
        <f>vlookup(B669,Filmes_final!$B$2:$U$1001,3,FALSE)</f>
        <v>1994</v>
      </c>
      <c r="G669" s="5" t="str">
        <f>vlookup(B669,Filmes_final!$B$2:$U$1001,13,FALSE)</f>
        <v>Rajkumar Santoshi</v>
      </c>
    </row>
    <row r="670">
      <c r="A670" s="5">
        <v>168.0</v>
      </c>
      <c r="B670" s="5" t="s">
        <v>1189</v>
      </c>
      <c r="C670" s="5" t="s">
        <v>119</v>
      </c>
      <c r="D670" s="5" t="s">
        <v>6634</v>
      </c>
      <c r="E670" s="8">
        <f>vlookup(B670,Filmes_final!$B$2:$U$1001,20,FALSE)</f>
        <v>188962258</v>
      </c>
      <c r="F670" s="5">
        <f>vlookup(B670,Filmes_final!$B$2:$U$1001,3,FALSE)</f>
        <v>1992</v>
      </c>
      <c r="G670" s="5" t="str">
        <f>vlookup(B670,Filmes_final!$B$2:$U$1001,13,FALSE)</f>
        <v>Clint Eastwood</v>
      </c>
    </row>
    <row r="671">
      <c r="A671" s="5">
        <v>168.0</v>
      </c>
      <c r="B671" s="5" t="s">
        <v>1189</v>
      </c>
      <c r="C671" s="5" t="s">
        <v>1191</v>
      </c>
      <c r="D671" s="5" t="s">
        <v>6635</v>
      </c>
      <c r="E671" s="8">
        <f>vlookup(B671,Filmes_final!$B$2:$U$1001,20,FALSE)</f>
        <v>188962258</v>
      </c>
      <c r="F671" s="5">
        <f>vlookup(B671,Filmes_final!$B$2:$U$1001,3,FALSE)</f>
        <v>1992</v>
      </c>
      <c r="G671" s="5" t="str">
        <f>vlookup(B671,Filmes_final!$B$2:$U$1001,13,FALSE)</f>
        <v>Clint Eastwood</v>
      </c>
    </row>
    <row r="672">
      <c r="A672" s="5">
        <v>168.0</v>
      </c>
      <c r="B672" s="5" t="s">
        <v>1189</v>
      </c>
      <c r="C672" s="5" t="s">
        <v>24</v>
      </c>
      <c r="D672" s="5" t="s">
        <v>6636</v>
      </c>
      <c r="E672" s="8">
        <f>vlookup(B672,Filmes_final!$B$2:$U$1001,20,FALSE)</f>
        <v>188962258</v>
      </c>
      <c r="F672" s="5">
        <f>vlookup(B672,Filmes_final!$B$2:$U$1001,3,FALSE)</f>
        <v>1992</v>
      </c>
      <c r="G672" s="5" t="str">
        <f>vlookup(B672,Filmes_final!$B$2:$U$1001,13,FALSE)</f>
        <v>Clint Eastwood</v>
      </c>
    </row>
    <row r="673">
      <c r="A673" s="5">
        <v>168.0</v>
      </c>
      <c r="B673" s="5" t="s">
        <v>1189</v>
      </c>
      <c r="C673" s="5" t="s">
        <v>1192</v>
      </c>
      <c r="D673" s="5" t="s">
        <v>6637</v>
      </c>
      <c r="E673" s="8">
        <f>vlookup(B673,Filmes_final!$B$2:$U$1001,20,FALSE)</f>
        <v>188962258</v>
      </c>
      <c r="F673" s="5">
        <f>vlookup(B673,Filmes_final!$B$2:$U$1001,3,FALSE)</f>
        <v>1992</v>
      </c>
      <c r="G673" s="5" t="str">
        <f>vlookup(B673,Filmes_final!$B$2:$U$1001,13,FALSE)</f>
        <v>Clint Eastwood</v>
      </c>
    </row>
    <row r="674">
      <c r="A674" s="5">
        <v>169.0</v>
      </c>
      <c r="B674" s="5" t="s">
        <v>1193</v>
      </c>
      <c r="C674" s="5" t="s">
        <v>149</v>
      </c>
      <c r="D674" s="5" t="s">
        <v>6634</v>
      </c>
      <c r="E674" s="8">
        <f>vlookup(B674,Filmes_final!$B$2:$U$1001,20,FALSE)</f>
        <v>420021535</v>
      </c>
      <c r="F674" s="5">
        <f>vlookup(B674,Filmes_final!$B$2:$U$1001,3,FALSE)</f>
        <v>1989</v>
      </c>
      <c r="G674" s="5" t="str">
        <f>vlookup(B674,Filmes_final!$B$2:$U$1001,13,FALSE)</f>
        <v>Steven Spielberg</v>
      </c>
    </row>
    <row r="675">
      <c r="A675" s="5">
        <v>169.0</v>
      </c>
      <c r="B675" s="5" t="s">
        <v>1193</v>
      </c>
      <c r="C675" s="5" t="s">
        <v>1195</v>
      </c>
      <c r="D675" s="5" t="s">
        <v>6635</v>
      </c>
      <c r="E675" s="8">
        <f>vlookup(B675,Filmes_final!$B$2:$U$1001,20,FALSE)</f>
        <v>420021535</v>
      </c>
      <c r="F675" s="5">
        <f>vlookup(B675,Filmes_final!$B$2:$U$1001,3,FALSE)</f>
        <v>1989</v>
      </c>
      <c r="G675" s="5" t="str">
        <f>vlookup(B675,Filmes_final!$B$2:$U$1001,13,FALSE)</f>
        <v>Steven Spielberg</v>
      </c>
    </row>
    <row r="676">
      <c r="A676" s="5">
        <v>169.0</v>
      </c>
      <c r="B676" s="5" t="s">
        <v>1193</v>
      </c>
      <c r="C676" s="5" t="s">
        <v>1196</v>
      </c>
      <c r="D676" s="5" t="s">
        <v>6636</v>
      </c>
      <c r="E676" s="8">
        <f>vlookup(B676,Filmes_final!$B$2:$U$1001,20,FALSE)</f>
        <v>420021535</v>
      </c>
      <c r="F676" s="5">
        <f>vlookup(B676,Filmes_final!$B$2:$U$1001,3,FALSE)</f>
        <v>1989</v>
      </c>
      <c r="G676" s="5" t="str">
        <f>vlookup(B676,Filmes_final!$B$2:$U$1001,13,FALSE)</f>
        <v>Steven Spielberg</v>
      </c>
    </row>
    <row r="677">
      <c r="A677" s="5">
        <v>169.0</v>
      </c>
      <c r="B677" s="5" t="s">
        <v>1193</v>
      </c>
      <c r="C677" s="5" t="s">
        <v>1197</v>
      </c>
      <c r="D677" s="5" t="s">
        <v>6637</v>
      </c>
      <c r="E677" s="8">
        <f>vlookup(B677,Filmes_final!$B$2:$U$1001,20,FALSE)</f>
        <v>420021535</v>
      </c>
      <c r="F677" s="5">
        <f>vlookup(B677,Filmes_final!$B$2:$U$1001,3,FALSE)</f>
        <v>1989</v>
      </c>
      <c r="G677" s="5" t="str">
        <f>vlookup(B677,Filmes_final!$B$2:$U$1001,13,FALSE)</f>
        <v>Steven Spielberg</v>
      </c>
    </row>
    <row r="678">
      <c r="A678" s="5">
        <v>170.0</v>
      </c>
      <c r="B678" s="5" t="s">
        <v>1198</v>
      </c>
      <c r="C678" s="5" t="s">
        <v>1201</v>
      </c>
      <c r="D678" s="5" t="s">
        <v>6634</v>
      </c>
      <c r="E678" s="8">
        <f>vlookup(B678,Filmes_final!$B$2:$U$1001,20,FALSE)</f>
        <v>624337</v>
      </c>
      <c r="F678" s="5">
        <f>vlookup(B678,Filmes_final!$B$2:$U$1001,3,FALSE)</f>
        <v>1988</v>
      </c>
      <c r="G678" s="5" t="str">
        <f>vlookup(B678,Filmes_final!$B$2:$U$1001,13,FALSE)</f>
        <v>Emir Kusturica</v>
      </c>
    </row>
    <row r="679">
      <c r="A679" s="5">
        <v>170.0</v>
      </c>
      <c r="B679" s="5" t="s">
        <v>1198</v>
      </c>
      <c r="C679" s="5" t="s">
        <v>1202</v>
      </c>
      <c r="D679" s="5" t="s">
        <v>6635</v>
      </c>
      <c r="E679" s="8">
        <f>vlookup(B679,Filmes_final!$B$2:$U$1001,20,FALSE)</f>
        <v>624337</v>
      </c>
      <c r="F679" s="5">
        <f>vlookup(B679,Filmes_final!$B$2:$U$1001,3,FALSE)</f>
        <v>1988</v>
      </c>
      <c r="G679" s="5" t="str">
        <f>vlookup(B679,Filmes_final!$B$2:$U$1001,13,FALSE)</f>
        <v>Emir Kusturica</v>
      </c>
    </row>
    <row r="680">
      <c r="A680" s="5">
        <v>170.0</v>
      </c>
      <c r="B680" s="5" t="s">
        <v>1198</v>
      </c>
      <c r="C680" s="5" t="s">
        <v>1203</v>
      </c>
      <c r="D680" s="5" t="s">
        <v>6636</v>
      </c>
      <c r="E680" s="8">
        <f>vlookup(B680,Filmes_final!$B$2:$U$1001,20,FALSE)</f>
        <v>624337</v>
      </c>
      <c r="F680" s="5">
        <f>vlookup(B680,Filmes_final!$B$2:$U$1001,3,FALSE)</f>
        <v>1988</v>
      </c>
      <c r="G680" s="5" t="str">
        <f>vlookup(B680,Filmes_final!$B$2:$U$1001,13,FALSE)</f>
        <v>Emir Kusturica</v>
      </c>
    </row>
    <row r="681">
      <c r="A681" s="5">
        <v>170.0</v>
      </c>
      <c r="B681" s="5" t="s">
        <v>1198</v>
      </c>
      <c r="C681" s="5" t="s">
        <v>1204</v>
      </c>
      <c r="D681" s="5" t="s">
        <v>6637</v>
      </c>
      <c r="E681" s="8">
        <f>vlookup(B681,Filmes_final!$B$2:$U$1001,20,FALSE)</f>
        <v>624337</v>
      </c>
      <c r="F681" s="5">
        <f>vlookup(B681,Filmes_final!$B$2:$U$1001,3,FALSE)</f>
        <v>1988</v>
      </c>
      <c r="G681" s="5" t="str">
        <f>vlookup(B681,Filmes_final!$B$2:$U$1001,13,FALSE)</f>
        <v>Emir Kusturica</v>
      </c>
    </row>
    <row r="682">
      <c r="A682" s="5">
        <v>171.0</v>
      </c>
      <c r="B682" s="5" t="s">
        <v>1205</v>
      </c>
      <c r="C682" s="5" t="s">
        <v>1209</v>
      </c>
      <c r="D682" s="5" t="s">
        <v>6634</v>
      </c>
      <c r="E682" s="8">
        <f>vlookup(B682,Filmes_final!$B$2:$U$1001,20,FALSE)</f>
        <v>2465026</v>
      </c>
      <c r="F682" s="5">
        <f>vlookup(B682,Filmes_final!$B$2:$U$1001,3,FALSE)</f>
        <v>1988</v>
      </c>
      <c r="G682" s="5" t="str">
        <f>vlookup(B682,Filmes_final!$B$2:$U$1001,13,FALSE)</f>
        <v>Hayao Miyazaki</v>
      </c>
    </row>
    <row r="683">
      <c r="A683" s="5">
        <v>171.0</v>
      </c>
      <c r="B683" s="5" t="s">
        <v>1205</v>
      </c>
      <c r="C683" s="5" t="s">
        <v>1210</v>
      </c>
      <c r="D683" s="5" t="s">
        <v>6635</v>
      </c>
      <c r="E683" s="8">
        <f>vlookup(B683,Filmes_final!$B$2:$U$1001,20,FALSE)</f>
        <v>2465026</v>
      </c>
      <c r="F683" s="5">
        <f>vlookup(B683,Filmes_final!$B$2:$U$1001,3,FALSE)</f>
        <v>1988</v>
      </c>
      <c r="G683" s="5" t="str">
        <f>vlookup(B683,Filmes_final!$B$2:$U$1001,13,FALSE)</f>
        <v>Hayao Miyazaki</v>
      </c>
    </row>
    <row r="684">
      <c r="A684" s="5">
        <v>171.0</v>
      </c>
      <c r="B684" s="5" t="s">
        <v>1205</v>
      </c>
      <c r="C684" s="5" t="s">
        <v>1211</v>
      </c>
      <c r="D684" s="5" t="s">
        <v>6636</v>
      </c>
      <c r="E684" s="8">
        <f>vlookup(B684,Filmes_final!$B$2:$U$1001,20,FALSE)</f>
        <v>2465026</v>
      </c>
      <c r="F684" s="5">
        <f>vlookup(B684,Filmes_final!$B$2:$U$1001,3,FALSE)</f>
        <v>1988</v>
      </c>
      <c r="G684" s="5" t="str">
        <f>vlookup(B684,Filmes_final!$B$2:$U$1001,13,FALSE)</f>
        <v>Hayao Miyazaki</v>
      </c>
    </row>
    <row r="685">
      <c r="A685" s="5">
        <v>171.0</v>
      </c>
      <c r="B685" s="5" t="s">
        <v>1205</v>
      </c>
      <c r="C685" s="5" t="s">
        <v>1212</v>
      </c>
      <c r="D685" s="5" t="s">
        <v>6637</v>
      </c>
      <c r="E685" s="8">
        <f>vlookup(B685,Filmes_final!$B$2:$U$1001,20,FALSE)</f>
        <v>2465026</v>
      </c>
      <c r="F685" s="5">
        <f>vlookup(B685,Filmes_final!$B$2:$U$1001,3,FALSE)</f>
        <v>1988</v>
      </c>
      <c r="G685" s="5" t="str">
        <f>vlookup(B685,Filmes_final!$B$2:$U$1001,13,FALSE)</f>
        <v>Hayao Miyazaki</v>
      </c>
    </row>
    <row r="686">
      <c r="A686" s="5">
        <v>172.0</v>
      </c>
      <c r="B686" s="5" t="s">
        <v>1213</v>
      </c>
      <c r="C686" s="5" t="s">
        <v>76</v>
      </c>
      <c r="D686" s="5" t="s">
        <v>6634</v>
      </c>
      <c r="E686" s="8">
        <f>vlookup(B686,Filmes_final!$B$2:$U$1001,20,FALSE)</f>
        <v>185081042</v>
      </c>
      <c r="F686" s="5">
        <f>vlookup(B686,Filmes_final!$B$2:$U$1001,3,FALSE)</f>
        <v>1988</v>
      </c>
      <c r="G686" s="5" t="str">
        <f>vlookup(B686,Filmes_final!$B$2:$U$1001,13,FALSE)</f>
        <v>John McTiernan</v>
      </c>
    </row>
    <row r="687">
      <c r="A687" s="5">
        <v>172.0</v>
      </c>
      <c r="B687" s="5" t="s">
        <v>1213</v>
      </c>
      <c r="C687" s="5" t="s">
        <v>1217</v>
      </c>
      <c r="D687" s="5" t="s">
        <v>6635</v>
      </c>
      <c r="E687" s="8">
        <f>vlookup(B687,Filmes_final!$B$2:$U$1001,20,FALSE)</f>
        <v>185081042</v>
      </c>
      <c r="F687" s="5">
        <f>vlookup(B687,Filmes_final!$B$2:$U$1001,3,FALSE)</f>
        <v>1988</v>
      </c>
      <c r="G687" s="5" t="str">
        <f>vlookup(B687,Filmes_final!$B$2:$U$1001,13,FALSE)</f>
        <v>John McTiernan</v>
      </c>
    </row>
    <row r="688">
      <c r="A688" s="5">
        <v>172.0</v>
      </c>
      <c r="B688" s="5" t="s">
        <v>1213</v>
      </c>
      <c r="C688" s="5" t="s">
        <v>1218</v>
      </c>
      <c r="D688" s="5" t="s">
        <v>6636</v>
      </c>
      <c r="E688" s="8">
        <f>vlookup(B688,Filmes_final!$B$2:$U$1001,20,FALSE)</f>
        <v>185081042</v>
      </c>
      <c r="F688" s="5">
        <f>vlookup(B688,Filmes_final!$B$2:$U$1001,3,FALSE)</f>
        <v>1988</v>
      </c>
      <c r="G688" s="5" t="str">
        <f>vlookup(B688,Filmes_final!$B$2:$U$1001,13,FALSE)</f>
        <v>John McTiernan</v>
      </c>
    </row>
    <row r="689">
      <c r="A689" s="5">
        <v>172.0</v>
      </c>
      <c r="B689" s="5" t="s">
        <v>1213</v>
      </c>
      <c r="C689" s="5" t="s">
        <v>1219</v>
      </c>
      <c r="D689" s="5" t="s">
        <v>6637</v>
      </c>
      <c r="E689" s="8">
        <f>vlookup(B689,Filmes_final!$B$2:$U$1001,20,FALSE)</f>
        <v>185081042</v>
      </c>
      <c r="F689" s="5">
        <f>vlookup(B689,Filmes_final!$B$2:$U$1001,3,FALSE)</f>
        <v>1988</v>
      </c>
      <c r="G689" s="5" t="str">
        <f>vlookup(B689,Filmes_final!$B$2:$U$1001,13,FALSE)</f>
        <v>John McTiernan</v>
      </c>
    </row>
    <row r="690">
      <c r="A690" s="5">
        <v>173.0</v>
      </c>
      <c r="B690" s="5" t="s">
        <v>1220</v>
      </c>
      <c r="C690" s="5" t="s">
        <v>257</v>
      </c>
      <c r="D690" s="5" t="s">
        <v>6634</v>
      </c>
      <c r="E690" s="8">
        <f>vlookup(B690,Filmes_final!$B$2:$U$1001,20,FALSE)</f>
        <v>10112830</v>
      </c>
      <c r="F690" s="5">
        <f>vlookup(B690,Filmes_final!$B$2:$U$1001,3,FALSE)</f>
        <v>1985</v>
      </c>
      <c r="G690" s="5" t="str">
        <f>vlookup(B690,Filmes_final!$B$2:$U$1001,13,FALSE)</f>
        <v>Akira Kurosawa</v>
      </c>
    </row>
    <row r="691">
      <c r="A691" s="5">
        <v>173.0</v>
      </c>
      <c r="B691" s="5" t="s">
        <v>1220</v>
      </c>
      <c r="C691" s="5" t="s">
        <v>1223</v>
      </c>
      <c r="D691" s="5" t="s">
        <v>6635</v>
      </c>
      <c r="E691" s="8">
        <f>vlookup(B691,Filmes_final!$B$2:$U$1001,20,FALSE)</f>
        <v>10112830</v>
      </c>
      <c r="F691" s="5">
        <f>vlookup(B691,Filmes_final!$B$2:$U$1001,3,FALSE)</f>
        <v>1985</v>
      </c>
      <c r="G691" s="5" t="str">
        <f>vlookup(B691,Filmes_final!$B$2:$U$1001,13,FALSE)</f>
        <v>Akira Kurosawa</v>
      </c>
    </row>
    <row r="692">
      <c r="A692" s="5">
        <v>173.0</v>
      </c>
      <c r="B692" s="5" t="s">
        <v>1220</v>
      </c>
      <c r="C692" s="5" t="s">
        <v>1224</v>
      </c>
      <c r="D692" s="5" t="s">
        <v>6636</v>
      </c>
      <c r="E692" s="8">
        <f>vlookup(B692,Filmes_final!$B$2:$U$1001,20,FALSE)</f>
        <v>10112830</v>
      </c>
      <c r="F692" s="5">
        <f>vlookup(B692,Filmes_final!$B$2:$U$1001,3,FALSE)</f>
        <v>1985</v>
      </c>
      <c r="G692" s="5" t="str">
        <f>vlookup(B692,Filmes_final!$B$2:$U$1001,13,FALSE)</f>
        <v>Akira Kurosawa</v>
      </c>
    </row>
    <row r="693">
      <c r="A693" s="5">
        <v>173.0</v>
      </c>
      <c r="B693" s="5" t="s">
        <v>1220</v>
      </c>
      <c r="C693" s="5" t="s">
        <v>1225</v>
      </c>
      <c r="D693" s="5" t="s">
        <v>6637</v>
      </c>
      <c r="E693" s="8">
        <f>vlookup(B693,Filmes_final!$B$2:$U$1001,20,FALSE)</f>
        <v>10112830</v>
      </c>
      <c r="F693" s="5">
        <f>vlookup(B693,Filmes_final!$B$2:$U$1001,3,FALSE)</f>
        <v>1985</v>
      </c>
      <c r="G693" s="5" t="str">
        <f>vlookup(B693,Filmes_final!$B$2:$U$1001,13,FALSE)</f>
        <v>Akira Kurosawa</v>
      </c>
    </row>
    <row r="694">
      <c r="A694" s="5">
        <v>174.0</v>
      </c>
      <c r="B694" s="5" t="s">
        <v>1226</v>
      </c>
      <c r="C694" s="5" t="s">
        <v>49</v>
      </c>
      <c r="D694" s="5" t="s">
        <v>6634</v>
      </c>
      <c r="E694" s="8">
        <f>vlookup(B694,Filmes_final!$B$2:$U$1001,20,FALSE)</f>
        <v>77537153</v>
      </c>
      <c r="F694" s="5">
        <f>vlookup(B694,Filmes_final!$B$2:$U$1001,3,FALSE)</f>
        <v>1980</v>
      </c>
      <c r="G694" s="5" t="str">
        <f>vlookup(B694,Filmes_final!$B$2:$U$1001,13,FALSE)</f>
        <v>Martin Scorsese</v>
      </c>
    </row>
    <row r="695">
      <c r="A695" s="5">
        <v>174.0</v>
      </c>
      <c r="B695" s="5" t="s">
        <v>1226</v>
      </c>
      <c r="C695" s="5" t="s">
        <v>1228</v>
      </c>
      <c r="D695" s="5" t="s">
        <v>6635</v>
      </c>
      <c r="E695" s="8">
        <f>vlookup(B695,Filmes_final!$B$2:$U$1001,20,FALSE)</f>
        <v>77537153</v>
      </c>
      <c r="F695" s="5">
        <f>vlookup(B695,Filmes_final!$B$2:$U$1001,3,FALSE)</f>
        <v>1980</v>
      </c>
      <c r="G695" s="5" t="str">
        <f>vlookup(B695,Filmes_final!$B$2:$U$1001,13,FALSE)</f>
        <v>Martin Scorsese</v>
      </c>
    </row>
    <row r="696">
      <c r="A696" s="5">
        <v>174.0</v>
      </c>
      <c r="B696" s="5" t="s">
        <v>1226</v>
      </c>
      <c r="C696" s="5" t="s">
        <v>141</v>
      </c>
      <c r="D696" s="5" t="s">
        <v>6636</v>
      </c>
      <c r="E696" s="8">
        <f>vlookup(B696,Filmes_final!$B$2:$U$1001,20,FALSE)</f>
        <v>77537153</v>
      </c>
      <c r="F696" s="5">
        <f>vlookup(B696,Filmes_final!$B$2:$U$1001,3,FALSE)</f>
        <v>1980</v>
      </c>
      <c r="G696" s="5" t="str">
        <f>vlookup(B696,Filmes_final!$B$2:$U$1001,13,FALSE)</f>
        <v>Martin Scorsese</v>
      </c>
    </row>
    <row r="697">
      <c r="A697" s="5">
        <v>174.0</v>
      </c>
      <c r="B697" s="5" t="s">
        <v>1226</v>
      </c>
      <c r="C697" s="5" t="s">
        <v>1229</v>
      </c>
      <c r="D697" s="5" t="s">
        <v>6637</v>
      </c>
      <c r="E697" s="8">
        <f>vlookup(B697,Filmes_final!$B$2:$U$1001,20,FALSE)</f>
        <v>77537153</v>
      </c>
      <c r="F697" s="5">
        <f>vlookup(B697,Filmes_final!$B$2:$U$1001,3,FALSE)</f>
        <v>1980</v>
      </c>
      <c r="G697" s="5" t="str">
        <f>vlookup(B697,Filmes_final!$B$2:$U$1001,13,FALSE)</f>
        <v>Martin Scorsese</v>
      </c>
    </row>
    <row r="698">
      <c r="A698" s="5">
        <v>175.0</v>
      </c>
      <c r="B698" s="5" t="s">
        <v>1230</v>
      </c>
      <c r="C698" s="5" t="s">
        <v>1233</v>
      </c>
      <c r="D698" s="5" t="s">
        <v>6634</v>
      </c>
      <c r="E698" s="8">
        <f>vlookup(B698,Filmes_final!$B$2:$U$1001,20,FALSE)</f>
        <v>886555</v>
      </c>
      <c r="F698" s="5">
        <f>vlookup(B698,Filmes_final!$B$2:$U$1001,3,FALSE)</f>
        <v>1979</v>
      </c>
      <c r="G698" s="5" t="str">
        <f>vlookup(B698,Filmes_final!$B$2:$U$1001,13,FALSE)</f>
        <v>Andrei Tarkovsky</v>
      </c>
    </row>
    <row r="699">
      <c r="A699" s="5">
        <v>175.0</v>
      </c>
      <c r="B699" s="5" t="s">
        <v>1230</v>
      </c>
      <c r="C699" s="5" t="s">
        <v>1234</v>
      </c>
      <c r="D699" s="5" t="s">
        <v>6635</v>
      </c>
      <c r="E699" s="8">
        <f>vlookup(B699,Filmes_final!$B$2:$U$1001,20,FALSE)</f>
        <v>886555</v>
      </c>
      <c r="F699" s="5">
        <f>vlookup(B699,Filmes_final!$B$2:$U$1001,3,FALSE)</f>
        <v>1979</v>
      </c>
      <c r="G699" s="5" t="str">
        <f>vlookup(B699,Filmes_final!$B$2:$U$1001,13,FALSE)</f>
        <v>Andrei Tarkovsky</v>
      </c>
    </row>
    <row r="700">
      <c r="A700" s="5">
        <v>175.0</v>
      </c>
      <c r="B700" s="5" t="s">
        <v>1230</v>
      </c>
      <c r="C700" s="5" t="s">
        <v>1235</v>
      </c>
      <c r="D700" s="5" t="s">
        <v>6636</v>
      </c>
      <c r="E700" s="8">
        <f>vlookup(B700,Filmes_final!$B$2:$U$1001,20,FALSE)</f>
        <v>886555</v>
      </c>
      <c r="F700" s="5">
        <f>vlookup(B700,Filmes_final!$B$2:$U$1001,3,FALSE)</f>
        <v>1979</v>
      </c>
      <c r="G700" s="5" t="str">
        <f>vlookup(B700,Filmes_final!$B$2:$U$1001,13,FALSE)</f>
        <v>Andrei Tarkovsky</v>
      </c>
    </row>
    <row r="701">
      <c r="A701" s="5">
        <v>175.0</v>
      </c>
      <c r="B701" s="5" t="s">
        <v>1230</v>
      </c>
      <c r="C701" s="5" t="s">
        <v>1236</v>
      </c>
      <c r="D701" s="5" t="s">
        <v>6637</v>
      </c>
      <c r="E701" s="8">
        <f>vlookup(B701,Filmes_final!$B$2:$U$1001,20,FALSE)</f>
        <v>886555</v>
      </c>
      <c r="F701" s="5">
        <f>vlookup(B701,Filmes_final!$B$2:$U$1001,3,FALSE)</f>
        <v>1979</v>
      </c>
      <c r="G701" s="5" t="str">
        <f>vlookup(B701,Filmes_final!$B$2:$U$1001,13,FALSE)</f>
        <v>Andrei Tarkovsky</v>
      </c>
    </row>
    <row r="702">
      <c r="A702" s="5">
        <v>176.0</v>
      </c>
      <c r="B702" s="5" t="s">
        <v>1237</v>
      </c>
      <c r="C702" s="5" t="s">
        <v>410</v>
      </c>
      <c r="D702" s="5" t="s">
        <v>6634</v>
      </c>
      <c r="E702" s="8">
        <f>vlookup(B702,Filmes_final!$B$2:$U$1001,20,FALSE)</f>
        <v>59181</v>
      </c>
      <c r="F702" s="5">
        <f>vlookup(B702,Filmes_final!$B$2:$U$1001,3,FALSE)</f>
        <v>1978</v>
      </c>
      <c r="G702" s="5" t="str">
        <f>vlookup(B702,Filmes_final!$B$2:$U$1001,13,FALSE)</f>
        <v>Ingmar Bergman</v>
      </c>
    </row>
    <row r="703">
      <c r="A703" s="5">
        <v>176.0</v>
      </c>
      <c r="B703" s="5" t="s">
        <v>1237</v>
      </c>
      <c r="C703" s="5" t="s">
        <v>1240</v>
      </c>
      <c r="D703" s="5" t="s">
        <v>6635</v>
      </c>
      <c r="E703" s="8">
        <f>vlookup(B703,Filmes_final!$B$2:$U$1001,20,FALSE)</f>
        <v>59181</v>
      </c>
      <c r="F703" s="5">
        <f>vlookup(B703,Filmes_final!$B$2:$U$1001,3,FALSE)</f>
        <v>1978</v>
      </c>
      <c r="G703" s="5" t="str">
        <f>vlookup(B703,Filmes_final!$B$2:$U$1001,13,FALSE)</f>
        <v>Ingmar Bergman</v>
      </c>
    </row>
    <row r="704">
      <c r="A704" s="5">
        <v>176.0</v>
      </c>
      <c r="B704" s="5" t="s">
        <v>1237</v>
      </c>
      <c r="C704" s="5" t="s">
        <v>1241</v>
      </c>
      <c r="D704" s="5" t="s">
        <v>6636</v>
      </c>
      <c r="E704" s="8">
        <f>vlookup(B704,Filmes_final!$B$2:$U$1001,20,FALSE)</f>
        <v>59181</v>
      </c>
      <c r="F704" s="5">
        <f>vlookup(B704,Filmes_final!$B$2:$U$1001,3,FALSE)</f>
        <v>1978</v>
      </c>
      <c r="G704" s="5" t="str">
        <f>vlookup(B704,Filmes_final!$B$2:$U$1001,13,FALSE)</f>
        <v>Ingmar Bergman</v>
      </c>
    </row>
    <row r="705">
      <c r="A705" s="5">
        <v>176.0</v>
      </c>
      <c r="B705" s="5" t="s">
        <v>1237</v>
      </c>
      <c r="C705" s="5" t="s">
        <v>1242</v>
      </c>
      <c r="D705" s="5" t="s">
        <v>6637</v>
      </c>
      <c r="E705" s="8">
        <f>vlookup(B705,Filmes_final!$B$2:$U$1001,20,FALSE)</f>
        <v>59181</v>
      </c>
      <c r="F705" s="5">
        <f>vlookup(B705,Filmes_final!$B$2:$U$1001,3,FALSE)</f>
        <v>1978</v>
      </c>
      <c r="G705" s="5" t="str">
        <f>vlookup(B705,Filmes_final!$B$2:$U$1001,13,FALSE)</f>
        <v>Ingmar Bergman</v>
      </c>
    </row>
    <row r="706">
      <c r="A706" s="5">
        <v>177.0</v>
      </c>
      <c r="B706" s="5" t="s">
        <v>1243</v>
      </c>
      <c r="C706" s="5" t="s">
        <v>862</v>
      </c>
      <c r="D706" s="5" t="s">
        <v>6634</v>
      </c>
      <c r="E706" s="8">
        <f>vlookup(B706,Filmes_final!$B$2:$U$1001,20,FALSE)</f>
        <v>46397662</v>
      </c>
      <c r="F706" s="5">
        <f>vlookup(B706,Filmes_final!$B$2:$U$1001,3,FALSE)</f>
        <v>1976</v>
      </c>
      <c r="G706" s="5" t="str">
        <f>vlookup(B706,Filmes_final!$B$2:$U$1001,13,FALSE)</f>
        <v>Moustapha Akkad</v>
      </c>
    </row>
    <row r="707">
      <c r="A707" s="5">
        <v>177.0</v>
      </c>
      <c r="B707" s="5" t="s">
        <v>1243</v>
      </c>
      <c r="C707" s="5" t="s">
        <v>1247</v>
      </c>
      <c r="D707" s="5" t="s">
        <v>6635</v>
      </c>
      <c r="E707" s="8">
        <f>vlookup(B707,Filmes_final!$B$2:$U$1001,20,FALSE)</f>
        <v>46397662</v>
      </c>
      <c r="F707" s="5">
        <f>vlookup(B707,Filmes_final!$B$2:$U$1001,3,FALSE)</f>
        <v>1976</v>
      </c>
      <c r="G707" s="5" t="str">
        <f>vlookup(B707,Filmes_final!$B$2:$U$1001,13,FALSE)</f>
        <v>Moustapha Akkad</v>
      </c>
    </row>
    <row r="708">
      <c r="A708" s="5">
        <v>177.0</v>
      </c>
      <c r="B708" s="5" t="s">
        <v>1243</v>
      </c>
      <c r="C708" s="5" t="s">
        <v>1248</v>
      </c>
      <c r="D708" s="5" t="s">
        <v>6636</v>
      </c>
      <c r="E708" s="8">
        <f>vlookup(B708,Filmes_final!$B$2:$U$1001,20,FALSE)</f>
        <v>46397662</v>
      </c>
      <c r="F708" s="5">
        <f>vlookup(B708,Filmes_final!$B$2:$U$1001,3,FALSE)</f>
        <v>1976</v>
      </c>
      <c r="G708" s="5" t="str">
        <f>vlookup(B708,Filmes_final!$B$2:$U$1001,13,FALSE)</f>
        <v>Moustapha Akkad</v>
      </c>
    </row>
    <row r="709">
      <c r="A709" s="5">
        <v>177.0</v>
      </c>
      <c r="B709" s="5" t="s">
        <v>1243</v>
      </c>
      <c r="C709" s="5" t="s">
        <v>1249</v>
      </c>
      <c r="D709" s="5" t="s">
        <v>6637</v>
      </c>
      <c r="E709" s="8">
        <f>vlookup(B709,Filmes_final!$B$2:$U$1001,20,FALSE)</f>
        <v>46397662</v>
      </c>
      <c r="F709" s="5">
        <f>vlookup(B709,Filmes_final!$B$2:$U$1001,3,FALSE)</f>
        <v>1976</v>
      </c>
      <c r="G709" s="5" t="str">
        <f>vlookup(B709,Filmes_final!$B$2:$U$1001,13,FALSE)</f>
        <v>Moustapha Akkad</v>
      </c>
    </row>
    <row r="710">
      <c r="A710" s="5">
        <v>178.0</v>
      </c>
      <c r="B710" s="5" t="s">
        <v>1250</v>
      </c>
      <c r="C710" s="5" t="s">
        <v>1255</v>
      </c>
      <c r="D710" s="5" t="s">
        <v>6634</v>
      </c>
      <c r="E710" s="8">
        <f>vlookup(B710,Filmes_final!$B$2:$U$1001,20,FALSE)</f>
        <v>0</v>
      </c>
      <c r="F710" s="5">
        <f>vlookup(B710,Filmes_final!$B$2:$U$1001,3,FALSE)</f>
        <v>1975</v>
      </c>
      <c r="G710" s="5" t="str">
        <f>vlookup(B710,Filmes_final!$B$2:$U$1001,13,FALSE)</f>
        <v>Ramesh Sippy</v>
      </c>
    </row>
    <row r="711">
      <c r="A711" s="5">
        <v>178.0</v>
      </c>
      <c r="B711" s="5" t="s">
        <v>1250</v>
      </c>
      <c r="C711" s="5" t="s">
        <v>1256</v>
      </c>
      <c r="D711" s="5" t="s">
        <v>6635</v>
      </c>
      <c r="E711" s="8">
        <f>vlookup(B711,Filmes_final!$B$2:$U$1001,20,FALSE)</f>
        <v>0</v>
      </c>
      <c r="F711" s="5">
        <f>vlookup(B711,Filmes_final!$B$2:$U$1001,3,FALSE)</f>
        <v>1975</v>
      </c>
      <c r="G711" s="5" t="str">
        <f>vlookup(B711,Filmes_final!$B$2:$U$1001,13,FALSE)</f>
        <v>Ramesh Sippy</v>
      </c>
    </row>
    <row r="712">
      <c r="A712" s="5">
        <v>178.0</v>
      </c>
      <c r="B712" s="5" t="s">
        <v>1250</v>
      </c>
      <c r="C712" s="5" t="s">
        <v>592</v>
      </c>
      <c r="D712" s="5" t="s">
        <v>6636</v>
      </c>
      <c r="E712" s="8">
        <f>vlookup(B712,Filmes_final!$B$2:$U$1001,20,FALSE)</f>
        <v>0</v>
      </c>
      <c r="F712" s="5">
        <f>vlookup(B712,Filmes_final!$B$2:$U$1001,3,FALSE)</f>
        <v>1975</v>
      </c>
      <c r="G712" s="5" t="str">
        <f>vlookup(B712,Filmes_final!$B$2:$U$1001,13,FALSE)</f>
        <v>Ramesh Sippy</v>
      </c>
    </row>
    <row r="713">
      <c r="A713" s="5">
        <v>178.0</v>
      </c>
      <c r="B713" s="5" t="s">
        <v>1250</v>
      </c>
      <c r="C713" s="5" t="s">
        <v>1257</v>
      </c>
      <c r="D713" s="5" t="s">
        <v>6637</v>
      </c>
      <c r="E713" s="8">
        <f>vlookup(B713,Filmes_final!$B$2:$U$1001,20,FALSE)</f>
        <v>0</v>
      </c>
      <c r="F713" s="5">
        <f>vlookup(B713,Filmes_final!$B$2:$U$1001,3,FALSE)</f>
        <v>1975</v>
      </c>
      <c r="G713" s="5" t="str">
        <f>vlookup(B713,Filmes_final!$B$2:$U$1001,13,FALSE)</f>
        <v>Ramesh Sippy</v>
      </c>
    </row>
    <row r="714">
      <c r="A714" s="5">
        <v>179.0</v>
      </c>
      <c r="B714" s="5" t="s">
        <v>1258</v>
      </c>
      <c r="C714" s="5" t="s">
        <v>1263</v>
      </c>
      <c r="D714" s="5" t="s">
        <v>6634</v>
      </c>
      <c r="E714" s="8">
        <f>vlookup(B714,Filmes_final!$B$2:$U$1001,20,FALSE)</f>
        <v>6086318</v>
      </c>
      <c r="F714" s="5">
        <f>vlookup(B714,Filmes_final!$B$2:$U$1001,3,FALSE)</f>
        <v>1975</v>
      </c>
      <c r="G714" s="5" t="str">
        <f>vlookup(B714,Filmes_final!$B$2:$U$1001,13,FALSE)</f>
        <v>Terry Gilliam</v>
      </c>
    </row>
    <row r="715">
      <c r="A715" s="5">
        <v>179.0</v>
      </c>
      <c r="B715" s="5" t="s">
        <v>1258</v>
      </c>
      <c r="C715" s="5" t="s">
        <v>1264</v>
      </c>
      <c r="D715" s="5" t="s">
        <v>6635</v>
      </c>
      <c r="E715" s="8">
        <f>vlookup(B715,Filmes_final!$B$2:$U$1001,20,FALSE)</f>
        <v>6086318</v>
      </c>
      <c r="F715" s="5">
        <f>vlookup(B715,Filmes_final!$B$2:$U$1001,3,FALSE)</f>
        <v>1975</v>
      </c>
      <c r="G715" s="5" t="str">
        <f>vlookup(B715,Filmes_final!$B$2:$U$1001,13,FALSE)</f>
        <v>Terry Gilliam</v>
      </c>
    </row>
    <row r="716">
      <c r="A716" s="5">
        <v>179.0</v>
      </c>
      <c r="B716" s="5" t="s">
        <v>1258</v>
      </c>
      <c r="C716" s="5" t="s">
        <v>1265</v>
      </c>
      <c r="D716" s="5" t="s">
        <v>6636</v>
      </c>
      <c r="E716" s="8">
        <f>vlookup(B716,Filmes_final!$B$2:$U$1001,20,FALSE)</f>
        <v>6086318</v>
      </c>
      <c r="F716" s="5">
        <f>vlookup(B716,Filmes_final!$B$2:$U$1001,3,FALSE)</f>
        <v>1975</v>
      </c>
      <c r="G716" s="5" t="str">
        <f>vlookup(B716,Filmes_final!$B$2:$U$1001,13,FALSE)</f>
        <v>Terry Gilliam</v>
      </c>
    </row>
    <row r="717">
      <c r="A717" s="5">
        <v>179.0</v>
      </c>
      <c r="B717" s="5" t="s">
        <v>1258</v>
      </c>
      <c r="C717" s="5" t="s">
        <v>1266</v>
      </c>
      <c r="D717" s="5" t="s">
        <v>6637</v>
      </c>
      <c r="E717" s="8">
        <f>vlookup(B717,Filmes_final!$B$2:$U$1001,20,FALSE)</f>
        <v>6086318</v>
      </c>
      <c r="F717" s="5">
        <f>vlookup(B717,Filmes_final!$B$2:$U$1001,3,FALSE)</f>
        <v>1975</v>
      </c>
      <c r="G717" s="5" t="str">
        <f>vlookup(B717,Filmes_final!$B$2:$U$1001,13,FALSE)</f>
        <v>Terry Gilliam</v>
      </c>
    </row>
    <row r="718">
      <c r="A718" s="5">
        <v>180.0</v>
      </c>
      <c r="B718" s="5" t="s">
        <v>1267</v>
      </c>
      <c r="C718" s="5" t="s">
        <v>1272</v>
      </c>
      <c r="D718" s="5" t="s">
        <v>6634</v>
      </c>
      <c r="E718" s="8">
        <f>vlookup(B718,Filmes_final!$B$2:$U$1001,20,FALSE)</f>
        <v>102679247</v>
      </c>
      <c r="F718" s="5">
        <f>vlookup(B718,Filmes_final!$B$2:$U$1001,3,FALSE)</f>
        <v>1963</v>
      </c>
      <c r="G718" s="5" t="str">
        <f>vlookup(B718,Filmes_final!$B$2:$U$1001,13,FALSE)</f>
        <v>John Sturges</v>
      </c>
    </row>
    <row r="719">
      <c r="A719" s="5">
        <v>180.0</v>
      </c>
      <c r="B719" s="5" t="s">
        <v>1267</v>
      </c>
      <c r="C719" s="5" t="s">
        <v>1273</v>
      </c>
      <c r="D719" s="5" t="s">
        <v>6635</v>
      </c>
      <c r="E719" s="8">
        <f>vlookup(B719,Filmes_final!$B$2:$U$1001,20,FALSE)</f>
        <v>102679247</v>
      </c>
      <c r="F719" s="5">
        <f>vlookup(B719,Filmes_final!$B$2:$U$1001,3,FALSE)</f>
        <v>1963</v>
      </c>
      <c r="G719" s="5" t="str">
        <f>vlookup(B719,Filmes_final!$B$2:$U$1001,13,FALSE)</f>
        <v>John Sturges</v>
      </c>
    </row>
    <row r="720">
      <c r="A720" s="5">
        <v>180.0</v>
      </c>
      <c r="B720" s="5" t="s">
        <v>1267</v>
      </c>
      <c r="C720" s="5" t="s">
        <v>1274</v>
      </c>
      <c r="D720" s="5" t="s">
        <v>6636</v>
      </c>
      <c r="E720" s="8">
        <f>vlookup(B720,Filmes_final!$B$2:$U$1001,20,FALSE)</f>
        <v>102679247</v>
      </c>
      <c r="F720" s="5">
        <f>vlookup(B720,Filmes_final!$B$2:$U$1001,3,FALSE)</f>
        <v>1963</v>
      </c>
      <c r="G720" s="5" t="str">
        <f>vlookup(B720,Filmes_final!$B$2:$U$1001,13,FALSE)</f>
        <v>John Sturges</v>
      </c>
    </row>
    <row r="721">
      <c r="A721" s="5">
        <v>180.0</v>
      </c>
      <c r="B721" s="5" t="s">
        <v>1267</v>
      </c>
      <c r="C721" s="5" t="s">
        <v>392</v>
      </c>
      <c r="D721" s="5" t="s">
        <v>6637</v>
      </c>
      <c r="E721" s="8">
        <f>vlookup(B721,Filmes_final!$B$2:$U$1001,20,FALSE)</f>
        <v>102679247</v>
      </c>
      <c r="F721" s="5">
        <f>vlookup(B721,Filmes_final!$B$2:$U$1001,3,FALSE)</f>
        <v>1963</v>
      </c>
      <c r="G721" s="5" t="str">
        <f>vlookup(B721,Filmes_final!$B$2:$U$1001,13,FALSE)</f>
        <v>John Sturges</v>
      </c>
    </row>
    <row r="722">
      <c r="A722" s="5">
        <v>181.0</v>
      </c>
      <c r="B722" s="5" t="s">
        <v>1275</v>
      </c>
      <c r="C722" s="5" t="s">
        <v>1278</v>
      </c>
      <c r="D722" s="5" t="s">
        <v>6634</v>
      </c>
      <c r="E722" s="8">
        <f>vlookup(B722,Filmes_final!$B$2:$U$1001,20,FALSE)</f>
        <v>5152076</v>
      </c>
      <c r="F722" s="5">
        <f>vlookup(B722,Filmes_final!$B$2:$U$1001,3,FALSE)</f>
        <v>1962</v>
      </c>
      <c r="G722" s="5" t="str">
        <f>vlookup(B722,Filmes_final!$B$2:$U$1001,13,FALSE)</f>
        <v>Robert Mulligan</v>
      </c>
    </row>
    <row r="723">
      <c r="A723" s="5">
        <v>181.0</v>
      </c>
      <c r="B723" s="5" t="s">
        <v>1275</v>
      </c>
      <c r="C723" s="5" t="s">
        <v>1279</v>
      </c>
      <c r="D723" s="5" t="s">
        <v>6635</v>
      </c>
      <c r="E723" s="8">
        <f>vlookup(B723,Filmes_final!$B$2:$U$1001,20,FALSE)</f>
        <v>5152076</v>
      </c>
      <c r="F723" s="5">
        <f>vlookup(B723,Filmes_final!$B$2:$U$1001,3,FALSE)</f>
        <v>1962</v>
      </c>
      <c r="G723" s="5" t="str">
        <f>vlookup(B723,Filmes_final!$B$2:$U$1001,13,FALSE)</f>
        <v>Robert Mulligan</v>
      </c>
    </row>
    <row r="724">
      <c r="A724" s="5">
        <v>181.0</v>
      </c>
      <c r="B724" s="5" t="s">
        <v>1275</v>
      </c>
      <c r="C724" s="5" t="s">
        <v>1280</v>
      </c>
      <c r="D724" s="5" t="s">
        <v>6636</v>
      </c>
      <c r="E724" s="8">
        <f>vlookup(B724,Filmes_final!$B$2:$U$1001,20,FALSE)</f>
        <v>5152076</v>
      </c>
      <c r="F724" s="5">
        <f>vlookup(B724,Filmes_final!$B$2:$U$1001,3,FALSE)</f>
        <v>1962</v>
      </c>
      <c r="G724" s="5" t="str">
        <f>vlookup(B724,Filmes_final!$B$2:$U$1001,13,FALSE)</f>
        <v>Robert Mulligan</v>
      </c>
    </row>
    <row r="725">
      <c r="A725" s="5">
        <v>181.0</v>
      </c>
      <c r="B725" s="5" t="s">
        <v>1275</v>
      </c>
      <c r="C725" s="5" t="s">
        <v>1281</v>
      </c>
      <c r="D725" s="5" t="s">
        <v>6637</v>
      </c>
      <c r="E725" s="8">
        <f>vlookup(B725,Filmes_final!$B$2:$U$1001,20,FALSE)</f>
        <v>5152076</v>
      </c>
      <c r="F725" s="5">
        <f>vlookup(B725,Filmes_final!$B$2:$U$1001,3,FALSE)</f>
        <v>1962</v>
      </c>
      <c r="G725" s="5" t="str">
        <f>vlookup(B725,Filmes_final!$B$2:$U$1001,13,FALSE)</f>
        <v>Robert Mulligan</v>
      </c>
    </row>
    <row r="726">
      <c r="A726" s="5">
        <v>182.0</v>
      </c>
      <c r="B726" s="5" t="s">
        <v>1282</v>
      </c>
      <c r="C726" s="5" t="s">
        <v>265</v>
      </c>
      <c r="D726" s="5" t="s">
        <v>6634</v>
      </c>
      <c r="E726" s="8">
        <f>vlookup(B726,Filmes_final!$B$2:$U$1001,20,FALSE)</f>
        <v>405205</v>
      </c>
      <c r="F726" s="5">
        <f>vlookup(B726,Filmes_final!$B$2:$U$1001,3,FALSE)</f>
        <v>1961</v>
      </c>
      <c r="G726" s="5" t="str">
        <f>vlookup(B726,Filmes_final!$B$2:$U$1001,13,FALSE)</f>
        <v>Akira Kurosawa</v>
      </c>
    </row>
    <row r="727">
      <c r="A727" s="5">
        <v>182.0</v>
      </c>
      <c r="B727" s="5" t="s">
        <v>1282</v>
      </c>
      <c r="C727" s="5" t="s">
        <v>1285</v>
      </c>
      <c r="D727" s="5" t="s">
        <v>6635</v>
      </c>
      <c r="E727" s="8">
        <f>vlookup(B727,Filmes_final!$B$2:$U$1001,20,FALSE)</f>
        <v>405205</v>
      </c>
      <c r="F727" s="5">
        <f>vlookup(B727,Filmes_final!$B$2:$U$1001,3,FALSE)</f>
        <v>1961</v>
      </c>
      <c r="G727" s="5" t="str">
        <f>vlookup(B727,Filmes_final!$B$2:$U$1001,13,FALSE)</f>
        <v>Akira Kurosawa</v>
      </c>
    </row>
    <row r="728">
      <c r="A728" s="5">
        <v>182.0</v>
      </c>
      <c r="B728" s="5" t="s">
        <v>1282</v>
      </c>
      <c r="C728" s="5" t="s">
        <v>257</v>
      </c>
      <c r="D728" s="5" t="s">
        <v>6636</v>
      </c>
      <c r="E728" s="8">
        <f>vlookup(B728,Filmes_final!$B$2:$U$1001,20,FALSE)</f>
        <v>405205</v>
      </c>
      <c r="F728" s="5">
        <f>vlookup(B728,Filmes_final!$B$2:$U$1001,3,FALSE)</f>
        <v>1961</v>
      </c>
      <c r="G728" s="5" t="str">
        <f>vlookup(B728,Filmes_final!$B$2:$U$1001,13,FALSE)</f>
        <v>Akira Kurosawa</v>
      </c>
    </row>
    <row r="729">
      <c r="A729" s="5">
        <v>182.0</v>
      </c>
      <c r="B729" s="5" t="s">
        <v>1282</v>
      </c>
      <c r="C729" s="5" t="s">
        <v>1286</v>
      </c>
      <c r="D729" s="5" t="s">
        <v>6637</v>
      </c>
      <c r="E729" s="8">
        <f>vlookup(B729,Filmes_final!$B$2:$U$1001,20,FALSE)</f>
        <v>405205</v>
      </c>
      <c r="F729" s="5">
        <f>vlookup(B729,Filmes_final!$B$2:$U$1001,3,FALSE)</f>
        <v>1961</v>
      </c>
      <c r="G729" s="5" t="str">
        <f>vlookup(B729,Filmes_final!$B$2:$U$1001,13,FALSE)</f>
        <v>Akira Kurosawa</v>
      </c>
    </row>
    <row r="730">
      <c r="A730" s="5">
        <v>183.0</v>
      </c>
      <c r="B730" s="5" t="s">
        <v>1287</v>
      </c>
      <c r="C730" s="5" t="s">
        <v>1291</v>
      </c>
      <c r="D730" s="5" t="s">
        <v>6634</v>
      </c>
      <c r="E730" s="8">
        <f>vlookup(B730,Filmes_final!$B$2:$U$1001,20,FALSE)</f>
        <v>105439</v>
      </c>
      <c r="F730" s="5">
        <f>vlookup(B730,Filmes_final!$B$2:$U$1001,3,FALSE)</f>
        <v>1961</v>
      </c>
      <c r="G730" s="5" t="str">
        <f>vlookup(B730,Filmes_final!$B$2:$U$1001,13,FALSE)</f>
        <v>Stanley Kramer</v>
      </c>
    </row>
    <row r="731">
      <c r="A731" s="5">
        <v>183.0</v>
      </c>
      <c r="B731" s="5" t="s">
        <v>1287</v>
      </c>
      <c r="C731" s="5" t="s">
        <v>1292</v>
      </c>
      <c r="D731" s="5" t="s">
        <v>6635</v>
      </c>
      <c r="E731" s="8">
        <f>vlookup(B731,Filmes_final!$B$2:$U$1001,20,FALSE)</f>
        <v>105439</v>
      </c>
      <c r="F731" s="5">
        <f>vlookup(B731,Filmes_final!$B$2:$U$1001,3,FALSE)</f>
        <v>1961</v>
      </c>
      <c r="G731" s="5" t="str">
        <f>vlookup(B731,Filmes_final!$B$2:$U$1001,13,FALSE)</f>
        <v>Stanley Kramer</v>
      </c>
    </row>
    <row r="732">
      <c r="A732" s="5">
        <v>183.0</v>
      </c>
      <c r="B732" s="5" t="s">
        <v>1287</v>
      </c>
      <c r="C732" s="5" t="s">
        <v>1293</v>
      </c>
      <c r="D732" s="5" t="s">
        <v>6636</v>
      </c>
      <c r="E732" s="8">
        <f>vlookup(B732,Filmes_final!$B$2:$U$1001,20,FALSE)</f>
        <v>105439</v>
      </c>
      <c r="F732" s="5">
        <f>vlookup(B732,Filmes_final!$B$2:$U$1001,3,FALSE)</f>
        <v>1961</v>
      </c>
      <c r="G732" s="5" t="str">
        <f>vlookup(B732,Filmes_final!$B$2:$U$1001,13,FALSE)</f>
        <v>Stanley Kramer</v>
      </c>
    </row>
    <row r="733">
      <c r="A733" s="5">
        <v>183.0</v>
      </c>
      <c r="B733" s="5" t="s">
        <v>1287</v>
      </c>
      <c r="C733" s="5" t="s">
        <v>612</v>
      </c>
      <c r="D733" s="5" t="s">
        <v>6637</v>
      </c>
      <c r="E733" s="8">
        <f>vlookup(B733,Filmes_final!$B$2:$U$1001,20,FALSE)</f>
        <v>105439</v>
      </c>
      <c r="F733" s="5">
        <f>vlookup(B733,Filmes_final!$B$2:$U$1001,3,FALSE)</f>
        <v>1961</v>
      </c>
      <c r="G733" s="5" t="str">
        <f>vlookup(B733,Filmes_final!$B$2:$U$1001,13,FALSE)</f>
        <v>Stanley Kramer</v>
      </c>
    </row>
    <row r="734">
      <c r="A734" s="5">
        <v>184.0</v>
      </c>
      <c r="B734" s="5" t="s">
        <v>1294</v>
      </c>
      <c r="C734" s="5" t="s">
        <v>1297</v>
      </c>
      <c r="D734" s="5" t="s">
        <v>6634</v>
      </c>
      <c r="E734" s="8">
        <f>vlookup(B734,Filmes_final!$B$2:$U$1001,20,FALSE)</f>
        <v>222388793</v>
      </c>
      <c r="F734" s="5">
        <f>vlookup(B734,Filmes_final!$B$2:$U$1001,3,FALSE)</f>
        <v>1959</v>
      </c>
      <c r="G734" s="5" t="str">
        <f>vlookup(B734,Filmes_final!$B$2:$U$1001,13,FALSE)</f>
        <v>Billy Wilder</v>
      </c>
    </row>
    <row r="735">
      <c r="A735" s="5">
        <v>184.0</v>
      </c>
      <c r="B735" s="5" t="s">
        <v>1294</v>
      </c>
      <c r="C735" s="5" t="s">
        <v>1298</v>
      </c>
      <c r="D735" s="5" t="s">
        <v>6635</v>
      </c>
      <c r="E735" s="8">
        <f>vlookup(B735,Filmes_final!$B$2:$U$1001,20,FALSE)</f>
        <v>222388793</v>
      </c>
      <c r="F735" s="5">
        <f>vlookup(B735,Filmes_final!$B$2:$U$1001,3,FALSE)</f>
        <v>1959</v>
      </c>
      <c r="G735" s="5" t="str">
        <f>vlookup(B735,Filmes_final!$B$2:$U$1001,13,FALSE)</f>
        <v>Billy Wilder</v>
      </c>
    </row>
    <row r="736">
      <c r="A736" s="5">
        <v>184.0</v>
      </c>
      <c r="B736" s="5" t="s">
        <v>1294</v>
      </c>
      <c r="C736" s="5" t="s">
        <v>866</v>
      </c>
      <c r="D736" s="5" t="s">
        <v>6636</v>
      </c>
      <c r="E736" s="8">
        <f>vlookup(B736,Filmes_final!$B$2:$U$1001,20,FALSE)</f>
        <v>222388793</v>
      </c>
      <c r="F736" s="5">
        <f>vlookup(B736,Filmes_final!$B$2:$U$1001,3,FALSE)</f>
        <v>1959</v>
      </c>
      <c r="G736" s="5" t="str">
        <f>vlookup(B736,Filmes_final!$B$2:$U$1001,13,FALSE)</f>
        <v>Billy Wilder</v>
      </c>
    </row>
    <row r="737">
      <c r="A737" s="5">
        <v>184.0</v>
      </c>
      <c r="B737" s="5" t="s">
        <v>1294</v>
      </c>
      <c r="C737" s="5" t="s">
        <v>1299</v>
      </c>
      <c r="D737" s="5" t="s">
        <v>6637</v>
      </c>
      <c r="E737" s="8">
        <f>vlookup(B737,Filmes_final!$B$2:$U$1001,20,FALSE)</f>
        <v>222388793</v>
      </c>
      <c r="F737" s="5">
        <f>vlookup(B737,Filmes_final!$B$2:$U$1001,3,FALSE)</f>
        <v>1959</v>
      </c>
      <c r="G737" s="5" t="str">
        <f>vlookup(B737,Filmes_final!$B$2:$U$1001,13,FALSE)</f>
        <v>Billy Wilder</v>
      </c>
    </row>
    <row r="738">
      <c r="A738" s="5">
        <v>185.0</v>
      </c>
      <c r="B738" s="5" t="s">
        <v>1300</v>
      </c>
      <c r="C738" s="5" t="s">
        <v>1302</v>
      </c>
      <c r="D738" s="5" t="s">
        <v>6634</v>
      </c>
      <c r="E738" s="8">
        <f>vlookup(B738,Filmes_final!$B$2:$U$1001,20,FALSE)</f>
        <v>135753</v>
      </c>
      <c r="F738" s="5">
        <f>vlookup(B738,Filmes_final!$B$2:$U$1001,3,FALSE)</f>
        <v>1957</v>
      </c>
      <c r="G738" s="5" t="str">
        <f>vlookup(B738,Filmes_final!$B$2:$U$1001,13,FALSE)</f>
        <v>Ingmar Bergman</v>
      </c>
    </row>
    <row r="739">
      <c r="A739" s="5">
        <v>185.0</v>
      </c>
      <c r="B739" s="5" t="s">
        <v>1300</v>
      </c>
      <c r="C739" s="5" t="s">
        <v>1303</v>
      </c>
      <c r="D739" s="5" t="s">
        <v>6635</v>
      </c>
      <c r="E739" s="8">
        <f>vlookup(B739,Filmes_final!$B$2:$U$1001,20,FALSE)</f>
        <v>135753</v>
      </c>
      <c r="F739" s="5">
        <f>vlookup(B739,Filmes_final!$B$2:$U$1001,3,FALSE)</f>
        <v>1957</v>
      </c>
      <c r="G739" s="5" t="str">
        <f>vlookup(B739,Filmes_final!$B$2:$U$1001,13,FALSE)</f>
        <v>Ingmar Bergman</v>
      </c>
    </row>
    <row r="740">
      <c r="A740" s="5">
        <v>185.0</v>
      </c>
      <c r="B740" s="5" t="s">
        <v>1300</v>
      </c>
      <c r="C740" s="5" t="s">
        <v>1304</v>
      </c>
      <c r="D740" s="5" t="s">
        <v>6636</v>
      </c>
      <c r="E740" s="8">
        <f>vlookup(B740,Filmes_final!$B$2:$U$1001,20,FALSE)</f>
        <v>135753</v>
      </c>
      <c r="F740" s="5">
        <f>vlookup(B740,Filmes_final!$B$2:$U$1001,3,FALSE)</f>
        <v>1957</v>
      </c>
      <c r="G740" s="5" t="str">
        <f>vlookup(B740,Filmes_final!$B$2:$U$1001,13,FALSE)</f>
        <v>Ingmar Bergman</v>
      </c>
    </row>
    <row r="741">
      <c r="A741" s="5">
        <v>185.0</v>
      </c>
      <c r="B741" s="5" t="s">
        <v>1300</v>
      </c>
      <c r="C741" s="5" t="s">
        <v>1305</v>
      </c>
      <c r="D741" s="5" t="s">
        <v>6637</v>
      </c>
      <c r="E741" s="8">
        <f>vlookup(B741,Filmes_final!$B$2:$U$1001,20,FALSE)</f>
        <v>135753</v>
      </c>
      <c r="F741" s="5">
        <f>vlookup(B741,Filmes_final!$B$2:$U$1001,3,FALSE)</f>
        <v>1957</v>
      </c>
      <c r="G741" s="5" t="str">
        <f>vlookup(B741,Filmes_final!$B$2:$U$1001,13,FALSE)</f>
        <v>Ingmar Bergman</v>
      </c>
    </row>
    <row r="742">
      <c r="A742" s="5">
        <v>186.0</v>
      </c>
      <c r="B742" s="5" t="s">
        <v>1306</v>
      </c>
      <c r="C742" s="5" t="s">
        <v>1309</v>
      </c>
      <c r="D742" s="5" t="s">
        <v>6634</v>
      </c>
      <c r="E742" s="8">
        <f>vlookup(B742,Filmes_final!$B$2:$U$1001,20,FALSE)</f>
        <v>2155095</v>
      </c>
      <c r="F742" s="5">
        <f>vlookup(B742,Filmes_final!$B$2:$U$1001,3,FALSE)</f>
        <v>1957</v>
      </c>
      <c r="G742" s="5" t="str">
        <f>vlookup(B742,Filmes_final!$B$2:$U$1001,13,FALSE)</f>
        <v>Ingmar Bergman</v>
      </c>
    </row>
    <row r="743">
      <c r="A743" s="5">
        <v>186.0</v>
      </c>
      <c r="B743" s="5" t="s">
        <v>1306</v>
      </c>
      <c r="C743" s="5" t="s">
        <v>1305</v>
      </c>
      <c r="D743" s="5" t="s">
        <v>6635</v>
      </c>
      <c r="E743" s="8">
        <f>vlookup(B743,Filmes_final!$B$2:$U$1001,20,FALSE)</f>
        <v>2155095</v>
      </c>
      <c r="F743" s="5">
        <f>vlookup(B743,Filmes_final!$B$2:$U$1001,3,FALSE)</f>
        <v>1957</v>
      </c>
      <c r="G743" s="5" t="str">
        <f>vlookup(B743,Filmes_final!$B$2:$U$1001,13,FALSE)</f>
        <v>Ingmar Bergman</v>
      </c>
    </row>
    <row r="744">
      <c r="A744" s="5">
        <v>186.0</v>
      </c>
      <c r="B744" s="5" t="s">
        <v>1306</v>
      </c>
      <c r="C744" s="5" t="s">
        <v>1310</v>
      </c>
      <c r="D744" s="5" t="s">
        <v>6636</v>
      </c>
      <c r="E744" s="8">
        <f>vlookup(B744,Filmes_final!$B$2:$U$1001,20,FALSE)</f>
        <v>2155095</v>
      </c>
      <c r="F744" s="5">
        <f>vlookup(B744,Filmes_final!$B$2:$U$1001,3,FALSE)</f>
        <v>1957</v>
      </c>
      <c r="G744" s="5" t="str">
        <f>vlookup(B744,Filmes_final!$B$2:$U$1001,13,FALSE)</f>
        <v>Ingmar Bergman</v>
      </c>
    </row>
    <row r="745">
      <c r="A745" s="5">
        <v>186.0</v>
      </c>
      <c r="B745" s="5" t="s">
        <v>1306</v>
      </c>
      <c r="C745" s="5" t="s">
        <v>1311</v>
      </c>
      <c r="D745" s="5" t="s">
        <v>6637</v>
      </c>
      <c r="E745" s="8">
        <f>vlookup(B745,Filmes_final!$B$2:$U$1001,20,FALSE)</f>
        <v>2155095</v>
      </c>
      <c r="F745" s="5">
        <f>vlookup(B745,Filmes_final!$B$2:$U$1001,3,FALSE)</f>
        <v>1957</v>
      </c>
      <c r="G745" s="5" t="str">
        <f>vlookup(B745,Filmes_final!$B$2:$U$1001,13,FALSE)</f>
        <v>Ingmar Bergman</v>
      </c>
    </row>
    <row r="746">
      <c r="A746" s="5">
        <v>187.0</v>
      </c>
      <c r="B746" s="5" t="s">
        <v>1312</v>
      </c>
      <c r="C746" s="5" t="s">
        <v>1315</v>
      </c>
      <c r="D746" s="5" t="s">
        <v>6634</v>
      </c>
      <c r="E746" s="8">
        <f>vlookup(B746,Filmes_final!$B$2:$U$1001,20,FALSE)</f>
        <v>552908</v>
      </c>
      <c r="F746" s="5">
        <f>vlookup(B746,Filmes_final!$B$2:$U$1001,3,FALSE)</f>
        <v>1955</v>
      </c>
      <c r="G746" s="5" t="str">
        <f>vlookup(B746,Filmes_final!$B$2:$U$1001,13,FALSE)</f>
        <v>Jules Dassin</v>
      </c>
    </row>
    <row r="747">
      <c r="A747" s="5">
        <v>187.0</v>
      </c>
      <c r="B747" s="5" t="s">
        <v>1312</v>
      </c>
      <c r="C747" s="5" t="s">
        <v>1316</v>
      </c>
      <c r="D747" s="5" t="s">
        <v>6635</v>
      </c>
      <c r="E747" s="8">
        <f>vlookup(B747,Filmes_final!$B$2:$U$1001,20,FALSE)</f>
        <v>552908</v>
      </c>
      <c r="F747" s="5">
        <f>vlookup(B747,Filmes_final!$B$2:$U$1001,3,FALSE)</f>
        <v>1955</v>
      </c>
      <c r="G747" s="5" t="str">
        <f>vlookup(B747,Filmes_final!$B$2:$U$1001,13,FALSE)</f>
        <v>Jules Dassin</v>
      </c>
    </row>
    <row r="748">
      <c r="A748" s="5">
        <v>187.0</v>
      </c>
      <c r="B748" s="5" t="s">
        <v>1312</v>
      </c>
      <c r="C748" s="5" t="s">
        <v>1317</v>
      </c>
      <c r="D748" s="5" t="s">
        <v>6636</v>
      </c>
      <c r="E748" s="8">
        <f>vlookup(B748,Filmes_final!$B$2:$U$1001,20,FALSE)</f>
        <v>552908</v>
      </c>
      <c r="F748" s="5">
        <f>vlookup(B748,Filmes_final!$B$2:$U$1001,3,FALSE)</f>
        <v>1955</v>
      </c>
      <c r="G748" s="5" t="str">
        <f>vlookup(B748,Filmes_final!$B$2:$U$1001,13,FALSE)</f>
        <v>Jules Dassin</v>
      </c>
    </row>
    <row r="749">
      <c r="A749" s="5">
        <v>187.0</v>
      </c>
      <c r="B749" s="5" t="s">
        <v>1312</v>
      </c>
      <c r="C749" s="5" t="s">
        <v>1318</v>
      </c>
      <c r="D749" s="5" t="s">
        <v>6637</v>
      </c>
      <c r="E749" s="8">
        <f>vlookup(B749,Filmes_final!$B$2:$U$1001,20,FALSE)</f>
        <v>552908</v>
      </c>
      <c r="F749" s="5">
        <f>vlookup(B749,Filmes_final!$B$2:$U$1001,3,FALSE)</f>
        <v>1955</v>
      </c>
      <c r="G749" s="5" t="str">
        <f>vlookup(B749,Filmes_final!$B$2:$U$1001,13,FALSE)</f>
        <v>Jules Dassin</v>
      </c>
    </row>
    <row r="750">
      <c r="A750" s="5">
        <v>188.0</v>
      </c>
      <c r="B750" s="5" t="s">
        <v>1319</v>
      </c>
      <c r="C750" s="5" t="s">
        <v>1322</v>
      </c>
      <c r="D750" s="5" t="s">
        <v>6634</v>
      </c>
      <c r="E750" s="8">
        <f>vlookup(B750,Filmes_final!$B$2:$U$1001,20,FALSE)</f>
        <v>120470</v>
      </c>
      <c r="F750" s="5">
        <f>vlookup(B750,Filmes_final!$B$2:$U$1001,3,FALSE)</f>
        <v>1954</v>
      </c>
      <c r="G750" s="5" t="str">
        <f>vlookup(B750,Filmes_final!$B$2:$U$1001,13,FALSE)</f>
        <v>Alfred Hitchcock</v>
      </c>
    </row>
    <row r="751">
      <c r="A751" s="5">
        <v>188.0</v>
      </c>
      <c r="B751" s="5" t="s">
        <v>1319</v>
      </c>
      <c r="C751" s="5" t="s">
        <v>623</v>
      </c>
      <c r="D751" s="5" t="s">
        <v>6635</v>
      </c>
      <c r="E751" s="8">
        <f>vlookup(B751,Filmes_final!$B$2:$U$1001,20,FALSE)</f>
        <v>120470</v>
      </c>
      <c r="F751" s="5">
        <f>vlookup(B751,Filmes_final!$B$2:$U$1001,3,FALSE)</f>
        <v>1954</v>
      </c>
      <c r="G751" s="5" t="str">
        <f>vlookup(B751,Filmes_final!$B$2:$U$1001,13,FALSE)</f>
        <v>Alfred Hitchcock</v>
      </c>
    </row>
    <row r="752">
      <c r="A752" s="5">
        <v>188.0</v>
      </c>
      <c r="B752" s="5" t="s">
        <v>1319</v>
      </c>
      <c r="C752" s="5" t="s">
        <v>1323</v>
      </c>
      <c r="D752" s="5" t="s">
        <v>6636</v>
      </c>
      <c r="E752" s="8">
        <f>vlookup(B752,Filmes_final!$B$2:$U$1001,20,FALSE)</f>
        <v>120470</v>
      </c>
      <c r="F752" s="5">
        <f>vlookup(B752,Filmes_final!$B$2:$U$1001,3,FALSE)</f>
        <v>1954</v>
      </c>
      <c r="G752" s="5" t="str">
        <f>vlookup(B752,Filmes_final!$B$2:$U$1001,13,FALSE)</f>
        <v>Alfred Hitchcock</v>
      </c>
    </row>
    <row r="753">
      <c r="A753" s="5">
        <v>188.0</v>
      </c>
      <c r="B753" s="5" t="s">
        <v>1319</v>
      </c>
      <c r="C753" s="5" t="s">
        <v>1324</v>
      </c>
      <c r="D753" s="5" t="s">
        <v>6637</v>
      </c>
      <c r="E753" s="8">
        <f>vlookup(B753,Filmes_final!$B$2:$U$1001,20,FALSE)</f>
        <v>120470</v>
      </c>
      <c r="F753" s="5">
        <f>vlookup(B753,Filmes_final!$B$2:$U$1001,3,FALSE)</f>
        <v>1954</v>
      </c>
      <c r="G753" s="5" t="str">
        <f>vlookup(B753,Filmes_final!$B$2:$U$1001,13,FALSE)</f>
        <v>Alfred Hitchcock</v>
      </c>
    </row>
    <row r="754">
      <c r="A754" s="5">
        <v>189.0</v>
      </c>
      <c r="B754" s="5" t="s">
        <v>1325</v>
      </c>
      <c r="C754" s="5" t="s">
        <v>1328</v>
      </c>
      <c r="D754" s="5" t="s">
        <v>6634</v>
      </c>
      <c r="E754" s="8">
        <f>vlookup(B754,Filmes_final!$B$2:$U$1001,20,FALSE)</f>
        <v>392465</v>
      </c>
      <c r="F754" s="5">
        <f>vlookup(B754,Filmes_final!$B$2:$U$1001,3,FALSE)</f>
        <v>1953</v>
      </c>
      <c r="G754" s="5" t="str">
        <f>vlookup(B754,Filmes_final!$B$2:$U$1001,13,FALSE)</f>
        <v>Yasujirô Ozu</v>
      </c>
    </row>
    <row r="755">
      <c r="A755" s="5">
        <v>189.0</v>
      </c>
      <c r="B755" s="5" t="s">
        <v>1325</v>
      </c>
      <c r="C755" s="5" t="s">
        <v>1329</v>
      </c>
      <c r="D755" s="5" t="s">
        <v>6635</v>
      </c>
      <c r="E755" s="8">
        <f>vlookup(B755,Filmes_final!$B$2:$U$1001,20,FALSE)</f>
        <v>392465</v>
      </c>
      <c r="F755" s="5">
        <f>vlookup(B755,Filmes_final!$B$2:$U$1001,3,FALSE)</f>
        <v>1953</v>
      </c>
      <c r="G755" s="5" t="str">
        <f>vlookup(B755,Filmes_final!$B$2:$U$1001,13,FALSE)</f>
        <v>Yasujirô Ozu</v>
      </c>
    </row>
    <row r="756">
      <c r="A756" s="5">
        <v>189.0</v>
      </c>
      <c r="B756" s="5" t="s">
        <v>1325</v>
      </c>
      <c r="C756" s="5" t="s">
        <v>1330</v>
      </c>
      <c r="D756" s="5" t="s">
        <v>6636</v>
      </c>
      <c r="E756" s="8">
        <f>vlookup(B756,Filmes_final!$B$2:$U$1001,20,FALSE)</f>
        <v>392465</v>
      </c>
      <c r="F756" s="5">
        <f>vlookup(B756,Filmes_final!$B$2:$U$1001,3,FALSE)</f>
        <v>1953</v>
      </c>
      <c r="G756" s="5" t="str">
        <f>vlookup(B756,Filmes_final!$B$2:$U$1001,13,FALSE)</f>
        <v>Yasujirô Ozu</v>
      </c>
    </row>
    <row r="757">
      <c r="A757" s="5">
        <v>189.0</v>
      </c>
      <c r="B757" s="5" t="s">
        <v>1325</v>
      </c>
      <c r="C757" s="5" t="s">
        <v>1331</v>
      </c>
      <c r="D757" s="5" t="s">
        <v>6637</v>
      </c>
      <c r="E757" s="8">
        <f>vlookup(B757,Filmes_final!$B$2:$U$1001,20,FALSE)</f>
        <v>392465</v>
      </c>
      <c r="F757" s="5">
        <f>vlookup(B757,Filmes_final!$B$2:$U$1001,3,FALSE)</f>
        <v>1953</v>
      </c>
      <c r="G757" s="5" t="str">
        <f>vlookup(B757,Filmes_final!$B$2:$U$1001,13,FALSE)</f>
        <v>Yasujirô Ozu</v>
      </c>
    </row>
    <row r="758">
      <c r="A758" s="5">
        <v>190.0</v>
      </c>
      <c r="B758" s="5" t="s">
        <v>1332</v>
      </c>
      <c r="C758" s="5" t="s">
        <v>265</v>
      </c>
      <c r="D758" s="5" t="s">
        <v>6634</v>
      </c>
      <c r="E758" s="8">
        <f>vlookup(B758,Filmes_final!$B$2:$U$1001,20,FALSE)</f>
        <v>1060074</v>
      </c>
      <c r="F758" s="5">
        <f>vlookup(B758,Filmes_final!$B$2:$U$1001,3,FALSE)</f>
        <v>1950</v>
      </c>
      <c r="G758" s="5" t="str">
        <f>vlookup(B758,Filmes_final!$B$2:$U$1001,13,FALSE)</f>
        <v>Akira Kurosawa</v>
      </c>
    </row>
    <row r="759">
      <c r="A759" s="5">
        <v>190.0</v>
      </c>
      <c r="B759" s="5" t="s">
        <v>1332</v>
      </c>
      <c r="C759" s="5" t="s">
        <v>1334</v>
      </c>
      <c r="D759" s="5" t="s">
        <v>6635</v>
      </c>
      <c r="E759" s="8">
        <f>vlookup(B759,Filmes_final!$B$2:$U$1001,20,FALSE)</f>
        <v>1060074</v>
      </c>
      <c r="F759" s="5">
        <f>vlookup(B759,Filmes_final!$B$2:$U$1001,3,FALSE)</f>
        <v>1950</v>
      </c>
      <c r="G759" s="5" t="str">
        <f>vlookup(B759,Filmes_final!$B$2:$U$1001,13,FALSE)</f>
        <v>Akira Kurosawa</v>
      </c>
    </row>
    <row r="760">
      <c r="A760" s="5">
        <v>190.0</v>
      </c>
      <c r="B760" s="5" t="s">
        <v>1332</v>
      </c>
      <c r="C760" s="5" t="s">
        <v>1335</v>
      </c>
      <c r="D760" s="5" t="s">
        <v>6636</v>
      </c>
      <c r="E760" s="8">
        <f>vlookup(B760,Filmes_final!$B$2:$U$1001,20,FALSE)</f>
        <v>1060074</v>
      </c>
      <c r="F760" s="5">
        <f>vlookup(B760,Filmes_final!$B$2:$U$1001,3,FALSE)</f>
        <v>1950</v>
      </c>
      <c r="G760" s="5" t="str">
        <f>vlookup(B760,Filmes_final!$B$2:$U$1001,13,FALSE)</f>
        <v>Akira Kurosawa</v>
      </c>
    </row>
    <row r="761">
      <c r="A761" s="5">
        <v>190.0</v>
      </c>
      <c r="B761" s="5" t="s">
        <v>1332</v>
      </c>
      <c r="C761" s="5" t="s">
        <v>266</v>
      </c>
      <c r="D761" s="5" t="s">
        <v>6637</v>
      </c>
      <c r="E761" s="8">
        <f>vlookup(B761,Filmes_final!$B$2:$U$1001,20,FALSE)</f>
        <v>1060074</v>
      </c>
      <c r="F761" s="5">
        <f>vlookup(B761,Filmes_final!$B$2:$U$1001,3,FALSE)</f>
        <v>1950</v>
      </c>
      <c r="G761" s="5" t="str">
        <f>vlookup(B761,Filmes_final!$B$2:$U$1001,13,FALSE)</f>
        <v>Akira Kurosawa</v>
      </c>
    </row>
    <row r="762">
      <c r="A762" s="5">
        <v>191.0</v>
      </c>
      <c r="B762" s="5" t="s">
        <v>1336</v>
      </c>
      <c r="C762" s="5" t="s">
        <v>1339</v>
      </c>
      <c r="D762" s="5" t="s">
        <v>6634</v>
      </c>
      <c r="E762" s="8">
        <f>vlookup(B762,Filmes_final!$B$2:$U$1001,20,FALSE)</f>
        <v>111718</v>
      </c>
      <c r="F762" s="5">
        <f>vlookup(B762,Filmes_final!$B$2:$U$1001,3,FALSE)</f>
        <v>1950</v>
      </c>
      <c r="G762" s="5" t="str">
        <f>vlookup(B762,Filmes_final!$B$2:$U$1001,13,FALSE)</f>
        <v>Joseph L. Mankiewicz</v>
      </c>
    </row>
    <row r="763">
      <c r="A763" s="5">
        <v>191.0</v>
      </c>
      <c r="B763" s="5" t="s">
        <v>1336</v>
      </c>
      <c r="C763" s="5" t="s">
        <v>1340</v>
      </c>
      <c r="D763" s="5" t="s">
        <v>6635</v>
      </c>
      <c r="E763" s="8">
        <f>vlookup(B763,Filmes_final!$B$2:$U$1001,20,FALSE)</f>
        <v>111718</v>
      </c>
      <c r="F763" s="5">
        <f>vlookup(B763,Filmes_final!$B$2:$U$1001,3,FALSE)</f>
        <v>1950</v>
      </c>
      <c r="G763" s="5" t="str">
        <f>vlookup(B763,Filmes_final!$B$2:$U$1001,13,FALSE)</f>
        <v>Joseph L. Mankiewicz</v>
      </c>
    </row>
    <row r="764">
      <c r="A764" s="5">
        <v>191.0</v>
      </c>
      <c r="B764" s="5" t="s">
        <v>1336</v>
      </c>
      <c r="C764" s="5" t="s">
        <v>1341</v>
      </c>
      <c r="D764" s="5" t="s">
        <v>6636</v>
      </c>
      <c r="E764" s="8">
        <f>vlookup(B764,Filmes_final!$B$2:$U$1001,20,FALSE)</f>
        <v>111718</v>
      </c>
      <c r="F764" s="5">
        <f>vlookup(B764,Filmes_final!$B$2:$U$1001,3,FALSE)</f>
        <v>1950</v>
      </c>
      <c r="G764" s="5" t="str">
        <f>vlookup(B764,Filmes_final!$B$2:$U$1001,13,FALSE)</f>
        <v>Joseph L. Mankiewicz</v>
      </c>
    </row>
    <row r="765">
      <c r="A765" s="5">
        <v>191.0</v>
      </c>
      <c r="B765" s="5" t="s">
        <v>1336</v>
      </c>
      <c r="C765" s="5" t="s">
        <v>1342</v>
      </c>
      <c r="D765" s="5" t="s">
        <v>6637</v>
      </c>
      <c r="E765" s="8">
        <f>vlookup(B765,Filmes_final!$B$2:$U$1001,20,FALSE)</f>
        <v>111718</v>
      </c>
      <c r="F765" s="5">
        <f>vlookup(B765,Filmes_final!$B$2:$U$1001,3,FALSE)</f>
        <v>1950</v>
      </c>
      <c r="G765" s="5" t="str">
        <f>vlookup(B765,Filmes_final!$B$2:$U$1001,13,FALSE)</f>
        <v>Joseph L. Mankiewicz</v>
      </c>
    </row>
    <row r="766">
      <c r="A766" s="5">
        <v>192.0</v>
      </c>
      <c r="B766" s="5" t="s">
        <v>1343</v>
      </c>
      <c r="C766" s="5" t="s">
        <v>409</v>
      </c>
      <c r="D766" s="5" t="s">
        <v>6634</v>
      </c>
      <c r="E766" s="8">
        <f>vlookup(B766,Filmes_final!$B$2:$U$1001,20,FALSE)</f>
        <v>54576650</v>
      </c>
      <c r="F766" s="5">
        <f>vlookup(B766,Filmes_final!$B$2:$U$1001,3,FALSE)</f>
        <v>1948</v>
      </c>
      <c r="G766" s="5" t="str">
        <f>vlookup(B766,Filmes_final!$B$2:$U$1001,13,FALSE)</f>
        <v>John Huston</v>
      </c>
    </row>
    <row r="767">
      <c r="A767" s="5">
        <v>192.0</v>
      </c>
      <c r="B767" s="5" t="s">
        <v>1343</v>
      </c>
      <c r="C767" s="5" t="s">
        <v>1347</v>
      </c>
      <c r="D767" s="5" t="s">
        <v>6635</v>
      </c>
      <c r="E767" s="8">
        <f>vlookup(B767,Filmes_final!$B$2:$U$1001,20,FALSE)</f>
        <v>54576650</v>
      </c>
      <c r="F767" s="5">
        <f>vlookup(B767,Filmes_final!$B$2:$U$1001,3,FALSE)</f>
        <v>1948</v>
      </c>
      <c r="G767" s="5" t="str">
        <f>vlookup(B767,Filmes_final!$B$2:$U$1001,13,FALSE)</f>
        <v>John Huston</v>
      </c>
    </row>
    <row r="768">
      <c r="A768" s="5">
        <v>192.0</v>
      </c>
      <c r="B768" s="5" t="s">
        <v>1343</v>
      </c>
      <c r="C768" s="5" t="s">
        <v>1348</v>
      </c>
      <c r="D768" s="5" t="s">
        <v>6636</v>
      </c>
      <c r="E768" s="8">
        <f>vlookup(B768,Filmes_final!$B$2:$U$1001,20,FALSE)</f>
        <v>54576650</v>
      </c>
      <c r="F768" s="5">
        <f>vlookup(B768,Filmes_final!$B$2:$U$1001,3,FALSE)</f>
        <v>1948</v>
      </c>
      <c r="G768" s="5" t="str">
        <f>vlookup(B768,Filmes_final!$B$2:$U$1001,13,FALSE)</f>
        <v>John Huston</v>
      </c>
    </row>
    <row r="769">
      <c r="A769" s="5">
        <v>192.0</v>
      </c>
      <c r="B769" s="5" t="s">
        <v>1343</v>
      </c>
      <c r="C769" s="5" t="s">
        <v>1349</v>
      </c>
      <c r="D769" s="5" t="s">
        <v>6637</v>
      </c>
      <c r="E769" s="8">
        <f>vlookup(B769,Filmes_final!$B$2:$U$1001,20,FALSE)</f>
        <v>54576650</v>
      </c>
      <c r="F769" s="5">
        <f>vlookup(B769,Filmes_final!$B$2:$U$1001,3,FALSE)</f>
        <v>1948</v>
      </c>
      <c r="G769" s="5" t="str">
        <f>vlookup(B769,Filmes_final!$B$2:$U$1001,13,FALSE)</f>
        <v>John Huston</v>
      </c>
    </row>
    <row r="770">
      <c r="A770" s="5">
        <v>193.0</v>
      </c>
      <c r="B770" s="5" t="s">
        <v>1350</v>
      </c>
      <c r="C770" s="5" t="s">
        <v>1354</v>
      </c>
      <c r="D770" s="5" t="s">
        <v>6634</v>
      </c>
      <c r="E770" s="8">
        <f>vlookup(B770,Filmes_final!$B$2:$U$1001,20,FALSE)</f>
        <v>75222372</v>
      </c>
      <c r="F770" s="5">
        <f>vlookup(B770,Filmes_final!$B$2:$U$1001,3,FALSE)</f>
        <v>1942</v>
      </c>
      <c r="G770" s="5" t="str">
        <f>vlookup(B770,Filmes_final!$B$2:$U$1001,13,FALSE)</f>
        <v>Ernst Lubitsch</v>
      </c>
    </row>
    <row r="771">
      <c r="A771" s="5">
        <v>193.0</v>
      </c>
      <c r="B771" s="5" t="s">
        <v>1350</v>
      </c>
      <c r="C771" s="5" t="s">
        <v>1355</v>
      </c>
      <c r="D771" s="5" t="s">
        <v>6635</v>
      </c>
      <c r="E771" s="8">
        <f>vlookup(B771,Filmes_final!$B$2:$U$1001,20,FALSE)</f>
        <v>75222372</v>
      </c>
      <c r="F771" s="5">
        <f>vlookup(B771,Filmes_final!$B$2:$U$1001,3,FALSE)</f>
        <v>1942</v>
      </c>
      <c r="G771" s="5" t="str">
        <f>vlookup(B771,Filmes_final!$B$2:$U$1001,13,FALSE)</f>
        <v>Ernst Lubitsch</v>
      </c>
    </row>
    <row r="772">
      <c r="A772" s="5">
        <v>193.0</v>
      </c>
      <c r="B772" s="5" t="s">
        <v>1350</v>
      </c>
      <c r="C772" s="5" t="s">
        <v>1356</v>
      </c>
      <c r="D772" s="5" t="s">
        <v>6636</v>
      </c>
      <c r="E772" s="8">
        <f>vlookup(B772,Filmes_final!$B$2:$U$1001,20,FALSE)</f>
        <v>75222372</v>
      </c>
      <c r="F772" s="5">
        <f>vlookup(B772,Filmes_final!$B$2:$U$1001,3,FALSE)</f>
        <v>1942</v>
      </c>
      <c r="G772" s="5" t="str">
        <f>vlookup(B772,Filmes_final!$B$2:$U$1001,13,FALSE)</f>
        <v>Ernst Lubitsch</v>
      </c>
    </row>
    <row r="773">
      <c r="A773" s="5">
        <v>193.0</v>
      </c>
      <c r="B773" s="5" t="s">
        <v>1350</v>
      </c>
      <c r="C773" s="5" t="s">
        <v>1357</v>
      </c>
      <c r="D773" s="5" t="s">
        <v>6637</v>
      </c>
      <c r="E773" s="8">
        <f>vlookup(B773,Filmes_final!$B$2:$U$1001,20,FALSE)</f>
        <v>75222372</v>
      </c>
      <c r="F773" s="5">
        <f>vlookup(B773,Filmes_final!$B$2:$U$1001,3,FALSE)</f>
        <v>1942</v>
      </c>
      <c r="G773" s="5" t="str">
        <f>vlookup(B773,Filmes_final!$B$2:$U$1001,13,FALSE)</f>
        <v>Ernst Lubitsch</v>
      </c>
    </row>
    <row r="774">
      <c r="A774" s="5">
        <v>194.0</v>
      </c>
      <c r="B774" s="5" t="s">
        <v>1358</v>
      </c>
      <c r="C774" s="5" t="s">
        <v>418</v>
      </c>
      <c r="D774" s="5" t="s">
        <v>6634</v>
      </c>
      <c r="E774" s="8">
        <f>vlookup(B774,Filmes_final!$B$2:$U$1001,20,FALSE)</f>
        <v>81268321</v>
      </c>
      <c r="F774" s="5">
        <f>vlookup(B774,Filmes_final!$B$2:$U$1001,3,FALSE)</f>
        <v>1925</v>
      </c>
      <c r="G774" s="5" t="str">
        <f>vlookup(B774,Filmes_final!$B$2:$U$1001,13,FALSE)</f>
        <v>Charles Chaplin</v>
      </c>
    </row>
    <row r="775">
      <c r="A775" s="5">
        <v>194.0</v>
      </c>
      <c r="B775" s="5" t="s">
        <v>1358</v>
      </c>
      <c r="C775" s="5" t="s">
        <v>1360</v>
      </c>
      <c r="D775" s="5" t="s">
        <v>6635</v>
      </c>
      <c r="E775" s="8">
        <f>vlookup(B775,Filmes_final!$B$2:$U$1001,20,FALSE)</f>
        <v>81268321</v>
      </c>
      <c r="F775" s="5">
        <f>vlookup(B775,Filmes_final!$B$2:$U$1001,3,FALSE)</f>
        <v>1925</v>
      </c>
      <c r="G775" s="5" t="str">
        <f>vlookup(B775,Filmes_final!$B$2:$U$1001,13,FALSE)</f>
        <v>Charles Chaplin</v>
      </c>
    </row>
    <row r="776">
      <c r="A776" s="5">
        <v>194.0</v>
      </c>
      <c r="B776" s="5" t="s">
        <v>1358</v>
      </c>
      <c r="C776" s="5" t="s">
        <v>1361</v>
      </c>
      <c r="D776" s="5" t="s">
        <v>6636</v>
      </c>
      <c r="E776" s="8">
        <f>vlookup(B776,Filmes_final!$B$2:$U$1001,20,FALSE)</f>
        <v>81268321</v>
      </c>
      <c r="F776" s="5">
        <f>vlookup(B776,Filmes_final!$B$2:$U$1001,3,FALSE)</f>
        <v>1925</v>
      </c>
      <c r="G776" s="5" t="str">
        <f>vlookup(B776,Filmes_final!$B$2:$U$1001,13,FALSE)</f>
        <v>Charles Chaplin</v>
      </c>
    </row>
    <row r="777">
      <c r="A777" s="5">
        <v>194.0</v>
      </c>
      <c r="B777" s="5" t="s">
        <v>1358</v>
      </c>
      <c r="C777" s="5" t="s">
        <v>420</v>
      </c>
      <c r="D777" s="5" t="s">
        <v>6637</v>
      </c>
      <c r="E777" s="8">
        <f>vlookup(B777,Filmes_final!$B$2:$U$1001,20,FALSE)</f>
        <v>81268321</v>
      </c>
      <c r="F777" s="5">
        <f>vlookup(B777,Filmes_final!$B$2:$U$1001,3,FALSE)</f>
        <v>1925</v>
      </c>
      <c r="G777" s="5" t="str">
        <f>vlookup(B777,Filmes_final!$B$2:$U$1001,13,FALSE)</f>
        <v>Charles Chaplin</v>
      </c>
    </row>
    <row r="778">
      <c r="A778" s="5">
        <v>195.0</v>
      </c>
      <c r="B778" s="5" t="s">
        <v>1362</v>
      </c>
      <c r="C778" s="5" t="s">
        <v>1365</v>
      </c>
      <c r="D778" s="5" t="s">
        <v>6634</v>
      </c>
      <c r="E778" s="8">
        <f>vlookup(B778,Filmes_final!$B$2:$U$1001,20,FALSE)</f>
        <v>14574243</v>
      </c>
      <c r="F778" s="5">
        <f>vlookup(B778,Filmes_final!$B$2:$U$1001,3,FALSE)</f>
        <v>1924</v>
      </c>
      <c r="G778" s="5" t="str">
        <f>vlookup(B778,Filmes_final!$B$2:$U$1001,13,FALSE)</f>
        <v>Buster Keaton</v>
      </c>
    </row>
    <row r="779">
      <c r="A779" s="5">
        <v>195.0</v>
      </c>
      <c r="B779" s="5" t="s">
        <v>1362</v>
      </c>
      <c r="C779" s="5" t="s">
        <v>1366</v>
      </c>
      <c r="D779" s="5" t="s">
        <v>6635</v>
      </c>
      <c r="E779" s="8">
        <f>vlookup(B779,Filmes_final!$B$2:$U$1001,20,FALSE)</f>
        <v>14574243</v>
      </c>
      <c r="F779" s="5">
        <f>vlookup(B779,Filmes_final!$B$2:$U$1001,3,FALSE)</f>
        <v>1924</v>
      </c>
      <c r="G779" s="5" t="str">
        <f>vlookup(B779,Filmes_final!$B$2:$U$1001,13,FALSE)</f>
        <v>Buster Keaton</v>
      </c>
    </row>
    <row r="780">
      <c r="A780" s="5">
        <v>195.0</v>
      </c>
      <c r="B780" s="5" t="s">
        <v>1362</v>
      </c>
      <c r="C780" s="5" t="s">
        <v>1367</v>
      </c>
      <c r="D780" s="5" t="s">
        <v>6636</v>
      </c>
      <c r="E780" s="8">
        <f>vlookup(B780,Filmes_final!$B$2:$U$1001,20,FALSE)</f>
        <v>14574243</v>
      </c>
      <c r="F780" s="5">
        <f>vlookup(B780,Filmes_final!$B$2:$U$1001,3,FALSE)</f>
        <v>1924</v>
      </c>
      <c r="G780" s="5" t="str">
        <f>vlookup(B780,Filmes_final!$B$2:$U$1001,13,FALSE)</f>
        <v>Buster Keaton</v>
      </c>
    </row>
    <row r="781">
      <c r="A781" s="5">
        <v>195.0</v>
      </c>
      <c r="B781" s="5" t="s">
        <v>1362</v>
      </c>
      <c r="C781" s="5" t="s">
        <v>1368</v>
      </c>
      <c r="D781" s="5" t="s">
        <v>6637</v>
      </c>
      <c r="E781" s="8">
        <f>vlookup(B781,Filmes_final!$B$2:$U$1001,20,FALSE)</f>
        <v>14574243</v>
      </c>
      <c r="F781" s="5">
        <f>vlookup(B781,Filmes_final!$B$2:$U$1001,3,FALSE)</f>
        <v>1924</v>
      </c>
      <c r="G781" s="5" t="str">
        <f>vlookup(B781,Filmes_final!$B$2:$U$1001,13,FALSE)</f>
        <v>Buster Keaton</v>
      </c>
    </row>
    <row r="782">
      <c r="A782" s="5">
        <v>196.0</v>
      </c>
      <c r="B782" s="5" t="s">
        <v>1369</v>
      </c>
      <c r="C782" s="5" t="s">
        <v>1372</v>
      </c>
      <c r="D782" s="5" t="s">
        <v>6634</v>
      </c>
      <c r="E782" s="8">
        <f>vlookup(B782,Filmes_final!$B$2:$U$1001,20,FALSE)</f>
        <v>3853345</v>
      </c>
      <c r="F782" s="5">
        <f>vlookup(B782,Filmes_final!$B$2:$U$1001,3,FALSE)</f>
        <v>2019</v>
      </c>
      <c r="G782" s="5" t="str">
        <f>vlookup(B782,Filmes_final!$B$2:$U$1001,13,FALSE)</f>
        <v>Céline Sciamma</v>
      </c>
    </row>
    <row r="783">
      <c r="A783" s="5">
        <v>196.0</v>
      </c>
      <c r="B783" s="5" t="s">
        <v>1369</v>
      </c>
      <c r="C783" s="5" t="s">
        <v>1373</v>
      </c>
      <c r="D783" s="5" t="s">
        <v>6635</v>
      </c>
      <c r="E783" s="8">
        <f>vlookup(B783,Filmes_final!$B$2:$U$1001,20,FALSE)</f>
        <v>3853345</v>
      </c>
      <c r="F783" s="5">
        <f>vlookup(B783,Filmes_final!$B$2:$U$1001,3,FALSE)</f>
        <v>2019</v>
      </c>
      <c r="G783" s="5" t="str">
        <f>vlookup(B783,Filmes_final!$B$2:$U$1001,13,FALSE)</f>
        <v>Céline Sciamma</v>
      </c>
    </row>
    <row r="784">
      <c r="A784" s="5">
        <v>196.0</v>
      </c>
      <c r="B784" s="5" t="s">
        <v>1369</v>
      </c>
      <c r="C784" s="5" t="s">
        <v>1374</v>
      </c>
      <c r="D784" s="5" t="s">
        <v>6636</v>
      </c>
      <c r="E784" s="8">
        <f>vlookup(B784,Filmes_final!$B$2:$U$1001,20,FALSE)</f>
        <v>3853345</v>
      </c>
      <c r="F784" s="5">
        <f>vlookup(B784,Filmes_final!$B$2:$U$1001,3,FALSE)</f>
        <v>2019</v>
      </c>
      <c r="G784" s="5" t="str">
        <f>vlookup(B784,Filmes_final!$B$2:$U$1001,13,FALSE)</f>
        <v>Céline Sciamma</v>
      </c>
    </row>
    <row r="785">
      <c r="A785" s="5">
        <v>196.0</v>
      </c>
      <c r="B785" s="5" t="s">
        <v>1369</v>
      </c>
      <c r="C785" s="5" t="s">
        <v>1375</v>
      </c>
      <c r="D785" s="5" t="s">
        <v>6637</v>
      </c>
      <c r="E785" s="8">
        <f>vlookup(B785,Filmes_final!$B$2:$U$1001,20,FALSE)</f>
        <v>3853345</v>
      </c>
      <c r="F785" s="5">
        <f>vlookup(B785,Filmes_final!$B$2:$U$1001,3,FALSE)</f>
        <v>2019</v>
      </c>
      <c r="G785" s="5" t="str">
        <f>vlookup(B785,Filmes_final!$B$2:$U$1001,13,FALSE)</f>
        <v>Céline Sciamma</v>
      </c>
    </row>
    <row r="786">
      <c r="A786" s="5">
        <v>197.0</v>
      </c>
      <c r="B786" s="5" t="s">
        <v>1376</v>
      </c>
      <c r="C786" s="5" t="s">
        <v>1380</v>
      </c>
      <c r="D786" s="5" t="s">
        <v>6634</v>
      </c>
      <c r="E786" s="8">
        <f>vlookup(B786,Filmes_final!$B$2:$U$1001,20,FALSE)</f>
        <v>1351532</v>
      </c>
      <c r="F786" s="5">
        <f>vlookup(B786,Filmes_final!$B$2:$U$1001,3,FALSE)</f>
        <v>2016</v>
      </c>
      <c r="G786" s="5" t="str">
        <f>vlookup(B786,Filmes_final!$B$2:$U$1001,13,FALSE)</f>
        <v>Aniruddha Roy Chowdhury</v>
      </c>
    </row>
    <row r="787">
      <c r="A787" s="5">
        <v>197.0</v>
      </c>
      <c r="B787" s="5" t="s">
        <v>1376</v>
      </c>
      <c r="C787" s="5" t="s">
        <v>592</v>
      </c>
      <c r="D787" s="5" t="s">
        <v>6635</v>
      </c>
      <c r="E787" s="8">
        <f>vlookup(B787,Filmes_final!$B$2:$U$1001,20,FALSE)</f>
        <v>1351532</v>
      </c>
      <c r="F787" s="5">
        <f>vlookup(B787,Filmes_final!$B$2:$U$1001,3,FALSE)</f>
        <v>2016</v>
      </c>
      <c r="G787" s="5" t="str">
        <f>vlookup(B787,Filmes_final!$B$2:$U$1001,13,FALSE)</f>
        <v>Aniruddha Roy Chowdhury</v>
      </c>
    </row>
    <row r="788">
      <c r="A788" s="5">
        <v>197.0</v>
      </c>
      <c r="B788" s="5" t="s">
        <v>1376</v>
      </c>
      <c r="C788" s="5" t="s">
        <v>1381</v>
      </c>
      <c r="D788" s="5" t="s">
        <v>6636</v>
      </c>
      <c r="E788" s="8">
        <f>vlookup(B788,Filmes_final!$B$2:$U$1001,20,FALSE)</f>
        <v>1351532</v>
      </c>
      <c r="F788" s="5">
        <f>vlookup(B788,Filmes_final!$B$2:$U$1001,3,FALSE)</f>
        <v>2016</v>
      </c>
      <c r="G788" s="5" t="str">
        <f>vlookup(B788,Filmes_final!$B$2:$U$1001,13,FALSE)</f>
        <v>Aniruddha Roy Chowdhury</v>
      </c>
    </row>
    <row r="789">
      <c r="A789" s="5">
        <v>197.0</v>
      </c>
      <c r="B789" s="5" t="s">
        <v>1376</v>
      </c>
      <c r="C789" s="5" t="s">
        <v>1382</v>
      </c>
      <c r="D789" s="5" t="s">
        <v>6637</v>
      </c>
      <c r="E789" s="8">
        <f>vlookup(B789,Filmes_final!$B$2:$U$1001,20,FALSE)</f>
        <v>1351532</v>
      </c>
      <c r="F789" s="5">
        <f>vlookup(B789,Filmes_final!$B$2:$U$1001,3,FALSE)</f>
        <v>2016</v>
      </c>
      <c r="G789" s="5" t="str">
        <f>vlookup(B789,Filmes_final!$B$2:$U$1001,13,FALSE)</f>
        <v>Aniruddha Roy Chowdhury</v>
      </c>
    </row>
    <row r="790">
      <c r="A790" s="5">
        <v>198.0</v>
      </c>
      <c r="B790" s="5" t="s">
        <v>1383</v>
      </c>
      <c r="C790" s="5" t="s">
        <v>209</v>
      </c>
      <c r="D790" s="5" t="s">
        <v>6634</v>
      </c>
      <c r="E790" s="8">
        <f>vlookup(B790,Filmes_final!$B$2:$U$1001,20,FALSE)</f>
        <v>33231202</v>
      </c>
      <c r="F790" s="5">
        <f>vlookup(B790,Filmes_final!$B$2:$U$1001,3,FALSE)</f>
        <v>2016</v>
      </c>
      <c r="G790" s="5" t="str">
        <f>vlookup(B790,Filmes_final!$B$2:$U$1001,13,FALSE)</f>
        <v>Naoko Yamada</v>
      </c>
    </row>
    <row r="791">
      <c r="A791" s="5">
        <v>198.0</v>
      </c>
      <c r="B791" s="5" t="s">
        <v>1383</v>
      </c>
      <c r="C791" s="5" t="s">
        <v>1387</v>
      </c>
      <c r="D791" s="5" t="s">
        <v>6635</v>
      </c>
      <c r="E791" s="8">
        <f>vlookup(B791,Filmes_final!$B$2:$U$1001,20,FALSE)</f>
        <v>33231202</v>
      </c>
      <c r="F791" s="5">
        <f>vlookup(B791,Filmes_final!$B$2:$U$1001,3,FALSE)</f>
        <v>2016</v>
      </c>
      <c r="G791" s="5" t="str">
        <f>vlookup(B791,Filmes_final!$B$2:$U$1001,13,FALSE)</f>
        <v>Naoko Yamada</v>
      </c>
    </row>
    <row r="792">
      <c r="A792" s="5">
        <v>198.0</v>
      </c>
      <c r="B792" s="5" t="s">
        <v>1383</v>
      </c>
      <c r="C792" s="5" t="s">
        <v>456</v>
      </c>
      <c r="D792" s="5" t="s">
        <v>6636</v>
      </c>
      <c r="E792" s="8">
        <f>vlookup(B792,Filmes_final!$B$2:$U$1001,20,FALSE)</f>
        <v>33231202</v>
      </c>
      <c r="F792" s="5">
        <f>vlookup(B792,Filmes_final!$B$2:$U$1001,3,FALSE)</f>
        <v>2016</v>
      </c>
      <c r="G792" s="5" t="str">
        <f>vlookup(B792,Filmes_final!$B$2:$U$1001,13,FALSE)</f>
        <v>Naoko Yamada</v>
      </c>
    </row>
    <row r="793">
      <c r="A793" s="5">
        <v>198.0</v>
      </c>
      <c r="B793" s="5" t="s">
        <v>1383</v>
      </c>
      <c r="C793" s="5" t="s">
        <v>1388</v>
      </c>
      <c r="D793" s="5" t="s">
        <v>6637</v>
      </c>
      <c r="E793" s="8">
        <f>vlookup(B793,Filmes_final!$B$2:$U$1001,20,FALSE)</f>
        <v>33231202</v>
      </c>
      <c r="F793" s="5">
        <f>vlookup(B793,Filmes_final!$B$2:$U$1001,3,FALSE)</f>
        <v>2016</v>
      </c>
      <c r="G793" s="5" t="str">
        <f>vlookup(B793,Filmes_final!$B$2:$U$1001,13,FALSE)</f>
        <v>Naoko Yamada</v>
      </c>
    </row>
    <row r="794">
      <c r="A794" s="5">
        <v>199.0</v>
      </c>
      <c r="B794" s="5" t="s">
        <v>1389</v>
      </c>
      <c r="C794" s="5" t="s">
        <v>1393</v>
      </c>
      <c r="D794" s="5" t="s">
        <v>6634</v>
      </c>
      <c r="E794" s="8">
        <f>vlookup(B794,Filmes_final!$B$2:$U$1001,20,FALSE)</f>
        <v>0</v>
      </c>
      <c r="F794" s="5">
        <f>vlookup(B794,Filmes_final!$B$2:$U$1001,3,FALSE)</f>
        <v>2016</v>
      </c>
      <c r="G794" s="5" t="str">
        <f>vlookup(B794,Filmes_final!$B$2:$U$1001,13,FALSE)</f>
        <v>Oriol Paulo</v>
      </c>
    </row>
    <row r="795">
      <c r="A795" s="5">
        <v>199.0</v>
      </c>
      <c r="B795" s="5" t="s">
        <v>1389</v>
      </c>
      <c r="C795" s="5" t="s">
        <v>1394</v>
      </c>
      <c r="D795" s="5" t="s">
        <v>6635</v>
      </c>
      <c r="E795" s="8">
        <f>vlookup(B795,Filmes_final!$B$2:$U$1001,20,FALSE)</f>
        <v>0</v>
      </c>
      <c r="F795" s="5">
        <f>vlookup(B795,Filmes_final!$B$2:$U$1001,3,FALSE)</f>
        <v>2016</v>
      </c>
      <c r="G795" s="5" t="str">
        <f>vlookup(B795,Filmes_final!$B$2:$U$1001,13,FALSE)</f>
        <v>Oriol Paulo</v>
      </c>
    </row>
    <row r="796">
      <c r="A796" s="5">
        <v>199.0</v>
      </c>
      <c r="B796" s="5" t="s">
        <v>1389</v>
      </c>
      <c r="C796" s="5" t="s">
        <v>1395</v>
      </c>
      <c r="D796" s="5" t="s">
        <v>6636</v>
      </c>
      <c r="E796" s="8">
        <f>vlookup(B796,Filmes_final!$B$2:$U$1001,20,FALSE)</f>
        <v>0</v>
      </c>
      <c r="F796" s="5">
        <f>vlookup(B796,Filmes_final!$B$2:$U$1001,3,FALSE)</f>
        <v>2016</v>
      </c>
      <c r="G796" s="5" t="str">
        <f>vlookup(B796,Filmes_final!$B$2:$U$1001,13,FALSE)</f>
        <v>Oriol Paulo</v>
      </c>
    </row>
    <row r="797">
      <c r="A797" s="5">
        <v>199.0</v>
      </c>
      <c r="B797" s="5" t="s">
        <v>1389</v>
      </c>
      <c r="C797" s="5" t="s">
        <v>1396</v>
      </c>
      <c r="D797" s="5" t="s">
        <v>6637</v>
      </c>
      <c r="E797" s="8">
        <f>vlookup(B797,Filmes_final!$B$2:$U$1001,20,FALSE)</f>
        <v>0</v>
      </c>
      <c r="F797" s="5">
        <f>vlookup(B797,Filmes_final!$B$2:$U$1001,3,FALSE)</f>
        <v>2016</v>
      </c>
      <c r="G797" s="5" t="str">
        <f>vlookup(B797,Filmes_final!$B$2:$U$1001,13,FALSE)</f>
        <v>Oriol Paulo</v>
      </c>
    </row>
    <row r="798">
      <c r="A798" s="5">
        <v>200.0</v>
      </c>
      <c r="B798" s="5" t="s">
        <v>1397</v>
      </c>
      <c r="C798" s="5" t="s">
        <v>1401</v>
      </c>
      <c r="D798" s="5" t="s">
        <v>6634</v>
      </c>
      <c r="E798" s="8">
        <f>vlookup(B798,Filmes_final!$B$2:$U$1001,20,FALSE)</f>
        <v>2185134</v>
      </c>
      <c r="F798" s="5">
        <f>vlookup(B798,Filmes_final!$B$2:$U$1001,3,FALSE)</f>
        <v>2016</v>
      </c>
      <c r="G798" s="5" t="str">
        <f>vlookup(B798,Filmes_final!$B$2:$U$1001,13,FALSE)</f>
        <v>Chan-wook Park</v>
      </c>
    </row>
    <row r="799">
      <c r="A799" s="5">
        <v>200.0</v>
      </c>
      <c r="B799" s="5" t="s">
        <v>1397</v>
      </c>
      <c r="C799" s="5" t="s">
        <v>1402</v>
      </c>
      <c r="D799" s="5" t="s">
        <v>6635</v>
      </c>
      <c r="E799" s="8">
        <f>vlookup(B799,Filmes_final!$B$2:$U$1001,20,FALSE)</f>
        <v>2185134</v>
      </c>
      <c r="F799" s="5">
        <f>vlookup(B799,Filmes_final!$B$2:$U$1001,3,FALSE)</f>
        <v>2016</v>
      </c>
      <c r="G799" s="5" t="str">
        <f>vlookup(B799,Filmes_final!$B$2:$U$1001,13,FALSE)</f>
        <v>Chan-wook Park</v>
      </c>
    </row>
    <row r="800">
      <c r="A800" s="5">
        <v>200.0</v>
      </c>
      <c r="B800" s="5" t="s">
        <v>1397</v>
      </c>
      <c r="C800" s="5" t="s">
        <v>1403</v>
      </c>
      <c r="D800" s="5" t="s">
        <v>6636</v>
      </c>
      <c r="E800" s="8">
        <f>vlookup(B800,Filmes_final!$B$2:$U$1001,20,FALSE)</f>
        <v>2185134</v>
      </c>
      <c r="F800" s="5">
        <f>vlookup(B800,Filmes_final!$B$2:$U$1001,3,FALSE)</f>
        <v>2016</v>
      </c>
      <c r="G800" s="5" t="str">
        <f>vlookup(B800,Filmes_final!$B$2:$U$1001,13,FALSE)</f>
        <v>Chan-wook Park</v>
      </c>
    </row>
    <row r="801">
      <c r="A801" s="5">
        <v>200.0</v>
      </c>
      <c r="B801" s="5" t="s">
        <v>1397</v>
      </c>
      <c r="C801" s="5" t="s">
        <v>1404</v>
      </c>
      <c r="D801" s="5" t="s">
        <v>6637</v>
      </c>
      <c r="E801" s="8">
        <f>vlookup(B801,Filmes_final!$B$2:$U$1001,20,FALSE)</f>
        <v>2185134</v>
      </c>
      <c r="F801" s="5">
        <f>vlookup(B801,Filmes_final!$B$2:$U$1001,3,FALSE)</f>
        <v>2016</v>
      </c>
      <c r="G801" s="5" t="str">
        <f>vlookup(B801,Filmes_final!$B$2:$U$1001,13,FALSE)</f>
        <v>Chan-wook Park</v>
      </c>
    </row>
    <row r="802">
      <c r="A802" s="5">
        <v>201.0</v>
      </c>
      <c r="B802" s="5" t="s">
        <v>1405</v>
      </c>
      <c r="C802" s="5" t="s">
        <v>1408</v>
      </c>
      <c r="D802" s="5" t="s">
        <v>6634</v>
      </c>
      <c r="E802" s="8">
        <f>vlookup(B802,Filmes_final!$B$2:$U$1001,20,FALSE)</f>
        <v>3851935</v>
      </c>
      <c r="F802" s="5">
        <f>vlookup(B802,Filmes_final!$B$2:$U$1001,3,FALSE)</f>
        <v>2014</v>
      </c>
      <c r="G802" s="5" t="str">
        <f>vlookup(B802,Filmes_final!$B$2:$U$1001,13,FALSE)</f>
        <v>Xavier Dolan</v>
      </c>
    </row>
    <row r="803">
      <c r="A803" s="5">
        <v>201.0</v>
      </c>
      <c r="B803" s="5" t="s">
        <v>1405</v>
      </c>
      <c r="C803" s="5" t="s">
        <v>1409</v>
      </c>
      <c r="D803" s="5" t="s">
        <v>6635</v>
      </c>
      <c r="E803" s="8">
        <f>vlookup(B803,Filmes_final!$B$2:$U$1001,20,FALSE)</f>
        <v>3851935</v>
      </c>
      <c r="F803" s="5">
        <f>vlookup(B803,Filmes_final!$B$2:$U$1001,3,FALSE)</f>
        <v>2014</v>
      </c>
      <c r="G803" s="5" t="str">
        <f>vlookup(B803,Filmes_final!$B$2:$U$1001,13,FALSE)</f>
        <v>Xavier Dolan</v>
      </c>
    </row>
    <row r="804">
      <c r="A804" s="5">
        <v>201.0</v>
      </c>
      <c r="B804" s="5" t="s">
        <v>1405</v>
      </c>
      <c r="C804" s="5" t="s">
        <v>1410</v>
      </c>
      <c r="D804" s="5" t="s">
        <v>6636</v>
      </c>
      <c r="E804" s="8">
        <f>vlookup(B804,Filmes_final!$B$2:$U$1001,20,FALSE)</f>
        <v>3851935</v>
      </c>
      <c r="F804" s="5">
        <f>vlookup(B804,Filmes_final!$B$2:$U$1001,3,FALSE)</f>
        <v>2014</v>
      </c>
      <c r="G804" s="5" t="str">
        <f>vlookup(B804,Filmes_final!$B$2:$U$1001,13,FALSE)</f>
        <v>Xavier Dolan</v>
      </c>
    </row>
    <row r="805">
      <c r="A805" s="5">
        <v>201.0</v>
      </c>
      <c r="B805" s="5" t="s">
        <v>1405</v>
      </c>
      <c r="C805" s="5" t="s">
        <v>1411</v>
      </c>
      <c r="D805" s="5" t="s">
        <v>6637</v>
      </c>
      <c r="E805" s="8">
        <f>vlookup(B805,Filmes_final!$B$2:$U$1001,20,FALSE)</f>
        <v>3851935</v>
      </c>
      <c r="F805" s="5">
        <f>vlookup(B805,Filmes_final!$B$2:$U$1001,3,FALSE)</f>
        <v>2014</v>
      </c>
      <c r="G805" s="5" t="str">
        <f>vlookup(B805,Filmes_final!$B$2:$U$1001,13,FALSE)</f>
        <v>Xavier Dolan</v>
      </c>
    </row>
    <row r="806">
      <c r="A806" s="5">
        <v>202.0</v>
      </c>
      <c r="B806" s="5" t="s">
        <v>1412</v>
      </c>
      <c r="C806" s="5" t="s">
        <v>1416</v>
      </c>
      <c r="D806" s="5" t="s">
        <v>6634</v>
      </c>
      <c r="E806" s="8">
        <f>vlookup(B806,Filmes_final!$B$2:$U$1001,20,FALSE)</f>
        <v>994328</v>
      </c>
      <c r="F806" s="5">
        <f>vlookup(B806,Filmes_final!$B$2:$U$1001,3,FALSE)</f>
        <v>2014</v>
      </c>
      <c r="G806" s="5" t="str">
        <f>vlookup(B806,Filmes_final!$B$2:$U$1001,13,FALSE)</f>
        <v>Vishal Bhardwaj</v>
      </c>
    </row>
    <row r="807">
      <c r="A807" s="5">
        <v>202.0</v>
      </c>
      <c r="B807" s="5" t="s">
        <v>1412</v>
      </c>
      <c r="C807" s="5" t="s">
        <v>660</v>
      </c>
      <c r="D807" s="5" t="s">
        <v>6635</v>
      </c>
      <c r="E807" s="8">
        <f>vlookup(B807,Filmes_final!$B$2:$U$1001,20,FALSE)</f>
        <v>994328</v>
      </c>
      <c r="F807" s="5">
        <f>vlookup(B807,Filmes_final!$B$2:$U$1001,3,FALSE)</f>
        <v>2014</v>
      </c>
      <c r="G807" s="5" t="str">
        <f>vlookup(B807,Filmes_final!$B$2:$U$1001,13,FALSE)</f>
        <v>Vishal Bhardwaj</v>
      </c>
    </row>
    <row r="808">
      <c r="A808" s="5">
        <v>202.0</v>
      </c>
      <c r="B808" s="5" t="s">
        <v>1412</v>
      </c>
      <c r="C808" s="5" t="s">
        <v>943</v>
      </c>
      <c r="D808" s="5" t="s">
        <v>6636</v>
      </c>
      <c r="E808" s="8">
        <f>vlookup(B808,Filmes_final!$B$2:$U$1001,20,FALSE)</f>
        <v>994328</v>
      </c>
      <c r="F808" s="5">
        <f>vlookup(B808,Filmes_final!$B$2:$U$1001,3,FALSE)</f>
        <v>2014</v>
      </c>
      <c r="G808" s="5" t="str">
        <f>vlookup(B808,Filmes_final!$B$2:$U$1001,13,FALSE)</f>
        <v>Vishal Bhardwaj</v>
      </c>
    </row>
    <row r="809">
      <c r="A809" s="5">
        <v>202.0</v>
      </c>
      <c r="B809" s="5" t="s">
        <v>1412</v>
      </c>
      <c r="C809" s="5" t="s">
        <v>1417</v>
      </c>
      <c r="D809" s="5" t="s">
        <v>6637</v>
      </c>
      <c r="E809" s="8">
        <f>vlookup(B809,Filmes_final!$B$2:$U$1001,20,FALSE)</f>
        <v>994328</v>
      </c>
      <c r="F809" s="5">
        <f>vlookup(B809,Filmes_final!$B$2:$U$1001,3,FALSE)</f>
        <v>2014</v>
      </c>
      <c r="G809" s="5" t="str">
        <f>vlookup(B809,Filmes_final!$B$2:$U$1001,13,FALSE)</f>
        <v>Vishal Bhardwaj</v>
      </c>
    </row>
    <row r="810">
      <c r="A810" s="5">
        <v>203.0</v>
      </c>
      <c r="B810" s="5" t="s">
        <v>1418</v>
      </c>
      <c r="C810" s="5" t="s">
        <v>306</v>
      </c>
      <c r="D810" s="5" t="s">
        <v>6634</v>
      </c>
      <c r="E810" s="8">
        <f>vlookup(B810,Filmes_final!$B$2:$U$1001,20,FALSE)</f>
        <v>240377046</v>
      </c>
      <c r="F810" s="5">
        <f>vlookup(B810,Filmes_final!$B$2:$U$1001,3,FALSE)</f>
        <v>2017</v>
      </c>
      <c r="G810" s="5" t="str">
        <f>vlookup(B810,Filmes_final!$B$2:$U$1001,13,FALSE)</f>
        <v>James Mangold</v>
      </c>
    </row>
    <row r="811">
      <c r="A811" s="5">
        <v>203.0</v>
      </c>
      <c r="B811" s="5" t="s">
        <v>1418</v>
      </c>
      <c r="C811" s="5" t="s">
        <v>1421</v>
      </c>
      <c r="D811" s="5" t="s">
        <v>6635</v>
      </c>
      <c r="E811" s="8">
        <f>vlookup(B811,Filmes_final!$B$2:$U$1001,20,FALSE)</f>
        <v>240377046</v>
      </c>
      <c r="F811" s="5">
        <f>vlookup(B811,Filmes_final!$B$2:$U$1001,3,FALSE)</f>
        <v>2017</v>
      </c>
      <c r="G811" s="5" t="str">
        <f>vlookup(B811,Filmes_final!$B$2:$U$1001,13,FALSE)</f>
        <v>James Mangold</v>
      </c>
    </row>
    <row r="812">
      <c r="A812" s="5">
        <v>203.0</v>
      </c>
      <c r="B812" s="5" t="s">
        <v>1418</v>
      </c>
      <c r="C812" s="5" t="s">
        <v>1422</v>
      </c>
      <c r="D812" s="5" t="s">
        <v>6636</v>
      </c>
      <c r="E812" s="8">
        <f>vlookup(B812,Filmes_final!$B$2:$U$1001,20,FALSE)</f>
        <v>240377046</v>
      </c>
      <c r="F812" s="5">
        <f>vlookup(B812,Filmes_final!$B$2:$U$1001,3,FALSE)</f>
        <v>2017</v>
      </c>
      <c r="G812" s="5" t="str">
        <f>vlookup(B812,Filmes_final!$B$2:$U$1001,13,FALSE)</f>
        <v>James Mangold</v>
      </c>
    </row>
    <row r="813">
      <c r="A813" s="5">
        <v>203.0</v>
      </c>
      <c r="B813" s="5" t="s">
        <v>1418</v>
      </c>
      <c r="C813" s="5" t="s">
        <v>1423</v>
      </c>
      <c r="D813" s="5" t="s">
        <v>6637</v>
      </c>
      <c r="E813" s="8">
        <f>vlookup(B813,Filmes_final!$B$2:$U$1001,20,FALSE)</f>
        <v>240377046</v>
      </c>
      <c r="F813" s="5">
        <f>vlookup(B813,Filmes_final!$B$2:$U$1001,3,FALSE)</f>
        <v>2017</v>
      </c>
      <c r="G813" s="5" t="str">
        <f>vlookup(B813,Filmes_final!$B$2:$U$1001,13,FALSE)</f>
        <v>James Mangold</v>
      </c>
    </row>
    <row r="814">
      <c r="A814" s="5">
        <v>204.0</v>
      </c>
      <c r="B814" s="5" t="s">
        <v>1424</v>
      </c>
      <c r="C814" s="5" t="s">
        <v>1427</v>
      </c>
      <c r="D814" s="5" t="s">
        <v>6634</v>
      </c>
      <c r="E814" s="8">
        <f>vlookup(B814,Filmes_final!$B$2:$U$1001,20,FALSE)</f>
        <v>16201544</v>
      </c>
      <c r="F814" s="5">
        <f>vlookup(B814,Filmes_final!$B$2:$U$1001,3,FALSE)</f>
        <v>2015</v>
      </c>
      <c r="G814" s="5" t="str">
        <f>vlookup(B814,Filmes_final!$B$2:$U$1001,13,FALSE)</f>
        <v>Lenny Abrahamson</v>
      </c>
    </row>
    <row r="815">
      <c r="A815" s="5">
        <v>204.0</v>
      </c>
      <c r="B815" s="5" t="s">
        <v>1424</v>
      </c>
      <c r="C815" s="5" t="s">
        <v>1428</v>
      </c>
      <c r="D815" s="5" t="s">
        <v>6635</v>
      </c>
      <c r="E815" s="8">
        <f>vlookup(B815,Filmes_final!$B$2:$U$1001,20,FALSE)</f>
        <v>16201544</v>
      </c>
      <c r="F815" s="5">
        <f>vlookup(B815,Filmes_final!$B$2:$U$1001,3,FALSE)</f>
        <v>2015</v>
      </c>
      <c r="G815" s="5" t="str">
        <f>vlookup(B815,Filmes_final!$B$2:$U$1001,13,FALSE)</f>
        <v>Lenny Abrahamson</v>
      </c>
    </row>
    <row r="816">
      <c r="A816" s="5">
        <v>204.0</v>
      </c>
      <c r="B816" s="5" t="s">
        <v>1424</v>
      </c>
      <c r="C816" s="5" t="s">
        <v>1429</v>
      </c>
      <c r="D816" s="5" t="s">
        <v>6636</v>
      </c>
      <c r="E816" s="8">
        <f>vlookup(B816,Filmes_final!$B$2:$U$1001,20,FALSE)</f>
        <v>16201544</v>
      </c>
      <c r="F816" s="5">
        <f>vlookup(B816,Filmes_final!$B$2:$U$1001,3,FALSE)</f>
        <v>2015</v>
      </c>
      <c r="G816" s="5" t="str">
        <f>vlookup(B816,Filmes_final!$B$2:$U$1001,13,FALSE)</f>
        <v>Lenny Abrahamson</v>
      </c>
    </row>
    <row r="817">
      <c r="A817" s="5">
        <v>204.0</v>
      </c>
      <c r="B817" s="5" t="s">
        <v>1424</v>
      </c>
      <c r="C817" s="5" t="s">
        <v>1430</v>
      </c>
      <c r="D817" s="5" t="s">
        <v>6637</v>
      </c>
      <c r="E817" s="8">
        <f>vlookup(B817,Filmes_final!$B$2:$U$1001,20,FALSE)</f>
        <v>16201544</v>
      </c>
      <c r="F817" s="5">
        <f>vlookup(B817,Filmes_final!$B$2:$U$1001,3,FALSE)</f>
        <v>2015</v>
      </c>
      <c r="G817" s="5" t="str">
        <f>vlookup(B817,Filmes_final!$B$2:$U$1001,13,FALSE)</f>
        <v>Lenny Abrahamson</v>
      </c>
    </row>
    <row r="818">
      <c r="A818" s="5">
        <v>205.0</v>
      </c>
      <c r="B818" s="5" t="s">
        <v>1431</v>
      </c>
      <c r="C818" s="5" t="s">
        <v>1434</v>
      </c>
      <c r="D818" s="5" t="s">
        <v>6634</v>
      </c>
      <c r="E818" s="8">
        <f>vlookup(B818,Filmes_final!$B$2:$U$1001,20,FALSE)</f>
        <v>3426591</v>
      </c>
      <c r="F818" s="5">
        <f>vlookup(B818,Filmes_final!$B$2:$U$1001,3,FALSE)</f>
        <v>2014</v>
      </c>
      <c r="G818" s="5" t="str">
        <f>vlookup(B818,Filmes_final!$B$2:$U$1001,13,FALSE)</f>
        <v>Damián Szifron</v>
      </c>
    </row>
    <row r="819">
      <c r="A819" s="5">
        <v>205.0</v>
      </c>
      <c r="B819" s="5" t="s">
        <v>1431</v>
      </c>
      <c r="C819" s="5" t="s">
        <v>1435</v>
      </c>
      <c r="D819" s="5" t="s">
        <v>6635</v>
      </c>
      <c r="E819" s="8">
        <f>vlookup(B819,Filmes_final!$B$2:$U$1001,20,FALSE)</f>
        <v>3426591</v>
      </c>
      <c r="F819" s="5">
        <f>vlookup(B819,Filmes_final!$B$2:$U$1001,3,FALSE)</f>
        <v>2014</v>
      </c>
      <c r="G819" s="5" t="str">
        <f>vlookup(B819,Filmes_final!$B$2:$U$1001,13,FALSE)</f>
        <v>Damián Szifron</v>
      </c>
    </row>
    <row r="820">
      <c r="A820" s="5">
        <v>205.0</v>
      </c>
      <c r="B820" s="5" t="s">
        <v>1431</v>
      </c>
      <c r="C820" s="5" t="s">
        <v>1436</v>
      </c>
      <c r="D820" s="5" t="s">
        <v>6636</v>
      </c>
      <c r="E820" s="8">
        <f>vlookup(B820,Filmes_final!$B$2:$U$1001,20,FALSE)</f>
        <v>3426591</v>
      </c>
      <c r="F820" s="5">
        <f>vlookup(B820,Filmes_final!$B$2:$U$1001,3,FALSE)</f>
        <v>2014</v>
      </c>
      <c r="G820" s="5" t="str">
        <f>vlookup(B820,Filmes_final!$B$2:$U$1001,13,FALSE)</f>
        <v>Damián Szifron</v>
      </c>
    </row>
    <row r="821">
      <c r="A821" s="5">
        <v>205.0</v>
      </c>
      <c r="B821" s="5" t="s">
        <v>1431</v>
      </c>
      <c r="C821" s="5" t="s">
        <v>1437</v>
      </c>
      <c r="D821" s="5" t="s">
        <v>6637</v>
      </c>
      <c r="E821" s="8">
        <f>vlookup(B821,Filmes_final!$B$2:$U$1001,20,FALSE)</f>
        <v>3426591</v>
      </c>
      <c r="F821" s="5">
        <f>vlookup(B821,Filmes_final!$B$2:$U$1001,3,FALSE)</f>
        <v>2014</v>
      </c>
      <c r="G821" s="5" t="str">
        <f>vlookup(B821,Filmes_final!$B$2:$U$1001,13,FALSE)</f>
        <v>Damián Szifron</v>
      </c>
    </row>
    <row r="822">
      <c r="A822" s="5">
        <v>206.0</v>
      </c>
      <c r="B822" s="5" t="s">
        <v>1438</v>
      </c>
      <c r="C822" s="5" t="s">
        <v>1441</v>
      </c>
      <c r="D822" s="5" t="s">
        <v>6634</v>
      </c>
      <c r="E822" s="8">
        <f>vlookup(B822,Filmes_final!$B$2:$U$1001,20,FALSE)</f>
        <v>120957731</v>
      </c>
      <c r="F822" s="5">
        <f>vlookup(B822,Filmes_final!$B$2:$U$1001,3,FALSE)</f>
        <v>2020</v>
      </c>
      <c r="G822" s="5" t="str">
        <f>vlookup(B822,Filmes_final!$B$2:$U$1001,13,FALSE)</f>
        <v>Pete Docter</v>
      </c>
    </row>
    <row r="823">
      <c r="A823" s="5">
        <v>206.0</v>
      </c>
      <c r="B823" s="5" t="s">
        <v>1438</v>
      </c>
      <c r="C823" s="5" t="s">
        <v>497</v>
      </c>
      <c r="D823" s="5" t="s">
        <v>6635</v>
      </c>
      <c r="E823" s="8">
        <f>vlookup(B823,Filmes_final!$B$2:$U$1001,20,FALSE)</f>
        <v>120957731</v>
      </c>
      <c r="F823" s="5">
        <f>vlookup(B823,Filmes_final!$B$2:$U$1001,3,FALSE)</f>
        <v>2020</v>
      </c>
      <c r="G823" s="5" t="str">
        <f>vlookup(B823,Filmes_final!$B$2:$U$1001,13,FALSE)</f>
        <v>Pete Docter</v>
      </c>
    </row>
    <row r="824">
      <c r="A824" s="5">
        <v>206.0</v>
      </c>
      <c r="B824" s="5" t="s">
        <v>1438</v>
      </c>
      <c r="C824" s="5" t="s">
        <v>1442</v>
      </c>
      <c r="D824" s="5" t="s">
        <v>6636</v>
      </c>
      <c r="E824" s="8">
        <f>vlookup(B824,Filmes_final!$B$2:$U$1001,20,FALSE)</f>
        <v>120957731</v>
      </c>
      <c r="F824" s="5">
        <f>vlookup(B824,Filmes_final!$B$2:$U$1001,3,FALSE)</f>
        <v>2020</v>
      </c>
      <c r="G824" s="5" t="str">
        <f>vlookup(B824,Filmes_final!$B$2:$U$1001,13,FALSE)</f>
        <v>Pete Docter</v>
      </c>
    </row>
    <row r="825">
      <c r="A825" s="5">
        <v>206.0</v>
      </c>
      <c r="B825" s="5" t="s">
        <v>1438</v>
      </c>
      <c r="C825" s="5" t="s">
        <v>1443</v>
      </c>
      <c r="D825" s="5" t="s">
        <v>6637</v>
      </c>
      <c r="E825" s="8">
        <f>vlookup(B825,Filmes_final!$B$2:$U$1001,20,FALSE)</f>
        <v>120957731</v>
      </c>
      <c r="F825" s="5">
        <f>vlookup(B825,Filmes_final!$B$2:$U$1001,3,FALSE)</f>
        <v>2020</v>
      </c>
      <c r="G825" s="5" t="str">
        <f>vlookup(B825,Filmes_final!$B$2:$U$1001,13,FALSE)</f>
        <v>Pete Docter</v>
      </c>
    </row>
    <row r="826">
      <c r="A826" s="5">
        <v>207.0</v>
      </c>
      <c r="B826" s="5" t="s">
        <v>1444</v>
      </c>
      <c r="C826" s="5" t="s">
        <v>1449</v>
      </c>
      <c r="D826" s="5" t="s">
        <v>6634</v>
      </c>
      <c r="E826" s="8">
        <f>vlookup(B826,Filmes_final!$B$2:$U$1001,20,FALSE)</f>
        <v>182541</v>
      </c>
      <c r="F826" s="5">
        <f>vlookup(B826,Filmes_final!$B$2:$U$1001,3,FALSE)</f>
        <v>2014</v>
      </c>
      <c r="G826" s="5" t="str">
        <f>vlookup(B826,Filmes_final!$B$2:$U$1001,13,FALSE)</f>
        <v>Nuri Bilge Ceylan</v>
      </c>
    </row>
    <row r="827">
      <c r="A827" s="5">
        <v>207.0</v>
      </c>
      <c r="B827" s="5" t="s">
        <v>1444</v>
      </c>
      <c r="C827" s="5" t="s">
        <v>1450</v>
      </c>
      <c r="D827" s="5" t="s">
        <v>6635</v>
      </c>
      <c r="E827" s="8">
        <f>vlookup(B827,Filmes_final!$B$2:$U$1001,20,FALSE)</f>
        <v>182541</v>
      </c>
      <c r="F827" s="5">
        <f>vlookup(B827,Filmes_final!$B$2:$U$1001,3,FALSE)</f>
        <v>2014</v>
      </c>
      <c r="G827" s="5" t="str">
        <f>vlookup(B827,Filmes_final!$B$2:$U$1001,13,FALSE)</f>
        <v>Nuri Bilge Ceylan</v>
      </c>
    </row>
    <row r="828">
      <c r="A828" s="5">
        <v>207.0</v>
      </c>
      <c r="B828" s="5" t="s">
        <v>1444</v>
      </c>
      <c r="C828" s="5" t="s">
        <v>1451</v>
      </c>
      <c r="D828" s="5" t="s">
        <v>6636</v>
      </c>
      <c r="E828" s="8">
        <f>vlookup(B828,Filmes_final!$B$2:$U$1001,20,FALSE)</f>
        <v>182541</v>
      </c>
      <c r="F828" s="5">
        <f>vlookup(B828,Filmes_final!$B$2:$U$1001,3,FALSE)</f>
        <v>2014</v>
      </c>
      <c r="G828" s="5" t="str">
        <f>vlookup(B828,Filmes_final!$B$2:$U$1001,13,FALSE)</f>
        <v>Nuri Bilge Ceylan</v>
      </c>
    </row>
    <row r="829">
      <c r="A829" s="5">
        <v>207.0</v>
      </c>
      <c r="B829" s="5" t="s">
        <v>1444</v>
      </c>
      <c r="C829" s="5" t="s">
        <v>1452</v>
      </c>
      <c r="D829" s="5" t="s">
        <v>6637</v>
      </c>
      <c r="E829" s="8">
        <f>vlookup(B829,Filmes_final!$B$2:$U$1001,20,FALSE)</f>
        <v>182541</v>
      </c>
      <c r="F829" s="5">
        <f>vlookup(B829,Filmes_final!$B$2:$U$1001,3,FALSE)</f>
        <v>2014</v>
      </c>
      <c r="G829" s="5" t="str">
        <f>vlookup(B829,Filmes_final!$B$2:$U$1001,13,FALSE)</f>
        <v>Nuri Bilge Ceylan</v>
      </c>
    </row>
    <row r="830">
      <c r="A830" s="5">
        <v>208.0</v>
      </c>
      <c r="B830" s="5" t="s">
        <v>1453</v>
      </c>
      <c r="C830" s="5" t="s">
        <v>461</v>
      </c>
      <c r="D830" s="5" t="s">
        <v>6634</v>
      </c>
      <c r="E830" s="8">
        <f>vlookup(B830,Filmes_final!$B$2:$U$1001,20,FALSE)</f>
        <v>11707822</v>
      </c>
      <c r="F830" s="5">
        <f>vlookup(B830,Filmes_final!$B$2:$U$1001,3,FALSE)</f>
        <v>2014</v>
      </c>
      <c r="G830" s="5" t="str">
        <f>vlookup(B830,Filmes_final!$B$2:$U$1001,13,FALSE)</f>
        <v>Rajkumar Hirani</v>
      </c>
    </row>
    <row r="831">
      <c r="A831" s="5">
        <v>208.0</v>
      </c>
      <c r="B831" s="5" t="s">
        <v>1453</v>
      </c>
      <c r="C831" s="5" t="s">
        <v>1456</v>
      </c>
      <c r="D831" s="5" t="s">
        <v>6635</v>
      </c>
      <c r="E831" s="8">
        <f>vlookup(B831,Filmes_final!$B$2:$U$1001,20,FALSE)</f>
        <v>11707822</v>
      </c>
      <c r="F831" s="5">
        <f>vlookup(B831,Filmes_final!$B$2:$U$1001,3,FALSE)</f>
        <v>2014</v>
      </c>
      <c r="G831" s="5" t="str">
        <f>vlookup(B831,Filmes_final!$B$2:$U$1001,13,FALSE)</f>
        <v>Rajkumar Hirani</v>
      </c>
    </row>
    <row r="832">
      <c r="A832" s="5">
        <v>208.0</v>
      </c>
      <c r="B832" s="5" t="s">
        <v>1453</v>
      </c>
      <c r="C832" s="5" t="s">
        <v>1457</v>
      </c>
      <c r="D832" s="5" t="s">
        <v>6636</v>
      </c>
      <c r="E832" s="8">
        <f>vlookup(B832,Filmes_final!$B$2:$U$1001,20,FALSE)</f>
        <v>11707822</v>
      </c>
      <c r="F832" s="5">
        <f>vlookup(B832,Filmes_final!$B$2:$U$1001,3,FALSE)</f>
        <v>2014</v>
      </c>
      <c r="G832" s="5" t="str">
        <f>vlookup(B832,Filmes_final!$B$2:$U$1001,13,FALSE)</f>
        <v>Rajkumar Hirani</v>
      </c>
    </row>
    <row r="833">
      <c r="A833" s="5">
        <v>208.0</v>
      </c>
      <c r="B833" s="5" t="s">
        <v>1453</v>
      </c>
      <c r="C833" s="5" t="s">
        <v>1458</v>
      </c>
      <c r="D833" s="5" t="s">
        <v>6637</v>
      </c>
      <c r="E833" s="8">
        <f>vlookup(B833,Filmes_final!$B$2:$U$1001,20,FALSE)</f>
        <v>11707822</v>
      </c>
      <c r="F833" s="5">
        <f>vlookup(B833,Filmes_final!$B$2:$U$1001,3,FALSE)</f>
        <v>2014</v>
      </c>
      <c r="G833" s="5" t="str">
        <f>vlookup(B833,Filmes_final!$B$2:$U$1001,13,FALSE)</f>
        <v>Rajkumar Hirani</v>
      </c>
    </row>
    <row r="834">
      <c r="A834" s="5">
        <v>209.0</v>
      </c>
      <c r="B834" s="5" t="s">
        <v>1459</v>
      </c>
      <c r="C834" s="5" t="s">
        <v>184</v>
      </c>
      <c r="D834" s="5" t="s">
        <v>6634</v>
      </c>
      <c r="E834" s="8">
        <f>vlookup(B834,Filmes_final!$B$2:$U$1001,20,FALSE)</f>
        <v>1050732</v>
      </c>
      <c r="F834" s="5">
        <f>vlookup(B834,Filmes_final!$B$2:$U$1001,3,FALSE)</f>
        <v>2012</v>
      </c>
      <c r="G834" s="5" t="str">
        <f>vlookup(B834,Filmes_final!$B$2:$U$1001,13,FALSE)</f>
        <v>Umesh Shukla</v>
      </c>
    </row>
    <row r="835">
      <c r="A835" s="5">
        <v>209.0</v>
      </c>
      <c r="B835" s="5" t="s">
        <v>1459</v>
      </c>
      <c r="C835" s="5" t="s">
        <v>1156</v>
      </c>
      <c r="D835" s="5" t="s">
        <v>6635</v>
      </c>
      <c r="E835" s="8">
        <f>vlookup(B835,Filmes_final!$B$2:$U$1001,20,FALSE)</f>
        <v>1050732</v>
      </c>
      <c r="F835" s="5">
        <f>vlookup(B835,Filmes_final!$B$2:$U$1001,3,FALSE)</f>
        <v>2012</v>
      </c>
      <c r="G835" s="5" t="str">
        <f>vlookup(B835,Filmes_final!$B$2:$U$1001,13,FALSE)</f>
        <v>Umesh Shukla</v>
      </c>
    </row>
    <row r="836">
      <c r="A836" s="5">
        <v>209.0</v>
      </c>
      <c r="B836" s="5" t="s">
        <v>1459</v>
      </c>
      <c r="C836" s="5" t="s">
        <v>1463</v>
      </c>
      <c r="D836" s="5" t="s">
        <v>6636</v>
      </c>
      <c r="E836" s="8">
        <f>vlookup(B836,Filmes_final!$B$2:$U$1001,20,FALSE)</f>
        <v>1050732</v>
      </c>
      <c r="F836" s="5">
        <f>vlookup(B836,Filmes_final!$B$2:$U$1001,3,FALSE)</f>
        <v>2012</v>
      </c>
      <c r="G836" s="5" t="str">
        <f>vlookup(B836,Filmes_final!$B$2:$U$1001,13,FALSE)</f>
        <v>Umesh Shukla</v>
      </c>
    </row>
    <row r="837">
      <c r="A837" s="5">
        <v>209.0</v>
      </c>
      <c r="B837" s="5" t="s">
        <v>1459</v>
      </c>
      <c r="C837" s="5" t="s">
        <v>1464</v>
      </c>
      <c r="D837" s="5" t="s">
        <v>6637</v>
      </c>
      <c r="E837" s="8">
        <f>vlookup(B837,Filmes_final!$B$2:$U$1001,20,FALSE)</f>
        <v>1050732</v>
      </c>
      <c r="F837" s="5">
        <f>vlookup(B837,Filmes_final!$B$2:$U$1001,3,FALSE)</f>
        <v>2012</v>
      </c>
      <c r="G837" s="5" t="str">
        <f>vlookup(B837,Filmes_final!$B$2:$U$1001,13,FALSE)</f>
        <v>Umesh Shukla</v>
      </c>
    </row>
    <row r="838">
      <c r="A838" s="5">
        <v>210.0</v>
      </c>
      <c r="B838" s="5" t="s">
        <v>1465</v>
      </c>
      <c r="C838" s="5" t="s">
        <v>83</v>
      </c>
      <c r="D838" s="5" t="s">
        <v>6634</v>
      </c>
      <c r="E838" s="8">
        <f>vlookup(B838,Filmes_final!$B$2:$U$1001,20,FALSE)</f>
        <v>65177962</v>
      </c>
      <c r="F838" s="5">
        <f>vlookup(B838,Filmes_final!$B$2:$U$1001,3,FALSE)</f>
        <v>2014</v>
      </c>
      <c r="G838" s="5" t="str">
        <f>vlookup(B838,Filmes_final!$B$2:$U$1001,13,FALSE)</f>
        <v>Wes Anderson</v>
      </c>
    </row>
    <row r="839">
      <c r="A839" s="5">
        <v>210.0</v>
      </c>
      <c r="B839" s="5" t="s">
        <v>1465</v>
      </c>
      <c r="C839" s="5" t="s">
        <v>803</v>
      </c>
      <c r="D839" s="5" t="s">
        <v>6635</v>
      </c>
      <c r="E839" s="8">
        <f>vlookup(B839,Filmes_final!$B$2:$U$1001,20,FALSE)</f>
        <v>65177962</v>
      </c>
      <c r="F839" s="5">
        <f>vlookup(B839,Filmes_final!$B$2:$U$1001,3,FALSE)</f>
        <v>2014</v>
      </c>
      <c r="G839" s="5" t="str">
        <f>vlookup(B839,Filmes_final!$B$2:$U$1001,13,FALSE)</f>
        <v>Wes Anderson</v>
      </c>
    </row>
    <row r="840">
      <c r="A840" s="5">
        <v>210.0</v>
      </c>
      <c r="B840" s="5" t="s">
        <v>1465</v>
      </c>
      <c r="C840" s="5" t="s">
        <v>1469</v>
      </c>
      <c r="D840" s="5" t="s">
        <v>6636</v>
      </c>
      <c r="E840" s="8">
        <f>vlookup(B840,Filmes_final!$B$2:$U$1001,20,FALSE)</f>
        <v>65177962</v>
      </c>
      <c r="F840" s="5">
        <f>vlookup(B840,Filmes_final!$B$2:$U$1001,3,FALSE)</f>
        <v>2014</v>
      </c>
      <c r="G840" s="5" t="str">
        <f>vlookup(B840,Filmes_final!$B$2:$U$1001,13,FALSE)</f>
        <v>Wes Anderson</v>
      </c>
    </row>
    <row r="841">
      <c r="A841" s="5">
        <v>210.0</v>
      </c>
      <c r="B841" s="5" t="s">
        <v>1465</v>
      </c>
      <c r="C841" s="5" t="s">
        <v>317</v>
      </c>
      <c r="D841" s="5" t="s">
        <v>6637</v>
      </c>
      <c r="E841" s="8">
        <f>vlookup(B841,Filmes_final!$B$2:$U$1001,20,FALSE)</f>
        <v>65177962</v>
      </c>
      <c r="F841" s="5">
        <f>vlookup(B841,Filmes_final!$B$2:$U$1001,3,FALSE)</f>
        <v>2014</v>
      </c>
      <c r="G841" s="5" t="str">
        <f>vlookup(B841,Filmes_final!$B$2:$U$1001,13,FALSE)</f>
        <v>Wes Anderson</v>
      </c>
    </row>
    <row r="842">
      <c r="A842" s="5">
        <v>211.0</v>
      </c>
      <c r="B842" s="5" t="s">
        <v>1470</v>
      </c>
      <c r="C842" s="5" t="s">
        <v>753</v>
      </c>
      <c r="D842" s="5" t="s">
        <v>6634</v>
      </c>
      <c r="E842" s="8">
        <f>vlookup(B842,Filmes_final!$B$2:$U$1001,20,FALSE)</f>
        <v>185019706</v>
      </c>
      <c r="F842" s="5">
        <f>vlookup(B842,Filmes_final!$B$2:$U$1001,3,FALSE)</f>
        <v>2014</v>
      </c>
      <c r="G842" s="5" t="str">
        <f>vlookup(B842,Filmes_final!$B$2:$U$1001,13,FALSE)</f>
        <v>David Fincher</v>
      </c>
    </row>
    <row r="843">
      <c r="A843" s="5">
        <v>211.0</v>
      </c>
      <c r="B843" s="5" t="s">
        <v>1470</v>
      </c>
      <c r="C843" s="5" t="s">
        <v>1472</v>
      </c>
      <c r="D843" s="5" t="s">
        <v>6635</v>
      </c>
      <c r="E843" s="8">
        <f>vlookup(B843,Filmes_final!$B$2:$U$1001,20,FALSE)</f>
        <v>185019706</v>
      </c>
      <c r="F843" s="5">
        <f>vlookup(B843,Filmes_final!$B$2:$U$1001,3,FALSE)</f>
        <v>2014</v>
      </c>
      <c r="G843" s="5" t="str">
        <f>vlookup(B843,Filmes_final!$B$2:$U$1001,13,FALSE)</f>
        <v>David Fincher</v>
      </c>
    </row>
    <row r="844">
      <c r="A844" s="5">
        <v>211.0</v>
      </c>
      <c r="B844" s="5" t="s">
        <v>1470</v>
      </c>
      <c r="C844" s="5" t="s">
        <v>1473</v>
      </c>
      <c r="D844" s="5" t="s">
        <v>6636</v>
      </c>
      <c r="E844" s="8">
        <f>vlookup(B844,Filmes_final!$B$2:$U$1001,20,FALSE)</f>
        <v>185019706</v>
      </c>
      <c r="F844" s="5">
        <f>vlookup(B844,Filmes_final!$B$2:$U$1001,3,FALSE)</f>
        <v>2014</v>
      </c>
      <c r="G844" s="5" t="str">
        <f>vlookup(B844,Filmes_final!$B$2:$U$1001,13,FALSE)</f>
        <v>David Fincher</v>
      </c>
    </row>
    <row r="845">
      <c r="A845" s="5">
        <v>211.0</v>
      </c>
      <c r="B845" s="5" t="s">
        <v>1470</v>
      </c>
      <c r="C845" s="5" t="s">
        <v>1474</v>
      </c>
      <c r="D845" s="5" t="s">
        <v>6637</v>
      </c>
      <c r="E845" s="8">
        <f>vlookup(B845,Filmes_final!$B$2:$U$1001,20,FALSE)</f>
        <v>185019706</v>
      </c>
      <c r="F845" s="5">
        <f>vlookup(B845,Filmes_final!$B$2:$U$1001,3,FALSE)</f>
        <v>2014</v>
      </c>
      <c r="G845" s="5" t="str">
        <f>vlookup(B845,Filmes_final!$B$2:$U$1001,13,FALSE)</f>
        <v>David Fincher</v>
      </c>
    </row>
    <row r="846">
      <c r="A846" s="5">
        <v>212.0</v>
      </c>
      <c r="B846" s="5" t="s">
        <v>1475</v>
      </c>
      <c r="C846" s="5" t="s">
        <v>1478</v>
      </c>
      <c r="D846" s="5" t="s">
        <v>6634</v>
      </c>
      <c r="E846" s="8">
        <f>vlookup(B846,Filmes_final!$B$2:$U$1001,20,FALSE)</f>
        <v>62665404</v>
      </c>
      <c r="F846" s="5">
        <f>vlookup(B846,Filmes_final!$B$2:$U$1001,3,FALSE)</f>
        <v>2012</v>
      </c>
      <c r="G846" s="5" t="str">
        <f>vlookup(B846,Filmes_final!$B$2:$U$1001,13,FALSE)</f>
        <v>Mamoru Hosoda</v>
      </c>
    </row>
    <row r="847">
      <c r="A847" s="5">
        <v>212.0</v>
      </c>
      <c r="B847" s="5" t="s">
        <v>1475</v>
      </c>
      <c r="C847" s="5" t="s">
        <v>1479</v>
      </c>
      <c r="D847" s="5" t="s">
        <v>6635</v>
      </c>
      <c r="E847" s="8">
        <f>vlookup(B847,Filmes_final!$B$2:$U$1001,20,FALSE)</f>
        <v>62665404</v>
      </c>
      <c r="F847" s="5">
        <f>vlookup(B847,Filmes_final!$B$2:$U$1001,3,FALSE)</f>
        <v>2012</v>
      </c>
      <c r="G847" s="5" t="str">
        <f>vlookup(B847,Filmes_final!$B$2:$U$1001,13,FALSE)</f>
        <v>Mamoru Hosoda</v>
      </c>
    </row>
    <row r="848">
      <c r="A848" s="5">
        <v>212.0</v>
      </c>
      <c r="B848" s="5" t="s">
        <v>1475</v>
      </c>
      <c r="C848" s="5" t="s">
        <v>1480</v>
      </c>
      <c r="D848" s="5" t="s">
        <v>6636</v>
      </c>
      <c r="E848" s="8">
        <f>vlookup(B848,Filmes_final!$B$2:$U$1001,20,FALSE)</f>
        <v>62665404</v>
      </c>
      <c r="F848" s="5">
        <f>vlookup(B848,Filmes_final!$B$2:$U$1001,3,FALSE)</f>
        <v>2012</v>
      </c>
      <c r="G848" s="5" t="str">
        <f>vlookup(B848,Filmes_final!$B$2:$U$1001,13,FALSE)</f>
        <v>Mamoru Hosoda</v>
      </c>
    </row>
    <row r="849">
      <c r="A849" s="5">
        <v>212.0</v>
      </c>
      <c r="B849" s="5" t="s">
        <v>1475</v>
      </c>
      <c r="C849" s="5" t="s">
        <v>1481</v>
      </c>
      <c r="D849" s="5" t="s">
        <v>6637</v>
      </c>
      <c r="E849" s="8">
        <f>vlookup(B849,Filmes_final!$B$2:$U$1001,20,FALSE)</f>
        <v>62665404</v>
      </c>
      <c r="F849" s="5">
        <f>vlookup(B849,Filmes_final!$B$2:$U$1001,3,FALSE)</f>
        <v>2012</v>
      </c>
      <c r="G849" s="5" t="str">
        <f>vlookup(B849,Filmes_final!$B$2:$U$1001,13,FALSE)</f>
        <v>Mamoru Hosoda</v>
      </c>
    </row>
    <row r="850">
      <c r="A850" s="5">
        <v>213.0</v>
      </c>
      <c r="B850" s="5" t="s">
        <v>1482</v>
      </c>
      <c r="C850" s="5" t="s">
        <v>1484</v>
      </c>
      <c r="D850" s="5" t="s">
        <v>6634</v>
      </c>
      <c r="E850" s="8">
        <f>vlookup(B850,Filmes_final!$B$2:$U$1001,20,FALSE)</f>
        <v>73182611</v>
      </c>
      <c r="F850" s="5">
        <f>vlookup(B850,Filmes_final!$B$2:$U$1001,3,FALSE)</f>
        <v>2016</v>
      </c>
      <c r="G850" s="5" t="str">
        <f>vlookup(B850,Filmes_final!$B$2:$U$1001,13,FALSE)</f>
        <v>Mel Gibson</v>
      </c>
    </row>
    <row r="851">
      <c r="A851" s="5">
        <v>213.0</v>
      </c>
      <c r="B851" s="5" t="s">
        <v>1482</v>
      </c>
      <c r="C851" s="5" t="s">
        <v>1485</v>
      </c>
      <c r="D851" s="5" t="s">
        <v>6635</v>
      </c>
      <c r="E851" s="8">
        <f>vlookup(B851,Filmes_final!$B$2:$U$1001,20,FALSE)</f>
        <v>73182611</v>
      </c>
      <c r="F851" s="5">
        <f>vlookup(B851,Filmes_final!$B$2:$U$1001,3,FALSE)</f>
        <v>2016</v>
      </c>
      <c r="G851" s="5" t="str">
        <f>vlookup(B851,Filmes_final!$B$2:$U$1001,13,FALSE)</f>
        <v>Mel Gibson</v>
      </c>
    </row>
    <row r="852">
      <c r="A852" s="5">
        <v>213.0</v>
      </c>
      <c r="B852" s="5" t="s">
        <v>1482</v>
      </c>
      <c r="C852" s="5" t="s">
        <v>1486</v>
      </c>
      <c r="D852" s="5" t="s">
        <v>6636</v>
      </c>
      <c r="E852" s="8">
        <f>vlookup(B852,Filmes_final!$B$2:$U$1001,20,FALSE)</f>
        <v>73182611</v>
      </c>
      <c r="F852" s="5">
        <f>vlookup(B852,Filmes_final!$B$2:$U$1001,3,FALSE)</f>
        <v>2016</v>
      </c>
      <c r="G852" s="5" t="str">
        <f>vlookup(B852,Filmes_final!$B$2:$U$1001,13,FALSE)</f>
        <v>Mel Gibson</v>
      </c>
    </row>
    <row r="853">
      <c r="A853" s="5">
        <v>213.0</v>
      </c>
      <c r="B853" s="5" t="s">
        <v>1482</v>
      </c>
      <c r="C853" s="5" t="s">
        <v>1487</v>
      </c>
      <c r="D853" s="5" t="s">
        <v>6637</v>
      </c>
      <c r="E853" s="8">
        <f>vlookup(B853,Filmes_final!$B$2:$U$1001,20,FALSE)</f>
        <v>73182611</v>
      </c>
      <c r="F853" s="5">
        <f>vlookup(B853,Filmes_final!$B$2:$U$1001,3,FALSE)</f>
        <v>2016</v>
      </c>
      <c r="G853" s="5" t="str">
        <f>vlookup(B853,Filmes_final!$B$2:$U$1001,13,FALSE)</f>
        <v>Mel Gibson</v>
      </c>
    </row>
    <row r="854">
      <c r="A854" s="5">
        <v>214.0</v>
      </c>
      <c r="B854" s="5" t="s">
        <v>1488</v>
      </c>
      <c r="C854" s="5" t="s">
        <v>1490</v>
      </c>
      <c r="D854" s="5" t="s">
        <v>6634</v>
      </c>
      <c r="E854" s="8">
        <f>vlookup(B854,Filmes_final!$B$2:$U$1001,20,FALSE)</f>
        <v>393470389</v>
      </c>
      <c r="F854" s="5">
        <f>vlookup(B854,Filmes_final!$B$2:$U$1001,3,FALSE)</f>
        <v>2015</v>
      </c>
      <c r="G854" s="5" t="str">
        <f>vlookup(B854,Filmes_final!$B$2:$U$1001,13,FALSE)</f>
        <v>Pete Docter</v>
      </c>
    </row>
    <row r="855">
      <c r="A855" s="5">
        <v>214.0</v>
      </c>
      <c r="B855" s="5" t="s">
        <v>1488</v>
      </c>
      <c r="C855" s="5" t="s">
        <v>1491</v>
      </c>
      <c r="D855" s="5" t="s">
        <v>6635</v>
      </c>
      <c r="E855" s="8">
        <f>vlookup(B855,Filmes_final!$B$2:$U$1001,20,FALSE)</f>
        <v>393470389</v>
      </c>
      <c r="F855" s="5">
        <f>vlookup(B855,Filmes_final!$B$2:$U$1001,3,FALSE)</f>
        <v>2015</v>
      </c>
      <c r="G855" s="5" t="str">
        <f>vlookup(B855,Filmes_final!$B$2:$U$1001,13,FALSE)</f>
        <v>Pete Docter</v>
      </c>
    </row>
    <row r="856">
      <c r="A856" s="5">
        <v>214.0</v>
      </c>
      <c r="B856" s="5" t="s">
        <v>1488</v>
      </c>
      <c r="C856" s="5" t="s">
        <v>1492</v>
      </c>
      <c r="D856" s="5" t="s">
        <v>6636</v>
      </c>
      <c r="E856" s="8">
        <f>vlookup(B856,Filmes_final!$B$2:$U$1001,20,FALSE)</f>
        <v>393470389</v>
      </c>
      <c r="F856" s="5">
        <f>vlookup(B856,Filmes_final!$B$2:$U$1001,3,FALSE)</f>
        <v>2015</v>
      </c>
      <c r="G856" s="5" t="str">
        <f>vlookup(B856,Filmes_final!$B$2:$U$1001,13,FALSE)</f>
        <v>Pete Docter</v>
      </c>
    </row>
    <row r="857">
      <c r="A857" s="5">
        <v>214.0</v>
      </c>
      <c r="B857" s="5" t="s">
        <v>1488</v>
      </c>
      <c r="C857" s="5" t="s">
        <v>1493</v>
      </c>
      <c r="D857" s="5" t="s">
        <v>6637</v>
      </c>
      <c r="E857" s="8">
        <f>vlookup(B857,Filmes_final!$B$2:$U$1001,20,FALSE)</f>
        <v>393470389</v>
      </c>
      <c r="F857" s="5">
        <f>vlookup(B857,Filmes_final!$B$2:$U$1001,3,FALSE)</f>
        <v>2015</v>
      </c>
      <c r="G857" s="5" t="str">
        <f>vlookup(B857,Filmes_final!$B$2:$U$1001,13,FALSE)</f>
        <v>Pete Docter</v>
      </c>
    </row>
    <row r="858">
      <c r="A858" s="5">
        <v>215.0</v>
      </c>
      <c r="B858" s="5" t="s">
        <v>1494</v>
      </c>
      <c r="C858" s="5" t="s">
        <v>1497</v>
      </c>
      <c r="D858" s="5" t="s">
        <v>6634</v>
      </c>
      <c r="E858" s="8">
        <f>vlookup(B858,Filmes_final!$B$2:$U$1001,20,FALSE)</f>
        <v>3192271</v>
      </c>
      <c r="F858" s="5">
        <f>vlookup(B858,Filmes_final!$B$2:$U$1001,3,FALSE)</f>
        <v>2012</v>
      </c>
      <c r="G858" s="5" t="str">
        <f>vlookup(B858,Filmes_final!$B$2:$U$1001,13,FALSE)</f>
        <v>Anurag Basu</v>
      </c>
    </row>
    <row r="859">
      <c r="A859" s="5">
        <v>215.0</v>
      </c>
      <c r="B859" s="5" t="s">
        <v>1494</v>
      </c>
      <c r="C859" s="5" t="s">
        <v>1498</v>
      </c>
      <c r="D859" s="5" t="s">
        <v>6635</v>
      </c>
      <c r="E859" s="8">
        <f>vlookup(B859,Filmes_final!$B$2:$U$1001,20,FALSE)</f>
        <v>3192271</v>
      </c>
      <c r="F859" s="5">
        <f>vlookup(B859,Filmes_final!$B$2:$U$1001,3,FALSE)</f>
        <v>2012</v>
      </c>
      <c r="G859" s="5" t="str">
        <f>vlookup(B859,Filmes_final!$B$2:$U$1001,13,FALSE)</f>
        <v>Anurag Basu</v>
      </c>
    </row>
    <row r="860">
      <c r="A860" s="5">
        <v>215.0</v>
      </c>
      <c r="B860" s="5" t="s">
        <v>1494</v>
      </c>
      <c r="C860" s="5" t="s">
        <v>1499</v>
      </c>
      <c r="D860" s="5" t="s">
        <v>6636</v>
      </c>
      <c r="E860" s="8">
        <f>vlookup(B860,Filmes_final!$B$2:$U$1001,20,FALSE)</f>
        <v>3192271</v>
      </c>
      <c r="F860" s="5">
        <f>vlookup(B860,Filmes_final!$B$2:$U$1001,3,FALSE)</f>
        <v>2012</v>
      </c>
      <c r="G860" s="5" t="str">
        <f>vlookup(B860,Filmes_final!$B$2:$U$1001,13,FALSE)</f>
        <v>Anurag Basu</v>
      </c>
    </row>
    <row r="861">
      <c r="A861" s="5">
        <v>215.0</v>
      </c>
      <c r="B861" s="5" t="s">
        <v>1494</v>
      </c>
      <c r="C861" s="5" t="s">
        <v>1500</v>
      </c>
      <c r="D861" s="5" t="s">
        <v>6637</v>
      </c>
      <c r="E861" s="8">
        <f>vlookup(B861,Filmes_final!$B$2:$U$1001,20,FALSE)</f>
        <v>3192271</v>
      </c>
      <c r="F861" s="5">
        <f>vlookup(B861,Filmes_final!$B$2:$U$1001,3,FALSE)</f>
        <v>2012</v>
      </c>
      <c r="G861" s="5" t="str">
        <f>vlookup(B861,Filmes_final!$B$2:$U$1001,13,FALSE)</f>
        <v>Anurag Basu</v>
      </c>
    </row>
    <row r="862">
      <c r="A862" s="5">
        <v>216.0</v>
      </c>
      <c r="B862" s="5" t="s">
        <v>1501</v>
      </c>
      <c r="C862" s="5" t="s">
        <v>1503</v>
      </c>
      <c r="D862" s="5" t="s">
        <v>6634</v>
      </c>
      <c r="E862" s="8">
        <f>vlookup(B862,Filmes_final!$B$2:$U$1001,20,FALSE)</f>
        <v>63486758</v>
      </c>
      <c r="F862" s="5">
        <f>vlookup(B862,Filmes_final!$B$2:$U$1001,3,FALSE)</f>
        <v>2013</v>
      </c>
      <c r="G862" s="5" t="str">
        <f>vlookup(B862,Filmes_final!$B$2:$U$1001,13,FALSE)</f>
        <v>Steve McQueen</v>
      </c>
    </row>
    <row r="863">
      <c r="A863" s="5">
        <v>216.0</v>
      </c>
      <c r="B863" s="5" t="s">
        <v>1501</v>
      </c>
      <c r="C863" s="5" t="s">
        <v>1504</v>
      </c>
      <c r="D863" s="5" t="s">
        <v>6635</v>
      </c>
      <c r="E863" s="8">
        <f>vlookup(B863,Filmes_final!$B$2:$U$1001,20,FALSE)</f>
        <v>63486758</v>
      </c>
      <c r="F863" s="5">
        <f>vlookup(B863,Filmes_final!$B$2:$U$1001,3,FALSE)</f>
        <v>2013</v>
      </c>
      <c r="G863" s="5" t="str">
        <f>vlookup(B863,Filmes_final!$B$2:$U$1001,13,FALSE)</f>
        <v>Steve McQueen</v>
      </c>
    </row>
    <row r="864">
      <c r="A864" s="5">
        <v>216.0</v>
      </c>
      <c r="B864" s="5" t="s">
        <v>1501</v>
      </c>
      <c r="C864" s="5" t="s">
        <v>1505</v>
      </c>
      <c r="D864" s="5" t="s">
        <v>6636</v>
      </c>
      <c r="E864" s="8">
        <f>vlookup(B864,Filmes_final!$B$2:$U$1001,20,FALSE)</f>
        <v>63486758</v>
      </c>
      <c r="F864" s="5">
        <f>vlookup(B864,Filmes_final!$B$2:$U$1001,3,FALSE)</f>
        <v>2013</v>
      </c>
      <c r="G864" s="5" t="str">
        <f>vlookup(B864,Filmes_final!$B$2:$U$1001,13,FALSE)</f>
        <v>Steve McQueen</v>
      </c>
    </row>
    <row r="865">
      <c r="A865" s="5">
        <v>216.0</v>
      </c>
      <c r="B865" s="5" t="s">
        <v>1501</v>
      </c>
      <c r="C865" s="5" t="s">
        <v>98</v>
      </c>
      <c r="D865" s="5" t="s">
        <v>6637</v>
      </c>
      <c r="E865" s="8">
        <f>vlookup(B865,Filmes_final!$B$2:$U$1001,20,FALSE)</f>
        <v>63486758</v>
      </c>
      <c r="F865" s="5">
        <f>vlookup(B865,Filmes_final!$B$2:$U$1001,3,FALSE)</f>
        <v>2013</v>
      </c>
      <c r="G865" s="5" t="str">
        <f>vlookup(B865,Filmes_final!$B$2:$U$1001,13,FALSE)</f>
        <v>Steve McQueen</v>
      </c>
    </row>
    <row r="866">
      <c r="A866" s="5">
        <v>217.0</v>
      </c>
      <c r="B866" s="5" t="s">
        <v>1506</v>
      </c>
      <c r="C866" s="5" t="s">
        <v>1508</v>
      </c>
      <c r="D866" s="5" t="s">
        <v>6634</v>
      </c>
      <c r="E866" s="8">
        <f>vlookup(B866,Filmes_final!$B$2:$U$1001,20,FALSE)</f>
        <v>30188056</v>
      </c>
      <c r="F866" s="5">
        <f>vlookup(B866,Filmes_final!$B$2:$U$1001,3,FALSE)</f>
        <v>2013</v>
      </c>
      <c r="G866" s="5" t="str">
        <f>vlookup(B866,Filmes_final!$B$2:$U$1001,13,FALSE)</f>
        <v>Ron Howard</v>
      </c>
    </row>
    <row r="867">
      <c r="A867" s="5">
        <v>217.0</v>
      </c>
      <c r="B867" s="5" t="s">
        <v>1506</v>
      </c>
      <c r="C867" s="5" t="s">
        <v>485</v>
      </c>
      <c r="D867" s="5" t="s">
        <v>6635</v>
      </c>
      <c r="E867" s="8">
        <f>vlookup(B867,Filmes_final!$B$2:$U$1001,20,FALSE)</f>
        <v>30188056</v>
      </c>
      <c r="F867" s="5">
        <f>vlookup(B867,Filmes_final!$B$2:$U$1001,3,FALSE)</f>
        <v>2013</v>
      </c>
      <c r="G867" s="5" t="str">
        <f>vlookup(B867,Filmes_final!$B$2:$U$1001,13,FALSE)</f>
        <v>Ron Howard</v>
      </c>
    </row>
    <row r="868">
      <c r="A868" s="5">
        <v>217.0</v>
      </c>
      <c r="B868" s="5" t="s">
        <v>1506</v>
      </c>
      <c r="C868" s="5" t="s">
        <v>1509</v>
      </c>
      <c r="D868" s="5" t="s">
        <v>6636</v>
      </c>
      <c r="E868" s="8">
        <f>vlookup(B868,Filmes_final!$B$2:$U$1001,20,FALSE)</f>
        <v>30188056</v>
      </c>
      <c r="F868" s="5">
        <f>vlookup(B868,Filmes_final!$B$2:$U$1001,3,FALSE)</f>
        <v>2013</v>
      </c>
      <c r="G868" s="5" t="str">
        <f>vlookup(B868,Filmes_final!$B$2:$U$1001,13,FALSE)</f>
        <v>Ron Howard</v>
      </c>
    </row>
    <row r="869">
      <c r="A869" s="5">
        <v>217.0</v>
      </c>
      <c r="B869" s="5" t="s">
        <v>1506</v>
      </c>
      <c r="C869" s="5" t="s">
        <v>1138</v>
      </c>
      <c r="D869" s="5" t="s">
        <v>6637</v>
      </c>
      <c r="E869" s="8">
        <f>vlookup(B869,Filmes_final!$B$2:$U$1001,20,FALSE)</f>
        <v>30188056</v>
      </c>
      <c r="F869" s="5">
        <f>vlookup(B869,Filmes_final!$B$2:$U$1001,3,FALSE)</f>
        <v>2013</v>
      </c>
      <c r="G869" s="5" t="str">
        <f>vlookup(B869,Filmes_final!$B$2:$U$1001,13,FALSE)</f>
        <v>Ron Howard</v>
      </c>
    </row>
    <row r="870">
      <c r="A870" s="5">
        <v>218.0</v>
      </c>
      <c r="B870" s="5" t="s">
        <v>1510</v>
      </c>
      <c r="C870" s="5" t="s">
        <v>215</v>
      </c>
      <c r="D870" s="5" t="s">
        <v>6634</v>
      </c>
      <c r="E870" s="8">
        <f>vlookup(B870,Filmes_final!$B$2:$U$1001,20,FALSE)</f>
        <v>120548834</v>
      </c>
      <c r="F870" s="5">
        <f>vlookup(B870,Filmes_final!$B$2:$U$1001,3,FALSE)</f>
        <v>2019</v>
      </c>
      <c r="G870" s="5" t="str">
        <f>vlookup(B870,Filmes_final!$B$2:$U$1001,13,FALSE)</f>
        <v>James Mangold</v>
      </c>
    </row>
    <row r="871">
      <c r="A871" s="5">
        <v>218.0</v>
      </c>
      <c r="B871" s="5" t="s">
        <v>1510</v>
      </c>
      <c r="C871" s="5" t="s">
        <v>42</v>
      </c>
      <c r="D871" s="5" t="s">
        <v>6635</v>
      </c>
      <c r="E871" s="8">
        <f>vlookup(B871,Filmes_final!$B$2:$U$1001,20,FALSE)</f>
        <v>120548834</v>
      </c>
      <c r="F871" s="5">
        <f>vlookup(B871,Filmes_final!$B$2:$U$1001,3,FALSE)</f>
        <v>2019</v>
      </c>
      <c r="G871" s="5" t="str">
        <f>vlookup(B871,Filmes_final!$B$2:$U$1001,13,FALSE)</f>
        <v>James Mangold</v>
      </c>
    </row>
    <row r="872">
      <c r="A872" s="5">
        <v>218.0</v>
      </c>
      <c r="B872" s="5" t="s">
        <v>1510</v>
      </c>
      <c r="C872" s="5" t="s">
        <v>1512</v>
      </c>
      <c r="D872" s="5" t="s">
        <v>6636</v>
      </c>
      <c r="E872" s="8">
        <f>vlookup(B872,Filmes_final!$B$2:$U$1001,20,FALSE)</f>
        <v>120548834</v>
      </c>
      <c r="F872" s="5">
        <f>vlookup(B872,Filmes_final!$B$2:$U$1001,3,FALSE)</f>
        <v>2019</v>
      </c>
      <c r="G872" s="5" t="str">
        <f>vlookup(B872,Filmes_final!$B$2:$U$1001,13,FALSE)</f>
        <v>James Mangold</v>
      </c>
    </row>
    <row r="873">
      <c r="A873" s="5">
        <v>218.0</v>
      </c>
      <c r="B873" s="5" t="s">
        <v>1510</v>
      </c>
      <c r="C873" s="5" t="s">
        <v>1513</v>
      </c>
      <c r="D873" s="5" t="s">
        <v>6637</v>
      </c>
      <c r="E873" s="8">
        <f>vlookup(B873,Filmes_final!$B$2:$U$1001,20,FALSE)</f>
        <v>120548834</v>
      </c>
      <c r="F873" s="5">
        <f>vlookup(B873,Filmes_final!$B$2:$U$1001,3,FALSE)</f>
        <v>2019</v>
      </c>
      <c r="G873" s="5" t="str">
        <f>vlookup(B873,Filmes_final!$B$2:$U$1001,13,FALSE)</f>
        <v>James Mangold</v>
      </c>
    </row>
    <row r="874">
      <c r="A874" s="5">
        <v>219.0</v>
      </c>
      <c r="B874" s="5" t="s">
        <v>1514</v>
      </c>
      <c r="C874" s="5" t="s">
        <v>481</v>
      </c>
      <c r="D874" s="5" t="s">
        <v>6634</v>
      </c>
      <c r="E874" s="8">
        <f>vlookup(B874,Filmes_final!$B$2:$U$1001,20,FALSE)</f>
        <v>49733571</v>
      </c>
      <c r="F874" s="5">
        <f>vlookup(B874,Filmes_final!$B$2:$U$1001,3,FALSE)</f>
        <v>2015</v>
      </c>
      <c r="G874" s="5" t="str">
        <f>vlookup(B874,Filmes_final!$B$2:$U$1001,13,FALSE)</f>
        <v>Tom McCarthy</v>
      </c>
    </row>
    <row r="875">
      <c r="A875" s="5">
        <v>219.0</v>
      </c>
      <c r="B875" s="5" t="s">
        <v>1514</v>
      </c>
      <c r="C875" s="5" t="s">
        <v>1517</v>
      </c>
      <c r="D875" s="5" t="s">
        <v>6635</v>
      </c>
      <c r="E875" s="8">
        <f>vlookup(B875,Filmes_final!$B$2:$U$1001,20,FALSE)</f>
        <v>49733571</v>
      </c>
      <c r="F875" s="5">
        <f>vlookup(B875,Filmes_final!$B$2:$U$1001,3,FALSE)</f>
        <v>2015</v>
      </c>
      <c r="G875" s="5" t="str">
        <f>vlookup(B875,Filmes_final!$B$2:$U$1001,13,FALSE)</f>
        <v>Tom McCarthy</v>
      </c>
    </row>
    <row r="876">
      <c r="A876" s="5">
        <v>219.0</v>
      </c>
      <c r="B876" s="5" t="s">
        <v>1514</v>
      </c>
      <c r="C876" s="5" t="s">
        <v>1518</v>
      </c>
      <c r="D876" s="5" t="s">
        <v>6636</v>
      </c>
      <c r="E876" s="8">
        <f>vlookup(B876,Filmes_final!$B$2:$U$1001,20,FALSE)</f>
        <v>49733571</v>
      </c>
      <c r="F876" s="5">
        <f>vlookup(B876,Filmes_final!$B$2:$U$1001,3,FALSE)</f>
        <v>2015</v>
      </c>
      <c r="G876" s="5" t="str">
        <f>vlookup(B876,Filmes_final!$B$2:$U$1001,13,FALSE)</f>
        <v>Tom McCarthy</v>
      </c>
    </row>
    <row r="877">
      <c r="A877" s="5">
        <v>219.0</v>
      </c>
      <c r="B877" s="5" t="s">
        <v>1514</v>
      </c>
      <c r="C877" s="5" t="s">
        <v>1519</v>
      </c>
      <c r="D877" s="5" t="s">
        <v>6637</v>
      </c>
      <c r="E877" s="8">
        <f>vlookup(B877,Filmes_final!$B$2:$U$1001,20,FALSE)</f>
        <v>49733571</v>
      </c>
      <c r="F877" s="5">
        <f>vlookup(B877,Filmes_final!$B$2:$U$1001,3,FALSE)</f>
        <v>2015</v>
      </c>
      <c r="G877" s="5" t="str">
        <f>vlookup(B877,Filmes_final!$B$2:$U$1001,13,FALSE)</f>
        <v>Tom McCarthy</v>
      </c>
    </row>
    <row r="878">
      <c r="A878" s="5">
        <v>220.0</v>
      </c>
      <c r="B878" s="5" t="s">
        <v>1520</v>
      </c>
      <c r="C878" s="5" t="s">
        <v>1524</v>
      </c>
      <c r="D878" s="5" t="s">
        <v>6634</v>
      </c>
      <c r="E878" s="8">
        <f>vlookup(B878,Filmes_final!$B$2:$U$1001,20,FALSE)</f>
        <v>945708</v>
      </c>
      <c r="F878" s="5">
        <f>vlookup(B878,Filmes_final!$B$2:$U$1001,3,FALSE)</f>
        <v>2014</v>
      </c>
      <c r="G878" s="5" t="str">
        <f>vlookup(B878,Filmes_final!$B$2:$U$1001,13,FALSE)</f>
        <v>Tomm Moore</v>
      </c>
    </row>
    <row r="879">
      <c r="A879" s="5">
        <v>220.0</v>
      </c>
      <c r="B879" s="5" t="s">
        <v>1520</v>
      </c>
      <c r="C879" s="5" t="s">
        <v>1525</v>
      </c>
      <c r="D879" s="5" t="s">
        <v>6635</v>
      </c>
      <c r="E879" s="8">
        <f>vlookup(B879,Filmes_final!$B$2:$U$1001,20,FALSE)</f>
        <v>945708</v>
      </c>
      <c r="F879" s="5">
        <f>vlookup(B879,Filmes_final!$B$2:$U$1001,3,FALSE)</f>
        <v>2014</v>
      </c>
      <c r="G879" s="5" t="str">
        <f>vlookup(B879,Filmes_final!$B$2:$U$1001,13,FALSE)</f>
        <v>Tomm Moore</v>
      </c>
    </row>
    <row r="880">
      <c r="A880" s="5">
        <v>220.0</v>
      </c>
      <c r="B880" s="5" t="s">
        <v>1520</v>
      </c>
      <c r="C880" s="5" t="s">
        <v>1526</v>
      </c>
      <c r="D880" s="5" t="s">
        <v>6636</v>
      </c>
      <c r="E880" s="8">
        <f>vlookup(B880,Filmes_final!$B$2:$U$1001,20,FALSE)</f>
        <v>945708</v>
      </c>
      <c r="F880" s="5">
        <f>vlookup(B880,Filmes_final!$B$2:$U$1001,3,FALSE)</f>
        <v>2014</v>
      </c>
      <c r="G880" s="5" t="str">
        <f>vlookup(B880,Filmes_final!$B$2:$U$1001,13,FALSE)</f>
        <v>Tomm Moore</v>
      </c>
    </row>
    <row r="881">
      <c r="A881" s="5">
        <v>220.0</v>
      </c>
      <c r="B881" s="5" t="s">
        <v>1520</v>
      </c>
      <c r="C881" s="5" t="s">
        <v>1527</v>
      </c>
      <c r="D881" s="5" t="s">
        <v>6637</v>
      </c>
      <c r="E881" s="8">
        <f>vlookup(B881,Filmes_final!$B$2:$U$1001,20,FALSE)</f>
        <v>945708</v>
      </c>
      <c r="F881" s="5">
        <f>vlookup(B881,Filmes_final!$B$2:$U$1001,3,FALSE)</f>
        <v>2014</v>
      </c>
      <c r="G881" s="5" t="str">
        <f>vlookup(B881,Filmes_final!$B$2:$U$1001,13,FALSE)</f>
        <v>Tomm Moore</v>
      </c>
    </row>
    <row r="882">
      <c r="A882" s="5">
        <v>221.0</v>
      </c>
      <c r="B882" s="5" t="s">
        <v>1528</v>
      </c>
      <c r="C882" s="5" t="s">
        <v>1531</v>
      </c>
      <c r="D882" s="5" t="s">
        <v>6634</v>
      </c>
      <c r="E882" s="8">
        <f>vlookup(B882,Filmes_final!$B$2:$U$1001,20,FALSE)</f>
        <v>1179034</v>
      </c>
      <c r="F882" s="5">
        <f>vlookup(B882,Filmes_final!$B$2:$U$1001,3,FALSE)</f>
        <v>2012</v>
      </c>
      <c r="G882" s="5" t="str">
        <f>vlookup(B882,Filmes_final!$B$2:$U$1001,13,FALSE)</f>
        <v>Sujoy Ghosh</v>
      </c>
    </row>
    <row r="883">
      <c r="A883" s="5">
        <v>221.0</v>
      </c>
      <c r="B883" s="5" t="s">
        <v>1528</v>
      </c>
      <c r="C883" s="5" t="s">
        <v>1532</v>
      </c>
      <c r="D883" s="5" t="s">
        <v>6635</v>
      </c>
      <c r="E883" s="8">
        <f>vlookup(B883,Filmes_final!$B$2:$U$1001,20,FALSE)</f>
        <v>1179034</v>
      </c>
      <c r="F883" s="5">
        <f>vlookup(B883,Filmes_final!$B$2:$U$1001,3,FALSE)</f>
        <v>2012</v>
      </c>
      <c r="G883" s="5" t="str">
        <f>vlookup(B883,Filmes_final!$B$2:$U$1001,13,FALSE)</f>
        <v>Sujoy Ghosh</v>
      </c>
    </row>
    <row r="884">
      <c r="A884" s="5">
        <v>221.0</v>
      </c>
      <c r="B884" s="5" t="s">
        <v>1528</v>
      </c>
      <c r="C884" s="5" t="s">
        <v>1533</v>
      </c>
      <c r="D884" s="5" t="s">
        <v>6636</v>
      </c>
      <c r="E884" s="8">
        <f>vlookup(B884,Filmes_final!$B$2:$U$1001,20,FALSE)</f>
        <v>1179034</v>
      </c>
      <c r="F884" s="5">
        <f>vlookup(B884,Filmes_final!$B$2:$U$1001,3,FALSE)</f>
        <v>2012</v>
      </c>
      <c r="G884" s="5" t="str">
        <f>vlookup(B884,Filmes_final!$B$2:$U$1001,13,FALSE)</f>
        <v>Sujoy Ghosh</v>
      </c>
    </row>
    <row r="885">
      <c r="A885" s="5">
        <v>221.0</v>
      </c>
      <c r="B885" s="5" t="s">
        <v>1528</v>
      </c>
      <c r="C885" s="5" t="s">
        <v>1034</v>
      </c>
      <c r="D885" s="5" t="s">
        <v>6637</v>
      </c>
      <c r="E885" s="8">
        <f>vlookup(B885,Filmes_final!$B$2:$U$1001,20,FALSE)</f>
        <v>1179034</v>
      </c>
      <c r="F885" s="5">
        <f>vlookup(B885,Filmes_final!$B$2:$U$1001,3,FALSE)</f>
        <v>2012</v>
      </c>
      <c r="G885" s="5" t="str">
        <f>vlookup(B885,Filmes_final!$B$2:$U$1001,13,FALSE)</f>
        <v>Sujoy Ghosh</v>
      </c>
    </row>
    <row r="886">
      <c r="A886" s="5">
        <v>222.0</v>
      </c>
      <c r="B886" s="5" t="s">
        <v>1534</v>
      </c>
      <c r="C886" s="5" t="s">
        <v>1537</v>
      </c>
      <c r="D886" s="5" t="s">
        <v>6634</v>
      </c>
      <c r="E886" s="8">
        <f>vlookup(B886,Filmes_final!$B$2:$U$1001,20,FALSE)</f>
        <v>3641304</v>
      </c>
      <c r="F886" s="5">
        <f>vlookup(B886,Filmes_final!$B$2:$U$1001,3,FALSE)</f>
        <v>2011</v>
      </c>
      <c r="G886" s="5" t="str">
        <f>vlookup(B886,Filmes_final!$B$2:$U$1001,13,FALSE)</f>
        <v>Zoya Akhtar</v>
      </c>
    </row>
    <row r="887">
      <c r="A887" s="5">
        <v>222.0</v>
      </c>
      <c r="B887" s="5" t="s">
        <v>1534</v>
      </c>
      <c r="C887" s="5" t="s">
        <v>1023</v>
      </c>
      <c r="D887" s="5" t="s">
        <v>6635</v>
      </c>
      <c r="E887" s="8">
        <f>vlookup(B887,Filmes_final!$B$2:$U$1001,20,FALSE)</f>
        <v>3641304</v>
      </c>
      <c r="F887" s="5">
        <f>vlookup(B887,Filmes_final!$B$2:$U$1001,3,FALSE)</f>
        <v>2011</v>
      </c>
      <c r="G887" s="5" t="str">
        <f>vlookup(B887,Filmes_final!$B$2:$U$1001,13,FALSE)</f>
        <v>Zoya Akhtar</v>
      </c>
    </row>
    <row r="888">
      <c r="A888" s="5">
        <v>222.0</v>
      </c>
      <c r="B888" s="5" t="s">
        <v>1534</v>
      </c>
      <c r="C888" s="5" t="s">
        <v>1538</v>
      </c>
      <c r="D888" s="5" t="s">
        <v>6636</v>
      </c>
      <c r="E888" s="8">
        <f>vlookup(B888,Filmes_final!$B$2:$U$1001,20,FALSE)</f>
        <v>3641304</v>
      </c>
      <c r="F888" s="5">
        <f>vlookup(B888,Filmes_final!$B$2:$U$1001,3,FALSE)</f>
        <v>2011</v>
      </c>
      <c r="G888" s="5" t="str">
        <f>vlookup(B888,Filmes_final!$B$2:$U$1001,13,FALSE)</f>
        <v>Zoya Akhtar</v>
      </c>
    </row>
    <row r="889">
      <c r="A889" s="5">
        <v>222.0</v>
      </c>
      <c r="B889" s="5" t="s">
        <v>1534</v>
      </c>
      <c r="C889" s="5" t="s">
        <v>1539</v>
      </c>
      <c r="D889" s="5" t="s">
        <v>6637</v>
      </c>
      <c r="E889" s="8">
        <f>vlookup(B889,Filmes_final!$B$2:$U$1001,20,FALSE)</f>
        <v>3641304</v>
      </c>
      <c r="F889" s="5">
        <f>vlookup(B889,Filmes_final!$B$2:$U$1001,3,FALSE)</f>
        <v>2011</v>
      </c>
      <c r="G889" s="5" t="str">
        <f>vlookup(B889,Filmes_final!$B$2:$U$1001,13,FALSE)</f>
        <v>Zoya Akhtar</v>
      </c>
    </row>
    <row r="890">
      <c r="A890" s="5">
        <v>223.0</v>
      </c>
      <c r="B890" s="5" t="s">
        <v>1540</v>
      </c>
      <c r="C890" s="5" t="s">
        <v>306</v>
      </c>
      <c r="D890" s="5" t="s">
        <v>6634</v>
      </c>
      <c r="E890" s="8">
        <f>vlookup(B890,Filmes_final!$B$2:$U$1001,20,FALSE)</f>
        <v>68337784</v>
      </c>
      <c r="F890" s="5">
        <f>vlookup(B890,Filmes_final!$B$2:$U$1001,3,FALSE)</f>
        <v>2013</v>
      </c>
      <c r="G890" s="5" t="str">
        <f>vlookup(B890,Filmes_final!$B$2:$U$1001,13,FALSE)</f>
        <v>Denis Villeneuve</v>
      </c>
    </row>
    <row r="891">
      <c r="A891" s="5">
        <v>223.0</v>
      </c>
      <c r="B891" s="5" t="s">
        <v>1540</v>
      </c>
      <c r="C891" s="5" t="s">
        <v>1542</v>
      </c>
      <c r="D891" s="5" t="s">
        <v>6635</v>
      </c>
      <c r="E891" s="8">
        <f>vlookup(B891,Filmes_final!$B$2:$U$1001,20,FALSE)</f>
        <v>68337784</v>
      </c>
      <c r="F891" s="5">
        <f>vlookup(B891,Filmes_final!$B$2:$U$1001,3,FALSE)</f>
        <v>2013</v>
      </c>
      <c r="G891" s="5" t="str">
        <f>vlookup(B891,Filmes_final!$B$2:$U$1001,13,FALSE)</f>
        <v>Denis Villeneuve</v>
      </c>
    </row>
    <row r="892">
      <c r="A892" s="5">
        <v>223.0</v>
      </c>
      <c r="B892" s="5" t="s">
        <v>1540</v>
      </c>
      <c r="C892" s="5" t="s">
        <v>1543</v>
      </c>
      <c r="D892" s="5" t="s">
        <v>6636</v>
      </c>
      <c r="E892" s="8">
        <f>vlookup(B892,Filmes_final!$B$2:$U$1001,20,FALSE)</f>
        <v>68337784</v>
      </c>
      <c r="F892" s="5">
        <f>vlookup(B892,Filmes_final!$B$2:$U$1001,3,FALSE)</f>
        <v>2013</v>
      </c>
      <c r="G892" s="5" t="str">
        <f>vlookup(B892,Filmes_final!$B$2:$U$1001,13,FALSE)</f>
        <v>Denis Villeneuve</v>
      </c>
    </row>
    <row r="893">
      <c r="A893" s="5">
        <v>223.0</v>
      </c>
      <c r="B893" s="5" t="s">
        <v>1540</v>
      </c>
      <c r="C893" s="5" t="s">
        <v>1544</v>
      </c>
      <c r="D893" s="5" t="s">
        <v>6637</v>
      </c>
      <c r="E893" s="8">
        <f>vlookup(B893,Filmes_final!$B$2:$U$1001,20,FALSE)</f>
        <v>68337784</v>
      </c>
      <c r="F893" s="5">
        <f>vlookup(B893,Filmes_final!$B$2:$U$1001,3,FALSE)</f>
        <v>2013</v>
      </c>
      <c r="G893" s="5" t="str">
        <f>vlookup(B893,Filmes_final!$B$2:$U$1001,13,FALSE)</f>
        <v>Denis Villeneuve</v>
      </c>
    </row>
    <row r="894">
      <c r="A894" s="5">
        <v>224.0</v>
      </c>
      <c r="B894" s="5" t="s">
        <v>1545</v>
      </c>
      <c r="C894" s="5" t="s">
        <v>504</v>
      </c>
      <c r="D894" s="5" t="s">
        <v>6634</v>
      </c>
      <c r="E894" s="8">
        <f>vlookup(B894,Filmes_final!$B$2:$U$1001,20,FALSE)</f>
        <v>170053033</v>
      </c>
      <c r="F894" s="5">
        <f>vlookup(B894,Filmes_final!$B$2:$U$1001,3,FALSE)</f>
        <v>2015</v>
      </c>
      <c r="G894" s="5" t="str">
        <f>vlookup(B894,Filmes_final!$B$2:$U$1001,13,FALSE)</f>
        <v>George Miller</v>
      </c>
    </row>
    <row r="895">
      <c r="A895" s="5">
        <v>224.0</v>
      </c>
      <c r="B895" s="5" t="s">
        <v>1545</v>
      </c>
      <c r="C895" s="5" t="s">
        <v>1549</v>
      </c>
      <c r="D895" s="5" t="s">
        <v>6635</v>
      </c>
      <c r="E895" s="8">
        <f>vlookup(B895,Filmes_final!$B$2:$U$1001,20,FALSE)</f>
        <v>170053033</v>
      </c>
      <c r="F895" s="5">
        <f>vlookup(B895,Filmes_final!$B$2:$U$1001,3,FALSE)</f>
        <v>2015</v>
      </c>
      <c r="G895" s="5" t="str">
        <f>vlookup(B895,Filmes_final!$B$2:$U$1001,13,FALSE)</f>
        <v>George Miller</v>
      </c>
    </row>
    <row r="896">
      <c r="A896" s="5">
        <v>224.0</v>
      </c>
      <c r="B896" s="5" t="s">
        <v>1545</v>
      </c>
      <c r="C896" s="5" t="s">
        <v>1550</v>
      </c>
      <c r="D896" s="5" t="s">
        <v>6636</v>
      </c>
      <c r="E896" s="8">
        <f>vlookup(B896,Filmes_final!$B$2:$U$1001,20,FALSE)</f>
        <v>170053033</v>
      </c>
      <c r="F896" s="5">
        <f>vlookup(B896,Filmes_final!$B$2:$U$1001,3,FALSE)</f>
        <v>2015</v>
      </c>
      <c r="G896" s="5" t="str">
        <f>vlookup(B896,Filmes_final!$B$2:$U$1001,13,FALSE)</f>
        <v>George Miller</v>
      </c>
    </row>
    <row r="897">
      <c r="A897" s="5">
        <v>224.0</v>
      </c>
      <c r="B897" s="5" t="s">
        <v>1545</v>
      </c>
      <c r="C897" s="5" t="s">
        <v>1551</v>
      </c>
      <c r="D897" s="5" t="s">
        <v>6637</v>
      </c>
      <c r="E897" s="8">
        <f>vlookup(B897,Filmes_final!$B$2:$U$1001,20,FALSE)</f>
        <v>170053033</v>
      </c>
      <c r="F897" s="5">
        <f>vlookup(B897,Filmes_final!$B$2:$U$1001,3,FALSE)</f>
        <v>2015</v>
      </c>
      <c r="G897" s="5" t="str">
        <f>vlookup(B897,Filmes_final!$B$2:$U$1001,13,FALSE)</f>
        <v>George Miller</v>
      </c>
    </row>
    <row r="898">
      <c r="A898" s="5">
        <v>225.0</v>
      </c>
      <c r="B898" s="5" t="s">
        <v>1552</v>
      </c>
      <c r="C898" s="5" t="s">
        <v>1555</v>
      </c>
      <c r="D898" s="5" t="s">
        <v>6634</v>
      </c>
      <c r="E898" s="8">
        <f>vlookup(B898,Filmes_final!$B$2:$U$1001,20,FALSE)</f>
        <v>3980427</v>
      </c>
      <c r="F898" s="5">
        <f>vlookup(B898,Filmes_final!$B$2:$U$1001,3,FALSE)</f>
        <v>2008</v>
      </c>
      <c r="G898" s="5" t="str">
        <f>vlookup(B898,Filmes_final!$B$2:$U$1001,13,FALSE)</f>
        <v>Neeraj Pandey</v>
      </c>
    </row>
    <row r="899">
      <c r="A899" s="5">
        <v>225.0</v>
      </c>
      <c r="B899" s="5" t="s">
        <v>1552</v>
      </c>
      <c r="C899" s="5" t="s">
        <v>1556</v>
      </c>
      <c r="D899" s="5" t="s">
        <v>6635</v>
      </c>
      <c r="E899" s="8">
        <f>vlookup(B899,Filmes_final!$B$2:$U$1001,20,FALSE)</f>
        <v>3980427</v>
      </c>
      <c r="F899" s="5">
        <f>vlookup(B899,Filmes_final!$B$2:$U$1001,3,FALSE)</f>
        <v>2008</v>
      </c>
      <c r="G899" s="5" t="str">
        <f>vlookup(B899,Filmes_final!$B$2:$U$1001,13,FALSE)</f>
        <v>Neeraj Pandey</v>
      </c>
    </row>
    <row r="900">
      <c r="A900" s="5">
        <v>225.0</v>
      </c>
      <c r="B900" s="5" t="s">
        <v>1552</v>
      </c>
      <c r="C900" s="5" t="s">
        <v>1557</v>
      </c>
      <c r="D900" s="5" t="s">
        <v>6636</v>
      </c>
      <c r="E900" s="8">
        <f>vlookup(B900,Filmes_final!$B$2:$U$1001,20,FALSE)</f>
        <v>3980427</v>
      </c>
      <c r="F900" s="5">
        <f>vlookup(B900,Filmes_final!$B$2:$U$1001,3,FALSE)</f>
        <v>2008</v>
      </c>
      <c r="G900" s="5" t="str">
        <f>vlookup(B900,Filmes_final!$B$2:$U$1001,13,FALSE)</f>
        <v>Neeraj Pandey</v>
      </c>
    </row>
    <row r="901">
      <c r="A901" s="5">
        <v>225.0</v>
      </c>
      <c r="B901" s="5" t="s">
        <v>1552</v>
      </c>
      <c r="C901" s="5" t="s">
        <v>1558</v>
      </c>
      <c r="D901" s="5" t="s">
        <v>6637</v>
      </c>
      <c r="E901" s="8">
        <f>vlookup(B901,Filmes_final!$B$2:$U$1001,20,FALSE)</f>
        <v>3980427</v>
      </c>
      <c r="F901" s="5">
        <f>vlookup(B901,Filmes_final!$B$2:$U$1001,3,FALSE)</f>
        <v>2008</v>
      </c>
      <c r="G901" s="5" t="str">
        <f>vlookup(B901,Filmes_final!$B$2:$U$1001,13,FALSE)</f>
        <v>Neeraj Pandey</v>
      </c>
    </row>
    <row r="902">
      <c r="A902" s="5">
        <v>226.0</v>
      </c>
      <c r="B902" s="5" t="s">
        <v>1559</v>
      </c>
      <c r="C902" s="5" t="s">
        <v>119</v>
      </c>
      <c r="D902" s="5" t="s">
        <v>6634</v>
      </c>
      <c r="E902" s="8">
        <f>vlookup(B902,Filmes_final!$B$2:$U$1001,20,FALSE)</f>
        <v>180994377</v>
      </c>
      <c r="F902" s="5">
        <f>vlookup(B902,Filmes_final!$B$2:$U$1001,3,FALSE)</f>
        <v>2008</v>
      </c>
      <c r="G902" s="5" t="str">
        <f>vlookup(B902,Filmes_final!$B$2:$U$1001,13,FALSE)</f>
        <v>Clint Eastwood</v>
      </c>
    </row>
    <row r="903">
      <c r="A903" s="5">
        <v>226.0</v>
      </c>
      <c r="B903" s="5" t="s">
        <v>1559</v>
      </c>
      <c r="C903" s="5" t="s">
        <v>1561</v>
      </c>
      <c r="D903" s="5" t="s">
        <v>6635</v>
      </c>
      <c r="E903" s="8">
        <f>vlookup(B903,Filmes_final!$B$2:$U$1001,20,FALSE)</f>
        <v>180994377</v>
      </c>
      <c r="F903" s="5">
        <f>vlookup(B903,Filmes_final!$B$2:$U$1001,3,FALSE)</f>
        <v>2008</v>
      </c>
      <c r="G903" s="5" t="str">
        <f>vlookup(B903,Filmes_final!$B$2:$U$1001,13,FALSE)</f>
        <v>Clint Eastwood</v>
      </c>
    </row>
    <row r="904">
      <c r="A904" s="5">
        <v>226.0</v>
      </c>
      <c r="B904" s="5" t="s">
        <v>1559</v>
      </c>
      <c r="C904" s="5" t="s">
        <v>1562</v>
      </c>
      <c r="D904" s="5" t="s">
        <v>6636</v>
      </c>
      <c r="E904" s="8">
        <f>vlookup(B904,Filmes_final!$B$2:$U$1001,20,FALSE)</f>
        <v>180994377</v>
      </c>
      <c r="F904" s="5">
        <f>vlookup(B904,Filmes_final!$B$2:$U$1001,3,FALSE)</f>
        <v>2008</v>
      </c>
      <c r="G904" s="5" t="str">
        <f>vlookup(B904,Filmes_final!$B$2:$U$1001,13,FALSE)</f>
        <v>Clint Eastwood</v>
      </c>
    </row>
    <row r="905">
      <c r="A905" s="5">
        <v>226.0</v>
      </c>
      <c r="B905" s="5" t="s">
        <v>1559</v>
      </c>
      <c r="C905" s="5" t="s">
        <v>1563</v>
      </c>
      <c r="D905" s="5" t="s">
        <v>6637</v>
      </c>
      <c r="E905" s="8">
        <f>vlookup(B905,Filmes_final!$B$2:$U$1001,20,FALSE)</f>
        <v>180994377</v>
      </c>
      <c r="F905" s="5">
        <f>vlookup(B905,Filmes_final!$B$2:$U$1001,3,FALSE)</f>
        <v>2008</v>
      </c>
      <c r="G905" s="5" t="str">
        <f>vlookup(B905,Filmes_final!$B$2:$U$1001,13,FALSE)</f>
        <v>Clint Eastwood</v>
      </c>
    </row>
    <row r="906">
      <c r="A906" s="5">
        <v>227.0</v>
      </c>
      <c r="B906" s="5" t="s">
        <v>1564</v>
      </c>
      <c r="C906" s="5" t="s">
        <v>1568</v>
      </c>
      <c r="D906" s="5" t="s">
        <v>6634</v>
      </c>
      <c r="E906" s="8">
        <f>vlookup(B906,Filmes_final!$B$2:$U$1001,20,FALSE)</f>
        <v>446319617</v>
      </c>
      <c r="F906" s="5">
        <f>vlookup(B906,Filmes_final!$B$2:$U$1001,3,FALSE)</f>
        <v>2011</v>
      </c>
      <c r="G906" s="5" t="str">
        <f>vlookup(B906,Filmes_final!$B$2:$U$1001,13,FALSE)</f>
        <v>David Yates</v>
      </c>
    </row>
    <row r="907">
      <c r="A907" s="5">
        <v>227.0</v>
      </c>
      <c r="B907" s="5" t="s">
        <v>1564</v>
      </c>
      <c r="C907" s="5" t="s">
        <v>1569</v>
      </c>
      <c r="D907" s="5" t="s">
        <v>6635</v>
      </c>
      <c r="E907" s="8">
        <f>vlookup(B907,Filmes_final!$B$2:$U$1001,20,FALSE)</f>
        <v>446319617</v>
      </c>
      <c r="F907" s="5">
        <f>vlookup(B907,Filmes_final!$B$2:$U$1001,3,FALSE)</f>
        <v>2011</v>
      </c>
      <c r="G907" s="5" t="str">
        <f>vlookup(B907,Filmes_final!$B$2:$U$1001,13,FALSE)</f>
        <v>David Yates</v>
      </c>
    </row>
    <row r="908">
      <c r="A908" s="5">
        <v>227.0</v>
      </c>
      <c r="B908" s="5" t="s">
        <v>1564</v>
      </c>
      <c r="C908" s="5" t="s">
        <v>1570</v>
      </c>
      <c r="D908" s="5" t="s">
        <v>6636</v>
      </c>
      <c r="E908" s="8">
        <f>vlookup(B908,Filmes_final!$B$2:$U$1001,20,FALSE)</f>
        <v>446319617</v>
      </c>
      <c r="F908" s="5">
        <f>vlookup(B908,Filmes_final!$B$2:$U$1001,3,FALSE)</f>
        <v>2011</v>
      </c>
      <c r="G908" s="5" t="str">
        <f>vlookup(B908,Filmes_final!$B$2:$U$1001,13,FALSE)</f>
        <v>David Yates</v>
      </c>
    </row>
    <row r="909">
      <c r="A909" s="5">
        <v>227.0</v>
      </c>
      <c r="B909" s="5" t="s">
        <v>1564</v>
      </c>
      <c r="C909" s="5" t="s">
        <v>1571</v>
      </c>
      <c r="D909" s="5" t="s">
        <v>6637</v>
      </c>
      <c r="E909" s="8">
        <f>vlookup(B909,Filmes_final!$B$2:$U$1001,20,FALSE)</f>
        <v>446319617</v>
      </c>
      <c r="F909" s="5">
        <f>vlookup(B909,Filmes_final!$B$2:$U$1001,3,FALSE)</f>
        <v>2011</v>
      </c>
      <c r="G909" s="5" t="str">
        <f>vlookup(B909,Filmes_final!$B$2:$U$1001,13,FALSE)</f>
        <v>David Yates</v>
      </c>
    </row>
    <row r="910">
      <c r="A910" s="5">
        <v>228.0</v>
      </c>
      <c r="B910" s="5" t="s">
        <v>1572</v>
      </c>
      <c r="C910" s="5" t="s">
        <v>1575</v>
      </c>
      <c r="D910" s="5" t="s">
        <v>6634</v>
      </c>
      <c r="E910" s="8">
        <f>vlookup(B910,Filmes_final!$B$2:$U$1001,20,FALSE)</f>
        <v>1831034</v>
      </c>
      <c r="F910" s="5">
        <f>vlookup(B910,Filmes_final!$B$2:$U$1001,3,FALSE)</f>
        <v>2008</v>
      </c>
      <c r="G910" s="5" t="str">
        <f>vlookup(B910,Filmes_final!$B$2:$U$1001,13,FALSE)</f>
        <v>Yôjirô Takita</v>
      </c>
    </row>
    <row r="911">
      <c r="A911" s="5">
        <v>228.0</v>
      </c>
      <c r="B911" s="5" t="s">
        <v>1572</v>
      </c>
      <c r="C911" s="5" t="s">
        <v>1576</v>
      </c>
      <c r="D911" s="5" t="s">
        <v>6635</v>
      </c>
      <c r="E911" s="8">
        <f>vlookup(B911,Filmes_final!$B$2:$U$1001,20,FALSE)</f>
        <v>1831034</v>
      </c>
      <c r="F911" s="5">
        <f>vlookup(B911,Filmes_final!$B$2:$U$1001,3,FALSE)</f>
        <v>2008</v>
      </c>
      <c r="G911" s="5" t="str">
        <f>vlookup(B911,Filmes_final!$B$2:$U$1001,13,FALSE)</f>
        <v>Yôjirô Takita</v>
      </c>
    </row>
    <row r="912">
      <c r="A912" s="5">
        <v>228.0</v>
      </c>
      <c r="B912" s="5" t="s">
        <v>1572</v>
      </c>
      <c r="C912" s="5" t="s">
        <v>1577</v>
      </c>
      <c r="D912" s="5" t="s">
        <v>6636</v>
      </c>
      <c r="E912" s="8">
        <f>vlookup(B912,Filmes_final!$B$2:$U$1001,20,FALSE)</f>
        <v>1831034</v>
      </c>
      <c r="F912" s="5">
        <f>vlookup(B912,Filmes_final!$B$2:$U$1001,3,FALSE)</f>
        <v>2008</v>
      </c>
      <c r="G912" s="5" t="str">
        <f>vlookup(B912,Filmes_final!$B$2:$U$1001,13,FALSE)</f>
        <v>Yôjirô Takita</v>
      </c>
    </row>
    <row r="913">
      <c r="A913" s="5">
        <v>228.0</v>
      </c>
      <c r="B913" s="5" t="s">
        <v>1572</v>
      </c>
      <c r="C913" s="5" t="s">
        <v>1578</v>
      </c>
      <c r="D913" s="5" t="s">
        <v>6637</v>
      </c>
      <c r="E913" s="8">
        <f>vlookup(B913,Filmes_final!$B$2:$U$1001,20,FALSE)</f>
        <v>1831034</v>
      </c>
      <c r="F913" s="5">
        <f>vlookup(B913,Filmes_final!$B$2:$U$1001,3,FALSE)</f>
        <v>2008</v>
      </c>
      <c r="G913" s="5" t="str">
        <f>vlookup(B913,Filmes_final!$B$2:$U$1001,13,FALSE)</f>
        <v>Yôjirô Takita</v>
      </c>
    </row>
    <row r="914">
      <c r="A914" s="5">
        <v>229.0</v>
      </c>
      <c r="B914" s="5" t="s">
        <v>1579</v>
      </c>
      <c r="C914" s="5" t="s">
        <v>1583</v>
      </c>
      <c r="D914" s="5" t="s">
        <v>6634</v>
      </c>
      <c r="E914" s="8">
        <f>vlookup(B914,Filmes_final!$B$2:$U$1001,20,FALSE)</f>
        <v>57117939</v>
      </c>
      <c r="F914" s="5">
        <f>vlookup(B914,Filmes_final!$B$2:$U$1001,3,FALSE)</f>
        <v>2009</v>
      </c>
      <c r="G914" s="5" t="str">
        <f>vlookup(B914,Filmes_final!$B$2:$U$1001,13,FALSE)</f>
        <v>Lasse Hallström</v>
      </c>
    </row>
    <row r="915">
      <c r="A915" s="5">
        <v>229.0</v>
      </c>
      <c r="B915" s="5" t="s">
        <v>1579</v>
      </c>
      <c r="C915" s="5" t="s">
        <v>1584</v>
      </c>
      <c r="D915" s="5" t="s">
        <v>6635</v>
      </c>
      <c r="E915" s="8">
        <f>vlookup(B915,Filmes_final!$B$2:$U$1001,20,FALSE)</f>
        <v>57117939</v>
      </c>
      <c r="F915" s="5">
        <f>vlookup(B915,Filmes_final!$B$2:$U$1001,3,FALSE)</f>
        <v>2009</v>
      </c>
      <c r="G915" s="5" t="str">
        <f>vlookup(B915,Filmes_final!$B$2:$U$1001,13,FALSE)</f>
        <v>Lasse Hallström</v>
      </c>
    </row>
    <row r="916">
      <c r="A916" s="5">
        <v>229.0</v>
      </c>
      <c r="B916" s="5" t="s">
        <v>1579</v>
      </c>
      <c r="C916" s="5" t="s">
        <v>1585</v>
      </c>
      <c r="D916" s="5" t="s">
        <v>6636</v>
      </c>
      <c r="E916" s="8">
        <f>vlookup(B916,Filmes_final!$B$2:$U$1001,20,FALSE)</f>
        <v>57117939</v>
      </c>
      <c r="F916" s="5">
        <f>vlookup(B916,Filmes_final!$B$2:$U$1001,3,FALSE)</f>
        <v>2009</v>
      </c>
      <c r="G916" s="5" t="str">
        <f>vlookup(B916,Filmes_final!$B$2:$U$1001,13,FALSE)</f>
        <v>Lasse Hallström</v>
      </c>
    </row>
    <row r="917">
      <c r="A917" s="5">
        <v>229.0</v>
      </c>
      <c r="B917" s="5" t="s">
        <v>1579</v>
      </c>
      <c r="C917" s="5" t="s">
        <v>1586</v>
      </c>
      <c r="D917" s="5" t="s">
        <v>6637</v>
      </c>
      <c r="E917" s="8">
        <f>vlookup(B917,Filmes_final!$B$2:$U$1001,20,FALSE)</f>
        <v>57117939</v>
      </c>
      <c r="F917" s="5">
        <f>vlookup(B917,Filmes_final!$B$2:$U$1001,3,FALSE)</f>
        <v>2009</v>
      </c>
      <c r="G917" s="5" t="str">
        <f>vlookup(B917,Filmes_final!$B$2:$U$1001,13,FALSE)</f>
        <v>Lasse Hallström</v>
      </c>
    </row>
    <row r="918">
      <c r="A918" s="5">
        <v>230.0</v>
      </c>
      <c r="B918" s="5" t="s">
        <v>1587</v>
      </c>
      <c r="C918" s="5" t="s">
        <v>1592</v>
      </c>
      <c r="D918" s="5" t="s">
        <v>6634</v>
      </c>
      <c r="E918" s="8">
        <f>vlookup(B918,Filmes_final!$B$2:$U$1001,20,FALSE)</f>
        <v>2126427</v>
      </c>
      <c r="F918" s="5">
        <f>vlookup(B918,Filmes_final!$B$2:$U$1001,3,FALSE)</f>
        <v>2009</v>
      </c>
      <c r="G918" s="5" t="str">
        <f>vlookup(B918,Filmes_final!$B$2:$U$1001,13,FALSE)</f>
        <v>Adam Elliot</v>
      </c>
    </row>
    <row r="919">
      <c r="A919" s="5">
        <v>230.0</v>
      </c>
      <c r="B919" s="5" t="s">
        <v>1587</v>
      </c>
      <c r="C919" s="5" t="s">
        <v>1593</v>
      </c>
      <c r="D919" s="5" t="s">
        <v>6635</v>
      </c>
      <c r="E919" s="8">
        <f>vlookup(B919,Filmes_final!$B$2:$U$1001,20,FALSE)</f>
        <v>2126427</v>
      </c>
      <c r="F919" s="5">
        <f>vlookup(B919,Filmes_final!$B$2:$U$1001,3,FALSE)</f>
        <v>2009</v>
      </c>
      <c r="G919" s="5" t="str">
        <f>vlookup(B919,Filmes_final!$B$2:$U$1001,13,FALSE)</f>
        <v>Adam Elliot</v>
      </c>
    </row>
    <row r="920">
      <c r="A920" s="5">
        <v>230.0</v>
      </c>
      <c r="B920" s="5" t="s">
        <v>1587</v>
      </c>
      <c r="C920" s="5" t="s">
        <v>1594</v>
      </c>
      <c r="D920" s="5" t="s">
        <v>6636</v>
      </c>
      <c r="E920" s="8">
        <f>vlookup(B920,Filmes_final!$B$2:$U$1001,20,FALSE)</f>
        <v>2126427</v>
      </c>
      <c r="F920" s="5">
        <f>vlookup(B920,Filmes_final!$B$2:$U$1001,3,FALSE)</f>
        <v>2009</v>
      </c>
      <c r="G920" s="5" t="str">
        <f>vlookup(B920,Filmes_final!$B$2:$U$1001,13,FALSE)</f>
        <v>Adam Elliot</v>
      </c>
    </row>
    <row r="921">
      <c r="A921" s="5">
        <v>230.0</v>
      </c>
      <c r="B921" s="5" t="s">
        <v>1587</v>
      </c>
      <c r="C921" s="5" t="s">
        <v>1595</v>
      </c>
      <c r="D921" s="5" t="s">
        <v>6637</v>
      </c>
      <c r="E921" s="8">
        <f>vlookup(B921,Filmes_final!$B$2:$U$1001,20,FALSE)</f>
        <v>2126427</v>
      </c>
      <c r="F921" s="5">
        <f>vlookup(B921,Filmes_final!$B$2:$U$1001,3,FALSE)</f>
        <v>2009</v>
      </c>
      <c r="G921" s="5" t="str">
        <f>vlookup(B921,Filmes_final!$B$2:$U$1001,13,FALSE)</f>
        <v>Adam Elliot</v>
      </c>
    </row>
    <row r="922">
      <c r="A922" s="5">
        <v>231.0</v>
      </c>
      <c r="B922" s="5" t="s">
        <v>1596</v>
      </c>
      <c r="C922" s="5" t="s">
        <v>1599</v>
      </c>
      <c r="D922" s="5" t="s">
        <v>6634</v>
      </c>
      <c r="E922" s="8">
        <f>vlookup(B922,Filmes_final!$B$2:$U$1001,20,FALSE)</f>
        <v>259035603</v>
      </c>
      <c r="F922" s="5">
        <f>vlookup(B922,Filmes_final!$B$2:$U$1001,3,FALSE)</f>
        <v>2010</v>
      </c>
      <c r="G922" s="5" t="str">
        <f>vlookup(B922,Filmes_final!$B$2:$U$1001,13,FALSE)</f>
        <v>Dean DeBlois</v>
      </c>
    </row>
    <row r="923">
      <c r="A923" s="5">
        <v>231.0</v>
      </c>
      <c r="B923" s="5" t="s">
        <v>1596</v>
      </c>
      <c r="C923" s="5" t="s">
        <v>1600</v>
      </c>
      <c r="D923" s="5" t="s">
        <v>6635</v>
      </c>
      <c r="E923" s="8">
        <f>vlookup(B923,Filmes_final!$B$2:$U$1001,20,FALSE)</f>
        <v>259035603</v>
      </c>
      <c r="F923" s="5">
        <f>vlookup(B923,Filmes_final!$B$2:$U$1001,3,FALSE)</f>
        <v>2010</v>
      </c>
      <c r="G923" s="5" t="str">
        <f>vlookup(B923,Filmes_final!$B$2:$U$1001,13,FALSE)</f>
        <v>Dean DeBlois</v>
      </c>
    </row>
    <row r="924">
      <c r="A924" s="5">
        <v>231.0</v>
      </c>
      <c r="B924" s="5" t="s">
        <v>1596</v>
      </c>
      <c r="C924" s="5" t="s">
        <v>1601</v>
      </c>
      <c r="D924" s="5" t="s">
        <v>6636</v>
      </c>
      <c r="E924" s="8">
        <f>vlookup(B924,Filmes_final!$B$2:$U$1001,20,FALSE)</f>
        <v>259035603</v>
      </c>
      <c r="F924" s="5">
        <f>vlookup(B924,Filmes_final!$B$2:$U$1001,3,FALSE)</f>
        <v>2010</v>
      </c>
      <c r="G924" s="5" t="str">
        <f>vlookup(B924,Filmes_final!$B$2:$U$1001,13,FALSE)</f>
        <v>Dean DeBlois</v>
      </c>
    </row>
    <row r="925">
      <c r="A925" s="5">
        <v>231.0</v>
      </c>
      <c r="B925" s="5" t="s">
        <v>1596</v>
      </c>
      <c r="C925" s="5" t="s">
        <v>1602</v>
      </c>
      <c r="D925" s="5" t="s">
        <v>6637</v>
      </c>
      <c r="E925" s="8">
        <f>vlookup(B925,Filmes_final!$B$2:$U$1001,20,FALSE)</f>
        <v>259035603</v>
      </c>
      <c r="F925" s="5">
        <f>vlookup(B925,Filmes_final!$B$2:$U$1001,3,FALSE)</f>
        <v>2010</v>
      </c>
      <c r="G925" s="5" t="str">
        <f>vlookup(B925,Filmes_final!$B$2:$U$1001,13,FALSE)</f>
        <v>Dean DeBlois</v>
      </c>
    </row>
    <row r="926">
      <c r="A926" s="5">
        <v>232.0</v>
      </c>
      <c r="B926" s="5" t="s">
        <v>1603</v>
      </c>
      <c r="C926" s="5" t="s">
        <v>1606</v>
      </c>
      <c r="D926" s="5" t="s">
        <v>6634</v>
      </c>
      <c r="E926" s="8">
        <f>vlookup(B926,Filmes_final!$B$2:$U$1001,20,FALSE)</f>
        <v>23391884</v>
      </c>
      <c r="F926" s="5">
        <f>vlookup(B926,Filmes_final!$B$2:$U$1001,3,FALSE)</f>
        <v>2007</v>
      </c>
      <c r="G926" s="5" t="str">
        <f>vlookup(B926,Filmes_final!$B$2:$U$1001,13,FALSE)</f>
        <v>Sean Penn</v>
      </c>
    </row>
    <row r="927">
      <c r="A927" s="5">
        <v>232.0</v>
      </c>
      <c r="B927" s="5" t="s">
        <v>1603</v>
      </c>
      <c r="C927" s="5" t="s">
        <v>1607</v>
      </c>
      <c r="D927" s="5" t="s">
        <v>6635</v>
      </c>
      <c r="E927" s="8">
        <f>vlookup(B927,Filmes_final!$B$2:$U$1001,20,FALSE)</f>
        <v>23391884</v>
      </c>
      <c r="F927" s="5">
        <f>vlookup(B927,Filmes_final!$B$2:$U$1001,3,FALSE)</f>
        <v>2007</v>
      </c>
      <c r="G927" s="5" t="str">
        <f>vlookup(B927,Filmes_final!$B$2:$U$1001,13,FALSE)</f>
        <v>Sean Penn</v>
      </c>
    </row>
    <row r="928">
      <c r="A928" s="5">
        <v>232.0</v>
      </c>
      <c r="B928" s="5" t="s">
        <v>1603</v>
      </c>
      <c r="C928" s="5" t="s">
        <v>1608</v>
      </c>
      <c r="D928" s="5" t="s">
        <v>6636</v>
      </c>
      <c r="E928" s="8">
        <f>vlookup(B928,Filmes_final!$B$2:$U$1001,20,FALSE)</f>
        <v>23391884</v>
      </c>
      <c r="F928" s="5">
        <f>vlookup(B928,Filmes_final!$B$2:$U$1001,3,FALSE)</f>
        <v>2007</v>
      </c>
      <c r="G928" s="5" t="str">
        <f>vlookup(B928,Filmes_final!$B$2:$U$1001,13,FALSE)</f>
        <v>Sean Penn</v>
      </c>
    </row>
    <row r="929">
      <c r="A929" s="5">
        <v>232.0</v>
      </c>
      <c r="B929" s="5" t="s">
        <v>1603</v>
      </c>
      <c r="C929" s="5" t="s">
        <v>1609</v>
      </c>
      <c r="D929" s="5" t="s">
        <v>6637</v>
      </c>
      <c r="E929" s="8">
        <f>vlookup(B929,Filmes_final!$B$2:$U$1001,20,FALSE)</f>
        <v>23391884</v>
      </c>
      <c r="F929" s="5">
        <f>vlookup(B929,Filmes_final!$B$2:$U$1001,3,FALSE)</f>
        <v>2007</v>
      </c>
      <c r="G929" s="5" t="str">
        <f>vlookup(B929,Filmes_final!$B$2:$U$1001,13,FALSE)</f>
        <v>Sean Penn</v>
      </c>
    </row>
    <row r="930">
      <c r="A930" s="5">
        <v>233.0</v>
      </c>
      <c r="B930" s="5" t="s">
        <v>1610</v>
      </c>
      <c r="C930" s="5" t="s">
        <v>1613</v>
      </c>
      <c r="D930" s="5" t="s">
        <v>6634</v>
      </c>
      <c r="E930" s="8">
        <f>vlookup(B930,Filmes_final!$B$2:$U$1001,20,FALSE)</f>
        <v>94671474</v>
      </c>
      <c r="F930" s="5">
        <f>vlookup(B930,Filmes_final!$B$2:$U$1001,3,FALSE)</f>
        <v>2007</v>
      </c>
      <c r="G930" s="5" t="str">
        <f>vlookup(B930,Filmes_final!$B$2:$U$1001,13,FALSE)</f>
        <v>Ethan Coen</v>
      </c>
    </row>
    <row r="931">
      <c r="A931" s="5">
        <v>233.0</v>
      </c>
      <c r="B931" s="5" t="s">
        <v>1610</v>
      </c>
      <c r="C931" s="5" t="s">
        <v>1614</v>
      </c>
      <c r="D931" s="5" t="s">
        <v>6635</v>
      </c>
      <c r="E931" s="8">
        <f>vlookup(B931,Filmes_final!$B$2:$U$1001,20,FALSE)</f>
        <v>94671474</v>
      </c>
      <c r="F931" s="5">
        <f>vlookup(B931,Filmes_final!$B$2:$U$1001,3,FALSE)</f>
        <v>2007</v>
      </c>
      <c r="G931" s="5" t="str">
        <f>vlookup(B931,Filmes_final!$B$2:$U$1001,13,FALSE)</f>
        <v>Ethan Coen</v>
      </c>
    </row>
    <row r="932">
      <c r="A932" s="5">
        <v>233.0</v>
      </c>
      <c r="B932" s="5" t="s">
        <v>1610</v>
      </c>
      <c r="C932" s="5" t="s">
        <v>1615</v>
      </c>
      <c r="D932" s="5" t="s">
        <v>6636</v>
      </c>
      <c r="E932" s="8">
        <f>vlookup(B932,Filmes_final!$B$2:$U$1001,20,FALSE)</f>
        <v>94671474</v>
      </c>
      <c r="F932" s="5">
        <f>vlookup(B932,Filmes_final!$B$2:$U$1001,3,FALSE)</f>
        <v>2007</v>
      </c>
      <c r="G932" s="5" t="str">
        <f>vlookup(B932,Filmes_final!$B$2:$U$1001,13,FALSE)</f>
        <v>Ethan Coen</v>
      </c>
    </row>
    <row r="933">
      <c r="A933" s="5">
        <v>233.0</v>
      </c>
      <c r="B933" s="5" t="s">
        <v>1610</v>
      </c>
      <c r="C933" s="5" t="s">
        <v>1616</v>
      </c>
      <c r="D933" s="5" t="s">
        <v>6637</v>
      </c>
      <c r="E933" s="8">
        <f>vlookup(B933,Filmes_final!$B$2:$U$1001,20,FALSE)</f>
        <v>94671474</v>
      </c>
      <c r="F933" s="5">
        <f>vlookup(B933,Filmes_final!$B$2:$U$1001,3,FALSE)</f>
        <v>2007</v>
      </c>
      <c r="G933" s="5" t="str">
        <f>vlookup(B933,Filmes_final!$B$2:$U$1001,13,FALSE)</f>
        <v>Ethan Coen</v>
      </c>
    </row>
    <row r="934">
      <c r="A934" s="5">
        <v>234.0</v>
      </c>
      <c r="B934" s="5" t="s">
        <v>1617</v>
      </c>
      <c r="C934" s="5" t="s">
        <v>1457</v>
      </c>
      <c r="D934" s="5" t="s">
        <v>6634</v>
      </c>
      <c r="E934" s="8">
        <f>vlookup(B934,Filmes_final!$B$2:$U$1001,20,FALSE)</f>
        <v>2884853</v>
      </c>
      <c r="F934" s="5">
        <f>vlookup(B934,Filmes_final!$B$2:$U$1001,3,FALSE)</f>
        <v>2006</v>
      </c>
      <c r="G934" s="5" t="str">
        <f>vlookup(B934,Filmes_final!$B$2:$U$1001,13,FALSE)</f>
        <v>Rajkumar Hirani</v>
      </c>
    </row>
    <row r="935">
      <c r="A935" s="5">
        <v>234.0</v>
      </c>
      <c r="B935" s="5" t="s">
        <v>1617</v>
      </c>
      <c r="C935" s="5" t="s">
        <v>1620</v>
      </c>
      <c r="D935" s="5" t="s">
        <v>6635</v>
      </c>
      <c r="E935" s="8">
        <f>vlookup(B935,Filmes_final!$B$2:$U$1001,20,FALSE)</f>
        <v>2884853</v>
      </c>
      <c r="F935" s="5">
        <f>vlookup(B935,Filmes_final!$B$2:$U$1001,3,FALSE)</f>
        <v>2006</v>
      </c>
      <c r="G935" s="5" t="str">
        <f>vlookup(B935,Filmes_final!$B$2:$U$1001,13,FALSE)</f>
        <v>Rajkumar Hirani</v>
      </c>
    </row>
    <row r="936">
      <c r="A936" s="5">
        <v>234.0</v>
      </c>
      <c r="B936" s="5" t="s">
        <v>1617</v>
      </c>
      <c r="C936" s="5" t="s">
        <v>1531</v>
      </c>
      <c r="D936" s="5" t="s">
        <v>6636</v>
      </c>
      <c r="E936" s="8">
        <f>vlookup(B936,Filmes_final!$B$2:$U$1001,20,FALSE)</f>
        <v>2884853</v>
      </c>
      <c r="F936" s="5">
        <f>vlookup(B936,Filmes_final!$B$2:$U$1001,3,FALSE)</f>
        <v>2006</v>
      </c>
      <c r="G936" s="5" t="str">
        <f>vlookup(B936,Filmes_final!$B$2:$U$1001,13,FALSE)</f>
        <v>Rajkumar Hirani</v>
      </c>
    </row>
    <row r="937">
      <c r="A937" s="5">
        <v>234.0</v>
      </c>
      <c r="B937" s="5" t="s">
        <v>1617</v>
      </c>
      <c r="C937" s="5" t="s">
        <v>1458</v>
      </c>
      <c r="D937" s="5" t="s">
        <v>6637</v>
      </c>
      <c r="E937" s="8">
        <f>vlookup(B937,Filmes_final!$B$2:$U$1001,20,FALSE)</f>
        <v>2884853</v>
      </c>
      <c r="F937" s="5">
        <f>vlookup(B937,Filmes_final!$B$2:$U$1001,3,FALSE)</f>
        <v>2006</v>
      </c>
      <c r="G937" s="5" t="str">
        <f>vlookup(B937,Filmes_final!$B$2:$U$1001,13,FALSE)</f>
        <v>Rajkumar Hirani</v>
      </c>
    </row>
    <row r="938">
      <c r="A938" s="5">
        <v>235.0</v>
      </c>
      <c r="B938" s="5" t="s">
        <v>1621</v>
      </c>
      <c r="C938" s="5" t="s">
        <v>1624</v>
      </c>
      <c r="D938" s="5" t="s">
        <v>6634</v>
      </c>
      <c r="E938" s="8">
        <f>vlookup(B938,Filmes_final!$B$2:$U$1001,20,FALSE)</f>
        <v>139978802</v>
      </c>
      <c r="F938" s="5">
        <f>vlookup(B938,Filmes_final!$B$2:$U$1001,3,FALSE)</f>
        <v>2004</v>
      </c>
      <c r="G938" s="5" t="str">
        <f>vlookup(B938,Filmes_final!$B$2:$U$1001,13,FALSE)</f>
        <v>Clint Eastwood</v>
      </c>
    </row>
    <row r="939">
      <c r="A939" s="5">
        <v>235.0</v>
      </c>
      <c r="B939" s="5" t="s">
        <v>1621</v>
      </c>
      <c r="C939" s="5" t="s">
        <v>119</v>
      </c>
      <c r="D939" s="5" t="s">
        <v>6635</v>
      </c>
      <c r="E939" s="8">
        <f>vlookup(B939,Filmes_final!$B$2:$U$1001,20,FALSE)</f>
        <v>139978802</v>
      </c>
      <c r="F939" s="5">
        <f>vlookup(B939,Filmes_final!$B$2:$U$1001,3,FALSE)</f>
        <v>2004</v>
      </c>
      <c r="G939" s="5" t="str">
        <f>vlookup(B939,Filmes_final!$B$2:$U$1001,13,FALSE)</f>
        <v>Clint Eastwood</v>
      </c>
    </row>
    <row r="940">
      <c r="A940" s="5">
        <v>235.0</v>
      </c>
      <c r="B940" s="5" t="s">
        <v>1621</v>
      </c>
      <c r="C940" s="5" t="s">
        <v>24</v>
      </c>
      <c r="D940" s="5" t="s">
        <v>6636</v>
      </c>
      <c r="E940" s="8">
        <f>vlookup(B940,Filmes_final!$B$2:$U$1001,20,FALSE)</f>
        <v>139978802</v>
      </c>
      <c r="F940" s="5">
        <f>vlookup(B940,Filmes_final!$B$2:$U$1001,3,FALSE)</f>
        <v>2004</v>
      </c>
      <c r="G940" s="5" t="str">
        <f>vlookup(B940,Filmes_final!$B$2:$U$1001,13,FALSE)</f>
        <v>Clint Eastwood</v>
      </c>
    </row>
    <row r="941">
      <c r="A941" s="5">
        <v>235.0</v>
      </c>
      <c r="B941" s="5" t="s">
        <v>1621</v>
      </c>
      <c r="C941" s="5" t="s">
        <v>1600</v>
      </c>
      <c r="D941" s="5" t="s">
        <v>6637</v>
      </c>
      <c r="E941" s="8">
        <f>vlookup(B941,Filmes_final!$B$2:$U$1001,20,FALSE)</f>
        <v>139978802</v>
      </c>
      <c r="F941" s="5">
        <f>vlookup(B941,Filmes_final!$B$2:$U$1001,3,FALSE)</f>
        <v>2004</v>
      </c>
      <c r="G941" s="5" t="str">
        <f>vlookup(B941,Filmes_final!$B$2:$U$1001,13,FALSE)</f>
        <v>Clint Eastwood</v>
      </c>
    </row>
    <row r="942">
      <c r="A942" s="5">
        <v>236.0</v>
      </c>
      <c r="B942" s="5" t="s">
        <v>1625</v>
      </c>
      <c r="C942" s="5" t="s">
        <v>1628</v>
      </c>
      <c r="D942" s="5" t="s">
        <v>6634</v>
      </c>
      <c r="E942" s="8">
        <f>vlookup(B942,Filmes_final!$B$2:$U$1001,20,FALSE)</f>
        <v>32776932</v>
      </c>
      <c r="F942" s="5">
        <f>vlookup(B942,Filmes_final!$B$2:$U$1001,3,FALSE)</f>
        <v>2004</v>
      </c>
      <c r="G942" s="5" t="str">
        <f>vlookup(B942,Filmes_final!$B$2:$U$1001,13,FALSE)</f>
        <v>Terry George</v>
      </c>
    </row>
    <row r="943">
      <c r="A943" s="5">
        <v>236.0</v>
      </c>
      <c r="B943" s="5" t="s">
        <v>1625</v>
      </c>
      <c r="C943" s="5" t="s">
        <v>1629</v>
      </c>
      <c r="D943" s="5" t="s">
        <v>6635</v>
      </c>
      <c r="E943" s="8">
        <f>vlookup(B943,Filmes_final!$B$2:$U$1001,20,FALSE)</f>
        <v>32776932</v>
      </c>
      <c r="F943" s="5">
        <f>vlookup(B943,Filmes_final!$B$2:$U$1001,3,FALSE)</f>
        <v>2004</v>
      </c>
      <c r="G943" s="5" t="str">
        <f>vlookup(B943,Filmes_final!$B$2:$U$1001,13,FALSE)</f>
        <v>Terry George</v>
      </c>
    </row>
    <row r="944">
      <c r="A944" s="5">
        <v>236.0</v>
      </c>
      <c r="B944" s="5" t="s">
        <v>1625</v>
      </c>
      <c r="C944" s="5" t="s">
        <v>282</v>
      </c>
      <c r="D944" s="5" t="s">
        <v>6636</v>
      </c>
      <c r="E944" s="8">
        <f>vlookup(B944,Filmes_final!$B$2:$U$1001,20,FALSE)</f>
        <v>32776932</v>
      </c>
      <c r="F944" s="5">
        <f>vlookup(B944,Filmes_final!$B$2:$U$1001,3,FALSE)</f>
        <v>2004</v>
      </c>
      <c r="G944" s="5" t="str">
        <f>vlookup(B944,Filmes_final!$B$2:$U$1001,13,FALSE)</f>
        <v>Terry George</v>
      </c>
    </row>
    <row r="945">
      <c r="A945" s="5">
        <v>236.0</v>
      </c>
      <c r="B945" s="5" t="s">
        <v>1625</v>
      </c>
      <c r="C945" s="5" t="s">
        <v>1630</v>
      </c>
      <c r="D945" s="5" t="s">
        <v>6637</v>
      </c>
      <c r="E945" s="8">
        <f>vlookup(B945,Filmes_final!$B$2:$U$1001,20,FALSE)</f>
        <v>32776932</v>
      </c>
      <c r="F945" s="5">
        <f>vlookup(B945,Filmes_final!$B$2:$U$1001,3,FALSE)</f>
        <v>2004</v>
      </c>
      <c r="G945" s="5" t="str">
        <f>vlookup(B945,Filmes_final!$B$2:$U$1001,13,FALSE)</f>
        <v>Terry George</v>
      </c>
    </row>
    <row r="946">
      <c r="A946" s="5">
        <v>237.0</v>
      </c>
      <c r="B946" s="5" t="s">
        <v>1631</v>
      </c>
      <c r="C946" s="5" t="s">
        <v>1634</v>
      </c>
      <c r="D946" s="5" t="s">
        <v>6634</v>
      </c>
      <c r="E946" s="8">
        <f>vlookup(B946,Filmes_final!$B$2:$U$1001,20,FALSE)</f>
        <v>1547632</v>
      </c>
      <c r="F946" s="5">
        <f>vlookup(B946,Filmes_final!$B$2:$U$1001,3,FALSE)</f>
        <v>2004</v>
      </c>
      <c r="G946" s="5" t="str">
        <f>vlookup(B946,Filmes_final!$B$2:$U$1001,13,FALSE)</f>
        <v>Je-kyu Kang</v>
      </c>
    </row>
    <row r="947">
      <c r="A947" s="5">
        <v>237.0</v>
      </c>
      <c r="B947" s="5" t="s">
        <v>1631</v>
      </c>
      <c r="C947" s="5" t="s">
        <v>1635</v>
      </c>
      <c r="D947" s="5" t="s">
        <v>6635</v>
      </c>
      <c r="E947" s="8">
        <f>vlookup(B947,Filmes_final!$B$2:$U$1001,20,FALSE)</f>
        <v>1547632</v>
      </c>
      <c r="F947" s="5">
        <f>vlookup(B947,Filmes_final!$B$2:$U$1001,3,FALSE)</f>
        <v>2004</v>
      </c>
      <c r="G947" s="5" t="str">
        <f>vlookup(B947,Filmes_final!$B$2:$U$1001,13,FALSE)</f>
        <v>Je-kyu Kang</v>
      </c>
    </row>
    <row r="948">
      <c r="A948" s="5">
        <v>237.0</v>
      </c>
      <c r="B948" s="5" t="s">
        <v>1631</v>
      </c>
      <c r="C948" s="5" t="s">
        <v>1636</v>
      </c>
      <c r="D948" s="5" t="s">
        <v>6636</v>
      </c>
      <c r="E948" s="8">
        <f>vlookup(B948,Filmes_final!$B$2:$U$1001,20,FALSE)</f>
        <v>1547632</v>
      </c>
      <c r="F948" s="5">
        <f>vlookup(B948,Filmes_final!$B$2:$U$1001,3,FALSE)</f>
        <v>2004</v>
      </c>
      <c r="G948" s="5" t="str">
        <f>vlookup(B948,Filmes_final!$B$2:$U$1001,13,FALSE)</f>
        <v>Je-kyu Kang</v>
      </c>
    </row>
    <row r="949">
      <c r="A949" s="5">
        <v>237.0</v>
      </c>
      <c r="B949" s="5" t="s">
        <v>1631</v>
      </c>
      <c r="C949" s="5" t="s">
        <v>1637</v>
      </c>
      <c r="D949" s="5" t="s">
        <v>6637</v>
      </c>
      <c r="E949" s="8">
        <f>vlookup(B949,Filmes_final!$B$2:$U$1001,20,FALSE)</f>
        <v>1547632</v>
      </c>
      <c r="F949" s="5">
        <f>vlookup(B949,Filmes_final!$B$2:$U$1001,3,FALSE)</f>
        <v>2004</v>
      </c>
      <c r="G949" s="5" t="str">
        <f>vlookup(B949,Filmes_final!$B$2:$U$1001,13,FALSE)</f>
        <v>Je-kyu Kang</v>
      </c>
    </row>
    <row r="950">
      <c r="A950" s="5">
        <v>238.0</v>
      </c>
      <c r="B950" s="5" t="s">
        <v>1638</v>
      </c>
      <c r="C950" s="5" t="s">
        <v>1642</v>
      </c>
      <c r="D950" s="5" t="s">
        <v>6634</v>
      </c>
      <c r="E950" s="8">
        <f>vlookup(B950,Filmes_final!$B$2:$U$1001,20,FALSE)</f>
        <v>8107768</v>
      </c>
      <c r="F950" s="5">
        <f>vlookup(B950,Filmes_final!$B$2:$U$1001,3,FALSE)</f>
        <v>2004</v>
      </c>
      <c r="G950" s="5" t="str">
        <f>vlookup(B950,Filmes_final!$B$2:$U$1001,13,FALSE)</f>
        <v>Richard Linklater</v>
      </c>
    </row>
    <row r="951">
      <c r="A951" s="5">
        <v>238.0</v>
      </c>
      <c r="B951" s="5" t="s">
        <v>1638</v>
      </c>
      <c r="C951" s="5" t="s">
        <v>1643</v>
      </c>
      <c r="D951" s="5" t="s">
        <v>6635</v>
      </c>
      <c r="E951" s="8">
        <f>vlookup(B951,Filmes_final!$B$2:$U$1001,20,FALSE)</f>
        <v>8107768</v>
      </c>
      <c r="F951" s="5">
        <f>vlookup(B951,Filmes_final!$B$2:$U$1001,3,FALSE)</f>
        <v>2004</v>
      </c>
      <c r="G951" s="5" t="str">
        <f>vlookup(B951,Filmes_final!$B$2:$U$1001,13,FALSE)</f>
        <v>Richard Linklater</v>
      </c>
    </row>
    <row r="952">
      <c r="A952" s="5">
        <v>238.0</v>
      </c>
      <c r="B952" s="5" t="s">
        <v>1638</v>
      </c>
      <c r="C952" s="5" t="s">
        <v>1644</v>
      </c>
      <c r="D952" s="5" t="s">
        <v>6636</v>
      </c>
      <c r="E952" s="8">
        <f>vlookup(B952,Filmes_final!$B$2:$U$1001,20,FALSE)</f>
        <v>8107768</v>
      </c>
      <c r="F952" s="5">
        <f>vlookup(B952,Filmes_final!$B$2:$U$1001,3,FALSE)</f>
        <v>2004</v>
      </c>
      <c r="G952" s="5" t="str">
        <f>vlookup(B952,Filmes_final!$B$2:$U$1001,13,FALSE)</f>
        <v>Richard Linklater</v>
      </c>
    </row>
    <row r="953">
      <c r="A953" s="5">
        <v>238.0</v>
      </c>
      <c r="B953" s="5" t="s">
        <v>1638</v>
      </c>
      <c r="C953" s="5" t="s">
        <v>1645</v>
      </c>
      <c r="D953" s="5" t="s">
        <v>6637</v>
      </c>
      <c r="E953" s="8">
        <f>vlookup(B953,Filmes_final!$B$2:$U$1001,20,FALSE)</f>
        <v>8107768</v>
      </c>
      <c r="F953" s="5">
        <f>vlookup(B953,Filmes_final!$B$2:$U$1001,3,FALSE)</f>
        <v>2004</v>
      </c>
      <c r="G953" s="5" t="str">
        <f>vlookup(B953,Filmes_final!$B$2:$U$1001,13,FALSE)</f>
        <v>Richard Linklater</v>
      </c>
    </row>
    <row r="954">
      <c r="A954" s="5">
        <v>239.0</v>
      </c>
      <c r="B954" s="5" t="s">
        <v>1646</v>
      </c>
      <c r="C954" s="5" t="s">
        <v>1457</v>
      </c>
      <c r="D954" s="5" t="s">
        <v>6634</v>
      </c>
      <c r="E954" s="8">
        <f>vlookup(B954,Filmes_final!$B$2:$U$1001,20,FALSE)</f>
        <v>4454814</v>
      </c>
      <c r="F954" s="5">
        <f>vlookup(B954,Filmes_final!$B$2:$U$1001,3,FALSE)</f>
        <v>2003</v>
      </c>
      <c r="G954" s="5" t="str">
        <f>vlookup(B954,Filmes_final!$B$2:$U$1001,13,FALSE)</f>
        <v>Rajkumar Hirani</v>
      </c>
    </row>
    <row r="955">
      <c r="A955" s="5">
        <v>239.0</v>
      </c>
      <c r="B955" s="5" t="s">
        <v>1646</v>
      </c>
      <c r="C955" s="5" t="s">
        <v>1620</v>
      </c>
      <c r="D955" s="5" t="s">
        <v>6635</v>
      </c>
      <c r="E955" s="8">
        <f>vlookup(B955,Filmes_final!$B$2:$U$1001,20,FALSE)</f>
        <v>4454814</v>
      </c>
      <c r="F955" s="5">
        <f>vlookup(B955,Filmes_final!$B$2:$U$1001,3,FALSE)</f>
        <v>2003</v>
      </c>
      <c r="G955" s="5" t="str">
        <f>vlookup(B955,Filmes_final!$B$2:$U$1001,13,FALSE)</f>
        <v>Rajkumar Hirani</v>
      </c>
    </row>
    <row r="956">
      <c r="A956" s="5">
        <v>239.0</v>
      </c>
      <c r="B956" s="5" t="s">
        <v>1646</v>
      </c>
      <c r="C956" s="5" t="s">
        <v>1648</v>
      </c>
      <c r="D956" s="5" t="s">
        <v>6636</v>
      </c>
      <c r="E956" s="8">
        <f>vlookup(B956,Filmes_final!$B$2:$U$1001,20,FALSE)</f>
        <v>4454814</v>
      </c>
      <c r="F956" s="5">
        <f>vlookup(B956,Filmes_final!$B$2:$U$1001,3,FALSE)</f>
        <v>2003</v>
      </c>
      <c r="G956" s="5" t="str">
        <f>vlookup(B956,Filmes_final!$B$2:$U$1001,13,FALSE)</f>
        <v>Rajkumar Hirani</v>
      </c>
    </row>
    <row r="957">
      <c r="A957" s="5">
        <v>239.0</v>
      </c>
      <c r="B957" s="5" t="s">
        <v>1646</v>
      </c>
      <c r="C957" s="5" t="s">
        <v>1649</v>
      </c>
      <c r="D957" s="5" t="s">
        <v>6637</v>
      </c>
      <c r="E957" s="8">
        <f>vlookup(B957,Filmes_final!$B$2:$U$1001,20,FALSE)</f>
        <v>4454814</v>
      </c>
      <c r="F957" s="5">
        <f>vlookup(B957,Filmes_final!$B$2:$U$1001,3,FALSE)</f>
        <v>2003</v>
      </c>
      <c r="G957" s="5" t="str">
        <f>vlookup(B957,Filmes_final!$B$2:$U$1001,13,FALSE)</f>
        <v>Rajkumar Hirani</v>
      </c>
    </row>
    <row r="958">
      <c r="A958" s="5">
        <v>240.0</v>
      </c>
      <c r="B958" s="5" t="s">
        <v>1650</v>
      </c>
      <c r="C958" s="5" t="s">
        <v>174</v>
      </c>
      <c r="D958" s="5" t="s">
        <v>6634</v>
      </c>
      <c r="E958" s="8">
        <f>vlookup(B958,Filmes_final!$B$2:$U$1001,20,FALSE)</f>
        <v>20063</v>
      </c>
      <c r="F958" s="5">
        <f>vlookup(B958,Filmes_final!$B$2:$U$1001,3,FALSE)</f>
        <v>2003</v>
      </c>
      <c r="G958" s="5" t="str">
        <f>vlookup(B958,Filmes_final!$B$2:$U$1001,13,FALSE)</f>
        <v>Bong Joon Ho</v>
      </c>
    </row>
    <row r="959">
      <c r="A959" s="5">
        <v>240.0</v>
      </c>
      <c r="B959" s="5" t="s">
        <v>1650</v>
      </c>
      <c r="C959" s="5" t="s">
        <v>1652</v>
      </c>
      <c r="D959" s="5" t="s">
        <v>6635</v>
      </c>
      <c r="E959" s="8">
        <f>vlookup(B959,Filmes_final!$B$2:$U$1001,20,FALSE)</f>
        <v>20063</v>
      </c>
      <c r="F959" s="5">
        <f>vlookup(B959,Filmes_final!$B$2:$U$1001,3,FALSE)</f>
        <v>2003</v>
      </c>
      <c r="G959" s="5" t="str">
        <f>vlookup(B959,Filmes_final!$B$2:$U$1001,13,FALSE)</f>
        <v>Bong Joon Ho</v>
      </c>
    </row>
    <row r="960">
      <c r="A960" s="5">
        <v>240.0</v>
      </c>
      <c r="B960" s="5" t="s">
        <v>1650</v>
      </c>
      <c r="C960" s="5" t="s">
        <v>1653</v>
      </c>
      <c r="D960" s="5" t="s">
        <v>6636</v>
      </c>
      <c r="E960" s="8">
        <f>vlookup(B960,Filmes_final!$B$2:$U$1001,20,FALSE)</f>
        <v>20063</v>
      </c>
      <c r="F960" s="5">
        <f>vlookup(B960,Filmes_final!$B$2:$U$1001,3,FALSE)</f>
        <v>2003</v>
      </c>
      <c r="G960" s="5" t="str">
        <f>vlookup(B960,Filmes_final!$B$2:$U$1001,13,FALSE)</f>
        <v>Bong Joon Ho</v>
      </c>
    </row>
    <row r="961">
      <c r="A961" s="5">
        <v>240.0</v>
      </c>
      <c r="B961" s="5" t="s">
        <v>1650</v>
      </c>
      <c r="C961" s="5" t="s">
        <v>1654</v>
      </c>
      <c r="D961" s="5" t="s">
        <v>6637</v>
      </c>
      <c r="E961" s="8">
        <f>vlookup(B961,Filmes_final!$B$2:$U$1001,20,FALSE)</f>
        <v>20063</v>
      </c>
      <c r="F961" s="5">
        <f>vlookup(B961,Filmes_final!$B$2:$U$1001,3,FALSE)</f>
        <v>2003</v>
      </c>
      <c r="G961" s="5" t="str">
        <f>vlookup(B961,Filmes_final!$B$2:$U$1001,13,FALSE)</f>
        <v>Bong Joon Ho</v>
      </c>
    </row>
    <row r="962">
      <c r="A962" s="5">
        <v>241.0</v>
      </c>
      <c r="B962" s="5" t="s">
        <v>1655</v>
      </c>
      <c r="C962" s="5" t="s">
        <v>461</v>
      </c>
      <c r="D962" s="5" t="s">
        <v>6634</v>
      </c>
      <c r="E962" s="8">
        <f>vlookup(B962,Filmes_final!$B$2:$U$1001,20,FALSE)</f>
        <v>442</v>
      </c>
      <c r="F962" s="5">
        <f>vlookup(B962,Filmes_final!$B$2:$U$1001,3,FALSE)</f>
        <v>2001</v>
      </c>
      <c r="G962" s="5" t="str">
        <f>vlookup(B962,Filmes_final!$B$2:$U$1001,13,FALSE)</f>
        <v>Farhan Akhtar</v>
      </c>
    </row>
    <row r="963">
      <c r="A963" s="5">
        <v>241.0</v>
      </c>
      <c r="B963" s="5" t="s">
        <v>1655</v>
      </c>
      <c r="C963" s="5" t="s">
        <v>1659</v>
      </c>
      <c r="D963" s="5" t="s">
        <v>6635</v>
      </c>
      <c r="E963" s="8">
        <f>vlookup(B963,Filmes_final!$B$2:$U$1001,20,FALSE)</f>
        <v>442</v>
      </c>
      <c r="F963" s="5">
        <f>vlookup(B963,Filmes_final!$B$2:$U$1001,3,FALSE)</f>
        <v>2001</v>
      </c>
      <c r="G963" s="5" t="str">
        <f>vlookup(B963,Filmes_final!$B$2:$U$1001,13,FALSE)</f>
        <v>Farhan Akhtar</v>
      </c>
    </row>
    <row r="964">
      <c r="A964" s="5">
        <v>241.0</v>
      </c>
      <c r="B964" s="5" t="s">
        <v>1655</v>
      </c>
      <c r="C964" s="5" t="s">
        <v>1660</v>
      </c>
      <c r="D964" s="5" t="s">
        <v>6636</v>
      </c>
      <c r="E964" s="8">
        <f>vlookup(B964,Filmes_final!$B$2:$U$1001,20,FALSE)</f>
        <v>442</v>
      </c>
      <c r="F964" s="5">
        <f>vlookup(B964,Filmes_final!$B$2:$U$1001,3,FALSE)</f>
        <v>2001</v>
      </c>
      <c r="G964" s="5" t="str">
        <f>vlookup(B964,Filmes_final!$B$2:$U$1001,13,FALSE)</f>
        <v>Farhan Akhtar</v>
      </c>
    </row>
    <row r="965">
      <c r="A965" s="5">
        <v>241.0</v>
      </c>
      <c r="B965" s="5" t="s">
        <v>1655</v>
      </c>
      <c r="C965" s="5" t="s">
        <v>1661</v>
      </c>
      <c r="D965" s="5" t="s">
        <v>6637</v>
      </c>
      <c r="E965" s="8">
        <f>vlookup(B965,Filmes_final!$B$2:$U$1001,20,FALSE)</f>
        <v>442</v>
      </c>
      <c r="F965" s="5">
        <f>vlookup(B965,Filmes_final!$B$2:$U$1001,3,FALSE)</f>
        <v>2001</v>
      </c>
      <c r="G965" s="5" t="str">
        <f>vlookup(B965,Filmes_final!$B$2:$U$1001,13,FALSE)</f>
        <v>Farhan Akhtar</v>
      </c>
    </row>
    <row r="966">
      <c r="A966" s="5">
        <v>242.0</v>
      </c>
      <c r="B966" s="5" t="s">
        <v>1662</v>
      </c>
      <c r="C966" s="5" t="s">
        <v>74</v>
      </c>
      <c r="D966" s="5" t="s">
        <v>6634</v>
      </c>
      <c r="E966" s="8">
        <f>vlookup(B966,Filmes_final!$B$2:$U$1001,20,FALSE)</f>
        <v>99524055</v>
      </c>
      <c r="F966" s="5">
        <f>vlookup(B966,Filmes_final!$B$2:$U$1001,3,FALSE)</f>
        <v>2003</v>
      </c>
      <c r="G966" s="5" t="str">
        <f>vlookup(B966,Filmes_final!$B$2:$U$1001,13,FALSE)</f>
        <v>Quentin Tarantino</v>
      </c>
    </row>
    <row r="967">
      <c r="A967" s="5">
        <v>242.0</v>
      </c>
      <c r="B967" s="5" t="s">
        <v>1662</v>
      </c>
      <c r="C967" s="5" t="s">
        <v>1665</v>
      </c>
      <c r="D967" s="5" t="s">
        <v>6635</v>
      </c>
      <c r="E967" s="8">
        <f>vlookup(B967,Filmes_final!$B$2:$U$1001,20,FALSE)</f>
        <v>99524055</v>
      </c>
      <c r="F967" s="5">
        <f>vlookup(B967,Filmes_final!$B$2:$U$1001,3,FALSE)</f>
        <v>2003</v>
      </c>
      <c r="G967" s="5" t="str">
        <f>vlookup(B967,Filmes_final!$B$2:$U$1001,13,FALSE)</f>
        <v>Quentin Tarantino</v>
      </c>
    </row>
    <row r="968">
      <c r="A968" s="5">
        <v>242.0</v>
      </c>
      <c r="B968" s="5" t="s">
        <v>1662</v>
      </c>
      <c r="C968" s="5" t="s">
        <v>1666</v>
      </c>
      <c r="D968" s="5" t="s">
        <v>6636</v>
      </c>
      <c r="E968" s="8">
        <f>vlookup(B968,Filmes_final!$B$2:$U$1001,20,FALSE)</f>
        <v>99524055</v>
      </c>
      <c r="F968" s="5">
        <f>vlookup(B968,Filmes_final!$B$2:$U$1001,3,FALSE)</f>
        <v>2003</v>
      </c>
      <c r="G968" s="5" t="str">
        <f>vlookup(B968,Filmes_final!$B$2:$U$1001,13,FALSE)</f>
        <v>Quentin Tarantino</v>
      </c>
    </row>
    <row r="969">
      <c r="A969" s="5">
        <v>242.0</v>
      </c>
      <c r="B969" s="5" t="s">
        <v>1662</v>
      </c>
      <c r="C969" s="5" t="s">
        <v>782</v>
      </c>
      <c r="D969" s="5" t="s">
        <v>6637</v>
      </c>
      <c r="E969" s="8">
        <f>vlookup(B969,Filmes_final!$B$2:$U$1001,20,FALSE)</f>
        <v>99524055</v>
      </c>
      <c r="F969" s="5">
        <f>vlookup(B969,Filmes_final!$B$2:$U$1001,3,FALSE)</f>
        <v>2003</v>
      </c>
      <c r="G969" s="5" t="str">
        <f>vlookup(B969,Filmes_final!$B$2:$U$1001,13,FALSE)</f>
        <v>Quentin Tarantino</v>
      </c>
    </row>
    <row r="970">
      <c r="A970" s="5">
        <v>243.0</v>
      </c>
      <c r="B970" s="5" t="s">
        <v>1667</v>
      </c>
      <c r="C970" s="5" t="s">
        <v>489</v>
      </c>
      <c r="D970" s="5" t="s">
        <v>6634</v>
      </c>
      <c r="E970" s="8">
        <f>vlookup(B970,Filmes_final!$B$2:$U$1001,20,FALSE)</f>
        <v>540707304</v>
      </c>
      <c r="F970" s="5">
        <f>vlookup(B970,Filmes_final!$B$2:$U$1001,3,FALSE)</f>
        <v>2003</v>
      </c>
      <c r="G970" s="5" t="str">
        <f>vlookup(B970,Filmes_final!$B$2:$U$1001,13,FALSE)</f>
        <v>Andrew Stanton</v>
      </c>
    </row>
    <row r="971">
      <c r="A971" s="5">
        <v>243.0</v>
      </c>
      <c r="B971" s="5" t="s">
        <v>1667</v>
      </c>
      <c r="C971" s="5" t="s">
        <v>828</v>
      </c>
      <c r="D971" s="5" t="s">
        <v>6635</v>
      </c>
      <c r="E971" s="8">
        <f>vlookup(B971,Filmes_final!$B$2:$U$1001,20,FALSE)</f>
        <v>540707304</v>
      </c>
      <c r="F971" s="5">
        <f>vlookup(B971,Filmes_final!$B$2:$U$1001,3,FALSE)</f>
        <v>2003</v>
      </c>
      <c r="G971" s="5" t="str">
        <f>vlookup(B971,Filmes_final!$B$2:$U$1001,13,FALSE)</f>
        <v>Andrew Stanton</v>
      </c>
    </row>
    <row r="972">
      <c r="A972" s="5">
        <v>243.0</v>
      </c>
      <c r="B972" s="5" t="s">
        <v>1667</v>
      </c>
      <c r="C972" s="5" t="s">
        <v>1669</v>
      </c>
      <c r="D972" s="5" t="s">
        <v>6636</v>
      </c>
      <c r="E972" s="8">
        <f>vlookup(B972,Filmes_final!$B$2:$U$1001,20,FALSE)</f>
        <v>540707304</v>
      </c>
      <c r="F972" s="5">
        <f>vlookup(B972,Filmes_final!$B$2:$U$1001,3,FALSE)</f>
        <v>2003</v>
      </c>
      <c r="G972" s="5" t="str">
        <f>vlookup(B972,Filmes_final!$B$2:$U$1001,13,FALSE)</f>
        <v>Andrew Stanton</v>
      </c>
    </row>
    <row r="973">
      <c r="A973" s="5">
        <v>243.0</v>
      </c>
      <c r="B973" s="5" t="s">
        <v>1667</v>
      </c>
      <c r="C973" s="5" t="s">
        <v>1670</v>
      </c>
      <c r="D973" s="5" t="s">
        <v>6637</v>
      </c>
      <c r="E973" s="8">
        <f>vlookup(B973,Filmes_final!$B$2:$U$1001,20,FALSE)</f>
        <v>540707304</v>
      </c>
      <c r="F973" s="5">
        <f>vlookup(B973,Filmes_final!$B$2:$U$1001,3,FALSE)</f>
        <v>2003</v>
      </c>
      <c r="G973" s="5" t="str">
        <f>vlookup(B973,Filmes_final!$B$2:$U$1001,13,FALSE)</f>
        <v>Andrew Stanton</v>
      </c>
    </row>
    <row r="974">
      <c r="A974" s="5">
        <v>244.0</v>
      </c>
      <c r="B974" s="5" t="s">
        <v>1671</v>
      </c>
      <c r="C974" s="5" t="s">
        <v>90</v>
      </c>
      <c r="D974" s="5" t="s">
        <v>6634</v>
      </c>
      <c r="E974" s="8">
        <f>vlookup(B974,Filmes_final!$B$2:$U$1001,20,FALSE)</f>
        <v>239785358</v>
      </c>
      <c r="F974" s="5">
        <f>vlookup(B974,Filmes_final!$B$2:$U$1001,3,FALSE)</f>
        <v>2002</v>
      </c>
      <c r="G974" s="5" t="str">
        <f>vlookup(B974,Filmes_final!$B$2:$U$1001,13,FALSE)</f>
        <v>Steven Spielberg</v>
      </c>
    </row>
    <row r="975">
      <c r="A975" s="5">
        <v>244.0</v>
      </c>
      <c r="B975" s="5" t="s">
        <v>1671</v>
      </c>
      <c r="C975" s="5" t="s">
        <v>110</v>
      </c>
      <c r="D975" s="5" t="s">
        <v>6635</v>
      </c>
      <c r="E975" s="8">
        <f>vlookup(B975,Filmes_final!$B$2:$U$1001,20,FALSE)</f>
        <v>239785358</v>
      </c>
      <c r="F975" s="5">
        <f>vlookup(B975,Filmes_final!$B$2:$U$1001,3,FALSE)</f>
        <v>2002</v>
      </c>
      <c r="G975" s="5" t="str">
        <f>vlookup(B975,Filmes_final!$B$2:$U$1001,13,FALSE)</f>
        <v>Steven Spielberg</v>
      </c>
    </row>
    <row r="976">
      <c r="A976" s="5">
        <v>244.0</v>
      </c>
      <c r="B976" s="5" t="s">
        <v>1671</v>
      </c>
      <c r="C976" s="5" t="s">
        <v>1674</v>
      </c>
      <c r="D976" s="5" t="s">
        <v>6636</v>
      </c>
      <c r="E976" s="8">
        <f>vlookup(B976,Filmes_final!$B$2:$U$1001,20,FALSE)</f>
        <v>239785358</v>
      </c>
      <c r="F976" s="5">
        <f>vlookup(B976,Filmes_final!$B$2:$U$1001,3,FALSE)</f>
        <v>2002</v>
      </c>
      <c r="G976" s="5" t="str">
        <f>vlookup(B976,Filmes_final!$B$2:$U$1001,13,FALSE)</f>
        <v>Steven Spielberg</v>
      </c>
    </row>
    <row r="977">
      <c r="A977" s="5">
        <v>244.0</v>
      </c>
      <c r="B977" s="5" t="s">
        <v>1671</v>
      </c>
      <c r="C977" s="5" t="s">
        <v>578</v>
      </c>
      <c r="D977" s="5" t="s">
        <v>6637</v>
      </c>
      <c r="E977" s="8">
        <f>vlookup(B977,Filmes_final!$B$2:$U$1001,20,FALSE)</f>
        <v>239785358</v>
      </c>
      <c r="F977" s="5">
        <f>vlookup(B977,Filmes_final!$B$2:$U$1001,3,FALSE)</f>
        <v>2002</v>
      </c>
      <c r="G977" s="5" t="str">
        <f>vlookup(B977,Filmes_final!$B$2:$U$1001,13,FALSE)</f>
        <v>Steven Spielberg</v>
      </c>
    </row>
    <row r="978">
      <c r="A978" s="5">
        <v>245.0</v>
      </c>
      <c r="B978" s="5" t="s">
        <v>1675</v>
      </c>
      <c r="C978" s="5" t="s">
        <v>1678</v>
      </c>
      <c r="D978" s="5" t="s">
        <v>6634</v>
      </c>
      <c r="E978" s="8">
        <f>vlookup(B978,Filmes_final!$B$2:$U$1001,20,FALSE)</f>
        <v>8227921</v>
      </c>
      <c r="F978" s="5">
        <f>vlookup(B978,Filmes_final!$B$2:$U$1001,3,FALSE)</f>
        <v>2000</v>
      </c>
      <c r="G978" s="5" t="str">
        <f>vlookup(B978,Filmes_final!$B$2:$U$1001,13,FALSE)</f>
        <v>Alejandro G. Iñárritu</v>
      </c>
    </row>
    <row r="979">
      <c r="A979" s="5">
        <v>245.0</v>
      </c>
      <c r="B979" s="5" t="s">
        <v>1675</v>
      </c>
      <c r="C979" s="5" t="s">
        <v>492</v>
      </c>
      <c r="D979" s="5" t="s">
        <v>6635</v>
      </c>
      <c r="E979" s="8">
        <f>vlookup(B979,Filmes_final!$B$2:$U$1001,20,FALSE)</f>
        <v>8227921</v>
      </c>
      <c r="F979" s="5">
        <f>vlookup(B979,Filmes_final!$B$2:$U$1001,3,FALSE)</f>
        <v>2000</v>
      </c>
      <c r="G979" s="5" t="str">
        <f>vlookup(B979,Filmes_final!$B$2:$U$1001,13,FALSE)</f>
        <v>Alejandro G. Iñárritu</v>
      </c>
    </row>
    <row r="980">
      <c r="A980" s="5">
        <v>245.0</v>
      </c>
      <c r="B980" s="5" t="s">
        <v>1675</v>
      </c>
      <c r="C980" s="5" t="s">
        <v>1679</v>
      </c>
      <c r="D980" s="5" t="s">
        <v>6636</v>
      </c>
      <c r="E980" s="8">
        <f>vlookup(B980,Filmes_final!$B$2:$U$1001,20,FALSE)</f>
        <v>8227921</v>
      </c>
      <c r="F980" s="5">
        <f>vlookup(B980,Filmes_final!$B$2:$U$1001,3,FALSE)</f>
        <v>2000</v>
      </c>
      <c r="G980" s="5" t="str">
        <f>vlookup(B980,Filmes_final!$B$2:$U$1001,13,FALSE)</f>
        <v>Alejandro G. Iñárritu</v>
      </c>
    </row>
    <row r="981">
      <c r="A981" s="5">
        <v>245.0</v>
      </c>
      <c r="B981" s="5" t="s">
        <v>1675</v>
      </c>
      <c r="C981" s="5" t="s">
        <v>1680</v>
      </c>
      <c r="D981" s="5" t="s">
        <v>6637</v>
      </c>
      <c r="E981" s="8">
        <f>vlookup(B981,Filmes_final!$B$2:$U$1001,20,FALSE)</f>
        <v>8227921</v>
      </c>
      <c r="F981" s="5">
        <f>vlookup(B981,Filmes_final!$B$2:$U$1001,3,FALSE)</f>
        <v>2000</v>
      </c>
      <c r="G981" s="5" t="str">
        <f>vlookup(B981,Filmes_final!$B$2:$U$1001,13,FALSE)</f>
        <v>Alejandro G. Iñárritu</v>
      </c>
    </row>
    <row r="982">
      <c r="A982" s="5">
        <v>246.0</v>
      </c>
      <c r="B982" s="5" t="s">
        <v>1681</v>
      </c>
      <c r="C982" s="5" t="s">
        <v>1683</v>
      </c>
      <c r="D982" s="5" t="s">
        <v>6634</v>
      </c>
      <c r="E982" s="8">
        <f>vlookup(B982,Filmes_final!$B$2:$U$1001,20,FALSE)</f>
        <v>427127279</v>
      </c>
      <c r="F982" s="5">
        <f>vlookup(B982,Filmes_final!$B$2:$U$1001,3,FALSE)</f>
        <v>2001</v>
      </c>
      <c r="G982" s="5" t="str">
        <f>vlookup(B982,Filmes_final!$B$2:$U$1001,13,FALSE)</f>
        <v>Pete Docter</v>
      </c>
    </row>
    <row r="983">
      <c r="A983" s="5">
        <v>246.0</v>
      </c>
      <c r="B983" s="5" t="s">
        <v>1681</v>
      </c>
      <c r="C983" s="5" t="s">
        <v>489</v>
      </c>
      <c r="D983" s="5" t="s">
        <v>6635</v>
      </c>
      <c r="E983" s="8">
        <f>vlookup(B983,Filmes_final!$B$2:$U$1001,20,FALSE)</f>
        <v>427127279</v>
      </c>
      <c r="F983" s="5">
        <f>vlookup(B983,Filmes_final!$B$2:$U$1001,3,FALSE)</f>
        <v>2001</v>
      </c>
      <c r="G983" s="5" t="str">
        <f>vlookup(B983,Filmes_final!$B$2:$U$1001,13,FALSE)</f>
        <v>Pete Docter</v>
      </c>
    </row>
    <row r="984">
      <c r="A984" s="5">
        <v>246.0</v>
      </c>
      <c r="B984" s="5" t="s">
        <v>1681</v>
      </c>
      <c r="C984" s="5" t="s">
        <v>1684</v>
      </c>
      <c r="D984" s="5" t="s">
        <v>6636</v>
      </c>
      <c r="E984" s="8">
        <f>vlookup(B984,Filmes_final!$B$2:$U$1001,20,FALSE)</f>
        <v>427127279</v>
      </c>
      <c r="F984" s="5">
        <f>vlookup(B984,Filmes_final!$B$2:$U$1001,3,FALSE)</f>
        <v>2001</v>
      </c>
      <c r="G984" s="5" t="str">
        <f>vlookup(B984,Filmes_final!$B$2:$U$1001,13,FALSE)</f>
        <v>Pete Docter</v>
      </c>
    </row>
    <row r="985">
      <c r="A985" s="5">
        <v>246.0</v>
      </c>
      <c r="B985" s="5" t="s">
        <v>1681</v>
      </c>
      <c r="C985" s="5" t="s">
        <v>1685</v>
      </c>
      <c r="D985" s="5" t="s">
        <v>6637</v>
      </c>
      <c r="E985" s="8">
        <f>vlookup(B985,Filmes_final!$B$2:$U$1001,20,FALSE)</f>
        <v>427127279</v>
      </c>
      <c r="F985" s="5">
        <f>vlookup(B985,Filmes_final!$B$2:$U$1001,3,FALSE)</f>
        <v>2001</v>
      </c>
      <c r="G985" s="5" t="str">
        <f>vlookup(B985,Filmes_final!$B$2:$U$1001,13,FALSE)</f>
        <v>Pete Docter</v>
      </c>
    </row>
    <row r="986">
      <c r="A986" s="5">
        <v>247.0</v>
      </c>
      <c r="B986" s="5" t="s">
        <v>1686</v>
      </c>
      <c r="C986" s="5" t="s">
        <v>1690</v>
      </c>
      <c r="D986" s="5" t="s">
        <v>6634</v>
      </c>
      <c r="E986" s="8">
        <f>vlookup(B986,Filmes_final!$B$2:$U$1001,20,FALSE)</f>
        <v>0</v>
      </c>
      <c r="F986" s="5">
        <f>vlookup(B986,Filmes_final!$B$2:$U$1001,3,FALSE)</f>
        <v>1997</v>
      </c>
      <c r="G986" s="5" t="str">
        <f>vlookup(B986,Filmes_final!$B$2:$U$1001,13,FALSE)</f>
        <v>Hideaki Anno</v>
      </c>
    </row>
    <row r="987">
      <c r="A987" s="5">
        <v>247.0</v>
      </c>
      <c r="B987" s="5" t="s">
        <v>1686</v>
      </c>
      <c r="C987" s="5" t="s">
        <v>1691</v>
      </c>
      <c r="D987" s="5" t="s">
        <v>6635</v>
      </c>
      <c r="E987" s="8">
        <f>vlookup(B987,Filmes_final!$B$2:$U$1001,20,FALSE)</f>
        <v>0</v>
      </c>
      <c r="F987" s="5">
        <f>vlookup(B987,Filmes_final!$B$2:$U$1001,3,FALSE)</f>
        <v>1997</v>
      </c>
      <c r="G987" s="5" t="str">
        <f>vlookup(B987,Filmes_final!$B$2:$U$1001,13,FALSE)</f>
        <v>Hideaki Anno</v>
      </c>
    </row>
    <row r="988">
      <c r="A988" s="5">
        <v>247.0</v>
      </c>
      <c r="B988" s="5" t="s">
        <v>1686</v>
      </c>
      <c r="C988" s="5" t="s">
        <v>1692</v>
      </c>
      <c r="D988" s="5" t="s">
        <v>6636</v>
      </c>
      <c r="E988" s="8">
        <f>vlookup(B988,Filmes_final!$B$2:$U$1001,20,FALSE)</f>
        <v>0</v>
      </c>
      <c r="F988" s="5">
        <f>vlookup(B988,Filmes_final!$B$2:$U$1001,3,FALSE)</f>
        <v>1997</v>
      </c>
      <c r="G988" s="5" t="str">
        <f>vlookup(B988,Filmes_final!$B$2:$U$1001,13,FALSE)</f>
        <v>Hideaki Anno</v>
      </c>
    </row>
    <row r="989">
      <c r="A989" s="5">
        <v>247.0</v>
      </c>
      <c r="B989" s="5" t="s">
        <v>1686</v>
      </c>
      <c r="C989" s="5" t="s">
        <v>1693</v>
      </c>
      <c r="D989" s="5" t="s">
        <v>6637</v>
      </c>
      <c r="E989" s="8">
        <f>vlookup(B989,Filmes_final!$B$2:$U$1001,20,FALSE)</f>
        <v>0</v>
      </c>
      <c r="F989" s="5">
        <f>vlookup(B989,Filmes_final!$B$2:$U$1001,3,FALSE)</f>
        <v>1997</v>
      </c>
      <c r="G989" s="5" t="str">
        <f>vlookup(B989,Filmes_final!$B$2:$U$1001,13,FALSE)</f>
        <v>Hideaki Anno</v>
      </c>
    </row>
    <row r="990">
      <c r="A990" s="5">
        <v>248.0</v>
      </c>
      <c r="B990" s="5" t="s">
        <v>1694</v>
      </c>
      <c r="C990" s="5" t="s">
        <v>461</v>
      </c>
      <c r="D990" s="5" t="s">
        <v>6634</v>
      </c>
      <c r="E990" s="8">
        <f>vlookup(B990,Filmes_final!$B$2:$U$1001,20,FALSE)</f>
        <v>103346</v>
      </c>
      <c r="F990" s="5">
        <f>vlookup(B990,Filmes_final!$B$2:$U$1001,3,FALSE)</f>
        <v>2001</v>
      </c>
      <c r="G990" s="5" t="str">
        <f>vlookup(B990,Filmes_final!$B$2:$U$1001,13,FALSE)</f>
        <v>Ashutosh Gowariker</v>
      </c>
    </row>
    <row r="991">
      <c r="A991" s="5">
        <v>248.0</v>
      </c>
      <c r="B991" s="5" t="s">
        <v>1694</v>
      </c>
      <c r="C991" s="5" t="s">
        <v>1698</v>
      </c>
      <c r="D991" s="5" t="s">
        <v>6635</v>
      </c>
      <c r="E991" s="8">
        <f>vlookup(B991,Filmes_final!$B$2:$U$1001,20,FALSE)</f>
        <v>103346</v>
      </c>
      <c r="F991" s="5">
        <f>vlookup(B991,Filmes_final!$B$2:$U$1001,3,FALSE)</f>
        <v>2001</v>
      </c>
      <c r="G991" s="5" t="str">
        <f>vlookup(B991,Filmes_final!$B$2:$U$1001,13,FALSE)</f>
        <v>Ashutosh Gowariker</v>
      </c>
    </row>
    <row r="992">
      <c r="A992" s="5">
        <v>248.0</v>
      </c>
      <c r="B992" s="5" t="s">
        <v>1694</v>
      </c>
      <c r="C992" s="5" t="s">
        <v>1648</v>
      </c>
      <c r="D992" s="5" t="s">
        <v>6636</v>
      </c>
      <c r="E992" s="8">
        <f>vlookup(B992,Filmes_final!$B$2:$U$1001,20,FALSE)</f>
        <v>103346</v>
      </c>
      <c r="F992" s="5">
        <f>vlookup(B992,Filmes_final!$B$2:$U$1001,3,FALSE)</f>
        <v>2001</v>
      </c>
      <c r="G992" s="5" t="str">
        <f>vlookup(B992,Filmes_final!$B$2:$U$1001,13,FALSE)</f>
        <v>Ashutosh Gowariker</v>
      </c>
    </row>
    <row r="993">
      <c r="A993" s="5">
        <v>248.0</v>
      </c>
      <c r="B993" s="5" t="s">
        <v>1694</v>
      </c>
      <c r="C993" s="5" t="s">
        <v>1699</v>
      </c>
      <c r="D993" s="5" t="s">
        <v>6637</v>
      </c>
      <c r="E993" s="8">
        <f>vlookup(B993,Filmes_final!$B$2:$U$1001,20,FALSE)</f>
        <v>103346</v>
      </c>
      <c r="F993" s="5">
        <f>vlookup(B993,Filmes_final!$B$2:$U$1001,3,FALSE)</f>
        <v>2001</v>
      </c>
      <c r="G993" s="5" t="str">
        <f>vlookup(B993,Filmes_final!$B$2:$U$1001,13,FALSE)</f>
        <v>Ashutosh Gowariker</v>
      </c>
    </row>
    <row r="994">
      <c r="A994" s="5">
        <v>249.0</v>
      </c>
      <c r="B994" s="5" t="s">
        <v>1700</v>
      </c>
      <c r="C994" s="5" t="s">
        <v>76</v>
      </c>
      <c r="D994" s="5" t="s">
        <v>6634</v>
      </c>
      <c r="E994" s="8">
        <f>vlookup(B994,Filmes_final!$B$2:$U$1001,20,FALSE)</f>
        <v>460840607</v>
      </c>
      <c r="F994" s="5">
        <f>vlookup(B994,Filmes_final!$B$2:$U$1001,3,FALSE)</f>
        <v>1999</v>
      </c>
      <c r="G994" s="5" t="str">
        <f>vlookup(B994,Filmes_final!$B$2:$U$1001,13,FALSE)</f>
        <v>M. Night Shyamalan</v>
      </c>
    </row>
    <row r="995">
      <c r="A995" s="5">
        <v>249.0</v>
      </c>
      <c r="B995" s="5" t="s">
        <v>1700</v>
      </c>
      <c r="C995" s="5" t="s">
        <v>1703</v>
      </c>
      <c r="D995" s="5" t="s">
        <v>6635</v>
      </c>
      <c r="E995" s="8">
        <f>vlookup(B995,Filmes_final!$B$2:$U$1001,20,FALSE)</f>
        <v>460840607</v>
      </c>
      <c r="F995" s="5">
        <f>vlookup(B995,Filmes_final!$B$2:$U$1001,3,FALSE)</f>
        <v>1999</v>
      </c>
      <c r="G995" s="5" t="str">
        <f>vlookup(B995,Filmes_final!$B$2:$U$1001,13,FALSE)</f>
        <v>M. Night Shyamalan</v>
      </c>
    </row>
    <row r="996">
      <c r="A996" s="5">
        <v>249.0</v>
      </c>
      <c r="B996" s="5" t="s">
        <v>1700</v>
      </c>
      <c r="C996" s="5" t="s">
        <v>1592</v>
      </c>
      <c r="D996" s="5" t="s">
        <v>6636</v>
      </c>
      <c r="E996" s="8">
        <f>vlookup(B996,Filmes_final!$B$2:$U$1001,20,FALSE)</f>
        <v>460840607</v>
      </c>
      <c r="F996" s="5">
        <f>vlookup(B996,Filmes_final!$B$2:$U$1001,3,FALSE)</f>
        <v>1999</v>
      </c>
      <c r="G996" s="5" t="str">
        <f>vlookup(B996,Filmes_final!$B$2:$U$1001,13,FALSE)</f>
        <v>M. Night Shyamalan</v>
      </c>
    </row>
    <row r="997">
      <c r="A997" s="5">
        <v>249.0</v>
      </c>
      <c r="B997" s="5" t="s">
        <v>1700</v>
      </c>
      <c r="C997" s="5" t="s">
        <v>1704</v>
      </c>
      <c r="D997" s="5" t="s">
        <v>6637</v>
      </c>
      <c r="E997" s="8">
        <f>vlookup(B997,Filmes_final!$B$2:$U$1001,20,FALSE)</f>
        <v>460840607</v>
      </c>
      <c r="F997" s="5">
        <f>vlookup(B997,Filmes_final!$B$2:$U$1001,3,FALSE)</f>
        <v>1999</v>
      </c>
      <c r="G997" s="5" t="str">
        <f>vlookup(B997,Filmes_final!$B$2:$U$1001,13,FALSE)</f>
        <v>M. Night Shyamalan</v>
      </c>
    </row>
    <row r="998">
      <c r="A998" s="5">
        <v>250.0</v>
      </c>
      <c r="B998" s="5" t="s">
        <v>1705</v>
      </c>
      <c r="C998" s="5" t="s">
        <v>781</v>
      </c>
      <c r="D998" s="5" t="s">
        <v>6634</v>
      </c>
      <c r="E998" s="8">
        <f>vlookup(B998,Filmes_final!$B$2:$U$1001,20,FALSE)</f>
        <v>413659</v>
      </c>
      <c r="F998" s="5">
        <f>vlookup(B998,Filmes_final!$B$2:$U$1001,3,FALSE)</f>
        <v>1998</v>
      </c>
      <c r="G998" s="5" t="str">
        <f>vlookup(B998,Filmes_final!$B$2:$U$1001,13,FALSE)</f>
        <v>Giuseppe Tornatore</v>
      </c>
    </row>
    <row r="999">
      <c r="A999" s="5">
        <v>250.0</v>
      </c>
      <c r="B999" s="5" t="s">
        <v>1705</v>
      </c>
      <c r="C999" s="5" t="s">
        <v>1708</v>
      </c>
      <c r="D999" s="5" t="s">
        <v>6635</v>
      </c>
      <c r="E999" s="8">
        <f>vlookup(B999,Filmes_final!$B$2:$U$1001,20,FALSE)</f>
        <v>413659</v>
      </c>
      <c r="F999" s="5">
        <f>vlookup(B999,Filmes_final!$B$2:$U$1001,3,FALSE)</f>
        <v>1998</v>
      </c>
      <c r="G999" s="5" t="str">
        <f>vlookup(B999,Filmes_final!$B$2:$U$1001,13,FALSE)</f>
        <v>Giuseppe Tornatore</v>
      </c>
    </row>
    <row r="1000">
      <c r="A1000" s="5">
        <v>250.0</v>
      </c>
      <c r="B1000" s="5" t="s">
        <v>1705</v>
      </c>
      <c r="C1000" s="5" t="s">
        <v>1709</v>
      </c>
      <c r="D1000" s="5" t="s">
        <v>6636</v>
      </c>
      <c r="E1000" s="8">
        <f>vlookup(B1000,Filmes_final!$B$2:$U$1001,20,FALSE)</f>
        <v>413659</v>
      </c>
      <c r="F1000" s="5">
        <f>vlookup(B1000,Filmes_final!$B$2:$U$1001,3,FALSE)</f>
        <v>1998</v>
      </c>
      <c r="G1000" s="5" t="str">
        <f>vlookup(B1000,Filmes_final!$B$2:$U$1001,13,FALSE)</f>
        <v>Giuseppe Tornatore</v>
      </c>
    </row>
    <row r="1001">
      <c r="A1001" s="5">
        <v>250.0</v>
      </c>
      <c r="B1001" s="5" t="s">
        <v>1705</v>
      </c>
      <c r="C1001" s="5" t="s">
        <v>1710</v>
      </c>
      <c r="D1001" s="5" t="s">
        <v>6637</v>
      </c>
      <c r="E1001" s="8">
        <f>vlookup(B1001,Filmes_final!$B$2:$U$1001,20,FALSE)</f>
        <v>413659</v>
      </c>
      <c r="F1001" s="5">
        <f>vlookup(B1001,Filmes_final!$B$2:$U$1001,3,FALSE)</f>
        <v>1998</v>
      </c>
      <c r="G1001" s="5" t="str">
        <f>vlookup(B1001,Filmes_final!$B$2:$U$1001,13,FALSE)</f>
        <v>Giuseppe Tornatore</v>
      </c>
    </row>
    <row r="1002">
      <c r="A1002" s="5">
        <v>251.0</v>
      </c>
      <c r="B1002" s="5" t="s">
        <v>1711</v>
      </c>
      <c r="C1002" s="5" t="s">
        <v>718</v>
      </c>
      <c r="D1002" s="5" t="s">
        <v>6634</v>
      </c>
      <c r="E1002" s="8">
        <f>vlookup(B1002,Filmes_final!$B$2:$U$1001,20,FALSE)</f>
        <v>200531268</v>
      </c>
      <c r="F1002" s="5">
        <f>vlookup(B1002,Filmes_final!$B$2:$U$1001,3,FALSE)</f>
        <v>1998</v>
      </c>
      <c r="G1002" s="5" t="str">
        <f>vlookup(B1002,Filmes_final!$B$2:$U$1001,13,FALSE)</f>
        <v>Peter Weir</v>
      </c>
    </row>
    <row r="1003">
      <c r="A1003" s="5">
        <v>251.0</v>
      </c>
      <c r="B1003" s="5" t="s">
        <v>1711</v>
      </c>
      <c r="C1003" s="5" t="s">
        <v>1151</v>
      </c>
      <c r="D1003" s="5" t="s">
        <v>6635</v>
      </c>
      <c r="E1003" s="8">
        <f>vlookup(B1003,Filmes_final!$B$2:$U$1001,20,FALSE)</f>
        <v>200531268</v>
      </c>
      <c r="F1003" s="5">
        <f>vlookup(B1003,Filmes_final!$B$2:$U$1001,3,FALSE)</f>
        <v>1998</v>
      </c>
      <c r="G1003" s="5" t="str">
        <f>vlookup(B1003,Filmes_final!$B$2:$U$1001,13,FALSE)</f>
        <v>Peter Weir</v>
      </c>
    </row>
    <row r="1004">
      <c r="A1004" s="5">
        <v>251.0</v>
      </c>
      <c r="B1004" s="5" t="s">
        <v>1711</v>
      </c>
      <c r="C1004" s="5" t="s">
        <v>1714</v>
      </c>
      <c r="D1004" s="5" t="s">
        <v>6636</v>
      </c>
      <c r="E1004" s="8">
        <f>vlookup(B1004,Filmes_final!$B$2:$U$1001,20,FALSE)</f>
        <v>200531268</v>
      </c>
      <c r="F1004" s="5">
        <f>vlookup(B1004,Filmes_final!$B$2:$U$1001,3,FALSE)</f>
        <v>1998</v>
      </c>
      <c r="G1004" s="5" t="str">
        <f>vlookup(B1004,Filmes_final!$B$2:$U$1001,13,FALSE)</f>
        <v>Peter Weir</v>
      </c>
    </row>
    <row r="1005">
      <c r="A1005" s="5">
        <v>251.0</v>
      </c>
      <c r="B1005" s="5" t="s">
        <v>1711</v>
      </c>
      <c r="C1005" s="5" t="s">
        <v>1715</v>
      </c>
      <c r="D1005" s="5" t="s">
        <v>6637</v>
      </c>
      <c r="E1005" s="8">
        <f>vlookup(B1005,Filmes_final!$B$2:$U$1001,20,FALSE)</f>
        <v>200531268</v>
      </c>
      <c r="F1005" s="5">
        <f>vlookup(B1005,Filmes_final!$B$2:$U$1001,3,FALSE)</f>
        <v>1998</v>
      </c>
      <c r="G1005" s="5" t="str">
        <f>vlookup(B1005,Filmes_final!$B$2:$U$1001,13,FALSE)</f>
        <v>Peter Weir</v>
      </c>
    </row>
    <row r="1006">
      <c r="A1006" s="5">
        <v>252.0</v>
      </c>
      <c r="B1006" s="5" t="s">
        <v>1716</v>
      </c>
      <c r="C1006" s="5" t="s">
        <v>1720</v>
      </c>
      <c r="D1006" s="5" t="s">
        <v>6634</v>
      </c>
      <c r="E1006" s="8">
        <f>vlookup(B1006,Filmes_final!$B$2:$U$1001,20,FALSE)</f>
        <v>556585</v>
      </c>
      <c r="F1006" s="5">
        <f>vlookup(B1006,Filmes_final!$B$2:$U$1001,3,FALSE)</f>
        <v>1998</v>
      </c>
      <c r="G1006" s="5" t="str">
        <f>vlookup(B1006,Filmes_final!$B$2:$U$1001,13,FALSE)</f>
        <v>Emir Kusturica</v>
      </c>
    </row>
    <row r="1007">
      <c r="A1007" s="5">
        <v>252.0</v>
      </c>
      <c r="B1007" s="5" t="s">
        <v>1716</v>
      </c>
      <c r="C1007" s="5" t="s">
        <v>1721</v>
      </c>
      <c r="D1007" s="5" t="s">
        <v>6635</v>
      </c>
      <c r="E1007" s="8">
        <f>vlookup(B1007,Filmes_final!$B$2:$U$1001,20,FALSE)</f>
        <v>556585</v>
      </c>
      <c r="F1007" s="5">
        <f>vlookup(B1007,Filmes_final!$B$2:$U$1001,3,FALSE)</f>
        <v>1998</v>
      </c>
      <c r="G1007" s="5" t="str">
        <f>vlookup(B1007,Filmes_final!$B$2:$U$1001,13,FALSE)</f>
        <v>Emir Kusturica</v>
      </c>
    </row>
    <row r="1008">
      <c r="A1008" s="5">
        <v>252.0</v>
      </c>
      <c r="B1008" s="5" t="s">
        <v>1716</v>
      </c>
      <c r="C1008" s="5" t="s">
        <v>1722</v>
      </c>
      <c r="D1008" s="5" t="s">
        <v>6636</v>
      </c>
      <c r="E1008" s="8">
        <f>vlookup(B1008,Filmes_final!$B$2:$U$1001,20,FALSE)</f>
        <v>556585</v>
      </c>
      <c r="F1008" s="5">
        <f>vlookup(B1008,Filmes_final!$B$2:$U$1001,3,FALSE)</f>
        <v>1998</v>
      </c>
      <c r="G1008" s="5" t="str">
        <f>vlookup(B1008,Filmes_final!$B$2:$U$1001,13,FALSE)</f>
        <v>Emir Kusturica</v>
      </c>
    </row>
    <row r="1009">
      <c r="A1009" s="5">
        <v>252.0</v>
      </c>
      <c r="B1009" s="5" t="s">
        <v>1716</v>
      </c>
      <c r="C1009" s="5" t="s">
        <v>1723</v>
      </c>
      <c r="D1009" s="5" t="s">
        <v>6637</v>
      </c>
      <c r="E1009" s="8">
        <f>vlookup(B1009,Filmes_final!$B$2:$U$1001,20,FALSE)</f>
        <v>556585</v>
      </c>
      <c r="F1009" s="5">
        <f>vlookup(B1009,Filmes_final!$B$2:$U$1001,3,FALSE)</f>
        <v>1998</v>
      </c>
      <c r="G1009" s="5" t="str">
        <f>vlookup(B1009,Filmes_final!$B$2:$U$1001,13,FALSE)</f>
        <v>Emir Kusturica</v>
      </c>
    </row>
    <row r="1010">
      <c r="A1010" s="5">
        <v>253.0</v>
      </c>
      <c r="B1010" s="5" t="s">
        <v>1724</v>
      </c>
      <c r="C1010" s="5" t="s">
        <v>1612</v>
      </c>
      <c r="D1010" s="5" t="s">
        <v>6634</v>
      </c>
      <c r="E1010" s="8">
        <f>vlookup(B1010,Filmes_final!$B$2:$U$1001,20,FALSE)</f>
        <v>27934307</v>
      </c>
      <c r="F1010" s="5">
        <f>vlookup(B1010,Filmes_final!$B$2:$U$1001,3,FALSE)</f>
        <v>1998</v>
      </c>
      <c r="G1010" s="5" t="str">
        <f>vlookup(B1010,Filmes_final!$B$2:$U$1001,13,FALSE)</f>
        <v>Joel Coen</v>
      </c>
    </row>
    <row r="1011">
      <c r="A1011" s="5">
        <v>253.0</v>
      </c>
      <c r="B1011" s="5" t="s">
        <v>1724</v>
      </c>
      <c r="C1011" s="5" t="s">
        <v>1727</v>
      </c>
      <c r="D1011" s="5" t="s">
        <v>6635</v>
      </c>
      <c r="E1011" s="8">
        <f>vlookup(B1011,Filmes_final!$B$2:$U$1001,20,FALSE)</f>
        <v>27934307</v>
      </c>
      <c r="F1011" s="5">
        <f>vlookup(B1011,Filmes_final!$B$2:$U$1001,3,FALSE)</f>
        <v>1998</v>
      </c>
      <c r="G1011" s="5" t="str">
        <f>vlookup(B1011,Filmes_final!$B$2:$U$1001,13,FALSE)</f>
        <v>Joel Coen</v>
      </c>
    </row>
    <row r="1012">
      <c r="A1012" s="5">
        <v>253.0</v>
      </c>
      <c r="B1012" s="5" t="s">
        <v>1724</v>
      </c>
      <c r="C1012" s="5" t="s">
        <v>1685</v>
      </c>
      <c r="D1012" s="5" t="s">
        <v>6636</v>
      </c>
      <c r="E1012" s="8">
        <f>vlookup(B1012,Filmes_final!$B$2:$U$1001,20,FALSE)</f>
        <v>27934307</v>
      </c>
      <c r="F1012" s="5">
        <f>vlookup(B1012,Filmes_final!$B$2:$U$1001,3,FALSE)</f>
        <v>1998</v>
      </c>
      <c r="G1012" s="5" t="str">
        <f>vlookup(B1012,Filmes_final!$B$2:$U$1001,13,FALSE)</f>
        <v>Joel Coen</v>
      </c>
    </row>
    <row r="1013">
      <c r="A1013" s="5">
        <v>253.0</v>
      </c>
      <c r="B1013" s="5" t="s">
        <v>1724</v>
      </c>
      <c r="C1013" s="5" t="s">
        <v>1728</v>
      </c>
      <c r="D1013" s="5" t="s">
        <v>6637</v>
      </c>
      <c r="E1013" s="8">
        <f>vlookup(B1013,Filmes_final!$B$2:$U$1001,20,FALSE)</f>
        <v>27934307</v>
      </c>
      <c r="F1013" s="5">
        <f>vlookup(B1013,Filmes_final!$B$2:$U$1001,3,FALSE)</f>
        <v>1998</v>
      </c>
      <c r="G1013" s="5" t="str">
        <f>vlookup(B1013,Filmes_final!$B$2:$U$1001,13,FALSE)</f>
        <v>Joel Coen</v>
      </c>
    </row>
    <row r="1014">
      <c r="A1014" s="5">
        <v>254.0</v>
      </c>
      <c r="B1014" s="5" t="s">
        <v>1729</v>
      </c>
      <c r="C1014" s="5" t="s">
        <v>1732</v>
      </c>
      <c r="D1014" s="5" t="s">
        <v>6634</v>
      </c>
      <c r="E1014" s="8">
        <f>vlookup(B1014,Filmes_final!$B$2:$U$1001,20,FALSE)</f>
        <v>4178342</v>
      </c>
      <c r="F1014" s="5">
        <f>vlookup(B1014,Filmes_final!$B$2:$U$1001,3,FALSE)</f>
        <v>2000</v>
      </c>
      <c r="G1014" s="5" t="str">
        <f>vlookup(B1014,Filmes_final!$B$2:$U$1001,13,FALSE)</f>
        <v>Kar-Wai Wong</v>
      </c>
    </row>
    <row r="1015">
      <c r="A1015" s="5">
        <v>254.0</v>
      </c>
      <c r="B1015" s="5" t="s">
        <v>1729</v>
      </c>
      <c r="C1015" s="5" t="s">
        <v>1733</v>
      </c>
      <c r="D1015" s="5" t="s">
        <v>6635</v>
      </c>
      <c r="E1015" s="8">
        <f>vlookup(B1015,Filmes_final!$B$2:$U$1001,20,FALSE)</f>
        <v>4178342</v>
      </c>
      <c r="F1015" s="5">
        <f>vlookup(B1015,Filmes_final!$B$2:$U$1001,3,FALSE)</f>
        <v>2000</v>
      </c>
      <c r="G1015" s="5" t="str">
        <f>vlookup(B1015,Filmes_final!$B$2:$U$1001,13,FALSE)</f>
        <v>Kar-Wai Wong</v>
      </c>
    </row>
    <row r="1016">
      <c r="A1016" s="5">
        <v>254.0</v>
      </c>
      <c r="B1016" s="5" t="s">
        <v>1729</v>
      </c>
      <c r="C1016" s="5" t="s">
        <v>1734</v>
      </c>
      <c r="D1016" s="5" t="s">
        <v>6636</v>
      </c>
      <c r="E1016" s="8">
        <f>vlookup(B1016,Filmes_final!$B$2:$U$1001,20,FALSE)</f>
        <v>4178342</v>
      </c>
      <c r="F1016" s="5">
        <f>vlookup(B1016,Filmes_final!$B$2:$U$1001,3,FALSE)</f>
        <v>2000</v>
      </c>
      <c r="G1016" s="5" t="str">
        <f>vlookup(B1016,Filmes_final!$B$2:$U$1001,13,FALSE)</f>
        <v>Kar-Wai Wong</v>
      </c>
    </row>
    <row r="1017">
      <c r="A1017" s="5">
        <v>254.0</v>
      </c>
      <c r="B1017" s="5" t="s">
        <v>1729</v>
      </c>
      <c r="C1017" s="5" t="s">
        <v>1735</v>
      </c>
      <c r="D1017" s="5" t="s">
        <v>6637</v>
      </c>
      <c r="E1017" s="8">
        <f>vlookup(B1017,Filmes_final!$B$2:$U$1001,20,FALSE)</f>
        <v>4178342</v>
      </c>
      <c r="F1017" s="5">
        <f>vlookup(B1017,Filmes_final!$B$2:$U$1001,3,FALSE)</f>
        <v>2000</v>
      </c>
      <c r="G1017" s="5" t="str">
        <f>vlookup(B1017,Filmes_final!$B$2:$U$1001,13,FALSE)</f>
        <v>Kar-Wai Wong</v>
      </c>
    </row>
    <row r="1018">
      <c r="A1018" s="5">
        <v>255.0</v>
      </c>
      <c r="B1018" s="5" t="s">
        <v>1736</v>
      </c>
      <c r="C1018" s="5" t="s">
        <v>1739</v>
      </c>
      <c r="D1018" s="5" t="s">
        <v>6634</v>
      </c>
      <c r="E1018" s="8">
        <f>vlookup(B1018,Filmes_final!$B$2:$U$1001,20,FALSE)</f>
        <v>27571127</v>
      </c>
      <c r="F1018" s="5">
        <f>vlookup(B1018,Filmes_final!$B$2:$U$1001,3,FALSE)</f>
        <v>1996</v>
      </c>
      <c r="G1018" s="5" t="str">
        <f>vlookup(B1018,Filmes_final!$B$2:$U$1001,13,FALSE)</f>
        <v>Danny Boyle</v>
      </c>
    </row>
    <row r="1019">
      <c r="A1019" s="5">
        <v>255.0</v>
      </c>
      <c r="B1019" s="5" t="s">
        <v>1736</v>
      </c>
      <c r="C1019" s="5" t="s">
        <v>1740</v>
      </c>
      <c r="D1019" s="5" t="s">
        <v>6635</v>
      </c>
      <c r="E1019" s="8">
        <f>vlookup(B1019,Filmes_final!$B$2:$U$1001,20,FALSE)</f>
        <v>27571127</v>
      </c>
      <c r="F1019" s="5">
        <f>vlookup(B1019,Filmes_final!$B$2:$U$1001,3,FALSE)</f>
        <v>1996</v>
      </c>
      <c r="G1019" s="5" t="str">
        <f>vlookup(B1019,Filmes_final!$B$2:$U$1001,13,FALSE)</f>
        <v>Danny Boyle</v>
      </c>
    </row>
    <row r="1020">
      <c r="A1020" s="5">
        <v>255.0</v>
      </c>
      <c r="B1020" s="5" t="s">
        <v>1736</v>
      </c>
      <c r="C1020" s="5" t="s">
        <v>1741</v>
      </c>
      <c r="D1020" s="5" t="s">
        <v>6636</v>
      </c>
      <c r="E1020" s="8">
        <f>vlookup(B1020,Filmes_final!$B$2:$U$1001,20,FALSE)</f>
        <v>27571127</v>
      </c>
      <c r="F1020" s="5">
        <f>vlookup(B1020,Filmes_final!$B$2:$U$1001,3,FALSE)</f>
        <v>1996</v>
      </c>
      <c r="G1020" s="5" t="str">
        <f>vlookup(B1020,Filmes_final!$B$2:$U$1001,13,FALSE)</f>
        <v>Danny Boyle</v>
      </c>
    </row>
    <row r="1021">
      <c r="A1021" s="5">
        <v>255.0</v>
      </c>
      <c r="B1021" s="5" t="s">
        <v>1736</v>
      </c>
      <c r="C1021" s="5" t="s">
        <v>1742</v>
      </c>
      <c r="D1021" s="5" t="s">
        <v>6637</v>
      </c>
      <c r="E1021" s="8">
        <f>vlookup(B1021,Filmes_final!$B$2:$U$1001,20,FALSE)</f>
        <v>27571127</v>
      </c>
      <c r="F1021" s="5">
        <f>vlookup(B1021,Filmes_final!$B$2:$U$1001,3,FALSE)</f>
        <v>1996</v>
      </c>
      <c r="G1021" s="5" t="str">
        <f>vlookup(B1021,Filmes_final!$B$2:$U$1001,13,FALSE)</f>
        <v>Danny Boyle</v>
      </c>
    </row>
    <row r="1022">
      <c r="A1022" s="5">
        <v>256.0</v>
      </c>
      <c r="B1022" s="5" t="s">
        <v>1743</v>
      </c>
      <c r="C1022" s="5" t="s">
        <v>1612</v>
      </c>
      <c r="D1022" s="5" t="s">
        <v>6634</v>
      </c>
      <c r="E1022" s="8">
        <f>vlookup(B1022,Filmes_final!$B$2:$U$1001,20,FALSE)</f>
        <v>41121605</v>
      </c>
      <c r="F1022" s="5">
        <f>vlookup(B1022,Filmes_final!$B$2:$U$1001,3,FALSE)</f>
        <v>1996</v>
      </c>
      <c r="G1022" s="5" t="str">
        <f>vlookup(B1022,Filmes_final!$B$2:$U$1001,13,FALSE)</f>
        <v>Joel Coen</v>
      </c>
    </row>
    <row r="1023">
      <c r="A1023" s="5">
        <v>256.0</v>
      </c>
      <c r="B1023" s="5" t="s">
        <v>1743</v>
      </c>
      <c r="C1023" s="5" t="s">
        <v>1745</v>
      </c>
      <c r="D1023" s="5" t="s">
        <v>6635</v>
      </c>
      <c r="E1023" s="8">
        <f>vlookup(B1023,Filmes_final!$B$2:$U$1001,20,FALSE)</f>
        <v>41121605</v>
      </c>
      <c r="F1023" s="5">
        <f>vlookup(B1023,Filmes_final!$B$2:$U$1001,3,FALSE)</f>
        <v>1996</v>
      </c>
      <c r="G1023" s="5" t="str">
        <f>vlookup(B1023,Filmes_final!$B$2:$U$1001,13,FALSE)</f>
        <v>Joel Coen</v>
      </c>
    </row>
    <row r="1024">
      <c r="A1024" s="5">
        <v>256.0</v>
      </c>
      <c r="B1024" s="5" t="s">
        <v>1743</v>
      </c>
      <c r="C1024" s="5" t="s">
        <v>972</v>
      </c>
      <c r="D1024" s="5" t="s">
        <v>6636</v>
      </c>
      <c r="E1024" s="8">
        <f>vlookup(B1024,Filmes_final!$B$2:$U$1001,20,FALSE)</f>
        <v>41121605</v>
      </c>
      <c r="F1024" s="5">
        <f>vlookup(B1024,Filmes_final!$B$2:$U$1001,3,FALSE)</f>
        <v>1996</v>
      </c>
      <c r="G1024" s="5" t="str">
        <f>vlookup(B1024,Filmes_final!$B$2:$U$1001,13,FALSE)</f>
        <v>Joel Coen</v>
      </c>
    </row>
    <row r="1025">
      <c r="A1025" s="5">
        <v>256.0</v>
      </c>
      <c r="B1025" s="5" t="s">
        <v>1743</v>
      </c>
      <c r="C1025" s="5" t="s">
        <v>1746</v>
      </c>
      <c r="D1025" s="5" t="s">
        <v>6637</v>
      </c>
      <c r="E1025" s="8">
        <f>vlookup(B1025,Filmes_final!$B$2:$U$1001,20,FALSE)</f>
        <v>41121605</v>
      </c>
      <c r="F1025" s="5">
        <f>vlookup(B1025,Filmes_final!$B$2:$U$1001,3,FALSE)</f>
        <v>1996</v>
      </c>
      <c r="G1025" s="5" t="str">
        <f>vlookup(B1025,Filmes_final!$B$2:$U$1001,13,FALSE)</f>
        <v>Joel Coen</v>
      </c>
    </row>
    <row r="1026">
      <c r="A1026" s="5">
        <v>257.0</v>
      </c>
      <c r="B1026" s="5" t="s">
        <v>1747</v>
      </c>
      <c r="C1026" s="5" t="s">
        <v>1749</v>
      </c>
      <c r="D1026" s="5" t="s">
        <v>6634</v>
      </c>
      <c r="E1026" s="8">
        <f>vlookup(B1026,Filmes_final!$B$2:$U$1001,20,FALSE)</f>
        <v>293641</v>
      </c>
      <c r="F1026" s="5">
        <f>vlookup(B1026,Filmes_final!$B$2:$U$1001,3,FALSE)</f>
        <v>1995</v>
      </c>
      <c r="G1026" s="5" t="str">
        <f>vlookup(B1026,Filmes_final!$B$2:$U$1001,13,FALSE)</f>
        <v>Emir Kusturica</v>
      </c>
    </row>
    <row r="1027">
      <c r="A1027" s="5">
        <v>257.0</v>
      </c>
      <c r="B1027" s="5" t="s">
        <v>1747</v>
      </c>
      <c r="C1027" s="5" t="s">
        <v>1750</v>
      </c>
      <c r="D1027" s="5" t="s">
        <v>6635</v>
      </c>
      <c r="E1027" s="8">
        <f>vlookup(B1027,Filmes_final!$B$2:$U$1001,20,FALSE)</f>
        <v>293641</v>
      </c>
      <c r="F1027" s="5">
        <f>vlookup(B1027,Filmes_final!$B$2:$U$1001,3,FALSE)</f>
        <v>1995</v>
      </c>
      <c r="G1027" s="5" t="str">
        <f>vlookup(B1027,Filmes_final!$B$2:$U$1001,13,FALSE)</f>
        <v>Emir Kusturica</v>
      </c>
    </row>
    <row r="1028">
      <c r="A1028" s="5">
        <v>257.0</v>
      </c>
      <c r="B1028" s="5" t="s">
        <v>1747</v>
      </c>
      <c r="C1028" s="5" t="s">
        <v>1751</v>
      </c>
      <c r="D1028" s="5" t="s">
        <v>6636</v>
      </c>
      <c r="E1028" s="8">
        <f>vlookup(B1028,Filmes_final!$B$2:$U$1001,20,FALSE)</f>
        <v>293641</v>
      </c>
      <c r="F1028" s="5">
        <f>vlookup(B1028,Filmes_final!$B$2:$U$1001,3,FALSE)</f>
        <v>1995</v>
      </c>
      <c r="G1028" s="5" t="str">
        <f>vlookup(B1028,Filmes_final!$B$2:$U$1001,13,FALSE)</f>
        <v>Emir Kusturica</v>
      </c>
    </row>
    <row r="1029">
      <c r="A1029" s="5">
        <v>257.0</v>
      </c>
      <c r="B1029" s="5" t="s">
        <v>1747</v>
      </c>
      <c r="C1029" s="5" t="s">
        <v>1752</v>
      </c>
      <c r="D1029" s="5" t="s">
        <v>6637</v>
      </c>
      <c r="E1029" s="8">
        <f>vlookup(B1029,Filmes_final!$B$2:$U$1001,20,FALSE)</f>
        <v>293641</v>
      </c>
      <c r="F1029" s="5">
        <f>vlookup(B1029,Filmes_final!$B$2:$U$1001,3,FALSE)</f>
        <v>1995</v>
      </c>
      <c r="G1029" s="5" t="str">
        <f>vlookup(B1029,Filmes_final!$B$2:$U$1001,13,FALSE)</f>
        <v>Emir Kusturica</v>
      </c>
    </row>
    <row r="1030">
      <c r="A1030" s="5">
        <v>258.0</v>
      </c>
      <c r="B1030" s="5" t="s">
        <v>1753</v>
      </c>
      <c r="C1030" s="5" t="s">
        <v>1755</v>
      </c>
      <c r="D1030" s="5" t="s">
        <v>6634</v>
      </c>
      <c r="E1030" s="8">
        <f>vlookup(B1030,Filmes_final!$B$2:$U$1001,20,FALSE)</f>
        <v>531752</v>
      </c>
      <c r="F1030" s="5">
        <f>vlookup(B1030,Filmes_final!$B$2:$U$1001,3,FALSE)</f>
        <v>1995</v>
      </c>
      <c r="G1030" s="5" t="str">
        <f>vlookup(B1030,Filmes_final!$B$2:$U$1001,13,FALSE)</f>
        <v>Mathieu Kassovitz</v>
      </c>
    </row>
    <row r="1031">
      <c r="A1031" s="5">
        <v>258.0</v>
      </c>
      <c r="B1031" s="5" t="s">
        <v>1753</v>
      </c>
      <c r="C1031" s="5" t="s">
        <v>1756</v>
      </c>
      <c r="D1031" s="5" t="s">
        <v>6635</v>
      </c>
      <c r="E1031" s="8">
        <f>vlookup(B1031,Filmes_final!$B$2:$U$1001,20,FALSE)</f>
        <v>531752</v>
      </c>
      <c r="F1031" s="5">
        <f>vlookup(B1031,Filmes_final!$B$2:$U$1001,3,FALSE)</f>
        <v>1995</v>
      </c>
      <c r="G1031" s="5" t="str">
        <f>vlookup(B1031,Filmes_final!$B$2:$U$1001,13,FALSE)</f>
        <v>Mathieu Kassovitz</v>
      </c>
    </row>
    <row r="1032">
      <c r="A1032" s="5">
        <v>258.0</v>
      </c>
      <c r="B1032" s="5" t="s">
        <v>1753</v>
      </c>
      <c r="C1032" s="5" t="s">
        <v>1757</v>
      </c>
      <c r="D1032" s="5" t="s">
        <v>6636</v>
      </c>
      <c r="E1032" s="8">
        <f>vlookup(B1032,Filmes_final!$B$2:$U$1001,20,FALSE)</f>
        <v>531752</v>
      </c>
      <c r="F1032" s="5">
        <f>vlookup(B1032,Filmes_final!$B$2:$U$1001,3,FALSE)</f>
        <v>1995</v>
      </c>
      <c r="G1032" s="5" t="str">
        <f>vlookup(B1032,Filmes_final!$B$2:$U$1001,13,FALSE)</f>
        <v>Mathieu Kassovitz</v>
      </c>
    </row>
    <row r="1033">
      <c r="A1033" s="5">
        <v>258.0</v>
      </c>
      <c r="B1033" s="5" t="s">
        <v>1753</v>
      </c>
      <c r="C1033" s="5" t="s">
        <v>1758</v>
      </c>
      <c r="D1033" s="5" t="s">
        <v>6637</v>
      </c>
      <c r="E1033" s="8">
        <f>vlookup(B1033,Filmes_final!$B$2:$U$1001,20,FALSE)</f>
        <v>531752</v>
      </c>
      <c r="F1033" s="5">
        <f>vlookup(B1033,Filmes_final!$B$2:$U$1001,3,FALSE)</f>
        <v>1995</v>
      </c>
      <c r="G1033" s="5" t="str">
        <f>vlookup(B1033,Filmes_final!$B$2:$U$1001,13,FALSE)</f>
        <v>Mathieu Kassovitz</v>
      </c>
    </row>
    <row r="1034">
      <c r="A1034" s="5">
        <v>259.0</v>
      </c>
      <c r="B1034" s="5" t="s">
        <v>1759</v>
      </c>
      <c r="C1034" s="5" t="s">
        <v>1084</v>
      </c>
      <c r="D1034" s="5" t="s">
        <v>6634</v>
      </c>
      <c r="E1034" s="8">
        <f>vlookup(B1034,Filmes_final!$B$2:$U$1001,20,FALSE)</f>
        <v>128668</v>
      </c>
      <c r="F1034" s="5">
        <f>vlookup(B1034,Filmes_final!$B$2:$U$1001,3,FALSE)</f>
        <v>1995</v>
      </c>
      <c r="G1034" s="5" t="str">
        <f>vlookup(B1034,Filmes_final!$B$2:$U$1001,13,FALSE)</f>
        <v>Aditya Chopra</v>
      </c>
    </row>
    <row r="1035">
      <c r="A1035" s="5">
        <v>259.0</v>
      </c>
      <c r="B1035" s="5" t="s">
        <v>1759</v>
      </c>
      <c r="C1035" s="5" t="s">
        <v>1762</v>
      </c>
      <c r="D1035" s="5" t="s">
        <v>6635</v>
      </c>
      <c r="E1035" s="8">
        <f>vlookup(B1035,Filmes_final!$B$2:$U$1001,20,FALSE)</f>
        <v>128668</v>
      </c>
      <c r="F1035" s="5">
        <f>vlookup(B1035,Filmes_final!$B$2:$U$1001,3,FALSE)</f>
        <v>1995</v>
      </c>
      <c r="G1035" s="5" t="str">
        <f>vlookup(B1035,Filmes_final!$B$2:$U$1001,13,FALSE)</f>
        <v>Aditya Chopra</v>
      </c>
    </row>
    <row r="1036">
      <c r="A1036" s="5">
        <v>259.0</v>
      </c>
      <c r="B1036" s="5" t="s">
        <v>1759</v>
      </c>
      <c r="C1036" s="5" t="s">
        <v>1763</v>
      </c>
      <c r="D1036" s="5" t="s">
        <v>6636</v>
      </c>
      <c r="E1036" s="8">
        <f>vlookup(B1036,Filmes_final!$B$2:$U$1001,20,FALSE)</f>
        <v>128668</v>
      </c>
      <c r="F1036" s="5">
        <f>vlookup(B1036,Filmes_final!$B$2:$U$1001,3,FALSE)</f>
        <v>1995</v>
      </c>
      <c r="G1036" s="5" t="str">
        <f>vlookup(B1036,Filmes_final!$B$2:$U$1001,13,FALSE)</f>
        <v>Aditya Chopra</v>
      </c>
    </row>
    <row r="1037">
      <c r="A1037" s="5">
        <v>259.0</v>
      </c>
      <c r="B1037" s="5" t="s">
        <v>1759</v>
      </c>
      <c r="C1037" s="5" t="s">
        <v>1764</v>
      </c>
      <c r="D1037" s="5" t="s">
        <v>6637</v>
      </c>
      <c r="E1037" s="8">
        <f>vlookup(B1037,Filmes_final!$B$2:$U$1001,20,FALSE)</f>
        <v>128668</v>
      </c>
      <c r="F1037" s="5">
        <f>vlookup(B1037,Filmes_final!$B$2:$U$1001,3,FALSE)</f>
        <v>1995</v>
      </c>
      <c r="G1037" s="5" t="str">
        <f>vlookup(B1037,Filmes_final!$B$2:$U$1001,13,FALSE)</f>
        <v>Aditya Chopra</v>
      </c>
    </row>
    <row r="1038">
      <c r="A1038" s="5">
        <v>260.0</v>
      </c>
      <c r="B1038" s="5" t="s">
        <v>1765</v>
      </c>
      <c r="C1038" s="5" t="s">
        <v>1642</v>
      </c>
      <c r="D1038" s="5" t="s">
        <v>6634</v>
      </c>
      <c r="E1038" s="8">
        <f>vlookup(B1038,Filmes_final!$B$2:$U$1001,20,FALSE)</f>
        <v>9500825</v>
      </c>
      <c r="F1038" s="5">
        <f>vlookup(B1038,Filmes_final!$B$2:$U$1001,3,FALSE)</f>
        <v>1995</v>
      </c>
      <c r="G1038" s="5" t="str">
        <f>vlookup(B1038,Filmes_final!$B$2:$U$1001,13,FALSE)</f>
        <v>Richard Linklater</v>
      </c>
    </row>
    <row r="1039">
      <c r="A1039" s="5">
        <v>260.0</v>
      </c>
      <c r="B1039" s="5" t="s">
        <v>1765</v>
      </c>
      <c r="C1039" s="5" t="s">
        <v>1643</v>
      </c>
      <c r="D1039" s="5" t="s">
        <v>6635</v>
      </c>
      <c r="E1039" s="8">
        <f>vlookup(B1039,Filmes_final!$B$2:$U$1001,20,FALSE)</f>
        <v>9500825</v>
      </c>
      <c r="F1039" s="5">
        <f>vlookup(B1039,Filmes_final!$B$2:$U$1001,3,FALSE)</f>
        <v>1995</v>
      </c>
      <c r="G1039" s="5" t="str">
        <f>vlookup(B1039,Filmes_final!$B$2:$U$1001,13,FALSE)</f>
        <v>Richard Linklater</v>
      </c>
    </row>
    <row r="1040">
      <c r="A1040" s="5">
        <v>260.0</v>
      </c>
      <c r="B1040" s="5" t="s">
        <v>1765</v>
      </c>
      <c r="C1040" s="5" t="s">
        <v>1767</v>
      </c>
      <c r="D1040" s="5" t="s">
        <v>6636</v>
      </c>
      <c r="E1040" s="8">
        <f>vlookup(B1040,Filmes_final!$B$2:$U$1001,20,FALSE)</f>
        <v>9500825</v>
      </c>
      <c r="F1040" s="5">
        <f>vlookup(B1040,Filmes_final!$B$2:$U$1001,3,FALSE)</f>
        <v>1995</v>
      </c>
      <c r="G1040" s="5" t="str">
        <f>vlookup(B1040,Filmes_final!$B$2:$U$1001,13,FALSE)</f>
        <v>Richard Linklater</v>
      </c>
    </row>
    <row r="1041">
      <c r="A1041" s="5">
        <v>260.0</v>
      </c>
      <c r="B1041" s="5" t="s">
        <v>1765</v>
      </c>
      <c r="C1041" s="5" t="s">
        <v>1768</v>
      </c>
      <c r="D1041" s="5" t="s">
        <v>6637</v>
      </c>
      <c r="E1041" s="8">
        <f>vlookup(B1041,Filmes_final!$B$2:$U$1001,20,FALSE)</f>
        <v>9500825</v>
      </c>
      <c r="F1041" s="5">
        <f>vlookup(B1041,Filmes_final!$B$2:$U$1001,3,FALSE)</f>
        <v>1995</v>
      </c>
      <c r="G1041" s="5" t="str">
        <f>vlookup(B1041,Filmes_final!$B$2:$U$1001,13,FALSE)</f>
        <v>Richard Linklater</v>
      </c>
    </row>
    <row r="1042">
      <c r="A1042" s="5">
        <v>261.0</v>
      </c>
      <c r="B1042" s="5" t="s">
        <v>1769</v>
      </c>
      <c r="C1042" s="5" t="s">
        <v>1772</v>
      </c>
      <c r="D1042" s="5" t="s">
        <v>6634</v>
      </c>
      <c r="E1042" s="8">
        <f>vlookup(B1042,Filmes_final!$B$2:$U$1001,20,FALSE)</f>
        <v>7135114</v>
      </c>
      <c r="F1042" s="5">
        <f>vlookup(B1042,Filmes_final!$B$2:$U$1001,3,FALSE)</f>
        <v>1994</v>
      </c>
      <c r="G1042" s="5" t="str">
        <f>vlookup(B1042,Filmes_final!$B$2:$U$1001,13,FALSE)</f>
        <v>Krzysztof Kieslowski</v>
      </c>
    </row>
    <row r="1043">
      <c r="A1043" s="5">
        <v>261.0</v>
      </c>
      <c r="B1043" s="5" t="s">
        <v>1769</v>
      </c>
      <c r="C1043" s="5" t="s">
        <v>1773</v>
      </c>
      <c r="D1043" s="5" t="s">
        <v>6635</v>
      </c>
      <c r="E1043" s="8">
        <f>vlookup(B1043,Filmes_final!$B$2:$U$1001,20,FALSE)</f>
        <v>7135114</v>
      </c>
      <c r="F1043" s="5">
        <f>vlookup(B1043,Filmes_final!$B$2:$U$1001,3,FALSE)</f>
        <v>1994</v>
      </c>
      <c r="G1043" s="5" t="str">
        <f>vlookup(B1043,Filmes_final!$B$2:$U$1001,13,FALSE)</f>
        <v>Krzysztof Kieslowski</v>
      </c>
    </row>
    <row r="1044">
      <c r="A1044" s="5">
        <v>261.0</v>
      </c>
      <c r="B1044" s="5" t="s">
        <v>1769</v>
      </c>
      <c r="C1044" s="5" t="s">
        <v>1774</v>
      </c>
      <c r="D1044" s="5" t="s">
        <v>6636</v>
      </c>
      <c r="E1044" s="8">
        <f>vlookup(B1044,Filmes_final!$B$2:$U$1001,20,FALSE)</f>
        <v>7135114</v>
      </c>
      <c r="F1044" s="5">
        <f>vlookup(B1044,Filmes_final!$B$2:$U$1001,3,FALSE)</f>
        <v>1994</v>
      </c>
      <c r="G1044" s="5" t="str">
        <f>vlookup(B1044,Filmes_final!$B$2:$U$1001,13,FALSE)</f>
        <v>Krzysztof Kieslowski</v>
      </c>
    </row>
    <row r="1045">
      <c r="A1045" s="5">
        <v>261.0</v>
      </c>
      <c r="B1045" s="5" t="s">
        <v>1769</v>
      </c>
      <c r="C1045" s="5" t="s">
        <v>1775</v>
      </c>
      <c r="D1045" s="5" t="s">
        <v>6637</v>
      </c>
      <c r="E1045" s="8">
        <f>vlookup(B1045,Filmes_final!$B$2:$U$1001,20,FALSE)</f>
        <v>7135114</v>
      </c>
      <c r="F1045" s="5">
        <f>vlookup(B1045,Filmes_final!$B$2:$U$1001,3,FALSE)</f>
        <v>1994</v>
      </c>
      <c r="G1045" s="5" t="str">
        <f>vlookup(B1045,Filmes_final!$B$2:$U$1001,13,FALSE)</f>
        <v>Krzysztof Kieslowski</v>
      </c>
    </row>
    <row r="1046">
      <c r="A1046" s="5">
        <v>262.0</v>
      </c>
      <c r="B1046" s="5" t="s">
        <v>1776</v>
      </c>
      <c r="C1046" s="5" t="s">
        <v>1779</v>
      </c>
      <c r="D1046" s="5" t="s">
        <v>6634</v>
      </c>
      <c r="E1046" s="8">
        <f>vlookup(B1046,Filmes_final!$B$2:$U$1001,20,FALSE)</f>
        <v>1059057</v>
      </c>
      <c r="F1046" s="5">
        <f>vlookup(B1046,Filmes_final!$B$2:$U$1001,3,FALSE)</f>
        <v>1994</v>
      </c>
      <c r="G1046" s="5" t="str">
        <f>vlookup(B1046,Filmes_final!$B$2:$U$1001,13,FALSE)</f>
        <v>Kar-Wai Wong</v>
      </c>
    </row>
    <row r="1047">
      <c r="A1047" s="5">
        <v>262.0</v>
      </c>
      <c r="B1047" s="5" t="s">
        <v>1776</v>
      </c>
      <c r="C1047" s="5" t="s">
        <v>1780</v>
      </c>
      <c r="D1047" s="5" t="s">
        <v>6635</v>
      </c>
      <c r="E1047" s="8">
        <f>vlookup(B1047,Filmes_final!$B$2:$U$1001,20,FALSE)</f>
        <v>1059057</v>
      </c>
      <c r="F1047" s="5">
        <f>vlookup(B1047,Filmes_final!$B$2:$U$1001,3,FALSE)</f>
        <v>1994</v>
      </c>
      <c r="G1047" s="5" t="str">
        <f>vlookup(B1047,Filmes_final!$B$2:$U$1001,13,FALSE)</f>
        <v>Kar-Wai Wong</v>
      </c>
    </row>
    <row r="1048">
      <c r="A1048" s="5">
        <v>262.0</v>
      </c>
      <c r="B1048" s="5" t="s">
        <v>1776</v>
      </c>
      <c r="C1048" s="5" t="s">
        <v>1732</v>
      </c>
      <c r="D1048" s="5" t="s">
        <v>6636</v>
      </c>
      <c r="E1048" s="8">
        <f>vlookup(B1048,Filmes_final!$B$2:$U$1001,20,FALSE)</f>
        <v>1059057</v>
      </c>
      <c r="F1048" s="5">
        <f>vlookup(B1048,Filmes_final!$B$2:$U$1001,3,FALSE)</f>
        <v>1994</v>
      </c>
      <c r="G1048" s="5" t="str">
        <f>vlookup(B1048,Filmes_final!$B$2:$U$1001,13,FALSE)</f>
        <v>Kar-Wai Wong</v>
      </c>
    </row>
    <row r="1049">
      <c r="A1049" s="5">
        <v>262.0</v>
      </c>
      <c r="B1049" s="5" t="s">
        <v>1776</v>
      </c>
      <c r="C1049" s="5" t="s">
        <v>1781</v>
      </c>
      <c r="D1049" s="5" t="s">
        <v>6637</v>
      </c>
      <c r="E1049" s="8">
        <f>vlookup(B1049,Filmes_final!$B$2:$U$1001,20,FALSE)</f>
        <v>1059057</v>
      </c>
      <c r="F1049" s="5">
        <f>vlookup(B1049,Filmes_final!$B$2:$U$1001,3,FALSE)</f>
        <v>1994</v>
      </c>
      <c r="G1049" s="5" t="str">
        <f>vlookup(B1049,Filmes_final!$B$2:$U$1001,13,FALSE)</f>
        <v>Kar-Wai Wong</v>
      </c>
    </row>
    <row r="1050">
      <c r="A1050" s="5">
        <v>263.0</v>
      </c>
      <c r="B1050" s="5" t="s">
        <v>1782</v>
      </c>
      <c r="C1050" s="5" t="s">
        <v>1784</v>
      </c>
      <c r="D1050" s="5" t="s">
        <v>6634</v>
      </c>
      <c r="E1050" s="8">
        <f>vlookup(B1050,Filmes_final!$B$2:$U$1001,20,FALSE)</f>
        <v>728060523</v>
      </c>
      <c r="F1050" s="5">
        <f>vlookup(B1050,Filmes_final!$B$2:$U$1001,3,FALSE)</f>
        <v>1993</v>
      </c>
      <c r="G1050" s="5" t="str">
        <f>vlookup(B1050,Filmes_final!$B$2:$U$1001,13,FALSE)</f>
        <v>Steven Spielberg</v>
      </c>
    </row>
    <row r="1051">
      <c r="A1051" s="5">
        <v>263.0</v>
      </c>
      <c r="B1051" s="5" t="s">
        <v>1782</v>
      </c>
      <c r="C1051" s="5" t="s">
        <v>1785</v>
      </c>
      <c r="D1051" s="5" t="s">
        <v>6635</v>
      </c>
      <c r="E1051" s="8">
        <f>vlookup(B1051,Filmes_final!$B$2:$U$1001,20,FALSE)</f>
        <v>728060523</v>
      </c>
      <c r="F1051" s="5">
        <f>vlookup(B1051,Filmes_final!$B$2:$U$1001,3,FALSE)</f>
        <v>1993</v>
      </c>
      <c r="G1051" s="5" t="str">
        <f>vlookup(B1051,Filmes_final!$B$2:$U$1001,13,FALSE)</f>
        <v>Steven Spielberg</v>
      </c>
    </row>
    <row r="1052">
      <c r="A1052" s="5">
        <v>263.0</v>
      </c>
      <c r="B1052" s="5" t="s">
        <v>1782</v>
      </c>
      <c r="C1052" s="5" t="s">
        <v>1786</v>
      </c>
      <c r="D1052" s="5" t="s">
        <v>6636</v>
      </c>
      <c r="E1052" s="8">
        <f>vlookup(B1052,Filmes_final!$B$2:$U$1001,20,FALSE)</f>
        <v>728060523</v>
      </c>
      <c r="F1052" s="5">
        <f>vlookup(B1052,Filmes_final!$B$2:$U$1001,3,FALSE)</f>
        <v>1993</v>
      </c>
      <c r="G1052" s="5" t="str">
        <f>vlookup(B1052,Filmes_final!$B$2:$U$1001,13,FALSE)</f>
        <v>Steven Spielberg</v>
      </c>
    </row>
    <row r="1053">
      <c r="A1053" s="5">
        <v>263.0</v>
      </c>
      <c r="B1053" s="5" t="s">
        <v>1782</v>
      </c>
      <c r="C1053" s="5" t="s">
        <v>1274</v>
      </c>
      <c r="D1053" s="5" t="s">
        <v>6637</v>
      </c>
      <c r="E1053" s="8">
        <f>vlookup(B1053,Filmes_final!$B$2:$U$1001,20,FALSE)</f>
        <v>728060523</v>
      </c>
      <c r="F1053" s="5">
        <f>vlookup(B1053,Filmes_final!$B$2:$U$1001,3,FALSE)</f>
        <v>1993</v>
      </c>
      <c r="G1053" s="5" t="str">
        <f>vlookup(B1053,Filmes_final!$B$2:$U$1001,13,FALSE)</f>
        <v>Steven Spielberg</v>
      </c>
    </row>
    <row r="1054">
      <c r="A1054" s="5">
        <v>264.0</v>
      </c>
      <c r="B1054" s="5" t="s">
        <v>1787</v>
      </c>
      <c r="C1054" s="5" t="s">
        <v>1092</v>
      </c>
      <c r="D1054" s="5" t="s">
        <v>6634</v>
      </c>
      <c r="E1054" s="8">
        <f>vlookup(B1054,Filmes_final!$B$2:$U$1001,20,FALSE)</f>
        <v>45245165</v>
      </c>
      <c r="F1054" s="5">
        <f>vlookup(B1054,Filmes_final!$B$2:$U$1001,3,FALSE)</f>
        <v>1993</v>
      </c>
      <c r="G1054" s="5" t="str">
        <f>vlookup(B1054,Filmes_final!$B$2:$U$1001,13,FALSE)</f>
        <v>Jim Sheridan</v>
      </c>
    </row>
    <row r="1055">
      <c r="A1055" s="5">
        <v>264.0</v>
      </c>
      <c r="B1055" s="5" t="s">
        <v>1787</v>
      </c>
      <c r="C1055" s="5" t="s">
        <v>1790</v>
      </c>
      <c r="D1055" s="5" t="s">
        <v>6635</v>
      </c>
      <c r="E1055" s="8">
        <f>vlookup(B1055,Filmes_final!$B$2:$U$1001,20,FALSE)</f>
        <v>45245165</v>
      </c>
      <c r="F1055" s="5">
        <f>vlookup(B1055,Filmes_final!$B$2:$U$1001,3,FALSE)</f>
        <v>1993</v>
      </c>
      <c r="G1055" s="5" t="str">
        <f>vlookup(B1055,Filmes_final!$B$2:$U$1001,13,FALSE)</f>
        <v>Jim Sheridan</v>
      </c>
    </row>
    <row r="1056">
      <c r="A1056" s="5">
        <v>264.0</v>
      </c>
      <c r="B1056" s="5" t="s">
        <v>1787</v>
      </c>
      <c r="C1056" s="5" t="s">
        <v>1791</v>
      </c>
      <c r="D1056" s="5" t="s">
        <v>6636</v>
      </c>
      <c r="E1056" s="8">
        <f>vlookup(B1056,Filmes_final!$B$2:$U$1001,20,FALSE)</f>
        <v>45245165</v>
      </c>
      <c r="F1056" s="5">
        <f>vlookup(B1056,Filmes_final!$B$2:$U$1001,3,FALSE)</f>
        <v>1993</v>
      </c>
      <c r="G1056" s="5" t="str">
        <f>vlookup(B1056,Filmes_final!$B$2:$U$1001,13,FALSE)</f>
        <v>Jim Sheridan</v>
      </c>
    </row>
    <row r="1057">
      <c r="A1057" s="5">
        <v>264.0</v>
      </c>
      <c r="B1057" s="5" t="s">
        <v>1787</v>
      </c>
      <c r="C1057" s="5" t="s">
        <v>1792</v>
      </c>
      <c r="D1057" s="5" t="s">
        <v>6637</v>
      </c>
      <c r="E1057" s="8">
        <f>vlookup(B1057,Filmes_final!$B$2:$U$1001,20,FALSE)</f>
        <v>45245165</v>
      </c>
      <c r="F1057" s="5">
        <f>vlookup(B1057,Filmes_final!$B$2:$U$1001,3,FALSE)</f>
        <v>1993</v>
      </c>
      <c r="G1057" s="5" t="str">
        <f>vlookup(B1057,Filmes_final!$B$2:$U$1001,13,FALSE)</f>
        <v>Jim Sheridan</v>
      </c>
    </row>
    <row r="1058">
      <c r="A1058" s="5">
        <v>265.0</v>
      </c>
      <c r="B1058" s="5" t="s">
        <v>1793</v>
      </c>
      <c r="C1058" s="5" t="s">
        <v>1797</v>
      </c>
      <c r="D1058" s="5" t="s">
        <v>6634</v>
      </c>
      <c r="E1058" s="8">
        <f>vlookup(B1058,Filmes_final!$B$2:$U$1001,20,FALSE)</f>
        <v>9437628</v>
      </c>
      <c r="F1058" s="5">
        <f>vlookup(B1058,Filmes_final!$B$2:$U$1001,3,FALSE)</f>
        <v>1993</v>
      </c>
      <c r="G1058" s="5" t="str">
        <f>vlookup(B1058,Filmes_final!$B$2:$U$1001,13,FALSE)</f>
        <v>Kaige Chen</v>
      </c>
    </row>
    <row r="1059">
      <c r="A1059" s="5">
        <v>265.0</v>
      </c>
      <c r="B1059" s="5" t="s">
        <v>1793</v>
      </c>
      <c r="C1059" s="5" t="s">
        <v>1798</v>
      </c>
      <c r="D1059" s="5" t="s">
        <v>6635</v>
      </c>
      <c r="E1059" s="8">
        <f>vlookup(B1059,Filmes_final!$B$2:$U$1001,20,FALSE)</f>
        <v>9437628</v>
      </c>
      <c r="F1059" s="5">
        <f>vlookup(B1059,Filmes_final!$B$2:$U$1001,3,FALSE)</f>
        <v>1993</v>
      </c>
      <c r="G1059" s="5" t="str">
        <f>vlookup(B1059,Filmes_final!$B$2:$U$1001,13,FALSE)</f>
        <v>Kaige Chen</v>
      </c>
    </row>
    <row r="1060">
      <c r="A1060" s="5">
        <v>265.0</v>
      </c>
      <c r="B1060" s="5" t="s">
        <v>1793</v>
      </c>
      <c r="C1060" s="5" t="s">
        <v>1799</v>
      </c>
      <c r="D1060" s="5" t="s">
        <v>6636</v>
      </c>
      <c r="E1060" s="8">
        <f>vlookup(B1060,Filmes_final!$B$2:$U$1001,20,FALSE)</f>
        <v>9437628</v>
      </c>
      <c r="F1060" s="5">
        <f>vlookup(B1060,Filmes_final!$B$2:$U$1001,3,FALSE)</f>
        <v>1993</v>
      </c>
      <c r="G1060" s="5" t="str">
        <f>vlookup(B1060,Filmes_final!$B$2:$U$1001,13,FALSE)</f>
        <v>Kaige Chen</v>
      </c>
    </row>
    <row r="1061">
      <c r="A1061" s="5">
        <v>265.0</v>
      </c>
      <c r="B1061" s="5" t="s">
        <v>1793</v>
      </c>
      <c r="C1061" s="5" t="s">
        <v>1800</v>
      </c>
      <c r="D1061" s="5" t="s">
        <v>6637</v>
      </c>
      <c r="E1061" s="8">
        <f>vlookup(B1061,Filmes_final!$B$2:$U$1001,20,FALSE)</f>
        <v>9437628</v>
      </c>
      <c r="F1061" s="5">
        <f>vlookup(B1061,Filmes_final!$B$2:$U$1001,3,FALSE)</f>
        <v>1993</v>
      </c>
      <c r="G1061" s="5" t="str">
        <f>vlookup(B1061,Filmes_final!$B$2:$U$1001,13,FALSE)</f>
        <v>Kaige Chen</v>
      </c>
    </row>
    <row r="1062">
      <c r="A1062" s="5">
        <v>266.0</v>
      </c>
      <c r="B1062" s="5" t="s">
        <v>1801</v>
      </c>
      <c r="C1062" s="5" t="s">
        <v>1799</v>
      </c>
      <c r="D1062" s="5" t="s">
        <v>6634</v>
      </c>
      <c r="E1062" s="8">
        <f>vlookup(B1062,Filmes_final!$B$2:$U$1001,20,FALSE)</f>
        <v>4988962</v>
      </c>
      <c r="F1062" s="5">
        <f>vlookup(B1062,Filmes_final!$B$2:$U$1001,3,FALSE)</f>
        <v>1991</v>
      </c>
      <c r="G1062" s="5" t="str">
        <f>vlookup(B1062,Filmes_final!$B$2:$U$1001,13,FALSE)</f>
        <v>Yimou Zhang</v>
      </c>
    </row>
    <row r="1063">
      <c r="A1063" s="5">
        <v>266.0</v>
      </c>
      <c r="B1063" s="5" t="s">
        <v>1801</v>
      </c>
      <c r="C1063" s="5" t="s">
        <v>1805</v>
      </c>
      <c r="D1063" s="5" t="s">
        <v>6635</v>
      </c>
      <c r="E1063" s="8">
        <f>vlookup(B1063,Filmes_final!$B$2:$U$1001,20,FALSE)</f>
        <v>4988962</v>
      </c>
      <c r="F1063" s="5">
        <f>vlookup(B1063,Filmes_final!$B$2:$U$1001,3,FALSE)</f>
        <v>1991</v>
      </c>
      <c r="G1063" s="5" t="str">
        <f>vlookup(B1063,Filmes_final!$B$2:$U$1001,13,FALSE)</f>
        <v>Yimou Zhang</v>
      </c>
    </row>
    <row r="1064">
      <c r="A1064" s="5">
        <v>266.0</v>
      </c>
      <c r="B1064" s="5" t="s">
        <v>1801</v>
      </c>
      <c r="C1064" s="5" t="s">
        <v>1806</v>
      </c>
      <c r="D1064" s="5" t="s">
        <v>6636</v>
      </c>
      <c r="E1064" s="8">
        <f>vlookup(B1064,Filmes_final!$B$2:$U$1001,20,FALSE)</f>
        <v>4988962</v>
      </c>
      <c r="F1064" s="5">
        <f>vlookup(B1064,Filmes_final!$B$2:$U$1001,3,FALSE)</f>
        <v>1991</v>
      </c>
      <c r="G1064" s="5" t="str">
        <f>vlookup(B1064,Filmes_final!$B$2:$U$1001,13,FALSE)</f>
        <v>Yimou Zhang</v>
      </c>
    </row>
    <row r="1065">
      <c r="A1065" s="5">
        <v>266.0</v>
      </c>
      <c r="B1065" s="5" t="s">
        <v>1801</v>
      </c>
      <c r="C1065" s="5" t="s">
        <v>1807</v>
      </c>
      <c r="D1065" s="5" t="s">
        <v>6637</v>
      </c>
      <c r="E1065" s="8">
        <f>vlookup(B1065,Filmes_final!$B$2:$U$1001,20,FALSE)</f>
        <v>4988962</v>
      </c>
      <c r="F1065" s="5">
        <f>vlookup(B1065,Filmes_final!$B$2:$U$1001,3,FALSE)</f>
        <v>1991</v>
      </c>
      <c r="G1065" s="5" t="str">
        <f>vlookup(B1065,Filmes_final!$B$2:$U$1001,13,FALSE)</f>
        <v>Yimou Zhang</v>
      </c>
    </row>
    <row r="1066">
      <c r="A1066" s="5">
        <v>267.0</v>
      </c>
      <c r="B1066" s="5" t="s">
        <v>1808</v>
      </c>
      <c r="C1066" s="5" t="s">
        <v>752</v>
      </c>
      <c r="D1066" s="5" t="s">
        <v>6634</v>
      </c>
      <c r="E1066" s="8">
        <f>vlookup(B1066,Filmes_final!$B$2:$U$1001,20,FALSE)</f>
        <v>204204211</v>
      </c>
      <c r="F1066" s="5">
        <f>vlookup(B1066,Filmes_final!$B$2:$U$1001,3,FALSE)</f>
        <v>1989</v>
      </c>
      <c r="G1066" s="5" t="str">
        <f>vlookup(B1066,Filmes_final!$B$2:$U$1001,13,FALSE)</f>
        <v>Peter Weir</v>
      </c>
    </row>
    <row r="1067">
      <c r="A1067" s="5">
        <v>267.0</v>
      </c>
      <c r="B1067" s="5" t="s">
        <v>1808</v>
      </c>
      <c r="C1067" s="5" t="s">
        <v>1810</v>
      </c>
      <c r="D1067" s="5" t="s">
        <v>6635</v>
      </c>
      <c r="E1067" s="8">
        <f>vlookup(B1067,Filmes_final!$B$2:$U$1001,20,FALSE)</f>
        <v>204204211</v>
      </c>
      <c r="F1067" s="5">
        <f>vlookup(B1067,Filmes_final!$B$2:$U$1001,3,FALSE)</f>
        <v>1989</v>
      </c>
      <c r="G1067" s="5" t="str">
        <f>vlookup(B1067,Filmes_final!$B$2:$U$1001,13,FALSE)</f>
        <v>Peter Weir</v>
      </c>
    </row>
    <row r="1068">
      <c r="A1068" s="5">
        <v>267.0</v>
      </c>
      <c r="B1068" s="5" t="s">
        <v>1808</v>
      </c>
      <c r="C1068" s="5" t="s">
        <v>1642</v>
      </c>
      <c r="D1068" s="5" t="s">
        <v>6636</v>
      </c>
      <c r="E1068" s="8">
        <f>vlookup(B1068,Filmes_final!$B$2:$U$1001,20,FALSE)</f>
        <v>204204211</v>
      </c>
      <c r="F1068" s="5">
        <f>vlookup(B1068,Filmes_final!$B$2:$U$1001,3,FALSE)</f>
        <v>1989</v>
      </c>
      <c r="G1068" s="5" t="str">
        <f>vlookup(B1068,Filmes_final!$B$2:$U$1001,13,FALSE)</f>
        <v>Peter Weir</v>
      </c>
    </row>
    <row r="1069">
      <c r="A1069" s="5">
        <v>267.0</v>
      </c>
      <c r="B1069" s="5" t="s">
        <v>1808</v>
      </c>
      <c r="C1069" s="5" t="s">
        <v>1811</v>
      </c>
      <c r="D1069" s="5" t="s">
        <v>6637</v>
      </c>
      <c r="E1069" s="8">
        <f>vlookup(B1069,Filmes_final!$B$2:$U$1001,20,FALSE)</f>
        <v>204204211</v>
      </c>
      <c r="F1069" s="5">
        <f>vlookup(B1069,Filmes_final!$B$2:$U$1001,3,FALSE)</f>
        <v>1989</v>
      </c>
      <c r="G1069" s="5" t="str">
        <f>vlookup(B1069,Filmes_final!$B$2:$U$1001,13,FALSE)</f>
        <v>Peter Weir</v>
      </c>
    </row>
    <row r="1070">
      <c r="A1070" s="5">
        <v>268.0</v>
      </c>
      <c r="B1070" s="5" t="s">
        <v>1812</v>
      </c>
      <c r="C1070" s="5" t="s">
        <v>1816</v>
      </c>
      <c r="D1070" s="5" t="s">
        <v>6634</v>
      </c>
      <c r="E1070" s="8">
        <f>vlookup(B1070,Filmes_final!$B$2:$U$1001,20,FALSE)</f>
        <v>123071501</v>
      </c>
      <c r="F1070" s="5">
        <f>vlookup(B1070,Filmes_final!$B$2:$U$1001,3,FALSE)</f>
        <v>1986</v>
      </c>
      <c r="G1070" s="5" t="str">
        <f>vlookup(B1070,Filmes_final!$B$2:$U$1001,13,FALSE)</f>
        <v>Rob Reiner</v>
      </c>
    </row>
    <row r="1071">
      <c r="A1071" s="5">
        <v>268.0</v>
      </c>
      <c r="B1071" s="5" t="s">
        <v>1812</v>
      </c>
      <c r="C1071" s="5" t="s">
        <v>1817</v>
      </c>
      <c r="D1071" s="5" t="s">
        <v>6635</v>
      </c>
      <c r="E1071" s="8">
        <f>vlookup(B1071,Filmes_final!$B$2:$U$1001,20,FALSE)</f>
        <v>123071501</v>
      </c>
      <c r="F1071" s="5">
        <f>vlookup(B1071,Filmes_final!$B$2:$U$1001,3,FALSE)</f>
        <v>1986</v>
      </c>
      <c r="G1071" s="5" t="str">
        <f>vlookup(B1071,Filmes_final!$B$2:$U$1001,13,FALSE)</f>
        <v>Rob Reiner</v>
      </c>
    </row>
    <row r="1072">
      <c r="A1072" s="5">
        <v>268.0</v>
      </c>
      <c r="B1072" s="5" t="s">
        <v>1812</v>
      </c>
      <c r="C1072" s="5" t="s">
        <v>1818</v>
      </c>
      <c r="D1072" s="5" t="s">
        <v>6636</v>
      </c>
      <c r="E1072" s="8">
        <f>vlookup(B1072,Filmes_final!$B$2:$U$1001,20,FALSE)</f>
        <v>123071501</v>
      </c>
      <c r="F1072" s="5">
        <f>vlookup(B1072,Filmes_final!$B$2:$U$1001,3,FALSE)</f>
        <v>1986</v>
      </c>
      <c r="G1072" s="5" t="str">
        <f>vlookup(B1072,Filmes_final!$B$2:$U$1001,13,FALSE)</f>
        <v>Rob Reiner</v>
      </c>
    </row>
    <row r="1073">
      <c r="A1073" s="5">
        <v>268.0</v>
      </c>
      <c r="B1073" s="5" t="s">
        <v>1812</v>
      </c>
      <c r="C1073" s="5" t="s">
        <v>1819</v>
      </c>
      <c r="D1073" s="5" t="s">
        <v>6637</v>
      </c>
      <c r="E1073" s="8">
        <f>vlookup(B1073,Filmes_final!$B$2:$U$1001,20,FALSE)</f>
        <v>123071501</v>
      </c>
      <c r="F1073" s="5">
        <f>vlookup(B1073,Filmes_final!$B$2:$U$1001,3,FALSE)</f>
        <v>1986</v>
      </c>
      <c r="G1073" s="5" t="str">
        <f>vlookup(B1073,Filmes_final!$B$2:$U$1001,13,FALSE)</f>
        <v>Rob Reiner</v>
      </c>
    </row>
    <row r="1074">
      <c r="A1074" s="5">
        <v>269.0</v>
      </c>
      <c r="B1074" s="5" t="s">
        <v>1820</v>
      </c>
      <c r="C1074" s="5" t="s">
        <v>1823</v>
      </c>
      <c r="D1074" s="5" t="s">
        <v>6634</v>
      </c>
      <c r="E1074" s="8">
        <f>vlookup(B1074,Filmes_final!$B$2:$U$1001,20,FALSE)</f>
        <v>326066317</v>
      </c>
      <c r="F1074" s="5">
        <f>vlookup(B1074,Filmes_final!$B$2:$U$1001,3,FALSE)</f>
        <v>1986</v>
      </c>
      <c r="G1074" s="5" t="str">
        <f>vlookup(B1074,Filmes_final!$B$2:$U$1001,13,FALSE)</f>
        <v>Oliver Stone</v>
      </c>
    </row>
    <row r="1075">
      <c r="A1075" s="5">
        <v>269.0</v>
      </c>
      <c r="B1075" s="5" t="s">
        <v>1820</v>
      </c>
      <c r="C1075" s="5" t="s">
        <v>1824</v>
      </c>
      <c r="D1075" s="5" t="s">
        <v>6635</v>
      </c>
      <c r="E1075" s="8">
        <f>vlookup(B1075,Filmes_final!$B$2:$U$1001,20,FALSE)</f>
        <v>326066317</v>
      </c>
      <c r="F1075" s="5">
        <f>vlookup(B1075,Filmes_final!$B$2:$U$1001,3,FALSE)</f>
        <v>1986</v>
      </c>
      <c r="G1075" s="5" t="str">
        <f>vlookup(B1075,Filmes_final!$B$2:$U$1001,13,FALSE)</f>
        <v>Oliver Stone</v>
      </c>
    </row>
    <row r="1076">
      <c r="A1076" s="5">
        <v>269.0</v>
      </c>
      <c r="B1076" s="5" t="s">
        <v>1820</v>
      </c>
      <c r="C1076" s="5" t="s">
        <v>1825</v>
      </c>
      <c r="D1076" s="5" t="s">
        <v>6636</v>
      </c>
      <c r="E1076" s="8">
        <f>vlookup(B1076,Filmes_final!$B$2:$U$1001,20,FALSE)</f>
        <v>326066317</v>
      </c>
      <c r="F1076" s="5">
        <f>vlookup(B1076,Filmes_final!$B$2:$U$1001,3,FALSE)</f>
        <v>1986</v>
      </c>
      <c r="G1076" s="5" t="str">
        <f>vlookup(B1076,Filmes_final!$B$2:$U$1001,13,FALSE)</f>
        <v>Oliver Stone</v>
      </c>
    </row>
    <row r="1077">
      <c r="A1077" s="5">
        <v>269.0</v>
      </c>
      <c r="B1077" s="5" t="s">
        <v>1820</v>
      </c>
      <c r="C1077" s="5" t="s">
        <v>1826</v>
      </c>
      <c r="D1077" s="5" t="s">
        <v>6637</v>
      </c>
      <c r="E1077" s="8">
        <f>vlookup(B1077,Filmes_final!$B$2:$U$1001,20,FALSE)</f>
        <v>326066317</v>
      </c>
      <c r="F1077" s="5">
        <f>vlookup(B1077,Filmes_final!$B$2:$U$1001,3,FALSE)</f>
        <v>1986</v>
      </c>
      <c r="G1077" s="5" t="str">
        <f>vlookup(B1077,Filmes_final!$B$2:$U$1001,13,FALSE)</f>
        <v>Oliver Stone</v>
      </c>
    </row>
    <row r="1078">
      <c r="A1078" s="5">
        <v>270.0</v>
      </c>
      <c r="B1078" s="5" t="s">
        <v>1827</v>
      </c>
      <c r="C1078" s="5" t="s">
        <v>1830</v>
      </c>
      <c r="D1078" s="5" t="s">
        <v>6634</v>
      </c>
      <c r="E1078" s="8">
        <f>vlookup(B1078,Filmes_final!$B$2:$U$1001,20,FALSE)</f>
        <v>5523939</v>
      </c>
      <c r="F1078" s="5">
        <f>vlookup(B1078,Filmes_final!$B$2:$U$1001,3,FALSE)</f>
        <v>1984</v>
      </c>
      <c r="G1078" s="5" t="str">
        <f>vlookup(B1078,Filmes_final!$B$2:$U$1001,13,FALSE)</f>
        <v>Wim Wenders</v>
      </c>
    </row>
    <row r="1079">
      <c r="A1079" s="5">
        <v>270.0</v>
      </c>
      <c r="B1079" s="5" t="s">
        <v>1827</v>
      </c>
      <c r="C1079" s="5" t="s">
        <v>1831</v>
      </c>
      <c r="D1079" s="5" t="s">
        <v>6635</v>
      </c>
      <c r="E1079" s="8">
        <f>vlookup(B1079,Filmes_final!$B$2:$U$1001,20,FALSE)</f>
        <v>5523939</v>
      </c>
      <c r="F1079" s="5">
        <f>vlookup(B1079,Filmes_final!$B$2:$U$1001,3,FALSE)</f>
        <v>1984</v>
      </c>
      <c r="G1079" s="5" t="str">
        <f>vlookup(B1079,Filmes_final!$B$2:$U$1001,13,FALSE)</f>
        <v>Wim Wenders</v>
      </c>
    </row>
    <row r="1080">
      <c r="A1080" s="5">
        <v>270.0</v>
      </c>
      <c r="B1080" s="5" t="s">
        <v>1827</v>
      </c>
      <c r="C1080" s="5" t="s">
        <v>1832</v>
      </c>
      <c r="D1080" s="5" t="s">
        <v>6636</v>
      </c>
      <c r="E1080" s="8">
        <f>vlookup(B1080,Filmes_final!$B$2:$U$1001,20,FALSE)</f>
        <v>5523939</v>
      </c>
      <c r="F1080" s="5">
        <f>vlookup(B1080,Filmes_final!$B$2:$U$1001,3,FALSE)</f>
        <v>1984</v>
      </c>
      <c r="G1080" s="5" t="str">
        <f>vlookup(B1080,Filmes_final!$B$2:$U$1001,13,FALSE)</f>
        <v>Wim Wenders</v>
      </c>
    </row>
    <row r="1081">
      <c r="A1081" s="5">
        <v>270.0</v>
      </c>
      <c r="B1081" s="5" t="s">
        <v>1827</v>
      </c>
      <c r="C1081" s="5" t="s">
        <v>1833</v>
      </c>
      <c r="D1081" s="5" t="s">
        <v>6637</v>
      </c>
      <c r="E1081" s="8">
        <f>vlookup(B1081,Filmes_final!$B$2:$U$1001,20,FALSE)</f>
        <v>5523939</v>
      </c>
      <c r="F1081" s="5">
        <f>vlookup(B1081,Filmes_final!$B$2:$U$1001,3,FALSE)</f>
        <v>1984</v>
      </c>
      <c r="G1081" s="5" t="str">
        <f>vlookup(B1081,Filmes_final!$B$2:$U$1001,13,FALSE)</f>
        <v>Wim Wenders</v>
      </c>
    </row>
    <row r="1082">
      <c r="A1082" s="5">
        <v>271.0</v>
      </c>
      <c r="B1082" s="5" t="s">
        <v>1834</v>
      </c>
      <c r="C1082" s="5" t="s">
        <v>1838</v>
      </c>
      <c r="D1082" s="5" t="s">
        <v>6634</v>
      </c>
      <c r="E1082" s="8">
        <f>vlookup(B1082,Filmes_final!$B$2:$U$1001,20,FALSE)</f>
        <v>1255096</v>
      </c>
      <c r="F1082" s="5">
        <f>vlookup(B1082,Filmes_final!$B$2:$U$1001,3,FALSE)</f>
        <v>1984</v>
      </c>
      <c r="G1082" s="5" t="str">
        <f>vlookup(B1082,Filmes_final!$B$2:$U$1001,13,FALSE)</f>
        <v>Hayao Miyazaki</v>
      </c>
    </row>
    <row r="1083">
      <c r="A1083" s="5">
        <v>271.0</v>
      </c>
      <c r="B1083" s="5" t="s">
        <v>1834</v>
      </c>
      <c r="C1083" s="5" t="s">
        <v>1839</v>
      </c>
      <c r="D1083" s="5" t="s">
        <v>6635</v>
      </c>
      <c r="E1083" s="8">
        <f>vlookup(B1083,Filmes_final!$B$2:$U$1001,20,FALSE)</f>
        <v>1255096</v>
      </c>
      <c r="F1083" s="5">
        <f>vlookup(B1083,Filmes_final!$B$2:$U$1001,3,FALSE)</f>
        <v>1984</v>
      </c>
      <c r="G1083" s="5" t="str">
        <f>vlookup(B1083,Filmes_final!$B$2:$U$1001,13,FALSE)</f>
        <v>Hayao Miyazaki</v>
      </c>
    </row>
    <row r="1084">
      <c r="A1084" s="5">
        <v>271.0</v>
      </c>
      <c r="B1084" s="5" t="s">
        <v>1834</v>
      </c>
      <c r="C1084" s="5" t="s">
        <v>1840</v>
      </c>
      <c r="D1084" s="5" t="s">
        <v>6636</v>
      </c>
      <c r="E1084" s="8">
        <f>vlookup(B1084,Filmes_final!$B$2:$U$1001,20,FALSE)</f>
        <v>1255096</v>
      </c>
      <c r="F1084" s="5">
        <f>vlookup(B1084,Filmes_final!$B$2:$U$1001,3,FALSE)</f>
        <v>1984</v>
      </c>
      <c r="G1084" s="5" t="str">
        <f>vlookup(B1084,Filmes_final!$B$2:$U$1001,13,FALSE)</f>
        <v>Hayao Miyazaki</v>
      </c>
    </row>
    <row r="1085">
      <c r="A1085" s="5">
        <v>271.0</v>
      </c>
      <c r="B1085" s="5" t="s">
        <v>1834</v>
      </c>
      <c r="C1085" s="5" t="s">
        <v>1841</v>
      </c>
      <c r="D1085" s="5" t="s">
        <v>6637</v>
      </c>
      <c r="E1085" s="8">
        <f>vlookup(B1085,Filmes_final!$B$2:$U$1001,20,FALSE)</f>
        <v>1255096</v>
      </c>
      <c r="F1085" s="5">
        <f>vlookup(B1085,Filmes_final!$B$2:$U$1001,3,FALSE)</f>
        <v>1984</v>
      </c>
      <c r="G1085" s="5" t="str">
        <f>vlookup(B1085,Filmes_final!$B$2:$U$1001,13,FALSE)</f>
        <v>Hayao Miyazaki</v>
      </c>
    </row>
    <row r="1086">
      <c r="A1086" s="5">
        <v>272.0</v>
      </c>
      <c r="B1086" s="5" t="s">
        <v>1842</v>
      </c>
      <c r="C1086" s="5" t="s">
        <v>1846</v>
      </c>
      <c r="D1086" s="5" t="s">
        <v>6634</v>
      </c>
      <c r="E1086" s="8">
        <f>vlookup(B1086,Filmes_final!$B$2:$U$1001,20,FALSE)</f>
        <v>37704905</v>
      </c>
      <c r="F1086" s="5">
        <f>vlookup(B1086,Filmes_final!$B$2:$U$1001,3,FALSE)</f>
        <v>1982</v>
      </c>
      <c r="G1086" s="5" t="str">
        <f>vlookup(B1086,Filmes_final!$B$2:$U$1001,13,FALSE)</f>
        <v>John Carpenter</v>
      </c>
    </row>
    <row r="1087">
      <c r="A1087" s="5">
        <v>272.0</v>
      </c>
      <c r="B1087" s="5" t="s">
        <v>1842</v>
      </c>
      <c r="C1087" s="5" t="s">
        <v>1847</v>
      </c>
      <c r="D1087" s="5" t="s">
        <v>6635</v>
      </c>
      <c r="E1087" s="8">
        <f>vlookup(B1087,Filmes_final!$B$2:$U$1001,20,FALSE)</f>
        <v>37704905</v>
      </c>
      <c r="F1087" s="5">
        <f>vlookup(B1087,Filmes_final!$B$2:$U$1001,3,FALSE)</f>
        <v>1982</v>
      </c>
      <c r="G1087" s="5" t="str">
        <f>vlookup(B1087,Filmes_final!$B$2:$U$1001,13,FALSE)</f>
        <v>John Carpenter</v>
      </c>
    </row>
    <row r="1088">
      <c r="A1088" s="5">
        <v>272.0</v>
      </c>
      <c r="B1088" s="5" t="s">
        <v>1842</v>
      </c>
      <c r="C1088" s="5" t="s">
        <v>1826</v>
      </c>
      <c r="D1088" s="5" t="s">
        <v>6636</v>
      </c>
      <c r="E1088" s="8">
        <f>vlookup(B1088,Filmes_final!$B$2:$U$1001,20,FALSE)</f>
        <v>37704905</v>
      </c>
      <c r="F1088" s="5">
        <f>vlookup(B1088,Filmes_final!$B$2:$U$1001,3,FALSE)</f>
        <v>1982</v>
      </c>
      <c r="G1088" s="5" t="str">
        <f>vlookup(B1088,Filmes_final!$B$2:$U$1001,13,FALSE)</f>
        <v>John Carpenter</v>
      </c>
    </row>
    <row r="1089">
      <c r="A1089" s="5">
        <v>272.0</v>
      </c>
      <c r="B1089" s="5" t="s">
        <v>1842</v>
      </c>
      <c r="C1089" s="5" t="s">
        <v>1848</v>
      </c>
      <c r="D1089" s="5" t="s">
        <v>6637</v>
      </c>
      <c r="E1089" s="8">
        <f>vlookup(B1089,Filmes_final!$B$2:$U$1001,20,FALSE)</f>
        <v>37704905</v>
      </c>
      <c r="F1089" s="5">
        <f>vlookup(B1089,Filmes_final!$B$2:$U$1001,3,FALSE)</f>
        <v>1982</v>
      </c>
      <c r="G1089" s="5" t="str">
        <f>vlookup(B1089,Filmes_final!$B$2:$U$1001,13,FALSE)</f>
        <v>John Carpenter</v>
      </c>
    </row>
    <row r="1090">
      <c r="A1090" s="5">
        <v>273.0</v>
      </c>
      <c r="B1090" s="5" t="s">
        <v>1849</v>
      </c>
      <c r="C1090" s="5" t="s">
        <v>1853</v>
      </c>
      <c r="D1090" s="5" t="s">
        <v>6634</v>
      </c>
      <c r="E1090" s="8">
        <f>vlookup(B1090,Filmes_final!$B$2:$U$1001,20,FALSE)</f>
        <v>60852177</v>
      </c>
      <c r="F1090" s="5">
        <f>vlookup(B1090,Filmes_final!$B$2:$U$1001,3,FALSE)</f>
        <v>1982</v>
      </c>
      <c r="G1090" s="5" t="str">
        <f>vlookup(B1090,Filmes_final!$B$2:$U$1001,13,FALSE)</f>
        <v>Alan Parker</v>
      </c>
    </row>
    <row r="1091">
      <c r="A1091" s="5">
        <v>273.0</v>
      </c>
      <c r="B1091" s="5" t="s">
        <v>1849</v>
      </c>
      <c r="C1091" s="5" t="s">
        <v>1854</v>
      </c>
      <c r="D1091" s="5" t="s">
        <v>6635</v>
      </c>
      <c r="E1091" s="8">
        <f>vlookup(B1091,Filmes_final!$B$2:$U$1001,20,FALSE)</f>
        <v>60852177</v>
      </c>
      <c r="F1091" s="5">
        <f>vlookup(B1091,Filmes_final!$B$2:$U$1001,3,FALSE)</f>
        <v>1982</v>
      </c>
      <c r="G1091" s="5" t="str">
        <f>vlookup(B1091,Filmes_final!$B$2:$U$1001,13,FALSE)</f>
        <v>Alan Parker</v>
      </c>
    </row>
    <row r="1092">
      <c r="A1092" s="5">
        <v>273.0</v>
      </c>
      <c r="B1092" s="5" t="s">
        <v>1849</v>
      </c>
      <c r="C1092" s="5" t="s">
        <v>1855</v>
      </c>
      <c r="D1092" s="5" t="s">
        <v>6636</v>
      </c>
      <c r="E1092" s="8">
        <f>vlookup(B1092,Filmes_final!$B$2:$U$1001,20,FALSE)</f>
        <v>60852177</v>
      </c>
      <c r="F1092" s="5">
        <f>vlookup(B1092,Filmes_final!$B$2:$U$1001,3,FALSE)</f>
        <v>1982</v>
      </c>
      <c r="G1092" s="5" t="str">
        <f>vlookup(B1092,Filmes_final!$B$2:$U$1001,13,FALSE)</f>
        <v>Alan Parker</v>
      </c>
    </row>
    <row r="1093">
      <c r="A1093" s="5">
        <v>273.0</v>
      </c>
      <c r="B1093" s="5" t="s">
        <v>1849</v>
      </c>
      <c r="C1093" s="5" t="s">
        <v>1856</v>
      </c>
      <c r="D1093" s="5" t="s">
        <v>6637</v>
      </c>
      <c r="E1093" s="8">
        <f>vlookup(B1093,Filmes_final!$B$2:$U$1001,20,FALSE)</f>
        <v>60852177</v>
      </c>
      <c r="F1093" s="5">
        <f>vlookup(B1093,Filmes_final!$B$2:$U$1001,3,FALSE)</f>
        <v>1982</v>
      </c>
      <c r="G1093" s="5" t="str">
        <f>vlookup(B1093,Filmes_final!$B$2:$U$1001,13,FALSE)</f>
        <v>Alan Parker</v>
      </c>
    </row>
    <row r="1094">
      <c r="A1094" s="5">
        <v>274.0</v>
      </c>
      <c r="B1094" s="5" t="s">
        <v>1857</v>
      </c>
      <c r="C1094" s="5" t="s">
        <v>1860</v>
      </c>
      <c r="D1094" s="5" t="s">
        <v>6634</v>
      </c>
      <c r="E1094" s="8">
        <f>vlookup(B1094,Filmes_final!$B$2:$U$1001,20,FALSE)</f>
        <v>7862</v>
      </c>
      <c r="F1094" s="5">
        <f>vlookup(B1094,Filmes_final!$B$2:$U$1001,3,FALSE)</f>
        <v>1982</v>
      </c>
      <c r="G1094" s="5" t="str">
        <f>vlookup(B1094,Filmes_final!$B$2:$U$1001,13,FALSE)</f>
        <v>Werner Herzog</v>
      </c>
    </row>
    <row r="1095">
      <c r="A1095" s="5">
        <v>274.0</v>
      </c>
      <c r="B1095" s="5" t="s">
        <v>1857</v>
      </c>
      <c r="C1095" s="5" t="s">
        <v>393</v>
      </c>
      <c r="D1095" s="5" t="s">
        <v>6635</v>
      </c>
      <c r="E1095" s="8">
        <f>vlookup(B1095,Filmes_final!$B$2:$U$1001,20,FALSE)</f>
        <v>7862</v>
      </c>
      <c r="F1095" s="5">
        <f>vlookup(B1095,Filmes_final!$B$2:$U$1001,3,FALSE)</f>
        <v>1982</v>
      </c>
      <c r="G1095" s="5" t="str">
        <f>vlookup(B1095,Filmes_final!$B$2:$U$1001,13,FALSE)</f>
        <v>Werner Herzog</v>
      </c>
    </row>
    <row r="1096">
      <c r="A1096" s="5">
        <v>274.0</v>
      </c>
      <c r="B1096" s="5" t="s">
        <v>1857</v>
      </c>
      <c r="C1096" s="5" t="s">
        <v>1861</v>
      </c>
      <c r="D1096" s="5" t="s">
        <v>6636</v>
      </c>
      <c r="E1096" s="8">
        <f>vlookup(B1096,Filmes_final!$B$2:$U$1001,20,FALSE)</f>
        <v>7862</v>
      </c>
      <c r="F1096" s="5">
        <f>vlookup(B1096,Filmes_final!$B$2:$U$1001,3,FALSE)</f>
        <v>1982</v>
      </c>
      <c r="G1096" s="5" t="str">
        <f>vlookup(B1096,Filmes_final!$B$2:$U$1001,13,FALSE)</f>
        <v>Werner Herzog</v>
      </c>
    </row>
    <row r="1097">
      <c r="A1097" s="5">
        <v>274.0</v>
      </c>
      <c r="B1097" s="5" t="s">
        <v>1857</v>
      </c>
      <c r="C1097" s="5" t="s">
        <v>1862</v>
      </c>
      <c r="D1097" s="5" t="s">
        <v>6637</v>
      </c>
      <c r="E1097" s="8">
        <f>vlookup(B1097,Filmes_final!$B$2:$U$1001,20,FALSE)</f>
        <v>7862</v>
      </c>
      <c r="F1097" s="5">
        <f>vlookup(B1097,Filmes_final!$B$2:$U$1001,3,FALSE)</f>
        <v>1982</v>
      </c>
      <c r="G1097" s="5" t="str">
        <f>vlookup(B1097,Filmes_final!$B$2:$U$1001,13,FALSE)</f>
        <v>Werner Herzog</v>
      </c>
    </row>
    <row r="1098">
      <c r="A1098" s="5">
        <v>275.0</v>
      </c>
      <c r="B1098" s="5" t="s">
        <v>1863</v>
      </c>
      <c r="C1098" s="5" t="s">
        <v>1866</v>
      </c>
      <c r="D1098" s="5" t="s">
        <v>6634</v>
      </c>
      <c r="E1098" s="8">
        <f>vlookup(B1098,Filmes_final!$B$2:$U$1001,20,FALSE)</f>
        <v>13599804</v>
      </c>
      <c r="F1098" s="5">
        <f>vlookup(B1098,Filmes_final!$B$2:$U$1001,3,FALSE)</f>
        <v>1982</v>
      </c>
      <c r="G1098" s="5" t="str">
        <f>vlookup(B1098,Filmes_final!$B$2:$U$1001,13,FALSE)</f>
        <v>Ingmar Bergman</v>
      </c>
    </row>
    <row r="1099">
      <c r="A1099" s="5">
        <v>275.0</v>
      </c>
      <c r="B1099" s="5" t="s">
        <v>1863</v>
      </c>
      <c r="C1099" s="5" t="s">
        <v>1867</v>
      </c>
      <c r="D1099" s="5" t="s">
        <v>6635</v>
      </c>
      <c r="E1099" s="8">
        <f>vlookup(B1099,Filmes_final!$B$2:$U$1001,20,FALSE)</f>
        <v>13599804</v>
      </c>
      <c r="F1099" s="5">
        <f>vlookup(B1099,Filmes_final!$B$2:$U$1001,3,FALSE)</f>
        <v>1982</v>
      </c>
      <c r="G1099" s="5" t="str">
        <f>vlookup(B1099,Filmes_final!$B$2:$U$1001,13,FALSE)</f>
        <v>Ingmar Bergman</v>
      </c>
    </row>
    <row r="1100">
      <c r="A1100" s="5">
        <v>275.0</v>
      </c>
      <c r="B1100" s="5" t="s">
        <v>1863</v>
      </c>
      <c r="C1100" s="5" t="s">
        <v>1868</v>
      </c>
      <c r="D1100" s="5" t="s">
        <v>6636</v>
      </c>
      <c r="E1100" s="8">
        <f>vlookup(B1100,Filmes_final!$B$2:$U$1001,20,FALSE)</f>
        <v>13599804</v>
      </c>
      <c r="F1100" s="5">
        <f>vlookup(B1100,Filmes_final!$B$2:$U$1001,3,FALSE)</f>
        <v>1982</v>
      </c>
      <c r="G1100" s="5" t="str">
        <f>vlookup(B1100,Filmes_final!$B$2:$U$1001,13,FALSE)</f>
        <v>Ingmar Bergman</v>
      </c>
    </row>
    <row r="1101">
      <c r="A1101" s="5">
        <v>275.0</v>
      </c>
      <c r="B1101" s="5" t="s">
        <v>1863</v>
      </c>
      <c r="C1101" s="5" t="s">
        <v>1869</v>
      </c>
      <c r="D1101" s="5" t="s">
        <v>6637</v>
      </c>
      <c r="E1101" s="8">
        <f>vlookup(B1101,Filmes_final!$B$2:$U$1001,20,FALSE)</f>
        <v>13599804</v>
      </c>
      <c r="F1101" s="5">
        <f>vlookup(B1101,Filmes_final!$B$2:$U$1001,3,FALSE)</f>
        <v>1982</v>
      </c>
      <c r="G1101" s="5" t="str">
        <f>vlookup(B1101,Filmes_final!$B$2:$U$1001,13,FALSE)</f>
        <v>Ingmar Bergman</v>
      </c>
    </row>
    <row r="1102">
      <c r="A1102" s="5">
        <v>276.0</v>
      </c>
      <c r="B1102" s="5" t="s">
        <v>1870</v>
      </c>
      <c r="C1102" s="5" t="s">
        <v>149</v>
      </c>
      <c r="D1102" s="5" t="s">
        <v>6634</v>
      </c>
      <c r="E1102" s="8">
        <f>vlookup(B1102,Filmes_final!$B$2:$U$1001,20,FALSE)</f>
        <v>89917647</v>
      </c>
      <c r="F1102" s="5">
        <f>vlookup(B1102,Filmes_final!$B$2:$U$1001,3,FALSE)</f>
        <v>1982</v>
      </c>
      <c r="G1102" s="5" t="str">
        <f>vlookup(B1102,Filmes_final!$B$2:$U$1001,13,FALSE)</f>
        <v>Ridley Scott</v>
      </c>
    </row>
    <row r="1103">
      <c r="A1103" s="5">
        <v>276.0</v>
      </c>
      <c r="B1103" s="5" t="s">
        <v>1870</v>
      </c>
      <c r="C1103" s="5" t="s">
        <v>1873</v>
      </c>
      <c r="D1103" s="5" t="s">
        <v>6635</v>
      </c>
      <c r="E1103" s="8">
        <f>vlookup(B1103,Filmes_final!$B$2:$U$1001,20,FALSE)</f>
        <v>89917647</v>
      </c>
      <c r="F1103" s="5">
        <f>vlookup(B1103,Filmes_final!$B$2:$U$1001,3,FALSE)</f>
        <v>1982</v>
      </c>
      <c r="G1103" s="5" t="str">
        <f>vlookup(B1103,Filmes_final!$B$2:$U$1001,13,FALSE)</f>
        <v>Ridley Scott</v>
      </c>
    </row>
    <row r="1104">
      <c r="A1104" s="5">
        <v>276.0</v>
      </c>
      <c r="B1104" s="5" t="s">
        <v>1870</v>
      </c>
      <c r="C1104" s="5" t="s">
        <v>1874</v>
      </c>
      <c r="D1104" s="5" t="s">
        <v>6636</v>
      </c>
      <c r="E1104" s="8">
        <f>vlookup(B1104,Filmes_final!$B$2:$U$1001,20,FALSE)</f>
        <v>89917647</v>
      </c>
      <c r="F1104" s="5">
        <f>vlookup(B1104,Filmes_final!$B$2:$U$1001,3,FALSE)</f>
        <v>1982</v>
      </c>
      <c r="G1104" s="5" t="str">
        <f>vlookup(B1104,Filmes_final!$B$2:$U$1001,13,FALSE)</f>
        <v>Ridley Scott</v>
      </c>
    </row>
    <row r="1105">
      <c r="A1105" s="5">
        <v>276.0</v>
      </c>
      <c r="B1105" s="5" t="s">
        <v>1870</v>
      </c>
      <c r="C1105" s="5" t="s">
        <v>1875</v>
      </c>
      <c r="D1105" s="5" t="s">
        <v>6637</v>
      </c>
      <c r="E1105" s="8">
        <f>vlookup(B1105,Filmes_final!$B$2:$U$1001,20,FALSE)</f>
        <v>89917647</v>
      </c>
      <c r="F1105" s="5">
        <f>vlookup(B1105,Filmes_final!$B$2:$U$1001,3,FALSE)</f>
        <v>1982</v>
      </c>
      <c r="G1105" s="5" t="str">
        <f>vlookup(B1105,Filmes_final!$B$2:$U$1001,13,FALSE)</f>
        <v>Ridley Scott</v>
      </c>
    </row>
    <row r="1106">
      <c r="A1106" s="5">
        <v>277.0</v>
      </c>
      <c r="B1106" s="5" t="s">
        <v>1876</v>
      </c>
      <c r="C1106" s="5" t="s">
        <v>245</v>
      </c>
      <c r="D1106" s="5" t="s">
        <v>6634</v>
      </c>
      <c r="E1106" s="8">
        <f>vlookup(B1106,Filmes_final!$B$2:$U$1001,20,FALSE)</f>
        <v>86247411</v>
      </c>
      <c r="F1106" s="5">
        <f>vlookup(B1106,Filmes_final!$B$2:$U$1001,3,FALSE)</f>
        <v>1980</v>
      </c>
      <c r="G1106" s="5" t="str">
        <f>vlookup(B1106,Filmes_final!$B$2:$U$1001,13,FALSE)</f>
        <v>David Lynch</v>
      </c>
    </row>
    <row r="1107">
      <c r="A1107" s="5">
        <v>277.0</v>
      </c>
      <c r="B1107" s="5" t="s">
        <v>1876</v>
      </c>
      <c r="C1107" s="5" t="s">
        <v>585</v>
      </c>
      <c r="D1107" s="5" t="s">
        <v>6635</v>
      </c>
      <c r="E1107" s="8">
        <f>vlookup(B1107,Filmes_final!$B$2:$U$1001,20,FALSE)</f>
        <v>86247411</v>
      </c>
      <c r="F1107" s="5">
        <f>vlookup(B1107,Filmes_final!$B$2:$U$1001,3,FALSE)</f>
        <v>1980</v>
      </c>
      <c r="G1107" s="5" t="str">
        <f>vlookup(B1107,Filmes_final!$B$2:$U$1001,13,FALSE)</f>
        <v>David Lynch</v>
      </c>
    </row>
    <row r="1108">
      <c r="A1108" s="5">
        <v>277.0</v>
      </c>
      <c r="B1108" s="5" t="s">
        <v>1876</v>
      </c>
      <c r="C1108" s="5" t="s">
        <v>1879</v>
      </c>
      <c r="D1108" s="5" t="s">
        <v>6636</v>
      </c>
      <c r="E1108" s="8">
        <f>vlookup(B1108,Filmes_final!$B$2:$U$1001,20,FALSE)</f>
        <v>86247411</v>
      </c>
      <c r="F1108" s="5">
        <f>vlookup(B1108,Filmes_final!$B$2:$U$1001,3,FALSE)</f>
        <v>1980</v>
      </c>
      <c r="G1108" s="5" t="str">
        <f>vlookup(B1108,Filmes_final!$B$2:$U$1001,13,FALSE)</f>
        <v>David Lynch</v>
      </c>
    </row>
    <row r="1109">
      <c r="A1109" s="5">
        <v>277.0</v>
      </c>
      <c r="B1109" s="5" t="s">
        <v>1876</v>
      </c>
      <c r="C1109" s="5" t="s">
        <v>1880</v>
      </c>
      <c r="D1109" s="5" t="s">
        <v>6637</v>
      </c>
      <c r="E1109" s="8">
        <f>vlookup(B1109,Filmes_final!$B$2:$U$1001,20,FALSE)</f>
        <v>86247411</v>
      </c>
      <c r="F1109" s="5">
        <f>vlookup(B1109,Filmes_final!$B$2:$U$1001,3,FALSE)</f>
        <v>1980</v>
      </c>
      <c r="G1109" s="5" t="str">
        <f>vlookup(B1109,Filmes_final!$B$2:$U$1001,13,FALSE)</f>
        <v>David Lynch</v>
      </c>
    </row>
    <row r="1110">
      <c r="A1110" s="5">
        <v>278.0</v>
      </c>
      <c r="B1110" s="5" t="s">
        <v>1881</v>
      </c>
      <c r="C1110" s="5" t="s">
        <v>1264</v>
      </c>
      <c r="D1110" s="5" t="s">
        <v>6634</v>
      </c>
      <c r="E1110" s="8">
        <f>vlookup(B1110,Filmes_final!$B$2:$U$1001,20,FALSE)</f>
        <v>75710957</v>
      </c>
      <c r="F1110" s="5">
        <f>vlookup(B1110,Filmes_final!$B$2:$U$1001,3,FALSE)</f>
        <v>1979</v>
      </c>
      <c r="G1110" s="5" t="str">
        <f>vlookup(B1110,Filmes_final!$B$2:$U$1001,13,FALSE)</f>
        <v>Terry Jones</v>
      </c>
    </row>
    <row r="1111">
      <c r="A1111" s="5">
        <v>278.0</v>
      </c>
      <c r="B1111" s="5" t="s">
        <v>1881</v>
      </c>
      <c r="C1111" s="5" t="s">
        <v>1265</v>
      </c>
      <c r="D1111" s="5" t="s">
        <v>6635</v>
      </c>
      <c r="E1111" s="8">
        <f>vlookup(B1111,Filmes_final!$B$2:$U$1001,20,FALSE)</f>
        <v>75710957</v>
      </c>
      <c r="F1111" s="5">
        <f>vlookup(B1111,Filmes_final!$B$2:$U$1001,3,FALSE)</f>
        <v>1979</v>
      </c>
      <c r="G1111" s="5" t="str">
        <f>vlookup(B1111,Filmes_final!$B$2:$U$1001,13,FALSE)</f>
        <v>Terry Jones</v>
      </c>
    </row>
    <row r="1112">
      <c r="A1112" s="5">
        <v>278.0</v>
      </c>
      <c r="B1112" s="5" t="s">
        <v>1881</v>
      </c>
      <c r="C1112" s="5" t="s">
        <v>1884</v>
      </c>
      <c r="D1112" s="5" t="s">
        <v>6636</v>
      </c>
      <c r="E1112" s="8">
        <f>vlookup(B1112,Filmes_final!$B$2:$U$1001,20,FALSE)</f>
        <v>75710957</v>
      </c>
      <c r="F1112" s="5">
        <f>vlookup(B1112,Filmes_final!$B$2:$U$1001,3,FALSE)</f>
        <v>1979</v>
      </c>
      <c r="G1112" s="5" t="str">
        <f>vlookup(B1112,Filmes_final!$B$2:$U$1001,13,FALSE)</f>
        <v>Terry Jones</v>
      </c>
    </row>
    <row r="1113">
      <c r="A1113" s="5">
        <v>278.0</v>
      </c>
      <c r="B1113" s="5" t="s">
        <v>1881</v>
      </c>
      <c r="C1113" s="5" t="s">
        <v>1262</v>
      </c>
      <c r="D1113" s="5" t="s">
        <v>6637</v>
      </c>
      <c r="E1113" s="8">
        <f>vlookup(B1113,Filmes_final!$B$2:$U$1001,20,FALSE)</f>
        <v>75710957</v>
      </c>
      <c r="F1113" s="5">
        <f>vlookup(B1113,Filmes_final!$B$2:$U$1001,3,FALSE)</f>
        <v>1979</v>
      </c>
      <c r="G1113" s="5" t="str">
        <f>vlookup(B1113,Filmes_final!$B$2:$U$1001,13,FALSE)</f>
        <v>Terry Jones</v>
      </c>
    </row>
    <row r="1114">
      <c r="A1114" s="5">
        <v>279.0</v>
      </c>
      <c r="B1114" s="5" t="s">
        <v>1885</v>
      </c>
      <c r="C1114" s="5" t="s">
        <v>49</v>
      </c>
      <c r="D1114" s="5" t="s">
        <v>6634</v>
      </c>
      <c r="E1114" s="8">
        <f>vlookup(B1114,Filmes_final!$B$2:$U$1001,20,FALSE)</f>
        <v>202163940</v>
      </c>
      <c r="F1114" s="5">
        <f>vlookup(B1114,Filmes_final!$B$2:$U$1001,3,FALSE)</f>
        <v>1978</v>
      </c>
      <c r="G1114" s="5" t="str">
        <f>vlookup(B1114,Filmes_final!$B$2:$U$1001,13,FALSE)</f>
        <v>Michael Cimino</v>
      </c>
    </row>
    <row r="1115">
      <c r="A1115" s="5">
        <v>279.0</v>
      </c>
      <c r="B1115" s="5" t="s">
        <v>1885</v>
      </c>
      <c r="C1115" s="5" t="s">
        <v>1674</v>
      </c>
      <c r="D1115" s="5" t="s">
        <v>6635</v>
      </c>
      <c r="E1115" s="8">
        <f>vlookup(B1115,Filmes_final!$B$2:$U$1001,20,FALSE)</f>
        <v>202163940</v>
      </c>
      <c r="F1115" s="5">
        <f>vlookup(B1115,Filmes_final!$B$2:$U$1001,3,FALSE)</f>
        <v>1978</v>
      </c>
      <c r="G1115" s="5" t="str">
        <f>vlookup(B1115,Filmes_final!$B$2:$U$1001,13,FALSE)</f>
        <v>Michael Cimino</v>
      </c>
    </row>
    <row r="1116">
      <c r="A1116" s="5">
        <v>279.0</v>
      </c>
      <c r="B1116" s="5" t="s">
        <v>1885</v>
      </c>
      <c r="C1116" s="5" t="s">
        <v>1888</v>
      </c>
      <c r="D1116" s="5" t="s">
        <v>6636</v>
      </c>
      <c r="E1116" s="8">
        <f>vlookup(B1116,Filmes_final!$B$2:$U$1001,20,FALSE)</f>
        <v>202163940</v>
      </c>
      <c r="F1116" s="5">
        <f>vlookup(B1116,Filmes_final!$B$2:$U$1001,3,FALSE)</f>
        <v>1978</v>
      </c>
      <c r="G1116" s="5" t="str">
        <f>vlookup(B1116,Filmes_final!$B$2:$U$1001,13,FALSE)</f>
        <v>Michael Cimino</v>
      </c>
    </row>
    <row r="1117">
      <c r="A1117" s="5">
        <v>279.0</v>
      </c>
      <c r="B1117" s="5" t="s">
        <v>1885</v>
      </c>
      <c r="C1117" s="5" t="s">
        <v>1889</v>
      </c>
      <c r="D1117" s="5" t="s">
        <v>6637</v>
      </c>
      <c r="E1117" s="8">
        <f>vlookup(B1117,Filmes_final!$B$2:$U$1001,20,FALSE)</f>
        <v>202163940</v>
      </c>
      <c r="F1117" s="5">
        <f>vlookup(B1117,Filmes_final!$B$2:$U$1001,3,FALSE)</f>
        <v>1978</v>
      </c>
      <c r="G1117" s="5" t="str">
        <f>vlookup(B1117,Filmes_final!$B$2:$U$1001,13,FALSE)</f>
        <v>Michael Cimino</v>
      </c>
    </row>
    <row r="1118">
      <c r="A1118" s="5">
        <v>280.0</v>
      </c>
      <c r="B1118" s="5" t="s">
        <v>1890</v>
      </c>
      <c r="C1118" s="5" t="s">
        <v>1893</v>
      </c>
      <c r="D1118" s="5" t="s">
        <v>6634</v>
      </c>
      <c r="E1118" s="8">
        <f>vlookup(B1118,Filmes_final!$B$2:$U$1001,20,FALSE)</f>
        <v>543944135</v>
      </c>
      <c r="F1118" s="5">
        <f>vlookup(B1118,Filmes_final!$B$2:$U$1001,3,FALSE)</f>
        <v>1976</v>
      </c>
      <c r="G1118" s="5" t="str">
        <f>vlookup(B1118,Filmes_final!$B$2:$U$1001,13,FALSE)</f>
        <v>John G. Avildsen</v>
      </c>
    </row>
    <row r="1119">
      <c r="A1119" s="5">
        <v>280.0</v>
      </c>
      <c r="B1119" s="5" t="s">
        <v>1890</v>
      </c>
      <c r="C1119" s="5" t="s">
        <v>1894</v>
      </c>
      <c r="D1119" s="5" t="s">
        <v>6635</v>
      </c>
      <c r="E1119" s="8">
        <f>vlookup(B1119,Filmes_final!$B$2:$U$1001,20,FALSE)</f>
        <v>543944135</v>
      </c>
      <c r="F1119" s="5">
        <f>vlookup(B1119,Filmes_final!$B$2:$U$1001,3,FALSE)</f>
        <v>1976</v>
      </c>
      <c r="G1119" s="5" t="str">
        <f>vlookup(B1119,Filmes_final!$B$2:$U$1001,13,FALSE)</f>
        <v>John G. Avildsen</v>
      </c>
    </row>
    <row r="1120">
      <c r="A1120" s="5">
        <v>280.0</v>
      </c>
      <c r="B1120" s="5" t="s">
        <v>1890</v>
      </c>
      <c r="C1120" s="5" t="s">
        <v>1895</v>
      </c>
      <c r="D1120" s="5" t="s">
        <v>6636</v>
      </c>
      <c r="E1120" s="8">
        <f>vlookup(B1120,Filmes_final!$B$2:$U$1001,20,FALSE)</f>
        <v>543944135</v>
      </c>
      <c r="F1120" s="5">
        <f>vlookup(B1120,Filmes_final!$B$2:$U$1001,3,FALSE)</f>
        <v>1976</v>
      </c>
      <c r="G1120" s="5" t="str">
        <f>vlookup(B1120,Filmes_final!$B$2:$U$1001,13,FALSE)</f>
        <v>John G. Avildsen</v>
      </c>
    </row>
    <row r="1121">
      <c r="A1121" s="5">
        <v>280.0</v>
      </c>
      <c r="B1121" s="5" t="s">
        <v>1890</v>
      </c>
      <c r="C1121" s="5" t="s">
        <v>1896</v>
      </c>
      <c r="D1121" s="5" t="s">
        <v>6637</v>
      </c>
      <c r="E1121" s="8">
        <f>vlookup(B1121,Filmes_final!$B$2:$U$1001,20,FALSE)</f>
        <v>543944135</v>
      </c>
      <c r="F1121" s="5">
        <f>vlookup(B1121,Filmes_final!$B$2:$U$1001,3,FALSE)</f>
        <v>1976</v>
      </c>
      <c r="G1121" s="5" t="str">
        <f>vlookup(B1121,Filmes_final!$B$2:$U$1001,13,FALSE)</f>
        <v>John G. Avildsen</v>
      </c>
    </row>
    <row r="1122">
      <c r="A1122" s="5">
        <v>281.0</v>
      </c>
      <c r="B1122" s="5" t="s">
        <v>1897</v>
      </c>
      <c r="C1122" s="5" t="s">
        <v>1899</v>
      </c>
      <c r="D1122" s="5" t="s">
        <v>6634</v>
      </c>
      <c r="E1122" s="8">
        <f>vlookup(B1122,Filmes_final!$B$2:$U$1001,20,FALSE)</f>
        <v>109915490</v>
      </c>
      <c r="F1122" s="5">
        <f>vlookup(B1122,Filmes_final!$B$2:$U$1001,3,FALSE)</f>
        <v>1976</v>
      </c>
      <c r="G1122" s="5" t="str">
        <f>vlookup(B1122,Filmes_final!$B$2:$U$1001,13,FALSE)</f>
        <v>Sidney Lumet</v>
      </c>
    </row>
    <row r="1123">
      <c r="A1123" s="5">
        <v>281.0</v>
      </c>
      <c r="B1123" s="5" t="s">
        <v>1897</v>
      </c>
      <c r="C1123" s="5" t="s">
        <v>630</v>
      </c>
      <c r="D1123" s="5" t="s">
        <v>6635</v>
      </c>
      <c r="E1123" s="8">
        <f>vlookup(B1123,Filmes_final!$B$2:$U$1001,20,FALSE)</f>
        <v>109915490</v>
      </c>
      <c r="F1123" s="5">
        <f>vlookup(B1123,Filmes_final!$B$2:$U$1001,3,FALSE)</f>
        <v>1976</v>
      </c>
      <c r="G1123" s="5" t="str">
        <f>vlookup(B1123,Filmes_final!$B$2:$U$1001,13,FALSE)</f>
        <v>Sidney Lumet</v>
      </c>
    </row>
    <row r="1124">
      <c r="A1124" s="5">
        <v>281.0</v>
      </c>
      <c r="B1124" s="5" t="s">
        <v>1897</v>
      </c>
      <c r="C1124" s="5" t="s">
        <v>1900</v>
      </c>
      <c r="D1124" s="5" t="s">
        <v>6636</v>
      </c>
      <c r="E1124" s="8">
        <f>vlookup(B1124,Filmes_final!$B$2:$U$1001,20,FALSE)</f>
        <v>109915490</v>
      </c>
      <c r="F1124" s="5">
        <f>vlookup(B1124,Filmes_final!$B$2:$U$1001,3,FALSE)</f>
        <v>1976</v>
      </c>
      <c r="G1124" s="5" t="str">
        <f>vlookup(B1124,Filmes_final!$B$2:$U$1001,13,FALSE)</f>
        <v>Sidney Lumet</v>
      </c>
    </row>
    <row r="1125">
      <c r="A1125" s="5">
        <v>281.0</v>
      </c>
      <c r="B1125" s="5" t="s">
        <v>1897</v>
      </c>
      <c r="C1125" s="5" t="s">
        <v>50</v>
      </c>
      <c r="D1125" s="5" t="s">
        <v>6637</v>
      </c>
      <c r="E1125" s="8">
        <f>vlookup(B1125,Filmes_final!$B$2:$U$1001,20,FALSE)</f>
        <v>109915490</v>
      </c>
      <c r="F1125" s="5">
        <f>vlookup(B1125,Filmes_final!$B$2:$U$1001,3,FALSE)</f>
        <v>1976</v>
      </c>
      <c r="G1125" s="5" t="str">
        <f>vlookup(B1125,Filmes_final!$B$2:$U$1001,13,FALSE)</f>
        <v>Sidney Lumet</v>
      </c>
    </row>
    <row r="1126">
      <c r="A1126" s="5">
        <v>282.0</v>
      </c>
      <c r="B1126" s="5" t="s">
        <v>1901</v>
      </c>
      <c r="C1126" s="5" t="s">
        <v>1904</v>
      </c>
      <c r="D1126" s="5" t="s">
        <v>6634</v>
      </c>
      <c r="E1126" s="8">
        <f>vlookup(B1126,Filmes_final!$B$2:$U$1001,20,FALSE)</f>
        <v>985301</v>
      </c>
      <c r="F1126" s="5">
        <f>vlookup(B1126,Filmes_final!$B$2:$U$1001,3,FALSE)</f>
        <v>1975</v>
      </c>
      <c r="G1126" s="5" t="str">
        <f>vlookup(B1126,Filmes_final!$B$2:$U$1001,13,FALSE)</f>
        <v>Stanley Kubrick</v>
      </c>
    </row>
    <row r="1127">
      <c r="A1127" s="5">
        <v>282.0</v>
      </c>
      <c r="B1127" s="5" t="s">
        <v>1901</v>
      </c>
      <c r="C1127" s="5" t="s">
        <v>1905</v>
      </c>
      <c r="D1127" s="5" t="s">
        <v>6635</v>
      </c>
      <c r="E1127" s="8">
        <f>vlookup(B1127,Filmes_final!$B$2:$U$1001,20,FALSE)</f>
        <v>985301</v>
      </c>
      <c r="F1127" s="5">
        <f>vlookup(B1127,Filmes_final!$B$2:$U$1001,3,FALSE)</f>
        <v>1975</v>
      </c>
      <c r="G1127" s="5" t="str">
        <f>vlookup(B1127,Filmes_final!$B$2:$U$1001,13,FALSE)</f>
        <v>Stanley Kubrick</v>
      </c>
    </row>
    <row r="1128">
      <c r="A1128" s="5">
        <v>282.0</v>
      </c>
      <c r="B1128" s="5" t="s">
        <v>1901</v>
      </c>
      <c r="C1128" s="5" t="s">
        <v>842</v>
      </c>
      <c r="D1128" s="5" t="s">
        <v>6636</v>
      </c>
      <c r="E1128" s="8">
        <f>vlookup(B1128,Filmes_final!$B$2:$U$1001,20,FALSE)</f>
        <v>985301</v>
      </c>
      <c r="F1128" s="5">
        <f>vlookup(B1128,Filmes_final!$B$2:$U$1001,3,FALSE)</f>
        <v>1975</v>
      </c>
      <c r="G1128" s="5" t="str">
        <f>vlookup(B1128,Filmes_final!$B$2:$U$1001,13,FALSE)</f>
        <v>Stanley Kubrick</v>
      </c>
    </row>
    <row r="1129">
      <c r="A1129" s="5">
        <v>282.0</v>
      </c>
      <c r="B1129" s="5" t="s">
        <v>1901</v>
      </c>
      <c r="C1129" s="5" t="s">
        <v>1906</v>
      </c>
      <c r="D1129" s="5" t="s">
        <v>6637</v>
      </c>
      <c r="E1129" s="8">
        <f>vlookup(B1129,Filmes_final!$B$2:$U$1001,20,FALSE)</f>
        <v>985301</v>
      </c>
      <c r="F1129" s="5">
        <f>vlookup(B1129,Filmes_final!$B$2:$U$1001,3,FALSE)</f>
        <v>1975</v>
      </c>
      <c r="G1129" s="5" t="str">
        <f>vlookup(B1129,Filmes_final!$B$2:$U$1001,13,FALSE)</f>
        <v>Stanley Kubrick</v>
      </c>
    </row>
    <row r="1130">
      <c r="A1130" s="5">
        <v>283.0</v>
      </c>
      <c r="B1130" s="5" t="s">
        <v>1907</v>
      </c>
      <c r="C1130" s="5" t="s">
        <v>1909</v>
      </c>
      <c r="D1130" s="5" t="s">
        <v>6634</v>
      </c>
      <c r="E1130" s="8">
        <f>vlookup(B1130,Filmes_final!$B$2:$U$1001,20,FALSE)</f>
        <v>878116</v>
      </c>
      <c r="F1130" s="5">
        <f>vlookup(B1130,Filmes_final!$B$2:$U$1001,3,FALSE)</f>
        <v>1975</v>
      </c>
      <c r="G1130" s="5" t="str">
        <f>vlookup(B1130,Filmes_final!$B$2:$U$1001,13,FALSE)</f>
        <v>Andrei Tarkovsky</v>
      </c>
    </row>
    <row r="1131">
      <c r="A1131" s="5">
        <v>283.0</v>
      </c>
      <c r="B1131" s="5" t="s">
        <v>1907</v>
      </c>
      <c r="C1131" s="5" t="s">
        <v>1910</v>
      </c>
      <c r="D1131" s="5" t="s">
        <v>6635</v>
      </c>
      <c r="E1131" s="8">
        <f>vlookup(B1131,Filmes_final!$B$2:$U$1001,20,FALSE)</f>
        <v>878116</v>
      </c>
      <c r="F1131" s="5">
        <f>vlookup(B1131,Filmes_final!$B$2:$U$1001,3,FALSE)</f>
        <v>1975</v>
      </c>
      <c r="G1131" s="5" t="str">
        <f>vlookup(B1131,Filmes_final!$B$2:$U$1001,13,FALSE)</f>
        <v>Andrei Tarkovsky</v>
      </c>
    </row>
    <row r="1132">
      <c r="A1132" s="5">
        <v>283.0</v>
      </c>
      <c r="B1132" s="5" t="s">
        <v>1907</v>
      </c>
      <c r="C1132" s="5" t="s">
        <v>1911</v>
      </c>
      <c r="D1132" s="5" t="s">
        <v>6636</v>
      </c>
      <c r="E1132" s="8">
        <f>vlookup(B1132,Filmes_final!$B$2:$U$1001,20,FALSE)</f>
        <v>878116</v>
      </c>
      <c r="F1132" s="5">
        <f>vlookup(B1132,Filmes_final!$B$2:$U$1001,3,FALSE)</f>
        <v>1975</v>
      </c>
      <c r="G1132" s="5" t="str">
        <f>vlookup(B1132,Filmes_final!$B$2:$U$1001,13,FALSE)</f>
        <v>Andrei Tarkovsky</v>
      </c>
    </row>
    <row r="1133">
      <c r="A1133" s="5">
        <v>283.0</v>
      </c>
      <c r="B1133" s="5" t="s">
        <v>1907</v>
      </c>
      <c r="C1133" s="5" t="s">
        <v>1912</v>
      </c>
      <c r="D1133" s="5" t="s">
        <v>6637</v>
      </c>
      <c r="E1133" s="8">
        <f>vlookup(B1133,Filmes_final!$B$2:$U$1001,20,FALSE)</f>
        <v>878116</v>
      </c>
      <c r="F1133" s="5">
        <f>vlookup(B1133,Filmes_final!$B$2:$U$1001,3,FALSE)</f>
        <v>1975</v>
      </c>
      <c r="G1133" s="5" t="str">
        <f>vlookup(B1133,Filmes_final!$B$2:$U$1001,13,FALSE)</f>
        <v>Andrei Tarkovsky</v>
      </c>
    </row>
    <row r="1134">
      <c r="A1134" s="5">
        <v>284.0</v>
      </c>
      <c r="B1134" s="5" t="s">
        <v>1913</v>
      </c>
      <c r="C1134" s="5" t="s">
        <v>156</v>
      </c>
      <c r="D1134" s="5" t="s">
        <v>6634</v>
      </c>
      <c r="E1134" s="8">
        <f>vlookup(B1134,Filmes_final!$B$2:$U$1001,20,FALSE)</f>
        <v>160539893</v>
      </c>
      <c r="F1134" s="5">
        <f>vlookup(B1134,Filmes_final!$B$2:$U$1001,3,FALSE)</f>
        <v>1974</v>
      </c>
      <c r="G1134" s="5" t="str">
        <f>vlookup(B1134,Filmes_final!$B$2:$U$1001,13,FALSE)</f>
        <v>Roman Polanski</v>
      </c>
    </row>
    <row r="1135">
      <c r="A1135" s="5">
        <v>284.0</v>
      </c>
      <c r="B1135" s="5" t="s">
        <v>1913</v>
      </c>
      <c r="C1135" s="5" t="s">
        <v>1899</v>
      </c>
      <c r="D1135" s="5" t="s">
        <v>6635</v>
      </c>
      <c r="E1135" s="8">
        <f>vlookup(B1135,Filmes_final!$B$2:$U$1001,20,FALSE)</f>
        <v>160539893</v>
      </c>
      <c r="F1135" s="5">
        <f>vlookup(B1135,Filmes_final!$B$2:$U$1001,3,FALSE)</f>
        <v>1974</v>
      </c>
      <c r="G1135" s="5" t="str">
        <f>vlookup(B1135,Filmes_final!$B$2:$U$1001,13,FALSE)</f>
        <v>Roman Polanski</v>
      </c>
    </row>
    <row r="1136">
      <c r="A1136" s="5">
        <v>284.0</v>
      </c>
      <c r="B1136" s="5" t="s">
        <v>1913</v>
      </c>
      <c r="C1136" s="5" t="s">
        <v>1346</v>
      </c>
      <c r="D1136" s="5" t="s">
        <v>6636</v>
      </c>
      <c r="E1136" s="8">
        <f>vlookup(B1136,Filmes_final!$B$2:$U$1001,20,FALSE)</f>
        <v>160539893</v>
      </c>
      <c r="F1136" s="5">
        <f>vlookup(B1136,Filmes_final!$B$2:$U$1001,3,FALSE)</f>
        <v>1974</v>
      </c>
      <c r="G1136" s="5" t="str">
        <f>vlookup(B1136,Filmes_final!$B$2:$U$1001,13,FALSE)</f>
        <v>Roman Polanski</v>
      </c>
    </row>
    <row r="1137">
      <c r="A1137" s="5">
        <v>284.0</v>
      </c>
      <c r="B1137" s="5" t="s">
        <v>1913</v>
      </c>
      <c r="C1137" s="5" t="s">
        <v>1915</v>
      </c>
      <c r="D1137" s="5" t="s">
        <v>6637</v>
      </c>
      <c r="E1137" s="8">
        <f>vlookup(B1137,Filmes_final!$B$2:$U$1001,20,FALSE)</f>
        <v>160539893</v>
      </c>
      <c r="F1137" s="5">
        <f>vlookup(B1137,Filmes_final!$B$2:$U$1001,3,FALSE)</f>
        <v>1974</v>
      </c>
      <c r="G1137" s="5" t="str">
        <f>vlookup(B1137,Filmes_final!$B$2:$U$1001,13,FALSE)</f>
        <v>Roman Polanski</v>
      </c>
    </row>
    <row r="1138">
      <c r="A1138" s="5">
        <v>285.0</v>
      </c>
      <c r="B1138" s="5" t="s">
        <v>1916</v>
      </c>
      <c r="C1138" s="5" t="s">
        <v>1904</v>
      </c>
      <c r="D1138" s="5" t="s">
        <v>6634</v>
      </c>
      <c r="E1138" s="8">
        <f>vlookup(B1138,Filmes_final!$B$2:$U$1001,20,FALSE)</f>
        <v>187324146</v>
      </c>
      <c r="F1138" s="5">
        <f>vlookup(B1138,Filmes_final!$B$2:$U$1001,3,FALSE)</f>
        <v>1973</v>
      </c>
      <c r="G1138" s="5" t="str">
        <f>vlookup(B1138,Filmes_final!$B$2:$U$1001,13,FALSE)</f>
        <v>Peter Bogdanovich</v>
      </c>
    </row>
    <row r="1139">
      <c r="A1139" s="5">
        <v>285.0</v>
      </c>
      <c r="B1139" s="5" t="s">
        <v>1916</v>
      </c>
      <c r="C1139" s="5" t="s">
        <v>1919</v>
      </c>
      <c r="D1139" s="5" t="s">
        <v>6635</v>
      </c>
      <c r="E1139" s="8">
        <f>vlookup(B1139,Filmes_final!$B$2:$U$1001,20,FALSE)</f>
        <v>187324146</v>
      </c>
      <c r="F1139" s="5">
        <f>vlookup(B1139,Filmes_final!$B$2:$U$1001,3,FALSE)</f>
        <v>1973</v>
      </c>
      <c r="G1139" s="5" t="str">
        <f>vlookup(B1139,Filmes_final!$B$2:$U$1001,13,FALSE)</f>
        <v>Peter Bogdanovich</v>
      </c>
    </row>
    <row r="1140">
      <c r="A1140" s="5">
        <v>285.0</v>
      </c>
      <c r="B1140" s="5" t="s">
        <v>1916</v>
      </c>
      <c r="C1140" s="5" t="s">
        <v>1920</v>
      </c>
      <c r="D1140" s="5" t="s">
        <v>6636</v>
      </c>
      <c r="E1140" s="8">
        <f>vlookup(B1140,Filmes_final!$B$2:$U$1001,20,FALSE)</f>
        <v>187324146</v>
      </c>
      <c r="F1140" s="5">
        <f>vlookup(B1140,Filmes_final!$B$2:$U$1001,3,FALSE)</f>
        <v>1973</v>
      </c>
      <c r="G1140" s="5" t="str">
        <f>vlookup(B1140,Filmes_final!$B$2:$U$1001,13,FALSE)</f>
        <v>Peter Bogdanovich</v>
      </c>
    </row>
    <row r="1141">
      <c r="A1141" s="5">
        <v>285.0</v>
      </c>
      <c r="B1141" s="5" t="s">
        <v>1916</v>
      </c>
      <c r="C1141" s="5" t="s">
        <v>1921</v>
      </c>
      <c r="D1141" s="5" t="s">
        <v>6637</v>
      </c>
      <c r="E1141" s="8">
        <f>vlookup(B1141,Filmes_final!$B$2:$U$1001,20,FALSE)</f>
        <v>187324146</v>
      </c>
      <c r="F1141" s="5">
        <f>vlookup(B1141,Filmes_final!$B$2:$U$1001,3,FALSE)</f>
        <v>1973</v>
      </c>
      <c r="G1141" s="5" t="str">
        <f>vlookup(B1141,Filmes_final!$B$2:$U$1001,13,FALSE)</f>
        <v>Peter Bogdanovich</v>
      </c>
    </row>
    <row r="1142">
      <c r="A1142" s="5">
        <v>286.0</v>
      </c>
      <c r="B1142" s="5" t="s">
        <v>1922</v>
      </c>
      <c r="C1142" s="5" t="s">
        <v>1924</v>
      </c>
      <c r="D1142" s="5" t="s">
        <v>6634</v>
      </c>
      <c r="E1142" s="8">
        <f>vlookup(B1142,Filmes_final!$B$2:$U$1001,20,FALSE)</f>
        <v>10936138</v>
      </c>
      <c r="F1142" s="5">
        <f>vlookup(B1142,Filmes_final!$B$2:$U$1001,3,FALSE)</f>
        <v>1972</v>
      </c>
      <c r="G1142" s="5" t="str">
        <f>vlookup(B1142,Filmes_final!$B$2:$U$1001,13,FALSE)</f>
        <v>Ingmar Bergman</v>
      </c>
    </row>
    <row r="1143">
      <c r="A1143" s="5">
        <v>286.0</v>
      </c>
      <c r="B1143" s="5" t="s">
        <v>1922</v>
      </c>
      <c r="C1143" s="5" t="s">
        <v>1240</v>
      </c>
      <c r="D1143" s="5" t="s">
        <v>6635</v>
      </c>
      <c r="E1143" s="8">
        <f>vlookup(B1143,Filmes_final!$B$2:$U$1001,20,FALSE)</f>
        <v>10936138</v>
      </c>
      <c r="F1143" s="5">
        <f>vlookup(B1143,Filmes_final!$B$2:$U$1001,3,FALSE)</f>
        <v>1972</v>
      </c>
      <c r="G1143" s="5" t="str">
        <f>vlookup(B1143,Filmes_final!$B$2:$U$1001,13,FALSE)</f>
        <v>Ingmar Bergman</v>
      </c>
    </row>
    <row r="1144">
      <c r="A1144" s="5">
        <v>286.0</v>
      </c>
      <c r="B1144" s="5" t="s">
        <v>1922</v>
      </c>
      <c r="C1144" s="5" t="s">
        <v>1925</v>
      </c>
      <c r="D1144" s="5" t="s">
        <v>6636</v>
      </c>
      <c r="E1144" s="8">
        <f>vlookup(B1144,Filmes_final!$B$2:$U$1001,20,FALSE)</f>
        <v>10936138</v>
      </c>
      <c r="F1144" s="5">
        <f>vlookup(B1144,Filmes_final!$B$2:$U$1001,3,FALSE)</f>
        <v>1972</v>
      </c>
      <c r="G1144" s="5" t="str">
        <f>vlookup(B1144,Filmes_final!$B$2:$U$1001,13,FALSE)</f>
        <v>Ingmar Bergman</v>
      </c>
    </row>
    <row r="1145">
      <c r="A1145" s="5">
        <v>286.0</v>
      </c>
      <c r="B1145" s="5" t="s">
        <v>1922</v>
      </c>
      <c r="C1145" s="5" t="s">
        <v>1304</v>
      </c>
      <c r="D1145" s="5" t="s">
        <v>6637</v>
      </c>
      <c r="E1145" s="8">
        <f>vlookup(B1145,Filmes_final!$B$2:$U$1001,20,FALSE)</f>
        <v>10936138</v>
      </c>
      <c r="F1145" s="5">
        <f>vlookup(B1145,Filmes_final!$B$2:$U$1001,3,FALSE)</f>
        <v>1972</v>
      </c>
      <c r="G1145" s="5" t="str">
        <f>vlookup(B1145,Filmes_final!$B$2:$U$1001,13,FALSE)</f>
        <v>Ingmar Bergman</v>
      </c>
    </row>
    <row r="1146">
      <c r="A1146" s="5">
        <v>287.0</v>
      </c>
      <c r="B1146" s="5" t="s">
        <v>1926</v>
      </c>
      <c r="C1146" s="5" t="s">
        <v>1928</v>
      </c>
      <c r="D1146" s="5" t="s">
        <v>6634</v>
      </c>
      <c r="E1146" s="8">
        <f>vlookup(B1146,Filmes_final!$B$2:$U$1001,20,FALSE)</f>
        <v>849164</v>
      </c>
      <c r="F1146" s="5">
        <f>vlookup(B1146,Filmes_final!$B$2:$U$1001,3,FALSE)</f>
        <v>1972</v>
      </c>
      <c r="G1146" s="5" t="str">
        <f>vlookup(B1146,Filmes_final!$B$2:$U$1001,13,FALSE)</f>
        <v>Andrei Tarkovsky</v>
      </c>
    </row>
    <row r="1147">
      <c r="A1147" s="5">
        <v>287.0</v>
      </c>
      <c r="B1147" s="5" t="s">
        <v>1926</v>
      </c>
      <c r="C1147" s="5" t="s">
        <v>1929</v>
      </c>
      <c r="D1147" s="5" t="s">
        <v>6635</v>
      </c>
      <c r="E1147" s="8">
        <f>vlookup(B1147,Filmes_final!$B$2:$U$1001,20,FALSE)</f>
        <v>849164</v>
      </c>
      <c r="F1147" s="5">
        <f>vlookup(B1147,Filmes_final!$B$2:$U$1001,3,FALSE)</f>
        <v>1972</v>
      </c>
      <c r="G1147" s="5" t="str">
        <f>vlookup(B1147,Filmes_final!$B$2:$U$1001,13,FALSE)</f>
        <v>Andrei Tarkovsky</v>
      </c>
    </row>
    <row r="1148">
      <c r="A1148" s="5">
        <v>287.0</v>
      </c>
      <c r="B1148" s="5" t="s">
        <v>1926</v>
      </c>
      <c r="C1148" s="5" t="s">
        <v>1930</v>
      </c>
      <c r="D1148" s="5" t="s">
        <v>6636</v>
      </c>
      <c r="E1148" s="8">
        <f>vlookup(B1148,Filmes_final!$B$2:$U$1001,20,FALSE)</f>
        <v>849164</v>
      </c>
      <c r="F1148" s="5">
        <f>vlookup(B1148,Filmes_final!$B$2:$U$1001,3,FALSE)</f>
        <v>1972</v>
      </c>
      <c r="G1148" s="5" t="str">
        <f>vlookup(B1148,Filmes_final!$B$2:$U$1001,13,FALSE)</f>
        <v>Andrei Tarkovsky</v>
      </c>
    </row>
    <row r="1149">
      <c r="A1149" s="5">
        <v>287.0</v>
      </c>
      <c r="B1149" s="5" t="s">
        <v>1926</v>
      </c>
      <c r="C1149" s="5" t="s">
        <v>1931</v>
      </c>
      <c r="D1149" s="5" t="s">
        <v>6637</v>
      </c>
      <c r="E1149" s="8">
        <f>vlookup(B1149,Filmes_final!$B$2:$U$1001,20,FALSE)</f>
        <v>849164</v>
      </c>
      <c r="F1149" s="5">
        <f>vlookup(B1149,Filmes_final!$B$2:$U$1001,3,FALSE)</f>
        <v>1972</v>
      </c>
      <c r="G1149" s="5" t="str">
        <f>vlookup(B1149,Filmes_final!$B$2:$U$1001,13,FALSE)</f>
        <v>Andrei Tarkovsky</v>
      </c>
    </row>
    <row r="1150">
      <c r="A1150" s="5">
        <v>288.0</v>
      </c>
      <c r="B1150" s="5" t="s">
        <v>1932</v>
      </c>
      <c r="C1150" s="5" t="s">
        <v>1936</v>
      </c>
      <c r="D1150" s="5" t="s">
        <v>6634</v>
      </c>
      <c r="E1150" s="8">
        <f>vlookup(B1150,Filmes_final!$B$2:$U$1001,20,FALSE)</f>
        <v>309573</v>
      </c>
      <c r="F1150" s="5">
        <f>vlookup(B1150,Filmes_final!$B$2:$U$1001,3,FALSE)</f>
        <v>1967</v>
      </c>
      <c r="G1150" s="5" t="str">
        <f>vlookup(B1150,Filmes_final!$B$2:$U$1001,13,FALSE)</f>
        <v>Jean-Pierre Melville</v>
      </c>
    </row>
    <row r="1151">
      <c r="A1151" s="5">
        <v>288.0</v>
      </c>
      <c r="B1151" s="5" t="s">
        <v>1932</v>
      </c>
      <c r="C1151" s="5" t="s">
        <v>1937</v>
      </c>
      <c r="D1151" s="5" t="s">
        <v>6635</v>
      </c>
      <c r="E1151" s="8">
        <f>vlookup(B1151,Filmes_final!$B$2:$U$1001,20,FALSE)</f>
        <v>309573</v>
      </c>
      <c r="F1151" s="5">
        <f>vlookup(B1151,Filmes_final!$B$2:$U$1001,3,FALSE)</f>
        <v>1967</v>
      </c>
      <c r="G1151" s="5" t="str">
        <f>vlookup(B1151,Filmes_final!$B$2:$U$1001,13,FALSE)</f>
        <v>Jean-Pierre Melville</v>
      </c>
    </row>
    <row r="1152">
      <c r="A1152" s="5">
        <v>288.0</v>
      </c>
      <c r="B1152" s="5" t="s">
        <v>1932</v>
      </c>
      <c r="C1152" s="5" t="s">
        <v>1938</v>
      </c>
      <c r="D1152" s="5" t="s">
        <v>6636</v>
      </c>
      <c r="E1152" s="8">
        <f>vlookup(B1152,Filmes_final!$B$2:$U$1001,20,FALSE)</f>
        <v>309573</v>
      </c>
      <c r="F1152" s="5">
        <f>vlookup(B1152,Filmes_final!$B$2:$U$1001,3,FALSE)</f>
        <v>1967</v>
      </c>
      <c r="G1152" s="5" t="str">
        <f>vlookup(B1152,Filmes_final!$B$2:$U$1001,13,FALSE)</f>
        <v>Jean-Pierre Melville</v>
      </c>
    </row>
    <row r="1153">
      <c r="A1153" s="5">
        <v>288.0</v>
      </c>
      <c r="B1153" s="5" t="s">
        <v>1932</v>
      </c>
      <c r="C1153" s="5" t="s">
        <v>1939</v>
      </c>
      <c r="D1153" s="5" t="s">
        <v>6637</v>
      </c>
      <c r="E1153" s="8">
        <f>vlookup(B1153,Filmes_final!$B$2:$U$1001,20,FALSE)</f>
        <v>309573</v>
      </c>
      <c r="F1153" s="5">
        <f>vlookup(B1153,Filmes_final!$B$2:$U$1001,3,FALSE)</f>
        <v>1967</v>
      </c>
      <c r="G1153" s="5" t="str">
        <f>vlookup(B1153,Filmes_final!$B$2:$U$1001,13,FALSE)</f>
        <v>Jean-Pierre Melville</v>
      </c>
    </row>
    <row r="1154">
      <c r="A1154" s="5">
        <v>289.0</v>
      </c>
      <c r="B1154" s="5" t="s">
        <v>1940</v>
      </c>
      <c r="C1154" s="5" t="s">
        <v>834</v>
      </c>
      <c r="D1154" s="5" t="s">
        <v>6634</v>
      </c>
      <c r="E1154" s="8">
        <f>vlookup(B1154,Filmes_final!$B$2:$U$1001,20,FALSE)</f>
        <v>127164593</v>
      </c>
      <c r="F1154" s="5">
        <f>vlookup(B1154,Filmes_final!$B$2:$U$1001,3,FALSE)</f>
        <v>1967</v>
      </c>
      <c r="G1154" s="5" t="str">
        <f>vlookup(B1154,Filmes_final!$B$2:$U$1001,13,FALSE)</f>
        <v>Stuart Rosenberg</v>
      </c>
    </row>
    <row r="1155">
      <c r="A1155" s="5">
        <v>289.0</v>
      </c>
      <c r="B1155" s="5" t="s">
        <v>1940</v>
      </c>
      <c r="C1155" s="5" t="s">
        <v>1943</v>
      </c>
      <c r="D1155" s="5" t="s">
        <v>6635</v>
      </c>
      <c r="E1155" s="8">
        <f>vlookup(B1155,Filmes_final!$B$2:$U$1001,20,FALSE)</f>
        <v>127164593</v>
      </c>
      <c r="F1155" s="5">
        <f>vlookup(B1155,Filmes_final!$B$2:$U$1001,3,FALSE)</f>
        <v>1967</v>
      </c>
      <c r="G1155" s="5" t="str">
        <f>vlookup(B1155,Filmes_final!$B$2:$U$1001,13,FALSE)</f>
        <v>Stuart Rosenberg</v>
      </c>
    </row>
    <row r="1156">
      <c r="A1156" s="5">
        <v>289.0</v>
      </c>
      <c r="B1156" s="5" t="s">
        <v>1940</v>
      </c>
      <c r="C1156" s="5" t="s">
        <v>1944</v>
      </c>
      <c r="D1156" s="5" t="s">
        <v>6636</v>
      </c>
      <c r="E1156" s="8">
        <f>vlookup(B1156,Filmes_final!$B$2:$U$1001,20,FALSE)</f>
        <v>127164593</v>
      </c>
      <c r="F1156" s="5">
        <f>vlookup(B1156,Filmes_final!$B$2:$U$1001,3,FALSE)</f>
        <v>1967</v>
      </c>
      <c r="G1156" s="5" t="str">
        <f>vlookup(B1156,Filmes_final!$B$2:$U$1001,13,FALSE)</f>
        <v>Stuart Rosenberg</v>
      </c>
    </row>
    <row r="1157">
      <c r="A1157" s="5">
        <v>289.0</v>
      </c>
      <c r="B1157" s="5" t="s">
        <v>1940</v>
      </c>
      <c r="C1157" s="5" t="s">
        <v>1945</v>
      </c>
      <c r="D1157" s="5" t="s">
        <v>6637</v>
      </c>
      <c r="E1157" s="8">
        <f>vlookup(B1157,Filmes_final!$B$2:$U$1001,20,FALSE)</f>
        <v>127164593</v>
      </c>
      <c r="F1157" s="5">
        <f>vlookup(B1157,Filmes_final!$B$2:$U$1001,3,FALSE)</f>
        <v>1967</v>
      </c>
      <c r="G1157" s="5" t="str">
        <f>vlookup(B1157,Filmes_final!$B$2:$U$1001,13,FALSE)</f>
        <v>Stuart Rosenberg</v>
      </c>
    </row>
    <row r="1158">
      <c r="A1158" s="5">
        <v>290.0</v>
      </c>
      <c r="B1158" s="5" t="s">
        <v>1946</v>
      </c>
      <c r="C1158" s="5" t="s">
        <v>1303</v>
      </c>
      <c r="D1158" s="5" t="s">
        <v>6634</v>
      </c>
      <c r="E1158" s="8">
        <f>vlookup(B1158,Filmes_final!$B$2:$U$1001,20,FALSE)</f>
        <v>734617</v>
      </c>
      <c r="F1158" s="5">
        <f>vlookup(B1158,Filmes_final!$B$2:$U$1001,3,FALSE)</f>
        <v>1966</v>
      </c>
      <c r="G1158" s="5" t="str">
        <f>vlookup(B1158,Filmes_final!$B$2:$U$1001,13,FALSE)</f>
        <v>Ingmar Bergman</v>
      </c>
    </row>
    <row r="1159">
      <c r="A1159" s="5">
        <v>290.0</v>
      </c>
      <c r="B1159" s="5" t="s">
        <v>1946</v>
      </c>
      <c r="C1159" s="5" t="s">
        <v>1240</v>
      </c>
      <c r="D1159" s="5" t="s">
        <v>6635</v>
      </c>
      <c r="E1159" s="8">
        <f>vlookup(B1159,Filmes_final!$B$2:$U$1001,20,FALSE)</f>
        <v>734617</v>
      </c>
      <c r="F1159" s="5">
        <f>vlookup(B1159,Filmes_final!$B$2:$U$1001,3,FALSE)</f>
        <v>1966</v>
      </c>
      <c r="G1159" s="5" t="str">
        <f>vlookup(B1159,Filmes_final!$B$2:$U$1001,13,FALSE)</f>
        <v>Ingmar Bergman</v>
      </c>
    </row>
    <row r="1160">
      <c r="A1160" s="5">
        <v>290.0</v>
      </c>
      <c r="B1160" s="5" t="s">
        <v>1946</v>
      </c>
      <c r="C1160" s="5" t="s">
        <v>1949</v>
      </c>
      <c r="D1160" s="5" t="s">
        <v>6636</v>
      </c>
      <c r="E1160" s="8">
        <f>vlookup(B1160,Filmes_final!$B$2:$U$1001,20,FALSE)</f>
        <v>734617</v>
      </c>
      <c r="F1160" s="5">
        <f>vlookup(B1160,Filmes_final!$B$2:$U$1001,3,FALSE)</f>
        <v>1966</v>
      </c>
      <c r="G1160" s="5" t="str">
        <f>vlookup(B1160,Filmes_final!$B$2:$U$1001,13,FALSE)</f>
        <v>Ingmar Bergman</v>
      </c>
    </row>
    <row r="1161">
      <c r="A1161" s="5">
        <v>290.0</v>
      </c>
      <c r="B1161" s="5" t="s">
        <v>1946</v>
      </c>
      <c r="C1161" s="5" t="s">
        <v>1305</v>
      </c>
      <c r="D1161" s="5" t="s">
        <v>6637</v>
      </c>
      <c r="E1161" s="8">
        <f>vlookup(B1161,Filmes_final!$B$2:$U$1001,20,FALSE)</f>
        <v>734617</v>
      </c>
      <c r="F1161" s="5">
        <f>vlookup(B1161,Filmes_final!$B$2:$U$1001,3,FALSE)</f>
        <v>1966</v>
      </c>
      <c r="G1161" s="5" t="str">
        <f>vlookup(B1161,Filmes_final!$B$2:$U$1001,13,FALSE)</f>
        <v>Ingmar Bergman</v>
      </c>
    </row>
    <row r="1162">
      <c r="A1162" s="5">
        <v>291.0</v>
      </c>
      <c r="B1162" s="5" t="s">
        <v>1950</v>
      </c>
      <c r="C1162" s="5" t="s">
        <v>1235</v>
      </c>
      <c r="D1162" s="5" t="s">
        <v>6634</v>
      </c>
      <c r="E1162" s="8">
        <f>vlookup(B1162,Filmes_final!$B$2:$U$1001,20,FALSE)</f>
        <v>827625</v>
      </c>
      <c r="F1162" s="5">
        <f>vlookup(B1162,Filmes_final!$B$2:$U$1001,3,FALSE)</f>
        <v>1966</v>
      </c>
      <c r="G1162" s="5" t="str">
        <f>vlookup(B1162,Filmes_final!$B$2:$U$1001,13,FALSE)</f>
        <v>Andrei Tarkovsky</v>
      </c>
    </row>
    <row r="1163">
      <c r="A1163" s="5">
        <v>291.0</v>
      </c>
      <c r="B1163" s="5" t="s">
        <v>1950</v>
      </c>
      <c r="C1163" s="5" t="s">
        <v>1953</v>
      </c>
      <c r="D1163" s="5" t="s">
        <v>6635</v>
      </c>
      <c r="E1163" s="8">
        <f>vlookup(B1163,Filmes_final!$B$2:$U$1001,20,FALSE)</f>
        <v>827625</v>
      </c>
      <c r="F1163" s="5">
        <f>vlookup(B1163,Filmes_final!$B$2:$U$1001,3,FALSE)</f>
        <v>1966</v>
      </c>
      <c r="G1163" s="5" t="str">
        <f>vlookup(B1163,Filmes_final!$B$2:$U$1001,13,FALSE)</f>
        <v>Andrei Tarkovsky</v>
      </c>
    </row>
    <row r="1164">
      <c r="A1164" s="5">
        <v>291.0</v>
      </c>
      <c r="B1164" s="5" t="s">
        <v>1950</v>
      </c>
      <c r="C1164" s="5" t="s">
        <v>1236</v>
      </c>
      <c r="D1164" s="5" t="s">
        <v>6636</v>
      </c>
      <c r="E1164" s="8">
        <f>vlookup(B1164,Filmes_final!$B$2:$U$1001,20,FALSE)</f>
        <v>827625</v>
      </c>
      <c r="F1164" s="5">
        <f>vlookup(B1164,Filmes_final!$B$2:$U$1001,3,FALSE)</f>
        <v>1966</v>
      </c>
      <c r="G1164" s="5" t="str">
        <f>vlookup(B1164,Filmes_final!$B$2:$U$1001,13,FALSE)</f>
        <v>Andrei Tarkovsky</v>
      </c>
    </row>
    <row r="1165">
      <c r="A1165" s="5">
        <v>291.0</v>
      </c>
      <c r="B1165" s="5" t="s">
        <v>1950</v>
      </c>
      <c r="C1165" s="5" t="s">
        <v>1954</v>
      </c>
      <c r="D1165" s="5" t="s">
        <v>6637</v>
      </c>
      <c r="E1165" s="8">
        <f>vlookup(B1165,Filmes_final!$B$2:$U$1001,20,FALSE)</f>
        <v>827625</v>
      </c>
      <c r="F1165" s="5">
        <f>vlookup(B1165,Filmes_final!$B$2:$U$1001,3,FALSE)</f>
        <v>1966</v>
      </c>
      <c r="G1165" s="5" t="str">
        <f>vlookup(B1165,Filmes_final!$B$2:$U$1001,13,FALSE)</f>
        <v>Andrei Tarkovsky</v>
      </c>
    </row>
    <row r="1166">
      <c r="A1166" s="5">
        <v>292.0</v>
      </c>
      <c r="B1166" s="5" t="s">
        <v>1955</v>
      </c>
      <c r="C1166" s="5" t="s">
        <v>1958</v>
      </c>
      <c r="D1166" s="5" t="s">
        <v>6634</v>
      </c>
      <c r="E1166" s="8">
        <f>vlookup(B1166,Filmes_final!$B$2:$U$1001,20,FALSE)</f>
        <v>453542</v>
      </c>
      <c r="F1166" s="5">
        <f>vlookup(B1166,Filmes_final!$B$2:$U$1001,3,FALSE)</f>
        <v>1966</v>
      </c>
      <c r="G1166" s="5" t="str">
        <f>vlookup(B1166,Filmes_final!$B$2:$U$1001,13,FALSE)</f>
        <v>Gillo Pontecorvo</v>
      </c>
    </row>
    <row r="1167">
      <c r="A1167" s="5">
        <v>292.0</v>
      </c>
      <c r="B1167" s="5" t="s">
        <v>1955</v>
      </c>
      <c r="C1167" s="5" t="s">
        <v>1959</v>
      </c>
      <c r="D1167" s="5" t="s">
        <v>6635</v>
      </c>
      <c r="E1167" s="8">
        <f>vlookup(B1167,Filmes_final!$B$2:$U$1001,20,FALSE)</f>
        <v>453542</v>
      </c>
      <c r="F1167" s="5">
        <f>vlookup(B1167,Filmes_final!$B$2:$U$1001,3,FALSE)</f>
        <v>1966</v>
      </c>
      <c r="G1167" s="5" t="str">
        <f>vlookup(B1167,Filmes_final!$B$2:$U$1001,13,FALSE)</f>
        <v>Gillo Pontecorvo</v>
      </c>
    </row>
    <row r="1168">
      <c r="A1168" s="5">
        <v>292.0</v>
      </c>
      <c r="B1168" s="5" t="s">
        <v>1955</v>
      </c>
      <c r="C1168" s="5" t="s">
        <v>1960</v>
      </c>
      <c r="D1168" s="5" t="s">
        <v>6636</v>
      </c>
      <c r="E1168" s="8">
        <f>vlookup(B1168,Filmes_final!$B$2:$U$1001,20,FALSE)</f>
        <v>453542</v>
      </c>
      <c r="F1168" s="5">
        <f>vlookup(B1168,Filmes_final!$B$2:$U$1001,3,FALSE)</f>
        <v>1966</v>
      </c>
      <c r="G1168" s="5" t="str">
        <f>vlookup(B1168,Filmes_final!$B$2:$U$1001,13,FALSE)</f>
        <v>Gillo Pontecorvo</v>
      </c>
    </row>
    <row r="1169">
      <c r="A1169" s="5">
        <v>292.0</v>
      </c>
      <c r="B1169" s="5" t="s">
        <v>1955</v>
      </c>
      <c r="C1169" s="5" t="s">
        <v>1961</v>
      </c>
      <c r="D1169" s="5" t="s">
        <v>6637</v>
      </c>
      <c r="E1169" s="8">
        <f>vlookup(B1169,Filmes_final!$B$2:$U$1001,20,FALSE)</f>
        <v>453542</v>
      </c>
      <c r="F1169" s="5">
        <f>vlookup(B1169,Filmes_final!$B$2:$U$1001,3,FALSE)</f>
        <v>1966</v>
      </c>
      <c r="G1169" s="5" t="str">
        <f>vlookup(B1169,Filmes_final!$B$2:$U$1001,13,FALSE)</f>
        <v>Gillo Pontecorvo</v>
      </c>
    </row>
    <row r="1170">
      <c r="A1170" s="5">
        <v>293.0</v>
      </c>
      <c r="B1170" s="5" t="s">
        <v>1962</v>
      </c>
      <c r="C1170" s="5" t="s">
        <v>1967</v>
      </c>
      <c r="D1170" s="5" t="s">
        <v>6634</v>
      </c>
      <c r="E1170" s="8">
        <f>vlookup(B1170,Filmes_final!$B$2:$U$1001,20,FALSE)</f>
        <v>15848</v>
      </c>
      <c r="F1170" s="5">
        <f>vlookup(B1170,Filmes_final!$B$2:$U$1001,3,FALSE)</f>
        <v>1962</v>
      </c>
      <c r="G1170" s="5" t="str">
        <f>vlookup(B1170,Filmes_final!$B$2:$U$1001,13,FALSE)</f>
        <v>Luis Buñuel</v>
      </c>
    </row>
    <row r="1171">
      <c r="A1171" s="5">
        <v>293.0</v>
      </c>
      <c r="B1171" s="5" t="s">
        <v>1962</v>
      </c>
      <c r="C1171" s="5" t="s">
        <v>1968</v>
      </c>
      <c r="D1171" s="5" t="s">
        <v>6635</v>
      </c>
      <c r="E1171" s="8">
        <f>vlookup(B1171,Filmes_final!$B$2:$U$1001,20,FALSE)</f>
        <v>15848</v>
      </c>
      <c r="F1171" s="5">
        <f>vlookup(B1171,Filmes_final!$B$2:$U$1001,3,FALSE)</f>
        <v>1962</v>
      </c>
      <c r="G1171" s="5" t="str">
        <f>vlookup(B1171,Filmes_final!$B$2:$U$1001,13,FALSE)</f>
        <v>Luis Buñuel</v>
      </c>
    </row>
    <row r="1172">
      <c r="A1172" s="5">
        <v>293.0</v>
      </c>
      <c r="B1172" s="5" t="s">
        <v>1962</v>
      </c>
      <c r="C1172" s="5" t="s">
        <v>1969</v>
      </c>
      <c r="D1172" s="5" t="s">
        <v>6636</v>
      </c>
      <c r="E1172" s="8">
        <f>vlookup(B1172,Filmes_final!$B$2:$U$1001,20,FALSE)</f>
        <v>15848</v>
      </c>
      <c r="F1172" s="5">
        <f>vlookup(B1172,Filmes_final!$B$2:$U$1001,3,FALSE)</f>
        <v>1962</v>
      </c>
      <c r="G1172" s="5" t="str">
        <f>vlookup(B1172,Filmes_final!$B$2:$U$1001,13,FALSE)</f>
        <v>Luis Buñuel</v>
      </c>
    </row>
    <row r="1173">
      <c r="A1173" s="5">
        <v>293.0</v>
      </c>
      <c r="B1173" s="5" t="s">
        <v>1962</v>
      </c>
      <c r="C1173" s="5" t="s">
        <v>1970</v>
      </c>
      <c r="D1173" s="5" t="s">
        <v>6637</v>
      </c>
      <c r="E1173" s="8">
        <f>vlookup(B1173,Filmes_final!$B$2:$U$1001,20,FALSE)</f>
        <v>15848</v>
      </c>
      <c r="F1173" s="5">
        <f>vlookup(B1173,Filmes_final!$B$2:$U$1001,3,FALSE)</f>
        <v>1962</v>
      </c>
      <c r="G1173" s="5" t="str">
        <f>vlookup(B1173,Filmes_final!$B$2:$U$1001,13,FALSE)</f>
        <v>Luis Buñuel</v>
      </c>
    </row>
    <row r="1174">
      <c r="A1174" s="5">
        <v>294.0</v>
      </c>
      <c r="B1174" s="5" t="s">
        <v>1971</v>
      </c>
      <c r="C1174" s="5" t="s">
        <v>1339</v>
      </c>
      <c r="D1174" s="5" t="s">
        <v>6634</v>
      </c>
      <c r="E1174" s="8">
        <f>vlookup(B1174,Filmes_final!$B$2:$U$1001,20,FALSE)</f>
        <v>34826085</v>
      </c>
      <c r="F1174" s="5">
        <f>vlookup(B1174,Filmes_final!$B$2:$U$1001,3,FALSE)</f>
        <v>1962</v>
      </c>
      <c r="G1174" s="5" t="str">
        <f>vlookup(B1174,Filmes_final!$B$2:$U$1001,13,FALSE)</f>
        <v>Robert Aldrich</v>
      </c>
    </row>
    <row r="1175">
      <c r="A1175" s="5">
        <v>294.0</v>
      </c>
      <c r="B1175" s="5" t="s">
        <v>1971</v>
      </c>
      <c r="C1175" s="5" t="s">
        <v>1975</v>
      </c>
      <c r="D1175" s="5" t="s">
        <v>6635</v>
      </c>
      <c r="E1175" s="8">
        <f>vlookup(B1175,Filmes_final!$B$2:$U$1001,20,FALSE)</f>
        <v>34826085</v>
      </c>
      <c r="F1175" s="5">
        <f>vlookup(B1175,Filmes_final!$B$2:$U$1001,3,FALSE)</f>
        <v>1962</v>
      </c>
      <c r="G1175" s="5" t="str">
        <f>vlookup(B1175,Filmes_final!$B$2:$U$1001,13,FALSE)</f>
        <v>Robert Aldrich</v>
      </c>
    </row>
    <row r="1176">
      <c r="A1176" s="5">
        <v>294.0</v>
      </c>
      <c r="B1176" s="5" t="s">
        <v>1971</v>
      </c>
      <c r="C1176" s="5" t="s">
        <v>1976</v>
      </c>
      <c r="D1176" s="5" t="s">
        <v>6636</v>
      </c>
      <c r="E1176" s="8">
        <f>vlookup(B1176,Filmes_final!$B$2:$U$1001,20,FALSE)</f>
        <v>34826085</v>
      </c>
      <c r="F1176" s="5">
        <f>vlookup(B1176,Filmes_final!$B$2:$U$1001,3,FALSE)</f>
        <v>1962</v>
      </c>
      <c r="G1176" s="5" t="str">
        <f>vlookup(B1176,Filmes_final!$B$2:$U$1001,13,FALSE)</f>
        <v>Robert Aldrich</v>
      </c>
    </row>
    <row r="1177">
      <c r="A1177" s="5">
        <v>294.0</v>
      </c>
      <c r="B1177" s="5" t="s">
        <v>1971</v>
      </c>
      <c r="C1177" s="5" t="s">
        <v>1977</v>
      </c>
      <c r="D1177" s="5" t="s">
        <v>6637</v>
      </c>
      <c r="E1177" s="8">
        <f>vlookup(B1177,Filmes_final!$B$2:$U$1001,20,FALSE)</f>
        <v>34826085</v>
      </c>
      <c r="F1177" s="5">
        <f>vlookup(B1177,Filmes_final!$B$2:$U$1001,3,FALSE)</f>
        <v>1962</v>
      </c>
      <c r="G1177" s="5" t="str">
        <f>vlookup(B1177,Filmes_final!$B$2:$U$1001,13,FALSE)</f>
        <v>Robert Aldrich</v>
      </c>
    </row>
    <row r="1178">
      <c r="A1178" s="5">
        <v>295.0</v>
      </c>
      <c r="B1178" s="5" t="s">
        <v>1978</v>
      </c>
      <c r="C1178" s="5" t="s">
        <v>265</v>
      </c>
      <c r="D1178" s="5" t="s">
        <v>6634</v>
      </c>
      <c r="E1178" s="8">
        <f>vlookup(B1178,Filmes_final!$B$2:$U$1001,20,FALSE)</f>
        <v>477487</v>
      </c>
      <c r="F1178" s="5">
        <f>vlookup(B1178,Filmes_final!$B$2:$U$1001,3,FALSE)</f>
        <v>1962</v>
      </c>
      <c r="G1178" s="5" t="str">
        <f>vlookup(B1178,Filmes_final!$B$2:$U$1001,13,FALSE)</f>
        <v>Akira Kurosawa</v>
      </c>
    </row>
    <row r="1179">
      <c r="A1179" s="5">
        <v>295.0</v>
      </c>
      <c r="B1179" s="5" t="s">
        <v>1978</v>
      </c>
      <c r="C1179" s="5" t="s">
        <v>257</v>
      </c>
      <c r="D1179" s="5" t="s">
        <v>6635</v>
      </c>
      <c r="E1179" s="8">
        <f>vlookup(B1179,Filmes_final!$B$2:$U$1001,20,FALSE)</f>
        <v>477487</v>
      </c>
      <c r="F1179" s="5">
        <f>vlookup(B1179,Filmes_final!$B$2:$U$1001,3,FALSE)</f>
        <v>1962</v>
      </c>
      <c r="G1179" s="5" t="str">
        <f>vlookup(B1179,Filmes_final!$B$2:$U$1001,13,FALSE)</f>
        <v>Akira Kurosawa</v>
      </c>
    </row>
    <row r="1180">
      <c r="A1180" s="5">
        <v>295.0</v>
      </c>
      <c r="B1180" s="5" t="s">
        <v>1978</v>
      </c>
      <c r="C1180" s="5" t="s">
        <v>1980</v>
      </c>
      <c r="D1180" s="5" t="s">
        <v>6636</v>
      </c>
      <c r="E1180" s="8">
        <f>vlookup(B1180,Filmes_final!$B$2:$U$1001,20,FALSE)</f>
        <v>477487</v>
      </c>
      <c r="F1180" s="5">
        <f>vlookup(B1180,Filmes_final!$B$2:$U$1001,3,FALSE)</f>
        <v>1962</v>
      </c>
      <c r="G1180" s="5" t="str">
        <f>vlookup(B1180,Filmes_final!$B$2:$U$1001,13,FALSE)</f>
        <v>Akira Kurosawa</v>
      </c>
    </row>
    <row r="1181">
      <c r="A1181" s="5">
        <v>295.0</v>
      </c>
      <c r="B1181" s="5" t="s">
        <v>1978</v>
      </c>
      <c r="C1181" s="5" t="s">
        <v>1981</v>
      </c>
      <c r="D1181" s="5" t="s">
        <v>6637</v>
      </c>
      <c r="E1181" s="8">
        <f>vlookup(B1181,Filmes_final!$B$2:$U$1001,20,FALSE)</f>
        <v>477487</v>
      </c>
      <c r="F1181" s="5">
        <f>vlookup(B1181,Filmes_final!$B$2:$U$1001,3,FALSE)</f>
        <v>1962</v>
      </c>
      <c r="G1181" s="5" t="str">
        <f>vlookup(B1181,Filmes_final!$B$2:$U$1001,13,FALSE)</f>
        <v>Akira Kurosawa</v>
      </c>
    </row>
    <row r="1182">
      <c r="A1182" s="5">
        <v>296.0</v>
      </c>
      <c r="B1182" s="5" t="s">
        <v>1982</v>
      </c>
      <c r="C1182" s="5" t="s">
        <v>274</v>
      </c>
      <c r="D1182" s="5" t="s">
        <v>6634</v>
      </c>
      <c r="E1182" s="8">
        <f>vlookup(B1182,Filmes_final!$B$2:$U$1001,20,FALSE)</f>
        <v>27516907</v>
      </c>
      <c r="F1182" s="5">
        <f>vlookup(B1182,Filmes_final!$B$2:$U$1001,3,FALSE)</f>
        <v>1962</v>
      </c>
      <c r="G1182" s="5" t="str">
        <f>vlookup(B1182,Filmes_final!$B$2:$U$1001,13,FALSE)</f>
        <v>John Ford</v>
      </c>
    </row>
    <row r="1183">
      <c r="A1183" s="5">
        <v>296.0</v>
      </c>
      <c r="B1183" s="5" t="s">
        <v>1982</v>
      </c>
      <c r="C1183" s="5" t="s">
        <v>1985</v>
      </c>
      <c r="D1183" s="5" t="s">
        <v>6635</v>
      </c>
      <c r="E1183" s="8">
        <f>vlookup(B1183,Filmes_final!$B$2:$U$1001,20,FALSE)</f>
        <v>27516907</v>
      </c>
      <c r="F1183" s="5">
        <f>vlookup(B1183,Filmes_final!$B$2:$U$1001,3,FALSE)</f>
        <v>1962</v>
      </c>
      <c r="G1183" s="5" t="str">
        <f>vlookup(B1183,Filmes_final!$B$2:$U$1001,13,FALSE)</f>
        <v>John Ford</v>
      </c>
    </row>
    <row r="1184">
      <c r="A1184" s="5">
        <v>296.0</v>
      </c>
      <c r="B1184" s="5" t="s">
        <v>1982</v>
      </c>
      <c r="C1184" s="5" t="s">
        <v>402</v>
      </c>
      <c r="D1184" s="5" t="s">
        <v>6636</v>
      </c>
      <c r="E1184" s="8">
        <f>vlookup(B1184,Filmes_final!$B$2:$U$1001,20,FALSE)</f>
        <v>27516907</v>
      </c>
      <c r="F1184" s="5">
        <f>vlookup(B1184,Filmes_final!$B$2:$U$1001,3,FALSE)</f>
        <v>1962</v>
      </c>
      <c r="G1184" s="5" t="str">
        <f>vlookup(B1184,Filmes_final!$B$2:$U$1001,13,FALSE)</f>
        <v>John Ford</v>
      </c>
    </row>
    <row r="1185">
      <c r="A1185" s="5">
        <v>296.0</v>
      </c>
      <c r="B1185" s="5" t="s">
        <v>1982</v>
      </c>
      <c r="C1185" s="5" t="s">
        <v>1986</v>
      </c>
      <c r="D1185" s="5" t="s">
        <v>6637</v>
      </c>
      <c r="E1185" s="8">
        <f>vlookup(B1185,Filmes_final!$B$2:$U$1001,20,FALSE)</f>
        <v>27516907</v>
      </c>
      <c r="F1185" s="5">
        <f>vlookup(B1185,Filmes_final!$B$2:$U$1001,3,FALSE)</f>
        <v>1962</v>
      </c>
      <c r="G1185" s="5" t="str">
        <f>vlookup(B1185,Filmes_final!$B$2:$U$1001,13,FALSE)</f>
        <v>John Ford</v>
      </c>
    </row>
    <row r="1186">
      <c r="A1186" s="5">
        <v>297.0</v>
      </c>
      <c r="B1186" s="5" t="s">
        <v>1987</v>
      </c>
      <c r="C1186" s="5" t="s">
        <v>1989</v>
      </c>
      <c r="D1186" s="5" t="s">
        <v>6634</v>
      </c>
      <c r="E1186" s="8">
        <f>vlookup(B1186,Filmes_final!$B$2:$U$1001,20,FALSE)</f>
        <v>190623</v>
      </c>
      <c r="F1186" s="5">
        <f>vlookup(B1186,Filmes_final!$B$2:$U$1001,3,FALSE)</f>
        <v>1962</v>
      </c>
      <c r="G1186" s="5" t="str">
        <f>vlookup(B1186,Filmes_final!$B$2:$U$1001,13,FALSE)</f>
        <v>Andrei Tarkovsky</v>
      </c>
    </row>
    <row r="1187">
      <c r="A1187" s="5">
        <v>297.0</v>
      </c>
      <c r="B1187" s="5" t="s">
        <v>1987</v>
      </c>
      <c r="C1187" s="5" t="s">
        <v>1990</v>
      </c>
      <c r="D1187" s="5" t="s">
        <v>6635</v>
      </c>
      <c r="E1187" s="8">
        <f>vlookup(B1187,Filmes_final!$B$2:$U$1001,20,FALSE)</f>
        <v>190623</v>
      </c>
      <c r="F1187" s="5">
        <f>vlookup(B1187,Filmes_final!$B$2:$U$1001,3,FALSE)</f>
        <v>1962</v>
      </c>
      <c r="G1187" s="5" t="str">
        <f>vlookup(B1187,Filmes_final!$B$2:$U$1001,13,FALSE)</f>
        <v>Andrei Tarkovsky</v>
      </c>
    </row>
    <row r="1188">
      <c r="A1188" s="5">
        <v>297.0</v>
      </c>
      <c r="B1188" s="5" t="s">
        <v>1987</v>
      </c>
      <c r="C1188" s="5" t="s">
        <v>1991</v>
      </c>
      <c r="D1188" s="5" t="s">
        <v>6636</v>
      </c>
      <c r="E1188" s="8">
        <f>vlookup(B1188,Filmes_final!$B$2:$U$1001,20,FALSE)</f>
        <v>190623</v>
      </c>
      <c r="F1188" s="5">
        <f>vlookup(B1188,Filmes_final!$B$2:$U$1001,3,FALSE)</f>
        <v>1962</v>
      </c>
      <c r="G1188" s="5" t="str">
        <f>vlookup(B1188,Filmes_final!$B$2:$U$1001,13,FALSE)</f>
        <v>Andrei Tarkovsky</v>
      </c>
    </row>
    <row r="1189">
      <c r="A1189" s="5">
        <v>297.0</v>
      </c>
      <c r="B1189" s="5" t="s">
        <v>1987</v>
      </c>
      <c r="C1189" s="5" t="s">
        <v>1992</v>
      </c>
      <c r="D1189" s="5" t="s">
        <v>6637</v>
      </c>
      <c r="E1189" s="8">
        <f>vlookup(B1189,Filmes_final!$B$2:$U$1001,20,FALSE)</f>
        <v>190623</v>
      </c>
      <c r="F1189" s="5">
        <f>vlookup(B1189,Filmes_final!$B$2:$U$1001,3,FALSE)</f>
        <v>1962</v>
      </c>
      <c r="G1189" s="5" t="str">
        <f>vlookup(B1189,Filmes_final!$B$2:$U$1001,13,FALSE)</f>
        <v>Andrei Tarkovsky</v>
      </c>
    </row>
    <row r="1190">
      <c r="A1190" s="5">
        <v>298.0</v>
      </c>
      <c r="B1190" s="5" t="s">
        <v>1993</v>
      </c>
      <c r="C1190" s="5" t="s">
        <v>1309</v>
      </c>
      <c r="D1190" s="5" t="s">
        <v>6634</v>
      </c>
      <c r="E1190" s="8">
        <f>vlookup(B1190,Filmes_final!$B$2:$U$1001,20,FALSE)</f>
        <v>13435623</v>
      </c>
      <c r="F1190" s="5">
        <f>vlookup(B1190,Filmes_final!$B$2:$U$1001,3,FALSE)</f>
        <v>1960</v>
      </c>
      <c r="G1190" s="5" t="str">
        <f>vlookup(B1190,Filmes_final!$B$2:$U$1001,13,FALSE)</f>
        <v>Ingmar Bergman</v>
      </c>
    </row>
    <row r="1191">
      <c r="A1191" s="5">
        <v>298.0</v>
      </c>
      <c r="B1191" s="5" t="s">
        <v>1993</v>
      </c>
      <c r="C1191" s="5" t="s">
        <v>1995</v>
      </c>
      <c r="D1191" s="5" t="s">
        <v>6635</v>
      </c>
      <c r="E1191" s="8">
        <f>vlookup(B1191,Filmes_final!$B$2:$U$1001,20,FALSE)</f>
        <v>13435623</v>
      </c>
      <c r="F1191" s="5">
        <f>vlookup(B1191,Filmes_final!$B$2:$U$1001,3,FALSE)</f>
        <v>1960</v>
      </c>
      <c r="G1191" s="5" t="str">
        <f>vlookup(B1191,Filmes_final!$B$2:$U$1001,13,FALSE)</f>
        <v>Ingmar Bergman</v>
      </c>
    </row>
    <row r="1192">
      <c r="A1192" s="5">
        <v>298.0</v>
      </c>
      <c r="B1192" s="5" t="s">
        <v>1993</v>
      </c>
      <c r="C1192" s="5" t="s">
        <v>1996</v>
      </c>
      <c r="D1192" s="5" t="s">
        <v>6636</v>
      </c>
      <c r="E1192" s="8">
        <f>vlookup(B1192,Filmes_final!$B$2:$U$1001,20,FALSE)</f>
        <v>13435623</v>
      </c>
      <c r="F1192" s="5">
        <f>vlookup(B1192,Filmes_final!$B$2:$U$1001,3,FALSE)</f>
        <v>1960</v>
      </c>
      <c r="G1192" s="5" t="str">
        <f>vlookup(B1192,Filmes_final!$B$2:$U$1001,13,FALSE)</f>
        <v>Ingmar Bergman</v>
      </c>
    </row>
    <row r="1193">
      <c r="A1193" s="5">
        <v>298.0</v>
      </c>
      <c r="B1193" s="5" t="s">
        <v>1993</v>
      </c>
      <c r="C1193" s="5" t="s">
        <v>1997</v>
      </c>
      <c r="D1193" s="5" t="s">
        <v>6637</v>
      </c>
      <c r="E1193" s="8">
        <f>vlookup(B1193,Filmes_final!$B$2:$U$1001,20,FALSE)</f>
        <v>13435623</v>
      </c>
      <c r="F1193" s="5">
        <f>vlookup(B1193,Filmes_final!$B$2:$U$1001,3,FALSE)</f>
        <v>1960</v>
      </c>
      <c r="G1193" s="5" t="str">
        <f>vlookup(B1193,Filmes_final!$B$2:$U$1001,13,FALSE)</f>
        <v>Ingmar Bergman</v>
      </c>
    </row>
    <row r="1194">
      <c r="A1194" s="5">
        <v>299.0</v>
      </c>
      <c r="B1194" s="5" t="s">
        <v>1998</v>
      </c>
      <c r="C1194" s="5" t="s">
        <v>1291</v>
      </c>
      <c r="D1194" s="5" t="s">
        <v>6634</v>
      </c>
      <c r="E1194" s="8">
        <f>vlookup(B1194,Filmes_final!$B$2:$U$1001,20,FALSE)</f>
        <v>17608942</v>
      </c>
      <c r="F1194" s="5">
        <f>vlookup(B1194,Filmes_final!$B$2:$U$1001,3,FALSE)</f>
        <v>1960</v>
      </c>
      <c r="G1194" s="5" t="str">
        <f>vlookup(B1194,Filmes_final!$B$2:$U$1001,13,FALSE)</f>
        <v>Stanley Kramer</v>
      </c>
    </row>
    <row r="1195">
      <c r="A1195" s="5">
        <v>299.0</v>
      </c>
      <c r="B1195" s="5" t="s">
        <v>1998</v>
      </c>
      <c r="C1195" s="5" t="s">
        <v>2000</v>
      </c>
      <c r="D1195" s="5" t="s">
        <v>6635</v>
      </c>
      <c r="E1195" s="8">
        <f>vlookup(B1195,Filmes_final!$B$2:$U$1001,20,FALSE)</f>
        <v>17608942</v>
      </c>
      <c r="F1195" s="5">
        <f>vlookup(B1195,Filmes_final!$B$2:$U$1001,3,FALSE)</f>
        <v>1960</v>
      </c>
      <c r="G1195" s="5" t="str">
        <f>vlookup(B1195,Filmes_final!$B$2:$U$1001,13,FALSE)</f>
        <v>Stanley Kramer</v>
      </c>
    </row>
    <row r="1196">
      <c r="A1196" s="5">
        <v>299.0</v>
      </c>
      <c r="B1196" s="5" t="s">
        <v>1998</v>
      </c>
      <c r="C1196" s="5" t="s">
        <v>889</v>
      </c>
      <c r="D1196" s="5" t="s">
        <v>6636</v>
      </c>
      <c r="E1196" s="8">
        <f>vlookup(B1196,Filmes_final!$B$2:$U$1001,20,FALSE)</f>
        <v>17608942</v>
      </c>
      <c r="F1196" s="5">
        <f>vlookup(B1196,Filmes_final!$B$2:$U$1001,3,FALSE)</f>
        <v>1960</v>
      </c>
      <c r="G1196" s="5" t="str">
        <f>vlookup(B1196,Filmes_final!$B$2:$U$1001,13,FALSE)</f>
        <v>Stanley Kramer</v>
      </c>
    </row>
    <row r="1197">
      <c r="A1197" s="5">
        <v>299.0</v>
      </c>
      <c r="B1197" s="5" t="s">
        <v>1998</v>
      </c>
      <c r="C1197" s="5" t="s">
        <v>2001</v>
      </c>
      <c r="D1197" s="5" t="s">
        <v>6637</v>
      </c>
      <c r="E1197" s="8">
        <f>vlookup(B1197,Filmes_final!$B$2:$U$1001,20,FALSE)</f>
        <v>17608942</v>
      </c>
      <c r="F1197" s="5">
        <f>vlookup(B1197,Filmes_final!$B$2:$U$1001,3,FALSE)</f>
        <v>1960</v>
      </c>
      <c r="G1197" s="5" t="str">
        <f>vlookup(B1197,Filmes_final!$B$2:$U$1001,13,FALSE)</f>
        <v>Stanley Kramer</v>
      </c>
    </row>
    <row r="1198">
      <c r="A1198" s="5">
        <v>300.0</v>
      </c>
      <c r="B1198" s="5" t="s">
        <v>2002</v>
      </c>
      <c r="C1198" s="5" t="s">
        <v>2005</v>
      </c>
      <c r="D1198" s="5" t="s">
        <v>6634</v>
      </c>
      <c r="E1198" s="8">
        <f>vlookup(B1198,Filmes_final!$B$2:$U$1001,20,FALSE)</f>
        <v>1131906</v>
      </c>
      <c r="F1198" s="5">
        <f>vlookup(B1198,Filmes_final!$B$2:$U$1001,3,FALSE)</f>
        <v>1959</v>
      </c>
      <c r="G1198" s="5" t="str">
        <f>vlookup(B1198,Filmes_final!$B$2:$U$1001,13,FALSE)</f>
        <v>François Truffaut</v>
      </c>
    </row>
    <row r="1199">
      <c r="A1199" s="5">
        <v>300.0</v>
      </c>
      <c r="B1199" s="5" t="s">
        <v>2002</v>
      </c>
      <c r="C1199" s="5" t="s">
        <v>2006</v>
      </c>
      <c r="D1199" s="5" t="s">
        <v>6635</v>
      </c>
      <c r="E1199" s="8">
        <f>vlookup(B1199,Filmes_final!$B$2:$U$1001,20,FALSE)</f>
        <v>1131906</v>
      </c>
      <c r="F1199" s="5">
        <f>vlookup(B1199,Filmes_final!$B$2:$U$1001,3,FALSE)</f>
        <v>1959</v>
      </c>
      <c r="G1199" s="5" t="str">
        <f>vlookup(B1199,Filmes_final!$B$2:$U$1001,13,FALSE)</f>
        <v>François Truffaut</v>
      </c>
    </row>
    <row r="1200">
      <c r="A1200" s="5">
        <v>300.0</v>
      </c>
      <c r="B1200" s="5" t="s">
        <v>2002</v>
      </c>
      <c r="C1200" s="5" t="s">
        <v>2007</v>
      </c>
      <c r="D1200" s="5" t="s">
        <v>6636</v>
      </c>
      <c r="E1200" s="8">
        <f>vlookup(B1200,Filmes_final!$B$2:$U$1001,20,FALSE)</f>
        <v>1131906</v>
      </c>
      <c r="F1200" s="5">
        <f>vlookup(B1200,Filmes_final!$B$2:$U$1001,3,FALSE)</f>
        <v>1959</v>
      </c>
      <c r="G1200" s="5" t="str">
        <f>vlookup(B1200,Filmes_final!$B$2:$U$1001,13,FALSE)</f>
        <v>François Truffaut</v>
      </c>
    </row>
    <row r="1201">
      <c r="A1201" s="5">
        <v>300.0</v>
      </c>
      <c r="B1201" s="5" t="s">
        <v>2002</v>
      </c>
      <c r="C1201" s="5" t="s">
        <v>2008</v>
      </c>
      <c r="D1201" s="5" t="s">
        <v>6637</v>
      </c>
      <c r="E1201" s="8">
        <f>vlookup(B1201,Filmes_final!$B$2:$U$1001,20,FALSE)</f>
        <v>1131906</v>
      </c>
      <c r="F1201" s="5">
        <f>vlookup(B1201,Filmes_final!$B$2:$U$1001,3,FALSE)</f>
        <v>1959</v>
      </c>
      <c r="G1201" s="5" t="str">
        <f>vlookup(B1201,Filmes_final!$B$2:$U$1001,13,FALSE)</f>
        <v>François Truffaut</v>
      </c>
    </row>
    <row r="1202">
      <c r="A1202" s="5">
        <v>301.0</v>
      </c>
      <c r="B1202" s="5" t="s">
        <v>2009</v>
      </c>
      <c r="C1202" s="5" t="s">
        <v>2013</v>
      </c>
      <c r="D1202" s="5" t="s">
        <v>6634</v>
      </c>
      <c r="E1202" s="8">
        <f>vlookup(B1202,Filmes_final!$B$2:$U$1001,20,FALSE)</f>
        <v>664497713</v>
      </c>
      <c r="F1202" s="5">
        <f>vlookup(B1202,Filmes_final!$B$2:$U$1001,3,FALSE)</f>
        <v>1959</v>
      </c>
      <c r="G1202" s="5" t="str">
        <f>vlookup(B1202,Filmes_final!$B$2:$U$1001,13,FALSE)</f>
        <v>William Wyler</v>
      </c>
    </row>
    <row r="1203">
      <c r="A1203" s="5">
        <v>301.0</v>
      </c>
      <c r="B1203" s="5" t="s">
        <v>2009</v>
      </c>
      <c r="C1203" s="5" t="s">
        <v>863</v>
      </c>
      <c r="D1203" s="5" t="s">
        <v>6635</v>
      </c>
      <c r="E1203" s="8">
        <f>vlookup(B1203,Filmes_final!$B$2:$U$1001,20,FALSE)</f>
        <v>664497713</v>
      </c>
      <c r="F1203" s="5">
        <f>vlookup(B1203,Filmes_final!$B$2:$U$1001,3,FALSE)</f>
        <v>1959</v>
      </c>
      <c r="G1203" s="5" t="str">
        <f>vlookup(B1203,Filmes_final!$B$2:$U$1001,13,FALSE)</f>
        <v>William Wyler</v>
      </c>
    </row>
    <row r="1204">
      <c r="A1204" s="5">
        <v>301.0</v>
      </c>
      <c r="B1204" s="5" t="s">
        <v>2009</v>
      </c>
      <c r="C1204" s="5" t="s">
        <v>2014</v>
      </c>
      <c r="D1204" s="5" t="s">
        <v>6636</v>
      </c>
      <c r="E1204" s="8">
        <f>vlookup(B1204,Filmes_final!$B$2:$U$1001,20,FALSE)</f>
        <v>664497713</v>
      </c>
      <c r="F1204" s="5">
        <f>vlookup(B1204,Filmes_final!$B$2:$U$1001,3,FALSE)</f>
        <v>1959</v>
      </c>
      <c r="G1204" s="5" t="str">
        <f>vlookup(B1204,Filmes_final!$B$2:$U$1001,13,FALSE)</f>
        <v>William Wyler</v>
      </c>
    </row>
    <row r="1205">
      <c r="A1205" s="5">
        <v>301.0</v>
      </c>
      <c r="B1205" s="5" t="s">
        <v>2009</v>
      </c>
      <c r="C1205" s="5" t="s">
        <v>2015</v>
      </c>
      <c r="D1205" s="5" t="s">
        <v>6637</v>
      </c>
      <c r="E1205" s="8">
        <f>vlookup(B1205,Filmes_final!$B$2:$U$1001,20,FALSE)</f>
        <v>664497713</v>
      </c>
      <c r="F1205" s="5">
        <f>vlookup(B1205,Filmes_final!$B$2:$U$1001,3,FALSE)</f>
        <v>1959</v>
      </c>
      <c r="G1205" s="5" t="str">
        <f>vlookup(B1205,Filmes_final!$B$2:$U$1001,13,FALSE)</f>
        <v>William Wyler</v>
      </c>
    </row>
    <row r="1206">
      <c r="A1206" s="5">
        <v>302.0</v>
      </c>
      <c r="B1206" s="5" t="s">
        <v>2016</v>
      </c>
      <c r="C1206" s="5" t="s">
        <v>265</v>
      </c>
      <c r="D1206" s="5" t="s">
        <v>6634</v>
      </c>
      <c r="E1206" s="8">
        <f>vlookup(B1206,Filmes_final!$B$2:$U$1001,20,FALSE)</f>
        <v>422207</v>
      </c>
      <c r="F1206" s="5">
        <f>vlookup(B1206,Filmes_final!$B$2:$U$1001,3,FALSE)</f>
        <v>1958</v>
      </c>
      <c r="G1206" s="5" t="str">
        <f>vlookup(B1206,Filmes_final!$B$2:$U$1001,13,FALSE)</f>
        <v>Akira Kurosawa</v>
      </c>
    </row>
    <row r="1207">
      <c r="A1207" s="5">
        <v>302.0</v>
      </c>
      <c r="B1207" s="5" t="s">
        <v>2016</v>
      </c>
      <c r="C1207" s="5" t="s">
        <v>2018</v>
      </c>
      <c r="D1207" s="5" t="s">
        <v>6635</v>
      </c>
      <c r="E1207" s="8">
        <f>vlookup(B1207,Filmes_final!$B$2:$U$1001,20,FALSE)</f>
        <v>422207</v>
      </c>
      <c r="F1207" s="5">
        <f>vlookup(B1207,Filmes_final!$B$2:$U$1001,3,FALSE)</f>
        <v>1958</v>
      </c>
      <c r="G1207" s="5" t="str">
        <f>vlookup(B1207,Filmes_final!$B$2:$U$1001,13,FALSE)</f>
        <v>Akira Kurosawa</v>
      </c>
    </row>
    <row r="1208">
      <c r="A1208" s="5">
        <v>302.0</v>
      </c>
      <c r="B1208" s="5" t="s">
        <v>2016</v>
      </c>
      <c r="C1208" s="5" t="s">
        <v>2019</v>
      </c>
      <c r="D1208" s="5" t="s">
        <v>6636</v>
      </c>
      <c r="E1208" s="8">
        <f>vlookup(B1208,Filmes_final!$B$2:$U$1001,20,FALSE)</f>
        <v>422207</v>
      </c>
      <c r="F1208" s="5">
        <f>vlookup(B1208,Filmes_final!$B$2:$U$1001,3,FALSE)</f>
        <v>1958</v>
      </c>
      <c r="G1208" s="5" t="str">
        <f>vlookup(B1208,Filmes_final!$B$2:$U$1001,13,FALSE)</f>
        <v>Akira Kurosawa</v>
      </c>
    </row>
    <row r="1209">
      <c r="A1209" s="5">
        <v>302.0</v>
      </c>
      <c r="B1209" s="5" t="s">
        <v>2016</v>
      </c>
      <c r="C1209" s="5" t="s">
        <v>2020</v>
      </c>
      <c r="D1209" s="5" t="s">
        <v>6637</v>
      </c>
      <c r="E1209" s="8">
        <f>vlookup(B1209,Filmes_final!$B$2:$U$1001,20,FALSE)</f>
        <v>422207</v>
      </c>
      <c r="F1209" s="5">
        <f>vlookup(B1209,Filmes_final!$B$2:$U$1001,3,FALSE)</f>
        <v>1958</v>
      </c>
      <c r="G1209" s="5" t="str">
        <f>vlookup(B1209,Filmes_final!$B$2:$U$1001,13,FALSE)</f>
        <v>Akira Kurosawa</v>
      </c>
    </row>
    <row r="1210">
      <c r="A1210" s="5">
        <v>303.0</v>
      </c>
      <c r="B1210" s="5" t="s">
        <v>2021</v>
      </c>
      <c r="C1210" s="5" t="s">
        <v>2024</v>
      </c>
      <c r="D1210" s="5" t="s">
        <v>6634</v>
      </c>
      <c r="E1210" s="8">
        <f>vlookup(B1210,Filmes_final!$B$2:$U$1001,20,FALSE)</f>
        <v>7029196</v>
      </c>
      <c r="F1210" s="5">
        <f>vlookup(B1210,Filmes_final!$B$2:$U$1001,3,FALSE)</f>
        <v>1957</v>
      </c>
      <c r="G1210" s="5" t="str">
        <f>vlookup(B1210,Filmes_final!$B$2:$U$1001,13,FALSE)</f>
        <v>Federico Fellini</v>
      </c>
    </row>
    <row r="1211">
      <c r="A1211" s="5">
        <v>303.0</v>
      </c>
      <c r="B1211" s="5" t="s">
        <v>2021</v>
      </c>
      <c r="C1211" s="5" t="s">
        <v>1937</v>
      </c>
      <c r="D1211" s="5" t="s">
        <v>6635</v>
      </c>
      <c r="E1211" s="8">
        <f>vlookup(B1211,Filmes_final!$B$2:$U$1001,20,FALSE)</f>
        <v>7029196</v>
      </c>
      <c r="F1211" s="5">
        <f>vlookup(B1211,Filmes_final!$B$2:$U$1001,3,FALSE)</f>
        <v>1957</v>
      </c>
      <c r="G1211" s="5" t="str">
        <f>vlookup(B1211,Filmes_final!$B$2:$U$1001,13,FALSE)</f>
        <v>Federico Fellini</v>
      </c>
    </row>
    <row r="1212">
      <c r="A1212" s="5">
        <v>303.0</v>
      </c>
      <c r="B1212" s="5" t="s">
        <v>2021</v>
      </c>
      <c r="C1212" s="5" t="s">
        <v>2025</v>
      </c>
      <c r="D1212" s="5" t="s">
        <v>6636</v>
      </c>
      <c r="E1212" s="8">
        <f>vlookup(B1212,Filmes_final!$B$2:$U$1001,20,FALSE)</f>
        <v>7029196</v>
      </c>
      <c r="F1212" s="5">
        <f>vlookup(B1212,Filmes_final!$B$2:$U$1001,3,FALSE)</f>
        <v>1957</v>
      </c>
      <c r="G1212" s="5" t="str">
        <f>vlookup(B1212,Filmes_final!$B$2:$U$1001,13,FALSE)</f>
        <v>Federico Fellini</v>
      </c>
    </row>
    <row r="1213">
      <c r="A1213" s="5">
        <v>303.0</v>
      </c>
      <c r="B1213" s="5" t="s">
        <v>2021</v>
      </c>
      <c r="C1213" s="5" t="s">
        <v>2026</v>
      </c>
      <c r="D1213" s="5" t="s">
        <v>6637</v>
      </c>
      <c r="E1213" s="8">
        <f>vlookup(B1213,Filmes_final!$B$2:$U$1001,20,FALSE)</f>
        <v>7029196</v>
      </c>
      <c r="F1213" s="5">
        <f>vlookup(B1213,Filmes_final!$B$2:$U$1001,3,FALSE)</f>
        <v>1957</v>
      </c>
      <c r="G1213" s="5" t="str">
        <f>vlookup(B1213,Filmes_final!$B$2:$U$1001,13,FALSE)</f>
        <v>Federico Fellini</v>
      </c>
    </row>
    <row r="1214">
      <c r="A1214" s="5">
        <v>304.0</v>
      </c>
      <c r="B1214" s="5" t="s">
        <v>2027</v>
      </c>
      <c r="C1214" s="5" t="s">
        <v>265</v>
      </c>
      <c r="D1214" s="5" t="s">
        <v>6634</v>
      </c>
      <c r="E1214" s="8">
        <f>vlookup(B1214,Filmes_final!$B$2:$U$1001,20,FALSE)</f>
        <v>437504</v>
      </c>
      <c r="F1214" s="5">
        <f>vlookup(B1214,Filmes_final!$B$2:$U$1001,3,FALSE)</f>
        <v>1957</v>
      </c>
      <c r="G1214" s="5" t="str">
        <f>vlookup(B1214,Filmes_final!$B$2:$U$1001,13,FALSE)</f>
        <v>Akira Kurosawa</v>
      </c>
    </row>
    <row r="1215">
      <c r="A1215" s="5">
        <v>304.0</v>
      </c>
      <c r="B1215" s="5" t="s">
        <v>2027</v>
      </c>
      <c r="C1215" s="5" t="s">
        <v>2019</v>
      </c>
      <c r="D1215" s="5" t="s">
        <v>6635</v>
      </c>
      <c r="E1215" s="8">
        <f>vlookup(B1215,Filmes_final!$B$2:$U$1001,20,FALSE)</f>
        <v>437504</v>
      </c>
      <c r="F1215" s="5">
        <f>vlookup(B1215,Filmes_final!$B$2:$U$1001,3,FALSE)</f>
        <v>1957</v>
      </c>
      <c r="G1215" s="5" t="str">
        <f>vlookup(B1215,Filmes_final!$B$2:$U$1001,13,FALSE)</f>
        <v>Akira Kurosawa</v>
      </c>
    </row>
    <row r="1216">
      <c r="A1216" s="5">
        <v>304.0</v>
      </c>
      <c r="B1216" s="5" t="s">
        <v>2027</v>
      </c>
      <c r="C1216" s="5" t="s">
        <v>2030</v>
      </c>
      <c r="D1216" s="5" t="s">
        <v>6636</v>
      </c>
      <c r="E1216" s="8">
        <f>vlookup(B1216,Filmes_final!$B$2:$U$1001,20,FALSE)</f>
        <v>437504</v>
      </c>
      <c r="F1216" s="5">
        <f>vlookup(B1216,Filmes_final!$B$2:$U$1001,3,FALSE)</f>
        <v>1957</v>
      </c>
      <c r="G1216" s="5" t="str">
        <f>vlookup(B1216,Filmes_final!$B$2:$U$1001,13,FALSE)</f>
        <v>Akira Kurosawa</v>
      </c>
    </row>
    <row r="1217">
      <c r="A1217" s="5">
        <v>304.0</v>
      </c>
      <c r="B1217" s="5" t="s">
        <v>2027</v>
      </c>
      <c r="C1217" s="5" t="s">
        <v>266</v>
      </c>
      <c r="D1217" s="5" t="s">
        <v>6637</v>
      </c>
      <c r="E1217" s="8">
        <f>vlookup(B1217,Filmes_final!$B$2:$U$1001,20,FALSE)</f>
        <v>437504</v>
      </c>
      <c r="F1217" s="5">
        <f>vlookup(B1217,Filmes_final!$B$2:$U$1001,3,FALSE)</f>
        <v>1957</v>
      </c>
      <c r="G1217" s="5" t="str">
        <f>vlookup(B1217,Filmes_final!$B$2:$U$1001,13,FALSE)</f>
        <v>Akira Kurosawa</v>
      </c>
    </row>
    <row r="1218">
      <c r="A1218" s="5">
        <v>305.0</v>
      </c>
      <c r="B1218" s="5" t="s">
        <v>2031</v>
      </c>
      <c r="C1218" s="5" t="s">
        <v>630</v>
      </c>
      <c r="D1218" s="5" t="s">
        <v>6634</v>
      </c>
      <c r="E1218" s="8">
        <f>vlookup(B1218,Filmes_final!$B$2:$U$1001,20,FALSE)</f>
        <v>419744988</v>
      </c>
      <c r="F1218" s="5">
        <f>vlookup(B1218,Filmes_final!$B$2:$U$1001,3,FALSE)</f>
        <v>1957</v>
      </c>
      <c r="G1218" s="5" t="str">
        <f>vlookup(B1218,Filmes_final!$B$2:$U$1001,13,FALSE)</f>
        <v>David Lean</v>
      </c>
    </row>
    <row r="1219">
      <c r="A1219" s="5">
        <v>305.0</v>
      </c>
      <c r="B1219" s="5" t="s">
        <v>2031</v>
      </c>
      <c r="C1219" s="5" t="s">
        <v>252</v>
      </c>
      <c r="D1219" s="5" t="s">
        <v>6635</v>
      </c>
      <c r="E1219" s="8">
        <f>vlookup(B1219,Filmes_final!$B$2:$U$1001,20,FALSE)</f>
        <v>419744988</v>
      </c>
      <c r="F1219" s="5">
        <f>vlookup(B1219,Filmes_final!$B$2:$U$1001,3,FALSE)</f>
        <v>1957</v>
      </c>
      <c r="G1219" s="5" t="str">
        <f>vlookup(B1219,Filmes_final!$B$2:$U$1001,13,FALSE)</f>
        <v>David Lean</v>
      </c>
    </row>
    <row r="1220">
      <c r="A1220" s="5">
        <v>305.0</v>
      </c>
      <c r="B1220" s="5" t="s">
        <v>2031</v>
      </c>
      <c r="C1220" s="5" t="s">
        <v>863</v>
      </c>
      <c r="D1220" s="5" t="s">
        <v>6636</v>
      </c>
      <c r="E1220" s="8">
        <f>vlookup(B1220,Filmes_final!$B$2:$U$1001,20,FALSE)</f>
        <v>419744988</v>
      </c>
      <c r="F1220" s="5">
        <f>vlookup(B1220,Filmes_final!$B$2:$U$1001,3,FALSE)</f>
        <v>1957</v>
      </c>
      <c r="G1220" s="5" t="str">
        <f>vlookup(B1220,Filmes_final!$B$2:$U$1001,13,FALSE)</f>
        <v>David Lean</v>
      </c>
    </row>
    <row r="1221">
      <c r="A1221" s="5">
        <v>305.0</v>
      </c>
      <c r="B1221" s="5" t="s">
        <v>2031</v>
      </c>
      <c r="C1221" s="5" t="s">
        <v>2033</v>
      </c>
      <c r="D1221" s="5" t="s">
        <v>6637</v>
      </c>
      <c r="E1221" s="8">
        <f>vlookup(B1221,Filmes_final!$B$2:$U$1001,20,FALSE)</f>
        <v>419744988</v>
      </c>
      <c r="F1221" s="5">
        <f>vlookup(B1221,Filmes_final!$B$2:$U$1001,3,FALSE)</f>
        <v>1957</v>
      </c>
      <c r="G1221" s="5" t="str">
        <f>vlookup(B1221,Filmes_final!$B$2:$U$1001,13,FALSE)</f>
        <v>David Lean</v>
      </c>
    </row>
    <row r="1222">
      <c r="A1222" s="5">
        <v>306.0</v>
      </c>
      <c r="B1222" s="5" t="s">
        <v>2034</v>
      </c>
      <c r="C1222" s="5" t="s">
        <v>32</v>
      </c>
      <c r="D1222" s="5" t="s">
        <v>6634</v>
      </c>
      <c r="E1222" s="8">
        <f>vlookup(B1222,Filmes_final!$B$2:$U$1001,20,FALSE)</f>
        <v>92064000</v>
      </c>
      <c r="F1222" s="5">
        <f>vlookup(B1222,Filmes_final!$B$2:$U$1001,3,FALSE)</f>
        <v>1954</v>
      </c>
      <c r="G1222" s="5" t="str">
        <f>vlookup(B1222,Filmes_final!$B$2:$U$1001,13,FALSE)</f>
        <v>Elia Kazan</v>
      </c>
    </row>
    <row r="1223">
      <c r="A1223" s="5">
        <v>306.0</v>
      </c>
      <c r="B1223" s="5" t="s">
        <v>2034</v>
      </c>
      <c r="C1223" s="5" t="s">
        <v>2037</v>
      </c>
      <c r="D1223" s="5" t="s">
        <v>6635</v>
      </c>
      <c r="E1223" s="8">
        <f>vlookup(B1223,Filmes_final!$B$2:$U$1001,20,FALSE)</f>
        <v>92064000</v>
      </c>
      <c r="F1223" s="5">
        <f>vlookup(B1223,Filmes_final!$B$2:$U$1001,3,FALSE)</f>
        <v>1954</v>
      </c>
      <c r="G1223" s="5" t="str">
        <f>vlookup(B1223,Filmes_final!$B$2:$U$1001,13,FALSE)</f>
        <v>Elia Kazan</v>
      </c>
    </row>
    <row r="1224">
      <c r="A1224" s="5">
        <v>306.0</v>
      </c>
      <c r="B1224" s="5" t="s">
        <v>2034</v>
      </c>
      <c r="C1224" s="5" t="s">
        <v>57</v>
      </c>
      <c r="D1224" s="5" t="s">
        <v>6636</v>
      </c>
      <c r="E1224" s="8">
        <f>vlookup(B1224,Filmes_final!$B$2:$U$1001,20,FALSE)</f>
        <v>92064000</v>
      </c>
      <c r="F1224" s="5">
        <f>vlookup(B1224,Filmes_final!$B$2:$U$1001,3,FALSE)</f>
        <v>1954</v>
      </c>
      <c r="G1224" s="5" t="str">
        <f>vlookup(B1224,Filmes_final!$B$2:$U$1001,13,FALSE)</f>
        <v>Elia Kazan</v>
      </c>
    </row>
    <row r="1225">
      <c r="A1225" s="5">
        <v>306.0</v>
      </c>
      <c r="B1225" s="5" t="s">
        <v>2034</v>
      </c>
      <c r="C1225" s="5" t="s">
        <v>2038</v>
      </c>
      <c r="D1225" s="5" t="s">
        <v>6637</v>
      </c>
      <c r="E1225" s="8">
        <f>vlookup(B1225,Filmes_final!$B$2:$U$1001,20,FALSE)</f>
        <v>92064000</v>
      </c>
      <c r="F1225" s="5">
        <f>vlookup(B1225,Filmes_final!$B$2:$U$1001,3,FALSE)</f>
        <v>1954</v>
      </c>
      <c r="G1225" s="5" t="str">
        <f>vlookup(B1225,Filmes_final!$B$2:$U$1001,13,FALSE)</f>
        <v>Elia Kazan</v>
      </c>
    </row>
    <row r="1226">
      <c r="A1226" s="5">
        <v>307.0</v>
      </c>
      <c r="B1226" s="5" t="s">
        <v>2039</v>
      </c>
      <c r="C1226" s="5" t="s">
        <v>2042</v>
      </c>
      <c r="D1226" s="5" t="s">
        <v>6634</v>
      </c>
      <c r="E1226" s="8">
        <f>vlookup(B1226,Filmes_final!$B$2:$U$1001,20,FALSE)</f>
        <v>10649</v>
      </c>
      <c r="F1226" s="5">
        <f>vlookup(B1226,Filmes_final!$B$2:$U$1001,3,FALSE)</f>
        <v>1953</v>
      </c>
      <c r="G1226" s="5" t="str">
        <f>vlookup(B1226,Filmes_final!$B$2:$U$1001,13,FALSE)</f>
        <v>Henri-Georges Clouzot</v>
      </c>
    </row>
    <row r="1227">
      <c r="A1227" s="5">
        <v>307.0</v>
      </c>
      <c r="B1227" s="5" t="s">
        <v>2039</v>
      </c>
      <c r="C1227" s="5" t="s">
        <v>2043</v>
      </c>
      <c r="D1227" s="5" t="s">
        <v>6635</v>
      </c>
      <c r="E1227" s="8">
        <f>vlookup(B1227,Filmes_final!$B$2:$U$1001,20,FALSE)</f>
        <v>10649</v>
      </c>
      <c r="F1227" s="5">
        <f>vlookup(B1227,Filmes_final!$B$2:$U$1001,3,FALSE)</f>
        <v>1953</v>
      </c>
      <c r="G1227" s="5" t="str">
        <f>vlookup(B1227,Filmes_final!$B$2:$U$1001,13,FALSE)</f>
        <v>Henri-Georges Clouzot</v>
      </c>
    </row>
    <row r="1228">
      <c r="A1228" s="5">
        <v>307.0</v>
      </c>
      <c r="B1228" s="5" t="s">
        <v>2039</v>
      </c>
      <c r="C1228" s="5" t="s">
        <v>2044</v>
      </c>
      <c r="D1228" s="5" t="s">
        <v>6636</v>
      </c>
      <c r="E1228" s="8">
        <f>vlookup(B1228,Filmes_final!$B$2:$U$1001,20,FALSE)</f>
        <v>10649</v>
      </c>
      <c r="F1228" s="5">
        <f>vlookup(B1228,Filmes_final!$B$2:$U$1001,3,FALSE)</f>
        <v>1953</v>
      </c>
      <c r="G1228" s="5" t="str">
        <f>vlookup(B1228,Filmes_final!$B$2:$U$1001,13,FALSE)</f>
        <v>Henri-Georges Clouzot</v>
      </c>
    </row>
    <row r="1229">
      <c r="A1229" s="5">
        <v>307.0</v>
      </c>
      <c r="B1229" s="5" t="s">
        <v>2039</v>
      </c>
      <c r="C1229" s="5" t="s">
        <v>2045</v>
      </c>
      <c r="D1229" s="5" t="s">
        <v>6637</v>
      </c>
      <c r="E1229" s="8">
        <f>vlookup(B1229,Filmes_final!$B$2:$U$1001,20,FALSE)</f>
        <v>10649</v>
      </c>
      <c r="F1229" s="5">
        <f>vlookup(B1229,Filmes_final!$B$2:$U$1001,3,FALSE)</f>
        <v>1953</v>
      </c>
      <c r="G1229" s="5" t="str">
        <f>vlookup(B1229,Filmes_final!$B$2:$U$1001,13,FALSE)</f>
        <v>Henri-Georges Clouzot</v>
      </c>
    </row>
    <row r="1230">
      <c r="A1230" s="5">
        <v>308.0</v>
      </c>
      <c r="B1230" s="5" t="s">
        <v>2046</v>
      </c>
      <c r="C1230" s="5" t="s">
        <v>617</v>
      </c>
      <c r="D1230" s="5" t="s">
        <v>6634</v>
      </c>
      <c r="E1230" s="8">
        <f>vlookup(B1230,Filmes_final!$B$2:$U$1001,20,FALSE)</f>
        <v>40319577</v>
      </c>
      <c r="F1230" s="5">
        <f>vlookup(B1230,Filmes_final!$B$2:$U$1001,3,FALSE)</f>
        <v>1951</v>
      </c>
      <c r="G1230" s="5" t="str">
        <f>vlookup(B1230,Filmes_final!$B$2:$U$1001,13,FALSE)</f>
        <v>Billy Wilder</v>
      </c>
    </row>
    <row r="1231">
      <c r="A1231" s="5">
        <v>308.0</v>
      </c>
      <c r="B1231" s="5" t="s">
        <v>2046</v>
      </c>
      <c r="C1231" s="5" t="s">
        <v>2049</v>
      </c>
      <c r="D1231" s="5" t="s">
        <v>6635</v>
      </c>
      <c r="E1231" s="8">
        <f>vlookup(B1231,Filmes_final!$B$2:$U$1001,20,FALSE)</f>
        <v>40319577</v>
      </c>
      <c r="F1231" s="5">
        <f>vlookup(B1231,Filmes_final!$B$2:$U$1001,3,FALSE)</f>
        <v>1951</v>
      </c>
      <c r="G1231" s="5" t="str">
        <f>vlookup(B1231,Filmes_final!$B$2:$U$1001,13,FALSE)</f>
        <v>Billy Wilder</v>
      </c>
    </row>
    <row r="1232">
      <c r="A1232" s="5">
        <v>308.0</v>
      </c>
      <c r="B1232" s="5" t="s">
        <v>2046</v>
      </c>
      <c r="C1232" s="5" t="s">
        <v>2050</v>
      </c>
      <c r="D1232" s="5" t="s">
        <v>6636</v>
      </c>
      <c r="E1232" s="8">
        <f>vlookup(B1232,Filmes_final!$B$2:$U$1001,20,FALSE)</f>
        <v>40319577</v>
      </c>
      <c r="F1232" s="5">
        <f>vlookup(B1232,Filmes_final!$B$2:$U$1001,3,FALSE)</f>
        <v>1951</v>
      </c>
      <c r="G1232" s="5" t="str">
        <f>vlookup(B1232,Filmes_final!$B$2:$U$1001,13,FALSE)</f>
        <v>Billy Wilder</v>
      </c>
    </row>
    <row r="1233">
      <c r="A1233" s="5">
        <v>308.0</v>
      </c>
      <c r="B1233" s="5" t="s">
        <v>2046</v>
      </c>
      <c r="C1233" s="5" t="s">
        <v>2051</v>
      </c>
      <c r="D1233" s="5" t="s">
        <v>6637</v>
      </c>
      <c r="E1233" s="8">
        <f>vlookup(B1233,Filmes_final!$B$2:$U$1001,20,FALSE)</f>
        <v>40319577</v>
      </c>
      <c r="F1233" s="5">
        <f>vlookup(B1233,Filmes_final!$B$2:$U$1001,3,FALSE)</f>
        <v>1951</v>
      </c>
      <c r="G1233" s="5" t="str">
        <f>vlookup(B1233,Filmes_final!$B$2:$U$1001,13,FALSE)</f>
        <v>Billy Wilder</v>
      </c>
    </row>
    <row r="1234">
      <c r="A1234" s="5">
        <v>309.0</v>
      </c>
      <c r="B1234" s="5" t="s">
        <v>2052</v>
      </c>
      <c r="C1234" s="5" t="s">
        <v>2055</v>
      </c>
      <c r="D1234" s="5" t="s">
        <v>6634</v>
      </c>
      <c r="E1234" s="8">
        <f>vlookup(B1234,Filmes_final!$B$2:$U$1001,20,FALSE)</f>
        <v>59484</v>
      </c>
      <c r="F1234" s="5">
        <f>vlookup(B1234,Filmes_final!$B$2:$U$1001,3,FALSE)</f>
        <v>1949</v>
      </c>
      <c r="G1234" s="5" t="str">
        <f>vlookup(B1234,Filmes_final!$B$2:$U$1001,13,FALSE)</f>
        <v>Raoul Walsh</v>
      </c>
    </row>
    <row r="1235">
      <c r="A1235" s="5">
        <v>309.0</v>
      </c>
      <c r="B1235" s="5" t="s">
        <v>2052</v>
      </c>
      <c r="C1235" s="5" t="s">
        <v>2056</v>
      </c>
      <c r="D1235" s="5" t="s">
        <v>6635</v>
      </c>
      <c r="E1235" s="8">
        <f>vlookup(B1235,Filmes_final!$B$2:$U$1001,20,FALSE)</f>
        <v>59484</v>
      </c>
      <c r="F1235" s="5">
        <f>vlookup(B1235,Filmes_final!$B$2:$U$1001,3,FALSE)</f>
        <v>1949</v>
      </c>
      <c r="G1235" s="5" t="str">
        <f>vlookup(B1235,Filmes_final!$B$2:$U$1001,13,FALSE)</f>
        <v>Raoul Walsh</v>
      </c>
    </row>
    <row r="1236">
      <c r="A1236" s="5">
        <v>309.0</v>
      </c>
      <c r="B1236" s="5" t="s">
        <v>2052</v>
      </c>
      <c r="C1236" s="5" t="s">
        <v>2057</v>
      </c>
      <c r="D1236" s="5" t="s">
        <v>6636</v>
      </c>
      <c r="E1236" s="8">
        <f>vlookup(B1236,Filmes_final!$B$2:$U$1001,20,FALSE)</f>
        <v>59484</v>
      </c>
      <c r="F1236" s="5">
        <f>vlookup(B1236,Filmes_final!$B$2:$U$1001,3,FALSE)</f>
        <v>1949</v>
      </c>
      <c r="G1236" s="5" t="str">
        <f>vlookup(B1236,Filmes_final!$B$2:$U$1001,13,FALSE)</f>
        <v>Raoul Walsh</v>
      </c>
    </row>
    <row r="1237">
      <c r="A1237" s="5">
        <v>309.0</v>
      </c>
      <c r="B1237" s="5" t="s">
        <v>2052</v>
      </c>
      <c r="C1237" s="5" t="s">
        <v>2058</v>
      </c>
      <c r="D1237" s="5" t="s">
        <v>6637</v>
      </c>
      <c r="E1237" s="8">
        <f>vlookup(B1237,Filmes_final!$B$2:$U$1001,20,FALSE)</f>
        <v>59484</v>
      </c>
      <c r="F1237" s="5">
        <f>vlookup(B1237,Filmes_final!$B$2:$U$1001,3,FALSE)</f>
        <v>1949</v>
      </c>
      <c r="G1237" s="5" t="str">
        <f>vlookup(B1237,Filmes_final!$B$2:$U$1001,13,FALSE)</f>
        <v>Raoul Walsh</v>
      </c>
    </row>
    <row r="1238">
      <c r="A1238" s="5">
        <v>310.0</v>
      </c>
      <c r="B1238" s="5" t="s">
        <v>2059</v>
      </c>
      <c r="C1238" s="5" t="s">
        <v>916</v>
      </c>
      <c r="D1238" s="5" t="s">
        <v>6634</v>
      </c>
      <c r="E1238" s="8">
        <f>vlookup(B1238,Filmes_final!$B$2:$U$1001,20,FALSE)</f>
        <v>4828260</v>
      </c>
      <c r="F1238" s="5">
        <f>vlookup(B1238,Filmes_final!$B$2:$U$1001,3,FALSE)</f>
        <v>1949</v>
      </c>
      <c r="G1238" s="5" t="str">
        <f>vlookup(B1238,Filmes_final!$B$2:$U$1001,13,FALSE)</f>
        <v>Carol Reed</v>
      </c>
    </row>
    <row r="1239">
      <c r="A1239" s="5">
        <v>310.0</v>
      </c>
      <c r="B1239" s="5" t="s">
        <v>2059</v>
      </c>
      <c r="C1239" s="5" t="s">
        <v>917</v>
      </c>
      <c r="D1239" s="5" t="s">
        <v>6635</v>
      </c>
      <c r="E1239" s="8">
        <f>vlookup(B1239,Filmes_final!$B$2:$U$1001,20,FALSE)</f>
        <v>4828260</v>
      </c>
      <c r="F1239" s="5">
        <f>vlookup(B1239,Filmes_final!$B$2:$U$1001,3,FALSE)</f>
        <v>1949</v>
      </c>
      <c r="G1239" s="5" t="str">
        <f>vlookup(B1239,Filmes_final!$B$2:$U$1001,13,FALSE)</f>
        <v>Carol Reed</v>
      </c>
    </row>
    <row r="1240">
      <c r="A1240" s="5">
        <v>310.0</v>
      </c>
      <c r="B1240" s="5" t="s">
        <v>2059</v>
      </c>
      <c r="C1240" s="5" t="s">
        <v>2063</v>
      </c>
      <c r="D1240" s="5" t="s">
        <v>6636</v>
      </c>
      <c r="E1240" s="8">
        <f>vlookup(B1240,Filmes_final!$B$2:$U$1001,20,FALSE)</f>
        <v>4828260</v>
      </c>
      <c r="F1240" s="5">
        <f>vlookup(B1240,Filmes_final!$B$2:$U$1001,3,FALSE)</f>
        <v>1949</v>
      </c>
      <c r="G1240" s="5" t="str">
        <f>vlookup(B1240,Filmes_final!$B$2:$U$1001,13,FALSE)</f>
        <v>Carol Reed</v>
      </c>
    </row>
    <row r="1241">
      <c r="A1241" s="5">
        <v>310.0</v>
      </c>
      <c r="B1241" s="5" t="s">
        <v>2059</v>
      </c>
      <c r="C1241" s="5" t="s">
        <v>2064</v>
      </c>
      <c r="D1241" s="5" t="s">
        <v>6637</v>
      </c>
      <c r="E1241" s="8">
        <f>vlookup(B1241,Filmes_final!$B$2:$U$1001,20,FALSE)</f>
        <v>4828260</v>
      </c>
      <c r="F1241" s="5">
        <f>vlookup(B1241,Filmes_final!$B$2:$U$1001,3,FALSE)</f>
        <v>1949</v>
      </c>
      <c r="G1241" s="5" t="str">
        <f>vlookup(B1241,Filmes_final!$B$2:$U$1001,13,FALSE)</f>
        <v>Carol Reed</v>
      </c>
    </row>
    <row r="1242">
      <c r="A1242" s="5">
        <v>311.0</v>
      </c>
      <c r="B1242" s="5" t="s">
        <v>2065</v>
      </c>
      <c r="C1242" s="5" t="s">
        <v>2069</v>
      </c>
      <c r="D1242" s="5" t="s">
        <v>6634</v>
      </c>
      <c r="E1242" s="8">
        <f>vlookup(B1242,Filmes_final!$B$2:$U$1001,20,FALSE)</f>
        <v>118644890</v>
      </c>
      <c r="F1242" s="5">
        <f>vlookup(B1242,Filmes_final!$B$2:$U$1001,3,FALSE)</f>
        <v>1948</v>
      </c>
      <c r="G1242" s="5" t="str">
        <f>vlookup(B1242,Filmes_final!$B$2:$U$1001,13,FALSE)</f>
        <v>Michael Powell</v>
      </c>
    </row>
    <row r="1243">
      <c r="A1243" s="5">
        <v>311.0</v>
      </c>
      <c r="B1243" s="5" t="s">
        <v>2065</v>
      </c>
      <c r="C1243" s="5" t="s">
        <v>2070</v>
      </c>
      <c r="D1243" s="5" t="s">
        <v>6635</v>
      </c>
      <c r="E1243" s="8">
        <f>vlookup(B1243,Filmes_final!$B$2:$U$1001,20,FALSE)</f>
        <v>118644890</v>
      </c>
      <c r="F1243" s="5">
        <f>vlookup(B1243,Filmes_final!$B$2:$U$1001,3,FALSE)</f>
        <v>1948</v>
      </c>
      <c r="G1243" s="5" t="str">
        <f>vlookup(B1243,Filmes_final!$B$2:$U$1001,13,FALSE)</f>
        <v>Michael Powell</v>
      </c>
    </row>
    <row r="1244">
      <c r="A1244" s="5">
        <v>311.0</v>
      </c>
      <c r="B1244" s="5" t="s">
        <v>2065</v>
      </c>
      <c r="C1244" s="5" t="s">
        <v>2071</v>
      </c>
      <c r="D1244" s="5" t="s">
        <v>6636</v>
      </c>
      <c r="E1244" s="8">
        <f>vlookup(B1244,Filmes_final!$B$2:$U$1001,20,FALSE)</f>
        <v>118644890</v>
      </c>
      <c r="F1244" s="5">
        <f>vlookup(B1244,Filmes_final!$B$2:$U$1001,3,FALSE)</f>
        <v>1948</v>
      </c>
      <c r="G1244" s="5" t="str">
        <f>vlookup(B1244,Filmes_final!$B$2:$U$1001,13,FALSE)</f>
        <v>Michael Powell</v>
      </c>
    </row>
    <row r="1245">
      <c r="A1245" s="5">
        <v>311.0</v>
      </c>
      <c r="B1245" s="5" t="s">
        <v>2065</v>
      </c>
      <c r="C1245" s="5" t="s">
        <v>2072</v>
      </c>
      <c r="D1245" s="5" t="s">
        <v>6637</v>
      </c>
      <c r="E1245" s="8">
        <f>vlookup(B1245,Filmes_final!$B$2:$U$1001,20,FALSE)</f>
        <v>118644890</v>
      </c>
      <c r="F1245" s="5">
        <f>vlookup(B1245,Filmes_final!$B$2:$U$1001,3,FALSE)</f>
        <v>1948</v>
      </c>
      <c r="G1245" s="5" t="str">
        <f>vlookup(B1245,Filmes_final!$B$2:$U$1001,13,FALSE)</f>
        <v>Michael Powell</v>
      </c>
    </row>
    <row r="1246">
      <c r="A1246" s="5">
        <v>312.0</v>
      </c>
      <c r="B1246" s="5" t="s">
        <v>2073</v>
      </c>
      <c r="C1246" s="5" t="s">
        <v>2076</v>
      </c>
      <c r="D1246" s="5" t="s">
        <v>6634</v>
      </c>
      <c r="E1246" s="8">
        <f>vlookup(B1246,Filmes_final!$B$2:$U$1001,20,FALSE)</f>
        <v>3773058</v>
      </c>
      <c r="F1246" s="5">
        <f>vlookup(B1246,Filmes_final!$B$2:$U$1001,3,FALSE)</f>
        <v>1940</v>
      </c>
      <c r="G1246" s="5" t="str">
        <f>vlookup(B1246,Filmes_final!$B$2:$U$1001,13,FALSE)</f>
        <v>Ernst Lubitsch</v>
      </c>
    </row>
    <row r="1247">
      <c r="A1247" s="5">
        <v>312.0</v>
      </c>
      <c r="B1247" s="5" t="s">
        <v>2073</v>
      </c>
      <c r="C1247" s="5" t="s">
        <v>274</v>
      </c>
      <c r="D1247" s="5" t="s">
        <v>6635</v>
      </c>
      <c r="E1247" s="8">
        <f>vlookup(B1247,Filmes_final!$B$2:$U$1001,20,FALSE)</f>
        <v>3773058</v>
      </c>
      <c r="F1247" s="5">
        <f>vlookup(B1247,Filmes_final!$B$2:$U$1001,3,FALSE)</f>
        <v>1940</v>
      </c>
      <c r="G1247" s="5" t="str">
        <f>vlookup(B1247,Filmes_final!$B$2:$U$1001,13,FALSE)</f>
        <v>Ernst Lubitsch</v>
      </c>
    </row>
    <row r="1248">
      <c r="A1248" s="5">
        <v>312.0</v>
      </c>
      <c r="B1248" s="5" t="s">
        <v>2073</v>
      </c>
      <c r="C1248" s="5" t="s">
        <v>2077</v>
      </c>
      <c r="D1248" s="5" t="s">
        <v>6636</v>
      </c>
      <c r="E1248" s="8">
        <f>vlookup(B1248,Filmes_final!$B$2:$U$1001,20,FALSE)</f>
        <v>3773058</v>
      </c>
      <c r="F1248" s="5">
        <f>vlookup(B1248,Filmes_final!$B$2:$U$1001,3,FALSE)</f>
        <v>1940</v>
      </c>
      <c r="G1248" s="5" t="str">
        <f>vlookup(B1248,Filmes_final!$B$2:$U$1001,13,FALSE)</f>
        <v>Ernst Lubitsch</v>
      </c>
    </row>
    <row r="1249">
      <c r="A1249" s="5">
        <v>312.0</v>
      </c>
      <c r="B1249" s="5" t="s">
        <v>2073</v>
      </c>
      <c r="C1249" s="5" t="s">
        <v>2078</v>
      </c>
      <c r="D1249" s="5" t="s">
        <v>6637</v>
      </c>
      <c r="E1249" s="8">
        <f>vlookup(B1249,Filmes_final!$B$2:$U$1001,20,FALSE)</f>
        <v>3773058</v>
      </c>
      <c r="F1249" s="5">
        <f>vlookup(B1249,Filmes_final!$B$2:$U$1001,3,FALSE)</f>
        <v>1940</v>
      </c>
      <c r="G1249" s="5" t="str">
        <f>vlookup(B1249,Filmes_final!$B$2:$U$1001,13,FALSE)</f>
        <v>Ernst Lubitsch</v>
      </c>
    </row>
    <row r="1250">
      <c r="A1250" s="5">
        <v>313.0</v>
      </c>
      <c r="B1250" s="5" t="s">
        <v>2079</v>
      </c>
      <c r="C1250" s="5" t="s">
        <v>2081</v>
      </c>
      <c r="D1250" s="5" t="s">
        <v>6634</v>
      </c>
      <c r="E1250" s="8">
        <f>vlookup(B1250,Filmes_final!$B$2:$U$1001,20,FALSE)</f>
        <v>80917522</v>
      </c>
      <c r="F1250" s="5">
        <f>vlookup(B1250,Filmes_final!$B$2:$U$1001,3,FALSE)</f>
        <v>1940</v>
      </c>
      <c r="G1250" s="5" t="str">
        <f>vlookup(B1250,Filmes_final!$B$2:$U$1001,13,FALSE)</f>
        <v>Alfred Hitchcock</v>
      </c>
    </row>
    <row r="1251">
      <c r="A1251" s="5">
        <v>313.0</v>
      </c>
      <c r="B1251" s="5" t="s">
        <v>2079</v>
      </c>
      <c r="C1251" s="5" t="s">
        <v>2082</v>
      </c>
      <c r="D1251" s="5" t="s">
        <v>6635</v>
      </c>
      <c r="E1251" s="8">
        <f>vlookup(B1251,Filmes_final!$B$2:$U$1001,20,FALSE)</f>
        <v>80917522</v>
      </c>
      <c r="F1251" s="5">
        <f>vlookup(B1251,Filmes_final!$B$2:$U$1001,3,FALSE)</f>
        <v>1940</v>
      </c>
      <c r="G1251" s="5" t="str">
        <f>vlookup(B1251,Filmes_final!$B$2:$U$1001,13,FALSE)</f>
        <v>Alfred Hitchcock</v>
      </c>
    </row>
    <row r="1252">
      <c r="A1252" s="5">
        <v>313.0</v>
      </c>
      <c r="B1252" s="5" t="s">
        <v>2079</v>
      </c>
      <c r="C1252" s="5" t="s">
        <v>1341</v>
      </c>
      <c r="D1252" s="5" t="s">
        <v>6636</v>
      </c>
      <c r="E1252" s="8">
        <f>vlookup(B1252,Filmes_final!$B$2:$U$1001,20,FALSE)</f>
        <v>80917522</v>
      </c>
      <c r="F1252" s="5">
        <f>vlookup(B1252,Filmes_final!$B$2:$U$1001,3,FALSE)</f>
        <v>1940</v>
      </c>
      <c r="G1252" s="5" t="str">
        <f>vlookup(B1252,Filmes_final!$B$2:$U$1001,13,FALSE)</f>
        <v>Alfred Hitchcock</v>
      </c>
    </row>
    <row r="1253">
      <c r="A1253" s="5">
        <v>313.0</v>
      </c>
      <c r="B1253" s="5" t="s">
        <v>2079</v>
      </c>
      <c r="C1253" s="5" t="s">
        <v>2083</v>
      </c>
      <c r="D1253" s="5" t="s">
        <v>6637</v>
      </c>
      <c r="E1253" s="8">
        <f>vlookup(B1253,Filmes_final!$B$2:$U$1001,20,FALSE)</f>
        <v>80917522</v>
      </c>
      <c r="F1253" s="5">
        <f>vlookup(B1253,Filmes_final!$B$2:$U$1001,3,FALSE)</f>
        <v>1940</v>
      </c>
      <c r="G1253" s="5" t="str">
        <f>vlookup(B1253,Filmes_final!$B$2:$U$1001,13,FALSE)</f>
        <v>Alfred Hitchcock</v>
      </c>
    </row>
    <row r="1254">
      <c r="A1254" s="5">
        <v>314.0</v>
      </c>
      <c r="B1254" s="5" t="s">
        <v>2084</v>
      </c>
      <c r="C1254" s="5" t="s">
        <v>274</v>
      </c>
      <c r="D1254" s="5" t="s">
        <v>6634</v>
      </c>
      <c r="E1254" s="8">
        <f>vlookup(B1254,Filmes_final!$B$2:$U$1001,20,FALSE)</f>
        <v>176894400</v>
      </c>
      <c r="F1254" s="5">
        <f>vlookup(B1254,Filmes_final!$B$2:$U$1001,3,FALSE)</f>
        <v>1939</v>
      </c>
      <c r="G1254" s="5" t="str">
        <f>vlookup(B1254,Filmes_final!$B$2:$U$1001,13,FALSE)</f>
        <v>Frank Capra</v>
      </c>
    </row>
    <row r="1255">
      <c r="A1255" s="5">
        <v>314.0</v>
      </c>
      <c r="B1255" s="5" t="s">
        <v>2084</v>
      </c>
      <c r="C1255" s="5" t="s">
        <v>2086</v>
      </c>
      <c r="D1255" s="5" t="s">
        <v>6635</v>
      </c>
      <c r="E1255" s="8">
        <f>vlookup(B1255,Filmes_final!$B$2:$U$1001,20,FALSE)</f>
        <v>176894400</v>
      </c>
      <c r="F1255" s="5">
        <f>vlookup(B1255,Filmes_final!$B$2:$U$1001,3,FALSE)</f>
        <v>1939</v>
      </c>
      <c r="G1255" s="5" t="str">
        <f>vlookup(B1255,Filmes_final!$B$2:$U$1001,13,FALSE)</f>
        <v>Frank Capra</v>
      </c>
    </row>
    <row r="1256">
      <c r="A1256" s="5">
        <v>314.0</v>
      </c>
      <c r="B1256" s="5" t="s">
        <v>2084</v>
      </c>
      <c r="C1256" s="5" t="s">
        <v>412</v>
      </c>
      <c r="D1256" s="5" t="s">
        <v>6636</v>
      </c>
      <c r="E1256" s="8">
        <f>vlookup(B1256,Filmes_final!$B$2:$U$1001,20,FALSE)</f>
        <v>176894400</v>
      </c>
      <c r="F1256" s="5">
        <f>vlookup(B1256,Filmes_final!$B$2:$U$1001,3,FALSE)</f>
        <v>1939</v>
      </c>
      <c r="G1256" s="5" t="str">
        <f>vlookup(B1256,Filmes_final!$B$2:$U$1001,13,FALSE)</f>
        <v>Frank Capra</v>
      </c>
    </row>
    <row r="1257">
      <c r="A1257" s="5">
        <v>314.0</v>
      </c>
      <c r="B1257" s="5" t="s">
        <v>2084</v>
      </c>
      <c r="C1257" s="5" t="s">
        <v>2087</v>
      </c>
      <c r="D1257" s="5" t="s">
        <v>6637</v>
      </c>
      <c r="E1257" s="8">
        <f>vlookup(B1257,Filmes_final!$B$2:$U$1001,20,FALSE)</f>
        <v>176894400</v>
      </c>
      <c r="F1257" s="5">
        <f>vlookup(B1257,Filmes_final!$B$2:$U$1001,3,FALSE)</f>
        <v>1939</v>
      </c>
      <c r="G1257" s="5" t="str">
        <f>vlookup(B1257,Filmes_final!$B$2:$U$1001,13,FALSE)</f>
        <v>Frank Capra</v>
      </c>
    </row>
    <row r="1258">
      <c r="A1258" s="5">
        <v>315.0</v>
      </c>
      <c r="B1258" s="5" t="s">
        <v>2088</v>
      </c>
      <c r="C1258" s="5" t="s">
        <v>2092</v>
      </c>
      <c r="D1258" s="5" t="s">
        <v>6634</v>
      </c>
      <c r="E1258" s="8">
        <f>vlookup(B1258,Filmes_final!$B$2:$U$1001,20,FALSE)</f>
        <v>3660911772</v>
      </c>
      <c r="F1258" s="5">
        <f>vlookup(B1258,Filmes_final!$B$2:$U$1001,3,FALSE)</f>
        <v>1939</v>
      </c>
      <c r="G1258" s="5" t="str">
        <f>vlookup(B1258,Filmes_final!$B$2:$U$1001,13,FALSE)</f>
        <v>Victor Fleming</v>
      </c>
    </row>
    <row r="1259">
      <c r="A1259" s="5">
        <v>315.0</v>
      </c>
      <c r="B1259" s="5" t="s">
        <v>2088</v>
      </c>
      <c r="C1259" s="5" t="s">
        <v>2093</v>
      </c>
      <c r="D1259" s="5" t="s">
        <v>6635</v>
      </c>
      <c r="E1259" s="8">
        <f>vlookup(B1259,Filmes_final!$B$2:$U$1001,20,FALSE)</f>
        <v>3660911772</v>
      </c>
      <c r="F1259" s="5">
        <f>vlookup(B1259,Filmes_final!$B$2:$U$1001,3,FALSE)</f>
        <v>1939</v>
      </c>
      <c r="G1259" s="5" t="str">
        <f>vlookup(B1259,Filmes_final!$B$2:$U$1001,13,FALSE)</f>
        <v>Victor Fleming</v>
      </c>
    </row>
    <row r="1260">
      <c r="A1260" s="5">
        <v>315.0</v>
      </c>
      <c r="B1260" s="5" t="s">
        <v>2088</v>
      </c>
      <c r="C1260" s="5" t="s">
        <v>2094</v>
      </c>
      <c r="D1260" s="5" t="s">
        <v>6636</v>
      </c>
      <c r="E1260" s="8">
        <f>vlookup(B1260,Filmes_final!$B$2:$U$1001,20,FALSE)</f>
        <v>3660911772</v>
      </c>
      <c r="F1260" s="5">
        <f>vlookup(B1260,Filmes_final!$B$2:$U$1001,3,FALSE)</f>
        <v>1939</v>
      </c>
      <c r="G1260" s="5" t="str">
        <f>vlookup(B1260,Filmes_final!$B$2:$U$1001,13,FALSE)</f>
        <v>Victor Fleming</v>
      </c>
    </row>
    <row r="1261">
      <c r="A1261" s="5">
        <v>315.0</v>
      </c>
      <c r="B1261" s="5" t="s">
        <v>2088</v>
      </c>
      <c r="C1261" s="5" t="s">
        <v>2095</v>
      </c>
      <c r="D1261" s="5" t="s">
        <v>6637</v>
      </c>
      <c r="E1261" s="8">
        <f>vlookup(B1261,Filmes_final!$B$2:$U$1001,20,FALSE)</f>
        <v>3660911772</v>
      </c>
      <c r="F1261" s="5">
        <f>vlookup(B1261,Filmes_final!$B$2:$U$1001,3,FALSE)</f>
        <v>1939</v>
      </c>
      <c r="G1261" s="5" t="str">
        <f>vlookup(B1261,Filmes_final!$B$2:$U$1001,13,FALSE)</f>
        <v>Victor Fleming</v>
      </c>
    </row>
    <row r="1262">
      <c r="A1262" s="5">
        <v>316.0</v>
      </c>
      <c r="B1262" s="5" t="s">
        <v>2096</v>
      </c>
      <c r="C1262" s="5" t="s">
        <v>2100</v>
      </c>
      <c r="D1262" s="5" t="s">
        <v>6634</v>
      </c>
      <c r="E1262" s="8">
        <f>vlookup(B1262,Filmes_final!$B$2:$U$1001,20,FALSE)</f>
        <v>3163072</v>
      </c>
      <c r="F1262" s="5">
        <f>vlookup(B1262,Filmes_final!$B$2:$U$1001,3,FALSE)</f>
        <v>1937</v>
      </c>
      <c r="G1262" s="5" t="str">
        <f>vlookup(B1262,Filmes_final!$B$2:$U$1001,13,FALSE)</f>
        <v>Jean Renoir</v>
      </c>
    </row>
    <row r="1263">
      <c r="A1263" s="5">
        <v>316.0</v>
      </c>
      <c r="B1263" s="5" t="s">
        <v>2096</v>
      </c>
      <c r="C1263" s="5" t="s">
        <v>2101</v>
      </c>
      <c r="D1263" s="5" t="s">
        <v>6635</v>
      </c>
      <c r="E1263" s="8">
        <f>vlookup(B1263,Filmes_final!$B$2:$U$1001,20,FALSE)</f>
        <v>3163072</v>
      </c>
      <c r="F1263" s="5">
        <f>vlookup(B1263,Filmes_final!$B$2:$U$1001,3,FALSE)</f>
        <v>1937</v>
      </c>
      <c r="G1263" s="5" t="str">
        <f>vlookup(B1263,Filmes_final!$B$2:$U$1001,13,FALSE)</f>
        <v>Jean Renoir</v>
      </c>
    </row>
    <row r="1264">
      <c r="A1264" s="5">
        <v>316.0</v>
      </c>
      <c r="B1264" s="5" t="s">
        <v>2096</v>
      </c>
      <c r="C1264" s="5" t="s">
        <v>2102</v>
      </c>
      <c r="D1264" s="5" t="s">
        <v>6636</v>
      </c>
      <c r="E1264" s="8">
        <f>vlookup(B1264,Filmes_final!$B$2:$U$1001,20,FALSE)</f>
        <v>3163072</v>
      </c>
      <c r="F1264" s="5">
        <f>vlookup(B1264,Filmes_final!$B$2:$U$1001,3,FALSE)</f>
        <v>1937</v>
      </c>
      <c r="G1264" s="5" t="str">
        <f>vlookup(B1264,Filmes_final!$B$2:$U$1001,13,FALSE)</f>
        <v>Jean Renoir</v>
      </c>
    </row>
    <row r="1265">
      <c r="A1265" s="5">
        <v>316.0</v>
      </c>
      <c r="B1265" s="5" t="s">
        <v>2096</v>
      </c>
      <c r="C1265" s="5" t="s">
        <v>632</v>
      </c>
      <c r="D1265" s="5" t="s">
        <v>6637</v>
      </c>
      <c r="E1265" s="8">
        <f>vlookup(B1265,Filmes_final!$B$2:$U$1001,20,FALSE)</f>
        <v>3163072</v>
      </c>
      <c r="F1265" s="5">
        <f>vlookup(B1265,Filmes_final!$B$2:$U$1001,3,FALSE)</f>
        <v>1937</v>
      </c>
      <c r="G1265" s="5" t="str">
        <f>vlookup(B1265,Filmes_final!$B$2:$U$1001,13,FALSE)</f>
        <v>Jean Renoir</v>
      </c>
    </row>
    <row r="1266">
      <c r="A1266" s="5">
        <v>317.0</v>
      </c>
      <c r="B1266" s="5" t="s">
        <v>2103</v>
      </c>
      <c r="C1266" s="5" t="s">
        <v>2094</v>
      </c>
      <c r="D1266" s="5" t="s">
        <v>6634</v>
      </c>
      <c r="E1266" s="8">
        <f>vlookup(B1266,Filmes_final!$B$2:$U$1001,20,FALSE)</f>
        <v>85208603</v>
      </c>
      <c r="F1266" s="5">
        <f>vlookup(B1266,Filmes_final!$B$2:$U$1001,3,FALSE)</f>
        <v>1934</v>
      </c>
      <c r="G1266" s="5" t="str">
        <f>vlookup(B1266,Filmes_final!$B$2:$U$1001,13,FALSE)</f>
        <v>Frank Capra</v>
      </c>
    </row>
    <row r="1267">
      <c r="A1267" s="5">
        <v>317.0</v>
      </c>
      <c r="B1267" s="5" t="s">
        <v>2103</v>
      </c>
      <c r="C1267" s="5" t="s">
        <v>2105</v>
      </c>
      <c r="D1267" s="5" t="s">
        <v>6635</v>
      </c>
      <c r="E1267" s="8">
        <f>vlookup(B1267,Filmes_final!$B$2:$U$1001,20,FALSE)</f>
        <v>85208603</v>
      </c>
      <c r="F1267" s="5">
        <f>vlookup(B1267,Filmes_final!$B$2:$U$1001,3,FALSE)</f>
        <v>1934</v>
      </c>
      <c r="G1267" s="5" t="str">
        <f>vlookup(B1267,Filmes_final!$B$2:$U$1001,13,FALSE)</f>
        <v>Frank Capra</v>
      </c>
    </row>
    <row r="1268">
      <c r="A1268" s="5">
        <v>317.0</v>
      </c>
      <c r="B1268" s="5" t="s">
        <v>2103</v>
      </c>
      <c r="C1268" s="5" t="s">
        <v>2106</v>
      </c>
      <c r="D1268" s="5" t="s">
        <v>6636</v>
      </c>
      <c r="E1268" s="8">
        <f>vlookup(B1268,Filmes_final!$B$2:$U$1001,20,FALSE)</f>
        <v>85208603</v>
      </c>
      <c r="F1268" s="5">
        <f>vlookup(B1268,Filmes_final!$B$2:$U$1001,3,FALSE)</f>
        <v>1934</v>
      </c>
      <c r="G1268" s="5" t="str">
        <f>vlookup(B1268,Filmes_final!$B$2:$U$1001,13,FALSE)</f>
        <v>Frank Capra</v>
      </c>
    </row>
    <row r="1269">
      <c r="A1269" s="5">
        <v>317.0</v>
      </c>
      <c r="B1269" s="5" t="s">
        <v>2103</v>
      </c>
      <c r="C1269" s="5" t="s">
        <v>2107</v>
      </c>
      <c r="D1269" s="5" t="s">
        <v>6637</v>
      </c>
      <c r="E1269" s="8">
        <f>vlookup(B1269,Filmes_final!$B$2:$U$1001,20,FALSE)</f>
        <v>85208603</v>
      </c>
      <c r="F1269" s="5">
        <f>vlookup(B1269,Filmes_final!$B$2:$U$1001,3,FALSE)</f>
        <v>1934</v>
      </c>
      <c r="G1269" s="5" t="str">
        <f>vlookup(B1269,Filmes_final!$B$2:$U$1001,13,FALSE)</f>
        <v>Frank Capra</v>
      </c>
    </row>
    <row r="1270">
      <c r="A1270" s="5">
        <v>318.0</v>
      </c>
      <c r="B1270" s="5" t="s">
        <v>2108</v>
      </c>
      <c r="C1270" s="5" t="s">
        <v>2111</v>
      </c>
      <c r="D1270" s="5" t="s">
        <v>6634</v>
      </c>
      <c r="E1270" s="8">
        <f>vlookup(B1270,Filmes_final!$B$2:$U$1001,20,FALSE)</f>
        <v>326221</v>
      </c>
      <c r="F1270" s="5">
        <f>vlookup(B1270,Filmes_final!$B$2:$U$1001,3,FALSE)</f>
        <v>1928</v>
      </c>
      <c r="G1270" s="5" t="str">
        <f>vlookup(B1270,Filmes_final!$B$2:$U$1001,13,FALSE)</f>
        <v>Carl Theodor Dreyer</v>
      </c>
    </row>
    <row r="1271">
      <c r="A1271" s="5">
        <v>318.0</v>
      </c>
      <c r="B1271" s="5" t="s">
        <v>2108</v>
      </c>
      <c r="C1271" s="5" t="s">
        <v>2112</v>
      </c>
      <c r="D1271" s="5" t="s">
        <v>6635</v>
      </c>
      <c r="E1271" s="8">
        <f>vlookup(B1271,Filmes_final!$B$2:$U$1001,20,FALSE)</f>
        <v>326221</v>
      </c>
      <c r="F1271" s="5">
        <f>vlookup(B1271,Filmes_final!$B$2:$U$1001,3,FALSE)</f>
        <v>1928</v>
      </c>
      <c r="G1271" s="5" t="str">
        <f>vlookup(B1271,Filmes_final!$B$2:$U$1001,13,FALSE)</f>
        <v>Carl Theodor Dreyer</v>
      </c>
    </row>
    <row r="1272">
      <c r="A1272" s="5">
        <v>318.0</v>
      </c>
      <c r="B1272" s="5" t="s">
        <v>2108</v>
      </c>
      <c r="C1272" s="5" t="s">
        <v>2113</v>
      </c>
      <c r="D1272" s="5" t="s">
        <v>6636</v>
      </c>
      <c r="E1272" s="8">
        <f>vlookup(B1272,Filmes_final!$B$2:$U$1001,20,FALSE)</f>
        <v>326221</v>
      </c>
      <c r="F1272" s="5">
        <f>vlookup(B1272,Filmes_final!$B$2:$U$1001,3,FALSE)</f>
        <v>1928</v>
      </c>
      <c r="G1272" s="5" t="str">
        <f>vlookup(B1272,Filmes_final!$B$2:$U$1001,13,FALSE)</f>
        <v>Carl Theodor Dreyer</v>
      </c>
    </row>
    <row r="1273">
      <c r="A1273" s="5">
        <v>318.0</v>
      </c>
      <c r="B1273" s="5" t="s">
        <v>2108</v>
      </c>
      <c r="C1273" s="5" t="s">
        <v>2114</v>
      </c>
      <c r="D1273" s="5" t="s">
        <v>6637</v>
      </c>
      <c r="E1273" s="8">
        <f>vlookup(B1273,Filmes_final!$B$2:$U$1001,20,FALSE)</f>
        <v>326221</v>
      </c>
      <c r="F1273" s="5">
        <f>vlookup(B1273,Filmes_final!$B$2:$U$1001,3,FALSE)</f>
        <v>1928</v>
      </c>
      <c r="G1273" s="5" t="str">
        <f>vlookup(B1273,Filmes_final!$B$2:$U$1001,13,FALSE)</f>
        <v>Carl Theodor Dreyer</v>
      </c>
    </row>
    <row r="1274">
      <c r="A1274" s="5">
        <v>319.0</v>
      </c>
      <c r="B1274" s="5" t="s">
        <v>2115</v>
      </c>
      <c r="C1274" s="5" t="s">
        <v>418</v>
      </c>
      <c r="D1274" s="5" t="s">
        <v>6634</v>
      </c>
      <c r="E1274" s="8">
        <f>vlookup(B1274,Filmes_final!$B$2:$U$1001,20,FALSE)</f>
        <v>408727</v>
      </c>
      <c r="F1274" s="5">
        <f>vlookup(B1274,Filmes_final!$B$2:$U$1001,3,FALSE)</f>
        <v>1928</v>
      </c>
      <c r="G1274" s="5" t="str">
        <f>vlookup(B1274,Filmes_final!$B$2:$U$1001,13,FALSE)</f>
        <v>Charles Chaplin</v>
      </c>
    </row>
    <row r="1275">
      <c r="A1275" s="5">
        <v>319.0</v>
      </c>
      <c r="B1275" s="5" t="s">
        <v>2115</v>
      </c>
      <c r="C1275" s="5" t="s">
        <v>2119</v>
      </c>
      <c r="D1275" s="5" t="s">
        <v>6635</v>
      </c>
      <c r="E1275" s="8">
        <f>vlookup(B1275,Filmes_final!$B$2:$U$1001,20,FALSE)</f>
        <v>408727</v>
      </c>
      <c r="F1275" s="5">
        <f>vlookup(B1275,Filmes_final!$B$2:$U$1001,3,FALSE)</f>
        <v>1928</v>
      </c>
      <c r="G1275" s="5" t="str">
        <f>vlookup(B1275,Filmes_final!$B$2:$U$1001,13,FALSE)</f>
        <v>Charles Chaplin</v>
      </c>
    </row>
    <row r="1276">
      <c r="A1276" s="5">
        <v>319.0</v>
      </c>
      <c r="B1276" s="5" t="s">
        <v>2115</v>
      </c>
      <c r="C1276" s="5" t="s">
        <v>2120</v>
      </c>
      <c r="D1276" s="5" t="s">
        <v>6636</v>
      </c>
      <c r="E1276" s="8">
        <f>vlookup(B1276,Filmes_final!$B$2:$U$1001,20,FALSE)</f>
        <v>408727</v>
      </c>
      <c r="F1276" s="5">
        <f>vlookup(B1276,Filmes_final!$B$2:$U$1001,3,FALSE)</f>
        <v>1928</v>
      </c>
      <c r="G1276" s="5" t="str">
        <f>vlookup(B1276,Filmes_final!$B$2:$U$1001,13,FALSE)</f>
        <v>Charles Chaplin</v>
      </c>
    </row>
    <row r="1277">
      <c r="A1277" s="5">
        <v>319.0</v>
      </c>
      <c r="B1277" s="5" t="s">
        <v>2115</v>
      </c>
      <c r="C1277" s="5" t="s">
        <v>2121</v>
      </c>
      <c r="D1277" s="5" t="s">
        <v>6637</v>
      </c>
      <c r="E1277" s="8">
        <f>vlookup(B1277,Filmes_final!$B$2:$U$1001,20,FALSE)</f>
        <v>408727</v>
      </c>
      <c r="F1277" s="5">
        <f>vlookup(B1277,Filmes_final!$B$2:$U$1001,3,FALSE)</f>
        <v>1928</v>
      </c>
      <c r="G1277" s="5" t="str">
        <f>vlookup(B1277,Filmes_final!$B$2:$U$1001,13,FALSE)</f>
        <v>Charles Chaplin</v>
      </c>
    </row>
    <row r="1278">
      <c r="A1278" s="5">
        <v>320.0</v>
      </c>
      <c r="B1278" s="5" t="s">
        <v>2122</v>
      </c>
      <c r="C1278" s="5" t="s">
        <v>2126</v>
      </c>
      <c r="D1278" s="5" t="s">
        <v>6634</v>
      </c>
      <c r="E1278" s="8">
        <f>vlookup(B1278,Filmes_final!$B$2:$U$1001,20,FALSE)</f>
        <v>7953467</v>
      </c>
      <c r="F1278" s="5">
        <f>vlookup(B1278,Filmes_final!$B$2:$U$1001,3,FALSE)</f>
        <v>1927</v>
      </c>
      <c r="G1278" s="5" t="str">
        <f>vlookup(B1278,Filmes_final!$B$2:$U$1001,13,FALSE)</f>
        <v>F.W. Murnau</v>
      </c>
    </row>
    <row r="1279">
      <c r="A1279" s="5">
        <v>320.0</v>
      </c>
      <c r="B1279" s="5" t="s">
        <v>2122</v>
      </c>
      <c r="C1279" s="5" t="s">
        <v>2127</v>
      </c>
      <c r="D1279" s="5" t="s">
        <v>6635</v>
      </c>
      <c r="E1279" s="8">
        <f>vlookup(B1279,Filmes_final!$B$2:$U$1001,20,FALSE)</f>
        <v>7953467</v>
      </c>
      <c r="F1279" s="5">
        <f>vlookup(B1279,Filmes_final!$B$2:$U$1001,3,FALSE)</f>
        <v>1927</v>
      </c>
      <c r="G1279" s="5" t="str">
        <f>vlookup(B1279,Filmes_final!$B$2:$U$1001,13,FALSE)</f>
        <v>F.W. Murnau</v>
      </c>
    </row>
    <row r="1280">
      <c r="A1280" s="5">
        <v>320.0</v>
      </c>
      <c r="B1280" s="5" t="s">
        <v>2122</v>
      </c>
      <c r="C1280" s="5" t="s">
        <v>2128</v>
      </c>
      <c r="D1280" s="5" t="s">
        <v>6636</v>
      </c>
      <c r="E1280" s="8">
        <f>vlookup(B1280,Filmes_final!$B$2:$U$1001,20,FALSE)</f>
        <v>7953467</v>
      </c>
      <c r="F1280" s="5">
        <f>vlookup(B1280,Filmes_final!$B$2:$U$1001,3,FALSE)</f>
        <v>1927</v>
      </c>
      <c r="G1280" s="5" t="str">
        <f>vlookup(B1280,Filmes_final!$B$2:$U$1001,13,FALSE)</f>
        <v>F.W. Murnau</v>
      </c>
    </row>
    <row r="1281">
      <c r="A1281" s="5">
        <v>320.0</v>
      </c>
      <c r="B1281" s="5" t="s">
        <v>2122</v>
      </c>
      <c r="C1281" s="5" t="s">
        <v>2129</v>
      </c>
      <c r="D1281" s="5" t="s">
        <v>6637</v>
      </c>
      <c r="E1281" s="8">
        <f>vlookup(B1281,Filmes_final!$B$2:$U$1001,20,FALSE)</f>
        <v>7953467</v>
      </c>
      <c r="F1281" s="5">
        <f>vlookup(B1281,Filmes_final!$B$2:$U$1001,3,FALSE)</f>
        <v>1927</v>
      </c>
      <c r="G1281" s="5" t="str">
        <f>vlookup(B1281,Filmes_final!$B$2:$U$1001,13,FALSE)</f>
        <v>F.W. Murnau</v>
      </c>
    </row>
    <row r="1282">
      <c r="A1282" s="5">
        <v>321.0</v>
      </c>
      <c r="B1282" s="5" t="s">
        <v>2130</v>
      </c>
      <c r="C1282" s="5" t="s">
        <v>1365</v>
      </c>
      <c r="D1282" s="5" t="s">
        <v>6634</v>
      </c>
      <c r="E1282" s="8">
        <f>vlookup(B1282,Filmes_final!$B$2:$U$1001,20,FALSE)</f>
        <v>14900275</v>
      </c>
      <c r="F1282" s="5">
        <f>vlookup(B1282,Filmes_final!$B$2:$U$1001,3,FALSE)</f>
        <v>1926</v>
      </c>
      <c r="G1282" s="5" t="str">
        <f>vlookup(B1282,Filmes_final!$B$2:$U$1001,13,FALSE)</f>
        <v>Clyde Bruckman</v>
      </c>
    </row>
    <row r="1283">
      <c r="A1283" s="5">
        <v>321.0</v>
      </c>
      <c r="B1283" s="5" t="s">
        <v>2130</v>
      </c>
      <c r="C1283" s="5" t="s">
        <v>1365</v>
      </c>
      <c r="D1283" s="5" t="s">
        <v>6635</v>
      </c>
      <c r="E1283" s="8">
        <f>vlookup(B1283,Filmes_final!$B$2:$U$1001,20,FALSE)</f>
        <v>14900275</v>
      </c>
      <c r="F1283" s="5">
        <f>vlookup(B1283,Filmes_final!$B$2:$U$1001,3,FALSE)</f>
        <v>1926</v>
      </c>
      <c r="G1283" s="5" t="str">
        <f>vlookup(B1283,Filmes_final!$B$2:$U$1001,13,FALSE)</f>
        <v>Clyde Bruckman</v>
      </c>
    </row>
    <row r="1284">
      <c r="A1284" s="5">
        <v>321.0</v>
      </c>
      <c r="B1284" s="5" t="s">
        <v>2130</v>
      </c>
      <c r="C1284" s="5" t="s">
        <v>2134</v>
      </c>
      <c r="D1284" s="5" t="s">
        <v>6636</v>
      </c>
      <c r="E1284" s="8">
        <f>vlookup(B1284,Filmes_final!$B$2:$U$1001,20,FALSE)</f>
        <v>14900275</v>
      </c>
      <c r="F1284" s="5">
        <f>vlookup(B1284,Filmes_final!$B$2:$U$1001,3,FALSE)</f>
        <v>1926</v>
      </c>
      <c r="G1284" s="5" t="str">
        <f>vlookup(B1284,Filmes_final!$B$2:$U$1001,13,FALSE)</f>
        <v>Clyde Bruckman</v>
      </c>
    </row>
    <row r="1285">
      <c r="A1285" s="5">
        <v>321.0</v>
      </c>
      <c r="B1285" s="5" t="s">
        <v>2130</v>
      </c>
      <c r="C1285" s="5" t="s">
        <v>2135</v>
      </c>
      <c r="D1285" s="5" t="s">
        <v>6637</v>
      </c>
      <c r="E1285" s="8">
        <f>vlookup(B1285,Filmes_final!$B$2:$U$1001,20,FALSE)</f>
        <v>14900275</v>
      </c>
      <c r="F1285" s="5">
        <f>vlookup(B1285,Filmes_final!$B$2:$U$1001,3,FALSE)</f>
        <v>1926</v>
      </c>
      <c r="G1285" s="5" t="str">
        <f>vlookup(B1285,Filmes_final!$B$2:$U$1001,13,FALSE)</f>
        <v>Clyde Bruckman</v>
      </c>
    </row>
    <row r="1286">
      <c r="A1286" s="5">
        <v>322.0</v>
      </c>
      <c r="B1286" s="5" t="s">
        <v>2136</v>
      </c>
      <c r="C1286" s="5" t="s">
        <v>2141</v>
      </c>
      <c r="D1286" s="5" t="s">
        <v>6634</v>
      </c>
      <c r="E1286" s="8">
        <f>vlookup(B1286,Filmes_final!$B$2:$U$1001,20,FALSE)</f>
        <v>117771</v>
      </c>
      <c r="F1286" s="5">
        <f>vlookup(B1286,Filmes_final!$B$2:$U$1001,3,FALSE)</f>
        <v>1920</v>
      </c>
      <c r="G1286" s="5" t="str">
        <f>vlookup(B1286,Filmes_final!$B$2:$U$1001,13,FALSE)</f>
        <v>Robert Wiene</v>
      </c>
    </row>
    <row r="1287">
      <c r="A1287" s="5">
        <v>322.0</v>
      </c>
      <c r="B1287" s="5" t="s">
        <v>2136</v>
      </c>
      <c r="C1287" s="5" t="s">
        <v>2142</v>
      </c>
      <c r="D1287" s="5" t="s">
        <v>6635</v>
      </c>
      <c r="E1287" s="8">
        <f>vlookup(B1287,Filmes_final!$B$2:$U$1001,20,FALSE)</f>
        <v>117771</v>
      </c>
      <c r="F1287" s="5">
        <f>vlookup(B1287,Filmes_final!$B$2:$U$1001,3,FALSE)</f>
        <v>1920</v>
      </c>
      <c r="G1287" s="5" t="str">
        <f>vlookup(B1287,Filmes_final!$B$2:$U$1001,13,FALSE)</f>
        <v>Robert Wiene</v>
      </c>
    </row>
    <row r="1288">
      <c r="A1288" s="5">
        <v>322.0</v>
      </c>
      <c r="B1288" s="5" t="s">
        <v>2136</v>
      </c>
      <c r="C1288" s="5" t="s">
        <v>2143</v>
      </c>
      <c r="D1288" s="5" t="s">
        <v>6636</v>
      </c>
      <c r="E1288" s="8">
        <f>vlookup(B1288,Filmes_final!$B$2:$U$1001,20,FALSE)</f>
        <v>117771</v>
      </c>
      <c r="F1288" s="5">
        <f>vlookup(B1288,Filmes_final!$B$2:$U$1001,3,FALSE)</f>
        <v>1920</v>
      </c>
      <c r="G1288" s="5" t="str">
        <f>vlookup(B1288,Filmes_final!$B$2:$U$1001,13,FALSE)</f>
        <v>Robert Wiene</v>
      </c>
    </row>
    <row r="1289">
      <c r="A1289" s="5">
        <v>322.0</v>
      </c>
      <c r="B1289" s="5" t="s">
        <v>2136</v>
      </c>
      <c r="C1289" s="5" t="s">
        <v>2144</v>
      </c>
      <c r="D1289" s="5" t="s">
        <v>6637</v>
      </c>
      <c r="E1289" s="8">
        <f>vlookup(B1289,Filmes_final!$B$2:$U$1001,20,FALSE)</f>
        <v>117771</v>
      </c>
      <c r="F1289" s="5">
        <f>vlookup(B1289,Filmes_final!$B$2:$U$1001,3,FALSE)</f>
        <v>1920</v>
      </c>
      <c r="G1289" s="5" t="str">
        <f>vlookup(B1289,Filmes_final!$B$2:$U$1001,13,FALSE)</f>
        <v>Robert Wiene</v>
      </c>
    </row>
    <row r="1290">
      <c r="A1290" s="5">
        <v>323.0</v>
      </c>
      <c r="B1290" s="5" t="s">
        <v>2145</v>
      </c>
      <c r="C1290" s="5" t="s">
        <v>659</v>
      </c>
      <c r="D1290" s="5" t="s">
        <v>6634</v>
      </c>
      <c r="E1290" s="8">
        <f>vlookup(B1290,Filmes_final!$B$2:$U$1001,20,FALSE)</f>
        <v>27190589</v>
      </c>
      <c r="F1290" s="5">
        <f>vlookup(B1290,Filmes_final!$B$2:$U$1001,3,FALSE)</f>
        <v>2018</v>
      </c>
      <c r="G1290" s="5" t="str">
        <f>vlookup(B1290,Filmes_final!$B$2:$U$1001,13,FALSE)</f>
        <v>Amit Ravindernath Sharma</v>
      </c>
    </row>
    <row r="1291">
      <c r="A1291" s="5">
        <v>323.0</v>
      </c>
      <c r="B1291" s="5" t="s">
        <v>2145</v>
      </c>
      <c r="C1291" s="5" t="s">
        <v>2148</v>
      </c>
      <c r="D1291" s="5" t="s">
        <v>6635</v>
      </c>
      <c r="E1291" s="8">
        <f>vlookup(B1291,Filmes_final!$B$2:$U$1001,20,FALSE)</f>
        <v>27190589</v>
      </c>
      <c r="F1291" s="5">
        <f>vlookup(B1291,Filmes_final!$B$2:$U$1001,3,FALSE)</f>
        <v>2018</v>
      </c>
      <c r="G1291" s="5" t="str">
        <f>vlookup(B1291,Filmes_final!$B$2:$U$1001,13,FALSE)</f>
        <v>Amit Ravindernath Sharma</v>
      </c>
    </row>
    <row r="1292">
      <c r="A1292" s="5">
        <v>323.0</v>
      </c>
      <c r="B1292" s="5" t="s">
        <v>2145</v>
      </c>
      <c r="C1292" s="5" t="s">
        <v>2149</v>
      </c>
      <c r="D1292" s="5" t="s">
        <v>6636</v>
      </c>
      <c r="E1292" s="8">
        <f>vlookup(B1292,Filmes_final!$B$2:$U$1001,20,FALSE)</f>
        <v>27190589</v>
      </c>
      <c r="F1292" s="5">
        <f>vlookup(B1292,Filmes_final!$B$2:$U$1001,3,FALSE)</f>
        <v>2018</v>
      </c>
      <c r="G1292" s="5" t="str">
        <f>vlookup(B1292,Filmes_final!$B$2:$U$1001,13,FALSE)</f>
        <v>Amit Ravindernath Sharma</v>
      </c>
    </row>
    <row r="1293">
      <c r="A1293" s="5">
        <v>323.0</v>
      </c>
      <c r="B1293" s="5" t="s">
        <v>2145</v>
      </c>
      <c r="C1293" s="5" t="s">
        <v>464</v>
      </c>
      <c r="D1293" s="5" t="s">
        <v>6637</v>
      </c>
      <c r="E1293" s="8">
        <f>vlookup(B1293,Filmes_final!$B$2:$U$1001,20,FALSE)</f>
        <v>27190589</v>
      </c>
      <c r="F1293" s="5">
        <f>vlookup(B1293,Filmes_final!$B$2:$U$1001,3,FALSE)</f>
        <v>2018</v>
      </c>
      <c r="G1293" s="5" t="str">
        <f>vlookup(B1293,Filmes_final!$B$2:$U$1001,13,FALSE)</f>
        <v>Amit Ravindernath Sharma</v>
      </c>
    </row>
    <row r="1294">
      <c r="A1294" s="5">
        <v>324.0</v>
      </c>
      <c r="B1294" s="5" t="s">
        <v>2150</v>
      </c>
      <c r="C1294" s="5" t="s">
        <v>1825</v>
      </c>
      <c r="D1294" s="5" t="s">
        <v>6634</v>
      </c>
      <c r="E1294" s="8">
        <f>vlookup(B1294,Filmes_final!$B$2:$U$1001,20,FALSE)</f>
        <v>0</v>
      </c>
      <c r="F1294" s="5">
        <f>vlookup(B1294,Filmes_final!$B$2:$U$1001,3,FALSE)</f>
        <v>2019</v>
      </c>
      <c r="G1294" s="5" t="str">
        <f>vlookup(B1294,Filmes_final!$B$2:$U$1001,13,FALSE)</f>
        <v>Ericson Core</v>
      </c>
    </row>
    <row r="1295">
      <c r="A1295" s="5">
        <v>324.0</v>
      </c>
      <c r="B1295" s="5" t="s">
        <v>2150</v>
      </c>
      <c r="C1295" s="5" t="s">
        <v>2153</v>
      </c>
      <c r="D1295" s="5" t="s">
        <v>6635</v>
      </c>
      <c r="E1295" s="8">
        <f>vlookup(B1295,Filmes_final!$B$2:$U$1001,20,FALSE)</f>
        <v>0</v>
      </c>
      <c r="F1295" s="5">
        <f>vlookup(B1295,Filmes_final!$B$2:$U$1001,3,FALSE)</f>
        <v>2019</v>
      </c>
      <c r="G1295" s="5" t="str">
        <f>vlookup(B1295,Filmes_final!$B$2:$U$1001,13,FALSE)</f>
        <v>Ericson Core</v>
      </c>
    </row>
    <row r="1296">
      <c r="A1296" s="5">
        <v>324.0</v>
      </c>
      <c r="B1296" s="5" t="s">
        <v>2150</v>
      </c>
      <c r="C1296" s="5" t="s">
        <v>2154</v>
      </c>
      <c r="D1296" s="5" t="s">
        <v>6636</v>
      </c>
      <c r="E1296" s="8">
        <f>vlookup(B1296,Filmes_final!$B$2:$U$1001,20,FALSE)</f>
        <v>0</v>
      </c>
      <c r="F1296" s="5">
        <f>vlookup(B1296,Filmes_final!$B$2:$U$1001,3,FALSE)</f>
        <v>2019</v>
      </c>
      <c r="G1296" s="5" t="str">
        <f>vlookup(B1296,Filmes_final!$B$2:$U$1001,13,FALSE)</f>
        <v>Ericson Core</v>
      </c>
    </row>
    <row r="1297">
      <c r="A1297" s="5">
        <v>324.0</v>
      </c>
      <c r="B1297" s="5" t="s">
        <v>2150</v>
      </c>
      <c r="C1297" s="5" t="s">
        <v>2155</v>
      </c>
      <c r="D1297" s="5" t="s">
        <v>6637</v>
      </c>
      <c r="E1297" s="8">
        <f>vlookup(B1297,Filmes_final!$B$2:$U$1001,20,FALSE)</f>
        <v>0</v>
      </c>
      <c r="F1297" s="5">
        <f>vlookup(B1297,Filmes_final!$B$2:$U$1001,3,FALSE)</f>
        <v>2019</v>
      </c>
      <c r="G1297" s="5" t="str">
        <f>vlookup(B1297,Filmes_final!$B$2:$U$1001,13,FALSE)</f>
        <v>Ericson Core</v>
      </c>
    </row>
    <row r="1298">
      <c r="A1298" s="5">
        <v>325.0</v>
      </c>
      <c r="B1298" s="5" t="s">
        <v>2156</v>
      </c>
      <c r="C1298" s="5" t="s">
        <v>1156</v>
      </c>
      <c r="D1298" s="5" t="s">
        <v>6634</v>
      </c>
      <c r="E1298" s="8">
        <f>vlookup(B1298,Filmes_final!$B$2:$U$1001,20,FALSE)</f>
        <v>10152073</v>
      </c>
      <c r="F1298" s="5">
        <f>vlookup(B1298,Filmes_final!$B$2:$U$1001,3,FALSE)</f>
        <v>2016</v>
      </c>
      <c r="G1298" s="5" t="str">
        <f>vlookup(B1298,Filmes_final!$B$2:$U$1001,13,FALSE)</f>
        <v>Raja Menon</v>
      </c>
    </row>
    <row r="1299">
      <c r="A1299" s="5">
        <v>325.0</v>
      </c>
      <c r="B1299" s="5" t="s">
        <v>2156</v>
      </c>
      <c r="C1299" s="5" t="s">
        <v>2159</v>
      </c>
      <c r="D1299" s="5" t="s">
        <v>6635</v>
      </c>
      <c r="E1299" s="8">
        <f>vlookup(B1299,Filmes_final!$B$2:$U$1001,20,FALSE)</f>
        <v>10152073</v>
      </c>
      <c r="F1299" s="5">
        <f>vlookup(B1299,Filmes_final!$B$2:$U$1001,3,FALSE)</f>
        <v>2016</v>
      </c>
      <c r="G1299" s="5" t="str">
        <f>vlookup(B1299,Filmes_final!$B$2:$U$1001,13,FALSE)</f>
        <v>Raja Menon</v>
      </c>
    </row>
    <row r="1300">
      <c r="A1300" s="5">
        <v>325.0</v>
      </c>
      <c r="B1300" s="5" t="s">
        <v>2156</v>
      </c>
      <c r="C1300" s="5" t="s">
        <v>2160</v>
      </c>
      <c r="D1300" s="5" t="s">
        <v>6636</v>
      </c>
      <c r="E1300" s="8">
        <f>vlookup(B1300,Filmes_final!$B$2:$U$1001,20,FALSE)</f>
        <v>10152073</v>
      </c>
      <c r="F1300" s="5">
        <f>vlookup(B1300,Filmes_final!$B$2:$U$1001,3,FALSE)</f>
        <v>2016</v>
      </c>
      <c r="G1300" s="5" t="str">
        <f>vlookup(B1300,Filmes_final!$B$2:$U$1001,13,FALSE)</f>
        <v>Raja Menon</v>
      </c>
    </row>
    <row r="1301">
      <c r="A1301" s="5">
        <v>325.0</v>
      </c>
      <c r="B1301" s="5" t="s">
        <v>2156</v>
      </c>
      <c r="C1301" s="5" t="s">
        <v>2161</v>
      </c>
      <c r="D1301" s="5" t="s">
        <v>6637</v>
      </c>
      <c r="E1301" s="8">
        <f>vlookup(B1301,Filmes_final!$B$2:$U$1001,20,FALSE)</f>
        <v>10152073</v>
      </c>
      <c r="F1301" s="5">
        <f>vlookup(B1301,Filmes_final!$B$2:$U$1001,3,FALSE)</f>
        <v>2016</v>
      </c>
      <c r="G1301" s="5" t="str">
        <f>vlookup(B1301,Filmes_final!$B$2:$U$1001,13,FALSE)</f>
        <v>Raja Menon</v>
      </c>
    </row>
    <row r="1302">
      <c r="A1302" s="5">
        <v>326.0</v>
      </c>
      <c r="B1302" s="5" t="s">
        <v>2162</v>
      </c>
      <c r="C1302" s="5" t="s">
        <v>1186</v>
      </c>
      <c r="D1302" s="5" t="s">
        <v>6634</v>
      </c>
      <c r="E1302" s="8">
        <f>vlookup(B1302,Filmes_final!$B$2:$U$1001,20,FALSE)</f>
        <v>9027060</v>
      </c>
      <c r="F1302" s="5">
        <f>vlookup(B1302,Filmes_final!$B$2:$U$1001,3,FALSE)</f>
        <v>2015</v>
      </c>
      <c r="G1302" s="5" t="str">
        <f>vlookup(B1302,Filmes_final!$B$2:$U$1001,13,FALSE)</f>
        <v>Kabir Khan</v>
      </c>
    </row>
    <row r="1303">
      <c r="A1303" s="5">
        <v>326.0</v>
      </c>
      <c r="B1303" s="5" t="s">
        <v>2162</v>
      </c>
      <c r="C1303" s="5" t="s">
        <v>2165</v>
      </c>
      <c r="D1303" s="5" t="s">
        <v>6635</v>
      </c>
      <c r="E1303" s="8">
        <f>vlookup(B1303,Filmes_final!$B$2:$U$1001,20,FALSE)</f>
        <v>9027060</v>
      </c>
      <c r="F1303" s="5">
        <f>vlookup(B1303,Filmes_final!$B$2:$U$1001,3,FALSE)</f>
        <v>2015</v>
      </c>
      <c r="G1303" s="5" t="str">
        <f>vlookup(B1303,Filmes_final!$B$2:$U$1001,13,FALSE)</f>
        <v>Kabir Khan</v>
      </c>
    </row>
    <row r="1304">
      <c r="A1304" s="5">
        <v>326.0</v>
      </c>
      <c r="B1304" s="5" t="s">
        <v>2162</v>
      </c>
      <c r="C1304" s="5" t="s">
        <v>1034</v>
      </c>
      <c r="D1304" s="5" t="s">
        <v>6636</v>
      </c>
      <c r="E1304" s="8">
        <f>vlookup(B1304,Filmes_final!$B$2:$U$1001,20,FALSE)</f>
        <v>9027060</v>
      </c>
      <c r="F1304" s="5">
        <f>vlookup(B1304,Filmes_final!$B$2:$U$1001,3,FALSE)</f>
        <v>2015</v>
      </c>
      <c r="G1304" s="5" t="str">
        <f>vlookup(B1304,Filmes_final!$B$2:$U$1001,13,FALSE)</f>
        <v>Kabir Khan</v>
      </c>
    </row>
    <row r="1305">
      <c r="A1305" s="5">
        <v>326.0</v>
      </c>
      <c r="B1305" s="5" t="s">
        <v>2162</v>
      </c>
      <c r="C1305" s="5" t="s">
        <v>2166</v>
      </c>
      <c r="D1305" s="5" t="s">
        <v>6637</v>
      </c>
      <c r="E1305" s="8">
        <f>vlookup(B1305,Filmes_final!$B$2:$U$1001,20,FALSE)</f>
        <v>9027060</v>
      </c>
      <c r="F1305" s="5">
        <f>vlookup(B1305,Filmes_final!$B$2:$U$1001,3,FALSE)</f>
        <v>2015</v>
      </c>
      <c r="G1305" s="5" t="str">
        <f>vlookup(B1305,Filmes_final!$B$2:$U$1001,13,FALSE)</f>
        <v>Kabir Khan</v>
      </c>
    </row>
    <row r="1306">
      <c r="A1306" s="5">
        <v>327.0</v>
      </c>
      <c r="B1306" s="5" t="s">
        <v>2167</v>
      </c>
      <c r="C1306" s="5" t="s">
        <v>1156</v>
      </c>
      <c r="D1306" s="5" t="s">
        <v>6634</v>
      </c>
      <c r="E1306" s="8">
        <f>vlookup(B1306,Filmes_final!$B$2:$U$1001,20,FALSE)</f>
        <v>12730446</v>
      </c>
      <c r="F1306" s="5">
        <f>vlookup(B1306,Filmes_final!$B$2:$U$1001,3,FALSE)</f>
        <v>2015</v>
      </c>
      <c r="G1306" s="5" t="str">
        <f>vlookup(B1306,Filmes_final!$B$2:$U$1001,13,FALSE)</f>
        <v>Neeraj Pandey</v>
      </c>
    </row>
    <row r="1307">
      <c r="A1307" s="5">
        <v>327.0</v>
      </c>
      <c r="B1307" s="5" t="s">
        <v>2167</v>
      </c>
      <c r="C1307" s="5" t="s">
        <v>2171</v>
      </c>
      <c r="D1307" s="5" t="s">
        <v>6635</v>
      </c>
      <c r="E1307" s="8">
        <f>vlookup(B1307,Filmes_final!$B$2:$U$1001,20,FALSE)</f>
        <v>12730446</v>
      </c>
      <c r="F1307" s="5">
        <f>vlookup(B1307,Filmes_final!$B$2:$U$1001,3,FALSE)</f>
        <v>2015</v>
      </c>
      <c r="G1307" s="5" t="str">
        <f>vlookup(B1307,Filmes_final!$B$2:$U$1001,13,FALSE)</f>
        <v>Neeraj Pandey</v>
      </c>
    </row>
    <row r="1308">
      <c r="A1308" s="5">
        <v>327.0</v>
      </c>
      <c r="B1308" s="5" t="s">
        <v>2167</v>
      </c>
      <c r="C1308" s="5" t="s">
        <v>988</v>
      </c>
      <c r="D1308" s="5" t="s">
        <v>6636</v>
      </c>
      <c r="E1308" s="8">
        <f>vlookup(B1308,Filmes_final!$B$2:$U$1001,20,FALSE)</f>
        <v>12730446</v>
      </c>
      <c r="F1308" s="5">
        <f>vlookup(B1308,Filmes_final!$B$2:$U$1001,3,FALSE)</f>
        <v>2015</v>
      </c>
      <c r="G1308" s="5" t="str">
        <f>vlookup(B1308,Filmes_final!$B$2:$U$1001,13,FALSE)</f>
        <v>Neeraj Pandey</v>
      </c>
    </row>
    <row r="1309">
      <c r="A1309" s="5">
        <v>327.0</v>
      </c>
      <c r="B1309" s="5" t="s">
        <v>2167</v>
      </c>
      <c r="C1309" s="5" t="s">
        <v>1380</v>
      </c>
      <c r="D1309" s="5" t="s">
        <v>6637</v>
      </c>
      <c r="E1309" s="8">
        <f>vlookup(B1309,Filmes_final!$B$2:$U$1001,20,FALSE)</f>
        <v>12730446</v>
      </c>
      <c r="F1309" s="5">
        <f>vlookup(B1309,Filmes_final!$B$2:$U$1001,3,FALSE)</f>
        <v>2015</v>
      </c>
      <c r="G1309" s="5" t="str">
        <f>vlookup(B1309,Filmes_final!$B$2:$U$1001,13,FALSE)</f>
        <v>Neeraj Pandey</v>
      </c>
    </row>
    <row r="1310">
      <c r="A1310" s="5">
        <v>328.0</v>
      </c>
      <c r="B1310" s="5" t="s">
        <v>2172</v>
      </c>
      <c r="C1310" s="5" t="s">
        <v>2175</v>
      </c>
      <c r="D1310" s="5" t="s">
        <v>6634</v>
      </c>
      <c r="E1310" s="8">
        <f>vlookup(B1310,Filmes_final!$B$2:$U$1001,20,FALSE)</f>
        <v>164530396</v>
      </c>
      <c r="F1310" s="5">
        <f>vlookup(B1310,Filmes_final!$B$2:$U$1001,3,FALSE)</f>
        <v>2016</v>
      </c>
      <c r="G1310" s="5" t="str">
        <f>vlookup(B1310,Filmes_final!$B$2:$U$1001,13,FALSE)</f>
        <v>Damien Chazelle</v>
      </c>
    </row>
    <row r="1311">
      <c r="A1311" s="5">
        <v>328.0</v>
      </c>
      <c r="B1311" s="5" t="s">
        <v>2172</v>
      </c>
      <c r="C1311" s="5" t="s">
        <v>2176</v>
      </c>
      <c r="D1311" s="5" t="s">
        <v>6635</v>
      </c>
      <c r="E1311" s="8">
        <f>vlookup(B1311,Filmes_final!$B$2:$U$1001,20,FALSE)</f>
        <v>164530396</v>
      </c>
      <c r="F1311" s="5">
        <f>vlookup(B1311,Filmes_final!$B$2:$U$1001,3,FALSE)</f>
        <v>2016</v>
      </c>
      <c r="G1311" s="5" t="str">
        <f>vlookup(B1311,Filmes_final!$B$2:$U$1001,13,FALSE)</f>
        <v>Damien Chazelle</v>
      </c>
    </row>
    <row r="1312">
      <c r="A1312" s="5">
        <v>328.0</v>
      </c>
      <c r="B1312" s="5" t="s">
        <v>2172</v>
      </c>
      <c r="C1312" s="5" t="s">
        <v>2177</v>
      </c>
      <c r="D1312" s="5" t="s">
        <v>6636</v>
      </c>
      <c r="E1312" s="8">
        <f>vlookup(B1312,Filmes_final!$B$2:$U$1001,20,FALSE)</f>
        <v>164530396</v>
      </c>
      <c r="F1312" s="5">
        <f>vlookup(B1312,Filmes_final!$B$2:$U$1001,3,FALSE)</f>
        <v>2016</v>
      </c>
      <c r="G1312" s="5" t="str">
        <f>vlookup(B1312,Filmes_final!$B$2:$U$1001,13,FALSE)</f>
        <v>Damien Chazelle</v>
      </c>
    </row>
    <row r="1313">
      <c r="A1313" s="5">
        <v>328.0</v>
      </c>
      <c r="B1313" s="5" t="s">
        <v>2172</v>
      </c>
      <c r="C1313" s="5" t="s">
        <v>291</v>
      </c>
      <c r="D1313" s="5" t="s">
        <v>6637</v>
      </c>
      <c r="E1313" s="8">
        <f>vlookup(B1313,Filmes_final!$B$2:$U$1001,20,FALSE)</f>
        <v>164530396</v>
      </c>
      <c r="F1313" s="5">
        <f>vlookup(B1313,Filmes_final!$B$2:$U$1001,3,FALSE)</f>
        <v>2016</v>
      </c>
      <c r="G1313" s="5" t="str">
        <f>vlookup(B1313,Filmes_final!$B$2:$U$1001,13,FALSE)</f>
        <v>Damien Chazelle</v>
      </c>
    </row>
    <row r="1314">
      <c r="A1314" s="5">
        <v>329.0</v>
      </c>
      <c r="B1314" s="5" t="s">
        <v>2178</v>
      </c>
      <c r="C1314" s="5" t="s">
        <v>2181</v>
      </c>
      <c r="D1314" s="5" t="s">
        <v>6634</v>
      </c>
      <c r="E1314" s="8">
        <f>vlookup(B1314,Filmes_final!$B$2:$U$1001,20,FALSE)</f>
        <v>56337644</v>
      </c>
      <c r="F1314" s="5">
        <f>vlookup(B1314,Filmes_final!$B$2:$U$1001,3,FALSE)</f>
        <v>2016</v>
      </c>
      <c r="G1314" s="5" t="str">
        <f>vlookup(B1314,Filmes_final!$B$2:$U$1001,13,FALSE)</f>
        <v>Garth Davis</v>
      </c>
    </row>
    <row r="1315">
      <c r="A1315" s="5">
        <v>329.0</v>
      </c>
      <c r="B1315" s="5" t="s">
        <v>2178</v>
      </c>
      <c r="C1315" s="5" t="s">
        <v>2182</v>
      </c>
      <c r="D1315" s="5" t="s">
        <v>6635</v>
      </c>
      <c r="E1315" s="8">
        <f>vlookup(B1315,Filmes_final!$B$2:$U$1001,20,FALSE)</f>
        <v>56337644</v>
      </c>
      <c r="F1315" s="5">
        <f>vlookup(B1315,Filmes_final!$B$2:$U$1001,3,FALSE)</f>
        <v>2016</v>
      </c>
      <c r="G1315" s="5" t="str">
        <f>vlookup(B1315,Filmes_final!$B$2:$U$1001,13,FALSE)</f>
        <v>Garth Davis</v>
      </c>
    </row>
    <row r="1316">
      <c r="A1316" s="5">
        <v>329.0</v>
      </c>
      <c r="B1316" s="5" t="s">
        <v>2178</v>
      </c>
      <c r="C1316" s="5" t="s">
        <v>2183</v>
      </c>
      <c r="D1316" s="5" t="s">
        <v>6636</v>
      </c>
      <c r="E1316" s="8">
        <f>vlookup(B1316,Filmes_final!$B$2:$U$1001,20,FALSE)</f>
        <v>56337644</v>
      </c>
      <c r="F1316" s="5">
        <f>vlookup(B1316,Filmes_final!$B$2:$U$1001,3,FALSE)</f>
        <v>2016</v>
      </c>
      <c r="G1316" s="5" t="str">
        <f>vlookup(B1316,Filmes_final!$B$2:$U$1001,13,FALSE)</f>
        <v>Garth Davis</v>
      </c>
    </row>
    <row r="1317">
      <c r="A1317" s="5">
        <v>329.0</v>
      </c>
      <c r="B1317" s="5" t="s">
        <v>2178</v>
      </c>
      <c r="C1317" s="5" t="s">
        <v>2184</v>
      </c>
      <c r="D1317" s="5" t="s">
        <v>6637</v>
      </c>
      <c r="E1317" s="8">
        <f>vlookup(B1317,Filmes_final!$B$2:$U$1001,20,FALSE)</f>
        <v>56337644</v>
      </c>
      <c r="F1317" s="5">
        <f>vlookup(B1317,Filmes_final!$B$2:$U$1001,3,FALSE)</f>
        <v>2016</v>
      </c>
      <c r="G1317" s="5" t="str">
        <f>vlookup(B1317,Filmes_final!$B$2:$U$1001,13,FALSE)</f>
        <v>Garth Davis</v>
      </c>
    </row>
    <row r="1318">
      <c r="A1318" s="5">
        <v>330.0</v>
      </c>
      <c r="B1318" s="5" t="s">
        <v>2185</v>
      </c>
      <c r="C1318" s="5" t="s">
        <v>215</v>
      </c>
      <c r="D1318" s="5" t="s">
        <v>6634</v>
      </c>
      <c r="E1318" s="8">
        <f>vlookup(B1318,Filmes_final!$B$2:$U$1001,20,FALSE)</f>
        <v>252150174</v>
      </c>
      <c r="F1318" s="5">
        <f>vlookup(B1318,Filmes_final!$B$2:$U$1001,3,FALSE)</f>
        <v>2015</v>
      </c>
      <c r="G1318" s="5" t="str">
        <f>vlookup(B1318,Filmes_final!$B$2:$U$1001,13,FALSE)</f>
        <v>Ridley Scott</v>
      </c>
    </row>
    <row r="1319">
      <c r="A1319" s="5">
        <v>330.0</v>
      </c>
      <c r="B1319" s="5" t="s">
        <v>2185</v>
      </c>
      <c r="C1319" s="5" t="s">
        <v>192</v>
      </c>
      <c r="D1319" s="5" t="s">
        <v>6635</v>
      </c>
      <c r="E1319" s="8">
        <f>vlookup(B1319,Filmes_final!$B$2:$U$1001,20,FALSE)</f>
        <v>252150174</v>
      </c>
      <c r="F1319" s="5">
        <f>vlookup(B1319,Filmes_final!$B$2:$U$1001,3,FALSE)</f>
        <v>2015</v>
      </c>
      <c r="G1319" s="5" t="str">
        <f>vlookup(B1319,Filmes_final!$B$2:$U$1001,13,FALSE)</f>
        <v>Ridley Scott</v>
      </c>
    </row>
    <row r="1320">
      <c r="A1320" s="5">
        <v>330.0</v>
      </c>
      <c r="B1320" s="5" t="s">
        <v>2185</v>
      </c>
      <c r="C1320" s="5" t="s">
        <v>2187</v>
      </c>
      <c r="D1320" s="5" t="s">
        <v>6636</v>
      </c>
      <c r="E1320" s="8">
        <f>vlookup(B1320,Filmes_final!$B$2:$U$1001,20,FALSE)</f>
        <v>252150174</v>
      </c>
      <c r="F1320" s="5">
        <f>vlookup(B1320,Filmes_final!$B$2:$U$1001,3,FALSE)</f>
        <v>2015</v>
      </c>
      <c r="G1320" s="5" t="str">
        <f>vlookup(B1320,Filmes_final!$B$2:$U$1001,13,FALSE)</f>
        <v>Ridley Scott</v>
      </c>
    </row>
    <row r="1321">
      <c r="A1321" s="5">
        <v>330.0</v>
      </c>
      <c r="B1321" s="5" t="s">
        <v>2185</v>
      </c>
      <c r="C1321" s="5" t="s">
        <v>2188</v>
      </c>
      <c r="D1321" s="5" t="s">
        <v>6637</v>
      </c>
      <c r="E1321" s="8">
        <f>vlookup(B1321,Filmes_final!$B$2:$U$1001,20,FALSE)</f>
        <v>252150174</v>
      </c>
      <c r="F1321" s="5">
        <f>vlookup(B1321,Filmes_final!$B$2:$U$1001,3,FALSE)</f>
        <v>2015</v>
      </c>
      <c r="G1321" s="5" t="str">
        <f>vlookup(B1321,Filmes_final!$B$2:$U$1001,13,FALSE)</f>
        <v>Ridley Scott</v>
      </c>
    </row>
    <row r="1322">
      <c r="A1322" s="5">
        <v>331.0</v>
      </c>
      <c r="B1322" s="5" t="s">
        <v>2189</v>
      </c>
      <c r="C1322" s="5" t="s">
        <v>2192</v>
      </c>
      <c r="D1322" s="5" t="s">
        <v>6634</v>
      </c>
      <c r="E1322" s="8">
        <f>vlookup(B1322,Filmes_final!$B$2:$U$1001,20,FALSE)</f>
        <v>371597153</v>
      </c>
      <c r="F1322" s="5">
        <f>vlookup(B1322,Filmes_final!$B$2:$U$1001,3,FALSE)</f>
        <v>2016</v>
      </c>
      <c r="G1322" s="5" t="str">
        <f>vlookup(B1322,Filmes_final!$B$2:$U$1001,13,FALSE)</f>
        <v>Byron Howard</v>
      </c>
    </row>
    <row r="1323">
      <c r="A1323" s="5">
        <v>331.0</v>
      </c>
      <c r="B1323" s="5" t="s">
        <v>2189</v>
      </c>
      <c r="C1323" s="5" t="s">
        <v>2193</v>
      </c>
      <c r="D1323" s="5" t="s">
        <v>6635</v>
      </c>
      <c r="E1323" s="8">
        <f>vlookup(B1323,Filmes_final!$B$2:$U$1001,20,FALSE)</f>
        <v>371597153</v>
      </c>
      <c r="F1323" s="5">
        <f>vlookup(B1323,Filmes_final!$B$2:$U$1001,3,FALSE)</f>
        <v>2016</v>
      </c>
      <c r="G1323" s="5" t="str">
        <f>vlookup(B1323,Filmes_final!$B$2:$U$1001,13,FALSE)</f>
        <v>Byron Howard</v>
      </c>
    </row>
    <row r="1324">
      <c r="A1324" s="5">
        <v>331.0</v>
      </c>
      <c r="B1324" s="5" t="s">
        <v>2189</v>
      </c>
      <c r="C1324" s="5" t="s">
        <v>2194</v>
      </c>
      <c r="D1324" s="5" t="s">
        <v>6636</v>
      </c>
      <c r="E1324" s="8">
        <f>vlookup(B1324,Filmes_final!$B$2:$U$1001,20,FALSE)</f>
        <v>371597153</v>
      </c>
      <c r="F1324" s="5">
        <f>vlookup(B1324,Filmes_final!$B$2:$U$1001,3,FALSE)</f>
        <v>2016</v>
      </c>
      <c r="G1324" s="5" t="str">
        <f>vlookup(B1324,Filmes_final!$B$2:$U$1001,13,FALSE)</f>
        <v>Byron Howard</v>
      </c>
    </row>
    <row r="1325">
      <c r="A1325" s="5">
        <v>331.0</v>
      </c>
      <c r="B1325" s="5" t="s">
        <v>2189</v>
      </c>
      <c r="C1325" s="5" t="s">
        <v>2195</v>
      </c>
      <c r="D1325" s="5" t="s">
        <v>6637</v>
      </c>
      <c r="E1325" s="8">
        <f>vlookup(B1325,Filmes_final!$B$2:$U$1001,20,FALSE)</f>
        <v>371597153</v>
      </c>
      <c r="F1325" s="5">
        <f>vlookup(B1325,Filmes_final!$B$2:$U$1001,3,FALSE)</f>
        <v>2016</v>
      </c>
      <c r="G1325" s="5" t="str">
        <f>vlookup(B1325,Filmes_final!$B$2:$U$1001,13,FALSE)</f>
        <v>Byron Howard</v>
      </c>
    </row>
    <row r="1326">
      <c r="A1326" s="5">
        <v>332.0</v>
      </c>
      <c r="B1326" s="5" t="s">
        <v>2196</v>
      </c>
      <c r="C1326" s="5" t="s">
        <v>987</v>
      </c>
      <c r="D1326" s="5" t="s">
        <v>6634</v>
      </c>
      <c r="E1326" s="8">
        <f>vlookup(B1326,Filmes_final!$B$2:$U$1001,20,FALSE)</f>
        <v>7437555</v>
      </c>
      <c r="F1326" s="5">
        <f>vlookup(B1326,Filmes_final!$B$2:$U$1001,3,FALSE)</f>
        <v>2015</v>
      </c>
      <c r="G1326" s="5" t="str">
        <f>vlookup(B1326,Filmes_final!$B$2:$U$1001,13,FALSE)</f>
        <v>S.S. Rajamouli</v>
      </c>
    </row>
    <row r="1327">
      <c r="A1327" s="5">
        <v>332.0</v>
      </c>
      <c r="B1327" s="5" t="s">
        <v>2196</v>
      </c>
      <c r="C1327" s="5" t="s">
        <v>988</v>
      </c>
      <c r="D1327" s="5" t="s">
        <v>6635</v>
      </c>
      <c r="E1327" s="8">
        <f>vlookup(B1327,Filmes_final!$B$2:$U$1001,20,FALSE)</f>
        <v>7437555</v>
      </c>
      <c r="F1327" s="5">
        <f>vlookup(B1327,Filmes_final!$B$2:$U$1001,3,FALSE)</f>
        <v>2015</v>
      </c>
      <c r="G1327" s="5" t="str">
        <f>vlookup(B1327,Filmes_final!$B$2:$U$1001,13,FALSE)</f>
        <v>S.S. Rajamouli</v>
      </c>
    </row>
    <row r="1328">
      <c r="A1328" s="5">
        <v>332.0</v>
      </c>
      <c r="B1328" s="5" t="s">
        <v>2196</v>
      </c>
      <c r="C1328" s="5" t="s">
        <v>2198</v>
      </c>
      <c r="D1328" s="5" t="s">
        <v>6636</v>
      </c>
      <c r="E1328" s="8">
        <f>vlookup(B1328,Filmes_final!$B$2:$U$1001,20,FALSE)</f>
        <v>7437555</v>
      </c>
      <c r="F1328" s="5">
        <f>vlookup(B1328,Filmes_final!$B$2:$U$1001,3,FALSE)</f>
        <v>2015</v>
      </c>
      <c r="G1328" s="5" t="str">
        <f>vlookup(B1328,Filmes_final!$B$2:$U$1001,13,FALSE)</f>
        <v>S.S. Rajamouli</v>
      </c>
    </row>
    <row r="1329">
      <c r="A1329" s="5">
        <v>332.0</v>
      </c>
      <c r="B1329" s="5" t="s">
        <v>2196</v>
      </c>
      <c r="C1329" s="5" t="s">
        <v>2199</v>
      </c>
      <c r="D1329" s="5" t="s">
        <v>6637</v>
      </c>
      <c r="E1329" s="8">
        <f>vlookup(B1329,Filmes_final!$B$2:$U$1001,20,FALSE)</f>
        <v>7437555</v>
      </c>
      <c r="F1329" s="5">
        <f>vlookup(B1329,Filmes_final!$B$2:$U$1001,3,FALSE)</f>
        <v>2015</v>
      </c>
      <c r="G1329" s="5" t="str">
        <f>vlookup(B1329,Filmes_final!$B$2:$U$1001,13,FALSE)</f>
        <v>S.S. Rajamouli</v>
      </c>
    </row>
    <row r="1330">
      <c r="A1330" s="5">
        <v>333.0</v>
      </c>
      <c r="B1330" s="5" t="s">
        <v>2200</v>
      </c>
      <c r="C1330" s="5" t="s">
        <v>2202</v>
      </c>
      <c r="D1330" s="5" t="s">
        <v>6634</v>
      </c>
      <c r="E1330" s="8">
        <f>vlookup(B1330,Filmes_final!$B$2:$U$1001,20,FALSE)</f>
        <v>1688188</v>
      </c>
      <c r="F1330" s="5">
        <f>vlookup(B1330,Filmes_final!$B$2:$U$1001,3,FALSE)</f>
        <v>2013</v>
      </c>
      <c r="G1330" s="5" t="str">
        <f>vlookup(B1330,Filmes_final!$B$2:$U$1001,13,FALSE)</f>
        <v>Isao Takahata</v>
      </c>
    </row>
    <row r="1331">
      <c r="A1331" s="5">
        <v>333.0</v>
      </c>
      <c r="B1331" s="5" t="s">
        <v>2200</v>
      </c>
      <c r="C1331" s="5" t="s">
        <v>34</v>
      </c>
      <c r="D1331" s="5" t="s">
        <v>6635</v>
      </c>
      <c r="E1331" s="8">
        <f>vlookup(B1331,Filmes_final!$B$2:$U$1001,20,FALSE)</f>
        <v>1688188</v>
      </c>
      <c r="F1331" s="5">
        <f>vlookup(B1331,Filmes_final!$B$2:$U$1001,3,FALSE)</f>
        <v>2013</v>
      </c>
      <c r="G1331" s="5" t="str">
        <f>vlookup(B1331,Filmes_final!$B$2:$U$1001,13,FALSE)</f>
        <v>Isao Takahata</v>
      </c>
    </row>
    <row r="1332">
      <c r="A1332" s="5">
        <v>333.0</v>
      </c>
      <c r="B1332" s="5" t="s">
        <v>2200</v>
      </c>
      <c r="C1332" s="5" t="s">
        <v>2203</v>
      </c>
      <c r="D1332" s="5" t="s">
        <v>6636</v>
      </c>
      <c r="E1332" s="8">
        <f>vlookup(B1332,Filmes_final!$B$2:$U$1001,20,FALSE)</f>
        <v>1688188</v>
      </c>
      <c r="F1332" s="5">
        <f>vlookup(B1332,Filmes_final!$B$2:$U$1001,3,FALSE)</f>
        <v>2013</v>
      </c>
      <c r="G1332" s="5" t="str">
        <f>vlookup(B1332,Filmes_final!$B$2:$U$1001,13,FALSE)</f>
        <v>Isao Takahata</v>
      </c>
    </row>
    <row r="1333">
      <c r="A1333" s="5">
        <v>333.0</v>
      </c>
      <c r="B1333" s="5" t="s">
        <v>2200</v>
      </c>
      <c r="C1333" s="5" t="s">
        <v>2204</v>
      </c>
      <c r="D1333" s="5" t="s">
        <v>6637</v>
      </c>
      <c r="E1333" s="8">
        <f>vlookup(B1333,Filmes_final!$B$2:$U$1001,20,FALSE)</f>
        <v>1688188</v>
      </c>
      <c r="F1333" s="5">
        <f>vlookup(B1333,Filmes_final!$B$2:$U$1001,3,FALSE)</f>
        <v>2013</v>
      </c>
      <c r="G1333" s="5" t="str">
        <f>vlookup(B1333,Filmes_final!$B$2:$U$1001,13,FALSE)</f>
        <v>Isao Takahata</v>
      </c>
    </row>
    <row r="1334">
      <c r="A1334" s="5">
        <v>334.0</v>
      </c>
      <c r="B1334" s="5" t="s">
        <v>2205</v>
      </c>
      <c r="C1334" s="5" t="s">
        <v>1428</v>
      </c>
      <c r="D1334" s="5" t="s">
        <v>6634</v>
      </c>
      <c r="E1334" s="8">
        <f>vlookup(B1334,Filmes_final!$B$2:$U$1001,20,FALSE)</f>
        <v>140674457</v>
      </c>
      <c r="F1334" s="5">
        <f>vlookup(B1334,Filmes_final!$B$2:$U$1001,3,FALSE)</f>
        <v>2017</v>
      </c>
      <c r="G1334" s="5" t="str">
        <f>vlookup(B1334,Filmes_final!$B$2:$U$1001,13,FALSE)</f>
        <v>Stephen Chbosky</v>
      </c>
    </row>
    <row r="1335">
      <c r="A1335" s="5">
        <v>334.0</v>
      </c>
      <c r="B1335" s="5" t="s">
        <v>2205</v>
      </c>
      <c r="C1335" s="5" t="s">
        <v>2208</v>
      </c>
      <c r="D1335" s="5" t="s">
        <v>6635</v>
      </c>
      <c r="E1335" s="8">
        <f>vlookup(B1335,Filmes_final!$B$2:$U$1001,20,FALSE)</f>
        <v>140674457</v>
      </c>
      <c r="F1335" s="5">
        <f>vlookup(B1335,Filmes_final!$B$2:$U$1001,3,FALSE)</f>
        <v>2017</v>
      </c>
      <c r="G1335" s="5" t="str">
        <f>vlookup(B1335,Filmes_final!$B$2:$U$1001,13,FALSE)</f>
        <v>Stephen Chbosky</v>
      </c>
    </row>
    <row r="1336">
      <c r="A1336" s="5">
        <v>334.0</v>
      </c>
      <c r="B1336" s="5" t="s">
        <v>2205</v>
      </c>
      <c r="C1336" s="5" t="s">
        <v>2209</v>
      </c>
      <c r="D1336" s="5" t="s">
        <v>6636</v>
      </c>
      <c r="E1336" s="8">
        <f>vlookup(B1336,Filmes_final!$B$2:$U$1001,20,FALSE)</f>
        <v>140674457</v>
      </c>
      <c r="F1336" s="5">
        <f>vlookup(B1336,Filmes_final!$B$2:$U$1001,3,FALSE)</f>
        <v>2017</v>
      </c>
      <c r="G1336" s="5" t="str">
        <f>vlookup(B1336,Filmes_final!$B$2:$U$1001,13,FALSE)</f>
        <v>Stephen Chbosky</v>
      </c>
    </row>
    <row r="1337">
      <c r="A1337" s="5">
        <v>334.0</v>
      </c>
      <c r="B1337" s="5" t="s">
        <v>2205</v>
      </c>
      <c r="C1337" s="5" t="s">
        <v>2210</v>
      </c>
      <c r="D1337" s="5" t="s">
        <v>6637</v>
      </c>
      <c r="E1337" s="8">
        <f>vlookup(B1337,Filmes_final!$B$2:$U$1001,20,FALSE)</f>
        <v>140674457</v>
      </c>
      <c r="F1337" s="5">
        <f>vlookup(B1337,Filmes_final!$B$2:$U$1001,3,FALSE)</f>
        <v>2017</v>
      </c>
      <c r="G1337" s="5" t="str">
        <f>vlookup(B1337,Filmes_final!$B$2:$U$1001,13,FALSE)</f>
        <v>Stephen Chbosky</v>
      </c>
    </row>
    <row r="1338">
      <c r="A1338" s="5">
        <v>335.0</v>
      </c>
      <c r="B1338" s="5" t="s">
        <v>2211</v>
      </c>
      <c r="C1338" s="5" t="s">
        <v>2213</v>
      </c>
      <c r="D1338" s="5" t="s">
        <v>6634</v>
      </c>
      <c r="E1338" s="8">
        <f>vlookup(B1338,Filmes_final!$B$2:$U$1001,20,FALSE)</f>
        <v>5704950</v>
      </c>
      <c r="F1338" s="5">
        <f>vlookup(B1338,Filmes_final!$B$2:$U$1001,3,FALSE)</f>
        <v>2019</v>
      </c>
      <c r="G1338" s="5" t="str">
        <f>vlookup(B1338,Filmes_final!$B$2:$U$1001,13,FALSE)</f>
        <v>Zoya Akhtar</v>
      </c>
    </row>
    <row r="1339">
      <c r="A1339" s="5">
        <v>335.0</v>
      </c>
      <c r="B1339" s="5" t="s">
        <v>2211</v>
      </c>
      <c r="C1339" s="5" t="s">
        <v>2214</v>
      </c>
      <c r="D1339" s="5" t="s">
        <v>6635</v>
      </c>
      <c r="E1339" s="8">
        <f>vlookup(B1339,Filmes_final!$B$2:$U$1001,20,FALSE)</f>
        <v>5704950</v>
      </c>
      <c r="F1339" s="5">
        <f>vlookup(B1339,Filmes_final!$B$2:$U$1001,3,FALSE)</f>
        <v>2019</v>
      </c>
      <c r="G1339" s="5" t="str">
        <f>vlookup(B1339,Filmes_final!$B$2:$U$1001,13,FALSE)</f>
        <v>Zoya Akhtar</v>
      </c>
    </row>
    <row r="1340">
      <c r="A1340" s="5">
        <v>335.0</v>
      </c>
      <c r="B1340" s="5" t="s">
        <v>2211</v>
      </c>
      <c r="C1340" s="5" t="s">
        <v>2215</v>
      </c>
      <c r="D1340" s="5" t="s">
        <v>6636</v>
      </c>
      <c r="E1340" s="8">
        <f>vlookup(B1340,Filmes_final!$B$2:$U$1001,20,FALSE)</f>
        <v>5704950</v>
      </c>
      <c r="F1340" s="5">
        <f>vlookup(B1340,Filmes_final!$B$2:$U$1001,3,FALSE)</f>
        <v>2019</v>
      </c>
      <c r="G1340" s="5" t="str">
        <f>vlookup(B1340,Filmes_final!$B$2:$U$1001,13,FALSE)</f>
        <v>Zoya Akhtar</v>
      </c>
    </row>
    <row r="1341">
      <c r="A1341" s="5">
        <v>335.0</v>
      </c>
      <c r="B1341" s="5" t="s">
        <v>2211</v>
      </c>
      <c r="C1341" s="5" t="s">
        <v>2216</v>
      </c>
      <c r="D1341" s="5" t="s">
        <v>6637</v>
      </c>
      <c r="E1341" s="8">
        <f>vlookup(B1341,Filmes_final!$B$2:$U$1001,20,FALSE)</f>
        <v>5704950</v>
      </c>
      <c r="F1341" s="5">
        <f>vlookup(B1341,Filmes_final!$B$2:$U$1001,3,FALSE)</f>
        <v>2019</v>
      </c>
      <c r="G1341" s="5" t="str">
        <f>vlookup(B1341,Filmes_final!$B$2:$U$1001,13,FALSE)</f>
        <v>Zoya Akhtar</v>
      </c>
    </row>
    <row r="1342">
      <c r="A1342" s="5">
        <v>336.0</v>
      </c>
      <c r="B1342" s="5" t="s">
        <v>2217</v>
      </c>
      <c r="C1342" s="5" t="s">
        <v>1156</v>
      </c>
      <c r="D1342" s="5" t="s">
        <v>6634</v>
      </c>
      <c r="E1342" s="8">
        <f>vlookup(B1342,Filmes_final!$B$2:$U$1001,20,FALSE)</f>
        <v>1209162</v>
      </c>
      <c r="F1342" s="5">
        <f>vlookup(B1342,Filmes_final!$B$2:$U$1001,3,FALSE)</f>
        <v>2013</v>
      </c>
      <c r="G1342" s="5" t="str">
        <f>vlookup(B1342,Filmes_final!$B$2:$U$1001,13,FALSE)</f>
        <v>Neeraj Pandey</v>
      </c>
    </row>
    <row r="1343">
      <c r="A1343" s="5">
        <v>336.0</v>
      </c>
      <c r="B1343" s="5" t="s">
        <v>2217</v>
      </c>
      <c r="C1343" s="5" t="s">
        <v>1555</v>
      </c>
      <c r="D1343" s="5" t="s">
        <v>6635</v>
      </c>
      <c r="E1343" s="8">
        <f>vlookup(B1343,Filmes_final!$B$2:$U$1001,20,FALSE)</f>
        <v>1209162</v>
      </c>
      <c r="F1343" s="5">
        <f>vlookup(B1343,Filmes_final!$B$2:$U$1001,3,FALSE)</f>
        <v>2013</v>
      </c>
      <c r="G1343" s="5" t="str">
        <f>vlookup(B1343,Filmes_final!$B$2:$U$1001,13,FALSE)</f>
        <v>Neeraj Pandey</v>
      </c>
    </row>
    <row r="1344">
      <c r="A1344" s="5">
        <v>336.0</v>
      </c>
      <c r="B1344" s="5" t="s">
        <v>2217</v>
      </c>
      <c r="C1344" s="5" t="s">
        <v>1032</v>
      </c>
      <c r="D1344" s="5" t="s">
        <v>6636</v>
      </c>
      <c r="E1344" s="8">
        <f>vlookup(B1344,Filmes_final!$B$2:$U$1001,20,FALSE)</f>
        <v>1209162</v>
      </c>
      <c r="F1344" s="5">
        <f>vlookup(B1344,Filmes_final!$B$2:$U$1001,3,FALSE)</f>
        <v>2013</v>
      </c>
      <c r="G1344" s="5" t="str">
        <f>vlookup(B1344,Filmes_final!$B$2:$U$1001,13,FALSE)</f>
        <v>Neeraj Pandey</v>
      </c>
    </row>
    <row r="1345">
      <c r="A1345" s="5">
        <v>336.0</v>
      </c>
      <c r="B1345" s="5" t="s">
        <v>2217</v>
      </c>
      <c r="C1345" s="5" t="s">
        <v>1557</v>
      </c>
      <c r="D1345" s="5" t="s">
        <v>6637</v>
      </c>
      <c r="E1345" s="8">
        <f>vlookup(B1345,Filmes_final!$B$2:$U$1001,20,FALSE)</f>
        <v>1209162</v>
      </c>
      <c r="F1345" s="5">
        <f>vlookup(B1345,Filmes_final!$B$2:$U$1001,3,FALSE)</f>
        <v>2013</v>
      </c>
      <c r="G1345" s="5" t="str">
        <f>vlookup(B1345,Filmes_final!$B$2:$U$1001,13,FALSE)</f>
        <v>Neeraj Pandey</v>
      </c>
    </row>
    <row r="1346">
      <c r="A1346" s="5">
        <v>337.0</v>
      </c>
      <c r="B1346" s="5" t="s">
        <v>2219</v>
      </c>
      <c r="C1346" s="5" t="s">
        <v>1427</v>
      </c>
      <c r="D1346" s="5" t="s">
        <v>6634</v>
      </c>
      <c r="E1346" s="8">
        <f>vlookup(B1346,Filmes_final!$B$2:$U$1001,20,FALSE)</f>
        <v>1131916</v>
      </c>
      <c r="F1346" s="5">
        <f>vlookup(B1346,Filmes_final!$B$2:$U$1001,3,FALSE)</f>
        <v>2013</v>
      </c>
      <c r="G1346" s="5" t="str">
        <f>vlookup(B1346,Filmes_final!$B$2:$U$1001,13,FALSE)</f>
        <v>Destin Daniel Cretton</v>
      </c>
    </row>
    <row r="1347">
      <c r="A1347" s="5">
        <v>337.0</v>
      </c>
      <c r="B1347" s="5" t="s">
        <v>2219</v>
      </c>
      <c r="C1347" s="5" t="s">
        <v>2222</v>
      </c>
      <c r="D1347" s="5" t="s">
        <v>6635</v>
      </c>
      <c r="E1347" s="8">
        <f>vlookup(B1347,Filmes_final!$B$2:$U$1001,20,FALSE)</f>
        <v>1131916</v>
      </c>
      <c r="F1347" s="5">
        <f>vlookup(B1347,Filmes_final!$B$2:$U$1001,3,FALSE)</f>
        <v>2013</v>
      </c>
      <c r="G1347" s="5" t="str">
        <f>vlookup(B1347,Filmes_final!$B$2:$U$1001,13,FALSE)</f>
        <v>Destin Daniel Cretton</v>
      </c>
    </row>
    <row r="1348">
      <c r="A1348" s="5">
        <v>337.0</v>
      </c>
      <c r="B1348" s="5" t="s">
        <v>2219</v>
      </c>
      <c r="C1348" s="5" t="s">
        <v>2223</v>
      </c>
      <c r="D1348" s="5" t="s">
        <v>6636</v>
      </c>
      <c r="E1348" s="8">
        <f>vlookup(B1348,Filmes_final!$B$2:$U$1001,20,FALSE)</f>
        <v>1131916</v>
      </c>
      <c r="F1348" s="5">
        <f>vlookup(B1348,Filmes_final!$B$2:$U$1001,3,FALSE)</f>
        <v>2013</v>
      </c>
      <c r="G1348" s="5" t="str">
        <f>vlookup(B1348,Filmes_final!$B$2:$U$1001,13,FALSE)</f>
        <v>Destin Daniel Cretton</v>
      </c>
    </row>
    <row r="1349">
      <c r="A1349" s="5">
        <v>337.0</v>
      </c>
      <c r="B1349" s="5" t="s">
        <v>2219</v>
      </c>
      <c r="C1349" s="5" t="s">
        <v>2224</v>
      </c>
      <c r="D1349" s="5" t="s">
        <v>6637</v>
      </c>
      <c r="E1349" s="8">
        <f>vlookup(B1349,Filmes_final!$B$2:$U$1001,20,FALSE)</f>
        <v>1131916</v>
      </c>
      <c r="F1349" s="5">
        <f>vlookup(B1349,Filmes_final!$B$2:$U$1001,3,FALSE)</f>
        <v>2013</v>
      </c>
      <c r="G1349" s="5" t="str">
        <f>vlookup(B1349,Filmes_final!$B$2:$U$1001,13,FALSE)</f>
        <v>Destin Daniel Cretton</v>
      </c>
    </row>
    <row r="1350">
      <c r="A1350" s="5">
        <v>338.0</v>
      </c>
      <c r="B1350" s="5" t="s">
        <v>2225</v>
      </c>
      <c r="C1350" s="5" t="s">
        <v>2228</v>
      </c>
      <c r="D1350" s="5" t="s">
        <v>6634</v>
      </c>
      <c r="E1350" s="8">
        <f>vlookup(B1350,Filmes_final!$B$2:$U$1001,20,FALSE)</f>
        <v>2895830</v>
      </c>
      <c r="F1350" s="5">
        <f>vlookup(B1350,Filmes_final!$B$2:$U$1001,3,FALSE)</f>
        <v>2014</v>
      </c>
      <c r="G1350" s="5" t="str">
        <f>vlookup(B1350,Filmes_final!$B$2:$U$1001,13,FALSE)</f>
        <v>Gareth Evans</v>
      </c>
    </row>
    <row r="1351">
      <c r="A1351" s="5">
        <v>338.0</v>
      </c>
      <c r="B1351" s="5" t="s">
        <v>2225</v>
      </c>
      <c r="C1351" s="5" t="s">
        <v>2229</v>
      </c>
      <c r="D1351" s="5" t="s">
        <v>6635</v>
      </c>
      <c r="E1351" s="8">
        <f>vlookup(B1351,Filmes_final!$B$2:$U$1001,20,FALSE)</f>
        <v>2895830</v>
      </c>
      <c r="F1351" s="5">
        <f>vlookup(B1351,Filmes_final!$B$2:$U$1001,3,FALSE)</f>
        <v>2014</v>
      </c>
      <c r="G1351" s="5" t="str">
        <f>vlookup(B1351,Filmes_final!$B$2:$U$1001,13,FALSE)</f>
        <v>Gareth Evans</v>
      </c>
    </row>
    <row r="1352">
      <c r="A1352" s="5">
        <v>338.0</v>
      </c>
      <c r="B1352" s="5" t="s">
        <v>2225</v>
      </c>
      <c r="C1352" s="5" t="s">
        <v>2230</v>
      </c>
      <c r="D1352" s="5" t="s">
        <v>6636</v>
      </c>
      <c r="E1352" s="8">
        <f>vlookup(B1352,Filmes_final!$B$2:$U$1001,20,FALSE)</f>
        <v>2895830</v>
      </c>
      <c r="F1352" s="5">
        <f>vlookup(B1352,Filmes_final!$B$2:$U$1001,3,FALSE)</f>
        <v>2014</v>
      </c>
      <c r="G1352" s="5" t="str">
        <f>vlookup(B1352,Filmes_final!$B$2:$U$1001,13,FALSE)</f>
        <v>Gareth Evans</v>
      </c>
    </row>
    <row r="1353">
      <c r="A1353" s="5">
        <v>338.0</v>
      </c>
      <c r="B1353" s="5" t="s">
        <v>2225</v>
      </c>
      <c r="C1353" s="5" t="s">
        <v>2231</v>
      </c>
      <c r="D1353" s="5" t="s">
        <v>6637</v>
      </c>
      <c r="E1353" s="8">
        <f>vlookup(B1353,Filmes_final!$B$2:$U$1001,20,FALSE)</f>
        <v>2895830</v>
      </c>
      <c r="F1353" s="5">
        <f>vlookup(B1353,Filmes_final!$B$2:$U$1001,3,FALSE)</f>
        <v>2014</v>
      </c>
      <c r="G1353" s="5" t="str">
        <f>vlookup(B1353,Filmes_final!$B$2:$U$1001,13,FALSE)</f>
        <v>Gareth Evans</v>
      </c>
    </row>
    <row r="1354">
      <c r="A1354" s="5">
        <v>339.0</v>
      </c>
      <c r="B1354" s="5" t="s">
        <v>2232</v>
      </c>
      <c r="C1354" s="5" t="s">
        <v>2236</v>
      </c>
      <c r="D1354" s="5" t="s">
        <v>6634</v>
      </c>
      <c r="E1354" s="8">
        <f>vlookup(B1354,Filmes_final!$B$2:$U$1001,20,FALSE)</f>
        <v>100496689</v>
      </c>
      <c r="F1354" s="5">
        <f>vlookup(B1354,Filmes_final!$B$2:$U$1001,3,FALSE)</f>
        <v>2014</v>
      </c>
      <c r="G1354" s="5" t="str">
        <f>vlookup(B1354,Filmes_final!$B$2:$U$1001,13,FALSE)</f>
        <v>Morten Tyldum</v>
      </c>
    </row>
    <row r="1355">
      <c r="A1355" s="5">
        <v>339.0</v>
      </c>
      <c r="B1355" s="5" t="s">
        <v>2232</v>
      </c>
      <c r="C1355" s="5" t="s">
        <v>2237</v>
      </c>
      <c r="D1355" s="5" t="s">
        <v>6635</v>
      </c>
      <c r="E1355" s="8">
        <f>vlookup(B1355,Filmes_final!$B$2:$U$1001,20,FALSE)</f>
        <v>100496689</v>
      </c>
      <c r="F1355" s="5">
        <f>vlookup(B1355,Filmes_final!$B$2:$U$1001,3,FALSE)</f>
        <v>2014</v>
      </c>
      <c r="G1355" s="5" t="str">
        <f>vlookup(B1355,Filmes_final!$B$2:$U$1001,13,FALSE)</f>
        <v>Morten Tyldum</v>
      </c>
    </row>
    <row r="1356">
      <c r="A1356" s="5">
        <v>339.0</v>
      </c>
      <c r="B1356" s="5" t="s">
        <v>2232</v>
      </c>
      <c r="C1356" s="5" t="s">
        <v>2238</v>
      </c>
      <c r="D1356" s="5" t="s">
        <v>6636</v>
      </c>
      <c r="E1356" s="8">
        <f>vlookup(B1356,Filmes_final!$B$2:$U$1001,20,FALSE)</f>
        <v>100496689</v>
      </c>
      <c r="F1356" s="5">
        <f>vlookup(B1356,Filmes_final!$B$2:$U$1001,3,FALSE)</f>
        <v>2014</v>
      </c>
      <c r="G1356" s="5" t="str">
        <f>vlookup(B1356,Filmes_final!$B$2:$U$1001,13,FALSE)</f>
        <v>Morten Tyldum</v>
      </c>
    </row>
    <row r="1357">
      <c r="A1357" s="5">
        <v>339.0</v>
      </c>
      <c r="B1357" s="5" t="s">
        <v>2232</v>
      </c>
      <c r="C1357" s="5" t="s">
        <v>2239</v>
      </c>
      <c r="D1357" s="5" t="s">
        <v>6637</v>
      </c>
      <c r="E1357" s="8">
        <f>vlookup(B1357,Filmes_final!$B$2:$U$1001,20,FALSE)</f>
        <v>100496689</v>
      </c>
      <c r="F1357" s="5">
        <f>vlookup(B1357,Filmes_final!$B$2:$U$1001,3,FALSE)</f>
        <v>2014</v>
      </c>
      <c r="G1357" s="5" t="str">
        <f>vlookup(B1357,Filmes_final!$B$2:$U$1001,13,FALSE)</f>
        <v>Morten Tyldum</v>
      </c>
    </row>
    <row r="1358">
      <c r="A1358" s="5">
        <v>340.0</v>
      </c>
      <c r="B1358" s="5" t="s">
        <v>2240</v>
      </c>
      <c r="C1358" s="5" t="s">
        <v>2243</v>
      </c>
      <c r="D1358" s="5" t="s">
        <v>6634</v>
      </c>
      <c r="E1358" s="8">
        <f>vlookup(B1358,Filmes_final!$B$2:$U$1001,20,FALSE)</f>
        <v>367439169</v>
      </c>
      <c r="F1358" s="5">
        <f>vlookup(B1358,Filmes_final!$B$2:$U$1001,3,FALSE)</f>
        <v>2014</v>
      </c>
      <c r="G1358" s="5" t="str">
        <f>vlookup(B1358,Filmes_final!$B$2:$U$1001,13,FALSE)</f>
        <v>James Gunn</v>
      </c>
    </row>
    <row r="1359">
      <c r="A1359" s="5">
        <v>340.0</v>
      </c>
      <c r="B1359" s="5" t="s">
        <v>2240</v>
      </c>
      <c r="C1359" s="5" t="s">
        <v>2244</v>
      </c>
      <c r="D1359" s="5" t="s">
        <v>6635</v>
      </c>
      <c r="E1359" s="8">
        <f>vlookup(B1359,Filmes_final!$B$2:$U$1001,20,FALSE)</f>
        <v>367439169</v>
      </c>
      <c r="F1359" s="5">
        <f>vlookup(B1359,Filmes_final!$B$2:$U$1001,3,FALSE)</f>
        <v>2014</v>
      </c>
      <c r="G1359" s="5" t="str">
        <f>vlookup(B1359,Filmes_final!$B$2:$U$1001,13,FALSE)</f>
        <v>James Gunn</v>
      </c>
    </row>
    <row r="1360">
      <c r="A1360" s="5">
        <v>340.0</v>
      </c>
      <c r="B1360" s="5" t="s">
        <v>2240</v>
      </c>
      <c r="C1360" s="5" t="s">
        <v>2245</v>
      </c>
      <c r="D1360" s="5" t="s">
        <v>6636</v>
      </c>
      <c r="E1360" s="8">
        <f>vlookup(B1360,Filmes_final!$B$2:$U$1001,20,FALSE)</f>
        <v>367439169</v>
      </c>
      <c r="F1360" s="5">
        <f>vlookup(B1360,Filmes_final!$B$2:$U$1001,3,FALSE)</f>
        <v>2014</v>
      </c>
      <c r="G1360" s="5" t="str">
        <f>vlookup(B1360,Filmes_final!$B$2:$U$1001,13,FALSE)</f>
        <v>James Gunn</v>
      </c>
    </row>
    <row r="1361">
      <c r="A1361" s="5">
        <v>340.0</v>
      </c>
      <c r="B1361" s="5" t="s">
        <v>2240</v>
      </c>
      <c r="C1361" s="5" t="s">
        <v>2246</v>
      </c>
      <c r="D1361" s="5" t="s">
        <v>6637</v>
      </c>
      <c r="E1361" s="8">
        <f>vlookup(B1361,Filmes_final!$B$2:$U$1001,20,FALSE)</f>
        <v>367439169</v>
      </c>
      <c r="F1361" s="5">
        <f>vlookup(B1361,Filmes_final!$B$2:$U$1001,3,FALSE)</f>
        <v>2014</v>
      </c>
      <c r="G1361" s="5" t="str">
        <f>vlookup(B1361,Filmes_final!$B$2:$U$1001,13,FALSE)</f>
        <v>James Gunn</v>
      </c>
    </row>
    <row r="1362">
      <c r="A1362" s="5">
        <v>341.0</v>
      </c>
      <c r="B1362" s="5" t="s">
        <v>2247</v>
      </c>
      <c r="C1362" s="5" t="s">
        <v>149</v>
      </c>
      <c r="D1362" s="5" t="s">
        <v>6634</v>
      </c>
      <c r="E1362" s="8">
        <f>vlookup(B1362,Filmes_final!$B$2:$U$1001,20,FALSE)</f>
        <v>97790320</v>
      </c>
      <c r="F1362" s="5">
        <f>vlookup(B1362,Filmes_final!$B$2:$U$1001,3,FALSE)</f>
        <v>2017</v>
      </c>
      <c r="G1362" s="5" t="str">
        <f>vlookup(B1362,Filmes_final!$B$2:$U$1001,13,FALSE)</f>
        <v>Denis Villeneuve</v>
      </c>
    </row>
    <row r="1363">
      <c r="A1363" s="5">
        <v>341.0</v>
      </c>
      <c r="B1363" s="5" t="s">
        <v>2247</v>
      </c>
      <c r="C1363" s="5" t="s">
        <v>2175</v>
      </c>
      <c r="D1363" s="5" t="s">
        <v>6635</v>
      </c>
      <c r="E1363" s="8">
        <f>vlookup(B1363,Filmes_final!$B$2:$U$1001,20,FALSE)</f>
        <v>97790320</v>
      </c>
      <c r="F1363" s="5">
        <f>vlookup(B1363,Filmes_final!$B$2:$U$1001,3,FALSE)</f>
        <v>2017</v>
      </c>
      <c r="G1363" s="5" t="str">
        <f>vlookup(B1363,Filmes_final!$B$2:$U$1001,13,FALSE)</f>
        <v>Denis Villeneuve</v>
      </c>
    </row>
    <row r="1364">
      <c r="A1364" s="5">
        <v>341.0</v>
      </c>
      <c r="B1364" s="5" t="s">
        <v>2247</v>
      </c>
      <c r="C1364" s="5" t="s">
        <v>2249</v>
      </c>
      <c r="D1364" s="5" t="s">
        <v>6636</v>
      </c>
      <c r="E1364" s="8">
        <f>vlookup(B1364,Filmes_final!$B$2:$U$1001,20,FALSE)</f>
        <v>97790320</v>
      </c>
      <c r="F1364" s="5">
        <f>vlookup(B1364,Filmes_final!$B$2:$U$1001,3,FALSE)</f>
        <v>2017</v>
      </c>
      <c r="G1364" s="5" t="str">
        <f>vlookup(B1364,Filmes_final!$B$2:$U$1001,13,FALSE)</f>
        <v>Denis Villeneuve</v>
      </c>
    </row>
    <row r="1365">
      <c r="A1365" s="5">
        <v>341.0</v>
      </c>
      <c r="B1365" s="5" t="s">
        <v>2247</v>
      </c>
      <c r="C1365" s="5" t="s">
        <v>2250</v>
      </c>
      <c r="D1365" s="5" t="s">
        <v>6637</v>
      </c>
      <c r="E1365" s="8">
        <f>vlookup(B1365,Filmes_final!$B$2:$U$1001,20,FALSE)</f>
        <v>97790320</v>
      </c>
      <c r="F1365" s="5">
        <f>vlookup(B1365,Filmes_final!$B$2:$U$1001,3,FALSE)</f>
        <v>2017</v>
      </c>
      <c r="G1365" s="5" t="str">
        <f>vlookup(B1365,Filmes_final!$B$2:$U$1001,13,FALSE)</f>
        <v>Denis Villeneuve</v>
      </c>
    </row>
    <row r="1366">
      <c r="A1366" s="5">
        <v>342.0</v>
      </c>
      <c r="B1366" s="5" t="s">
        <v>2251</v>
      </c>
      <c r="C1366" s="5" t="s">
        <v>282</v>
      </c>
      <c r="D1366" s="5" t="s">
        <v>6634</v>
      </c>
      <c r="E1366" s="8">
        <f>vlookup(B1366,Filmes_final!$B$2:$U$1001,20,FALSE)</f>
        <v>28642814</v>
      </c>
      <c r="F1366" s="5">
        <f>vlookup(B1366,Filmes_final!$B$2:$U$1001,3,FALSE)</f>
        <v>2013</v>
      </c>
      <c r="G1366" s="5" t="str">
        <f>vlookup(B1366,Filmes_final!$B$2:$U$1001,13,FALSE)</f>
        <v>Spike Jonze</v>
      </c>
    </row>
    <row r="1367">
      <c r="A1367" s="5">
        <v>342.0</v>
      </c>
      <c r="B1367" s="5" t="s">
        <v>2251</v>
      </c>
      <c r="C1367" s="5" t="s">
        <v>2254</v>
      </c>
      <c r="D1367" s="5" t="s">
        <v>6635</v>
      </c>
      <c r="E1367" s="8">
        <f>vlookup(B1367,Filmes_final!$B$2:$U$1001,20,FALSE)</f>
        <v>28642814</v>
      </c>
      <c r="F1367" s="5">
        <f>vlookup(B1367,Filmes_final!$B$2:$U$1001,3,FALSE)</f>
        <v>2013</v>
      </c>
      <c r="G1367" s="5" t="str">
        <f>vlookup(B1367,Filmes_final!$B$2:$U$1001,13,FALSE)</f>
        <v>Spike Jonze</v>
      </c>
    </row>
    <row r="1368">
      <c r="A1368" s="5">
        <v>342.0</v>
      </c>
      <c r="B1368" s="5" t="s">
        <v>2251</v>
      </c>
      <c r="C1368" s="5" t="s">
        <v>307</v>
      </c>
      <c r="D1368" s="5" t="s">
        <v>6636</v>
      </c>
      <c r="E1368" s="8">
        <f>vlookup(B1368,Filmes_final!$B$2:$U$1001,20,FALSE)</f>
        <v>28642814</v>
      </c>
      <c r="F1368" s="5">
        <f>vlookup(B1368,Filmes_final!$B$2:$U$1001,3,FALSE)</f>
        <v>2013</v>
      </c>
      <c r="G1368" s="5" t="str">
        <f>vlookup(B1368,Filmes_final!$B$2:$U$1001,13,FALSE)</f>
        <v>Spike Jonze</v>
      </c>
    </row>
    <row r="1369">
      <c r="A1369" s="5">
        <v>342.0</v>
      </c>
      <c r="B1369" s="5" t="s">
        <v>2251</v>
      </c>
      <c r="C1369" s="5" t="s">
        <v>2183</v>
      </c>
      <c r="D1369" s="5" t="s">
        <v>6637</v>
      </c>
      <c r="E1369" s="8">
        <f>vlookup(B1369,Filmes_final!$B$2:$U$1001,20,FALSE)</f>
        <v>28642814</v>
      </c>
      <c r="F1369" s="5">
        <f>vlookup(B1369,Filmes_final!$B$2:$U$1001,3,FALSE)</f>
        <v>2013</v>
      </c>
      <c r="G1369" s="5" t="str">
        <f>vlookup(B1369,Filmes_final!$B$2:$U$1001,13,FALSE)</f>
        <v>Spike Jonze</v>
      </c>
    </row>
    <row r="1370">
      <c r="A1370" s="5">
        <v>343.0</v>
      </c>
      <c r="B1370" s="5" t="s">
        <v>2255</v>
      </c>
      <c r="C1370" s="5" t="s">
        <v>2257</v>
      </c>
      <c r="D1370" s="5" t="s">
        <v>6634</v>
      </c>
      <c r="E1370" s="8">
        <f>vlookup(B1370,Filmes_final!$B$2:$U$1001,20,FALSE)</f>
        <v>225250471</v>
      </c>
      <c r="F1370" s="5">
        <f>vlookup(B1370,Filmes_final!$B$2:$U$1001,3,FALSE)</f>
        <v>2018</v>
      </c>
      <c r="G1370" s="5" t="str">
        <f>vlookup(B1370,Filmes_final!$B$2:$U$1001,13,FALSE)</f>
        <v>Bryan Singer</v>
      </c>
    </row>
    <row r="1371">
      <c r="A1371" s="5">
        <v>343.0</v>
      </c>
      <c r="B1371" s="5" t="s">
        <v>2255</v>
      </c>
      <c r="C1371" s="5" t="s">
        <v>2258</v>
      </c>
      <c r="D1371" s="5" t="s">
        <v>6635</v>
      </c>
      <c r="E1371" s="8">
        <f>vlookup(B1371,Filmes_final!$B$2:$U$1001,20,FALSE)</f>
        <v>225250471</v>
      </c>
      <c r="F1371" s="5">
        <f>vlookup(B1371,Filmes_final!$B$2:$U$1001,3,FALSE)</f>
        <v>2018</v>
      </c>
      <c r="G1371" s="5" t="str">
        <f>vlookup(B1371,Filmes_final!$B$2:$U$1001,13,FALSE)</f>
        <v>Bryan Singer</v>
      </c>
    </row>
    <row r="1372">
      <c r="A1372" s="5">
        <v>343.0</v>
      </c>
      <c r="B1372" s="5" t="s">
        <v>2255</v>
      </c>
      <c r="C1372" s="5" t="s">
        <v>2259</v>
      </c>
      <c r="D1372" s="5" t="s">
        <v>6636</v>
      </c>
      <c r="E1372" s="8">
        <f>vlookup(B1372,Filmes_final!$B$2:$U$1001,20,FALSE)</f>
        <v>225250471</v>
      </c>
      <c r="F1372" s="5">
        <f>vlookup(B1372,Filmes_final!$B$2:$U$1001,3,FALSE)</f>
        <v>2018</v>
      </c>
      <c r="G1372" s="5" t="str">
        <f>vlookup(B1372,Filmes_final!$B$2:$U$1001,13,FALSE)</f>
        <v>Bryan Singer</v>
      </c>
    </row>
    <row r="1373">
      <c r="A1373" s="5">
        <v>343.0</v>
      </c>
      <c r="B1373" s="5" t="s">
        <v>2255</v>
      </c>
      <c r="C1373" s="5" t="s">
        <v>2260</v>
      </c>
      <c r="D1373" s="5" t="s">
        <v>6637</v>
      </c>
      <c r="E1373" s="8">
        <f>vlookup(B1373,Filmes_final!$B$2:$U$1001,20,FALSE)</f>
        <v>225250471</v>
      </c>
      <c r="F1373" s="5">
        <f>vlookup(B1373,Filmes_final!$B$2:$U$1001,3,FALSE)</f>
        <v>2018</v>
      </c>
      <c r="G1373" s="5" t="str">
        <f>vlookup(B1373,Filmes_final!$B$2:$U$1001,13,FALSE)</f>
        <v>Bryan Singer</v>
      </c>
    </row>
    <row r="1374">
      <c r="A1374" s="5">
        <v>344.0</v>
      </c>
      <c r="B1374" s="5" t="s">
        <v>2261</v>
      </c>
      <c r="C1374" s="5" t="s">
        <v>90</v>
      </c>
      <c r="D1374" s="5" t="s">
        <v>6634</v>
      </c>
      <c r="E1374" s="8">
        <f>vlookup(B1374,Filmes_final!$B$2:$U$1001,20,FALSE)</f>
        <v>202703604</v>
      </c>
      <c r="F1374" s="5">
        <f>vlookup(B1374,Filmes_final!$B$2:$U$1001,3,FALSE)</f>
        <v>2015</v>
      </c>
      <c r="G1374" s="5" t="str">
        <f>vlookup(B1374,Filmes_final!$B$2:$U$1001,13,FALSE)</f>
        <v>Alejandro G. Iñárritu</v>
      </c>
    </row>
    <row r="1375">
      <c r="A1375" s="5">
        <v>344.0</v>
      </c>
      <c r="B1375" s="5" t="s">
        <v>2261</v>
      </c>
      <c r="C1375" s="5" t="s">
        <v>504</v>
      </c>
      <c r="D1375" s="5" t="s">
        <v>6635</v>
      </c>
      <c r="E1375" s="8">
        <f>vlookup(B1375,Filmes_final!$B$2:$U$1001,20,FALSE)</f>
        <v>202703604</v>
      </c>
      <c r="F1375" s="5">
        <f>vlookup(B1375,Filmes_final!$B$2:$U$1001,3,FALSE)</f>
        <v>2015</v>
      </c>
      <c r="G1375" s="5" t="str">
        <f>vlookup(B1375,Filmes_final!$B$2:$U$1001,13,FALSE)</f>
        <v>Alejandro G. Iñárritu</v>
      </c>
    </row>
    <row r="1376">
      <c r="A1376" s="5">
        <v>344.0</v>
      </c>
      <c r="B1376" s="5" t="s">
        <v>2261</v>
      </c>
      <c r="C1376" s="5" t="s">
        <v>2263</v>
      </c>
      <c r="D1376" s="5" t="s">
        <v>6636</v>
      </c>
      <c r="E1376" s="8">
        <f>vlookup(B1376,Filmes_final!$B$2:$U$1001,20,FALSE)</f>
        <v>202703604</v>
      </c>
      <c r="F1376" s="5">
        <f>vlookup(B1376,Filmes_final!$B$2:$U$1001,3,FALSE)</f>
        <v>2015</v>
      </c>
      <c r="G1376" s="5" t="str">
        <f>vlookup(B1376,Filmes_final!$B$2:$U$1001,13,FALSE)</f>
        <v>Alejandro G. Iñárritu</v>
      </c>
    </row>
    <row r="1377">
      <c r="A1377" s="5">
        <v>344.0</v>
      </c>
      <c r="B1377" s="5" t="s">
        <v>2261</v>
      </c>
      <c r="C1377" s="5" t="s">
        <v>2264</v>
      </c>
      <c r="D1377" s="5" t="s">
        <v>6637</v>
      </c>
      <c r="E1377" s="8">
        <f>vlookup(B1377,Filmes_final!$B$2:$U$1001,20,FALSE)</f>
        <v>202703604</v>
      </c>
      <c r="F1377" s="5">
        <f>vlookup(B1377,Filmes_final!$B$2:$U$1001,3,FALSE)</f>
        <v>2015</v>
      </c>
      <c r="G1377" s="5" t="str">
        <f>vlookup(B1377,Filmes_final!$B$2:$U$1001,13,FALSE)</f>
        <v>Alejandro G. Iñárritu</v>
      </c>
    </row>
    <row r="1378">
      <c r="A1378" s="5">
        <v>345.0</v>
      </c>
      <c r="B1378" s="5" t="s">
        <v>2265</v>
      </c>
      <c r="C1378" s="5" t="s">
        <v>2267</v>
      </c>
      <c r="D1378" s="5" t="s">
        <v>6634</v>
      </c>
      <c r="E1378" s="8">
        <f>vlookup(B1378,Filmes_final!$B$2:$U$1001,20,FALSE)</f>
        <v>20188545</v>
      </c>
      <c r="F1378" s="5">
        <f>vlookup(B1378,Filmes_final!$B$2:$U$1001,3,FALSE)</f>
        <v>2012</v>
      </c>
      <c r="G1378" s="5" t="str">
        <f>vlookup(B1378,Filmes_final!$B$2:$U$1001,13,FALSE)</f>
        <v>Stephen Chbosky</v>
      </c>
    </row>
    <row r="1379">
      <c r="A1379" s="5">
        <v>345.0</v>
      </c>
      <c r="B1379" s="5" t="s">
        <v>2265</v>
      </c>
      <c r="C1379" s="5" t="s">
        <v>1569</v>
      </c>
      <c r="D1379" s="5" t="s">
        <v>6635</v>
      </c>
      <c r="E1379" s="8">
        <f>vlookup(B1379,Filmes_final!$B$2:$U$1001,20,FALSE)</f>
        <v>20188545</v>
      </c>
      <c r="F1379" s="5">
        <f>vlookup(B1379,Filmes_final!$B$2:$U$1001,3,FALSE)</f>
        <v>2012</v>
      </c>
      <c r="G1379" s="5" t="str">
        <f>vlookup(B1379,Filmes_final!$B$2:$U$1001,13,FALSE)</f>
        <v>Stephen Chbosky</v>
      </c>
    </row>
    <row r="1380">
      <c r="A1380" s="5">
        <v>345.0</v>
      </c>
      <c r="B1380" s="5" t="s">
        <v>2265</v>
      </c>
      <c r="C1380" s="5" t="s">
        <v>2268</v>
      </c>
      <c r="D1380" s="5" t="s">
        <v>6636</v>
      </c>
      <c r="E1380" s="8">
        <f>vlookup(B1380,Filmes_final!$B$2:$U$1001,20,FALSE)</f>
        <v>20188545</v>
      </c>
      <c r="F1380" s="5">
        <f>vlookup(B1380,Filmes_final!$B$2:$U$1001,3,FALSE)</f>
        <v>2012</v>
      </c>
      <c r="G1380" s="5" t="str">
        <f>vlookup(B1380,Filmes_final!$B$2:$U$1001,13,FALSE)</f>
        <v>Stephen Chbosky</v>
      </c>
    </row>
    <row r="1381">
      <c r="A1381" s="5">
        <v>345.0</v>
      </c>
      <c r="B1381" s="5" t="s">
        <v>2265</v>
      </c>
      <c r="C1381" s="5" t="s">
        <v>2269</v>
      </c>
      <c r="D1381" s="5" t="s">
        <v>6637</v>
      </c>
      <c r="E1381" s="8">
        <f>vlookup(B1381,Filmes_final!$B$2:$U$1001,20,FALSE)</f>
        <v>20188545</v>
      </c>
      <c r="F1381" s="5">
        <f>vlookup(B1381,Filmes_final!$B$2:$U$1001,3,FALSE)</f>
        <v>2012</v>
      </c>
      <c r="G1381" s="5" t="str">
        <f>vlookup(B1381,Filmes_final!$B$2:$U$1001,13,FALSE)</f>
        <v>Stephen Chbosky</v>
      </c>
    </row>
    <row r="1382">
      <c r="A1382" s="5">
        <v>346.0</v>
      </c>
      <c r="B1382" s="5" t="s">
        <v>2270</v>
      </c>
      <c r="C1382" s="5" t="s">
        <v>2273</v>
      </c>
      <c r="D1382" s="5" t="s">
        <v>6634</v>
      </c>
      <c r="E1382" s="8">
        <f>vlookup(B1382,Filmes_final!$B$2:$U$1001,20,FALSE)</f>
        <v>119194</v>
      </c>
      <c r="F1382" s="5">
        <f>vlookup(B1382,Filmes_final!$B$2:$U$1001,3,FALSE)</f>
        <v>2010</v>
      </c>
      <c r="G1382" s="5" t="str">
        <f>vlookup(B1382,Filmes_final!$B$2:$U$1001,13,FALSE)</f>
        <v>José Padilha</v>
      </c>
    </row>
    <row r="1383">
      <c r="A1383" s="5">
        <v>346.0</v>
      </c>
      <c r="B1383" s="5" t="s">
        <v>2270</v>
      </c>
      <c r="C1383" s="5" t="s">
        <v>2274</v>
      </c>
      <c r="D1383" s="5" t="s">
        <v>6635</v>
      </c>
      <c r="E1383" s="8">
        <f>vlookup(B1383,Filmes_final!$B$2:$U$1001,20,FALSE)</f>
        <v>119194</v>
      </c>
      <c r="F1383" s="5">
        <f>vlookup(B1383,Filmes_final!$B$2:$U$1001,3,FALSE)</f>
        <v>2010</v>
      </c>
      <c r="G1383" s="5" t="str">
        <f>vlookup(B1383,Filmes_final!$B$2:$U$1001,13,FALSE)</f>
        <v>José Padilha</v>
      </c>
    </row>
    <row r="1384">
      <c r="A1384" s="5">
        <v>346.0</v>
      </c>
      <c r="B1384" s="5" t="s">
        <v>2270</v>
      </c>
      <c r="C1384" s="5" t="s">
        <v>2275</v>
      </c>
      <c r="D1384" s="5" t="s">
        <v>6636</v>
      </c>
      <c r="E1384" s="8">
        <f>vlookup(B1384,Filmes_final!$B$2:$U$1001,20,FALSE)</f>
        <v>119194</v>
      </c>
      <c r="F1384" s="5">
        <f>vlookup(B1384,Filmes_final!$B$2:$U$1001,3,FALSE)</f>
        <v>2010</v>
      </c>
      <c r="G1384" s="5" t="str">
        <f>vlookup(B1384,Filmes_final!$B$2:$U$1001,13,FALSE)</f>
        <v>José Padilha</v>
      </c>
    </row>
    <row r="1385">
      <c r="A1385" s="5">
        <v>346.0</v>
      </c>
      <c r="B1385" s="5" t="s">
        <v>2270</v>
      </c>
      <c r="C1385" s="5" t="s">
        <v>2276</v>
      </c>
      <c r="D1385" s="5" t="s">
        <v>6637</v>
      </c>
      <c r="E1385" s="8">
        <f>vlookup(B1385,Filmes_final!$B$2:$U$1001,20,FALSE)</f>
        <v>119194</v>
      </c>
      <c r="F1385" s="5">
        <f>vlookup(B1385,Filmes_final!$B$2:$U$1001,3,FALSE)</f>
        <v>2010</v>
      </c>
      <c r="G1385" s="5" t="str">
        <f>vlookup(B1385,Filmes_final!$B$2:$U$1001,13,FALSE)</f>
        <v>José Padilha</v>
      </c>
    </row>
    <row r="1386">
      <c r="A1386" s="5">
        <v>347.0</v>
      </c>
      <c r="B1386" s="5" t="s">
        <v>2277</v>
      </c>
      <c r="C1386" s="5" t="s">
        <v>645</v>
      </c>
      <c r="D1386" s="5" t="s">
        <v>6634</v>
      </c>
      <c r="E1386" s="8">
        <f>vlookup(B1386,Filmes_final!$B$2:$U$1001,20,FALSE)</f>
        <v>165241647</v>
      </c>
      <c r="F1386" s="5">
        <f>vlookup(B1386,Filmes_final!$B$2:$U$1001,3,FALSE)</f>
        <v>2010</v>
      </c>
      <c r="G1386" s="5" t="str">
        <f>vlookup(B1386,Filmes_final!$B$2:$U$1001,13,FALSE)</f>
        <v>Tom Hooper</v>
      </c>
    </row>
    <row r="1387">
      <c r="A1387" s="5">
        <v>347.0</v>
      </c>
      <c r="B1387" s="5" t="s">
        <v>2277</v>
      </c>
      <c r="C1387" s="5" t="s">
        <v>2280</v>
      </c>
      <c r="D1387" s="5" t="s">
        <v>6635</v>
      </c>
      <c r="E1387" s="8">
        <f>vlookup(B1387,Filmes_final!$B$2:$U$1001,20,FALSE)</f>
        <v>165241647</v>
      </c>
      <c r="F1387" s="5">
        <f>vlookup(B1387,Filmes_final!$B$2:$U$1001,3,FALSE)</f>
        <v>2010</v>
      </c>
      <c r="G1387" s="5" t="str">
        <f>vlookup(B1387,Filmes_final!$B$2:$U$1001,13,FALSE)</f>
        <v>Tom Hooper</v>
      </c>
    </row>
    <row r="1388">
      <c r="A1388" s="5">
        <v>347.0</v>
      </c>
      <c r="B1388" s="5" t="s">
        <v>2277</v>
      </c>
      <c r="C1388" s="5" t="s">
        <v>2281</v>
      </c>
      <c r="D1388" s="5" t="s">
        <v>6636</v>
      </c>
      <c r="E1388" s="8">
        <f>vlookup(B1388,Filmes_final!$B$2:$U$1001,20,FALSE)</f>
        <v>165241647</v>
      </c>
      <c r="F1388" s="5">
        <f>vlookup(B1388,Filmes_final!$B$2:$U$1001,3,FALSE)</f>
        <v>2010</v>
      </c>
      <c r="G1388" s="5" t="str">
        <f>vlookup(B1388,Filmes_final!$B$2:$U$1001,13,FALSE)</f>
        <v>Tom Hooper</v>
      </c>
    </row>
    <row r="1389">
      <c r="A1389" s="5">
        <v>347.0</v>
      </c>
      <c r="B1389" s="5" t="s">
        <v>2277</v>
      </c>
      <c r="C1389" s="5" t="s">
        <v>2282</v>
      </c>
      <c r="D1389" s="5" t="s">
        <v>6637</v>
      </c>
      <c r="E1389" s="8">
        <f>vlookup(B1389,Filmes_final!$B$2:$U$1001,20,FALSE)</f>
        <v>165241647</v>
      </c>
      <c r="F1389" s="5">
        <f>vlookup(B1389,Filmes_final!$B$2:$U$1001,3,FALSE)</f>
        <v>2010</v>
      </c>
      <c r="G1389" s="5" t="str">
        <f>vlookup(B1389,Filmes_final!$B$2:$U$1001,13,FALSE)</f>
        <v>Tom Hooper</v>
      </c>
    </row>
    <row r="1390">
      <c r="A1390" s="5">
        <v>348.0</v>
      </c>
      <c r="B1390" s="5" t="s">
        <v>2283</v>
      </c>
      <c r="C1390" s="5" t="s">
        <v>2176</v>
      </c>
      <c r="D1390" s="5" t="s">
        <v>6634</v>
      </c>
      <c r="E1390" s="8">
        <f>vlookup(B1390,Filmes_final!$B$2:$U$1001,20,FALSE)</f>
        <v>198797452</v>
      </c>
      <c r="F1390" s="5">
        <f>vlookup(B1390,Filmes_final!$B$2:$U$1001,3,FALSE)</f>
        <v>2011</v>
      </c>
      <c r="G1390" s="5" t="str">
        <f>vlookup(B1390,Filmes_final!$B$2:$U$1001,13,FALSE)</f>
        <v>Tate Taylor</v>
      </c>
    </row>
    <row r="1391">
      <c r="A1391" s="5">
        <v>348.0</v>
      </c>
      <c r="B1391" s="5" t="s">
        <v>2283</v>
      </c>
      <c r="C1391" s="5" t="s">
        <v>1543</v>
      </c>
      <c r="D1391" s="5" t="s">
        <v>6635</v>
      </c>
      <c r="E1391" s="8">
        <f>vlookup(B1391,Filmes_final!$B$2:$U$1001,20,FALSE)</f>
        <v>198797452</v>
      </c>
      <c r="F1391" s="5">
        <f>vlookup(B1391,Filmes_final!$B$2:$U$1001,3,FALSE)</f>
        <v>2011</v>
      </c>
      <c r="G1391" s="5" t="str">
        <f>vlookup(B1391,Filmes_final!$B$2:$U$1001,13,FALSE)</f>
        <v>Tate Taylor</v>
      </c>
    </row>
    <row r="1392">
      <c r="A1392" s="5">
        <v>348.0</v>
      </c>
      <c r="B1392" s="5" t="s">
        <v>2283</v>
      </c>
      <c r="C1392" s="5" t="s">
        <v>2286</v>
      </c>
      <c r="D1392" s="5" t="s">
        <v>6636</v>
      </c>
      <c r="E1392" s="8">
        <f>vlookup(B1392,Filmes_final!$B$2:$U$1001,20,FALSE)</f>
        <v>198797452</v>
      </c>
      <c r="F1392" s="5">
        <f>vlookup(B1392,Filmes_final!$B$2:$U$1001,3,FALSE)</f>
        <v>2011</v>
      </c>
      <c r="G1392" s="5" t="str">
        <f>vlookup(B1392,Filmes_final!$B$2:$U$1001,13,FALSE)</f>
        <v>Tate Taylor</v>
      </c>
    </row>
    <row r="1393">
      <c r="A1393" s="5">
        <v>348.0</v>
      </c>
      <c r="B1393" s="5" t="s">
        <v>2283</v>
      </c>
      <c r="C1393" s="5" t="s">
        <v>2287</v>
      </c>
      <c r="D1393" s="5" t="s">
        <v>6637</v>
      </c>
      <c r="E1393" s="8">
        <f>vlookup(B1393,Filmes_final!$B$2:$U$1001,20,FALSE)</f>
        <v>198797452</v>
      </c>
      <c r="F1393" s="5">
        <f>vlookup(B1393,Filmes_final!$B$2:$U$1001,3,FALSE)</f>
        <v>2011</v>
      </c>
      <c r="G1393" s="5" t="str">
        <f>vlookup(B1393,Filmes_final!$B$2:$U$1001,13,FALSE)</f>
        <v>Tate Taylor</v>
      </c>
    </row>
    <row r="1394">
      <c r="A1394" s="5">
        <v>349.0</v>
      </c>
      <c r="B1394" s="5" t="s">
        <v>2288</v>
      </c>
      <c r="C1394" s="5" t="s">
        <v>2291</v>
      </c>
      <c r="D1394" s="5" t="s">
        <v>6634</v>
      </c>
      <c r="E1394" s="8">
        <f>vlookup(B1394,Filmes_final!$B$2:$U$1001,20,FALSE)</f>
        <v>395337224</v>
      </c>
      <c r="F1394" s="5">
        <f>vlookup(B1394,Filmes_final!$B$2:$U$1001,3,FALSE)</f>
        <v>2016</v>
      </c>
      <c r="G1394" s="5" t="str">
        <f>vlookup(B1394,Filmes_final!$B$2:$U$1001,13,FALSE)</f>
        <v>Tim Miller</v>
      </c>
    </row>
    <row r="1395">
      <c r="A1395" s="5">
        <v>349.0</v>
      </c>
      <c r="B1395" s="5" t="s">
        <v>2288</v>
      </c>
      <c r="C1395" s="5" t="s">
        <v>2292</v>
      </c>
      <c r="D1395" s="5" t="s">
        <v>6635</v>
      </c>
      <c r="E1395" s="8">
        <f>vlookup(B1395,Filmes_final!$B$2:$U$1001,20,FALSE)</f>
        <v>395337224</v>
      </c>
      <c r="F1395" s="5">
        <f>vlookup(B1395,Filmes_final!$B$2:$U$1001,3,FALSE)</f>
        <v>2016</v>
      </c>
      <c r="G1395" s="5" t="str">
        <f>vlookup(B1395,Filmes_final!$B$2:$U$1001,13,FALSE)</f>
        <v>Tim Miller</v>
      </c>
    </row>
    <row r="1396">
      <c r="A1396" s="5">
        <v>349.0</v>
      </c>
      <c r="B1396" s="5" t="s">
        <v>2288</v>
      </c>
      <c r="C1396" s="5" t="s">
        <v>2293</v>
      </c>
      <c r="D1396" s="5" t="s">
        <v>6636</v>
      </c>
      <c r="E1396" s="8">
        <f>vlookup(B1396,Filmes_final!$B$2:$U$1001,20,FALSE)</f>
        <v>395337224</v>
      </c>
      <c r="F1396" s="5">
        <f>vlookup(B1396,Filmes_final!$B$2:$U$1001,3,FALSE)</f>
        <v>2016</v>
      </c>
      <c r="G1396" s="5" t="str">
        <f>vlookup(B1396,Filmes_final!$B$2:$U$1001,13,FALSE)</f>
        <v>Tim Miller</v>
      </c>
    </row>
    <row r="1397">
      <c r="A1397" s="5">
        <v>349.0</v>
      </c>
      <c r="B1397" s="5" t="s">
        <v>2288</v>
      </c>
      <c r="C1397" s="5" t="s">
        <v>2294</v>
      </c>
      <c r="D1397" s="5" t="s">
        <v>6637</v>
      </c>
      <c r="E1397" s="8">
        <f>vlookup(B1397,Filmes_final!$B$2:$U$1001,20,FALSE)</f>
        <v>395337224</v>
      </c>
      <c r="F1397" s="5">
        <f>vlookup(B1397,Filmes_final!$B$2:$U$1001,3,FALSE)</f>
        <v>2016</v>
      </c>
      <c r="G1397" s="5" t="str">
        <f>vlookup(B1397,Filmes_final!$B$2:$U$1001,13,FALSE)</f>
        <v>Tim Miller</v>
      </c>
    </row>
    <row r="1398">
      <c r="A1398" s="5">
        <v>350.0</v>
      </c>
      <c r="B1398" s="5" t="s">
        <v>2295</v>
      </c>
      <c r="C1398" s="5" t="s">
        <v>2298</v>
      </c>
      <c r="D1398" s="5" t="s">
        <v>6634</v>
      </c>
      <c r="E1398" s="8">
        <f>vlookup(B1398,Filmes_final!$B$2:$U$1001,20,FALSE)</f>
        <v>130318</v>
      </c>
      <c r="F1398" s="5">
        <f>vlookup(B1398,Filmes_final!$B$2:$U$1001,3,FALSE)</f>
        <v>2009</v>
      </c>
      <c r="G1398" s="5" t="str">
        <f>vlookup(B1398,Filmes_final!$B$2:$U$1001,13,FALSE)</f>
        <v>Asghar Farhadi</v>
      </c>
    </row>
    <row r="1399">
      <c r="A1399" s="5">
        <v>350.0</v>
      </c>
      <c r="B1399" s="5" t="s">
        <v>2295</v>
      </c>
      <c r="C1399" s="5" t="s">
        <v>684</v>
      </c>
      <c r="D1399" s="5" t="s">
        <v>6635</v>
      </c>
      <c r="E1399" s="8">
        <f>vlookup(B1399,Filmes_final!$B$2:$U$1001,20,FALSE)</f>
        <v>130318</v>
      </c>
      <c r="F1399" s="5">
        <f>vlookup(B1399,Filmes_final!$B$2:$U$1001,3,FALSE)</f>
        <v>2009</v>
      </c>
      <c r="G1399" s="5" t="str">
        <f>vlookup(B1399,Filmes_final!$B$2:$U$1001,13,FALSE)</f>
        <v>Asghar Farhadi</v>
      </c>
    </row>
    <row r="1400">
      <c r="A1400" s="5">
        <v>350.0</v>
      </c>
      <c r="B1400" s="5" t="s">
        <v>2295</v>
      </c>
      <c r="C1400" s="5" t="s">
        <v>2299</v>
      </c>
      <c r="D1400" s="5" t="s">
        <v>6636</v>
      </c>
      <c r="E1400" s="8">
        <f>vlookup(B1400,Filmes_final!$B$2:$U$1001,20,FALSE)</f>
        <v>130318</v>
      </c>
      <c r="F1400" s="5">
        <f>vlookup(B1400,Filmes_final!$B$2:$U$1001,3,FALSE)</f>
        <v>2009</v>
      </c>
      <c r="G1400" s="5" t="str">
        <f>vlookup(B1400,Filmes_final!$B$2:$U$1001,13,FALSE)</f>
        <v>Asghar Farhadi</v>
      </c>
    </row>
    <row r="1401">
      <c r="A1401" s="5">
        <v>350.0</v>
      </c>
      <c r="B1401" s="5" t="s">
        <v>2295</v>
      </c>
      <c r="C1401" s="5" t="s">
        <v>2300</v>
      </c>
      <c r="D1401" s="5" t="s">
        <v>6637</v>
      </c>
      <c r="E1401" s="8">
        <f>vlookup(B1401,Filmes_final!$B$2:$U$1001,20,FALSE)</f>
        <v>130318</v>
      </c>
      <c r="F1401" s="5">
        <f>vlookup(B1401,Filmes_final!$B$2:$U$1001,3,FALSE)</f>
        <v>2009</v>
      </c>
      <c r="G1401" s="5" t="str">
        <f>vlookup(B1401,Filmes_final!$B$2:$U$1001,13,FALSE)</f>
        <v>Asghar Farhadi</v>
      </c>
    </row>
    <row r="1402">
      <c r="A1402" s="5">
        <v>351.0</v>
      </c>
      <c r="B1402" s="5" t="s">
        <v>2301</v>
      </c>
      <c r="C1402" s="5" t="s">
        <v>1538</v>
      </c>
      <c r="D1402" s="5" t="s">
        <v>6634</v>
      </c>
      <c r="E1402" s="8">
        <f>vlookup(B1402,Filmes_final!$B$2:$U$1001,20,FALSE)</f>
        <v>13379</v>
      </c>
      <c r="F1402" s="5">
        <f>vlookup(B1402,Filmes_final!$B$2:$U$1001,3,FALSE)</f>
        <v>2009</v>
      </c>
      <c r="G1402" s="5" t="str">
        <f>vlookup(B1402,Filmes_final!$B$2:$U$1001,13,FALSE)</f>
        <v>Anurag Kashyap</v>
      </c>
    </row>
    <row r="1403">
      <c r="A1403" s="5">
        <v>351.0</v>
      </c>
      <c r="B1403" s="5" t="s">
        <v>2301</v>
      </c>
      <c r="C1403" s="5" t="s">
        <v>1047</v>
      </c>
      <c r="D1403" s="5" t="s">
        <v>6635</v>
      </c>
      <c r="E1403" s="8">
        <f>vlookup(B1403,Filmes_final!$B$2:$U$1001,20,FALSE)</f>
        <v>13379</v>
      </c>
      <c r="F1403" s="5">
        <f>vlookup(B1403,Filmes_final!$B$2:$U$1001,3,FALSE)</f>
        <v>2009</v>
      </c>
      <c r="G1403" s="5" t="str">
        <f>vlookup(B1403,Filmes_final!$B$2:$U$1001,13,FALSE)</f>
        <v>Anurag Kashyap</v>
      </c>
    </row>
    <row r="1404">
      <c r="A1404" s="5">
        <v>351.0</v>
      </c>
      <c r="B1404" s="5" t="s">
        <v>2301</v>
      </c>
      <c r="C1404" s="5" t="s">
        <v>2304</v>
      </c>
      <c r="D1404" s="5" t="s">
        <v>6636</v>
      </c>
      <c r="E1404" s="8">
        <f>vlookup(B1404,Filmes_final!$B$2:$U$1001,20,FALSE)</f>
        <v>13379</v>
      </c>
      <c r="F1404" s="5">
        <f>vlookup(B1404,Filmes_final!$B$2:$U$1001,3,FALSE)</f>
        <v>2009</v>
      </c>
      <c r="G1404" s="5" t="str">
        <f>vlookup(B1404,Filmes_final!$B$2:$U$1001,13,FALSE)</f>
        <v>Anurag Kashyap</v>
      </c>
    </row>
    <row r="1405">
      <c r="A1405" s="5">
        <v>351.0</v>
      </c>
      <c r="B1405" s="5" t="s">
        <v>2301</v>
      </c>
      <c r="C1405" s="5" t="s">
        <v>2305</v>
      </c>
      <c r="D1405" s="5" t="s">
        <v>6637</v>
      </c>
      <c r="E1405" s="8">
        <f>vlookup(B1405,Filmes_final!$B$2:$U$1001,20,FALSE)</f>
        <v>13379</v>
      </c>
      <c r="F1405" s="5">
        <f>vlookup(B1405,Filmes_final!$B$2:$U$1001,3,FALSE)</f>
        <v>2009</v>
      </c>
      <c r="G1405" s="5" t="str">
        <f>vlookup(B1405,Filmes_final!$B$2:$U$1001,13,FALSE)</f>
        <v>Anurag Kashyap</v>
      </c>
    </row>
    <row r="1406">
      <c r="A1406" s="5">
        <v>352.0</v>
      </c>
      <c r="B1406" s="5" t="s">
        <v>2306</v>
      </c>
      <c r="C1406" s="5" t="s">
        <v>2309</v>
      </c>
      <c r="D1406" s="5" t="s">
        <v>6634</v>
      </c>
      <c r="E1406" s="8">
        <f>vlookup(B1406,Filmes_final!$B$2:$U$1001,20,FALSE)</f>
        <v>27020212</v>
      </c>
      <c r="F1406" s="5">
        <f>vlookup(B1406,Filmes_final!$B$2:$U$1001,3,FALSE)</f>
        <v>2008</v>
      </c>
      <c r="G1406" s="5" t="str">
        <f>vlookup(B1406,Filmes_final!$B$2:$U$1001,13,FALSE)</f>
        <v>Wilson Yip</v>
      </c>
    </row>
    <row r="1407">
      <c r="A1407" s="5">
        <v>352.0</v>
      </c>
      <c r="B1407" s="5" t="s">
        <v>2306</v>
      </c>
      <c r="C1407" s="5" t="s">
        <v>2310</v>
      </c>
      <c r="D1407" s="5" t="s">
        <v>6635</v>
      </c>
      <c r="E1407" s="8">
        <f>vlookup(B1407,Filmes_final!$B$2:$U$1001,20,FALSE)</f>
        <v>27020212</v>
      </c>
      <c r="F1407" s="5">
        <f>vlookup(B1407,Filmes_final!$B$2:$U$1001,3,FALSE)</f>
        <v>2008</v>
      </c>
      <c r="G1407" s="5" t="str">
        <f>vlookup(B1407,Filmes_final!$B$2:$U$1001,13,FALSE)</f>
        <v>Wilson Yip</v>
      </c>
    </row>
    <row r="1408">
      <c r="A1408" s="5">
        <v>352.0</v>
      </c>
      <c r="B1408" s="5" t="s">
        <v>2306</v>
      </c>
      <c r="C1408" s="5" t="s">
        <v>2311</v>
      </c>
      <c r="D1408" s="5" t="s">
        <v>6636</v>
      </c>
      <c r="E1408" s="8">
        <f>vlookup(B1408,Filmes_final!$B$2:$U$1001,20,FALSE)</f>
        <v>27020212</v>
      </c>
      <c r="F1408" s="5">
        <f>vlookup(B1408,Filmes_final!$B$2:$U$1001,3,FALSE)</f>
        <v>2008</v>
      </c>
      <c r="G1408" s="5" t="str">
        <f>vlookup(B1408,Filmes_final!$B$2:$U$1001,13,FALSE)</f>
        <v>Wilson Yip</v>
      </c>
    </row>
    <row r="1409">
      <c r="A1409" s="5">
        <v>352.0</v>
      </c>
      <c r="B1409" s="5" t="s">
        <v>2306</v>
      </c>
      <c r="C1409" s="5" t="s">
        <v>2312</v>
      </c>
      <c r="D1409" s="5" t="s">
        <v>6637</v>
      </c>
      <c r="E1409" s="8">
        <f>vlookup(B1409,Filmes_final!$B$2:$U$1001,20,FALSE)</f>
        <v>27020212</v>
      </c>
      <c r="F1409" s="5">
        <f>vlookup(B1409,Filmes_final!$B$2:$U$1001,3,FALSE)</f>
        <v>2008</v>
      </c>
      <c r="G1409" s="5" t="str">
        <f>vlookup(B1409,Filmes_final!$B$2:$U$1001,13,FALSE)</f>
        <v>Wilson Yip</v>
      </c>
    </row>
    <row r="1410">
      <c r="A1410" s="5">
        <v>353.0</v>
      </c>
      <c r="B1410" s="5" t="s">
        <v>2313</v>
      </c>
      <c r="C1410" s="5" t="s">
        <v>1084</v>
      </c>
      <c r="D1410" s="5" t="s">
        <v>6634</v>
      </c>
      <c r="E1410" s="8">
        <f>vlookup(B1410,Filmes_final!$B$2:$U$1001,20,FALSE)</f>
        <v>4784351</v>
      </c>
      <c r="F1410" s="5">
        <f>vlookup(B1410,Filmes_final!$B$2:$U$1001,3,FALSE)</f>
        <v>2010</v>
      </c>
      <c r="G1410" s="5" t="str">
        <f>vlookup(B1410,Filmes_final!$B$2:$U$1001,13,FALSE)</f>
        <v>Karan Johar</v>
      </c>
    </row>
    <row r="1411">
      <c r="A1411" s="5">
        <v>353.0</v>
      </c>
      <c r="B1411" s="5" t="s">
        <v>2313</v>
      </c>
      <c r="C1411" s="5" t="s">
        <v>1762</v>
      </c>
      <c r="D1411" s="5" t="s">
        <v>6635</v>
      </c>
      <c r="E1411" s="8">
        <f>vlookup(B1411,Filmes_final!$B$2:$U$1001,20,FALSE)</f>
        <v>4784351</v>
      </c>
      <c r="F1411" s="5">
        <f>vlookup(B1411,Filmes_final!$B$2:$U$1001,3,FALSE)</f>
        <v>2010</v>
      </c>
      <c r="G1411" s="5" t="str">
        <f>vlookup(B1411,Filmes_final!$B$2:$U$1001,13,FALSE)</f>
        <v>Karan Johar</v>
      </c>
    </row>
    <row r="1412">
      <c r="A1412" s="5">
        <v>353.0</v>
      </c>
      <c r="B1412" s="5" t="s">
        <v>2313</v>
      </c>
      <c r="C1412" s="5" t="s">
        <v>2316</v>
      </c>
      <c r="D1412" s="5" t="s">
        <v>6636</v>
      </c>
      <c r="E1412" s="8">
        <f>vlookup(B1412,Filmes_final!$B$2:$U$1001,20,FALSE)</f>
        <v>4784351</v>
      </c>
      <c r="F1412" s="5">
        <f>vlookup(B1412,Filmes_final!$B$2:$U$1001,3,FALSE)</f>
        <v>2010</v>
      </c>
      <c r="G1412" s="5" t="str">
        <f>vlookup(B1412,Filmes_final!$B$2:$U$1001,13,FALSE)</f>
        <v>Karan Johar</v>
      </c>
    </row>
    <row r="1413">
      <c r="A1413" s="5">
        <v>353.0</v>
      </c>
      <c r="B1413" s="5" t="s">
        <v>2313</v>
      </c>
      <c r="C1413" s="5" t="s">
        <v>2317</v>
      </c>
      <c r="D1413" s="5" t="s">
        <v>6637</v>
      </c>
      <c r="E1413" s="8">
        <f>vlookup(B1413,Filmes_final!$B$2:$U$1001,20,FALSE)</f>
        <v>4784351</v>
      </c>
      <c r="F1413" s="5">
        <f>vlookup(B1413,Filmes_final!$B$2:$U$1001,3,FALSE)</f>
        <v>2010</v>
      </c>
      <c r="G1413" s="5" t="str">
        <f>vlookup(B1413,Filmes_final!$B$2:$U$1001,13,FALSE)</f>
        <v>Karan Johar</v>
      </c>
    </row>
    <row r="1414">
      <c r="A1414" s="5">
        <v>354.0</v>
      </c>
      <c r="B1414" s="5" t="s">
        <v>2318</v>
      </c>
      <c r="C1414" s="5" t="s">
        <v>438</v>
      </c>
      <c r="D1414" s="5" t="s">
        <v>6634</v>
      </c>
      <c r="E1414" s="8">
        <f>vlookup(B1414,Filmes_final!$B$2:$U$1001,20,FALSE)</f>
        <v>18682702</v>
      </c>
      <c r="F1414" s="5">
        <f>vlookup(B1414,Filmes_final!$B$2:$U$1001,3,FALSE)</f>
        <v>2009</v>
      </c>
      <c r="G1414" s="5" t="str">
        <f>vlookup(B1414,Filmes_final!$B$2:$U$1001,13,FALSE)</f>
        <v>Levent Semerci</v>
      </c>
    </row>
    <row r="1415">
      <c r="A1415" s="5">
        <v>354.0</v>
      </c>
      <c r="B1415" s="5" t="s">
        <v>2318</v>
      </c>
      <c r="C1415" s="5" t="s">
        <v>2321</v>
      </c>
      <c r="D1415" s="5" t="s">
        <v>6635</v>
      </c>
      <c r="E1415" s="8">
        <f>vlookup(B1415,Filmes_final!$B$2:$U$1001,20,FALSE)</f>
        <v>18682702</v>
      </c>
      <c r="F1415" s="5">
        <f>vlookup(B1415,Filmes_final!$B$2:$U$1001,3,FALSE)</f>
        <v>2009</v>
      </c>
      <c r="G1415" s="5" t="str">
        <f>vlookup(B1415,Filmes_final!$B$2:$U$1001,13,FALSE)</f>
        <v>Levent Semerci</v>
      </c>
    </row>
    <row r="1416">
      <c r="A1416" s="5">
        <v>354.0</v>
      </c>
      <c r="B1416" s="5" t="s">
        <v>2318</v>
      </c>
      <c r="C1416" s="5" t="s">
        <v>2322</v>
      </c>
      <c r="D1416" s="5" t="s">
        <v>6636</v>
      </c>
      <c r="E1416" s="8">
        <f>vlookup(B1416,Filmes_final!$B$2:$U$1001,20,FALSE)</f>
        <v>18682702</v>
      </c>
      <c r="F1416" s="5">
        <f>vlookup(B1416,Filmes_final!$B$2:$U$1001,3,FALSE)</f>
        <v>2009</v>
      </c>
      <c r="G1416" s="5" t="str">
        <f>vlookup(B1416,Filmes_final!$B$2:$U$1001,13,FALSE)</f>
        <v>Levent Semerci</v>
      </c>
    </row>
    <row r="1417">
      <c r="A1417" s="5">
        <v>354.0</v>
      </c>
      <c r="B1417" s="5" t="s">
        <v>2318</v>
      </c>
      <c r="C1417" s="5" t="s">
        <v>2323</v>
      </c>
      <c r="D1417" s="5" t="s">
        <v>6637</v>
      </c>
      <c r="E1417" s="8">
        <f>vlookup(B1417,Filmes_final!$B$2:$U$1001,20,FALSE)</f>
        <v>18682702</v>
      </c>
      <c r="F1417" s="5">
        <f>vlookup(B1417,Filmes_final!$B$2:$U$1001,3,FALSE)</f>
        <v>2009</v>
      </c>
      <c r="G1417" s="5" t="str">
        <f>vlookup(B1417,Filmes_final!$B$2:$U$1001,13,FALSE)</f>
        <v>Levent Semerci</v>
      </c>
    </row>
    <row r="1418">
      <c r="A1418" s="5">
        <v>355.0</v>
      </c>
      <c r="B1418" s="5" t="s">
        <v>2324</v>
      </c>
      <c r="C1418" s="5" t="s">
        <v>2326</v>
      </c>
      <c r="D1418" s="5" t="s">
        <v>6634</v>
      </c>
      <c r="E1418" s="8">
        <f>vlookup(B1418,Filmes_final!$B$2:$U$1001,20,FALSE)</f>
        <v>172713867</v>
      </c>
      <c r="F1418" s="5">
        <f>vlookup(B1418,Filmes_final!$B$2:$U$1001,3,FALSE)</f>
        <v>2008</v>
      </c>
      <c r="G1418" s="5" t="str">
        <f>vlookup(B1418,Filmes_final!$B$2:$U$1001,13,FALSE)</f>
        <v>Danny Boyle</v>
      </c>
    </row>
    <row r="1419">
      <c r="A1419" s="5">
        <v>355.0</v>
      </c>
      <c r="B1419" s="5" t="s">
        <v>2324</v>
      </c>
      <c r="C1419" s="5" t="s">
        <v>2181</v>
      </c>
      <c r="D1419" s="5" t="s">
        <v>6635</v>
      </c>
      <c r="E1419" s="8">
        <f>vlookup(B1419,Filmes_final!$B$2:$U$1001,20,FALSE)</f>
        <v>172713867</v>
      </c>
      <c r="F1419" s="5">
        <f>vlookup(B1419,Filmes_final!$B$2:$U$1001,3,FALSE)</f>
        <v>2008</v>
      </c>
      <c r="G1419" s="5" t="str">
        <f>vlookup(B1419,Filmes_final!$B$2:$U$1001,13,FALSE)</f>
        <v>Danny Boyle</v>
      </c>
    </row>
    <row r="1420">
      <c r="A1420" s="5">
        <v>355.0</v>
      </c>
      <c r="B1420" s="5" t="s">
        <v>2324</v>
      </c>
      <c r="C1420" s="5" t="s">
        <v>2327</v>
      </c>
      <c r="D1420" s="5" t="s">
        <v>6636</v>
      </c>
      <c r="E1420" s="8">
        <f>vlookup(B1420,Filmes_final!$B$2:$U$1001,20,FALSE)</f>
        <v>172713867</v>
      </c>
      <c r="F1420" s="5">
        <f>vlookup(B1420,Filmes_final!$B$2:$U$1001,3,FALSE)</f>
        <v>2008</v>
      </c>
      <c r="G1420" s="5" t="str">
        <f>vlookup(B1420,Filmes_final!$B$2:$U$1001,13,FALSE)</f>
        <v>Danny Boyle</v>
      </c>
    </row>
    <row r="1421">
      <c r="A1421" s="5">
        <v>355.0</v>
      </c>
      <c r="B1421" s="5" t="s">
        <v>2324</v>
      </c>
      <c r="C1421" s="5" t="s">
        <v>1500</v>
      </c>
      <c r="D1421" s="5" t="s">
        <v>6637</v>
      </c>
      <c r="E1421" s="8">
        <f>vlookup(B1421,Filmes_final!$B$2:$U$1001,20,FALSE)</f>
        <v>172713867</v>
      </c>
      <c r="F1421" s="5">
        <f>vlookup(B1421,Filmes_final!$B$2:$U$1001,3,FALSE)</f>
        <v>2008</v>
      </c>
      <c r="G1421" s="5" t="str">
        <f>vlookup(B1421,Filmes_final!$B$2:$U$1001,13,FALSE)</f>
        <v>Danny Boyle</v>
      </c>
    </row>
    <row r="1422">
      <c r="A1422" s="5">
        <v>356.0</v>
      </c>
      <c r="B1422" s="5" t="s">
        <v>2328</v>
      </c>
      <c r="C1422" s="5" t="s">
        <v>348</v>
      </c>
      <c r="D1422" s="5" t="s">
        <v>6634</v>
      </c>
      <c r="E1422" s="8">
        <f>vlookup(B1422,Filmes_final!$B$2:$U$1001,20,FALSE)</f>
        <v>127332075</v>
      </c>
      <c r="F1422" s="5">
        <f>vlookup(B1422,Filmes_final!$B$2:$U$1001,3,FALSE)</f>
        <v>2010</v>
      </c>
      <c r="G1422" s="5" t="str">
        <f>vlookup(B1422,Filmes_final!$B$2:$U$1001,13,FALSE)</f>
        <v>Darren Aronofsky</v>
      </c>
    </row>
    <row r="1423">
      <c r="A1423" s="5">
        <v>356.0</v>
      </c>
      <c r="B1423" s="5" t="s">
        <v>2328</v>
      </c>
      <c r="C1423" s="5" t="s">
        <v>2330</v>
      </c>
      <c r="D1423" s="5" t="s">
        <v>6635</v>
      </c>
      <c r="E1423" s="8">
        <f>vlookup(B1423,Filmes_final!$B$2:$U$1001,20,FALSE)</f>
        <v>127332075</v>
      </c>
      <c r="F1423" s="5">
        <f>vlookup(B1423,Filmes_final!$B$2:$U$1001,3,FALSE)</f>
        <v>2010</v>
      </c>
      <c r="G1423" s="5" t="str">
        <f>vlookup(B1423,Filmes_final!$B$2:$U$1001,13,FALSE)</f>
        <v>Darren Aronofsky</v>
      </c>
    </row>
    <row r="1424">
      <c r="A1424" s="5">
        <v>356.0</v>
      </c>
      <c r="B1424" s="5" t="s">
        <v>2328</v>
      </c>
      <c r="C1424" s="5" t="s">
        <v>1755</v>
      </c>
      <c r="D1424" s="5" t="s">
        <v>6636</v>
      </c>
      <c r="E1424" s="8">
        <f>vlookup(B1424,Filmes_final!$B$2:$U$1001,20,FALSE)</f>
        <v>127332075</v>
      </c>
      <c r="F1424" s="5">
        <f>vlookup(B1424,Filmes_final!$B$2:$U$1001,3,FALSE)</f>
        <v>2010</v>
      </c>
      <c r="G1424" s="5" t="str">
        <f>vlookup(B1424,Filmes_final!$B$2:$U$1001,13,FALSE)</f>
        <v>Darren Aronofsky</v>
      </c>
    </row>
    <row r="1425">
      <c r="A1425" s="5">
        <v>356.0</v>
      </c>
      <c r="B1425" s="5" t="s">
        <v>2328</v>
      </c>
      <c r="C1425" s="5" t="s">
        <v>2331</v>
      </c>
      <c r="D1425" s="5" t="s">
        <v>6637</v>
      </c>
      <c r="E1425" s="8">
        <f>vlookup(B1425,Filmes_final!$B$2:$U$1001,20,FALSE)</f>
        <v>127332075</v>
      </c>
      <c r="F1425" s="5">
        <f>vlookup(B1425,Filmes_final!$B$2:$U$1001,3,FALSE)</f>
        <v>2010</v>
      </c>
      <c r="G1425" s="5" t="str">
        <f>vlookup(B1425,Filmes_final!$B$2:$U$1001,13,FALSE)</f>
        <v>Darren Aronofsky</v>
      </c>
    </row>
    <row r="1426">
      <c r="A1426" s="5">
        <v>357.0</v>
      </c>
      <c r="B1426" s="5" t="s">
        <v>2332</v>
      </c>
      <c r="C1426" s="5" t="s">
        <v>2273</v>
      </c>
      <c r="D1426" s="5" t="s">
        <v>6634</v>
      </c>
      <c r="E1426" s="8">
        <f>vlookup(B1426,Filmes_final!$B$2:$U$1001,20,FALSE)</f>
        <v>10272</v>
      </c>
      <c r="F1426" s="5">
        <f>vlookup(B1426,Filmes_final!$B$2:$U$1001,3,FALSE)</f>
        <v>2007</v>
      </c>
      <c r="G1426" s="5" t="str">
        <f>vlookup(B1426,Filmes_final!$B$2:$U$1001,13,FALSE)</f>
        <v>José Padilha</v>
      </c>
    </row>
    <row r="1427">
      <c r="A1427" s="5">
        <v>357.0</v>
      </c>
      <c r="B1427" s="5" t="s">
        <v>2332</v>
      </c>
      <c r="C1427" s="5" t="s">
        <v>2275</v>
      </c>
      <c r="D1427" s="5" t="s">
        <v>6635</v>
      </c>
      <c r="E1427" s="8">
        <f>vlookup(B1427,Filmes_final!$B$2:$U$1001,20,FALSE)</f>
        <v>10272</v>
      </c>
      <c r="F1427" s="5">
        <f>vlookup(B1427,Filmes_final!$B$2:$U$1001,3,FALSE)</f>
        <v>2007</v>
      </c>
      <c r="G1427" s="5" t="str">
        <f>vlookup(B1427,Filmes_final!$B$2:$U$1001,13,FALSE)</f>
        <v>José Padilha</v>
      </c>
    </row>
    <row r="1428">
      <c r="A1428" s="5">
        <v>357.0</v>
      </c>
      <c r="B1428" s="5" t="s">
        <v>2332</v>
      </c>
      <c r="C1428" s="5" t="s">
        <v>2335</v>
      </c>
      <c r="D1428" s="5" t="s">
        <v>6636</v>
      </c>
      <c r="E1428" s="8">
        <f>vlookup(B1428,Filmes_final!$B$2:$U$1001,20,FALSE)</f>
        <v>10272</v>
      </c>
      <c r="F1428" s="5">
        <f>vlookup(B1428,Filmes_final!$B$2:$U$1001,3,FALSE)</f>
        <v>2007</v>
      </c>
      <c r="G1428" s="5" t="str">
        <f>vlookup(B1428,Filmes_final!$B$2:$U$1001,13,FALSE)</f>
        <v>José Padilha</v>
      </c>
    </row>
    <row r="1429">
      <c r="A1429" s="5">
        <v>357.0</v>
      </c>
      <c r="B1429" s="5" t="s">
        <v>2332</v>
      </c>
      <c r="C1429" s="5" t="s">
        <v>2276</v>
      </c>
      <c r="D1429" s="5" t="s">
        <v>6637</v>
      </c>
      <c r="E1429" s="8">
        <f>vlookup(B1429,Filmes_final!$B$2:$U$1001,20,FALSE)</f>
        <v>10272</v>
      </c>
      <c r="F1429" s="5">
        <f>vlookup(B1429,Filmes_final!$B$2:$U$1001,3,FALSE)</f>
        <v>2007</v>
      </c>
      <c r="G1429" s="5" t="str">
        <f>vlookup(B1429,Filmes_final!$B$2:$U$1001,13,FALSE)</f>
        <v>José Padilha</v>
      </c>
    </row>
    <row r="1430">
      <c r="A1430" s="5">
        <v>358.0</v>
      </c>
      <c r="B1430" s="5" t="s">
        <v>2336</v>
      </c>
      <c r="C1430" s="5" t="s">
        <v>479</v>
      </c>
      <c r="D1430" s="5" t="s">
        <v>6634</v>
      </c>
      <c r="E1430" s="8">
        <f>vlookup(B1430,Filmes_final!$B$2:$U$1001,20,FALSE)</f>
        <v>709364250</v>
      </c>
      <c r="F1430" s="5">
        <f>vlookup(B1430,Filmes_final!$B$2:$U$1001,3,FALSE)</f>
        <v>2012</v>
      </c>
      <c r="G1430" s="5" t="str">
        <f>vlookup(B1430,Filmes_final!$B$2:$U$1001,13,FALSE)</f>
        <v>Joss Whedon</v>
      </c>
    </row>
    <row r="1431">
      <c r="A1431" s="5">
        <v>358.0</v>
      </c>
      <c r="B1431" s="5" t="s">
        <v>2336</v>
      </c>
      <c r="C1431" s="5" t="s">
        <v>480</v>
      </c>
      <c r="D1431" s="5" t="s">
        <v>6635</v>
      </c>
      <c r="E1431" s="8">
        <f>vlookup(B1431,Filmes_final!$B$2:$U$1001,20,FALSE)</f>
        <v>709364250</v>
      </c>
      <c r="F1431" s="5">
        <f>vlookup(B1431,Filmes_final!$B$2:$U$1001,3,FALSE)</f>
        <v>2012</v>
      </c>
      <c r="G1431" s="5" t="str">
        <f>vlookup(B1431,Filmes_final!$B$2:$U$1001,13,FALSE)</f>
        <v>Joss Whedon</v>
      </c>
    </row>
    <row r="1432">
      <c r="A1432" s="5">
        <v>358.0</v>
      </c>
      <c r="B1432" s="5" t="s">
        <v>2336</v>
      </c>
      <c r="C1432" s="5" t="s">
        <v>307</v>
      </c>
      <c r="D1432" s="5" t="s">
        <v>6636</v>
      </c>
      <c r="E1432" s="8">
        <f>vlookup(B1432,Filmes_final!$B$2:$U$1001,20,FALSE)</f>
        <v>709364250</v>
      </c>
      <c r="F1432" s="5">
        <f>vlookup(B1432,Filmes_final!$B$2:$U$1001,3,FALSE)</f>
        <v>2012</v>
      </c>
      <c r="G1432" s="5" t="str">
        <f>vlookup(B1432,Filmes_final!$B$2:$U$1001,13,FALSE)</f>
        <v>Joss Whedon</v>
      </c>
    </row>
    <row r="1433">
      <c r="A1433" s="5">
        <v>358.0</v>
      </c>
      <c r="B1433" s="5" t="s">
        <v>2336</v>
      </c>
      <c r="C1433" s="5" t="s">
        <v>2339</v>
      </c>
      <c r="D1433" s="5" t="s">
        <v>6637</v>
      </c>
      <c r="E1433" s="8">
        <f>vlookup(B1433,Filmes_final!$B$2:$U$1001,20,FALSE)</f>
        <v>709364250</v>
      </c>
      <c r="F1433" s="5">
        <f>vlookup(B1433,Filmes_final!$B$2:$U$1001,3,FALSE)</f>
        <v>2012</v>
      </c>
      <c r="G1433" s="5" t="str">
        <f>vlookup(B1433,Filmes_final!$B$2:$U$1001,13,FALSE)</f>
        <v>Joss Whedon</v>
      </c>
    </row>
    <row r="1434">
      <c r="A1434" s="5">
        <v>359.0</v>
      </c>
      <c r="B1434" s="5" t="s">
        <v>2340</v>
      </c>
      <c r="C1434" s="5" t="s">
        <v>2344</v>
      </c>
      <c r="D1434" s="5" t="s">
        <v>6634</v>
      </c>
      <c r="E1434" s="8">
        <f>vlookup(B1434,Filmes_final!$B$2:$U$1001,20,FALSE)</f>
        <v>5665936</v>
      </c>
      <c r="F1434" s="5">
        <f>vlookup(B1434,Filmes_final!$B$2:$U$1001,3,FALSE)</f>
        <v>2007</v>
      </c>
      <c r="G1434" s="5" t="str">
        <f>vlookup(B1434,Filmes_final!$B$2:$U$1001,13,FALSE)</f>
        <v>Vincent Paronnaud</v>
      </c>
    </row>
    <row r="1435">
      <c r="A1435" s="5">
        <v>359.0</v>
      </c>
      <c r="B1435" s="5" t="s">
        <v>2340</v>
      </c>
      <c r="C1435" s="5" t="s">
        <v>2345</v>
      </c>
      <c r="D1435" s="5" t="s">
        <v>6635</v>
      </c>
      <c r="E1435" s="8">
        <f>vlookup(B1435,Filmes_final!$B$2:$U$1001,20,FALSE)</f>
        <v>5665936</v>
      </c>
      <c r="F1435" s="5">
        <f>vlookup(B1435,Filmes_final!$B$2:$U$1001,3,FALSE)</f>
        <v>2007</v>
      </c>
      <c r="G1435" s="5" t="str">
        <f>vlookup(B1435,Filmes_final!$B$2:$U$1001,13,FALSE)</f>
        <v>Vincent Paronnaud</v>
      </c>
    </row>
    <row r="1436">
      <c r="A1436" s="5">
        <v>359.0</v>
      </c>
      <c r="B1436" s="5" t="s">
        <v>2340</v>
      </c>
      <c r="C1436" s="5" t="s">
        <v>2346</v>
      </c>
      <c r="D1436" s="5" t="s">
        <v>6636</v>
      </c>
      <c r="E1436" s="8">
        <f>vlookup(B1436,Filmes_final!$B$2:$U$1001,20,FALSE)</f>
        <v>5665936</v>
      </c>
      <c r="F1436" s="5">
        <f>vlookup(B1436,Filmes_final!$B$2:$U$1001,3,FALSE)</f>
        <v>2007</v>
      </c>
      <c r="G1436" s="5" t="str">
        <f>vlookup(B1436,Filmes_final!$B$2:$U$1001,13,FALSE)</f>
        <v>Vincent Paronnaud</v>
      </c>
    </row>
    <row r="1437">
      <c r="A1437" s="5">
        <v>359.0</v>
      </c>
      <c r="B1437" s="5" t="s">
        <v>2340</v>
      </c>
      <c r="C1437" s="5" t="s">
        <v>2347</v>
      </c>
      <c r="D1437" s="5" t="s">
        <v>6637</v>
      </c>
      <c r="E1437" s="8">
        <f>vlookup(B1437,Filmes_final!$B$2:$U$1001,20,FALSE)</f>
        <v>5665936</v>
      </c>
      <c r="F1437" s="5">
        <f>vlookup(B1437,Filmes_final!$B$2:$U$1001,3,FALSE)</f>
        <v>2007</v>
      </c>
      <c r="G1437" s="5" t="str">
        <f>vlookup(B1437,Filmes_final!$B$2:$U$1001,13,FALSE)</f>
        <v>Vincent Paronnaud</v>
      </c>
    </row>
    <row r="1438">
      <c r="A1438" s="5">
        <v>360.0</v>
      </c>
      <c r="B1438" s="5" t="s">
        <v>2348</v>
      </c>
      <c r="C1438" s="5" t="s">
        <v>190</v>
      </c>
      <c r="D1438" s="5" t="s">
        <v>6634</v>
      </c>
      <c r="E1438" s="8">
        <f>vlookup(B1438,Filmes_final!$B$2:$U$1001,20,FALSE)</f>
        <v>30580884</v>
      </c>
      <c r="F1438" s="5">
        <f>vlookup(B1438,Filmes_final!$B$2:$U$1001,3,FALSE)</f>
        <v>2013</v>
      </c>
      <c r="G1438" s="5" t="str">
        <f>vlookup(B1438,Filmes_final!$B$2:$U$1001,13,FALSE)</f>
        <v>Jean-Marc Vallée</v>
      </c>
    </row>
    <row r="1439">
      <c r="A1439" s="5">
        <v>360.0</v>
      </c>
      <c r="B1439" s="5" t="s">
        <v>2348</v>
      </c>
      <c r="C1439" s="5" t="s">
        <v>2351</v>
      </c>
      <c r="D1439" s="5" t="s">
        <v>6635</v>
      </c>
      <c r="E1439" s="8">
        <f>vlookup(B1439,Filmes_final!$B$2:$U$1001,20,FALSE)</f>
        <v>30580884</v>
      </c>
      <c r="F1439" s="5">
        <f>vlookup(B1439,Filmes_final!$B$2:$U$1001,3,FALSE)</f>
        <v>2013</v>
      </c>
      <c r="G1439" s="5" t="str">
        <f>vlookup(B1439,Filmes_final!$B$2:$U$1001,13,FALSE)</f>
        <v>Jean-Marc Vallée</v>
      </c>
    </row>
    <row r="1440">
      <c r="A1440" s="5">
        <v>360.0</v>
      </c>
      <c r="B1440" s="5" t="s">
        <v>2348</v>
      </c>
      <c r="C1440" s="5" t="s">
        <v>741</v>
      </c>
      <c r="D1440" s="5" t="s">
        <v>6636</v>
      </c>
      <c r="E1440" s="8">
        <f>vlookup(B1440,Filmes_final!$B$2:$U$1001,20,FALSE)</f>
        <v>30580884</v>
      </c>
      <c r="F1440" s="5">
        <f>vlookup(B1440,Filmes_final!$B$2:$U$1001,3,FALSE)</f>
        <v>2013</v>
      </c>
      <c r="G1440" s="5" t="str">
        <f>vlookup(B1440,Filmes_final!$B$2:$U$1001,13,FALSE)</f>
        <v>Jean-Marc Vallée</v>
      </c>
    </row>
    <row r="1441">
      <c r="A1441" s="5">
        <v>360.0</v>
      </c>
      <c r="B1441" s="5" t="s">
        <v>2348</v>
      </c>
      <c r="C1441" s="5" t="s">
        <v>2352</v>
      </c>
      <c r="D1441" s="5" t="s">
        <v>6637</v>
      </c>
      <c r="E1441" s="8">
        <f>vlookup(B1441,Filmes_final!$B$2:$U$1001,20,FALSE)</f>
        <v>30580884</v>
      </c>
      <c r="F1441" s="5">
        <f>vlookup(B1441,Filmes_final!$B$2:$U$1001,3,FALSE)</f>
        <v>2013</v>
      </c>
      <c r="G1441" s="5" t="str">
        <f>vlookup(B1441,Filmes_final!$B$2:$U$1001,13,FALSE)</f>
        <v>Jean-Marc Vallée</v>
      </c>
    </row>
    <row r="1442">
      <c r="A1442" s="5">
        <v>361.0</v>
      </c>
      <c r="B1442" s="5" t="s">
        <v>2353</v>
      </c>
      <c r="C1442" s="5" t="s">
        <v>2356</v>
      </c>
      <c r="D1442" s="5" t="s">
        <v>6634</v>
      </c>
      <c r="E1442" s="8">
        <f>vlookup(B1442,Filmes_final!$B$2:$U$1001,20,FALSE)</f>
        <v>212785694</v>
      </c>
      <c r="F1442" s="5">
        <f>vlookup(B1442,Filmes_final!$B$2:$U$1001,3,FALSE)</f>
        <v>2006</v>
      </c>
      <c r="G1442" s="5" t="str">
        <f>vlookup(B1442,Filmes_final!$B$2:$U$1001,13,FALSE)</f>
        <v>Gabriele Muccino</v>
      </c>
    </row>
    <row r="1443">
      <c r="A1443" s="5">
        <v>361.0</v>
      </c>
      <c r="B1443" s="5" t="s">
        <v>2353</v>
      </c>
      <c r="C1443" s="5" t="s">
        <v>2357</v>
      </c>
      <c r="D1443" s="5" t="s">
        <v>6635</v>
      </c>
      <c r="E1443" s="8">
        <f>vlookup(B1443,Filmes_final!$B$2:$U$1001,20,FALSE)</f>
        <v>212785694</v>
      </c>
      <c r="F1443" s="5">
        <f>vlookup(B1443,Filmes_final!$B$2:$U$1001,3,FALSE)</f>
        <v>2006</v>
      </c>
      <c r="G1443" s="5" t="str">
        <f>vlookup(B1443,Filmes_final!$B$2:$U$1001,13,FALSE)</f>
        <v>Gabriele Muccino</v>
      </c>
    </row>
    <row r="1444">
      <c r="A1444" s="5">
        <v>361.0</v>
      </c>
      <c r="B1444" s="5" t="s">
        <v>2353</v>
      </c>
      <c r="C1444" s="5" t="s">
        <v>2358</v>
      </c>
      <c r="D1444" s="5" t="s">
        <v>6636</v>
      </c>
      <c r="E1444" s="8">
        <f>vlookup(B1444,Filmes_final!$B$2:$U$1001,20,FALSE)</f>
        <v>212785694</v>
      </c>
      <c r="F1444" s="5">
        <f>vlookup(B1444,Filmes_final!$B$2:$U$1001,3,FALSE)</f>
        <v>2006</v>
      </c>
      <c r="G1444" s="5" t="str">
        <f>vlookup(B1444,Filmes_final!$B$2:$U$1001,13,FALSE)</f>
        <v>Gabriele Muccino</v>
      </c>
    </row>
    <row r="1445">
      <c r="A1445" s="5">
        <v>361.0</v>
      </c>
      <c r="B1445" s="5" t="s">
        <v>2353</v>
      </c>
      <c r="C1445" s="5" t="s">
        <v>2359</v>
      </c>
      <c r="D1445" s="5" t="s">
        <v>6637</v>
      </c>
      <c r="E1445" s="8">
        <f>vlookup(B1445,Filmes_final!$B$2:$U$1001,20,FALSE)</f>
        <v>212785694</v>
      </c>
      <c r="F1445" s="5">
        <f>vlookup(B1445,Filmes_final!$B$2:$U$1001,3,FALSE)</f>
        <v>2006</v>
      </c>
      <c r="G1445" s="5" t="str">
        <f>vlookup(B1445,Filmes_final!$B$2:$U$1001,13,FALSE)</f>
        <v>Gabriele Muccino</v>
      </c>
    </row>
    <row r="1446">
      <c r="A1446" s="5">
        <v>362.0</v>
      </c>
      <c r="B1446" s="5" t="s">
        <v>2360</v>
      </c>
      <c r="C1446" s="5" t="s">
        <v>90</v>
      </c>
      <c r="D1446" s="5" t="s">
        <v>6634</v>
      </c>
      <c r="E1446" s="8">
        <f>vlookup(B1446,Filmes_final!$B$2:$U$1001,20,FALSE)</f>
        <v>74628502</v>
      </c>
      <c r="F1446" s="5">
        <f>vlookup(B1446,Filmes_final!$B$2:$U$1001,3,FALSE)</f>
        <v>2006</v>
      </c>
      <c r="G1446" s="5" t="str">
        <f>vlookup(B1446,Filmes_final!$B$2:$U$1001,13,FALSE)</f>
        <v>Edward Zwick</v>
      </c>
    </row>
    <row r="1447">
      <c r="A1447" s="5">
        <v>362.0</v>
      </c>
      <c r="B1447" s="5" t="s">
        <v>2360</v>
      </c>
      <c r="C1447" s="5" t="s">
        <v>2363</v>
      </c>
      <c r="D1447" s="5" t="s">
        <v>6635</v>
      </c>
      <c r="E1447" s="8">
        <f>vlookup(B1447,Filmes_final!$B$2:$U$1001,20,FALSE)</f>
        <v>74628502</v>
      </c>
      <c r="F1447" s="5">
        <f>vlookup(B1447,Filmes_final!$B$2:$U$1001,3,FALSE)</f>
        <v>2006</v>
      </c>
      <c r="G1447" s="5" t="str">
        <f>vlookup(B1447,Filmes_final!$B$2:$U$1001,13,FALSE)</f>
        <v>Edward Zwick</v>
      </c>
    </row>
    <row r="1448">
      <c r="A1448" s="5">
        <v>362.0</v>
      </c>
      <c r="B1448" s="5" t="s">
        <v>2360</v>
      </c>
      <c r="C1448" s="5" t="s">
        <v>742</v>
      </c>
      <c r="D1448" s="5" t="s">
        <v>6636</v>
      </c>
      <c r="E1448" s="8">
        <f>vlookup(B1448,Filmes_final!$B$2:$U$1001,20,FALSE)</f>
        <v>74628502</v>
      </c>
      <c r="F1448" s="5">
        <f>vlookup(B1448,Filmes_final!$B$2:$U$1001,3,FALSE)</f>
        <v>2006</v>
      </c>
      <c r="G1448" s="5" t="str">
        <f>vlookup(B1448,Filmes_final!$B$2:$U$1001,13,FALSE)</f>
        <v>Edward Zwick</v>
      </c>
    </row>
    <row r="1449">
      <c r="A1449" s="5">
        <v>362.0</v>
      </c>
      <c r="B1449" s="5" t="s">
        <v>2360</v>
      </c>
      <c r="C1449" s="5" t="s">
        <v>2364</v>
      </c>
      <c r="D1449" s="5" t="s">
        <v>6637</v>
      </c>
      <c r="E1449" s="8">
        <f>vlookup(B1449,Filmes_final!$B$2:$U$1001,20,FALSE)</f>
        <v>74628502</v>
      </c>
      <c r="F1449" s="5">
        <f>vlookup(B1449,Filmes_final!$B$2:$U$1001,3,FALSE)</f>
        <v>2006</v>
      </c>
      <c r="G1449" s="5" t="str">
        <f>vlookup(B1449,Filmes_final!$B$2:$U$1001,13,FALSE)</f>
        <v>Edward Zwick</v>
      </c>
    </row>
    <row r="1450">
      <c r="A1450" s="5">
        <v>363.0</v>
      </c>
      <c r="B1450" s="5" t="s">
        <v>2365</v>
      </c>
      <c r="C1450" s="5" t="s">
        <v>215</v>
      </c>
      <c r="D1450" s="5" t="s">
        <v>6634</v>
      </c>
      <c r="E1450" s="8">
        <f>vlookup(B1450,Filmes_final!$B$2:$U$1001,20,FALSE)</f>
        <v>289902673</v>
      </c>
      <c r="F1450" s="5">
        <f>vlookup(B1450,Filmes_final!$B$2:$U$1001,3,FALSE)</f>
        <v>2007</v>
      </c>
      <c r="G1450" s="5" t="str">
        <f>vlookup(B1450,Filmes_final!$B$2:$U$1001,13,FALSE)</f>
        <v>Paul Greengrass</v>
      </c>
    </row>
    <row r="1451">
      <c r="A1451" s="5">
        <v>363.0</v>
      </c>
      <c r="B1451" s="5" t="s">
        <v>2365</v>
      </c>
      <c r="C1451" s="5" t="s">
        <v>2369</v>
      </c>
      <c r="D1451" s="5" t="s">
        <v>6635</v>
      </c>
      <c r="E1451" s="8">
        <f>vlookup(B1451,Filmes_final!$B$2:$U$1001,20,FALSE)</f>
        <v>289902673</v>
      </c>
      <c r="F1451" s="5">
        <f>vlookup(B1451,Filmes_final!$B$2:$U$1001,3,FALSE)</f>
        <v>2007</v>
      </c>
      <c r="G1451" s="5" t="str">
        <f>vlookup(B1451,Filmes_final!$B$2:$U$1001,13,FALSE)</f>
        <v>Paul Greengrass</v>
      </c>
    </row>
    <row r="1452">
      <c r="A1452" s="5">
        <v>363.0</v>
      </c>
      <c r="B1452" s="5" t="s">
        <v>2365</v>
      </c>
      <c r="C1452" s="5" t="s">
        <v>1584</v>
      </c>
      <c r="D1452" s="5" t="s">
        <v>6636</v>
      </c>
      <c r="E1452" s="8">
        <f>vlookup(B1452,Filmes_final!$B$2:$U$1001,20,FALSE)</f>
        <v>289902673</v>
      </c>
      <c r="F1452" s="5">
        <f>vlookup(B1452,Filmes_final!$B$2:$U$1001,3,FALSE)</f>
        <v>2007</v>
      </c>
      <c r="G1452" s="5" t="str">
        <f>vlookup(B1452,Filmes_final!$B$2:$U$1001,13,FALSE)</f>
        <v>Paul Greengrass</v>
      </c>
    </row>
    <row r="1453">
      <c r="A1453" s="5">
        <v>363.0</v>
      </c>
      <c r="B1453" s="5" t="s">
        <v>2365</v>
      </c>
      <c r="C1453" s="5" t="s">
        <v>2370</v>
      </c>
      <c r="D1453" s="5" t="s">
        <v>6637</v>
      </c>
      <c r="E1453" s="8">
        <f>vlookup(B1453,Filmes_final!$B$2:$U$1001,20,FALSE)</f>
        <v>289902673</v>
      </c>
      <c r="F1453" s="5">
        <f>vlookup(B1453,Filmes_final!$B$2:$U$1001,3,FALSE)</f>
        <v>2007</v>
      </c>
      <c r="G1453" s="5" t="str">
        <f>vlookup(B1453,Filmes_final!$B$2:$U$1001,13,FALSE)</f>
        <v>Paul Greengrass</v>
      </c>
    </row>
    <row r="1454">
      <c r="A1454" s="5">
        <v>364.0</v>
      </c>
      <c r="B1454" s="5" t="s">
        <v>2371</v>
      </c>
      <c r="C1454" s="5" t="s">
        <v>2375</v>
      </c>
      <c r="D1454" s="5" t="s">
        <v>6634</v>
      </c>
      <c r="E1454" s="8">
        <f>vlookup(B1454,Filmes_final!$B$2:$U$1001,20,FALSE)</f>
        <v>332224</v>
      </c>
      <c r="F1454" s="5">
        <f>vlookup(B1454,Filmes_final!$B$2:$U$1001,3,FALSE)</f>
        <v>2004</v>
      </c>
      <c r="G1454" s="5" t="str">
        <f>vlookup(B1454,Filmes_final!$B$2:$U$1001,13,FALSE)</f>
        <v>Ki-duk Kim</v>
      </c>
    </row>
    <row r="1455">
      <c r="A1455" s="5">
        <v>364.0</v>
      </c>
      <c r="B1455" s="5" t="s">
        <v>2371</v>
      </c>
      <c r="C1455" s="5" t="s">
        <v>2376</v>
      </c>
      <c r="D1455" s="5" t="s">
        <v>6635</v>
      </c>
      <c r="E1455" s="8">
        <f>vlookup(B1455,Filmes_final!$B$2:$U$1001,20,FALSE)</f>
        <v>332224</v>
      </c>
      <c r="F1455" s="5">
        <f>vlookup(B1455,Filmes_final!$B$2:$U$1001,3,FALSE)</f>
        <v>2004</v>
      </c>
      <c r="G1455" s="5" t="str">
        <f>vlookup(B1455,Filmes_final!$B$2:$U$1001,13,FALSE)</f>
        <v>Ki-duk Kim</v>
      </c>
    </row>
    <row r="1456">
      <c r="A1456" s="5">
        <v>364.0</v>
      </c>
      <c r="B1456" s="5" t="s">
        <v>2371</v>
      </c>
      <c r="C1456" s="5" t="s">
        <v>2377</v>
      </c>
      <c r="D1456" s="5" t="s">
        <v>6636</v>
      </c>
      <c r="E1456" s="8">
        <f>vlookup(B1456,Filmes_final!$B$2:$U$1001,20,FALSE)</f>
        <v>332224</v>
      </c>
      <c r="F1456" s="5">
        <f>vlookup(B1456,Filmes_final!$B$2:$U$1001,3,FALSE)</f>
        <v>2004</v>
      </c>
      <c r="G1456" s="5" t="str">
        <f>vlookup(B1456,Filmes_final!$B$2:$U$1001,13,FALSE)</f>
        <v>Ki-duk Kim</v>
      </c>
    </row>
    <row r="1457">
      <c r="A1457" s="5">
        <v>364.0</v>
      </c>
      <c r="B1457" s="5" t="s">
        <v>2371</v>
      </c>
      <c r="C1457" s="5" t="s">
        <v>2378</v>
      </c>
      <c r="D1457" s="5" t="s">
        <v>6637</v>
      </c>
      <c r="E1457" s="8">
        <f>vlookup(B1457,Filmes_final!$B$2:$U$1001,20,FALSE)</f>
        <v>332224</v>
      </c>
      <c r="F1457" s="5">
        <f>vlookup(B1457,Filmes_final!$B$2:$U$1001,3,FALSE)</f>
        <v>2004</v>
      </c>
      <c r="G1457" s="5" t="str">
        <f>vlookup(B1457,Filmes_final!$B$2:$U$1001,13,FALSE)</f>
        <v>Ki-duk Kim</v>
      </c>
    </row>
    <row r="1458">
      <c r="A1458" s="5">
        <v>365.0</v>
      </c>
      <c r="B1458" s="5" t="s">
        <v>2379</v>
      </c>
      <c r="C1458" s="5" t="s">
        <v>72</v>
      </c>
      <c r="D1458" s="5" t="s">
        <v>6634</v>
      </c>
      <c r="E1458" s="8">
        <f>vlookup(B1458,Filmes_final!$B$2:$U$1001,20,FALSE)</f>
        <v>100244555</v>
      </c>
      <c r="F1458" s="5">
        <f>vlookup(B1458,Filmes_final!$B$2:$U$1001,3,FALSE)</f>
        <v>2005</v>
      </c>
      <c r="G1458" s="5" t="str">
        <f>vlookup(B1458,Filmes_final!$B$2:$U$1001,13,FALSE)</f>
        <v>Frank Miller</v>
      </c>
    </row>
    <row r="1459">
      <c r="A1459" s="5">
        <v>365.0</v>
      </c>
      <c r="B1459" s="5" t="s">
        <v>2379</v>
      </c>
      <c r="C1459" s="5" t="s">
        <v>2382</v>
      </c>
      <c r="D1459" s="5" t="s">
        <v>6635</v>
      </c>
      <c r="E1459" s="8">
        <f>vlookup(B1459,Filmes_final!$B$2:$U$1001,20,FALSE)</f>
        <v>100244555</v>
      </c>
      <c r="F1459" s="5">
        <f>vlookup(B1459,Filmes_final!$B$2:$U$1001,3,FALSE)</f>
        <v>2005</v>
      </c>
      <c r="G1459" s="5" t="str">
        <f>vlookup(B1459,Filmes_final!$B$2:$U$1001,13,FALSE)</f>
        <v>Frank Miller</v>
      </c>
    </row>
    <row r="1460">
      <c r="A1460" s="5">
        <v>365.0</v>
      </c>
      <c r="B1460" s="5" t="s">
        <v>2379</v>
      </c>
      <c r="C1460" s="5" t="s">
        <v>2383</v>
      </c>
      <c r="D1460" s="5" t="s">
        <v>6636</v>
      </c>
      <c r="E1460" s="8">
        <f>vlookup(B1460,Filmes_final!$B$2:$U$1001,20,FALSE)</f>
        <v>100244555</v>
      </c>
      <c r="F1460" s="5">
        <f>vlookup(B1460,Filmes_final!$B$2:$U$1001,3,FALSE)</f>
        <v>2005</v>
      </c>
      <c r="G1460" s="5" t="str">
        <f>vlookup(B1460,Filmes_final!$B$2:$U$1001,13,FALSE)</f>
        <v>Frank Miller</v>
      </c>
    </row>
    <row r="1461">
      <c r="A1461" s="5">
        <v>365.0</v>
      </c>
      <c r="B1461" s="5" t="s">
        <v>2379</v>
      </c>
      <c r="C1461" s="5" t="s">
        <v>2384</v>
      </c>
      <c r="D1461" s="5" t="s">
        <v>6637</v>
      </c>
      <c r="E1461" s="8">
        <f>vlookup(B1461,Filmes_final!$B$2:$U$1001,20,FALSE)</f>
        <v>100244555</v>
      </c>
      <c r="F1461" s="5">
        <f>vlookup(B1461,Filmes_final!$B$2:$U$1001,3,FALSE)</f>
        <v>2005</v>
      </c>
      <c r="G1461" s="5" t="str">
        <f>vlookup(B1461,Filmes_final!$B$2:$U$1001,13,FALSE)</f>
        <v>Frank Miller</v>
      </c>
    </row>
    <row r="1462">
      <c r="A1462" s="5">
        <v>366.0</v>
      </c>
      <c r="B1462" s="5" t="s">
        <v>2385</v>
      </c>
      <c r="C1462" s="5" t="s">
        <v>2388</v>
      </c>
      <c r="D1462" s="5" t="s">
        <v>6634</v>
      </c>
      <c r="E1462" s="8">
        <f>vlookup(B1462,Filmes_final!$B$2:$U$1001,20,FALSE)</f>
        <v>7634108</v>
      </c>
      <c r="F1462" s="5">
        <f>vlookup(B1462,Filmes_final!$B$2:$U$1001,3,FALSE)</f>
        <v>2007</v>
      </c>
      <c r="G1462" s="5" t="str">
        <f>vlookup(B1462,Filmes_final!$B$2:$U$1001,13,FALSE)</f>
        <v>Julian Schnabel</v>
      </c>
    </row>
    <row r="1463">
      <c r="A1463" s="5">
        <v>366.0</v>
      </c>
      <c r="B1463" s="5" t="s">
        <v>2385</v>
      </c>
      <c r="C1463" s="5" t="s">
        <v>1469</v>
      </c>
      <c r="D1463" s="5" t="s">
        <v>6635</v>
      </c>
      <c r="E1463" s="8">
        <f>vlookup(B1463,Filmes_final!$B$2:$U$1001,20,FALSE)</f>
        <v>7634108</v>
      </c>
      <c r="F1463" s="5">
        <f>vlookup(B1463,Filmes_final!$B$2:$U$1001,3,FALSE)</f>
        <v>2007</v>
      </c>
      <c r="G1463" s="5" t="str">
        <f>vlookup(B1463,Filmes_final!$B$2:$U$1001,13,FALSE)</f>
        <v>Julian Schnabel</v>
      </c>
    </row>
    <row r="1464">
      <c r="A1464" s="5">
        <v>366.0</v>
      </c>
      <c r="B1464" s="5" t="s">
        <v>2385</v>
      </c>
      <c r="C1464" s="5" t="s">
        <v>2389</v>
      </c>
      <c r="D1464" s="5" t="s">
        <v>6636</v>
      </c>
      <c r="E1464" s="8">
        <f>vlookup(B1464,Filmes_final!$B$2:$U$1001,20,FALSE)</f>
        <v>7634108</v>
      </c>
      <c r="F1464" s="5">
        <f>vlookup(B1464,Filmes_final!$B$2:$U$1001,3,FALSE)</f>
        <v>2007</v>
      </c>
      <c r="G1464" s="5" t="str">
        <f>vlookup(B1464,Filmes_final!$B$2:$U$1001,13,FALSE)</f>
        <v>Julian Schnabel</v>
      </c>
    </row>
    <row r="1465">
      <c r="A1465" s="5">
        <v>366.0</v>
      </c>
      <c r="B1465" s="5" t="s">
        <v>2385</v>
      </c>
      <c r="C1465" s="5" t="s">
        <v>2390</v>
      </c>
      <c r="D1465" s="5" t="s">
        <v>6637</v>
      </c>
      <c r="E1465" s="8">
        <f>vlookup(B1465,Filmes_final!$B$2:$U$1001,20,FALSE)</f>
        <v>7634108</v>
      </c>
      <c r="F1465" s="5">
        <f>vlookup(B1465,Filmes_final!$B$2:$U$1001,3,FALSE)</f>
        <v>2007</v>
      </c>
      <c r="G1465" s="5" t="str">
        <f>vlookup(B1465,Filmes_final!$B$2:$U$1001,13,FALSE)</f>
        <v>Julian Schnabel</v>
      </c>
    </row>
    <row r="1466">
      <c r="A1466" s="5">
        <v>367.0</v>
      </c>
      <c r="B1466" s="5" t="s">
        <v>2391</v>
      </c>
      <c r="C1466" s="5" t="s">
        <v>2394</v>
      </c>
      <c r="D1466" s="5" t="s">
        <v>6634</v>
      </c>
      <c r="E1466" s="8">
        <f>vlookup(B1466,Filmes_final!$B$2:$U$1001,20,FALSE)</f>
        <v>29027378</v>
      </c>
      <c r="F1466" s="5">
        <f>vlookup(B1466,Filmes_final!$B$2:$U$1001,3,FALSE)</f>
        <v>2004</v>
      </c>
      <c r="G1466" s="5" t="str">
        <f>vlookup(B1466,Filmes_final!$B$2:$U$1001,13,FALSE)</f>
        <v>Ömer Faruk Sorak</v>
      </c>
    </row>
    <row r="1467">
      <c r="A1467" s="5">
        <v>367.0</v>
      </c>
      <c r="B1467" s="5" t="s">
        <v>2391</v>
      </c>
      <c r="C1467" s="5" t="s">
        <v>2395</v>
      </c>
      <c r="D1467" s="5" t="s">
        <v>6635</v>
      </c>
      <c r="E1467" s="8">
        <f>vlookup(B1467,Filmes_final!$B$2:$U$1001,20,FALSE)</f>
        <v>29027378</v>
      </c>
      <c r="F1467" s="5">
        <f>vlookup(B1467,Filmes_final!$B$2:$U$1001,3,FALSE)</f>
        <v>2004</v>
      </c>
      <c r="G1467" s="5" t="str">
        <f>vlookup(B1467,Filmes_final!$B$2:$U$1001,13,FALSE)</f>
        <v>Ömer Faruk Sorak</v>
      </c>
    </row>
    <row r="1468">
      <c r="A1468" s="5">
        <v>367.0</v>
      </c>
      <c r="B1468" s="5" t="s">
        <v>2391</v>
      </c>
      <c r="C1468" s="5" t="s">
        <v>2396</v>
      </c>
      <c r="D1468" s="5" t="s">
        <v>6636</v>
      </c>
      <c r="E1468" s="8">
        <f>vlookup(B1468,Filmes_final!$B$2:$U$1001,20,FALSE)</f>
        <v>29027378</v>
      </c>
      <c r="F1468" s="5">
        <f>vlookup(B1468,Filmes_final!$B$2:$U$1001,3,FALSE)</f>
        <v>2004</v>
      </c>
      <c r="G1468" s="5" t="str">
        <f>vlookup(B1468,Filmes_final!$B$2:$U$1001,13,FALSE)</f>
        <v>Ömer Faruk Sorak</v>
      </c>
    </row>
    <row r="1469">
      <c r="A1469" s="5">
        <v>367.0</v>
      </c>
      <c r="B1469" s="5" t="s">
        <v>2391</v>
      </c>
      <c r="C1469" s="5" t="s">
        <v>2397</v>
      </c>
      <c r="D1469" s="5" t="s">
        <v>6637</v>
      </c>
      <c r="E1469" s="8">
        <f>vlookup(B1469,Filmes_final!$B$2:$U$1001,20,FALSE)</f>
        <v>29027378</v>
      </c>
      <c r="F1469" s="5">
        <f>vlookup(B1469,Filmes_final!$B$2:$U$1001,3,FALSE)</f>
        <v>2004</v>
      </c>
      <c r="G1469" s="5" t="str">
        <f>vlookup(B1469,Filmes_final!$B$2:$U$1001,13,FALSE)</f>
        <v>Ömer Faruk Sorak</v>
      </c>
    </row>
    <row r="1470">
      <c r="A1470" s="5">
        <v>368.0</v>
      </c>
      <c r="B1470" s="5" t="s">
        <v>2398</v>
      </c>
      <c r="C1470" s="5" t="s">
        <v>2401</v>
      </c>
      <c r="D1470" s="5" t="s">
        <v>6634</v>
      </c>
      <c r="E1470" s="8">
        <f>vlookup(B1470,Filmes_final!$B$2:$U$1001,20,FALSE)</f>
        <v>263106631</v>
      </c>
      <c r="F1470" s="5">
        <f>vlookup(B1470,Filmes_final!$B$2:$U$1001,3,FALSE)</f>
        <v>2007</v>
      </c>
      <c r="G1470" s="5" t="str">
        <f>vlookup(B1470,Filmes_final!$B$2:$U$1001,13,FALSE)</f>
        <v>Brad Bird</v>
      </c>
    </row>
    <row r="1471">
      <c r="A1471" s="5">
        <v>368.0</v>
      </c>
      <c r="B1471" s="5" t="s">
        <v>2398</v>
      </c>
      <c r="C1471" s="5" t="s">
        <v>2402</v>
      </c>
      <c r="D1471" s="5" t="s">
        <v>6635</v>
      </c>
      <c r="E1471" s="8">
        <f>vlookup(B1471,Filmes_final!$B$2:$U$1001,20,FALSE)</f>
        <v>263106631</v>
      </c>
      <c r="F1471" s="5">
        <f>vlookup(B1471,Filmes_final!$B$2:$U$1001,3,FALSE)</f>
        <v>2007</v>
      </c>
      <c r="G1471" s="5" t="str">
        <f>vlookup(B1471,Filmes_final!$B$2:$U$1001,13,FALSE)</f>
        <v>Brad Bird</v>
      </c>
    </row>
    <row r="1472">
      <c r="A1472" s="5">
        <v>368.0</v>
      </c>
      <c r="B1472" s="5" t="s">
        <v>2398</v>
      </c>
      <c r="C1472" s="5" t="s">
        <v>2403</v>
      </c>
      <c r="D1472" s="5" t="s">
        <v>6636</v>
      </c>
      <c r="E1472" s="8">
        <f>vlookup(B1472,Filmes_final!$B$2:$U$1001,20,FALSE)</f>
        <v>263106631</v>
      </c>
      <c r="F1472" s="5">
        <f>vlookup(B1472,Filmes_final!$B$2:$U$1001,3,FALSE)</f>
        <v>2007</v>
      </c>
      <c r="G1472" s="5" t="str">
        <f>vlookup(B1472,Filmes_final!$B$2:$U$1001,13,FALSE)</f>
        <v>Brad Bird</v>
      </c>
    </row>
    <row r="1473">
      <c r="A1473" s="5">
        <v>368.0</v>
      </c>
      <c r="B1473" s="5" t="s">
        <v>2398</v>
      </c>
      <c r="C1473" s="5" t="s">
        <v>2404</v>
      </c>
      <c r="D1473" s="5" t="s">
        <v>6637</v>
      </c>
      <c r="E1473" s="8">
        <f>vlookup(B1473,Filmes_final!$B$2:$U$1001,20,FALSE)</f>
        <v>263106631</v>
      </c>
      <c r="F1473" s="5">
        <f>vlookup(B1473,Filmes_final!$B$2:$U$1001,3,FALSE)</f>
        <v>2007</v>
      </c>
      <c r="G1473" s="5" t="str">
        <f>vlookup(B1473,Filmes_final!$B$2:$U$1001,13,FALSE)</f>
        <v>Brad Bird</v>
      </c>
    </row>
    <row r="1474">
      <c r="A1474" s="5">
        <v>369.0</v>
      </c>
      <c r="B1474" s="5" t="s">
        <v>2405</v>
      </c>
      <c r="C1474" s="5" t="s">
        <v>2409</v>
      </c>
      <c r="D1474" s="5" t="s">
        <v>6634</v>
      </c>
      <c r="E1474" s="8">
        <f>vlookup(B1474,Filmes_final!$B$2:$U$1001,20,FALSE)</f>
        <v>217832586</v>
      </c>
      <c r="F1474" s="5">
        <f>vlookup(B1474,Filmes_final!$B$2:$U$1001,3,FALSE)</f>
        <v>2006</v>
      </c>
      <c r="G1474" s="5" t="str">
        <f>vlookup(B1474,Filmes_final!$B$2:$U$1001,13,FALSE)</f>
        <v>Martin Campbell</v>
      </c>
    </row>
    <row r="1475">
      <c r="A1475" s="5">
        <v>369.0</v>
      </c>
      <c r="B1475" s="5" t="s">
        <v>2405</v>
      </c>
      <c r="C1475" s="5" t="s">
        <v>2410</v>
      </c>
      <c r="D1475" s="5" t="s">
        <v>6635</v>
      </c>
      <c r="E1475" s="8">
        <f>vlookup(B1475,Filmes_final!$B$2:$U$1001,20,FALSE)</f>
        <v>217832586</v>
      </c>
      <c r="F1475" s="5">
        <f>vlookup(B1475,Filmes_final!$B$2:$U$1001,3,FALSE)</f>
        <v>2006</v>
      </c>
      <c r="G1475" s="5" t="str">
        <f>vlookup(B1475,Filmes_final!$B$2:$U$1001,13,FALSE)</f>
        <v>Martin Campbell</v>
      </c>
    </row>
    <row r="1476">
      <c r="A1476" s="5">
        <v>369.0</v>
      </c>
      <c r="B1476" s="5" t="s">
        <v>2405</v>
      </c>
      <c r="C1476" s="5" t="s">
        <v>2411</v>
      </c>
      <c r="D1476" s="5" t="s">
        <v>6636</v>
      </c>
      <c r="E1476" s="8">
        <f>vlookup(B1476,Filmes_final!$B$2:$U$1001,20,FALSE)</f>
        <v>217832586</v>
      </c>
      <c r="F1476" s="5">
        <f>vlookup(B1476,Filmes_final!$B$2:$U$1001,3,FALSE)</f>
        <v>2006</v>
      </c>
      <c r="G1476" s="5" t="str">
        <f>vlookup(B1476,Filmes_final!$B$2:$U$1001,13,FALSE)</f>
        <v>Martin Campbell</v>
      </c>
    </row>
    <row r="1477">
      <c r="A1477" s="5">
        <v>369.0</v>
      </c>
      <c r="B1477" s="5" t="s">
        <v>2405</v>
      </c>
      <c r="C1477" s="5" t="s">
        <v>2412</v>
      </c>
      <c r="D1477" s="5" t="s">
        <v>6637</v>
      </c>
      <c r="E1477" s="8">
        <f>vlookup(B1477,Filmes_final!$B$2:$U$1001,20,FALSE)</f>
        <v>217832586</v>
      </c>
      <c r="F1477" s="5">
        <f>vlookup(B1477,Filmes_final!$B$2:$U$1001,3,FALSE)</f>
        <v>2006</v>
      </c>
      <c r="G1477" s="5" t="str">
        <f>vlookup(B1477,Filmes_final!$B$2:$U$1001,13,FALSE)</f>
        <v>Martin Campbell</v>
      </c>
    </row>
    <row r="1478">
      <c r="A1478" s="5">
        <v>370.0</v>
      </c>
      <c r="B1478" s="5" t="s">
        <v>2413</v>
      </c>
      <c r="C1478" s="5" t="s">
        <v>74</v>
      </c>
      <c r="D1478" s="5" t="s">
        <v>6634</v>
      </c>
      <c r="E1478" s="8">
        <f>vlookup(B1478,Filmes_final!$B$2:$U$1001,20,FALSE)</f>
        <v>92223495</v>
      </c>
      <c r="F1478" s="5">
        <f>vlookup(B1478,Filmes_final!$B$2:$U$1001,3,FALSE)</f>
        <v>2004</v>
      </c>
      <c r="G1478" s="5" t="str">
        <f>vlookup(B1478,Filmes_final!$B$2:$U$1001,13,FALSE)</f>
        <v>Quentin Tarantino</v>
      </c>
    </row>
    <row r="1479">
      <c r="A1479" s="5">
        <v>370.0</v>
      </c>
      <c r="B1479" s="5" t="s">
        <v>2413</v>
      </c>
      <c r="C1479" s="5" t="s">
        <v>1665</v>
      </c>
      <c r="D1479" s="5" t="s">
        <v>6635</v>
      </c>
      <c r="E1479" s="8">
        <f>vlookup(B1479,Filmes_final!$B$2:$U$1001,20,FALSE)</f>
        <v>92223495</v>
      </c>
      <c r="F1479" s="5">
        <f>vlookup(B1479,Filmes_final!$B$2:$U$1001,3,FALSE)</f>
        <v>2004</v>
      </c>
      <c r="G1479" s="5" t="str">
        <f>vlookup(B1479,Filmes_final!$B$2:$U$1001,13,FALSE)</f>
        <v>Quentin Tarantino</v>
      </c>
    </row>
    <row r="1480">
      <c r="A1480" s="5">
        <v>370.0</v>
      </c>
      <c r="B1480" s="5" t="s">
        <v>2413</v>
      </c>
      <c r="C1480" s="5" t="s">
        <v>782</v>
      </c>
      <c r="D1480" s="5" t="s">
        <v>6636</v>
      </c>
      <c r="E1480" s="8">
        <f>vlookup(B1480,Filmes_final!$B$2:$U$1001,20,FALSE)</f>
        <v>92223495</v>
      </c>
      <c r="F1480" s="5">
        <f>vlookup(B1480,Filmes_final!$B$2:$U$1001,3,FALSE)</f>
        <v>2004</v>
      </c>
      <c r="G1480" s="5" t="str">
        <f>vlookup(B1480,Filmes_final!$B$2:$U$1001,13,FALSE)</f>
        <v>Quentin Tarantino</v>
      </c>
    </row>
    <row r="1481">
      <c r="A1481" s="5">
        <v>370.0</v>
      </c>
      <c r="B1481" s="5" t="s">
        <v>2413</v>
      </c>
      <c r="C1481" s="5" t="s">
        <v>1666</v>
      </c>
      <c r="D1481" s="5" t="s">
        <v>6637</v>
      </c>
      <c r="E1481" s="8">
        <f>vlookup(B1481,Filmes_final!$B$2:$U$1001,20,FALSE)</f>
        <v>92223495</v>
      </c>
      <c r="F1481" s="5">
        <f>vlookup(B1481,Filmes_final!$B$2:$U$1001,3,FALSE)</f>
        <v>2004</v>
      </c>
      <c r="G1481" s="5" t="str">
        <f>vlookup(B1481,Filmes_final!$B$2:$U$1001,13,FALSE)</f>
        <v>Quentin Tarantino</v>
      </c>
    </row>
    <row r="1482">
      <c r="A1482" s="5">
        <v>371.0</v>
      </c>
      <c r="B1482" s="5" t="s">
        <v>2415</v>
      </c>
      <c r="C1482" s="5" t="s">
        <v>2418</v>
      </c>
      <c r="D1482" s="5" t="s">
        <v>6634</v>
      </c>
      <c r="E1482" s="8">
        <f>vlookup(B1482,Filmes_final!$B$2:$U$1001,20,FALSE)</f>
        <v>712761</v>
      </c>
      <c r="F1482" s="5">
        <f>vlookup(B1482,Filmes_final!$B$2:$U$1001,3,FALSE)</f>
        <v>2003</v>
      </c>
      <c r="G1482" s="5" t="str">
        <f>vlookup(B1482,Filmes_final!$B$2:$U$1001,13,FALSE)</f>
        <v>Andrey Zvyagintsev</v>
      </c>
    </row>
    <row r="1483">
      <c r="A1483" s="5">
        <v>371.0</v>
      </c>
      <c r="B1483" s="5" t="s">
        <v>2415</v>
      </c>
      <c r="C1483" s="5" t="s">
        <v>2419</v>
      </c>
      <c r="D1483" s="5" t="s">
        <v>6635</v>
      </c>
      <c r="E1483" s="8">
        <f>vlookup(B1483,Filmes_final!$B$2:$U$1001,20,FALSE)</f>
        <v>712761</v>
      </c>
      <c r="F1483" s="5">
        <f>vlookup(B1483,Filmes_final!$B$2:$U$1001,3,FALSE)</f>
        <v>2003</v>
      </c>
      <c r="G1483" s="5" t="str">
        <f>vlookup(B1483,Filmes_final!$B$2:$U$1001,13,FALSE)</f>
        <v>Andrey Zvyagintsev</v>
      </c>
    </row>
    <row r="1484">
      <c r="A1484" s="5">
        <v>371.0</v>
      </c>
      <c r="B1484" s="5" t="s">
        <v>2415</v>
      </c>
      <c r="C1484" s="5" t="s">
        <v>2420</v>
      </c>
      <c r="D1484" s="5" t="s">
        <v>6636</v>
      </c>
      <c r="E1484" s="8">
        <f>vlookup(B1484,Filmes_final!$B$2:$U$1001,20,FALSE)</f>
        <v>712761</v>
      </c>
      <c r="F1484" s="5">
        <f>vlookup(B1484,Filmes_final!$B$2:$U$1001,3,FALSE)</f>
        <v>2003</v>
      </c>
      <c r="G1484" s="5" t="str">
        <f>vlookup(B1484,Filmes_final!$B$2:$U$1001,13,FALSE)</f>
        <v>Andrey Zvyagintsev</v>
      </c>
    </row>
    <row r="1485">
      <c r="A1485" s="5">
        <v>371.0</v>
      </c>
      <c r="B1485" s="5" t="s">
        <v>2415</v>
      </c>
      <c r="C1485" s="5" t="s">
        <v>2421</v>
      </c>
      <c r="D1485" s="5" t="s">
        <v>6637</v>
      </c>
      <c r="E1485" s="8">
        <f>vlookup(B1485,Filmes_final!$B$2:$U$1001,20,FALSE)</f>
        <v>712761</v>
      </c>
      <c r="F1485" s="5">
        <f>vlookup(B1485,Filmes_final!$B$2:$U$1001,3,FALSE)</f>
        <v>2003</v>
      </c>
      <c r="G1485" s="5" t="str">
        <f>vlookup(B1485,Filmes_final!$B$2:$U$1001,13,FALSE)</f>
        <v>Andrey Zvyagintsev</v>
      </c>
    </row>
    <row r="1486">
      <c r="A1486" s="5">
        <v>372.0</v>
      </c>
      <c r="B1486" s="5" t="s">
        <v>2422</v>
      </c>
      <c r="C1486" s="5" t="s">
        <v>2374</v>
      </c>
      <c r="D1486" s="5" t="s">
        <v>6634</v>
      </c>
      <c r="E1486" s="8">
        <f>vlookup(B1486,Filmes_final!$B$2:$U$1001,20,FALSE)</f>
        <v>3380156</v>
      </c>
      <c r="F1486" s="5">
        <f>vlookup(B1486,Filmes_final!$B$2:$U$1001,3,FALSE)</f>
        <v>2003</v>
      </c>
      <c r="G1486" s="5" t="str">
        <f>vlookup(B1486,Filmes_final!$B$2:$U$1001,13,FALSE)</f>
        <v>Ki-duk Kim</v>
      </c>
    </row>
    <row r="1487">
      <c r="A1487" s="5">
        <v>372.0</v>
      </c>
      <c r="B1487" s="5" t="s">
        <v>2422</v>
      </c>
      <c r="C1487" s="5" t="s">
        <v>2424</v>
      </c>
      <c r="D1487" s="5" t="s">
        <v>6635</v>
      </c>
      <c r="E1487" s="8">
        <f>vlookup(B1487,Filmes_final!$B$2:$U$1001,20,FALSE)</f>
        <v>3380156</v>
      </c>
      <c r="F1487" s="5">
        <f>vlookup(B1487,Filmes_final!$B$2:$U$1001,3,FALSE)</f>
        <v>2003</v>
      </c>
      <c r="G1487" s="5" t="str">
        <f>vlookup(B1487,Filmes_final!$B$2:$U$1001,13,FALSE)</f>
        <v>Ki-duk Kim</v>
      </c>
    </row>
    <row r="1488">
      <c r="A1488" s="5">
        <v>372.0</v>
      </c>
      <c r="B1488" s="5" t="s">
        <v>2422</v>
      </c>
      <c r="C1488" s="5" t="s">
        <v>2425</v>
      </c>
      <c r="D1488" s="5" t="s">
        <v>6636</v>
      </c>
      <c r="E1488" s="8">
        <f>vlookup(B1488,Filmes_final!$B$2:$U$1001,20,FALSE)</f>
        <v>3380156</v>
      </c>
      <c r="F1488" s="5">
        <f>vlookup(B1488,Filmes_final!$B$2:$U$1001,3,FALSE)</f>
        <v>2003</v>
      </c>
      <c r="G1488" s="5" t="str">
        <f>vlookup(B1488,Filmes_final!$B$2:$U$1001,13,FALSE)</f>
        <v>Ki-duk Kim</v>
      </c>
    </row>
    <row r="1489">
      <c r="A1489" s="5">
        <v>372.0</v>
      </c>
      <c r="B1489" s="5" t="s">
        <v>2422</v>
      </c>
      <c r="C1489" s="5" t="s">
        <v>2426</v>
      </c>
      <c r="D1489" s="5" t="s">
        <v>6637</v>
      </c>
      <c r="E1489" s="8">
        <f>vlookup(B1489,Filmes_final!$B$2:$U$1001,20,FALSE)</f>
        <v>3380156</v>
      </c>
      <c r="F1489" s="5">
        <f>vlookup(B1489,Filmes_final!$B$2:$U$1001,3,FALSE)</f>
        <v>2003</v>
      </c>
      <c r="G1489" s="5" t="str">
        <f>vlookup(B1489,Filmes_final!$B$2:$U$1001,13,FALSE)</f>
        <v>Ki-duk Kim</v>
      </c>
    </row>
    <row r="1490">
      <c r="A1490" s="5">
        <v>373.0</v>
      </c>
      <c r="B1490" s="5" t="s">
        <v>2427</v>
      </c>
      <c r="C1490" s="5" t="s">
        <v>1615</v>
      </c>
      <c r="D1490" s="5" t="s">
        <v>6634</v>
      </c>
      <c r="E1490" s="8">
        <f>vlookup(B1490,Filmes_final!$B$2:$U$1001,20,FALSE)</f>
        <v>2300896</v>
      </c>
      <c r="F1490" s="5">
        <f>vlookup(B1490,Filmes_final!$B$2:$U$1001,3,FALSE)</f>
        <v>2014</v>
      </c>
      <c r="G1490" s="5" t="str">
        <f>vlookup(B1490,Filmes_final!$B$2:$U$1001,13,FALSE)</f>
        <v>Alejandro Amenábar</v>
      </c>
    </row>
    <row r="1491">
      <c r="A1491" s="5">
        <v>373.0</v>
      </c>
      <c r="B1491" s="5" t="s">
        <v>2427</v>
      </c>
      <c r="C1491" s="5" t="s">
        <v>2430</v>
      </c>
      <c r="D1491" s="5" t="s">
        <v>6635</v>
      </c>
      <c r="E1491" s="8">
        <f>vlookup(B1491,Filmes_final!$B$2:$U$1001,20,FALSE)</f>
        <v>2300896</v>
      </c>
      <c r="F1491" s="5">
        <f>vlookup(B1491,Filmes_final!$B$2:$U$1001,3,FALSE)</f>
        <v>2014</v>
      </c>
      <c r="G1491" s="5" t="str">
        <f>vlookup(B1491,Filmes_final!$B$2:$U$1001,13,FALSE)</f>
        <v>Alejandro Amenábar</v>
      </c>
    </row>
    <row r="1492">
      <c r="A1492" s="5">
        <v>373.0</v>
      </c>
      <c r="B1492" s="5" t="s">
        <v>2427</v>
      </c>
      <c r="C1492" s="5" t="s">
        <v>2431</v>
      </c>
      <c r="D1492" s="5" t="s">
        <v>6636</v>
      </c>
      <c r="E1492" s="8">
        <f>vlookup(B1492,Filmes_final!$B$2:$U$1001,20,FALSE)</f>
        <v>2300896</v>
      </c>
      <c r="F1492" s="5">
        <f>vlookup(B1492,Filmes_final!$B$2:$U$1001,3,FALSE)</f>
        <v>2014</v>
      </c>
      <c r="G1492" s="5" t="str">
        <f>vlookup(B1492,Filmes_final!$B$2:$U$1001,13,FALSE)</f>
        <v>Alejandro Amenábar</v>
      </c>
    </row>
    <row r="1493">
      <c r="A1493" s="5">
        <v>373.0</v>
      </c>
      <c r="B1493" s="5" t="s">
        <v>2427</v>
      </c>
      <c r="C1493" s="5" t="s">
        <v>2432</v>
      </c>
      <c r="D1493" s="5" t="s">
        <v>6637</v>
      </c>
      <c r="E1493" s="8">
        <f>vlookup(B1493,Filmes_final!$B$2:$U$1001,20,FALSE)</f>
        <v>2300896</v>
      </c>
      <c r="F1493" s="5">
        <f>vlookup(B1493,Filmes_final!$B$2:$U$1001,3,FALSE)</f>
        <v>2014</v>
      </c>
      <c r="G1493" s="5" t="str">
        <f>vlookup(B1493,Filmes_final!$B$2:$U$1001,13,FALSE)</f>
        <v>Alejandro Amenábar</v>
      </c>
    </row>
    <row r="1494">
      <c r="A1494" s="5">
        <v>374.0</v>
      </c>
      <c r="B1494" s="5" t="s">
        <v>2433</v>
      </c>
      <c r="C1494" s="5" t="s">
        <v>325</v>
      </c>
      <c r="D1494" s="5" t="s">
        <v>6634</v>
      </c>
      <c r="E1494" s="8">
        <f>vlookup(B1494,Filmes_final!$B$2:$U$1001,20,FALSE)</f>
        <v>83397426</v>
      </c>
      <c r="F1494" s="5">
        <f>vlookup(B1494,Filmes_final!$B$2:$U$1001,3,FALSE)</f>
        <v>2005</v>
      </c>
      <c r="G1494" s="5" t="str">
        <f>vlookup(B1494,Filmes_final!$B$2:$U$1001,13,FALSE)</f>
        <v>Ron Howard</v>
      </c>
    </row>
    <row r="1495">
      <c r="A1495" s="5">
        <v>374.0</v>
      </c>
      <c r="B1495" s="5" t="s">
        <v>2433</v>
      </c>
      <c r="C1495" s="5" t="s">
        <v>2435</v>
      </c>
      <c r="D1495" s="5" t="s">
        <v>6635</v>
      </c>
      <c r="E1495" s="8">
        <f>vlookup(B1495,Filmes_final!$B$2:$U$1001,20,FALSE)</f>
        <v>83397426</v>
      </c>
      <c r="F1495" s="5">
        <f>vlookup(B1495,Filmes_final!$B$2:$U$1001,3,FALSE)</f>
        <v>2005</v>
      </c>
      <c r="G1495" s="5" t="str">
        <f>vlookup(B1495,Filmes_final!$B$2:$U$1001,13,FALSE)</f>
        <v>Ron Howard</v>
      </c>
    </row>
    <row r="1496">
      <c r="A1496" s="5">
        <v>374.0</v>
      </c>
      <c r="B1496" s="5" t="s">
        <v>2433</v>
      </c>
      <c r="C1496" s="5" t="s">
        <v>2436</v>
      </c>
      <c r="D1496" s="5" t="s">
        <v>6636</v>
      </c>
      <c r="E1496" s="8">
        <f>vlookup(B1496,Filmes_final!$B$2:$U$1001,20,FALSE)</f>
        <v>83397426</v>
      </c>
      <c r="F1496" s="5">
        <f>vlookup(B1496,Filmes_final!$B$2:$U$1001,3,FALSE)</f>
        <v>2005</v>
      </c>
      <c r="G1496" s="5" t="str">
        <f>vlookup(B1496,Filmes_final!$B$2:$U$1001,13,FALSE)</f>
        <v>Ron Howard</v>
      </c>
    </row>
    <row r="1497">
      <c r="A1497" s="5">
        <v>374.0</v>
      </c>
      <c r="B1497" s="5" t="s">
        <v>2433</v>
      </c>
      <c r="C1497" s="5" t="s">
        <v>2437</v>
      </c>
      <c r="D1497" s="5" t="s">
        <v>6637</v>
      </c>
      <c r="E1497" s="8">
        <f>vlookup(B1497,Filmes_final!$B$2:$U$1001,20,FALSE)</f>
        <v>83397426</v>
      </c>
      <c r="F1497" s="5">
        <f>vlookup(B1497,Filmes_final!$B$2:$U$1001,3,FALSE)</f>
        <v>2005</v>
      </c>
      <c r="G1497" s="5" t="str">
        <f>vlookup(B1497,Filmes_final!$B$2:$U$1001,13,FALSE)</f>
        <v>Ron Howard</v>
      </c>
    </row>
    <row r="1498">
      <c r="A1498" s="5">
        <v>375.0</v>
      </c>
      <c r="B1498" s="5" t="s">
        <v>2438</v>
      </c>
      <c r="C1498" s="5" t="s">
        <v>1661</v>
      </c>
      <c r="D1498" s="5" t="s">
        <v>6634</v>
      </c>
      <c r="E1498" s="8">
        <f>vlookup(B1498,Filmes_final!$B$2:$U$1001,20,FALSE)</f>
        <v>2537654</v>
      </c>
      <c r="F1498" s="5">
        <f>vlookup(B1498,Filmes_final!$B$2:$U$1001,3,FALSE)</f>
        <v>2003</v>
      </c>
      <c r="G1498" s="5" t="str">
        <f>vlookup(B1498,Filmes_final!$B$2:$U$1001,13,FALSE)</f>
        <v>Nikkhil Advani</v>
      </c>
    </row>
    <row r="1499">
      <c r="A1499" s="5">
        <v>375.0</v>
      </c>
      <c r="B1499" s="5" t="s">
        <v>2438</v>
      </c>
      <c r="C1499" s="5" t="s">
        <v>1084</v>
      </c>
      <c r="D1499" s="5" t="s">
        <v>6635</v>
      </c>
      <c r="E1499" s="8">
        <f>vlookup(B1499,Filmes_final!$B$2:$U$1001,20,FALSE)</f>
        <v>2537654</v>
      </c>
      <c r="F1499" s="5">
        <f>vlookup(B1499,Filmes_final!$B$2:$U$1001,3,FALSE)</f>
        <v>2003</v>
      </c>
      <c r="G1499" s="5" t="str">
        <f>vlookup(B1499,Filmes_final!$B$2:$U$1001,13,FALSE)</f>
        <v>Nikkhil Advani</v>
      </c>
    </row>
    <row r="1500">
      <c r="A1500" s="5">
        <v>375.0</v>
      </c>
      <c r="B1500" s="5" t="s">
        <v>2438</v>
      </c>
      <c r="C1500" s="5" t="s">
        <v>1659</v>
      </c>
      <c r="D1500" s="5" t="s">
        <v>6636</v>
      </c>
      <c r="E1500" s="8">
        <f>vlookup(B1500,Filmes_final!$B$2:$U$1001,20,FALSE)</f>
        <v>2537654</v>
      </c>
      <c r="F1500" s="5">
        <f>vlookup(B1500,Filmes_final!$B$2:$U$1001,3,FALSE)</f>
        <v>2003</v>
      </c>
      <c r="G1500" s="5" t="str">
        <f>vlookup(B1500,Filmes_final!$B$2:$U$1001,13,FALSE)</f>
        <v>Nikkhil Advani</v>
      </c>
    </row>
    <row r="1501">
      <c r="A1501" s="5">
        <v>375.0</v>
      </c>
      <c r="B1501" s="5" t="s">
        <v>2438</v>
      </c>
      <c r="C1501" s="5" t="s">
        <v>2441</v>
      </c>
      <c r="D1501" s="5" t="s">
        <v>6637</v>
      </c>
      <c r="E1501" s="8">
        <f>vlookup(B1501,Filmes_final!$B$2:$U$1001,20,FALSE)</f>
        <v>2537654</v>
      </c>
      <c r="F1501" s="5">
        <f>vlookup(B1501,Filmes_final!$B$2:$U$1001,3,FALSE)</f>
        <v>2003</v>
      </c>
      <c r="G1501" s="5" t="str">
        <f>vlookup(B1501,Filmes_final!$B$2:$U$1001,13,FALSE)</f>
        <v>Nikkhil Advani</v>
      </c>
    </row>
    <row r="1502">
      <c r="A1502" s="5">
        <v>376.0</v>
      </c>
      <c r="B1502" s="5" t="s">
        <v>2442</v>
      </c>
      <c r="C1502" s="5" t="s">
        <v>2445</v>
      </c>
      <c r="D1502" s="5" t="s">
        <v>6634</v>
      </c>
      <c r="E1502" s="8">
        <f>vlookup(B1502,Filmes_final!$B$2:$U$1001,20,FALSE)</f>
        <v>247132</v>
      </c>
      <c r="F1502" s="5">
        <f>vlookup(B1502,Filmes_final!$B$2:$U$1001,3,FALSE)</f>
        <v>2002</v>
      </c>
      <c r="G1502" s="5" t="str">
        <f>vlookup(B1502,Filmes_final!$B$2:$U$1001,13,FALSE)</f>
        <v>Andrew Lau</v>
      </c>
    </row>
    <row r="1503">
      <c r="A1503" s="5">
        <v>376.0</v>
      </c>
      <c r="B1503" s="5" t="s">
        <v>2442</v>
      </c>
      <c r="C1503" s="5" t="s">
        <v>2446</v>
      </c>
      <c r="D1503" s="5" t="s">
        <v>6635</v>
      </c>
      <c r="E1503" s="8">
        <f>vlookup(B1503,Filmes_final!$B$2:$U$1001,20,FALSE)</f>
        <v>247132</v>
      </c>
      <c r="F1503" s="5">
        <f>vlookup(B1503,Filmes_final!$B$2:$U$1001,3,FALSE)</f>
        <v>2002</v>
      </c>
      <c r="G1503" s="5" t="str">
        <f>vlookup(B1503,Filmes_final!$B$2:$U$1001,13,FALSE)</f>
        <v>Andrew Lau</v>
      </c>
    </row>
    <row r="1504">
      <c r="A1504" s="5">
        <v>376.0</v>
      </c>
      <c r="B1504" s="5" t="s">
        <v>2442</v>
      </c>
      <c r="C1504" s="5" t="s">
        <v>1732</v>
      </c>
      <c r="D1504" s="5" t="s">
        <v>6636</v>
      </c>
      <c r="E1504" s="8">
        <f>vlookup(B1504,Filmes_final!$B$2:$U$1001,20,FALSE)</f>
        <v>247132</v>
      </c>
      <c r="F1504" s="5">
        <f>vlookup(B1504,Filmes_final!$B$2:$U$1001,3,FALSE)</f>
        <v>2002</v>
      </c>
      <c r="G1504" s="5" t="str">
        <f>vlookup(B1504,Filmes_final!$B$2:$U$1001,13,FALSE)</f>
        <v>Andrew Lau</v>
      </c>
    </row>
    <row r="1505">
      <c r="A1505" s="5">
        <v>376.0</v>
      </c>
      <c r="B1505" s="5" t="s">
        <v>2442</v>
      </c>
      <c r="C1505" s="5" t="s">
        <v>2447</v>
      </c>
      <c r="D1505" s="5" t="s">
        <v>6637</v>
      </c>
      <c r="E1505" s="8">
        <f>vlookup(B1505,Filmes_final!$B$2:$U$1001,20,FALSE)</f>
        <v>247132</v>
      </c>
      <c r="F1505" s="5">
        <f>vlookup(B1505,Filmes_final!$B$2:$U$1001,3,FALSE)</f>
        <v>2002</v>
      </c>
      <c r="G1505" s="5" t="str">
        <f>vlookup(B1505,Filmes_final!$B$2:$U$1001,13,FALSE)</f>
        <v>Andrew Lau</v>
      </c>
    </row>
    <row r="1506">
      <c r="A1506" s="5">
        <v>377.0</v>
      </c>
      <c r="B1506" s="5" t="s">
        <v>2448</v>
      </c>
      <c r="C1506" s="5" t="s">
        <v>2451</v>
      </c>
      <c r="D1506" s="5" t="s">
        <v>6634</v>
      </c>
      <c r="E1506" s="8">
        <f>vlookup(B1506,Filmes_final!$B$2:$U$1001,20,FALSE)</f>
        <v>433615487</v>
      </c>
      <c r="F1506" s="5">
        <f>vlookup(B1506,Filmes_final!$B$2:$U$1001,3,FALSE)</f>
        <v>2003</v>
      </c>
      <c r="G1506" s="5" t="str">
        <f>vlookup(B1506,Filmes_final!$B$2:$U$1001,13,FALSE)</f>
        <v>Gore Verbinski</v>
      </c>
    </row>
    <row r="1507">
      <c r="A1507" s="5">
        <v>377.0</v>
      </c>
      <c r="B1507" s="5" t="s">
        <v>2448</v>
      </c>
      <c r="C1507" s="5" t="s">
        <v>2280</v>
      </c>
      <c r="D1507" s="5" t="s">
        <v>6635</v>
      </c>
      <c r="E1507" s="8">
        <f>vlookup(B1507,Filmes_final!$B$2:$U$1001,20,FALSE)</f>
        <v>433615487</v>
      </c>
      <c r="F1507" s="5">
        <f>vlookup(B1507,Filmes_final!$B$2:$U$1001,3,FALSE)</f>
        <v>2003</v>
      </c>
      <c r="G1507" s="5" t="str">
        <f>vlookup(B1507,Filmes_final!$B$2:$U$1001,13,FALSE)</f>
        <v>Gore Verbinski</v>
      </c>
    </row>
    <row r="1508">
      <c r="A1508" s="5">
        <v>377.0</v>
      </c>
      <c r="B1508" s="5" t="s">
        <v>2448</v>
      </c>
      <c r="C1508" s="5" t="s">
        <v>68</v>
      </c>
      <c r="D1508" s="5" t="s">
        <v>6636</v>
      </c>
      <c r="E1508" s="8">
        <f>vlookup(B1508,Filmes_final!$B$2:$U$1001,20,FALSE)</f>
        <v>433615487</v>
      </c>
      <c r="F1508" s="5">
        <f>vlookup(B1508,Filmes_final!$B$2:$U$1001,3,FALSE)</f>
        <v>2003</v>
      </c>
      <c r="G1508" s="5" t="str">
        <f>vlookup(B1508,Filmes_final!$B$2:$U$1001,13,FALSE)</f>
        <v>Gore Verbinski</v>
      </c>
    </row>
    <row r="1509">
      <c r="A1509" s="5">
        <v>377.0</v>
      </c>
      <c r="B1509" s="5" t="s">
        <v>2448</v>
      </c>
      <c r="C1509" s="5" t="s">
        <v>2237</v>
      </c>
      <c r="D1509" s="5" t="s">
        <v>6637</v>
      </c>
      <c r="E1509" s="8">
        <f>vlookup(B1509,Filmes_final!$B$2:$U$1001,20,FALSE)</f>
        <v>433615487</v>
      </c>
      <c r="F1509" s="5">
        <f>vlookup(B1509,Filmes_final!$B$2:$U$1001,3,FALSE)</f>
        <v>2003</v>
      </c>
      <c r="G1509" s="5" t="str">
        <f>vlookup(B1509,Filmes_final!$B$2:$U$1001,13,FALSE)</f>
        <v>Gore Verbinski</v>
      </c>
    </row>
    <row r="1510">
      <c r="A1510" s="5">
        <v>378.0</v>
      </c>
      <c r="B1510" s="5" t="s">
        <v>2452</v>
      </c>
      <c r="C1510" s="5" t="s">
        <v>1739</v>
      </c>
      <c r="D1510" s="5" t="s">
        <v>6634</v>
      </c>
      <c r="E1510" s="8">
        <f>vlookup(B1510,Filmes_final!$B$2:$U$1001,20,FALSE)</f>
        <v>94069263</v>
      </c>
      <c r="F1510" s="5">
        <f>vlookup(B1510,Filmes_final!$B$2:$U$1001,3,FALSE)</f>
        <v>2003</v>
      </c>
      <c r="G1510" s="5" t="str">
        <f>vlookup(B1510,Filmes_final!$B$2:$U$1001,13,FALSE)</f>
        <v>Tim Burton</v>
      </c>
    </row>
    <row r="1511">
      <c r="A1511" s="5">
        <v>378.0</v>
      </c>
      <c r="B1511" s="5" t="s">
        <v>2452</v>
      </c>
      <c r="C1511" s="5" t="s">
        <v>2455</v>
      </c>
      <c r="D1511" s="5" t="s">
        <v>6635</v>
      </c>
      <c r="E1511" s="8">
        <f>vlookup(B1511,Filmes_final!$B$2:$U$1001,20,FALSE)</f>
        <v>94069263</v>
      </c>
      <c r="F1511" s="5">
        <f>vlookup(B1511,Filmes_final!$B$2:$U$1001,3,FALSE)</f>
        <v>2003</v>
      </c>
      <c r="G1511" s="5" t="str">
        <f>vlookup(B1511,Filmes_final!$B$2:$U$1001,13,FALSE)</f>
        <v>Tim Burton</v>
      </c>
    </row>
    <row r="1512">
      <c r="A1512" s="5">
        <v>378.0</v>
      </c>
      <c r="B1512" s="5" t="s">
        <v>2452</v>
      </c>
      <c r="C1512" s="5" t="s">
        <v>555</v>
      </c>
      <c r="D1512" s="5" t="s">
        <v>6636</v>
      </c>
      <c r="E1512" s="8">
        <f>vlookup(B1512,Filmes_final!$B$2:$U$1001,20,FALSE)</f>
        <v>94069263</v>
      </c>
      <c r="F1512" s="5">
        <f>vlookup(B1512,Filmes_final!$B$2:$U$1001,3,FALSE)</f>
        <v>2003</v>
      </c>
      <c r="G1512" s="5" t="str">
        <f>vlookup(B1512,Filmes_final!$B$2:$U$1001,13,FALSE)</f>
        <v>Tim Burton</v>
      </c>
    </row>
    <row r="1513">
      <c r="A1513" s="5">
        <v>378.0</v>
      </c>
      <c r="B1513" s="5" t="s">
        <v>2452</v>
      </c>
      <c r="C1513" s="5" t="s">
        <v>2456</v>
      </c>
      <c r="D1513" s="5" t="s">
        <v>6637</v>
      </c>
      <c r="E1513" s="8">
        <f>vlookup(B1513,Filmes_final!$B$2:$U$1001,20,FALSE)</f>
        <v>94069263</v>
      </c>
      <c r="F1513" s="5">
        <f>vlookup(B1513,Filmes_final!$B$2:$U$1001,3,FALSE)</f>
        <v>2003</v>
      </c>
      <c r="G1513" s="5" t="str">
        <f>vlookup(B1513,Filmes_final!$B$2:$U$1001,13,FALSE)</f>
        <v>Tim Burton</v>
      </c>
    </row>
    <row r="1514">
      <c r="A1514" s="5">
        <v>379.0</v>
      </c>
      <c r="B1514" s="5" t="s">
        <v>2457</v>
      </c>
      <c r="C1514" s="5" t="s">
        <v>2459</v>
      </c>
      <c r="D1514" s="5" t="s">
        <v>6634</v>
      </c>
      <c r="E1514" s="8">
        <f>vlookup(B1514,Filmes_final!$B$2:$U$1001,20,FALSE)</f>
        <v>364169655</v>
      </c>
      <c r="F1514" s="5">
        <f>vlookup(B1514,Filmes_final!$B$2:$U$1001,3,FALSE)</f>
        <v>2004</v>
      </c>
      <c r="G1514" s="5" t="str">
        <f>vlookup(B1514,Filmes_final!$B$2:$U$1001,13,FALSE)</f>
        <v>Brad Bird</v>
      </c>
    </row>
    <row r="1515">
      <c r="A1515" s="5">
        <v>379.0</v>
      </c>
      <c r="B1515" s="5" t="s">
        <v>2457</v>
      </c>
      <c r="C1515" s="5" t="s">
        <v>75</v>
      </c>
      <c r="D1515" s="5" t="s">
        <v>6635</v>
      </c>
      <c r="E1515" s="8">
        <f>vlookup(B1515,Filmes_final!$B$2:$U$1001,20,FALSE)</f>
        <v>364169655</v>
      </c>
      <c r="F1515" s="5">
        <f>vlookup(B1515,Filmes_final!$B$2:$U$1001,3,FALSE)</f>
        <v>2004</v>
      </c>
      <c r="G1515" s="5" t="str">
        <f>vlookup(B1515,Filmes_final!$B$2:$U$1001,13,FALSE)</f>
        <v>Brad Bird</v>
      </c>
    </row>
    <row r="1516">
      <c r="A1516" s="5">
        <v>379.0</v>
      </c>
      <c r="B1516" s="5" t="s">
        <v>2457</v>
      </c>
      <c r="C1516" s="5" t="s">
        <v>2460</v>
      </c>
      <c r="D1516" s="5" t="s">
        <v>6636</v>
      </c>
      <c r="E1516" s="8">
        <f>vlookup(B1516,Filmes_final!$B$2:$U$1001,20,FALSE)</f>
        <v>364169655</v>
      </c>
      <c r="F1516" s="5">
        <f>vlookup(B1516,Filmes_final!$B$2:$U$1001,3,FALSE)</f>
        <v>2004</v>
      </c>
      <c r="G1516" s="5" t="str">
        <f>vlookup(B1516,Filmes_final!$B$2:$U$1001,13,FALSE)</f>
        <v>Brad Bird</v>
      </c>
    </row>
    <row r="1517">
      <c r="A1517" s="5">
        <v>379.0</v>
      </c>
      <c r="B1517" s="5" t="s">
        <v>2457</v>
      </c>
      <c r="C1517" s="5" t="s">
        <v>2461</v>
      </c>
      <c r="D1517" s="5" t="s">
        <v>6637</v>
      </c>
      <c r="E1517" s="8">
        <f>vlookup(B1517,Filmes_final!$B$2:$U$1001,20,FALSE)</f>
        <v>364169655</v>
      </c>
      <c r="F1517" s="5">
        <f>vlookup(B1517,Filmes_final!$B$2:$U$1001,3,FALSE)</f>
        <v>2004</v>
      </c>
      <c r="G1517" s="5" t="str">
        <f>vlookup(B1517,Filmes_final!$B$2:$U$1001,13,FALSE)</f>
        <v>Brad Bird</v>
      </c>
    </row>
    <row r="1518">
      <c r="A1518" s="5">
        <v>380.0</v>
      </c>
      <c r="B1518" s="5" t="s">
        <v>2462</v>
      </c>
      <c r="C1518" s="5" t="s">
        <v>2465</v>
      </c>
      <c r="D1518" s="5" t="s">
        <v>6634</v>
      </c>
      <c r="E1518" s="8">
        <f>vlookup(B1518,Filmes_final!$B$2:$U$1001,20,FALSE)</f>
        <v>538379</v>
      </c>
      <c r="F1518" s="5">
        <f>vlookup(B1518,Filmes_final!$B$2:$U$1001,3,FALSE)</f>
        <v>2001</v>
      </c>
      <c r="G1518" s="5" t="str">
        <f>vlookup(B1518,Filmes_final!$B$2:$U$1001,13,FALSE)</f>
        <v>Jae-young Kwak</v>
      </c>
    </row>
    <row r="1519">
      <c r="A1519" s="5">
        <v>380.0</v>
      </c>
      <c r="B1519" s="5" t="s">
        <v>2462</v>
      </c>
      <c r="C1519" s="5" t="s">
        <v>2466</v>
      </c>
      <c r="D1519" s="5" t="s">
        <v>6635</v>
      </c>
      <c r="E1519" s="8">
        <f>vlookup(B1519,Filmes_final!$B$2:$U$1001,20,FALSE)</f>
        <v>538379</v>
      </c>
      <c r="F1519" s="5">
        <f>vlookup(B1519,Filmes_final!$B$2:$U$1001,3,FALSE)</f>
        <v>2001</v>
      </c>
      <c r="G1519" s="5" t="str">
        <f>vlookup(B1519,Filmes_final!$B$2:$U$1001,13,FALSE)</f>
        <v>Jae-young Kwak</v>
      </c>
    </row>
    <row r="1520">
      <c r="A1520" s="5">
        <v>380.0</v>
      </c>
      <c r="B1520" s="5" t="s">
        <v>2462</v>
      </c>
      <c r="C1520" s="5" t="s">
        <v>2467</v>
      </c>
      <c r="D1520" s="5" t="s">
        <v>6636</v>
      </c>
      <c r="E1520" s="8">
        <f>vlookup(B1520,Filmes_final!$B$2:$U$1001,20,FALSE)</f>
        <v>538379</v>
      </c>
      <c r="F1520" s="5">
        <f>vlookup(B1520,Filmes_final!$B$2:$U$1001,3,FALSE)</f>
        <v>2001</v>
      </c>
      <c r="G1520" s="5" t="str">
        <f>vlookup(B1520,Filmes_final!$B$2:$U$1001,13,FALSE)</f>
        <v>Jae-young Kwak</v>
      </c>
    </row>
    <row r="1521">
      <c r="A1521" s="5">
        <v>380.0</v>
      </c>
      <c r="B1521" s="5" t="s">
        <v>2462</v>
      </c>
      <c r="C1521" s="5" t="s">
        <v>2468</v>
      </c>
      <c r="D1521" s="5" t="s">
        <v>6637</v>
      </c>
      <c r="E1521" s="8">
        <f>vlookup(B1521,Filmes_final!$B$2:$U$1001,20,FALSE)</f>
        <v>538379</v>
      </c>
      <c r="F1521" s="5">
        <f>vlookup(B1521,Filmes_final!$B$2:$U$1001,3,FALSE)</f>
        <v>2001</v>
      </c>
      <c r="G1521" s="5" t="str">
        <f>vlookup(B1521,Filmes_final!$B$2:$U$1001,13,FALSE)</f>
        <v>Jae-young Kwak</v>
      </c>
    </row>
    <row r="1522">
      <c r="A1522" s="5">
        <v>381.0</v>
      </c>
      <c r="B1522" s="5" t="s">
        <v>2469</v>
      </c>
      <c r="C1522" s="5" t="s">
        <v>2182</v>
      </c>
      <c r="D1522" s="5" t="s">
        <v>6634</v>
      </c>
      <c r="E1522" s="8">
        <f>vlookup(B1522,Filmes_final!$B$2:$U$1001,20,FALSE)</f>
        <v>2172786</v>
      </c>
      <c r="F1522" s="5">
        <f>vlookup(B1522,Filmes_final!$B$2:$U$1001,3,FALSE)</f>
        <v>2003</v>
      </c>
      <c r="G1522" s="5" t="str">
        <f>vlookup(B1522,Filmes_final!$B$2:$U$1001,13,FALSE)</f>
        <v>Lars von Trier</v>
      </c>
    </row>
    <row r="1523">
      <c r="A1523" s="5">
        <v>381.0</v>
      </c>
      <c r="B1523" s="5" t="s">
        <v>2469</v>
      </c>
      <c r="C1523" s="5" t="s">
        <v>2472</v>
      </c>
      <c r="D1523" s="5" t="s">
        <v>6635</v>
      </c>
      <c r="E1523" s="8">
        <f>vlookup(B1523,Filmes_final!$B$2:$U$1001,20,FALSE)</f>
        <v>2172786</v>
      </c>
      <c r="F1523" s="5">
        <f>vlookup(B1523,Filmes_final!$B$2:$U$1001,3,FALSE)</f>
        <v>2003</v>
      </c>
      <c r="G1523" s="5" t="str">
        <f>vlookup(B1523,Filmes_final!$B$2:$U$1001,13,FALSE)</f>
        <v>Lars von Trier</v>
      </c>
    </row>
    <row r="1524">
      <c r="A1524" s="5">
        <v>381.0</v>
      </c>
      <c r="B1524" s="5" t="s">
        <v>2469</v>
      </c>
      <c r="C1524" s="5" t="s">
        <v>2473</v>
      </c>
      <c r="D1524" s="5" t="s">
        <v>6636</v>
      </c>
      <c r="E1524" s="8">
        <f>vlookup(B1524,Filmes_final!$B$2:$U$1001,20,FALSE)</f>
        <v>2172786</v>
      </c>
      <c r="F1524" s="5">
        <f>vlookup(B1524,Filmes_final!$B$2:$U$1001,3,FALSE)</f>
        <v>2003</v>
      </c>
      <c r="G1524" s="5" t="str">
        <f>vlookup(B1524,Filmes_final!$B$2:$U$1001,13,FALSE)</f>
        <v>Lars von Trier</v>
      </c>
    </row>
    <row r="1525">
      <c r="A1525" s="5">
        <v>381.0</v>
      </c>
      <c r="B1525" s="5" t="s">
        <v>2469</v>
      </c>
      <c r="C1525" s="5" t="s">
        <v>1924</v>
      </c>
      <c r="D1525" s="5" t="s">
        <v>6637</v>
      </c>
      <c r="E1525" s="8">
        <f>vlookup(B1525,Filmes_final!$B$2:$U$1001,20,FALSE)</f>
        <v>2172786</v>
      </c>
      <c r="F1525" s="5">
        <f>vlookup(B1525,Filmes_final!$B$2:$U$1001,3,FALSE)</f>
        <v>2003</v>
      </c>
      <c r="G1525" s="5" t="str">
        <f>vlookup(B1525,Filmes_final!$B$2:$U$1001,13,FALSE)</f>
        <v>Lars von Trier</v>
      </c>
    </row>
    <row r="1526">
      <c r="A1526" s="5">
        <v>382.0</v>
      </c>
      <c r="B1526" s="5" t="s">
        <v>2474</v>
      </c>
      <c r="C1526" s="5" t="s">
        <v>2393</v>
      </c>
      <c r="D1526" s="5" t="s">
        <v>6634</v>
      </c>
      <c r="E1526" s="8">
        <f>vlookup(B1526,Filmes_final!$B$2:$U$1001,20,FALSE)</f>
        <v>1426602</v>
      </c>
      <c r="F1526" s="5">
        <f>vlookup(B1526,Filmes_final!$B$2:$U$1001,3,FALSE)</f>
        <v>2001</v>
      </c>
      <c r="G1526" s="5" t="str">
        <f>vlookup(B1526,Filmes_final!$B$2:$U$1001,13,FALSE)</f>
        <v>Yilmaz Erdogan</v>
      </c>
    </row>
    <row r="1527">
      <c r="A1527" s="5">
        <v>382.0</v>
      </c>
      <c r="B1527" s="5" t="s">
        <v>2474</v>
      </c>
      <c r="C1527" s="5" t="s">
        <v>2476</v>
      </c>
      <c r="D1527" s="5" t="s">
        <v>6635</v>
      </c>
      <c r="E1527" s="8">
        <f>vlookup(B1527,Filmes_final!$B$2:$U$1001,20,FALSE)</f>
        <v>1426602</v>
      </c>
      <c r="F1527" s="5">
        <f>vlookup(B1527,Filmes_final!$B$2:$U$1001,3,FALSE)</f>
        <v>2001</v>
      </c>
      <c r="G1527" s="5" t="str">
        <f>vlookup(B1527,Filmes_final!$B$2:$U$1001,13,FALSE)</f>
        <v>Yilmaz Erdogan</v>
      </c>
    </row>
    <row r="1528">
      <c r="A1528" s="5">
        <v>382.0</v>
      </c>
      <c r="B1528" s="5" t="s">
        <v>2474</v>
      </c>
      <c r="C1528" s="5" t="s">
        <v>1451</v>
      </c>
      <c r="D1528" s="5" t="s">
        <v>6636</v>
      </c>
      <c r="E1528" s="8">
        <f>vlookup(B1528,Filmes_final!$B$2:$U$1001,20,FALSE)</f>
        <v>1426602</v>
      </c>
      <c r="F1528" s="5">
        <f>vlookup(B1528,Filmes_final!$B$2:$U$1001,3,FALSE)</f>
        <v>2001</v>
      </c>
      <c r="G1528" s="5" t="str">
        <f>vlookup(B1528,Filmes_final!$B$2:$U$1001,13,FALSE)</f>
        <v>Yilmaz Erdogan</v>
      </c>
    </row>
    <row r="1529">
      <c r="A1529" s="5">
        <v>382.0</v>
      </c>
      <c r="B1529" s="5" t="s">
        <v>2474</v>
      </c>
      <c r="C1529" s="5" t="s">
        <v>2477</v>
      </c>
      <c r="D1529" s="5" t="s">
        <v>6637</v>
      </c>
      <c r="E1529" s="8">
        <f>vlookup(B1529,Filmes_final!$B$2:$U$1001,20,FALSE)</f>
        <v>1426602</v>
      </c>
      <c r="F1529" s="5">
        <f>vlookup(B1529,Filmes_final!$B$2:$U$1001,3,FALSE)</f>
        <v>2001</v>
      </c>
      <c r="G1529" s="5" t="str">
        <f>vlookup(B1529,Filmes_final!$B$2:$U$1001,13,FALSE)</f>
        <v>Yilmaz Erdogan</v>
      </c>
    </row>
    <row r="1530">
      <c r="A1530" s="5">
        <v>383.0</v>
      </c>
      <c r="B1530" s="5" t="s">
        <v>2478</v>
      </c>
      <c r="C1530" s="5" t="s">
        <v>1542</v>
      </c>
      <c r="D1530" s="5" t="s">
        <v>6634</v>
      </c>
      <c r="E1530" s="8">
        <f>vlookup(B1530,Filmes_final!$B$2:$U$1001,20,FALSE)</f>
        <v>2180460</v>
      </c>
      <c r="F1530" s="5">
        <f>vlookup(B1530,Filmes_final!$B$2:$U$1001,3,FALSE)</f>
        <v>2001</v>
      </c>
      <c r="G1530" s="5" t="str">
        <f>vlookup(B1530,Filmes_final!$B$2:$U$1001,13,FALSE)</f>
        <v>Richard Kelly</v>
      </c>
    </row>
    <row r="1531">
      <c r="A1531" s="5">
        <v>383.0</v>
      </c>
      <c r="B1531" s="5" t="s">
        <v>2478</v>
      </c>
      <c r="C1531" s="5" t="s">
        <v>2481</v>
      </c>
      <c r="D1531" s="5" t="s">
        <v>6635</v>
      </c>
      <c r="E1531" s="8">
        <f>vlookup(B1531,Filmes_final!$B$2:$U$1001,20,FALSE)</f>
        <v>2180460</v>
      </c>
      <c r="F1531" s="5">
        <f>vlookup(B1531,Filmes_final!$B$2:$U$1001,3,FALSE)</f>
        <v>2001</v>
      </c>
      <c r="G1531" s="5" t="str">
        <f>vlookup(B1531,Filmes_final!$B$2:$U$1001,13,FALSE)</f>
        <v>Richard Kelly</v>
      </c>
    </row>
    <row r="1532">
      <c r="A1532" s="5">
        <v>383.0</v>
      </c>
      <c r="B1532" s="5" t="s">
        <v>2478</v>
      </c>
      <c r="C1532" s="5" t="s">
        <v>2482</v>
      </c>
      <c r="D1532" s="5" t="s">
        <v>6636</v>
      </c>
      <c r="E1532" s="8">
        <f>vlookup(B1532,Filmes_final!$B$2:$U$1001,20,FALSE)</f>
        <v>2180460</v>
      </c>
      <c r="F1532" s="5">
        <f>vlookup(B1532,Filmes_final!$B$2:$U$1001,3,FALSE)</f>
        <v>2001</v>
      </c>
      <c r="G1532" s="5" t="str">
        <f>vlookup(B1532,Filmes_final!$B$2:$U$1001,13,FALSE)</f>
        <v>Richard Kelly</v>
      </c>
    </row>
    <row r="1533">
      <c r="A1533" s="5">
        <v>383.0</v>
      </c>
      <c r="B1533" s="5" t="s">
        <v>2478</v>
      </c>
      <c r="C1533" s="5" t="s">
        <v>2483</v>
      </c>
      <c r="D1533" s="5" t="s">
        <v>6637</v>
      </c>
      <c r="E1533" s="8">
        <f>vlookup(B1533,Filmes_final!$B$2:$U$1001,20,FALSE)</f>
        <v>2180460</v>
      </c>
      <c r="F1533" s="5">
        <f>vlookup(B1533,Filmes_final!$B$2:$U$1001,3,FALSE)</f>
        <v>2001</v>
      </c>
      <c r="G1533" s="5" t="str">
        <f>vlookup(B1533,Filmes_final!$B$2:$U$1001,13,FALSE)</f>
        <v>Richard Kelly</v>
      </c>
    </row>
    <row r="1534">
      <c r="A1534" s="5">
        <v>384.0</v>
      </c>
      <c r="B1534" s="5" t="s">
        <v>2484</v>
      </c>
      <c r="C1534" s="5" t="s">
        <v>2486</v>
      </c>
      <c r="D1534" s="5" t="s">
        <v>6634</v>
      </c>
      <c r="E1534" s="8">
        <f>vlookup(B1534,Filmes_final!$B$2:$U$1001,20,FALSE)</f>
        <v>35258616</v>
      </c>
      <c r="F1534" s="5">
        <f>vlookup(B1534,Filmes_final!$B$2:$U$1001,3,FALSE)</f>
        <v>1999</v>
      </c>
      <c r="G1534" s="5" t="str">
        <f>vlookup(B1534,Filmes_final!$B$2:$U$1001,13,FALSE)</f>
        <v>Paul Thomas Anderson</v>
      </c>
    </row>
    <row r="1535">
      <c r="A1535" s="5">
        <v>384.0</v>
      </c>
      <c r="B1535" s="5" t="s">
        <v>2484</v>
      </c>
      <c r="C1535" s="5" t="s">
        <v>394</v>
      </c>
      <c r="D1535" s="5" t="s">
        <v>6635</v>
      </c>
      <c r="E1535" s="8">
        <f>vlookup(B1535,Filmes_final!$B$2:$U$1001,20,FALSE)</f>
        <v>35258616</v>
      </c>
      <c r="F1535" s="5">
        <f>vlookup(B1535,Filmes_final!$B$2:$U$1001,3,FALSE)</f>
        <v>1999</v>
      </c>
      <c r="G1535" s="5" t="str">
        <f>vlookup(B1535,Filmes_final!$B$2:$U$1001,13,FALSE)</f>
        <v>Paul Thomas Anderson</v>
      </c>
    </row>
    <row r="1536">
      <c r="A1536" s="5">
        <v>384.0</v>
      </c>
      <c r="B1536" s="5" t="s">
        <v>2484</v>
      </c>
      <c r="C1536" s="5" t="s">
        <v>1728</v>
      </c>
      <c r="D1536" s="5" t="s">
        <v>6636</v>
      </c>
      <c r="E1536" s="8">
        <f>vlookup(B1536,Filmes_final!$B$2:$U$1001,20,FALSE)</f>
        <v>35258616</v>
      </c>
      <c r="F1536" s="5">
        <f>vlookup(B1536,Filmes_final!$B$2:$U$1001,3,FALSE)</f>
        <v>1999</v>
      </c>
      <c r="G1536" s="5" t="str">
        <f>vlookup(B1536,Filmes_final!$B$2:$U$1001,13,FALSE)</f>
        <v>Paul Thomas Anderson</v>
      </c>
    </row>
    <row r="1537">
      <c r="A1537" s="5">
        <v>384.0</v>
      </c>
      <c r="B1537" s="5" t="s">
        <v>2484</v>
      </c>
      <c r="C1537" s="5" t="s">
        <v>1593</v>
      </c>
      <c r="D1537" s="5" t="s">
        <v>6637</v>
      </c>
      <c r="E1537" s="8">
        <f>vlookup(B1537,Filmes_final!$B$2:$U$1001,20,FALSE)</f>
        <v>35258616</v>
      </c>
      <c r="F1537" s="5">
        <f>vlookup(B1537,Filmes_final!$B$2:$U$1001,3,FALSE)</f>
        <v>1999</v>
      </c>
      <c r="G1537" s="5" t="str">
        <f>vlookup(B1537,Filmes_final!$B$2:$U$1001,13,FALSE)</f>
        <v>Paul Thomas Anderson</v>
      </c>
    </row>
    <row r="1538">
      <c r="A1538" s="5">
        <v>385.0</v>
      </c>
      <c r="B1538" s="5" t="s">
        <v>2487</v>
      </c>
      <c r="C1538" s="5" t="s">
        <v>2490</v>
      </c>
      <c r="D1538" s="5" t="s">
        <v>6634</v>
      </c>
      <c r="E1538" s="8">
        <f>vlookup(B1538,Filmes_final!$B$2:$U$1001,20,FALSE)</f>
        <v>6394313</v>
      </c>
      <c r="F1538" s="5">
        <f>vlookup(B1538,Filmes_final!$B$2:$U$1001,3,FALSE)</f>
        <v>2000</v>
      </c>
      <c r="G1538" s="5" t="str">
        <f>vlookup(B1538,Filmes_final!$B$2:$U$1001,13,FALSE)</f>
        <v>Lars von Trier</v>
      </c>
    </row>
    <row r="1539">
      <c r="A1539" s="5">
        <v>385.0</v>
      </c>
      <c r="B1539" s="5" t="s">
        <v>2487</v>
      </c>
      <c r="C1539" s="5" t="s">
        <v>2346</v>
      </c>
      <c r="D1539" s="5" t="s">
        <v>6635</v>
      </c>
      <c r="E1539" s="8">
        <f>vlookup(B1539,Filmes_final!$B$2:$U$1001,20,FALSE)</f>
        <v>6394313</v>
      </c>
      <c r="F1539" s="5">
        <f>vlookup(B1539,Filmes_final!$B$2:$U$1001,3,FALSE)</f>
        <v>2000</v>
      </c>
      <c r="G1539" s="5" t="str">
        <f>vlookup(B1539,Filmes_final!$B$2:$U$1001,13,FALSE)</f>
        <v>Lars von Trier</v>
      </c>
    </row>
    <row r="1540">
      <c r="A1540" s="5">
        <v>385.0</v>
      </c>
      <c r="B1540" s="5" t="s">
        <v>2487</v>
      </c>
      <c r="C1540" s="5" t="s">
        <v>223</v>
      </c>
      <c r="D1540" s="5" t="s">
        <v>6636</v>
      </c>
      <c r="E1540" s="8">
        <f>vlookup(B1540,Filmes_final!$B$2:$U$1001,20,FALSE)</f>
        <v>6394313</v>
      </c>
      <c r="F1540" s="5">
        <f>vlookup(B1540,Filmes_final!$B$2:$U$1001,3,FALSE)</f>
        <v>2000</v>
      </c>
      <c r="G1540" s="5" t="str">
        <f>vlookup(B1540,Filmes_final!$B$2:$U$1001,13,FALSE)</f>
        <v>Lars von Trier</v>
      </c>
    </row>
    <row r="1541">
      <c r="A1541" s="5">
        <v>385.0</v>
      </c>
      <c r="B1541" s="5" t="s">
        <v>2487</v>
      </c>
      <c r="C1541" s="5" t="s">
        <v>2491</v>
      </c>
      <c r="D1541" s="5" t="s">
        <v>6637</v>
      </c>
      <c r="E1541" s="8">
        <f>vlookup(B1541,Filmes_final!$B$2:$U$1001,20,FALSE)</f>
        <v>6394313</v>
      </c>
      <c r="F1541" s="5">
        <f>vlookup(B1541,Filmes_final!$B$2:$U$1001,3,FALSE)</f>
        <v>2000</v>
      </c>
      <c r="G1541" s="5" t="str">
        <f>vlookup(B1541,Filmes_final!$B$2:$U$1001,13,FALSE)</f>
        <v>Lars von Trier</v>
      </c>
    </row>
    <row r="1542">
      <c r="A1542" s="5">
        <v>386.0</v>
      </c>
      <c r="B1542" s="5" t="s">
        <v>2492</v>
      </c>
      <c r="C1542" s="5" t="s">
        <v>2494</v>
      </c>
      <c r="D1542" s="5" t="s">
        <v>6634</v>
      </c>
      <c r="E1542" s="8">
        <f>vlookup(B1542,Filmes_final!$B$2:$U$1001,20,FALSE)</f>
        <v>9739534</v>
      </c>
      <c r="F1542" s="5">
        <f>vlookup(B1542,Filmes_final!$B$2:$U$1001,3,FALSE)</f>
        <v>1999</v>
      </c>
      <c r="G1542" s="5" t="str">
        <f>vlookup(B1542,Filmes_final!$B$2:$U$1001,13,FALSE)</f>
        <v>David Lynch</v>
      </c>
    </row>
    <row r="1543">
      <c r="A1543" s="5">
        <v>386.0</v>
      </c>
      <c r="B1543" s="5" t="s">
        <v>2492</v>
      </c>
      <c r="C1543" s="5" t="s">
        <v>2495</v>
      </c>
      <c r="D1543" s="5" t="s">
        <v>6635</v>
      </c>
      <c r="E1543" s="8">
        <f>vlookup(B1543,Filmes_final!$B$2:$U$1001,20,FALSE)</f>
        <v>9739534</v>
      </c>
      <c r="F1543" s="5">
        <f>vlookup(B1543,Filmes_final!$B$2:$U$1001,3,FALSE)</f>
        <v>1999</v>
      </c>
      <c r="G1543" s="5" t="str">
        <f>vlookup(B1543,Filmes_final!$B$2:$U$1001,13,FALSE)</f>
        <v>David Lynch</v>
      </c>
    </row>
    <row r="1544">
      <c r="A1544" s="5">
        <v>386.0</v>
      </c>
      <c r="B1544" s="5" t="s">
        <v>2492</v>
      </c>
      <c r="C1544" s="5" t="s">
        <v>2496</v>
      </c>
      <c r="D1544" s="5" t="s">
        <v>6636</v>
      </c>
      <c r="E1544" s="8">
        <f>vlookup(B1544,Filmes_final!$B$2:$U$1001,20,FALSE)</f>
        <v>9739534</v>
      </c>
      <c r="F1544" s="5">
        <f>vlookup(B1544,Filmes_final!$B$2:$U$1001,3,FALSE)</f>
        <v>1999</v>
      </c>
      <c r="G1544" s="5" t="str">
        <f>vlookup(B1544,Filmes_final!$B$2:$U$1001,13,FALSE)</f>
        <v>David Lynch</v>
      </c>
    </row>
    <row r="1545">
      <c r="A1545" s="5">
        <v>386.0</v>
      </c>
      <c r="B1545" s="5" t="s">
        <v>2492</v>
      </c>
      <c r="C1545" s="5" t="s">
        <v>2497</v>
      </c>
      <c r="D1545" s="5" t="s">
        <v>6637</v>
      </c>
      <c r="E1545" s="8">
        <f>vlookup(B1545,Filmes_final!$B$2:$U$1001,20,FALSE)</f>
        <v>9739534</v>
      </c>
      <c r="F1545" s="5">
        <f>vlookup(B1545,Filmes_final!$B$2:$U$1001,3,FALSE)</f>
        <v>1999</v>
      </c>
      <c r="G1545" s="5" t="str">
        <f>vlookup(B1545,Filmes_final!$B$2:$U$1001,13,FALSE)</f>
        <v>David Lynch</v>
      </c>
    </row>
    <row r="1546">
      <c r="A1546" s="5">
        <v>387.0</v>
      </c>
      <c r="B1546" s="5" t="s">
        <v>2498</v>
      </c>
      <c r="C1546" s="5" t="s">
        <v>2502</v>
      </c>
      <c r="D1546" s="5" t="s">
        <v>6634</v>
      </c>
      <c r="E1546" s="8">
        <f>vlookup(B1546,Filmes_final!$B$2:$U$1001,20,FALSE)</f>
        <v>1259315</v>
      </c>
      <c r="F1546" s="5">
        <f>vlookup(B1546,Filmes_final!$B$2:$U$1001,3,FALSE)</f>
        <v>1997</v>
      </c>
      <c r="G1546" s="5" t="str">
        <f>vlookup(B1546,Filmes_final!$B$2:$U$1001,13,FALSE)</f>
        <v>Satoshi Kon</v>
      </c>
    </row>
    <row r="1547">
      <c r="A1547" s="5">
        <v>387.0</v>
      </c>
      <c r="B1547" s="5" t="s">
        <v>2498</v>
      </c>
      <c r="C1547" s="5" t="s">
        <v>2503</v>
      </c>
      <c r="D1547" s="5" t="s">
        <v>6635</v>
      </c>
      <c r="E1547" s="8">
        <f>vlookup(B1547,Filmes_final!$B$2:$U$1001,20,FALSE)</f>
        <v>1259315</v>
      </c>
      <c r="F1547" s="5">
        <f>vlookup(B1547,Filmes_final!$B$2:$U$1001,3,FALSE)</f>
        <v>1997</v>
      </c>
      <c r="G1547" s="5" t="str">
        <f>vlookup(B1547,Filmes_final!$B$2:$U$1001,13,FALSE)</f>
        <v>Satoshi Kon</v>
      </c>
    </row>
    <row r="1548">
      <c r="A1548" s="5">
        <v>387.0</v>
      </c>
      <c r="B1548" s="5" t="s">
        <v>2498</v>
      </c>
      <c r="C1548" s="5" t="s">
        <v>2504</v>
      </c>
      <c r="D1548" s="5" t="s">
        <v>6636</v>
      </c>
      <c r="E1548" s="8">
        <f>vlookup(B1548,Filmes_final!$B$2:$U$1001,20,FALSE)</f>
        <v>1259315</v>
      </c>
      <c r="F1548" s="5">
        <f>vlookup(B1548,Filmes_final!$B$2:$U$1001,3,FALSE)</f>
        <v>1997</v>
      </c>
      <c r="G1548" s="5" t="str">
        <f>vlookup(B1548,Filmes_final!$B$2:$U$1001,13,FALSE)</f>
        <v>Satoshi Kon</v>
      </c>
    </row>
    <row r="1549">
      <c r="A1549" s="5">
        <v>387.0</v>
      </c>
      <c r="B1549" s="5" t="s">
        <v>2498</v>
      </c>
      <c r="C1549" s="5" t="s">
        <v>2505</v>
      </c>
      <c r="D1549" s="5" t="s">
        <v>6637</v>
      </c>
      <c r="E1549" s="8">
        <f>vlookup(B1549,Filmes_final!$B$2:$U$1001,20,FALSE)</f>
        <v>1259315</v>
      </c>
      <c r="F1549" s="5">
        <f>vlookup(B1549,Filmes_final!$B$2:$U$1001,3,FALSE)</f>
        <v>1997</v>
      </c>
      <c r="G1549" s="5" t="str">
        <f>vlookup(B1549,Filmes_final!$B$2:$U$1001,13,FALSE)</f>
        <v>Satoshi Kon</v>
      </c>
    </row>
    <row r="1550">
      <c r="A1550" s="5">
        <v>388.0</v>
      </c>
      <c r="B1550" s="5" t="s">
        <v>2506</v>
      </c>
      <c r="C1550" s="5" t="s">
        <v>2508</v>
      </c>
      <c r="D1550" s="5" t="s">
        <v>6634</v>
      </c>
      <c r="E1550" s="8">
        <f>vlookup(B1550,Filmes_final!$B$2:$U$1001,20,FALSE)</f>
        <v>2630442</v>
      </c>
      <c r="F1550" s="5">
        <f>vlookup(B1550,Filmes_final!$B$2:$U$1001,3,FALSE)</f>
        <v>1998</v>
      </c>
      <c r="G1550" s="5" t="str">
        <f>vlookup(B1550,Filmes_final!$B$2:$U$1001,13,FALSE)</f>
        <v>Thomas Vinterberg</v>
      </c>
    </row>
    <row r="1551">
      <c r="A1551" s="5">
        <v>388.0</v>
      </c>
      <c r="B1551" s="5" t="s">
        <v>2506</v>
      </c>
      <c r="C1551" s="5" t="s">
        <v>2509</v>
      </c>
      <c r="D1551" s="5" t="s">
        <v>6635</v>
      </c>
      <c r="E1551" s="8">
        <f>vlookup(B1551,Filmes_final!$B$2:$U$1001,20,FALSE)</f>
        <v>2630442</v>
      </c>
      <c r="F1551" s="5">
        <f>vlookup(B1551,Filmes_final!$B$2:$U$1001,3,FALSE)</f>
        <v>1998</v>
      </c>
      <c r="G1551" s="5" t="str">
        <f>vlookup(B1551,Filmes_final!$B$2:$U$1001,13,FALSE)</f>
        <v>Thomas Vinterberg</v>
      </c>
    </row>
    <row r="1552">
      <c r="A1552" s="5">
        <v>388.0</v>
      </c>
      <c r="B1552" s="5" t="s">
        <v>2506</v>
      </c>
      <c r="C1552" s="5" t="s">
        <v>674</v>
      </c>
      <c r="D1552" s="5" t="s">
        <v>6636</v>
      </c>
      <c r="E1552" s="8">
        <f>vlookup(B1552,Filmes_final!$B$2:$U$1001,20,FALSE)</f>
        <v>2630442</v>
      </c>
      <c r="F1552" s="5">
        <f>vlookup(B1552,Filmes_final!$B$2:$U$1001,3,FALSE)</f>
        <v>1998</v>
      </c>
      <c r="G1552" s="5" t="str">
        <f>vlookup(B1552,Filmes_final!$B$2:$U$1001,13,FALSE)</f>
        <v>Thomas Vinterberg</v>
      </c>
    </row>
    <row r="1553">
      <c r="A1553" s="5">
        <v>388.0</v>
      </c>
      <c r="B1553" s="5" t="s">
        <v>2506</v>
      </c>
      <c r="C1553" s="5" t="s">
        <v>2510</v>
      </c>
      <c r="D1553" s="5" t="s">
        <v>6637</v>
      </c>
      <c r="E1553" s="8">
        <f>vlookup(B1553,Filmes_final!$B$2:$U$1001,20,FALSE)</f>
        <v>2630442</v>
      </c>
      <c r="F1553" s="5">
        <f>vlookup(B1553,Filmes_final!$B$2:$U$1001,3,FALSE)</f>
        <v>1998</v>
      </c>
      <c r="G1553" s="5" t="str">
        <f>vlookup(B1553,Filmes_final!$B$2:$U$1001,13,FALSE)</f>
        <v>Thomas Vinterberg</v>
      </c>
    </row>
    <row r="1554">
      <c r="A1554" s="5">
        <v>389.0</v>
      </c>
      <c r="B1554" s="5" t="s">
        <v>2511</v>
      </c>
      <c r="C1554" s="5" t="s">
        <v>2514</v>
      </c>
      <c r="D1554" s="5" t="s">
        <v>6634</v>
      </c>
      <c r="E1554" s="8">
        <f>vlookup(B1554,Filmes_final!$B$2:$U$1001,20,FALSE)</f>
        <v>8932291</v>
      </c>
      <c r="F1554" s="5">
        <f>vlookup(B1554,Filmes_final!$B$2:$U$1001,3,FALSE)</f>
        <v>1998</v>
      </c>
      <c r="G1554" s="5" t="str">
        <f>vlookup(B1554,Filmes_final!$B$2:$U$1001,13,FALSE)</f>
        <v>Walter Salles</v>
      </c>
    </row>
    <row r="1555">
      <c r="A1555" s="5">
        <v>389.0</v>
      </c>
      <c r="B1555" s="5" t="s">
        <v>2511</v>
      </c>
      <c r="C1555" s="5" t="s">
        <v>2515</v>
      </c>
      <c r="D1555" s="5" t="s">
        <v>6635</v>
      </c>
      <c r="E1555" s="8">
        <f>vlookup(B1555,Filmes_final!$B$2:$U$1001,20,FALSE)</f>
        <v>8932291</v>
      </c>
      <c r="F1555" s="5">
        <f>vlookup(B1555,Filmes_final!$B$2:$U$1001,3,FALSE)</f>
        <v>1998</v>
      </c>
      <c r="G1555" s="5" t="str">
        <f>vlookup(B1555,Filmes_final!$B$2:$U$1001,13,FALSE)</f>
        <v>Walter Salles</v>
      </c>
    </row>
    <row r="1556">
      <c r="A1556" s="5">
        <v>389.0</v>
      </c>
      <c r="B1556" s="5" t="s">
        <v>2511</v>
      </c>
      <c r="C1556" s="5" t="s">
        <v>2516</v>
      </c>
      <c r="D1556" s="5" t="s">
        <v>6636</v>
      </c>
      <c r="E1556" s="8">
        <f>vlookup(B1556,Filmes_final!$B$2:$U$1001,20,FALSE)</f>
        <v>8932291</v>
      </c>
      <c r="F1556" s="5">
        <f>vlookup(B1556,Filmes_final!$B$2:$U$1001,3,FALSE)</f>
        <v>1998</v>
      </c>
      <c r="G1556" s="5" t="str">
        <f>vlookup(B1556,Filmes_final!$B$2:$U$1001,13,FALSE)</f>
        <v>Walter Salles</v>
      </c>
    </row>
    <row r="1557">
      <c r="A1557" s="5">
        <v>389.0</v>
      </c>
      <c r="B1557" s="5" t="s">
        <v>2511</v>
      </c>
      <c r="C1557" s="5" t="s">
        <v>2517</v>
      </c>
      <c r="D1557" s="5" t="s">
        <v>6637</v>
      </c>
      <c r="E1557" s="8">
        <f>vlookup(B1557,Filmes_final!$B$2:$U$1001,20,FALSE)</f>
        <v>8932291</v>
      </c>
      <c r="F1557" s="5">
        <f>vlookup(B1557,Filmes_final!$B$2:$U$1001,3,FALSE)</f>
        <v>1998</v>
      </c>
      <c r="G1557" s="5" t="str">
        <f>vlookup(B1557,Filmes_final!$B$2:$U$1001,13,FALSE)</f>
        <v>Walter Salles</v>
      </c>
    </row>
    <row r="1558">
      <c r="A1558" s="5">
        <v>390.0</v>
      </c>
      <c r="B1558" s="5" t="s">
        <v>2518</v>
      </c>
      <c r="C1558" s="5" t="s">
        <v>2520</v>
      </c>
      <c r="D1558" s="5" t="s">
        <v>6634</v>
      </c>
      <c r="E1558" s="8">
        <f>vlookup(B1558,Filmes_final!$B$2:$U$1001,20,FALSE)</f>
        <v>36362928</v>
      </c>
      <c r="F1558" s="5">
        <f>vlookup(B1558,Filmes_final!$B$2:$U$1001,3,FALSE)</f>
        <v>1999</v>
      </c>
      <c r="G1558" s="5" t="str">
        <f>vlookup(B1558,Filmes_final!$B$2:$U$1001,13,FALSE)</f>
        <v>Brad Bird</v>
      </c>
    </row>
    <row r="1559">
      <c r="A1559" s="5">
        <v>390.0</v>
      </c>
      <c r="B1559" s="5" t="s">
        <v>2518</v>
      </c>
      <c r="C1559" s="5" t="s">
        <v>2521</v>
      </c>
      <c r="D1559" s="5" t="s">
        <v>6635</v>
      </c>
      <c r="E1559" s="8">
        <f>vlookup(B1559,Filmes_final!$B$2:$U$1001,20,FALSE)</f>
        <v>36362928</v>
      </c>
      <c r="F1559" s="5">
        <f>vlookup(B1559,Filmes_final!$B$2:$U$1001,3,FALSE)</f>
        <v>1999</v>
      </c>
      <c r="G1559" s="5" t="str">
        <f>vlookup(B1559,Filmes_final!$B$2:$U$1001,13,FALSE)</f>
        <v>Brad Bird</v>
      </c>
    </row>
    <row r="1560">
      <c r="A1560" s="5">
        <v>390.0</v>
      </c>
      <c r="B1560" s="5" t="s">
        <v>2518</v>
      </c>
      <c r="C1560" s="5" t="s">
        <v>2522</v>
      </c>
      <c r="D1560" s="5" t="s">
        <v>6636</v>
      </c>
      <c r="E1560" s="8">
        <f>vlookup(B1560,Filmes_final!$B$2:$U$1001,20,FALSE)</f>
        <v>36362928</v>
      </c>
      <c r="F1560" s="5">
        <f>vlookup(B1560,Filmes_final!$B$2:$U$1001,3,FALSE)</f>
        <v>1999</v>
      </c>
      <c r="G1560" s="5" t="str">
        <f>vlookup(B1560,Filmes_final!$B$2:$U$1001,13,FALSE)</f>
        <v>Brad Bird</v>
      </c>
    </row>
    <row r="1561">
      <c r="A1561" s="5">
        <v>390.0</v>
      </c>
      <c r="B1561" s="5" t="s">
        <v>2518</v>
      </c>
      <c r="C1561" s="5" t="s">
        <v>2244</v>
      </c>
      <c r="D1561" s="5" t="s">
        <v>6637</v>
      </c>
      <c r="E1561" s="8">
        <f>vlookup(B1561,Filmes_final!$B$2:$U$1001,20,FALSE)</f>
        <v>36362928</v>
      </c>
      <c r="F1561" s="5">
        <f>vlookup(B1561,Filmes_final!$B$2:$U$1001,3,FALSE)</f>
        <v>1999</v>
      </c>
      <c r="G1561" s="5" t="str">
        <f>vlookup(B1561,Filmes_final!$B$2:$U$1001,13,FALSE)</f>
        <v>Brad Bird</v>
      </c>
    </row>
    <row r="1562">
      <c r="A1562" s="5">
        <v>391.0</v>
      </c>
      <c r="B1562" s="5" t="s">
        <v>2523</v>
      </c>
      <c r="C1562" s="5" t="s">
        <v>2527</v>
      </c>
      <c r="D1562" s="5" t="s">
        <v>6634</v>
      </c>
      <c r="E1562" s="8">
        <f>vlookup(B1562,Filmes_final!$B$2:$U$1001,20,FALSE)</f>
        <v>5344</v>
      </c>
      <c r="F1562" s="5">
        <f>vlookup(B1562,Filmes_final!$B$2:$U$1001,3,FALSE)</f>
        <v>1997</v>
      </c>
      <c r="G1562" s="5" t="str">
        <f>vlookup(B1562,Filmes_final!$B$2:$U$1001,13,FALSE)</f>
        <v>Thomas Jahn</v>
      </c>
    </row>
    <row r="1563">
      <c r="A1563" s="5">
        <v>391.0</v>
      </c>
      <c r="B1563" s="5" t="s">
        <v>2523</v>
      </c>
      <c r="C1563" s="5" t="s">
        <v>2528</v>
      </c>
      <c r="D1563" s="5" t="s">
        <v>6635</v>
      </c>
      <c r="E1563" s="8">
        <f>vlookup(B1563,Filmes_final!$B$2:$U$1001,20,FALSE)</f>
        <v>5344</v>
      </c>
      <c r="F1563" s="5">
        <f>vlookup(B1563,Filmes_final!$B$2:$U$1001,3,FALSE)</f>
        <v>1997</v>
      </c>
      <c r="G1563" s="5" t="str">
        <f>vlookup(B1563,Filmes_final!$B$2:$U$1001,13,FALSE)</f>
        <v>Thomas Jahn</v>
      </c>
    </row>
    <row r="1564">
      <c r="A1564" s="5">
        <v>391.0</v>
      </c>
      <c r="B1564" s="5" t="s">
        <v>2523</v>
      </c>
      <c r="C1564" s="5" t="s">
        <v>2529</v>
      </c>
      <c r="D1564" s="5" t="s">
        <v>6636</v>
      </c>
      <c r="E1564" s="8">
        <f>vlookup(B1564,Filmes_final!$B$2:$U$1001,20,FALSE)</f>
        <v>5344</v>
      </c>
      <c r="F1564" s="5">
        <f>vlookup(B1564,Filmes_final!$B$2:$U$1001,3,FALSE)</f>
        <v>1997</v>
      </c>
      <c r="G1564" s="5" t="str">
        <f>vlookup(B1564,Filmes_final!$B$2:$U$1001,13,FALSE)</f>
        <v>Thomas Jahn</v>
      </c>
    </row>
    <row r="1565">
      <c r="A1565" s="5">
        <v>391.0</v>
      </c>
      <c r="B1565" s="5" t="s">
        <v>2523</v>
      </c>
      <c r="C1565" s="5" t="s">
        <v>2530</v>
      </c>
      <c r="D1565" s="5" t="s">
        <v>6637</v>
      </c>
      <c r="E1565" s="8">
        <f>vlookup(B1565,Filmes_final!$B$2:$U$1001,20,FALSE)</f>
        <v>5344</v>
      </c>
      <c r="F1565" s="5">
        <f>vlookup(B1565,Filmes_final!$B$2:$U$1001,3,FALSE)</f>
        <v>1997</v>
      </c>
      <c r="G1565" s="5" t="str">
        <f>vlookup(B1565,Filmes_final!$B$2:$U$1001,13,FALSE)</f>
        <v>Thomas Jahn</v>
      </c>
    </row>
    <row r="1566">
      <c r="A1566" s="5">
        <v>392.0</v>
      </c>
      <c r="B1566" s="5" t="s">
        <v>2531</v>
      </c>
      <c r="C1566" s="5" t="s">
        <v>2533</v>
      </c>
      <c r="D1566" s="5" t="s">
        <v>6634</v>
      </c>
      <c r="E1566" s="8">
        <f>vlookup(B1566,Filmes_final!$B$2:$U$1001,20,FALSE)</f>
        <v>40893443</v>
      </c>
      <c r="F1566" s="5">
        <f>vlookup(B1566,Filmes_final!$B$2:$U$1001,3,FALSE)</f>
        <v>1996</v>
      </c>
      <c r="G1566" s="5" t="str">
        <f>vlookup(B1566,Filmes_final!$B$2:$U$1001,13,FALSE)</f>
        <v>Billy Bob Thornton</v>
      </c>
    </row>
    <row r="1567">
      <c r="A1567" s="5">
        <v>392.0</v>
      </c>
      <c r="B1567" s="5" t="s">
        <v>2531</v>
      </c>
      <c r="C1567" s="5" t="s">
        <v>2534</v>
      </c>
      <c r="D1567" s="5" t="s">
        <v>6635</v>
      </c>
      <c r="E1567" s="8">
        <f>vlookup(B1567,Filmes_final!$B$2:$U$1001,20,FALSE)</f>
        <v>40893443</v>
      </c>
      <c r="F1567" s="5">
        <f>vlookup(B1567,Filmes_final!$B$2:$U$1001,3,FALSE)</f>
        <v>1996</v>
      </c>
      <c r="G1567" s="5" t="str">
        <f>vlookup(B1567,Filmes_final!$B$2:$U$1001,13,FALSE)</f>
        <v>Billy Bob Thornton</v>
      </c>
    </row>
    <row r="1568">
      <c r="A1568" s="5">
        <v>392.0</v>
      </c>
      <c r="B1568" s="5" t="s">
        <v>2531</v>
      </c>
      <c r="C1568" s="5" t="s">
        <v>2535</v>
      </c>
      <c r="D1568" s="5" t="s">
        <v>6636</v>
      </c>
      <c r="E1568" s="8">
        <f>vlookup(B1568,Filmes_final!$B$2:$U$1001,20,FALSE)</f>
        <v>40893443</v>
      </c>
      <c r="F1568" s="5">
        <f>vlookup(B1568,Filmes_final!$B$2:$U$1001,3,FALSE)</f>
        <v>1996</v>
      </c>
      <c r="G1568" s="5" t="str">
        <f>vlookup(B1568,Filmes_final!$B$2:$U$1001,13,FALSE)</f>
        <v>Billy Bob Thornton</v>
      </c>
    </row>
    <row r="1569">
      <c r="A1569" s="5">
        <v>392.0</v>
      </c>
      <c r="B1569" s="5" t="s">
        <v>2531</v>
      </c>
      <c r="C1569" s="5" t="s">
        <v>2536</v>
      </c>
      <c r="D1569" s="5" t="s">
        <v>6637</v>
      </c>
      <c r="E1569" s="8">
        <f>vlookup(B1569,Filmes_final!$B$2:$U$1001,20,FALSE)</f>
        <v>40893443</v>
      </c>
      <c r="F1569" s="5">
        <f>vlookup(B1569,Filmes_final!$B$2:$U$1001,3,FALSE)</f>
        <v>1996</v>
      </c>
      <c r="G1569" s="5" t="str">
        <f>vlookup(B1569,Filmes_final!$B$2:$U$1001,13,FALSE)</f>
        <v>Billy Bob Thornton</v>
      </c>
    </row>
    <row r="1570">
      <c r="A1570" s="5">
        <v>393.0</v>
      </c>
      <c r="B1570" s="5" t="s">
        <v>2537</v>
      </c>
      <c r="C1570" s="5" t="s">
        <v>2540</v>
      </c>
      <c r="D1570" s="5" t="s">
        <v>6634</v>
      </c>
      <c r="E1570" s="8">
        <f>vlookup(B1570,Filmes_final!$B$2:$U$1001,20,FALSE)</f>
        <v>22417566</v>
      </c>
      <c r="F1570" s="5">
        <f>vlookup(B1570,Filmes_final!$B$2:$U$1001,3,FALSE)</f>
        <v>1996</v>
      </c>
      <c r="G1570" s="5" t="str">
        <f>vlookup(B1570,Filmes_final!$B$2:$U$1001,13,FALSE)</f>
        <v>Mike Leigh</v>
      </c>
    </row>
    <row r="1571">
      <c r="A1571" s="5">
        <v>393.0</v>
      </c>
      <c r="B1571" s="5" t="s">
        <v>2537</v>
      </c>
      <c r="C1571" s="5" t="s">
        <v>2541</v>
      </c>
      <c r="D1571" s="5" t="s">
        <v>6635</v>
      </c>
      <c r="E1571" s="8">
        <f>vlookup(B1571,Filmes_final!$B$2:$U$1001,20,FALSE)</f>
        <v>22417566</v>
      </c>
      <c r="F1571" s="5">
        <f>vlookup(B1571,Filmes_final!$B$2:$U$1001,3,FALSE)</f>
        <v>1996</v>
      </c>
      <c r="G1571" s="5" t="str">
        <f>vlookup(B1571,Filmes_final!$B$2:$U$1001,13,FALSE)</f>
        <v>Mike Leigh</v>
      </c>
    </row>
    <row r="1572">
      <c r="A1572" s="5">
        <v>393.0</v>
      </c>
      <c r="B1572" s="5" t="s">
        <v>2537</v>
      </c>
      <c r="C1572" s="5" t="s">
        <v>2542</v>
      </c>
      <c r="D1572" s="5" t="s">
        <v>6636</v>
      </c>
      <c r="E1572" s="8">
        <f>vlookup(B1572,Filmes_final!$B$2:$U$1001,20,FALSE)</f>
        <v>22417566</v>
      </c>
      <c r="F1572" s="5">
        <f>vlookup(B1572,Filmes_final!$B$2:$U$1001,3,FALSE)</f>
        <v>1996</v>
      </c>
      <c r="G1572" s="5" t="str">
        <f>vlookup(B1572,Filmes_final!$B$2:$U$1001,13,FALSE)</f>
        <v>Mike Leigh</v>
      </c>
    </row>
    <row r="1573">
      <c r="A1573" s="5">
        <v>393.0</v>
      </c>
      <c r="B1573" s="5" t="s">
        <v>2537</v>
      </c>
      <c r="C1573" s="5" t="s">
        <v>2543</v>
      </c>
      <c r="D1573" s="5" t="s">
        <v>6637</v>
      </c>
      <c r="E1573" s="8">
        <f>vlookup(B1573,Filmes_final!$B$2:$U$1001,20,FALSE)</f>
        <v>22417566</v>
      </c>
      <c r="F1573" s="5">
        <f>vlookup(B1573,Filmes_final!$B$2:$U$1001,3,FALSE)</f>
        <v>1996</v>
      </c>
      <c r="G1573" s="5" t="str">
        <f>vlookup(B1573,Filmes_final!$B$2:$U$1001,13,FALSE)</f>
        <v>Mike Leigh</v>
      </c>
    </row>
    <row r="1574">
      <c r="A1574" s="5">
        <v>394.0</v>
      </c>
      <c r="B1574" s="5" t="s">
        <v>2544</v>
      </c>
      <c r="C1574" s="5" t="s">
        <v>76</v>
      </c>
      <c r="D1574" s="5" t="s">
        <v>6634</v>
      </c>
      <c r="E1574" s="8">
        <f>vlookup(B1574,Filmes_final!$B$2:$U$1001,20,FALSE)</f>
        <v>98076110</v>
      </c>
      <c r="F1574" s="5">
        <f>vlookup(B1574,Filmes_final!$B$2:$U$1001,3,FALSE)</f>
        <v>1995</v>
      </c>
      <c r="G1574" s="5" t="str">
        <f>vlookup(B1574,Filmes_final!$B$2:$U$1001,13,FALSE)</f>
        <v>Terry Gilliam</v>
      </c>
    </row>
    <row r="1575">
      <c r="A1575" s="5">
        <v>394.0</v>
      </c>
      <c r="B1575" s="5" t="s">
        <v>2544</v>
      </c>
      <c r="C1575" s="5" t="s">
        <v>2547</v>
      </c>
      <c r="D1575" s="5" t="s">
        <v>6635</v>
      </c>
      <c r="E1575" s="8">
        <f>vlookup(B1575,Filmes_final!$B$2:$U$1001,20,FALSE)</f>
        <v>98076110</v>
      </c>
      <c r="F1575" s="5">
        <f>vlookup(B1575,Filmes_final!$B$2:$U$1001,3,FALSE)</f>
        <v>1995</v>
      </c>
      <c r="G1575" s="5" t="str">
        <f>vlookup(B1575,Filmes_final!$B$2:$U$1001,13,FALSE)</f>
        <v>Terry Gilliam</v>
      </c>
    </row>
    <row r="1576">
      <c r="A1576" s="5">
        <v>394.0</v>
      </c>
      <c r="B1576" s="5" t="s">
        <v>2544</v>
      </c>
      <c r="C1576" s="5" t="s">
        <v>98</v>
      </c>
      <c r="D1576" s="5" t="s">
        <v>6636</v>
      </c>
      <c r="E1576" s="8">
        <f>vlookup(B1576,Filmes_final!$B$2:$U$1001,20,FALSE)</f>
        <v>98076110</v>
      </c>
      <c r="F1576" s="5">
        <f>vlookup(B1576,Filmes_final!$B$2:$U$1001,3,FALSE)</f>
        <v>1995</v>
      </c>
      <c r="G1576" s="5" t="str">
        <f>vlookup(B1576,Filmes_final!$B$2:$U$1001,13,FALSE)</f>
        <v>Terry Gilliam</v>
      </c>
    </row>
    <row r="1577">
      <c r="A1577" s="5">
        <v>394.0</v>
      </c>
      <c r="B1577" s="5" t="s">
        <v>2544</v>
      </c>
      <c r="C1577" s="5" t="s">
        <v>2548</v>
      </c>
      <c r="D1577" s="5" t="s">
        <v>6637</v>
      </c>
      <c r="E1577" s="8">
        <f>vlookup(B1577,Filmes_final!$B$2:$U$1001,20,FALSE)</f>
        <v>98076110</v>
      </c>
      <c r="F1577" s="5">
        <f>vlookup(B1577,Filmes_final!$B$2:$U$1001,3,FALSE)</f>
        <v>1995</v>
      </c>
      <c r="G1577" s="5" t="str">
        <f>vlookup(B1577,Filmes_final!$B$2:$U$1001,13,FALSE)</f>
        <v>Terry Gilliam</v>
      </c>
    </row>
    <row r="1578">
      <c r="A1578" s="5">
        <v>395.0</v>
      </c>
      <c r="B1578" s="5" t="s">
        <v>2549</v>
      </c>
      <c r="C1578" s="5" t="s">
        <v>2554</v>
      </c>
      <c r="D1578" s="5" t="s">
        <v>6634</v>
      </c>
      <c r="E1578" s="8">
        <f>vlookup(B1578,Filmes_final!$B$2:$U$1001,20,FALSE)</f>
        <v>885486</v>
      </c>
      <c r="F1578" s="5">
        <f>vlookup(B1578,Filmes_final!$B$2:$U$1001,3,FALSE)</f>
        <v>1995</v>
      </c>
      <c r="G1578" s="5" t="str">
        <f>vlookup(B1578,Filmes_final!$B$2:$U$1001,13,FALSE)</f>
        <v>Mamoru Oshii</v>
      </c>
    </row>
    <row r="1579">
      <c r="A1579" s="5">
        <v>395.0</v>
      </c>
      <c r="B1579" s="5" t="s">
        <v>2549</v>
      </c>
      <c r="C1579" s="5" t="s">
        <v>2555</v>
      </c>
      <c r="D1579" s="5" t="s">
        <v>6635</v>
      </c>
      <c r="E1579" s="8">
        <f>vlookup(B1579,Filmes_final!$B$2:$U$1001,20,FALSE)</f>
        <v>885486</v>
      </c>
      <c r="F1579" s="5">
        <f>vlookup(B1579,Filmes_final!$B$2:$U$1001,3,FALSE)</f>
        <v>1995</v>
      </c>
      <c r="G1579" s="5" t="str">
        <f>vlookup(B1579,Filmes_final!$B$2:$U$1001,13,FALSE)</f>
        <v>Mamoru Oshii</v>
      </c>
    </row>
    <row r="1580">
      <c r="A1580" s="5">
        <v>395.0</v>
      </c>
      <c r="B1580" s="5" t="s">
        <v>2549</v>
      </c>
      <c r="C1580" s="5" t="s">
        <v>2556</v>
      </c>
      <c r="D1580" s="5" t="s">
        <v>6636</v>
      </c>
      <c r="E1580" s="8">
        <f>vlookup(B1580,Filmes_final!$B$2:$U$1001,20,FALSE)</f>
        <v>885486</v>
      </c>
      <c r="F1580" s="5">
        <f>vlookup(B1580,Filmes_final!$B$2:$U$1001,3,FALSE)</f>
        <v>1995</v>
      </c>
      <c r="G1580" s="5" t="str">
        <f>vlookup(B1580,Filmes_final!$B$2:$U$1001,13,FALSE)</f>
        <v>Mamoru Oshii</v>
      </c>
    </row>
    <row r="1581">
      <c r="A1581" s="5">
        <v>395.0</v>
      </c>
      <c r="B1581" s="5" t="s">
        <v>2549</v>
      </c>
      <c r="C1581" s="5" t="s">
        <v>2557</v>
      </c>
      <c r="D1581" s="5" t="s">
        <v>6637</v>
      </c>
      <c r="E1581" s="8">
        <f>vlookup(B1581,Filmes_final!$B$2:$U$1001,20,FALSE)</f>
        <v>885486</v>
      </c>
      <c r="F1581" s="5">
        <f>vlookup(B1581,Filmes_final!$B$2:$U$1001,3,FALSE)</f>
        <v>1995</v>
      </c>
      <c r="G1581" s="5" t="str">
        <f>vlookup(B1581,Filmes_final!$B$2:$U$1001,13,FALSE)</f>
        <v>Mamoru Oshii</v>
      </c>
    </row>
    <row r="1582">
      <c r="A1582" s="5">
        <v>396.0</v>
      </c>
      <c r="B1582" s="5" t="s">
        <v>2558</v>
      </c>
      <c r="C1582" s="5" t="s">
        <v>2561</v>
      </c>
      <c r="D1582" s="5" t="s">
        <v>6634</v>
      </c>
      <c r="E1582" s="8">
        <f>vlookup(B1582,Filmes_final!$B$2:$U$1001,20,FALSE)</f>
        <v>135828548</v>
      </c>
      <c r="F1582" s="5">
        <f>vlookup(B1582,Filmes_final!$B$2:$U$1001,3,FALSE)</f>
        <v>1993</v>
      </c>
      <c r="G1582" s="5" t="str">
        <f>vlookup(B1582,Filmes_final!$B$2:$U$1001,13,FALSE)</f>
        <v>Henry Selick</v>
      </c>
    </row>
    <row r="1583">
      <c r="A1583" s="5">
        <v>396.0</v>
      </c>
      <c r="B1583" s="5" t="s">
        <v>2558</v>
      </c>
      <c r="C1583" s="5" t="s">
        <v>2562</v>
      </c>
      <c r="D1583" s="5" t="s">
        <v>6635</v>
      </c>
      <c r="E1583" s="8">
        <f>vlookup(B1583,Filmes_final!$B$2:$U$1001,20,FALSE)</f>
        <v>135828548</v>
      </c>
      <c r="F1583" s="5">
        <f>vlookup(B1583,Filmes_final!$B$2:$U$1001,3,FALSE)</f>
        <v>1993</v>
      </c>
      <c r="G1583" s="5" t="str">
        <f>vlookup(B1583,Filmes_final!$B$2:$U$1001,13,FALSE)</f>
        <v>Henry Selick</v>
      </c>
    </row>
    <row r="1584">
      <c r="A1584" s="5">
        <v>396.0</v>
      </c>
      <c r="B1584" s="5" t="s">
        <v>2558</v>
      </c>
      <c r="C1584" s="5" t="s">
        <v>2563</v>
      </c>
      <c r="D1584" s="5" t="s">
        <v>6636</v>
      </c>
      <c r="E1584" s="8">
        <f>vlookup(B1584,Filmes_final!$B$2:$U$1001,20,FALSE)</f>
        <v>135828548</v>
      </c>
      <c r="F1584" s="5">
        <f>vlookup(B1584,Filmes_final!$B$2:$U$1001,3,FALSE)</f>
        <v>1993</v>
      </c>
      <c r="G1584" s="5" t="str">
        <f>vlookup(B1584,Filmes_final!$B$2:$U$1001,13,FALSE)</f>
        <v>Henry Selick</v>
      </c>
    </row>
    <row r="1585">
      <c r="A1585" s="5">
        <v>396.0</v>
      </c>
      <c r="B1585" s="5" t="s">
        <v>2558</v>
      </c>
      <c r="C1585" s="5" t="s">
        <v>2564</v>
      </c>
      <c r="D1585" s="5" t="s">
        <v>6637</v>
      </c>
      <c r="E1585" s="8">
        <f>vlookup(B1585,Filmes_final!$B$2:$U$1001,20,FALSE)</f>
        <v>135828548</v>
      </c>
      <c r="F1585" s="5">
        <f>vlookup(B1585,Filmes_final!$B$2:$U$1001,3,FALSE)</f>
        <v>1993</v>
      </c>
      <c r="G1585" s="5" t="str">
        <f>vlookup(B1585,Filmes_final!$B$2:$U$1001,13,FALSE)</f>
        <v>Henry Selick</v>
      </c>
    </row>
    <row r="1586">
      <c r="A1586" s="5">
        <v>397.0</v>
      </c>
      <c r="B1586" s="5" t="s">
        <v>2565</v>
      </c>
      <c r="C1586" s="5" t="s">
        <v>2569</v>
      </c>
      <c r="D1586" s="5" t="s">
        <v>6634</v>
      </c>
      <c r="E1586" s="8">
        <f>vlookup(B1586,Filmes_final!$B$2:$U$1001,20,FALSE)</f>
        <v>128274493</v>
      </c>
      <c r="F1586" s="5">
        <f>vlookup(B1586,Filmes_final!$B$2:$U$1001,3,FALSE)</f>
        <v>1993</v>
      </c>
      <c r="G1586" s="5" t="str">
        <f>vlookup(B1586,Filmes_final!$B$2:$U$1001,13,FALSE)</f>
        <v>Harold Ramis</v>
      </c>
    </row>
    <row r="1587">
      <c r="A1587" s="5">
        <v>397.0</v>
      </c>
      <c r="B1587" s="5" t="s">
        <v>2565</v>
      </c>
      <c r="C1587" s="5" t="s">
        <v>2570</v>
      </c>
      <c r="D1587" s="5" t="s">
        <v>6635</v>
      </c>
      <c r="E1587" s="8">
        <f>vlookup(B1587,Filmes_final!$B$2:$U$1001,20,FALSE)</f>
        <v>128274493</v>
      </c>
      <c r="F1587" s="5">
        <f>vlookup(B1587,Filmes_final!$B$2:$U$1001,3,FALSE)</f>
        <v>1993</v>
      </c>
      <c r="G1587" s="5" t="str">
        <f>vlookup(B1587,Filmes_final!$B$2:$U$1001,13,FALSE)</f>
        <v>Harold Ramis</v>
      </c>
    </row>
    <row r="1588">
      <c r="A1588" s="5">
        <v>397.0</v>
      </c>
      <c r="B1588" s="5" t="s">
        <v>2565</v>
      </c>
      <c r="C1588" s="5" t="s">
        <v>2571</v>
      </c>
      <c r="D1588" s="5" t="s">
        <v>6636</v>
      </c>
      <c r="E1588" s="8">
        <f>vlookup(B1588,Filmes_final!$B$2:$U$1001,20,FALSE)</f>
        <v>128274493</v>
      </c>
      <c r="F1588" s="5">
        <f>vlookup(B1588,Filmes_final!$B$2:$U$1001,3,FALSE)</f>
        <v>1993</v>
      </c>
      <c r="G1588" s="5" t="str">
        <f>vlookup(B1588,Filmes_final!$B$2:$U$1001,13,FALSE)</f>
        <v>Harold Ramis</v>
      </c>
    </row>
    <row r="1589">
      <c r="A1589" s="5">
        <v>397.0</v>
      </c>
      <c r="B1589" s="5" t="s">
        <v>2565</v>
      </c>
      <c r="C1589" s="5" t="s">
        <v>2572</v>
      </c>
      <c r="D1589" s="5" t="s">
        <v>6637</v>
      </c>
      <c r="E1589" s="8">
        <f>vlookup(B1589,Filmes_final!$B$2:$U$1001,20,FALSE)</f>
        <v>128274493</v>
      </c>
      <c r="F1589" s="5">
        <f>vlookup(B1589,Filmes_final!$B$2:$U$1001,3,FALSE)</f>
        <v>1993</v>
      </c>
      <c r="G1589" s="5" t="str">
        <f>vlookup(B1589,Filmes_final!$B$2:$U$1001,13,FALSE)</f>
        <v>Harold Ramis</v>
      </c>
    </row>
    <row r="1590">
      <c r="A1590" s="5">
        <v>398.0</v>
      </c>
      <c r="B1590" s="5" t="s">
        <v>2573</v>
      </c>
      <c r="C1590" s="5" t="s">
        <v>2576</v>
      </c>
      <c r="D1590" s="5" t="s">
        <v>6634</v>
      </c>
      <c r="E1590" s="8">
        <f>vlookup(B1590,Filmes_final!$B$2:$U$1001,20,FALSE)</f>
        <v>8134558</v>
      </c>
      <c r="F1590" s="5">
        <f>vlookup(B1590,Filmes_final!$B$2:$U$1001,3,FALSE)</f>
        <v>1993</v>
      </c>
      <c r="G1590" s="5" t="str">
        <f>vlookup(B1590,Filmes_final!$B$2:$U$1001,13,FALSE)</f>
        <v>Taylor Hackford</v>
      </c>
    </row>
    <row r="1591">
      <c r="A1591" s="5">
        <v>398.0</v>
      </c>
      <c r="B1591" s="5" t="s">
        <v>2573</v>
      </c>
      <c r="C1591" s="5" t="s">
        <v>2577</v>
      </c>
      <c r="D1591" s="5" t="s">
        <v>6635</v>
      </c>
      <c r="E1591" s="8">
        <f>vlookup(B1591,Filmes_final!$B$2:$U$1001,20,FALSE)</f>
        <v>8134558</v>
      </c>
      <c r="F1591" s="5">
        <f>vlookup(B1591,Filmes_final!$B$2:$U$1001,3,FALSE)</f>
        <v>1993</v>
      </c>
      <c r="G1591" s="5" t="str">
        <f>vlookup(B1591,Filmes_final!$B$2:$U$1001,13,FALSE)</f>
        <v>Taylor Hackford</v>
      </c>
    </row>
    <row r="1592">
      <c r="A1592" s="5">
        <v>398.0</v>
      </c>
      <c r="B1592" s="5" t="s">
        <v>2573</v>
      </c>
      <c r="C1592" s="5" t="s">
        <v>493</v>
      </c>
      <c r="D1592" s="5" t="s">
        <v>6636</v>
      </c>
      <c r="E1592" s="8">
        <f>vlookup(B1592,Filmes_final!$B$2:$U$1001,20,FALSE)</f>
        <v>8134558</v>
      </c>
      <c r="F1592" s="5">
        <f>vlookup(B1592,Filmes_final!$B$2:$U$1001,3,FALSE)</f>
        <v>1993</v>
      </c>
      <c r="G1592" s="5" t="str">
        <f>vlookup(B1592,Filmes_final!$B$2:$U$1001,13,FALSE)</f>
        <v>Taylor Hackford</v>
      </c>
    </row>
    <row r="1593">
      <c r="A1593" s="5">
        <v>398.0</v>
      </c>
      <c r="B1593" s="5" t="s">
        <v>2573</v>
      </c>
      <c r="C1593" s="5" t="s">
        <v>2578</v>
      </c>
      <c r="D1593" s="5" t="s">
        <v>6637</v>
      </c>
      <c r="E1593" s="8">
        <f>vlookup(B1593,Filmes_final!$B$2:$U$1001,20,FALSE)</f>
        <v>8134558</v>
      </c>
      <c r="F1593" s="5">
        <f>vlookup(B1593,Filmes_final!$B$2:$U$1001,3,FALSE)</f>
        <v>1993</v>
      </c>
      <c r="G1593" s="5" t="str">
        <f>vlookup(B1593,Filmes_final!$B$2:$U$1001,13,FALSE)</f>
        <v>Taylor Hackford</v>
      </c>
    </row>
    <row r="1594">
      <c r="A1594" s="5">
        <v>399.0</v>
      </c>
      <c r="B1594" s="5" t="s">
        <v>2579</v>
      </c>
      <c r="C1594" s="5" t="s">
        <v>33</v>
      </c>
      <c r="D1594" s="5" t="s">
        <v>6634</v>
      </c>
      <c r="E1594" s="8">
        <f>vlookup(B1594,Filmes_final!$B$2:$U$1001,20,FALSE)</f>
        <v>119357087</v>
      </c>
      <c r="F1594" s="5">
        <f>vlookup(B1594,Filmes_final!$B$2:$U$1001,3,FALSE)</f>
        <v>1992</v>
      </c>
      <c r="G1594" s="5" t="str">
        <f>vlookup(B1594,Filmes_final!$B$2:$U$1001,13,FALSE)</f>
        <v>Martin Brest</v>
      </c>
    </row>
    <row r="1595">
      <c r="A1595" s="5">
        <v>399.0</v>
      </c>
      <c r="B1595" s="5" t="s">
        <v>2579</v>
      </c>
      <c r="C1595" s="5" t="s">
        <v>2582</v>
      </c>
      <c r="D1595" s="5" t="s">
        <v>6635</v>
      </c>
      <c r="E1595" s="8">
        <f>vlookup(B1595,Filmes_final!$B$2:$U$1001,20,FALSE)</f>
        <v>119357087</v>
      </c>
      <c r="F1595" s="5">
        <f>vlookup(B1595,Filmes_final!$B$2:$U$1001,3,FALSE)</f>
        <v>1992</v>
      </c>
      <c r="G1595" s="5" t="str">
        <f>vlookup(B1595,Filmes_final!$B$2:$U$1001,13,FALSE)</f>
        <v>Martin Brest</v>
      </c>
    </row>
    <row r="1596">
      <c r="A1596" s="5">
        <v>399.0</v>
      </c>
      <c r="B1596" s="5" t="s">
        <v>2579</v>
      </c>
      <c r="C1596" s="5" t="s">
        <v>2583</v>
      </c>
      <c r="D1596" s="5" t="s">
        <v>6636</v>
      </c>
      <c r="E1596" s="8">
        <f>vlookup(B1596,Filmes_final!$B$2:$U$1001,20,FALSE)</f>
        <v>119357087</v>
      </c>
      <c r="F1596" s="5">
        <f>vlookup(B1596,Filmes_final!$B$2:$U$1001,3,FALSE)</f>
        <v>1992</v>
      </c>
      <c r="G1596" s="5" t="str">
        <f>vlookup(B1596,Filmes_final!$B$2:$U$1001,13,FALSE)</f>
        <v>Martin Brest</v>
      </c>
    </row>
    <row r="1597">
      <c r="A1597" s="5">
        <v>399.0</v>
      </c>
      <c r="B1597" s="5" t="s">
        <v>2579</v>
      </c>
      <c r="C1597" s="5" t="s">
        <v>2584</v>
      </c>
      <c r="D1597" s="5" t="s">
        <v>6637</v>
      </c>
      <c r="E1597" s="8">
        <f>vlookup(B1597,Filmes_final!$B$2:$U$1001,20,FALSE)</f>
        <v>119357087</v>
      </c>
      <c r="F1597" s="5">
        <f>vlookup(B1597,Filmes_final!$B$2:$U$1001,3,FALSE)</f>
        <v>1992</v>
      </c>
      <c r="G1597" s="5" t="str">
        <f>vlookup(B1597,Filmes_final!$B$2:$U$1001,13,FALSE)</f>
        <v>Martin Brest</v>
      </c>
    </row>
    <row r="1598">
      <c r="A1598" s="5">
        <v>400.0</v>
      </c>
      <c r="B1598" s="5" t="s">
        <v>2585</v>
      </c>
      <c r="C1598" s="5" t="s">
        <v>2589</v>
      </c>
      <c r="D1598" s="5" t="s">
        <v>6634</v>
      </c>
      <c r="E1598" s="8">
        <f>vlookup(B1598,Filmes_final!$B$2:$U$1001,20,FALSE)</f>
        <v>406010524</v>
      </c>
      <c r="F1598" s="5">
        <f>vlookup(B1598,Filmes_final!$B$2:$U$1001,3,FALSE)</f>
        <v>1992</v>
      </c>
      <c r="G1598" s="5" t="str">
        <f>vlookup(B1598,Filmes_final!$B$2:$U$1001,13,FALSE)</f>
        <v>Ron Clements</v>
      </c>
    </row>
    <row r="1599">
      <c r="A1599" s="5">
        <v>400.0</v>
      </c>
      <c r="B1599" s="5" t="s">
        <v>2585</v>
      </c>
      <c r="C1599" s="5" t="s">
        <v>2590</v>
      </c>
      <c r="D1599" s="5" t="s">
        <v>6635</v>
      </c>
      <c r="E1599" s="8">
        <f>vlookup(B1599,Filmes_final!$B$2:$U$1001,20,FALSE)</f>
        <v>406010524</v>
      </c>
      <c r="F1599" s="5">
        <f>vlookup(B1599,Filmes_final!$B$2:$U$1001,3,FALSE)</f>
        <v>1992</v>
      </c>
      <c r="G1599" s="5" t="str">
        <f>vlookup(B1599,Filmes_final!$B$2:$U$1001,13,FALSE)</f>
        <v>Ron Clements</v>
      </c>
    </row>
    <row r="1600">
      <c r="A1600" s="5">
        <v>400.0</v>
      </c>
      <c r="B1600" s="5" t="s">
        <v>2585</v>
      </c>
      <c r="C1600" s="5" t="s">
        <v>752</v>
      </c>
      <c r="D1600" s="5" t="s">
        <v>6636</v>
      </c>
      <c r="E1600" s="8">
        <f>vlookup(B1600,Filmes_final!$B$2:$U$1001,20,FALSE)</f>
        <v>406010524</v>
      </c>
      <c r="F1600" s="5">
        <f>vlookup(B1600,Filmes_final!$B$2:$U$1001,3,FALSE)</f>
        <v>1992</v>
      </c>
      <c r="G1600" s="5" t="str">
        <f>vlookup(B1600,Filmes_final!$B$2:$U$1001,13,FALSE)</f>
        <v>Ron Clements</v>
      </c>
    </row>
    <row r="1601">
      <c r="A1601" s="5">
        <v>400.0</v>
      </c>
      <c r="B1601" s="5" t="s">
        <v>2585</v>
      </c>
      <c r="C1601" s="5" t="s">
        <v>2591</v>
      </c>
      <c r="D1601" s="5" t="s">
        <v>6637</v>
      </c>
      <c r="E1601" s="8">
        <f>vlookup(B1601,Filmes_final!$B$2:$U$1001,20,FALSE)</f>
        <v>406010524</v>
      </c>
      <c r="F1601" s="5">
        <f>vlookup(B1601,Filmes_final!$B$2:$U$1001,3,FALSE)</f>
        <v>1992</v>
      </c>
      <c r="G1601" s="5" t="str">
        <f>vlookup(B1601,Filmes_final!$B$2:$U$1001,13,FALSE)</f>
        <v>Ron Clements</v>
      </c>
    </row>
    <row r="1602">
      <c r="A1602" s="5">
        <v>401.0</v>
      </c>
      <c r="B1602" s="5" t="s">
        <v>2592</v>
      </c>
      <c r="C1602" s="5" t="s">
        <v>2595</v>
      </c>
      <c r="D1602" s="5" t="s">
        <v>6634</v>
      </c>
      <c r="E1602" s="8">
        <f>vlookup(B1602,Filmes_final!$B$2:$U$1001,20,FALSE)</f>
        <v>134937420</v>
      </c>
      <c r="F1602" s="5">
        <f>vlookup(B1602,Filmes_final!$B$2:$U$1001,3,FALSE)</f>
        <v>1991</v>
      </c>
      <c r="G1602" s="5" t="str">
        <f>vlookup(B1602,Filmes_final!$B$2:$U$1001,13,FALSE)</f>
        <v>Oliver Stone</v>
      </c>
    </row>
    <row r="1603">
      <c r="A1603" s="5">
        <v>401.0</v>
      </c>
      <c r="B1603" s="5" t="s">
        <v>2592</v>
      </c>
      <c r="C1603" s="5" t="s">
        <v>347</v>
      </c>
      <c r="D1603" s="5" t="s">
        <v>6635</v>
      </c>
      <c r="E1603" s="8">
        <f>vlookup(B1603,Filmes_final!$B$2:$U$1001,20,FALSE)</f>
        <v>134937420</v>
      </c>
      <c r="F1603" s="5">
        <f>vlookup(B1603,Filmes_final!$B$2:$U$1001,3,FALSE)</f>
        <v>1991</v>
      </c>
      <c r="G1603" s="5" t="str">
        <f>vlookup(B1603,Filmes_final!$B$2:$U$1001,13,FALSE)</f>
        <v>Oliver Stone</v>
      </c>
    </row>
    <row r="1604">
      <c r="A1604" s="5">
        <v>401.0</v>
      </c>
      <c r="B1604" s="5" t="s">
        <v>2592</v>
      </c>
      <c r="C1604" s="5" t="s">
        <v>866</v>
      </c>
      <c r="D1604" s="5" t="s">
        <v>6636</v>
      </c>
      <c r="E1604" s="8">
        <f>vlookup(B1604,Filmes_final!$B$2:$U$1001,20,FALSE)</f>
        <v>134937420</v>
      </c>
      <c r="F1604" s="5">
        <f>vlookup(B1604,Filmes_final!$B$2:$U$1001,3,FALSE)</f>
        <v>1991</v>
      </c>
      <c r="G1604" s="5" t="str">
        <f>vlookup(B1604,Filmes_final!$B$2:$U$1001,13,FALSE)</f>
        <v>Oliver Stone</v>
      </c>
    </row>
    <row r="1605">
      <c r="A1605" s="5">
        <v>401.0</v>
      </c>
      <c r="B1605" s="5" t="s">
        <v>2592</v>
      </c>
      <c r="C1605" s="5" t="s">
        <v>2596</v>
      </c>
      <c r="D1605" s="5" t="s">
        <v>6637</v>
      </c>
      <c r="E1605" s="8">
        <f>vlookup(B1605,Filmes_final!$B$2:$U$1001,20,FALSE)</f>
        <v>134937420</v>
      </c>
      <c r="F1605" s="5">
        <f>vlookup(B1605,Filmes_final!$B$2:$U$1001,3,FALSE)</f>
        <v>1991</v>
      </c>
      <c r="G1605" s="5" t="str">
        <f>vlookup(B1605,Filmes_final!$B$2:$U$1001,13,FALSE)</f>
        <v>Oliver Stone</v>
      </c>
    </row>
    <row r="1606">
      <c r="A1606" s="5">
        <v>402.0</v>
      </c>
      <c r="B1606" s="5" t="s">
        <v>2597</v>
      </c>
      <c r="C1606" s="5" t="s">
        <v>2601</v>
      </c>
      <c r="D1606" s="5" t="s">
        <v>6634</v>
      </c>
      <c r="E1606" s="8">
        <f>vlookup(B1606,Filmes_final!$B$2:$U$1001,20,FALSE)</f>
        <v>419667875</v>
      </c>
      <c r="F1606" s="5">
        <f>vlookup(B1606,Filmes_final!$B$2:$U$1001,3,FALSE)</f>
        <v>1991</v>
      </c>
      <c r="G1606" s="5" t="str">
        <f>vlookup(B1606,Filmes_final!$B$2:$U$1001,13,FALSE)</f>
        <v>Gary Trousdale</v>
      </c>
    </row>
    <row r="1607">
      <c r="A1607" s="5">
        <v>402.0</v>
      </c>
      <c r="B1607" s="5" t="s">
        <v>2597</v>
      </c>
      <c r="C1607" s="5" t="s">
        <v>2602</v>
      </c>
      <c r="D1607" s="5" t="s">
        <v>6635</v>
      </c>
      <c r="E1607" s="8">
        <f>vlookup(B1607,Filmes_final!$B$2:$U$1001,20,FALSE)</f>
        <v>419667875</v>
      </c>
      <c r="F1607" s="5">
        <f>vlookup(B1607,Filmes_final!$B$2:$U$1001,3,FALSE)</f>
        <v>1991</v>
      </c>
      <c r="G1607" s="5" t="str">
        <f>vlookup(B1607,Filmes_final!$B$2:$U$1001,13,FALSE)</f>
        <v>Gary Trousdale</v>
      </c>
    </row>
    <row r="1608">
      <c r="A1608" s="5">
        <v>402.0</v>
      </c>
      <c r="B1608" s="5" t="s">
        <v>2597</v>
      </c>
      <c r="C1608" s="5" t="s">
        <v>2603</v>
      </c>
      <c r="D1608" s="5" t="s">
        <v>6636</v>
      </c>
      <c r="E1608" s="8">
        <f>vlookup(B1608,Filmes_final!$B$2:$U$1001,20,FALSE)</f>
        <v>419667875</v>
      </c>
      <c r="F1608" s="5">
        <f>vlookup(B1608,Filmes_final!$B$2:$U$1001,3,FALSE)</f>
        <v>1991</v>
      </c>
      <c r="G1608" s="5" t="str">
        <f>vlookup(B1608,Filmes_final!$B$2:$U$1001,13,FALSE)</f>
        <v>Gary Trousdale</v>
      </c>
    </row>
    <row r="1609">
      <c r="A1609" s="5">
        <v>402.0</v>
      </c>
      <c r="B1609" s="5" t="s">
        <v>2597</v>
      </c>
      <c r="C1609" s="5" t="s">
        <v>2604</v>
      </c>
      <c r="D1609" s="5" t="s">
        <v>6637</v>
      </c>
      <c r="E1609" s="8">
        <f>vlookup(B1609,Filmes_final!$B$2:$U$1001,20,FALSE)</f>
        <v>419667875</v>
      </c>
      <c r="F1609" s="5">
        <f>vlookup(B1609,Filmes_final!$B$2:$U$1001,3,FALSE)</f>
        <v>1991</v>
      </c>
      <c r="G1609" s="5" t="str">
        <f>vlookup(B1609,Filmes_final!$B$2:$U$1001,13,FALSE)</f>
        <v>Gary Trousdale</v>
      </c>
    </row>
    <row r="1610">
      <c r="A1610" s="5">
        <v>403.0</v>
      </c>
      <c r="B1610" s="5" t="s">
        <v>2605</v>
      </c>
      <c r="C1610" s="5" t="s">
        <v>2595</v>
      </c>
      <c r="D1610" s="5" t="s">
        <v>6634</v>
      </c>
      <c r="E1610" s="8">
        <f>vlookup(B1610,Filmes_final!$B$2:$U$1001,20,FALSE)</f>
        <v>373002674</v>
      </c>
      <c r="F1610" s="5">
        <f>vlookup(B1610,Filmes_final!$B$2:$U$1001,3,FALSE)</f>
        <v>1990</v>
      </c>
      <c r="G1610" s="5" t="str">
        <f>vlookup(B1610,Filmes_final!$B$2:$U$1001,13,FALSE)</f>
        <v>Kevin Costner</v>
      </c>
    </row>
    <row r="1611">
      <c r="A1611" s="5">
        <v>403.0</v>
      </c>
      <c r="B1611" s="5" t="s">
        <v>2605</v>
      </c>
      <c r="C1611" s="5" t="s">
        <v>2482</v>
      </c>
      <c r="D1611" s="5" t="s">
        <v>6635</v>
      </c>
      <c r="E1611" s="8">
        <f>vlookup(B1611,Filmes_final!$B$2:$U$1001,20,FALSE)</f>
        <v>373002674</v>
      </c>
      <c r="F1611" s="5">
        <f>vlookup(B1611,Filmes_final!$B$2:$U$1001,3,FALSE)</f>
        <v>1990</v>
      </c>
      <c r="G1611" s="5" t="str">
        <f>vlookup(B1611,Filmes_final!$B$2:$U$1001,13,FALSE)</f>
        <v>Kevin Costner</v>
      </c>
    </row>
    <row r="1612">
      <c r="A1612" s="5">
        <v>403.0</v>
      </c>
      <c r="B1612" s="5" t="s">
        <v>2605</v>
      </c>
      <c r="C1612" s="5" t="s">
        <v>2607</v>
      </c>
      <c r="D1612" s="5" t="s">
        <v>6636</v>
      </c>
      <c r="E1612" s="8">
        <f>vlookup(B1612,Filmes_final!$B$2:$U$1001,20,FALSE)</f>
        <v>373002674</v>
      </c>
      <c r="F1612" s="5">
        <f>vlookup(B1612,Filmes_final!$B$2:$U$1001,3,FALSE)</f>
        <v>1990</v>
      </c>
      <c r="G1612" s="5" t="str">
        <f>vlookup(B1612,Filmes_final!$B$2:$U$1001,13,FALSE)</f>
        <v>Kevin Costner</v>
      </c>
    </row>
    <row r="1613">
      <c r="A1613" s="5">
        <v>403.0</v>
      </c>
      <c r="B1613" s="5" t="s">
        <v>2605</v>
      </c>
      <c r="C1613" s="5" t="s">
        <v>2608</v>
      </c>
      <c r="D1613" s="5" t="s">
        <v>6637</v>
      </c>
      <c r="E1613" s="8">
        <f>vlookup(B1613,Filmes_final!$B$2:$U$1001,20,FALSE)</f>
        <v>373002674</v>
      </c>
      <c r="F1613" s="5">
        <f>vlookup(B1613,Filmes_final!$B$2:$U$1001,3,FALSE)</f>
        <v>1990</v>
      </c>
      <c r="G1613" s="5" t="str">
        <f>vlookup(B1613,Filmes_final!$B$2:$U$1001,13,FALSE)</f>
        <v>Kevin Costner</v>
      </c>
    </row>
    <row r="1614">
      <c r="A1614" s="5">
        <v>404.0</v>
      </c>
      <c r="B1614" s="5" t="s">
        <v>2609</v>
      </c>
      <c r="C1614" s="5" t="s">
        <v>349</v>
      </c>
      <c r="D1614" s="5" t="s">
        <v>6634</v>
      </c>
      <c r="E1614" s="8">
        <f>vlookup(B1614,Filmes_final!$B$2:$U$1001,20,FALSE)</f>
        <v>58678167</v>
      </c>
      <c r="F1614" s="5">
        <f>vlookup(B1614,Filmes_final!$B$2:$U$1001,3,FALSE)</f>
        <v>1989</v>
      </c>
      <c r="G1614" s="5" t="str">
        <f>vlookup(B1614,Filmes_final!$B$2:$U$1001,13,FALSE)</f>
        <v>Spike Lee</v>
      </c>
    </row>
    <row r="1615">
      <c r="A1615" s="5">
        <v>404.0</v>
      </c>
      <c r="B1615" s="5" t="s">
        <v>2609</v>
      </c>
      <c r="C1615" s="5" t="s">
        <v>2612</v>
      </c>
      <c r="D1615" s="5" t="s">
        <v>6635</v>
      </c>
      <c r="E1615" s="8">
        <f>vlookup(B1615,Filmes_final!$B$2:$U$1001,20,FALSE)</f>
        <v>58678167</v>
      </c>
      <c r="F1615" s="5">
        <f>vlookup(B1615,Filmes_final!$B$2:$U$1001,3,FALSE)</f>
        <v>1989</v>
      </c>
      <c r="G1615" s="5" t="str">
        <f>vlookup(B1615,Filmes_final!$B$2:$U$1001,13,FALSE)</f>
        <v>Spike Lee</v>
      </c>
    </row>
    <row r="1616">
      <c r="A1616" s="5">
        <v>404.0</v>
      </c>
      <c r="B1616" s="5" t="s">
        <v>2609</v>
      </c>
      <c r="C1616" s="5" t="s">
        <v>2613</v>
      </c>
      <c r="D1616" s="5" t="s">
        <v>6636</v>
      </c>
      <c r="E1616" s="8">
        <f>vlookup(B1616,Filmes_final!$B$2:$U$1001,20,FALSE)</f>
        <v>58678167</v>
      </c>
      <c r="F1616" s="5">
        <f>vlookup(B1616,Filmes_final!$B$2:$U$1001,3,FALSE)</f>
        <v>1989</v>
      </c>
      <c r="G1616" s="5" t="str">
        <f>vlookup(B1616,Filmes_final!$B$2:$U$1001,13,FALSE)</f>
        <v>Spike Lee</v>
      </c>
    </row>
    <row r="1617">
      <c r="A1617" s="5">
        <v>404.0</v>
      </c>
      <c r="B1617" s="5" t="s">
        <v>2609</v>
      </c>
      <c r="C1617" s="5" t="s">
        <v>2614</v>
      </c>
      <c r="D1617" s="5" t="s">
        <v>6637</v>
      </c>
      <c r="E1617" s="8">
        <f>vlookup(B1617,Filmes_final!$B$2:$U$1001,20,FALSE)</f>
        <v>58678167</v>
      </c>
      <c r="F1617" s="5">
        <f>vlookup(B1617,Filmes_final!$B$2:$U$1001,3,FALSE)</f>
        <v>1989</v>
      </c>
      <c r="G1617" s="5" t="str">
        <f>vlookup(B1617,Filmes_final!$B$2:$U$1001,13,FALSE)</f>
        <v>Spike Lee</v>
      </c>
    </row>
    <row r="1618">
      <c r="A1618" s="5">
        <v>405.0</v>
      </c>
      <c r="B1618" s="5" t="s">
        <v>2615</v>
      </c>
      <c r="C1618" s="5" t="s">
        <v>2618</v>
      </c>
      <c r="D1618" s="5" t="s">
        <v>6634</v>
      </c>
      <c r="E1618" s="8">
        <f>vlookup(B1618,Filmes_final!$B$2:$U$1001,20,FALSE)</f>
        <v>398662185</v>
      </c>
      <c r="F1618" s="5">
        <f>vlookup(B1618,Filmes_final!$B$2:$U$1001,3,FALSE)</f>
        <v>1988</v>
      </c>
      <c r="G1618" s="5" t="str">
        <f>vlookup(B1618,Filmes_final!$B$2:$U$1001,13,FALSE)</f>
        <v>Barry Levinson</v>
      </c>
    </row>
    <row r="1619">
      <c r="A1619" s="5">
        <v>405.0</v>
      </c>
      <c r="B1619" s="5" t="s">
        <v>2615</v>
      </c>
      <c r="C1619" s="5" t="s">
        <v>2486</v>
      </c>
      <c r="D1619" s="5" t="s">
        <v>6635</v>
      </c>
      <c r="E1619" s="8">
        <f>vlookup(B1619,Filmes_final!$B$2:$U$1001,20,FALSE)</f>
        <v>398662185</v>
      </c>
      <c r="F1619" s="5">
        <f>vlookup(B1619,Filmes_final!$B$2:$U$1001,3,FALSE)</f>
        <v>1988</v>
      </c>
      <c r="G1619" s="5" t="str">
        <f>vlookup(B1619,Filmes_final!$B$2:$U$1001,13,FALSE)</f>
        <v>Barry Levinson</v>
      </c>
    </row>
    <row r="1620">
      <c r="A1620" s="5">
        <v>405.0</v>
      </c>
      <c r="B1620" s="5" t="s">
        <v>2615</v>
      </c>
      <c r="C1620" s="5" t="s">
        <v>1375</v>
      </c>
      <c r="D1620" s="5" t="s">
        <v>6636</v>
      </c>
      <c r="E1620" s="8">
        <f>vlookup(B1620,Filmes_final!$B$2:$U$1001,20,FALSE)</f>
        <v>398662185</v>
      </c>
      <c r="F1620" s="5">
        <f>vlookup(B1620,Filmes_final!$B$2:$U$1001,3,FALSE)</f>
        <v>1988</v>
      </c>
      <c r="G1620" s="5" t="str">
        <f>vlookup(B1620,Filmes_final!$B$2:$U$1001,13,FALSE)</f>
        <v>Barry Levinson</v>
      </c>
    </row>
    <row r="1621">
      <c r="A1621" s="5">
        <v>405.0</v>
      </c>
      <c r="B1621" s="5" t="s">
        <v>2615</v>
      </c>
      <c r="C1621" s="5" t="s">
        <v>2619</v>
      </c>
      <c r="D1621" s="5" t="s">
        <v>6637</v>
      </c>
      <c r="E1621" s="8">
        <f>vlookup(B1621,Filmes_final!$B$2:$U$1001,20,FALSE)</f>
        <v>398662185</v>
      </c>
      <c r="F1621" s="5">
        <f>vlookup(B1621,Filmes_final!$B$2:$U$1001,3,FALSE)</f>
        <v>1988</v>
      </c>
      <c r="G1621" s="5" t="str">
        <f>vlookup(B1621,Filmes_final!$B$2:$U$1001,13,FALSE)</f>
        <v>Barry Levinson</v>
      </c>
    </row>
    <row r="1622">
      <c r="A1622" s="5">
        <v>406.0</v>
      </c>
      <c r="B1622" s="5" t="s">
        <v>2620</v>
      </c>
      <c r="C1622" s="5" t="s">
        <v>2624</v>
      </c>
      <c r="D1622" s="5" t="s">
        <v>6634</v>
      </c>
      <c r="E1622" s="8">
        <f>vlookup(B1622,Filmes_final!$B$2:$U$1001,20,FALSE)</f>
        <v>1233380</v>
      </c>
      <c r="F1622" s="5">
        <f>vlookup(B1622,Filmes_final!$B$2:$U$1001,3,FALSE)</f>
        <v>1988</v>
      </c>
      <c r="G1622" s="5" t="str">
        <f>vlookup(B1622,Filmes_final!$B$2:$U$1001,13,FALSE)</f>
        <v>Katsuhiro Ôtomo</v>
      </c>
    </row>
    <row r="1623">
      <c r="A1623" s="5">
        <v>406.0</v>
      </c>
      <c r="B1623" s="5" t="s">
        <v>2620</v>
      </c>
      <c r="C1623" s="5" t="s">
        <v>2625</v>
      </c>
      <c r="D1623" s="5" t="s">
        <v>6635</v>
      </c>
      <c r="E1623" s="8">
        <f>vlookup(B1623,Filmes_final!$B$2:$U$1001,20,FALSE)</f>
        <v>1233380</v>
      </c>
      <c r="F1623" s="5">
        <f>vlookup(B1623,Filmes_final!$B$2:$U$1001,3,FALSE)</f>
        <v>1988</v>
      </c>
      <c r="G1623" s="5" t="str">
        <f>vlookup(B1623,Filmes_final!$B$2:$U$1001,13,FALSE)</f>
        <v>Katsuhiro Ôtomo</v>
      </c>
    </row>
    <row r="1624">
      <c r="A1624" s="5">
        <v>406.0</v>
      </c>
      <c r="B1624" s="5" t="s">
        <v>2620</v>
      </c>
      <c r="C1624" s="5" t="s">
        <v>2626</v>
      </c>
      <c r="D1624" s="5" t="s">
        <v>6636</v>
      </c>
      <c r="E1624" s="8">
        <f>vlookup(B1624,Filmes_final!$B$2:$U$1001,20,FALSE)</f>
        <v>1233380</v>
      </c>
      <c r="F1624" s="5">
        <f>vlookup(B1624,Filmes_final!$B$2:$U$1001,3,FALSE)</f>
        <v>1988</v>
      </c>
      <c r="G1624" s="5" t="str">
        <f>vlookup(B1624,Filmes_final!$B$2:$U$1001,13,FALSE)</f>
        <v>Katsuhiro Ôtomo</v>
      </c>
    </row>
    <row r="1625">
      <c r="A1625" s="5">
        <v>406.0</v>
      </c>
      <c r="B1625" s="5" t="s">
        <v>2620</v>
      </c>
      <c r="C1625" s="5" t="s">
        <v>2627</v>
      </c>
      <c r="D1625" s="5" t="s">
        <v>6637</v>
      </c>
      <c r="E1625" s="8">
        <f>vlookup(B1625,Filmes_final!$B$2:$U$1001,20,FALSE)</f>
        <v>1233380</v>
      </c>
      <c r="F1625" s="5">
        <f>vlookup(B1625,Filmes_final!$B$2:$U$1001,3,FALSE)</f>
        <v>1988</v>
      </c>
      <c r="G1625" s="5" t="str">
        <f>vlookup(B1625,Filmes_final!$B$2:$U$1001,13,FALSE)</f>
        <v>Katsuhiro Ôtomo</v>
      </c>
    </row>
    <row r="1626">
      <c r="A1626" s="5">
        <v>407.0</v>
      </c>
      <c r="B1626" s="5" t="s">
        <v>2628</v>
      </c>
      <c r="C1626" s="5" t="s">
        <v>2631</v>
      </c>
      <c r="D1626" s="5" t="s">
        <v>6634</v>
      </c>
      <c r="E1626" s="8">
        <f>vlookup(B1626,Filmes_final!$B$2:$U$1001,20,FALSE)</f>
        <v>71586521</v>
      </c>
      <c r="F1626" s="5">
        <f>vlookup(B1626,Filmes_final!$B$2:$U$1001,3,FALSE)</f>
        <v>1987</v>
      </c>
      <c r="G1626" s="5" t="str">
        <f>vlookup(B1626,Filmes_final!$B$2:$U$1001,13,FALSE)</f>
        <v>Rob Reiner</v>
      </c>
    </row>
    <row r="1627">
      <c r="A1627" s="5">
        <v>407.0</v>
      </c>
      <c r="B1627" s="5" t="s">
        <v>2628</v>
      </c>
      <c r="C1627" s="5" t="s">
        <v>2632</v>
      </c>
      <c r="D1627" s="5" t="s">
        <v>6635</v>
      </c>
      <c r="E1627" s="8">
        <f>vlookup(B1627,Filmes_final!$B$2:$U$1001,20,FALSE)</f>
        <v>71586521</v>
      </c>
      <c r="F1627" s="5">
        <f>vlookup(B1627,Filmes_final!$B$2:$U$1001,3,FALSE)</f>
        <v>1987</v>
      </c>
      <c r="G1627" s="5" t="str">
        <f>vlookup(B1627,Filmes_final!$B$2:$U$1001,13,FALSE)</f>
        <v>Rob Reiner</v>
      </c>
    </row>
    <row r="1628">
      <c r="A1628" s="5">
        <v>407.0</v>
      </c>
      <c r="B1628" s="5" t="s">
        <v>2628</v>
      </c>
      <c r="C1628" s="5" t="s">
        <v>111</v>
      </c>
      <c r="D1628" s="5" t="s">
        <v>6636</v>
      </c>
      <c r="E1628" s="8">
        <f>vlookup(B1628,Filmes_final!$B$2:$U$1001,20,FALSE)</f>
        <v>71586521</v>
      </c>
      <c r="F1628" s="5">
        <f>vlookup(B1628,Filmes_final!$B$2:$U$1001,3,FALSE)</f>
        <v>1987</v>
      </c>
      <c r="G1628" s="5" t="str">
        <f>vlookup(B1628,Filmes_final!$B$2:$U$1001,13,FALSE)</f>
        <v>Rob Reiner</v>
      </c>
    </row>
    <row r="1629">
      <c r="A1629" s="5">
        <v>407.0</v>
      </c>
      <c r="B1629" s="5" t="s">
        <v>2628</v>
      </c>
      <c r="C1629" s="5" t="s">
        <v>2562</v>
      </c>
      <c r="D1629" s="5" t="s">
        <v>6637</v>
      </c>
      <c r="E1629" s="8">
        <f>vlookup(B1629,Filmes_final!$B$2:$U$1001,20,FALSE)</f>
        <v>71586521</v>
      </c>
      <c r="F1629" s="5">
        <f>vlookup(B1629,Filmes_final!$B$2:$U$1001,3,FALSE)</f>
        <v>1987</v>
      </c>
      <c r="G1629" s="5" t="str">
        <f>vlookup(B1629,Filmes_final!$B$2:$U$1001,13,FALSE)</f>
        <v>Rob Reiner</v>
      </c>
    </row>
    <row r="1630">
      <c r="A1630" s="5">
        <v>408.0</v>
      </c>
      <c r="B1630" s="5" t="s">
        <v>2633</v>
      </c>
      <c r="C1630" s="5" t="s">
        <v>1137</v>
      </c>
      <c r="D1630" s="5" t="s">
        <v>6634</v>
      </c>
      <c r="E1630" s="8">
        <f>vlookup(B1630,Filmes_final!$B$2:$U$1001,20,FALSE)</f>
        <v>7734418</v>
      </c>
      <c r="F1630" s="5">
        <f>vlookup(B1630,Filmes_final!$B$2:$U$1001,3,FALSE)</f>
        <v>1987</v>
      </c>
      <c r="G1630" s="5" t="str">
        <f>vlookup(B1630,Filmes_final!$B$2:$U$1001,13,FALSE)</f>
        <v>Wim Wenders</v>
      </c>
    </row>
    <row r="1631">
      <c r="A1631" s="5">
        <v>408.0</v>
      </c>
      <c r="B1631" s="5" t="s">
        <v>2633</v>
      </c>
      <c r="C1631" s="5" t="s">
        <v>2636</v>
      </c>
      <c r="D1631" s="5" t="s">
        <v>6635</v>
      </c>
      <c r="E1631" s="8">
        <f>vlookup(B1631,Filmes_final!$B$2:$U$1001,20,FALSE)</f>
        <v>7734418</v>
      </c>
      <c r="F1631" s="5">
        <f>vlookup(B1631,Filmes_final!$B$2:$U$1001,3,FALSE)</f>
        <v>1987</v>
      </c>
      <c r="G1631" s="5" t="str">
        <f>vlookup(B1631,Filmes_final!$B$2:$U$1001,13,FALSE)</f>
        <v>Wim Wenders</v>
      </c>
    </row>
    <row r="1632">
      <c r="A1632" s="5">
        <v>408.0</v>
      </c>
      <c r="B1632" s="5" t="s">
        <v>2633</v>
      </c>
      <c r="C1632" s="5" t="s">
        <v>2637</v>
      </c>
      <c r="D1632" s="5" t="s">
        <v>6636</v>
      </c>
      <c r="E1632" s="8">
        <f>vlookup(B1632,Filmes_final!$B$2:$U$1001,20,FALSE)</f>
        <v>7734418</v>
      </c>
      <c r="F1632" s="5">
        <f>vlookup(B1632,Filmes_final!$B$2:$U$1001,3,FALSE)</f>
        <v>1987</v>
      </c>
      <c r="G1632" s="5" t="str">
        <f>vlookup(B1632,Filmes_final!$B$2:$U$1001,13,FALSE)</f>
        <v>Wim Wenders</v>
      </c>
    </row>
    <row r="1633">
      <c r="A1633" s="5">
        <v>408.0</v>
      </c>
      <c r="B1633" s="5" t="s">
        <v>2633</v>
      </c>
      <c r="C1633" s="5" t="s">
        <v>2638</v>
      </c>
      <c r="D1633" s="5" t="s">
        <v>6637</v>
      </c>
      <c r="E1633" s="8">
        <f>vlookup(B1633,Filmes_final!$B$2:$U$1001,20,FALSE)</f>
        <v>7734418</v>
      </c>
      <c r="F1633" s="5">
        <f>vlookup(B1633,Filmes_final!$B$2:$U$1001,3,FALSE)</f>
        <v>1987</v>
      </c>
      <c r="G1633" s="5" t="str">
        <f>vlookup(B1633,Filmes_final!$B$2:$U$1001,13,FALSE)</f>
        <v>Wim Wenders</v>
      </c>
    </row>
    <row r="1634">
      <c r="A1634" s="5">
        <v>409.0</v>
      </c>
      <c r="B1634" s="5" t="s">
        <v>2639</v>
      </c>
      <c r="C1634" s="5" t="s">
        <v>2642</v>
      </c>
      <c r="D1634" s="5" t="s">
        <v>6634</v>
      </c>
      <c r="E1634" s="8">
        <f>vlookup(B1634,Filmes_final!$B$2:$U$1001,20,FALSE)</f>
        <v>10538823</v>
      </c>
      <c r="F1634" s="5">
        <f>vlookup(B1634,Filmes_final!$B$2:$U$1001,3,FALSE)</f>
        <v>1987</v>
      </c>
      <c r="G1634" s="5" t="str">
        <f>vlookup(B1634,Filmes_final!$B$2:$U$1001,13,FALSE)</f>
        <v>Louis Malle</v>
      </c>
    </row>
    <row r="1635">
      <c r="A1635" s="5">
        <v>409.0</v>
      </c>
      <c r="B1635" s="5" t="s">
        <v>2639</v>
      </c>
      <c r="C1635" s="5" t="s">
        <v>2643</v>
      </c>
      <c r="D1635" s="5" t="s">
        <v>6635</v>
      </c>
      <c r="E1635" s="8">
        <f>vlookup(B1635,Filmes_final!$B$2:$U$1001,20,FALSE)</f>
        <v>10538823</v>
      </c>
      <c r="F1635" s="5">
        <f>vlookup(B1635,Filmes_final!$B$2:$U$1001,3,FALSE)</f>
        <v>1987</v>
      </c>
      <c r="G1635" s="5" t="str">
        <f>vlookup(B1635,Filmes_final!$B$2:$U$1001,13,FALSE)</f>
        <v>Louis Malle</v>
      </c>
    </row>
    <row r="1636">
      <c r="A1636" s="5">
        <v>409.0</v>
      </c>
      <c r="B1636" s="5" t="s">
        <v>2639</v>
      </c>
      <c r="C1636" s="5" t="s">
        <v>2644</v>
      </c>
      <c r="D1636" s="5" t="s">
        <v>6636</v>
      </c>
      <c r="E1636" s="8">
        <f>vlookup(B1636,Filmes_final!$B$2:$U$1001,20,FALSE)</f>
        <v>10538823</v>
      </c>
      <c r="F1636" s="5">
        <f>vlookup(B1636,Filmes_final!$B$2:$U$1001,3,FALSE)</f>
        <v>1987</v>
      </c>
      <c r="G1636" s="5" t="str">
        <f>vlookup(B1636,Filmes_final!$B$2:$U$1001,13,FALSE)</f>
        <v>Louis Malle</v>
      </c>
    </row>
    <row r="1637">
      <c r="A1637" s="5">
        <v>409.0</v>
      </c>
      <c r="B1637" s="5" t="s">
        <v>2639</v>
      </c>
      <c r="C1637" s="5" t="s">
        <v>2645</v>
      </c>
      <c r="D1637" s="5" t="s">
        <v>6637</v>
      </c>
      <c r="E1637" s="8">
        <f>vlookup(B1637,Filmes_final!$B$2:$U$1001,20,FALSE)</f>
        <v>10538823</v>
      </c>
      <c r="F1637" s="5">
        <f>vlookup(B1637,Filmes_final!$B$2:$U$1001,3,FALSE)</f>
        <v>1987</v>
      </c>
      <c r="G1637" s="5" t="str">
        <f>vlookup(B1637,Filmes_final!$B$2:$U$1001,13,FALSE)</f>
        <v>Louis Malle</v>
      </c>
    </row>
    <row r="1638">
      <c r="A1638" s="5">
        <v>410.0</v>
      </c>
      <c r="B1638" s="5" t="s">
        <v>2646</v>
      </c>
      <c r="C1638" s="5" t="s">
        <v>2648</v>
      </c>
      <c r="D1638" s="5" t="s">
        <v>6634</v>
      </c>
      <c r="E1638" s="8">
        <f>vlookup(B1638,Filmes_final!$B$2:$U$1001,20,FALSE)</f>
        <v>1232574</v>
      </c>
      <c r="F1638" s="5">
        <f>vlookup(B1638,Filmes_final!$B$2:$U$1001,3,FALSE)</f>
        <v>1986</v>
      </c>
      <c r="G1638" s="5" t="str">
        <f>vlookup(B1638,Filmes_final!$B$2:$U$1001,13,FALSE)</f>
        <v>Hayao Miyazaki</v>
      </c>
    </row>
    <row r="1639">
      <c r="A1639" s="5">
        <v>410.0</v>
      </c>
      <c r="B1639" s="5" t="s">
        <v>2646</v>
      </c>
      <c r="C1639" s="5" t="s">
        <v>2649</v>
      </c>
      <c r="D1639" s="5" t="s">
        <v>6635</v>
      </c>
      <c r="E1639" s="8">
        <f>vlookup(B1639,Filmes_final!$B$2:$U$1001,20,FALSE)</f>
        <v>1232574</v>
      </c>
      <c r="F1639" s="5">
        <f>vlookup(B1639,Filmes_final!$B$2:$U$1001,3,FALSE)</f>
        <v>1986</v>
      </c>
      <c r="G1639" s="5" t="str">
        <f>vlookup(B1639,Filmes_final!$B$2:$U$1001,13,FALSE)</f>
        <v>Hayao Miyazaki</v>
      </c>
    </row>
    <row r="1640">
      <c r="A1640" s="5">
        <v>410.0</v>
      </c>
      <c r="B1640" s="5" t="s">
        <v>2646</v>
      </c>
      <c r="C1640" s="5" t="s">
        <v>2650</v>
      </c>
      <c r="D1640" s="5" t="s">
        <v>6636</v>
      </c>
      <c r="E1640" s="8">
        <f>vlookup(B1640,Filmes_final!$B$2:$U$1001,20,FALSE)</f>
        <v>1232574</v>
      </c>
      <c r="F1640" s="5">
        <f>vlookup(B1640,Filmes_final!$B$2:$U$1001,3,FALSE)</f>
        <v>1986</v>
      </c>
      <c r="G1640" s="5" t="str">
        <f>vlookup(B1640,Filmes_final!$B$2:$U$1001,13,FALSE)</f>
        <v>Hayao Miyazaki</v>
      </c>
    </row>
    <row r="1641">
      <c r="A1641" s="5">
        <v>410.0</v>
      </c>
      <c r="B1641" s="5" t="s">
        <v>2646</v>
      </c>
      <c r="C1641" s="5" t="s">
        <v>2651</v>
      </c>
      <c r="D1641" s="5" t="s">
        <v>6637</v>
      </c>
      <c r="E1641" s="8">
        <f>vlookup(B1641,Filmes_final!$B$2:$U$1001,20,FALSE)</f>
        <v>1232574</v>
      </c>
      <c r="F1641" s="5">
        <f>vlookup(B1641,Filmes_final!$B$2:$U$1001,3,FALSE)</f>
        <v>1986</v>
      </c>
      <c r="G1641" s="5" t="str">
        <f>vlookup(B1641,Filmes_final!$B$2:$U$1001,13,FALSE)</f>
        <v>Hayao Miyazaki</v>
      </c>
    </row>
    <row r="1642">
      <c r="A1642" s="5">
        <v>411.0</v>
      </c>
      <c r="B1642" s="5" t="s">
        <v>2652</v>
      </c>
      <c r="C1642" s="5" t="s">
        <v>363</v>
      </c>
      <c r="D1642" s="5" t="s">
        <v>6634</v>
      </c>
      <c r="E1642" s="8">
        <f>vlookup(B1642,Filmes_final!$B$2:$U$1001,20,FALSE)</f>
        <v>97213802</v>
      </c>
      <c r="F1642" s="5">
        <f>vlookup(B1642,Filmes_final!$B$2:$U$1001,3,FALSE)</f>
        <v>1984</v>
      </c>
      <c r="G1642" s="5" t="str">
        <f>vlookup(B1642,Filmes_final!$B$2:$U$1001,13,FALSE)</f>
        <v>James Cameron</v>
      </c>
    </row>
    <row r="1643">
      <c r="A1643" s="5">
        <v>411.0</v>
      </c>
      <c r="B1643" s="5" t="s">
        <v>2652</v>
      </c>
      <c r="C1643" s="5" t="s">
        <v>364</v>
      </c>
      <c r="D1643" s="5" t="s">
        <v>6635</v>
      </c>
      <c r="E1643" s="8">
        <f>vlookup(B1643,Filmes_final!$B$2:$U$1001,20,FALSE)</f>
        <v>97213802</v>
      </c>
      <c r="F1643" s="5">
        <f>vlookup(B1643,Filmes_final!$B$2:$U$1001,3,FALSE)</f>
        <v>1984</v>
      </c>
      <c r="G1643" s="5" t="str">
        <f>vlookup(B1643,Filmes_final!$B$2:$U$1001,13,FALSE)</f>
        <v>James Cameron</v>
      </c>
    </row>
    <row r="1644">
      <c r="A1644" s="5">
        <v>411.0</v>
      </c>
      <c r="B1644" s="5" t="s">
        <v>2652</v>
      </c>
      <c r="C1644" s="5" t="s">
        <v>799</v>
      </c>
      <c r="D1644" s="5" t="s">
        <v>6636</v>
      </c>
      <c r="E1644" s="8">
        <f>vlookup(B1644,Filmes_final!$B$2:$U$1001,20,FALSE)</f>
        <v>97213802</v>
      </c>
      <c r="F1644" s="5">
        <f>vlookup(B1644,Filmes_final!$B$2:$U$1001,3,FALSE)</f>
        <v>1984</v>
      </c>
      <c r="G1644" s="5" t="str">
        <f>vlookup(B1644,Filmes_final!$B$2:$U$1001,13,FALSE)</f>
        <v>James Cameron</v>
      </c>
    </row>
    <row r="1645">
      <c r="A1645" s="5">
        <v>411.0</v>
      </c>
      <c r="B1645" s="5" t="s">
        <v>2652</v>
      </c>
      <c r="C1645" s="5" t="s">
        <v>2654</v>
      </c>
      <c r="D1645" s="5" t="s">
        <v>6637</v>
      </c>
      <c r="E1645" s="8">
        <f>vlookup(B1645,Filmes_final!$B$2:$U$1001,20,FALSE)</f>
        <v>97213802</v>
      </c>
      <c r="F1645" s="5">
        <f>vlookup(B1645,Filmes_final!$B$2:$U$1001,3,FALSE)</f>
        <v>1984</v>
      </c>
      <c r="G1645" s="5" t="str">
        <f>vlookup(B1645,Filmes_final!$B$2:$U$1001,13,FALSE)</f>
        <v>James Cameron</v>
      </c>
    </row>
    <row r="1646">
      <c r="A1646" s="5">
        <v>412.0</v>
      </c>
      <c r="B1646" s="5" t="s">
        <v>2655</v>
      </c>
      <c r="C1646" s="5" t="s">
        <v>84</v>
      </c>
      <c r="D1646" s="5" t="s">
        <v>6634</v>
      </c>
      <c r="E1646" s="8">
        <f>vlookup(B1646,Filmes_final!$B$2:$U$1001,20,FALSE)</f>
        <v>144354031</v>
      </c>
      <c r="F1646" s="5">
        <f>vlookup(B1646,Filmes_final!$B$2:$U$1001,3,FALSE)</f>
        <v>1982</v>
      </c>
      <c r="G1646" s="5" t="str">
        <f>vlookup(B1646,Filmes_final!$B$2:$U$1001,13,FALSE)</f>
        <v>Richard Attenborough</v>
      </c>
    </row>
    <row r="1647">
      <c r="A1647" s="5">
        <v>412.0</v>
      </c>
      <c r="B1647" s="5" t="s">
        <v>2655</v>
      </c>
      <c r="C1647" s="5" t="s">
        <v>1880</v>
      </c>
      <c r="D1647" s="5" t="s">
        <v>6635</v>
      </c>
      <c r="E1647" s="8">
        <f>vlookup(B1647,Filmes_final!$B$2:$U$1001,20,FALSE)</f>
        <v>144354031</v>
      </c>
      <c r="F1647" s="5">
        <f>vlookup(B1647,Filmes_final!$B$2:$U$1001,3,FALSE)</f>
        <v>1982</v>
      </c>
      <c r="G1647" s="5" t="str">
        <f>vlookup(B1647,Filmes_final!$B$2:$U$1001,13,FALSE)</f>
        <v>Richard Attenborough</v>
      </c>
    </row>
    <row r="1648">
      <c r="A1648" s="5">
        <v>412.0</v>
      </c>
      <c r="B1648" s="5" t="s">
        <v>2655</v>
      </c>
      <c r="C1648" s="5" t="s">
        <v>2658</v>
      </c>
      <c r="D1648" s="5" t="s">
        <v>6636</v>
      </c>
      <c r="E1648" s="8">
        <f>vlookup(B1648,Filmes_final!$B$2:$U$1001,20,FALSE)</f>
        <v>144354031</v>
      </c>
      <c r="F1648" s="5">
        <f>vlookup(B1648,Filmes_final!$B$2:$U$1001,3,FALSE)</f>
        <v>1982</v>
      </c>
      <c r="G1648" s="5" t="str">
        <f>vlookup(B1648,Filmes_final!$B$2:$U$1001,13,FALSE)</f>
        <v>Richard Attenborough</v>
      </c>
    </row>
    <row r="1649">
      <c r="A1649" s="5">
        <v>412.0</v>
      </c>
      <c r="B1649" s="5" t="s">
        <v>2655</v>
      </c>
      <c r="C1649" s="5" t="s">
        <v>2659</v>
      </c>
      <c r="D1649" s="5" t="s">
        <v>6637</v>
      </c>
      <c r="E1649" s="8">
        <f>vlookup(B1649,Filmes_final!$B$2:$U$1001,20,FALSE)</f>
        <v>144354031</v>
      </c>
      <c r="F1649" s="5">
        <f>vlookup(B1649,Filmes_final!$B$2:$U$1001,3,FALSE)</f>
        <v>1982</v>
      </c>
      <c r="G1649" s="5" t="str">
        <f>vlookup(B1649,Filmes_final!$B$2:$U$1001,13,FALSE)</f>
        <v>Richard Attenborough</v>
      </c>
    </row>
    <row r="1650">
      <c r="A1650" s="5">
        <v>413.0</v>
      </c>
      <c r="B1650" s="5" t="s">
        <v>2660</v>
      </c>
      <c r="C1650" s="5" t="s">
        <v>257</v>
      </c>
      <c r="D1650" s="5" t="s">
        <v>6634</v>
      </c>
      <c r="E1650" s="8">
        <f>vlookup(B1650,Filmes_final!$B$2:$U$1001,20,FALSE)</f>
        <v>13263290</v>
      </c>
      <c r="F1650" s="5">
        <f>vlookup(B1650,Filmes_final!$B$2:$U$1001,3,FALSE)</f>
        <v>1980</v>
      </c>
      <c r="G1650" s="5" t="str">
        <f>vlookup(B1650,Filmes_final!$B$2:$U$1001,13,FALSE)</f>
        <v>Akira Kurosawa</v>
      </c>
    </row>
    <row r="1651">
      <c r="A1651" s="5">
        <v>413.0</v>
      </c>
      <c r="B1651" s="5" t="s">
        <v>2660</v>
      </c>
      <c r="C1651" s="5" t="s">
        <v>1577</v>
      </c>
      <c r="D1651" s="5" t="s">
        <v>6635</v>
      </c>
      <c r="E1651" s="8">
        <f>vlookup(B1651,Filmes_final!$B$2:$U$1001,20,FALSE)</f>
        <v>13263290</v>
      </c>
      <c r="F1651" s="5">
        <f>vlookup(B1651,Filmes_final!$B$2:$U$1001,3,FALSE)</f>
        <v>1980</v>
      </c>
      <c r="G1651" s="5" t="str">
        <f>vlookup(B1651,Filmes_final!$B$2:$U$1001,13,FALSE)</f>
        <v>Akira Kurosawa</v>
      </c>
    </row>
    <row r="1652">
      <c r="A1652" s="5">
        <v>413.0</v>
      </c>
      <c r="B1652" s="5" t="s">
        <v>2660</v>
      </c>
      <c r="C1652" s="5" t="s">
        <v>2663</v>
      </c>
      <c r="D1652" s="5" t="s">
        <v>6636</v>
      </c>
      <c r="E1652" s="8">
        <f>vlookup(B1652,Filmes_final!$B$2:$U$1001,20,FALSE)</f>
        <v>13263290</v>
      </c>
      <c r="F1652" s="5">
        <f>vlookup(B1652,Filmes_final!$B$2:$U$1001,3,FALSE)</f>
        <v>1980</v>
      </c>
      <c r="G1652" s="5" t="str">
        <f>vlookup(B1652,Filmes_final!$B$2:$U$1001,13,FALSE)</f>
        <v>Akira Kurosawa</v>
      </c>
    </row>
    <row r="1653">
      <c r="A1653" s="5">
        <v>413.0</v>
      </c>
      <c r="B1653" s="5" t="s">
        <v>2660</v>
      </c>
      <c r="C1653" s="5" t="s">
        <v>1224</v>
      </c>
      <c r="D1653" s="5" t="s">
        <v>6637</v>
      </c>
      <c r="E1653" s="8">
        <f>vlookup(B1653,Filmes_final!$B$2:$U$1001,20,FALSE)</f>
        <v>13263290</v>
      </c>
      <c r="F1653" s="5">
        <f>vlookup(B1653,Filmes_final!$B$2:$U$1001,3,FALSE)</f>
        <v>1980</v>
      </c>
      <c r="G1653" s="5" t="str">
        <f>vlookup(B1653,Filmes_final!$B$2:$U$1001,13,FALSE)</f>
        <v>Akira Kurosawa</v>
      </c>
    </row>
    <row r="1654">
      <c r="A1654" s="5">
        <v>414.0</v>
      </c>
      <c r="B1654" s="5" t="s">
        <v>2664</v>
      </c>
      <c r="C1654" s="5" t="s">
        <v>604</v>
      </c>
      <c r="D1654" s="5" t="s">
        <v>6634</v>
      </c>
      <c r="E1654" s="8">
        <f>vlookup(B1654,Filmes_final!$B$2:$U$1001,20,FALSE)</f>
        <v>113981299</v>
      </c>
      <c r="F1654" s="5">
        <f>vlookup(B1654,Filmes_final!$B$2:$U$1001,3,FALSE)</f>
        <v>1979</v>
      </c>
      <c r="G1654" s="5" t="str">
        <f>vlookup(B1654,Filmes_final!$B$2:$U$1001,13,FALSE)</f>
        <v>Hal Ashby</v>
      </c>
    </row>
    <row r="1655">
      <c r="A1655" s="5">
        <v>414.0</v>
      </c>
      <c r="B1655" s="5" t="s">
        <v>2664</v>
      </c>
      <c r="C1655" s="5" t="s">
        <v>867</v>
      </c>
      <c r="D1655" s="5" t="s">
        <v>6635</v>
      </c>
      <c r="E1655" s="8">
        <f>vlookup(B1655,Filmes_final!$B$2:$U$1001,20,FALSE)</f>
        <v>113981299</v>
      </c>
      <c r="F1655" s="5">
        <f>vlookup(B1655,Filmes_final!$B$2:$U$1001,3,FALSE)</f>
        <v>1979</v>
      </c>
      <c r="G1655" s="5" t="str">
        <f>vlookup(B1655,Filmes_final!$B$2:$U$1001,13,FALSE)</f>
        <v>Hal Ashby</v>
      </c>
    </row>
    <row r="1656">
      <c r="A1656" s="5">
        <v>414.0</v>
      </c>
      <c r="B1656" s="5" t="s">
        <v>2664</v>
      </c>
      <c r="C1656" s="5" t="s">
        <v>2667</v>
      </c>
      <c r="D1656" s="5" t="s">
        <v>6636</v>
      </c>
      <c r="E1656" s="8">
        <f>vlookup(B1656,Filmes_final!$B$2:$U$1001,20,FALSE)</f>
        <v>113981299</v>
      </c>
      <c r="F1656" s="5">
        <f>vlookup(B1656,Filmes_final!$B$2:$U$1001,3,FALSE)</f>
        <v>1979</v>
      </c>
      <c r="G1656" s="5" t="str">
        <f>vlookup(B1656,Filmes_final!$B$2:$U$1001,13,FALSE)</f>
        <v>Hal Ashby</v>
      </c>
    </row>
    <row r="1657">
      <c r="A1657" s="5">
        <v>414.0</v>
      </c>
      <c r="B1657" s="5" t="s">
        <v>2664</v>
      </c>
      <c r="C1657" s="5" t="s">
        <v>2668</v>
      </c>
      <c r="D1657" s="5" t="s">
        <v>6637</v>
      </c>
      <c r="E1657" s="8">
        <f>vlookup(B1657,Filmes_final!$B$2:$U$1001,20,FALSE)</f>
        <v>113981299</v>
      </c>
      <c r="F1657" s="5">
        <f>vlookup(B1657,Filmes_final!$B$2:$U$1001,3,FALSE)</f>
        <v>1979</v>
      </c>
      <c r="G1657" s="5" t="str">
        <f>vlookup(B1657,Filmes_final!$B$2:$U$1001,13,FALSE)</f>
        <v>Hal Ashby</v>
      </c>
    </row>
    <row r="1658">
      <c r="A1658" s="5">
        <v>415.0</v>
      </c>
      <c r="B1658" s="5" t="s">
        <v>2669</v>
      </c>
      <c r="C1658" s="5" t="s">
        <v>2671</v>
      </c>
      <c r="D1658" s="5" t="s">
        <v>6634</v>
      </c>
      <c r="E1658" s="8">
        <f>vlookup(B1658,Filmes_final!$B$2:$U$1001,20,FALSE)</f>
        <v>172862619</v>
      </c>
      <c r="F1658" s="5">
        <f>vlookup(B1658,Filmes_final!$B$2:$U$1001,3,FALSE)</f>
        <v>1977</v>
      </c>
      <c r="G1658" s="5" t="str">
        <f>vlookup(B1658,Filmes_final!$B$2:$U$1001,13,FALSE)</f>
        <v>Woody Allen</v>
      </c>
    </row>
    <row r="1659">
      <c r="A1659" s="5">
        <v>415.0</v>
      </c>
      <c r="B1659" s="5" t="s">
        <v>2669</v>
      </c>
      <c r="C1659" s="5" t="s">
        <v>35</v>
      </c>
      <c r="D1659" s="5" t="s">
        <v>6635</v>
      </c>
      <c r="E1659" s="8">
        <f>vlookup(B1659,Filmes_final!$B$2:$U$1001,20,FALSE)</f>
        <v>172862619</v>
      </c>
      <c r="F1659" s="5">
        <f>vlookup(B1659,Filmes_final!$B$2:$U$1001,3,FALSE)</f>
        <v>1977</v>
      </c>
      <c r="G1659" s="5" t="str">
        <f>vlookup(B1659,Filmes_final!$B$2:$U$1001,13,FALSE)</f>
        <v>Woody Allen</v>
      </c>
    </row>
    <row r="1660">
      <c r="A1660" s="5">
        <v>415.0</v>
      </c>
      <c r="B1660" s="5" t="s">
        <v>2669</v>
      </c>
      <c r="C1660" s="5" t="s">
        <v>2672</v>
      </c>
      <c r="D1660" s="5" t="s">
        <v>6636</v>
      </c>
      <c r="E1660" s="8">
        <f>vlookup(B1660,Filmes_final!$B$2:$U$1001,20,FALSE)</f>
        <v>172862619</v>
      </c>
      <c r="F1660" s="5">
        <f>vlookup(B1660,Filmes_final!$B$2:$U$1001,3,FALSE)</f>
        <v>1977</v>
      </c>
      <c r="G1660" s="5" t="str">
        <f>vlookup(B1660,Filmes_final!$B$2:$U$1001,13,FALSE)</f>
        <v>Woody Allen</v>
      </c>
    </row>
    <row r="1661">
      <c r="A1661" s="5">
        <v>415.0</v>
      </c>
      <c r="B1661" s="5" t="s">
        <v>2669</v>
      </c>
      <c r="C1661" s="5" t="s">
        <v>2673</v>
      </c>
      <c r="D1661" s="5" t="s">
        <v>6637</v>
      </c>
      <c r="E1661" s="8">
        <f>vlookup(B1661,Filmes_final!$B$2:$U$1001,20,FALSE)</f>
        <v>172862619</v>
      </c>
      <c r="F1661" s="5">
        <f>vlookup(B1661,Filmes_final!$B$2:$U$1001,3,FALSE)</f>
        <v>1977</v>
      </c>
      <c r="G1661" s="5" t="str">
        <f>vlookup(B1661,Filmes_final!$B$2:$U$1001,13,FALSE)</f>
        <v>Woody Allen</v>
      </c>
    </row>
    <row r="1662">
      <c r="A1662" s="5">
        <v>416.0</v>
      </c>
      <c r="B1662" s="5" t="s">
        <v>2674</v>
      </c>
      <c r="C1662" s="5" t="s">
        <v>2677</v>
      </c>
      <c r="D1662" s="5" t="s">
        <v>6634</v>
      </c>
      <c r="E1662" s="8">
        <f>vlookup(B1662,Filmes_final!$B$2:$U$1001,20,FALSE)</f>
        <v>1287379270</v>
      </c>
      <c r="F1662" s="5">
        <f>vlookup(B1662,Filmes_final!$B$2:$U$1001,3,FALSE)</f>
        <v>1975</v>
      </c>
      <c r="G1662" s="5" t="str">
        <f>vlookup(B1662,Filmes_final!$B$2:$U$1001,13,FALSE)</f>
        <v>Steven Spielberg</v>
      </c>
    </row>
    <row r="1663">
      <c r="A1663" s="5">
        <v>416.0</v>
      </c>
      <c r="B1663" s="5" t="s">
        <v>2674</v>
      </c>
      <c r="C1663" s="5" t="s">
        <v>836</v>
      </c>
      <c r="D1663" s="5" t="s">
        <v>6635</v>
      </c>
      <c r="E1663" s="8">
        <f>vlookup(B1663,Filmes_final!$B$2:$U$1001,20,FALSE)</f>
        <v>1287379270</v>
      </c>
      <c r="F1663" s="5">
        <f>vlookup(B1663,Filmes_final!$B$2:$U$1001,3,FALSE)</f>
        <v>1975</v>
      </c>
      <c r="G1663" s="5" t="str">
        <f>vlookup(B1663,Filmes_final!$B$2:$U$1001,13,FALSE)</f>
        <v>Steven Spielberg</v>
      </c>
    </row>
    <row r="1664">
      <c r="A1664" s="5">
        <v>416.0</v>
      </c>
      <c r="B1664" s="5" t="s">
        <v>2674</v>
      </c>
      <c r="C1664" s="5" t="s">
        <v>2678</v>
      </c>
      <c r="D1664" s="5" t="s">
        <v>6636</v>
      </c>
      <c r="E1664" s="8">
        <f>vlookup(B1664,Filmes_final!$B$2:$U$1001,20,FALSE)</f>
        <v>1287379270</v>
      </c>
      <c r="F1664" s="5">
        <f>vlookup(B1664,Filmes_final!$B$2:$U$1001,3,FALSE)</f>
        <v>1975</v>
      </c>
      <c r="G1664" s="5" t="str">
        <f>vlookup(B1664,Filmes_final!$B$2:$U$1001,13,FALSE)</f>
        <v>Steven Spielberg</v>
      </c>
    </row>
    <row r="1665">
      <c r="A1665" s="5">
        <v>416.0</v>
      </c>
      <c r="B1665" s="5" t="s">
        <v>2674</v>
      </c>
      <c r="C1665" s="5" t="s">
        <v>2679</v>
      </c>
      <c r="D1665" s="5" t="s">
        <v>6637</v>
      </c>
      <c r="E1665" s="8">
        <f>vlookup(B1665,Filmes_final!$B$2:$U$1001,20,FALSE)</f>
        <v>1287379270</v>
      </c>
      <c r="F1665" s="5">
        <f>vlookup(B1665,Filmes_final!$B$2:$U$1001,3,FALSE)</f>
        <v>1975</v>
      </c>
      <c r="G1665" s="5" t="str">
        <f>vlookup(B1665,Filmes_final!$B$2:$U$1001,13,FALSE)</f>
        <v>Steven Spielberg</v>
      </c>
    </row>
    <row r="1666">
      <c r="A1666" s="5">
        <v>417.0</v>
      </c>
      <c r="B1666" s="5" t="s">
        <v>2680</v>
      </c>
      <c r="C1666" s="5" t="s">
        <v>33</v>
      </c>
      <c r="D1666" s="5" t="s">
        <v>6634</v>
      </c>
      <c r="E1666" s="8">
        <f>vlookup(B1666,Filmes_final!$B$2:$U$1001,20,FALSE)</f>
        <v>247572937</v>
      </c>
      <c r="F1666" s="5">
        <f>vlookup(B1666,Filmes_final!$B$2:$U$1001,3,FALSE)</f>
        <v>1975</v>
      </c>
      <c r="G1666" s="5" t="str">
        <f>vlookup(B1666,Filmes_final!$B$2:$U$1001,13,FALSE)</f>
        <v>Sidney Lumet</v>
      </c>
    </row>
    <row r="1667">
      <c r="A1667" s="5">
        <v>417.0</v>
      </c>
      <c r="B1667" s="5" t="s">
        <v>2680</v>
      </c>
      <c r="C1667" s="5" t="s">
        <v>1888</v>
      </c>
      <c r="D1667" s="5" t="s">
        <v>6635</v>
      </c>
      <c r="E1667" s="8">
        <f>vlookup(B1667,Filmes_final!$B$2:$U$1001,20,FALSE)</f>
        <v>247572937</v>
      </c>
      <c r="F1667" s="5">
        <f>vlookup(B1667,Filmes_final!$B$2:$U$1001,3,FALSE)</f>
        <v>1975</v>
      </c>
      <c r="G1667" s="5" t="str">
        <f>vlookup(B1667,Filmes_final!$B$2:$U$1001,13,FALSE)</f>
        <v>Sidney Lumet</v>
      </c>
    </row>
    <row r="1668">
      <c r="A1668" s="5">
        <v>417.0</v>
      </c>
      <c r="B1668" s="5" t="s">
        <v>2680</v>
      </c>
      <c r="C1668" s="5" t="s">
        <v>2682</v>
      </c>
      <c r="D1668" s="5" t="s">
        <v>6636</v>
      </c>
      <c r="E1668" s="8">
        <f>vlookup(B1668,Filmes_final!$B$2:$U$1001,20,FALSE)</f>
        <v>247572937</v>
      </c>
      <c r="F1668" s="5">
        <f>vlookup(B1668,Filmes_final!$B$2:$U$1001,3,FALSE)</f>
        <v>1975</v>
      </c>
      <c r="G1668" s="5" t="str">
        <f>vlookup(B1668,Filmes_final!$B$2:$U$1001,13,FALSE)</f>
        <v>Sidney Lumet</v>
      </c>
    </row>
    <row r="1669">
      <c r="A1669" s="5">
        <v>417.0</v>
      </c>
      <c r="B1669" s="5" t="s">
        <v>2680</v>
      </c>
      <c r="C1669" s="5" t="s">
        <v>2683</v>
      </c>
      <c r="D1669" s="5" t="s">
        <v>6637</v>
      </c>
      <c r="E1669" s="8">
        <f>vlookup(B1669,Filmes_final!$B$2:$U$1001,20,FALSE)</f>
        <v>247572937</v>
      </c>
      <c r="F1669" s="5">
        <f>vlookup(B1669,Filmes_final!$B$2:$U$1001,3,FALSE)</f>
        <v>1975</v>
      </c>
      <c r="G1669" s="5" t="str">
        <f>vlookup(B1669,Filmes_final!$B$2:$U$1001,13,FALSE)</f>
        <v>Sidney Lumet</v>
      </c>
    </row>
    <row r="1670">
      <c r="A1670" s="5">
        <v>418.0</v>
      </c>
      <c r="B1670" s="5" t="s">
        <v>2684</v>
      </c>
      <c r="C1670" s="5" t="s">
        <v>2687</v>
      </c>
      <c r="D1670" s="5" t="s">
        <v>6634</v>
      </c>
      <c r="E1670" s="8">
        <f>vlookup(B1670,Filmes_final!$B$2:$U$1001,20,FALSE)</f>
        <v>477744577</v>
      </c>
      <c r="F1670" s="5">
        <f>vlookup(B1670,Filmes_final!$B$2:$U$1001,3,FALSE)</f>
        <v>1974</v>
      </c>
      <c r="G1670" s="5" t="str">
        <f>vlookup(B1670,Filmes_final!$B$2:$U$1001,13,FALSE)</f>
        <v>Mel Brooks</v>
      </c>
    </row>
    <row r="1671">
      <c r="A1671" s="5">
        <v>418.0</v>
      </c>
      <c r="B1671" s="5" t="s">
        <v>2684</v>
      </c>
      <c r="C1671" s="5" t="s">
        <v>1920</v>
      </c>
      <c r="D1671" s="5" t="s">
        <v>6635</v>
      </c>
      <c r="E1671" s="8">
        <f>vlookup(B1671,Filmes_final!$B$2:$U$1001,20,FALSE)</f>
        <v>477744577</v>
      </c>
      <c r="F1671" s="5">
        <f>vlookup(B1671,Filmes_final!$B$2:$U$1001,3,FALSE)</f>
        <v>1974</v>
      </c>
      <c r="G1671" s="5" t="str">
        <f>vlookup(B1671,Filmes_final!$B$2:$U$1001,13,FALSE)</f>
        <v>Mel Brooks</v>
      </c>
    </row>
    <row r="1672">
      <c r="A1672" s="5">
        <v>418.0</v>
      </c>
      <c r="B1672" s="5" t="s">
        <v>2684</v>
      </c>
      <c r="C1672" s="5" t="s">
        <v>2688</v>
      </c>
      <c r="D1672" s="5" t="s">
        <v>6636</v>
      </c>
      <c r="E1672" s="8">
        <f>vlookup(B1672,Filmes_final!$B$2:$U$1001,20,FALSE)</f>
        <v>477744577</v>
      </c>
      <c r="F1672" s="5">
        <f>vlookup(B1672,Filmes_final!$B$2:$U$1001,3,FALSE)</f>
        <v>1974</v>
      </c>
      <c r="G1672" s="5" t="str">
        <f>vlookup(B1672,Filmes_final!$B$2:$U$1001,13,FALSE)</f>
        <v>Mel Brooks</v>
      </c>
    </row>
    <row r="1673">
      <c r="A1673" s="5">
        <v>418.0</v>
      </c>
      <c r="B1673" s="5" t="s">
        <v>2684</v>
      </c>
      <c r="C1673" s="5" t="s">
        <v>2689</v>
      </c>
      <c r="D1673" s="5" t="s">
        <v>6637</v>
      </c>
      <c r="E1673" s="8">
        <f>vlookup(B1673,Filmes_final!$B$2:$U$1001,20,FALSE)</f>
        <v>477744577</v>
      </c>
      <c r="F1673" s="5">
        <f>vlookup(B1673,Filmes_final!$B$2:$U$1001,3,FALSE)</f>
        <v>1974</v>
      </c>
      <c r="G1673" s="5" t="str">
        <f>vlookup(B1673,Filmes_final!$B$2:$U$1001,13,FALSE)</f>
        <v>Mel Brooks</v>
      </c>
    </row>
    <row r="1674">
      <c r="A1674" s="5">
        <v>419.0</v>
      </c>
      <c r="B1674" s="5" t="s">
        <v>2690</v>
      </c>
      <c r="C1674" s="5" t="s">
        <v>1272</v>
      </c>
      <c r="D1674" s="5" t="s">
        <v>6634</v>
      </c>
      <c r="E1674" s="8">
        <f>vlookup(B1674,Filmes_final!$B$2:$U$1001,20,FALSE)</f>
        <v>322566696</v>
      </c>
      <c r="F1674" s="5">
        <f>vlookup(B1674,Filmes_final!$B$2:$U$1001,3,FALSE)</f>
        <v>1973</v>
      </c>
      <c r="G1674" s="5" t="str">
        <f>vlookup(B1674,Filmes_final!$B$2:$U$1001,13,FALSE)</f>
        <v>Franklin J. Schaffner</v>
      </c>
    </row>
    <row r="1675">
      <c r="A1675" s="5">
        <v>419.0</v>
      </c>
      <c r="B1675" s="5" t="s">
        <v>2690</v>
      </c>
      <c r="C1675" s="5" t="s">
        <v>2618</v>
      </c>
      <c r="D1675" s="5" t="s">
        <v>6635</v>
      </c>
      <c r="E1675" s="8">
        <f>vlookup(B1675,Filmes_final!$B$2:$U$1001,20,FALSE)</f>
        <v>322566696</v>
      </c>
      <c r="F1675" s="5">
        <f>vlookup(B1675,Filmes_final!$B$2:$U$1001,3,FALSE)</f>
        <v>1973</v>
      </c>
      <c r="G1675" s="5" t="str">
        <f>vlookup(B1675,Filmes_final!$B$2:$U$1001,13,FALSE)</f>
        <v>Franklin J. Schaffner</v>
      </c>
    </row>
    <row r="1676">
      <c r="A1676" s="5">
        <v>419.0</v>
      </c>
      <c r="B1676" s="5" t="s">
        <v>2690</v>
      </c>
      <c r="C1676" s="5" t="s">
        <v>2693</v>
      </c>
      <c r="D1676" s="5" t="s">
        <v>6636</v>
      </c>
      <c r="E1676" s="8">
        <f>vlookup(B1676,Filmes_final!$B$2:$U$1001,20,FALSE)</f>
        <v>322566696</v>
      </c>
      <c r="F1676" s="5">
        <f>vlookup(B1676,Filmes_final!$B$2:$U$1001,3,FALSE)</f>
        <v>1973</v>
      </c>
      <c r="G1676" s="5" t="str">
        <f>vlookup(B1676,Filmes_final!$B$2:$U$1001,13,FALSE)</f>
        <v>Franklin J. Schaffner</v>
      </c>
    </row>
    <row r="1677">
      <c r="A1677" s="5">
        <v>419.0</v>
      </c>
      <c r="B1677" s="5" t="s">
        <v>2690</v>
      </c>
      <c r="C1677" s="5" t="s">
        <v>2694</v>
      </c>
      <c r="D1677" s="5" t="s">
        <v>6637</v>
      </c>
      <c r="E1677" s="8">
        <f>vlookup(B1677,Filmes_final!$B$2:$U$1001,20,FALSE)</f>
        <v>322566696</v>
      </c>
      <c r="F1677" s="5">
        <f>vlookup(B1677,Filmes_final!$B$2:$U$1001,3,FALSE)</f>
        <v>1973</v>
      </c>
      <c r="G1677" s="5" t="str">
        <f>vlookup(B1677,Filmes_final!$B$2:$U$1001,13,FALSE)</f>
        <v>Franklin J. Schaffner</v>
      </c>
    </row>
    <row r="1678">
      <c r="A1678" s="5">
        <v>420.0</v>
      </c>
      <c r="B1678" s="5" t="s">
        <v>2695</v>
      </c>
      <c r="C1678" s="5" t="s">
        <v>740</v>
      </c>
      <c r="D1678" s="5" t="s">
        <v>6634</v>
      </c>
      <c r="E1678" s="8">
        <f>vlookup(B1678,Filmes_final!$B$2:$U$1001,20,FALSE)</f>
        <v>1410399793</v>
      </c>
      <c r="F1678" s="5">
        <f>vlookup(B1678,Filmes_final!$B$2:$U$1001,3,FALSE)</f>
        <v>1973</v>
      </c>
      <c r="G1678" s="5" t="str">
        <f>vlookup(B1678,Filmes_final!$B$2:$U$1001,13,FALSE)</f>
        <v>William Friedkin</v>
      </c>
    </row>
    <row r="1679">
      <c r="A1679" s="5">
        <v>420.0</v>
      </c>
      <c r="B1679" s="5" t="s">
        <v>2695</v>
      </c>
      <c r="C1679" s="5" t="s">
        <v>1309</v>
      </c>
      <c r="D1679" s="5" t="s">
        <v>6635</v>
      </c>
      <c r="E1679" s="8">
        <f>vlookup(B1679,Filmes_final!$B$2:$U$1001,20,FALSE)</f>
        <v>1410399793</v>
      </c>
      <c r="F1679" s="5">
        <f>vlookup(B1679,Filmes_final!$B$2:$U$1001,3,FALSE)</f>
        <v>1973</v>
      </c>
      <c r="G1679" s="5" t="str">
        <f>vlookup(B1679,Filmes_final!$B$2:$U$1001,13,FALSE)</f>
        <v>William Friedkin</v>
      </c>
    </row>
    <row r="1680">
      <c r="A1680" s="5">
        <v>420.0</v>
      </c>
      <c r="B1680" s="5" t="s">
        <v>2695</v>
      </c>
      <c r="C1680" s="5" t="s">
        <v>2699</v>
      </c>
      <c r="D1680" s="5" t="s">
        <v>6636</v>
      </c>
      <c r="E1680" s="8">
        <f>vlookup(B1680,Filmes_final!$B$2:$U$1001,20,FALSE)</f>
        <v>1410399793</v>
      </c>
      <c r="F1680" s="5">
        <f>vlookup(B1680,Filmes_final!$B$2:$U$1001,3,FALSE)</f>
        <v>1973</v>
      </c>
      <c r="G1680" s="5" t="str">
        <f>vlookup(B1680,Filmes_final!$B$2:$U$1001,13,FALSE)</f>
        <v>William Friedkin</v>
      </c>
    </row>
    <row r="1681">
      <c r="A1681" s="5">
        <v>420.0</v>
      </c>
      <c r="B1681" s="5" t="s">
        <v>2695</v>
      </c>
      <c r="C1681" s="5" t="s">
        <v>57</v>
      </c>
      <c r="D1681" s="5" t="s">
        <v>6637</v>
      </c>
      <c r="E1681" s="8">
        <f>vlookup(B1681,Filmes_final!$B$2:$U$1001,20,FALSE)</f>
        <v>1410399793</v>
      </c>
      <c r="F1681" s="5">
        <f>vlookup(B1681,Filmes_final!$B$2:$U$1001,3,FALSE)</f>
        <v>1973</v>
      </c>
      <c r="G1681" s="5" t="str">
        <f>vlookup(B1681,Filmes_final!$B$2:$U$1001,13,FALSE)</f>
        <v>William Friedkin</v>
      </c>
    </row>
    <row r="1682">
      <c r="A1682" s="5">
        <v>421.0</v>
      </c>
      <c r="B1682" s="5" t="s">
        <v>2700</v>
      </c>
      <c r="C1682" s="5" t="s">
        <v>2081</v>
      </c>
      <c r="D1682" s="5" t="s">
        <v>6634</v>
      </c>
      <c r="E1682" s="8">
        <f>vlookup(B1682,Filmes_final!$B$2:$U$1001,20,FALSE)</f>
        <v>25616671</v>
      </c>
      <c r="F1682" s="5">
        <f>vlookup(B1682,Filmes_final!$B$2:$U$1001,3,FALSE)</f>
        <v>1972</v>
      </c>
      <c r="G1682" s="5" t="str">
        <f>vlookup(B1682,Filmes_final!$B$2:$U$1001,13,FALSE)</f>
        <v>Joseph L. Mankiewicz</v>
      </c>
    </row>
    <row r="1683">
      <c r="A1683" s="5">
        <v>421.0</v>
      </c>
      <c r="B1683" s="5" t="s">
        <v>2700</v>
      </c>
      <c r="C1683" s="5" t="s">
        <v>45</v>
      </c>
      <c r="D1683" s="5" t="s">
        <v>6635</v>
      </c>
      <c r="E1683" s="8">
        <f>vlookup(B1683,Filmes_final!$B$2:$U$1001,20,FALSE)</f>
        <v>25616671</v>
      </c>
      <c r="F1683" s="5">
        <f>vlookup(B1683,Filmes_final!$B$2:$U$1001,3,FALSE)</f>
        <v>1972</v>
      </c>
      <c r="G1683" s="5" t="str">
        <f>vlookup(B1683,Filmes_final!$B$2:$U$1001,13,FALSE)</f>
        <v>Joseph L. Mankiewicz</v>
      </c>
    </row>
    <row r="1684">
      <c r="A1684" s="5">
        <v>421.0</v>
      </c>
      <c r="B1684" s="5" t="s">
        <v>2700</v>
      </c>
      <c r="C1684" s="5" t="s">
        <v>2702</v>
      </c>
      <c r="D1684" s="5" t="s">
        <v>6636</v>
      </c>
      <c r="E1684" s="8">
        <f>vlookup(B1684,Filmes_final!$B$2:$U$1001,20,FALSE)</f>
        <v>25616671</v>
      </c>
      <c r="F1684" s="5">
        <f>vlookup(B1684,Filmes_final!$B$2:$U$1001,3,FALSE)</f>
        <v>1972</v>
      </c>
      <c r="G1684" s="5" t="str">
        <f>vlookup(B1684,Filmes_final!$B$2:$U$1001,13,FALSE)</f>
        <v>Joseph L. Mankiewicz</v>
      </c>
    </row>
    <row r="1685">
      <c r="A1685" s="5">
        <v>421.0</v>
      </c>
      <c r="B1685" s="5" t="s">
        <v>2700</v>
      </c>
      <c r="C1685" s="5" t="s">
        <v>2703</v>
      </c>
      <c r="D1685" s="5" t="s">
        <v>6637</v>
      </c>
      <c r="E1685" s="8">
        <f>vlookup(B1685,Filmes_final!$B$2:$U$1001,20,FALSE)</f>
        <v>25616671</v>
      </c>
      <c r="F1685" s="5">
        <f>vlookup(B1685,Filmes_final!$B$2:$U$1001,3,FALSE)</f>
        <v>1972</v>
      </c>
      <c r="G1685" s="5" t="str">
        <f>vlookup(B1685,Filmes_final!$B$2:$U$1001,13,FALSE)</f>
        <v>Joseph L. Mankiewicz</v>
      </c>
    </row>
    <row r="1686">
      <c r="A1686" s="5">
        <v>422.0</v>
      </c>
      <c r="B1686" s="5" t="s">
        <v>2704</v>
      </c>
      <c r="C1686" s="5" t="s">
        <v>2706</v>
      </c>
      <c r="D1686" s="5" t="s">
        <v>6634</v>
      </c>
      <c r="E1686" s="8">
        <f>vlookup(B1686,Filmes_final!$B$2:$U$1001,20,FALSE)</f>
        <v>188830883</v>
      </c>
      <c r="F1686" s="5">
        <f>vlookup(B1686,Filmes_final!$B$2:$U$1001,3,FALSE)</f>
        <v>1971</v>
      </c>
      <c r="G1686" s="5" t="str">
        <f>vlookup(B1686,Filmes_final!$B$2:$U$1001,13,FALSE)</f>
        <v>Peter Bogdanovich</v>
      </c>
    </row>
    <row r="1687">
      <c r="A1687" s="5">
        <v>422.0</v>
      </c>
      <c r="B1687" s="5" t="s">
        <v>2704</v>
      </c>
      <c r="C1687" s="5" t="s">
        <v>1727</v>
      </c>
      <c r="D1687" s="5" t="s">
        <v>6635</v>
      </c>
      <c r="E1687" s="8">
        <f>vlookup(B1687,Filmes_final!$B$2:$U$1001,20,FALSE)</f>
        <v>188830883</v>
      </c>
      <c r="F1687" s="5">
        <f>vlookup(B1687,Filmes_final!$B$2:$U$1001,3,FALSE)</f>
        <v>1971</v>
      </c>
      <c r="G1687" s="5" t="str">
        <f>vlookup(B1687,Filmes_final!$B$2:$U$1001,13,FALSE)</f>
        <v>Peter Bogdanovich</v>
      </c>
    </row>
    <row r="1688">
      <c r="A1688" s="5">
        <v>422.0</v>
      </c>
      <c r="B1688" s="5" t="s">
        <v>2704</v>
      </c>
      <c r="C1688" s="5" t="s">
        <v>827</v>
      </c>
      <c r="D1688" s="5" t="s">
        <v>6636</v>
      </c>
      <c r="E1688" s="8">
        <f>vlookup(B1688,Filmes_final!$B$2:$U$1001,20,FALSE)</f>
        <v>188830883</v>
      </c>
      <c r="F1688" s="5">
        <f>vlookup(B1688,Filmes_final!$B$2:$U$1001,3,FALSE)</f>
        <v>1971</v>
      </c>
      <c r="G1688" s="5" t="str">
        <f>vlookup(B1688,Filmes_final!$B$2:$U$1001,13,FALSE)</f>
        <v>Peter Bogdanovich</v>
      </c>
    </row>
    <row r="1689">
      <c r="A1689" s="5">
        <v>422.0</v>
      </c>
      <c r="B1689" s="5" t="s">
        <v>2704</v>
      </c>
      <c r="C1689" s="5" t="s">
        <v>2707</v>
      </c>
      <c r="D1689" s="5" t="s">
        <v>6637</v>
      </c>
      <c r="E1689" s="8">
        <f>vlookup(B1689,Filmes_final!$B$2:$U$1001,20,FALSE)</f>
        <v>188830883</v>
      </c>
      <c r="F1689" s="5">
        <f>vlookup(B1689,Filmes_final!$B$2:$U$1001,3,FALSE)</f>
        <v>1971</v>
      </c>
      <c r="G1689" s="5" t="str">
        <f>vlookup(B1689,Filmes_final!$B$2:$U$1001,13,FALSE)</f>
        <v>Peter Bogdanovich</v>
      </c>
    </row>
    <row r="1690">
      <c r="A1690" s="5">
        <v>423.0</v>
      </c>
      <c r="B1690" s="5" t="s">
        <v>2708</v>
      </c>
      <c r="C1690" s="5" t="s">
        <v>2712</v>
      </c>
      <c r="D1690" s="5" t="s">
        <v>6634</v>
      </c>
      <c r="E1690" s="8">
        <f>vlookup(B1690,Filmes_final!$B$2:$U$1001,20,FALSE)</f>
        <v>521775515</v>
      </c>
      <c r="F1690" s="5">
        <f>vlookup(B1690,Filmes_final!$B$2:$U$1001,3,FALSE)</f>
        <v>1971</v>
      </c>
      <c r="G1690" s="5" t="str">
        <f>vlookup(B1690,Filmes_final!$B$2:$U$1001,13,FALSE)</f>
        <v>Norman Jewison</v>
      </c>
    </row>
    <row r="1691">
      <c r="A1691" s="5">
        <v>423.0</v>
      </c>
      <c r="B1691" s="5" t="s">
        <v>2708</v>
      </c>
      <c r="C1691" s="5" t="s">
        <v>2713</v>
      </c>
      <c r="D1691" s="5" t="s">
        <v>6635</v>
      </c>
      <c r="E1691" s="8">
        <f>vlookup(B1691,Filmes_final!$B$2:$U$1001,20,FALSE)</f>
        <v>521775515</v>
      </c>
      <c r="F1691" s="5">
        <f>vlookup(B1691,Filmes_final!$B$2:$U$1001,3,FALSE)</f>
        <v>1971</v>
      </c>
      <c r="G1691" s="5" t="str">
        <f>vlookup(B1691,Filmes_final!$B$2:$U$1001,13,FALSE)</f>
        <v>Norman Jewison</v>
      </c>
    </row>
    <row r="1692">
      <c r="A1692" s="5">
        <v>423.0</v>
      </c>
      <c r="B1692" s="5" t="s">
        <v>2708</v>
      </c>
      <c r="C1692" s="5" t="s">
        <v>2714</v>
      </c>
      <c r="D1692" s="5" t="s">
        <v>6636</v>
      </c>
      <c r="E1692" s="8">
        <f>vlookup(B1692,Filmes_final!$B$2:$U$1001,20,FALSE)</f>
        <v>521775515</v>
      </c>
      <c r="F1692" s="5">
        <f>vlookup(B1692,Filmes_final!$B$2:$U$1001,3,FALSE)</f>
        <v>1971</v>
      </c>
      <c r="G1692" s="5" t="str">
        <f>vlookup(B1692,Filmes_final!$B$2:$U$1001,13,FALSE)</f>
        <v>Norman Jewison</v>
      </c>
    </row>
    <row r="1693">
      <c r="A1693" s="5">
        <v>423.0</v>
      </c>
      <c r="B1693" s="5" t="s">
        <v>2708</v>
      </c>
      <c r="C1693" s="5" t="s">
        <v>2715</v>
      </c>
      <c r="D1693" s="5" t="s">
        <v>6637</v>
      </c>
      <c r="E1693" s="8">
        <f>vlookup(B1693,Filmes_final!$B$2:$U$1001,20,FALSE)</f>
        <v>521775515</v>
      </c>
      <c r="F1693" s="5">
        <f>vlookup(B1693,Filmes_final!$B$2:$U$1001,3,FALSE)</f>
        <v>1971</v>
      </c>
      <c r="G1693" s="5" t="str">
        <f>vlookup(B1693,Filmes_final!$B$2:$U$1001,13,FALSE)</f>
        <v>Norman Jewison</v>
      </c>
    </row>
    <row r="1694">
      <c r="A1694" s="5">
        <v>424.0</v>
      </c>
      <c r="B1694" s="5" t="s">
        <v>2716</v>
      </c>
      <c r="C1694" s="5" t="s">
        <v>1773</v>
      </c>
      <c r="D1694" s="5" t="s">
        <v>6634</v>
      </c>
      <c r="E1694" s="8">
        <f>vlookup(B1694,Filmes_final!$B$2:$U$1001,20,FALSE)</f>
        <v>3698540</v>
      </c>
      <c r="F1694" s="5">
        <f>vlookup(B1694,Filmes_final!$B$2:$U$1001,3,FALSE)</f>
        <v>1970</v>
      </c>
      <c r="G1694" s="5" t="str">
        <f>vlookup(B1694,Filmes_final!$B$2:$U$1001,13,FALSE)</f>
        <v>Bernardo Bertolucci</v>
      </c>
    </row>
    <row r="1695">
      <c r="A1695" s="5">
        <v>424.0</v>
      </c>
      <c r="B1695" s="5" t="s">
        <v>2716</v>
      </c>
      <c r="C1695" s="5" t="s">
        <v>2720</v>
      </c>
      <c r="D1695" s="5" t="s">
        <v>6635</v>
      </c>
      <c r="E1695" s="8">
        <f>vlookup(B1695,Filmes_final!$B$2:$U$1001,20,FALSE)</f>
        <v>3698540</v>
      </c>
      <c r="F1695" s="5">
        <f>vlookup(B1695,Filmes_final!$B$2:$U$1001,3,FALSE)</f>
        <v>1970</v>
      </c>
      <c r="G1695" s="5" t="str">
        <f>vlookup(B1695,Filmes_final!$B$2:$U$1001,13,FALSE)</f>
        <v>Bernardo Bertolucci</v>
      </c>
    </row>
    <row r="1696">
      <c r="A1696" s="5">
        <v>424.0</v>
      </c>
      <c r="B1696" s="5" t="s">
        <v>2716</v>
      </c>
      <c r="C1696" s="5" t="s">
        <v>2721</v>
      </c>
      <c r="D1696" s="5" t="s">
        <v>6636</v>
      </c>
      <c r="E1696" s="8">
        <f>vlookup(B1696,Filmes_final!$B$2:$U$1001,20,FALSE)</f>
        <v>3698540</v>
      </c>
      <c r="F1696" s="5">
        <f>vlookup(B1696,Filmes_final!$B$2:$U$1001,3,FALSE)</f>
        <v>1970</v>
      </c>
      <c r="G1696" s="5" t="str">
        <f>vlookup(B1696,Filmes_final!$B$2:$U$1001,13,FALSE)</f>
        <v>Bernardo Bertolucci</v>
      </c>
    </row>
    <row r="1697">
      <c r="A1697" s="5">
        <v>424.0</v>
      </c>
      <c r="B1697" s="5" t="s">
        <v>2716</v>
      </c>
      <c r="C1697" s="5" t="s">
        <v>2722</v>
      </c>
      <c r="D1697" s="5" t="s">
        <v>6637</v>
      </c>
      <c r="E1697" s="8">
        <f>vlookup(B1697,Filmes_final!$B$2:$U$1001,20,FALSE)</f>
        <v>3698540</v>
      </c>
      <c r="F1697" s="5">
        <f>vlookup(B1697,Filmes_final!$B$2:$U$1001,3,FALSE)</f>
        <v>1970</v>
      </c>
      <c r="G1697" s="5" t="str">
        <f>vlookup(B1697,Filmes_final!$B$2:$U$1001,13,FALSE)</f>
        <v>Bernardo Bertolucci</v>
      </c>
    </row>
    <row r="1698">
      <c r="A1698" s="5">
        <v>425.0</v>
      </c>
      <c r="B1698" s="5" t="s">
        <v>2723</v>
      </c>
      <c r="C1698" s="5" t="s">
        <v>834</v>
      </c>
      <c r="D1698" s="5" t="s">
        <v>6634</v>
      </c>
      <c r="E1698" s="8">
        <f>vlookup(B1698,Filmes_final!$B$2:$U$1001,20,FALSE)</f>
        <v>741368719</v>
      </c>
      <c r="F1698" s="5">
        <f>vlookup(B1698,Filmes_final!$B$2:$U$1001,3,FALSE)</f>
        <v>1969</v>
      </c>
      <c r="G1698" s="5" t="str">
        <f>vlookup(B1698,Filmes_final!$B$2:$U$1001,13,FALSE)</f>
        <v>George Roy Hill</v>
      </c>
    </row>
    <row r="1699">
      <c r="A1699" s="5">
        <v>425.0</v>
      </c>
      <c r="B1699" s="5" t="s">
        <v>2723</v>
      </c>
      <c r="C1699" s="5" t="s">
        <v>835</v>
      </c>
      <c r="D1699" s="5" t="s">
        <v>6635</v>
      </c>
      <c r="E1699" s="8">
        <f>vlookup(B1699,Filmes_final!$B$2:$U$1001,20,FALSE)</f>
        <v>741368719</v>
      </c>
      <c r="F1699" s="5">
        <f>vlookup(B1699,Filmes_final!$B$2:$U$1001,3,FALSE)</f>
        <v>1969</v>
      </c>
      <c r="G1699" s="5" t="str">
        <f>vlookup(B1699,Filmes_final!$B$2:$U$1001,13,FALSE)</f>
        <v>George Roy Hill</v>
      </c>
    </row>
    <row r="1700">
      <c r="A1700" s="5">
        <v>425.0</v>
      </c>
      <c r="B1700" s="5" t="s">
        <v>2723</v>
      </c>
      <c r="C1700" s="5" t="s">
        <v>2725</v>
      </c>
      <c r="D1700" s="5" t="s">
        <v>6636</v>
      </c>
      <c r="E1700" s="8">
        <f>vlookup(B1700,Filmes_final!$B$2:$U$1001,20,FALSE)</f>
        <v>741368719</v>
      </c>
      <c r="F1700" s="5">
        <f>vlookup(B1700,Filmes_final!$B$2:$U$1001,3,FALSE)</f>
        <v>1969</v>
      </c>
      <c r="G1700" s="5" t="str">
        <f>vlookup(B1700,Filmes_final!$B$2:$U$1001,13,FALSE)</f>
        <v>George Roy Hill</v>
      </c>
    </row>
    <row r="1701">
      <c r="A1701" s="5">
        <v>425.0</v>
      </c>
      <c r="B1701" s="5" t="s">
        <v>2723</v>
      </c>
      <c r="C1701" s="5" t="s">
        <v>1944</v>
      </c>
      <c r="D1701" s="5" t="s">
        <v>6637</v>
      </c>
      <c r="E1701" s="8">
        <f>vlookup(B1701,Filmes_final!$B$2:$U$1001,20,FALSE)</f>
        <v>741368719</v>
      </c>
      <c r="F1701" s="5">
        <f>vlookup(B1701,Filmes_final!$B$2:$U$1001,3,FALSE)</f>
        <v>1969</v>
      </c>
      <c r="G1701" s="5" t="str">
        <f>vlookup(B1701,Filmes_final!$B$2:$U$1001,13,FALSE)</f>
        <v>George Roy Hill</v>
      </c>
    </row>
    <row r="1702">
      <c r="A1702" s="5">
        <v>426.0</v>
      </c>
      <c r="B1702" s="5" t="s">
        <v>2726</v>
      </c>
      <c r="C1702" s="5" t="s">
        <v>2728</v>
      </c>
      <c r="D1702" s="5" t="s">
        <v>6634</v>
      </c>
      <c r="E1702" s="8">
        <f>vlookup(B1702,Filmes_final!$B$2:$U$1001,20,FALSE)</f>
        <v>17399804</v>
      </c>
      <c r="F1702" s="5">
        <f>vlookup(B1702,Filmes_final!$B$2:$U$1001,3,FALSE)</f>
        <v>1968</v>
      </c>
      <c r="G1702" s="5" t="str">
        <f>vlookup(B1702,Filmes_final!$B$2:$U$1001,13,FALSE)</f>
        <v>Roman Polanski</v>
      </c>
    </row>
    <row r="1703">
      <c r="A1703" s="5">
        <v>426.0</v>
      </c>
      <c r="B1703" s="5" t="s">
        <v>2726</v>
      </c>
      <c r="C1703" s="5" t="s">
        <v>2729</v>
      </c>
      <c r="D1703" s="5" t="s">
        <v>6635</v>
      </c>
      <c r="E1703" s="8">
        <f>vlookup(B1703,Filmes_final!$B$2:$U$1001,20,FALSE)</f>
        <v>17399804</v>
      </c>
      <c r="F1703" s="5">
        <f>vlookup(B1703,Filmes_final!$B$2:$U$1001,3,FALSE)</f>
        <v>1968</v>
      </c>
      <c r="G1703" s="5" t="str">
        <f>vlookup(B1703,Filmes_final!$B$2:$U$1001,13,FALSE)</f>
        <v>Roman Polanski</v>
      </c>
    </row>
    <row r="1704">
      <c r="A1704" s="5">
        <v>426.0</v>
      </c>
      <c r="B1704" s="5" t="s">
        <v>2726</v>
      </c>
      <c r="C1704" s="5" t="s">
        <v>2730</v>
      </c>
      <c r="D1704" s="5" t="s">
        <v>6636</v>
      </c>
      <c r="E1704" s="8">
        <f>vlookup(B1704,Filmes_final!$B$2:$U$1001,20,FALSE)</f>
        <v>17399804</v>
      </c>
      <c r="F1704" s="5">
        <f>vlookup(B1704,Filmes_final!$B$2:$U$1001,3,FALSE)</f>
        <v>1968</v>
      </c>
      <c r="G1704" s="5" t="str">
        <f>vlookup(B1704,Filmes_final!$B$2:$U$1001,13,FALSE)</f>
        <v>Roman Polanski</v>
      </c>
    </row>
    <row r="1705">
      <c r="A1705" s="5">
        <v>426.0</v>
      </c>
      <c r="B1705" s="5" t="s">
        <v>2726</v>
      </c>
      <c r="C1705" s="5" t="s">
        <v>2731</v>
      </c>
      <c r="D1705" s="5" t="s">
        <v>6637</v>
      </c>
      <c r="E1705" s="8">
        <f>vlookup(B1705,Filmes_final!$B$2:$U$1001,20,FALSE)</f>
        <v>17399804</v>
      </c>
      <c r="F1705" s="5">
        <f>vlookup(B1705,Filmes_final!$B$2:$U$1001,3,FALSE)</f>
        <v>1968</v>
      </c>
      <c r="G1705" s="5" t="str">
        <f>vlookup(B1705,Filmes_final!$B$2:$U$1001,13,FALSE)</f>
        <v>Roman Polanski</v>
      </c>
    </row>
    <row r="1706">
      <c r="A1706" s="5">
        <v>427.0</v>
      </c>
      <c r="B1706" s="5" t="s">
        <v>2732</v>
      </c>
      <c r="C1706" s="5" t="s">
        <v>2013</v>
      </c>
      <c r="D1706" s="5" t="s">
        <v>6634</v>
      </c>
      <c r="E1706" s="8">
        <f>vlookup(B1706,Filmes_final!$B$2:$U$1001,20,FALSE)</f>
        <v>252640805</v>
      </c>
      <c r="F1706" s="5">
        <f>vlookup(B1706,Filmes_final!$B$2:$U$1001,3,FALSE)</f>
        <v>1968</v>
      </c>
      <c r="G1706" s="5" t="str">
        <f>vlookup(B1706,Filmes_final!$B$2:$U$1001,13,FALSE)</f>
        <v>Franklin J. Schaffner</v>
      </c>
    </row>
    <row r="1707">
      <c r="A1707" s="5">
        <v>427.0</v>
      </c>
      <c r="B1707" s="5" t="s">
        <v>2732</v>
      </c>
      <c r="C1707" s="5" t="s">
        <v>2734</v>
      </c>
      <c r="D1707" s="5" t="s">
        <v>6635</v>
      </c>
      <c r="E1707" s="8">
        <f>vlookup(B1707,Filmes_final!$B$2:$U$1001,20,FALSE)</f>
        <v>252640805</v>
      </c>
      <c r="F1707" s="5">
        <f>vlookup(B1707,Filmes_final!$B$2:$U$1001,3,FALSE)</f>
        <v>1968</v>
      </c>
      <c r="G1707" s="5" t="str">
        <f>vlookup(B1707,Filmes_final!$B$2:$U$1001,13,FALSE)</f>
        <v>Franklin J. Schaffner</v>
      </c>
    </row>
    <row r="1708">
      <c r="A1708" s="5">
        <v>427.0</v>
      </c>
      <c r="B1708" s="5" t="s">
        <v>2732</v>
      </c>
      <c r="C1708" s="5" t="s">
        <v>2735</v>
      </c>
      <c r="D1708" s="5" t="s">
        <v>6636</v>
      </c>
      <c r="E1708" s="8">
        <f>vlookup(B1708,Filmes_final!$B$2:$U$1001,20,FALSE)</f>
        <v>252640805</v>
      </c>
      <c r="F1708" s="5">
        <f>vlookup(B1708,Filmes_final!$B$2:$U$1001,3,FALSE)</f>
        <v>1968</v>
      </c>
      <c r="G1708" s="5" t="str">
        <f>vlookup(B1708,Filmes_final!$B$2:$U$1001,13,FALSE)</f>
        <v>Franklin J. Schaffner</v>
      </c>
    </row>
    <row r="1709">
      <c r="A1709" s="5">
        <v>427.0</v>
      </c>
      <c r="B1709" s="5" t="s">
        <v>2732</v>
      </c>
      <c r="C1709" s="5" t="s">
        <v>2736</v>
      </c>
      <c r="D1709" s="5" t="s">
        <v>6637</v>
      </c>
      <c r="E1709" s="8">
        <f>vlookup(B1709,Filmes_final!$B$2:$U$1001,20,FALSE)</f>
        <v>252640805</v>
      </c>
      <c r="F1709" s="5">
        <f>vlookup(B1709,Filmes_final!$B$2:$U$1001,3,FALSE)</f>
        <v>1968</v>
      </c>
      <c r="G1709" s="5" t="str">
        <f>vlookup(B1709,Filmes_final!$B$2:$U$1001,13,FALSE)</f>
        <v>Franklin J. Schaffner</v>
      </c>
    </row>
    <row r="1710">
      <c r="A1710" s="5">
        <v>428.0</v>
      </c>
      <c r="B1710" s="5" t="s">
        <v>2737</v>
      </c>
      <c r="C1710" s="5" t="s">
        <v>2618</v>
      </c>
      <c r="D1710" s="5" t="s">
        <v>6634</v>
      </c>
      <c r="E1710" s="8">
        <f>vlookup(B1710,Filmes_final!$B$2:$U$1001,20,FALSE)</f>
        <v>822882835</v>
      </c>
      <c r="F1710" s="5">
        <f>vlookup(B1710,Filmes_final!$B$2:$U$1001,3,FALSE)</f>
        <v>1967</v>
      </c>
      <c r="G1710" s="5" t="str">
        <f>vlookup(B1710,Filmes_final!$B$2:$U$1001,13,FALSE)</f>
        <v>Mike Nichols</v>
      </c>
    </row>
    <row r="1711">
      <c r="A1711" s="5">
        <v>428.0</v>
      </c>
      <c r="B1711" s="5" t="s">
        <v>2737</v>
      </c>
      <c r="C1711" s="5" t="s">
        <v>1879</v>
      </c>
      <c r="D1711" s="5" t="s">
        <v>6635</v>
      </c>
      <c r="E1711" s="8">
        <f>vlookup(B1711,Filmes_final!$B$2:$U$1001,20,FALSE)</f>
        <v>822882835</v>
      </c>
      <c r="F1711" s="5">
        <f>vlookup(B1711,Filmes_final!$B$2:$U$1001,3,FALSE)</f>
        <v>1967</v>
      </c>
      <c r="G1711" s="5" t="str">
        <f>vlookup(B1711,Filmes_final!$B$2:$U$1001,13,FALSE)</f>
        <v>Mike Nichols</v>
      </c>
    </row>
    <row r="1712">
      <c r="A1712" s="5">
        <v>428.0</v>
      </c>
      <c r="B1712" s="5" t="s">
        <v>2737</v>
      </c>
      <c r="C1712" s="5" t="s">
        <v>2725</v>
      </c>
      <c r="D1712" s="5" t="s">
        <v>6636</v>
      </c>
      <c r="E1712" s="8">
        <f>vlookup(B1712,Filmes_final!$B$2:$U$1001,20,FALSE)</f>
        <v>822882835</v>
      </c>
      <c r="F1712" s="5">
        <f>vlookup(B1712,Filmes_final!$B$2:$U$1001,3,FALSE)</f>
        <v>1967</v>
      </c>
      <c r="G1712" s="5" t="str">
        <f>vlookup(B1712,Filmes_final!$B$2:$U$1001,13,FALSE)</f>
        <v>Mike Nichols</v>
      </c>
    </row>
    <row r="1713">
      <c r="A1713" s="5">
        <v>428.0</v>
      </c>
      <c r="B1713" s="5" t="s">
        <v>2737</v>
      </c>
      <c r="C1713" s="5" t="s">
        <v>2740</v>
      </c>
      <c r="D1713" s="5" t="s">
        <v>6637</v>
      </c>
      <c r="E1713" s="8">
        <f>vlookup(B1713,Filmes_final!$B$2:$U$1001,20,FALSE)</f>
        <v>822882835</v>
      </c>
      <c r="F1713" s="5">
        <f>vlookup(B1713,Filmes_final!$B$2:$U$1001,3,FALSE)</f>
        <v>1967</v>
      </c>
      <c r="G1713" s="5" t="str">
        <f>vlookup(B1713,Filmes_final!$B$2:$U$1001,13,FALSE)</f>
        <v>Mike Nichols</v>
      </c>
    </row>
    <row r="1714">
      <c r="A1714" s="5">
        <v>429.0</v>
      </c>
      <c r="B1714" s="5" t="s">
        <v>2741</v>
      </c>
      <c r="C1714" s="5" t="s">
        <v>2743</v>
      </c>
      <c r="D1714" s="5" t="s">
        <v>6634</v>
      </c>
      <c r="E1714" s="8">
        <f>vlookup(B1714,Filmes_final!$B$2:$U$1001,20,FALSE)</f>
        <v>227144277</v>
      </c>
      <c r="F1714" s="5">
        <f>vlookup(B1714,Filmes_final!$B$2:$U$1001,3,FALSE)</f>
        <v>1966</v>
      </c>
      <c r="G1714" s="5" t="str">
        <f>vlookup(B1714,Filmes_final!$B$2:$U$1001,13,FALSE)</f>
        <v>Mike Nichols</v>
      </c>
    </row>
    <row r="1715">
      <c r="A1715" s="5">
        <v>429.0</v>
      </c>
      <c r="B1715" s="5" t="s">
        <v>2741</v>
      </c>
      <c r="C1715" s="5" t="s">
        <v>2744</v>
      </c>
      <c r="D1715" s="5" t="s">
        <v>6635</v>
      </c>
      <c r="E1715" s="8">
        <f>vlookup(B1715,Filmes_final!$B$2:$U$1001,20,FALSE)</f>
        <v>227144277</v>
      </c>
      <c r="F1715" s="5">
        <f>vlookup(B1715,Filmes_final!$B$2:$U$1001,3,FALSE)</f>
        <v>1966</v>
      </c>
      <c r="G1715" s="5" t="str">
        <f>vlookup(B1715,Filmes_final!$B$2:$U$1001,13,FALSE)</f>
        <v>Mike Nichols</v>
      </c>
    </row>
    <row r="1716">
      <c r="A1716" s="5">
        <v>429.0</v>
      </c>
      <c r="B1716" s="5" t="s">
        <v>2741</v>
      </c>
      <c r="C1716" s="5" t="s">
        <v>2745</v>
      </c>
      <c r="D1716" s="5" t="s">
        <v>6636</v>
      </c>
      <c r="E1716" s="8">
        <f>vlookup(B1716,Filmes_final!$B$2:$U$1001,20,FALSE)</f>
        <v>227144277</v>
      </c>
      <c r="F1716" s="5">
        <f>vlookup(B1716,Filmes_final!$B$2:$U$1001,3,FALSE)</f>
        <v>1966</v>
      </c>
      <c r="G1716" s="5" t="str">
        <f>vlookup(B1716,Filmes_final!$B$2:$U$1001,13,FALSE)</f>
        <v>Mike Nichols</v>
      </c>
    </row>
    <row r="1717">
      <c r="A1717" s="5">
        <v>429.0</v>
      </c>
      <c r="B1717" s="5" t="s">
        <v>2741</v>
      </c>
      <c r="C1717" s="5" t="s">
        <v>2746</v>
      </c>
      <c r="D1717" s="5" t="s">
        <v>6637</v>
      </c>
      <c r="E1717" s="8">
        <f>vlookup(B1717,Filmes_final!$B$2:$U$1001,20,FALSE)</f>
        <v>227144277</v>
      </c>
      <c r="F1717" s="5">
        <f>vlookup(B1717,Filmes_final!$B$2:$U$1001,3,FALSE)</f>
        <v>1966</v>
      </c>
      <c r="G1717" s="5" t="str">
        <f>vlookup(B1717,Filmes_final!$B$2:$U$1001,13,FALSE)</f>
        <v>Mike Nichols</v>
      </c>
    </row>
    <row r="1718">
      <c r="A1718" s="5">
        <v>430.0</v>
      </c>
      <c r="B1718" s="5" t="s">
        <v>2747</v>
      </c>
      <c r="C1718" s="5" t="s">
        <v>2750</v>
      </c>
      <c r="D1718" s="5" t="s">
        <v>6634</v>
      </c>
      <c r="E1718" s="8">
        <f>vlookup(B1718,Filmes_final!$B$2:$U$1001,20,FALSE)</f>
        <v>1349504890</v>
      </c>
      <c r="F1718" s="5">
        <f>vlookup(B1718,Filmes_final!$B$2:$U$1001,3,FALSE)</f>
        <v>1965</v>
      </c>
      <c r="G1718" s="5" t="str">
        <f>vlookup(B1718,Filmes_final!$B$2:$U$1001,13,FALSE)</f>
        <v>Robert Wise</v>
      </c>
    </row>
    <row r="1719">
      <c r="A1719" s="5">
        <v>430.0</v>
      </c>
      <c r="B1719" s="5" t="s">
        <v>2747</v>
      </c>
      <c r="C1719" s="5" t="s">
        <v>1152</v>
      </c>
      <c r="D1719" s="5" t="s">
        <v>6635</v>
      </c>
      <c r="E1719" s="8">
        <f>vlookup(B1719,Filmes_final!$B$2:$U$1001,20,FALSE)</f>
        <v>1349504890</v>
      </c>
      <c r="F1719" s="5">
        <f>vlookup(B1719,Filmes_final!$B$2:$U$1001,3,FALSE)</f>
        <v>1965</v>
      </c>
      <c r="G1719" s="5" t="str">
        <f>vlookup(B1719,Filmes_final!$B$2:$U$1001,13,FALSE)</f>
        <v>Robert Wise</v>
      </c>
    </row>
    <row r="1720">
      <c r="A1720" s="5">
        <v>430.0</v>
      </c>
      <c r="B1720" s="5" t="s">
        <v>2747</v>
      </c>
      <c r="C1720" s="5" t="s">
        <v>2751</v>
      </c>
      <c r="D1720" s="5" t="s">
        <v>6636</v>
      </c>
      <c r="E1720" s="8">
        <f>vlookup(B1720,Filmes_final!$B$2:$U$1001,20,FALSE)</f>
        <v>1349504890</v>
      </c>
      <c r="F1720" s="5">
        <f>vlookup(B1720,Filmes_final!$B$2:$U$1001,3,FALSE)</f>
        <v>1965</v>
      </c>
      <c r="G1720" s="5" t="str">
        <f>vlookup(B1720,Filmes_final!$B$2:$U$1001,13,FALSE)</f>
        <v>Robert Wise</v>
      </c>
    </row>
    <row r="1721">
      <c r="A1721" s="5">
        <v>430.0</v>
      </c>
      <c r="B1721" s="5" t="s">
        <v>2747</v>
      </c>
      <c r="C1721" s="5" t="s">
        <v>2752</v>
      </c>
      <c r="D1721" s="5" t="s">
        <v>6637</v>
      </c>
      <c r="E1721" s="8">
        <f>vlookup(B1721,Filmes_final!$B$2:$U$1001,20,FALSE)</f>
        <v>1349504890</v>
      </c>
      <c r="F1721" s="5">
        <f>vlookup(B1721,Filmes_final!$B$2:$U$1001,3,FALSE)</f>
        <v>1965</v>
      </c>
      <c r="G1721" s="5" t="str">
        <f>vlookup(B1721,Filmes_final!$B$2:$U$1001,13,FALSE)</f>
        <v>Robert Wise</v>
      </c>
    </row>
    <row r="1722">
      <c r="A1722" s="5">
        <v>431.0</v>
      </c>
      <c r="B1722" s="5" t="s">
        <v>2753</v>
      </c>
      <c r="C1722" s="5" t="s">
        <v>2756</v>
      </c>
      <c r="D1722" s="5" t="s">
        <v>6634</v>
      </c>
      <c r="E1722" s="8">
        <f>vlookup(B1722,Filmes_final!$B$2:$U$1001,20,FALSE)</f>
        <v>923751156</v>
      </c>
      <c r="F1722" s="5">
        <f>vlookup(B1722,Filmes_final!$B$2:$U$1001,3,FALSE)</f>
        <v>1965</v>
      </c>
      <c r="G1722" s="5" t="str">
        <f>vlookup(B1722,Filmes_final!$B$2:$U$1001,13,FALSE)</f>
        <v>David Lean</v>
      </c>
    </row>
    <row r="1723">
      <c r="A1723" s="5">
        <v>431.0</v>
      </c>
      <c r="B1723" s="5" t="s">
        <v>2753</v>
      </c>
      <c r="C1723" s="5" t="s">
        <v>2757</v>
      </c>
      <c r="D1723" s="5" t="s">
        <v>6635</v>
      </c>
      <c r="E1723" s="8">
        <f>vlookup(B1723,Filmes_final!$B$2:$U$1001,20,FALSE)</f>
        <v>923751156</v>
      </c>
      <c r="F1723" s="5">
        <f>vlookup(B1723,Filmes_final!$B$2:$U$1001,3,FALSE)</f>
        <v>1965</v>
      </c>
      <c r="G1723" s="5" t="str">
        <f>vlookup(B1723,Filmes_final!$B$2:$U$1001,13,FALSE)</f>
        <v>David Lean</v>
      </c>
    </row>
    <row r="1724">
      <c r="A1724" s="5">
        <v>431.0</v>
      </c>
      <c r="B1724" s="5" t="s">
        <v>2753</v>
      </c>
      <c r="C1724" s="5" t="s">
        <v>2758</v>
      </c>
      <c r="D1724" s="5" t="s">
        <v>6636</v>
      </c>
      <c r="E1724" s="8">
        <f>vlookup(B1724,Filmes_final!$B$2:$U$1001,20,FALSE)</f>
        <v>923751156</v>
      </c>
      <c r="F1724" s="5">
        <f>vlookup(B1724,Filmes_final!$B$2:$U$1001,3,FALSE)</f>
        <v>1965</v>
      </c>
      <c r="G1724" s="5" t="str">
        <f>vlookup(B1724,Filmes_final!$B$2:$U$1001,13,FALSE)</f>
        <v>David Lean</v>
      </c>
    </row>
    <row r="1725">
      <c r="A1725" s="5">
        <v>431.0</v>
      </c>
      <c r="B1725" s="5" t="s">
        <v>2753</v>
      </c>
      <c r="C1725" s="5" t="s">
        <v>2038</v>
      </c>
      <c r="D1725" s="5" t="s">
        <v>6637</v>
      </c>
      <c r="E1725" s="8">
        <f>vlookup(B1725,Filmes_final!$B$2:$U$1001,20,FALSE)</f>
        <v>923751156</v>
      </c>
      <c r="F1725" s="5">
        <f>vlookup(B1725,Filmes_final!$B$2:$U$1001,3,FALSE)</f>
        <v>1965</v>
      </c>
      <c r="G1725" s="5" t="str">
        <f>vlookup(B1725,Filmes_final!$B$2:$U$1001,13,FALSE)</f>
        <v>David Lean</v>
      </c>
    </row>
    <row r="1726">
      <c r="A1726" s="5">
        <v>432.0</v>
      </c>
      <c r="B1726" s="5" t="s">
        <v>2759</v>
      </c>
      <c r="C1726" s="5" t="s">
        <v>119</v>
      </c>
      <c r="D1726" s="5" t="s">
        <v>6634</v>
      </c>
      <c r="E1726" s="8">
        <f>vlookup(B1726,Filmes_final!$B$2:$U$1001,20,FALSE)</f>
        <v>121054353</v>
      </c>
      <c r="F1726" s="5">
        <f>vlookup(B1726,Filmes_final!$B$2:$U$1001,3,FALSE)</f>
        <v>1964</v>
      </c>
      <c r="G1726" s="5" t="str">
        <f>vlookup(B1726,Filmes_final!$B$2:$U$1001,13,FALSE)</f>
        <v>Sergio Leone</v>
      </c>
    </row>
    <row r="1727">
      <c r="A1727" s="5">
        <v>432.0</v>
      </c>
      <c r="B1727" s="5" t="s">
        <v>2759</v>
      </c>
      <c r="C1727" s="5" t="s">
        <v>854</v>
      </c>
      <c r="D1727" s="5" t="s">
        <v>6635</v>
      </c>
      <c r="E1727" s="8">
        <f>vlookup(B1727,Filmes_final!$B$2:$U$1001,20,FALSE)</f>
        <v>121054353</v>
      </c>
      <c r="F1727" s="5">
        <f>vlookup(B1727,Filmes_final!$B$2:$U$1001,3,FALSE)</f>
        <v>1964</v>
      </c>
      <c r="G1727" s="5" t="str">
        <f>vlookup(B1727,Filmes_final!$B$2:$U$1001,13,FALSE)</f>
        <v>Sergio Leone</v>
      </c>
    </row>
    <row r="1728">
      <c r="A1728" s="5">
        <v>432.0</v>
      </c>
      <c r="B1728" s="5" t="s">
        <v>2759</v>
      </c>
      <c r="C1728" s="5" t="s">
        <v>2762</v>
      </c>
      <c r="D1728" s="5" t="s">
        <v>6636</v>
      </c>
      <c r="E1728" s="8">
        <f>vlookup(B1728,Filmes_final!$B$2:$U$1001,20,FALSE)</f>
        <v>121054353</v>
      </c>
      <c r="F1728" s="5">
        <f>vlookup(B1728,Filmes_final!$B$2:$U$1001,3,FALSE)</f>
        <v>1964</v>
      </c>
      <c r="G1728" s="5" t="str">
        <f>vlookup(B1728,Filmes_final!$B$2:$U$1001,13,FALSE)</f>
        <v>Sergio Leone</v>
      </c>
    </row>
    <row r="1729">
      <c r="A1729" s="5">
        <v>432.0</v>
      </c>
      <c r="B1729" s="5" t="s">
        <v>2759</v>
      </c>
      <c r="C1729" s="5" t="s">
        <v>2763</v>
      </c>
      <c r="D1729" s="5" t="s">
        <v>6637</v>
      </c>
      <c r="E1729" s="8">
        <f>vlookup(B1729,Filmes_final!$B$2:$U$1001,20,FALSE)</f>
        <v>121054353</v>
      </c>
      <c r="F1729" s="5">
        <f>vlookup(B1729,Filmes_final!$B$2:$U$1001,3,FALSE)</f>
        <v>1964</v>
      </c>
      <c r="G1729" s="5" t="str">
        <f>vlookup(B1729,Filmes_final!$B$2:$U$1001,13,FALSE)</f>
        <v>Sergio Leone</v>
      </c>
    </row>
    <row r="1730">
      <c r="A1730" s="5">
        <v>433.0</v>
      </c>
      <c r="B1730" s="5" t="s">
        <v>2764</v>
      </c>
      <c r="C1730" s="5" t="s">
        <v>2767</v>
      </c>
      <c r="D1730" s="5" t="s">
        <v>6634</v>
      </c>
      <c r="E1730" s="8">
        <f>vlookup(B1730,Filmes_final!$B$2:$U$1001,20,FALSE)</f>
        <v>430150</v>
      </c>
      <c r="F1730" s="5">
        <f>vlookup(B1730,Filmes_final!$B$2:$U$1001,3,FALSE)</f>
        <v>1963</v>
      </c>
      <c r="G1730" s="5" t="str">
        <f>vlookup(B1730,Filmes_final!$B$2:$U$1001,13,FALSE)</f>
        <v>Federico Fellini</v>
      </c>
    </row>
    <row r="1731">
      <c r="A1731" s="5">
        <v>433.0</v>
      </c>
      <c r="B1731" s="5" t="s">
        <v>2764</v>
      </c>
      <c r="C1731" s="5" t="s">
        <v>2768</v>
      </c>
      <c r="D1731" s="5" t="s">
        <v>6635</v>
      </c>
      <c r="E1731" s="8">
        <f>vlookup(B1731,Filmes_final!$B$2:$U$1001,20,FALSE)</f>
        <v>430150</v>
      </c>
      <c r="F1731" s="5">
        <f>vlookup(B1731,Filmes_final!$B$2:$U$1001,3,FALSE)</f>
        <v>1963</v>
      </c>
      <c r="G1731" s="5" t="str">
        <f>vlookup(B1731,Filmes_final!$B$2:$U$1001,13,FALSE)</f>
        <v>Federico Fellini</v>
      </c>
    </row>
    <row r="1732">
      <c r="A1732" s="5">
        <v>433.0</v>
      </c>
      <c r="B1732" s="5" t="s">
        <v>2764</v>
      </c>
      <c r="C1732" s="5" t="s">
        <v>393</v>
      </c>
      <c r="D1732" s="5" t="s">
        <v>6636</v>
      </c>
      <c r="E1732" s="8">
        <f>vlookup(B1732,Filmes_final!$B$2:$U$1001,20,FALSE)</f>
        <v>430150</v>
      </c>
      <c r="F1732" s="5">
        <f>vlookup(B1732,Filmes_final!$B$2:$U$1001,3,FALSE)</f>
        <v>1963</v>
      </c>
      <c r="G1732" s="5" t="str">
        <f>vlookup(B1732,Filmes_final!$B$2:$U$1001,13,FALSE)</f>
        <v>Federico Fellini</v>
      </c>
    </row>
    <row r="1733">
      <c r="A1733" s="5">
        <v>433.0</v>
      </c>
      <c r="B1733" s="5" t="s">
        <v>2764</v>
      </c>
      <c r="C1733" s="5" t="s">
        <v>2769</v>
      </c>
      <c r="D1733" s="5" t="s">
        <v>6637</v>
      </c>
      <c r="E1733" s="8">
        <f>vlookup(B1733,Filmes_final!$B$2:$U$1001,20,FALSE)</f>
        <v>430150</v>
      </c>
      <c r="F1733" s="5">
        <f>vlookup(B1733,Filmes_final!$B$2:$U$1001,3,FALSE)</f>
        <v>1963</v>
      </c>
      <c r="G1733" s="5" t="str">
        <f>vlookup(B1733,Filmes_final!$B$2:$U$1001,13,FALSE)</f>
        <v>Federico Fellini</v>
      </c>
    </row>
    <row r="1734">
      <c r="A1734" s="5">
        <v>434.0</v>
      </c>
      <c r="B1734" s="5" t="s">
        <v>2770</v>
      </c>
      <c r="C1734" s="5" t="s">
        <v>2773</v>
      </c>
      <c r="D1734" s="5" t="s">
        <v>6634</v>
      </c>
      <c r="E1734" s="8">
        <f>vlookup(B1734,Filmes_final!$B$2:$U$1001,20,FALSE)</f>
        <v>210823</v>
      </c>
      <c r="F1734" s="5">
        <f>vlookup(B1734,Filmes_final!$B$2:$U$1001,3,FALSE)</f>
        <v>1962</v>
      </c>
      <c r="G1734" s="5" t="str">
        <f>vlookup(B1734,Filmes_final!$B$2:$U$1001,13,FALSE)</f>
        <v>Jean-Luc Godard</v>
      </c>
    </row>
    <row r="1735">
      <c r="A1735" s="5">
        <v>434.0</v>
      </c>
      <c r="B1735" s="5" t="s">
        <v>2770</v>
      </c>
      <c r="C1735" s="5" t="s">
        <v>2774</v>
      </c>
      <c r="D1735" s="5" t="s">
        <v>6635</v>
      </c>
      <c r="E1735" s="8">
        <f>vlookup(B1735,Filmes_final!$B$2:$U$1001,20,FALSE)</f>
        <v>210823</v>
      </c>
      <c r="F1735" s="5">
        <f>vlookup(B1735,Filmes_final!$B$2:$U$1001,3,FALSE)</f>
        <v>1962</v>
      </c>
      <c r="G1735" s="5" t="str">
        <f>vlookup(B1735,Filmes_final!$B$2:$U$1001,13,FALSE)</f>
        <v>Jean-Luc Godard</v>
      </c>
    </row>
    <row r="1736">
      <c r="A1736" s="5">
        <v>434.0</v>
      </c>
      <c r="B1736" s="5" t="s">
        <v>2770</v>
      </c>
      <c r="C1736" s="5" t="s">
        <v>2775</v>
      </c>
      <c r="D1736" s="5" t="s">
        <v>6636</v>
      </c>
      <c r="E1736" s="8">
        <f>vlookup(B1736,Filmes_final!$B$2:$U$1001,20,FALSE)</f>
        <v>210823</v>
      </c>
      <c r="F1736" s="5">
        <f>vlookup(B1736,Filmes_final!$B$2:$U$1001,3,FALSE)</f>
        <v>1962</v>
      </c>
      <c r="G1736" s="5" t="str">
        <f>vlookup(B1736,Filmes_final!$B$2:$U$1001,13,FALSE)</f>
        <v>Jean-Luc Godard</v>
      </c>
    </row>
    <row r="1737">
      <c r="A1737" s="5">
        <v>434.0</v>
      </c>
      <c r="B1737" s="5" t="s">
        <v>2770</v>
      </c>
      <c r="C1737" s="5" t="s">
        <v>2776</v>
      </c>
      <c r="D1737" s="5" t="s">
        <v>6637</v>
      </c>
      <c r="E1737" s="8">
        <f>vlookup(B1737,Filmes_final!$B$2:$U$1001,20,FALSE)</f>
        <v>210823</v>
      </c>
      <c r="F1737" s="5">
        <f>vlookup(B1737,Filmes_final!$B$2:$U$1001,3,FALSE)</f>
        <v>1962</v>
      </c>
      <c r="G1737" s="5" t="str">
        <f>vlookup(B1737,Filmes_final!$B$2:$U$1001,13,FALSE)</f>
        <v>Jean-Luc Godard</v>
      </c>
    </row>
    <row r="1738">
      <c r="A1738" s="5">
        <v>435.0</v>
      </c>
      <c r="B1738" s="5" t="s">
        <v>2777</v>
      </c>
      <c r="C1738" s="5" t="s">
        <v>834</v>
      </c>
      <c r="D1738" s="5" t="s">
        <v>6634</v>
      </c>
      <c r="E1738" s="8">
        <f>vlookup(B1738,Filmes_final!$B$2:$U$1001,20,FALSE)</f>
        <v>71712475</v>
      </c>
      <c r="F1738" s="5">
        <f>vlookup(B1738,Filmes_final!$B$2:$U$1001,3,FALSE)</f>
        <v>1961</v>
      </c>
      <c r="G1738" s="5" t="str">
        <f>vlookup(B1738,Filmes_final!$B$2:$U$1001,13,FALSE)</f>
        <v>Robert Rossen</v>
      </c>
    </row>
    <row r="1739">
      <c r="A1739" s="5">
        <v>435.0</v>
      </c>
      <c r="B1739" s="5" t="s">
        <v>2777</v>
      </c>
      <c r="C1739" s="5" t="s">
        <v>2780</v>
      </c>
      <c r="D1739" s="5" t="s">
        <v>6635</v>
      </c>
      <c r="E1739" s="8">
        <f>vlookup(B1739,Filmes_final!$B$2:$U$1001,20,FALSE)</f>
        <v>71712475</v>
      </c>
      <c r="F1739" s="5">
        <f>vlookup(B1739,Filmes_final!$B$2:$U$1001,3,FALSE)</f>
        <v>1961</v>
      </c>
      <c r="G1739" s="5" t="str">
        <f>vlookup(B1739,Filmes_final!$B$2:$U$1001,13,FALSE)</f>
        <v>Robert Rossen</v>
      </c>
    </row>
    <row r="1740">
      <c r="A1740" s="5">
        <v>435.0</v>
      </c>
      <c r="B1740" s="5" t="s">
        <v>2777</v>
      </c>
      <c r="C1740" s="5" t="s">
        <v>2781</v>
      </c>
      <c r="D1740" s="5" t="s">
        <v>6636</v>
      </c>
      <c r="E1740" s="8">
        <f>vlookup(B1740,Filmes_final!$B$2:$U$1001,20,FALSE)</f>
        <v>71712475</v>
      </c>
      <c r="F1740" s="5">
        <f>vlookup(B1740,Filmes_final!$B$2:$U$1001,3,FALSE)</f>
        <v>1961</v>
      </c>
      <c r="G1740" s="5" t="str">
        <f>vlookup(B1740,Filmes_final!$B$2:$U$1001,13,FALSE)</f>
        <v>Robert Rossen</v>
      </c>
    </row>
    <row r="1741">
      <c r="A1741" s="5">
        <v>435.0</v>
      </c>
      <c r="B1741" s="5" t="s">
        <v>2777</v>
      </c>
      <c r="C1741" s="5" t="s">
        <v>605</v>
      </c>
      <c r="D1741" s="5" t="s">
        <v>6637</v>
      </c>
      <c r="E1741" s="8">
        <f>vlookup(B1741,Filmes_final!$B$2:$U$1001,20,FALSE)</f>
        <v>71712475</v>
      </c>
      <c r="F1741" s="5">
        <f>vlookup(B1741,Filmes_final!$B$2:$U$1001,3,FALSE)</f>
        <v>1961</v>
      </c>
      <c r="G1741" s="5" t="str">
        <f>vlookup(B1741,Filmes_final!$B$2:$U$1001,13,FALSE)</f>
        <v>Robert Rossen</v>
      </c>
    </row>
    <row r="1742">
      <c r="A1742" s="5">
        <v>436.0</v>
      </c>
      <c r="B1742" s="5" t="s">
        <v>2782</v>
      </c>
      <c r="C1742" s="5" t="s">
        <v>2767</v>
      </c>
      <c r="D1742" s="5" t="s">
        <v>6634</v>
      </c>
      <c r="E1742" s="8">
        <f>vlookup(B1742,Filmes_final!$B$2:$U$1001,20,FALSE)</f>
        <v>171828056</v>
      </c>
      <c r="F1742" s="5">
        <f>vlookup(B1742,Filmes_final!$B$2:$U$1001,3,FALSE)</f>
        <v>1960</v>
      </c>
      <c r="G1742" s="5" t="str">
        <f>vlookup(B1742,Filmes_final!$B$2:$U$1001,13,FALSE)</f>
        <v>Federico Fellini</v>
      </c>
    </row>
    <row r="1743">
      <c r="A1743" s="5">
        <v>436.0</v>
      </c>
      <c r="B1743" s="5" t="s">
        <v>2782</v>
      </c>
      <c r="C1743" s="5" t="s">
        <v>2785</v>
      </c>
      <c r="D1743" s="5" t="s">
        <v>6635</v>
      </c>
      <c r="E1743" s="8">
        <f>vlookup(B1743,Filmes_final!$B$2:$U$1001,20,FALSE)</f>
        <v>171828056</v>
      </c>
      <c r="F1743" s="5">
        <f>vlookup(B1743,Filmes_final!$B$2:$U$1001,3,FALSE)</f>
        <v>1960</v>
      </c>
      <c r="G1743" s="5" t="str">
        <f>vlookup(B1743,Filmes_final!$B$2:$U$1001,13,FALSE)</f>
        <v>Federico Fellini</v>
      </c>
    </row>
    <row r="1744">
      <c r="A1744" s="5">
        <v>436.0</v>
      </c>
      <c r="B1744" s="5" t="s">
        <v>2782</v>
      </c>
      <c r="C1744" s="5" t="s">
        <v>2768</v>
      </c>
      <c r="D1744" s="5" t="s">
        <v>6636</v>
      </c>
      <c r="E1744" s="8">
        <f>vlookup(B1744,Filmes_final!$B$2:$U$1001,20,FALSE)</f>
        <v>171828056</v>
      </c>
      <c r="F1744" s="5">
        <f>vlookup(B1744,Filmes_final!$B$2:$U$1001,3,FALSE)</f>
        <v>1960</v>
      </c>
      <c r="G1744" s="5" t="str">
        <f>vlookup(B1744,Filmes_final!$B$2:$U$1001,13,FALSE)</f>
        <v>Federico Fellini</v>
      </c>
    </row>
    <row r="1745">
      <c r="A1745" s="5">
        <v>436.0</v>
      </c>
      <c r="B1745" s="5" t="s">
        <v>2782</v>
      </c>
      <c r="C1745" s="5" t="s">
        <v>2786</v>
      </c>
      <c r="D1745" s="5" t="s">
        <v>6637</v>
      </c>
      <c r="E1745" s="8">
        <f>vlookup(B1745,Filmes_final!$B$2:$U$1001,20,FALSE)</f>
        <v>171828056</v>
      </c>
      <c r="F1745" s="5">
        <f>vlookup(B1745,Filmes_final!$B$2:$U$1001,3,FALSE)</f>
        <v>1960</v>
      </c>
      <c r="G1745" s="5" t="str">
        <f>vlookup(B1745,Filmes_final!$B$2:$U$1001,13,FALSE)</f>
        <v>Federico Fellini</v>
      </c>
    </row>
    <row r="1746">
      <c r="A1746" s="5">
        <v>437.0</v>
      </c>
      <c r="B1746" s="5" t="s">
        <v>2787</v>
      </c>
      <c r="C1746" s="5" t="s">
        <v>1985</v>
      </c>
      <c r="D1746" s="5" t="s">
        <v>6634</v>
      </c>
      <c r="E1746" s="8">
        <f>vlookup(B1746,Filmes_final!$B$2:$U$1001,20,FALSE)</f>
        <v>111505741</v>
      </c>
      <c r="F1746" s="5">
        <f>vlookup(B1746,Filmes_final!$B$2:$U$1001,3,FALSE)</f>
        <v>1959</v>
      </c>
      <c r="G1746" s="5" t="str">
        <f>vlookup(B1746,Filmes_final!$B$2:$U$1001,13,FALSE)</f>
        <v>Howard Hawks</v>
      </c>
    </row>
    <row r="1747">
      <c r="A1747" s="5">
        <v>437.0</v>
      </c>
      <c r="B1747" s="5" t="s">
        <v>2787</v>
      </c>
      <c r="C1747" s="5" t="s">
        <v>2790</v>
      </c>
      <c r="D1747" s="5" t="s">
        <v>6635</v>
      </c>
      <c r="E1747" s="8">
        <f>vlookup(B1747,Filmes_final!$B$2:$U$1001,20,FALSE)</f>
        <v>111505741</v>
      </c>
      <c r="F1747" s="5">
        <f>vlookup(B1747,Filmes_final!$B$2:$U$1001,3,FALSE)</f>
        <v>1959</v>
      </c>
      <c r="G1747" s="5" t="str">
        <f>vlookup(B1747,Filmes_final!$B$2:$U$1001,13,FALSE)</f>
        <v>Howard Hawks</v>
      </c>
    </row>
    <row r="1748">
      <c r="A1748" s="5">
        <v>437.0</v>
      </c>
      <c r="B1748" s="5" t="s">
        <v>2787</v>
      </c>
      <c r="C1748" s="5" t="s">
        <v>2791</v>
      </c>
      <c r="D1748" s="5" t="s">
        <v>6636</v>
      </c>
      <c r="E1748" s="8">
        <f>vlookup(B1748,Filmes_final!$B$2:$U$1001,20,FALSE)</f>
        <v>111505741</v>
      </c>
      <c r="F1748" s="5">
        <f>vlookup(B1748,Filmes_final!$B$2:$U$1001,3,FALSE)</f>
        <v>1959</v>
      </c>
      <c r="G1748" s="5" t="str">
        <f>vlookup(B1748,Filmes_final!$B$2:$U$1001,13,FALSE)</f>
        <v>Howard Hawks</v>
      </c>
    </row>
    <row r="1749">
      <c r="A1749" s="5">
        <v>437.0</v>
      </c>
      <c r="B1749" s="5" t="s">
        <v>2787</v>
      </c>
      <c r="C1749" s="5" t="s">
        <v>2792</v>
      </c>
      <c r="D1749" s="5" t="s">
        <v>6637</v>
      </c>
      <c r="E1749" s="8">
        <f>vlookup(B1749,Filmes_final!$B$2:$U$1001,20,FALSE)</f>
        <v>111505741</v>
      </c>
      <c r="F1749" s="5">
        <f>vlookup(B1749,Filmes_final!$B$2:$U$1001,3,FALSE)</f>
        <v>1959</v>
      </c>
      <c r="G1749" s="5" t="str">
        <f>vlookup(B1749,Filmes_final!$B$2:$U$1001,13,FALSE)</f>
        <v>Howard Hawks</v>
      </c>
    </row>
    <row r="1750">
      <c r="A1750" s="5">
        <v>438.0</v>
      </c>
      <c r="B1750" s="5" t="s">
        <v>2793</v>
      </c>
      <c r="C1750" s="5" t="s">
        <v>274</v>
      </c>
      <c r="D1750" s="5" t="s">
        <v>6634</v>
      </c>
      <c r="E1750" s="8">
        <f>vlookup(B1750,Filmes_final!$B$2:$U$1001,20,FALSE)</f>
        <v>105857065</v>
      </c>
      <c r="F1750" s="5">
        <f>vlookup(B1750,Filmes_final!$B$2:$U$1001,3,FALSE)</f>
        <v>1959</v>
      </c>
      <c r="G1750" s="5" t="str">
        <f>vlookup(B1750,Filmes_final!$B$2:$U$1001,13,FALSE)</f>
        <v>Otto Preminger</v>
      </c>
    </row>
    <row r="1751">
      <c r="A1751" s="5">
        <v>438.0</v>
      </c>
      <c r="B1751" s="5" t="s">
        <v>2793</v>
      </c>
      <c r="C1751" s="5" t="s">
        <v>2796</v>
      </c>
      <c r="D1751" s="5" t="s">
        <v>6635</v>
      </c>
      <c r="E1751" s="8">
        <f>vlookup(B1751,Filmes_final!$B$2:$U$1001,20,FALSE)</f>
        <v>105857065</v>
      </c>
      <c r="F1751" s="5">
        <f>vlookup(B1751,Filmes_final!$B$2:$U$1001,3,FALSE)</f>
        <v>1959</v>
      </c>
      <c r="G1751" s="5" t="str">
        <f>vlookup(B1751,Filmes_final!$B$2:$U$1001,13,FALSE)</f>
        <v>Otto Preminger</v>
      </c>
    </row>
    <row r="1752">
      <c r="A1752" s="5">
        <v>438.0</v>
      </c>
      <c r="B1752" s="5" t="s">
        <v>2793</v>
      </c>
      <c r="C1752" s="5" t="s">
        <v>2797</v>
      </c>
      <c r="D1752" s="5" t="s">
        <v>6636</v>
      </c>
      <c r="E1752" s="8">
        <f>vlookup(B1752,Filmes_final!$B$2:$U$1001,20,FALSE)</f>
        <v>105857065</v>
      </c>
      <c r="F1752" s="5">
        <f>vlookup(B1752,Filmes_final!$B$2:$U$1001,3,FALSE)</f>
        <v>1959</v>
      </c>
      <c r="G1752" s="5" t="str">
        <f>vlookup(B1752,Filmes_final!$B$2:$U$1001,13,FALSE)</f>
        <v>Otto Preminger</v>
      </c>
    </row>
    <row r="1753">
      <c r="A1753" s="5">
        <v>438.0</v>
      </c>
      <c r="B1753" s="5" t="s">
        <v>2793</v>
      </c>
      <c r="C1753" s="5" t="s">
        <v>2798</v>
      </c>
      <c r="D1753" s="5" t="s">
        <v>6637</v>
      </c>
      <c r="E1753" s="8">
        <f>vlookup(B1753,Filmes_final!$B$2:$U$1001,20,FALSE)</f>
        <v>105857065</v>
      </c>
      <c r="F1753" s="5">
        <f>vlookup(B1753,Filmes_final!$B$2:$U$1001,3,FALSE)</f>
        <v>1959</v>
      </c>
      <c r="G1753" s="5" t="str">
        <f>vlookup(B1753,Filmes_final!$B$2:$U$1001,13,FALSE)</f>
        <v>Otto Preminger</v>
      </c>
    </row>
    <row r="1754">
      <c r="A1754" s="5">
        <v>439.0</v>
      </c>
      <c r="B1754" s="5" t="s">
        <v>2799</v>
      </c>
      <c r="C1754" s="5" t="s">
        <v>2013</v>
      </c>
      <c r="D1754" s="5" t="s">
        <v>6634</v>
      </c>
      <c r="E1754" s="8">
        <f>vlookup(B1754,Filmes_final!$B$2:$U$1001,20,FALSE)</f>
        <v>20183606</v>
      </c>
      <c r="F1754" s="5">
        <f>vlookup(B1754,Filmes_final!$B$2:$U$1001,3,FALSE)</f>
        <v>1958</v>
      </c>
      <c r="G1754" s="5" t="str">
        <f>vlookup(B1754,Filmes_final!$B$2:$U$1001,13,FALSE)</f>
        <v>Orson Welles</v>
      </c>
    </row>
    <row r="1755">
      <c r="A1755" s="5">
        <v>439.0</v>
      </c>
      <c r="B1755" s="5" t="s">
        <v>2799</v>
      </c>
      <c r="C1755" s="5" t="s">
        <v>916</v>
      </c>
      <c r="D1755" s="5" t="s">
        <v>6635</v>
      </c>
      <c r="E1755" s="8">
        <f>vlookup(B1755,Filmes_final!$B$2:$U$1001,20,FALSE)</f>
        <v>20183606</v>
      </c>
      <c r="F1755" s="5">
        <f>vlookup(B1755,Filmes_final!$B$2:$U$1001,3,FALSE)</f>
        <v>1958</v>
      </c>
      <c r="G1755" s="5" t="str">
        <f>vlookup(B1755,Filmes_final!$B$2:$U$1001,13,FALSE)</f>
        <v>Orson Welles</v>
      </c>
    </row>
    <row r="1756">
      <c r="A1756" s="5">
        <v>439.0</v>
      </c>
      <c r="B1756" s="5" t="s">
        <v>2799</v>
      </c>
      <c r="C1756" s="5" t="s">
        <v>401</v>
      </c>
      <c r="D1756" s="5" t="s">
        <v>6636</v>
      </c>
      <c r="E1756" s="8">
        <f>vlookup(B1756,Filmes_final!$B$2:$U$1001,20,FALSE)</f>
        <v>20183606</v>
      </c>
      <c r="F1756" s="5">
        <f>vlookup(B1756,Filmes_final!$B$2:$U$1001,3,FALSE)</f>
        <v>1958</v>
      </c>
      <c r="G1756" s="5" t="str">
        <f>vlookup(B1756,Filmes_final!$B$2:$U$1001,13,FALSE)</f>
        <v>Orson Welles</v>
      </c>
    </row>
    <row r="1757">
      <c r="A1757" s="5">
        <v>439.0</v>
      </c>
      <c r="B1757" s="5" t="s">
        <v>2799</v>
      </c>
      <c r="C1757" s="5" t="s">
        <v>2801</v>
      </c>
      <c r="D1757" s="5" t="s">
        <v>6637</v>
      </c>
      <c r="E1757" s="8">
        <f>vlookup(B1757,Filmes_final!$B$2:$U$1001,20,FALSE)</f>
        <v>20183606</v>
      </c>
      <c r="F1757" s="5">
        <f>vlookup(B1757,Filmes_final!$B$2:$U$1001,3,FALSE)</f>
        <v>1958</v>
      </c>
      <c r="G1757" s="5" t="str">
        <f>vlookup(B1757,Filmes_final!$B$2:$U$1001,13,FALSE)</f>
        <v>Orson Welles</v>
      </c>
    </row>
    <row r="1758">
      <c r="A1758" s="5">
        <v>440.0</v>
      </c>
      <c r="B1758" s="5" t="s">
        <v>2802</v>
      </c>
      <c r="C1758" s="5" t="s">
        <v>2743</v>
      </c>
      <c r="D1758" s="5" t="s">
        <v>6634</v>
      </c>
      <c r="E1758" s="8">
        <f>vlookup(B1758,Filmes_final!$B$2:$U$1001,20,FALSE)</f>
        <v>158483708</v>
      </c>
      <c r="F1758" s="5">
        <f>vlookup(B1758,Filmes_final!$B$2:$U$1001,3,FALSE)</f>
        <v>1958</v>
      </c>
      <c r="G1758" s="5" t="str">
        <f>vlookup(B1758,Filmes_final!$B$2:$U$1001,13,FALSE)</f>
        <v>Richard Brooks</v>
      </c>
    </row>
    <row r="1759">
      <c r="A1759" s="5">
        <v>440.0</v>
      </c>
      <c r="B1759" s="5" t="s">
        <v>2802</v>
      </c>
      <c r="C1759" s="5" t="s">
        <v>834</v>
      </c>
      <c r="D1759" s="5" t="s">
        <v>6635</v>
      </c>
      <c r="E1759" s="8">
        <f>vlookup(B1759,Filmes_final!$B$2:$U$1001,20,FALSE)</f>
        <v>158483708</v>
      </c>
      <c r="F1759" s="5">
        <f>vlookup(B1759,Filmes_final!$B$2:$U$1001,3,FALSE)</f>
        <v>1958</v>
      </c>
      <c r="G1759" s="5" t="str">
        <f>vlookup(B1759,Filmes_final!$B$2:$U$1001,13,FALSE)</f>
        <v>Richard Brooks</v>
      </c>
    </row>
    <row r="1760">
      <c r="A1760" s="5">
        <v>440.0</v>
      </c>
      <c r="B1760" s="5" t="s">
        <v>2802</v>
      </c>
      <c r="C1760" s="5" t="s">
        <v>2805</v>
      </c>
      <c r="D1760" s="5" t="s">
        <v>6636</v>
      </c>
      <c r="E1760" s="8">
        <f>vlookup(B1760,Filmes_final!$B$2:$U$1001,20,FALSE)</f>
        <v>158483708</v>
      </c>
      <c r="F1760" s="5">
        <f>vlookup(B1760,Filmes_final!$B$2:$U$1001,3,FALSE)</f>
        <v>1958</v>
      </c>
      <c r="G1760" s="5" t="str">
        <f>vlookup(B1760,Filmes_final!$B$2:$U$1001,13,FALSE)</f>
        <v>Richard Brooks</v>
      </c>
    </row>
    <row r="1761">
      <c r="A1761" s="5">
        <v>440.0</v>
      </c>
      <c r="B1761" s="5" t="s">
        <v>2802</v>
      </c>
      <c r="C1761" s="5" t="s">
        <v>2806</v>
      </c>
      <c r="D1761" s="5" t="s">
        <v>6637</v>
      </c>
      <c r="E1761" s="8">
        <f>vlookup(B1761,Filmes_final!$B$2:$U$1001,20,FALSE)</f>
        <v>158483708</v>
      </c>
      <c r="F1761" s="5">
        <f>vlookup(B1761,Filmes_final!$B$2:$U$1001,3,FALSE)</f>
        <v>1958</v>
      </c>
      <c r="G1761" s="5" t="str">
        <f>vlookup(B1761,Filmes_final!$B$2:$U$1001,13,FALSE)</f>
        <v>Richard Brooks</v>
      </c>
    </row>
    <row r="1762">
      <c r="A1762" s="5">
        <v>441.0</v>
      </c>
      <c r="B1762" s="5" t="s">
        <v>2807</v>
      </c>
      <c r="C1762" s="5" t="s">
        <v>1292</v>
      </c>
      <c r="D1762" s="5" t="s">
        <v>6634</v>
      </c>
      <c r="E1762" s="8">
        <f>vlookup(B1762,Filmes_final!$B$2:$U$1001,20,FALSE)</f>
        <v>72008</v>
      </c>
      <c r="F1762" s="5">
        <f>vlookup(B1762,Filmes_final!$B$2:$U$1001,3,FALSE)</f>
        <v>1957</v>
      </c>
      <c r="G1762" s="5" t="str">
        <f>vlookup(B1762,Filmes_final!$B$2:$U$1001,13,FALSE)</f>
        <v>Alexander Mackendrick</v>
      </c>
    </row>
    <row r="1763">
      <c r="A1763" s="5">
        <v>441.0</v>
      </c>
      <c r="B1763" s="5" t="s">
        <v>2807</v>
      </c>
      <c r="C1763" s="5" t="s">
        <v>1298</v>
      </c>
      <c r="D1763" s="5" t="s">
        <v>6635</v>
      </c>
      <c r="E1763" s="8">
        <f>vlookup(B1763,Filmes_final!$B$2:$U$1001,20,FALSE)</f>
        <v>72008</v>
      </c>
      <c r="F1763" s="5">
        <f>vlookup(B1763,Filmes_final!$B$2:$U$1001,3,FALSE)</f>
        <v>1957</v>
      </c>
      <c r="G1763" s="5" t="str">
        <f>vlookup(B1763,Filmes_final!$B$2:$U$1001,13,FALSE)</f>
        <v>Alexander Mackendrick</v>
      </c>
    </row>
    <row r="1764">
      <c r="A1764" s="5">
        <v>441.0</v>
      </c>
      <c r="B1764" s="5" t="s">
        <v>2807</v>
      </c>
      <c r="C1764" s="5" t="s">
        <v>2810</v>
      </c>
      <c r="D1764" s="5" t="s">
        <v>6636</v>
      </c>
      <c r="E1764" s="8">
        <f>vlookup(B1764,Filmes_final!$B$2:$U$1001,20,FALSE)</f>
        <v>72008</v>
      </c>
      <c r="F1764" s="5">
        <f>vlookup(B1764,Filmes_final!$B$2:$U$1001,3,FALSE)</f>
        <v>1957</v>
      </c>
      <c r="G1764" s="5" t="str">
        <f>vlookup(B1764,Filmes_final!$B$2:$U$1001,13,FALSE)</f>
        <v>Alexander Mackendrick</v>
      </c>
    </row>
    <row r="1765">
      <c r="A1765" s="5">
        <v>441.0</v>
      </c>
      <c r="B1765" s="5" t="s">
        <v>2807</v>
      </c>
      <c r="C1765" s="5" t="s">
        <v>2811</v>
      </c>
      <c r="D1765" s="5" t="s">
        <v>6637</v>
      </c>
      <c r="E1765" s="8">
        <f>vlookup(B1765,Filmes_final!$B$2:$U$1001,20,FALSE)</f>
        <v>72008</v>
      </c>
      <c r="F1765" s="5">
        <f>vlookup(B1765,Filmes_final!$B$2:$U$1001,3,FALSE)</f>
        <v>1957</v>
      </c>
      <c r="G1765" s="5" t="str">
        <f>vlookup(B1765,Filmes_final!$B$2:$U$1001,13,FALSE)</f>
        <v>Alexander Mackendrick</v>
      </c>
    </row>
    <row r="1766">
      <c r="A1766" s="5">
        <v>442.0</v>
      </c>
      <c r="B1766" s="5" t="s">
        <v>2812</v>
      </c>
      <c r="C1766" s="5" t="s">
        <v>606</v>
      </c>
      <c r="D1766" s="5" t="s">
        <v>6634</v>
      </c>
      <c r="E1766" s="8">
        <f>vlookup(B1766,Filmes_final!$B$2:$U$1001,20,FALSE)</f>
        <v>1954</v>
      </c>
      <c r="F1766" s="5">
        <f>vlookup(B1766,Filmes_final!$B$2:$U$1001,3,FALSE)</f>
        <v>1956</v>
      </c>
      <c r="G1766" s="5" t="str">
        <f>vlookup(B1766,Filmes_final!$B$2:$U$1001,13,FALSE)</f>
        <v>Stanley Kubrick</v>
      </c>
    </row>
    <row r="1767">
      <c r="A1767" s="5">
        <v>442.0</v>
      </c>
      <c r="B1767" s="5" t="s">
        <v>2812</v>
      </c>
      <c r="C1767" s="5" t="s">
        <v>2814</v>
      </c>
      <c r="D1767" s="5" t="s">
        <v>6635</v>
      </c>
      <c r="E1767" s="8">
        <f>vlookup(B1767,Filmes_final!$B$2:$U$1001,20,FALSE)</f>
        <v>1954</v>
      </c>
      <c r="F1767" s="5">
        <f>vlookup(B1767,Filmes_final!$B$2:$U$1001,3,FALSE)</f>
        <v>1956</v>
      </c>
      <c r="G1767" s="5" t="str">
        <f>vlookup(B1767,Filmes_final!$B$2:$U$1001,13,FALSE)</f>
        <v>Stanley Kubrick</v>
      </c>
    </row>
    <row r="1768">
      <c r="A1768" s="5">
        <v>442.0</v>
      </c>
      <c r="B1768" s="5" t="s">
        <v>2812</v>
      </c>
      <c r="C1768" s="5" t="s">
        <v>2815</v>
      </c>
      <c r="D1768" s="5" t="s">
        <v>6636</v>
      </c>
      <c r="E1768" s="8">
        <f>vlookup(B1768,Filmes_final!$B$2:$U$1001,20,FALSE)</f>
        <v>1954</v>
      </c>
      <c r="F1768" s="5">
        <f>vlookup(B1768,Filmes_final!$B$2:$U$1001,3,FALSE)</f>
        <v>1956</v>
      </c>
      <c r="G1768" s="5" t="str">
        <f>vlookup(B1768,Filmes_final!$B$2:$U$1001,13,FALSE)</f>
        <v>Stanley Kubrick</v>
      </c>
    </row>
    <row r="1769">
      <c r="A1769" s="5">
        <v>442.0</v>
      </c>
      <c r="B1769" s="5" t="s">
        <v>2812</v>
      </c>
      <c r="C1769" s="5" t="s">
        <v>2816</v>
      </c>
      <c r="D1769" s="5" t="s">
        <v>6637</v>
      </c>
      <c r="E1769" s="8">
        <f>vlookup(B1769,Filmes_final!$B$2:$U$1001,20,FALSE)</f>
        <v>1954</v>
      </c>
      <c r="F1769" s="5">
        <f>vlookup(B1769,Filmes_final!$B$2:$U$1001,3,FALSE)</f>
        <v>1956</v>
      </c>
      <c r="G1769" s="5" t="str">
        <f>vlookup(B1769,Filmes_final!$B$2:$U$1001,13,FALSE)</f>
        <v>Stanley Kubrick</v>
      </c>
    </row>
    <row r="1770">
      <c r="A1770" s="5">
        <v>443.0</v>
      </c>
      <c r="B1770" s="5" t="s">
        <v>2817</v>
      </c>
      <c r="C1770" s="5" t="s">
        <v>2819</v>
      </c>
      <c r="D1770" s="5" t="s">
        <v>6634</v>
      </c>
      <c r="E1770" s="8">
        <f>vlookup(B1770,Filmes_final!$B$2:$U$1001,20,FALSE)</f>
        <v>6319</v>
      </c>
      <c r="F1770" s="5">
        <f>vlookup(B1770,Filmes_final!$B$2:$U$1001,3,FALSE)</f>
        <v>1955</v>
      </c>
      <c r="G1770" s="5" t="str">
        <f>vlookup(B1770,Filmes_final!$B$2:$U$1001,13,FALSE)</f>
        <v>Charles Laughton</v>
      </c>
    </row>
    <row r="1771">
      <c r="A1771" s="5">
        <v>443.0</v>
      </c>
      <c r="B1771" s="5" t="s">
        <v>2817</v>
      </c>
      <c r="C1771" s="5" t="s">
        <v>2820</v>
      </c>
      <c r="D1771" s="5" t="s">
        <v>6635</v>
      </c>
      <c r="E1771" s="8">
        <f>vlookup(B1771,Filmes_final!$B$2:$U$1001,20,FALSE)</f>
        <v>6319</v>
      </c>
      <c r="F1771" s="5">
        <f>vlookup(B1771,Filmes_final!$B$2:$U$1001,3,FALSE)</f>
        <v>1955</v>
      </c>
      <c r="G1771" s="5" t="str">
        <f>vlookup(B1771,Filmes_final!$B$2:$U$1001,13,FALSE)</f>
        <v>Charles Laughton</v>
      </c>
    </row>
    <row r="1772">
      <c r="A1772" s="5">
        <v>443.0</v>
      </c>
      <c r="B1772" s="5" t="s">
        <v>2817</v>
      </c>
      <c r="C1772" s="5" t="s">
        <v>2821</v>
      </c>
      <c r="D1772" s="5" t="s">
        <v>6636</v>
      </c>
      <c r="E1772" s="8">
        <f>vlookup(B1772,Filmes_final!$B$2:$U$1001,20,FALSE)</f>
        <v>6319</v>
      </c>
      <c r="F1772" s="5">
        <f>vlookup(B1772,Filmes_final!$B$2:$U$1001,3,FALSE)</f>
        <v>1955</v>
      </c>
      <c r="G1772" s="5" t="str">
        <f>vlookup(B1772,Filmes_final!$B$2:$U$1001,13,FALSE)</f>
        <v>Charles Laughton</v>
      </c>
    </row>
    <row r="1773">
      <c r="A1773" s="5">
        <v>443.0</v>
      </c>
      <c r="B1773" s="5" t="s">
        <v>2817</v>
      </c>
      <c r="C1773" s="5" t="s">
        <v>2822</v>
      </c>
      <c r="D1773" s="5" t="s">
        <v>6637</v>
      </c>
      <c r="E1773" s="8">
        <f>vlookup(B1773,Filmes_final!$B$2:$U$1001,20,FALSE)</f>
        <v>6319</v>
      </c>
      <c r="F1773" s="5">
        <f>vlookup(B1773,Filmes_final!$B$2:$U$1001,3,FALSE)</f>
        <v>1955</v>
      </c>
      <c r="G1773" s="5" t="str">
        <f>vlookup(B1773,Filmes_final!$B$2:$U$1001,13,FALSE)</f>
        <v>Charles Laughton</v>
      </c>
    </row>
    <row r="1774">
      <c r="A1774" s="5">
        <v>444.0</v>
      </c>
      <c r="B1774" s="5" t="s">
        <v>2823</v>
      </c>
      <c r="C1774" s="5" t="s">
        <v>862</v>
      </c>
      <c r="D1774" s="5" t="s">
        <v>6634</v>
      </c>
      <c r="E1774" s="8">
        <f>vlookup(B1774,Filmes_final!$B$2:$U$1001,20,FALSE)</f>
        <v>171882</v>
      </c>
      <c r="F1774" s="5">
        <f>vlookup(B1774,Filmes_final!$B$2:$U$1001,3,FALSE)</f>
        <v>1954</v>
      </c>
      <c r="G1774" s="5" t="str">
        <f>vlookup(B1774,Filmes_final!$B$2:$U$1001,13,FALSE)</f>
        <v>Federico Fellini</v>
      </c>
    </row>
    <row r="1775">
      <c r="A1775" s="5">
        <v>444.0</v>
      </c>
      <c r="B1775" s="5" t="s">
        <v>2823</v>
      </c>
      <c r="C1775" s="5" t="s">
        <v>2024</v>
      </c>
      <c r="D1775" s="5" t="s">
        <v>6635</v>
      </c>
      <c r="E1775" s="8">
        <f>vlookup(B1775,Filmes_final!$B$2:$U$1001,20,FALSE)</f>
        <v>171882</v>
      </c>
      <c r="F1775" s="5">
        <f>vlookup(B1775,Filmes_final!$B$2:$U$1001,3,FALSE)</f>
        <v>1954</v>
      </c>
      <c r="G1775" s="5" t="str">
        <f>vlookup(B1775,Filmes_final!$B$2:$U$1001,13,FALSE)</f>
        <v>Federico Fellini</v>
      </c>
    </row>
    <row r="1776">
      <c r="A1776" s="5">
        <v>444.0</v>
      </c>
      <c r="B1776" s="5" t="s">
        <v>2823</v>
      </c>
      <c r="C1776" s="5" t="s">
        <v>2825</v>
      </c>
      <c r="D1776" s="5" t="s">
        <v>6636</v>
      </c>
      <c r="E1776" s="8">
        <f>vlookup(B1776,Filmes_final!$B$2:$U$1001,20,FALSE)</f>
        <v>171882</v>
      </c>
      <c r="F1776" s="5">
        <f>vlookup(B1776,Filmes_final!$B$2:$U$1001,3,FALSE)</f>
        <v>1954</v>
      </c>
      <c r="G1776" s="5" t="str">
        <f>vlookup(B1776,Filmes_final!$B$2:$U$1001,13,FALSE)</f>
        <v>Federico Fellini</v>
      </c>
    </row>
    <row r="1777">
      <c r="A1777" s="5">
        <v>444.0</v>
      </c>
      <c r="B1777" s="5" t="s">
        <v>2823</v>
      </c>
      <c r="C1777" s="5" t="s">
        <v>2826</v>
      </c>
      <c r="D1777" s="5" t="s">
        <v>6637</v>
      </c>
      <c r="E1777" s="8">
        <f>vlookup(B1777,Filmes_final!$B$2:$U$1001,20,FALSE)</f>
        <v>171882</v>
      </c>
      <c r="F1777" s="5">
        <f>vlookup(B1777,Filmes_final!$B$2:$U$1001,3,FALSE)</f>
        <v>1954</v>
      </c>
      <c r="G1777" s="5" t="str">
        <f>vlookup(B1777,Filmes_final!$B$2:$U$1001,13,FALSE)</f>
        <v>Federico Fellini</v>
      </c>
    </row>
    <row r="1778">
      <c r="A1778" s="5">
        <v>445.0</v>
      </c>
      <c r="B1778" s="5" t="s">
        <v>2827</v>
      </c>
      <c r="C1778" s="5" t="s">
        <v>2830</v>
      </c>
      <c r="D1778" s="5" t="s">
        <v>6634</v>
      </c>
      <c r="E1778" s="8">
        <f>vlookup(B1778,Filmes_final!$B$2:$U$1001,20,FALSE)</f>
        <v>120754</v>
      </c>
      <c r="F1778" s="5">
        <f>vlookup(B1778,Filmes_final!$B$2:$U$1001,3,FALSE)</f>
        <v>1955</v>
      </c>
      <c r="G1778" s="5" t="str">
        <f>vlookup(B1778,Filmes_final!$B$2:$U$1001,13,FALSE)</f>
        <v>Henri-Georges Clouzot</v>
      </c>
    </row>
    <row r="1779">
      <c r="A1779" s="5">
        <v>445.0</v>
      </c>
      <c r="B1779" s="5" t="s">
        <v>2827</v>
      </c>
      <c r="C1779" s="5" t="s">
        <v>2831</v>
      </c>
      <c r="D1779" s="5" t="s">
        <v>6635</v>
      </c>
      <c r="E1779" s="8">
        <f>vlookup(B1779,Filmes_final!$B$2:$U$1001,20,FALSE)</f>
        <v>120754</v>
      </c>
      <c r="F1779" s="5">
        <f>vlookup(B1779,Filmes_final!$B$2:$U$1001,3,FALSE)</f>
        <v>1955</v>
      </c>
      <c r="G1779" s="5" t="str">
        <f>vlookup(B1779,Filmes_final!$B$2:$U$1001,13,FALSE)</f>
        <v>Henri-Georges Clouzot</v>
      </c>
    </row>
    <row r="1780">
      <c r="A1780" s="5">
        <v>445.0</v>
      </c>
      <c r="B1780" s="5" t="s">
        <v>2827</v>
      </c>
      <c r="C1780" s="5" t="s">
        <v>2832</v>
      </c>
      <c r="D1780" s="5" t="s">
        <v>6636</v>
      </c>
      <c r="E1780" s="8">
        <f>vlookup(B1780,Filmes_final!$B$2:$U$1001,20,FALSE)</f>
        <v>120754</v>
      </c>
      <c r="F1780" s="5">
        <f>vlookup(B1780,Filmes_final!$B$2:$U$1001,3,FALSE)</f>
        <v>1955</v>
      </c>
      <c r="G1780" s="5" t="str">
        <f>vlookup(B1780,Filmes_final!$B$2:$U$1001,13,FALSE)</f>
        <v>Henri-Georges Clouzot</v>
      </c>
    </row>
    <row r="1781">
      <c r="A1781" s="5">
        <v>445.0</v>
      </c>
      <c r="B1781" s="5" t="s">
        <v>2827</v>
      </c>
      <c r="C1781" s="5" t="s">
        <v>2043</v>
      </c>
      <c r="D1781" s="5" t="s">
        <v>6637</v>
      </c>
      <c r="E1781" s="8">
        <f>vlookup(B1781,Filmes_final!$B$2:$U$1001,20,FALSE)</f>
        <v>120754</v>
      </c>
      <c r="F1781" s="5">
        <f>vlookup(B1781,Filmes_final!$B$2:$U$1001,3,FALSE)</f>
        <v>1955</v>
      </c>
      <c r="G1781" s="5" t="str">
        <f>vlookup(B1781,Filmes_final!$B$2:$U$1001,13,FALSE)</f>
        <v>Henri-Georges Clouzot</v>
      </c>
    </row>
    <row r="1782">
      <c r="A1782" s="5">
        <v>446.0</v>
      </c>
      <c r="B1782" s="5" t="s">
        <v>2833</v>
      </c>
      <c r="C1782" s="5" t="s">
        <v>630</v>
      </c>
      <c r="D1782" s="5" t="s">
        <v>6634</v>
      </c>
      <c r="E1782" s="8">
        <f>vlookup(B1782,Filmes_final!$B$2:$U$1001,20,FALSE)</f>
        <v>16113780</v>
      </c>
      <c r="F1782" s="5">
        <f>vlookup(B1782,Filmes_final!$B$2:$U$1001,3,FALSE)</f>
        <v>1953</v>
      </c>
      <c r="G1782" s="5" t="str">
        <f>vlookup(B1782,Filmes_final!$B$2:$U$1001,13,FALSE)</f>
        <v>Billy Wilder</v>
      </c>
    </row>
    <row r="1783">
      <c r="A1783" s="5">
        <v>446.0</v>
      </c>
      <c r="B1783" s="5" t="s">
        <v>2833</v>
      </c>
      <c r="C1783" s="5" t="s">
        <v>2835</v>
      </c>
      <c r="D1783" s="5" t="s">
        <v>6635</v>
      </c>
      <c r="E1783" s="8">
        <f>vlookup(B1783,Filmes_final!$B$2:$U$1001,20,FALSE)</f>
        <v>16113780</v>
      </c>
      <c r="F1783" s="5">
        <f>vlookup(B1783,Filmes_final!$B$2:$U$1001,3,FALSE)</f>
        <v>1953</v>
      </c>
      <c r="G1783" s="5" t="str">
        <f>vlookup(B1783,Filmes_final!$B$2:$U$1001,13,FALSE)</f>
        <v>Billy Wilder</v>
      </c>
    </row>
    <row r="1784">
      <c r="A1784" s="5">
        <v>446.0</v>
      </c>
      <c r="B1784" s="5" t="s">
        <v>2833</v>
      </c>
      <c r="C1784" s="5" t="s">
        <v>2795</v>
      </c>
      <c r="D1784" s="5" t="s">
        <v>6636</v>
      </c>
      <c r="E1784" s="8">
        <f>vlookup(B1784,Filmes_final!$B$2:$U$1001,20,FALSE)</f>
        <v>16113780</v>
      </c>
      <c r="F1784" s="5">
        <f>vlookup(B1784,Filmes_final!$B$2:$U$1001,3,FALSE)</f>
        <v>1953</v>
      </c>
      <c r="G1784" s="5" t="str">
        <f>vlookup(B1784,Filmes_final!$B$2:$U$1001,13,FALSE)</f>
        <v>Billy Wilder</v>
      </c>
    </row>
    <row r="1785">
      <c r="A1785" s="5">
        <v>446.0</v>
      </c>
      <c r="B1785" s="5" t="s">
        <v>2833</v>
      </c>
      <c r="C1785" s="5" t="s">
        <v>2836</v>
      </c>
      <c r="D1785" s="5" t="s">
        <v>6637</v>
      </c>
      <c r="E1785" s="8">
        <f>vlookup(B1785,Filmes_final!$B$2:$U$1001,20,FALSE)</f>
        <v>16113780</v>
      </c>
      <c r="F1785" s="5">
        <f>vlookup(B1785,Filmes_final!$B$2:$U$1001,3,FALSE)</f>
        <v>1953</v>
      </c>
      <c r="G1785" s="5" t="str">
        <f>vlookup(B1785,Filmes_final!$B$2:$U$1001,13,FALSE)</f>
        <v>Billy Wilder</v>
      </c>
    </row>
    <row r="1786">
      <c r="A1786" s="5">
        <v>447.0</v>
      </c>
      <c r="B1786" s="5" t="s">
        <v>2837</v>
      </c>
      <c r="C1786" s="5" t="s">
        <v>1278</v>
      </c>
      <c r="D1786" s="5" t="s">
        <v>6634</v>
      </c>
      <c r="E1786" s="8">
        <f>vlookup(B1786,Filmes_final!$B$2:$U$1001,20,FALSE)</f>
        <v>14547237</v>
      </c>
      <c r="F1786" s="5">
        <f>vlookup(B1786,Filmes_final!$B$2:$U$1001,3,FALSE)</f>
        <v>1953</v>
      </c>
      <c r="G1786" s="5" t="str">
        <f>vlookup(B1786,Filmes_final!$B$2:$U$1001,13,FALSE)</f>
        <v>William Wyler</v>
      </c>
    </row>
    <row r="1787">
      <c r="A1787" s="5">
        <v>447.0</v>
      </c>
      <c r="B1787" s="5" t="s">
        <v>2837</v>
      </c>
      <c r="C1787" s="5" t="s">
        <v>2839</v>
      </c>
      <c r="D1787" s="5" t="s">
        <v>6635</v>
      </c>
      <c r="E1787" s="8">
        <f>vlookup(B1787,Filmes_final!$B$2:$U$1001,20,FALSE)</f>
        <v>14547237</v>
      </c>
      <c r="F1787" s="5">
        <f>vlookup(B1787,Filmes_final!$B$2:$U$1001,3,FALSE)</f>
        <v>1953</v>
      </c>
      <c r="G1787" s="5" t="str">
        <f>vlookup(B1787,Filmes_final!$B$2:$U$1001,13,FALSE)</f>
        <v>William Wyler</v>
      </c>
    </row>
    <row r="1788">
      <c r="A1788" s="5">
        <v>447.0</v>
      </c>
      <c r="B1788" s="5" t="s">
        <v>2837</v>
      </c>
      <c r="C1788" s="5" t="s">
        <v>2840</v>
      </c>
      <c r="D1788" s="5" t="s">
        <v>6636</v>
      </c>
      <c r="E1788" s="8">
        <f>vlookup(B1788,Filmes_final!$B$2:$U$1001,20,FALSE)</f>
        <v>14547237</v>
      </c>
      <c r="F1788" s="5">
        <f>vlookup(B1788,Filmes_final!$B$2:$U$1001,3,FALSE)</f>
        <v>1953</v>
      </c>
      <c r="G1788" s="5" t="str">
        <f>vlookup(B1788,Filmes_final!$B$2:$U$1001,13,FALSE)</f>
        <v>William Wyler</v>
      </c>
    </row>
    <row r="1789">
      <c r="A1789" s="5">
        <v>447.0</v>
      </c>
      <c r="B1789" s="5" t="s">
        <v>2837</v>
      </c>
      <c r="C1789" s="5" t="s">
        <v>2841</v>
      </c>
      <c r="D1789" s="5" t="s">
        <v>6637</v>
      </c>
      <c r="E1789" s="8">
        <f>vlookup(B1789,Filmes_final!$B$2:$U$1001,20,FALSE)</f>
        <v>14547237</v>
      </c>
      <c r="F1789" s="5">
        <f>vlookup(B1789,Filmes_final!$B$2:$U$1001,3,FALSE)</f>
        <v>1953</v>
      </c>
      <c r="G1789" s="5" t="str">
        <f>vlookup(B1789,Filmes_final!$B$2:$U$1001,13,FALSE)</f>
        <v>William Wyler</v>
      </c>
    </row>
    <row r="1790">
      <c r="A1790" s="5">
        <v>448.0</v>
      </c>
      <c r="B1790" s="5" t="s">
        <v>2842</v>
      </c>
      <c r="C1790" s="5" t="s">
        <v>2095</v>
      </c>
      <c r="D1790" s="5" t="s">
        <v>6634</v>
      </c>
      <c r="E1790" s="8">
        <f>vlookup(B1790,Filmes_final!$B$2:$U$1001,20,FALSE)</f>
        <v>81250709</v>
      </c>
      <c r="F1790" s="5">
        <f>vlookup(B1790,Filmes_final!$B$2:$U$1001,3,FALSE)</f>
        <v>1951</v>
      </c>
      <c r="G1790" s="5" t="str">
        <f>vlookup(B1790,Filmes_final!$B$2:$U$1001,13,FALSE)</f>
        <v>Elia Kazan</v>
      </c>
    </row>
    <row r="1791">
      <c r="A1791" s="5">
        <v>448.0</v>
      </c>
      <c r="B1791" s="5" t="s">
        <v>2842</v>
      </c>
      <c r="C1791" s="5" t="s">
        <v>32</v>
      </c>
      <c r="D1791" s="5" t="s">
        <v>6635</v>
      </c>
      <c r="E1791" s="8">
        <f>vlookup(B1791,Filmes_final!$B$2:$U$1001,20,FALSE)</f>
        <v>81250709</v>
      </c>
      <c r="F1791" s="5">
        <f>vlookup(B1791,Filmes_final!$B$2:$U$1001,3,FALSE)</f>
        <v>1951</v>
      </c>
      <c r="G1791" s="5" t="str">
        <f>vlookup(B1791,Filmes_final!$B$2:$U$1001,13,FALSE)</f>
        <v>Elia Kazan</v>
      </c>
    </row>
    <row r="1792">
      <c r="A1792" s="5">
        <v>448.0</v>
      </c>
      <c r="B1792" s="5" t="s">
        <v>2842</v>
      </c>
      <c r="C1792" s="5" t="s">
        <v>2735</v>
      </c>
      <c r="D1792" s="5" t="s">
        <v>6636</v>
      </c>
      <c r="E1792" s="8">
        <f>vlookup(B1792,Filmes_final!$B$2:$U$1001,20,FALSE)</f>
        <v>81250709</v>
      </c>
      <c r="F1792" s="5">
        <f>vlookup(B1792,Filmes_final!$B$2:$U$1001,3,FALSE)</f>
        <v>1951</v>
      </c>
      <c r="G1792" s="5" t="str">
        <f>vlookup(B1792,Filmes_final!$B$2:$U$1001,13,FALSE)</f>
        <v>Elia Kazan</v>
      </c>
    </row>
    <row r="1793">
      <c r="A1793" s="5">
        <v>448.0</v>
      </c>
      <c r="B1793" s="5" t="s">
        <v>2842</v>
      </c>
      <c r="C1793" s="5" t="s">
        <v>2037</v>
      </c>
      <c r="D1793" s="5" t="s">
        <v>6637</v>
      </c>
      <c r="E1793" s="8">
        <f>vlookup(B1793,Filmes_final!$B$2:$U$1001,20,FALSE)</f>
        <v>81250709</v>
      </c>
      <c r="F1793" s="5">
        <f>vlookup(B1793,Filmes_final!$B$2:$U$1001,3,FALSE)</f>
        <v>1951</v>
      </c>
      <c r="G1793" s="5" t="str">
        <f>vlookup(B1793,Filmes_final!$B$2:$U$1001,13,FALSE)</f>
        <v>Elia Kazan</v>
      </c>
    </row>
    <row r="1794">
      <c r="A1794" s="5">
        <v>449.0</v>
      </c>
      <c r="B1794" s="5" t="s">
        <v>2844</v>
      </c>
      <c r="C1794" s="5" t="s">
        <v>409</v>
      </c>
      <c r="D1794" s="5" t="s">
        <v>6634</v>
      </c>
      <c r="E1794" s="8">
        <f>vlookup(B1794,Filmes_final!$B$2:$U$1001,20,FALSE)</f>
        <v>235939</v>
      </c>
      <c r="F1794" s="5">
        <f>vlookup(B1794,Filmes_final!$B$2:$U$1001,3,FALSE)</f>
        <v>1950</v>
      </c>
      <c r="G1794" s="5" t="str">
        <f>vlookup(B1794,Filmes_final!$B$2:$U$1001,13,FALSE)</f>
        <v>Nicholas Ray</v>
      </c>
    </row>
    <row r="1795">
      <c r="A1795" s="5">
        <v>449.0</v>
      </c>
      <c r="B1795" s="5" t="s">
        <v>2844</v>
      </c>
      <c r="C1795" s="5" t="s">
        <v>2848</v>
      </c>
      <c r="D1795" s="5" t="s">
        <v>6635</v>
      </c>
      <c r="E1795" s="8">
        <f>vlookup(B1795,Filmes_final!$B$2:$U$1001,20,FALSE)</f>
        <v>235939</v>
      </c>
      <c r="F1795" s="5">
        <f>vlookup(B1795,Filmes_final!$B$2:$U$1001,3,FALSE)</f>
        <v>1950</v>
      </c>
      <c r="G1795" s="5" t="str">
        <f>vlookup(B1795,Filmes_final!$B$2:$U$1001,13,FALSE)</f>
        <v>Nicholas Ray</v>
      </c>
    </row>
    <row r="1796">
      <c r="A1796" s="5">
        <v>449.0</v>
      </c>
      <c r="B1796" s="5" t="s">
        <v>2844</v>
      </c>
      <c r="C1796" s="5" t="s">
        <v>2849</v>
      </c>
      <c r="D1796" s="5" t="s">
        <v>6636</v>
      </c>
      <c r="E1796" s="8">
        <f>vlookup(B1796,Filmes_final!$B$2:$U$1001,20,FALSE)</f>
        <v>235939</v>
      </c>
      <c r="F1796" s="5">
        <f>vlookup(B1796,Filmes_final!$B$2:$U$1001,3,FALSE)</f>
        <v>1950</v>
      </c>
      <c r="G1796" s="5" t="str">
        <f>vlookup(B1796,Filmes_final!$B$2:$U$1001,13,FALSE)</f>
        <v>Nicholas Ray</v>
      </c>
    </row>
    <row r="1797">
      <c r="A1797" s="5">
        <v>449.0</v>
      </c>
      <c r="B1797" s="5" t="s">
        <v>2844</v>
      </c>
      <c r="C1797" s="5" t="s">
        <v>2850</v>
      </c>
      <c r="D1797" s="5" t="s">
        <v>6637</v>
      </c>
      <c r="E1797" s="8">
        <f>vlookup(B1797,Filmes_final!$B$2:$U$1001,20,FALSE)</f>
        <v>235939</v>
      </c>
      <c r="F1797" s="5">
        <f>vlookup(B1797,Filmes_final!$B$2:$U$1001,3,FALSE)</f>
        <v>1950</v>
      </c>
      <c r="G1797" s="5" t="str">
        <f>vlookup(B1797,Filmes_final!$B$2:$U$1001,13,FALSE)</f>
        <v>Nicholas Ray</v>
      </c>
    </row>
    <row r="1798">
      <c r="A1798" s="5">
        <v>450.0</v>
      </c>
      <c r="B1798" s="5" t="s">
        <v>2851</v>
      </c>
      <c r="C1798" s="5" t="s">
        <v>2854</v>
      </c>
      <c r="D1798" s="5" t="s">
        <v>6634</v>
      </c>
      <c r="E1798" s="8">
        <f>vlookup(B1798,Filmes_final!$B$2:$U$1001,20,FALSE)</f>
        <v>1564841</v>
      </c>
      <c r="F1798" s="5">
        <f>vlookup(B1798,Filmes_final!$B$2:$U$1001,3,FALSE)</f>
        <v>1949</v>
      </c>
      <c r="G1798" s="5" t="str">
        <f>vlookup(B1798,Filmes_final!$B$2:$U$1001,13,FALSE)</f>
        <v>Robert Hamer</v>
      </c>
    </row>
    <row r="1799">
      <c r="A1799" s="5">
        <v>450.0</v>
      </c>
      <c r="B1799" s="5" t="s">
        <v>2851</v>
      </c>
      <c r="C1799" s="5" t="s">
        <v>252</v>
      </c>
      <c r="D1799" s="5" t="s">
        <v>6635</v>
      </c>
      <c r="E1799" s="8">
        <f>vlookup(B1799,Filmes_final!$B$2:$U$1001,20,FALSE)</f>
        <v>1564841</v>
      </c>
      <c r="F1799" s="5">
        <f>vlookup(B1799,Filmes_final!$B$2:$U$1001,3,FALSE)</f>
        <v>1949</v>
      </c>
      <c r="G1799" s="5" t="str">
        <f>vlookup(B1799,Filmes_final!$B$2:$U$1001,13,FALSE)</f>
        <v>Robert Hamer</v>
      </c>
    </row>
    <row r="1800">
      <c r="A1800" s="5">
        <v>450.0</v>
      </c>
      <c r="B1800" s="5" t="s">
        <v>2851</v>
      </c>
      <c r="C1800" s="5" t="s">
        <v>2855</v>
      </c>
      <c r="D1800" s="5" t="s">
        <v>6636</v>
      </c>
      <c r="E1800" s="8">
        <f>vlookup(B1800,Filmes_final!$B$2:$U$1001,20,FALSE)</f>
        <v>1564841</v>
      </c>
      <c r="F1800" s="5">
        <f>vlookup(B1800,Filmes_final!$B$2:$U$1001,3,FALSE)</f>
        <v>1949</v>
      </c>
      <c r="G1800" s="5" t="str">
        <f>vlookup(B1800,Filmes_final!$B$2:$U$1001,13,FALSE)</f>
        <v>Robert Hamer</v>
      </c>
    </row>
    <row r="1801">
      <c r="A1801" s="5">
        <v>450.0</v>
      </c>
      <c r="B1801" s="5" t="s">
        <v>2851</v>
      </c>
      <c r="C1801" s="5" t="s">
        <v>2856</v>
      </c>
      <c r="D1801" s="5" t="s">
        <v>6637</v>
      </c>
      <c r="E1801" s="8">
        <f>vlookup(B1801,Filmes_final!$B$2:$U$1001,20,FALSE)</f>
        <v>1564841</v>
      </c>
      <c r="F1801" s="5">
        <f>vlookup(B1801,Filmes_final!$B$2:$U$1001,3,FALSE)</f>
        <v>1949</v>
      </c>
      <c r="G1801" s="5" t="str">
        <f>vlookup(B1801,Filmes_final!$B$2:$U$1001,13,FALSE)</f>
        <v>Robert Hamer</v>
      </c>
    </row>
    <row r="1802">
      <c r="A1802" s="5">
        <v>451.0</v>
      </c>
      <c r="B1802" s="5" t="s">
        <v>2857</v>
      </c>
      <c r="C1802" s="5" t="s">
        <v>274</v>
      </c>
      <c r="D1802" s="5" t="s">
        <v>6634</v>
      </c>
      <c r="E1802" s="8">
        <f>vlookup(B1802,Filmes_final!$B$2:$U$1001,20,FALSE)</f>
        <v>115271</v>
      </c>
      <c r="F1802" s="5">
        <f>vlookup(B1802,Filmes_final!$B$2:$U$1001,3,FALSE)</f>
        <v>1948</v>
      </c>
      <c r="G1802" s="5" t="str">
        <f>vlookup(B1802,Filmes_final!$B$2:$U$1001,13,FALSE)</f>
        <v>Alfred Hitchcock</v>
      </c>
    </row>
    <row r="1803">
      <c r="A1803" s="5">
        <v>451.0</v>
      </c>
      <c r="B1803" s="5" t="s">
        <v>2857</v>
      </c>
      <c r="C1803" s="5" t="s">
        <v>2860</v>
      </c>
      <c r="D1803" s="5" t="s">
        <v>6635</v>
      </c>
      <c r="E1803" s="8">
        <f>vlookup(B1803,Filmes_final!$B$2:$U$1001,20,FALSE)</f>
        <v>115271</v>
      </c>
      <c r="F1803" s="5">
        <f>vlookup(B1803,Filmes_final!$B$2:$U$1001,3,FALSE)</f>
        <v>1948</v>
      </c>
      <c r="G1803" s="5" t="str">
        <f>vlookup(B1803,Filmes_final!$B$2:$U$1001,13,FALSE)</f>
        <v>Alfred Hitchcock</v>
      </c>
    </row>
    <row r="1804">
      <c r="A1804" s="5">
        <v>451.0</v>
      </c>
      <c r="B1804" s="5" t="s">
        <v>2857</v>
      </c>
      <c r="C1804" s="5" t="s">
        <v>2861</v>
      </c>
      <c r="D1804" s="5" t="s">
        <v>6636</v>
      </c>
      <c r="E1804" s="8">
        <f>vlookup(B1804,Filmes_final!$B$2:$U$1001,20,FALSE)</f>
        <v>115271</v>
      </c>
      <c r="F1804" s="5">
        <f>vlookup(B1804,Filmes_final!$B$2:$U$1001,3,FALSE)</f>
        <v>1948</v>
      </c>
      <c r="G1804" s="5" t="str">
        <f>vlookup(B1804,Filmes_final!$B$2:$U$1001,13,FALSE)</f>
        <v>Alfred Hitchcock</v>
      </c>
    </row>
    <row r="1805">
      <c r="A1805" s="5">
        <v>451.0</v>
      </c>
      <c r="B1805" s="5" t="s">
        <v>2857</v>
      </c>
      <c r="C1805" s="5" t="s">
        <v>2862</v>
      </c>
      <c r="D1805" s="5" t="s">
        <v>6637</v>
      </c>
      <c r="E1805" s="8">
        <f>vlookup(B1805,Filmes_final!$B$2:$U$1001,20,FALSE)</f>
        <v>115271</v>
      </c>
      <c r="F1805" s="5">
        <f>vlookup(B1805,Filmes_final!$B$2:$U$1001,3,FALSE)</f>
        <v>1948</v>
      </c>
      <c r="G1805" s="5" t="str">
        <f>vlookup(B1805,Filmes_final!$B$2:$U$1001,13,FALSE)</f>
        <v>Alfred Hitchcock</v>
      </c>
    </row>
    <row r="1806">
      <c r="A1806" s="5">
        <v>452.0</v>
      </c>
      <c r="B1806" s="5" t="s">
        <v>2863</v>
      </c>
      <c r="C1806" s="5" t="s">
        <v>2819</v>
      </c>
      <c r="D1806" s="5" t="s">
        <v>6634</v>
      </c>
      <c r="E1806" s="8">
        <f>vlookup(B1806,Filmes_final!$B$2:$U$1001,20,FALSE)</f>
        <v>0</v>
      </c>
      <c r="F1806" s="5">
        <f>vlookup(B1806,Filmes_final!$B$2:$U$1001,3,FALSE)</f>
        <v>1947</v>
      </c>
      <c r="G1806" s="5" t="str">
        <f>vlookup(B1806,Filmes_final!$B$2:$U$1001,13,FALSE)</f>
        <v>Jacques Tourneur</v>
      </c>
    </row>
    <row r="1807">
      <c r="A1807" s="5">
        <v>452.0</v>
      </c>
      <c r="B1807" s="5" t="s">
        <v>2863</v>
      </c>
      <c r="C1807" s="5" t="s">
        <v>2867</v>
      </c>
      <c r="D1807" s="5" t="s">
        <v>6635</v>
      </c>
      <c r="E1807" s="8">
        <f>vlookup(B1807,Filmes_final!$B$2:$U$1001,20,FALSE)</f>
        <v>0</v>
      </c>
      <c r="F1807" s="5">
        <f>vlookup(B1807,Filmes_final!$B$2:$U$1001,3,FALSE)</f>
        <v>1947</v>
      </c>
      <c r="G1807" s="5" t="str">
        <f>vlookup(B1807,Filmes_final!$B$2:$U$1001,13,FALSE)</f>
        <v>Jacques Tourneur</v>
      </c>
    </row>
    <row r="1808">
      <c r="A1808" s="5">
        <v>452.0</v>
      </c>
      <c r="B1808" s="5" t="s">
        <v>2863</v>
      </c>
      <c r="C1808" s="5" t="s">
        <v>617</v>
      </c>
      <c r="D1808" s="5" t="s">
        <v>6636</v>
      </c>
      <c r="E1808" s="8">
        <f>vlookup(B1808,Filmes_final!$B$2:$U$1001,20,FALSE)</f>
        <v>0</v>
      </c>
      <c r="F1808" s="5">
        <f>vlookup(B1808,Filmes_final!$B$2:$U$1001,3,FALSE)</f>
        <v>1947</v>
      </c>
      <c r="G1808" s="5" t="str">
        <f>vlookup(B1808,Filmes_final!$B$2:$U$1001,13,FALSE)</f>
        <v>Jacques Tourneur</v>
      </c>
    </row>
    <row r="1809">
      <c r="A1809" s="5">
        <v>452.0</v>
      </c>
      <c r="B1809" s="5" t="s">
        <v>2863</v>
      </c>
      <c r="C1809" s="5" t="s">
        <v>2868</v>
      </c>
      <c r="D1809" s="5" t="s">
        <v>6637</v>
      </c>
      <c r="E1809" s="8">
        <f>vlookup(B1809,Filmes_final!$B$2:$U$1001,20,FALSE)</f>
        <v>0</v>
      </c>
      <c r="F1809" s="5">
        <f>vlookup(B1809,Filmes_final!$B$2:$U$1001,3,FALSE)</f>
        <v>1947</v>
      </c>
      <c r="G1809" s="5" t="str">
        <f>vlookup(B1809,Filmes_final!$B$2:$U$1001,13,FALSE)</f>
        <v>Jacques Tourneur</v>
      </c>
    </row>
    <row r="1810">
      <c r="A1810" s="5">
        <v>453.0</v>
      </c>
      <c r="B1810" s="5" t="s">
        <v>2869</v>
      </c>
      <c r="C1810" s="5" t="s">
        <v>2871</v>
      </c>
      <c r="D1810" s="5" t="s">
        <v>6634</v>
      </c>
      <c r="E1810" s="8">
        <f>vlookup(B1810,Filmes_final!$B$2:$U$1001,20,FALSE)</f>
        <v>1556290</v>
      </c>
      <c r="F1810" s="5">
        <f>vlookup(B1810,Filmes_final!$B$2:$U$1001,3,FALSE)</f>
        <v>1945</v>
      </c>
      <c r="G1810" s="5" t="str">
        <f>vlookup(B1810,Filmes_final!$B$2:$U$1001,13,FALSE)</f>
        <v>David Lean</v>
      </c>
    </row>
    <row r="1811">
      <c r="A1811" s="5">
        <v>453.0</v>
      </c>
      <c r="B1811" s="5" t="s">
        <v>2869</v>
      </c>
      <c r="C1811" s="5" t="s">
        <v>2064</v>
      </c>
      <c r="D1811" s="5" t="s">
        <v>6635</v>
      </c>
      <c r="E1811" s="8">
        <f>vlookup(B1811,Filmes_final!$B$2:$U$1001,20,FALSE)</f>
        <v>1556290</v>
      </c>
      <c r="F1811" s="5">
        <f>vlookup(B1811,Filmes_final!$B$2:$U$1001,3,FALSE)</f>
        <v>1945</v>
      </c>
      <c r="G1811" s="5" t="str">
        <f>vlookup(B1811,Filmes_final!$B$2:$U$1001,13,FALSE)</f>
        <v>David Lean</v>
      </c>
    </row>
    <row r="1812">
      <c r="A1812" s="5">
        <v>453.0</v>
      </c>
      <c r="B1812" s="5" t="s">
        <v>2869</v>
      </c>
      <c r="C1812" s="5" t="s">
        <v>2872</v>
      </c>
      <c r="D1812" s="5" t="s">
        <v>6636</v>
      </c>
      <c r="E1812" s="8">
        <f>vlookup(B1812,Filmes_final!$B$2:$U$1001,20,FALSE)</f>
        <v>1556290</v>
      </c>
      <c r="F1812" s="5">
        <f>vlookup(B1812,Filmes_final!$B$2:$U$1001,3,FALSE)</f>
        <v>1945</v>
      </c>
      <c r="G1812" s="5" t="str">
        <f>vlookup(B1812,Filmes_final!$B$2:$U$1001,13,FALSE)</f>
        <v>David Lean</v>
      </c>
    </row>
    <row r="1813">
      <c r="A1813" s="5">
        <v>453.0</v>
      </c>
      <c r="B1813" s="5" t="s">
        <v>2869</v>
      </c>
      <c r="C1813" s="5" t="s">
        <v>2873</v>
      </c>
      <c r="D1813" s="5" t="s">
        <v>6637</v>
      </c>
      <c r="E1813" s="8">
        <f>vlookup(B1813,Filmes_final!$B$2:$U$1001,20,FALSE)</f>
        <v>1556290</v>
      </c>
      <c r="F1813" s="5">
        <f>vlookup(B1813,Filmes_final!$B$2:$U$1001,3,FALSE)</f>
        <v>1945</v>
      </c>
      <c r="G1813" s="5" t="str">
        <f>vlookup(B1813,Filmes_final!$B$2:$U$1001,13,FALSE)</f>
        <v>David Lean</v>
      </c>
    </row>
    <row r="1814">
      <c r="A1814" s="5">
        <v>454.0</v>
      </c>
      <c r="B1814" s="5" t="s">
        <v>2874</v>
      </c>
      <c r="C1814" s="5" t="s">
        <v>2876</v>
      </c>
      <c r="D1814" s="5" t="s">
        <v>6634</v>
      </c>
      <c r="E1814" s="8">
        <f>vlookup(B1814,Filmes_final!$B$2:$U$1001,20,FALSE)</f>
        <v>64641009</v>
      </c>
      <c r="F1814" s="5">
        <f>vlookup(B1814,Filmes_final!$B$2:$U$1001,3,FALSE)</f>
        <v>1944</v>
      </c>
      <c r="G1814" s="5" t="str">
        <f>vlookup(B1814,Filmes_final!$B$2:$U$1001,13,FALSE)</f>
        <v>Otto Preminger</v>
      </c>
    </row>
    <row r="1815">
      <c r="A1815" s="5">
        <v>454.0</v>
      </c>
      <c r="B1815" s="5" t="s">
        <v>2874</v>
      </c>
      <c r="C1815" s="5" t="s">
        <v>2877</v>
      </c>
      <c r="D1815" s="5" t="s">
        <v>6635</v>
      </c>
      <c r="E1815" s="8">
        <f>vlookup(B1815,Filmes_final!$B$2:$U$1001,20,FALSE)</f>
        <v>64641009</v>
      </c>
      <c r="F1815" s="5">
        <f>vlookup(B1815,Filmes_final!$B$2:$U$1001,3,FALSE)</f>
        <v>1944</v>
      </c>
      <c r="G1815" s="5" t="str">
        <f>vlookup(B1815,Filmes_final!$B$2:$U$1001,13,FALSE)</f>
        <v>Otto Preminger</v>
      </c>
    </row>
    <row r="1816">
      <c r="A1816" s="5">
        <v>454.0</v>
      </c>
      <c r="B1816" s="5" t="s">
        <v>2874</v>
      </c>
      <c r="C1816" s="5" t="s">
        <v>2878</v>
      </c>
      <c r="D1816" s="5" t="s">
        <v>6636</v>
      </c>
      <c r="E1816" s="8">
        <f>vlookup(B1816,Filmes_final!$B$2:$U$1001,20,FALSE)</f>
        <v>64641009</v>
      </c>
      <c r="F1816" s="5">
        <f>vlookup(B1816,Filmes_final!$B$2:$U$1001,3,FALSE)</f>
        <v>1944</v>
      </c>
      <c r="G1816" s="5" t="str">
        <f>vlookup(B1816,Filmes_final!$B$2:$U$1001,13,FALSE)</f>
        <v>Otto Preminger</v>
      </c>
    </row>
    <row r="1817">
      <c r="A1817" s="5">
        <v>454.0</v>
      </c>
      <c r="B1817" s="5" t="s">
        <v>2874</v>
      </c>
      <c r="C1817" s="5" t="s">
        <v>2879</v>
      </c>
      <c r="D1817" s="5" t="s">
        <v>6637</v>
      </c>
      <c r="E1817" s="8">
        <f>vlookup(B1817,Filmes_final!$B$2:$U$1001,20,FALSE)</f>
        <v>64641009</v>
      </c>
      <c r="F1817" s="5">
        <f>vlookup(B1817,Filmes_final!$B$2:$U$1001,3,FALSE)</f>
        <v>1944</v>
      </c>
      <c r="G1817" s="5" t="str">
        <f>vlookup(B1817,Filmes_final!$B$2:$U$1001,13,FALSE)</f>
        <v>Otto Preminger</v>
      </c>
    </row>
    <row r="1818">
      <c r="A1818" s="5">
        <v>455.0</v>
      </c>
      <c r="B1818" s="5" t="s">
        <v>2880</v>
      </c>
      <c r="C1818" s="5" t="s">
        <v>2882</v>
      </c>
      <c r="D1818" s="5" t="s">
        <v>6634</v>
      </c>
      <c r="E1818" s="8">
        <f>vlookup(B1818,Filmes_final!$B$2:$U$1001,20,FALSE)</f>
        <v>335220558</v>
      </c>
      <c r="F1818" s="5">
        <f>vlookup(B1818,Filmes_final!$B$2:$U$1001,3,FALSE)</f>
        <v>1946</v>
      </c>
      <c r="G1818" s="5" t="str">
        <f>vlookup(B1818,Filmes_final!$B$2:$U$1001,13,FALSE)</f>
        <v>William Wyler</v>
      </c>
    </row>
    <row r="1819">
      <c r="A1819" s="5">
        <v>455.0</v>
      </c>
      <c r="B1819" s="5" t="s">
        <v>2880</v>
      </c>
      <c r="C1819" s="5" t="s">
        <v>2877</v>
      </c>
      <c r="D1819" s="5" t="s">
        <v>6635</v>
      </c>
      <c r="E1819" s="8">
        <f>vlookup(B1819,Filmes_final!$B$2:$U$1001,20,FALSE)</f>
        <v>335220558</v>
      </c>
      <c r="F1819" s="5">
        <f>vlookup(B1819,Filmes_final!$B$2:$U$1001,3,FALSE)</f>
        <v>1946</v>
      </c>
      <c r="G1819" s="5" t="str">
        <f>vlookup(B1819,Filmes_final!$B$2:$U$1001,13,FALSE)</f>
        <v>William Wyler</v>
      </c>
    </row>
    <row r="1820">
      <c r="A1820" s="5">
        <v>455.0</v>
      </c>
      <c r="B1820" s="5" t="s">
        <v>2880</v>
      </c>
      <c r="C1820" s="5" t="s">
        <v>2000</v>
      </c>
      <c r="D1820" s="5" t="s">
        <v>6636</v>
      </c>
      <c r="E1820" s="8">
        <f>vlookup(B1820,Filmes_final!$B$2:$U$1001,20,FALSE)</f>
        <v>335220558</v>
      </c>
      <c r="F1820" s="5">
        <f>vlookup(B1820,Filmes_final!$B$2:$U$1001,3,FALSE)</f>
        <v>1946</v>
      </c>
      <c r="G1820" s="5" t="str">
        <f>vlookup(B1820,Filmes_final!$B$2:$U$1001,13,FALSE)</f>
        <v>William Wyler</v>
      </c>
    </row>
    <row r="1821">
      <c r="A1821" s="5">
        <v>455.0</v>
      </c>
      <c r="B1821" s="5" t="s">
        <v>2880</v>
      </c>
      <c r="C1821" s="5" t="s">
        <v>2883</v>
      </c>
      <c r="D1821" s="5" t="s">
        <v>6637</v>
      </c>
      <c r="E1821" s="8">
        <f>vlookup(B1821,Filmes_final!$B$2:$U$1001,20,FALSE)</f>
        <v>335220558</v>
      </c>
      <c r="F1821" s="5">
        <f>vlookup(B1821,Filmes_final!$B$2:$U$1001,3,FALSE)</f>
        <v>1946</v>
      </c>
      <c r="G1821" s="5" t="str">
        <f>vlookup(B1821,Filmes_final!$B$2:$U$1001,13,FALSE)</f>
        <v>William Wyler</v>
      </c>
    </row>
    <row r="1822">
      <c r="A1822" s="5">
        <v>456.0</v>
      </c>
      <c r="B1822" s="5" t="s">
        <v>2884</v>
      </c>
      <c r="C1822" s="5" t="s">
        <v>873</v>
      </c>
      <c r="D1822" s="5" t="s">
        <v>6634</v>
      </c>
      <c r="E1822" s="8">
        <f>vlookup(B1822,Filmes_final!$B$2:$U$1001,20,FALSE)</f>
        <v>19126003</v>
      </c>
      <c r="F1822" s="5">
        <f>vlookup(B1822,Filmes_final!$B$2:$U$1001,3,FALSE)</f>
        <v>1942</v>
      </c>
      <c r="G1822" s="5" t="str">
        <f>vlookup(B1822,Filmes_final!$B$2:$U$1001,13,FALSE)</f>
        <v>Frank Capra</v>
      </c>
    </row>
    <row r="1823">
      <c r="A1823" s="5">
        <v>456.0</v>
      </c>
      <c r="B1823" s="5" t="s">
        <v>2884</v>
      </c>
      <c r="C1823" s="5" t="s">
        <v>2887</v>
      </c>
      <c r="D1823" s="5" t="s">
        <v>6635</v>
      </c>
      <c r="E1823" s="8">
        <f>vlookup(B1823,Filmes_final!$B$2:$U$1001,20,FALSE)</f>
        <v>19126003</v>
      </c>
      <c r="F1823" s="5">
        <f>vlookup(B1823,Filmes_final!$B$2:$U$1001,3,FALSE)</f>
        <v>1942</v>
      </c>
      <c r="G1823" s="5" t="str">
        <f>vlookup(B1823,Filmes_final!$B$2:$U$1001,13,FALSE)</f>
        <v>Frank Capra</v>
      </c>
    </row>
    <row r="1824">
      <c r="A1824" s="5">
        <v>456.0</v>
      </c>
      <c r="B1824" s="5" t="s">
        <v>2884</v>
      </c>
      <c r="C1824" s="5" t="s">
        <v>2888</v>
      </c>
      <c r="D1824" s="5" t="s">
        <v>6636</v>
      </c>
      <c r="E1824" s="8">
        <f>vlookup(B1824,Filmes_final!$B$2:$U$1001,20,FALSE)</f>
        <v>19126003</v>
      </c>
      <c r="F1824" s="5">
        <f>vlookup(B1824,Filmes_final!$B$2:$U$1001,3,FALSE)</f>
        <v>1942</v>
      </c>
      <c r="G1824" s="5" t="str">
        <f>vlookup(B1824,Filmes_final!$B$2:$U$1001,13,FALSE)</f>
        <v>Frank Capra</v>
      </c>
    </row>
    <row r="1825">
      <c r="A1825" s="5">
        <v>456.0</v>
      </c>
      <c r="B1825" s="5" t="s">
        <v>2884</v>
      </c>
      <c r="C1825" s="5" t="s">
        <v>2806</v>
      </c>
      <c r="D1825" s="5" t="s">
        <v>6637</v>
      </c>
      <c r="E1825" s="8">
        <f>vlookup(B1825,Filmes_final!$B$2:$U$1001,20,FALSE)</f>
        <v>19126003</v>
      </c>
      <c r="F1825" s="5">
        <f>vlookup(B1825,Filmes_final!$B$2:$U$1001,3,FALSE)</f>
        <v>1942</v>
      </c>
      <c r="G1825" s="5" t="str">
        <f>vlookup(B1825,Filmes_final!$B$2:$U$1001,13,FALSE)</f>
        <v>Frank Capra</v>
      </c>
    </row>
    <row r="1826">
      <c r="A1826" s="5">
        <v>457.0</v>
      </c>
      <c r="B1826" s="5" t="s">
        <v>2889</v>
      </c>
      <c r="C1826" s="5" t="s">
        <v>409</v>
      </c>
      <c r="D1826" s="5" t="s">
        <v>6634</v>
      </c>
      <c r="E1826" s="8">
        <f>vlookup(B1826,Filmes_final!$B$2:$U$1001,20,FALSE)</f>
        <v>38568677</v>
      </c>
      <c r="F1826" s="5">
        <f>vlookup(B1826,Filmes_final!$B$2:$U$1001,3,FALSE)</f>
        <v>1941</v>
      </c>
      <c r="G1826" s="5" t="str">
        <f>vlookup(B1826,Filmes_final!$B$2:$U$1001,13,FALSE)</f>
        <v>John Huston</v>
      </c>
    </row>
    <row r="1827">
      <c r="A1827" s="5">
        <v>457.0</v>
      </c>
      <c r="B1827" s="5" t="s">
        <v>2889</v>
      </c>
      <c r="C1827" s="5" t="s">
        <v>2893</v>
      </c>
      <c r="D1827" s="5" t="s">
        <v>6635</v>
      </c>
      <c r="E1827" s="8">
        <f>vlookup(B1827,Filmes_final!$B$2:$U$1001,20,FALSE)</f>
        <v>38568677</v>
      </c>
      <c r="F1827" s="5">
        <f>vlookup(B1827,Filmes_final!$B$2:$U$1001,3,FALSE)</f>
        <v>1941</v>
      </c>
      <c r="G1827" s="5" t="str">
        <f>vlookup(B1827,Filmes_final!$B$2:$U$1001,13,FALSE)</f>
        <v>John Huston</v>
      </c>
    </row>
    <row r="1828">
      <c r="A1828" s="5">
        <v>457.0</v>
      </c>
      <c r="B1828" s="5" t="s">
        <v>2889</v>
      </c>
      <c r="C1828" s="5" t="s">
        <v>2894</v>
      </c>
      <c r="D1828" s="5" t="s">
        <v>6636</v>
      </c>
      <c r="E1828" s="8">
        <f>vlookup(B1828,Filmes_final!$B$2:$U$1001,20,FALSE)</f>
        <v>38568677</v>
      </c>
      <c r="F1828" s="5">
        <f>vlookup(B1828,Filmes_final!$B$2:$U$1001,3,FALSE)</f>
        <v>1941</v>
      </c>
      <c r="G1828" s="5" t="str">
        <f>vlookup(B1828,Filmes_final!$B$2:$U$1001,13,FALSE)</f>
        <v>John Huston</v>
      </c>
    </row>
    <row r="1829">
      <c r="A1829" s="5">
        <v>457.0</v>
      </c>
      <c r="B1829" s="5" t="s">
        <v>2889</v>
      </c>
      <c r="C1829" s="5" t="s">
        <v>923</v>
      </c>
      <c r="D1829" s="5" t="s">
        <v>6637</v>
      </c>
      <c r="E1829" s="8">
        <f>vlookup(B1829,Filmes_final!$B$2:$U$1001,20,FALSE)</f>
        <v>38568677</v>
      </c>
      <c r="F1829" s="5">
        <f>vlookup(B1829,Filmes_final!$B$2:$U$1001,3,FALSE)</f>
        <v>1941</v>
      </c>
      <c r="G1829" s="5" t="str">
        <f>vlookup(B1829,Filmes_final!$B$2:$U$1001,13,FALSE)</f>
        <v>John Huston</v>
      </c>
    </row>
    <row r="1830">
      <c r="A1830" s="5">
        <v>458.0</v>
      </c>
      <c r="B1830" s="5" t="s">
        <v>2895</v>
      </c>
      <c r="C1830" s="5" t="s">
        <v>56</v>
      </c>
      <c r="D1830" s="5" t="s">
        <v>6634</v>
      </c>
      <c r="E1830" s="8">
        <f>vlookup(B1830,Filmes_final!$B$2:$U$1001,20,FALSE)</f>
        <v>1021</v>
      </c>
      <c r="F1830" s="5">
        <f>vlookup(B1830,Filmes_final!$B$2:$U$1001,3,FALSE)</f>
        <v>1940</v>
      </c>
      <c r="G1830" s="5" t="str">
        <f>vlookup(B1830,Filmes_final!$B$2:$U$1001,13,FALSE)</f>
        <v>John Ford</v>
      </c>
    </row>
    <row r="1831">
      <c r="A1831" s="5">
        <v>458.0</v>
      </c>
      <c r="B1831" s="5" t="s">
        <v>2895</v>
      </c>
      <c r="C1831" s="5" t="s">
        <v>2897</v>
      </c>
      <c r="D1831" s="5" t="s">
        <v>6635</v>
      </c>
      <c r="E1831" s="8">
        <f>vlookup(B1831,Filmes_final!$B$2:$U$1001,20,FALSE)</f>
        <v>1021</v>
      </c>
      <c r="F1831" s="5">
        <f>vlookup(B1831,Filmes_final!$B$2:$U$1001,3,FALSE)</f>
        <v>1940</v>
      </c>
      <c r="G1831" s="5" t="str">
        <f>vlookup(B1831,Filmes_final!$B$2:$U$1001,13,FALSE)</f>
        <v>John Ford</v>
      </c>
    </row>
    <row r="1832">
      <c r="A1832" s="5">
        <v>458.0</v>
      </c>
      <c r="B1832" s="5" t="s">
        <v>2895</v>
      </c>
      <c r="C1832" s="5" t="s">
        <v>2898</v>
      </c>
      <c r="D1832" s="5" t="s">
        <v>6636</v>
      </c>
      <c r="E1832" s="8">
        <f>vlookup(B1832,Filmes_final!$B$2:$U$1001,20,FALSE)</f>
        <v>1021</v>
      </c>
      <c r="F1832" s="5">
        <f>vlookup(B1832,Filmes_final!$B$2:$U$1001,3,FALSE)</f>
        <v>1940</v>
      </c>
      <c r="G1832" s="5" t="str">
        <f>vlookup(B1832,Filmes_final!$B$2:$U$1001,13,FALSE)</f>
        <v>John Ford</v>
      </c>
    </row>
    <row r="1833">
      <c r="A1833" s="5">
        <v>458.0</v>
      </c>
      <c r="B1833" s="5" t="s">
        <v>2895</v>
      </c>
      <c r="C1833" s="5" t="s">
        <v>2899</v>
      </c>
      <c r="D1833" s="5" t="s">
        <v>6637</v>
      </c>
      <c r="E1833" s="8">
        <f>vlookup(B1833,Filmes_final!$B$2:$U$1001,20,FALSE)</f>
        <v>1021</v>
      </c>
      <c r="F1833" s="5">
        <f>vlookup(B1833,Filmes_final!$B$2:$U$1001,3,FALSE)</f>
        <v>1940</v>
      </c>
      <c r="G1833" s="5" t="str">
        <f>vlookup(B1833,Filmes_final!$B$2:$U$1001,13,FALSE)</f>
        <v>John Ford</v>
      </c>
    </row>
    <row r="1834">
      <c r="A1834" s="5">
        <v>459.0</v>
      </c>
      <c r="B1834" s="5" t="s">
        <v>2900</v>
      </c>
      <c r="C1834" s="5" t="s">
        <v>2092</v>
      </c>
      <c r="D1834" s="5" t="s">
        <v>6634</v>
      </c>
      <c r="E1834" s="8">
        <f>vlookup(B1834,Filmes_final!$B$2:$U$1001,20,FALSE)</f>
        <v>38253783</v>
      </c>
      <c r="F1834" s="5">
        <f>vlookup(B1834,Filmes_final!$B$2:$U$1001,3,FALSE)</f>
        <v>1939</v>
      </c>
      <c r="G1834" s="5" t="str">
        <f>vlookup(B1834,Filmes_final!$B$2:$U$1001,13,FALSE)</f>
        <v>Victor Fleming</v>
      </c>
    </row>
    <row r="1835">
      <c r="A1835" s="5">
        <v>459.0</v>
      </c>
      <c r="B1835" s="5" t="s">
        <v>2900</v>
      </c>
      <c r="C1835" s="5" t="s">
        <v>2902</v>
      </c>
      <c r="D1835" s="5" t="s">
        <v>6635</v>
      </c>
      <c r="E1835" s="8">
        <f>vlookup(B1835,Filmes_final!$B$2:$U$1001,20,FALSE)</f>
        <v>38253783</v>
      </c>
      <c r="F1835" s="5">
        <f>vlookup(B1835,Filmes_final!$B$2:$U$1001,3,FALSE)</f>
        <v>1939</v>
      </c>
      <c r="G1835" s="5" t="str">
        <f>vlookup(B1835,Filmes_final!$B$2:$U$1001,13,FALSE)</f>
        <v>Victor Fleming</v>
      </c>
    </row>
    <row r="1836">
      <c r="A1836" s="5">
        <v>459.0</v>
      </c>
      <c r="B1836" s="5" t="s">
        <v>2900</v>
      </c>
      <c r="C1836" s="5" t="s">
        <v>2903</v>
      </c>
      <c r="D1836" s="5" t="s">
        <v>6636</v>
      </c>
      <c r="E1836" s="8">
        <f>vlookup(B1836,Filmes_final!$B$2:$U$1001,20,FALSE)</f>
        <v>38253783</v>
      </c>
      <c r="F1836" s="5">
        <f>vlookup(B1836,Filmes_final!$B$2:$U$1001,3,FALSE)</f>
        <v>1939</v>
      </c>
      <c r="G1836" s="5" t="str">
        <f>vlookup(B1836,Filmes_final!$B$2:$U$1001,13,FALSE)</f>
        <v>Victor Fleming</v>
      </c>
    </row>
    <row r="1837">
      <c r="A1837" s="5">
        <v>459.0</v>
      </c>
      <c r="B1837" s="5" t="s">
        <v>2900</v>
      </c>
      <c r="C1837" s="5" t="s">
        <v>2904</v>
      </c>
      <c r="D1837" s="5" t="s">
        <v>6637</v>
      </c>
      <c r="E1837" s="8">
        <f>vlookup(B1837,Filmes_final!$B$2:$U$1001,20,FALSE)</f>
        <v>38253783</v>
      </c>
      <c r="F1837" s="5">
        <f>vlookup(B1837,Filmes_final!$B$2:$U$1001,3,FALSE)</f>
        <v>1939</v>
      </c>
      <c r="G1837" s="5" t="str">
        <f>vlookup(B1837,Filmes_final!$B$2:$U$1001,13,FALSE)</f>
        <v>Victor Fleming</v>
      </c>
    </row>
    <row r="1838">
      <c r="A1838" s="5">
        <v>460.0</v>
      </c>
      <c r="B1838" s="5" t="s">
        <v>2905</v>
      </c>
      <c r="C1838" s="5" t="s">
        <v>2907</v>
      </c>
      <c r="D1838" s="5" t="s">
        <v>6634</v>
      </c>
      <c r="E1838" s="8">
        <f>vlookup(B1838,Filmes_final!$B$2:$U$1001,20,FALSE)</f>
        <v>5042246</v>
      </c>
      <c r="F1838" s="5">
        <f>vlookup(B1838,Filmes_final!$B$2:$U$1001,3,FALSE)</f>
        <v>1939</v>
      </c>
      <c r="G1838" s="5" t="str">
        <f>vlookup(B1838,Filmes_final!$B$2:$U$1001,13,FALSE)</f>
        <v>Jean Renoir</v>
      </c>
    </row>
    <row r="1839">
      <c r="A1839" s="5">
        <v>460.0</v>
      </c>
      <c r="B1839" s="5" t="s">
        <v>2905</v>
      </c>
      <c r="C1839" s="5" t="s">
        <v>2908</v>
      </c>
      <c r="D1839" s="5" t="s">
        <v>6635</v>
      </c>
      <c r="E1839" s="8">
        <f>vlookup(B1839,Filmes_final!$B$2:$U$1001,20,FALSE)</f>
        <v>5042246</v>
      </c>
      <c r="F1839" s="5">
        <f>vlookup(B1839,Filmes_final!$B$2:$U$1001,3,FALSE)</f>
        <v>1939</v>
      </c>
      <c r="G1839" s="5" t="str">
        <f>vlookup(B1839,Filmes_final!$B$2:$U$1001,13,FALSE)</f>
        <v>Jean Renoir</v>
      </c>
    </row>
    <row r="1840">
      <c r="A1840" s="5">
        <v>460.0</v>
      </c>
      <c r="B1840" s="5" t="s">
        <v>2905</v>
      </c>
      <c r="C1840" s="5" t="s">
        <v>2909</v>
      </c>
      <c r="D1840" s="5" t="s">
        <v>6636</v>
      </c>
      <c r="E1840" s="8">
        <f>vlookup(B1840,Filmes_final!$B$2:$U$1001,20,FALSE)</f>
        <v>5042246</v>
      </c>
      <c r="F1840" s="5">
        <f>vlookup(B1840,Filmes_final!$B$2:$U$1001,3,FALSE)</f>
        <v>1939</v>
      </c>
      <c r="G1840" s="5" t="str">
        <f>vlookup(B1840,Filmes_final!$B$2:$U$1001,13,FALSE)</f>
        <v>Jean Renoir</v>
      </c>
    </row>
    <row r="1841">
      <c r="A1841" s="5">
        <v>460.0</v>
      </c>
      <c r="B1841" s="5" t="s">
        <v>2905</v>
      </c>
      <c r="C1841" s="5" t="s">
        <v>2910</v>
      </c>
      <c r="D1841" s="5" t="s">
        <v>6637</v>
      </c>
      <c r="E1841" s="8">
        <f>vlookup(B1841,Filmes_final!$B$2:$U$1001,20,FALSE)</f>
        <v>5042246</v>
      </c>
      <c r="F1841" s="5">
        <f>vlookup(B1841,Filmes_final!$B$2:$U$1001,3,FALSE)</f>
        <v>1939</v>
      </c>
      <c r="G1841" s="5" t="str">
        <f>vlookup(B1841,Filmes_final!$B$2:$U$1001,13,FALSE)</f>
        <v>Jean Renoir</v>
      </c>
    </row>
    <row r="1842">
      <c r="A1842" s="5">
        <v>461.0</v>
      </c>
      <c r="B1842" s="5" t="s">
        <v>2911</v>
      </c>
      <c r="C1842" s="5" t="s">
        <v>2915</v>
      </c>
      <c r="D1842" s="5" t="s">
        <v>6634</v>
      </c>
      <c r="E1842" s="8">
        <f>vlookup(B1842,Filmes_final!$B$2:$U$1001,20,FALSE)</f>
        <v>4424750</v>
      </c>
      <c r="F1842" s="5">
        <f>vlookup(B1842,Filmes_final!$B$2:$U$1001,3,FALSE)</f>
        <v>1934</v>
      </c>
      <c r="G1842" s="5" t="str">
        <f>vlookup(B1842,Filmes_final!$B$2:$U$1001,13,FALSE)</f>
        <v>W.S. Van Dyke</v>
      </c>
    </row>
    <row r="1843">
      <c r="A1843" s="5">
        <v>461.0</v>
      </c>
      <c r="B1843" s="5" t="s">
        <v>2911</v>
      </c>
      <c r="C1843" s="5" t="s">
        <v>2882</v>
      </c>
      <c r="D1843" s="5" t="s">
        <v>6635</v>
      </c>
      <c r="E1843" s="8">
        <f>vlookup(B1843,Filmes_final!$B$2:$U$1001,20,FALSE)</f>
        <v>4424750</v>
      </c>
      <c r="F1843" s="5">
        <f>vlookup(B1843,Filmes_final!$B$2:$U$1001,3,FALSE)</f>
        <v>1934</v>
      </c>
      <c r="G1843" s="5" t="str">
        <f>vlookup(B1843,Filmes_final!$B$2:$U$1001,13,FALSE)</f>
        <v>W.S. Van Dyke</v>
      </c>
    </row>
    <row r="1844">
      <c r="A1844" s="5">
        <v>461.0</v>
      </c>
      <c r="B1844" s="5" t="s">
        <v>2911</v>
      </c>
      <c r="C1844" s="5" t="s">
        <v>2916</v>
      </c>
      <c r="D1844" s="5" t="s">
        <v>6636</v>
      </c>
      <c r="E1844" s="8">
        <f>vlookup(B1844,Filmes_final!$B$2:$U$1001,20,FALSE)</f>
        <v>4424750</v>
      </c>
      <c r="F1844" s="5">
        <f>vlookup(B1844,Filmes_final!$B$2:$U$1001,3,FALSE)</f>
        <v>1934</v>
      </c>
      <c r="G1844" s="5" t="str">
        <f>vlookup(B1844,Filmes_final!$B$2:$U$1001,13,FALSE)</f>
        <v>W.S. Van Dyke</v>
      </c>
    </row>
    <row r="1845">
      <c r="A1845" s="5">
        <v>461.0</v>
      </c>
      <c r="B1845" s="5" t="s">
        <v>2911</v>
      </c>
      <c r="C1845" s="5" t="s">
        <v>2917</v>
      </c>
      <c r="D1845" s="5" t="s">
        <v>6637</v>
      </c>
      <c r="E1845" s="8">
        <f>vlookup(B1845,Filmes_final!$B$2:$U$1001,20,FALSE)</f>
        <v>4424750</v>
      </c>
      <c r="F1845" s="5">
        <f>vlookup(B1845,Filmes_final!$B$2:$U$1001,3,FALSE)</f>
        <v>1934</v>
      </c>
      <c r="G1845" s="5" t="str">
        <f>vlookup(B1845,Filmes_final!$B$2:$U$1001,13,FALSE)</f>
        <v>W.S. Van Dyke</v>
      </c>
    </row>
    <row r="1846">
      <c r="A1846" s="5">
        <v>462.0</v>
      </c>
      <c r="B1846" s="5" t="s">
        <v>2918</v>
      </c>
      <c r="C1846" s="5" t="s">
        <v>2921</v>
      </c>
      <c r="D1846" s="5" t="s">
        <v>6634</v>
      </c>
      <c r="E1846" s="8">
        <f>vlookup(B1846,Filmes_final!$B$2:$U$1001,20,FALSE)</f>
        <v>49331296</v>
      </c>
      <c r="F1846" s="5">
        <f>vlookup(B1846,Filmes_final!$B$2:$U$1001,3,FALSE)</f>
        <v>1930</v>
      </c>
      <c r="G1846" s="5" t="str">
        <f>vlookup(B1846,Filmes_final!$B$2:$U$1001,13,FALSE)</f>
        <v>Lewis Milestone</v>
      </c>
    </row>
    <row r="1847">
      <c r="A1847" s="5">
        <v>462.0</v>
      </c>
      <c r="B1847" s="5" t="s">
        <v>2918</v>
      </c>
      <c r="C1847" s="5" t="s">
        <v>2922</v>
      </c>
      <c r="D1847" s="5" t="s">
        <v>6635</v>
      </c>
      <c r="E1847" s="8">
        <f>vlookup(B1847,Filmes_final!$B$2:$U$1001,20,FALSE)</f>
        <v>49331296</v>
      </c>
      <c r="F1847" s="5">
        <f>vlookup(B1847,Filmes_final!$B$2:$U$1001,3,FALSE)</f>
        <v>1930</v>
      </c>
      <c r="G1847" s="5" t="str">
        <f>vlookup(B1847,Filmes_final!$B$2:$U$1001,13,FALSE)</f>
        <v>Lewis Milestone</v>
      </c>
    </row>
    <row r="1848">
      <c r="A1848" s="5">
        <v>462.0</v>
      </c>
      <c r="B1848" s="5" t="s">
        <v>2918</v>
      </c>
      <c r="C1848" s="5" t="s">
        <v>2923</v>
      </c>
      <c r="D1848" s="5" t="s">
        <v>6636</v>
      </c>
      <c r="E1848" s="8">
        <f>vlookup(B1848,Filmes_final!$B$2:$U$1001,20,FALSE)</f>
        <v>49331296</v>
      </c>
      <c r="F1848" s="5">
        <f>vlookup(B1848,Filmes_final!$B$2:$U$1001,3,FALSE)</f>
        <v>1930</v>
      </c>
      <c r="G1848" s="5" t="str">
        <f>vlookup(B1848,Filmes_final!$B$2:$U$1001,13,FALSE)</f>
        <v>Lewis Milestone</v>
      </c>
    </row>
    <row r="1849">
      <c r="A1849" s="5">
        <v>462.0</v>
      </c>
      <c r="B1849" s="5" t="s">
        <v>2918</v>
      </c>
      <c r="C1849" s="5" t="s">
        <v>2924</v>
      </c>
      <c r="D1849" s="5" t="s">
        <v>6637</v>
      </c>
      <c r="E1849" s="8">
        <f>vlookup(B1849,Filmes_final!$B$2:$U$1001,20,FALSE)</f>
        <v>49331296</v>
      </c>
      <c r="F1849" s="5">
        <f>vlookup(B1849,Filmes_final!$B$2:$U$1001,3,FALSE)</f>
        <v>1930</v>
      </c>
      <c r="G1849" s="5" t="str">
        <f>vlookup(B1849,Filmes_final!$B$2:$U$1001,13,FALSE)</f>
        <v>Lewis Milestone</v>
      </c>
    </row>
    <row r="1850">
      <c r="A1850" s="5">
        <v>463.0</v>
      </c>
      <c r="B1850" s="5" t="s">
        <v>2925</v>
      </c>
      <c r="C1850" s="5" t="s">
        <v>2930</v>
      </c>
      <c r="D1850" s="5" t="s">
        <v>6634</v>
      </c>
      <c r="E1850" s="8">
        <f>vlookup(B1850,Filmes_final!$B$2:$U$1001,20,FALSE)</f>
        <v>760045</v>
      </c>
      <c r="F1850" s="5">
        <f>vlookup(B1850,Filmes_final!$B$2:$U$1001,3,FALSE)</f>
        <v>1925</v>
      </c>
      <c r="G1850" s="5" t="str">
        <f>vlookup(B1850,Filmes_final!$B$2:$U$1001,13,FALSE)</f>
        <v>Sergei M. Eisenstein</v>
      </c>
    </row>
    <row r="1851">
      <c r="A1851" s="5">
        <v>463.0</v>
      </c>
      <c r="B1851" s="5" t="s">
        <v>2925</v>
      </c>
      <c r="C1851" s="5" t="s">
        <v>2931</v>
      </c>
      <c r="D1851" s="5" t="s">
        <v>6635</v>
      </c>
      <c r="E1851" s="8">
        <f>vlookup(B1851,Filmes_final!$B$2:$U$1001,20,FALSE)</f>
        <v>760045</v>
      </c>
      <c r="F1851" s="5">
        <f>vlookup(B1851,Filmes_final!$B$2:$U$1001,3,FALSE)</f>
        <v>1925</v>
      </c>
      <c r="G1851" s="5" t="str">
        <f>vlookup(B1851,Filmes_final!$B$2:$U$1001,13,FALSE)</f>
        <v>Sergei M. Eisenstein</v>
      </c>
    </row>
    <row r="1852">
      <c r="A1852" s="5">
        <v>463.0</v>
      </c>
      <c r="B1852" s="5" t="s">
        <v>2925</v>
      </c>
      <c r="C1852" s="5" t="s">
        <v>2932</v>
      </c>
      <c r="D1852" s="5" t="s">
        <v>6636</v>
      </c>
      <c r="E1852" s="8">
        <f>vlookup(B1852,Filmes_final!$B$2:$U$1001,20,FALSE)</f>
        <v>760045</v>
      </c>
      <c r="F1852" s="5">
        <f>vlookup(B1852,Filmes_final!$B$2:$U$1001,3,FALSE)</f>
        <v>1925</v>
      </c>
      <c r="G1852" s="5" t="str">
        <f>vlookup(B1852,Filmes_final!$B$2:$U$1001,13,FALSE)</f>
        <v>Sergei M. Eisenstein</v>
      </c>
    </row>
    <row r="1853">
      <c r="A1853" s="5">
        <v>463.0</v>
      </c>
      <c r="B1853" s="5" t="s">
        <v>2925</v>
      </c>
      <c r="C1853" s="5" t="s">
        <v>2933</v>
      </c>
      <c r="D1853" s="5" t="s">
        <v>6637</v>
      </c>
      <c r="E1853" s="8">
        <f>vlookup(B1853,Filmes_final!$B$2:$U$1001,20,FALSE)</f>
        <v>760045</v>
      </c>
      <c r="F1853" s="5">
        <f>vlookup(B1853,Filmes_final!$B$2:$U$1001,3,FALSE)</f>
        <v>1925</v>
      </c>
      <c r="G1853" s="5" t="str">
        <f>vlookup(B1853,Filmes_final!$B$2:$U$1001,13,FALSE)</f>
        <v>Sergei M. Eisenstein</v>
      </c>
    </row>
    <row r="1854">
      <c r="A1854" s="5">
        <v>464.0</v>
      </c>
      <c r="B1854" s="5" t="s">
        <v>2934</v>
      </c>
      <c r="C1854" s="5" t="s">
        <v>2409</v>
      </c>
      <c r="D1854" s="5" t="s">
        <v>6634</v>
      </c>
      <c r="E1854" s="8">
        <f>vlookup(B1854,Filmes_final!$B$2:$U$1001,20,FALSE)</f>
        <v>169471540</v>
      </c>
      <c r="F1854" s="5">
        <f>vlookup(B1854,Filmes_final!$B$2:$U$1001,3,FALSE)</f>
        <v>2019</v>
      </c>
      <c r="G1854" s="5" t="str">
        <f>vlookup(B1854,Filmes_final!$B$2:$U$1001,13,FALSE)</f>
        <v>Rian Johnson</v>
      </c>
    </row>
    <row r="1855">
      <c r="A1855" s="5">
        <v>464.0</v>
      </c>
      <c r="B1855" s="5" t="s">
        <v>2934</v>
      </c>
      <c r="C1855" s="5" t="s">
        <v>480</v>
      </c>
      <c r="D1855" s="5" t="s">
        <v>6635</v>
      </c>
      <c r="E1855" s="8">
        <f>vlookup(B1855,Filmes_final!$B$2:$U$1001,20,FALSE)</f>
        <v>169471540</v>
      </c>
      <c r="F1855" s="5">
        <f>vlookup(B1855,Filmes_final!$B$2:$U$1001,3,FALSE)</f>
        <v>2019</v>
      </c>
      <c r="G1855" s="5" t="str">
        <f>vlookup(B1855,Filmes_final!$B$2:$U$1001,13,FALSE)</f>
        <v>Rian Johnson</v>
      </c>
    </row>
    <row r="1856">
      <c r="A1856" s="5">
        <v>464.0</v>
      </c>
      <c r="B1856" s="5" t="s">
        <v>2934</v>
      </c>
      <c r="C1856" s="5" t="s">
        <v>2249</v>
      </c>
      <c r="D1856" s="5" t="s">
        <v>6636</v>
      </c>
      <c r="E1856" s="8">
        <f>vlookup(B1856,Filmes_final!$B$2:$U$1001,20,FALSE)</f>
        <v>169471540</v>
      </c>
      <c r="F1856" s="5">
        <f>vlookup(B1856,Filmes_final!$B$2:$U$1001,3,FALSE)</f>
        <v>2019</v>
      </c>
      <c r="G1856" s="5" t="str">
        <f>vlookup(B1856,Filmes_final!$B$2:$U$1001,13,FALSE)</f>
        <v>Rian Johnson</v>
      </c>
    </row>
    <row r="1857">
      <c r="A1857" s="5">
        <v>464.0</v>
      </c>
      <c r="B1857" s="5" t="s">
        <v>2934</v>
      </c>
      <c r="C1857" s="5" t="s">
        <v>2937</v>
      </c>
      <c r="D1857" s="5" t="s">
        <v>6637</v>
      </c>
      <c r="E1857" s="8">
        <f>vlookup(B1857,Filmes_final!$B$2:$U$1001,20,FALSE)</f>
        <v>169471540</v>
      </c>
      <c r="F1857" s="5">
        <f>vlookup(B1857,Filmes_final!$B$2:$U$1001,3,FALSE)</f>
        <v>2019</v>
      </c>
      <c r="G1857" s="5" t="str">
        <f>vlookup(B1857,Filmes_final!$B$2:$U$1001,13,FALSE)</f>
        <v>Rian Johnson</v>
      </c>
    </row>
    <row r="1858">
      <c r="A1858" s="5">
        <v>465.0</v>
      </c>
      <c r="B1858" s="5" t="s">
        <v>2938</v>
      </c>
      <c r="C1858" s="5" t="s">
        <v>942</v>
      </c>
      <c r="D1858" s="5" t="s">
        <v>6634</v>
      </c>
      <c r="E1858" s="8">
        <f>vlookup(B1858,Filmes_final!$B$2:$U$1001,20,FALSE)</f>
        <v>45171</v>
      </c>
      <c r="F1858" s="5">
        <f>vlookup(B1858,Filmes_final!$B$2:$U$1001,3,FALSE)</f>
        <v>2020</v>
      </c>
      <c r="G1858" s="5" t="str">
        <f>vlookup(B1858,Filmes_final!$B$2:$U$1001,13,FALSE)</f>
        <v>Mukesh Chhabra</v>
      </c>
    </row>
    <row r="1859">
      <c r="A1859" s="5">
        <v>465.0</v>
      </c>
      <c r="B1859" s="5" t="s">
        <v>2938</v>
      </c>
      <c r="C1859" s="5" t="s">
        <v>2941</v>
      </c>
      <c r="D1859" s="5" t="s">
        <v>6635</v>
      </c>
      <c r="E1859" s="8">
        <f>vlookup(B1859,Filmes_final!$B$2:$U$1001,20,FALSE)</f>
        <v>45171</v>
      </c>
      <c r="F1859" s="5">
        <f>vlookup(B1859,Filmes_final!$B$2:$U$1001,3,FALSE)</f>
        <v>2020</v>
      </c>
      <c r="G1859" s="5" t="str">
        <f>vlookup(B1859,Filmes_final!$B$2:$U$1001,13,FALSE)</f>
        <v>Mukesh Chhabra</v>
      </c>
    </row>
    <row r="1860">
      <c r="A1860" s="5">
        <v>465.0</v>
      </c>
      <c r="B1860" s="5" t="s">
        <v>2938</v>
      </c>
      <c r="C1860" s="5" t="s">
        <v>2942</v>
      </c>
      <c r="D1860" s="5" t="s">
        <v>6636</v>
      </c>
      <c r="E1860" s="8">
        <f>vlookup(B1860,Filmes_final!$B$2:$U$1001,20,FALSE)</f>
        <v>45171</v>
      </c>
      <c r="F1860" s="5">
        <f>vlookup(B1860,Filmes_final!$B$2:$U$1001,3,FALSE)</f>
        <v>2020</v>
      </c>
      <c r="G1860" s="5" t="str">
        <f>vlookup(B1860,Filmes_final!$B$2:$U$1001,13,FALSE)</f>
        <v>Mukesh Chhabra</v>
      </c>
    </row>
    <row r="1861">
      <c r="A1861" s="5">
        <v>465.0</v>
      </c>
      <c r="B1861" s="5" t="s">
        <v>2938</v>
      </c>
      <c r="C1861" s="5" t="s">
        <v>2943</v>
      </c>
      <c r="D1861" s="5" t="s">
        <v>6637</v>
      </c>
      <c r="E1861" s="8">
        <f>vlookup(B1861,Filmes_final!$B$2:$U$1001,20,FALSE)</f>
        <v>45171</v>
      </c>
      <c r="F1861" s="5">
        <f>vlookup(B1861,Filmes_final!$B$2:$U$1001,3,FALSE)</f>
        <v>2020</v>
      </c>
      <c r="G1861" s="5" t="str">
        <f>vlookup(B1861,Filmes_final!$B$2:$U$1001,13,FALSE)</f>
        <v>Mukesh Chhabra</v>
      </c>
    </row>
    <row r="1862">
      <c r="A1862" s="5">
        <v>466.0</v>
      </c>
      <c r="B1862" s="5" t="s">
        <v>2944</v>
      </c>
      <c r="C1862" s="5" t="s">
        <v>2947</v>
      </c>
      <c r="D1862" s="5" t="s">
        <v>6634</v>
      </c>
      <c r="E1862" s="8">
        <f>vlookup(B1862,Filmes_final!$B$2:$U$1001,20,FALSE)</f>
        <v>3448584</v>
      </c>
      <c r="F1862" s="5">
        <f>vlookup(B1862,Filmes_final!$B$2:$U$1001,3,FALSE)</f>
        <v>2018</v>
      </c>
      <c r="G1862" s="5" t="str">
        <f>vlookup(B1862,Filmes_final!$B$2:$U$1001,13,FALSE)</f>
        <v>Hirokazu Koreeda</v>
      </c>
    </row>
    <row r="1863">
      <c r="A1863" s="5">
        <v>466.0</v>
      </c>
      <c r="B1863" s="5" t="s">
        <v>2944</v>
      </c>
      <c r="C1863" s="5" t="s">
        <v>2948</v>
      </c>
      <c r="D1863" s="5" t="s">
        <v>6635</v>
      </c>
      <c r="E1863" s="8">
        <f>vlookup(B1863,Filmes_final!$B$2:$U$1001,20,FALSE)</f>
        <v>3448584</v>
      </c>
      <c r="F1863" s="5">
        <f>vlookup(B1863,Filmes_final!$B$2:$U$1001,3,FALSE)</f>
        <v>2018</v>
      </c>
      <c r="G1863" s="5" t="str">
        <f>vlookup(B1863,Filmes_final!$B$2:$U$1001,13,FALSE)</f>
        <v>Hirokazu Koreeda</v>
      </c>
    </row>
    <row r="1864">
      <c r="A1864" s="5">
        <v>466.0</v>
      </c>
      <c r="B1864" s="5" t="s">
        <v>2944</v>
      </c>
      <c r="C1864" s="5" t="s">
        <v>2949</v>
      </c>
      <c r="D1864" s="5" t="s">
        <v>6636</v>
      </c>
      <c r="E1864" s="8">
        <f>vlookup(B1864,Filmes_final!$B$2:$U$1001,20,FALSE)</f>
        <v>3448584</v>
      </c>
      <c r="F1864" s="5">
        <f>vlookup(B1864,Filmes_final!$B$2:$U$1001,3,FALSE)</f>
        <v>2018</v>
      </c>
      <c r="G1864" s="5" t="str">
        <f>vlookup(B1864,Filmes_final!$B$2:$U$1001,13,FALSE)</f>
        <v>Hirokazu Koreeda</v>
      </c>
    </row>
    <row r="1865">
      <c r="A1865" s="5">
        <v>466.0</v>
      </c>
      <c r="B1865" s="5" t="s">
        <v>2944</v>
      </c>
      <c r="C1865" s="5" t="s">
        <v>2950</v>
      </c>
      <c r="D1865" s="5" t="s">
        <v>6637</v>
      </c>
      <c r="E1865" s="8">
        <f>vlookup(B1865,Filmes_final!$B$2:$U$1001,20,FALSE)</f>
        <v>3448584</v>
      </c>
      <c r="F1865" s="5">
        <f>vlookup(B1865,Filmes_final!$B$2:$U$1001,3,FALSE)</f>
        <v>2018</v>
      </c>
      <c r="G1865" s="5" t="str">
        <f>vlookup(B1865,Filmes_final!$B$2:$U$1001,13,FALSE)</f>
        <v>Hirokazu Koreeda</v>
      </c>
    </row>
    <row r="1866">
      <c r="A1866" s="5">
        <v>467.0</v>
      </c>
      <c r="B1866" s="5" t="s">
        <v>2951</v>
      </c>
      <c r="C1866" s="5" t="s">
        <v>2954</v>
      </c>
      <c r="D1866" s="5" t="s">
        <v>6634</v>
      </c>
      <c r="E1866" s="8">
        <f>vlookup(B1866,Filmes_final!$B$2:$U$1001,20,FALSE)</f>
        <v>2049731</v>
      </c>
      <c r="F1866" s="5">
        <f>vlookup(B1866,Filmes_final!$B$2:$U$1001,3,FALSE)</f>
        <v>2019</v>
      </c>
      <c r="G1866" s="5" t="str">
        <f>vlookup(B1866,Filmes_final!$B$2:$U$1001,13,FALSE)</f>
        <v>Noah Baumbach</v>
      </c>
    </row>
    <row r="1867">
      <c r="A1867" s="5">
        <v>467.0</v>
      </c>
      <c r="B1867" s="5" t="s">
        <v>2951</v>
      </c>
      <c r="C1867" s="5" t="s">
        <v>307</v>
      </c>
      <c r="D1867" s="5" t="s">
        <v>6635</v>
      </c>
      <c r="E1867" s="8">
        <f>vlookup(B1867,Filmes_final!$B$2:$U$1001,20,FALSE)</f>
        <v>2049731</v>
      </c>
      <c r="F1867" s="5">
        <f>vlookup(B1867,Filmes_final!$B$2:$U$1001,3,FALSE)</f>
        <v>2019</v>
      </c>
      <c r="G1867" s="5" t="str">
        <f>vlookup(B1867,Filmes_final!$B$2:$U$1001,13,FALSE)</f>
        <v>Noah Baumbach</v>
      </c>
    </row>
    <row r="1868">
      <c r="A1868" s="5">
        <v>467.0</v>
      </c>
      <c r="B1868" s="5" t="s">
        <v>2951</v>
      </c>
      <c r="C1868" s="5" t="s">
        <v>2955</v>
      </c>
      <c r="D1868" s="5" t="s">
        <v>6636</v>
      </c>
      <c r="E1868" s="8">
        <f>vlookup(B1868,Filmes_final!$B$2:$U$1001,20,FALSE)</f>
        <v>2049731</v>
      </c>
      <c r="F1868" s="5">
        <f>vlookup(B1868,Filmes_final!$B$2:$U$1001,3,FALSE)</f>
        <v>2019</v>
      </c>
      <c r="G1868" s="5" t="str">
        <f>vlookup(B1868,Filmes_final!$B$2:$U$1001,13,FALSE)</f>
        <v>Noah Baumbach</v>
      </c>
    </row>
    <row r="1869">
      <c r="A1869" s="5">
        <v>467.0</v>
      </c>
      <c r="B1869" s="5" t="s">
        <v>2951</v>
      </c>
      <c r="C1869" s="5" t="s">
        <v>2956</v>
      </c>
      <c r="D1869" s="5" t="s">
        <v>6637</v>
      </c>
      <c r="E1869" s="8">
        <f>vlookup(B1869,Filmes_final!$B$2:$U$1001,20,FALSE)</f>
        <v>2049731</v>
      </c>
      <c r="F1869" s="5">
        <f>vlookup(B1869,Filmes_final!$B$2:$U$1001,3,FALSE)</f>
        <v>2019</v>
      </c>
      <c r="G1869" s="5" t="str">
        <f>vlookup(B1869,Filmes_final!$B$2:$U$1001,13,FALSE)</f>
        <v>Noah Baumbach</v>
      </c>
    </row>
    <row r="1870">
      <c r="A1870" s="5">
        <v>468.0</v>
      </c>
      <c r="B1870" s="5" t="s">
        <v>2957</v>
      </c>
      <c r="C1870" s="5" t="s">
        <v>2960</v>
      </c>
      <c r="D1870" s="5" t="s">
        <v>6634</v>
      </c>
      <c r="E1870" s="8">
        <f>vlookup(B1870,Filmes_final!$B$2:$U$1001,20,FALSE)</f>
        <v>19223296</v>
      </c>
      <c r="F1870" s="5">
        <f>vlookup(B1870,Filmes_final!$B$2:$U$1001,3,FALSE)</f>
        <v>2017</v>
      </c>
      <c r="G1870" s="5" t="str">
        <f>vlookup(B1870,Filmes_final!$B$2:$U$1001,13,FALSE)</f>
        <v>Luca Guadagnino</v>
      </c>
    </row>
    <row r="1871">
      <c r="A1871" s="5">
        <v>468.0</v>
      </c>
      <c r="B1871" s="5" t="s">
        <v>2957</v>
      </c>
      <c r="C1871" s="5" t="s">
        <v>2961</v>
      </c>
      <c r="D1871" s="5" t="s">
        <v>6635</v>
      </c>
      <c r="E1871" s="8">
        <f>vlookup(B1871,Filmes_final!$B$2:$U$1001,20,FALSE)</f>
        <v>19223296</v>
      </c>
      <c r="F1871" s="5">
        <f>vlookup(B1871,Filmes_final!$B$2:$U$1001,3,FALSE)</f>
        <v>2017</v>
      </c>
      <c r="G1871" s="5" t="str">
        <f>vlookup(B1871,Filmes_final!$B$2:$U$1001,13,FALSE)</f>
        <v>Luca Guadagnino</v>
      </c>
    </row>
    <row r="1872">
      <c r="A1872" s="5">
        <v>468.0</v>
      </c>
      <c r="B1872" s="5" t="s">
        <v>2957</v>
      </c>
      <c r="C1872" s="5" t="s">
        <v>2962</v>
      </c>
      <c r="D1872" s="5" t="s">
        <v>6636</v>
      </c>
      <c r="E1872" s="8">
        <f>vlookup(B1872,Filmes_final!$B$2:$U$1001,20,FALSE)</f>
        <v>19223296</v>
      </c>
      <c r="F1872" s="5">
        <f>vlookup(B1872,Filmes_final!$B$2:$U$1001,3,FALSE)</f>
        <v>2017</v>
      </c>
      <c r="G1872" s="5" t="str">
        <f>vlookup(B1872,Filmes_final!$B$2:$U$1001,13,FALSE)</f>
        <v>Luca Guadagnino</v>
      </c>
    </row>
    <row r="1873">
      <c r="A1873" s="5">
        <v>468.0</v>
      </c>
      <c r="B1873" s="5" t="s">
        <v>2957</v>
      </c>
      <c r="C1873" s="5" t="s">
        <v>2963</v>
      </c>
      <c r="D1873" s="5" t="s">
        <v>6637</v>
      </c>
      <c r="E1873" s="8">
        <f>vlookup(B1873,Filmes_final!$B$2:$U$1001,20,FALSE)</f>
        <v>19223296</v>
      </c>
      <c r="F1873" s="5">
        <f>vlookup(B1873,Filmes_final!$B$2:$U$1001,3,FALSE)</f>
        <v>2017</v>
      </c>
      <c r="G1873" s="5" t="str">
        <f>vlookup(B1873,Filmes_final!$B$2:$U$1001,13,FALSE)</f>
        <v>Luca Guadagnino</v>
      </c>
    </row>
    <row r="1874">
      <c r="A1874" s="5">
        <v>469.0</v>
      </c>
      <c r="B1874" s="5" t="s">
        <v>2964</v>
      </c>
      <c r="C1874" s="5" t="s">
        <v>2388</v>
      </c>
      <c r="D1874" s="5" t="s">
        <v>6634</v>
      </c>
      <c r="E1874" s="8">
        <f>vlookup(B1874,Filmes_final!$B$2:$U$1001,20,FALSE)</f>
        <v>281112</v>
      </c>
      <c r="F1874" s="5">
        <f>vlookup(B1874,Filmes_final!$B$2:$U$1001,3,FALSE)</f>
        <v>2016</v>
      </c>
      <c r="G1874" s="5" t="str">
        <f>vlookup(B1874,Filmes_final!$B$2:$U$1001,13,FALSE)</f>
        <v>Ken Loach</v>
      </c>
    </row>
    <row r="1875">
      <c r="A1875" s="5">
        <v>469.0</v>
      </c>
      <c r="B1875" s="5" t="s">
        <v>2964</v>
      </c>
      <c r="C1875" s="5" t="s">
        <v>2967</v>
      </c>
      <c r="D1875" s="5" t="s">
        <v>6635</v>
      </c>
      <c r="E1875" s="8">
        <f>vlookup(B1875,Filmes_final!$B$2:$U$1001,20,FALSE)</f>
        <v>281112</v>
      </c>
      <c r="F1875" s="5">
        <f>vlookup(B1875,Filmes_final!$B$2:$U$1001,3,FALSE)</f>
        <v>2016</v>
      </c>
      <c r="G1875" s="5" t="str">
        <f>vlookup(B1875,Filmes_final!$B$2:$U$1001,13,FALSE)</f>
        <v>Ken Loach</v>
      </c>
    </row>
    <row r="1876">
      <c r="A1876" s="5">
        <v>469.0</v>
      </c>
      <c r="B1876" s="5" t="s">
        <v>2964</v>
      </c>
      <c r="C1876" s="5" t="s">
        <v>2968</v>
      </c>
      <c r="D1876" s="5" t="s">
        <v>6636</v>
      </c>
      <c r="E1876" s="8">
        <f>vlookup(B1876,Filmes_final!$B$2:$U$1001,20,FALSE)</f>
        <v>281112</v>
      </c>
      <c r="F1876" s="5">
        <f>vlookup(B1876,Filmes_final!$B$2:$U$1001,3,FALSE)</f>
        <v>2016</v>
      </c>
      <c r="G1876" s="5" t="str">
        <f>vlookup(B1876,Filmes_final!$B$2:$U$1001,13,FALSE)</f>
        <v>Ken Loach</v>
      </c>
    </row>
    <row r="1877">
      <c r="A1877" s="5">
        <v>469.0</v>
      </c>
      <c r="B1877" s="5" t="s">
        <v>2964</v>
      </c>
      <c r="C1877" s="5" t="s">
        <v>2969</v>
      </c>
      <c r="D1877" s="5" t="s">
        <v>6637</v>
      </c>
      <c r="E1877" s="8">
        <f>vlookup(B1877,Filmes_final!$B$2:$U$1001,20,FALSE)</f>
        <v>281112</v>
      </c>
      <c r="F1877" s="5">
        <f>vlookup(B1877,Filmes_final!$B$2:$U$1001,3,FALSE)</f>
        <v>2016</v>
      </c>
      <c r="G1877" s="5" t="str">
        <f>vlookup(B1877,Filmes_final!$B$2:$U$1001,13,FALSE)</f>
        <v>Ken Loach</v>
      </c>
    </row>
    <row r="1878">
      <c r="A1878" s="5">
        <v>470.0</v>
      </c>
      <c r="B1878" s="5" t="s">
        <v>2970</v>
      </c>
      <c r="C1878" s="5" t="s">
        <v>2972</v>
      </c>
      <c r="D1878" s="5" t="s">
        <v>6634</v>
      </c>
      <c r="E1878" s="8">
        <f>vlookup(B1878,Filmes_final!$B$2:$U$1001,20,FALSE)</f>
        <v>33320293</v>
      </c>
      <c r="F1878" s="5">
        <f>vlookup(B1878,Filmes_final!$B$2:$U$1001,3,FALSE)</f>
        <v>2018</v>
      </c>
      <c r="G1878" s="5" t="str">
        <f>vlookup(B1878,Filmes_final!$B$2:$U$1001,13,FALSE)</f>
        <v>Wes Anderson</v>
      </c>
    </row>
    <row r="1879">
      <c r="A1879" s="5">
        <v>470.0</v>
      </c>
      <c r="B1879" s="5" t="s">
        <v>2970</v>
      </c>
      <c r="C1879" s="5" t="s">
        <v>2973</v>
      </c>
      <c r="D1879" s="5" t="s">
        <v>6635</v>
      </c>
      <c r="E1879" s="8">
        <f>vlookup(B1879,Filmes_final!$B$2:$U$1001,20,FALSE)</f>
        <v>33320293</v>
      </c>
      <c r="F1879" s="5">
        <f>vlookup(B1879,Filmes_final!$B$2:$U$1001,3,FALSE)</f>
        <v>2018</v>
      </c>
      <c r="G1879" s="5" t="str">
        <f>vlookup(B1879,Filmes_final!$B$2:$U$1001,13,FALSE)</f>
        <v>Wes Anderson</v>
      </c>
    </row>
    <row r="1880">
      <c r="A1880" s="5">
        <v>470.0</v>
      </c>
      <c r="B1880" s="5" t="s">
        <v>2970</v>
      </c>
      <c r="C1880" s="5" t="s">
        <v>99</v>
      </c>
      <c r="D1880" s="5" t="s">
        <v>6636</v>
      </c>
      <c r="E1880" s="8">
        <f>vlookup(B1880,Filmes_final!$B$2:$U$1001,20,FALSE)</f>
        <v>33320293</v>
      </c>
      <c r="F1880" s="5">
        <f>vlookup(B1880,Filmes_final!$B$2:$U$1001,3,FALSE)</f>
        <v>2018</v>
      </c>
      <c r="G1880" s="5" t="str">
        <f>vlookup(B1880,Filmes_final!$B$2:$U$1001,13,FALSE)</f>
        <v>Wes Anderson</v>
      </c>
    </row>
    <row r="1881">
      <c r="A1881" s="5">
        <v>470.0</v>
      </c>
      <c r="B1881" s="5" t="s">
        <v>2970</v>
      </c>
      <c r="C1881" s="5" t="s">
        <v>2974</v>
      </c>
      <c r="D1881" s="5" t="s">
        <v>6637</v>
      </c>
      <c r="E1881" s="8">
        <f>vlookup(B1881,Filmes_final!$B$2:$U$1001,20,FALSE)</f>
        <v>33320293</v>
      </c>
      <c r="F1881" s="5">
        <f>vlookup(B1881,Filmes_final!$B$2:$U$1001,3,FALSE)</f>
        <v>2018</v>
      </c>
      <c r="G1881" s="5" t="str">
        <f>vlookup(B1881,Filmes_final!$B$2:$U$1001,13,FALSE)</f>
        <v>Wes Anderson</v>
      </c>
    </row>
    <row r="1882">
      <c r="A1882" s="5">
        <v>471.0</v>
      </c>
      <c r="B1882" s="5" t="s">
        <v>2975</v>
      </c>
      <c r="C1882" s="5" t="s">
        <v>1784</v>
      </c>
      <c r="D1882" s="5" t="s">
        <v>6634</v>
      </c>
      <c r="E1882" s="8">
        <f>vlookup(B1882,Filmes_final!$B$2:$U$1001,20,FALSE)</f>
        <v>5664941</v>
      </c>
      <c r="F1882" s="5">
        <f>vlookup(B1882,Filmes_final!$B$2:$U$1001,3,FALSE)</f>
        <v>2016</v>
      </c>
      <c r="G1882" s="5" t="str">
        <f>vlookup(B1882,Filmes_final!$B$2:$U$1001,13,FALSE)</f>
        <v>Taika Waititi</v>
      </c>
    </row>
    <row r="1883">
      <c r="A1883" s="5">
        <v>471.0</v>
      </c>
      <c r="B1883" s="5" t="s">
        <v>2975</v>
      </c>
      <c r="C1883" s="5" t="s">
        <v>2978</v>
      </c>
      <c r="D1883" s="5" t="s">
        <v>6635</v>
      </c>
      <c r="E1883" s="8">
        <f>vlookup(B1883,Filmes_final!$B$2:$U$1001,20,FALSE)</f>
        <v>5664941</v>
      </c>
      <c r="F1883" s="5">
        <f>vlookup(B1883,Filmes_final!$B$2:$U$1001,3,FALSE)</f>
        <v>2016</v>
      </c>
      <c r="G1883" s="5" t="str">
        <f>vlookup(B1883,Filmes_final!$B$2:$U$1001,13,FALSE)</f>
        <v>Taika Waititi</v>
      </c>
    </row>
    <row r="1884">
      <c r="A1884" s="5">
        <v>471.0</v>
      </c>
      <c r="B1884" s="5" t="s">
        <v>2975</v>
      </c>
      <c r="C1884" s="5" t="s">
        <v>2979</v>
      </c>
      <c r="D1884" s="5" t="s">
        <v>6636</v>
      </c>
      <c r="E1884" s="8">
        <f>vlookup(B1884,Filmes_final!$B$2:$U$1001,20,FALSE)</f>
        <v>5664941</v>
      </c>
      <c r="F1884" s="5">
        <f>vlookup(B1884,Filmes_final!$B$2:$U$1001,3,FALSE)</f>
        <v>2016</v>
      </c>
      <c r="G1884" s="5" t="str">
        <f>vlookup(B1884,Filmes_final!$B$2:$U$1001,13,FALSE)</f>
        <v>Taika Waititi</v>
      </c>
    </row>
    <row r="1885">
      <c r="A1885" s="5">
        <v>471.0</v>
      </c>
      <c r="B1885" s="5" t="s">
        <v>2975</v>
      </c>
      <c r="C1885" s="5" t="s">
        <v>2980</v>
      </c>
      <c r="D1885" s="5" t="s">
        <v>6637</v>
      </c>
      <c r="E1885" s="8">
        <f>vlookup(B1885,Filmes_final!$B$2:$U$1001,20,FALSE)</f>
        <v>5664941</v>
      </c>
      <c r="F1885" s="5">
        <f>vlookup(B1885,Filmes_final!$B$2:$U$1001,3,FALSE)</f>
        <v>2016</v>
      </c>
      <c r="G1885" s="5" t="str">
        <f>vlookup(B1885,Filmes_final!$B$2:$U$1001,13,FALSE)</f>
        <v>Taika Waititi</v>
      </c>
    </row>
    <row r="1886">
      <c r="A1886" s="5">
        <v>472.0</v>
      </c>
      <c r="B1886" s="5" t="s">
        <v>2981</v>
      </c>
      <c r="C1886" s="5" t="s">
        <v>66</v>
      </c>
      <c r="D1886" s="5" t="s">
        <v>6634</v>
      </c>
      <c r="E1886" s="8">
        <f>vlookup(B1886,Filmes_final!$B$2:$U$1001,20,FALSE)</f>
        <v>6397125</v>
      </c>
      <c r="F1886" s="5">
        <f>vlookup(B1886,Filmes_final!$B$2:$U$1001,3,FALSE)</f>
        <v>2016</v>
      </c>
      <c r="G1886" s="5" t="str">
        <f>vlookup(B1886,Filmes_final!$B$2:$U$1001,13,FALSE)</f>
        <v>Matt Ross</v>
      </c>
    </row>
    <row r="1887">
      <c r="A1887" s="5">
        <v>472.0</v>
      </c>
      <c r="B1887" s="5" t="s">
        <v>2981</v>
      </c>
      <c r="C1887" s="5" t="s">
        <v>643</v>
      </c>
      <c r="D1887" s="5" t="s">
        <v>6635</v>
      </c>
      <c r="E1887" s="8">
        <f>vlookup(B1887,Filmes_final!$B$2:$U$1001,20,FALSE)</f>
        <v>6397125</v>
      </c>
      <c r="F1887" s="5">
        <f>vlookup(B1887,Filmes_final!$B$2:$U$1001,3,FALSE)</f>
        <v>2016</v>
      </c>
      <c r="G1887" s="5" t="str">
        <f>vlookup(B1887,Filmes_final!$B$2:$U$1001,13,FALSE)</f>
        <v>Matt Ross</v>
      </c>
    </row>
    <row r="1888">
      <c r="A1888" s="5">
        <v>472.0</v>
      </c>
      <c r="B1888" s="5" t="s">
        <v>2981</v>
      </c>
      <c r="C1888" s="5" t="s">
        <v>2984</v>
      </c>
      <c r="D1888" s="5" t="s">
        <v>6636</v>
      </c>
      <c r="E1888" s="8">
        <f>vlookup(B1888,Filmes_final!$B$2:$U$1001,20,FALSE)</f>
        <v>6397125</v>
      </c>
      <c r="F1888" s="5">
        <f>vlookup(B1888,Filmes_final!$B$2:$U$1001,3,FALSE)</f>
        <v>2016</v>
      </c>
      <c r="G1888" s="5" t="str">
        <f>vlookup(B1888,Filmes_final!$B$2:$U$1001,13,FALSE)</f>
        <v>Matt Ross</v>
      </c>
    </row>
    <row r="1889">
      <c r="A1889" s="5">
        <v>472.0</v>
      </c>
      <c r="B1889" s="5" t="s">
        <v>2981</v>
      </c>
      <c r="C1889" s="5" t="s">
        <v>2985</v>
      </c>
      <c r="D1889" s="5" t="s">
        <v>6637</v>
      </c>
      <c r="E1889" s="8">
        <f>vlookup(B1889,Filmes_final!$B$2:$U$1001,20,FALSE)</f>
        <v>6397125</v>
      </c>
      <c r="F1889" s="5">
        <f>vlookup(B1889,Filmes_final!$B$2:$U$1001,3,FALSE)</f>
        <v>2016</v>
      </c>
      <c r="G1889" s="5" t="str">
        <f>vlookup(B1889,Filmes_final!$B$2:$U$1001,13,FALSE)</f>
        <v>Matt Ross</v>
      </c>
    </row>
    <row r="1890">
      <c r="A1890" s="5">
        <v>473.0</v>
      </c>
      <c r="B1890" s="5" t="s">
        <v>2986</v>
      </c>
      <c r="C1890" s="5" t="s">
        <v>2989</v>
      </c>
      <c r="D1890" s="5" t="s">
        <v>6634</v>
      </c>
      <c r="E1890" s="8">
        <f>vlookup(B1890,Filmes_final!$B$2:$U$1001,20,FALSE)</f>
        <v>3524804</v>
      </c>
      <c r="F1890" s="5">
        <f>vlookup(B1890,Filmes_final!$B$2:$U$1001,3,FALSE)</f>
        <v>2016</v>
      </c>
      <c r="G1890" s="5" t="str">
        <f>vlookup(B1890,Filmes_final!$B$2:$U$1001,13,FALSE)</f>
        <v>John Carney</v>
      </c>
    </row>
    <row r="1891">
      <c r="A1891" s="5">
        <v>473.0</v>
      </c>
      <c r="B1891" s="5" t="s">
        <v>2986</v>
      </c>
      <c r="C1891" s="5" t="s">
        <v>2990</v>
      </c>
      <c r="D1891" s="5" t="s">
        <v>6635</v>
      </c>
      <c r="E1891" s="8">
        <f>vlookup(B1891,Filmes_final!$B$2:$U$1001,20,FALSE)</f>
        <v>3524804</v>
      </c>
      <c r="F1891" s="5">
        <f>vlookup(B1891,Filmes_final!$B$2:$U$1001,3,FALSE)</f>
        <v>2016</v>
      </c>
      <c r="G1891" s="5" t="str">
        <f>vlookup(B1891,Filmes_final!$B$2:$U$1001,13,FALSE)</f>
        <v>John Carney</v>
      </c>
    </row>
    <row r="1892">
      <c r="A1892" s="5">
        <v>473.0</v>
      </c>
      <c r="B1892" s="5" t="s">
        <v>2986</v>
      </c>
      <c r="C1892" s="5" t="s">
        <v>2991</v>
      </c>
      <c r="D1892" s="5" t="s">
        <v>6636</v>
      </c>
      <c r="E1892" s="8">
        <f>vlookup(B1892,Filmes_final!$B$2:$U$1001,20,FALSE)</f>
        <v>3524804</v>
      </c>
      <c r="F1892" s="5">
        <f>vlookup(B1892,Filmes_final!$B$2:$U$1001,3,FALSE)</f>
        <v>2016</v>
      </c>
      <c r="G1892" s="5" t="str">
        <f>vlookup(B1892,Filmes_final!$B$2:$U$1001,13,FALSE)</f>
        <v>John Carney</v>
      </c>
    </row>
    <row r="1893">
      <c r="A1893" s="5">
        <v>473.0</v>
      </c>
      <c r="B1893" s="5" t="s">
        <v>2986</v>
      </c>
      <c r="C1893" s="5" t="s">
        <v>2992</v>
      </c>
      <c r="D1893" s="5" t="s">
        <v>6637</v>
      </c>
      <c r="E1893" s="8">
        <f>vlookup(B1893,Filmes_final!$B$2:$U$1001,20,FALSE)</f>
        <v>3524804</v>
      </c>
      <c r="F1893" s="5">
        <f>vlookup(B1893,Filmes_final!$B$2:$U$1001,3,FALSE)</f>
        <v>2016</v>
      </c>
      <c r="G1893" s="5" t="str">
        <f>vlookup(B1893,Filmes_final!$B$2:$U$1001,13,FALSE)</f>
        <v>John Carney</v>
      </c>
    </row>
    <row r="1894">
      <c r="A1894" s="5">
        <v>474.0</v>
      </c>
      <c r="B1894" s="5" t="s">
        <v>2993</v>
      </c>
      <c r="C1894" s="5" t="s">
        <v>485</v>
      </c>
      <c r="D1894" s="5" t="s">
        <v>6634</v>
      </c>
      <c r="E1894" s="8">
        <f>vlookup(B1894,Filmes_final!$B$2:$U$1001,20,FALSE)</f>
        <v>334690482</v>
      </c>
      <c r="F1894" s="5">
        <f>vlookup(B1894,Filmes_final!$B$2:$U$1001,3,FALSE)</f>
        <v>2017</v>
      </c>
      <c r="G1894" s="5" t="str">
        <f>vlookup(B1894,Filmes_final!$B$2:$U$1001,13,FALSE)</f>
        <v>Taika Waititi</v>
      </c>
    </row>
    <row r="1895">
      <c r="A1895" s="5">
        <v>474.0</v>
      </c>
      <c r="B1895" s="5" t="s">
        <v>2993</v>
      </c>
      <c r="C1895" s="5" t="s">
        <v>2995</v>
      </c>
      <c r="D1895" s="5" t="s">
        <v>6635</v>
      </c>
      <c r="E1895" s="8">
        <f>vlookup(B1895,Filmes_final!$B$2:$U$1001,20,FALSE)</f>
        <v>334690482</v>
      </c>
      <c r="F1895" s="5">
        <f>vlookup(B1895,Filmes_final!$B$2:$U$1001,3,FALSE)</f>
        <v>2017</v>
      </c>
      <c r="G1895" s="5" t="str">
        <f>vlookup(B1895,Filmes_final!$B$2:$U$1001,13,FALSE)</f>
        <v>Taika Waititi</v>
      </c>
    </row>
    <row r="1896">
      <c r="A1896" s="5">
        <v>474.0</v>
      </c>
      <c r="B1896" s="5" t="s">
        <v>2993</v>
      </c>
      <c r="C1896" s="5" t="s">
        <v>2996</v>
      </c>
      <c r="D1896" s="5" t="s">
        <v>6636</v>
      </c>
      <c r="E1896" s="8">
        <f>vlookup(B1896,Filmes_final!$B$2:$U$1001,20,FALSE)</f>
        <v>334690482</v>
      </c>
      <c r="F1896" s="5">
        <f>vlookup(B1896,Filmes_final!$B$2:$U$1001,3,FALSE)</f>
        <v>2017</v>
      </c>
      <c r="G1896" s="5" t="str">
        <f>vlookup(B1896,Filmes_final!$B$2:$U$1001,13,FALSE)</f>
        <v>Taika Waititi</v>
      </c>
    </row>
    <row r="1897">
      <c r="A1897" s="5">
        <v>474.0</v>
      </c>
      <c r="B1897" s="5" t="s">
        <v>2993</v>
      </c>
      <c r="C1897" s="5" t="s">
        <v>481</v>
      </c>
      <c r="D1897" s="5" t="s">
        <v>6637</v>
      </c>
      <c r="E1897" s="8">
        <f>vlookup(B1897,Filmes_final!$B$2:$U$1001,20,FALSE)</f>
        <v>334690482</v>
      </c>
      <c r="F1897" s="5">
        <f>vlookup(B1897,Filmes_final!$B$2:$U$1001,3,FALSE)</f>
        <v>2017</v>
      </c>
      <c r="G1897" s="5" t="str">
        <f>vlookup(B1897,Filmes_final!$B$2:$U$1001,13,FALSE)</f>
        <v>Taika Waititi</v>
      </c>
    </row>
    <row r="1898">
      <c r="A1898" s="5">
        <v>475.0</v>
      </c>
      <c r="B1898" s="5" t="s">
        <v>2997</v>
      </c>
      <c r="C1898" s="5" t="s">
        <v>1542</v>
      </c>
      <c r="D1898" s="5" t="s">
        <v>6634</v>
      </c>
      <c r="E1898" s="8">
        <f>vlookup(B1898,Filmes_final!$B$2:$U$1001,20,FALSE)</f>
        <v>35711175</v>
      </c>
      <c r="F1898" s="5">
        <f>vlookup(B1898,Filmes_final!$B$2:$U$1001,3,FALSE)</f>
        <v>2014</v>
      </c>
      <c r="G1898" s="5" t="str">
        <f>vlookup(B1898,Filmes_final!$B$2:$U$1001,13,FALSE)</f>
        <v>Dan Gilroy</v>
      </c>
    </row>
    <row r="1899">
      <c r="A1899" s="5">
        <v>475.0</v>
      </c>
      <c r="B1899" s="5" t="s">
        <v>2997</v>
      </c>
      <c r="C1899" s="5" t="s">
        <v>3000</v>
      </c>
      <c r="D1899" s="5" t="s">
        <v>6635</v>
      </c>
      <c r="E1899" s="8">
        <f>vlookup(B1899,Filmes_final!$B$2:$U$1001,20,FALSE)</f>
        <v>35711175</v>
      </c>
      <c r="F1899" s="5">
        <f>vlookup(B1899,Filmes_final!$B$2:$U$1001,3,FALSE)</f>
        <v>2014</v>
      </c>
      <c r="G1899" s="5" t="str">
        <f>vlookup(B1899,Filmes_final!$B$2:$U$1001,13,FALSE)</f>
        <v>Dan Gilroy</v>
      </c>
    </row>
    <row r="1900">
      <c r="A1900" s="5">
        <v>475.0</v>
      </c>
      <c r="B1900" s="5" t="s">
        <v>2997</v>
      </c>
      <c r="C1900" s="5" t="s">
        <v>3001</v>
      </c>
      <c r="D1900" s="5" t="s">
        <v>6636</v>
      </c>
      <c r="E1900" s="8">
        <f>vlookup(B1900,Filmes_final!$B$2:$U$1001,20,FALSE)</f>
        <v>35711175</v>
      </c>
      <c r="F1900" s="5">
        <f>vlookup(B1900,Filmes_final!$B$2:$U$1001,3,FALSE)</f>
        <v>2014</v>
      </c>
      <c r="G1900" s="5" t="str">
        <f>vlookup(B1900,Filmes_final!$B$2:$U$1001,13,FALSE)</f>
        <v>Dan Gilroy</v>
      </c>
    </row>
    <row r="1901">
      <c r="A1901" s="5">
        <v>475.0</v>
      </c>
      <c r="B1901" s="5" t="s">
        <v>2997</v>
      </c>
      <c r="C1901" s="5" t="s">
        <v>3002</v>
      </c>
      <c r="D1901" s="5" t="s">
        <v>6637</v>
      </c>
      <c r="E1901" s="8">
        <f>vlookup(B1901,Filmes_final!$B$2:$U$1001,20,FALSE)</f>
        <v>35711175</v>
      </c>
      <c r="F1901" s="5">
        <f>vlookup(B1901,Filmes_final!$B$2:$U$1001,3,FALSE)</f>
        <v>2014</v>
      </c>
      <c r="G1901" s="5" t="str">
        <f>vlookup(B1901,Filmes_final!$B$2:$U$1001,13,FALSE)</f>
        <v>Dan Gilroy</v>
      </c>
    </row>
    <row r="1902">
      <c r="A1902" s="5">
        <v>476.0</v>
      </c>
      <c r="B1902" s="5" t="s">
        <v>3003</v>
      </c>
      <c r="C1902" s="5" t="s">
        <v>3005</v>
      </c>
      <c r="D1902" s="5" t="s">
        <v>6634</v>
      </c>
      <c r="E1902" s="8">
        <f>vlookup(B1902,Filmes_final!$B$2:$U$1001,20,FALSE)</f>
        <v>358247</v>
      </c>
      <c r="F1902" s="5">
        <f>vlookup(B1902,Filmes_final!$B$2:$U$1001,3,FALSE)</f>
        <v>2019</v>
      </c>
      <c r="G1902" s="5" t="str">
        <f>vlookup(B1902,Filmes_final!$B$2:$U$1001,13,FALSE)</f>
        <v>Taika Waititi</v>
      </c>
    </row>
    <row r="1903">
      <c r="A1903" s="5">
        <v>476.0</v>
      </c>
      <c r="B1903" s="5" t="s">
        <v>3003</v>
      </c>
      <c r="C1903" s="5" t="s">
        <v>3006</v>
      </c>
      <c r="D1903" s="5" t="s">
        <v>6635</v>
      </c>
      <c r="E1903" s="8">
        <f>vlookup(B1903,Filmes_final!$B$2:$U$1001,20,FALSE)</f>
        <v>358247</v>
      </c>
      <c r="F1903" s="5">
        <f>vlookup(B1903,Filmes_final!$B$2:$U$1001,3,FALSE)</f>
        <v>2019</v>
      </c>
      <c r="G1903" s="5" t="str">
        <f>vlookup(B1903,Filmes_final!$B$2:$U$1001,13,FALSE)</f>
        <v>Taika Waititi</v>
      </c>
    </row>
    <row r="1904">
      <c r="A1904" s="5">
        <v>476.0</v>
      </c>
      <c r="B1904" s="5" t="s">
        <v>3003</v>
      </c>
      <c r="C1904" s="5" t="s">
        <v>307</v>
      </c>
      <c r="D1904" s="5" t="s">
        <v>6636</v>
      </c>
      <c r="E1904" s="8">
        <f>vlookup(B1904,Filmes_final!$B$2:$U$1001,20,FALSE)</f>
        <v>358247</v>
      </c>
      <c r="F1904" s="5">
        <f>vlookup(B1904,Filmes_final!$B$2:$U$1001,3,FALSE)</f>
        <v>2019</v>
      </c>
      <c r="G1904" s="5" t="str">
        <f>vlookup(B1904,Filmes_final!$B$2:$U$1001,13,FALSE)</f>
        <v>Taika Waititi</v>
      </c>
    </row>
    <row r="1905">
      <c r="A1905" s="5">
        <v>476.0</v>
      </c>
      <c r="B1905" s="5" t="s">
        <v>3003</v>
      </c>
      <c r="C1905" s="5" t="s">
        <v>2977</v>
      </c>
      <c r="D1905" s="5" t="s">
        <v>6637</v>
      </c>
      <c r="E1905" s="8">
        <f>vlookup(B1905,Filmes_final!$B$2:$U$1001,20,FALSE)</f>
        <v>358247</v>
      </c>
      <c r="F1905" s="5">
        <f>vlookup(B1905,Filmes_final!$B$2:$U$1001,3,FALSE)</f>
        <v>2019</v>
      </c>
      <c r="G1905" s="5" t="str">
        <f>vlookup(B1905,Filmes_final!$B$2:$U$1001,13,FALSE)</f>
        <v>Taika Waititi</v>
      </c>
    </row>
    <row r="1906">
      <c r="A1906" s="5">
        <v>477.0</v>
      </c>
      <c r="B1906" s="5" t="s">
        <v>3007</v>
      </c>
      <c r="C1906" s="5" t="s">
        <v>2254</v>
      </c>
      <c r="D1906" s="5" t="s">
        <v>6634</v>
      </c>
      <c r="E1906" s="8">
        <f>vlookup(B1906,Filmes_final!$B$2:$U$1001,20,FALSE)</f>
        <v>109481791</v>
      </c>
      <c r="F1906" s="5">
        <f>vlookup(B1906,Filmes_final!$B$2:$U$1001,3,FALSE)</f>
        <v>2016</v>
      </c>
      <c r="G1906" s="5" t="str">
        <f>vlookup(B1906,Filmes_final!$B$2:$U$1001,13,FALSE)</f>
        <v>Denis Villeneuve</v>
      </c>
    </row>
    <row r="1907">
      <c r="A1907" s="5">
        <v>477.0</v>
      </c>
      <c r="B1907" s="5" t="s">
        <v>3007</v>
      </c>
      <c r="C1907" s="5" t="s">
        <v>2339</v>
      </c>
      <c r="D1907" s="5" t="s">
        <v>6635</v>
      </c>
      <c r="E1907" s="8">
        <f>vlookup(B1907,Filmes_final!$B$2:$U$1001,20,FALSE)</f>
        <v>109481791</v>
      </c>
      <c r="F1907" s="5">
        <f>vlookup(B1907,Filmes_final!$B$2:$U$1001,3,FALSE)</f>
        <v>2016</v>
      </c>
      <c r="G1907" s="5" t="str">
        <f>vlookup(B1907,Filmes_final!$B$2:$U$1001,13,FALSE)</f>
        <v>Denis Villeneuve</v>
      </c>
    </row>
    <row r="1908">
      <c r="A1908" s="5">
        <v>477.0</v>
      </c>
      <c r="B1908" s="5" t="s">
        <v>3007</v>
      </c>
      <c r="C1908" s="5" t="s">
        <v>3009</v>
      </c>
      <c r="D1908" s="5" t="s">
        <v>6636</v>
      </c>
      <c r="E1908" s="8">
        <f>vlookup(B1908,Filmes_final!$B$2:$U$1001,20,FALSE)</f>
        <v>109481791</v>
      </c>
      <c r="F1908" s="5">
        <f>vlookup(B1908,Filmes_final!$B$2:$U$1001,3,FALSE)</f>
        <v>2016</v>
      </c>
      <c r="G1908" s="5" t="str">
        <f>vlookup(B1908,Filmes_final!$B$2:$U$1001,13,FALSE)</f>
        <v>Denis Villeneuve</v>
      </c>
    </row>
    <row r="1909">
      <c r="A1909" s="5">
        <v>477.0</v>
      </c>
      <c r="B1909" s="5" t="s">
        <v>3007</v>
      </c>
      <c r="C1909" s="5" t="s">
        <v>2962</v>
      </c>
      <c r="D1909" s="5" t="s">
        <v>6637</v>
      </c>
      <c r="E1909" s="8">
        <f>vlookup(B1909,Filmes_final!$B$2:$U$1001,20,FALSE)</f>
        <v>109481791</v>
      </c>
      <c r="F1909" s="5">
        <f>vlookup(B1909,Filmes_final!$B$2:$U$1001,3,FALSE)</f>
        <v>2016</v>
      </c>
      <c r="G1909" s="5" t="str">
        <f>vlookup(B1909,Filmes_final!$B$2:$U$1001,13,FALSE)</f>
        <v>Denis Villeneuve</v>
      </c>
    </row>
    <row r="1910">
      <c r="A1910" s="5">
        <v>478.0</v>
      </c>
      <c r="B1910" s="5" t="s">
        <v>3010</v>
      </c>
      <c r="C1910" s="5" t="s">
        <v>3013</v>
      </c>
      <c r="D1910" s="5" t="s">
        <v>6634</v>
      </c>
      <c r="E1910" s="8">
        <f>vlookup(B1910,Filmes_final!$B$2:$U$1001,20,FALSE)</f>
        <v>1033908661</v>
      </c>
      <c r="F1910" s="5">
        <f>vlookup(B1910,Filmes_final!$B$2:$U$1001,3,FALSE)</f>
        <v>2015</v>
      </c>
      <c r="G1910" s="5" t="str">
        <f>vlookup(B1910,Filmes_final!$B$2:$U$1001,13,FALSE)</f>
        <v>J.J. Abrams</v>
      </c>
    </row>
    <row r="1911">
      <c r="A1911" s="5">
        <v>478.0</v>
      </c>
      <c r="B1911" s="5" t="s">
        <v>3010</v>
      </c>
      <c r="C1911" s="5" t="s">
        <v>3014</v>
      </c>
      <c r="D1911" s="5" t="s">
        <v>6635</v>
      </c>
      <c r="E1911" s="8">
        <f>vlookup(B1911,Filmes_final!$B$2:$U$1001,20,FALSE)</f>
        <v>1033908661</v>
      </c>
      <c r="F1911" s="5">
        <f>vlookup(B1911,Filmes_final!$B$2:$U$1001,3,FALSE)</f>
        <v>2015</v>
      </c>
      <c r="G1911" s="5" t="str">
        <f>vlookup(B1911,Filmes_final!$B$2:$U$1001,13,FALSE)</f>
        <v>J.J. Abrams</v>
      </c>
    </row>
    <row r="1912">
      <c r="A1912" s="5">
        <v>478.0</v>
      </c>
      <c r="B1912" s="5" t="s">
        <v>3010</v>
      </c>
      <c r="C1912" s="5" t="s">
        <v>3015</v>
      </c>
      <c r="D1912" s="5" t="s">
        <v>6636</v>
      </c>
      <c r="E1912" s="8">
        <f>vlookup(B1912,Filmes_final!$B$2:$U$1001,20,FALSE)</f>
        <v>1033908661</v>
      </c>
      <c r="F1912" s="5">
        <f>vlookup(B1912,Filmes_final!$B$2:$U$1001,3,FALSE)</f>
        <v>2015</v>
      </c>
      <c r="G1912" s="5" t="str">
        <f>vlookup(B1912,Filmes_final!$B$2:$U$1001,13,FALSE)</f>
        <v>J.J. Abrams</v>
      </c>
    </row>
    <row r="1913">
      <c r="A1913" s="5">
        <v>478.0</v>
      </c>
      <c r="B1913" s="5" t="s">
        <v>3010</v>
      </c>
      <c r="C1913" s="5" t="s">
        <v>2264</v>
      </c>
      <c r="D1913" s="5" t="s">
        <v>6637</v>
      </c>
      <c r="E1913" s="8">
        <f>vlookup(B1913,Filmes_final!$B$2:$U$1001,20,FALSE)</f>
        <v>1033908661</v>
      </c>
      <c r="F1913" s="5">
        <f>vlookup(B1913,Filmes_final!$B$2:$U$1001,3,FALSE)</f>
        <v>2015</v>
      </c>
      <c r="G1913" s="5" t="str">
        <f>vlookup(B1913,Filmes_final!$B$2:$U$1001,13,FALSE)</f>
        <v>J.J. Abrams</v>
      </c>
    </row>
    <row r="1914">
      <c r="A1914" s="5">
        <v>479.0</v>
      </c>
      <c r="B1914" s="5" t="s">
        <v>3016</v>
      </c>
      <c r="C1914" s="5" t="s">
        <v>1642</v>
      </c>
      <c r="D1914" s="5" t="s">
        <v>6634</v>
      </c>
      <c r="E1914" s="8">
        <f>vlookup(B1914,Filmes_final!$B$2:$U$1001,20,FALSE)</f>
        <v>9090405</v>
      </c>
      <c r="F1914" s="5">
        <f>vlookup(B1914,Filmes_final!$B$2:$U$1001,3,FALSE)</f>
        <v>2013</v>
      </c>
      <c r="G1914" s="5" t="str">
        <f>vlookup(B1914,Filmes_final!$B$2:$U$1001,13,FALSE)</f>
        <v>Richard Linklater</v>
      </c>
    </row>
    <row r="1915">
      <c r="A1915" s="5">
        <v>479.0</v>
      </c>
      <c r="B1915" s="5" t="s">
        <v>3016</v>
      </c>
      <c r="C1915" s="5" t="s">
        <v>1643</v>
      </c>
      <c r="D1915" s="5" t="s">
        <v>6635</v>
      </c>
      <c r="E1915" s="8">
        <f>vlookup(B1915,Filmes_final!$B$2:$U$1001,20,FALSE)</f>
        <v>9090405</v>
      </c>
      <c r="F1915" s="5">
        <f>vlookup(B1915,Filmes_final!$B$2:$U$1001,3,FALSE)</f>
        <v>2013</v>
      </c>
      <c r="G1915" s="5" t="str">
        <f>vlookup(B1915,Filmes_final!$B$2:$U$1001,13,FALSE)</f>
        <v>Richard Linklater</v>
      </c>
    </row>
    <row r="1916">
      <c r="A1916" s="5">
        <v>479.0</v>
      </c>
      <c r="B1916" s="5" t="s">
        <v>3016</v>
      </c>
      <c r="C1916" s="5" t="s">
        <v>3018</v>
      </c>
      <c r="D1916" s="5" t="s">
        <v>6636</v>
      </c>
      <c r="E1916" s="8">
        <f>vlookup(B1916,Filmes_final!$B$2:$U$1001,20,FALSE)</f>
        <v>9090405</v>
      </c>
      <c r="F1916" s="5">
        <f>vlookup(B1916,Filmes_final!$B$2:$U$1001,3,FALSE)</f>
        <v>2013</v>
      </c>
      <c r="G1916" s="5" t="str">
        <f>vlookup(B1916,Filmes_final!$B$2:$U$1001,13,FALSE)</f>
        <v>Richard Linklater</v>
      </c>
    </row>
    <row r="1917">
      <c r="A1917" s="5">
        <v>479.0</v>
      </c>
      <c r="B1917" s="5" t="s">
        <v>3016</v>
      </c>
      <c r="C1917" s="5" t="s">
        <v>3019</v>
      </c>
      <c r="D1917" s="5" t="s">
        <v>6637</v>
      </c>
      <c r="E1917" s="8">
        <f>vlookup(B1917,Filmes_final!$B$2:$U$1001,20,FALSE)</f>
        <v>9090405</v>
      </c>
      <c r="F1917" s="5">
        <f>vlookup(B1917,Filmes_final!$B$2:$U$1001,3,FALSE)</f>
        <v>2013</v>
      </c>
      <c r="G1917" s="5" t="str">
        <f>vlookup(B1917,Filmes_final!$B$2:$U$1001,13,FALSE)</f>
        <v>Richard Linklater</v>
      </c>
    </row>
    <row r="1918">
      <c r="A1918" s="5">
        <v>480.0</v>
      </c>
      <c r="B1918" s="5" t="s">
        <v>3020</v>
      </c>
      <c r="C1918" s="5" t="s">
        <v>1421</v>
      </c>
      <c r="D1918" s="5" t="s">
        <v>6634</v>
      </c>
      <c r="E1918" s="8">
        <f>vlookup(B1918,Filmes_final!$B$2:$U$1001,20,FALSE)</f>
        <v>257977103</v>
      </c>
      <c r="F1918" s="5">
        <f>vlookup(B1918,Filmes_final!$B$2:$U$1001,3,FALSE)</f>
        <v>2014</v>
      </c>
      <c r="G1918" s="5" t="str">
        <f>vlookup(B1918,Filmes_final!$B$2:$U$1001,13,FALSE)</f>
        <v>Bryan Singer</v>
      </c>
    </row>
    <row r="1919">
      <c r="A1919" s="5">
        <v>480.0</v>
      </c>
      <c r="B1919" s="5" t="s">
        <v>3020</v>
      </c>
      <c r="C1919" s="5" t="s">
        <v>67</v>
      </c>
      <c r="D1919" s="5" t="s">
        <v>6635</v>
      </c>
      <c r="E1919" s="8">
        <f>vlookup(B1919,Filmes_final!$B$2:$U$1001,20,FALSE)</f>
        <v>257977103</v>
      </c>
      <c r="F1919" s="5">
        <f>vlookup(B1919,Filmes_final!$B$2:$U$1001,3,FALSE)</f>
        <v>2014</v>
      </c>
      <c r="G1919" s="5" t="str">
        <f>vlookup(B1919,Filmes_final!$B$2:$U$1001,13,FALSE)</f>
        <v>Bryan Singer</v>
      </c>
    </row>
    <row r="1920">
      <c r="A1920" s="5">
        <v>480.0</v>
      </c>
      <c r="B1920" s="5" t="s">
        <v>3020</v>
      </c>
      <c r="C1920" s="5" t="s">
        <v>306</v>
      </c>
      <c r="D1920" s="5" t="s">
        <v>6636</v>
      </c>
      <c r="E1920" s="8">
        <f>vlookup(B1920,Filmes_final!$B$2:$U$1001,20,FALSE)</f>
        <v>257977103</v>
      </c>
      <c r="F1920" s="5">
        <f>vlookup(B1920,Filmes_final!$B$2:$U$1001,3,FALSE)</f>
        <v>2014</v>
      </c>
      <c r="G1920" s="5" t="str">
        <f>vlookup(B1920,Filmes_final!$B$2:$U$1001,13,FALSE)</f>
        <v>Bryan Singer</v>
      </c>
    </row>
    <row r="1921">
      <c r="A1921" s="5">
        <v>480.0</v>
      </c>
      <c r="B1921" s="5" t="s">
        <v>3020</v>
      </c>
      <c r="C1921" s="5" t="s">
        <v>3022</v>
      </c>
      <c r="D1921" s="5" t="s">
        <v>6637</v>
      </c>
      <c r="E1921" s="8">
        <f>vlookup(B1921,Filmes_final!$B$2:$U$1001,20,FALSE)</f>
        <v>257977103</v>
      </c>
      <c r="F1921" s="5">
        <f>vlookup(B1921,Filmes_final!$B$2:$U$1001,3,FALSE)</f>
        <v>2014</v>
      </c>
      <c r="G1921" s="5" t="str">
        <f>vlookup(B1921,Filmes_final!$B$2:$U$1001,13,FALSE)</f>
        <v>Bryan Singer</v>
      </c>
    </row>
    <row r="1922">
      <c r="A1922" s="5">
        <v>481.0</v>
      </c>
      <c r="B1922" s="5" t="s">
        <v>3023</v>
      </c>
      <c r="C1922" s="5" t="s">
        <v>3027</v>
      </c>
      <c r="D1922" s="5" t="s">
        <v>6634</v>
      </c>
      <c r="E1922" s="8">
        <f>vlookup(B1922,Filmes_final!$B$2:$U$1001,20,FALSE)</f>
        <v>162509</v>
      </c>
      <c r="F1922" s="5">
        <f>vlookup(B1922,Filmes_final!$B$2:$U$1001,3,FALSE)</f>
        <v>2011</v>
      </c>
      <c r="G1922" s="5" t="str">
        <f>vlookup(B1922,Filmes_final!$B$2:$U$1001,13,FALSE)</f>
        <v>Nuri Bilge Ceylan</v>
      </c>
    </row>
    <row r="1923">
      <c r="A1923" s="5">
        <v>481.0</v>
      </c>
      <c r="B1923" s="5" t="s">
        <v>3023</v>
      </c>
      <c r="C1923" s="5" t="s">
        <v>2476</v>
      </c>
      <c r="D1923" s="5" t="s">
        <v>6635</v>
      </c>
      <c r="E1923" s="8">
        <f>vlookup(B1923,Filmes_final!$B$2:$U$1001,20,FALSE)</f>
        <v>162509</v>
      </c>
      <c r="F1923" s="5">
        <f>vlookup(B1923,Filmes_final!$B$2:$U$1001,3,FALSE)</f>
        <v>2011</v>
      </c>
      <c r="G1923" s="5" t="str">
        <f>vlookup(B1923,Filmes_final!$B$2:$U$1001,13,FALSE)</f>
        <v>Nuri Bilge Ceylan</v>
      </c>
    </row>
    <row r="1924">
      <c r="A1924" s="5">
        <v>481.0</v>
      </c>
      <c r="B1924" s="5" t="s">
        <v>3023</v>
      </c>
      <c r="C1924" s="5" t="s">
        <v>3028</v>
      </c>
      <c r="D1924" s="5" t="s">
        <v>6636</v>
      </c>
      <c r="E1924" s="8">
        <f>vlookup(B1924,Filmes_final!$B$2:$U$1001,20,FALSE)</f>
        <v>162509</v>
      </c>
      <c r="F1924" s="5">
        <f>vlookup(B1924,Filmes_final!$B$2:$U$1001,3,FALSE)</f>
        <v>2011</v>
      </c>
      <c r="G1924" s="5" t="str">
        <f>vlookup(B1924,Filmes_final!$B$2:$U$1001,13,FALSE)</f>
        <v>Nuri Bilge Ceylan</v>
      </c>
    </row>
    <row r="1925">
      <c r="A1925" s="5">
        <v>481.0</v>
      </c>
      <c r="B1925" s="5" t="s">
        <v>3023</v>
      </c>
      <c r="C1925" s="5" t="s">
        <v>3029</v>
      </c>
      <c r="D1925" s="5" t="s">
        <v>6637</v>
      </c>
      <c r="E1925" s="8">
        <f>vlookup(B1925,Filmes_final!$B$2:$U$1001,20,FALSE)</f>
        <v>162509</v>
      </c>
      <c r="F1925" s="5">
        <f>vlookup(B1925,Filmes_final!$B$2:$U$1001,3,FALSE)</f>
        <v>2011</v>
      </c>
      <c r="G1925" s="5" t="str">
        <f>vlookup(B1925,Filmes_final!$B$2:$U$1001,13,FALSE)</f>
        <v>Nuri Bilge Ceylan</v>
      </c>
    </row>
    <row r="1926">
      <c r="A1926" s="5">
        <v>482.0</v>
      </c>
      <c r="B1926" s="5" t="s">
        <v>3030</v>
      </c>
      <c r="C1926" s="5" t="s">
        <v>3033</v>
      </c>
      <c r="D1926" s="5" t="s">
        <v>6634</v>
      </c>
      <c r="E1926" s="8">
        <f>vlookup(B1926,Filmes_final!$B$2:$U$1001,20,FALSE)</f>
        <v>52328769</v>
      </c>
      <c r="F1926" s="5">
        <f>vlookup(B1926,Filmes_final!$B$2:$U$1001,3,FALSE)</f>
        <v>2011</v>
      </c>
      <c r="G1926" s="5" t="str">
        <f>vlookup(B1926,Filmes_final!$B$2:$U$1001,13,FALSE)</f>
        <v>Michel Hazanavicius</v>
      </c>
    </row>
    <row r="1927">
      <c r="A1927" s="5">
        <v>482.0</v>
      </c>
      <c r="B1927" s="5" t="s">
        <v>3030</v>
      </c>
      <c r="C1927" s="5" t="s">
        <v>3034</v>
      </c>
      <c r="D1927" s="5" t="s">
        <v>6635</v>
      </c>
      <c r="E1927" s="8">
        <f>vlookup(B1927,Filmes_final!$B$2:$U$1001,20,FALSE)</f>
        <v>52328769</v>
      </c>
      <c r="F1927" s="5">
        <f>vlookup(B1927,Filmes_final!$B$2:$U$1001,3,FALSE)</f>
        <v>2011</v>
      </c>
      <c r="G1927" s="5" t="str">
        <f>vlookup(B1927,Filmes_final!$B$2:$U$1001,13,FALSE)</f>
        <v>Michel Hazanavicius</v>
      </c>
    </row>
    <row r="1928">
      <c r="A1928" s="5">
        <v>482.0</v>
      </c>
      <c r="B1928" s="5" t="s">
        <v>3030</v>
      </c>
      <c r="C1928" s="5" t="s">
        <v>1685</v>
      </c>
      <c r="D1928" s="5" t="s">
        <v>6636</v>
      </c>
      <c r="E1928" s="8">
        <f>vlookup(B1928,Filmes_final!$B$2:$U$1001,20,FALSE)</f>
        <v>52328769</v>
      </c>
      <c r="F1928" s="5">
        <f>vlookup(B1928,Filmes_final!$B$2:$U$1001,3,FALSE)</f>
        <v>2011</v>
      </c>
      <c r="G1928" s="5" t="str">
        <f>vlookup(B1928,Filmes_final!$B$2:$U$1001,13,FALSE)</f>
        <v>Michel Hazanavicius</v>
      </c>
    </row>
    <row r="1929">
      <c r="A1929" s="5">
        <v>482.0</v>
      </c>
      <c r="B1929" s="5" t="s">
        <v>3030</v>
      </c>
      <c r="C1929" s="5" t="s">
        <v>3035</v>
      </c>
      <c r="D1929" s="5" t="s">
        <v>6637</v>
      </c>
      <c r="E1929" s="8">
        <f>vlookup(B1929,Filmes_final!$B$2:$U$1001,20,FALSE)</f>
        <v>52328769</v>
      </c>
      <c r="F1929" s="5">
        <f>vlookup(B1929,Filmes_final!$B$2:$U$1001,3,FALSE)</f>
        <v>2011</v>
      </c>
      <c r="G1929" s="5" t="str">
        <f>vlookup(B1929,Filmes_final!$B$2:$U$1001,13,FALSE)</f>
        <v>Michel Hazanavicius</v>
      </c>
    </row>
    <row r="1930">
      <c r="A1930" s="5">
        <v>483.0</v>
      </c>
      <c r="B1930" s="5" t="s">
        <v>3036</v>
      </c>
      <c r="C1930" s="5" t="s">
        <v>2486</v>
      </c>
      <c r="D1930" s="5" t="s">
        <v>6634</v>
      </c>
      <c r="E1930" s="8">
        <f>vlookup(B1930,Filmes_final!$B$2:$U$1001,20,FALSE)</f>
        <v>110511073</v>
      </c>
      <c r="F1930" s="5">
        <f>vlookup(B1930,Filmes_final!$B$2:$U$1001,3,FALSE)</f>
        <v>2014</v>
      </c>
      <c r="G1930" s="5" t="str">
        <f>vlookup(B1930,Filmes_final!$B$2:$U$1001,13,FALSE)</f>
        <v>Doug Liman</v>
      </c>
    </row>
    <row r="1931">
      <c r="A1931" s="5">
        <v>483.0</v>
      </c>
      <c r="B1931" s="5" t="s">
        <v>3036</v>
      </c>
      <c r="C1931" s="5" t="s">
        <v>3039</v>
      </c>
      <c r="D1931" s="5" t="s">
        <v>6635</v>
      </c>
      <c r="E1931" s="8">
        <f>vlookup(B1931,Filmes_final!$B$2:$U$1001,20,FALSE)</f>
        <v>110511073</v>
      </c>
      <c r="F1931" s="5">
        <f>vlookup(B1931,Filmes_final!$B$2:$U$1001,3,FALSE)</f>
        <v>2014</v>
      </c>
      <c r="G1931" s="5" t="str">
        <f>vlookup(B1931,Filmes_final!$B$2:$U$1001,13,FALSE)</f>
        <v>Doug Liman</v>
      </c>
    </row>
    <row r="1932">
      <c r="A1932" s="5">
        <v>483.0</v>
      </c>
      <c r="B1932" s="5" t="s">
        <v>3036</v>
      </c>
      <c r="C1932" s="5" t="s">
        <v>3001</v>
      </c>
      <c r="D1932" s="5" t="s">
        <v>6636</v>
      </c>
      <c r="E1932" s="8">
        <f>vlookup(B1932,Filmes_final!$B$2:$U$1001,20,FALSE)</f>
        <v>110511073</v>
      </c>
      <c r="F1932" s="5">
        <f>vlookup(B1932,Filmes_final!$B$2:$U$1001,3,FALSE)</f>
        <v>2014</v>
      </c>
      <c r="G1932" s="5" t="str">
        <f>vlookup(B1932,Filmes_final!$B$2:$U$1001,13,FALSE)</f>
        <v>Doug Liman</v>
      </c>
    </row>
    <row r="1933">
      <c r="A1933" s="5">
        <v>483.0</v>
      </c>
      <c r="B1933" s="5" t="s">
        <v>3036</v>
      </c>
      <c r="C1933" s="5" t="s">
        <v>1525</v>
      </c>
      <c r="D1933" s="5" t="s">
        <v>6637</v>
      </c>
      <c r="E1933" s="8">
        <f>vlookup(B1933,Filmes_final!$B$2:$U$1001,20,FALSE)</f>
        <v>110511073</v>
      </c>
      <c r="F1933" s="5">
        <f>vlookup(B1933,Filmes_final!$B$2:$U$1001,3,FALSE)</f>
        <v>2014</v>
      </c>
      <c r="G1933" s="5" t="str">
        <f>vlookup(B1933,Filmes_final!$B$2:$U$1001,13,FALSE)</f>
        <v>Doug Liman</v>
      </c>
    </row>
    <row r="1934">
      <c r="A1934" s="5">
        <v>484.0</v>
      </c>
      <c r="B1934" s="5" t="s">
        <v>3040</v>
      </c>
      <c r="C1934" s="5" t="s">
        <v>1773</v>
      </c>
      <c r="D1934" s="5" t="s">
        <v>6634</v>
      </c>
      <c r="E1934" s="8">
        <f>vlookup(B1934,Filmes_final!$B$2:$U$1001,20,FALSE)</f>
        <v>7670322</v>
      </c>
      <c r="F1934" s="5">
        <f>vlookup(B1934,Filmes_final!$B$2:$U$1001,3,FALSE)</f>
        <v>2012</v>
      </c>
      <c r="G1934" s="5" t="str">
        <f>vlookup(B1934,Filmes_final!$B$2:$U$1001,13,FALSE)</f>
        <v>Michael Haneke</v>
      </c>
    </row>
    <row r="1935">
      <c r="A1935" s="5">
        <v>484.0</v>
      </c>
      <c r="B1935" s="5" t="s">
        <v>3040</v>
      </c>
      <c r="C1935" s="5" t="s">
        <v>3043</v>
      </c>
      <c r="D1935" s="5" t="s">
        <v>6635</v>
      </c>
      <c r="E1935" s="8">
        <f>vlookup(B1935,Filmes_final!$B$2:$U$1001,20,FALSE)</f>
        <v>7670322</v>
      </c>
      <c r="F1935" s="5">
        <f>vlookup(B1935,Filmes_final!$B$2:$U$1001,3,FALSE)</f>
        <v>2012</v>
      </c>
      <c r="G1935" s="5" t="str">
        <f>vlookup(B1935,Filmes_final!$B$2:$U$1001,13,FALSE)</f>
        <v>Michael Haneke</v>
      </c>
    </row>
    <row r="1936">
      <c r="A1936" s="5">
        <v>484.0</v>
      </c>
      <c r="B1936" s="5" t="s">
        <v>3040</v>
      </c>
      <c r="C1936" s="5" t="s">
        <v>3044</v>
      </c>
      <c r="D1936" s="5" t="s">
        <v>6636</v>
      </c>
      <c r="E1936" s="8">
        <f>vlookup(B1936,Filmes_final!$B$2:$U$1001,20,FALSE)</f>
        <v>7670322</v>
      </c>
      <c r="F1936" s="5">
        <f>vlookup(B1936,Filmes_final!$B$2:$U$1001,3,FALSE)</f>
        <v>2012</v>
      </c>
      <c r="G1936" s="5" t="str">
        <f>vlookup(B1936,Filmes_final!$B$2:$U$1001,13,FALSE)</f>
        <v>Michael Haneke</v>
      </c>
    </row>
    <row r="1937">
      <c r="A1937" s="5">
        <v>484.0</v>
      </c>
      <c r="B1937" s="5" t="s">
        <v>3040</v>
      </c>
      <c r="C1937" s="5" t="s">
        <v>3045</v>
      </c>
      <c r="D1937" s="5" t="s">
        <v>6637</v>
      </c>
      <c r="E1937" s="8">
        <f>vlookup(B1937,Filmes_final!$B$2:$U$1001,20,FALSE)</f>
        <v>7670322</v>
      </c>
      <c r="F1937" s="5">
        <f>vlookup(B1937,Filmes_final!$B$2:$U$1001,3,FALSE)</f>
        <v>2012</v>
      </c>
      <c r="G1937" s="5" t="str">
        <f>vlookup(B1937,Filmes_final!$B$2:$U$1001,13,FALSE)</f>
        <v>Michael Haneke</v>
      </c>
    </row>
    <row r="1938">
      <c r="A1938" s="5">
        <v>485.0</v>
      </c>
      <c r="B1938" s="5" t="s">
        <v>3046</v>
      </c>
      <c r="C1938" s="5" t="s">
        <v>49</v>
      </c>
      <c r="D1938" s="5" t="s">
        <v>6634</v>
      </c>
      <c r="E1938" s="8">
        <f>vlookup(B1938,Filmes_final!$B$2:$U$1001,20,FALSE)</f>
        <v>7174060</v>
      </c>
      <c r="F1938" s="5">
        <f>vlookup(B1938,Filmes_final!$B$2:$U$1001,3,FALSE)</f>
        <v>2019</v>
      </c>
      <c r="G1938" s="5" t="str">
        <f>vlookup(B1938,Filmes_final!$B$2:$U$1001,13,FALSE)</f>
        <v>Martin Scorsese</v>
      </c>
    </row>
    <row r="1939">
      <c r="A1939" s="5">
        <v>485.0</v>
      </c>
      <c r="B1939" s="5" t="s">
        <v>3046</v>
      </c>
      <c r="C1939" s="5" t="s">
        <v>33</v>
      </c>
      <c r="D1939" s="5" t="s">
        <v>6635</v>
      </c>
      <c r="E1939" s="8">
        <f>vlookup(B1939,Filmes_final!$B$2:$U$1001,20,FALSE)</f>
        <v>7174060</v>
      </c>
      <c r="F1939" s="5">
        <f>vlookup(B1939,Filmes_final!$B$2:$U$1001,3,FALSE)</f>
        <v>2019</v>
      </c>
      <c r="G1939" s="5" t="str">
        <f>vlookup(B1939,Filmes_final!$B$2:$U$1001,13,FALSE)</f>
        <v>Martin Scorsese</v>
      </c>
    </row>
    <row r="1940">
      <c r="A1940" s="5">
        <v>485.0</v>
      </c>
      <c r="B1940" s="5" t="s">
        <v>3046</v>
      </c>
      <c r="C1940" s="5" t="s">
        <v>141</v>
      </c>
      <c r="D1940" s="5" t="s">
        <v>6636</v>
      </c>
      <c r="E1940" s="8">
        <f>vlookup(B1940,Filmes_final!$B$2:$U$1001,20,FALSE)</f>
        <v>7174060</v>
      </c>
      <c r="F1940" s="5">
        <f>vlookup(B1940,Filmes_final!$B$2:$U$1001,3,FALSE)</f>
        <v>2019</v>
      </c>
      <c r="G1940" s="5" t="str">
        <f>vlookup(B1940,Filmes_final!$B$2:$U$1001,13,FALSE)</f>
        <v>Martin Scorsese</v>
      </c>
    </row>
    <row r="1941">
      <c r="A1941" s="5">
        <v>485.0</v>
      </c>
      <c r="B1941" s="5" t="s">
        <v>3046</v>
      </c>
      <c r="C1941" s="5" t="s">
        <v>780</v>
      </c>
      <c r="D1941" s="5" t="s">
        <v>6637</v>
      </c>
      <c r="E1941" s="8">
        <f>vlookup(B1941,Filmes_final!$B$2:$U$1001,20,FALSE)</f>
        <v>7174060</v>
      </c>
      <c r="F1941" s="5">
        <f>vlookup(B1941,Filmes_final!$B$2:$U$1001,3,FALSE)</f>
        <v>2019</v>
      </c>
      <c r="G1941" s="5" t="str">
        <f>vlookup(B1941,Filmes_final!$B$2:$U$1001,13,FALSE)</f>
        <v>Martin Scorsese</v>
      </c>
    </row>
    <row r="1942">
      <c r="A1942" s="5">
        <v>486.0</v>
      </c>
      <c r="B1942" s="5" t="s">
        <v>3049</v>
      </c>
      <c r="C1942" s="5" t="s">
        <v>3052</v>
      </c>
      <c r="D1942" s="5" t="s">
        <v>6634</v>
      </c>
      <c r="E1942" s="8">
        <f>vlookup(B1942,Filmes_final!$B$2:$U$1001,20,FALSE)</f>
        <v>2546975</v>
      </c>
      <c r="F1942" s="5">
        <f>vlookup(B1942,Filmes_final!$B$2:$U$1001,3,FALSE)</f>
        <v>2009</v>
      </c>
      <c r="G1942" s="5" t="str">
        <f>vlookup(B1942,Filmes_final!$B$2:$U$1001,13,FALSE)</f>
        <v>Jacques Audiard</v>
      </c>
    </row>
    <row r="1943">
      <c r="A1943" s="5">
        <v>486.0</v>
      </c>
      <c r="B1943" s="5" t="s">
        <v>3049</v>
      </c>
      <c r="C1943" s="5" t="s">
        <v>3053</v>
      </c>
      <c r="D1943" s="5" t="s">
        <v>6635</v>
      </c>
      <c r="E1943" s="8">
        <f>vlookup(B1943,Filmes_final!$B$2:$U$1001,20,FALSE)</f>
        <v>2546975</v>
      </c>
      <c r="F1943" s="5">
        <f>vlookup(B1943,Filmes_final!$B$2:$U$1001,3,FALSE)</f>
        <v>2009</v>
      </c>
      <c r="G1943" s="5" t="str">
        <f>vlookup(B1943,Filmes_final!$B$2:$U$1001,13,FALSE)</f>
        <v>Jacques Audiard</v>
      </c>
    </row>
    <row r="1944">
      <c r="A1944" s="5">
        <v>486.0</v>
      </c>
      <c r="B1944" s="5" t="s">
        <v>3049</v>
      </c>
      <c r="C1944" s="5" t="s">
        <v>3054</v>
      </c>
      <c r="D1944" s="5" t="s">
        <v>6636</v>
      </c>
      <c r="E1944" s="8">
        <f>vlookup(B1944,Filmes_final!$B$2:$U$1001,20,FALSE)</f>
        <v>2546975</v>
      </c>
      <c r="F1944" s="5">
        <f>vlookup(B1944,Filmes_final!$B$2:$U$1001,3,FALSE)</f>
        <v>2009</v>
      </c>
      <c r="G1944" s="5" t="str">
        <f>vlookup(B1944,Filmes_final!$B$2:$U$1001,13,FALSE)</f>
        <v>Jacques Audiard</v>
      </c>
    </row>
    <row r="1945">
      <c r="A1945" s="5">
        <v>486.0</v>
      </c>
      <c r="B1945" s="5" t="s">
        <v>3049</v>
      </c>
      <c r="C1945" s="5" t="s">
        <v>3055</v>
      </c>
      <c r="D1945" s="5" t="s">
        <v>6637</v>
      </c>
      <c r="E1945" s="8">
        <f>vlookup(B1945,Filmes_final!$B$2:$U$1001,20,FALSE)</f>
        <v>2546975</v>
      </c>
      <c r="F1945" s="5">
        <f>vlookup(B1945,Filmes_final!$B$2:$U$1001,3,FALSE)</f>
        <v>2009</v>
      </c>
      <c r="G1945" s="5" t="str">
        <f>vlookup(B1945,Filmes_final!$B$2:$U$1001,13,FALSE)</f>
        <v>Jacques Audiard</v>
      </c>
    </row>
    <row r="1946">
      <c r="A1946" s="5">
        <v>487.0</v>
      </c>
      <c r="B1946" s="5" t="s">
        <v>3056</v>
      </c>
      <c r="C1946" s="5" t="s">
        <v>974</v>
      </c>
      <c r="D1946" s="5" t="s">
        <v>6634</v>
      </c>
      <c r="E1946" s="8">
        <f>vlookup(B1946,Filmes_final!$B$2:$U$1001,20,FALSE)</f>
        <v>6120740</v>
      </c>
      <c r="F1946" s="5">
        <f>vlookup(B1946,Filmes_final!$B$2:$U$1001,3,FALSE)</f>
        <v>2009</v>
      </c>
      <c r="G1946" s="5" t="str">
        <f>vlookup(B1946,Filmes_final!$B$2:$U$1001,13,FALSE)</f>
        <v>Duncan Jones</v>
      </c>
    </row>
    <row r="1947">
      <c r="A1947" s="5">
        <v>487.0</v>
      </c>
      <c r="B1947" s="5" t="s">
        <v>3056</v>
      </c>
      <c r="C1947" s="5" t="s">
        <v>237</v>
      </c>
      <c r="D1947" s="5" t="s">
        <v>6635</v>
      </c>
      <c r="E1947" s="8">
        <f>vlookup(B1947,Filmes_final!$B$2:$U$1001,20,FALSE)</f>
        <v>6120740</v>
      </c>
      <c r="F1947" s="5">
        <f>vlookup(B1947,Filmes_final!$B$2:$U$1001,3,FALSE)</f>
        <v>2009</v>
      </c>
      <c r="G1947" s="5" t="str">
        <f>vlookup(B1947,Filmes_final!$B$2:$U$1001,13,FALSE)</f>
        <v>Duncan Jones</v>
      </c>
    </row>
    <row r="1948">
      <c r="A1948" s="5">
        <v>487.0</v>
      </c>
      <c r="B1948" s="5" t="s">
        <v>3056</v>
      </c>
      <c r="C1948" s="5" t="s">
        <v>3059</v>
      </c>
      <c r="D1948" s="5" t="s">
        <v>6636</v>
      </c>
      <c r="E1948" s="8">
        <f>vlookup(B1948,Filmes_final!$B$2:$U$1001,20,FALSE)</f>
        <v>6120740</v>
      </c>
      <c r="F1948" s="5">
        <f>vlookup(B1948,Filmes_final!$B$2:$U$1001,3,FALSE)</f>
        <v>2009</v>
      </c>
      <c r="G1948" s="5" t="str">
        <f>vlookup(B1948,Filmes_final!$B$2:$U$1001,13,FALSE)</f>
        <v>Duncan Jones</v>
      </c>
    </row>
    <row r="1949">
      <c r="A1949" s="5">
        <v>487.0</v>
      </c>
      <c r="B1949" s="5" t="s">
        <v>3056</v>
      </c>
      <c r="C1949" s="5" t="s">
        <v>3060</v>
      </c>
      <c r="D1949" s="5" t="s">
        <v>6637</v>
      </c>
      <c r="E1949" s="8">
        <f>vlookup(B1949,Filmes_final!$B$2:$U$1001,20,FALSE)</f>
        <v>6120740</v>
      </c>
      <c r="F1949" s="5">
        <f>vlookup(B1949,Filmes_final!$B$2:$U$1001,3,FALSE)</f>
        <v>2009</v>
      </c>
      <c r="G1949" s="5" t="str">
        <f>vlookup(B1949,Filmes_final!$B$2:$U$1001,13,FALSE)</f>
        <v>Duncan Jones</v>
      </c>
    </row>
    <row r="1950">
      <c r="A1950" s="5">
        <v>488.0</v>
      </c>
      <c r="B1950" s="5" t="s">
        <v>3061</v>
      </c>
      <c r="C1950" s="5" t="s">
        <v>3064</v>
      </c>
      <c r="D1950" s="5" t="s">
        <v>6634</v>
      </c>
      <c r="E1950" s="8">
        <f>vlookup(B1950,Filmes_final!$B$2:$U$1001,20,FALSE)</f>
        <v>2593477</v>
      </c>
      <c r="F1950" s="5">
        <f>vlookup(B1950,Filmes_final!$B$2:$U$1001,3,FALSE)</f>
        <v>2008</v>
      </c>
      <c r="G1950" s="5" t="str">
        <f>vlookup(B1950,Filmes_final!$B$2:$U$1001,13,FALSE)</f>
        <v>Tomas Alfredson</v>
      </c>
    </row>
    <row r="1951">
      <c r="A1951" s="5">
        <v>488.0</v>
      </c>
      <c r="B1951" s="5" t="s">
        <v>3061</v>
      </c>
      <c r="C1951" s="5" t="s">
        <v>3065</v>
      </c>
      <c r="D1951" s="5" t="s">
        <v>6635</v>
      </c>
      <c r="E1951" s="8">
        <f>vlookup(B1951,Filmes_final!$B$2:$U$1001,20,FALSE)</f>
        <v>2593477</v>
      </c>
      <c r="F1951" s="5">
        <f>vlookup(B1951,Filmes_final!$B$2:$U$1001,3,FALSE)</f>
        <v>2008</v>
      </c>
      <c r="G1951" s="5" t="str">
        <f>vlookup(B1951,Filmes_final!$B$2:$U$1001,13,FALSE)</f>
        <v>Tomas Alfredson</v>
      </c>
    </row>
    <row r="1952">
      <c r="A1952" s="5">
        <v>488.0</v>
      </c>
      <c r="B1952" s="5" t="s">
        <v>3061</v>
      </c>
      <c r="C1952" s="5" t="s">
        <v>3066</v>
      </c>
      <c r="D1952" s="5" t="s">
        <v>6636</v>
      </c>
      <c r="E1952" s="8">
        <f>vlookup(B1952,Filmes_final!$B$2:$U$1001,20,FALSE)</f>
        <v>2593477</v>
      </c>
      <c r="F1952" s="5">
        <f>vlookup(B1952,Filmes_final!$B$2:$U$1001,3,FALSE)</f>
        <v>2008</v>
      </c>
      <c r="G1952" s="5" t="str">
        <f>vlookup(B1952,Filmes_final!$B$2:$U$1001,13,FALSE)</f>
        <v>Tomas Alfredson</v>
      </c>
    </row>
    <row r="1953">
      <c r="A1953" s="5">
        <v>488.0</v>
      </c>
      <c r="B1953" s="5" t="s">
        <v>3061</v>
      </c>
      <c r="C1953" s="5" t="s">
        <v>3067</v>
      </c>
      <c r="D1953" s="5" t="s">
        <v>6637</v>
      </c>
      <c r="E1953" s="8">
        <f>vlookup(B1953,Filmes_final!$B$2:$U$1001,20,FALSE)</f>
        <v>2593477</v>
      </c>
      <c r="F1953" s="5">
        <f>vlookup(B1953,Filmes_final!$B$2:$U$1001,3,FALSE)</f>
        <v>2008</v>
      </c>
      <c r="G1953" s="5" t="str">
        <f>vlookup(B1953,Filmes_final!$B$2:$U$1001,13,FALSE)</f>
        <v>Tomas Alfredson</v>
      </c>
    </row>
    <row r="1954">
      <c r="A1954" s="5">
        <v>489.0</v>
      </c>
      <c r="B1954" s="5" t="s">
        <v>3068</v>
      </c>
      <c r="C1954" s="5" t="s">
        <v>3071</v>
      </c>
      <c r="D1954" s="5" t="s">
        <v>6634</v>
      </c>
      <c r="E1954" s="8">
        <f>vlookup(B1954,Filmes_final!$B$2:$U$1001,20,FALSE)</f>
        <v>141294643</v>
      </c>
      <c r="F1954" s="5">
        <f>vlookup(B1954,Filmes_final!$B$2:$U$1001,3,FALSE)</f>
        <v>2009</v>
      </c>
      <c r="G1954" s="5" t="str">
        <f>vlookup(B1954,Filmes_final!$B$2:$U$1001,13,FALSE)</f>
        <v>Neill Blomkamp</v>
      </c>
    </row>
    <row r="1955">
      <c r="A1955" s="5">
        <v>489.0</v>
      </c>
      <c r="B1955" s="5" t="s">
        <v>3068</v>
      </c>
      <c r="C1955" s="5" t="s">
        <v>3072</v>
      </c>
      <c r="D1955" s="5" t="s">
        <v>6635</v>
      </c>
      <c r="E1955" s="8">
        <f>vlookup(B1955,Filmes_final!$B$2:$U$1001,20,FALSE)</f>
        <v>141294643</v>
      </c>
      <c r="F1955" s="5">
        <f>vlookup(B1955,Filmes_final!$B$2:$U$1001,3,FALSE)</f>
        <v>2009</v>
      </c>
      <c r="G1955" s="5" t="str">
        <f>vlookup(B1955,Filmes_final!$B$2:$U$1001,13,FALSE)</f>
        <v>Neill Blomkamp</v>
      </c>
    </row>
    <row r="1956">
      <c r="A1956" s="5">
        <v>489.0</v>
      </c>
      <c r="B1956" s="5" t="s">
        <v>3068</v>
      </c>
      <c r="C1956" s="5" t="s">
        <v>3073</v>
      </c>
      <c r="D1956" s="5" t="s">
        <v>6636</v>
      </c>
      <c r="E1956" s="8">
        <f>vlookup(B1956,Filmes_final!$B$2:$U$1001,20,FALSE)</f>
        <v>141294643</v>
      </c>
      <c r="F1956" s="5">
        <f>vlookup(B1956,Filmes_final!$B$2:$U$1001,3,FALSE)</f>
        <v>2009</v>
      </c>
      <c r="G1956" s="5" t="str">
        <f>vlookup(B1956,Filmes_final!$B$2:$U$1001,13,FALSE)</f>
        <v>Neill Blomkamp</v>
      </c>
    </row>
    <row r="1957">
      <c r="A1957" s="5">
        <v>489.0</v>
      </c>
      <c r="B1957" s="5" t="s">
        <v>3068</v>
      </c>
      <c r="C1957" s="5" t="s">
        <v>3074</v>
      </c>
      <c r="D1957" s="5" t="s">
        <v>6637</v>
      </c>
      <c r="E1957" s="8">
        <f>vlookup(B1957,Filmes_final!$B$2:$U$1001,20,FALSE)</f>
        <v>141294643</v>
      </c>
      <c r="F1957" s="5">
        <f>vlookup(B1957,Filmes_final!$B$2:$U$1001,3,FALSE)</f>
        <v>2009</v>
      </c>
      <c r="G1957" s="5" t="str">
        <f>vlookup(B1957,Filmes_final!$B$2:$U$1001,13,FALSE)</f>
        <v>Neill Blomkamp</v>
      </c>
    </row>
    <row r="1958">
      <c r="A1958" s="5">
        <v>490.0</v>
      </c>
      <c r="B1958" s="5" t="s">
        <v>3075</v>
      </c>
      <c r="C1958" s="5" t="s">
        <v>2383</v>
      </c>
      <c r="D1958" s="5" t="s">
        <v>6634</v>
      </c>
      <c r="E1958" s="8">
        <f>vlookup(B1958,Filmes_final!$B$2:$U$1001,20,FALSE)</f>
        <v>32065012</v>
      </c>
      <c r="F1958" s="5">
        <f>vlookup(B1958,Filmes_final!$B$2:$U$1001,3,FALSE)</f>
        <v>2008</v>
      </c>
      <c r="G1958" s="5" t="str">
        <f>vlookup(B1958,Filmes_final!$B$2:$U$1001,13,FALSE)</f>
        <v>Darren Aronofsky</v>
      </c>
    </row>
    <row r="1959">
      <c r="A1959" s="5">
        <v>490.0</v>
      </c>
      <c r="B1959" s="5" t="s">
        <v>3075</v>
      </c>
      <c r="C1959" s="5" t="s">
        <v>3077</v>
      </c>
      <c r="D1959" s="5" t="s">
        <v>6635</v>
      </c>
      <c r="E1959" s="8">
        <f>vlookup(B1959,Filmes_final!$B$2:$U$1001,20,FALSE)</f>
        <v>32065012</v>
      </c>
      <c r="F1959" s="5">
        <f>vlookup(B1959,Filmes_final!$B$2:$U$1001,3,FALSE)</f>
        <v>2008</v>
      </c>
      <c r="G1959" s="5" t="str">
        <f>vlookup(B1959,Filmes_final!$B$2:$U$1001,13,FALSE)</f>
        <v>Darren Aronofsky</v>
      </c>
    </row>
    <row r="1960">
      <c r="A1960" s="5">
        <v>490.0</v>
      </c>
      <c r="B1960" s="5" t="s">
        <v>3075</v>
      </c>
      <c r="C1960" s="5" t="s">
        <v>3078</v>
      </c>
      <c r="D1960" s="5" t="s">
        <v>6636</v>
      </c>
      <c r="E1960" s="8">
        <f>vlookup(B1960,Filmes_final!$B$2:$U$1001,20,FALSE)</f>
        <v>32065012</v>
      </c>
      <c r="F1960" s="5">
        <f>vlookup(B1960,Filmes_final!$B$2:$U$1001,3,FALSE)</f>
        <v>2008</v>
      </c>
      <c r="G1960" s="5" t="str">
        <f>vlookup(B1960,Filmes_final!$B$2:$U$1001,13,FALSE)</f>
        <v>Darren Aronofsky</v>
      </c>
    </row>
    <row r="1961">
      <c r="A1961" s="5">
        <v>490.0</v>
      </c>
      <c r="B1961" s="5" t="s">
        <v>3075</v>
      </c>
      <c r="C1961" s="5" t="s">
        <v>3079</v>
      </c>
      <c r="D1961" s="5" t="s">
        <v>6637</v>
      </c>
      <c r="E1961" s="8">
        <f>vlookup(B1961,Filmes_final!$B$2:$U$1001,20,FALSE)</f>
        <v>32065012</v>
      </c>
      <c r="F1961" s="5">
        <f>vlookup(B1961,Filmes_final!$B$2:$U$1001,3,FALSE)</f>
        <v>2008</v>
      </c>
      <c r="G1961" s="5" t="str">
        <f>vlookup(B1961,Filmes_final!$B$2:$U$1001,13,FALSE)</f>
        <v>Darren Aronofsky</v>
      </c>
    </row>
    <row r="1962">
      <c r="A1962" s="5">
        <v>491.0</v>
      </c>
      <c r="B1962" s="5" t="s">
        <v>3080</v>
      </c>
      <c r="C1962" s="5" t="s">
        <v>1416</v>
      </c>
      <c r="D1962" s="5" t="s">
        <v>6634</v>
      </c>
      <c r="E1962" s="8">
        <f>vlookup(B1962,Filmes_final!$B$2:$U$1001,20,FALSE)</f>
        <v>523548</v>
      </c>
      <c r="F1962" s="5">
        <f>vlookup(B1962,Filmes_final!$B$2:$U$1001,3,FALSE)</f>
        <v>2007</v>
      </c>
      <c r="G1962" s="5" t="str">
        <f>vlookup(B1962,Filmes_final!$B$2:$U$1001,13,FALSE)</f>
        <v>Imtiaz Ali</v>
      </c>
    </row>
    <row r="1963">
      <c r="A1963" s="5">
        <v>491.0</v>
      </c>
      <c r="B1963" s="5" t="s">
        <v>3080</v>
      </c>
      <c r="C1963" s="5" t="s">
        <v>2166</v>
      </c>
      <c r="D1963" s="5" t="s">
        <v>6635</v>
      </c>
      <c r="E1963" s="8">
        <f>vlookup(B1963,Filmes_final!$B$2:$U$1001,20,FALSE)</f>
        <v>523548</v>
      </c>
      <c r="F1963" s="5">
        <f>vlookup(B1963,Filmes_final!$B$2:$U$1001,3,FALSE)</f>
        <v>2007</v>
      </c>
      <c r="G1963" s="5" t="str">
        <f>vlookup(B1963,Filmes_final!$B$2:$U$1001,13,FALSE)</f>
        <v>Imtiaz Ali</v>
      </c>
    </row>
    <row r="1964">
      <c r="A1964" s="5">
        <v>491.0</v>
      </c>
      <c r="B1964" s="5" t="s">
        <v>3080</v>
      </c>
      <c r="C1964" s="5" t="s">
        <v>3084</v>
      </c>
      <c r="D1964" s="5" t="s">
        <v>6636</v>
      </c>
      <c r="E1964" s="8">
        <f>vlookup(B1964,Filmes_final!$B$2:$U$1001,20,FALSE)</f>
        <v>523548</v>
      </c>
      <c r="F1964" s="5">
        <f>vlookup(B1964,Filmes_final!$B$2:$U$1001,3,FALSE)</f>
        <v>2007</v>
      </c>
      <c r="G1964" s="5" t="str">
        <f>vlookup(B1964,Filmes_final!$B$2:$U$1001,13,FALSE)</f>
        <v>Imtiaz Ali</v>
      </c>
    </row>
    <row r="1965">
      <c r="A1965" s="5">
        <v>491.0</v>
      </c>
      <c r="B1965" s="5" t="s">
        <v>3080</v>
      </c>
      <c r="C1965" s="5" t="s">
        <v>3085</v>
      </c>
      <c r="D1965" s="5" t="s">
        <v>6637</v>
      </c>
      <c r="E1965" s="8">
        <f>vlookup(B1965,Filmes_final!$B$2:$U$1001,20,FALSE)</f>
        <v>523548</v>
      </c>
      <c r="F1965" s="5">
        <f>vlookup(B1965,Filmes_final!$B$2:$U$1001,3,FALSE)</f>
        <v>2007</v>
      </c>
      <c r="G1965" s="5" t="str">
        <f>vlookup(B1965,Filmes_final!$B$2:$U$1001,13,FALSE)</f>
        <v>Imtiaz Ali</v>
      </c>
    </row>
    <row r="1966">
      <c r="A1966" s="5">
        <v>492.0</v>
      </c>
      <c r="B1966" s="5" t="s">
        <v>3086</v>
      </c>
      <c r="C1966" s="5" t="s">
        <v>3088</v>
      </c>
      <c r="D1966" s="5" t="s">
        <v>6634</v>
      </c>
      <c r="E1966" s="8">
        <f>vlookup(B1966,Filmes_final!$B$2:$U$1001,20,FALSE)</f>
        <v>27989952</v>
      </c>
      <c r="F1966" s="5">
        <f>vlookup(B1966,Filmes_final!$B$2:$U$1001,3,FALSE)</f>
        <v>2014</v>
      </c>
      <c r="G1966" s="5" t="str">
        <f>vlookup(B1966,Filmes_final!$B$2:$U$1001,13,FALSE)</f>
        <v>Richard Linklater</v>
      </c>
    </row>
    <row r="1967">
      <c r="A1967" s="5">
        <v>492.0</v>
      </c>
      <c r="B1967" s="5" t="s">
        <v>3086</v>
      </c>
      <c r="C1967" s="5" t="s">
        <v>3089</v>
      </c>
      <c r="D1967" s="5" t="s">
        <v>6635</v>
      </c>
      <c r="E1967" s="8">
        <f>vlookup(B1967,Filmes_final!$B$2:$U$1001,20,FALSE)</f>
        <v>27989952</v>
      </c>
      <c r="F1967" s="5">
        <f>vlookup(B1967,Filmes_final!$B$2:$U$1001,3,FALSE)</f>
        <v>2014</v>
      </c>
      <c r="G1967" s="5" t="str">
        <f>vlookup(B1967,Filmes_final!$B$2:$U$1001,13,FALSE)</f>
        <v>Richard Linklater</v>
      </c>
    </row>
    <row r="1968">
      <c r="A1968" s="5">
        <v>492.0</v>
      </c>
      <c r="B1968" s="5" t="s">
        <v>3086</v>
      </c>
      <c r="C1968" s="5" t="s">
        <v>1642</v>
      </c>
      <c r="D1968" s="5" t="s">
        <v>6636</v>
      </c>
      <c r="E1968" s="8">
        <f>vlookup(B1968,Filmes_final!$B$2:$U$1001,20,FALSE)</f>
        <v>27989952</v>
      </c>
      <c r="F1968" s="5">
        <f>vlookup(B1968,Filmes_final!$B$2:$U$1001,3,FALSE)</f>
        <v>2014</v>
      </c>
      <c r="G1968" s="5" t="str">
        <f>vlookup(B1968,Filmes_final!$B$2:$U$1001,13,FALSE)</f>
        <v>Richard Linklater</v>
      </c>
    </row>
    <row r="1969">
      <c r="A1969" s="5">
        <v>492.0</v>
      </c>
      <c r="B1969" s="5" t="s">
        <v>3086</v>
      </c>
      <c r="C1969" s="5" t="s">
        <v>3090</v>
      </c>
      <c r="D1969" s="5" t="s">
        <v>6637</v>
      </c>
      <c r="E1969" s="8">
        <f>vlookup(B1969,Filmes_final!$B$2:$U$1001,20,FALSE)</f>
        <v>27989952</v>
      </c>
      <c r="F1969" s="5">
        <f>vlookup(B1969,Filmes_final!$B$2:$U$1001,3,FALSE)</f>
        <v>2014</v>
      </c>
      <c r="G1969" s="5" t="str">
        <f>vlookup(B1969,Filmes_final!$B$2:$U$1001,13,FALSE)</f>
        <v>Richard Linklater</v>
      </c>
    </row>
    <row r="1970">
      <c r="A1970" s="5">
        <v>493.0</v>
      </c>
      <c r="B1970" s="5" t="s">
        <v>3091</v>
      </c>
      <c r="C1970" s="5" t="s">
        <v>3094</v>
      </c>
      <c r="D1970" s="5" t="s">
        <v>6634</v>
      </c>
      <c r="E1970" s="8">
        <f>vlookup(B1970,Filmes_final!$B$2:$U$1001,20,FALSE)</f>
        <v>1511232</v>
      </c>
      <c r="F1970" s="5">
        <f>vlookup(B1970,Filmes_final!$B$2:$U$1001,3,FALSE)</f>
        <v>2007</v>
      </c>
      <c r="G1970" s="5" t="str">
        <f>vlookup(B1970,Filmes_final!$B$2:$U$1001,13,FALSE)</f>
        <v>Cristian Mungiu</v>
      </c>
    </row>
    <row r="1971">
      <c r="A1971" s="5">
        <v>493.0</v>
      </c>
      <c r="B1971" s="5" t="s">
        <v>3091</v>
      </c>
      <c r="C1971" s="5" t="s">
        <v>3095</v>
      </c>
      <c r="D1971" s="5" t="s">
        <v>6635</v>
      </c>
      <c r="E1971" s="8">
        <f>vlookup(B1971,Filmes_final!$B$2:$U$1001,20,FALSE)</f>
        <v>1511232</v>
      </c>
      <c r="F1971" s="5">
        <f>vlookup(B1971,Filmes_final!$B$2:$U$1001,3,FALSE)</f>
        <v>2007</v>
      </c>
      <c r="G1971" s="5" t="str">
        <f>vlookup(B1971,Filmes_final!$B$2:$U$1001,13,FALSE)</f>
        <v>Cristian Mungiu</v>
      </c>
    </row>
    <row r="1972">
      <c r="A1972" s="5">
        <v>493.0</v>
      </c>
      <c r="B1972" s="5" t="s">
        <v>3091</v>
      </c>
      <c r="C1972" s="5" t="s">
        <v>3096</v>
      </c>
      <c r="D1972" s="5" t="s">
        <v>6636</v>
      </c>
      <c r="E1972" s="8">
        <f>vlookup(B1972,Filmes_final!$B$2:$U$1001,20,FALSE)</f>
        <v>1511232</v>
      </c>
      <c r="F1972" s="5">
        <f>vlookup(B1972,Filmes_final!$B$2:$U$1001,3,FALSE)</f>
        <v>2007</v>
      </c>
      <c r="G1972" s="5" t="str">
        <f>vlookup(B1972,Filmes_final!$B$2:$U$1001,13,FALSE)</f>
        <v>Cristian Mungiu</v>
      </c>
    </row>
    <row r="1973">
      <c r="A1973" s="5">
        <v>493.0</v>
      </c>
      <c r="B1973" s="5" t="s">
        <v>3091</v>
      </c>
      <c r="C1973" s="5" t="s">
        <v>3097</v>
      </c>
      <c r="D1973" s="5" t="s">
        <v>6637</v>
      </c>
      <c r="E1973" s="8">
        <f>vlookup(B1973,Filmes_final!$B$2:$U$1001,20,FALSE)</f>
        <v>1511232</v>
      </c>
      <c r="F1973" s="5">
        <f>vlookup(B1973,Filmes_final!$B$2:$U$1001,3,FALSE)</f>
        <v>2007</v>
      </c>
      <c r="G1973" s="5" t="str">
        <f>vlookup(B1973,Filmes_final!$B$2:$U$1001,13,FALSE)</f>
        <v>Cristian Mungiu</v>
      </c>
    </row>
    <row r="1974">
      <c r="A1974" s="5">
        <v>494.0</v>
      </c>
      <c r="B1974" s="5" t="s">
        <v>3098</v>
      </c>
      <c r="C1974" s="5" t="s">
        <v>3100</v>
      </c>
      <c r="D1974" s="5" t="s">
        <v>6634</v>
      </c>
      <c r="E1974" s="8">
        <f>vlookup(B1974,Filmes_final!$B$2:$U$1001,20,FALSE)</f>
        <v>314890243</v>
      </c>
      <c r="F1974" s="5">
        <f>vlookup(B1974,Filmes_final!$B$2:$U$1001,3,FALSE)</f>
        <v>2009</v>
      </c>
      <c r="G1974" s="5" t="str">
        <f>vlookup(B1974,Filmes_final!$B$2:$U$1001,13,FALSE)</f>
        <v>J.J. Abrams</v>
      </c>
    </row>
    <row r="1975">
      <c r="A1975" s="5">
        <v>494.0</v>
      </c>
      <c r="B1975" s="5" t="s">
        <v>3098</v>
      </c>
      <c r="C1975" s="5" t="s">
        <v>3101</v>
      </c>
      <c r="D1975" s="5" t="s">
        <v>6635</v>
      </c>
      <c r="E1975" s="8">
        <f>vlookup(B1975,Filmes_final!$B$2:$U$1001,20,FALSE)</f>
        <v>314890243</v>
      </c>
      <c r="F1975" s="5">
        <f>vlookup(B1975,Filmes_final!$B$2:$U$1001,3,FALSE)</f>
        <v>2009</v>
      </c>
      <c r="G1975" s="5" t="str">
        <f>vlookup(B1975,Filmes_final!$B$2:$U$1001,13,FALSE)</f>
        <v>J.J. Abrams</v>
      </c>
    </row>
    <row r="1976">
      <c r="A1976" s="5">
        <v>494.0</v>
      </c>
      <c r="B1976" s="5" t="s">
        <v>3098</v>
      </c>
      <c r="C1976" s="5" t="s">
        <v>3102</v>
      </c>
      <c r="D1976" s="5" t="s">
        <v>6636</v>
      </c>
      <c r="E1976" s="8">
        <f>vlookup(B1976,Filmes_final!$B$2:$U$1001,20,FALSE)</f>
        <v>314890243</v>
      </c>
      <c r="F1976" s="5">
        <f>vlookup(B1976,Filmes_final!$B$2:$U$1001,3,FALSE)</f>
        <v>2009</v>
      </c>
      <c r="G1976" s="5" t="str">
        <f>vlookup(B1976,Filmes_final!$B$2:$U$1001,13,FALSE)</f>
        <v>J.J. Abrams</v>
      </c>
    </row>
    <row r="1977">
      <c r="A1977" s="5">
        <v>494.0</v>
      </c>
      <c r="B1977" s="5" t="s">
        <v>3098</v>
      </c>
      <c r="C1977" s="5" t="s">
        <v>3103</v>
      </c>
      <c r="D1977" s="5" t="s">
        <v>6637</v>
      </c>
      <c r="E1977" s="8">
        <f>vlookup(B1977,Filmes_final!$B$2:$U$1001,20,FALSE)</f>
        <v>314890243</v>
      </c>
      <c r="F1977" s="5">
        <f>vlookup(B1977,Filmes_final!$B$2:$U$1001,3,FALSE)</f>
        <v>2009</v>
      </c>
      <c r="G1977" s="5" t="str">
        <f>vlookup(B1977,Filmes_final!$B$2:$U$1001,13,FALSE)</f>
        <v>J.J. Abrams</v>
      </c>
    </row>
    <row r="1978">
      <c r="A1978" s="5">
        <v>495.0</v>
      </c>
      <c r="B1978" s="5" t="s">
        <v>3104</v>
      </c>
      <c r="C1978" s="5" t="s">
        <v>3106</v>
      </c>
      <c r="D1978" s="5" t="s">
        <v>6634</v>
      </c>
      <c r="E1978" s="8">
        <f>vlookup(B1978,Filmes_final!$B$2:$U$1001,20,FALSE)</f>
        <v>9480361</v>
      </c>
      <c r="F1978" s="5">
        <f>vlookup(B1978,Filmes_final!$B$2:$U$1001,3,FALSE)</f>
        <v>2008</v>
      </c>
      <c r="G1978" s="5" t="str">
        <f>vlookup(B1978,Filmes_final!$B$2:$U$1001,13,FALSE)</f>
        <v>Martin McDonagh</v>
      </c>
    </row>
    <row r="1979">
      <c r="A1979" s="5">
        <v>495.0</v>
      </c>
      <c r="B1979" s="5" t="s">
        <v>3104</v>
      </c>
      <c r="C1979" s="5" t="s">
        <v>1525</v>
      </c>
      <c r="D1979" s="5" t="s">
        <v>6635</v>
      </c>
      <c r="E1979" s="8">
        <f>vlookup(B1979,Filmes_final!$B$2:$U$1001,20,FALSE)</f>
        <v>9480361</v>
      </c>
      <c r="F1979" s="5">
        <f>vlookup(B1979,Filmes_final!$B$2:$U$1001,3,FALSE)</f>
        <v>2008</v>
      </c>
      <c r="G1979" s="5" t="str">
        <f>vlookup(B1979,Filmes_final!$B$2:$U$1001,13,FALSE)</f>
        <v>Martin McDonagh</v>
      </c>
    </row>
    <row r="1980">
      <c r="A1980" s="5">
        <v>495.0</v>
      </c>
      <c r="B1980" s="5" t="s">
        <v>3104</v>
      </c>
      <c r="C1980" s="5" t="s">
        <v>1094</v>
      </c>
      <c r="D1980" s="5" t="s">
        <v>6636</v>
      </c>
      <c r="E1980" s="8">
        <f>vlookup(B1980,Filmes_final!$B$2:$U$1001,20,FALSE)</f>
        <v>9480361</v>
      </c>
      <c r="F1980" s="5">
        <f>vlookup(B1980,Filmes_final!$B$2:$U$1001,3,FALSE)</f>
        <v>2008</v>
      </c>
      <c r="G1980" s="5" t="str">
        <f>vlookup(B1980,Filmes_final!$B$2:$U$1001,13,FALSE)</f>
        <v>Martin McDonagh</v>
      </c>
    </row>
    <row r="1981">
      <c r="A1981" s="5">
        <v>495.0</v>
      </c>
      <c r="B1981" s="5" t="s">
        <v>3104</v>
      </c>
      <c r="C1981" s="5" t="s">
        <v>3107</v>
      </c>
      <c r="D1981" s="5" t="s">
        <v>6637</v>
      </c>
      <c r="E1981" s="8">
        <f>vlookup(B1981,Filmes_final!$B$2:$U$1001,20,FALSE)</f>
        <v>9480361</v>
      </c>
      <c r="F1981" s="5">
        <f>vlookup(B1981,Filmes_final!$B$2:$U$1001,3,FALSE)</f>
        <v>2008</v>
      </c>
      <c r="G1981" s="5" t="str">
        <f>vlookup(B1981,Filmes_final!$B$2:$U$1001,13,FALSE)</f>
        <v>Martin McDonagh</v>
      </c>
    </row>
    <row r="1982">
      <c r="A1982" s="5">
        <v>496.0</v>
      </c>
      <c r="B1982" s="5" t="s">
        <v>3108</v>
      </c>
      <c r="C1982" s="5" t="s">
        <v>3112</v>
      </c>
      <c r="D1982" s="5" t="s">
        <v>6634</v>
      </c>
      <c r="E1982" s="8">
        <f>vlookup(B1982,Filmes_final!$B$2:$U$1001,20,FALSE)</f>
        <v>255</v>
      </c>
      <c r="F1982" s="5">
        <f>vlookup(B1982,Filmes_final!$B$2:$U$1001,3,FALSE)</f>
        <v>2007</v>
      </c>
      <c r="G1982" s="5" t="str">
        <f>vlookup(B1982,Filmes_final!$B$2:$U$1001,13,FALSE)</f>
        <v>Richard Schenkman</v>
      </c>
    </row>
    <row r="1983">
      <c r="A1983" s="5">
        <v>496.0</v>
      </c>
      <c r="B1983" s="5" t="s">
        <v>3108</v>
      </c>
      <c r="C1983" s="5" t="s">
        <v>3113</v>
      </c>
      <c r="D1983" s="5" t="s">
        <v>6635</v>
      </c>
      <c r="E1983" s="8">
        <f>vlookup(B1983,Filmes_final!$B$2:$U$1001,20,FALSE)</f>
        <v>255</v>
      </c>
      <c r="F1983" s="5">
        <f>vlookup(B1983,Filmes_final!$B$2:$U$1001,3,FALSE)</f>
        <v>2007</v>
      </c>
      <c r="G1983" s="5" t="str">
        <f>vlookup(B1983,Filmes_final!$B$2:$U$1001,13,FALSE)</f>
        <v>Richard Schenkman</v>
      </c>
    </row>
    <row r="1984">
      <c r="A1984" s="5">
        <v>496.0</v>
      </c>
      <c r="B1984" s="5" t="s">
        <v>3108</v>
      </c>
      <c r="C1984" s="5" t="s">
        <v>3114</v>
      </c>
      <c r="D1984" s="5" t="s">
        <v>6636</v>
      </c>
      <c r="E1984" s="8">
        <f>vlookup(B1984,Filmes_final!$B$2:$U$1001,20,FALSE)</f>
        <v>255</v>
      </c>
      <c r="F1984" s="5">
        <f>vlookup(B1984,Filmes_final!$B$2:$U$1001,3,FALSE)</f>
        <v>2007</v>
      </c>
      <c r="G1984" s="5" t="str">
        <f>vlookup(B1984,Filmes_final!$B$2:$U$1001,13,FALSE)</f>
        <v>Richard Schenkman</v>
      </c>
    </row>
    <row r="1985">
      <c r="A1985" s="5">
        <v>496.0</v>
      </c>
      <c r="B1985" s="5" t="s">
        <v>3108</v>
      </c>
      <c r="C1985" s="5" t="s">
        <v>3115</v>
      </c>
      <c r="D1985" s="5" t="s">
        <v>6637</v>
      </c>
      <c r="E1985" s="8">
        <f>vlookup(B1985,Filmes_final!$B$2:$U$1001,20,FALSE)</f>
        <v>255</v>
      </c>
      <c r="F1985" s="5">
        <f>vlookup(B1985,Filmes_final!$B$2:$U$1001,3,FALSE)</f>
        <v>2007</v>
      </c>
      <c r="G1985" s="5" t="str">
        <f>vlookup(B1985,Filmes_final!$B$2:$U$1001,13,FALSE)</f>
        <v>Richard Schenkman</v>
      </c>
    </row>
    <row r="1986">
      <c r="A1986" s="5">
        <v>497.0</v>
      </c>
      <c r="B1986" s="5" t="s">
        <v>3116</v>
      </c>
      <c r="C1986" s="5" t="s">
        <v>93</v>
      </c>
      <c r="D1986" s="5" t="s">
        <v>6634</v>
      </c>
      <c r="E1986" s="8">
        <f>vlookup(B1986,Filmes_final!$B$2:$U$1001,20,FALSE)</f>
        <v>17895463</v>
      </c>
      <c r="F1986" s="5">
        <f>vlookup(B1986,Filmes_final!$B$2:$U$1001,3,FALSE)</f>
        <v>2006</v>
      </c>
      <c r="G1986" s="5" t="str">
        <f>vlookup(B1986,Filmes_final!$B$2:$U$1001,13,FALSE)</f>
        <v>Clint Eastwood</v>
      </c>
    </row>
    <row r="1987">
      <c r="A1987" s="5">
        <v>497.0</v>
      </c>
      <c r="B1987" s="5" t="s">
        <v>3116</v>
      </c>
      <c r="C1987" s="5" t="s">
        <v>3118</v>
      </c>
      <c r="D1987" s="5" t="s">
        <v>6635</v>
      </c>
      <c r="E1987" s="8">
        <f>vlookup(B1987,Filmes_final!$B$2:$U$1001,20,FALSE)</f>
        <v>17895463</v>
      </c>
      <c r="F1987" s="5">
        <f>vlookup(B1987,Filmes_final!$B$2:$U$1001,3,FALSE)</f>
        <v>2006</v>
      </c>
      <c r="G1987" s="5" t="str">
        <f>vlookup(B1987,Filmes_final!$B$2:$U$1001,13,FALSE)</f>
        <v>Clint Eastwood</v>
      </c>
    </row>
    <row r="1988">
      <c r="A1988" s="5">
        <v>497.0</v>
      </c>
      <c r="B1988" s="5" t="s">
        <v>3116</v>
      </c>
      <c r="C1988" s="5" t="s">
        <v>3119</v>
      </c>
      <c r="D1988" s="5" t="s">
        <v>6636</v>
      </c>
      <c r="E1988" s="8">
        <f>vlookup(B1988,Filmes_final!$B$2:$U$1001,20,FALSE)</f>
        <v>17895463</v>
      </c>
      <c r="F1988" s="5">
        <f>vlookup(B1988,Filmes_final!$B$2:$U$1001,3,FALSE)</f>
        <v>2006</v>
      </c>
      <c r="G1988" s="5" t="str">
        <f>vlookup(B1988,Filmes_final!$B$2:$U$1001,13,FALSE)</f>
        <v>Clint Eastwood</v>
      </c>
    </row>
    <row r="1989">
      <c r="A1989" s="5">
        <v>497.0</v>
      </c>
      <c r="B1989" s="5" t="s">
        <v>3116</v>
      </c>
      <c r="C1989" s="5" t="s">
        <v>3120</v>
      </c>
      <c r="D1989" s="5" t="s">
        <v>6637</v>
      </c>
      <c r="E1989" s="8">
        <f>vlookup(B1989,Filmes_final!$B$2:$U$1001,20,FALSE)</f>
        <v>17895463</v>
      </c>
      <c r="F1989" s="5">
        <f>vlookup(B1989,Filmes_final!$B$2:$U$1001,3,FALSE)</f>
        <v>2006</v>
      </c>
      <c r="G1989" s="5" t="str">
        <f>vlookup(B1989,Filmes_final!$B$2:$U$1001,13,FALSE)</f>
        <v>Clint Eastwood</v>
      </c>
    </row>
    <row r="1990">
      <c r="A1990" s="5">
        <v>498.0</v>
      </c>
      <c r="B1990" s="5" t="s">
        <v>3121</v>
      </c>
      <c r="C1990" s="5" t="s">
        <v>3124</v>
      </c>
      <c r="D1990" s="5" t="s">
        <v>6634</v>
      </c>
      <c r="E1990" s="8">
        <f>vlookup(B1990,Filmes_final!$B$2:$U$1001,20,FALSE)</f>
        <v>2966534</v>
      </c>
      <c r="F1990" s="5">
        <f>vlookup(B1990,Filmes_final!$B$2:$U$1001,3,FALSE)</f>
        <v>2006</v>
      </c>
      <c r="G1990" s="5" t="str">
        <f>vlookup(B1990,Filmes_final!$B$2:$U$1001,13,FALSE)</f>
        <v>Tarsem Singh</v>
      </c>
    </row>
    <row r="1991">
      <c r="A1991" s="5">
        <v>498.0</v>
      </c>
      <c r="B1991" s="5" t="s">
        <v>3121</v>
      </c>
      <c r="C1991" s="5" t="s">
        <v>3125</v>
      </c>
      <c r="D1991" s="5" t="s">
        <v>6635</v>
      </c>
      <c r="E1991" s="8">
        <f>vlookup(B1991,Filmes_final!$B$2:$U$1001,20,FALSE)</f>
        <v>2966534</v>
      </c>
      <c r="F1991" s="5">
        <f>vlookup(B1991,Filmes_final!$B$2:$U$1001,3,FALSE)</f>
        <v>2006</v>
      </c>
      <c r="G1991" s="5" t="str">
        <f>vlookup(B1991,Filmes_final!$B$2:$U$1001,13,FALSE)</f>
        <v>Tarsem Singh</v>
      </c>
    </row>
    <row r="1992">
      <c r="A1992" s="5">
        <v>498.0</v>
      </c>
      <c r="B1992" s="5" t="s">
        <v>3121</v>
      </c>
      <c r="C1992" s="5" t="s">
        <v>3126</v>
      </c>
      <c r="D1992" s="5" t="s">
        <v>6636</v>
      </c>
      <c r="E1992" s="8">
        <f>vlookup(B1992,Filmes_final!$B$2:$U$1001,20,FALSE)</f>
        <v>2966534</v>
      </c>
      <c r="F1992" s="5">
        <f>vlookup(B1992,Filmes_final!$B$2:$U$1001,3,FALSE)</f>
        <v>2006</v>
      </c>
      <c r="G1992" s="5" t="str">
        <f>vlookup(B1992,Filmes_final!$B$2:$U$1001,13,FALSE)</f>
        <v>Tarsem Singh</v>
      </c>
    </row>
    <row r="1993">
      <c r="A1993" s="5">
        <v>498.0</v>
      </c>
      <c r="B1993" s="5" t="s">
        <v>3121</v>
      </c>
      <c r="C1993" s="5" t="s">
        <v>3127</v>
      </c>
      <c r="D1993" s="5" t="s">
        <v>6637</v>
      </c>
      <c r="E1993" s="8">
        <f>vlookup(B1993,Filmes_final!$B$2:$U$1001,20,FALSE)</f>
        <v>2966534</v>
      </c>
      <c r="F1993" s="5">
        <f>vlookup(B1993,Filmes_final!$B$2:$U$1001,3,FALSE)</f>
        <v>2006</v>
      </c>
      <c r="G1993" s="5" t="str">
        <f>vlookup(B1993,Filmes_final!$B$2:$U$1001,13,FALSE)</f>
        <v>Tarsem Singh</v>
      </c>
    </row>
    <row r="1994">
      <c r="A1994" s="5">
        <v>499.0</v>
      </c>
      <c r="B1994" s="5" t="s">
        <v>3128</v>
      </c>
      <c r="C1994" s="5" t="s">
        <v>3131</v>
      </c>
      <c r="D1994" s="5" t="s">
        <v>6634</v>
      </c>
      <c r="E1994" s="8">
        <f>vlookup(B1994,Filmes_final!$B$2:$U$1001,20,FALSE)</f>
        <v>142249696</v>
      </c>
      <c r="F1994" s="5">
        <f>vlookup(B1994,Filmes_final!$B$2:$U$1001,3,FALSE)</f>
        <v>2012</v>
      </c>
      <c r="G1994" s="5" t="str">
        <f>vlookup(B1994,Filmes_final!$B$2:$U$1001,13,FALSE)</f>
        <v>Ang Lee</v>
      </c>
    </row>
    <row r="1995">
      <c r="A1995" s="5">
        <v>499.0</v>
      </c>
      <c r="B1995" s="5" t="s">
        <v>3128</v>
      </c>
      <c r="C1995" s="5" t="s">
        <v>980</v>
      </c>
      <c r="D1995" s="5" t="s">
        <v>6635</v>
      </c>
      <c r="E1995" s="8">
        <f>vlookup(B1995,Filmes_final!$B$2:$U$1001,20,FALSE)</f>
        <v>142249696</v>
      </c>
      <c r="F1995" s="5">
        <f>vlookup(B1995,Filmes_final!$B$2:$U$1001,3,FALSE)</f>
        <v>2012</v>
      </c>
      <c r="G1995" s="5" t="str">
        <f>vlookup(B1995,Filmes_final!$B$2:$U$1001,13,FALSE)</f>
        <v>Ang Lee</v>
      </c>
    </row>
    <row r="1996">
      <c r="A1996" s="5">
        <v>499.0</v>
      </c>
      <c r="B1996" s="5" t="s">
        <v>3128</v>
      </c>
      <c r="C1996" s="5" t="s">
        <v>3132</v>
      </c>
      <c r="D1996" s="5" t="s">
        <v>6636</v>
      </c>
      <c r="E1996" s="8">
        <f>vlookup(B1996,Filmes_final!$B$2:$U$1001,20,FALSE)</f>
        <v>142249696</v>
      </c>
      <c r="F1996" s="5">
        <f>vlookup(B1996,Filmes_final!$B$2:$U$1001,3,FALSE)</f>
        <v>2012</v>
      </c>
      <c r="G1996" s="5" t="str">
        <f>vlookup(B1996,Filmes_final!$B$2:$U$1001,13,FALSE)</f>
        <v>Ang Lee</v>
      </c>
    </row>
    <row r="1997">
      <c r="A1997" s="5">
        <v>499.0</v>
      </c>
      <c r="B1997" s="5" t="s">
        <v>3128</v>
      </c>
      <c r="C1997" s="5" t="s">
        <v>660</v>
      </c>
      <c r="D1997" s="5" t="s">
        <v>6637</v>
      </c>
      <c r="E1997" s="8">
        <f>vlookup(B1997,Filmes_final!$B$2:$U$1001,20,FALSE)</f>
        <v>142249696</v>
      </c>
      <c r="F1997" s="5">
        <f>vlookup(B1997,Filmes_final!$B$2:$U$1001,3,FALSE)</f>
        <v>2012</v>
      </c>
      <c r="G1997" s="5" t="str">
        <f>vlookup(B1997,Filmes_final!$B$2:$U$1001,13,FALSE)</f>
        <v>Ang Lee</v>
      </c>
    </row>
    <row r="1998">
      <c r="A1998" s="5">
        <v>500.0</v>
      </c>
      <c r="B1998" s="5" t="s">
        <v>3133</v>
      </c>
      <c r="C1998" s="5" t="s">
        <v>3135</v>
      </c>
      <c r="D1998" s="5" t="s">
        <v>6634</v>
      </c>
      <c r="E1998" s="8">
        <f>vlookup(B1998,Filmes_final!$B$2:$U$1001,20,FALSE)</f>
        <v>25661017</v>
      </c>
      <c r="F1998" s="5">
        <f>vlookup(B1998,Filmes_final!$B$2:$U$1001,3,FALSE)</f>
        <v>2009</v>
      </c>
      <c r="G1998" s="5" t="str">
        <f>vlookup(B1998,Filmes_final!$B$2:$U$1001,13,FALSE)</f>
        <v>Wes Anderson</v>
      </c>
    </row>
    <row r="1999">
      <c r="A1999" s="5">
        <v>500.0</v>
      </c>
      <c r="B1999" s="5" t="s">
        <v>3133</v>
      </c>
      <c r="C1999" s="5" t="s">
        <v>3136</v>
      </c>
      <c r="D1999" s="5" t="s">
        <v>6635</v>
      </c>
      <c r="E1999" s="8">
        <f>vlookup(B1999,Filmes_final!$B$2:$U$1001,20,FALSE)</f>
        <v>25661017</v>
      </c>
      <c r="F1999" s="5">
        <f>vlookup(B1999,Filmes_final!$B$2:$U$1001,3,FALSE)</f>
        <v>2009</v>
      </c>
      <c r="G1999" s="5" t="str">
        <f>vlookup(B1999,Filmes_final!$B$2:$U$1001,13,FALSE)</f>
        <v>Wes Anderson</v>
      </c>
    </row>
    <row r="2000">
      <c r="A2000" s="5">
        <v>500.0</v>
      </c>
      <c r="B2000" s="5" t="s">
        <v>3133</v>
      </c>
      <c r="C2000" s="5" t="s">
        <v>2569</v>
      </c>
      <c r="D2000" s="5" t="s">
        <v>6636</v>
      </c>
      <c r="E2000" s="8">
        <f>vlookup(B2000,Filmes_final!$B$2:$U$1001,20,FALSE)</f>
        <v>25661017</v>
      </c>
      <c r="F2000" s="5">
        <f>vlookup(B2000,Filmes_final!$B$2:$U$1001,3,FALSE)</f>
        <v>2009</v>
      </c>
      <c r="G2000" s="5" t="str">
        <f>vlookup(B2000,Filmes_final!$B$2:$U$1001,13,FALSE)</f>
        <v>Wes Anderson</v>
      </c>
    </row>
    <row r="2001">
      <c r="A2001" s="5">
        <v>500.0</v>
      </c>
      <c r="B2001" s="5" t="s">
        <v>3133</v>
      </c>
      <c r="C2001" s="5" t="s">
        <v>995</v>
      </c>
      <c r="D2001" s="5" t="s">
        <v>6637</v>
      </c>
      <c r="E2001" s="8">
        <f>vlookup(B2001,Filmes_final!$B$2:$U$1001,20,FALSE)</f>
        <v>25661017</v>
      </c>
      <c r="F2001" s="5">
        <f>vlookup(B2001,Filmes_final!$B$2:$U$1001,3,FALSE)</f>
        <v>2009</v>
      </c>
      <c r="G2001" s="5" t="str">
        <f>vlookup(B2001,Filmes_final!$B$2:$U$1001,13,FALSE)</f>
        <v>Wes Anderson</v>
      </c>
    </row>
    <row r="2002">
      <c r="A2002" s="5">
        <v>501.0</v>
      </c>
      <c r="B2002" s="5" t="s">
        <v>3137</v>
      </c>
      <c r="C2002" s="5" t="s">
        <v>3139</v>
      </c>
      <c r="D2002" s="5" t="s">
        <v>6634</v>
      </c>
      <c r="E2002" s="8">
        <f>vlookup(B2002,Filmes_final!$B$2:$U$1001,20,FALSE)</f>
        <v>5018962</v>
      </c>
      <c r="F2002" s="5">
        <f>vlookup(B2002,Filmes_final!$B$2:$U$1001,3,FALSE)</f>
        <v>2005</v>
      </c>
      <c r="G2002" s="5" t="str">
        <f>vlookup(B2002,Filmes_final!$B$2:$U$1001,13,FALSE)</f>
        <v>Jean-Marc Vallée</v>
      </c>
    </row>
    <row r="2003">
      <c r="A2003" s="5">
        <v>501.0</v>
      </c>
      <c r="B2003" s="5" t="s">
        <v>3137</v>
      </c>
      <c r="C2003" s="5" t="s">
        <v>3140</v>
      </c>
      <c r="D2003" s="5" t="s">
        <v>6635</v>
      </c>
      <c r="E2003" s="8">
        <f>vlookup(B2003,Filmes_final!$B$2:$U$1001,20,FALSE)</f>
        <v>5018962</v>
      </c>
      <c r="F2003" s="5">
        <f>vlookup(B2003,Filmes_final!$B$2:$U$1001,3,FALSE)</f>
        <v>2005</v>
      </c>
      <c r="G2003" s="5" t="str">
        <f>vlookup(B2003,Filmes_final!$B$2:$U$1001,13,FALSE)</f>
        <v>Jean-Marc Vallée</v>
      </c>
    </row>
    <row r="2004">
      <c r="A2004" s="5">
        <v>501.0</v>
      </c>
      <c r="B2004" s="5" t="s">
        <v>3137</v>
      </c>
      <c r="C2004" s="5" t="s">
        <v>3141</v>
      </c>
      <c r="D2004" s="5" t="s">
        <v>6636</v>
      </c>
      <c r="E2004" s="8">
        <f>vlookup(B2004,Filmes_final!$B$2:$U$1001,20,FALSE)</f>
        <v>5018962</v>
      </c>
      <c r="F2004" s="5">
        <f>vlookup(B2004,Filmes_final!$B$2:$U$1001,3,FALSE)</f>
        <v>2005</v>
      </c>
      <c r="G2004" s="5" t="str">
        <f>vlookup(B2004,Filmes_final!$B$2:$U$1001,13,FALSE)</f>
        <v>Jean-Marc Vallée</v>
      </c>
    </row>
    <row r="2005">
      <c r="A2005" s="5">
        <v>501.0</v>
      </c>
      <c r="B2005" s="5" t="s">
        <v>3137</v>
      </c>
      <c r="C2005" s="5" t="s">
        <v>3142</v>
      </c>
      <c r="D2005" s="5" t="s">
        <v>6637</v>
      </c>
      <c r="E2005" s="8">
        <f>vlookup(B2005,Filmes_final!$B$2:$U$1001,20,FALSE)</f>
        <v>5018962</v>
      </c>
      <c r="F2005" s="5">
        <f>vlookup(B2005,Filmes_final!$B$2:$U$1001,3,FALSE)</f>
        <v>2005</v>
      </c>
      <c r="G2005" s="5" t="str">
        <f>vlookup(B2005,Filmes_final!$B$2:$U$1001,13,FALSE)</f>
        <v>Jean-Marc Vallée</v>
      </c>
    </row>
    <row r="2006">
      <c r="A2006" s="5">
        <v>502.0</v>
      </c>
      <c r="B2006" s="5" t="s">
        <v>3143</v>
      </c>
      <c r="C2006" s="5" t="s">
        <v>3146</v>
      </c>
      <c r="D2006" s="5" t="s">
        <v>6634</v>
      </c>
      <c r="E2006" s="8">
        <f>vlookup(B2006,Filmes_final!$B$2:$U$1001,20,FALSE)</f>
        <v>5063536</v>
      </c>
      <c r="F2006" s="5">
        <f>vlookup(B2006,Filmes_final!$B$2:$U$1001,3,FALSE)</f>
        <v>2004</v>
      </c>
      <c r="G2006" s="5" t="str">
        <f>vlookup(B2006,Filmes_final!$B$2:$U$1001,13,FALSE)</f>
        <v>Christophe Barratier</v>
      </c>
    </row>
    <row r="2007">
      <c r="A2007" s="5">
        <v>502.0</v>
      </c>
      <c r="B2007" s="5" t="s">
        <v>3143</v>
      </c>
      <c r="C2007" s="5" t="s">
        <v>3147</v>
      </c>
      <c r="D2007" s="5" t="s">
        <v>6635</v>
      </c>
      <c r="E2007" s="8">
        <f>vlookup(B2007,Filmes_final!$B$2:$U$1001,20,FALSE)</f>
        <v>5063536</v>
      </c>
      <c r="F2007" s="5">
        <f>vlookup(B2007,Filmes_final!$B$2:$U$1001,3,FALSE)</f>
        <v>2004</v>
      </c>
      <c r="G2007" s="5" t="str">
        <f>vlookup(B2007,Filmes_final!$B$2:$U$1001,13,FALSE)</f>
        <v>Christophe Barratier</v>
      </c>
    </row>
    <row r="2008">
      <c r="A2008" s="5">
        <v>502.0</v>
      </c>
      <c r="B2008" s="5" t="s">
        <v>3143</v>
      </c>
      <c r="C2008" s="5" t="s">
        <v>3148</v>
      </c>
      <c r="D2008" s="5" t="s">
        <v>6636</v>
      </c>
      <c r="E2008" s="8">
        <f>vlookup(B2008,Filmes_final!$B$2:$U$1001,20,FALSE)</f>
        <v>5063536</v>
      </c>
      <c r="F2008" s="5">
        <f>vlookup(B2008,Filmes_final!$B$2:$U$1001,3,FALSE)</f>
        <v>2004</v>
      </c>
      <c r="G2008" s="5" t="str">
        <f>vlookup(B2008,Filmes_final!$B$2:$U$1001,13,FALSE)</f>
        <v>Christophe Barratier</v>
      </c>
    </row>
    <row r="2009">
      <c r="A2009" s="5">
        <v>502.0</v>
      </c>
      <c r="B2009" s="5" t="s">
        <v>3143</v>
      </c>
      <c r="C2009" s="5" t="s">
        <v>3149</v>
      </c>
      <c r="D2009" s="5" t="s">
        <v>6637</v>
      </c>
      <c r="E2009" s="8">
        <f>vlookup(B2009,Filmes_final!$B$2:$U$1001,20,FALSE)</f>
        <v>5063536</v>
      </c>
      <c r="F2009" s="5">
        <f>vlookup(B2009,Filmes_final!$B$2:$U$1001,3,FALSE)</f>
        <v>2004</v>
      </c>
      <c r="G2009" s="5" t="str">
        <f>vlookup(B2009,Filmes_final!$B$2:$U$1001,13,FALSE)</f>
        <v>Christophe Barratier</v>
      </c>
    </row>
    <row r="2010">
      <c r="A2010" s="5">
        <v>503.0</v>
      </c>
      <c r="B2010" s="5" t="s">
        <v>3150</v>
      </c>
      <c r="C2010" s="5" t="s">
        <v>479</v>
      </c>
      <c r="D2010" s="5" t="s">
        <v>6634</v>
      </c>
      <c r="E2010" s="8">
        <f>vlookup(B2010,Filmes_final!$B$2:$U$1001,20,FALSE)</f>
        <v>389146712</v>
      </c>
      <c r="F2010" s="5">
        <f>vlookup(B2010,Filmes_final!$B$2:$U$1001,3,FALSE)</f>
        <v>2008</v>
      </c>
      <c r="G2010" s="5" t="str">
        <f>vlookup(B2010,Filmes_final!$B$2:$U$1001,13,FALSE)</f>
        <v>Jon Favreau</v>
      </c>
    </row>
    <row r="2011">
      <c r="A2011" s="5">
        <v>503.0</v>
      </c>
      <c r="B2011" s="5" t="s">
        <v>3150</v>
      </c>
      <c r="C2011" s="5" t="s">
        <v>3153</v>
      </c>
      <c r="D2011" s="5" t="s">
        <v>6635</v>
      </c>
      <c r="E2011" s="8">
        <f>vlookup(B2011,Filmes_final!$B$2:$U$1001,20,FALSE)</f>
        <v>389146712</v>
      </c>
      <c r="F2011" s="5">
        <f>vlookup(B2011,Filmes_final!$B$2:$U$1001,3,FALSE)</f>
        <v>2008</v>
      </c>
      <c r="G2011" s="5" t="str">
        <f>vlookup(B2011,Filmes_final!$B$2:$U$1001,13,FALSE)</f>
        <v>Jon Favreau</v>
      </c>
    </row>
    <row r="2012">
      <c r="A2012" s="5">
        <v>503.0</v>
      </c>
      <c r="B2012" s="5" t="s">
        <v>3150</v>
      </c>
      <c r="C2012" s="5" t="s">
        <v>3154</v>
      </c>
      <c r="D2012" s="5" t="s">
        <v>6636</v>
      </c>
      <c r="E2012" s="8">
        <f>vlookup(B2012,Filmes_final!$B$2:$U$1001,20,FALSE)</f>
        <v>389146712</v>
      </c>
      <c r="F2012" s="5">
        <f>vlookup(B2012,Filmes_final!$B$2:$U$1001,3,FALSE)</f>
        <v>2008</v>
      </c>
      <c r="G2012" s="5" t="str">
        <f>vlookup(B2012,Filmes_final!$B$2:$U$1001,13,FALSE)</f>
        <v>Jon Favreau</v>
      </c>
    </row>
    <row r="2013">
      <c r="A2013" s="5">
        <v>503.0</v>
      </c>
      <c r="B2013" s="5" t="s">
        <v>3150</v>
      </c>
      <c r="C2013" s="5" t="s">
        <v>1727</v>
      </c>
      <c r="D2013" s="5" t="s">
        <v>6637</v>
      </c>
      <c r="E2013" s="8">
        <f>vlookup(B2013,Filmes_final!$B$2:$U$1001,20,FALSE)</f>
        <v>389146712</v>
      </c>
      <c r="F2013" s="5">
        <f>vlookup(B2013,Filmes_final!$B$2:$U$1001,3,FALSE)</f>
        <v>2008</v>
      </c>
      <c r="G2013" s="5" t="str">
        <f>vlookup(B2013,Filmes_final!$B$2:$U$1001,13,FALSE)</f>
        <v>Jon Favreau</v>
      </c>
    </row>
    <row r="2014">
      <c r="A2014" s="5">
        <v>504.0</v>
      </c>
      <c r="B2014" s="5" t="s">
        <v>3155</v>
      </c>
      <c r="C2014" s="5" t="s">
        <v>3102</v>
      </c>
      <c r="D2014" s="5" t="s">
        <v>6634</v>
      </c>
      <c r="E2014" s="8">
        <f>vlookup(B2014,Filmes_final!$B$2:$U$1001,20,FALSE)</f>
        <v>18864302</v>
      </c>
      <c r="F2014" s="5">
        <f>vlookup(B2014,Filmes_final!$B$2:$U$1001,3,FALSE)</f>
        <v>2004</v>
      </c>
      <c r="G2014" s="5" t="str">
        <f>vlookup(B2014,Filmes_final!$B$2:$U$1001,13,FALSE)</f>
        <v>Edgar Wright</v>
      </c>
    </row>
    <row r="2015">
      <c r="A2015" s="5">
        <v>504.0</v>
      </c>
      <c r="B2015" s="5" t="s">
        <v>3155</v>
      </c>
      <c r="C2015" s="5" t="s">
        <v>3159</v>
      </c>
      <c r="D2015" s="5" t="s">
        <v>6635</v>
      </c>
      <c r="E2015" s="8">
        <f>vlookup(B2015,Filmes_final!$B$2:$U$1001,20,FALSE)</f>
        <v>18864302</v>
      </c>
      <c r="F2015" s="5">
        <f>vlookup(B2015,Filmes_final!$B$2:$U$1001,3,FALSE)</f>
        <v>2004</v>
      </c>
      <c r="G2015" s="5" t="str">
        <f>vlookup(B2015,Filmes_final!$B$2:$U$1001,13,FALSE)</f>
        <v>Edgar Wright</v>
      </c>
    </row>
    <row r="2016">
      <c r="A2016" s="5">
        <v>504.0</v>
      </c>
      <c r="B2016" s="5" t="s">
        <v>3155</v>
      </c>
      <c r="C2016" s="5" t="s">
        <v>3160</v>
      </c>
      <c r="D2016" s="5" t="s">
        <v>6636</v>
      </c>
      <c r="E2016" s="8">
        <f>vlookup(B2016,Filmes_final!$B$2:$U$1001,20,FALSE)</f>
        <v>18864302</v>
      </c>
      <c r="F2016" s="5">
        <f>vlookup(B2016,Filmes_final!$B$2:$U$1001,3,FALSE)</f>
        <v>2004</v>
      </c>
      <c r="G2016" s="5" t="str">
        <f>vlookup(B2016,Filmes_final!$B$2:$U$1001,13,FALSE)</f>
        <v>Edgar Wright</v>
      </c>
    </row>
    <row r="2017">
      <c r="A2017" s="5">
        <v>504.0</v>
      </c>
      <c r="B2017" s="5" t="s">
        <v>3155</v>
      </c>
      <c r="C2017" s="5" t="s">
        <v>3161</v>
      </c>
      <c r="D2017" s="5" t="s">
        <v>6637</v>
      </c>
      <c r="E2017" s="8">
        <f>vlookup(B2017,Filmes_final!$B$2:$U$1001,20,FALSE)</f>
        <v>18864302</v>
      </c>
      <c r="F2017" s="5">
        <f>vlookup(B2017,Filmes_final!$B$2:$U$1001,3,FALSE)</f>
        <v>2004</v>
      </c>
      <c r="G2017" s="5" t="str">
        <f>vlookup(B2017,Filmes_final!$B$2:$U$1001,13,FALSE)</f>
        <v>Edgar Wright</v>
      </c>
    </row>
    <row r="2018">
      <c r="A2018" s="5">
        <v>505.0</v>
      </c>
      <c r="B2018" s="5" t="s">
        <v>3162</v>
      </c>
      <c r="C2018" s="5" t="s">
        <v>3165</v>
      </c>
      <c r="D2018" s="5" t="s">
        <v>6634</v>
      </c>
      <c r="E2018" s="8">
        <f>vlookup(B2018,Filmes_final!$B$2:$U$1001,20,FALSE)</f>
        <v>15413908</v>
      </c>
      <c r="F2018" s="5">
        <f>vlookup(B2018,Filmes_final!$B$2:$U$1001,3,FALSE)</f>
        <v>2004</v>
      </c>
      <c r="G2018" s="5" t="str">
        <f>vlookup(B2018,Filmes_final!$B$2:$U$1001,13,FALSE)</f>
        <v>Fatih Akin</v>
      </c>
    </row>
    <row r="2019">
      <c r="A2019" s="5">
        <v>505.0</v>
      </c>
      <c r="B2019" s="5" t="s">
        <v>3162</v>
      </c>
      <c r="C2019" s="5" t="s">
        <v>3166</v>
      </c>
      <c r="D2019" s="5" t="s">
        <v>6635</v>
      </c>
      <c r="E2019" s="8">
        <f>vlookup(B2019,Filmes_final!$B$2:$U$1001,20,FALSE)</f>
        <v>15413908</v>
      </c>
      <c r="F2019" s="5">
        <f>vlookup(B2019,Filmes_final!$B$2:$U$1001,3,FALSE)</f>
        <v>2004</v>
      </c>
      <c r="G2019" s="5" t="str">
        <f>vlookup(B2019,Filmes_final!$B$2:$U$1001,13,FALSE)</f>
        <v>Fatih Akin</v>
      </c>
    </row>
    <row r="2020">
      <c r="A2020" s="5">
        <v>505.0</v>
      </c>
      <c r="B2020" s="5" t="s">
        <v>3162</v>
      </c>
      <c r="C2020" s="5" t="s">
        <v>3167</v>
      </c>
      <c r="D2020" s="5" t="s">
        <v>6636</v>
      </c>
      <c r="E2020" s="8">
        <f>vlookup(B2020,Filmes_final!$B$2:$U$1001,20,FALSE)</f>
        <v>15413908</v>
      </c>
      <c r="F2020" s="5">
        <f>vlookup(B2020,Filmes_final!$B$2:$U$1001,3,FALSE)</f>
        <v>2004</v>
      </c>
      <c r="G2020" s="5" t="str">
        <f>vlookup(B2020,Filmes_final!$B$2:$U$1001,13,FALSE)</f>
        <v>Fatih Akin</v>
      </c>
    </row>
    <row r="2021">
      <c r="A2021" s="5">
        <v>505.0</v>
      </c>
      <c r="B2021" s="5" t="s">
        <v>3162</v>
      </c>
      <c r="C2021" s="5" t="s">
        <v>3168</v>
      </c>
      <c r="D2021" s="5" t="s">
        <v>6637</v>
      </c>
      <c r="E2021" s="8">
        <f>vlookup(B2021,Filmes_final!$B$2:$U$1001,20,FALSE)</f>
        <v>15413908</v>
      </c>
      <c r="F2021" s="5">
        <f>vlookup(B2021,Filmes_final!$B$2:$U$1001,3,FALSE)</f>
        <v>2004</v>
      </c>
      <c r="G2021" s="5" t="str">
        <f>vlookup(B2021,Filmes_final!$B$2:$U$1001,13,FALSE)</f>
        <v>Fatih Akin</v>
      </c>
    </row>
    <row r="2022">
      <c r="A2022" s="5">
        <v>506.0</v>
      </c>
      <c r="B2022" s="5" t="s">
        <v>3169</v>
      </c>
      <c r="C2022" s="5" t="s">
        <v>1605</v>
      </c>
      <c r="D2022" s="5" t="s">
        <v>6634</v>
      </c>
      <c r="E2022" s="8">
        <f>vlookup(B2022,Filmes_final!$B$2:$U$1001,20,FALSE)</f>
        <v>127970641</v>
      </c>
      <c r="F2022" s="5">
        <f>vlookup(B2022,Filmes_final!$B$2:$U$1001,3,FALSE)</f>
        <v>2003</v>
      </c>
      <c r="G2022" s="5" t="str">
        <f>vlookup(B2022,Filmes_final!$B$2:$U$1001,13,FALSE)</f>
        <v>Clint Eastwood</v>
      </c>
    </row>
    <row r="2023">
      <c r="A2023" s="5">
        <v>506.0</v>
      </c>
      <c r="B2023" s="5" t="s">
        <v>3169</v>
      </c>
      <c r="C2023" s="5" t="s">
        <v>23</v>
      </c>
      <c r="D2023" s="5" t="s">
        <v>6635</v>
      </c>
      <c r="E2023" s="8">
        <f>vlookup(B2023,Filmes_final!$B$2:$U$1001,20,FALSE)</f>
        <v>127970641</v>
      </c>
      <c r="F2023" s="5">
        <f>vlookup(B2023,Filmes_final!$B$2:$U$1001,3,FALSE)</f>
        <v>2003</v>
      </c>
      <c r="G2023" s="5" t="str">
        <f>vlookup(B2023,Filmes_final!$B$2:$U$1001,13,FALSE)</f>
        <v>Clint Eastwood</v>
      </c>
    </row>
    <row r="2024">
      <c r="A2024" s="5">
        <v>506.0</v>
      </c>
      <c r="B2024" s="5" t="s">
        <v>3169</v>
      </c>
      <c r="C2024" s="5" t="s">
        <v>3171</v>
      </c>
      <c r="D2024" s="5" t="s">
        <v>6636</v>
      </c>
      <c r="E2024" s="8">
        <f>vlookup(B2024,Filmes_final!$B$2:$U$1001,20,FALSE)</f>
        <v>127970641</v>
      </c>
      <c r="F2024" s="5">
        <f>vlookup(B2024,Filmes_final!$B$2:$U$1001,3,FALSE)</f>
        <v>2003</v>
      </c>
      <c r="G2024" s="5" t="str">
        <f>vlookup(B2024,Filmes_final!$B$2:$U$1001,13,FALSE)</f>
        <v>Clint Eastwood</v>
      </c>
    </row>
    <row r="2025">
      <c r="A2025" s="5">
        <v>506.0</v>
      </c>
      <c r="B2025" s="5" t="s">
        <v>3169</v>
      </c>
      <c r="C2025" s="5" t="s">
        <v>3172</v>
      </c>
      <c r="D2025" s="5" t="s">
        <v>6637</v>
      </c>
      <c r="E2025" s="8">
        <f>vlookup(B2025,Filmes_final!$B$2:$U$1001,20,FALSE)</f>
        <v>127970641</v>
      </c>
      <c r="F2025" s="5">
        <f>vlookup(B2025,Filmes_final!$B$2:$U$1001,3,FALSE)</f>
        <v>2003</v>
      </c>
      <c r="G2025" s="5" t="str">
        <f>vlookup(B2025,Filmes_final!$B$2:$U$1001,13,FALSE)</f>
        <v>Clint Eastwood</v>
      </c>
    </row>
    <row r="2026">
      <c r="A2026" s="5">
        <v>507.0</v>
      </c>
      <c r="B2026" s="5" t="s">
        <v>3173</v>
      </c>
      <c r="C2026" s="5" t="s">
        <v>1568</v>
      </c>
      <c r="D2026" s="5" t="s">
        <v>6634</v>
      </c>
      <c r="E2026" s="8">
        <f>vlookup(B2026,Filmes_final!$B$2:$U$1001,20,FALSE)</f>
        <v>347339743</v>
      </c>
      <c r="F2026" s="5">
        <f>vlookup(B2026,Filmes_final!$B$2:$U$1001,3,FALSE)</f>
        <v>2004</v>
      </c>
      <c r="G2026" s="5" t="str">
        <f>vlookup(B2026,Filmes_final!$B$2:$U$1001,13,FALSE)</f>
        <v>Alfonso Cuarón</v>
      </c>
    </row>
    <row r="2027">
      <c r="A2027" s="5">
        <v>507.0</v>
      </c>
      <c r="B2027" s="5" t="s">
        <v>3173</v>
      </c>
      <c r="C2027" s="5" t="s">
        <v>1569</v>
      </c>
      <c r="D2027" s="5" t="s">
        <v>6635</v>
      </c>
      <c r="E2027" s="8">
        <f>vlookup(B2027,Filmes_final!$B$2:$U$1001,20,FALSE)</f>
        <v>347339743</v>
      </c>
      <c r="F2027" s="5">
        <f>vlookup(B2027,Filmes_final!$B$2:$U$1001,3,FALSE)</f>
        <v>2004</v>
      </c>
      <c r="G2027" s="5" t="str">
        <f>vlookup(B2027,Filmes_final!$B$2:$U$1001,13,FALSE)</f>
        <v>Alfonso Cuarón</v>
      </c>
    </row>
    <row r="2028">
      <c r="A2028" s="5">
        <v>507.0</v>
      </c>
      <c r="B2028" s="5" t="s">
        <v>3173</v>
      </c>
      <c r="C2028" s="5" t="s">
        <v>1570</v>
      </c>
      <c r="D2028" s="5" t="s">
        <v>6636</v>
      </c>
      <c r="E2028" s="8">
        <f>vlookup(B2028,Filmes_final!$B$2:$U$1001,20,FALSE)</f>
        <v>347339743</v>
      </c>
      <c r="F2028" s="5">
        <f>vlookup(B2028,Filmes_final!$B$2:$U$1001,3,FALSE)</f>
        <v>2004</v>
      </c>
      <c r="G2028" s="5" t="str">
        <f>vlookup(B2028,Filmes_final!$B$2:$U$1001,13,FALSE)</f>
        <v>Alfonso Cuarón</v>
      </c>
    </row>
    <row r="2029">
      <c r="A2029" s="5">
        <v>507.0</v>
      </c>
      <c r="B2029" s="5" t="s">
        <v>3173</v>
      </c>
      <c r="C2029" s="5" t="s">
        <v>3176</v>
      </c>
      <c r="D2029" s="5" t="s">
        <v>6637</v>
      </c>
      <c r="E2029" s="8">
        <f>vlookup(B2029,Filmes_final!$B$2:$U$1001,20,FALSE)</f>
        <v>347339743</v>
      </c>
      <c r="F2029" s="5">
        <f>vlookup(B2029,Filmes_final!$B$2:$U$1001,3,FALSE)</f>
        <v>2004</v>
      </c>
      <c r="G2029" s="5" t="str">
        <f>vlookup(B2029,Filmes_final!$B$2:$U$1001,13,FALSE)</f>
        <v>Alfonso Cuarón</v>
      </c>
    </row>
    <row r="2030">
      <c r="A2030" s="5">
        <v>508.0</v>
      </c>
      <c r="B2030" s="5" t="s">
        <v>3177</v>
      </c>
      <c r="C2030" s="5" t="s">
        <v>3180</v>
      </c>
      <c r="D2030" s="5" t="s">
        <v>6634</v>
      </c>
      <c r="E2030" s="8">
        <f>vlookup(B2030,Filmes_final!$B$2:$U$1001,20,FALSE)</f>
        <v>78236179</v>
      </c>
      <c r="F2030" s="5">
        <f>vlookup(B2030,Filmes_final!$B$2:$U$1001,3,FALSE)</f>
        <v>2002</v>
      </c>
      <c r="G2030" s="5" t="str">
        <f>vlookup(B2030,Filmes_final!$B$2:$U$1001,13,FALSE)</f>
        <v>Yimou Zhang</v>
      </c>
    </row>
    <row r="2031">
      <c r="A2031" s="5">
        <v>508.0</v>
      </c>
      <c r="B2031" s="5" t="s">
        <v>3177</v>
      </c>
      <c r="C2031" s="5" t="s">
        <v>1732</v>
      </c>
      <c r="D2031" s="5" t="s">
        <v>6635</v>
      </c>
      <c r="E2031" s="8">
        <f>vlookup(B2031,Filmes_final!$B$2:$U$1001,20,FALSE)</f>
        <v>78236179</v>
      </c>
      <c r="F2031" s="5">
        <f>vlookup(B2031,Filmes_final!$B$2:$U$1001,3,FALSE)</f>
        <v>2002</v>
      </c>
      <c r="G2031" s="5" t="str">
        <f>vlookup(B2031,Filmes_final!$B$2:$U$1001,13,FALSE)</f>
        <v>Yimou Zhang</v>
      </c>
    </row>
    <row r="2032">
      <c r="A2032" s="5">
        <v>508.0</v>
      </c>
      <c r="B2032" s="5" t="s">
        <v>3177</v>
      </c>
      <c r="C2032" s="5" t="s">
        <v>1733</v>
      </c>
      <c r="D2032" s="5" t="s">
        <v>6636</v>
      </c>
      <c r="E2032" s="8">
        <f>vlookup(B2032,Filmes_final!$B$2:$U$1001,20,FALSE)</f>
        <v>78236179</v>
      </c>
      <c r="F2032" s="5">
        <f>vlookup(B2032,Filmes_final!$B$2:$U$1001,3,FALSE)</f>
        <v>2002</v>
      </c>
      <c r="G2032" s="5" t="str">
        <f>vlookup(B2032,Filmes_final!$B$2:$U$1001,13,FALSE)</f>
        <v>Yimou Zhang</v>
      </c>
    </row>
    <row r="2033">
      <c r="A2033" s="5">
        <v>508.0</v>
      </c>
      <c r="B2033" s="5" t="s">
        <v>3177</v>
      </c>
      <c r="C2033" s="5" t="s">
        <v>3181</v>
      </c>
      <c r="D2033" s="5" t="s">
        <v>6637</v>
      </c>
      <c r="E2033" s="8">
        <f>vlookup(B2033,Filmes_final!$B$2:$U$1001,20,FALSE)</f>
        <v>78236179</v>
      </c>
      <c r="F2033" s="5">
        <f>vlookup(B2033,Filmes_final!$B$2:$U$1001,3,FALSE)</f>
        <v>2002</v>
      </c>
      <c r="G2033" s="5" t="str">
        <f>vlookup(B2033,Filmes_final!$B$2:$U$1001,13,FALSE)</f>
        <v>Yimou Zhang</v>
      </c>
    </row>
    <row r="2034">
      <c r="A2034" s="5">
        <v>509.0</v>
      </c>
      <c r="B2034" s="5" t="s">
        <v>3182</v>
      </c>
      <c r="C2034" s="5" t="s">
        <v>3185</v>
      </c>
      <c r="D2034" s="5" t="s">
        <v>6634</v>
      </c>
      <c r="E2034" s="8">
        <f>vlookup(B2034,Filmes_final!$B$2:$U$1001,20,FALSE)</f>
        <v>13523835</v>
      </c>
      <c r="F2034" s="5">
        <f>vlookup(B2034,Filmes_final!$B$2:$U$1001,3,FALSE)</f>
        <v>2002</v>
      </c>
      <c r="G2034" s="5" t="str">
        <f>vlookup(B2034,Filmes_final!$B$2:$U$1001,13,FALSE)</f>
        <v>Pedro Almodóvar</v>
      </c>
    </row>
    <row r="2035">
      <c r="A2035" s="5">
        <v>509.0</v>
      </c>
      <c r="B2035" s="5" t="s">
        <v>3182</v>
      </c>
      <c r="C2035" s="5" t="s">
        <v>3186</v>
      </c>
      <c r="D2035" s="5" t="s">
        <v>6635</v>
      </c>
      <c r="E2035" s="8">
        <f>vlookup(B2035,Filmes_final!$B$2:$U$1001,20,FALSE)</f>
        <v>13523835</v>
      </c>
      <c r="F2035" s="5">
        <f>vlookup(B2035,Filmes_final!$B$2:$U$1001,3,FALSE)</f>
        <v>2002</v>
      </c>
      <c r="G2035" s="5" t="str">
        <f>vlookup(B2035,Filmes_final!$B$2:$U$1001,13,FALSE)</f>
        <v>Pedro Almodóvar</v>
      </c>
    </row>
    <row r="2036">
      <c r="A2036" s="5">
        <v>509.0</v>
      </c>
      <c r="B2036" s="5" t="s">
        <v>3182</v>
      </c>
      <c r="C2036" s="5" t="s">
        <v>1434</v>
      </c>
      <c r="D2036" s="5" t="s">
        <v>6636</v>
      </c>
      <c r="E2036" s="8">
        <f>vlookup(B2036,Filmes_final!$B$2:$U$1001,20,FALSE)</f>
        <v>13523835</v>
      </c>
      <c r="F2036" s="5">
        <f>vlookup(B2036,Filmes_final!$B$2:$U$1001,3,FALSE)</f>
        <v>2002</v>
      </c>
      <c r="G2036" s="5" t="str">
        <f>vlookup(B2036,Filmes_final!$B$2:$U$1001,13,FALSE)</f>
        <v>Pedro Almodóvar</v>
      </c>
    </row>
    <row r="2037">
      <c r="A2037" s="5">
        <v>509.0</v>
      </c>
      <c r="B2037" s="5" t="s">
        <v>3182</v>
      </c>
      <c r="C2037" s="5" t="s">
        <v>3187</v>
      </c>
      <c r="D2037" s="5" t="s">
        <v>6637</v>
      </c>
      <c r="E2037" s="8">
        <f>vlookup(B2037,Filmes_final!$B$2:$U$1001,20,FALSE)</f>
        <v>13523835</v>
      </c>
      <c r="F2037" s="5">
        <f>vlookup(B2037,Filmes_final!$B$2:$U$1001,3,FALSE)</f>
        <v>2002</v>
      </c>
      <c r="G2037" s="5" t="str">
        <f>vlookup(B2037,Filmes_final!$B$2:$U$1001,13,FALSE)</f>
        <v>Pedro Almodóvar</v>
      </c>
    </row>
    <row r="2038">
      <c r="A2038" s="5">
        <v>510.0</v>
      </c>
      <c r="B2038" s="5" t="s">
        <v>3188</v>
      </c>
      <c r="C2038" s="5" t="s">
        <v>3191</v>
      </c>
      <c r="D2038" s="5" t="s">
        <v>6634</v>
      </c>
      <c r="E2038" s="8">
        <f>vlookup(B2038,Filmes_final!$B$2:$U$1001,20,FALSE)</f>
        <v>1561424</v>
      </c>
      <c r="F2038" s="5">
        <f>vlookup(B2038,Filmes_final!$B$2:$U$1001,3,FALSE)</f>
        <v>2001</v>
      </c>
      <c r="G2038" s="5" t="str">
        <f>vlookup(B2038,Filmes_final!$B$2:$U$1001,13,FALSE)</f>
        <v>Danis Tanovic</v>
      </c>
    </row>
    <row r="2039">
      <c r="A2039" s="5">
        <v>510.0</v>
      </c>
      <c r="B2039" s="5" t="s">
        <v>3188</v>
      </c>
      <c r="C2039" s="5" t="s">
        <v>3192</v>
      </c>
      <c r="D2039" s="5" t="s">
        <v>6635</v>
      </c>
      <c r="E2039" s="8">
        <f>vlookup(B2039,Filmes_final!$B$2:$U$1001,20,FALSE)</f>
        <v>1561424</v>
      </c>
      <c r="F2039" s="5">
        <f>vlookup(B2039,Filmes_final!$B$2:$U$1001,3,FALSE)</f>
        <v>2001</v>
      </c>
      <c r="G2039" s="5" t="str">
        <f>vlookup(B2039,Filmes_final!$B$2:$U$1001,13,FALSE)</f>
        <v>Danis Tanovic</v>
      </c>
    </row>
    <row r="2040">
      <c r="A2040" s="5">
        <v>510.0</v>
      </c>
      <c r="B2040" s="5" t="s">
        <v>3188</v>
      </c>
      <c r="C2040" s="5" t="s">
        <v>3193</v>
      </c>
      <c r="D2040" s="5" t="s">
        <v>6636</v>
      </c>
      <c r="E2040" s="8">
        <f>vlookup(B2040,Filmes_final!$B$2:$U$1001,20,FALSE)</f>
        <v>1561424</v>
      </c>
      <c r="F2040" s="5">
        <f>vlookup(B2040,Filmes_final!$B$2:$U$1001,3,FALSE)</f>
        <v>2001</v>
      </c>
      <c r="G2040" s="5" t="str">
        <f>vlookup(B2040,Filmes_final!$B$2:$U$1001,13,FALSE)</f>
        <v>Danis Tanovic</v>
      </c>
    </row>
    <row r="2041">
      <c r="A2041" s="5">
        <v>510.0</v>
      </c>
      <c r="B2041" s="5" t="s">
        <v>3188</v>
      </c>
      <c r="C2041" s="5" t="s">
        <v>3194</v>
      </c>
      <c r="D2041" s="5" t="s">
        <v>6637</v>
      </c>
      <c r="E2041" s="8">
        <f>vlookup(B2041,Filmes_final!$B$2:$U$1001,20,FALSE)</f>
        <v>1561424</v>
      </c>
      <c r="F2041" s="5">
        <f>vlookup(B2041,Filmes_final!$B$2:$U$1001,3,FALSE)</f>
        <v>2001</v>
      </c>
      <c r="G2041" s="5" t="str">
        <f>vlookup(B2041,Filmes_final!$B$2:$U$1001,13,FALSE)</f>
        <v>Danis Tanovic</v>
      </c>
    </row>
    <row r="2042">
      <c r="A2042" s="5">
        <v>511.0</v>
      </c>
      <c r="B2042" s="5" t="s">
        <v>3195</v>
      </c>
      <c r="C2042" s="5" t="s">
        <v>3198</v>
      </c>
      <c r="D2042" s="5" t="s">
        <v>6634</v>
      </c>
      <c r="E2042" s="8">
        <f>vlookup(B2042,Filmes_final!$B$2:$U$1001,20,FALSE)</f>
        <v>1473344</v>
      </c>
      <c r="F2042" s="5">
        <f>vlookup(B2042,Filmes_final!$B$2:$U$1001,3,FALSE)</f>
        <v>2001</v>
      </c>
      <c r="G2042" s="5" t="str">
        <f>vlookup(B2042,Filmes_final!$B$2:$U$1001,13,FALSE)</f>
        <v>Shin'ichirô Watanabe</v>
      </c>
    </row>
    <row r="2043">
      <c r="A2043" s="5">
        <v>511.0</v>
      </c>
      <c r="B2043" s="5" t="s">
        <v>3195</v>
      </c>
      <c r="C2043" s="5" t="s">
        <v>3199</v>
      </c>
      <c r="D2043" s="5" t="s">
        <v>6635</v>
      </c>
      <c r="E2043" s="8">
        <f>vlookup(B2043,Filmes_final!$B$2:$U$1001,20,FALSE)</f>
        <v>1473344</v>
      </c>
      <c r="F2043" s="5">
        <f>vlookup(B2043,Filmes_final!$B$2:$U$1001,3,FALSE)</f>
        <v>2001</v>
      </c>
      <c r="G2043" s="5" t="str">
        <f>vlookup(B2043,Filmes_final!$B$2:$U$1001,13,FALSE)</f>
        <v>Shin'ichirô Watanabe</v>
      </c>
    </row>
    <row r="2044">
      <c r="A2044" s="5">
        <v>511.0</v>
      </c>
      <c r="B2044" s="5" t="s">
        <v>3195</v>
      </c>
      <c r="C2044" s="5" t="s">
        <v>3200</v>
      </c>
      <c r="D2044" s="5" t="s">
        <v>6636</v>
      </c>
      <c r="E2044" s="8">
        <f>vlookup(B2044,Filmes_final!$B$2:$U$1001,20,FALSE)</f>
        <v>1473344</v>
      </c>
      <c r="F2044" s="5">
        <f>vlookup(B2044,Filmes_final!$B$2:$U$1001,3,FALSE)</f>
        <v>2001</v>
      </c>
      <c r="G2044" s="5" t="str">
        <f>vlookup(B2044,Filmes_final!$B$2:$U$1001,13,FALSE)</f>
        <v>Shin'ichirô Watanabe</v>
      </c>
    </row>
    <row r="2045">
      <c r="A2045" s="5">
        <v>511.0</v>
      </c>
      <c r="B2045" s="5" t="s">
        <v>3195</v>
      </c>
      <c r="C2045" s="5" t="s">
        <v>3201</v>
      </c>
      <c r="D2045" s="5" t="s">
        <v>6637</v>
      </c>
      <c r="E2045" s="8">
        <f>vlookup(B2045,Filmes_final!$B$2:$U$1001,20,FALSE)</f>
        <v>1473344</v>
      </c>
      <c r="F2045" s="5">
        <f>vlookup(B2045,Filmes_final!$B$2:$U$1001,3,FALSE)</f>
        <v>2001</v>
      </c>
      <c r="G2045" s="5" t="str">
        <f>vlookup(B2045,Filmes_final!$B$2:$U$1001,13,FALSE)</f>
        <v>Shin'ichirô Watanabe</v>
      </c>
    </row>
    <row r="2046">
      <c r="A2046" s="5">
        <v>512.0</v>
      </c>
      <c r="B2046" s="5" t="s">
        <v>3202</v>
      </c>
      <c r="C2046" s="5" t="s">
        <v>3204</v>
      </c>
      <c r="D2046" s="5" t="s">
        <v>6634</v>
      </c>
      <c r="E2046" s="8">
        <f>vlookup(B2046,Filmes_final!$B$2:$U$1001,20,FALSE)</f>
        <v>177217313</v>
      </c>
      <c r="F2046" s="5">
        <f>vlookup(B2046,Filmes_final!$B$2:$U$1001,3,FALSE)</f>
        <v>2002</v>
      </c>
      <c r="G2046" s="5" t="str">
        <f>vlookup(B2046,Filmes_final!$B$2:$U$1001,13,FALSE)</f>
        <v>Doug Liman</v>
      </c>
    </row>
    <row r="2047">
      <c r="A2047" s="5">
        <v>512.0</v>
      </c>
      <c r="B2047" s="5" t="s">
        <v>3202</v>
      </c>
      <c r="C2047" s="5" t="s">
        <v>215</v>
      </c>
      <c r="D2047" s="5" t="s">
        <v>6635</v>
      </c>
      <c r="E2047" s="8">
        <f>vlookup(B2047,Filmes_final!$B$2:$U$1001,20,FALSE)</f>
        <v>177217313</v>
      </c>
      <c r="F2047" s="5">
        <f>vlookup(B2047,Filmes_final!$B$2:$U$1001,3,FALSE)</f>
        <v>2002</v>
      </c>
      <c r="G2047" s="5" t="str">
        <f>vlookup(B2047,Filmes_final!$B$2:$U$1001,13,FALSE)</f>
        <v>Doug Liman</v>
      </c>
    </row>
    <row r="2048">
      <c r="A2048" s="5">
        <v>512.0</v>
      </c>
      <c r="B2048" s="5" t="s">
        <v>3202</v>
      </c>
      <c r="C2048" s="5" t="s">
        <v>3205</v>
      </c>
      <c r="D2048" s="5" t="s">
        <v>6636</v>
      </c>
      <c r="E2048" s="8">
        <f>vlookup(B2048,Filmes_final!$B$2:$U$1001,20,FALSE)</f>
        <v>177217313</v>
      </c>
      <c r="F2048" s="5">
        <f>vlookup(B2048,Filmes_final!$B$2:$U$1001,3,FALSE)</f>
        <v>2002</v>
      </c>
      <c r="G2048" s="5" t="str">
        <f>vlookup(B2048,Filmes_final!$B$2:$U$1001,13,FALSE)</f>
        <v>Doug Liman</v>
      </c>
    </row>
    <row r="2049">
      <c r="A2049" s="5">
        <v>512.0</v>
      </c>
      <c r="B2049" s="5" t="s">
        <v>3202</v>
      </c>
      <c r="C2049" s="5" t="s">
        <v>2384</v>
      </c>
      <c r="D2049" s="5" t="s">
        <v>6637</v>
      </c>
      <c r="E2049" s="8">
        <f>vlookup(B2049,Filmes_final!$B$2:$U$1001,20,FALSE)</f>
        <v>177217313</v>
      </c>
      <c r="F2049" s="5">
        <f>vlookup(B2049,Filmes_final!$B$2:$U$1001,3,FALSE)</f>
        <v>2002</v>
      </c>
      <c r="G2049" s="5" t="str">
        <f>vlookup(B2049,Filmes_final!$B$2:$U$1001,13,FALSE)</f>
        <v>Doug Liman</v>
      </c>
    </row>
    <row r="2050">
      <c r="A2050" s="5">
        <v>513.0</v>
      </c>
      <c r="B2050" s="5" t="s">
        <v>3206</v>
      </c>
      <c r="C2050" s="5" t="s">
        <v>1054</v>
      </c>
      <c r="D2050" s="5" t="s">
        <v>6634</v>
      </c>
      <c r="E2050" s="8">
        <f>vlookup(B2050,Filmes_final!$B$2:$U$1001,20,FALSE)</f>
        <v>1866409</v>
      </c>
      <c r="F2050" s="5">
        <f>vlookup(B2050,Filmes_final!$B$2:$U$1001,3,FALSE)</f>
        <v>2000</v>
      </c>
      <c r="G2050" s="5" t="str">
        <f>vlookup(B2050,Filmes_final!$B$2:$U$1001,13,FALSE)</f>
        <v>Fabián Bielinsky</v>
      </c>
    </row>
    <row r="2051">
      <c r="A2051" s="5">
        <v>513.0</v>
      </c>
      <c r="B2051" s="5" t="s">
        <v>3206</v>
      </c>
      <c r="C2051" s="5" t="s">
        <v>3209</v>
      </c>
      <c r="D2051" s="5" t="s">
        <v>6635</v>
      </c>
      <c r="E2051" s="8">
        <f>vlookup(B2051,Filmes_final!$B$2:$U$1001,20,FALSE)</f>
        <v>1866409</v>
      </c>
      <c r="F2051" s="5">
        <f>vlookup(B2051,Filmes_final!$B$2:$U$1001,3,FALSE)</f>
        <v>2000</v>
      </c>
      <c r="G2051" s="5" t="str">
        <f>vlookup(B2051,Filmes_final!$B$2:$U$1001,13,FALSE)</f>
        <v>Fabián Bielinsky</v>
      </c>
    </row>
    <row r="2052">
      <c r="A2052" s="5">
        <v>513.0</v>
      </c>
      <c r="B2052" s="5" t="s">
        <v>3206</v>
      </c>
      <c r="C2052" s="5" t="s">
        <v>3210</v>
      </c>
      <c r="D2052" s="5" t="s">
        <v>6636</v>
      </c>
      <c r="E2052" s="8">
        <f>vlookup(B2052,Filmes_final!$B$2:$U$1001,20,FALSE)</f>
        <v>1866409</v>
      </c>
      <c r="F2052" s="5">
        <f>vlookup(B2052,Filmes_final!$B$2:$U$1001,3,FALSE)</f>
        <v>2000</v>
      </c>
      <c r="G2052" s="5" t="str">
        <f>vlookup(B2052,Filmes_final!$B$2:$U$1001,13,FALSE)</f>
        <v>Fabián Bielinsky</v>
      </c>
    </row>
    <row r="2053">
      <c r="A2053" s="5">
        <v>513.0</v>
      </c>
      <c r="B2053" s="5" t="s">
        <v>3206</v>
      </c>
      <c r="C2053" s="5" t="s">
        <v>3211</v>
      </c>
      <c r="D2053" s="5" t="s">
        <v>6637</v>
      </c>
      <c r="E2053" s="8">
        <f>vlookup(B2053,Filmes_final!$B$2:$U$1001,20,FALSE)</f>
        <v>1866409</v>
      </c>
      <c r="F2053" s="5">
        <f>vlookup(B2053,Filmes_final!$B$2:$U$1001,3,FALSE)</f>
        <v>2000</v>
      </c>
      <c r="G2053" s="5" t="str">
        <f>vlookup(B2053,Filmes_final!$B$2:$U$1001,13,FALSE)</f>
        <v>Fabián Bielinsky</v>
      </c>
    </row>
    <row r="2054">
      <c r="A2054" s="5">
        <v>514.0</v>
      </c>
      <c r="B2054" s="5" t="s">
        <v>3212</v>
      </c>
      <c r="C2054" s="5" t="s">
        <v>1728</v>
      </c>
      <c r="D2054" s="5" t="s">
        <v>6634</v>
      </c>
      <c r="E2054" s="8">
        <f>vlookup(B2054,Filmes_final!$B$2:$U$1001,20,FALSE)</f>
        <v>46250549</v>
      </c>
      <c r="F2054" s="5">
        <f>vlookup(B2054,Filmes_final!$B$2:$U$1001,3,FALSE)</f>
        <v>2006</v>
      </c>
      <c r="G2054" s="5" t="str">
        <f>vlookup(B2054,Filmes_final!$B$2:$U$1001,13,FALSE)</f>
        <v>Alfonso Cuarón</v>
      </c>
    </row>
    <row r="2055">
      <c r="A2055" s="5">
        <v>514.0</v>
      </c>
      <c r="B2055" s="5" t="s">
        <v>3212</v>
      </c>
      <c r="C2055" s="5" t="s">
        <v>2384</v>
      </c>
      <c r="D2055" s="5" t="s">
        <v>6635</v>
      </c>
      <c r="E2055" s="8">
        <f>vlookup(B2055,Filmes_final!$B$2:$U$1001,20,FALSE)</f>
        <v>46250549</v>
      </c>
      <c r="F2055" s="5">
        <f>vlookup(B2055,Filmes_final!$B$2:$U$1001,3,FALSE)</f>
        <v>2006</v>
      </c>
      <c r="G2055" s="5" t="str">
        <f>vlookup(B2055,Filmes_final!$B$2:$U$1001,13,FALSE)</f>
        <v>Alfonso Cuarón</v>
      </c>
    </row>
    <row r="2056">
      <c r="A2056" s="5">
        <v>514.0</v>
      </c>
      <c r="B2056" s="5" t="s">
        <v>3212</v>
      </c>
      <c r="C2056" s="5" t="s">
        <v>1503</v>
      </c>
      <c r="D2056" s="5" t="s">
        <v>6636</v>
      </c>
      <c r="E2056" s="8">
        <f>vlookup(B2056,Filmes_final!$B$2:$U$1001,20,FALSE)</f>
        <v>46250549</v>
      </c>
      <c r="F2056" s="5">
        <f>vlookup(B2056,Filmes_final!$B$2:$U$1001,3,FALSE)</f>
        <v>2006</v>
      </c>
      <c r="G2056" s="5" t="str">
        <f>vlookup(B2056,Filmes_final!$B$2:$U$1001,13,FALSE)</f>
        <v>Alfonso Cuarón</v>
      </c>
    </row>
    <row r="2057">
      <c r="A2057" s="5">
        <v>514.0</v>
      </c>
      <c r="B2057" s="5" t="s">
        <v>3212</v>
      </c>
      <c r="C2057" s="5" t="s">
        <v>45</v>
      </c>
      <c r="D2057" s="5" t="s">
        <v>6637</v>
      </c>
      <c r="E2057" s="8">
        <f>vlookup(B2057,Filmes_final!$B$2:$U$1001,20,FALSE)</f>
        <v>46250549</v>
      </c>
      <c r="F2057" s="5">
        <f>vlookup(B2057,Filmes_final!$B$2:$U$1001,3,FALSE)</f>
        <v>2006</v>
      </c>
      <c r="G2057" s="5" t="str">
        <f>vlookup(B2057,Filmes_final!$B$2:$U$1001,13,FALSE)</f>
        <v>Alfonso Cuarón</v>
      </c>
    </row>
    <row r="2058">
      <c r="A2058" s="5">
        <v>515.0</v>
      </c>
      <c r="B2058" s="5" t="s">
        <v>3214</v>
      </c>
      <c r="C2058" s="5" t="s">
        <v>555</v>
      </c>
      <c r="D2058" s="5" t="s">
        <v>6634</v>
      </c>
      <c r="E2058" s="8">
        <f>vlookup(B2058,Filmes_final!$B$2:$U$1001,20,FALSE)</f>
        <v>49721847</v>
      </c>
      <c r="F2058" s="5">
        <f>vlookup(B2058,Filmes_final!$B$2:$U$1001,3,FALSE)</f>
        <v>2000</v>
      </c>
      <c r="G2058" s="5" t="str">
        <f>vlookup(B2058,Filmes_final!$B$2:$U$1001,13,FALSE)</f>
        <v>Cameron Crowe</v>
      </c>
    </row>
    <row r="2059">
      <c r="A2059" s="5">
        <v>515.0</v>
      </c>
      <c r="B2059" s="5" t="s">
        <v>3214</v>
      </c>
      <c r="C2059" s="5" t="s">
        <v>3217</v>
      </c>
      <c r="D2059" s="5" t="s">
        <v>6635</v>
      </c>
      <c r="E2059" s="8">
        <f>vlookup(B2059,Filmes_final!$B$2:$U$1001,20,FALSE)</f>
        <v>49721847</v>
      </c>
      <c r="F2059" s="5">
        <f>vlookup(B2059,Filmes_final!$B$2:$U$1001,3,FALSE)</f>
        <v>2000</v>
      </c>
      <c r="G2059" s="5" t="str">
        <f>vlookup(B2059,Filmes_final!$B$2:$U$1001,13,FALSE)</f>
        <v>Cameron Crowe</v>
      </c>
    </row>
    <row r="2060">
      <c r="A2060" s="5">
        <v>515.0</v>
      </c>
      <c r="B2060" s="5" t="s">
        <v>3214</v>
      </c>
      <c r="C2060" s="5" t="s">
        <v>3218</v>
      </c>
      <c r="D2060" s="5" t="s">
        <v>6636</v>
      </c>
      <c r="E2060" s="8">
        <f>vlookup(B2060,Filmes_final!$B$2:$U$1001,20,FALSE)</f>
        <v>49721847</v>
      </c>
      <c r="F2060" s="5">
        <f>vlookup(B2060,Filmes_final!$B$2:$U$1001,3,FALSE)</f>
        <v>2000</v>
      </c>
      <c r="G2060" s="5" t="str">
        <f>vlookup(B2060,Filmes_final!$B$2:$U$1001,13,FALSE)</f>
        <v>Cameron Crowe</v>
      </c>
    </row>
    <row r="2061">
      <c r="A2061" s="5">
        <v>515.0</v>
      </c>
      <c r="B2061" s="5" t="s">
        <v>3214</v>
      </c>
      <c r="C2061" s="5" t="s">
        <v>972</v>
      </c>
      <c r="D2061" s="5" t="s">
        <v>6637</v>
      </c>
      <c r="E2061" s="8">
        <f>vlookup(B2061,Filmes_final!$B$2:$U$1001,20,FALSE)</f>
        <v>49721847</v>
      </c>
      <c r="F2061" s="5">
        <f>vlookup(B2061,Filmes_final!$B$2:$U$1001,3,FALSE)</f>
        <v>2000</v>
      </c>
      <c r="G2061" s="5" t="str">
        <f>vlookup(B2061,Filmes_final!$B$2:$U$1001,13,FALSE)</f>
        <v>Cameron Crowe</v>
      </c>
    </row>
    <row r="2062">
      <c r="A2062" s="5">
        <v>516.0</v>
      </c>
      <c r="B2062" s="5" t="s">
        <v>3219</v>
      </c>
      <c r="C2062" s="5" t="s">
        <v>3221</v>
      </c>
      <c r="D2062" s="5" t="s">
        <v>6634</v>
      </c>
      <c r="E2062" s="8">
        <f>vlookup(B2062,Filmes_final!$B$2:$U$1001,20,FALSE)</f>
        <v>10637426</v>
      </c>
      <c r="F2062" s="5">
        <f>vlookup(B2062,Filmes_final!$B$2:$U$1001,3,FALSE)</f>
        <v>2001</v>
      </c>
      <c r="G2062" s="5" t="str">
        <f>vlookup(B2062,Filmes_final!$B$2:$U$1001,13,FALSE)</f>
        <v>David Lynch</v>
      </c>
    </row>
    <row r="2063">
      <c r="A2063" s="5">
        <v>516.0</v>
      </c>
      <c r="B2063" s="5" t="s">
        <v>3219</v>
      </c>
      <c r="C2063" s="5" t="s">
        <v>3222</v>
      </c>
      <c r="D2063" s="5" t="s">
        <v>6635</v>
      </c>
      <c r="E2063" s="8">
        <f>vlookup(B2063,Filmes_final!$B$2:$U$1001,20,FALSE)</f>
        <v>10637426</v>
      </c>
      <c r="F2063" s="5">
        <f>vlookup(B2063,Filmes_final!$B$2:$U$1001,3,FALSE)</f>
        <v>2001</v>
      </c>
      <c r="G2063" s="5" t="str">
        <f>vlookup(B2063,Filmes_final!$B$2:$U$1001,13,FALSE)</f>
        <v>David Lynch</v>
      </c>
    </row>
    <row r="2064">
      <c r="A2064" s="5">
        <v>516.0</v>
      </c>
      <c r="B2064" s="5" t="s">
        <v>3219</v>
      </c>
      <c r="C2064" s="5" t="s">
        <v>3223</v>
      </c>
      <c r="D2064" s="5" t="s">
        <v>6636</v>
      </c>
      <c r="E2064" s="8">
        <f>vlookup(B2064,Filmes_final!$B$2:$U$1001,20,FALSE)</f>
        <v>10637426</v>
      </c>
      <c r="F2064" s="5">
        <f>vlookup(B2064,Filmes_final!$B$2:$U$1001,3,FALSE)</f>
        <v>2001</v>
      </c>
      <c r="G2064" s="5" t="str">
        <f>vlookup(B2064,Filmes_final!$B$2:$U$1001,13,FALSE)</f>
        <v>David Lynch</v>
      </c>
    </row>
    <row r="2065">
      <c r="A2065" s="5">
        <v>516.0</v>
      </c>
      <c r="B2065" s="5" t="s">
        <v>3219</v>
      </c>
      <c r="C2065" s="5" t="s">
        <v>3224</v>
      </c>
      <c r="D2065" s="5" t="s">
        <v>6637</v>
      </c>
      <c r="E2065" s="8">
        <f>vlookup(B2065,Filmes_final!$B$2:$U$1001,20,FALSE)</f>
        <v>10637426</v>
      </c>
      <c r="F2065" s="5">
        <f>vlookup(B2065,Filmes_final!$B$2:$U$1001,3,FALSE)</f>
        <v>2001</v>
      </c>
      <c r="G2065" s="5" t="str">
        <f>vlookup(B2065,Filmes_final!$B$2:$U$1001,13,FALSE)</f>
        <v>David Lynch</v>
      </c>
    </row>
    <row r="2066">
      <c r="A2066" s="5">
        <v>517.0</v>
      </c>
      <c r="B2066" s="5" t="s">
        <v>3225</v>
      </c>
      <c r="C2066" s="5" t="s">
        <v>3227</v>
      </c>
      <c r="D2066" s="5" t="s">
        <v>6634</v>
      </c>
      <c r="E2066" s="8">
        <f>vlookup(B2066,Filmes_final!$B$2:$U$1001,20,FALSE)</f>
        <v>386017849</v>
      </c>
      <c r="F2066" s="5">
        <f>vlookup(B2066,Filmes_final!$B$2:$U$1001,3,FALSE)</f>
        <v>1999</v>
      </c>
      <c r="G2066" s="5" t="str">
        <f>vlookup(B2066,Filmes_final!$B$2:$U$1001,13,FALSE)</f>
        <v>John Lasseter</v>
      </c>
    </row>
    <row r="2067">
      <c r="A2067" s="5">
        <v>517.0</v>
      </c>
      <c r="B2067" s="5" t="s">
        <v>3225</v>
      </c>
      <c r="C2067" s="5" t="s">
        <v>489</v>
      </c>
      <c r="D2067" s="5" t="s">
        <v>6635</v>
      </c>
      <c r="E2067" s="8">
        <f>vlookup(B2067,Filmes_final!$B$2:$U$1001,20,FALSE)</f>
        <v>386017849</v>
      </c>
      <c r="F2067" s="5">
        <f>vlookup(B2067,Filmes_final!$B$2:$U$1001,3,FALSE)</f>
        <v>1999</v>
      </c>
      <c r="G2067" s="5" t="str">
        <f>vlookup(B2067,Filmes_final!$B$2:$U$1001,13,FALSE)</f>
        <v>John Lasseter</v>
      </c>
    </row>
    <row r="2068">
      <c r="A2068" s="5">
        <v>517.0</v>
      </c>
      <c r="B2068" s="5" t="s">
        <v>3225</v>
      </c>
      <c r="C2068" s="5" t="s">
        <v>110</v>
      </c>
      <c r="D2068" s="5" t="s">
        <v>6636</v>
      </c>
      <c r="E2068" s="8">
        <f>vlookup(B2068,Filmes_final!$B$2:$U$1001,20,FALSE)</f>
        <v>386017849</v>
      </c>
      <c r="F2068" s="5">
        <f>vlookup(B2068,Filmes_final!$B$2:$U$1001,3,FALSE)</f>
        <v>1999</v>
      </c>
      <c r="G2068" s="5" t="str">
        <f>vlookup(B2068,Filmes_final!$B$2:$U$1001,13,FALSE)</f>
        <v>John Lasseter</v>
      </c>
    </row>
    <row r="2069">
      <c r="A2069" s="5">
        <v>517.0</v>
      </c>
      <c r="B2069" s="5" t="s">
        <v>3225</v>
      </c>
      <c r="C2069" s="5" t="s">
        <v>768</v>
      </c>
      <c r="D2069" s="5" t="s">
        <v>6637</v>
      </c>
      <c r="E2069" s="8">
        <f>vlookup(B2069,Filmes_final!$B$2:$U$1001,20,FALSE)</f>
        <v>386017849</v>
      </c>
      <c r="F2069" s="5">
        <f>vlookup(B2069,Filmes_final!$B$2:$U$1001,3,FALSE)</f>
        <v>1999</v>
      </c>
      <c r="G2069" s="5" t="str">
        <f>vlookup(B2069,Filmes_final!$B$2:$U$1001,13,FALSE)</f>
        <v>John Lasseter</v>
      </c>
    </row>
    <row r="2070">
      <c r="A2070" s="5">
        <v>518.0</v>
      </c>
      <c r="B2070" s="5" t="s">
        <v>3228</v>
      </c>
      <c r="C2070" s="5" t="s">
        <v>311</v>
      </c>
      <c r="D2070" s="5" t="s">
        <v>6634</v>
      </c>
      <c r="E2070" s="8">
        <f>vlookup(B2070,Filmes_final!$B$2:$U$1001,20,FALSE)</f>
        <v>42807037</v>
      </c>
      <c r="F2070" s="5">
        <f>vlookup(B2070,Filmes_final!$B$2:$U$1001,3,FALSE)</f>
        <v>1997</v>
      </c>
      <c r="G2070" s="5" t="str">
        <f>vlookup(B2070,Filmes_final!$B$2:$U$1001,13,FALSE)</f>
        <v>Paul Thomas Anderson</v>
      </c>
    </row>
    <row r="2071">
      <c r="A2071" s="5">
        <v>518.0</v>
      </c>
      <c r="B2071" s="5" t="s">
        <v>3228</v>
      </c>
      <c r="C2071" s="5" t="s">
        <v>1728</v>
      </c>
      <c r="D2071" s="5" t="s">
        <v>6635</v>
      </c>
      <c r="E2071" s="8">
        <f>vlookup(B2071,Filmes_final!$B$2:$U$1001,20,FALSE)</f>
        <v>42807037</v>
      </c>
      <c r="F2071" s="5">
        <f>vlookup(B2071,Filmes_final!$B$2:$U$1001,3,FALSE)</f>
        <v>1997</v>
      </c>
      <c r="G2071" s="5" t="str">
        <f>vlookup(B2071,Filmes_final!$B$2:$U$1001,13,FALSE)</f>
        <v>Paul Thomas Anderson</v>
      </c>
    </row>
    <row r="2072">
      <c r="A2072" s="5">
        <v>518.0</v>
      </c>
      <c r="B2072" s="5" t="s">
        <v>3228</v>
      </c>
      <c r="C2072" s="5" t="s">
        <v>3230</v>
      </c>
      <c r="D2072" s="5" t="s">
        <v>6636</v>
      </c>
      <c r="E2072" s="8">
        <f>vlookup(B2072,Filmes_final!$B$2:$U$1001,20,FALSE)</f>
        <v>42807037</v>
      </c>
      <c r="F2072" s="5">
        <f>vlookup(B2072,Filmes_final!$B$2:$U$1001,3,FALSE)</f>
        <v>1997</v>
      </c>
      <c r="G2072" s="5" t="str">
        <f>vlookup(B2072,Filmes_final!$B$2:$U$1001,13,FALSE)</f>
        <v>Paul Thomas Anderson</v>
      </c>
    </row>
    <row r="2073">
      <c r="A2073" s="5">
        <v>518.0</v>
      </c>
      <c r="B2073" s="5" t="s">
        <v>3228</v>
      </c>
      <c r="C2073" s="5" t="s">
        <v>3231</v>
      </c>
      <c r="D2073" s="5" t="s">
        <v>6637</v>
      </c>
      <c r="E2073" s="8">
        <f>vlookup(B2073,Filmes_final!$B$2:$U$1001,20,FALSE)</f>
        <v>42807037</v>
      </c>
      <c r="F2073" s="5">
        <f>vlookup(B2073,Filmes_final!$B$2:$U$1001,3,FALSE)</f>
        <v>1997</v>
      </c>
      <c r="G2073" s="5" t="str">
        <f>vlookup(B2073,Filmes_final!$B$2:$U$1001,13,FALSE)</f>
        <v>Paul Thomas Anderson</v>
      </c>
    </row>
    <row r="2074">
      <c r="A2074" s="5">
        <v>519.0</v>
      </c>
      <c r="B2074" s="5" t="s">
        <v>3232</v>
      </c>
      <c r="C2074" s="5" t="s">
        <v>3235</v>
      </c>
      <c r="D2074" s="5" t="s">
        <v>6634</v>
      </c>
      <c r="E2074" s="8">
        <f>vlookup(B2074,Filmes_final!$B$2:$U$1001,20,FALSE)</f>
        <v>1004101</v>
      </c>
      <c r="F2074" s="5">
        <f>vlookup(B2074,Filmes_final!$B$2:$U$1001,3,FALSE)</f>
        <v>1995</v>
      </c>
      <c r="G2074" s="5" t="str">
        <f>vlookup(B2074,Filmes_final!$B$2:$U$1001,13,FALSE)</f>
        <v>Yoshifumi Kondô</v>
      </c>
    </row>
    <row r="2075">
      <c r="A2075" s="5">
        <v>519.0</v>
      </c>
      <c r="B2075" s="5" t="s">
        <v>3232</v>
      </c>
      <c r="C2075" s="5" t="s">
        <v>3236</v>
      </c>
      <c r="D2075" s="5" t="s">
        <v>6635</v>
      </c>
      <c r="E2075" s="8">
        <f>vlookup(B2075,Filmes_final!$B$2:$U$1001,20,FALSE)</f>
        <v>1004101</v>
      </c>
      <c r="F2075" s="5">
        <f>vlookup(B2075,Filmes_final!$B$2:$U$1001,3,FALSE)</f>
        <v>1995</v>
      </c>
      <c r="G2075" s="5" t="str">
        <f>vlookup(B2075,Filmes_final!$B$2:$U$1001,13,FALSE)</f>
        <v>Yoshifumi Kondô</v>
      </c>
    </row>
    <row r="2076">
      <c r="A2076" s="5">
        <v>519.0</v>
      </c>
      <c r="B2076" s="5" t="s">
        <v>3232</v>
      </c>
      <c r="C2076" s="5" t="s">
        <v>3237</v>
      </c>
      <c r="D2076" s="5" t="s">
        <v>6636</v>
      </c>
      <c r="E2076" s="8">
        <f>vlookup(B2076,Filmes_final!$B$2:$U$1001,20,FALSE)</f>
        <v>1004101</v>
      </c>
      <c r="F2076" s="5">
        <f>vlookup(B2076,Filmes_final!$B$2:$U$1001,3,FALSE)</f>
        <v>1995</v>
      </c>
      <c r="G2076" s="5" t="str">
        <f>vlookup(B2076,Filmes_final!$B$2:$U$1001,13,FALSE)</f>
        <v>Yoshifumi Kondô</v>
      </c>
    </row>
    <row r="2077">
      <c r="A2077" s="5">
        <v>519.0</v>
      </c>
      <c r="B2077" s="5" t="s">
        <v>3232</v>
      </c>
      <c r="C2077" s="5" t="s">
        <v>3238</v>
      </c>
      <c r="D2077" s="5" t="s">
        <v>6637</v>
      </c>
      <c r="E2077" s="8">
        <f>vlookup(B2077,Filmes_final!$B$2:$U$1001,20,FALSE)</f>
        <v>1004101</v>
      </c>
      <c r="F2077" s="5">
        <f>vlookup(B2077,Filmes_final!$B$2:$U$1001,3,FALSE)</f>
        <v>1995</v>
      </c>
      <c r="G2077" s="5" t="str">
        <f>vlookup(B2077,Filmes_final!$B$2:$U$1001,13,FALSE)</f>
        <v>Yoshifumi Kondô</v>
      </c>
    </row>
    <row r="2078">
      <c r="A2078" s="5">
        <v>520.0</v>
      </c>
      <c r="B2078" s="5" t="s">
        <v>3239</v>
      </c>
      <c r="C2078" s="5" t="s">
        <v>3242</v>
      </c>
      <c r="D2078" s="5" t="s">
        <v>6634</v>
      </c>
      <c r="E2078" s="8">
        <f>vlookup(B2078,Filmes_final!$B$2:$U$1001,20,FALSE)</f>
        <v>3883903</v>
      </c>
      <c r="F2078" s="5">
        <f>vlookup(B2078,Filmes_final!$B$2:$U$1001,3,FALSE)</f>
        <v>1994</v>
      </c>
      <c r="G2078" s="5" t="str">
        <f>vlookup(B2078,Filmes_final!$B$2:$U$1001,13,FALSE)</f>
        <v>Lee Tamahori</v>
      </c>
    </row>
    <row r="2079">
      <c r="A2079" s="5">
        <v>520.0</v>
      </c>
      <c r="B2079" s="5" t="s">
        <v>3239</v>
      </c>
      <c r="C2079" s="5" t="s">
        <v>3243</v>
      </c>
      <c r="D2079" s="5" t="s">
        <v>6635</v>
      </c>
      <c r="E2079" s="8">
        <f>vlookup(B2079,Filmes_final!$B$2:$U$1001,20,FALSE)</f>
        <v>3883903</v>
      </c>
      <c r="F2079" s="5">
        <f>vlookup(B2079,Filmes_final!$B$2:$U$1001,3,FALSE)</f>
        <v>1994</v>
      </c>
      <c r="G2079" s="5" t="str">
        <f>vlookup(B2079,Filmes_final!$B$2:$U$1001,13,FALSE)</f>
        <v>Lee Tamahori</v>
      </c>
    </row>
    <row r="2080">
      <c r="A2080" s="5">
        <v>520.0</v>
      </c>
      <c r="B2080" s="5" t="s">
        <v>3239</v>
      </c>
      <c r="C2080" s="5" t="s">
        <v>3244</v>
      </c>
      <c r="D2080" s="5" t="s">
        <v>6636</v>
      </c>
      <c r="E2080" s="8">
        <f>vlookup(B2080,Filmes_final!$B$2:$U$1001,20,FALSE)</f>
        <v>3883903</v>
      </c>
      <c r="F2080" s="5">
        <f>vlookup(B2080,Filmes_final!$B$2:$U$1001,3,FALSE)</f>
        <v>1994</v>
      </c>
      <c r="G2080" s="5" t="str">
        <f>vlookup(B2080,Filmes_final!$B$2:$U$1001,13,FALSE)</f>
        <v>Lee Tamahori</v>
      </c>
    </row>
    <row r="2081">
      <c r="A2081" s="5">
        <v>520.0</v>
      </c>
      <c r="B2081" s="5" t="s">
        <v>3239</v>
      </c>
      <c r="C2081" s="5" t="s">
        <v>3245</v>
      </c>
      <c r="D2081" s="5" t="s">
        <v>6637</v>
      </c>
      <c r="E2081" s="8">
        <f>vlookup(B2081,Filmes_final!$B$2:$U$1001,20,FALSE)</f>
        <v>3883903</v>
      </c>
      <c r="F2081" s="5">
        <f>vlookup(B2081,Filmes_final!$B$2:$U$1001,3,FALSE)</f>
        <v>1994</v>
      </c>
      <c r="G2081" s="5" t="str">
        <f>vlookup(B2081,Filmes_final!$B$2:$U$1001,13,FALSE)</f>
        <v>Lee Tamahori</v>
      </c>
    </row>
    <row r="2082">
      <c r="A2082" s="5">
        <v>521.0</v>
      </c>
      <c r="B2082" s="5" t="s">
        <v>3246</v>
      </c>
      <c r="C2082" s="5" t="s">
        <v>3249</v>
      </c>
      <c r="D2082" s="5" t="s">
        <v>6634</v>
      </c>
      <c r="E2082" s="8">
        <f>vlookup(B2082,Filmes_final!$B$2:$U$1001,20,FALSE)</f>
        <v>22217888</v>
      </c>
      <c r="F2082" s="5">
        <f>vlookup(B2082,Filmes_final!$B$2:$U$1001,3,FALSE)</f>
        <v>1993</v>
      </c>
      <c r="G2082" s="5" t="str">
        <f>vlookup(B2082,Filmes_final!$B$2:$U$1001,13,FALSE)</f>
        <v>Tony Scott</v>
      </c>
    </row>
    <row r="2083">
      <c r="A2083" s="5">
        <v>521.0</v>
      </c>
      <c r="B2083" s="5" t="s">
        <v>3246</v>
      </c>
      <c r="C2083" s="5" t="s">
        <v>3089</v>
      </c>
      <c r="D2083" s="5" t="s">
        <v>6635</v>
      </c>
      <c r="E2083" s="8">
        <f>vlookup(B2083,Filmes_final!$B$2:$U$1001,20,FALSE)</f>
        <v>22217888</v>
      </c>
      <c r="F2083" s="5">
        <f>vlookup(B2083,Filmes_final!$B$2:$U$1001,3,FALSE)</f>
        <v>1993</v>
      </c>
      <c r="G2083" s="5" t="str">
        <f>vlookup(B2083,Filmes_final!$B$2:$U$1001,13,FALSE)</f>
        <v>Tony Scott</v>
      </c>
    </row>
    <row r="2084">
      <c r="A2084" s="5">
        <v>521.0</v>
      </c>
      <c r="B2084" s="5" t="s">
        <v>3246</v>
      </c>
      <c r="C2084" s="5" t="s">
        <v>3250</v>
      </c>
      <c r="D2084" s="5" t="s">
        <v>6636</v>
      </c>
      <c r="E2084" s="8">
        <f>vlookup(B2084,Filmes_final!$B$2:$U$1001,20,FALSE)</f>
        <v>22217888</v>
      </c>
      <c r="F2084" s="5">
        <f>vlookup(B2084,Filmes_final!$B$2:$U$1001,3,FALSE)</f>
        <v>1993</v>
      </c>
      <c r="G2084" s="5" t="str">
        <f>vlookup(B2084,Filmes_final!$B$2:$U$1001,13,FALSE)</f>
        <v>Tony Scott</v>
      </c>
    </row>
    <row r="2085">
      <c r="A2085" s="5">
        <v>521.0</v>
      </c>
      <c r="B2085" s="5" t="s">
        <v>3246</v>
      </c>
      <c r="C2085" s="5" t="s">
        <v>1177</v>
      </c>
      <c r="D2085" s="5" t="s">
        <v>6637</v>
      </c>
      <c r="E2085" s="8">
        <f>vlookup(B2085,Filmes_final!$B$2:$U$1001,20,FALSE)</f>
        <v>22217888</v>
      </c>
      <c r="F2085" s="5">
        <f>vlookup(B2085,Filmes_final!$B$2:$U$1001,3,FALSE)</f>
        <v>1993</v>
      </c>
      <c r="G2085" s="5" t="str">
        <f>vlookup(B2085,Filmes_final!$B$2:$U$1001,13,FALSE)</f>
        <v>Tony Scott</v>
      </c>
    </row>
    <row r="2086">
      <c r="A2086" s="5">
        <v>522.0</v>
      </c>
      <c r="B2086" s="5" t="s">
        <v>3251</v>
      </c>
      <c r="C2086" s="5" t="s">
        <v>3254</v>
      </c>
      <c r="D2086" s="5" t="s">
        <v>6634</v>
      </c>
      <c r="E2086" s="8">
        <f>vlookup(B2086,Filmes_final!$B$2:$U$1001,20,FALSE)</f>
        <v>2396949</v>
      </c>
      <c r="F2086" s="5">
        <f>vlookup(B2086,Filmes_final!$B$2:$U$1001,3,FALSE)</f>
        <v>1993</v>
      </c>
      <c r="G2086" s="5" t="str">
        <f>vlookup(B2086,Filmes_final!$B$2:$U$1001,13,FALSE)</f>
        <v>Krzysztof Kieslowski</v>
      </c>
    </row>
    <row r="2087">
      <c r="A2087" s="5">
        <v>522.0</v>
      </c>
      <c r="B2087" s="5" t="s">
        <v>3251</v>
      </c>
      <c r="C2087" s="5" t="s">
        <v>3255</v>
      </c>
      <c r="D2087" s="5" t="s">
        <v>6635</v>
      </c>
      <c r="E2087" s="8">
        <f>vlookup(B2087,Filmes_final!$B$2:$U$1001,20,FALSE)</f>
        <v>2396949</v>
      </c>
      <c r="F2087" s="5">
        <f>vlookup(B2087,Filmes_final!$B$2:$U$1001,3,FALSE)</f>
        <v>1993</v>
      </c>
      <c r="G2087" s="5" t="str">
        <f>vlookup(B2087,Filmes_final!$B$2:$U$1001,13,FALSE)</f>
        <v>Krzysztof Kieslowski</v>
      </c>
    </row>
    <row r="2088">
      <c r="A2088" s="5">
        <v>522.0</v>
      </c>
      <c r="B2088" s="5" t="s">
        <v>3251</v>
      </c>
      <c r="C2088" s="5" t="s">
        <v>1643</v>
      </c>
      <c r="D2088" s="5" t="s">
        <v>6636</v>
      </c>
      <c r="E2088" s="8">
        <f>vlookup(B2088,Filmes_final!$B$2:$U$1001,20,FALSE)</f>
        <v>2396949</v>
      </c>
      <c r="F2088" s="5">
        <f>vlookup(B2088,Filmes_final!$B$2:$U$1001,3,FALSE)</f>
        <v>1993</v>
      </c>
      <c r="G2088" s="5" t="str">
        <f>vlookup(B2088,Filmes_final!$B$2:$U$1001,13,FALSE)</f>
        <v>Krzysztof Kieslowski</v>
      </c>
    </row>
    <row r="2089">
      <c r="A2089" s="5">
        <v>522.0</v>
      </c>
      <c r="B2089" s="5" t="s">
        <v>3251</v>
      </c>
      <c r="C2089" s="5" t="s">
        <v>3256</v>
      </c>
      <c r="D2089" s="5" t="s">
        <v>6637</v>
      </c>
      <c r="E2089" s="8">
        <f>vlookup(B2089,Filmes_final!$B$2:$U$1001,20,FALSE)</f>
        <v>2396949</v>
      </c>
      <c r="F2089" s="5">
        <f>vlookup(B2089,Filmes_final!$B$2:$U$1001,3,FALSE)</f>
        <v>1993</v>
      </c>
      <c r="G2089" s="5" t="str">
        <f>vlookup(B2089,Filmes_final!$B$2:$U$1001,13,FALSE)</f>
        <v>Krzysztof Kieslowski</v>
      </c>
    </row>
    <row r="2090">
      <c r="A2090" s="5">
        <v>523.0</v>
      </c>
      <c r="B2090" s="5" t="s">
        <v>3257</v>
      </c>
      <c r="C2090" s="5" t="s">
        <v>2557</v>
      </c>
      <c r="D2090" s="5" t="s">
        <v>6634</v>
      </c>
      <c r="E2090" s="8">
        <f>vlookup(B2090,Filmes_final!$B$2:$U$1001,20,FALSE)</f>
        <v>1941</v>
      </c>
      <c r="F2090" s="5">
        <f>vlookup(B2090,Filmes_final!$B$2:$U$1001,3,FALSE)</f>
        <v>1993</v>
      </c>
      <c r="G2090" s="5" t="str">
        <f>vlookup(B2090,Filmes_final!$B$2:$U$1001,13,FALSE)</f>
        <v>Yoshiaki Kawajiri</v>
      </c>
    </row>
    <row r="2091">
      <c r="A2091" s="5">
        <v>523.0</v>
      </c>
      <c r="B2091" s="5" t="s">
        <v>3257</v>
      </c>
      <c r="C2091" s="5" t="s">
        <v>3260</v>
      </c>
      <c r="D2091" s="5" t="s">
        <v>6635</v>
      </c>
      <c r="E2091" s="8">
        <f>vlookup(B2091,Filmes_final!$B$2:$U$1001,20,FALSE)</f>
        <v>1941</v>
      </c>
      <c r="F2091" s="5">
        <f>vlookup(B2091,Filmes_final!$B$2:$U$1001,3,FALSE)</f>
        <v>1993</v>
      </c>
      <c r="G2091" s="5" t="str">
        <f>vlookup(B2091,Filmes_final!$B$2:$U$1001,13,FALSE)</f>
        <v>Yoshiaki Kawajiri</v>
      </c>
    </row>
    <row r="2092">
      <c r="A2092" s="5">
        <v>523.0</v>
      </c>
      <c r="B2092" s="5" t="s">
        <v>3257</v>
      </c>
      <c r="C2092" s="5" t="s">
        <v>3261</v>
      </c>
      <c r="D2092" s="5" t="s">
        <v>6636</v>
      </c>
      <c r="E2092" s="8">
        <f>vlookup(B2092,Filmes_final!$B$2:$U$1001,20,FALSE)</f>
        <v>1941</v>
      </c>
      <c r="F2092" s="5">
        <f>vlookup(B2092,Filmes_final!$B$2:$U$1001,3,FALSE)</f>
        <v>1993</v>
      </c>
      <c r="G2092" s="5" t="str">
        <f>vlookup(B2092,Filmes_final!$B$2:$U$1001,13,FALSE)</f>
        <v>Yoshiaki Kawajiri</v>
      </c>
    </row>
    <row r="2093">
      <c r="A2093" s="5">
        <v>523.0</v>
      </c>
      <c r="B2093" s="5" t="s">
        <v>3257</v>
      </c>
      <c r="C2093" s="5" t="s">
        <v>3262</v>
      </c>
      <c r="D2093" s="5" t="s">
        <v>6637</v>
      </c>
      <c r="E2093" s="8">
        <f>vlookup(B2093,Filmes_final!$B$2:$U$1001,20,FALSE)</f>
        <v>1941</v>
      </c>
      <c r="F2093" s="5">
        <f>vlookup(B2093,Filmes_final!$B$2:$U$1001,3,FALSE)</f>
        <v>1993</v>
      </c>
      <c r="G2093" s="5" t="str">
        <f>vlookup(B2093,Filmes_final!$B$2:$U$1001,13,FALSE)</f>
        <v>Yoshiaki Kawajiri</v>
      </c>
    </row>
    <row r="2094">
      <c r="A2094" s="5">
        <v>524.0</v>
      </c>
      <c r="B2094" s="5" t="s">
        <v>3263</v>
      </c>
      <c r="C2094" s="5" t="s">
        <v>33</v>
      </c>
      <c r="D2094" s="5" t="s">
        <v>6634</v>
      </c>
      <c r="E2094" s="8">
        <f>vlookup(B2094,Filmes_final!$B$2:$U$1001,20,FALSE)</f>
        <v>66841484</v>
      </c>
      <c r="F2094" s="5">
        <f>vlookup(B2094,Filmes_final!$B$2:$U$1001,3,FALSE)</f>
        <v>1993</v>
      </c>
      <c r="G2094" s="5" t="str">
        <f>vlookup(B2094,Filmes_final!$B$2:$U$1001,13,FALSE)</f>
        <v>Brian De Palma</v>
      </c>
    </row>
    <row r="2095">
      <c r="A2095" s="5">
        <v>524.0</v>
      </c>
      <c r="B2095" s="5" t="s">
        <v>3263</v>
      </c>
      <c r="C2095" s="5" t="s">
        <v>1605</v>
      </c>
      <c r="D2095" s="5" t="s">
        <v>6635</v>
      </c>
      <c r="E2095" s="8">
        <f>vlookup(B2095,Filmes_final!$B$2:$U$1001,20,FALSE)</f>
        <v>66841484</v>
      </c>
      <c r="F2095" s="5">
        <f>vlookup(B2095,Filmes_final!$B$2:$U$1001,3,FALSE)</f>
        <v>1993</v>
      </c>
      <c r="G2095" s="5" t="str">
        <f>vlookup(B2095,Filmes_final!$B$2:$U$1001,13,FALSE)</f>
        <v>Brian De Palma</v>
      </c>
    </row>
    <row r="2096">
      <c r="A2096" s="5">
        <v>524.0</v>
      </c>
      <c r="B2096" s="5" t="s">
        <v>3263</v>
      </c>
      <c r="C2096" s="5" t="s">
        <v>3265</v>
      </c>
      <c r="D2096" s="5" t="s">
        <v>6636</v>
      </c>
      <c r="E2096" s="8">
        <f>vlookup(B2096,Filmes_final!$B$2:$U$1001,20,FALSE)</f>
        <v>66841484</v>
      </c>
      <c r="F2096" s="5">
        <f>vlookup(B2096,Filmes_final!$B$2:$U$1001,3,FALSE)</f>
        <v>1993</v>
      </c>
      <c r="G2096" s="5" t="str">
        <f>vlookup(B2096,Filmes_final!$B$2:$U$1001,13,FALSE)</f>
        <v>Brian De Palma</v>
      </c>
    </row>
    <row r="2097">
      <c r="A2097" s="5">
        <v>524.0</v>
      </c>
      <c r="B2097" s="5" t="s">
        <v>3263</v>
      </c>
      <c r="C2097" s="5" t="s">
        <v>3266</v>
      </c>
      <c r="D2097" s="5" t="s">
        <v>6637</v>
      </c>
      <c r="E2097" s="8">
        <f>vlookup(B2097,Filmes_final!$B$2:$U$1001,20,FALSE)</f>
        <v>66841484</v>
      </c>
      <c r="F2097" s="5">
        <f>vlookup(B2097,Filmes_final!$B$2:$U$1001,3,FALSE)</f>
        <v>1993</v>
      </c>
      <c r="G2097" s="5" t="str">
        <f>vlookup(B2097,Filmes_final!$B$2:$U$1001,13,FALSE)</f>
        <v>Brian De Palma</v>
      </c>
    </row>
    <row r="2098">
      <c r="A2098" s="5">
        <v>525.0</v>
      </c>
      <c r="B2098" s="5" t="s">
        <v>3267</v>
      </c>
      <c r="C2098" s="5" t="s">
        <v>2451</v>
      </c>
      <c r="D2098" s="5" t="s">
        <v>6634</v>
      </c>
      <c r="E2098" s="8">
        <f>vlookup(B2098,Filmes_final!$B$2:$U$1001,20,FALSE)</f>
        <v>114127569</v>
      </c>
      <c r="F2098" s="5">
        <f>vlookup(B2098,Filmes_final!$B$2:$U$1001,3,FALSE)</f>
        <v>1990</v>
      </c>
      <c r="G2098" s="5" t="str">
        <f>vlookup(B2098,Filmes_final!$B$2:$U$1001,13,FALSE)</f>
        <v>Tim Burton</v>
      </c>
    </row>
    <row r="2099">
      <c r="A2099" s="5">
        <v>525.0</v>
      </c>
      <c r="B2099" s="5" t="s">
        <v>3267</v>
      </c>
      <c r="C2099" s="5" t="s">
        <v>2331</v>
      </c>
      <c r="D2099" s="5" t="s">
        <v>6635</v>
      </c>
      <c r="E2099" s="8">
        <f>vlookup(B2099,Filmes_final!$B$2:$U$1001,20,FALSE)</f>
        <v>114127569</v>
      </c>
      <c r="F2099" s="5">
        <f>vlookup(B2099,Filmes_final!$B$2:$U$1001,3,FALSE)</f>
        <v>1990</v>
      </c>
      <c r="G2099" s="5" t="str">
        <f>vlookup(B2099,Filmes_final!$B$2:$U$1001,13,FALSE)</f>
        <v>Tim Burton</v>
      </c>
    </row>
    <row r="2100">
      <c r="A2100" s="5">
        <v>525.0</v>
      </c>
      <c r="B2100" s="5" t="s">
        <v>3267</v>
      </c>
      <c r="C2100" s="5" t="s">
        <v>3269</v>
      </c>
      <c r="D2100" s="5" t="s">
        <v>6636</v>
      </c>
      <c r="E2100" s="8">
        <f>vlookup(B2100,Filmes_final!$B$2:$U$1001,20,FALSE)</f>
        <v>114127569</v>
      </c>
      <c r="F2100" s="5">
        <f>vlookup(B2100,Filmes_final!$B$2:$U$1001,3,FALSE)</f>
        <v>1990</v>
      </c>
      <c r="G2100" s="5" t="str">
        <f>vlookup(B2100,Filmes_final!$B$2:$U$1001,13,FALSE)</f>
        <v>Tim Burton</v>
      </c>
    </row>
    <row r="2101">
      <c r="A2101" s="5">
        <v>525.0</v>
      </c>
      <c r="B2101" s="5" t="s">
        <v>3267</v>
      </c>
      <c r="C2101" s="5" t="s">
        <v>3270</v>
      </c>
      <c r="D2101" s="5" t="s">
        <v>6637</v>
      </c>
      <c r="E2101" s="8">
        <f>vlookup(B2101,Filmes_final!$B$2:$U$1001,20,FALSE)</f>
        <v>114127569</v>
      </c>
      <c r="F2101" s="5">
        <f>vlookup(B2101,Filmes_final!$B$2:$U$1001,3,FALSE)</f>
        <v>1990</v>
      </c>
      <c r="G2101" s="5" t="str">
        <f>vlookup(B2101,Filmes_final!$B$2:$U$1001,13,FALSE)</f>
        <v>Tim Burton</v>
      </c>
    </row>
    <row r="2102">
      <c r="A2102" s="5">
        <v>526.0</v>
      </c>
      <c r="B2102" s="5" t="s">
        <v>3271</v>
      </c>
      <c r="C2102" s="5" t="s">
        <v>1092</v>
      </c>
      <c r="D2102" s="5" t="s">
        <v>6634</v>
      </c>
      <c r="E2102" s="8">
        <f>vlookup(B2102,Filmes_final!$B$2:$U$1001,20,FALSE)</f>
        <v>31406832</v>
      </c>
      <c r="F2102" s="5">
        <f>vlookup(B2102,Filmes_final!$B$2:$U$1001,3,FALSE)</f>
        <v>1989</v>
      </c>
      <c r="G2102" s="5" t="str">
        <f>vlookup(B2102,Filmes_final!$B$2:$U$1001,13,FALSE)</f>
        <v>Jim Sheridan</v>
      </c>
    </row>
    <row r="2103">
      <c r="A2103" s="5">
        <v>526.0</v>
      </c>
      <c r="B2103" s="5" t="s">
        <v>3271</v>
      </c>
      <c r="C2103" s="5" t="s">
        <v>3273</v>
      </c>
      <c r="D2103" s="5" t="s">
        <v>6635</v>
      </c>
      <c r="E2103" s="8">
        <f>vlookup(B2103,Filmes_final!$B$2:$U$1001,20,FALSE)</f>
        <v>31406832</v>
      </c>
      <c r="F2103" s="5">
        <f>vlookup(B2103,Filmes_final!$B$2:$U$1001,3,FALSE)</f>
        <v>1989</v>
      </c>
      <c r="G2103" s="5" t="str">
        <f>vlookup(B2103,Filmes_final!$B$2:$U$1001,13,FALSE)</f>
        <v>Jim Sheridan</v>
      </c>
    </row>
    <row r="2104">
      <c r="A2104" s="5">
        <v>526.0</v>
      </c>
      <c r="B2104" s="5" t="s">
        <v>3271</v>
      </c>
      <c r="C2104" s="5" t="s">
        <v>3274</v>
      </c>
      <c r="D2104" s="5" t="s">
        <v>6636</v>
      </c>
      <c r="E2104" s="8">
        <f>vlookup(B2104,Filmes_final!$B$2:$U$1001,20,FALSE)</f>
        <v>31406832</v>
      </c>
      <c r="F2104" s="5">
        <f>vlookup(B2104,Filmes_final!$B$2:$U$1001,3,FALSE)</f>
        <v>1989</v>
      </c>
      <c r="G2104" s="5" t="str">
        <f>vlookup(B2104,Filmes_final!$B$2:$U$1001,13,FALSE)</f>
        <v>Jim Sheridan</v>
      </c>
    </row>
    <row r="2105">
      <c r="A2105" s="5">
        <v>526.0</v>
      </c>
      <c r="B2105" s="5" t="s">
        <v>3271</v>
      </c>
      <c r="C2105" s="5" t="s">
        <v>3275</v>
      </c>
      <c r="D2105" s="5" t="s">
        <v>6637</v>
      </c>
      <c r="E2105" s="8">
        <f>vlookup(B2105,Filmes_final!$B$2:$U$1001,20,FALSE)</f>
        <v>31406832</v>
      </c>
      <c r="F2105" s="5">
        <f>vlookup(B2105,Filmes_final!$B$2:$U$1001,3,FALSE)</f>
        <v>1989</v>
      </c>
      <c r="G2105" s="5" t="str">
        <f>vlookup(B2105,Filmes_final!$B$2:$U$1001,13,FALSE)</f>
        <v>Jim Sheridan</v>
      </c>
    </row>
    <row r="2106">
      <c r="A2106" s="5">
        <v>527.0</v>
      </c>
      <c r="B2106" s="5" t="s">
        <v>3276</v>
      </c>
      <c r="C2106" s="5" t="s">
        <v>3278</v>
      </c>
      <c r="D2106" s="5" t="s">
        <v>6634</v>
      </c>
      <c r="E2106" s="8">
        <f>vlookup(B2106,Filmes_final!$B$2:$U$1001,20,FALSE)</f>
        <v>38886736</v>
      </c>
      <c r="F2106" s="5">
        <f>vlookup(B2106,Filmes_final!$B$2:$U$1001,3,FALSE)</f>
        <v>1989</v>
      </c>
      <c r="G2106" s="5" t="str">
        <f>vlookup(B2106,Filmes_final!$B$2:$U$1001,13,FALSE)</f>
        <v>Woody Allen</v>
      </c>
    </row>
    <row r="2107">
      <c r="A2107" s="5">
        <v>527.0</v>
      </c>
      <c r="B2107" s="5" t="s">
        <v>3276</v>
      </c>
      <c r="C2107" s="5" t="s">
        <v>2671</v>
      </c>
      <c r="D2107" s="5" t="s">
        <v>6635</v>
      </c>
      <c r="E2107" s="8">
        <f>vlookup(B2107,Filmes_final!$B$2:$U$1001,20,FALSE)</f>
        <v>38886736</v>
      </c>
      <c r="F2107" s="5">
        <f>vlookup(B2107,Filmes_final!$B$2:$U$1001,3,FALSE)</f>
        <v>1989</v>
      </c>
      <c r="G2107" s="5" t="str">
        <f>vlookup(B2107,Filmes_final!$B$2:$U$1001,13,FALSE)</f>
        <v>Woody Allen</v>
      </c>
    </row>
    <row r="2108">
      <c r="A2108" s="5">
        <v>527.0</v>
      </c>
      <c r="B2108" s="5" t="s">
        <v>3276</v>
      </c>
      <c r="C2108" s="5" t="s">
        <v>3279</v>
      </c>
      <c r="D2108" s="5" t="s">
        <v>6636</v>
      </c>
      <c r="E2108" s="8">
        <f>vlookup(B2108,Filmes_final!$B$2:$U$1001,20,FALSE)</f>
        <v>38886736</v>
      </c>
      <c r="F2108" s="5">
        <f>vlookup(B2108,Filmes_final!$B$2:$U$1001,3,FALSE)</f>
        <v>1989</v>
      </c>
      <c r="G2108" s="5" t="str">
        <f>vlookup(B2108,Filmes_final!$B$2:$U$1001,13,FALSE)</f>
        <v>Woody Allen</v>
      </c>
    </row>
    <row r="2109">
      <c r="A2109" s="5">
        <v>527.0</v>
      </c>
      <c r="B2109" s="5" t="s">
        <v>3276</v>
      </c>
      <c r="C2109" s="5" t="s">
        <v>3280</v>
      </c>
      <c r="D2109" s="5" t="s">
        <v>6637</v>
      </c>
      <c r="E2109" s="8">
        <f>vlookup(B2109,Filmes_final!$B$2:$U$1001,20,FALSE)</f>
        <v>38886736</v>
      </c>
      <c r="F2109" s="5">
        <f>vlookup(B2109,Filmes_final!$B$2:$U$1001,3,FALSE)</f>
        <v>1989</v>
      </c>
      <c r="G2109" s="5" t="str">
        <f>vlookup(B2109,Filmes_final!$B$2:$U$1001,13,FALSE)</f>
        <v>Woody Allen</v>
      </c>
    </row>
    <row r="2110">
      <c r="A2110" s="5">
        <v>528.0</v>
      </c>
      <c r="B2110" s="5" t="s">
        <v>3281</v>
      </c>
      <c r="C2110" s="5" t="s">
        <v>2595</v>
      </c>
      <c r="D2110" s="5" t="s">
        <v>6634</v>
      </c>
      <c r="E2110" s="8">
        <f>vlookup(B2110,Filmes_final!$B$2:$U$1001,20,FALSE)</f>
        <v>176938537</v>
      </c>
      <c r="F2110" s="5">
        <f>vlookup(B2110,Filmes_final!$B$2:$U$1001,3,FALSE)</f>
        <v>1987</v>
      </c>
      <c r="G2110" s="5" t="str">
        <f>vlookup(B2110,Filmes_final!$B$2:$U$1001,13,FALSE)</f>
        <v>Brian De Palma</v>
      </c>
    </row>
    <row r="2111">
      <c r="A2111" s="5">
        <v>528.0</v>
      </c>
      <c r="B2111" s="5" t="s">
        <v>3281</v>
      </c>
      <c r="C2111" s="5" t="s">
        <v>1195</v>
      </c>
      <c r="D2111" s="5" t="s">
        <v>6635</v>
      </c>
      <c r="E2111" s="8">
        <f>vlookup(B2111,Filmes_final!$B$2:$U$1001,20,FALSE)</f>
        <v>176938537</v>
      </c>
      <c r="F2111" s="5">
        <f>vlookup(B2111,Filmes_final!$B$2:$U$1001,3,FALSE)</f>
        <v>1987</v>
      </c>
      <c r="G2111" s="5" t="str">
        <f>vlookup(B2111,Filmes_final!$B$2:$U$1001,13,FALSE)</f>
        <v>Brian De Palma</v>
      </c>
    </row>
    <row r="2112">
      <c r="A2112" s="5">
        <v>528.0</v>
      </c>
      <c r="B2112" s="5" t="s">
        <v>3281</v>
      </c>
      <c r="C2112" s="5" t="s">
        <v>49</v>
      </c>
      <c r="D2112" s="5" t="s">
        <v>6636</v>
      </c>
      <c r="E2112" s="8">
        <f>vlookup(B2112,Filmes_final!$B$2:$U$1001,20,FALSE)</f>
        <v>176938537</v>
      </c>
      <c r="F2112" s="5">
        <f>vlookup(B2112,Filmes_final!$B$2:$U$1001,3,FALSE)</f>
        <v>1987</v>
      </c>
      <c r="G2112" s="5" t="str">
        <f>vlookup(B2112,Filmes_final!$B$2:$U$1001,13,FALSE)</f>
        <v>Brian De Palma</v>
      </c>
    </row>
    <row r="2113">
      <c r="A2113" s="5">
        <v>528.0</v>
      </c>
      <c r="B2113" s="5" t="s">
        <v>3281</v>
      </c>
      <c r="C2113" s="5" t="s">
        <v>3283</v>
      </c>
      <c r="D2113" s="5" t="s">
        <v>6637</v>
      </c>
      <c r="E2113" s="8">
        <f>vlookup(B2113,Filmes_final!$B$2:$U$1001,20,FALSE)</f>
        <v>176938537</v>
      </c>
      <c r="F2113" s="5">
        <f>vlookup(B2113,Filmes_final!$B$2:$U$1001,3,FALSE)</f>
        <v>1987</v>
      </c>
      <c r="G2113" s="5" t="str">
        <f>vlookup(B2113,Filmes_final!$B$2:$U$1001,13,FALSE)</f>
        <v>Brian De Palma</v>
      </c>
    </row>
    <row r="2114">
      <c r="A2114" s="5">
        <v>529.0</v>
      </c>
      <c r="B2114" s="5" t="s">
        <v>3284</v>
      </c>
      <c r="C2114" s="5" t="s">
        <v>2728</v>
      </c>
      <c r="D2114" s="5" t="s">
        <v>6634</v>
      </c>
      <c r="E2114" s="8">
        <f>vlookup(B2114,Filmes_final!$B$2:$U$1001,20,FALSE)</f>
        <v>94347812</v>
      </c>
      <c r="F2114" s="5">
        <f>vlookup(B2114,Filmes_final!$B$2:$U$1001,3,FALSE)</f>
        <v>1986</v>
      </c>
      <c r="G2114" s="5" t="str">
        <f>vlookup(B2114,Filmes_final!$B$2:$U$1001,13,FALSE)</f>
        <v>Woody Allen</v>
      </c>
    </row>
    <row r="2115">
      <c r="A2115" s="5">
        <v>529.0</v>
      </c>
      <c r="B2115" s="5" t="s">
        <v>3284</v>
      </c>
      <c r="C2115" s="5" t="s">
        <v>3269</v>
      </c>
      <c r="D2115" s="5" t="s">
        <v>6635</v>
      </c>
      <c r="E2115" s="8">
        <f>vlookup(B2115,Filmes_final!$B$2:$U$1001,20,FALSE)</f>
        <v>94347812</v>
      </c>
      <c r="F2115" s="5">
        <f>vlookup(B2115,Filmes_final!$B$2:$U$1001,3,FALSE)</f>
        <v>1986</v>
      </c>
      <c r="G2115" s="5" t="str">
        <f>vlookup(B2115,Filmes_final!$B$2:$U$1001,13,FALSE)</f>
        <v>Woody Allen</v>
      </c>
    </row>
    <row r="2116">
      <c r="A2116" s="5">
        <v>529.0</v>
      </c>
      <c r="B2116" s="5" t="s">
        <v>3284</v>
      </c>
      <c r="C2116" s="5" t="s">
        <v>45</v>
      </c>
      <c r="D2116" s="5" t="s">
        <v>6636</v>
      </c>
      <c r="E2116" s="8">
        <f>vlookup(B2116,Filmes_final!$B$2:$U$1001,20,FALSE)</f>
        <v>94347812</v>
      </c>
      <c r="F2116" s="5">
        <f>vlookup(B2116,Filmes_final!$B$2:$U$1001,3,FALSE)</f>
        <v>1986</v>
      </c>
      <c r="G2116" s="5" t="str">
        <f>vlookup(B2116,Filmes_final!$B$2:$U$1001,13,FALSE)</f>
        <v>Woody Allen</v>
      </c>
    </row>
    <row r="2117">
      <c r="A2117" s="5">
        <v>529.0</v>
      </c>
      <c r="B2117" s="5" t="s">
        <v>3284</v>
      </c>
      <c r="C2117" s="5" t="s">
        <v>3286</v>
      </c>
      <c r="D2117" s="5" t="s">
        <v>6637</v>
      </c>
      <c r="E2117" s="8">
        <f>vlookup(B2117,Filmes_final!$B$2:$U$1001,20,FALSE)</f>
        <v>94347812</v>
      </c>
      <c r="F2117" s="5">
        <f>vlookup(B2117,Filmes_final!$B$2:$U$1001,3,FALSE)</f>
        <v>1986</v>
      </c>
      <c r="G2117" s="5" t="str">
        <f>vlookup(B2117,Filmes_final!$B$2:$U$1001,13,FALSE)</f>
        <v>Woody Allen</v>
      </c>
    </row>
    <row r="2118">
      <c r="A2118" s="5">
        <v>530.0</v>
      </c>
      <c r="B2118" s="5" t="s">
        <v>3287</v>
      </c>
      <c r="C2118" s="5" t="s">
        <v>3289</v>
      </c>
      <c r="D2118" s="5" t="s">
        <v>6634</v>
      </c>
      <c r="E2118" s="8">
        <f>vlookup(B2118,Filmes_final!$B$2:$U$1001,20,FALSE)</f>
        <v>24278947</v>
      </c>
      <c r="F2118" s="5">
        <f>vlookup(B2118,Filmes_final!$B$2:$U$1001,3,FALSE)</f>
        <v>1985</v>
      </c>
      <c r="G2118" s="5" t="str">
        <f>vlookup(B2118,Filmes_final!$B$2:$U$1001,13,FALSE)</f>
        <v>Terry Gilliam</v>
      </c>
    </row>
    <row r="2119">
      <c r="A2119" s="5">
        <v>530.0</v>
      </c>
      <c r="B2119" s="5" t="s">
        <v>3287</v>
      </c>
      <c r="C2119" s="5" t="s">
        <v>3290</v>
      </c>
      <c r="D2119" s="5" t="s">
        <v>6635</v>
      </c>
      <c r="E2119" s="8">
        <f>vlookup(B2119,Filmes_final!$B$2:$U$1001,20,FALSE)</f>
        <v>24278947</v>
      </c>
      <c r="F2119" s="5">
        <f>vlookup(B2119,Filmes_final!$B$2:$U$1001,3,FALSE)</f>
        <v>1985</v>
      </c>
      <c r="G2119" s="5" t="str">
        <f>vlookup(B2119,Filmes_final!$B$2:$U$1001,13,FALSE)</f>
        <v>Terry Gilliam</v>
      </c>
    </row>
    <row r="2120">
      <c r="A2120" s="5">
        <v>530.0</v>
      </c>
      <c r="B2120" s="5" t="s">
        <v>3287</v>
      </c>
      <c r="C2120" s="5" t="s">
        <v>49</v>
      </c>
      <c r="D2120" s="5" t="s">
        <v>6636</v>
      </c>
      <c r="E2120" s="8">
        <f>vlookup(B2120,Filmes_final!$B$2:$U$1001,20,FALSE)</f>
        <v>24278947</v>
      </c>
      <c r="F2120" s="5">
        <f>vlookup(B2120,Filmes_final!$B$2:$U$1001,3,FALSE)</f>
        <v>1985</v>
      </c>
      <c r="G2120" s="5" t="str">
        <f>vlookup(B2120,Filmes_final!$B$2:$U$1001,13,FALSE)</f>
        <v>Terry Gilliam</v>
      </c>
    </row>
    <row r="2121">
      <c r="A2121" s="5">
        <v>530.0</v>
      </c>
      <c r="B2121" s="5" t="s">
        <v>3287</v>
      </c>
      <c r="C2121" s="5" t="s">
        <v>3291</v>
      </c>
      <c r="D2121" s="5" t="s">
        <v>6637</v>
      </c>
      <c r="E2121" s="8">
        <f>vlookup(B2121,Filmes_final!$B$2:$U$1001,20,FALSE)</f>
        <v>24278947</v>
      </c>
      <c r="F2121" s="5">
        <f>vlookup(B2121,Filmes_final!$B$2:$U$1001,3,FALSE)</f>
        <v>1985</v>
      </c>
      <c r="G2121" s="5" t="str">
        <f>vlookup(B2121,Filmes_final!$B$2:$U$1001,13,FALSE)</f>
        <v>Terry Gilliam</v>
      </c>
    </row>
    <row r="2122">
      <c r="A2122" s="5">
        <v>531.0</v>
      </c>
      <c r="B2122" s="5" t="s">
        <v>3292</v>
      </c>
      <c r="C2122" s="5" t="s">
        <v>1815</v>
      </c>
      <c r="D2122" s="5" t="s">
        <v>6634</v>
      </c>
      <c r="E2122" s="8">
        <f>vlookup(B2122,Filmes_final!$B$2:$U$1001,20,FALSE)</f>
        <v>477844</v>
      </c>
      <c r="F2122" s="5">
        <f>vlookup(B2122,Filmes_final!$B$2:$U$1001,3,FALSE)</f>
        <v>1984</v>
      </c>
      <c r="G2122" s="5" t="str">
        <f>vlookup(B2122,Filmes_final!$B$2:$U$1001,13,FALSE)</f>
        <v>Rob Reiner</v>
      </c>
    </row>
    <row r="2123">
      <c r="A2123" s="5">
        <v>531.0</v>
      </c>
      <c r="B2123" s="5" t="s">
        <v>3292</v>
      </c>
      <c r="C2123" s="5" t="s">
        <v>3296</v>
      </c>
      <c r="D2123" s="5" t="s">
        <v>6635</v>
      </c>
      <c r="E2123" s="8">
        <f>vlookup(B2123,Filmes_final!$B$2:$U$1001,20,FALSE)</f>
        <v>477844</v>
      </c>
      <c r="F2123" s="5">
        <f>vlookup(B2123,Filmes_final!$B$2:$U$1001,3,FALSE)</f>
        <v>1984</v>
      </c>
      <c r="G2123" s="5" t="str">
        <f>vlookup(B2123,Filmes_final!$B$2:$U$1001,13,FALSE)</f>
        <v>Rob Reiner</v>
      </c>
    </row>
    <row r="2124">
      <c r="A2124" s="5">
        <v>531.0</v>
      </c>
      <c r="B2124" s="5" t="s">
        <v>3292</v>
      </c>
      <c r="C2124" s="5" t="s">
        <v>3297</v>
      </c>
      <c r="D2124" s="5" t="s">
        <v>6636</v>
      </c>
      <c r="E2124" s="8">
        <f>vlookup(B2124,Filmes_final!$B$2:$U$1001,20,FALSE)</f>
        <v>477844</v>
      </c>
      <c r="F2124" s="5">
        <f>vlookup(B2124,Filmes_final!$B$2:$U$1001,3,FALSE)</f>
        <v>1984</v>
      </c>
      <c r="G2124" s="5" t="str">
        <f>vlookup(B2124,Filmes_final!$B$2:$U$1001,13,FALSE)</f>
        <v>Rob Reiner</v>
      </c>
    </row>
    <row r="2125">
      <c r="A2125" s="5">
        <v>531.0</v>
      </c>
      <c r="B2125" s="5" t="s">
        <v>3292</v>
      </c>
      <c r="C2125" s="5" t="s">
        <v>3298</v>
      </c>
      <c r="D2125" s="5" t="s">
        <v>6637</v>
      </c>
      <c r="E2125" s="8">
        <f>vlookup(B2125,Filmes_final!$B$2:$U$1001,20,FALSE)</f>
        <v>477844</v>
      </c>
      <c r="F2125" s="5">
        <f>vlookup(B2125,Filmes_final!$B$2:$U$1001,3,FALSE)</f>
        <v>1984</v>
      </c>
      <c r="G2125" s="5" t="str">
        <f>vlookup(B2125,Filmes_final!$B$2:$U$1001,13,FALSE)</f>
        <v>Rob Reiner</v>
      </c>
    </row>
    <row r="2126">
      <c r="A2126" s="5">
        <v>532.0</v>
      </c>
      <c r="B2126" s="5" t="s">
        <v>3299</v>
      </c>
      <c r="C2126" s="5" t="s">
        <v>3303</v>
      </c>
      <c r="D2126" s="5" t="s">
        <v>6634</v>
      </c>
      <c r="E2126" s="8">
        <f>vlookup(B2126,Filmes_final!$B$2:$U$1001,20,FALSE)</f>
        <v>54351190</v>
      </c>
      <c r="F2126" s="5">
        <f>vlookup(B2126,Filmes_final!$B$2:$U$1001,3,FALSE)</f>
        <v>1983</v>
      </c>
      <c r="G2126" s="5" t="str">
        <f>vlookup(B2126,Filmes_final!$B$2:$U$1001,13,FALSE)</f>
        <v>Bob Clark</v>
      </c>
    </row>
    <row r="2127">
      <c r="A2127" s="5">
        <v>532.0</v>
      </c>
      <c r="B2127" s="5" t="s">
        <v>3299</v>
      </c>
      <c r="C2127" s="5" t="s">
        <v>3304</v>
      </c>
      <c r="D2127" s="5" t="s">
        <v>6635</v>
      </c>
      <c r="E2127" s="8">
        <f>vlookup(B2127,Filmes_final!$B$2:$U$1001,20,FALSE)</f>
        <v>54351190</v>
      </c>
      <c r="F2127" s="5">
        <f>vlookup(B2127,Filmes_final!$B$2:$U$1001,3,FALSE)</f>
        <v>1983</v>
      </c>
      <c r="G2127" s="5" t="str">
        <f>vlookup(B2127,Filmes_final!$B$2:$U$1001,13,FALSE)</f>
        <v>Bob Clark</v>
      </c>
    </row>
    <row r="2128">
      <c r="A2128" s="5">
        <v>532.0</v>
      </c>
      <c r="B2128" s="5" t="s">
        <v>3299</v>
      </c>
      <c r="C2128" s="5" t="s">
        <v>3305</v>
      </c>
      <c r="D2128" s="5" t="s">
        <v>6636</v>
      </c>
      <c r="E2128" s="8">
        <f>vlookup(B2128,Filmes_final!$B$2:$U$1001,20,FALSE)</f>
        <v>54351190</v>
      </c>
      <c r="F2128" s="5">
        <f>vlookup(B2128,Filmes_final!$B$2:$U$1001,3,FALSE)</f>
        <v>1983</v>
      </c>
      <c r="G2128" s="5" t="str">
        <f>vlookup(B2128,Filmes_final!$B$2:$U$1001,13,FALSE)</f>
        <v>Bob Clark</v>
      </c>
    </row>
    <row r="2129">
      <c r="A2129" s="5">
        <v>532.0</v>
      </c>
      <c r="B2129" s="5" t="s">
        <v>3299</v>
      </c>
      <c r="C2129" s="5" t="s">
        <v>3306</v>
      </c>
      <c r="D2129" s="5" t="s">
        <v>6637</v>
      </c>
      <c r="E2129" s="8">
        <f>vlookup(B2129,Filmes_final!$B$2:$U$1001,20,FALSE)</f>
        <v>54351190</v>
      </c>
      <c r="F2129" s="5">
        <f>vlookup(B2129,Filmes_final!$B$2:$U$1001,3,FALSE)</f>
        <v>1983</v>
      </c>
      <c r="G2129" s="5" t="str">
        <f>vlookup(B2129,Filmes_final!$B$2:$U$1001,13,FALSE)</f>
        <v>Bob Clark</v>
      </c>
    </row>
    <row r="2130">
      <c r="A2130" s="5">
        <v>533.0</v>
      </c>
      <c r="B2130" s="5" t="s">
        <v>3307</v>
      </c>
      <c r="C2130" s="5" t="s">
        <v>3310</v>
      </c>
      <c r="D2130" s="5" t="s">
        <v>6634</v>
      </c>
      <c r="E2130" s="8">
        <f>vlookup(B2130,Filmes_final!$B$2:$U$1001,20,FALSE)</f>
        <v>189764164</v>
      </c>
      <c r="F2130" s="5">
        <f>vlookup(B2130,Filmes_final!$B$2:$U$1001,3,FALSE)</f>
        <v>1980</v>
      </c>
      <c r="G2130" s="5" t="str">
        <f>vlookup(B2130,Filmes_final!$B$2:$U$1001,13,FALSE)</f>
        <v>John Landis</v>
      </c>
    </row>
    <row r="2131">
      <c r="A2131" s="5">
        <v>533.0</v>
      </c>
      <c r="B2131" s="5" t="s">
        <v>3307</v>
      </c>
      <c r="C2131" s="5" t="s">
        <v>3311</v>
      </c>
      <c r="D2131" s="5" t="s">
        <v>6635</v>
      </c>
      <c r="E2131" s="8">
        <f>vlookup(B2131,Filmes_final!$B$2:$U$1001,20,FALSE)</f>
        <v>189764164</v>
      </c>
      <c r="F2131" s="5">
        <f>vlookup(B2131,Filmes_final!$B$2:$U$1001,3,FALSE)</f>
        <v>1980</v>
      </c>
      <c r="G2131" s="5" t="str">
        <f>vlookup(B2131,Filmes_final!$B$2:$U$1001,13,FALSE)</f>
        <v>John Landis</v>
      </c>
    </row>
    <row r="2132">
      <c r="A2132" s="5">
        <v>533.0</v>
      </c>
      <c r="B2132" s="5" t="s">
        <v>3307</v>
      </c>
      <c r="C2132" s="5" t="s">
        <v>3312</v>
      </c>
      <c r="D2132" s="5" t="s">
        <v>6636</v>
      </c>
      <c r="E2132" s="8">
        <f>vlookup(B2132,Filmes_final!$B$2:$U$1001,20,FALSE)</f>
        <v>189764164</v>
      </c>
      <c r="F2132" s="5">
        <f>vlookup(B2132,Filmes_final!$B$2:$U$1001,3,FALSE)</f>
        <v>1980</v>
      </c>
      <c r="G2132" s="5" t="str">
        <f>vlookup(B2132,Filmes_final!$B$2:$U$1001,13,FALSE)</f>
        <v>John Landis</v>
      </c>
    </row>
    <row r="2133">
      <c r="A2133" s="5">
        <v>533.0</v>
      </c>
      <c r="B2133" s="5" t="s">
        <v>3307</v>
      </c>
      <c r="C2133" s="5" t="s">
        <v>3313</v>
      </c>
      <c r="D2133" s="5" t="s">
        <v>6637</v>
      </c>
      <c r="E2133" s="8">
        <f>vlookup(B2133,Filmes_final!$B$2:$U$1001,20,FALSE)</f>
        <v>189764164</v>
      </c>
      <c r="F2133" s="5">
        <f>vlookup(B2133,Filmes_final!$B$2:$U$1001,3,FALSE)</f>
        <v>1980</v>
      </c>
      <c r="G2133" s="5" t="str">
        <f>vlookup(B2133,Filmes_final!$B$2:$U$1001,13,FALSE)</f>
        <v>John Landis</v>
      </c>
    </row>
    <row r="2134">
      <c r="A2134" s="5">
        <v>534.0</v>
      </c>
      <c r="B2134" s="5" t="s">
        <v>3314</v>
      </c>
      <c r="C2134" s="5" t="s">
        <v>2671</v>
      </c>
      <c r="D2134" s="5" t="s">
        <v>6634</v>
      </c>
      <c r="E2134" s="8">
        <f>vlookup(B2134,Filmes_final!$B$2:$U$1001,20,FALSE)</f>
        <v>172610171</v>
      </c>
      <c r="F2134" s="5">
        <f>vlookup(B2134,Filmes_final!$B$2:$U$1001,3,FALSE)</f>
        <v>1979</v>
      </c>
      <c r="G2134" s="5" t="str">
        <f>vlookup(B2134,Filmes_final!$B$2:$U$1001,13,FALSE)</f>
        <v>Woody Allen</v>
      </c>
    </row>
    <row r="2135">
      <c r="A2135" s="5">
        <v>534.0</v>
      </c>
      <c r="B2135" s="5" t="s">
        <v>3314</v>
      </c>
      <c r="C2135" s="5" t="s">
        <v>35</v>
      </c>
      <c r="D2135" s="5" t="s">
        <v>6635</v>
      </c>
      <c r="E2135" s="8">
        <f>vlookup(B2135,Filmes_final!$B$2:$U$1001,20,FALSE)</f>
        <v>172610171</v>
      </c>
      <c r="F2135" s="5">
        <f>vlookup(B2135,Filmes_final!$B$2:$U$1001,3,FALSE)</f>
        <v>1979</v>
      </c>
      <c r="G2135" s="5" t="str">
        <f>vlookup(B2135,Filmes_final!$B$2:$U$1001,13,FALSE)</f>
        <v>Woody Allen</v>
      </c>
    </row>
    <row r="2136">
      <c r="A2136" s="5">
        <v>534.0</v>
      </c>
      <c r="B2136" s="5" t="s">
        <v>3314</v>
      </c>
      <c r="C2136" s="5" t="s">
        <v>3316</v>
      </c>
      <c r="D2136" s="5" t="s">
        <v>6636</v>
      </c>
      <c r="E2136" s="8">
        <f>vlookup(B2136,Filmes_final!$B$2:$U$1001,20,FALSE)</f>
        <v>172610171</v>
      </c>
      <c r="F2136" s="5">
        <f>vlookup(B2136,Filmes_final!$B$2:$U$1001,3,FALSE)</f>
        <v>1979</v>
      </c>
      <c r="G2136" s="5" t="str">
        <f>vlookup(B2136,Filmes_final!$B$2:$U$1001,13,FALSE)</f>
        <v>Woody Allen</v>
      </c>
    </row>
    <row r="2137">
      <c r="A2137" s="5">
        <v>534.0</v>
      </c>
      <c r="B2137" s="5" t="s">
        <v>3314</v>
      </c>
      <c r="C2137" s="5" t="s">
        <v>3317</v>
      </c>
      <c r="D2137" s="5" t="s">
        <v>6637</v>
      </c>
      <c r="E2137" s="8">
        <f>vlookup(B2137,Filmes_final!$B$2:$U$1001,20,FALSE)</f>
        <v>172610171</v>
      </c>
      <c r="F2137" s="5">
        <f>vlookup(B2137,Filmes_final!$B$2:$U$1001,3,FALSE)</f>
        <v>1979</v>
      </c>
      <c r="G2137" s="5" t="str">
        <f>vlookup(B2137,Filmes_final!$B$2:$U$1001,13,FALSE)</f>
        <v>Woody Allen</v>
      </c>
    </row>
    <row r="2138">
      <c r="A2138" s="5">
        <v>535.0</v>
      </c>
      <c r="B2138" s="5" t="s">
        <v>3318</v>
      </c>
      <c r="C2138" s="5" t="s">
        <v>2677</v>
      </c>
      <c r="D2138" s="5" t="s">
        <v>6634</v>
      </c>
      <c r="E2138" s="8">
        <f>vlookup(B2138,Filmes_final!$B$2:$U$1001,20,FALSE)</f>
        <v>142861077</v>
      </c>
      <c r="F2138" s="5">
        <f>vlookup(B2138,Filmes_final!$B$2:$U$1001,3,FALSE)</f>
        <v>1979</v>
      </c>
      <c r="G2138" s="5" t="str">
        <f>vlookup(B2138,Filmes_final!$B$2:$U$1001,13,FALSE)</f>
        <v>Bob Fosse</v>
      </c>
    </row>
    <row r="2139">
      <c r="A2139" s="5">
        <v>535.0</v>
      </c>
      <c r="B2139" s="5" t="s">
        <v>3318</v>
      </c>
      <c r="C2139" s="5" t="s">
        <v>2456</v>
      </c>
      <c r="D2139" s="5" t="s">
        <v>6635</v>
      </c>
      <c r="E2139" s="8">
        <f>vlookup(B2139,Filmes_final!$B$2:$U$1001,20,FALSE)</f>
        <v>142861077</v>
      </c>
      <c r="F2139" s="5">
        <f>vlookup(B2139,Filmes_final!$B$2:$U$1001,3,FALSE)</f>
        <v>1979</v>
      </c>
      <c r="G2139" s="5" t="str">
        <f>vlookup(B2139,Filmes_final!$B$2:$U$1001,13,FALSE)</f>
        <v>Bob Fosse</v>
      </c>
    </row>
    <row r="2140">
      <c r="A2140" s="5">
        <v>535.0</v>
      </c>
      <c r="B2140" s="5" t="s">
        <v>3318</v>
      </c>
      <c r="C2140" s="5" t="s">
        <v>3322</v>
      </c>
      <c r="D2140" s="5" t="s">
        <v>6636</v>
      </c>
      <c r="E2140" s="8">
        <f>vlookup(B2140,Filmes_final!$B$2:$U$1001,20,FALSE)</f>
        <v>142861077</v>
      </c>
      <c r="F2140" s="5">
        <f>vlookup(B2140,Filmes_final!$B$2:$U$1001,3,FALSE)</f>
        <v>1979</v>
      </c>
      <c r="G2140" s="5" t="str">
        <f>vlookup(B2140,Filmes_final!$B$2:$U$1001,13,FALSE)</f>
        <v>Bob Fosse</v>
      </c>
    </row>
    <row r="2141">
      <c r="A2141" s="5">
        <v>535.0</v>
      </c>
      <c r="B2141" s="5" t="s">
        <v>3318</v>
      </c>
      <c r="C2141" s="5" t="s">
        <v>3323</v>
      </c>
      <c r="D2141" s="5" t="s">
        <v>6637</v>
      </c>
      <c r="E2141" s="8">
        <f>vlookup(B2141,Filmes_final!$B$2:$U$1001,20,FALSE)</f>
        <v>142861077</v>
      </c>
      <c r="F2141" s="5">
        <f>vlookup(B2141,Filmes_final!$B$2:$U$1001,3,FALSE)</f>
        <v>1979</v>
      </c>
      <c r="G2141" s="5" t="str">
        <f>vlookup(B2141,Filmes_final!$B$2:$U$1001,13,FALSE)</f>
        <v>Bob Fosse</v>
      </c>
    </row>
    <row r="2142">
      <c r="A2142" s="5">
        <v>536.0</v>
      </c>
      <c r="B2142" s="5" t="s">
        <v>3324</v>
      </c>
      <c r="C2142" s="5" t="s">
        <v>3328</v>
      </c>
      <c r="D2142" s="5" t="s">
        <v>6634</v>
      </c>
      <c r="E2142" s="8">
        <f>vlookup(B2142,Filmes_final!$B$2:$U$1001,20,FALSE)</f>
        <v>21050434</v>
      </c>
      <c r="F2142" s="5">
        <f>vlookup(B2142,Filmes_final!$B$2:$U$1001,3,FALSE)</f>
        <v>1978</v>
      </c>
      <c r="G2142" s="5" t="str">
        <f>vlookup(B2142,Filmes_final!$B$2:$U$1001,13,FALSE)</f>
        <v>George A. Romero</v>
      </c>
    </row>
    <row r="2143">
      <c r="A2143" s="5">
        <v>536.0</v>
      </c>
      <c r="B2143" s="5" t="s">
        <v>3324</v>
      </c>
      <c r="C2143" s="5" t="s">
        <v>3329</v>
      </c>
      <c r="D2143" s="5" t="s">
        <v>6635</v>
      </c>
      <c r="E2143" s="8">
        <f>vlookup(B2143,Filmes_final!$B$2:$U$1001,20,FALSE)</f>
        <v>21050434</v>
      </c>
      <c r="F2143" s="5">
        <f>vlookup(B2143,Filmes_final!$B$2:$U$1001,3,FALSE)</f>
        <v>1978</v>
      </c>
      <c r="G2143" s="5" t="str">
        <f>vlookup(B2143,Filmes_final!$B$2:$U$1001,13,FALSE)</f>
        <v>George A. Romero</v>
      </c>
    </row>
    <row r="2144">
      <c r="A2144" s="5">
        <v>536.0</v>
      </c>
      <c r="B2144" s="5" t="s">
        <v>3324</v>
      </c>
      <c r="C2144" s="5" t="s">
        <v>3330</v>
      </c>
      <c r="D2144" s="5" t="s">
        <v>6636</v>
      </c>
      <c r="E2144" s="8">
        <f>vlookup(B2144,Filmes_final!$B$2:$U$1001,20,FALSE)</f>
        <v>21050434</v>
      </c>
      <c r="F2144" s="5">
        <f>vlookup(B2144,Filmes_final!$B$2:$U$1001,3,FALSE)</f>
        <v>1978</v>
      </c>
      <c r="G2144" s="5" t="str">
        <f>vlookup(B2144,Filmes_final!$B$2:$U$1001,13,FALSE)</f>
        <v>George A. Romero</v>
      </c>
    </row>
    <row r="2145">
      <c r="A2145" s="5">
        <v>536.0</v>
      </c>
      <c r="B2145" s="5" t="s">
        <v>3324</v>
      </c>
      <c r="C2145" s="5" t="s">
        <v>3331</v>
      </c>
      <c r="D2145" s="5" t="s">
        <v>6637</v>
      </c>
      <c r="E2145" s="8">
        <f>vlookup(B2145,Filmes_final!$B$2:$U$1001,20,FALSE)</f>
        <v>21050434</v>
      </c>
      <c r="F2145" s="5">
        <f>vlookup(B2145,Filmes_final!$B$2:$U$1001,3,FALSE)</f>
        <v>1978</v>
      </c>
      <c r="G2145" s="5" t="str">
        <f>vlookup(B2145,Filmes_final!$B$2:$U$1001,13,FALSE)</f>
        <v>George A. Romero</v>
      </c>
    </row>
    <row r="2146">
      <c r="A2146" s="5">
        <v>537.0</v>
      </c>
      <c r="B2146" s="5" t="s">
        <v>3332</v>
      </c>
      <c r="C2146" s="5" t="s">
        <v>2618</v>
      </c>
      <c r="D2146" s="5" t="s">
        <v>6634</v>
      </c>
      <c r="E2146" s="8">
        <f>vlookup(B2146,Filmes_final!$B$2:$U$1001,20,FALSE)</f>
        <v>327567493</v>
      </c>
      <c r="F2146" s="5">
        <f>vlookup(B2146,Filmes_final!$B$2:$U$1001,3,FALSE)</f>
        <v>1976</v>
      </c>
      <c r="G2146" s="5" t="str">
        <f>vlookup(B2146,Filmes_final!$B$2:$U$1001,13,FALSE)</f>
        <v>Alan J. Pakula</v>
      </c>
    </row>
    <row r="2147">
      <c r="A2147" s="5">
        <v>537.0</v>
      </c>
      <c r="B2147" s="5" t="s">
        <v>3332</v>
      </c>
      <c r="C2147" s="5" t="s">
        <v>835</v>
      </c>
      <c r="D2147" s="5" t="s">
        <v>6635</v>
      </c>
      <c r="E2147" s="8">
        <f>vlookup(B2147,Filmes_final!$B$2:$U$1001,20,FALSE)</f>
        <v>327567493</v>
      </c>
      <c r="F2147" s="5">
        <f>vlookup(B2147,Filmes_final!$B$2:$U$1001,3,FALSE)</f>
        <v>1976</v>
      </c>
      <c r="G2147" s="5" t="str">
        <f>vlookup(B2147,Filmes_final!$B$2:$U$1001,13,FALSE)</f>
        <v>Alan J. Pakula</v>
      </c>
    </row>
    <row r="2148">
      <c r="A2148" s="5">
        <v>537.0</v>
      </c>
      <c r="B2148" s="5" t="s">
        <v>3332</v>
      </c>
      <c r="C2148" s="5" t="s">
        <v>2668</v>
      </c>
      <c r="D2148" s="5" t="s">
        <v>6636</v>
      </c>
      <c r="E2148" s="8">
        <f>vlookup(B2148,Filmes_final!$B$2:$U$1001,20,FALSE)</f>
        <v>327567493</v>
      </c>
      <c r="F2148" s="5">
        <f>vlookup(B2148,Filmes_final!$B$2:$U$1001,3,FALSE)</f>
        <v>1976</v>
      </c>
      <c r="G2148" s="5" t="str">
        <f>vlookup(B2148,Filmes_final!$B$2:$U$1001,13,FALSE)</f>
        <v>Alan J. Pakula</v>
      </c>
    </row>
    <row r="2149">
      <c r="A2149" s="5">
        <v>537.0</v>
      </c>
      <c r="B2149" s="5" t="s">
        <v>3332</v>
      </c>
      <c r="C2149" s="5" t="s">
        <v>58</v>
      </c>
      <c r="D2149" s="5" t="s">
        <v>6637</v>
      </c>
      <c r="E2149" s="8">
        <f>vlookup(B2149,Filmes_final!$B$2:$U$1001,20,FALSE)</f>
        <v>327567493</v>
      </c>
      <c r="F2149" s="5">
        <f>vlookup(B2149,Filmes_final!$B$2:$U$1001,3,FALSE)</f>
        <v>1976</v>
      </c>
      <c r="G2149" s="5" t="str">
        <f>vlookup(B2149,Filmes_final!$B$2:$U$1001,13,FALSE)</f>
        <v>Alan J. Pakula</v>
      </c>
    </row>
    <row r="2150">
      <c r="A2150" s="5">
        <v>538.0</v>
      </c>
      <c r="B2150" s="5" t="s">
        <v>3335</v>
      </c>
      <c r="C2150" s="5" t="s">
        <v>3337</v>
      </c>
      <c r="D2150" s="5" t="s">
        <v>6634</v>
      </c>
      <c r="E2150" s="8">
        <f>vlookup(B2150,Filmes_final!$B$2:$U$1001,20,FALSE)</f>
        <v>369401</v>
      </c>
      <c r="F2150" s="5">
        <f>vlookup(B2150,Filmes_final!$B$2:$U$1001,3,FALSE)</f>
        <v>1973</v>
      </c>
      <c r="G2150" s="5" t="str">
        <f>vlookup(B2150,Filmes_final!$B$2:$U$1001,13,FALSE)</f>
        <v>Alejandro Jodorowsky</v>
      </c>
    </row>
    <row r="2151">
      <c r="A2151" s="5">
        <v>538.0</v>
      </c>
      <c r="B2151" s="5" t="s">
        <v>3335</v>
      </c>
      <c r="C2151" s="5" t="s">
        <v>3338</v>
      </c>
      <c r="D2151" s="5" t="s">
        <v>6635</v>
      </c>
      <c r="E2151" s="8">
        <f>vlookup(B2151,Filmes_final!$B$2:$U$1001,20,FALSE)</f>
        <v>369401</v>
      </c>
      <c r="F2151" s="5">
        <f>vlookup(B2151,Filmes_final!$B$2:$U$1001,3,FALSE)</f>
        <v>1973</v>
      </c>
      <c r="G2151" s="5" t="str">
        <f>vlookup(B2151,Filmes_final!$B$2:$U$1001,13,FALSE)</f>
        <v>Alejandro Jodorowsky</v>
      </c>
    </row>
    <row r="2152">
      <c r="A2152" s="5">
        <v>538.0</v>
      </c>
      <c r="B2152" s="5" t="s">
        <v>3335</v>
      </c>
      <c r="C2152" s="5" t="s">
        <v>3339</v>
      </c>
      <c r="D2152" s="5" t="s">
        <v>6636</v>
      </c>
      <c r="E2152" s="8">
        <f>vlookup(B2152,Filmes_final!$B$2:$U$1001,20,FALSE)</f>
        <v>369401</v>
      </c>
      <c r="F2152" s="5">
        <f>vlookup(B2152,Filmes_final!$B$2:$U$1001,3,FALSE)</f>
        <v>1973</v>
      </c>
      <c r="G2152" s="5" t="str">
        <f>vlookup(B2152,Filmes_final!$B$2:$U$1001,13,FALSE)</f>
        <v>Alejandro Jodorowsky</v>
      </c>
    </row>
    <row r="2153">
      <c r="A2153" s="5">
        <v>538.0</v>
      </c>
      <c r="B2153" s="5" t="s">
        <v>3335</v>
      </c>
      <c r="C2153" s="5" t="s">
        <v>3340</v>
      </c>
      <c r="D2153" s="5" t="s">
        <v>6637</v>
      </c>
      <c r="E2153" s="8">
        <f>vlookup(B2153,Filmes_final!$B$2:$U$1001,20,FALSE)</f>
        <v>369401</v>
      </c>
      <c r="F2153" s="5">
        <f>vlookup(B2153,Filmes_final!$B$2:$U$1001,3,FALSE)</f>
        <v>1973</v>
      </c>
      <c r="G2153" s="5" t="str">
        <f>vlookup(B2153,Filmes_final!$B$2:$U$1001,13,FALSE)</f>
        <v>Alejandro Jodorowsky</v>
      </c>
    </row>
    <row r="2154">
      <c r="A2154" s="5">
        <v>539.0</v>
      </c>
      <c r="B2154" s="5" t="s">
        <v>3341</v>
      </c>
      <c r="C2154" s="5" t="s">
        <v>3343</v>
      </c>
      <c r="D2154" s="5" t="s">
        <v>6634</v>
      </c>
      <c r="E2154" s="8">
        <f>vlookup(B2154,Filmes_final!$B$2:$U$1001,20,FALSE)</f>
        <v>1190597</v>
      </c>
      <c r="F2154" s="5">
        <f>vlookup(B2154,Filmes_final!$B$2:$U$1001,3,FALSE)</f>
        <v>1973</v>
      </c>
      <c r="G2154" s="5" t="str">
        <f>vlookup(B2154,Filmes_final!$B$2:$U$1001,13,FALSE)</f>
        <v>Federico Fellini</v>
      </c>
    </row>
    <row r="2155">
      <c r="A2155" s="5">
        <v>539.0</v>
      </c>
      <c r="B2155" s="5" t="s">
        <v>3341</v>
      </c>
      <c r="C2155" s="5" t="s">
        <v>3344</v>
      </c>
      <c r="D2155" s="5" t="s">
        <v>6635</v>
      </c>
      <c r="E2155" s="8">
        <f>vlookup(B2155,Filmes_final!$B$2:$U$1001,20,FALSE)</f>
        <v>1190597</v>
      </c>
      <c r="F2155" s="5">
        <f>vlookup(B2155,Filmes_final!$B$2:$U$1001,3,FALSE)</f>
        <v>1973</v>
      </c>
      <c r="G2155" s="5" t="str">
        <f>vlookup(B2155,Filmes_final!$B$2:$U$1001,13,FALSE)</f>
        <v>Federico Fellini</v>
      </c>
    </row>
    <row r="2156">
      <c r="A2156" s="5">
        <v>539.0</v>
      </c>
      <c r="B2156" s="5" t="s">
        <v>3341</v>
      </c>
      <c r="C2156" s="5" t="s">
        <v>3345</v>
      </c>
      <c r="D2156" s="5" t="s">
        <v>6636</v>
      </c>
      <c r="E2156" s="8">
        <f>vlookup(B2156,Filmes_final!$B$2:$U$1001,20,FALSE)</f>
        <v>1190597</v>
      </c>
      <c r="F2156" s="5">
        <f>vlookup(B2156,Filmes_final!$B$2:$U$1001,3,FALSE)</f>
        <v>1973</v>
      </c>
      <c r="G2156" s="5" t="str">
        <f>vlookup(B2156,Filmes_final!$B$2:$U$1001,13,FALSE)</f>
        <v>Federico Fellini</v>
      </c>
    </row>
    <row r="2157">
      <c r="A2157" s="5">
        <v>539.0</v>
      </c>
      <c r="B2157" s="5" t="s">
        <v>3341</v>
      </c>
      <c r="C2157" s="5" t="s">
        <v>3346</v>
      </c>
      <c r="D2157" s="5" t="s">
        <v>6637</v>
      </c>
      <c r="E2157" s="8">
        <f>vlookup(B2157,Filmes_final!$B$2:$U$1001,20,FALSE)</f>
        <v>1190597</v>
      </c>
      <c r="F2157" s="5">
        <f>vlookup(B2157,Filmes_final!$B$2:$U$1001,3,FALSE)</f>
        <v>1973</v>
      </c>
      <c r="G2157" s="5" t="str">
        <f>vlookup(B2157,Filmes_final!$B$2:$U$1001,13,FALSE)</f>
        <v>Federico Fellini</v>
      </c>
    </row>
    <row r="2158">
      <c r="A2158" s="5">
        <v>540.0</v>
      </c>
      <c r="B2158" s="5" t="s">
        <v>3347</v>
      </c>
      <c r="C2158" s="5" t="s">
        <v>3349</v>
      </c>
      <c r="D2158" s="5" t="s">
        <v>6634</v>
      </c>
      <c r="E2158" s="8">
        <f>vlookup(B2158,Filmes_final!$B$2:$U$1001,20,FALSE)</f>
        <v>1247858</v>
      </c>
      <c r="F2158" s="5">
        <f>vlookup(B2158,Filmes_final!$B$2:$U$1001,3,FALSE)</f>
        <v>1972</v>
      </c>
      <c r="G2158" s="5" t="str">
        <f>vlookup(B2158,Filmes_final!$B$2:$U$1001,13,FALSE)</f>
        <v>Luis Buñuel</v>
      </c>
    </row>
    <row r="2159">
      <c r="A2159" s="5">
        <v>540.0</v>
      </c>
      <c r="B2159" s="5" t="s">
        <v>3347</v>
      </c>
      <c r="C2159" s="5" t="s">
        <v>3350</v>
      </c>
      <c r="D2159" s="5" t="s">
        <v>6635</v>
      </c>
      <c r="E2159" s="8">
        <f>vlookup(B2159,Filmes_final!$B$2:$U$1001,20,FALSE)</f>
        <v>1247858</v>
      </c>
      <c r="F2159" s="5">
        <f>vlookup(B2159,Filmes_final!$B$2:$U$1001,3,FALSE)</f>
        <v>1972</v>
      </c>
      <c r="G2159" s="5" t="str">
        <f>vlookup(B2159,Filmes_final!$B$2:$U$1001,13,FALSE)</f>
        <v>Luis Buñuel</v>
      </c>
    </row>
    <row r="2160">
      <c r="A2160" s="5">
        <v>540.0</v>
      </c>
      <c r="B2160" s="5" t="s">
        <v>3347</v>
      </c>
      <c r="C2160" s="5" t="s">
        <v>3351</v>
      </c>
      <c r="D2160" s="5" t="s">
        <v>6636</v>
      </c>
      <c r="E2160" s="8">
        <f>vlookup(B2160,Filmes_final!$B$2:$U$1001,20,FALSE)</f>
        <v>1247858</v>
      </c>
      <c r="F2160" s="5">
        <f>vlookup(B2160,Filmes_final!$B$2:$U$1001,3,FALSE)</f>
        <v>1972</v>
      </c>
      <c r="G2160" s="5" t="str">
        <f>vlookup(B2160,Filmes_final!$B$2:$U$1001,13,FALSE)</f>
        <v>Luis Buñuel</v>
      </c>
    </row>
    <row r="2161">
      <c r="A2161" s="5">
        <v>540.0</v>
      </c>
      <c r="B2161" s="5" t="s">
        <v>3347</v>
      </c>
      <c r="C2161" s="5" t="s">
        <v>3352</v>
      </c>
      <c r="D2161" s="5" t="s">
        <v>6637</v>
      </c>
      <c r="E2161" s="8">
        <f>vlookup(B2161,Filmes_final!$B$2:$U$1001,20,FALSE)</f>
        <v>1247858</v>
      </c>
      <c r="F2161" s="5">
        <f>vlookup(B2161,Filmes_final!$B$2:$U$1001,3,FALSE)</f>
        <v>1972</v>
      </c>
      <c r="G2161" s="5" t="str">
        <f>vlookup(B2161,Filmes_final!$B$2:$U$1001,13,FALSE)</f>
        <v>Luis Buñuel</v>
      </c>
    </row>
    <row r="2162">
      <c r="A2162" s="5">
        <v>541.0</v>
      </c>
      <c r="B2162" s="5" t="s">
        <v>3353</v>
      </c>
      <c r="C2162" s="5" t="s">
        <v>1860</v>
      </c>
      <c r="D2162" s="5" t="s">
        <v>6634</v>
      </c>
      <c r="E2162" s="8">
        <f>vlookup(B2162,Filmes_final!$B$2:$U$1001,20,FALSE)</f>
        <v>232494</v>
      </c>
      <c r="F2162" s="5">
        <f>vlookup(B2162,Filmes_final!$B$2:$U$1001,3,FALSE)</f>
        <v>1972</v>
      </c>
      <c r="G2162" s="5" t="str">
        <f>vlookup(B2162,Filmes_final!$B$2:$U$1001,13,FALSE)</f>
        <v>Werner Herzog</v>
      </c>
    </row>
    <row r="2163">
      <c r="A2163" s="5">
        <v>541.0</v>
      </c>
      <c r="B2163" s="5" t="s">
        <v>3353</v>
      </c>
      <c r="C2163" s="5" t="s">
        <v>3356</v>
      </c>
      <c r="D2163" s="5" t="s">
        <v>6635</v>
      </c>
      <c r="E2163" s="8">
        <f>vlookup(B2163,Filmes_final!$B$2:$U$1001,20,FALSE)</f>
        <v>232494</v>
      </c>
      <c r="F2163" s="5">
        <f>vlookup(B2163,Filmes_final!$B$2:$U$1001,3,FALSE)</f>
        <v>1972</v>
      </c>
      <c r="G2163" s="5" t="str">
        <f>vlookup(B2163,Filmes_final!$B$2:$U$1001,13,FALSE)</f>
        <v>Werner Herzog</v>
      </c>
    </row>
    <row r="2164">
      <c r="A2164" s="5">
        <v>541.0</v>
      </c>
      <c r="B2164" s="5" t="s">
        <v>3353</v>
      </c>
      <c r="C2164" s="5" t="s">
        <v>3357</v>
      </c>
      <c r="D2164" s="5" t="s">
        <v>6636</v>
      </c>
      <c r="E2164" s="8">
        <f>vlookup(B2164,Filmes_final!$B$2:$U$1001,20,FALSE)</f>
        <v>232494</v>
      </c>
      <c r="F2164" s="5">
        <f>vlookup(B2164,Filmes_final!$B$2:$U$1001,3,FALSE)</f>
        <v>1972</v>
      </c>
      <c r="G2164" s="5" t="str">
        <f>vlookup(B2164,Filmes_final!$B$2:$U$1001,13,FALSE)</f>
        <v>Werner Herzog</v>
      </c>
    </row>
    <row r="2165">
      <c r="A2165" s="5">
        <v>541.0</v>
      </c>
      <c r="B2165" s="5" t="s">
        <v>3353</v>
      </c>
      <c r="C2165" s="5" t="s">
        <v>3358</v>
      </c>
      <c r="D2165" s="5" t="s">
        <v>6637</v>
      </c>
      <c r="E2165" s="8">
        <f>vlookup(B2165,Filmes_final!$B$2:$U$1001,20,FALSE)</f>
        <v>232494</v>
      </c>
      <c r="F2165" s="5">
        <f>vlookup(B2165,Filmes_final!$B$2:$U$1001,3,FALSE)</f>
        <v>1972</v>
      </c>
      <c r="G2165" s="5" t="str">
        <f>vlookup(B2165,Filmes_final!$B$2:$U$1001,13,FALSE)</f>
        <v>Werner Herzog</v>
      </c>
    </row>
    <row r="2166">
      <c r="A2166" s="5">
        <v>542.0</v>
      </c>
      <c r="B2166" s="5" t="s">
        <v>3359</v>
      </c>
      <c r="C2166" s="5" t="s">
        <v>2730</v>
      </c>
      <c r="D2166" s="5" t="s">
        <v>6634</v>
      </c>
      <c r="E2166" s="8">
        <f>vlookup(B2166,Filmes_final!$B$2:$U$1001,20,FALSE)</f>
        <v>10021</v>
      </c>
      <c r="F2166" s="5">
        <f>vlookup(B2166,Filmes_final!$B$2:$U$1001,3,FALSE)</f>
        <v>1971</v>
      </c>
      <c r="G2166" s="5" t="str">
        <f>vlookup(B2166,Filmes_final!$B$2:$U$1001,13,FALSE)</f>
        <v>Hal Ashby</v>
      </c>
    </row>
    <row r="2167">
      <c r="A2167" s="5">
        <v>542.0</v>
      </c>
      <c r="B2167" s="5" t="s">
        <v>3359</v>
      </c>
      <c r="C2167" s="5" t="s">
        <v>3361</v>
      </c>
      <c r="D2167" s="5" t="s">
        <v>6635</v>
      </c>
      <c r="E2167" s="8">
        <f>vlookup(B2167,Filmes_final!$B$2:$U$1001,20,FALSE)</f>
        <v>10021</v>
      </c>
      <c r="F2167" s="5">
        <f>vlookup(B2167,Filmes_final!$B$2:$U$1001,3,FALSE)</f>
        <v>1971</v>
      </c>
      <c r="G2167" s="5" t="str">
        <f>vlookup(B2167,Filmes_final!$B$2:$U$1001,13,FALSE)</f>
        <v>Hal Ashby</v>
      </c>
    </row>
    <row r="2168">
      <c r="A2168" s="5">
        <v>542.0</v>
      </c>
      <c r="B2168" s="5" t="s">
        <v>3359</v>
      </c>
      <c r="C2168" s="5" t="s">
        <v>3362</v>
      </c>
      <c r="D2168" s="5" t="s">
        <v>6636</v>
      </c>
      <c r="E2168" s="8">
        <f>vlookup(B2168,Filmes_final!$B$2:$U$1001,20,FALSE)</f>
        <v>10021</v>
      </c>
      <c r="F2168" s="5">
        <f>vlookup(B2168,Filmes_final!$B$2:$U$1001,3,FALSE)</f>
        <v>1971</v>
      </c>
      <c r="G2168" s="5" t="str">
        <f>vlookup(B2168,Filmes_final!$B$2:$U$1001,13,FALSE)</f>
        <v>Hal Ashby</v>
      </c>
    </row>
    <row r="2169">
      <c r="A2169" s="5">
        <v>542.0</v>
      </c>
      <c r="B2169" s="5" t="s">
        <v>3359</v>
      </c>
      <c r="C2169" s="5" t="s">
        <v>3363</v>
      </c>
      <c r="D2169" s="5" t="s">
        <v>6637</v>
      </c>
      <c r="E2169" s="8">
        <f>vlookup(B2169,Filmes_final!$B$2:$U$1001,20,FALSE)</f>
        <v>10021</v>
      </c>
      <c r="F2169" s="5">
        <f>vlookup(B2169,Filmes_final!$B$2:$U$1001,3,FALSE)</f>
        <v>1971</v>
      </c>
      <c r="G2169" s="5" t="str">
        <f>vlookup(B2169,Filmes_final!$B$2:$U$1001,13,FALSE)</f>
        <v>Hal Ashby</v>
      </c>
    </row>
    <row r="2170">
      <c r="A2170" s="5">
        <v>543.0</v>
      </c>
      <c r="B2170" s="5" t="s">
        <v>3364</v>
      </c>
      <c r="C2170" s="5" t="s">
        <v>605</v>
      </c>
      <c r="D2170" s="5" t="s">
        <v>6634</v>
      </c>
      <c r="E2170" s="8">
        <f>vlookup(B2170,Filmes_final!$B$2:$U$1001,20,FALSE)</f>
        <v>421079648</v>
      </c>
      <c r="F2170" s="5">
        <f>vlookup(B2170,Filmes_final!$B$2:$U$1001,3,FALSE)</f>
        <v>1970</v>
      </c>
      <c r="G2170" s="5" t="str">
        <f>vlookup(B2170,Filmes_final!$B$2:$U$1001,13,FALSE)</f>
        <v>Franklin J. Schaffner</v>
      </c>
    </row>
    <row r="2171">
      <c r="A2171" s="5">
        <v>543.0</v>
      </c>
      <c r="B2171" s="5" t="s">
        <v>3364</v>
      </c>
      <c r="C2171" s="5" t="s">
        <v>2037</v>
      </c>
      <c r="D2171" s="5" t="s">
        <v>6635</v>
      </c>
      <c r="E2171" s="8">
        <f>vlookup(B2171,Filmes_final!$B$2:$U$1001,20,FALSE)</f>
        <v>421079648</v>
      </c>
      <c r="F2171" s="5">
        <f>vlookup(B2171,Filmes_final!$B$2:$U$1001,3,FALSE)</f>
        <v>1970</v>
      </c>
      <c r="G2171" s="5" t="str">
        <f>vlookup(B2171,Filmes_final!$B$2:$U$1001,13,FALSE)</f>
        <v>Franklin J. Schaffner</v>
      </c>
    </row>
    <row r="2172">
      <c r="A2172" s="5">
        <v>543.0</v>
      </c>
      <c r="B2172" s="5" t="s">
        <v>3364</v>
      </c>
      <c r="C2172" s="5" t="s">
        <v>3367</v>
      </c>
      <c r="D2172" s="5" t="s">
        <v>6636</v>
      </c>
      <c r="E2172" s="8">
        <f>vlookup(B2172,Filmes_final!$B$2:$U$1001,20,FALSE)</f>
        <v>421079648</v>
      </c>
      <c r="F2172" s="5">
        <f>vlookup(B2172,Filmes_final!$B$2:$U$1001,3,FALSE)</f>
        <v>1970</v>
      </c>
      <c r="G2172" s="5" t="str">
        <f>vlookup(B2172,Filmes_final!$B$2:$U$1001,13,FALSE)</f>
        <v>Franklin J. Schaffner</v>
      </c>
    </row>
    <row r="2173">
      <c r="A2173" s="5">
        <v>543.0</v>
      </c>
      <c r="B2173" s="5" t="s">
        <v>3364</v>
      </c>
      <c r="C2173" s="5" t="s">
        <v>3368</v>
      </c>
      <c r="D2173" s="5" t="s">
        <v>6637</v>
      </c>
      <c r="E2173" s="8">
        <f>vlookup(B2173,Filmes_final!$B$2:$U$1001,20,FALSE)</f>
        <v>421079648</v>
      </c>
      <c r="F2173" s="5">
        <f>vlookup(B2173,Filmes_final!$B$2:$U$1001,3,FALSE)</f>
        <v>1970</v>
      </c>
      <c r="G2173" s="5" t="str">
        <f>vlookup(B2173,Filmes_final!$B$2:$U$1001,13,FALSE)</f>
        <v>Franklin J. Schaffner</v>
      </c>
    </row>
    <row r="2174">
      <c r="A2174" s="5">
        <v>544.0</v>
      </c>
      <c r="B2174" s="5" t="s">
        <v>3369</v>
      </c>
      <c r="C2174" s="5" t="s">
        <v>630</v>
      </c>
      <c r="D2174" s="5" t="s">
        <v>6634</v>
      </c>
      <c r="E2174" s="8">
        <f>vlookup(B2174,Filmes_final!$B$2:$U$1001,20,FALSE)</f>
        <v>87423705</v>
      </c>
      <c r="F2174" s="5">
        <f>vlookup(B2174,Filmes_final!$B$2:$U$1001,3,FALSE)</f>
        <v>1969</v>
      </c>
      <c r="G2174" s="5" t="str">
        <f>vlookup(B2174,Filmes_final!$B$2:$U$1001,13,FALSE)</f>
        <v>Sam Peckinpah</v>
      </c>
    </row>
    <row r="2175">
      <c r="A2175" s="5">
        <v>544.0</v>
      </c>
      <c r="B2175" s="5" t="s">
        <v>3369</v>
      </c>
      <c r="C2175" s="5" t="s">
        <v>3373</v>
      </c>
      <c r="D2175" s="5" t="s">
        <v>6635</v>
      </c>
      <c r="E2175" s="8">
        <f>vlookup(B2175,Filmes_final!$B$2:$U$1001,20,FALSE)</f>
        <v>87423705</v>
      </c>
      <c r="F2175" s="5">
        <f>vlookup(B2175,Filmes_final!$B$2:$U$1001,3,FALSE)</f>
        <v>1969</v>
      </c>
      <c r="G2175" s="5" t="str">
        <f>vlookup(B2175,Filmes_final!$B$2:$U$1001,13,FALSE)</f>
        <v>Sam Peckinpah</v>
      </c>
    </row>
    <row r="2176">
      <c r="A2176" s="5">
        <v>544.0</v>
      </c>
      <c r="B2176" s="5" t="s">
        <v>3369</v>
      </c>
      <c r="C2176" s="5" t="s">
        <v>3374</v>
      </c>
      <c r="D2176" s="5" t="s">
        <v>6636</v>
      </c>
      <c r="E2176" s="8">
        <f>vlookup(B2176,Filmes_final!$B$2:$U$1001,20,FALSE)</f>
        <v>87423705</v>
      </c>
      <c r="F2176" s="5">
        <f>vlookup(B2176,Filmes_final!$B$2:$U$1001,3,FALSE)</f>
        <v>1969</v>
      </c>
      <c r="G2176" s="5" t="str">
        <f>vlookup(B2176,Filmes_final!$B$2:$U$1001,13,FALSE)</f>
        <v>Sam Peckinpah</v>
      </c>
    </row>
    <row r="2177">
      <c r="A2177" s="5">
        <v>544.0</v>
      </c>
      <c r="B2177" s="5" t="s">
        <v>3369</v>
      </c>
      <c r="C2177" s="5" t="s">
        <v>2057</v>
      </c>
      <c r="D2177" s="5" t="s">
        <v>6637</v>
      </c>
      <c r="E2177" s="8">
        <f>vlookup(B2177,Filmes_final!$B$2:$U$1001,20,FALSE)</f>
        <v>87423705</v>
      </c>
      <c r="F2177" s="5">
        <f>vlookup(B2177,Filmes_final!$B$2:$U$1001,3,FALSE)</f>
        <v>1969</v>
      </c>
      <c r="G2177" s="5" t="str">
        <f>vlookup(B2177,Filmes_final!$B$2:$U$1001,13,FALSE)</f>
        <v>Sam Peckinpah</v>
      </c>
    </row>
    <row r="2178">
      <c r="A2178" s="5">
        <v>545.0</v>
      </c>
      <c r="B2178" s="5" t="s">
        <v>3375</v>
      </c>
      <c r="C2178" s="5" t="s">
        <v>3378</v>
      </c>
      <c r="D2178" s="5" t="s">
        <v>6634</v>
      </c>
      <c r="E2178" s="8">
        <f>vlookup(B2178,Filmes_final!$B$2:$U$1001,20,FALSE)</f>
        <v>673516</v>
      </c>
      <c r="F2178" s="5">
        <f>vlookup(B2178,Filmes_final!$B$2:$U$1001,3,FALSE)</f>
        <v>1968</v>
      </c>
      <c r="G2178" s="5" t="str">
        <f>vlookup(B2178,Filmes_final!$B$2:$U$1001,13,FALSE)</f>
        <v>George A. Romero</v>
      </c>
    </row>
    <row r="2179">
      <c r="A2179" s="5">
        <v>545.0</v>
      </c>
      <c r="B2179" s="5" t="s">
        <v>3375</v>
      </c>
      <c r="C2179" s="5" t="s">
        <v>3379</v>
      </c>
      <c r="D2179" s="5" t="s">
        <v>6635</v>
      </c>
      <c r="E2179" s="8">
        <f>vlookup(B2179,Filmes_final!$B$2:$U$1001,20,FALSE)</f>
        <v>673516</v>
      </c>
      <c r="F2179" s="5">
        <f>vlookup(B2179,Filmes_final!$B$2:$U$1001,3,FALSE)</f>
        <v>1968</v>
      </c>
      <c r="G2179" s="5" t="str">
        <f>vlookup(B2179,Filmes_final!$B$2:$U$1001,13,FALSE)</f>
        <v>George A. Romero</v>
      </c>
    </row>
    <row r="2180">
      <c r="A2180" s="5">
        <v>545.0</v>
      </c>
      <c r="B2180" s="5" t="s">
        <v>3375</v>
      </c>
      <c r="C2180" s="5" t="s">
        <v>3380</v>
      </c>
      <c r="D2180" s="5" t="s">
        <v>6636</v>
      </c>
      <c r="E2180" s="8">
        <f>vlookup(B2180,Filmes_final!$B$2:$U$1001,20,FALSE)</f>
        <v>673516</v>
      </c>
      <c r="F2180" s="5">
        <f>vlookup(B2180,Filmes_final!$B$2:$U$1001,3,FALSE)</f>
        <v>1968</v>
      </c>
      <c r="G2180" s="5" t="str">
        <f>vlookup(B2180,Filmes_final!$B$2:$U$1001,13,FALSE)</f>
        <v>George A. Romero</v>
      </c>
    </row>
    <row r="2181">
      <c r="A2181" s="5">
        <v>545.0</v>
      </c>
      <c r="B2181" s="5" t="s">
        <v>3375</v>
      </c>
      <c r="C2181" s="5" t="s">
        <v>3381</v>
      </c>
      <c r="D2181" s="5" t="s">
        <v>6637</v>
      </c>
      <c r="E2181" s="8">
        <f>vlookup(B2181,Filmes_final!$B$2:$U$1001,20,FALSE)</f>
        <v>673516</v>
      </c>
      <c r="F2181" s="5">
        <f>vlookup(B2181,Filmes_final!$B$2:$U$1001,3,FALSE)</f>
        <v>1968</v>
      </c>
      <c r="G2181" s="5" t="str">
        <f>vlookup(B2181,Filmes_final!$B$2:$U$1001,13,FALSE)</f>
        <v>George A. Romero</v>
      </c>
    </row>
    <row r="2182">
      <c r="A2182" s="5">
        <v>546.0</v>
      </c>
      <c r="B2182" s="5" t="s">
        <v>3382</v>
      </c>
      <c r="C2182" s="5" t="s">
        <v>861</v>
      </c>
      <c r="D2182" s="5" t="s">
        <v>6634</v>
      </c>
      <c r="E2182" s="8">
        <f>vlookup(B2182,Filmes_final!$B$2:$U$1001,20,FALSE)</f>
        <v>168528256</v>
      </c>
      <c r="F2182" s="5">
        <f>vlookup(B2182,Filmes_final!$B$2:$U$1001,3,FALSE)</f>
        <v>1968</v>
      </c>
      <c r="G2182" s="5" t="str">
        <f>vlookup(B2182,Filmes_final!$B$2:$U$1001,13,FALSE)</f>
        <v>Anthony Harvey</v>
      </c>
    </row>
    <row r="2183">
      <c r="A2183" s="5">
        <v>546.0</v>
      </c>
      <c r="B2183" s="5" t="s">
        <v>3382</v>
      </c>
      <c r="C2183" s="5" t="s">
        <v>3385</v>
      </c>
      <c r="D2183" s="5" t="s">
        <v>6635</v>
      </c>
      <c r="E2183" s="8">
        <f>vlookup(B2183,Filmes_final!$B$2:$U$1001,20,FALSE)</f>
        <v>168528256</v>
      </c>
      <c r="F2183" s="5">
        <f>vlookup(B2183,Filmes_final!$B$2:$U$1001,3,FALSE)</f>
        <v>1968</v>
      </c>
      <c r="G2183" s="5" t="str">
        <f>vlookup(B2183,Filmes_final!$B$2:$U$1001,13,FALSE)</f>
        <v>Anthony Harvey</v>
      </c>
    </row>
    <row r="2184">
      <c r="A2184" s="5">
        <v>546.0</v>
      </c>
      <c r="B2184" s="5" t="s">
        <v>3382</v>
      </c>
      <c r="C2184" s="5" t="s">
        <v>245</v>
      </c>
      <c r="D2184" s="5" t="s">
        <v>6636</v>
      </c>
      <c r="E2184" s="8">
        <f>vlookup(B2184,Filmes_final!$B$2:$U$1001,20,FALSE)</f>
        <v>168528256</v>
      </c>
      <c r="F2184" s="5">
        <f>vlookup(B2184,Filmes_final!$B$2:$U$1001,3,FALSE)</f>
        <v>1968</v>
      </c>
      <c r="G2184" s="5" t="str">
        <f>vlookup(B2184,Filmes_final!$B$2:$U$1001,13,FALSE)</f>
        <v>Anthony Harvey</v>
      </c>
    </row>
    <row r="2185">
      <c r="A2185" s="5">
        <v>546.0</v>
      </c>
      <c r="B2185" s="5" t="s">
        <v>3382</v>
      </c>
      <c r="C2185" s="5" t="s">
        <v>3386</v>
      </c>
      <c r="D2185" s="5" t="s">
        <v>6637</v>
      </c>
      <c r="E2185" s="8">
        <f>vlookup(B2185,Filmes_final!$B$2:$U$1001,20,FALSE)</f>
        <v>168528256</v>
      </c>
      <c r="F2185" s="5">
        <f>vlookup(B2185,Filmes_final!$B$2:$U$1001,3,FALSE)</f>
        <v>1968</v>
      </c>
      <c r="G2185" s="5" t="str">
        <f>vlookup(B2185,Filmes_final!$B$2:$U$1001,13,FALSE)</f>
        <v>Anthony Harvey</v>
      </c>
    </row>
    <row r="2186">
      <c r="A2186" s="5">
        <v>547.0</v>
      </c>
      <c r="B2186" s="5" t="s">
        <v>3387</v>
      </c>
      <c r="C2186" s="5" t="s">
        <v>3389</v>
      </c>
      <c r="D2186" s="5" t="s">
        <v>6634</v>
      </c>
      <c r="E2186" s="8">
        <f>vlookup(B2186,Filmes_final!$B$2:$U$1001,20,FALSE)</f>
        <v>191164964</v>
      </c>
      <c r="F2186" s="5">
        <f>vlookup(B2186,Filmes_final!$B$2:$U$1001,3,FALSE)</f>
        <v>1967</v>
      </c>
      <c r="G2186" s="5" t="str">
        <f>vlookup(B2186,Filmes_final!$B$2:$U$1001,13,FALSE)</f>
        <v>Norman Jewison</v>
      </c>
    </row>
    <row r="2187">
      <c r="A2187" s="5">
        <v>547.0</v>
      </c>
      <c r="B2187" s="5" t="s">
        <v>3387</v>
      </c>
      <c r="C2187" s="5" t="s">
        <v>2038</v>
      </c>
      <c r="D2187" s="5" t="s">
        <v>6635</v>
      </c>
      <c r="E2187" s="8">
        <f>vlookup(B2187,Filmes_final!$B$2:$U$1001,20,FALSE)</f>
        <v>191164964</v>
      </c>
      <c r="F2187" s="5">
        <f>vlookup(B2187,Filmes_final!$B$2:$U$1001,3,FALSE)</f>
        <v>1967</v>
      </c>
      <c r="G2187" s="5" t="str">
        <f>vlookup(B2187,Filmes_final!$B$2:$U$1001,13,FALSE)</f>
        <v>Norman Jewison</v>
      </c>
    </row>
    <row r="2188">
      <c r="A2188" s="5">
        <v>547.0</v>
      </c>
      <c r="B2188" s="5" t="s">
        <v>3387</v>
      </c>
      <c r="C2188" s="5" t="s">
        <v>3390</v>
      </c>
      <c r="D2188" s="5" t="s">
        <v>6636</v>
      </c>
      <c r="E2188" s="8">
        <f>vlookup(B2188,Filmes_final!$B$2:$U$1001,20,FALSE)</f>
        <v>191164964</v>
      </c>
      <c r="F2188" s="5">
        <f>vlookup(B2188,Filmes_final!$B$2:$U$1001,3,FALSE)</f>
        <v>1967</v>
      </c>
      <c r="G2188" s="5" t="str">
        <f>vlookup(B2188,Filmes_final!$B$2:$U$1001,13,FALSE)</f>
        <v>Norman Jewison</v>
      </c>
    </row>
    <row r="2189">
      <c r="A2189" s="5">
        <v>547.0</v>
      </c>
      <c r="B2189" s="5" t="s">
        <v>3387</v>
      </c>
      <c r="C2189" s="5" t="s">
        <v>3391</v>
      </c>
      <c r="D2189" s="5" t="s">
        <v>6637</v>
      </c>
      <c r="E2189" s="8">
        <f>vlookup(B2189,Filmes_final!$B$2:$U$1001,20,FALSE)</f>
        <v>191164964</v>
      </c>
      <c r="F2189" s="5">
        <f>vlookup(B2189,Filmes_final!$B$2:$U$1001,3,FALSE)</f>
        <v>1967</v>
      </c>
      <c r="G2189" s="5" t="str">
        <f>vlookup(B2189,Filmes_final!$B$2:$U$1001,13,FALSE)</f>
        <v>Norman Jewison</v>
      </c>
    </row>
    <row r="2190">
      <c r="A2190" s="5">
        <v>548.0</v>
      </c>
      <c r="B2190" s="5" t="s">
        <v>3392</v>
      </c>
      <c r="C2190" s="5" t="s">
        <v>873</v>
      </c>
      <c r="D2190" s="5" t="s">
        <v>6634</v>
      </c>
      <c r="E2190" s="8">
        <f>vlookup(B2190,Filmes_final!$B$2:$U$1001,20,FALSE)</f>
        <v>114343847</v>
      </c>
      <c r="F2190" s="5">
        <f>vlookup(B2190,Filmes_final!$B$2:$U$1001,3,FALSE)</f>
        <v>1963</v>
      </c>
      <c r="G2190" s="5" t="str">
        <f>vlookup(B2190,Filmes_final!$B$2:$U$1001,13,FALSE)</f>
        <v>Stanley Donen</v>
      </c>
    </row>
    <row r="2191">
      <c r="A2191" s="5">
        <v>548.0</v>
      </c>
      <c r="B2191" s="5" t="s">
        <v>3392</v>
      </c>
      <c r="C2191" s="5" t="s">
        <v>2839</v>
      </c>
      <c r="D2191" s="5" t="s">
        <v>6635</v>
      </c>
      <c r="E2191" s="8">
        <f>vlookup(B2191,Filmes_final!$B$2:$U$1001,20,FALSE)</f>
        <v>114343847</v>
      </c>
      <c r="F2191" s="5">
        <f>vlookup(B2191,Filmes_final!$B$2:$U$1001,3,FALSE)</f>
        <v>1963</v>
      </c>
      <c r="G2191" s="5" t="str">
        <f>vlookup(B2191,Filmes_final!$B$2:$U$1001,13,FALSE)</f>
        <v>Stanley Donen</v>
      </c>
    </row>
    <row r="2192">
      <c r="A2192" s="5">
        <v>548.0</v>
      </c>
      <c r="B2192" s="5" t="s">
        <v>3392</v>
      </c>
      <c r="C2192" s="5" t="s">
        <v>2596</v>
      </c>
      <c r="D2192" s="5" t="s">
        <v>6636</v>
      </c>
      <c r="E2192" s="8">
        <f>vlookup(B2192,Filmes_final!$B$2:$U$1001,20,FALSE)</f>
        <v>114343847</v>
      </c>
      <c r="F2192" s="5">
        <f>vlookup(B2192,Filmes_final!$B$2:$U$1001,3,FALSE)</f>
        <v>1963</v>
      </c>
      <c r="G2192" s="5" t="str">
        <f>vlookup(B2192,Filmes_final!$B$2:$U$1001,13,FALSE)</f>
        <v>Stanley Donen</v>
      </c>
    </row>
    <row r="2193">
      <c r="A2193" s="5">
        <v>548.0</v>
      </c>
      <c r="B2193" s="5" t="s">
        <v>3392</v>
      </c>
      <c r="C2193" s="5" t="s">
        <v>3395</v>
      </c>
      <c r="D2193" s="5" t="s">
        <v>6637</v>
      </c>
      <c r="E2193" s="8">
        <f>vlookup(B2193,Filmes_final!$B$2:$U$1001,20,FALSE)</f>
        <v>114343847</v>
      </c>
      <c r="F2193" s="5">
        <f>vlookup(B2193,Filmes_final!$B$2:$U$1001,3,FALSE)</f>
        <v>1963</v>
      </c>
      <c r="G2193" s="5" t="str">
        <f>vlookup(B2193,Filmes_final!$B$2:$U$1001,13,FALSE)</f>
        <v>Stanley Donen</v>
      </c>
    </row>
    <row r="2194">
      <c r="A2194" s="5">
        <v>549.0</v>
      </c>
      <c r="B2194" s="5" t="s">
        <v>3396</v>
      </c>
      <c r="C2194" s="5" t="s">
        <v>3399</v>
      </c>
      <c r="D2194" s="5" t="s">
        <v>6634</v>
      </c>
      <c r="E2194" s="8">
        <f>vlookup(B2194,Filmes_final!$B$2:$U$1001,20,FALSE)</f>
        <v>567154661</v>
      </c>
      <c r="F2194" s="5">
        <f>vlookup(B2194,Filmes_final!$B$2:$U$1001,3,FALSE)</f>
        <v>1962</v>
      </c>
      <c r="G2194" s="5" t="str">
        <f>vlookup(B2194,Filmes_final!$B$2:$U$1001,13,FALSE)</f>
        <v>John Frankenheimer</v>
      </c>
    </row>
    <row r="2195">
      <c r="A2195" s="5">
        <v>549.0</v>
      </c>
      <c r="B2195" s="5" t="s">
        <v>3396</v>
      </c>
      <c r="C2195" s="5" t="s">
        <v>3400</v>
      </c>
      <c r="D2195" s="5" t="s">
        <v>6635</v>
      </c>
      <c r="E2195" s="8">
        <f>vlookup(B2195,Filmes_final!$B$2:$U$1001,20,FALSE)</f>
        <v>567154661</v>
      </c>
      <c r="F2195" s="5">
        <f>vlookup(B2195,Filmes_final!$B$2:$U$1001,3,FALSE)</f>
        <v>1962</v>
      </c>
      <c r="G2195" s="5" t="str">
        <f>vlookup(B2195,Filmes_final!$B$2:$U$1001,13,FALSE)</f>
        <v>John Frankenheimer</v>
      </c>
    </row>
    <row r="2196">
      <c r="A2196" s="5">
        <v>549.0</v>
      </c>
      <c r="B2196" s="5" t="s">
        <v>3396</v>
      </c>
      <c r="C2196" s="5" t="s">
        <v>401</v>
      </c>
      <c r="D2196" s="5" t="s">
        <v>6636</v>
      </c>
      <c r="E2196" s="8">
        <f>vlookup(B2196,Filmes_final!$B$2:$U$1001,20,FALSE)</f>
        <v>567154661</v>
      </c>
      <c r="F2196" s="5">
        <f>vlookup(B2196,Filmes_final!$B$2:$U$1001,3,FALSE)</f>
        <v>1962</v>
      </c>
      <c r="G2196" s="5" t="str">
        <f>vlookup(B2196,Filmes_final!$B$2:$U$1001,13,FALSE)</f>
        <v>John Frankenheimer</v>
      </c>
    </row>
    <row r="2197">
      <c r="A2197" s="5">
        <v>549.0</v>
      </c>
      <c r="B2197" s="5" t="s">
        <v>3396</v>
      </c>
      <c r="C2197" s="5" t="s">
        <v>3401</v>
      </c>
      <c r="D2197" s="5" t="s">
        <v>6637</v>
      </c>
      <c r="E2197" s="8">
        <f>vlookup(B2197,Filmes_final!$B$2:$U$1001,20,FALSE)</f>
        <v>567154661</v>
      </c>
      <c r="F2197" s="5">
        <f>vlookup(B2197,Filmes_final!$B$2:$U$1001,3,FALSE)</f>
        <v>1962</v>
      </c>
      <c r="G2197" s="5" t="str">
        <f>vlookup(B2197,Filmes_final!$B$2:$U$1001,13,FALSE)</f>
        <v>John Frankenheimer</v>
      </c>
    </row>
    <row r="2198">
      <c r="A2198" s="5">
        <v>550.0</v>
      </c>
      <c r="B2198" s="5" t="s">
        <v>3402</v>
      </c>
      <c r="C2198" s="5" t="s">
        <v>617</v>
      </c>
      <c r="D2198" s="5" t="s">
        <v>6634</v>
      </c>
      <c r="E2198" s="8">
        <f>vlookup(B2198,Filmes_final!$B$2:$U$1001,20,FALSE)</f>
        <v>264134130</v>
      </c>
      <c r="F2198" s="5">
        <f>vlookup(B2198,Filmes_final!$B$2:$U$1001,3,FALSE)</f>
        <v>1960</v>
      </c>
      <c r="G2198" s="5" t="str">
        <f>vlookup(B2198,Filmes_final!$B$2:$U$1001,13,FALSE)</f>
        <v>Stanley Kubrick</v>
      </c>
    </row>
    <row r="2199">
      <c r="A2199" s="5">
        <v>550.0</v>
      </c>
      <c r="B2199" s="5" t="s">
        <v>3402</v>
      </c>
      <c r="C2199" s="5" t="s">
        <v>2081</v>
      </c>
      <c r="D2199" s="5" t="s">
        <v>6635</v>
      </c>
      <c r="E2199" s="8">
        <f>vlookup(B2199,Filmes_final!$B$2:$U$1001,20,FALSE)</f>
        <v>264134130</v>
      </c>
      <c r="F2199" s="5">
        <f>vlookup(B2199,Filmes_final!$B$2:$U$1001,3,FALSE)</f>
        <v>1960</v>
      </c>
      <c r="G2199" s="5" t="str">
        <f>vlookup(B2199,Filmes_final!$B$2:$U$1001,13,FALSE)</f>
        <v>Stanley Kubrick</v>
      </c>
    </row>
    <row r="2200">
      <c r="A2200" s="5">
        <v>550.0</v>
      </c>
      <c r="B2200" s="5" t="s">
        <v>3402</v>
      </c>
      <c r="C2200" s="5" t="s">
        <v>3404</v>
      </c>
      <c r="D2200" s="5" t="s">
        <v>6636</v>
      </c>
      <c r="E2200" s="8">
        <f>vlookup(B2200,Filmes_final!$B$2:$U$1001,20,FALSE)</f>
        <v>264134130</v>
      </c>
      <c r="F2200" s="5">
        <f>vlookup(B2200,Filmes_final!$B$2:$U$1001,3,FALSE)</f>
        <v>1960</v>
      </c>
      <c r="G2200" s="5" t="str">
        <f>vlookup(B2200,Filmes_final!$B$2:$U$1001,13,FALSE)</f>
        <v>Stanley Kubrick</v>
      </c>
    </row>
    <row r="2201">
      <c r="A2201" s="5">
        <v>550.0</v>
      </c>
      <c r="B2201" s="5" t="s">
        <v>3402</v>
      </c>
      <c r="C2201" s="5" t="s">
        <v>613</v>
      </c>
      <c r="D2201" s="5" t="s">
        <v>6637</v>
      </c>
      <c r="E2201" s="8">
        <f>vlookup(B2201,Filmes_final!$B$2:$U$1001,20,FALSE)</f>
        <v>264134130</v>
      </c>
      <c r="F2201" s="5">
        <f>vlookup(B2201,Filmes_final!$B$2:$U$1001,3,FALSE)</f>
        <v>1960</v>
      </c>
      <c r="G2201" s="5" t="str">
        <f>vlookup(B2201,Filmes_final!$B$2:$U$1001,13,FALSE)</f>
        <v>Stanley Kubrick</v>
      </c>
    </row>
    <row r="2202">
      <c r="A2202" s="5">
        <v>551.0</v>
      </c>
      <c r="B2202" s="5" t="s">
        <v>3405</v>
      </c>
      <c r="C2202" s="5" t="s">
        <v>3408</v>
      </c>
      <c r="D2202" s="5" t="s">
        <v>6634</v>
      </c>
      <c r="E2202" s="8">
        <f>vlookup(B2202,Filmes_final!$B$2:$U$1001,20,FALSE)</f>
        <v>22944</v>
      </c>
      <c r="F2202" s="5">
        <f>vlookup(B2202,Filmes_final!$B$2:$U$1001,3,FALSE)</f>
        <v>1960</v>
      </c>
      <c r="G2202" s="5" t="str">
        <f>vlookup(B2202,Filmes_final!$B$2:$U$1001,13,FALSE)</f>
        <v>Michelangelo Antonioni</v>
      </c>
    </row>
    <row r="2203">
      <c r="A2203" s="5">
        <v>551.0</v>
      </c>
      <c r="B2203" s="5" t="s">
        <v>3405</v>
      </c>
      <c r="C2203" s="5" t="s">
        <v>3409</v>
      </c>
      <c r="D2203" s="5" t="s">
        <v>6635</v>
      </c>
      <c r="E2203" s="8">
        <f>vlookup(B2203,Filmes_final!$B$2:$U$1001,20,FALSE)</f>
        <v>22944</v>
      </c>
      <c r="F2203" s="5">
        <f>vlookup(B2203,Filmes_final!$B$2:$U$1001,3,FALSE)</f>
        <v>1960</v>
      </c>
      <c r="G2203" s="5" t="str">
        <f>vlookup(B2203,Filmes_final!$B$2:$U$1001,13,FALSE)</f>
        <v>Michelangelo Antonioni</v>
      </c>
    </row>
    <row r="2204">
      <c r="A2204" s="5">
        <v>551.0</v>
      </c>
      <c r="B2204" s="5" t="s">
        <v>3405</v>
      </c>
      <c r="C2204" s="5" t="s">
        <v>3410</v>
      </c>
      <c r="D2204" s="5" t="s">
        <v>6636</v>
      </c>
      <c r="E2204" s="8">
        <f>vlookup(B2204,Filmes_final!$B$2:$U$1001,20,FALSE)</f>
        <v>22944</v>
      </c>
      <c r="F2204" s="5">
        <f>vlookup(B2204,Filmes_final!$B$2:$U$1001,3,FALSE)</f>
        <v>1960</v>
      </c>
      <c r="G2204" s="5" t="str">
        <f>vlookup(B2204,Filmes_final!$B$2:$U$1001,13,FALSE)</f>
        <v>Michelangelo Antonioni</v>
      </c>
    </row>
    <row r="2205">
      <c r="A2205" s="5">
        <v>551.0</v>
      </c>
      <c r="B2205" s="5" t="s">
        <v>3405</v>
      </c>
      <c r="C2205" s="5" t="s">
        <v>3411</v>
      </c>
      <c r="D2205" s="5" t="s">
        <v>6637</v>
      </c>
      <c r="E2205" s="8">
        <f>vlookup(B2205,Filmes_final!$B$2:$U$1001,20,FALSE)</f>
        <v>22944</v>
      </c>
      <c r="F2205" s="5">
        <f>vlookup(B2205,Filmes_final!$B$2:$U$1001,3,FALSE)</f>
        <v>1960</v>
      </c>
      <c r="G2205" s="5" t="str">
        <f>vlookup(B2205,Filmes_final!$B$2:$U$1001,13,FALSE)</f>
        <v>Michelangelo Antonioni</v>
      </c>
    </row>
    <row r="2206">
      <c r="A2206" s="5">
        <v>552.0</v>
      </c>
      <c r="B2206" s="5" t="s">
        <v>3412</v>
      </c>
      <c r="C2206" s="5" t="s">
        <v>3043</v>
      </c>
      <c r="D2206" s="5" t="s">
        <v>6634</v>
      </c>
      <c r="E2206" s="8">
        <f>vlookup(B2206,Filmes_final!$B$2:$U$1001,20,FALSE)</f>
        <v>785477</v>
      </c>
      <c r="F2206" s="5">
        <f>vlookup(B2206,Filmes_final!$B$2:$U$1001,3,FALSE)</f>
        <v>1959</v>
      </c>
      <c r="G2206" s="5" t="str">
        <f>vlookup(B2206,Filmes_final!$B$2:$U$1001,13,FALSE)</f>
        <v>Alain Resnais</v>
      </c>
    </row>
    <row r="2207">
      <c r="A2207" s="5">
        <v>552.0</v>
      </c>
      <c r="B2207" s="5" t="s">
        <v>3412</v>
      </c>
      <c r="C2207" s="5" t="s">
        <v>3416</v>
      </c>
      <c r="D2207" s="5" t="s">
        <v>6635</v>
      </c>
      <c r="E2207" s="8">
        <f>vlookup(B2207,Filmes_final!$B$2:$U$1001,20,FALSE)</f>
        <v>785477</v>
      </c>
      <c r="F2207" s="5">
        <f>vlookup(B2207,Filmes_final!$B$2:$U$1001,3,FALSE)</f>
        <v>1959</v>
      </c>
      <c r="G2207" s="5" t="str">
        <f>vlookup(B2207,Filmes_final!$B$2:$U$1001,13,FALSE)</f>
        <v>Alain Resnais</v>
      </c>
    </row>
    <row r="2208">
      <c r="A2208" s="5">
        <v>552.0</v>
      </c>
      <c r="B2208" s="5" t="s">
        <v>3412</v>
      </c>
      <c r="C2208" s="5" t="s">
        <v>3417</v>
      </c>
      <c r="D2208" s="5" t="s">
        <v>6636</v>
      </c>
      <c r="E2208" s="8">
        <f>vlookup(B2208,Filmes_final!$B$2:$U$1001,20,FALSE)</f>
        <v>785477</v>
      </c>
      <c r="F2208" s="5">
        <f>vlookup(B2208,Filmes_final!$B$2:$U$1001,3,FALSE)</f>
        <v>1959</v>
      </c>
      <c r="G2208" s="5" t="str">
        <f>vlookup(B2208,Filmes_final!$B$2:$U$1001,13,FALSE)</f>
        <v>Alain Resnais</v>
      </c>
    </row>
    <row r="2209">
      <c r="A2209" s="5">
        <v>552.0</v>
      </c>
      <c r="B2209" s="5" t="s">
        <v>3412</v>
      </c>
      <c r="C2209" s="5" t="s">
        <v>3418</v>
      </c>
      <c r="D2209" s="5" t="s">
        <v>6637</v>
      </c>
      <c r="E2209" s="8">
        <f>vlookup(B2209,Filmes_final!$B$2:$U$1001,20,FALSE)</f>
        <v>785477</v>
      </c>
      <c r="F2209" s="5">
        <f>vlookup(B2209,Filmes_final!$B$2:$U$1001,3,FALSE)</f>
        <v>1959</v>
      </c>
      <c r="G2209" s="5" t="str">
        <f>vlookup(B2209,Filmes_final!$B$2:$U$1001,13,FALSE)</f>
        <v>Alain Resnais</v>
      </c>
    </row>
    <row r="2210">
      <c r="A2210" s="5">
        <v>553.0</v>
      </c>
      <c r="B2210" s="5" t="s">
        <v>3419</v>
      </c>
      <c r="C2210" s="5" t="s">
        <v>2013</v>
      </c>
      <c r="D2210" s="5" t="s">
        <v>6634</v>
      </c>
      <c r="E2210" s="8">
        <f>vlookup(B2210,Filmes_final!$B$2:$U$1001,20,FALSE)</f>
        <v>902320953</v>
      </c>
      <c r="F2210" s="5">
        <f>vlookup(B2210,Filmes_final!$B$2:$U$1001,3,FALSE)</f>
        <v>1956</v>
      </c>
      <c r="G2210" s="5" t="str">
        <f>vlookup(B2210,Filmes_final!$B$2:$U$1001,13,FALSE)</f>
        <v>Cecil B. DeMille</v>
      </c>
    </row>
    <row r="2211">
      <c r="A2211" s="5">
        <v>553.0</v>
      </c>
      <c r="B2211" s="5" t="s">
        <v>3419</v>
      </c>
      <c r="C2211" s="5" t="s">
        <v>3423</v>
      </c>
      <c r="D2211" s="5" t="s">
        <v>6635</v>
      </c>
      <c r="E2211" s="8">
        <f>vlookup(B2211,Filmes_final!$B$2:$U$1001,20,FALSE)</f>
        <v>902320953</v>
      </c>
      <c r="F2211" s="5">
        <f>vlookup(B2211,Filmes_final!$B$2:$U$1001,3,FALSE)</f>
        <v>1956</v>
      </c>
      <c r="G2211" s="5" t="str">
        <f>vlookup(B2211,Filmes_final!$B$2:$U$1001,13,FALSE)</f>
        <v>Cecil B. DeMille</v>
      </c>
    </row>
    <row r="2212">
      <c r="A2212" s="5">
        <v>553.0</v>
      </c>
      <c r="B2212" s="5" t="s">
        <v>3419</v>
      </c>
      <c r="C2212" s="5" t="s">
        <v>1340</v>
      </c>
      <c r="D2212" s="5" t="s">
        <v>6636</v>
      </c>
      <c r="E2212" s="8">
        <f>vlookup(B2212,Filmes_final!$B$2:$U$1001,20,FALSE)</f>
        <v>902320953</v>
      </c>
      <c r="F2212" s="5">
        <f>vlookup(B2212,Filmes_final!$B$2:$U$1001,3,FALSE)</f>
        <v>1956</v>
      </c>
      <c r="G2212" s="5" t="str">
        <f>vlookup(B2212,Filmes_final!$B$2:$U$1001,13,FALSE)</f>
        <v>Cecil B. DeMille</v>
      </c>
    </row>
    <row r="2213">
      <c r="A2213" s="5">
        <v>553.0</v>
      </c>
      <c r="B2213" s="5" t="s">
        <v>3419</v>
      </c>
      <c r="C2213" s="5" t="s">
        <v>911</v>
      </c>
      <c r="D2213" s="5" t="s">
        <v>6637</v>
      </c>
      <c r="E2213" s="8">
        <f>vlookup(B2213,Filmes_final!$B$2:$U$1001,20,FALSE)</f>
        <v>902320953</v>
      </c>
      <c r="F2213" s="5">
        <f>vlookup(B2213,Filmes_final!$B$2:$U$1001,3,FALSE)</f>
        <v>1956</v>
      </c>
      <c r="G2213" s="5" t="str">
        <f>vlookup(B2213,Filmes_final!$B$2:$U$1001,13,FALSE)</f>
        <v>Cecil B. DeMille</v>
      </c>
    </row>
    <row r="2214">
      <c r="A2214" s="5">
        <v>554.0</v>
      </c>
      <c r="B2214" s="5" t="s">
        <v>3424</v>
      </c>
      <c r="C2214" s="5" t="s">
        <v>1985</v>
      </c>
      <c r="D2214" s="5" t="s">
        <v>6634</v>
      </c>
      <c r="E2214" s="8">
        <f>vlookup(B2214,Filmes_final!$B$2:$U$1001,20,FALSE)</f>
        <v>36096688</v>
      </c>
      <c r="F2214" s="5">
        <f>vlookup(B2214,Filmes_final!$B$2:$U$1001,3,FALSE)</f>
        <v>1956</v>
      </c>
      <c r="G2214" s="5" t="str">
        <f>vlookup(B2214,Filmes_final!$B$2:$U$1001,13,FALSE)</f>
        <v>John Ford</v>
      </c>
    </row>
    <row r="2215">
      <c r="A2215" s="5">
        <v>554.0</v>
      </c>
      <c r="B2215" s="5" t="s">
        <v>3424</v>
      </c>
      <c r="C2215" s="5" t="s">
        <v>3426</v>
      </c>
      <c r="D2215" s="5" t="s">
        <v>6635</v>
      </c>
      <c r="E2215" s="8">
        <f>vlookup(B2215,Filmes_final!$B$2:$U$1001,20,FALSE)</f>
        <v>36096688</v>
      </c>
      <c r="F2215" s="5">
        <f>vlookup(B2215,Filmes_final!$B$2:$U$1001,3,FALSE)</f>
        <v>1956</v>
      </c>
      <c r="G2215" s="5" t="str">
        <f>vlookup(B2215,Filmes_final!$B$2:$U$1001,13,FALSE)</f>
        <v>John Ford</v>
      </c>
    </row>
    <row r="2216">
      <c r="A2216" s="5">
        <v>554.0</v>
      </c>
      <c r="B2216" s="5" t="s">
        <v>3424</v>
      </c>
      <c r="C2216" s="5" t="s">
        <v>402</v>
      </c>
      <c r="D2216" s="5" t="s">
        <v>6636</v>
      </c>
      <c r="E2216" s="8">
        <f>vlookup(B2216,Filmes_final!$B$2:$U$1001,20,FALSE)</f>
        <v>36096688</v>
      </c>
      <c r="F2216" s="5">
        <f>vlookup(B2216,Filmes_final!$B$2:$U$1001,3,FALSE)</f>
        <v>1956</v>
      </c>
      <c r="G2216" s="5" t="str">
        <f>vlookup(B2216,Filmes_final!$B$2:$U$1001,13,FALSE)</f>
        <v>John Ford</v>
      </c>
    </row>
    <row r="2217">
      <c r="A2217" s="5">
        <v>554.0</v>
      </c>
      <c r="B2217" s="5" t="s">
        <v>3424</v>
      </c>
      <c r="C2217" s="5" t="s">
        <v>3427</v>
      </c>
      <c r="D2217" s="5" t="s">
        <v>6637</v>
      </c>
      <c r="E2217" s="8">
        <f>vlookup(B2217,Filmes_final!$B$2:$U$1001,20,FALSE)</f>
        <v>36096688</v>
      </c>
      <c r="F2217" s="5">
        <f>vlookup(B2217,Filmes_final!$B$2:$U$1001,3,FALSE)</f>
        <v>1956</v>
      </c>
      <c r="G2217" s="5" t="str">
        <f>vlookup(B2217,Filmes_final!$B$2:$U$1001,13,FALSE)</f>
        <v>John Ford</v>
      </c>
    </row>
    <row r="2218">
      <c r="A2218" s="5">
        <v>555.0</v>
      </c>
      <c r="B2218" s="5" t="s">
        <v>3428</v>
      </c>
      <c r="C2218" s="5" t="s">
        <v>3430</v>
      </c>
      <c r="D2218" s="5" t="s">
        <v>6634</v>
      </c>
      <c r="E2218" s="8">
        <f>vlookup(B2218,Filmes_final!$B$2:$U$1001,20,FALSE)</f>
        <v>232647</v>
      </c>
      <c r="F2218" s="5">
        <f>vlookup(B2218,Filmes_final!$B$2:$U$1001,3,FALSE)</f>
        <v>1955</v>
      </c>
      <c r="G2218" s="5" t="str">
        <f>vlookup(B2218,Filmes_final!$B$2:$U$1001,13,FALSE)</f>
        <v>Elia Kazan</v>
      </c>
    </row>
    <row r="2219">
      <c r="A2219" s="5">
        <v>555.0</v>
      </c>
      <c r="B2219" s="5" t="s">
        <v>3428</v>
      </c>
      <c r="C2219" s="5" t="s">
        <v>2888</v>
      </c>
      <c r="D2219" s="5" t="s">
        <v>6635</v>
      </c>
      <c r="E2219" s="8">
        <f>vlookup(B2219,Filmes_final!$B$2:$U$1001,20,FALSE)</f>
        <v>232647</v>
      </c>
      <c r="F2219" s="5">
        <f>vlookup(B2219,Filmes_final!$B$2:$U$1001,3,FALSE)</f>
        <v>1955</v>
      </c>
      <c r="G2219" s="5" t="str">
        <f>vlookup(B2219,Filmes_final!$B$2:$U$1001,13,FALSE)</f>
        <v>Elia Kazan</v>
      </c>
    </row>
    <row r="2220">
      <c r="A2220" s="5">
        <v>555.0</v>
      </c>
      <c r="B2220" s="5" t="s">
        <v>3428</v>
      </c>
      <c r="C2220" s="5" t="s">
        <v>3431</v>
      </c>
      <c r="D2220" s="5" t="s">
        <v>6636</v>
      </c>
      <c r="E2220" s="8">
        <f>vlookup(B2220,Filmes_final!$B$2:$U$1001,20,FALSE)</f>
        <v>232647</v>
      </c>
      <c r="F2220" s="5">
        <f>vlookup(B2220,Filmes_final!$B$2:$U$1001,3,FALSE)</f>
        <v>1955</v>
      </c>
      <c r="G2220" s="5" t="str">
        <f>vlookup(B2220,Filmes_final!$B$2:$U$1001,13,FALSE)</f>
        <v>Elia Kazan</v>
      </c>
    </row>
    <row r="2221">
      <c r="A2221" s="5">
        <v>555.0</v>
      </c>
      <c r="B2221" s="5" t="s">
        <v>3428</v>
      </c>
      <c r="C2221" s="5" t="s">
        <v>2805</v>
      </c>
      <c r="D2221" s="5" t="s">
        <v>6637</v>
      </c>
      <c r="E2221" s="8">
        <f>vlookup(B2221,Filmes_final!$B$2:$U$1001,20,FALSE)</f>
        <v>232647</v>
      </c>
      <c r="F2221" s="5">
        <f>vlookup(B2221,Filmes_final!$B$2:$U$1001,3,FALSE)</f>
        <v>1955</v>
      </c>
      <c r="G2221" s="5" t="str">
        <f>vlookup(B2221,Filmes_final!$B$2:$U$1001,13,FALSE)</f>
        <v>Elia Kazan</v>
      </c>
    </row>
    <row r="2222">
      <c r="A2222" s="5">
        <v>556.0</v>
      </c>
      <c r="B2222" s="5" t="s">
        <v>3432</v>
      </c>
      <c r="C2222" s="5" t="s">
        <v>3436</v>
      </c>
      <c r="D2222" s="5" t="s">
        <v>6634</v>
      </c>
      <c r="E2222" s="8">
        <f>vlookup(B2222,Filmes_final!$B$2:$U$1001,20,FALSE)</f>
        <v>91993432</v>
      </c>
      <c r="F2222" s="5">
        <f>vlookup(B2222,Filmes_final!$B$2:$U$1001,3,FALSE)</f>
        <v>1952</v>
      </c>
      <c r="G2222" s="5" t="str">
        <f>vlookup(B2222,Filmes_final!$B$2:$U$1001,13,FALSE)</f>
        <v>Fred Zinnemann</v>
      </c>
    </row>
    <row r="2223">
      <c r="A2223" s="5">
        <v>556.0</v>
      </c>
      <c r="B2223" s="5" t="s">
        <v>3432</v>
      </c>
      <c r="C2223" s="5" t="s">
        <v>623</v>
      </c>
      <c r="D2223" s="5" t="s">
        <v>6635</v>
      </c>
      <c r="E2223" s="8">
        <f>vlookup(B2223,Filmes_final!$B$2:$U$1001,20,FALSE)</f>
        <v>91993432</v>
      </c>
      <c r="F2223" s="5">
        <f>vlookup(B2223,Filmes_final!$B$2:$U$1001,3,FALSE)</f>
        <v>1952</v>
      </c>
      <c r="G2223" s="5" t="str">
        <f>vlookup(B2223,Filmes_final!$B$2:$U$1001,13,FALSE)</f>
        <v>Fred Zinnemann</v>
      </c>
    </row>
    <row r="2224">
      <c r="A2224" s="5">
        <v>556.0</v>
      </c>
      <c r="B2224" s="5" t="s">
        <v>3432</v>
      </c>
      <c r="C2224" s="5" t="s">
        <v>277</v>
      </c>
      <c r="D2224" s="5" t="s">
        <v>6636</v>
      </c>
      <c r="E2224" s="8">
        <f>vlookup(B2224,Filmes_final!$B$2:$U$1001,20,FALSE)</f>
        <v>91993432</v>
      </c>
      <c r="F2224" s="5">
        <f>vlookup(B2224,Filmes_final!$B$2:$U$1001,3,FALSE)</f>
        <v>1952</v>
      </c>
      <c r="G2224" s="5" t="str">
        <f>vlookup(B2224,Filmes_final!$B$2:$U$1001,13,FALSE)</f>
        <v>Fred Zinnemann</v>
      </c>
    </row>
    <row r="2225">
      <c r="A2225" s="5">
        <v>556.0</v>
      </c>
      <c r="B2225" s="5" t="s">
        <v>3432</v>
      </c>
      <c r="C2225" s="5" t="s">
        <v>3437</v>
      </c>
      <c r="D2225" s="5" t="s">
        <v>6637</v>
      </c>
      <c r="E2225" s="8">
        <f>vlookup(B2225,Filmes_final!$B$2:$U$1001,20,FALSE)</f>
        <v>91993432</v>
      </c>
      <c r="F2225" s="5">
        <f>vlookup(B2225,Filmes_final!$B$2:$U$1001,3,FALSE)</f>
        <v>1952</v>
      </c>
      <c r="G2225" s="5" t="str">
        <f>vlookup(B2225,Filmes_final!$B$2:$U$1001,13,FALSE)</f>
        <v>Fred Zinnemann</v>
      </c>
    </row>
    <row r="2226">
      <c r="A2226" s="5">
        <v>557.0</v>
      </c>
      <c r="B2226" s="5" t="s">
        <v>3438</v>
      </c>
      <c r="C2226" s="5" t="s">
        <v>2861</v>
      </c>
      <c r="D2226" s="5" t="s">
        <v>6634</v>
      </c>
      <c r="E2226" s="8">
        <f>vlookup(B2226,Filmes_final!$B$2:$U$1001,20,FALSE)</f>
        <v>77492863</v>
      </c>
      <c r="F2226" s="5">
        <f>vlookup(B2226,Filmes_final!$B$2:$U$1001,3,FALSE)</f>
        <v>1951</v>
      </c>
      <c r="G2226" s="5" t="str">
        <f>vlookup(B2226,Filmes_final!$B$2:$U$1001,13,FALSE)</f>
        <v>Alfred Hitchcock</v>
      </c>
    </row>
    <row r="2227">
      <c r="A2227" s="5">
        <v>557.0</v>
      </c>
      <c r="B2227" s="5" t="s">
        <v>3438</v>
      </c>
      <c r="C2227" s="5" t="s">
        <v>3441</v>
      </c>
      <c r="D2227" s="5" t="s">
        <v>6635</v>
      </c>
      <c r="E2227" s="8">
        <f>vlookup(B2227,Filmes_final!$B$2:$U$1001,20,FALSE)</f>
        <v>77492863</v>
      </c>
      <c r="F2227" s="5">
        <f>vlookup(B2227,Filmes_final!$B$2:$U$1001,3,FALSE)</f>
        <v>1951</v>
      </c>
      <c r="G2227" s="5" t="str">
        <f>vlookup(B2227,Filmes_final!$B$2:$U$1001,13,FALSE)</f>
        <v>Alfred Hitchcock</v>
      </c>
    </row>
    <row r="2228">
      <c r="A2228" s="5">
        <v>557.0</v>
      </c>
      <c r="B2228" s="5" t="s">
        <v>3438</v>
      </c>
      <c r="C2228" s="5" t="s">
        <v>3442</v>
      </c>
      <c r="D2228" s="5" t="s">
        <v>6636</v>
      </c>
      <c r="E2228" s="8">
        <f>vlookup(B2228,Filmes_final!$B$2:$U$1001,20,FALSE)</f>
        <v>77492863</v>
      </c>
      <c r="F2228" s="5">
        <f>vlookup(B2228,Filmes_final!$B$2:$U$1001,3,FALSE)</f>
        <v>1951</v>
      </c>
      <c r="G2228" s="5" t="str">
        <f>vlookup(B2228,Filmes_final!$B$2:$U$1001,13,FALSE)</f>
        <v>Alfred Hitchcock</v>
      </c>
    </row>
    <row r="2229">
      <c r="A2229" s="5">
        <v>557.0</v>
      </c>
      <c r="B2229" s="5" t="s">
        <v>3438</v>
      </c>
      <c r="C2229" s="5" t="s">
        <v>3443</v>
      </c>
      <c r="D2229" s="5" t="s">
        <v>6637</v>
      </c>
      <c r="E2229" s="8">
        <f>vlookup(B2229,Filmes_final!$B$2:$U$1001,20,FALSE)</f>
        <v>77492863</v>
      </c>
      <c r="F2229" s="5">
        <f>vlookup(B2229,Filmes_final!$B$2:$U$1001,3,FALSE)</f>
        <v>1951</v>
      </c>
      <c r="G2229" s="5" t="str">
        <f>vlookup(B2229,Filmes_final!$B$2:$U$1001,13,FALSE)</f>
        <v>Alfred Hitchcock</v>
      </c>
    </row>
    <row r="2230">
      <c r="A2230" s="5">
        <v>558.0</v>
      </c>
      <c r="B2230" s="5" t="s">
        <v>3444</v>
      </c>
      <c r="C2230" s="5" t="s">
        <v>274</v>
      </c>
      <c r="D2230" s="5" t="s">
        <v>6634</v>
      </c>
      <c r="E2230" s="8">
        <f>vlookup(B2230,Filmes_final!$B$2:$U$1001,20,FALSE)</f>
        <v>0</v>
      </c>
      <c r="F2230" s="5">
        <f>vlookup(B2230,Filmes_final!$B$2:$U$1001,3,FALSE)</f>
        <v>1950</v>
      </c>
      <c r="G2230" s="5" t="str">
        <f>vlookup(B2230,Filmes_final!$B$2:$U$1001,13,FALSE)</f>
        <v>Henry Koster</v>
      </c>
    </row>
    <row r="2231">
      <c r="A2231" s="5">
        <v>558.0</v>
      </c>
      <c r="B2231" s="5" t="s">
        <v>3444</v>
      </c>
      <c r="C2231" s="5" t="s">
        <v>3447</v>
      </c>
      <c r="D2231" s="5" t="s">
        <v>6635</v>
      </c>
      <c r="E2231" s="8">
        <f>vlookup(B2231,Filmes_final!$B$2:$U$1001,20,FALSE)</f>
        <v>0</v>
      </c>
      <c r="F2231" s="5">
        <f>vlookup(B2231,Filmes_final!$B$2:$U$1001,3,FALSE)</f>
        <v>1950</v>
      </c>
      <c r="G2231" s="5" t="str">
        <f>vlookup(B2231,Filmes_final!$B$2:$U$1001,13,FALSE)</f>
        <v>Henry Koster</v>
      </c>
    </row>
    <row r="2232">
      <c r="A2232" s="5">
        <v>558.0</v>
      </c>
      <c r="B2232" s="5" t="s">
        <v>3444</v>
      </c>
      <c r="C2232" s="5" t="s">
        <v>3448</v>
      </c>
      <c r="D2232" s="5" t="s">
        <v>6636</v>
      </c>
      <c r="E2232" s="8">
        <f>vlookup(B2232,Filmes_final!$B$2:$U$1001,20,FALSE)</f>
        <v>0</v>
      </c>
      <c r="F2232" s="5">
        <f>vlookup(B2232,Filmes_final!$B$2:$U$1001,3,FALSE)</f>
        <v>1950</v>
      </c>
      <c r="G2232" s="5" t="str">
        <f>vlookup(B2232,Filmes_final!$B$2:$U$1001,13,FALSE)</f>
        <v>Henry Koster</v>
      </c>
    </row>
    <row r="2233">
      <c r="A2233" s="5">
        <v>558.0</v>
      </c>
      <c r="B2233" s="5" t="s">
        <v>3444</v>
      </c>
      <c r="C2233" s="5" t="s">
        <v>3449</v>
      </c>
      <c r="D2233" s="5" t="s">
        <v>6637</v>
      </c>
      <c r="E2233" s="8">
        <f>vlookup(B2233,Filmes_final!$B$2:$U$1001,20,FALSE)</f>
        <v>0</v>
      </c>
      <c r="F2233" s="5">
        <f>vlookup(B2233,Filmes_final!$B$2:$U$1001,3,FALSE)</f>
        <v>1950</v>
      </c>
      <c r="G2233" s="5" t="str">
        <f>vlookup(B2233,Filmes_final!$B$2:$U$1001,13,FALSE)</f>
        <v>Henry Koster</v>
      </c>
    </row>
    <row r="2234">
      <c r="A2234" s="5">
        <v>559.0</v>
      </c>
      <c r="B2234" s="5" t="s">
        <v>3450</v>
      </c>
      <c r="C2234" s="5" t="s">
        <v>3453</v>
      </c>
      <c r="D2234" s="5" t="s">
        <v>6634</v>
      </c>
      <c r="E2234" s="8">
        <f>vlookup(B2234,Filmes_final!$B$2:$U$1001,20,FALSE)</f>
        <v>31796426</v>
      </c>
      <c r="F2234" s="5">
        <f>vlookup(B2234,Filmes_final!$B$2:$U$1001,3,FALSE)</f>
        <v>1947</v>
      </c>
      <c r="G2234" s="5" t="str">
        <f>vlookup(B2234,Filmes_final!$B$2:$U$1001,13,FALSE)</f>
        <v>George Seaton</v>
      </c>
    </row>
    <row r="2235">
      <c r="A2235" s="5">
        <v>559.0</v>
      </c>
      <c r="B2235" s="5" t="s">
        <v>3450</v>
      </c>
      <c r="C2235" s="5" t="s">
        <v>3454</v>
      </c>
      <c r="D2235" s="5" t="s">
        <v>6635</v>
      </c>
      <c r="E2235" s="8">
        <f>vlookup(B2235,Filmes_final!$B$2:$U$1001,20,FALSE)</f>
        <v>31796426</v>
      </c>
      <c r="F2235" s="5">
        <f>vlookup(B2235,Filmes_final!$B$2:$U$1001,3,FALSE)</f>
        <v>1947</v>
      </c>
      <c r="G2235" s="5" t="str">
        <f>vlookup(B2235,Filmes_final!$B$2:$U$1001,13,FALSE)</f>
        <v>George Seaton</v>
      </c>
    </row>
    <row r="2236">
      <c r="A2236" s="5">
        <v>559.0</v>
      </c>
      <c r="B2236" s="5" t="s">
        <v>3450</v>
      </c>
      <c r="C2236" s="5" t="s">
        <v>3455</v>
      </c>
      <c r="D2236" s="5" t="s">
        <v>6636</v>
      </c>
      <c r="E2236" s="8">
        <f>vlookup(B2236,Filmes_final!$B$2:$U$1001,20,FALSE)</f>
        <v>31796426</v>
      </c>
      <c r="F2236" s="5">
        <f>vlookup(B2236,Filmes_final!$B$2:$U$1001,3,FALSE)</f>
        <v>1947</v>
      </c>
      <c r="G2236" s="5" t="str">
        <f>vlookup(B2236,Filmes_final!$B$2:$U$1001,13,FALSE)</f>
        <v>George Seaton</v>
      </c>
    </row>
    <row r="2237">
      <c r="A2237" s="5">
        <v>559.0</v>
      </c>
      <c r="B2237" s="5" t="s">
        <v>3450</v>
      </c>
      <c r="C2237" s="5" t="s">
        <v>3456</v>
      </c>
      <c r="D2237" s="5" t="s">
        <v>6637</v>
      </c>
      <c r="E2237" s="8">
        <f>vlookup(B2237,Filmes_final!$B$2:$U$1001,20,FALSE)</f>
        <v>31796426</v>
      </c>
      <c r="F2237" s="5">
        <f>vlookup(B2237,Filmes_final!$B$2:$U$1001,3,FALSE)</f>
        <v>1947</v>
      </c>
      <c r="G2237" s="5" t="str">
        <f>vlookup(B2237,Filmes_final!$B$2:$U$1001,13,FALSE)</f>
        <v>George Seaton</v>
      </c>
    </row>
    <row r="2238">
      <c r="A2238" s="5">
        <v>560.0</v>
      </c>
      <c r="B2238" s="5" t="s">
        <v>3457</v>
      </c>
      <c r="C2238" s="5" t="s">
        <v>873</v>
      </c>
      <c r="D2238" s="5" t="s">
        <v>6634</v>
      </c>
      <c r="E2238" s="8">
        <f>vlookup(B2238,Filmes_final!$B$2:$U$1001,20,FALSE)</f>
        <v>148319151</v>
      </c>
      <c r="F2238" s="5">
        <f>vlookup(B2238,Filmes_final!$B$2:$U$1001,3,FALSE)</f>
        <v>1946</v>
      </c>
      <c r="G2238" s="5" t="str">
        <f>vlookup(B2238,Filmes_final!$B$2:$U$1001,13,FALSE)</f>
        <v>Alfred Hitchcock</v>
      </c>
    </row>
    <row r="2239">
      <c r="A2239" s="5">
        <v>560.0</v>
      </c>
      <c r="B2239" s="5" t="s">
        <v>3457</v>
      </c>
      <c r="C2239" s="5" t="s">
        <v>410</v>
      </c>
      <c r="D2239" s="5" t="s">
        <v>6635</v>
      </c>
      <c r="E2239" s="8">
        <f>vlookup(B2239,Filmes_final!$B$2:$U$1001,20,FALSE)</f>
        <v>148319151</v>
      </c>
      <c r="F2239" s="5">
        <f>vlookup(B2239,Filmes_final!$B$2:$U$1001,3,FALSE)</f>
        <v>1946</v>
      </c>
      <c r="G2239" s="5" t="str">
        <f>vlookup(B2239,Filmes_final!$B$2:$U$1001,13,FALSE)</f>
        <v>Alfred Hitchcock</v>
      </c>
    </row>
    <row r="2240">
      <c r="A2240" s="5">
        <v>560.0</v>
      </c>
      <c r="B2240" s="5" t="s">
        <v>3457</v>
      </c>
      <c r="C2240" s="5" t="s">
        <v>412</v>
      </c>
      <c r="D2240" s="5" t="s">
        <v>6636</v>
      </c>
      <c r="E2240" s="8">
        <f>vlookup(B2240,Filmes_final!$B$2:$U$1001,20,FALSE)</f>
        <v>148319151</v>
      </c>
      <c r="F2240" s="5">
        <f>vlookup(B2240,Filmes_final!$B$2:$U$1001,3,FALSE)</f>
        <v>1946</v>
      </c>
      <c r="G2240" s="5" t="str">
        <f>vlookup(B2240,Filmes_final!$B$2:$U$1001,13,FALSE)</f>
        <v>Alfred Hitchcock</v>
      </c>
    </row>
    <row r="2241">
      <c r="A2241" s="5">
        <v>560.0</v>
      </c>
      <c r="B2241" s="5" t="s">
        <v>3457</v>
      </c>
      <c r="C2241" s="5" t="s">
        <v>3460</v>
      </c>
      <c r="D2241" s="5" t="s">
        <v>6637</v>
      </c>
      <c r="E2241" s="8">
        <f>vlookup(B2241,Filmes_final!$B$2:$U$1001,20,FALSE)</f>
        <v>148319151</v>
      </c>
      <c r="F2241" s="5">
        <f>vlookup(B2241,Filmes_final!$B$2:$U$1001,3,FALSE)</f>
        <v>1946</v>
      </c>
      <c r="G2241" s="5" t="str">
        <f>vlookup(B2241,Filmes_final!$B$2:$U$1001,13,FALSE)</f>
        <v>Alfred Hitchcock</v>
      </c>
    </row>
    <row r="2242">
      <c r="A2242" s="5">
        <v>561.0</v>
      </c>
      <c r="B2242" s="5" t="s">
        <v>3461</v>
      </c>
      <c r="C2242" s="5" t="s">
        <v>409</v>
      </c>
      <c r="D2242" s="5" t="s">
        <v>6634</v>
      </c>
      <c r="E2242" s="8">
        <f>vlookup(B2242,Filmes_final!$B$2:$U$1001,20,FALSE)</f>
        <v>92699469</v>
      </c>
      <c r="F2242" s="5">
        <f>vlookup(B2242,Filmes_final!$B$2:$U$1001,3,FALSE)</f>
        <v>1946</v>
      </c>
      <c r="G2242" s="5" t="str">
        <f>vlookup(B2242,Filmes_final!$B$2:$U$1001,13,FALSE)</f>
        <v>Howard Hawks</v>
      </c>
    </row>
    <row r="2243">
      <c r="A2243" s="5">
        <v>561.0</v>
      </c>
      <c r="B2243" s="5" t="s">
        <v>3461</v>
      </c>
      <c r="C2243" s="5" t="s">
        <v>2473</v>
      </c>
      <c r="D2243" s="5" t="s">
        <v>6635</v>
      </c>
      <c r="E2243" s="8">
        <f>vlookup(B2243,Filmes_final!$B$2:$U$1001,20,FALSE)</f>
        <v>92699469</v>
      </c>
      <c r="F2243" s="5">
        <f>vlookup(B2243,Filmes_final!$B$2:$U$1001,3,FALSE)</f>
        <v>1946</v>
      </c>
      <c r="G2243" s="5" t="str">
        <f>vlookup(B2243,Filmes_final!$B$2:$U$1001,13,FALSE)</f>
        <v>Howard Hawks</v>
      </c>
    </row>
    <row r="2244">
      <c r="A2244" s="5">
        <v>561.0</v>
      </c>
      <c r="B2244" s="5" t="s">
        <v>3461</v>
      </c>
      <c r="C2244" s="5" t="s">
        <v>3464</v>
      </c>
      <c r="D2244" s="5" t="s">
        <v>6636</v>
      </c>
      <c r="E2244" s="8">
        <f>vlookup(B2244,Filmes_final!$B$2:$U$1001,20,FALSE)</f>
        <v>92699469</v>
      </c>
      <c r="F2244" s="5">
        <f>vlookup(B2244,Filmes_final!$B$2:$U$1001,3,FALSE)</f>
        <v>1946</v>
      </c>
      <c r="G2244" s="5" t="str">
        <f>vlookup(B2244,Filmes_final!$B$2:$U$1001,13,FALSE)</f>
        <v>Howard Hawks</v>
      </c>
    </row>
    <row r="2245">
      <c r="A2245" s="5">
        <v>561.0</v>
      </c>
      <c r="B2245" s="5" t="s">
        <v>3461</v>
      </c>
      <c r="C2245" s="5" t="s">
        <v>3465</v>
      </c>
      <c r="D2245" s="5" t="s">
        <v>6637</v>
      </c>
      <c r="E2245" s="8">
        <f>vlookup(B2245,Filmes_final!$B$2:$U$1001,20,FALSE)</f>
        <v>92699469</v>
      </c>
      <c r="F2245" s="5">
        <f>vlookup(B2245,Filmes_final!$B$2:$U$1001,3,FALSE)</f>
        <v>1946</v>
      </c>
      <c r="G2245" s="5" t="str">
        <f>vlookup(B2245,Filmes_final!$B$2:$U$1001,13,FALSE)</f>
        <v>Howard Hawks</v>
      </c>
    </row>
    <row r="2246">
      <c r="A2246" s="5">
        <v>562.0</v>
      </c>
      <c r="B2246" s="5" t="s">
        <v>3466</v>
      </c>
      <c r="C2246" s="5" t="s">
        <v>1322</v>
      </c>
      <c r="D2246" s="5" t="s">
        <v>6634</v>
      </c>
      <c r="E2246" s="8">
        <f>vlookup(B2246,Filmes_final!$B$2:$U$1001,20,FALSE)</f>
        <v>137101442</v>
      </c>
      <c r="F2246" s="5">
        <f>vlookup(B2246,Filmes_final!$B$2:$U$1001,3,FALSE)</f>
        <v>1945</v>
      </c>
      <c r="G2246" s="5" t="str">
        <f>vlookup(B2246,Filmes_final!$B$2:$U$1001,13,FALSE)</f>
        <v>Billy Wilder</v>
      </c>
    </row>
    <row r="2247">
      <c r="A2247" s="5">
        <v>562.0</v>
      </c>
      <c r="B2247" s="5" t="s">
        <v>3466</v>
      </c>
      <c r="C2247" s="5" t="s">
        <v>3468</v>
      </c>
      <c r="D2247" s="5" t="s">
        <v>6635</v>
      </c>
      <c r="E2247" s="8">
        <f>vlookup(B2247,Filmes_final!$B$2:$U$1001,20,FALSE)</f>
        <v>137101442</v>
      </c>
      <c r="F2247" s="5">
        <f>vlookup(B2247,Filmes_final!$B$2:$U$1001,3,FALSE)</f>
        <v>1945</v>
      </c>
      <c r="G2247" s="5" t="str">
        <f>vlookup(B2247,Filmes_final!$B$2:$U$1001,13,FALSE)</f>
        <v>Billy Wilder</v>
      </c>
    </row>
    <row r="2248">
      <c r="A2248" s="5">
        <v>562.0</v>
      </c>
      <c r="B2248" s="5" t="s">
        <v>3466</v>
      </c>
      <c r="C2248" s="5" t="s">
        <v>3469</v>
      </c>
      <c r="D2248" s="5" t="s">
        <v>6636</v>
      </c>
      <c r="E2248" s="8">
        <f>vlookup(B2248,Filmes_final!$B$2:$U$1001,20,FALSE)</f>
        <v>137101442</v>
      </c>
      <c r="F2248" s="5">
        <f>vlookup(B2248,Filmes_final!$B$2:$U$1001,3,FALSE)</f>
        <v>1945</v>
      </c>
      <c r="G2248" s="5" t="str">
        <f>vlookup(B2248,Filmes_final!$B$2:$U$1001,13,FALSE)</f>
        <v>Billy Wilder</v>
      </c>
    </row>
    <row r="2249">
      <c r="A2249" s="5">
        <v>562.0</v>
      </c>
      <c r="B2249" s="5" t="s">
        <v>3466</v>
      </c>
      <c r="C2249" s="5" t="s">
        <v>3470</v>
      </c>
      <c r="D2249" s="5" t="s">
        <v>6637</v>
      </c>
      <c r="E2249" s="8">
        <f>vlookup(B2249,Filmes_final!$B$2:$U$1001,20,FALSE)</f>
        <v>137101442</v>
      </c>
      <c r="F2249" s="5">
        <f>vlookup(B2249,Filmes_final!$B$2:$U$1001,3,FALSE)</f>
        <v>1945</v>
      </c>
      <c r="G2249" s="5" t="str">
        <f>vlookup(B2249,Filmes_final!$B$2:$U$1001,13,FALSE)</f>
        <v>Billy Wilder</v>
      </c>
    </row>
    <row r="2250">
      <c r="A2250" s="5">
        <v>563.0</v>
      </c>
      <c r="B2250" s="5" t="s">
        <v>3471</v>
      </c>
      <c r="C2250" s="5" t="s">
        <v>873</v>
      </c>
      <c r="D2250" s="5" t="s">
        <v>6634</v>
      </c>
      <c r="E2250" s="8">
        <f>vlookup(B2250,Filmes_final!$B$2:$U$1001,20,FALSE)</f>
        <v>7640080</v>
      </c>
      <c r="F2250" s="5">
        <f>vlookup(B2250,Filmes_final!$B$2:$U$1001,3,FALSE)</f>
        <v>1940</v>
      </c>
      <c r="G2250" s="5" t="str">
        <f>vlookup(B2250,Filmes_final!$B$2:$U$1001,13,FALSE)</f>
        <v>George Cukor</v>
      </c>
    </row>
    <row r="2251">
      <c r="A2251" s="5">
        <v>563.0</v>
      </c>
      <c r="B2251" s="5" t="s">
        <v>3471</v>
      </c>
      <c r="C2251" s="5" t="s">
        <v>3385</v>
      </c>
      <c r="D2251" s="5" t="s">
        <v>6635</v>
      </c>
      <c r="E2251" s="8">
        <f>vlookup(B2251,Filmes_final!$B$2:$U$1001,20,FALSE)</f>
        <v>7640080</v>
      </c>
      <c r="F2251" s="5">
        <f>vlookup(B2251,Filmes_final!$B$2:$U$1001,3,FALSE)</f>
        <v>1940</v>
      </c>
      <c r="G2251" s="5" t="str">
        <f>vlookup(B2251,Filmes_final!$B$2:$U$1001,13,FALSE)</f>
        <v>George Cukor</v>
      </c>
    </row>
    <row r="2252">
      <c r="A2252" s="5">
        <v>563.0</v>
      </c>
      <c r="B2252" s="5" t="s">
        <v>3471</v>
      </c>
      <c r="C2252" s="5" t="s">
        <v>274</v>
      </c>
      <c r="D2252" s="5" t="s">
        <v>6636</v>
      </c>
      <c r="E2252" s="8">
        <f>vlookup(B2252,Filmes_final!$B$2:$U$1001,20,FALSE)</f>
        <v>7640080</v>
      </c>
      <c r="F2252" s="5">
        <f>vlookup(B2252,Filmes_final!$B$2:$U$1001,3,FALSE)</f>
        <v>1940</v>
      </c>
      <c r="G2252" s="5" t="str">
        <f>vlookup(B2252,Filmes_final!$B$2:$U$1001,13,FALSE)</f>
        <v>George Cukor</v>
      </c>
    </row>
    <row r="2253">
      <c r="A2253" s="5">
        <v>563.0</v>
      </c>
      <c r="B2253" s="5" t="s">
        <v>3471</v>
      </c>
      <c r="C2253" s="5" t="s">
        <v>3473</v>
      </c>
      <c r="D2253" s="5" t="s">
        <v>6637</v>
      </c>
      <c r="E2253" s="8">
        <f>vlookup(B2253,Filmes_final!$B$2:$U$1001,20,FALSE)</f>
        <v>7640080</v>
      </c>
      <c r="F2253" s="5">
        <f>vlookup(B2253,Filmes_final!$B$2:$U$1001,3,FALSE)</f>
        <v>1940</v>
      </c>
      <c r="G2253" s="5" t="str">
        <f>vlookup(B2253,Filmes_final!$B$2:$U$1001,13,FALSE)</f>
        <v>George Cukor</v>
      </c>
    </row>
    <row r="2254">
      <c r="A2254" s="5">
        <v>564.0</v>
      </c>
      <c r="B2254" s="5" t="s">
        <v>3474</v>
      </c>
      <c r="C2254" s="5" t="s">
        <v>873</v>
      </c>
      <c r="D2254" s="5" t="s">
        <v>6634</v>
      </c>
      <c r="E2254" s="8">
        <f>vlookup(B2254,Filmes_final!$B$2:$U$1001,20,FALSE)</f>
        <v>5493</v>
      </c>
      <c r="F2254" s="5">
        <f>vlookup(B2254,Filmes_final!$B$2:$U$1001,3,FALSE)</f>
        <v>1940</v>
      </c>
      <c r="G2254" s="5" t="str">
        <f>vlookup(B2254,Filmes_final!$B$2:$U$1001,13,FALSE)</f>
        <v>Howard Hawks</v>
      </c>
    </row>
    <row r="2255">
      <c r="A2255" s="5">
        <v>564.0</v>
      </c>
      <c r="B2255" s="5" t="s">
        <v>3474</v>
      </c>
      <c r="C2255" s="5" t="s">
        <v>3476</v>
      </c>
      <c r="D2255" s="5" t="s">
        <v>6635</v>
      </c>
      <c r="E2255" s="8">
        <f>vlookup(B2255,Filmes_final!$B$2:$U$1001,20,FALSE)</f>
        <v>5493</v>
      </c>
      <c r="F2255" s="5">
        <f>vlookup(B2255,Filmes_final!$B$2:$U$1001,3,FALSE)</f>
        <v>1940</v>
      </c>
      <c r="G2255" s="5" t="str">
        <f>vlookup(B2255,Filmes_final!$B$2:$U$1001,13,FALSE)</f>
        <v>Howard Hawks</v>
      </c>
    </row>
    <row r="2256">
      <c r="A2256" s="5">
        <v>564.0</v>
      </c>
      <c r="B2256" s="5" t="s">
        <v>3474</v>
      </c>
      <c r="C2256" s="5" t="s">
        <v>3477</v>
      </c>
      <c r="D2256" s="5" t="s">
        <v>6636</v>
      </c>
      <c r="E2256" s="8">
        <f>vlookup(B2256,Filmes_final!$B$2:$U$1001,20,FALSE)</f>
        <v>5493</v>
      </c>
      <c r="F2256" s="5">
        <f>vlookup(B2256,Filmes_final!$B$2:$U$1001,3,FALSE)</f>
        <v>1940</v>
      </c>
      <c r="G2256" s="5" t="str">
        <f>vlookup(B2256,Filmes_final!$B$2:$U$1001,13,FALSE)</f>
        <v>Howard Hawks</v>
      </c>
    </row>
    <row r="2257">
      <c r="A2257" s="5">
        <v>564.0</v>
      </c>
      <c r="B2257" s="5" t="s">
        <v>3474</v>
      </c>
      <c r="C2257" s="5" t="s">
        <v>3456</v>
      </c>
      <c r="D2257" s="5" t="s">
        <v>6637</v>
      </c>
      <c r="E2257" s="8">
        <f>vlookup(B2257,Filmes_final!$B$2:$U$1001,20,FALSE)</f>
        <v>5493</v>
      </c>
      <c r="F2257" s="5">
        <f>vlookup(B2257,Filmes_final!$B$2:$U$1001,3,FALSE)</f>
        <v>1940</v>
      </c>
      <c r="G2257" s="5" t="str">
        <f>vlookup(B2257,Filmes_final!$B$2:$U$1001,13,FALSE)</f>
        <v>Howard Hawks</v>
      </c>
    </row>
    <row r="2258">
      <c r="A2258" s="5">
        <v>565.0</v>
      </c>
      <c r="B2258" s="5" t="s">
        <v>3478</v>
      </c>
      <c r="C2258" s="5" t="s">
        <v>3481</v>
      </c>
      <c r="D2258" s="5" t="s">
        <v>6634</v>
      </c>
      <c r="E2258" s="8">
        <f>vlookup(B2258,Filmes_final!$B$2:$U$1001,20,FALSE)</f>
        <v>72322715</v>
      </c>
      <c r="F2258" s="5">
        <f>vlookup(B2258,Filmes_final!$B$2:$U$1001,3,FALSE)</f>
        <v>1938</v>
      </c>
      <c r="G2258" s="5" t="str">
        <f>vlookup(B2258,Filmes_final!$B$2:$U$1001,13,FALSE)</f>
        <v>Michael Curtiz</v>
      </c>
    </row>
    <row r="2259">
      <c r="A2259" s="5">
        <v>565.0</v>
      </c>
      <c r="B2259" s="5" t="s">
        <v>3478</v>
      </c>
      <c r="C2259" s="5" t="s">
        <v>3482</v>
      </c>
      <c r="D2259" s="5" t="s">
        <v>6635</v>
      </c>
      <c r="E2259" s="8">
        <f>vlookup(B2259,Filmes_final!$B$2:$U$1001,20,FALSE)</f>
        <v>72322715</v>
      </c>
      <c r="F2259" s="5">
        <f>vlookup(B2259,Filmes_final!$B$2:$U$1001,3,FALSE)</f>
        <v>1938</v>
      </c>
      <c r="G2259" s="5" t="str">
        <f>vlookup(B2259,Filmes_final!$B$2:$U$1001,13,FALSE)</f>
        <v>Michael Curtiz</v>
      </c>
    </row>
    <row r="2260">
      <c r="A2260" s="5">
        <v>565.0</v>
      </c>
      <c r="B2260" s="5" t="s">
        <v>3478</v>
      </c>
      <c r="C2260" s="5" t="s">
        <v>3483</v>
      </c>
      <c r="D2260" s="5" t="s">
        <v>6636</v>
      </c>
      <c r="E2260" s="8">
        <f>vlookup(B2260,Filmes_final!$B$2:$U$1001,20,FALSE)</f>
        <v>72322715</v>
      </c>
      <c r="F2260" s="5">
        <f>vlookup(B2260,Filmes_final!$B$2:$U$1001,3,FALSE)</f>
        <v>1938</v>
      </c>
      <c r="G2260" s="5" t="str">
        <f>vlookup(B2260,Filmes_final!$B$2:$U$1001,13,FALSE)</f>
        <v>Michael Curtiz</v>
      </c>
    </row>
    <row r="2261">
      <c r="A2261" s="5">
        <v>565.0</v>
      </c>
      <c r="B2261" s="5" t="s">
        <v>3478</v>
      </c>
      <c r="C2261" s="5" t="s">
        <v>3484</v>
      </c>
      <c r="D2261" s="5" t="s">
        <v>6637</v>
      </c>
      <c r="E2261" s="8">
        <f>vlookup(B2261,Filmes_final!$B$2:$U$1001,20,FALSE)</f>
        <v>72322715</v>
      </c>
      <c r="F2261" s="5">
        <f>vlookup(B2261,Filmes_final!$B$2:$U$1001,3,FALSE)</f>
        <v>1938</v>
      </c>
      <c r="G2261" s="5" t="str">
        <f>vlookup(B2261,Filmes_final!$B$2:$U$1001,13,FALSE)</f>
        <v>Michael Curtiz</v>
      </c>
    </row>
    <row r="2262">
      <c r="A2262" s="5">
        <v>566.0</v>
      </c>
      <c r="B2262" s="5" t="s">
        <v>3485</v>
      </c>
      <c r="C2262" s="5" t="s">
        <v>3488</v>
      </c>
      <c r="D2262" s="5" t="s">
        <v>6634</v>
      </c>
      <c r="E2262" s="8">
        <f>vlookup(B2262,Filmes_final!$B$2:$U$1001,20,FALSE)</f>
        <v>48132836</v>
      </c>
      <c r="F2262" s="5">
        <f>vlookup(B2262,Filmes_final!$B$2:$U$1001,3,FALSE)</f>
        <v>1935</v>
      </c>
      <c r="G2262" s="5" t="str">
        <f>vlookup(B2262,Filmes_final!$B$2:$U$1001,13,FALSE)</f>
        <v>Sam Wood</v>
      </c>
    </row>
    <row r="2263">
      <c r="A2263" s="5">
        <v>566.0</v>
      </c>
      <c r="B2263" s="5" t="s">
        <v>3485</v>
      </c>
      <c r="C2263" s="5" t="s">
        <v>3489</v>
      </c>
      <c r="D2263" s="5" t="s">
        <v>6635</v>
      </c>
      <c r="E2263" s="8">
        <f>vlookup(B2263,Filmes_final!$B$2:$U$1001,20,FALSE)</f>
        <v>48132836</v>
      </c>
      <c r="F2263" s="5">
        <f>vlookup(B2263,Filmes_final!$B$2:$U$1001,3,FALSE)</f>
        <v>1935</v>
      </c>
      <c r="G2263" s="5" t="str">
        <f>vlookup(B2263,Filmes_final!$B$2:$U$1001,13,FALSE)</f>
        <v>Sam Wood</v>
      </c>
    </row>
    <row r="2264">
      <c r="A2264" s="5">
        <v>566.0</v>
      </c>
      <c r="B2264" s="5" t="s">
        <v>3485</v>
      </c>
      <c r="C2264" s="5" t="s">
        <v>3490</v>
      </c>
      <c r="D2264" s="5" t="s">
        <v>6636</v>
      </c>
      <c r="E2264" s="8">
        <f>vlookup(B2264,Filmes_final!$B$2:$U$1001,20,FALSE)</f>
        <v>48132836</v>
      </c>
      <c r="F2264" s="5">
        <f>vlookup(B2264,Filmes_final!$B$2:$U$1001,3,FALSE)</f>
        <v>1935</v>
      </c>
      <c r="G2264" s="5" t="str">
        <f>vlookup(B2264,Filmes_final!$B$2:$U$1001,13,FALSE)</f>
        <v>Sam Wood</v>
      </c>
    </row>
    <row r="2265">
      <c r="A2265" s="5">
        <v>566.0</v>
      </c>
      <c r="B2265" s="5" t="s">
        <v>3485</v>
      </c>
      <c r="C2265" s="5" t="s">
        <v>3491</v>
      </c>
      <c r="D2265" s="5" t="s">
        <v>6637</v>
      </c>
      <c r="E2265" s="8">
        <f>vlookup(B2265,Filmes_final!$B$2:$U$1001,20,FALSE)</f>
        <v>48132836</v>
      </c>
      <c r="F2265" s="5">
        <f>vlookup(B2265,Filmes_final!$B$2:$U$1001,3,FALSE)</f>
        <v>1935</v>
      </c>
      <c r="G2265" s="5" t="str">
        <f>vlookup(B2265,Filmes_final!$B$2:$U$1001,13,FALSE)</f>
        <v>Sam Wood</v>
      </c>
    </row>
    <row r="2266">
      <c r="A2266" s="5">
        <v>567.0</v>
      </c>
      <c r="B2266" s="5" t="s">
        <v>3492</v>
      </c>
      <c r="C2266" s="5" t="s">
        <v>3496</v>
      </c>
      <c r="D2266" s="5" t="s">
        <v>6634</v>
      </c>
      <c r="E2266" s="8">
        <f>vlookup(B2266,Filmes_final!$B$2:$U$1001,20,FALSE)</f>
        <v>199977519</v>
      </c>
      <c r="F2266" s="5">
        <f>vlookup(B2266,Filmes_final!$B$2:$U$1001,3,FALSE)</f>
        <v>1933</v>
      </c>
      <c r="G2266" s="5" t="str">
        <f>vlookup(B2266,Filmes_final!$B$2:$U$1001,13,FALSE)</f>
        <v>Merian C. Cooper</v>
      </c>
    </row>
    <row r="2267">
      <c r="A2267" s="5">
        <v>567.0</v>
      </c>
      <c r="B2267" s="5" t="s">
        <v>3492</v>
      </c>
      <c r="C2267" s="5" t="s">
        <v>3497</v>
      </c>
      <c r="D2267" s="5" t="s">
        <v>6635</v>
      </c>
      <c r="E2267" s="8">
        <f>vlookup(B2267,Filmes_final!$B$2:$U$1001,20,FALSE)</f>
        <v>199977519</v>
      </c>
      <c r="F2267" s="5">
        <f>vlookup(B2267,Filmes_final!$B$2:$U$1001,3,FALSE)</f>
        <v>1933</v>
      </c>
      <c r="G2267" s="5" t="str">
        <f>vlookup(B2267,Filmes_final!$B$2:$U$1001,13,FALSE)</f>
        <v>Merian C. Cooper</v>
      </c>
    </row>
    <row r="2268">
      <c r="A2268" s="5">
        <v>567.0</v>
      </c>
      <c r="B2268" s="5" t="s">
        <v>3492</v>
      </c>
      <c r="C2268" s="5" t="s">
        <v>3498</v>
      </c>
      <c r="D2268" s="5" t="s">
        <v>6636</v>
      </c>
      <c r="E2268" s="8">
        <f>vlookup(B2268,Filmes_final!$B$2:$U$1001,20,FALSE)</f>
        <v>199977519</v>
      </c>
      <c r="F2268" s="5">
        <f>vlookup(B2268,Filmes_final!$B$2:$U$1001,3,FALSE)</f>
        <v>1933</v>
      </c>
      <c r="G2268" s="5" t="str">
        <f>vlookup(B2268,Filmes_final!$B$2:$U$1001,13,FALSE)</f>
        <v>Merian C. Cooper</v>
      </c>
    </row>
    <row r="2269">
      <c r="A2269" s="5">
        <v>567.0</v>
      </c>
      <c r="B2269" s="5" t="s">
        <v>3492</v>
      </c>
      <c r="C2269" s="5" t="s">
        <v>3499</v>
      </c>
      <c r="D2269" s="5" t="s">
        <v>6637</v>
      </c>
      <c r="E2269" s="8">
        <f>vlookup(B2269,Filmes_final!$B$2:$U$1001,20,FALSE)</f>
        <v>199977519</v>
      </c>
      <c r="F2269" s="5">
        <f>vlookup(B2269,Filmes_final!$B$2:$U$1001,3,FALSE)</f>
        <v>1933</v>
      </c>
      <c r="G2269" s="5" t="str">
        <f>vlookup(B2269,Filmes_final!$B$2:$U$1001,13,FALSE)</f>
        <v>Merian C. Cooper</v>
      </c>
    </row>
    <row r="2270">
      <c r="A2270" s="5">
        <v>568.0</v>
      </c>
      <c r="B2270" s="5" t="s">
        <v>3500</v>
      </c>
      <c r="C2270" s="5" t="s">
        <v>3447</v>
      </c>
      <c r="D2270" s="5" t="s">
        <v>6634</v>
      </c>
      <c r="E2270" s="8">
        <f>vlookup(B2270,Filmes_final!$B$2:$U$1001,20,FALSE)</f>
        <v>73459</v>
      </c>
      <c r="F2270" s="5">
        <f>vlookup(B2270,Filmes_final!$B$2:$U$1001,3,FALSE)</f>
        <v>1932</v>
      </c>
      <c r="G2270" s="5" t="str">
        <f>vlookup(B2270,Filmes_final!$B$2:$U$1001,13,FALSE)</f>
        <v>Tod Browning</v>
      </c>
    </row>
    <row r="2271">
      <c r="A2271" s="5">
        <v>568.0</v>
      </c>
      <c r="B2271" s="5" t="s">
        <v>3500</v>
      </c>
      <c r="C2271" s="5" t="s">
        <v>3504</v>
      </c>
      <c r="D2271" s="5" t="s">
        <v>6635</v>
      </c>
      <c r="E2271" s="8">
        <f>vlookup(B2271,Filmes_final!$B$2:$U$1001,20,FALSE)</f>
        <v>73459</v>
      </c>
      <c r="F2271" s="5">
        <f>vlookup(B2271,Filmes_final!$B$2:$U$1001,3,FALSE)</f>
        <v>1932</v>
      </c>
      <c r="G2271" s="5" t="str">
        <f>vlookup(B2271,Filmes_final!$B$2:$U$1001,13,FALSE)</f>
        <v>Tod Browning</v>
      </c>
    </row>
    <row r="2272">
      <c r="A2272" s="5">
        <v>568.0</v>
      </c>
      <c r="B2272" s="5" t="s">
        <v>3500</v>
      </c>
      <c r="C2272" s="5" t="s">
        <v>3505</v>
      </c>
      <c r="D2272" s="5" t="s">
        <v>6636</v>
      </c>
      <c r="E2272" s="8">
        <f>vlookup(B2272,Filmes_final!$B$2:$U$1001,20,FALSE)</f>
        <v>73459</v>
      </c>
      <c r="F2272" s="5">
        <f>vlookup(B2272,Filmes_final!$B$2:$U$1001,3,FALSE)</f>
        <v>1932</v>
      </c>
      <c r="G2272" s="5" t="str">
        <f>vlookup(B2272,Filmes_final!$B$2:$U$1001,13,FALSE)</f>
        <v>Tod Browning</v>
      </c>
    </row>
    <row r="2273">
      <c r="A2273" s="5">
        <v>568.0</v>
      </c>
      <c r="B2273" s="5" t="s">
        <v>3500</v>
      </c>
      <c r="C2273" s="5" t="s">
        <v>3506</v>
      </c>
      <c r="D2273" s="5" t="s">
        <v>6637</v>
      </c>
      <c r="E2273" s="8">
        <f>vlookup(B2273,Filmes_final!$B$2:$U$1001,20,FALSE)</f>
        <v>73459</v>
      </c>
      <c r="F2273" s="5">
        <f>vlookup(B2273,Filmes_final!$B$2:$U$1001,3,FALSE)</f>
        <v>1932</v>
      </c>
      <c r="G2273" s="5" t="str">
        <f>vlookup(B2273,Filmes_final!$B$2:$U$1001,13,FALSE)</f>
        <v>Tod Browning</v>
      </c>
    </row>
    <row r="2274">
      <c r="A2274" s="5">
        <v>569.0</v>
      </c>
      <c r="B2274" s="5" t="s">
        <v>3507</v>
      </c>
      <c r="C2274" s="5" t="s">
        <v>3510</v>
      </c>
      <c r="D2274" s="5" t="s">
        <v>6634</v>
      </c>
      <c r="E2274" s="8">
        <f>vlookup(B2274,Filmes_final!$B$2:$U$1001,20,FALSE)</f>
        <v>290851</v>
      </c>
      <c r="F2274" s="5">
        <f>vlookup(B2274,Filmes_final!$B$2:$U$1001,3,FALSE)</f>
        <v>1922</v>
      </c>
      <c r="G2274" s="5" t="str">
        <f>vlookup(B2274,Filmes_final!$B$2:$U$1001,13,FALSE)</f>
        <v>F.W. Murnau</v>
      </c>
    </row>
    <row r="2275">
      <c r="A2275" s="5">
        <v>569.0</v>
      </c>
      <c r="B2275" s="5" t="s">
        <v>3507</v>
      </c>
      <c r="C2275" s="5" t="s">
        <v>3511</v>
      </c>
      <c r="D2275" s="5" t="s">
        <v>6635</v>
      </c>
      <c r="E2275" s="8">
        <f>vlookup(B2275,Filmes_final!$B$2:$U$1001,20,FALSE)</f>
        <v>290851</v>
      </c>
      <c r="F2275" s="5">
        <f>vlookup(B2275,Filmes_final!$B$2:$U$1001,3,FALSE)</f>
        <v>1922</v>
      </c>
      <c r="G2275" s="5" t="str">
        <f>vlookup(B2275,Filmes_final!$B$2:$U$1001,13,FALSE)</f>
        <v>F.W. Murnau</v>
      </c>
    </row>
    <row r="2276">
      <c r="A2276" s="5">
        <v>569.0</v>
      </c>
      <c r="B2276" s="5" t="s">
        <v>3507</v>
      </c>
      <c r="C2276" s="5" t="s">
        <v>3512</v>
      </c>
      <c r="D2276" s="5" t="s">
        <v>6636</v>
      </c>
      <c r="E2276" s="8">
        <f>vlookup(B2276,Filmes_final!$B$2:$U$1001,20,FALSE)</f>
        <v>290851</v>
      </c>
      <c r="F2276" s="5">
        <f>vlookup(B2276,Filmes_final!$B$2:$U$1001,3,FALSE)</f>
        <v>1922</v>
      </c>
      <c r="G2276" s="5" t="str">
        <f>vlookup(B2276,Filmes_final!$B$2:$U$1001,13,FALSE)</f>
        <v>F.W. Murnau</v>
      </c>
    </row>
    <row r="2277">
      <c r="A2277" s="5">
        <v>569.0</v>
      </c>
      <c r="B2277" s="5" t="s">
        <v>3507</v>
      </c>
      <c r="C2277" s="5" t="s">
        <v>3513</v>
      </c>
      <c r="D2277" s="5" t="s">
        <v>6637</v>
      </c>
      <c r="E2277" s="8">
        <f>vlookup(B2277,Filmes_final!$B$2:$U$1001,20,FALSE)</f>
        <v>290851</v>
      </c>
      <c r="F2277" s="5">
        <f>vlookup(B2277,Filmes_final!$B$2:$U$1001,3,FALSE)</f>
        <v>1922</v>
      </c>
      <c r="G2277" s="5" t="str">
        <f>vlookup(B2277,Filmes_final!$B$2:$U$1001,13,FALSE)</f>
        <v>F.W. Murnau</v>
      </c>
    </row>
    <row r="2278">
      <c r="A2278" s="5">
        <v>570.0</v>
      </c>
      <c r="B2278" s="5" t="s">
        <v>3514</v>
      </c>
      <c r="C2278" s="5" t="s">
        <v>190</v>
      </c>
      <c r="D2278" s="5" t="s">
        <v>6634</v>
      </c>
      <c r="E2278" s="8">
        <f>vlookup(B2278,Filmes_final!$B$2:$U$1001,20,FALSE)</f>
        <v>37378692</v>
      </c>
      <c r="F2278" s="5">
        <f>vlookup(B2278,Filmes_final!$B$2:$U$1001,3,FALSE)</f>
        <v>2019</v>
      </c>
      <c r="G2278" s="5" t="str">
        <f>vlookup(B2278,Filmes_final!$B$2:$U$1001,13,FALSE)</f>
        <v>Guy Ritchie</v>
      </c>
    </row>
    <row r="2279">
      <c r="A2279" s="5">
        <v>570.0</v>
      </c>
      <c r="B2279" s="5" t="s">
        <v>3514</v>
      </c>
      <c r="C2279" s="5" t="s">
        <v>3516</v>
      </c>
      <c r="D2279" s="5" t="s">
        <v>6635</v>
      </c>
      <c r="E2279" s="8">
        <f>vlookup(B2279,Filmes_final!$B$2:$U$1001,20,FALSE)</f>
        <v>37378692</v>
      </c>
      <c r="F2279" s="5">
        <f>vlookup(B2279,Filmes_final!$B$2:$U$1001,3,FALSE)</f>
        <v>2019</v>
      </c>
      <c r="G2279" s="5" t="str">
        <f>vlookup(B2279,Filmes_final!$B$2:$U$1001,13,FALSE)</f>
        <v>Guy Ritchie</v>
      </c>
    </row>
    <row r="2280">
      <c r="A2280" s="5">
        <v>570.0</v>
      </c>
      <c r="B2280" s="5" t="s">
        <v>3514</v>
      </c>
      <c r="C2280" s="5" t="s">
        <v>3517</v>
      </c>
      <c r="D2280" s="5" t="s">
        <v>6636</v>
      </c>
      <c r="E2280" s="8">
        <f>vlookup(B2280,Filmes_final!$B$2:$U$1001,20,FALSE)</f>
        <v>37378692</v>
      </c>
      <c r="F2280" s="5">
        <f>vlookup(B2280,Filmes_final!$B$2:$U$1001,3,FALSE)</f>
        <v>2019</v>
      </c>
      <c r="G2280" s="5" t="str">
        <f>vlookup(B2280,Filmes_final!$B$2:$U$1001,13,FALSE)</f>
        <v>Guy Ritchie</v>
      </c>
    </row>
    <row r="2281">
      <c r="A2281" s="5">
        <v>570.0</v>
      </c>
      <c r="B2281" s="5" t="s">
        <v>3514</v>
      </c>
      <c r="C2281" s="5" t="s">
        <v>3518</v>
      </c>
      <c r="D2281" s="5" t="s">
        <v>6637</v>
      </c>
      <c r="E2281" s="8">
        <f>vlookup(B2281,Filmes_final!$B$2:$U$1001,20,FALSE)</f>
        <v>37378692</v>
      </c>
      <c r="F2281" s="5">
        <f>vlookup(B2281,Filmes_final!$B$2:$U$1001,3,FALSE)</f>
        <v>2019</v>
      </c>
      <c r="G2281" s="5" t="str">
        <f>vlookup(B2281,Filmes_final!$B$2:$U$1001,13,FALSE)</f>
        <v>Guy Ritchie</v>
      </c>
    </row>
    <row r="2282">
      <c r="A2282" s="5">
        <v>571.0</v>
      </c>
      <c r="B2282" s="5" t="s">
        <v>3519</v>
      </c>
      <c r="C2282" s="5" t="s">
        <v>3521</v>
      </c>
      <c r="D2282" s="5" t="s">
        <v>6634</v>
      </c>
      <c r="E2282" s="8">
        <f>vlookup(B2282,Filmes_final!$B$2:$U$1001,20,FALSE)</f>
        <v>1886658</v>
      </c>
      <c r="F2282" s="5">
        <f>vlookup(B2282,Filmes_final!$B$2:$U$1001,3,FALSE)</f>
        <v>2018</v>
      </c>
      <c r="G2282" s="5" t="str">
        <f>vlookup(B2282,Filmes_final!$B$2:$U$1001,13,FALSE)</f>
        <v>Meghna Gulzar</v>
      </c>
    </row>
    <row r="2283">
      <c r="A2283" s="5">
        <v>571.0</v>
      </c>
      <c r="B2283" s="5" t="s">
        <v>3519</v>
      </c>
      <c r="C2283" s="5" t="s">
        <v>951</v>
      </c>
      <c r="D2283" s="5" t="s">
        <v>6635</v>
      </c>
      <c r="E2283" s="8">
        <f>vlookup(B2283,Filmes_final!$B$2:$U$1001,20,FALSE)</f>
        <v>1886658</v>
      </c>
      <c r="F2283" s="5">
        <f>vlookup(B2283,Filmes_final!$B$2:$U$1001,3,FALSE)</f>
        <v>2018</v>
      </c>
      <c r="G2283" s="5" t="str">
        <f>vlookup(B2283,Filmes_final!$B$2:$U$1001,13,FALSE)</f>
        <v>Meghna Gulzar</v>
      </c>
    </row>
    <row r="2284">
      <c r="A2284" s="5">
        <v>571.0</v>
      </c>
      <c r="B2284" s="5" t="s">
        <v>3519</v>
      </c>
      <c r="C2284" s="5" t="s">
        <v>3522</v>
      </c>
      <c r="D2284" s="5" t="s">
        <v>6636</v>
      </c>
      <c r="E2284" s="8">
        <f>vlookup(B2284,Filmes_final!$B$2:$U$1001,20,FALSE)</f>
        <v>1886658</v>
      </c>
      <c r="F2284" s="5">
        <f>vlookup(B2284,Filmes_final!$B$2:$U$1001,3,FALSE)</f>
        <v>2018</v>
      </c>
      <c r="G2284" s="5" t="str">
        <f>vlookup(B2284,Filmes_final!$B$2:$U$1001,13,FALSE)</f>
        <v>Meghna Gulzar</v>
      </c>
    </row>
    <row r="2285">
      <c r="A2285" s="5">
        <v>571.0</v>
      </c>
      <c r="B2285" s="5" t="s">
        <v>3519</v>
      </c>
      <c r="C2285" s="5" t="s">
        <v>3523</v>
      </c>
      <c r="D2285" s="5" t="s">
        <v>6637</v>
      </c>
      <c r="E2285" s="8">
        <f>vlookup(B2285,Filmes_final!$B$2:$U$1001,20,FALSE)</f>
        <v>1886658</v>
      </c>
      <c r="F2285" s="5">
        <f>vlookup(B2285,Filmes_final!$B$2:$U$1001,3,FALSE)</f>
        <v>2018</v>
      </c>
      <c r="G2285" s="5" t="str">
        <f>vlookup(B2285,Filmes_final!$B$2:$U$1001,13,FALSE)</f>
        <v>Meghna Gulzar</v>
      </c>
    </row>
    <row r="2286">
      <c r="A2286" s="5">
        <v>572.0</v>
      </c>
      <c r="B2286" s="5" t="s">
        <v>3524</v>
      </c>
      <c r="C2286" s="5" t="s">
        <v>3002</v>
      </c>
      <c r="D2286" s="5" t="s">
        <v>6634</v>
      </c>
      <c r="E2286" s="8">
        <f>vlookup(B2286,Filmes_final!$B$2:$U$1001,20,FALSE)</f>
        <v>529364</v>
      </c>
      <c r="F2286" s="5">
        <f>vlookup(B2286,Filmes_final!$B$2:$U$1001,3,FALSE)</f>
        <v>2019</v>
      </c>
      <c r="G2286" s="5" t="str">
        <f>vlookup(B2286,Filmes_final!$B$2:$U$1001,13,FALSE)</f>
        <v>Darius Marder</v>
      </c>
    </row>
    <row r="2287">
      <c r="A2287" s="5">
        <v>572.0</v>
      </c>
      <c r="B2287" s="5" t="s">
        <v>3524</v>
      </c>
      <c r="C2287" s="5" t="s">
        <v>3528</v>
      </c>
      <c r="D2287" s="5" t="s">
        <v>6635</v>
      </c>
      <c r="E2287" s="8">
        <f>vlookup(B2287,Filmes_final!$B$2:$U$1001,20,FALSE)</f>
        <v>529364</v>
      </c>
      <c r="F2287" s="5">
        <f>vlookup(B2287,Filmes_final!$B$2:$U$1001,3,FALSE)</f>
        <v>2019</v>
      </c>
      <c r="G2287" s="5" t="str">
        <f>vlookup(B2287,Filmes_final!$B$2:$U$1001,13,FALSE)</f>
        <v>Darius Marder</v>
      </c>
    </row>
    <row r="2288">
      <c r="A2288" s="5">
        <v>572.0</v>
      </c>
      <c r="B2288" s="5" t="s">
        <v>3524</v>
      </c>
      <c r="C2288" s="5" t="s">
        <v>3529</v>
      </c>
      <c r="D2288" s="5" t="s">
        <v>6636</v>
      </c>
      <c r="E2288" s="8">
        <f>vlookup(B2288,Filmes_final!$B$2:$U$1001,20,FALSE)</f>
        <v>529364</v>
      </c>
      <c r="F2288" s="5">
        <f>vlookup(B2288,Filmes_final!$B$2:$U$1001,3,FALSE)</f>
        <v>2019</v>
      </c>
      <c r="G2288" s="5" t="str">
        <f>vlookup(B2288,Filmes_final!$B$2:$U$1001,13,FALSE)</f>
        <v>Darius Marder</v>
      </c>
    </row>
    <row r="2289">
      <c r="A2289" s="5">
        <v>572.0</v>
      </c>
      <c r="B2289" s="5" t="s">
        <v>3524</v>
      </c>
      <c r="C2289" s="5" t="s">
        <v>3530</v>
      </c>
      <c r="D2289" s="5" t="s">
        <v>6637</v>
      </c>
      <c r="E2289" s="8">
        <f>vlookup(B2289,Filmes_final!$B$2:$U$1001,20,FALSE)</f>
        <v>529364</v>
      </c>
      <c r="F2289" s="5">
        <f>vlookup(B2289,Filmes_final!$B$2:$U$1001,3,FALSE)</f>
        <v>2019</v>
      </c>
      <c r="G2289" s="5" t="str">
        <f>vlookup(B2289,Filmes_final!$B$2:$U$1001,13,FALSE)</f>
        <v>Darius Marder</v>
      </c>
    </row>
    <row r="2290">
      <c r="A2290" s="5">
        <v>573.0</v>
      </c>
      <c r="B2290" s="5" t="s">
        <v>3531</v>
      </c>
      <c r="C2290" s="5" t="s">
        <v>684</v>
      </c>
      <c r="D2290" s="5" t="s">
        <v>6634</v>
      </c>
      <c r="E2290" s="8">
        <f>vlookup(B2290,Filmes_final!$B$2:$U$1001,20,FALSE)</f>
        <v>2615541</v>
      </c>
      <c r="F2290" s="5">
        <f>vlookup(B2290,Filmes_final!$B$2:$U$1001,3,FALSE)</f>
        <v>2016</v>
      </c>
      <c r="G2290" s="5" t="str">
        <f>vlookup(B2290,Filmes_final!$B$2:$U$1001,13,FALSE)</f>
        <v>Asghar Farhadi</v>
      </c>
    </row>
    <row r="2291">
      <c r="A2291" s="5">
        <v>573.0</v>
      </c>
      <c r="B2291" s="5" t="s">
        <v>3531</v>
      </c>
      <c r="C2291" s="5" t="s">
        <v>2299</v>
      </c>
      <c r="D2291" s="5" t="s">
        <v>6635</v>
      </c>
      <c r="E2291" s="8">
        <f>vlookup(B2291,Filmes_final!$B$2:$U$1001,20,FALSE)</f>
        <v>2615541</v>
      </c>
      <c r="F2291" s="5">
        <f>vlookup(B2291,Filmes_final!$B$2:$U$1001,3,FALSE)</f>
        <v>2016</v>
      </c>
      <c r="G2291" s="5" t="str">
        <f>vlookup(B2291,Filmes_final!$B$2:$U$1001,13,FALSE)</f>
        <v>Asghar Farhadi</v>
      </c>
    </row>
    <row r="2292">
      <c r="A2292" s="5">
        <v>573.0</v>
      </c>
      <c r="B2292" s="5" t="s">
        <v>3531</v>
      </c>
      <c r="C2292" s="5" t="s">
        <v>3533</v>
      </c>
      <c r="D2292" s="5" t="s">
        <v>6636</v>
      </c>
      <c r="E2292" s="8">
        <f>vlookup(B2292,Filmes_final!$B$2:$U$1001,20,FALSE)</f>
        <v>2615541</v>
      </c>
      <c r="F2292" s="5">
        <f>vlookup(B2292,Filmes_final!$B$2:$U$1001,3,FALSE)</f>
        <v>2016</v>
      </c>
      <c r="G2292" s="5" t="str">
        <f>vlookup(B2292,Filmes_final!$B$2:$U$1001,13,FALSE)</f>
        <v>Asghar Farhadi</v>
      </c>
    </row>
    <row r="2293">
      <c r="A2293" s="5">
        <v>573.0</v>
      </c>
      <c r="B2293" s="5" t="s">
        <v>3531</v>
      </c>
      <c r="C2293" s="5" t="s">
        <v>3534</v>
      </c>
      <c r="D2293" s="5" t="s">
        <v>6637</v>
      </c>
      <c r="E2293" s="8">
        <f>vlookup(B2293,Filmes_final!$B$2:$U$1001,20,FALSE)</f>
        <v>2615541</v>
      </c>
      <c r="F2293" s="5">
        <f>vlookup(B2293,Filmes_final!$B$2:$U$1001,3,FALSE)</f>
        <v>2016</v>
      </c>
      <c r="G2293" s="5" t="str">
        <f>vlookup(B2293,Filmes_final!$B$2:$U$1001,13,FALSE)</f>
        <v>Asghar Farhadi</v>
      </c>
    </row>
    <row r="2294">
      <c r="A2294" s="5">
        <v>574.0</v>
      </c>
      <c r="B2294" s="5" t="s">
        <v>3535</v>
      </c>
      <c r="C2294" s="5" t="s">
        <v>3538</v>
      </c>
      <c r="D2294" s="5" t="s">
        <v>6634</v>
      </c>
      <c r="E2294" s="8">
        <f>vlookup(B2294,Filmes_final!$B$2:$U$1001,20,FALSE)</f>
        <v>200111237</v>
      </c>
      <c r="F2294" s="5">
        <f>vlookup(B2294,Filmes_final!$B$2:$U$1001,3,FALSE)</f>
        <v>2017</v>
      </c>
      <c r="G2294" s="5" t="str">
        <f>vlookup(B2294,Filmes_final!$B$2:$U$1001,13,FALSE)</f>
        <v>Christopher Nolan</v>
      </c>
    </row>
    <row r="2295">
      <c r="A2295" s="5">
        <v>574.0</v>
      </c>
      <c r="B2295" s="5" t="s">
        <v>3535</v>
      </c>
      <c r="C2295" s="5" t="s">
        <v>3539</v>
      </c>
      <c r="D2295" s="5" t="s">
        <v>6635</v>
      </c>
      <c r="E2295" s="8">
        <f>vlookup(B2295,Filmes_final!$B$2:$U$1001,20,FALSE)</f>
        <v>200111237</v>
      </c>
      <c r="F2295" s="5">
        <f>vlookup(B2295,Filmes_final!$B$2:$U$1001,3,FALSE)</f>
        <v>2017</v>
      </c>
      <c r="G2295" s="5" t="str">
        <f>vlookup(B2295,Filmes_final!$B$2:$U$1001,13,FALSE)</f>
        <v>Christopher Nolan</v>
      </c>
    </row>
    <row r="2296">
      <c r="A2296" s="5">
        <v>574.0</v>
      </c>
      <c r="B2296" s="5" t="s">
        <v>3535</v>
      </c>
      <c r="C2296" s="5" t="s">
        <v>3540</v>
      </c>
      <c r="D2296" s="5" t="s">
        <v>6636</v>
      </c>
      <c r="E2296" s="8">
        <f>vlookup(B2296,Filmes_final!$B$2:$U$1001,20,FALSE)</f>
        <v>200111237</v>
      </c>
      <c r="F2296" s="5">
        <f>vlookup(B2296,Filmes_final!$B$2:$U$1001,3,FALSE)</f>
        <v>2017</v>
      </c>
      <c r="G2296" s="5" t="str">
        <f>vlookup(B2296,Filmes_final!$B$2:$U$1001,13,FALSE)</f>
        <v>Christopher Nolan</v>
      </c>
    </row>
    <row r="2297">
      <c r="A2297" s="5">
        <v>574.0</v>
      </c>
      <c r="B2297" s="5" t="s">
        <v>3535</v>
      </c>
      <c r="C2297" s="5" t="s">
        <v>504</v>
      </c>
      <c r="D2297" s="5" t="s">
        <v>6637</v>
      </c>
      <c r="E2297" s="8">
        <f>vlookup(B2297,Filmes_final!$B$2:$U$1001,20,FALSE)</f>
        <v>200111237</v>
      </c>
      <c r="F2297" s="5">
        <f>vlookup(B2297,Filmes_final!$B$2:$U$1001,3,FALSE)</f>
        <v>2017</v>
      </c>
      <c r="G2297" s="5" t="str">
        <f>vlookup(B2297,Filmes_final!$B$2:$U$1001,13,FALSE)</f>
        <v>Christopher Nolan</v>
      </c>
    </row>
    <row r="2298">
      <c r="A2298" s="5">
        <v>575.0</v>
      </c>
      <c r="B2298" s="5" t="s">
        <v>3541</v>
      </c>
      <c r="C2298" s="5" t="s">
        <v>3545</v>
      </c>
      <c r="D2298" s="5" t="s">
        <v>6634</v>
      </c>
      <c r="E2298" s="8">
        <f>vlookup(B2298,Filmes_final!$B$2:$U$1001,20,FALSE)</f>
        <v>34452565</v>
      </c>
      <c r="F2298" s="5">
        <f>vlookup(B2298,Filmes_final!$B$2:$U$1001,3,FALSE)</f>
        <v>2016</v>
      </c>
      <c r="G2298" s="5" t="str">
        <f>vlookup(B2298,Filmes_final!$B$2:$U$1001,13,FALSE)</f>
        <v>Paolo Genovese</v>
      </c>
    </row>
    <row r="2299">
      <c r="A2299" s="5">
        <v>575.0</v>
      </c>
      <c r="B2299" s="5" t="s">
        <v>3541</v>
      </c>
      <c r="C2299" s="5" t="s">
        <v>3546</v>
      </c>
      <c r="D2299" s="5" t="s">
        <v>6635</v>
      </c>
      <c r="E2299" s="8">
        <f>vlookup(B2299,Filmes_final!$B$2:$U$1001,20,FALSE)</f>
        <v>34452565</v>
      </c>
      <c r="F2299" s="5">
        <f>vlookup(B2299,Filmes_final!$B$2:$U$1001,3,FALSE)</f>
        <v>2016</v>
      </c>
      <c r="G2299" s="5" t="str">
        <f>vlookup(B2299,Filmes_final!$B$2:$U$1001,13,FALSE)</f>
        <v>Paolo Genovese</v>
      </c>
    </row>
    <row r="2300">
      <c r="A2300" s="5">
        <v>575.0</v>
      </c>
      <c r="B2300" s="5" t="s">
        <v>3541</v>
      </c>
      <c r="C2300" s="5" t="s">
        <v>3547</v>
      </c>
      <c r="D2300" s="5" t="s">
        <v>6636</v>
      </c>
      <c r="E2300" s="8">
        <f>vlookup(B2300,Filmes_final!$B$2:$U$1001,20,FALSE)</f>
        <v>34452565</v>
      </c>
      <c r="F2300" s="5">
        <f>vlookup(B2300,Filmes_final!$B$2:$U$1001,3,FALSE)</f>
        <v>2016</v>
      </c>
      <c r="G2300" s="5" t="str">
        <f>vlookup(B2300,Filmes_final!$B$2:$U$1001,13,FALSE)</f>
        <v>Paolo Genovese</v>
      </c>
    </row>
    <row r="2301">
      <c r="A2301" s="5">
        <v>575.0</v>
      </c>
      <c r="B2301" s="5" t="s">
        <v>3541</v>
      </c>
      <c r="C2301" s="5" t="s">
        <v>3548</v>
      </c>
      <c r="D2301" s="5" t="s">
        <v>6637</v>
      </c>
      <c r="E2301" s="8">
        <f>vlookup(B2301,Filmes_final!$B$2:$U$1001,20,FALSE)</f>
        <v>34452565</v>
      </c>
      <c r="F2301" s="5">
        <f>vlookup(B2301,Filmes_final!$B$2:$U$1001,3,FALSE)</f>
        <v>2016</v>
      </c>
      <c r="G2301" s="5" t="str">
        <f>vlookup(B2301,Filmes_final!$B$2:$U$1001,13,FALSE)</f>
        <v>Paolo Genovese</v>
      </c>
    </row>
    <row r="2302">
      <c r="A2302" s="5">
        <v>576.0</v>
      </c>
      <c r="B2302" s="5" t="s">
        <v>3549</v>
      </c>
      <c r="C2302" s="5" t="s">
        <v>3552</v>
      </c>
      <c r="D2302" s="5" t="s">
        <v>6634</v>
      </c>
      <c r="E2302" s="8">
        <f>vlookup(B2302,Filmes_final!$B$2:$U$1001,20,FALSE)</f>
        <v>184680483</v>
      </c>
      <c r="F2302" s="5">
        <f>vlookup(B2302,Filmes_final!$B$2:$U$1001,3,FALSE)</f>
        <v>2016</v>
      </c>
      <c r="G2302" s="5" t="str">
        <f>vlookup(B2302,Filmes_final!$B$2:$U$1001,13,FALSE)</f>
        <v>Theodore Melfi</v>
      </c>
    </row>
    <row r="2303">
      <c r="A2303" s="5">
        <v>576.0</v>
      </c>
      <c r="B2303" s="5" t="s">
        <v>3549</v>
      </c>
      <c r="C2303" s="5" t="s">
        <v>2286</v>
      </c>
      <c r="D2303" s="5" t="s">
        <v>6635</v>
      </c>
      <c r="E2303" s="8">
        <f>vlookup(B2303,Filmes_final!$B$2:$U$1001,20,FALSE)</f>
        <v>184680483</v>
      </c>
      <c r="F2303" s="5">
        <f>vlookup(B2303,Filmes_final!$B$2:$U$1001,3,FALSE)</f>
        <v>2016</v>
      </c>
      <c r="G2303" s="5" t="str">
        <f>vlookup(B2303,Filmes_final!$B$2:$U$1001,13,FALSE)</f>
        <v>Theodore Melfi</v>
      </c>
    </row>
    <row r="2304">
      <c r="A2304" s="5">
        <v>576.0</v>
      </c>
      <c r="B2304" s="5" t="s">
        <v>3549</v>
      </c>
      <c r="C2304" s="5" t="s">
        <v>3553</v>
      </c>
      <c r="D2304" s="5" t="s">
        <v>6636</v>
      </c>
      <c r="E2304" s="8">
        <f>vlookup(B2304,Filmes_final!$B$2:$U$1001,20,FALSE)</f>
        <v>184680483</v>
      </c>
      <c r="F2304" s="5">
        <f>vlookup(B2304,Filmes_final!$B$2:$U$1001,3,FALSE)</f>
        <v>2016</v>
      </c>
      <c r="G2304" s="5" t="str">
        <f>vlookup(B2304,Filmes_final!$B$2:$U$1001,13,FALSE)</f>
        <v>Theodore Melfi</v>
      </c>
    </row>
    <row r="2305">
      <c r="A2305" s="5">
        <v>576.0</v>
      </c>
      <c r="B2305" s="5" t="s">
        <v>3549</v>
      </c>
      <c r="C2305" s="5" t="s">
        <v>2595</v>
      </c>
      <c r="D2305" s="5" t="s">
        <v>6637</v>
      </c>
      <c r="E2305" s="8">
        <f>vlookup(B2305,Filmes_final!$B$2:$U$1001,20,FALSE)</f>
        <v>184680483</v>
      </c>
      <c r="F2305" s="5">
        <f>vlookup(B2305,Filmes_final!$B$2:$U$1001,3,FALSE)</f>
        <v>2016</v>
      </c>
      <c r="G2305" s="5" t="str">
        <f>vlookup(B2305,Filmes_final!$B$2:$U$1001,13,FALSE)</f>
        <v>Theodore Melfi</v>
      </c>
    </row>
    <row r="2306">
      <c r="A2306" s="5">
        <v>577.0</v>
      </c>
      <c r="B2306" s="5" t="s">
        <v>3554</v>
      </c>
      <c r="C2306" s="5" t="s">
        <v>3558</v>
      </c>
      <c r="D2306" s="5" t="s">
        <v>6634</v>
      </c>
      <c r="E2306" s="8">
        <f>vlookup(B2306,Filmes_final!$B$2:$U$1001,20,FALSE)</f>
        <v>42962113</v>
      </c>
      <c r="F2306" s="5">
        <f>vlookup(B2306,Filmes_final!$B$2:$U$1001,3,FALSE)</f>
        <v>2017</v>
      </c>
      <c r="G2306" s="5" t="str">
        <f>vlookup(B2306,Filmes_final!$B$2:$U$1001,13,FALSE)</f>
        <v>Paul King</v>
      </c>
    </row>
    <row r="2307">
      <c r="A2307" s="5">
        <v>577.0</v>
      </c>
      <c r="B2307" s="5" t="s">
        <v>3554</v>
      </c>
      <c r="C2307" s="5" t="s">
        <v>3559</v>
      </c>
      <c r="D2307" s="5" t="s">
        <v>6635</v>
      </c>
      <c r="E2307" s="8">
        <f>vlookup(B2307,Filmes_final!$B$2:$U$1001,20,FALSE)</f>
        <v>42962113</v>
      </c>
      <c r="F2307" s="5">
        <f>vlookup(B2307,Filmes_final!$B$2:$U$1001,3,FALSE)</f>
        <v>2017</v>
      </c>
      <c r="G2307" s="5" t="str">
        <f>vlookup(B2307,Filmes_final!$B$2:$U$1001,13,FALSE)</f>
        <v>Paul King</v>
      </c>
    </row>
    <row r="2308">
      <c r="A2308" s="5">
        <v>577.0</v>
      </c>
      <c r="B2308" s="5" t="s">
        <v>3554</v>
      </c>
      <c r="C2308" s="5" t="s">
        <v>3560</v>
      </c>
      <c r="D2308" s="5" t="s">
        <v>6636</v>
      </c>
      <c r="E2308" s="8">
        <f>vlookup(B2308,Filmes_final!$B$2:$U$1001,20,FALSE)</f>
        <v>42962113</v>
      </c>
      <c r="F2308" s="5">
        <f>vlookup(B2308,Filmes_final!$B$2:$U$1001,3,FALSE)</f>
        <v>2017</v>
      </c>
      <c r="G2308" s="5" t="str">
        <f>vlookup(B2308,Filmes_final!$B$2:$U$1001,13,FALSE)</f>
        <v>Paul King</v>
      </c>
    </row>
    <row r="2309">
      <c r="A2309" s="5">
        <v>577.0</v>
      </c>
      <c r="B2309" s="5" t="s">
        <v>3554</v>
      </c>
      <c r="C2309" s="5" t="s">
        <v>3561</v>
      </c>
      <c r="D2309" s="5" t="s">
        <v>6637</v>
      </c>
      <c r="E2309" s="8">
        <f>vlookup(B2309,Filmes_final!$B$2:$U$1001,20,FALSE)</f>
        <v>42962113</v>
      </c>
      <c r="F2309" s="5">
        <f>vlookup(B2309,Filmes_final!$B$2:$U$1001,3,FALSE)</f>
        <v>2017</v>
      </c>
      <c r="G2309" s="5" t="str">
        <f>vlookup(B2309,Filmes_final!$B$2:$U$1001,13,FALSE)</f>
        <v>Paul King</v>
      </c>
    </row>
    <row r="2310">
      <c r="A2310" s="5">
        <v>578.0</v>
      </c>
      <c r="B2310" s="5" t="s">
        <v>3562</v>
      </c>
      <c r="C2310" s="5" t="s">
        <v>1416</v>
      </c>
      <c r="D2310" s="5" t="s">
        <v>6634</v>
      </c>
      <c r="E2310" s="8">
        <f>vlookup(B2310,Filmes_final!$B$2:$U$1001,20,FALSE)</f>
        <v>391875</v>
      </c>
      <c r="F2310" s="5">
        <f>vlookup(B2310,Filmes_final!$B$2:$U$1001,3,FALSE)</f>
        <v>2016</v>
      </c>
      <c r="G2310" s="5" t="str">
        <f>vlookup(B2310,Filmes_final!$B$2:$U$1001,13,FALSE)</f>
        <v>Abhishek Chaubey</v>
      </c>
    </row>
    <row r="2311">
      <c r="A2311" s="5">
        <v>578.0</v>
      </c>
      <c r="B2311" s="5" t="s">
        <v>3562</v>
      </c>
      <c r="C2311" s="5" t="s">
        <v>3521</v>
      </c>
      <c r="D2311" s="5" t="s">
        <v>6635</v>
      </c>
      <c r="E2311" s="8">
        <f>vlookup(B2311,Filmes_final!$B$2:$U$1001,20,FALSE)</f>
        <v>391875</v>
      </c>
      <c r="F2311" s="5">
        <f>vlookup(B2311,Filmes_final!$B$2:$U$1001,3,FALSE)</f>
        <v>2016</v>
      </c>
      <c r="G2311" s="5" t="str">
        <f>vlookup(B2311,Filmes_final!$B$2:$U$1001,13,FALSE)</f>
        <v>Abhishek Chaubey</v>
      </c>
    </row>
    <row r="2312">
      <c r="A2312" s="5">
        <v>578.0</v>
      </c>
      <c r="B2312" s="5" t="s">
        <v>3562</v>
      </c>
      <c r="C2312" s="5" t="s">
        <v>2166</v>
      </c>
      <c r="D2312" s="5" t="s">
        <v>6636</v>
      </c>
      <c r="E2312" s="8">
        <f>vlookup(B2312,Filmes_final!$B$2:$U$1001,20,FALSE)</f>
        <v>391875</v>
      </c>
      <c r="F2312" s="5">
        <f>vlookup(B2312,Filmes_final!$B$2:$U$1001,3,FALSE)</f>
        <v>2016</v>
      </c>
      <c r="G2312" s="5" t="str">
        <f>vlookup(B2312,Filmes_final!$B$2:$U$1001,13,FALSE)</f>
        <v>Abhishek Chaubey</v>
      </c>
    </row>
    <row r="2313">
      <c r="A2313" s="5">
        <v>578.0</v>
      </c>
      <c r="B2313" s="5" t="s">
        <v>3562</v>
      </c>
      <c r="C2313" s="5" t="s">
        <v>3565</v>
      </c>
      <c r="D2313" s="5" t="s">
        <v>6637</v>
      </c>
      <c r="E2313" s="8">
        <f>vlookup(B2313,Filmes_final!$B$2:$U$1001,20,FALSE)</f>
        <v>391875</v>
      </c>
      <c r="F2313" s="5">
        <f>vlookup(B2313,Filmes_final!$B$2:$U$1001,3,FALSE)</f>
        <v>2016</v>
      </c>
      <c r="G2313" s="5" t="str">
        <f>vlookup(B2313,Filmes_final!$B$2:$U$1001,13,FALSE)</f>
        <v>Abhishek Chaubey</v>
      </c>
    </row>
    <row r="2314">
      <c r="A2314" s="5">
        <v>579.0</v>
      </c>
      <c r="B2314" s="5" t="s">
        <v>3566</v>
      </c>
      <c r="C2314" s="5" t="s">
        <v>1549</v>
      </c>
      <c r="D2314" s="5" t="s">
        <v>6634</v>
      </c>
      <c r="E2314" s="8">
        <f>vlookup(B2314,Filmes_final!$B$2:$U$1001,20,FALSE)</f>
        <v>52290956</v>
      </c>
      <c r="F2314" s="5">
        <f>vlookup(B2314,Filmes_final!$B$2:$U$1001,3,FALSE)</f>
        <v>2016</v>
      </c>
      <c r="G2314" s="5" t="str">
        <f>vlookup(B2314,Filmes_final!$B$2:$U$1001,13,FALSE)</f>
        <v>Travis Knight</v>
      </c>
    </row>
    <row r="2315">
      <c r="A2315" s="5">
        <v>579.0</v>
      </c>
      <c r="B2315" s="5" t="s">
        <v>3566</v>
      </c>
      <c r="C2315" s="5" t="s">
        <v>3569</v>
      </c>
      <c r="D2315" s="5" t="s">
        <v>6635</v>
      </c>
      <c r="E2315" s="8">
        <f>vlookup(B2315,Filmes_final!$B$2:$U$1001,20,FALSE)</f>
        <v>52290956</v>
      </c>
      <c r="F2315" s="5">
        <f>vlookup(B2315,Filmes_final!$B$2:$U$1001,3,FALSE)</f>
        <v>2016</v>
      </c>
      <c r="G2315" s="5" t="str">
        <f>vlookup(B2315,Filmes_final!$B$2:$U$1001,13,FALSE)</f>
        <v>Travis Knight</v>
      </c>
    </row>
    <row r="2316">
      <c r="A2316" s="5">
        <v>579.0</v>
      </c>
      <c r="B2316" s="5" t="s">
        <v>3566</v>
      </c>
      <c r="C2316" s="5" t="s">
        <v>190</v>
      </c>
      <c r="D2316" s="5" t="s">
        <v>6636</v>
      </c>
      <c r="E2316" s="8">
        <f>vlookup(B2316,Filmes_final!$B$2:$U$1001,20,FALSE)</f>
        <v>52290956</v>
      </c>
      <c r="F2316" s="5">
        <f>vlookup(B2316,Filmes_final!$B$2:$U$1001,3,FALSE)</f>
        <v>2016</v>
      </c>
      <c r="G2316" s="5" t="str">
        <f>vlookup(B2316,Filmes_final!$B$2:$U$1001,13,FALSE)</f>
        <v>Travis Knight</v>
      </c>
    </row>
    <row r="2317">
      <c r="A2317" s="5">
        <v>579.0</v>
      </c>
      <c r="B2317" s="5" t="s">
        <v>3566</v>
      </c>
      <c r="C2317" s="5" t="s">
        <v>83</v>
      </c>
      <c r="D2317" s="5" t="s">
        <v>6637</v>
      </c>
      <c r="E2317" s="8">
        <f>vlookup(B2317,Filmes_final!$B$2:$U$1001,20,FALSE)</f>
        <v>52290956</v>
      </c>
      <c r="F2317" s="5">
        <f>vlookup(B2317,Filmes_final!$B$2:$U$1001,3,FALSE)</f>
        <v>2016</v>
      </c>
      <c r="G2317" s="5" t="str">
        <f>vlookup(B2317,Filmes_final!$B$2:$U$1001,13,FALSE)</f>
        <v>Travis Knight</v>
      </c>
    </row>
    <row r="2318">
      <c r="A2318" s="5">
        <v>580.0</v>
      </c>
      <c r="B2318" s="5" t="s">
        <v>3570</v>
      </c>
      <c r="C2318" s="5" t="s">
        <v>942</v>
      </c>
      <c r="D2318" s="5" t="s">
        <v>6634</v>
      </c>
      <c r="E2318" s="8">
        <f>vlookup(B2318,Filmes_final!$B$2:$U$1001,20,FALSE)</f>
        <v>1941234</v>
      </c>
      <c r="F2318" s="5">
        <f>vlookup(B2318,Filmes_final!$B$2:$U$1001,3,FALSE)</f>
        <v>2016</v>
      </c>
      <c r="G2318" s="5" t="str">
        <f>vlookup(B2318,Filmes_final!$B$2:$U$1001,13,FALSE)</f>
        <v>Neeraj Pandey</v>
      </c>
    </row>
    <row r="2319">
      <c r="A2319" s="5">
        <v>580.0</v>
      </c>
      <c r="B2319" s="5" t="s">
        <v>3570</v>
      </c>
      <c r="C2319" s="5" t="s">
        <v>3573</v>
      </c>
      <c r="D2319" s="5" t="s">
        <v>6635</v>
      </c>
      <c r="E2319" s="8">
        <f>vlookup(B2319,Filmes_final!$B$2:$U$1001,20,FALSE)</f>
        <v>1941234</v>
      </c>
      <c r="F2319" s="5">
        <f>vlookup(B2319,Filmes_final!$B$2:$U$1001,3,FALSE)</f>
        <v>2016</v>
      </c>
      <c r="G2319" s="5" t="str">
        <f>vlookup(B2319,Filmes_final!$B$2:$U$1001,13,FALSE)</f>
        <v>Neeraj Pandey</v>
      </c>
    </row>
    <row r="2320">
      <c r="A2320" s="5">
        <v>580.0</v>
      </c>
      <c r="B2320" s="5" t="s">
        <v>3570</v>
      </c>
      <c r="C2320" s="5" t="s">
        <v>1555</v>
      </c>
      <c r="D2320" s="5" t="s">
        <v>6636</v>
      </c>
      <c r="E2320" s="8">
        <f>vlookup(B2320,Filmes_final!$B$2:$U$1001,20,FALSE)</f>
        <v>1941234</v>
      </c>
      <c r="F2320" s="5">
        <f>vlookup(B2320,Filmes_final!$B$2:$U$1001,3,FALSE)</f>
        <v>2016</v>
      </c>
      <c r="G2320" s="5" t="str">
        <f>vlookup(B2320,Filmes_final!$B$2:$U$1001,13,FALSE)</f>
        <v>Neeraj Pandey</v>
      </c>
    </row>
    <row r="2321">
      <c r="A2321" s="5">
        <v>580.0</v>
      </c>
      <c r="B2321" s="5" t="s">
        <v>3570</v>
      </c>
      <c r="C2321" s="5" t="s">
        <v>3574</v>
      </c>
      <c r="D2321" s="5" t="s">
        <v>6637</v>
      </c>
      <c r="E2321" s="8">
        <f>vlookup(B2321,Filmes_final!$B$2:$U$1001,20,FALSE)</f>
        <v>1941234</v>
      </c>
      <c r="F2321" s="5">
        <f>vlookup(B2321,Filmes_final!$B$2:$U$1001,3,FALSE)</f>
        <v>2016</v>
      </c>
      <c r="G2321" s="5" t="str">
        <f>vlookup(B2321,Filmes_final!$B$2:$U$1001,13,FALSE)</f>
        <v>Neeraj Pandey</v>
      </c>
    </row>
    <row r="2322">
      <c r="A2322" s="5">
        <v>581.0</v>
      </c>
      <c r="B2322" s="5" t="s">
        <v>3575</v>
      </c>
      <c r="C2322" s="5" t="s">
        <v>3578</v>
      </c>
      <c r="D2322" s="5" t="s">
        <v>6634</v>
      </c>
      <c r="E2322" s="8">
        <f>vlookup(B2322,Filmes_final!$B$2:$U$1001,20,FALSE)</f>
        <v>51933841</v>
      </c>
      <c r="F2322" s="5">
        <f>vlookup(B2322,Filmes_final!$B$2:$U$1001,3,FALSE)</f>
        <v>2016</v>
      </c>
      <c r="G2322" s="5" t="str">
        <f>vlookup(B2322,Filmes_final!$B$2:$U$1001,13,FALSE)</f>
        <v>Kenneth Lonergan</v>
      </c>
    </row>
    <row r="2323">
      <c r="A2323" s="5">
        <v>581.0</v>
      </c>
      <c r="B2323" s="5" t="s">
        <v>3575</v>
      </c>
      <c r="C2323" s="5" t="s">
        <v>3579</v>
      </c>
      <c r="D2323" s="5" t="s">
        <v>6635</v>
      </c>
      <c r="E2323" s="8">
        <f>vlookup(B2323,Filmes_final!$B$2:$U$1001,20,FALSE)</f>
        <v>51933841</v>
      </c>
      <c r="F2323" s="5">
        <f>vlookup(B2323,Filmes_final!$B$2:$U$1001,3,FALSE)</f>
        <v>2016</v>
      </c>
      <c r="G2323" s="5" t="str">
        <f>vlookup(B2323,Filmes_final!$B$2:$U$1001,13,FALSE)</f>
        <v>Kenneth Lonergan</v>
      </c>
    </row>
    <row r="2324">
      <c r="A2324" s="5">
        <v>581.0</v>
      </c>
      <c r="B2324" s="5" t="s">
        <v>3575</v>
      </c>
      <c r="C2324" s="5" t="s">
        <v>3580</v>
      </c>
      <c r="D2324" s="5" t="s">
        <v>6636</v>
      </c>
      <c r="E2324" s="8">
        <f>vlookup(B2324,Filmes_final!$B$2:$U$1001,20,FALSE)</f>
        <v>51933841</v>
      </c>
      <c r="F2324" s="5">
        <f>vlookup(B2324,Filmes_final!$B$2:$U$1001,3,FALSE)</f>
        <v>2016</v>
      </c>
      <c r="G2324" s="5" t="str">
        <f>vlookup(B2324,Filmes_final!$B$2:$U$1001,13,FALSE)</f>
        <v>Kenneth Lonergan</v>
      </c>
    </row>
    <row r="2325">
      <c r="A2325" s="5">
        <v>581.0</v>
      </c>
      <c r="B2325" s="5" t="s">
        <v>3575</v>
      </c>
      <c r="C2325" s="5" t="s">
        <v>3581</v>
      </c>
      <c r="D2325" s="5" t="s">
        <v>6637</v>
      </c>
      <c r="E2325" s="8">
        <f>vlookup(B2325,Filmes_final!$B$2:$U$1001,20,FALSE)</f>
        <v>51933841</v>
      </c>
      <c r="F2325" s="5">
        <f>vlookup(B2325,Filmes_final!$B$2:$U$1001,3,FALSE)</f>
        <v>2016</v>
      </c>
      <c r="G2325" s="5" t="str">
        <f>vlookup(B2325,Filmes_final!$B$2:$U$1001,13,FALSE)</f>
        <v>Kenneth Lonergan</v>
      </c>
    </row>
    <row r="2326">
      <c r="A2326" s="5">
        <v>582.0</v>
      </c>
      <c r="B2326" s="5" t="s">
        <v>3582</v>
      </c>
      <c r="C2326" s="5" t="s">
        <v>3585</v>
      </c>
      <c r="D2326" s="5" t="s">
        <v>6634</v>
      </c>
      <c r="E2326" s="8">
        <f>vlookup(B2326,Filmes_final!$B$2:$U$1001,20,FALSE)</f>
        <v>480456</v>
      </c>
      <c r="F2326" s="5">
        <f>vlookup(B2326,Filmes_final!$B$2:$U$1001,3,FALSE)</f>
        <v>2015</v>
      </c>
      <c r="G2326" s="5" t="str">
        <f>vlookup(B2326,Filmes_final!$B$2:$U$1001,13,FALSE)</f>
        <v>Martin Zandvliet</v>
      </c>
    </row>
    <row r="2327">
      <c r="A2327" s="5">
        <v>582.0</v>
      </c>
      <c r="B2327" s="5" t="s">
        <v>3582</v>
      </c>
      <c r="C2327" s="5" t="s">
        <v>3586</v>
      </c>
      <c r="D2327" s="5" t="s">
        <v>6635</v>
      </c>
      <c r="E2327" s="8">
        <f>vlookup(B2327,Filmes_final!$B$2:$U$1001,20,FALSE)</f>
        <v>480456</v>
      </c>
      <c r="F2327" s="5">
        <f>vlookup(B2327,Filmes_final!$B$2:$U$1001,3,FALSE)</f>
        <v>2015</v>
      </c>
      <c r="G2327" s="5" t="str">
        <f>vlookup(B2327,Filmes_final!$B$2:$U$1001,13,FALSE)</f>
        <v>Martin Zandvliet</v>
      </c>
    </row>
    <row r="2328">
      <c r="A2328" s="5">
        <v>582.0</v>
      </c>
      <c r="B2328" s="5" t="s">
        <v>3582</v>
      </c>
      <c r="C2328" s="5" t="s">
        <v>3587</v>
      </c>
      <c r="D2328" s="5" t="s">
        <v>6636</v>
      </c>
      <c r="E2328" s="8">
        <f>vlookup(B2328,Filmes_final!$B$2:$U$1001,20,FALSE)</f>
        <v>480456</v>
      </c>
      <c r="F2328" s="5">
        <f>vlookup(B2328,Filmes_final!$B$2:$U$1001,3,FALSE)</f>
        <v>2015</v>
      </c>
      <c r="G2328" s="5" t="str">
        <f>vlookup(B2328,Filmes_final!$B$2:$U$1001,13,FALSE)</f>
        <v>Martin Zandvliet</v>
      </c>
    </row>
    <row r="2329">
      <c r="A2329" s="5">
        <v>582.0</v>
      </c>
      <c r="B2329" s="5" t="s">
        <v>3582</v>
      </c>
      <c r="C2329" s="5" t="s">
        <v>3588</v>
      </c>
      <c r="D2329" s="5" t="s">
        <v>6637</v>
      </c>
      <c r="E2329" s="8">
        <f>vlookup(B2329,Filmes_final!$B$2:$U$1001,20,FALSE)</f>
        <v>480456</v>
      </c>
      <c r="F2329" s="5">
        <f>vlookup(B2329,Filmes_final!$B$2:$U$1001,3,FALSE)</f>
        <v>2015</v>
      </c>
      <c r="G2329" s="5" t="str">
        <f>vlookup(B2329,Filmes_final!$B$2:$U$1001,13,FALSE)</f>
        <v>Martin Zandvliet</v>
      </c>
    </row>
    <row r="2330">
      <c r="A2330" s="5">
        <v>583.0</v>
      </c>
      <c r="B2330" s="5" t="s">
        <v>3589</v>
      </c>
      <c r="C2330" s="5" t="s">
        <v>3592</v>
      </c>
      <c r="D2330" s="5" t="s">
        <v>6634</v>
      </c>
      <c r="E2330" s="8">
        <f>vlookup(B2330,Filmes_final!$B$2:$U$1001,20,FALSE)</f>
        <v>579472540</v>
      </c>
      <c r="F2330" s="5">
        <f>vlookup(B2330,Filmes_final!$B$2:$U$1001,3,FALSE)</f>
        <v>2016</v>
      </c>
      <c r="G2330" s="5" t="str">
        <f>vlookup(B2330,Filmes_final!$B$2:$U$1001,13,FALSE)</f>
        <v>Gareth Edwards</v>
      </c>
    </row>
    <row r="2331">
      <c r="A2331" s="5">
        <v>583.0</v>
      </c>
      <c r="B2331" s="5" t="s">
        <v>3589</v>
      </c>
      <c r="C2331" s="5" t="s">
        <v>3593</v>
      </c>
      <c r="D2331" s="5" t="s">
        <v>6635</v>
      </c>
      <c r="E2331" s="8">
        <f>vlookup(B2331,Filmes_final!$B$2:$U$1001,20,FALSE)</f>
        <v>579472540</v>
      </c>
      <c r="F2331" s="5">
        <f>vlookup(B2331,Filmes_final!$B$2:$U$1001,3,FALSE)</f>
        <v>2016</v>
      </c>
      <c r="G2331" s="5" t="str">
        <f>vlookup(B2331,Filmes_final!$B$2:$U$1001,13,FALSE)</f>
        <v>Gareth Edwards</v>
      </c>
    </row>
    <row r="2332">
      <c r="A2332" s="5">
        <v>583.0</v>
      </c>
      <c r="B2332" s="5" t="s">
        <v>3589</v>
      </c>
      <c r="C2332" s="5" t="s">
        <v>3594</v>
      </c>
      <c r="D2332" s="5" t="s">
        <v>6636</v>
      </c>
      <c r="E2332" s="8">
        <f>vlookup(B2332,Filmes_final!$B$2:$U$1001,20,FALSE)</f>
        <v>579472540</v>
      </c>
      <c r="F2332" s="5">
        <f>vlookup(B2332,Filmes_final!$B$2:$U$1001,3,FALSE)</f>
        <v>2016</v>
      </c>
      <c r="G2332" s="5" t="str">
        <f>vlookup(B2332,Filmes_final!$B$2:$U$1001,13,FALSE)</f>
        <v>Gareth Edwards</v>
      </c>
    </row>
    <row r="2333">
      <c r="A2333" s="5">
        <v>583.0</v>
      </c>
      <c r="B2333" s="5" t="s">
        <v>3589</v>
      </c>
      <c r="C2333" s="5" t="s">
        <v>2309</v>
      </c>
      <c r="D2333" s="5" t="s">
        <v>6637</v>
      </c>
      <c r="E2333" s="8">
        <f>vlookup(B2333,Filmes_final!$B$2:$U$1001,20,FALSE)</f>
        <v>579472540</v>
      </c>
      <c r="F2333" s="5">
        <f>vlookup(B2333,Filmes_final!$B$2:$U$1001,3,FALSE)</f>
        <v>2016</v>
      </c>
      <c r="G2333" s="5" t="str">
        <f>vlookup(B2333,Filmes_final!$B$2:$U$1001,13,FALSE)</f>
        <v>Gareth Edwards</v>
      </c>
    </row>
    <row r="2334">
      <c r="A2334" s="5">
        <v>584.0</v>
      </c>
      <c r="B2334" s="5" t="s">
        <v>3595</v>
      </c>
      <c r="C2334" s="5" t="s">
        <v>478</v>
      </c>
      <c r="D2334" s="5" t="s">
        <v>6634</v>
      </c>
      <c r="E2334" s="8">
        <f>vlookup(B2334,Filmes_final!$B$2:$U$1001,20,FALSE)</f>
        <v>444351278</v>
      </c>
      <c r="F2334" s="5">
        <f>vlookup(B2334,Filmes_final!$B$2:$U$1001,3,FALSE)</f>
        <v>2016</v>
      </c>
      <c r="G2334" s="5" t="str">
        <f>vlookup(B2334,Filmes_final!$B$2:$U$1001,13,FALSE)</f>
        <v>Anthony Russo</v>
      </c>
    </row>
    <row r="2335">
      <c r="A2335" s="5">
        <v>584.0</v>
      </c>
      <c r="B2335" s="5" t="s">
        <v>3595</v>
      </c>
      <c r="C2335" s="5" t="s">
        <v>480</v>
      </c>
      <c r="D2335" s="5" t="s">
        <v>6635</v>
      </c>
      <c r="E2335" s="8">
        <f>vlookup(B2335,Filmes_final!$B$2:$U$1001,20,FALSE)</f>
        <v>444351278</v>
      </c>
      <c r="F2335" s="5">
        <f>vlookup(B2335,Filmes_final!$B$2:$U$1001,3,FALSE)</f>
        <v>2016</v>
      </c>
      <c r="G2335" s="5" t="str">
        <f>vlookup(B2335,Filmes_final!$B$2:$U$1001,13,FALSE)</f>
        <v>Anthony Russo</v>
      </c>
    </row>
    <row r="2336">
      <c r="A2336" s="5">
        <v>584.0</v>
      </c>
      <c r="B2336" s="5" t="s">
        <v>3595</v>
      </c>
      <c r="C2336" s="5" t="s">
        <v>479</v>
      </c>
      <c r="D2336" s="5" t="s">
        <v>6636</v>
      </c>
      <c r="E2336" s="8">
        <f>vlookup(B2336,Filmes_final!$B$2:$U$1001,20,FALSE)</f>
        <v>444351278</v>
      </c>
      <c r="F2336" s="5">
        <f>vlookup(B2336,Filmes_final!$B$2:$U$1001,3,FALSE)</f>
        <v>2016</v>
      </c>
      <c r="G2336" s="5" t="str">
        <f>vlookup(B2336,Filmes_final!$B$2:$U$1001,13,FALSE)</f>
        <v>Anthony Russo</v>
      </c>
    </row>
    <row r="2337">
      <c r="A2337" s="5">
        <v>584.0</v>
      </c>
      <c r="B2337" s="5" t="s">
        <v>3595</v>
      </c>
      <c r="C2337" s="5" t="s">
        <v>307</v>
      </c>
      <c r="D2337" s="5" t="s">
        <v>6637</v>
      </c>
      <c r="E2337" s="8">
        <f>vlookup(B2337,Filmes_final!$B$2:$U$1001,20,FALSE)</f>
        <v>444351278</v>
      </c>
      <c r="F2337" s="5">
        <f>vlookup(B2337,Filmes_final!$B$2:$U$1001,3,FALSE)</f>
        <v>2016</v>
      </c>
      <c r="G2337" s="5" t="str">
        <f>vlookup(B2337,Filmes_final!$B$2:$U$1001,13,FALSE)</f>
        <v>Anthony Russo</v>
      </c>
    </row>
    <row r="2338">
      <c r="A2338" s="5">
        <v>585.0</v>
      </c>
      <c r="B2338" s="5" t="s">
        <v>3597</v>
      </c>
      <c r="C2338" s="5" t="s">
        <v>75</v>
      </c>
      <c r="D2338" s="5" t="s">
        <v>6634</v>
      </c>
      <c r="E2338" s="8">
        <f>vlookup(B2338,Filmes_final!$B$2:$U$1001,20,FALSE)</f>
        <v>59736011</v>
      </c>
      <c r="F2338" s="5">
        <f>vlookup(B2338,Filmes_final!$B$2:$U$1001,3,FALSE)</f>
        <v>2015</v>
      </c>
      <c r="G2338" s="5" t="str">
        <f>vlookup(B2338,Filmes_final!$B$2:$U$1001,13,FALSE)</f>
        <v>Quentin Tarantino</v>
      </c>
    </row>
    <row r="2339">
      <c r="A2339" s="5">
        <v>585.0</v>
      </c>
      <c r="B2339" s="5" t="s">
        <v>3597</v>
      </c>
      <c r="C2339" s="5" t="s">
        <v>1846</v>
      </c>
      <c r="D2339" s="5" t="s">
        <v>6635</v>
      </c>
      <c r="E2339" s="8">
        <f>vlookup(B2339,Filmes_final!$B$2:$U$1001,20,FALSE)</f>
        <v>59736011</v>
      </c>
      <c r="F2339" s="5">
        <f>vlookup(B2339,Filmes_final!$B$2:$U$1001,3,FALSE)</f>
        <v>2015</v>
      </c>
      <c r="G2339" s="5" t="str">
        <f>vlookup(B2339,Filmes_final!$B$2:$U$1001,13,FALSE)</f>
        <v>Quentin Tarantino</v>
      </c>
    </row>
    <row r="2340">
      <c r="A2340" s="5">
        <v>585.0</v>
      </c>
      <c r="B2340" s="5" t="s">
        <v>3597</v>
      </c>
      <c r="C2340" s="5" t="s">
        <v>3600</v>
      </c>
      <c r="D2340" s="5" t="s">
        <v>6636</v>
      </c>
      <c r="E2340" s="8">
        <f>vlookup(B2340,Filmes_final!$B$2:$U$1001,20,FALSE)</f>
        <v>59736011</v>
      </c>
      <c r="F2340" s="5">
        <f>vlookup(B2340,Filmes_final!$B$2:$U$1001,3,FALSE)</f>
        <v>2015</v>
      </c>
      <c r="G2340" s="5" t="str">
        <f>vlookup(B2340,Filmes_final!$B$2:$U$1001,13,FALSE)</f>
        <v>Quentin Tarantino</v>
      </c>
    </row>
    <row r="2341">
      <c r="A2341" s="5">
        <v>585.0</v>
      </c>
      <c r="B2341" s="5" t="s">
        <v>3597</v>
      </c>
      <c r="C2341" s="5" t="s">
        <v>3601</v>
      </c>
      <c r="D2341" s="5" t="s">
        <v>6637</v>
      </c>
      <c r="E2341" s="8">
        <f>vlookup(B2341,Filmes_final!$B$2:$U$1001,20,FALSE)</f>
        <v>59736011</v>
      </c>
      <c r="F2341" s="5">
        <f>vlookup(B2341,Filmes_final!$B$2:$U$1001,3,FALSE)</f>
        <v>2015</v>
      </c>
      <c r="G2341" s="5" t="str">
        <f>vlookup(B2341,Filmes_final!$B$2:$U$1001,13,FALSE)</f>
        <v>Quentin Tarantino</v>
      </c>
    </row>
    <row r="2342">
      <c r="A2342" s="5">
        <v>586.0</v>
      </c>
      <c r="B2342" s="5" t="s">
        <v>3602</v>
      </c>
      <c r="C2342" s="5" t="s">
        <v>3605</v>
      </c>
      <c r="D2342" s="5" t="s">
        <v>6634</v>
      </c>
      <c r="E2342" s="8">
        <f>vlookup(B2342,Filmes_final!$B$2:$U$1001,20,FALSE)</f>
        <v>110789229</v>
      </c>
      <c r="F2342" s="5">
        <f>vlookup(B2342,Filmes_final!$B$2:$U$1001,3,FALSE)</f>
        <v>2019</v>
      </c>
      <c r="G2342" s="5" t="str">
        <f>vlookup(B2342,Filmes_final!$B$2:$U$1001,13,FALSE)</f>
        <v>Greta Gerwig</v>
      </c>
    </row>
    <row r="2343">
      <c r="A2343" s="5">
        <v>586.0</v>
      </c>
      <c r="B2343" s="5" t="s">
        <v>3602</v>
      </c>
      <c r="C2343" s="5" t="s">
        <v>1569</v>
      </c>
      <c r="D2343" s="5" t="s">
        <v>6635</v>
      </c>
      <c r="E2343" s="8">
        <f>vlookup(B2343,Filmes_final!$B$2:$U$1001,20,FALSE)</f>
        <v>110789229</v>
      </c>
      <c r="F2343" s="5">
        <f>vlookup(B2343,Filmes_final!$B$2:$U$1001,3,FALSE)</f>
        <v>2019</v>
      </c>
      <c r="G2343" s="5" t="str">
        <f>vlookup(B2343,Filmes_final!$B$2:$U$1001,13,FALSE)</f>
        <v>Greta Gerwig</v>
      </c>
    </row>
    <row r="2344">
      <c r="A2344" s="5">
        <v>586.0</v>
      </c>
      <c r="B2344" s="5" t="s">
        <v>3602</v>
      </c>
      <c r="C2344" s="5" t="s">
        <v>3606</v>
      </c>
      <c r="D2344" s="5" t="s">
        <v>6636</v>
      </c>
      <c r="E2344" s="8">
        <f>vlookup(B2344,Filmes_final!$B$2:$U$1001,20,FALSE)</f>
        <v>110789229</v>
      </c>
      <c r="F2344" s="5">
        <f>vlookup(B2344,Filmes_final!$B$2:$U$1001,3,FALSE)</f>
        <v>2019</v>
      </c>
      <c r="G2344" s="5" t="str">
        <f>vlookup(B2344,Filmes_final!$B$2:$U$1001,13,FALSE)</f>
        <v>Greta Gerwig</v>
      </c>
    </row>
    <row r="2345">
      <c r="A2345" s="5">
        <v>586.0</v>
      </c>
      <c r="B2345" s="5" t="s">
        <v>3602</v>
      </c>
      <c r="C2345" s="5" t="s">
        <v>3607</v>
      </c>
      <c r="D2345" s="5" t="s">
        <v>6637</v>
      </c>
      <c r="E2345" s="8">
        <f>vlookup(B2345,Filmes_final!$B$2:$U$1001,20,FALSE)</f>
        <v>110789229</v>
      </c>
      <c r="F2345" s="5">
        <f>vlookup(B2345,Filmes_final!$B$2:$U$1001,3,FALSE)</f>
        <v>2019</v>
      </c>
      <c r="G2345" s="5" t="str">
        <f>vlookup(B2345,Filmes_final!$B$2:$U$1001,13,FALSE)</f>
        <v>Greta Gerwig</v>
      </c>
    </row>
    <row r="2346">
      <c r="A2346" s="5">
        <v>587.0</v>
      </c>
      <c r="B2346" s="5" t="s">
        <v>3608</v>
      </c>
      <c r="C2346" s="5" t="s">
        <v>3612</v>
      </c>
      <c r="D2346" s="5" t="s">
        <v>6634</v>
      </c>
      <c r="E2346" s="8">
        <f>vlookup(B2346,Filmes_final!$B$2:$U$1001,20,FALSE)</f>
        <v>7154803</v>
      </c>
      <c r="F2346" s="5">
        <f>vlookup(B2346,Filmes_final!$B$2:$U$1001,3,FALSE)</f>
        <v>2017</v>
      </c>
      <c r="G2346" s="5" t="str">
        <f>vlookup(B2346,Filmes_final!$B$2:$U$1001,13,FALSE)</f>
        <v>Dorota Kobiela</v>
      </c>
    </row>
    <row r="2347">
      <c r="A2347" s="5">
        <v>587.0</v>
      </c>
      <c r="B2347" s="5" t="s">
        <v>3608</v>
      </c>
      <c r="C2347" s="5" t="s">
        <v>3613</v>
      </c>
      <c r="D2347" s="5" t="s">
        <v>6635</v>
      </c>
      <c r="E2347" s="8">
        <f>vlookup(B2347,Filmes_final!$B$2:$U$1001,20,FALSE)</f>
        <v>7154803</v>
      </c>
      <c r="F2347" s="5">
        <f>vlookup(B2347,Filmes_final!$B$2:$U$1001,3,FALSE)</f>
        <v>2017</v>
      </c>
      <c r="G2347" s="5" t="str">
        <f>vlookup(B2347,Filmes_final!$B$2:$U$1001,13,FALSE)</f>
        <v>Dorota Kobiela</v>
      </c>
    </row>
    <row r="2348">
      <c r="A2348" s="5">
        <v>587.0</v>
      </c>
      <c r="B2348" s="5" t="s">
        <v>3608</v>
      </c>
      <c r="C2348" s="5" t="s">
        <v>3614</v>
      </c>
      <c r="D2348" s="5" t="s">
        <v>6636</v>
      </c>
      <c r="E2348" s="8">
        <f>vlookup(B2348,Filmes_final!$B$2:$U$1001,20,FALSE)</f>
        <v>7154803</v>
      </c>
      <c r="F2348" s="5">
        <f>vlookup(B2348,Filmes_final!$B$2:$U$1001,3,FALSE)</f>
        <v>2017</v>
      </c>
      <c r="G2348" s="5" t="str">
        <f>vlookup(B2348,Filmes_final!$B$2:$U$1001,13,FALSE)</f>
        <v>Dorota Kobiela</v>
      </c>
    </row>
    <row r="2349">
      <c r="A2349" s="5">
        <v>587.0</v>
      </c>
      <c r="B2349" s="5" t="s">
        <v>3608</v>
      </c>
      <c r="C2349" s="5" t="s">
        <v>3615</v>
      </c>
      <c r="D2349" s="5" t="s">
        <v>6637</v>
      </c>
      <c r="E2349" s="8">
        <f>vlookup(B2349,Filmes_final!$B$2:$U$1001,20,FALSE)</f>
        <v>7154803</v>
      </c>
      <c r="F2349" s="5">
        <f>vlookup(B2349,Filmes_final!$B$2:$U$1001,3,FALSE)</f>
        <v>2017</v>
      </c>
      <c r="G2349" s="5" t="str">
        <f>vlookup(B2349,Filmes_final!$B$2:$U$1001,13,FALSE)</f>
        <v>Dorota Kobiela</v>
      </c>
    </row>
    <row r="2350">
      <c r="A2350" s="5">
        <v>588.0</v>
      </c>
      <c r="B2350" s="5" t="s">
        <v>3616</v>
      </c>
      <c r="C2350" s="5" t="s">
        <v>3619</v>
      </c>
      <c r="D2350" s="5" t="s">
        <v>6634</v>
      </c>
      <c r="E2350" s="8">
        <f>vlookup(B2350,Filmes_final!$B$2:$U$1001,20,FALSE)</f>
        <v>18500769</v>
      </c>
      <c r="F2350" s="5">
        <f>vlookup(B2350,Filmes_final!$B$2:$U$1001,3,FALSE)</f>
        <v>2014</v>
      </c>
      <c r="G2350" s="5" t="str">
        <f>vlookup(B2350,Filmes_final!$B$2:$U$1001,13,FALSE)</f>
        <v>Matthew Warchus</v>
      </c>
    </row>
    <row r="2351">
      <c r="A2351" s="5">
        <v>588.0</v>
      </c>
      <c r="B2351" s="5" t="s">
        <v>3616</v>
      </c>
      <c r="C2351" s="5" t="s">
        <v>3620</v>
      </c>
      <c r="D2351" s="5" t="s">
        <v>6635</v>
      </c>
      <c r="E2351" s="8">
        <f>vlookup(B2351,Filmes_final!$B$2:$U$1001,20,FALSE)</f>
        <v>18500769</v>
      </c>
      <c r="F2351" s="5">
        <f>vlookup(B2351,Filmes_final!$B$2:$U$1001,3,FALSE)</f>
        <v>2014</v>
      </c>
      <c r="G2351" s="5" t="str">
        <f>vlookup(B2351,Filmes_final!$B$2:$U$1001,13,FALSE)</f>
        <v>Matthew Warchus</v>
      </c>
    </row>
    <row r="2352">
      <c r="A2352" s="5">
        <v>588.0</v>
      </c>
      <c r="B2352" s="5" t="s">
        <v>3616</v>
      </c>
      <c r="C2352" s="5" t="s">
        <v>3621</v>
      </c>
      <c r="D2352" s="5" t="s">
        <v>6636</v>
      </c>
      <c r="E2352" s="8">
        <f>vlookup(B2352,Filmes_final!$B$2:$U$1001,20,FALSE)</f>
        <v>18500769</v>
      </c>
      <c r="F2352" s="5">
        <f>vlookup(B2352,Filmes_final!$B$2:$U$1001,3,FALSE)</f>
        <v>2014</v>
      </c>
      <c r="G2352" s="5" t="str">
        <f>vlookup(B2352,Filmes_final!$B$2:$U$1001,13,FALSE)</f>
        <v>Matthew Warchus</v>
      </c>
    </row>
    <row r="2353">
      <c r="A2353" s="5">
        <v>588.0</v>
      </c>
      <c r="B2353" s="5" t="s">
        <v>3616</v>
      </c>
      <c r="C2353" s="5" t="s">
        <v>3622</v>
      </c>
      <c r="D2353" s="5" t="s">
        <v>6637</v>
      </c>
      <c r="E2353" s="8">
        <f>vlookup(B2353,Filmes_final!$B$2:$U$1001,20,FALSE)</f>
        <v>18500769</v>
      </c>
      <c r="F2353" s="5">
        <f>vlookup(B2353,Filmes_final!$B$2:$U$1001,3,FALSE)</f>
        <v>2014</v>
      </c>
      <c r="G2353" s="5" t="str">
        <f>vlookup(B2353,Filmes_final!$B$2:$U$1001,13,FALSE)</f>
        <v>Matthew Warchus</v>
      </c>
    </row>
    <row r="2354">
      <c r="A2354" s="5">
        <v>589.0</v>
      </c>
      <c r="B2354" s="5" t="s">
        <v>3623</v>
      </c>
      <c r="C2354" s="5" t="s">
        <v>3034</v>
      </c>
      <c r="D2354" s="5" t="s">
        <v>6634</v>
      </c>
      <c r="E2354" s="8">
        <f>vlookup(B2354,Filmes_final!$B$2:$U$1001,20,FALSE)</f>
        <v>1490599</v>
      </c>
      <c r="F2354" s="5">
        <f>vlookup(B2354,Filmes_final!$B$2:$U$1001,3,FALSE)</f>
        <v>2013</v>
      </c>
      <c r="G2354" s="5" t="str">
        <f>vlookup(B2354,Filmes_final!$B$2:$U$1001,13,FALSE)</f>
        <v>Asghar Farhadi</v>
      </c>
    </row>
    <row r="2355">
      <c r="A2355" s="5">
        <v>589.0</v>
      </c>
      <c r="B2355" s="5" t="s">
        <v>3623</v>
      </c>
      <c r="C2355" s="5" t="s">
        <v>3052</v>
      </c>
      <c r="D2355" s="5" t="s">
        <v>6635</v>
      </c>
      <c r="E2355" s="8">
        <f>vlookup(B2355,Filmes_final!$B$2:$U$1001,20,FALSE)</f>
        <v>1490599</v>
      </c>
      <c r="F2355" s="5">
        <f>vlookup(B2355,Filmes_final!$B$2:$U$1001,3,FALSE)</f>
        <v>2013</v>
      </c>
      <c r="G2355" s="5" t="str">
        <f>vlookup(B2355,Filmes_final!$B$2:$U$1001,13,FALSE)</f>
        <v>Asghar Farhadi</v>
      </c>
    </row>
    <row r="2356">
      <c r="A2356" s="5">
        <v>589.0</v>
      </c>
      <c r="B2356" s="5" t="s">
        <v>3623</v>
      </c>
      <c r="C2356" s="5" t="s">
        <v>3625</v>
      </c>
      <c r="D2356" s="5" t="s">
        <v>6636</v>
      </c>
      <c r="E2356" s="8">
        <f>vlookup(B2356,Filmes_final!$B$2:$U$1001,20,FALSE)</f>
        <v>1490599</v>
      </c>
      <c r="F2356" s="5">
        <f>vlookup(B2356,Filmes_final!$B$2:$U$1001,3,FALSE)</f>
        <v>2013</v>
      </c>
      <c r="G2356" s="5" t="str">
        <f>vlookup(B2356,Filmes_final!$B$2:$U$1001,13,FALSE)</f>
        <v>Asghar Farhadi</v>
      </c>
    </row>
    <row r="2357">
      <c r="A2357" s="5">
        <v>589.0</v>
      </c>
      <c r="B2357" s="5" t="s">
        <v>3623</v>
      </c>
      <c r="C2357" s="5" t="s">
        <v>3626</v>
      </c>
      <c r="D2357" s="5" t="s">
        <v>6637</v>
      </c>
      <c r="E2357" s="8">
        <f>vlookup(B2357,Filmes_final!$B$2:$U$1001,20,FALSE)</f>
        <v>1490599</v>
      </c>
      <c r="F2357" s="5">
        <f>vlookup(B2357,Filmes_final!$B$2:$U$1001,3,FALSE)</f>
        <v>2013</v>
      </c>
      <c r="G2357" s="5" t="str">
        <f>vlookup(B2357,Filmes_final!$B$2:$U$1001,13,FALSE)</f>
        <v>Asghar Farhadi</v>
      </c>
    </row>
    <row r="2358">
      <c r="A2358" s="5">
        <v>590.0</v>
      </c>
      <c r="B2358" s="5" t="s">
        <v>3627</v>
      </c>
      <c r="C2358" s="5" t="s">
        <v>3630</v>
      </c>
      <c r="D2358" s="5" t="s">
        <v>6634</v>
      </c>
      <c r="E2358" s="8">
        <f>vlookup(B2358,Filmes_final!$B$2:$U$1001,20,FALSE)</f>
        <v>3195399</v>
      </c>
      <c r="F2358" s="5">
        <f>vlookup(B2358,Filmes_final!$B$2:$U$1001,3,FALSE)</f>
        <v>2013</v>
      </c>
      <c r="G2358" s="5" t="str">
        <f>vlookup(B2358,Filmes_final!$B$2:$U$1001,13,FALSE)</f>
        <v>Paolo Sorrentino</v>
      </c>
    </row>
    <row r="2359">
      <c r="A2359" s="5">
        <v>590.0</v>
      </c>
      <c r="B2359" s="5" t="s">
        <v>3627</v>
      </c>
      <c r="C2359" s="5" t="s">
        <v>3631</v>
      </c>
      <c r="D2359" s="5" t="s">
        <v>6635</v>
      </c>
      <c r="E2359" s="8">
        <f>vlookup(B2359,Filmes_final!$B$2:$U$1001,20,FALSE)</f>
        <v>3195399</v>
      </c>
      <c r="F2359" s="5">
        <f>vlookup(B2359,Filmes_final!$B$2:$U$1001,3,FALSE)</f>
        <v>2013</v>
      </c>
      <c r="G2359" s="5" t="str">
        <f>vlookup(B2359,Filmes_final!$B$2:$U$1001,13,FALSE)</f>
        <v>Paolo Sorrentino</v>
      </c>
    </row>
    <row r="2360">
      <c r="A2360" s="5">
        <v>590.0</v>
      </c>
      <c r="B2360" s="5" t="s">
        <v>3627</v>
      </c>
      <c r="C2360" s="5" t="s">
        <v>3632</v>
      </c>
      <c r="D2360" s="5" t="s">
        <v>6636</v>
      </c>
      <c r="E2360" s="8">
        <f>vlookup(B2360,Filmes_final!$B$2:$U$1001,20,FALSE)</f>
        <v>3195399</v>
      </c>
      <c r="F2360" s="5">
        <f>vlookup(B2360,Filmes_final!$B$2:$U$1001,3,FALSE)</f>
        <v>2013</v>
      </c>
      <c r="G2360" s="5" t="str">
        <f>vlookup(B2360,Filmes_final!$B$2:$U$1001,13,FALSE)</f>
        <v>Paolo Sorrentino</v>
      </c>
    </row>
    <row r="2361">
      <c r="A2361" s="5">
        <v>590.0</v>
      </c>
      <c r="B2361" s="5" t="s">
        <v>3627</v>
      </c>
      <c r="C2361" s="5" t="s">
        <v>3633</v>
      </c>
      <c r="D2361" s="5" t="s">
        <v>6637</v>
      </c>
      <c r="E2361" s="8">
        <f>vlookup(B2361,Filmes_final!$B$2:$U$1001,20,FALSE)</f>
        <v>3195399</v>
      </c>
      <c r="F2361" s="5">
        <f>vlookup(B2361,Filmes_final!$B$2:$U$1001,3,FALSE)</f>
        <v>2013</v>
      </c>
      <c r="G2361" s="5" t="str">
        <f>vlookup(B2361,Filmes_final!$B$2:$U$1001,13,FALSE)</f>
        <v>Paolo Sorrentino</v>
      </c>
    </row>
    <row r="2362">
      <c r="A2362" s="5">
        <v>591.0</v>
      </c>
      <c r="B2362" s="5" t="s">
        <v>3634</v>
      </c>
      <c r="C2362" s="5" t="s">
        <v>980</v>
      </c>
      <c r="D2362" s="5" t="s">
        <v>6634</v>
      </c>
      <c r="E2362" s="8">
        <f>vlookup(B2362,Filmes_final!$B$2:$U$1001,20,FALSE)</f>
        <v>4740335</v>
      </c>
      <c r="F2362" s="5">
        <f>vlookup(B2362,Filmes_final!$B$2:$U$1001,3,FALSE)</f>
        <v>2013</v>
      </c>
      <c r="G2362" s="5" t="str">
        <f>vlookup(B2362,Filmes_final!$B$2:$U$1001,13,FALSE)</f>
        <v>Ritesh Batra</v>
      </c>
    </row>
    <row r="2363">
      <c r="A2363" s="5">
        <v>591.0</v>
      </c>
      <c r="B2363" s="5" t="s">
        <v>3634</v>
      </c>
      <c r="C2363" s="5" t="s">
        <v>2159</v>
      </c>
      <c r="D2363" s="5" t="s">
        <v>6635</v>
      </c>
      <c r="E2363" s="8">
        <f>vlookup(B2363,Filmes_final!$B$2:$U$1001,20,FALSE)</f>
        <v>4740335</v>
      </c>
      <c r="F2363" s="5">
        <f>vlookup(B2363,Filmes_final!$B$2:$U$1001,3,FALSE)</f>
        <v>2013</v>
      </c>
      <c r="G2363" s="5" t="str">
        <f>vlookup(B2363,Filmes_final!$B$2:$U$1001,13,FALSE)</f>
        <v>Ritesh Batra</v>
      </c>
    </row>
    <row r="2364">
      <c r="A2364" s="5">
        <v>591.0</v>
      </c>
      <c r="B2364" s="5" t="s">
        <v>3634</v>
      </c>
      <c r="C2364" s="5" t="s">
        <v>1034</v>
      </c>
      <c r="D2364" s="5" t="s">
        <v>6636</v>
      </c>
      <c r="E2364" s="8">
        <f>vlookup(B2364,Filmes_final!$B$2:$U$1001,20,FALSE)</f>
        <v>4740335</v>
      </c>
      <c r="F2364" s="5">
        <f>vlookup(B2364,Filmes_final!$B$2:$U$1001,3,FALSE)</f>
        <v>2013</v>
      </c>
      <c r="G2364" s="5" t="str">
        <f>vlookup(B2364,Filmes_final!$B$2:$U$1001,13,FALSE)</f>
        <v>Ritesh Batra</v>
      </c>
    </row>
    <row r="2365">
      <c r="A2365" s="5">
        <v>591.0</v>
      </c>
      <c r="B2365" s="5" t="s">
        <v>3634</v>
      </c>
      <c r="C2365" s="5" t="s">
        <v>3637</v>
      </c>
      <c r="D2365" s="5" t="s">
        <v>6637</v>
      </c>
      <c r="E2365" s="8">
        <f>vlookup(B2365,Filmes_final!$B$2:$U$1001,20,FALSE)</f>
        <v>4740335</v>
      </c>
      <c r="F2365" s="5">
        <f>vlookup(B2365,Filmes_final!$B$2:$U$1001,3,FALSE)</f>
        <v>2013</v>
      </c>
      <c r="G2365" s="5" t="str">
        <f>vlookup(B2365,Filmes_final!$B$2:$U$1001,13,FALSE)</f>
        <v>Ritesh Batra</v>
      </c>
    </row>
    <row r="2366">
      <c r="A2366" s="5">
        <v>592.0</v>
      </c>
      <c r="B2366" s="5" t="s">
        <v>3638</v>
      </c>
      <c r="C2366" s="5" t="s">
        <v>659</v>
      </c>
      <c r="D2366" s="5" t="s">
        <v>6634</v>
      </c>
      <c r="E2366" s="8">
        <f>vlookup(B2366,Filmes_final!$B$2:$U$1001,20,FALSE)</f>
        <v>192579</v>
      </c>
      <c r="F2366" s="5">
        <f>vlookup(B2366,Filmes_final!$B$2:$U$1001,3,FALSE)</f>
        <v>2012</v>
      </c>
      <c r="G2366" s="5" t="str">
        <f>vlookup(B2366,Filmes_final!$B$2:$U$1001,13,FALSE)</f>
        <v>Shoojit Sircar</v>
      </c>
    </row>
    <row r="2367">
      <c r="A2367" s="5">
        <v>592.0</v>
      </c>
      <c r="B2367" s="5" t="s">
        <v>3638</v>
      </c>
      <c r="C2367" s="5" t="s">
        <v>953</v>
      </c>
      <c r="D2367" s="5" t="s">
        <v>6635</v>
      </c>
      <c r="E2367" s="8">
        <f>vlookup(B2367,Filmes_final!$B$2:$U$1001,20,FALSE)</f>
        <v>192579</v>
      </c>
      <c r="F2367" s="5">
        <f>vlookup(B2367,Filmes_final!$B$2:$U$1001,3,FALSE)</f>
        <v>2012</v>
      </c>
      <c r="G2367" s="5" t="str">
        <f>vlookup(B2367,Filmes_final!$B$2:$U$1001,13,FALSE)</f>
        <v>Shoojit Sircar</v>
      </c>
    </row>
    <row r="2368">
      <c r="A2368" s="5">
        <v>592.0</v>
      </c>
      <c r="B2368" s="5" t="s">
        <v>3638</v>
      </c>
      <c r="C2368" s="5" t="s">
        <v>3641</v>
      </c>
      <c r="D2368" s="5" t="s">
        <v>6636</v>
      </c>
      <c r="E2368" s="8">
        <f>vlookup(B2368,Filmes_final!$B$2:$U$1001,20,FALSE)</f>
        <v>192579</v>
      </c>
      <c r="F2368" s="5">
        <f>vlookup(B2368,Filmes_final!$B$2:$U$1001,3,FALSE)</f>
        <v>2012</v>
      </c>
      <c r="G2368" s="5" t="str">
        <f>vlookup(B2368,Filmes_final!$B$2:$U$1001,13,FALSE)</f>
        <v>Shoojit Sircar</v>
      </c>
    </row>
    <row r="2369">
      <c r="A2369" s="5">
        <v>592.0</v>
      </c>
      <c r="B2369" s="5" t="s">
        <v>3638</v>
      </c>
      <c r="C2369" s="5" t="s">
        <v>3642</v>
      </c>
      <c r="D2369" s="5" t="s">
        <v>6637</v>
      </c>
      <c r="E2369" s="8">
        <f>vlookup(B2369,Filmes_final!$B$2:$U$1001,20,FALSE)</f>
        <v>192579</v>
      </c>
      <c r="F2369" s="5">
        <f>vlookup(B2369,Filmes_final!$B$2:$U$1001,3,FALSE)</f>
        <v>2012</v>
      </c>
      <c r="G2369" s="5" t="str">
        <f>vlookup(B2369,Filmes_final!$B$2:$U$1001,13,FALSE)</f>
        <v>Shoojit Sircar</v>
      </c>
    </row>
    <row r="2370">
      <c r="A2370" s="5">
        <v>593.0</v>
      </c>
      <c r="B2370" s="5" t="s">
        <v>3643</v>
      </c>
      <c r="C2370" s="5" t="s">
        <v>3646</v>
      </c>
      <c r="D2370" s="5" t="s">
        <v>6634</v>
      </c>
      <c r="E2370" s="8">
        <f>vlookup(B2370,Filmes_final!$B$2:$U$1001,20,FALSE)</f>
        <v>245411713</v>
      </c>
      <c r="F2370" s="5">
        <f>vlookup(B2370,Filmes_final!$B$2:$U$1001,3,FALSE)</f>
        <v>2014</v>
      </c>
      <c r="G2370" s="5" t="str">
        <f>vlookup(B2370,Filmes_final!$B$2:$U$1001,13,FALSE)</f>
        <v>Don Hall</v>
      </c>
    </row>
    <row r="2371">
      <c r="A2371" s="5">
        <v>593.0</v>
      </c>
      <c r="B2371" s="5" t="s">
        <v>3643</v>
      </c>
      <c r="C2371" s="5" t="s">
        <v>3647</v>
      </c>
      <c r="D2371" s="5" t="s">
        <v>6635</v>
      </c>
      <c r="E2371" s="8">
        <f>vlookup(B2371,Filmes_final!$B$2:$U$1001,20,FALSE)</f>
        <v>245411713</v>
      </c>
      <c r="F2371" s="5">
        <f>vlookup(B2371,Filmes_final!$B$2:$U$1001,3,FALSE)</f>
        <v>2014</v>
      </c>
      <c r="G2371" s="5" t="str">
        <f>vlookup(B2371,Filmes_final!$B$2:$U$1001,13,FALSE)</f>
        <v>Don Hall</v>
      </c>
    </row>
    <row r="2372">
      <c r="A2372" s="5">
        <v>593.0</v>
      </c>
      <c r="B2372" s="5" t="s">
        <v>3643</v>
      </c>
      <c r="C2372" s="5" t="s">
        <v>3648</v>
      </c>
      <c r="D2372" s="5" t="s">
        <v>6636</v>
      </c>
      <c r="E2372" s="8">
        <f>vlookup(B2372,Filmes_final!$B$2:$U$1001,20,FALSE)</f>
        <v>245411713</v>
      </c>
      <c r="F2372" s="5">
        <f>vlookup(B2372,Filmes_final!$B$2:$U$1001,3,FALSE)</f>
        <v>2014</v>
      </c>
      <c r="G2372" s="5" t="str">
        <f>vlookup(B2372,Filmes_final!$B$2:$U$1001,13,FALSE)</f>
        <v>Don Hall</v>
      </c>
    </row>
    <row r="2373">
      <c r="A2373" s="5">
        <v>593.0</v>
      </c>
      <c r="B2373" s="5" t="s">
        <v>3643</v>
      </c>
      <c r="C2373" s="5" t="s">
        <v>3649</v>
      </c>
      <c r="D2373" s="5" t="s">
        <v>6637</v>
      </c>
      <c r="E2373" s="8">
        <f>vlookup(B2373,Filmes_final!$B$2:$U$1001,20,FALSE)</f>
        <v>245411713</v>
      </c>
      <c r="F2373" s="5">
        <f>vlookup(B2373,Filmes_final!$B$2:$U$1001,3,FALSE)</f>
        <v>2014</v>
      </c>
      <c r="G2373" s="5" t="str">
        <f>vlookup(B2373,Filmes_final!$B$2:$U$1001,13,FALSE)</f>
        <v>Don Hall</v>
      </c>
    </row>
    <row r="2374">
      <c r="A2374" s="5">
        <v>594.0</v>
      </c>
      <c r="B2374" s="5" t="s">
        <v>3650</v>
      </c>
      <c r="C2374" s="5" t="s">
        <v>2264</v>
      </c>
      <c r="D2374" s="5" t="s">
        <v>6634</v>
      </c>
      <c r="E2374" s="8">
        <f>vlookup(B2374,Filmes_final!$B$2:$U$1001,20,FALSE)</f>
        <v>17165491</v>
      </c>
      <c r="F2374" s="5">
        <f>vlookup(B2374,Filmes_final!$B$2:$U$1001,3,FALSE)</f>
        <v>2013</v>
      </c>
      <c r="G2374" s="5" t="str">
        <f>vlookup(B2374,Filmes_final!$B$2:$U$1001,13,FALSE)</f>
        <v>Richard Curtis</v>
      </c>
    </row>
    <row r="2375">
      <c r="A2375" s="5">
        <v>594.0</v>
      </c>
      <c r="B2375" s="5" t="s">
        <v>3650</v>
      </c>
      <c r="C2375" s="5" t="s">
        <v>1518</v>
      </c>
      <c r="D2375" s="5" t="s">
        <v>6635</v>
      </c>
      <c r="E2375" s="8">
        <f>vlookup(B2375,Filmes_final!$B$2:$U$1001,20,FALSE)</f>
        <v>17165491</v>
      </c>
      <c r="F2375" s="5">
        <f>vlookup(B2375,Filmes_final!$B$2:$U$1001,3,FALSE)</f>
        <v>2013</v>
      </c>
      <c r="G2375" s="5" t="str">
        <f>vlookup(B2375,Filmes_final!$B$2:$U$1001,13,FALSE)</f>
        <v>Richard Curtis</v>
      </c>
    </row>
    <row r="2376">
      <c r="A2376" s="5">
        <v>594.0</v>
      </c>
      <c r="B2376" s="5" t="s">
        <v>3650</v>
      </c>
      <c r="C2376" s="5" t="s">
        <v>3619</v>
      </c>
      <c r="D2376" s="5" t="s">
        <v>6636</v>
      </c>
      <c r="E2376" s="8">
        <f>vlookup(B2376,Filmes_final!$B$2:$U$1001,20,FALSE)</f>
        <v>17165491</v>
      </c>
      <c r="F2376" s="5">
        <f>vlookup(B2376,Filmes_final!$B$2:$U$1001,3,FALSE)</f>
        <v>2013</v>
      </c>
      <c r="G2376" s="5" t="str">
        <f>vlookup(B2376,Filmes_final!$B$2:$U$1001,13,FALSE)</f>
        <v>Richard Curtis</v>
      </c>
    </row>
    <row r="2377">
      <c r="A2377" s="5">
        <v>594.0</v>
      </c>
      <c r="B2377" s="5" t="s">
        <v>3650</v>
      </c>
      <c r="C2377" s="5" t="s">
        <v>3653</v>
      </c>
      <c r="D2377" s="5" t="s">
        <v>6637</v>
      </c>
      <c r="E2377" s="8">
        <f>vlookup(B2377,Filmes_final!$B$2:$U$1001,20,FALSE)</f>
        <v>17165491</v>
      </c>
      <c r="F2377" s="5">
        <f>vlookup(B2377,Filmes_final!$B$2:$U$1001,3,FALSE)</f>
        <v>2013</v>
      </c>
      <c r="G2377" s="5" t="str">
        <f>vlookup(B2377,Filmes_final!$B$2:$U$1001,13,FALSE)</f>
        <v>Richard Curtis</v>
      </c>
    </row>
    <row r="2378">
      <c r="A2378" s="5">
        <v>595.0</v>
      </c>
      <c r="B2378" s="5" t="s">
        <v>3654</v>
      </c>
      <c r="C2378" s="5" t="s">
        <v>3657</v>
      </c>
      <c r="D2378" s="5" t="s">
        <v>6634</v>
      </c>
      <c r="E2378" s="8">
        <f>vlookup(B2378,Filmes_final!$B$2:$U$1001,20,FALSE)</f>
        <v>1901533</v>
      </c>
      <c r="F2378" s="5">
        <f>vlookup(B2378,Filmes_final!$B$2:$U$1001,3,FALSE)</f>
        <v>2012</v>
      </c>
      <c r="G2378" s="5" t="str">
        <f>vlookup(B2378,Filmes_final!$B$2:$U$1001,13,FALSE)</f>
        <v>Gauri Shinde</v>
      </c>
    </row>
    <row r="2379">
      <c r="A2379" s="5">
        <v>595.0</v>
      </c>
      <c r="B2379" s="5" t="s">
        <v>3654</v>
      </c>
      <c r="C2379" s="5" t="s">
        <v>3132</v>
      </c>
      <c r="D2379" s="5" t="s">
        <v>6635</v>
      </c>
      <c r="E2379" s="8">
        <f>vlookup(B2379,Filmes_final!$B$2:$U$1001,20,FALSE)</f>
        <v>1901533</v>
      </c>
      <c r="F2379" s="5">
        <f>vlookup(B2379,Filmes_final!$B$2:$U$1001,3,FALSE)</f>
        <v>2012</v>
      </c>
      <c r="G2379" s="5" t="str">
        <f>vlookup(B2379,Filmes_final!$B$2:$U$1001,13,FALSE)</f>
        <v>Gauri Shinde</v>
      </c>
    </row>
    <row r="2380">
      <c r="A2380" s="5">
        <v>595.0</v>
      </c>
      <c r="B2380" s="5" t="s">
        <v>3654</v>
      </c>
      <c r="C2380" s="5" t="s">
        <v>3658</v>
      </c>
      <c r="D2380" s="5" t="s">
        <v>6636</v>
      </c>
      <c r="E2380" s="8">
        <f>vlookup(B2380,Filmes_final!$B$2:$U$1001,20,FALSE)</f>
        <v>1901533</v>
      </c>
      <c r="F2380" s="5">
        <f>vlookup(B2380,Filmes_final!$B$2:$U$1001,3,FALSE)</f>
        <v>2012</v>
      </c>
      <c r="G2380" s="5" t="str">
        <f>vlookup(B2380,Filmes_final!$B$2:$U$1001,13,FALSE)</f>
        <v>Gauri Shinde</v>
      </c>
    </row>
    <row r="2381">
      <c r="A2381" s="5">
        <v>595.0</v>
      </c>
      <c r="B2381" s="5" t="s">
        <v>3654</v>
      </c>
      <c r="C2381" s="5" t="s">
        <v>3659</v>
      </c>
      <c r="D2381" s="5" t="s">
        <v>6637</v>
      </c>
      <c r="E2381" s="8">
        <f>vlookup(B2381,Filmes_final!$B$2:$U$1001,20,FALSE)</f>
        <v>1901533</v>
      </c>
      <c r="F2381" s="5">
        <f>vlookup(B2381,Filmes_final!$B$2:$U$1001,3,FALSE)</f>
        <v>2012</v>
      </c>
      <c r="G2381" s="5" t="str">
        <f>vlookup(B2381,Filmes_final!$B$2:$U$1001,13,FALSE)</f>
        <v>Gauri Shinde</v>
      </c>
    </row>
    <row r="2382">
      <c r="A2382" s="5">
        <v>596.0</v>
      </c>
      <c r="B2382" s="5" t="s">
        <v>3660</v>
      </c>
      <c r="C2382" s="5" t="s">
        <v>1689</v>
      </c>
      <c r="D2382" s="5" t="s">
        <v>6634</v>
      </c>
      <c r="E2382" s="8">
        <f>vlookup(B2382,Filmes_final!$B$2:$U$1001,20,FALSE)</f>
        <v>5836028</v>
      </c>
      <c r="F2382" s="5">
        <f>vlookup(B2382,Filmes_final!$B$2:$U$1001,3,FALSE)</f>
        <v>2013</v>
      </c>
      <c r="G2382" s="5" t="str">
        <f>vlookup(B2382,Filmes_final!$B$2:$U$1001,13,FALSE)</f>
        <v>Hayao Miyazaki</v>
      </c>
    </row>
    <row r="2383">
      <c r="A2383" s="5">
        <v>596.0</v>
      </c>
      <c r="B2383" s="5" t="s">
        <v>3660</v>
      </c>
      <c r="C2383" s="5" t="s">
        <v>3662</v>
      </c>
      <c r="D2383" s="5" t="s">
        <v>6635</v>
      </c>
      <c r="E2383" s="8">
        <f>vlookup(B2383,Filmes_final!$B$2:$U$1001,20,FALSE)</f>
        <v>5836028</v>
      </c>
      <c r="F2383" s="5">
        <f>vlookup(B2383,Filmes_final!$B$2:$U$1001,3,FALSE)</f>
        <v>2013</v>
      </c>
      <c r="G2383" s="5" t="str">
        <f>vlookup(B2383,Filmes_final!$B$2:$U$1001,13,FALSE)</f>
        <v>Hayao Miyazaki</v>
      </c>
    </row>
    <row r="2384">
      <c r="A2384" s="5">
        <v>596.0</v>
      </c>
      <c r="B2384" s="5" t="s">
        <v>3660</v>
      </c>
      <c r="C2384" s="5" t="s">
        <v>3663</v>
      </c>
      <c r="D2384" s="5" t="s">
        <v>6636</v>
      </c>
      <c r="E2384" s="8">
        <f>vlookup(B2384,Filmes_final!$B$2:$U$1001,20,FALSE)</f>
        <v>5836028</v>
      </c>
      <c r="F2384" s="5">
        <f>vlookup(B2384,Filmes_final!$B$2:$U$1001,3,FALSE)</f>
        <v>2013</v>
      </c>
      <c r="G2384" s="5" t="str">
        <f>vlookup(B2384,Filmes_final!$B$2:$U$1001,13,FALSE)</f>
        <v>Hayao Miyazaki</v>
      </c>
    </row>
    <row r="2385">
      <c r="A2385" s="5">
        <v>596.0</v>
      </c>
      <c r="B2385" s="5" t="s">
        <v>3660</v>
      </c>
      <c r="C2385" s="5" t="s">
        <v>3664</v>
      </c>
      <c r="D2385" s="5" t="s">
        <v>6637</v>
      </c>
      <c r="E2385" s="8">
        <f>vlookup(B2385,Filmes_final!$B$2:$U$1001,20,FALSE)</f>
        <v>5836028</v>
      </c>
      <c r="F2385" s="5">
        <f>vlookup(B2385,Filmes_final!$B$2:$U$1001,3,FALSE)</f>
        <v>2013</v>
      </c>
      <c r="G2385" s="5" t="str">
        <f>vlookup(B2385,Filmes_final!$B$2:$U$1001,13,FALSE)</f>
        <v>Hayao Miyazaki</v>
      </c>
    </row>
    <row r="2386">
      <c r="A2386" s="5">
        <v>597.0</v>
      </c>
      <c r="B2386" s="5" t="s">
        <v>3665</v>
      </c>
      <c r="C2386" s="5" t="s">
        <v>110</v>
      </c>
      <c r="D2386" s="5" t="s">
        <v>6634</v>
      </c>
      <c r="E2386" s="8">
        <f>vlookup(B2386,Filmes_final!$B$2:$U$1001,20,FALSE)</f>
        <v>444830676</v>
      </c>
      <c r="F2386" s="5">
        <f>vlookup(B2386,Filmes_final!$B$2:$U$1001,3,FALSE)</f>
        <v>2019</v>
      </c>
      <c r="G2386" s="5" t="str">
        <f>vlookup(B2386,Filmes_final!$B$2:$U$1001,13,FALSE)</f>
        <v>Josh Cooley</v>
      </c>
    </row>
    <row r="2387">
      <c r="A2387" s="5">
        <v>597.0</v>
      </c>
      <c r="B2387" s="5" t="s">
        <v>3665</v>
      </c>
      <c r="C2387" s="5" t="s">
        <v>768</v>
      </c>
      <c r="D2387" s="5" t="s">
        <v>6635</v>
      </c>
      <c r="E2387" s="8">
        <f>vlookup(B2387,Filmes_final!$B$2:$U$1001,20,FALSE)</f>
        <v>444830676</v>
      </c>
      <c r="F2387" s="5">
        <f>vlookup(B2387,Filmes_final!$B$2:$U$1001,3,FALSE)</f>
        <v>2019</v>
      </c>
      <c r="G2387" s="5" t="str">
        <f>vlookup(B2387,Filmes_final!$B$2:$U$1001,13,FALSE)</f>
        <v>Josh Cooley</v>
      </c>
    </row>
    <row r="2388">
      <c r="A2388" s="5">
        <v>597.0</v>
      </c>
      <c r="B2388" s="5" t="s">
        <v>3665</v>
      </c>
      <c r="C2388" s="5" t="s">
        <v>3668</v>
      </c>
      <c r="D2388" s="5" t="s">
        <v>6636</v>
      </c>
      <c r="E2388" s="8">
        <f>vlookup(B2388,Filmes_final!$B$2:$U$1001,20,FALSE)</f>
        <v>444830676</v>
      </c>
      <c r="F2388" s="5">
        <f>vlookup(B2388,Filmes_final!$B$2:$U$1001,3,FALSE)</f>
        <v>2019</v>
      </c>
      <c r="G2388" s="5" t="str">
        <f>vlookup(B2388,Filmes_final!$B$2:$U$1001,13,FALSE)</f>
        <v>Josh Cooley</v>
      </c>
    </row>
    <row r="2389">
      <c r="A2389" s="5">
        <v>597.0</v>
      </c>
      <c r="B2389" s="5" t="s">
        <v>3665</v>
      </c>
      <c r="C2389" s="5" t="s">
        <v>3669</v>
      </c>
      <c r="D2389" s="5" t="s">
        <v>6637</v>
      </c>
      <c r="E2389" s="8">
        <f>vlookup(B2389,Filmes_final!$B$2:$U$1001,20,FALSE)</f>
        <v>444830676</v>
      </c>
      <c r="F2389" s="5">
        <f>vlookup(B2389,Filmes_final!$B$2:$U$1001,3,FALSE)</f>
        <v>2019</v>
      </c>
      <c r="G2389" s="5" t="str">
        <f>vlookup(B2389,Filmes_final!$B$2:$U$1001,13,FALSE)</f>
        <v>Josh Cooley</v>
      </c>
    </row>
    <row r="2390">
      <c r="A2390" s="5">
        <v>598.0</v>
      </c>
      <c r="B2390" s="5" t="s">
        <v>3670</v>
      </c>
      <c r="C2390" s="5" t="s">
        <v>2280</v>
      </c>
      <c r="D2390" s="5" t="s">
        <v>6634</v>
      </c>
      <c r="E2390" s="8">
        <f>vlookup(B2390,Filmes_final!$B$2:$U$1001,20,FALSE)</f>
        <v>95706</v>
      </c>
      <c r="F2390" s="5">
        <f>vlookup(B2390,Filmes_final!$B$2:$U$1001,3,FALSE)</f>
        <v>2013</v>
      </c>
      <c r="G2390" s="5" t="str">
        <f>vlookup(B2390,Filmes_final!$B$2:$U$1001,13,FALSE)</f>
        <v>Giuseppe Tornatore</v>
      </c>
    </row>
    <row r="2391">
      <c r="A2391" s="5">
        <v>598.0</v>
      </c>
      <c r="B2391" s="5" t="s">
        <v>3670</v>
      </c>
      <c r="C2391" s="5" t="s">
        <v>3672</v>
      </c>
      <c r="D2391" s="5" t="s">
        <v>6635</v>
      </c>
      <c r="E2391" s="8">
        <f>vlookup(B2391,Filmes_final!$B$2:$U$1001,20,FALSE)</f>
        <v>95706</v>
      </c>
      <c r="F2391" s="5">
        <f>vlookup(B2391,Filmes_final!$B$2:$U$1001,3,FALSE)</f>
        <v>2013</v>
      </c>
      <c r="G2391" s="5" t="str">
        <f>vlookup(B2391,Filmes_final!$B$2:$U$1001,13,FALSE)</f>
        <v>Giuseppe Tornatore</v>
      </c>
    </row>
    <row r="2392">
      <c r="A2392" s="5">
        <v>598.0</v>
      </c>
      <c r="B2392" s="5" t="s">
        <v>3670</v>
      </c>
      <c r="C2392" s="5" t="s">
        <v>3673</v>
      </c>
      <c r="D2392" s="5" t="s">
        <v>6636</v>
      </c>
      <c r="E2392" s="8">
        <f>vlookup(B2392,Filmes_final!$B$2:$U$1001,20,FALSE)</f>
        <v>95706</v>
      </c>
      <c r="F2392" s="5">
        <f>vlookup(B2392,Filmes_final!$B$2:$U$1001,3,FALSE)</f>
        <v>2013</v>
      </c>
      <c r="G2392" s="5" t="str">
        <f>vlookup(B2392,Filmes_final!$B$2:$U$1001,13,FALSE)</f>
        <v>Giuseppe Tornatore</v>
      </c>
    </row>
    <row r="2393">
      <c r="A2393" s="5">
        <v>598.0</v>
      </c>
      <c r="B2393" s="5" t="s">
        <v>3670</v>
      </c>
      <c r="C2393" s="5" t="s">
        <v>3674</v>
      </c>
      <c r="D2393" s="5" t="s">
        <v>6637</v>
      </c>
      <c r="E2393" s="8">
        <f>vlookup(B2393,Filmes_final!$B$2:$U$1001,20,FALSE)</f>
        <v>95706</v>
      </c>
      <c r="F2393" s="5">
        <f>vlookup(B2393,Filmes_final!$B$2:$U$1001,3,FALSE)</f>
        <v>2013</v>
      </c>
      <c r="G2393" s="5" t="str">
        <f>vlookup(B2393,Filmes_final!$B$2:$U$1001,13,FALSE)</f>
        <v>Giuseppe Tornatore</v>
      </c>
    </row>
    <row r="2394">
      <c r="A2394" s="5">
        <v>599.0</v>
      </c>
      <c r="B2394" s="5" t="s">
        <v>3675</v>
      </c>
      <c r="C2394" s="5" t="s">
        <v>3677</v>
      </c>
      <c r="D2394" s="5" t="s">
        <v>6634</v>
      </c>
      <c r="E2394" s="8">
        <f>vlookup(B2394,Filmes_final!$B$2:$U$1001,20,FALSE)</f>
        <v>51798453</v>
      </c>
      <c r="F2394" s="5">
        <f>vlookup(B2394,Filmes_final!$B$2:$U$1001,3,FALSE)</f>
        <v>2012</v>
      </c>
      <c r="G2394" s="5" t="str">
        <f>vlookup(B2394,Filmes_final!$B$2:$U$1001,13,FALSE)</f>
        <v>Wes Anderson</v>
      </c>
    </row>
    <row r="2395">
      <c r="A2395" s="5">
        <v>599.0</v>
      </c>
      <c r="B2395" s="5" t="s">
        <v>3675</v>
      </c>
      <c r="C2395" s="5" t="s">
        <v>3678</v>
      </c>
      <c r="D2395" s="5" t="s">
        <v>6635</v>
      </c>
      <c r="E2395" s="8">
        <f>vlookup(B2395,Filmes_final!$B$2:$U$1001,20,FALSE)</f>
        <v>51798453</v>
      </c>
      <c r="F2395" s="5">
        <f>vlookup(B2395,Filmes_final!$B$2:$U$1001,3,FALSE)</f>
        <v>2012</v>
      </c>
      <c r="G2395" s="5" t="str">
        <f>vlookup(B2395,Filmes_final!$B$2:$U$1001,13,FALSE)</f>
        <v>Wes Anderson</v>
      </c>
    </row>
    <row r="2396">
      <c r="A2396" s="5">
        <v>599.0</v>
      </c>
      <c r="B2396" s="5" t="s">
        <v>3675</v>
      </c>
      <c r="C2396" s="5" t="s">
        <v>76</v>
      </c>
      <c r="D2396" s="5" t="s">
        <v>6636</v>
      </c>
      <c r="E2396" s="8">
        <f>vlookup(B2396,Filmes_final!$B$2:$U$1001,20,FALSE)</f>
        <v>51798453</v>
      </c>
      <c r="F2396" s="5">
        <f>vlookup(B2396,Filmes_final!$B$2:$U$1001,3,FALSE)</f>
        <v>2012</v>
      </c>
      <c r="G2396" s="5" t="str">
        <f>vlookup(B2396,Filmes_final!$B$2:$U$1001,13,FALSE)</f>
        <v>Wes Anderson</v>
      </c>
    </row>
    <row r="2397">
      <c r="A2397" s="5">
        <v>599.0</v>
      </c>
      <c r="B2397" s="5" t="s">
        <v>3675</v>
      </c>
      <c r="C2397" s="5" t="s">
        <v>2569</v>
      </c>
      <c r="D2397" s="5" t="s">
        <v>6637</v>
      </c>
      <c r="E2397" s="8">
        <f>vlookup(B2397,Filmes_final!$B$2:$U$1001,20,FALSE)</f>
        <v>51798453</v>
      </c>
      <c r="F2397" s="5">
        <f>vlookup(B2397,Filmes_final!$B$2:$U$1001,3,FALSE)</f>
        <v>2012</v>
      </c>
      <c r="G2397" s="5" t="str">
        <f>vlookup(B2397,Filmes_final!$B$2:$U$1001,13,FALSE)</f>
        <v>Wes Anderson</v>
      </c>
    </row>
    <row r="2398">
      <c r="A2398" s="5">
        <v>600.0</v>
      </c>
      <c r="B2398" s="5" t="s">
        <v>3679</v>
      </c>
      <c r="C2398" s="5" t="s">
        <v>1600</v>
      </c>
      <c r="D2398" s="5" t="s">
        <v>6634</v>
      </c>
      <c r="E2398" s="8">
        <f>vlookup(B2398,Filmes_final!$B$2:$U$1001,20,FALSE)</f>
        <v>195205207</v>
      </c>
      <c r="F2398" s="5">
        <f>vlookup(B2398,Filmes_final!$B$2:$U$1001,3,FALSE)</f>
        <v>2014</v>
      </c>
      <c r="G2398" s="5" t="str">
        <f>vlookup(B2398,Filmes_final!$B$2:$U$1001,13,FALSE)</f>
        <v>Dean DeBlois</v>
      </c>
    </row>
    <row r="2399">
      <c r="A2399" s="5">
        <v>600.0</v>
      </c>
      <c r="B2399" s="5" t="s">
        <v>3679</v>
      </c>
      <c r="C2399" s="5" t="s">
        <v>2996</v>
      </c>
      <c r="D2399" s="5" t="s">
        <v>6635</v>
      </c>
      <c r="E2399" s="8">
        <f>vlookup(B2399,Filmes_final!$B$2:$U$1001,20,FALSE)</f>
        <v>195205207</v>
      </c>
      <c r="F2399" s="5">
        <f>vlookup(B2399,Filmes_final!$B$2:$U$1001,3,FALSE)</f>
        <v>2014</v>
      </c>
      <c r="G2399" s="5" t="str">
        <f>vlookup(B2399,Filmes_final!$B$2:$U$1001,13,FALSE)</f>
        <v>Dean DeBlois</v>
      </c>
    </row>
    <row r="2400">
      <c r="A2400" s="5">
        <v>600.0</v>
      </c>
      <c r="B2400" s="5" t="s">
        <v>3679</v>
      </c>
      <c r="C2400" s="5" t="s">
        <v>1601</v>
      </c>
      <c r="D2400" s="5" t="s">
        <v>6636</v>
      </c>
      <c r="E2400" s="8">
        <f>vlookup(B2400,Filmes_final!$B$2:$U$1001,20,FALSE)</f>
        <v>195205207</v>
      </c>
      <c r="F2400" s="5">
        <f>vlookup(B2400,Filmes_final!$B$2:$U$1001,3,FALSE)</f>
        <v>2014</v>
      </c>
      <c r="G2400" s="5" t="str">
        <f>vlookup(B2400,Filmes_final!$B$2:$U$1001,13,FALSE)</f>
        <v>Dean DeBlois</v>
      </c>
    </row>
    <row r="2401">
      <c r="A2401" s="5">
        <v>600.0</v>
      </c>
      <c r="B2401" s="5" t="s">
        <v>3679</v>
      </c>
      <c r="C2401" s="5" t="s">
        <v>3681</v>
      </c>
      <c r="D2401" s="5" t="s">
        <v>6637</v>
      </c>
      <c r="E2401" s="8">
        <f>vlookup(B2401,Filmes_final!$B$2:$U$1001,20,FALSE)</f>
        <v>195205207</v>
      </c>
      <c r="F2401" s="5">
        <f>vlookup(B2401,Filmes_final!$B$2:$U$1001,3,FALSE)</f>
        <v>2014</v>
      </c>
      <c r="G2401" s="5" t="str">
        <f>vlookup(B2401,Filmes_final!$B$2:$U$1001,13,FALSE)</f>
        <v>Dean DeBlois</v>
      </c>
    </row>
    <row r="2402">
      <c r="A2402" s="5">
        <v>601.0</v>
      </c>
      <c r="B2402" s="5" t="s">
        <v>3682</v>
      </c>
      <c r="C2402" s="5" t="s">
        <v>42</v>
      </c>
      <c r="D2402" s="5" t="s">
        <v>6634</v>
      </c>
      <c r="E2402" s="8">
        <f>vlookup(B2402,Filmes_final!$B$2:$U$1001,20,FALSE)</f>
        <v>77554412</v>
      </c>
      <c r="F2402" s="5">
        <f>vlookup(B2402,Filmes_final!$B$2:$U$1001,3,FALSE)</f>
        <v>2015</v>
      </c>
      <c r="G2402" s="5" t="str">
        <f>vlookup(B2402,Filmes_final!$B$2:$U$1001,13,FALSE)</f>
        <v>Adam McKay</v>
      </c>
    </row>
    <row r="2403">
      <c r="A2403" s="5">
        <v>601.0</v>
      </c>
      <c r="B2403" s="5" t="s">
        <v>3682</v>
      </c>
      <c r="C2403" s="5" t="s">
        <v>3685</v>
      </c>
      <c r="D2403" s="5" t="s">
        <v>6635</v>
      </c>
      <c r="E2403" s="8">
        <f>vlookup(B2403,Filmes_final!$B$2:$U$1001,20,FALSE)</f>
        <v>77554412</v>
      </c>
      <c r="F2403" s="5">
        <f>vlookup(B2403,Filmes_final!$B$2:$U$1001,3,FALSE)</f>
        <v>2015</v>
      </c>
      <c r="G2403" s="5" t="str">
        <f>vlookup(B2403,Filmes_final!$B$2:$U$1001,13,FALSE)</f>
        <v>Adam McKay</v>
      </c>
    </row>
    <row r="2404">
      <c r="A2404" s="5">
        <v>601.0</v>
      </c>
      <c r="B2404" s="5" t="s">
        <v>3682</v>
      </c>
      <c r="C2404" s="5" t="s">
        <v>2175</v>
      </c>
      <c r="D2404" s="5" t="s">
        <v>6636</v>
      </c>
      <c r="E2404" s="8">
        <f>vlookup(B2404,Filmes_final!$B$2:$U$1001,20,FALSE)</f>
        <v>77554412</v>
      </c>
      <c r="F2404" s="5">
        <f>vlookup(B2404,Filmes_final!$B$2:$U$1001,3,FALSE)</f>
        <v>2015</v>
      </c>
      <c r="G2404" s="5" t="str">
        <f>vlookup(B2404,Filmes_final!$B$2:$U$1001,13,FALSE)</f>
        <v>Adam McKay</v>
      </c>
    </row>
    <row r="2405">
      <c r="A2405" s="5">
        <v>601.0</v>
      </c>
      <c r="B2405" s="5" t="s">
        <v>3682</v>
      </c>
      <c r="C2405" s="5" t="s">
        <v>98</v>
      </c>
      <c r="D2405" s="5" t="s">
        <v>6637</v>
      </c>
      <c r="E2405" s="8">
        <f>vlookup(B2405,Filmes_final!$B$2:$U$1001,20,FALSE)</f>
        <v>77554412</v>
      </c>
      <c r="F2405" s="5">
        <f>vlookup(B2405,Filmes_final!$B$2:$U$1001,3,FALSE)</f>
        <v>2015</v>
      </c>
      <c r="G2405" s="5" t="str">
        <f>vlookup(B2405,Filmes_final!$B$2:$U$1001,13,FALSE)</f>
        <v>Adam McKay</v>
      </c>
    </row>
    <row r="2406">
      <c r="A2406" s="5">
        <v>602.0</v>
      </c>
      <c r="B2406" s="5" t="s">
        <v>3686</v>
      </c>
      <c r="C2406" s="5" t="s">
        <v>3689</v>
      </c>
      <c r="D2406" s="5" t="s">
        <v>6634</v>
      </c>
      <c r="E2406" s="8">
        <f>vlookup(B2406,Filmes_final!$B$2:$U$1001,20,FALSE)</f>
        <v>53815364</v>
      </c>
      <c r="F2406" s="5">
        <f>vlookup(B2406,Filmes_final!$B$2:$U$1001,3,FALSE)</f>
        <v>2010</v>
      </c>
      <c r="G2406" s="5" t="str">
        <f>vlookup(B2406,Filmes_final!$B$2:$U$1001,13,FALSE)</f>
        <v>Tetsuya Nakashima</v>
      </c>
    </row>
    <row r="2407">
      <c r="A2407" s="5">
        <v>602.0</v>
      </c>
      <c r="B2407" s="5" t="s">
        <v>3686</v>
      </c>
      <c r="C2407" s="5" t="s">
        <v>3690</v>
      </c>
      <c r="D2407" s="5" t="s">
        <v>6635</v>
      </c>
      <c r="E2407" s="8">
        <f>vlookup(B2407,Filmes_final!$B$2:$U$1001,20,FALSE)</f>
        <v>53815364</v>
      </c>
      <c r="F2407" s="5">
        <f>vlookup(B2407,Filmes_final!$B$2:$U$1001,3,FALSE)</f>
        <v>2010</v>
      </c>
      <c r="G2407" s="5" t="str">
        <f>vlookup(B2407,Filmes_final!$B$2:$U$1001,13,FALSE)</f>
        <v>Tetsuya Nakashima</v>
      </c>
    </row>
    <row r="2408">
      <c r="A2408" s="5">
        <v>602.0</v>
      </c>
      <c r="B2408" s="5" t="s">
        <v>3686</v>
      </c>
      <c r="C2408" s="5" t="s">
        <v>3691</v>
      </c>
      <c r="D2408" s="5" t="s">
        <v>6636</v>
      </c>
      <c r="E2408" s="8">
        <f>vlookup(B2408,Filmes_final!$B$2:$U$1001,20,FALSE)</f>
        <v>53815364</v>
      </c>
      <c r="F2408" s="5">
        <f>vlookup(B2408,Filmes_final!$B$2:$U$1001,3,FALSE)</f>
        <v>2010</v>
      </c>
      <c r="G2408" s="5" t="str">
        <f>vlookup(B2408,Filmes_final!$B$2:$U$1001,13,FALSE)</f>
        <v>Tetsuya Nakashima</v>
      </c>
    </row>
    <row r="2409">
      <c r="A2409" s="5">
        <v>602.0</v>
      </c>
      <c r="B2409" s="5" t="s">
        <v>3686</v>
      </c>
      <c r="C2409" s="5" t="s">
        <v>1481</v>
      </c>
      <c r="D2409" s="5" t="s">
        <v>6637</v>
      </c>
      <c r="E2409" s="8">
        <f>vlookup(B2409,Filmes_final!$B$2:$U$1001,20,FALSE)</f>
        <v>53815364</v>
      </c>
      <c r="F2409" s="5">
        <f>vlookup(B2409,Filmes_final!$B$2:$U$1001,3,FALSE)</f>
        <v>2010</v>
      </c>
      <c r="G2409" s="5" t="str">
        <f>vlookup(B2409,Filmes_final!$B$2:$U$1001,13,FALSE)</f>
        <v>Tetsuya Nakashima</v>
      </c>
    </row>
    <row r="2410">
      <c r="A2410" s="5">
        <v>603.0</v>
      </c>
      <c r="B2410" s="5" t="s">
        <v>3692</v>
      </c>
      <c r="C2410" s="5" t="s">
        <v>3695</v>
      </c>
      <c r="D2410" s="5" t="s">
        <v>6634</v>
      </c>
      <c r="E2410" s="8">
        <f>vlookup(B2410,Filmes_final!$B$2:$U$1001,20,FALSE)</f>
        <v>152854</v>
      </c>
      <c r="F2410" s="5">
        <f>vlookup(B2410,Filmes_final!$B$2:$U$1001,3,FALSE)</f>
        <v>2010</v>
      </c>
      <c r="G2410" s="5" t="str">
        <f>vlookup(B2410,Filmes_final!$B$2:$U$1001,13,FALSE)</f>
        <v>Jee-woon Kim</v>
      </c>
    </row>
    <row r="2411">
      <c r="A2411" s="5">
        <v>603.0</v>
      </c>
      <c r="B2411" s="5" t="s">
        <v>3692</v>
      </c>
      <c r="C2411" s="5" t="s">
        <v>538</v>
      </c>
      <c r="D2411" s="5" t="s">
        <v>6635</v>
      </c>
      <c r="E2411" s="8">
        <f>vlookup(B2411,Filmes_final!$B$2:$U$1001,20,FALSE)</f>
        <v>152854</v>
      </c>
      <c r="F2411" s="5">
        <f>vlookup(B2411,Filmes_final!$B$2:$U$1001,3,FALSE)</f>
        <v>2010</v>
      </c>
      <c r="G2411" s="5" t="str">
        <f>vlookup(B2411,Filmes_final!$B$2:$U$1001,13,FALSE)</f>
        <v>Jee-woon Kim</v>
      </c>
    </row>
    <row r="2412">
      <c r="A2412" s="5">
        <v>603.0</v>
      </c>
      <c r="B2412" s="5" t="s">
        <v>3692</v>
      </c>
      <c r="C2412" s="5" t="s">
        <v>3696</v>
      </c>
      <c r="D2412" s="5" t="s">
        <v>6636</v>
      </c>
      <c r="E2412" s="8">
        <f>vlookup(B2412,Filmes_final!$B$2:$U$1001,20,FALSE)</f>
        <v>152854</v>
      </c>
      <c r="F2412" s="5">
        <f>vlookup(B2412,Filmes_final!$B$2:$U$1001,3,FALSE)</f>
        <v>2010</v>
      </c>
      <c r="G2412" s="5" t="str">
        <f>vlookup(B2412,Filmes_final!$B$2:$U$1001,13,FALSE)</f>
        <v>Jee-woon Kim</v>
      </c>
    </row>
    <row r="2413">
      <c r="A2413" s="5">
        <v>603.0</v>
      </c>
      <c r="B2413" s="5" t="s">
        <v>3692</v>
      </c>
      <c r="C2413" s="5" t="s">
        <v>3697</v>
      </c>
      <c r="D2413" s="5" t="s">
        <v>6637</v>
      </c>
      <c r="E2413" s="8">
        <f>vlookup(B2413,Filmes_final!$B$2:$U$1001,20,FALSE)</f>
        <v>152854</v>
      </c>
      <c r="F2413" s="5">
        <f>vlookup(B2413,Filmes_final!$B$2:$U$1001,3,FALSE)</f>
        <v>2010</v>
      </c>
      <c r="G2413" s="5" t="str">
        <f>vlookup(B2413,Filmes_final!$B$2:$U$1001,13,FALSE)</f>
        <v>Jee-woon Kim</v>
      </c>
    </row>
    <row r="2414">
      <c r="A2414" s="5">
        <v>604.0</v>
      </c>
      <c r="B2414" s="5" t="s">
        <v>3698</v>
      </c>
      <c r="C2414" s="5" t="s">
        <v>2409</v>
      </c>
      <c r="D2414" s="5" t="s">
        <v>6634</v>
      </c>
      <c r="E2414" s="8">
        <f>vlookup(B2414,Filmes_final!$B$2:$U$1001,20,FALSE)</f>
        <v>120087827</v>
      </c>
      <c r="F2414" s="5">
        <f>vlookup(B2414,Filmes_final!$B$2:$U$1001,3,FALSE)</f>
        <v>2011</v>
      </c>
      <c r="G2414" s="5" t="str">
        <f>vlookup(B2414,Filmes_final!$B$2:$U$1001,13,FALSE)</f>
        <v>David Fincher</v>
      </c>
    </row>
    <row r="2415">
      <c r="A2415" s="5">
        <v>604.0</v>
      </c>
      <c r="B2415" s="5" t="s">
        <v>3698</v>
      </c>
      <c r="C2415" s="5" t="s">
        <v>2183</v>
      </c>
      <c r="D2415" s="5" t="s">
        <v>6635</v>
      </c>
      <c r="E2415" s="8">
        <f>vlookup(B2415,Filmes_final!$B$2:$U$1001,20,FALSE)</f>
        <v>120087827</v>
      </c>
      <c r="F2415" s="5">
        <f>vlookup(B2415,Filmes_final!$B$2:$U$1001,3,FALSE)</f>
        <v>2011</v>
      </c>
      <c r="G2415" s="5" t="str">
        <f>vlookup(B2415,Filmes_final!$B$2:$U$1001,13,FALSE)</f>
        <v>David Fincher</v>
      </c>
    </row>
    <row r="2416">
      <c r="A2416" s="5">
        <v>604.0</v>
      </c>
      <c r="B2416" s="5" t="s">
        <v>3698</v>
      </c>
      <c r="C2416" s="5" t="s">
        <v>1152</v>
      </c>
      <c r="D2416" s="5" t="s">
        <v>6636</v>
      </c>
      <c r="E2416" s="8">
        <f>vlookup(B2416,Filmes_final!$B$2:$U$1001,20,FALSE)</f>
        <v>120087827</v>
      </c>
      <c r="F2416" s="5">
        <f>vlookup(B2416,Filmes_final!$B$2:$U$1001,3,FALSE)</f>
        <v>2011</v>
      </c>
      <c r="G2416" s="5" t="str">
        <f>vlookup(B2416,Filmes_final!$B$2:$U$1001,13,FALSE)</f>
        <v>David Fincher</v>
      </c>
    </row>
    <row r="2417">
      <c r="A2417" s="5">
        <v>604.0</v>
      </c>
      <c r="B2417" s="5" t="s">
        <v>3698</v>
      </c>
      <c r="C2417" s="5" t="s">
        <v>754</v>
      </c>
      <c r="D2417" s="5" t="s">
        <v>6637</v>
      </c>
      <c r="E2417" s="8">
        <f>vlookup(B2417,Filmes_final!$B$2:$U$1001,20,FALSE)</f>
        <v>120087827</v>
      </c>
      <c r="F2417" s="5">
        <f>vlookup(B2417,Filmes_final!$B$2:$U$1001,3,FALSE)</f>
        <v>2011</v>
      </c>
      <c r="G2417" s="5" t="str">
        <f>vlookup(B2417,Filmes_final!$B$2:$U$1001,13,FALSE)</f>
        <v>David Fincher</v>
      </c>
    </row>
    <row r="2418">
      <c r="A2418" s="5">
        <v>605.0</v>
      </c>
      <c r="B2418" s="5" t="s">
        <v>3700</v>
      </c>
      <c r="C2418" s="5" t="s">
        <v>110</v>
      </c>
      <c r="D2418" s="5" t="s">
        <v>6634</v>
      </c>
      <c r="E2418" s="8">
        <f>vlookup(B2418,Filmes_final!$B$2:$U$1001,20,FALSE)</f>
        <v>119979654</v>
      </c>
      <c r="F2418" s="5">
        <f>vlookup(B2418,Filmes_final!$B$2:$U$1001,3,FALSE)</f>
        <v>2013</v>
      </c>
      <c r="G2418" s="5" t="str">
        <f>vlookup(B2418,Filmes_final!$B$2:$U$1001,13,FALSE)</f>
        <v>Paul Greengrass</v>
      </c>
    </row>
    <row r="2419">
      <c r="A2419" s="5">
        <v>605.0</v>
      </c>
      <c r="B2419" s="5" t="s">
        <v>3700</v>
      </c>
      <c r="C2419" s="5" t="s">
        <v>3703</v>
      </c>
      <c r="D2419" s="5" t="s">
        <v>6635</v>
      </c>
      <c r="E2419" s="8">
        <f>vlookup(B2419,Filmes_final!$B$2:$U$1001,20,FALSE)</f>
        <v>119979654</v>
      </c>
      <c r="F2419" s="5">
        <f>vlookup(B2419,Filmes_final!$B$2:$U$1001,3,FALSE)</f>
        <v>2013</v>
      </c>
      <c r="G2419" s="5" t="str">
        <f>vlookup(B2419,Filmes_final!$B$2:$U$1001,13,FALSE)</f>
        <v>Paul Greengrass</v>
      </c>
    </row>
    <row r="2420">
      <c r="A2420" s="5">
        <v>605.0</v>
      </c>
      <c r="B2420" s="5" t="s">
        <v>3700</v>
      </c>
      <c r="C2420" s="5" t="s">
        <v>3704</v>
      </c>
      <c r="D2420" s="5" t="s">
        <v>6636</v>
      </c>
      <c r="E2420" s="8">
        <f>vlookup(B2420,Filmes_final!$B$2:$U$1001,20,FALSE)</f>
        <v>119979654</v>
      </c>
      <c r="F2420" s="5">
        <f>vlookup(B2420,Filmes_final!$B$2:$U$1001,3,FALSE)</f>
        <v>2013</v>
      </c>
      <c r="G2420" s="5" t="str">
        <f>vlookup(B2420,Filmes_final!$B$2:$U$1001,13,FALSE)</f>
        <v>Paul Greengrass</v>
      </c>
    </row>
    <row r="2421">
      <c r="A2421" s="5">
        <v>605.0</v>
      </c>
      <c r="B2421" s="5" t="s">
        <v>3700</v>
      </c>
      <c r="C2421" s="5" t="s">
        <v>1608</v>
      </c>
      <c r="D2421" s="5" t="s">
        <v>6637</v>
      </c>
      <c r="E2421" s="8">
        <f>vlookup(B2421,Filmes_final!$B$2:$U$1001,20,FALSE)</f>
        <v>119979654</v>
      </c>
      <c r="F2421" s="5">
        <f>vlookup(B2421,Filmes_final!$B$2:$U$1001,3,FALSE)</f>
        <v>2013</v>
      </c>
      <c r="G2421" s="5" t="str">
        <f>vlookup(B2421,Filmes_final!$B$2:$U$1001,13,FALSE)</f>
        <v>Paul Greengrass</v>
      </c>
    </row>
    <row r="2422">
      <c r="A2422" s="5">
        <v>606.0</v>
      </c>
      <c r="B2422" s="5" t="s">
        <v>3705</v>
      </c>
      <c r="C2422" s="5" t="s">
        <v>1635</v>
      </c>
      <c r="D2422" s="5" t="s">
        <v>6634</v>
      </c>
      <c r="E2422" s="8">
        <f>vlookup(B2422,Filmes_final!$B$2:$U$1001,20,FALSE)</f>
        <v>7691</v>
      </c>
      <c r="F2422" s="5">
        <f>vlookup(B2422,Filmes_final!$B$2:$U$1001,3,FALSE)</f>
        <v>2010</v>
      </c>
      <c r="G2422" s="5" t="str">
        <f>vlookup(B2422,Filmes_final!$B$2:$U$1001,13,FALSE)</f>
        <v>Jeong-beom Lee</v>
      </c>
    </row>
    <row r="2423">
      <c r="A2423" s="5">
        <v>606.0</v>
      </c>
      <c r="B2423" s="5" t="s">
        <v>3705</v>
      </c>
      <c r="C2423" s="5" t="s">
        <v>3709</v>
      </c>
      <c r="D2423" s="5" t="s">
        <v>6635</v>
      </c>
      <c r="E2423" s="8">
        <f>vlookup(B2423,Filmes_final!$B$2:$U$1001,20,FALSE)</f>
        <v>7691</v>
      </c>
      <c r="F2423" s="5">
        <f>vlookup(B2423,Filmes_final!$B$2:$U$1001,3,FALSE)</f>
        <v>2010</v>
      </c>
      <c r="G2423" s="5" t="str">
        <f>vlookup(B2423,Filmes_final!$B$2:$U$1001,13,FALSE)</f>
        <v>Jeong-beom Lee</v>
      </c>
    </row>
    <row r="2424">
      <c r="A2424" s="5">
        <v>606.0</v>
      </c>
      <c r="B2424" s="5" t="s">
        <v>3705</v>
      </c>
      <c r="C2424" s="5" t="s">
        <v>3710</v>
      </c>
      <c r="D2424" s="5" t="s">
        <v>6636</v>
      </c>
      <c r="E2424" s="8">
        <f>vlookup(B2424,Filmes_final!$B$2:$U$1001,20,FALSE)</f>
        <v>7691</v>
      </c>
      <c r="F2424" s="5">
        <f>vlookup(B2424,Filmes_final!$B$2:$U$1001,3,FALSE)</f>
        <v>2010</v>
      </c>
      <c r="G2424" s="5" t="str">
        <f>vlookup(B2424,Filmes_final!$B$2:$U$1001,13,FALSE)</f>
        <v>Jeong-beom Lee</v>
      </c>
    </row>
    <row r="2425">
      <c r="A2425" s="5">
        <v>606.0</v>
      </c>
      <c r="B2425" s="5" t="s">
        <v>3705</v>
      </c>
      <c r="C2425" s="5" t="s">
        <v>3711</v>
      </c>
      <c r="D2425" s="5" t="s">
        <v>6637</v>
      </c>
      <c r="E2425" s="8">
        <f>vlookup(B2425,Filmes_final!$B$2:$U$1001,20,FALSE)</f>
        <v>7691</v>
      </c>
      <c r="F2425" s="5">
        <f>vlookup(B2425,Filmes_final!$B$2:$U$1001,3,FALSE)</f>
        <v>2010</v>
      </c>
      <c r="G2425" s="5" t="str">
        <f>vlookup(B2425,Filmes_final!$B$2:$U$1001,13,FALSE)</f>
        <v>Jeong-beom Lee</v>
      </c>
    </row>
    <row r="2426">
      <c r="A2426" s="5">
        <v>607.0</v>
      </c>
      <c r="B2426" s="5" t="s">
        <v>3712</v>
      </c>
      <c r="C2426" s="5" t="s">
        <v>3715</v>
      </c>
      <c r="D2426" s="5" t="s">
        <v>6634</v>
      </c>
      <c r="E2426" s="8">
        <f>vlookup(B2426,Filmes_final!$B$2:$U$1001,20,FALSE)</f>
        <v>177933711</v>
      </c>
      <c r="F2426" s="5">
        <f>vlookup(B2426,Filmes_final!$B$2:$U$1001,3,FALSE)</f>
        <v>2015</v>
      </c>
      <c r="G2426" s="5" t="str">
        <f>vlookup(B2426,Filmes_final!$B$2:$U$1001,13,FALSE)</f>
        <v>F. Gary Gray</v>
      </c>
    </row>
    <row r="2427">
      <c r="A2427" s="5">
        <v>607.0</v>
      </c>
      <c r="B2427" s="5" t="s">
        <v>3712</v>
      </c>
      <c r="C2427" s="5" t="s">
        <v>3716</v>
      </c>
      <c r="D2427" s="5" t="s">
        <v>6635</v>
      </c>
      <c r="E2427" s="8">
        <f>vlookup(B2427,Filmes_final!$B$2:$U$1001,20,FALSE)</f>
        <v>177933711</v>
      </c>
      <c r="F2427" s="5">
        <f>vlookup(B2427,Filmes_final!$B$2:$U$1001,3,FALSE)</f>
        <v>2015</v>
      </c>
      <c r="G2427" s="5" t="str">
        <f>vlookup(B2427,Filmes_final!$B$2:$U$1001,13,FALSE)</f>
        <v>F. Gary Gray</v>
      </c>
    </row>
    <row r="2428">
      <c r="A2428" s="5">
        <v>607.0</v>
      </c>
      <c r="B2428" s="5" t="s">
        <v>3712</v>
      </c>
      <c r="C2428" s="5" t="s">
        <v>3717</v>
      </c>
      <c r="D2428" s="5" t="s">
        <v>6636</v>
      </c>
      <c r="E2428" s="8">
        <f>vlookup(B2428,Filmes_final!$B$2:$U$1001,20,FALSE)</f>
        <v>177933711</v>
      </c>
      <c r="F2428" s="5">
        <f>vlookup(B2428,Filmes_final!$B$2:$U$1001,3,FALSE)</f>
        <v>2015</v>
      </c>
      <c r="G2428" s="5" t="str">
        <f>vlookup(B2428,Filmes_final!$B$2:$U$1001,13,FALSE)</f>
        <v>F. Gary Gray</v>
      </c>
    </row>
    <row r="2429">
      <c r="A2429" s="5">
        <v>607.0</v>
      </c>
      <c r="B2429" s="5" t="s">
        <v>3712</v>
      </c>
      <c r="C2429" s="5" t="s">
        <v>3718</v>
      </c>
      <c r="D2429" s="5" t="s">
        <v>6637</v>
      </c>
      <c r="E2429" s="8">
        <f>vlookup(B2429,Filmes_final!$B$2:$U$1001,20,FALSE)</f>
        <v>177933711</v>
      </c>
      <c r="F2429" s="5">
        <f>vlookup(B2429,Filmes_final!$B$2:$U$1001,3,FALSE)</f>
        <v>2015</v>
      </c>
      <c r="G2429" s="5" t="str">
        <f>vlookup(B2429,Filmes_final!$B$2:$U$1001,13,FALSE)</f>
        <v>F. Gary Gray</v>
      </c>
    </row>
    <row r="2430">
      <c r="A2430" s="5">
        <v>608.0</v>
      </c>
      <c r="B2430" s="5" t="s">
        <v>3719</v>
      </c>
      <c r="C2430" s="5" t="s">
        <v>3721</v>
      </c>
      <c r="D2430" s="5" t="s">
        <v>6634</v>
      </c>
      <c r="E2430" s="8">
        <f>vlookup(B2430,Filmes_final!$B$2:$U$1001,20,FALSE)</f>
        <v>668672</v>
      </c>
      <c r="F2430" s="5">
        <f>vlookup(B2430,Filmes_final!$B$2:$U$1001,3,FALSE)</f>
        <v>2009</v>
      </c>
      <c r="G2430" s="5" t="str">
        <f>vlookup(B2430,Filmes_final!$B$2:$U$1001,13,FALSE)</f>
        <v>Bong Joon Ho</v>
      </c>
    </row>
    <row r="2431">
      <c r="A2431" s="5">
        <v>608.0</v>
      </c>
      <c r="B2431" s="5" t="s">
        <v>3719</v>
      </c>
      <c r="C2431" s="5" t="s">
        <v>1635</v>
      </c>
      <c r="D2431" s="5" t="s">
        <v>6635</v>
      </c>
      <c r="E2431" s="8">
        <f>vlookup(B2431,Filmes_final!$B$2:$U$1001,20,FALSE)</f>
        <v>668672</v>
      </c>
      <c r="F2431" s="5">
        <f>vlookup(B2431,Filmes_final!$B$2:$U$1001,3,FALSE)</f>
        <v>2009</v>
      </c>
      <c r="G2431" s="5" t="str">
        <f>vlookup(B2431,Filmes_final!$B$2:$U$1001,13,FALSE)</f>
        <v>Bong Joon Ho</v>
      </c>
    </row>
    <row r="2432">
      <c r="A2432" s="5">
        <v>608.0</v>
      </c>
      <c r="B2432" s="5" t="s">
        <v>3719</v>
      </c>
      <c r="C2432" s="5" t="s">
        <v>3722</v>
      </c>
      <c r="D2432" s="5" t="s">
        <v>6636</v>
      </c>
      <c r="E2432" s="8">
        <f>vlookup(B2432,Filmes_final!$B$2:$U$1001,20,FALSE)</f>
        <v>668672</v>
      </c>
      <c r="F2432" s="5">
        <f>vlookup(B2432,Filmes_final!$B$2:$U$1001,3,FALSE)</f>
        <v>2009</v>
      </c>
      <c r="G2432" s="5" t="str">
        <f>vlookup(B2432,Filmes_final!$B$2:$U$1001,13,FALSE)</f>
        <v>Bong Joon Ho</v>
      </c>
    </row>
    <row r="2433">
      <c r="A2433" s="5">
        <v>608.0</v>
      </c>
      <c r="B2433" s="5" t="s">
        <v>3719</v>
      </c>
      <c r="C2433" s="5" t="s">
        <v>3723</v>
      </c>
      <c r="D2433" s="5" t="s">
        <v>6637</v>
      </c>
      <c r="E2433" s="8">
        <f>vlookup(B2433,Filmes_final!$B$2:$U$1001,20,FALSE)</f>
        <v>668672</v>
      </c>
      <c r="F2433" s="5">
        <f>vlookup(B2433,Filmes_final!$B$2:$U$1001,3,FALSE)</f>
        <v>2009</v>
      </c>
      <c r="G2433" s="5" t="str">
        <f>vlookup(B2433,Filmes_final!$B$2:$U$1001,13,FALSE)</f>
        <v>Bong Joon Ho</v>
      </c>
    </row>
    <row r="2434">
      <c r="A2434" s="5">
        <v>609.0</v>
      </c>
      <c r="B2434" s="5" t="s">
        <v>3724</v>
      </c>
      <c r="C2434" s="5" t="s">
        <v>3727</v>
      </c>
      <c r="D2434" s="5" t="s">
        <v>6634</v>
      </c>
      <c r="E2434" s="8">
        <f>vlookup(B2434,Filmes_final!$B$2:$U$1001,20,FALSE)</f>
        <v>44603205</v>
      </c>
      <c r="F2434" s="5">
        <f>vlookup(B2434,Filmes_final!$B$2:$U$1001,3,FALSE)</f>
        <v>2008</v>
      </c>
      <c r="G2434" s="5" t="str">
        <f>vlookup(B2434,Filmes_final!$B$2:$U$1001,13,FALSE)</f>
        <v>Hong-jin Na</v>
      </c>
    </row>
    <row r="2435">
      <c r="A2435" s="5">
        <v>609.0</v>
      </c>
      <c r="B2435" s="5" t="s">
        <v>3724</v>
      </c>
      <c r="C2435" s="5" t="s">
        <v>1402</v>
      </c>
      <c r="D2435" s="5" t="s">
        <v>6635</v>
      </c>
      <c r="E2435" s="8">
        <f>vlookup(B2435,Filmes_final!$B$2:$U$1001,20,FALSE)</f>
        <v>44603205</v>
      </c>
      <c r="F2435" s="5">
        <f>vlookup(B2435,Filmes_final!$B$2:$U$1001,3,FALSE)</f>
        <v>2008</v>
      </c>
      <c r="G2435" s="5" t="str">
        <f>vlookup(B2435,Filmes_final!$B$2:$U$1001,13,FALSE)</f>
        <v>Hong-jin Na</v>
      </c>
    </row>
    <row r="2436">
      <c r="A2436" s="5">
        <v>609.0</v>
      </c>
      <c r="B2436" s="5" t="s">
        <v>3724</v>
      </c>
      <c r="C2436" s="5" t="s">
        <v>3728</v>
      </c>
      <c r="D2436" s="5" t="s">
        <v>6636</v>
      </c>
      <c r="E2436" s="8">
        <f>vlookup(B2436,Filmes_final!$B$2:$U$1001,20,FALSE)</f>
        <v>44603205</v>
      </c>
      <c r="F2436" s="5">
        <f>vlookup(B2436,Filmes_final!$B$2:$U$1001,3,FALSE)</f>
        <v>2008</v>
      </c>
      <c r="G2436" s="5" t="str">
        <f>vlookup(B2436,Filmes_final!$B$2:$U$1001,13,FALSE)</f>
        <v>Hong-jin Na</v>
      </c>
    </row>
    <row r="2437">
      <c r="A2437" s="5">
        <v>609.0</v>
      </c>
      <c r="B2437" s="5" t="s">
        <v>3724</v>
      </c>
      <c r="C2437" s="5" t="s">
        <v>3729</v>
      </c>
      <c r="D2437" s="5" t="s">
        <v>6637</v>
      </c>
      <c r="E2437" s="8">
        <f>vlookup(B2437,Filmes_final!$B$2:$U$1001,20,FALSE)</f>
        <v>44603205</v>
      </c>
      <c r="F2437" s="5">
        <f>vlookup(B2437,Filmes_final!$B$2:$U$1001,3,FALSE)</f>
        <v>2008</v>
      </c>
      <c r="G2437" s="5" t="str">
        <f>vlookup(B2437,Filmes_final!$B$2:$U$1001,13,FALSE)</f>
        <v>Hong-jin Na</v>
      </c>
    </row>
    <row r="2438">
      <c r="A2438" s="5">
        <v>610.0</v>
      </c>
      <c r="B2438" s="5" t="s">
        <v>3730</v>
      </c>
      <c r="C2438" s="5" t="s">
        <v>67</v>
      </c>
      <c r="D2438" s="5" t="s">
        <v>6634</v>
      </c>
      <c r="E2438" s="8">
        <f>vlookup(B2438,Filmes_final!$B$2:$U$1001,20,FALSE)</f>
        <v>289435278</v>
      </c>
      <c r="F2438" s="5">
        <f>vlookup(B2438,Filmes_final!$B$2:$U$1001,3,FALSE)</f>
        <v>2013</v>
      </c>
      <c r="G2438" s="5" t="str">
        <f>vlookup(B2438,Filmes_final!$B$2:$U$1001,13,FALSE)</f>
        <v>Peter Jackson</v>
      </c>
    </row>
    <row r="2439">
      <c r="A2439" s="5">
        <v>610.0</v>
      </c>
      <c r="B2439" s="5" t="s">
        <v>3730</v>
      </c>
      <c r="C2439" s="5" t="s">
        <v>3733</v>
      </c>
      <c r="D2439" s="5" t="s">
        <v>6635</v>
      </c>
      <c r="E2439" s="8">
        <f>vlookup(B2439,Filmes_final!$B$2:$U$1001,20,FALSE)</f>
        <v>289435278</v>
      </c>
      <c r="F2439" s="5">
        <f>vlookup(B2439,Filmes_final!$B$2:$U$1001,3,FALSE)</f>
        <v>2013</v>
      </c>
      <c r="G2439" s="5" t="str">
        <f>vlookup(B2439,Filmes_final!$B$2:$U$1001,13,FALSE)</f>
        <v>Peter Jackson</v>
      </c>
    </row>
    <row r="2440">
      <c r="A2440" s="5">
        <v>610.0</v>
      </c>
      <c r="B2440" s="5" t="s">
        <v>3730</v>
      </c>
      <c r="C2440" s="5" t="s">
        <v>3734</v>
      </c>
      <c r="D2440" s="5" t="s">
        <v>6636</v>
      </c>
      <c r="E2440" s="8">
        <f>vlookup(B2440,Filmes_final!$B$2:$U$1001,20,FALSE)</f>
        <v>289435278</v>
      </c>
      <c r="F2440" s="5">
        <f>vlookup(B2440,Filmes_final!$B$2:$U$1001,3,FALSE)</f>
        <v>2013</v>
      </c>
      <c r="G2440" s="5" t="str">
        <f>vlookup(B2440,Filmes_final!$B$2:$U$1001,13,FALSE)</f>
        <v>Peter Jackson</v>
      </c>
    </row>
    <row r="2441">
      <c r="A2441" s="5">
        <v>610.0</v>
      </c>
      <c r="B2441" s="5" t="s">
        <v>3730</v>
      </c>
      <c r="C2441" s="5" t="s">
        <v>3735</v>
      </c>
      <c r="D2441" s="5" t="s">
        <v>6637</v>
      </c>
      <c r="E2441" s="8">
        <f>vlookup(B2441,Filmes_final!$B$2:$U$1001,20,FALSE)</f>
        <v>289435278</v>
      </c>
      <c r="F2441" s="5">
        <f>vlookup(B2441,Filmes_final!$B$2:$U$1001,3,FALSE)</f>
        <v>2013</v>
      </c>
      <c r="G2441" s="5" t="str">
        <f>vlookup(B2441,Filmes_final!$B$2:$U$1001,13,FALSE)</f>
        <v>Peter Jackson</v>
      </c>
    </row>
    <row r="2442">
      <c r="A2442" s="5">
        <v>611.0</v>
      </c>
      <c r="B2442" s="5" t="s">
        <v>3736</v>
      </c>
      <c r="C2442" s="5" t="s">
        <v>3739</v>
      </c>
      <c r="D2442" s="5" t="s">
        <v>6634</v>
      </c>
      <c r="E2442" s="8">
        <f>vlookup(B2442,Filmes_final!$B$2:$U$1001,20,FALSE)</f>
        <v>2715593</v>
      </c>
      <c r="F2442" s="5">
        <f>vlookup(B2442,Filmes_final!$B$2:$U$1001,3,FALSE)</f>
        <v>2009</v>
      </c>
      <c r="G2442" s="5" t="str">
        <f>vlookup(B2442,Filmes_final!$B$2:$U$1001,13,FALSE)</f>
        <v>Michael Haneke</v>
      </c>
    </row>
    <row r="2443">
      <c r="A2443" s="5">
        <v>611.0</v>
      </c>
      <c r="B2443" s="5" t="s">
        <v>3736</v>
      </c>
      <c r="C2443" s="5" t="s">
        <v>3740</v>
      </c>
      <c r="D2443" s="5" t="s">
        <v>6635</v>
      </c>
      <c r="E2443" s="8">
        <f>vlookup(B2443,Filmes_final!$B$2:$U$1001,20,FALSE)</f>
        <v>2715593</v>
      </c>
      <c r="F2443" s="5">
        <f>vlookup(B2443,Filmes_final!$B$2:$U$1001,3,FALSE)</f>
        <v>2009</v>
      </c>
      <c r="G2443" s="5" t="str">
        <f>vlookup(B2443,Filmes_final!$B$2:$U$1001,13,FALSE)</f>
        <v>Michael Haneke</v>
      </c>
    </row>
    <row r="2444">
      <c r="A2444" s="5">
        <v>611.0</v>
      </c>
      <c r="B2444" s="5" t="s">
        <v>3736</v>
      </c>
      <c r="C2444" s="5" t="s">
        <v>3741</v>
      </c>
      <c r="D2444" s="5" t="s">
        <v>6636</v>
      </c>
      <c r="E2444" s="8">
        <f>vlookup(B2444,Filmes_final!$B$2:$U$1001,20,FALSE)</f>
        <v>2715593</v>
      </c>
      <c r="F2444" s="5">
        <f>vlookup(B2444,Filmes_final!$B$2:$U$1001,3,FALSE)</f>
        <v>2009</v>
      </c>
      <c r="G2444" s="5" t="str">
        <f>vlookup(B2444,Filmes_final!$B$2:$U$1001,13,FALSE)</f>
        <v>Michael Haneke</v>
      </c>
    </row>
    <row r="2445">
      <c r="A2445" s="5">
        <v>611.0</v>
      </c>
      <c r="B2445" s="5" t="s">
        <v>3736</v>
      </c>
      <c r="C2445" s="5" t="s">
        <v>533</v>
      </c>
      <c r="D2445" s="5" t="s">
        <v>6637</v>
      </c>
      <c r="E2445" s="8">
        <f>vlookup(B2445,Filmes_final!$B$2:$U$1001,20,FALSE)</f>
        <v>2715593</v>
      </c>
      <c r="F2445" s="5">
        <f>vlookup(B2445,Filmes_final!$B$2:$U$1001,3,FALSE)</f>
        <v>2009</v>
      </c>
      <c r="G2445" s="5" t="str">
        <f>vlookup(B2445,Filmes_final!$B$2:$U$1001,13,FALSE)</f>
        <v>Michael Haneke</v>
      </c>
    </row>
    <row r="2446">
      <c r="A2446" s="5">
        <v>612.0</v>
      </c>
      <c r="B2446" s="5" t="s">
        <v>3742</v>
      </c>
      <c r="C2446" s="5" t="s">
        <v>3745</v>
      </c>
      <c r="D2446" s="5" t="s">
        <v>6634</v>
      </c>
      <c r="E2446" s="8">
        <f>vlookup(B2446,Filmes_final!$B$2:$U$1001,20,FALSE)</f>
        <v>12334111</v>
      </c>
      <c r="F2446" s="5">
        <f>vlookup(B2446,Filmes_final!$B$2:$U$1001,3,FALSE)</f>
        <v>2009</v>
      </c>
      <c r="G2446" s="5" t="str">
        <f>vlookup(B2446,Filmes_final!$B$2:$U$1001,13,FALSE)</f>
        <v>Niels Arden Oplev</v>
      </c>
    </row>
    <row r="2447">
      <c r="A2447" s="5">
        <v>612.0</v>
      </c>
      <c r="B2447" s="5" t="s">
        <v>3742</v>
      </c>
      <c r="C2447" s="5" t="s">
        <v>3746</v>
      </c>
      <c r="D2447" s="5" t="s">
        <v>6635</v>
      </c>
      <c r="E2447" s="8">
        <f>vlookup(B2447,Filmes_final!$B$2:$U$1001,20,FALSE)</f>
        <v>12334111</v>
      </c>
      <c r="F2447" s="5">
        <f>vlookup(B2447,Filmes_final!$B$2:$U$1001,3,FALSE)</f>
        <v>2009</v>
      </c>
      <c r="G2447" s="5" t="str">
        <f>vlookup(B2447,Filmes_final!$B$2:$U$1001,13,FALSE)</f>
        <v>Niels Arden Oplev</v>
      </c>
    </row>
    <row r="2448">
      <c r="A2448" s="5">
        <v>612.0</v>
      </c>
      <c r="B2448" s="5" t="s">
        <v>3742</v>
      </c>
      <c r="C2448" s="5" t="s">
        <v>3747</v>
      </c>
      <c r="D2448" s="5" t="s">
        <v>6636</v>
      </c>
      <c r="E2448" s="8">
        <f>vlookup(B2448,Filmes_final!$B$2:$U$1001,20,FALSE)</f>
        <v>12334111</v>
      </c>
      <c r="F2448" s="5">
        <f>vlookup(B2448,Filmes_final!$B$2:$U$1001,3,FALSE)</f>
        <v>2009</v>
      </c>
      <c r="G2448" s="5" t="str">
        <f>vlookup(B2448,Filmes_final!$B$2:$U$1001,13,FALSE)</f>
        <v>Niels Arden Oplev</v>
      </c>
    </row>
    <row r="2449">
      <c r="A2449" s="5">
        <v>612.0</v>
      </c>
      <c r="B2449" s="5" t="s">
        <v>3742</v>
      </c>
      <c r="C2449" s="5" t="s">
        <v>3748</v>
      </c>
      <c r="D2449" s="5" t="s">
        <v>6637</v>
      </c>
      <c r="E2449" s="8">
        <f>vlookup(B2449,Filmes_final!$B$2:$U$1001,20,FALSE)</f>
        <v>12334111</v>
      </c>
      <c r="F2449" s="5">
        <f>vlookup(B2449,Filmes_final!$B$2:$U$1001,3,FALSE)</f>
        <v>2009</v>
      </c>
      <c r="G2449" s="5" t="str">
        <f>vlookup(B2449,Filmes_final!$B$2:$U$1001,13,FALSE)</f>
        <v>Niels Arden Oplev</v>
      </c>
    </row>
    <row r="2450">
      <c r="A2450" s="5">
        <v>613.0</v>
      </c>
      <c r="B2450" s="5" t="s">
        <v>3749</v>
      </c>
      <c r="C2450" s="5" t="s">
        <v>3752</v>
      </c>
      <c r="D2450" s="5" t="s">
        <v>6634</v>
      </c>
      <c r="E2450" s="8">
        <f>vlookup(B2450,Filmes_final!$B$2:$U$1001,20,FALSE)</f>
        <v>35000000</v>
      </c>
      <c r="F2450" s="5">
        <f>vlookup(B2450,Filmes_final!$B$2:$U$1001,3,FALSE)</f>
        <v>2020</v>
      </c>
      <c r="G2450" s="5" t="str">
        <f>vlookup(B2450,Filmes_final!$B$2:$U$1001,13,FALSE)</f>
        <v>Aaron Sorkin</v>
      </c>
    </row>
    <row r="2451">
      <c r="A2451" s="5">
        <v>613.0</v>
      </c>
      <c r="B2451" s="5" t="s">
        <v>3749</v>
      </c>
      <c r="C2451" s="5" t="s">
        <v>3753</v>
      </c>
      <c r="D2451" s="5" t="s">
        <v>6635</v>
      </c>
      <c r="E2451" s="8">
        <f>vlookup(B2451,Filmes_final!$B$2:$U$1001,20,FALSE)</f>
        <v>35000000</v>
      </c>
      <c r="F2451" s="5">
        <f>vlookup(B2451,Filmes_final!$B$2:$U$1001,3,FALSE)</f>
        <v>2020</v>
      </c>
      <c r="G2451" s="5" t="str">
        <f>vlookup(B2451,Filmes_final!$B$2:$U$1001,13,FALSE)</f>
        <v>Aaron Sorkin</v>
      </c>
    </row>
    <row r="2452">
      <c r="A2452" s="5">
        <v>613.0</v>
      </c>
      <c r="B2452" s="5" t="s">
        <v>3749</v>
      </c>
      <c r="C2452" s="5" t="s">
        <v>3754</v>
      </c>
      <c r="D2452" s="5" t="s">
        <v>6636</v>
      </c>
      <c r="E2452" s="8">
        <f>vlookup(B2452,Filmes_final!$B$2:$U$1001,20,FALSE)</f>
        <v>35000000</v>
      </c>
      <c r="F2452" s="5">
        <f>vlookup(B2452,Filmes_final!$B$2:$U$1001,3,FALSE)</f>
        <v>2020</v>
      </c>
      <c r="G2452" s="5" t="str">
        <f>vlookup(B2452,Filmes_final!$B$2:$U$1001,13,FALSE)</f>
        <v>Aaron Sorkin</v>
      </c>
    </row>
    <row r="2453">
      <c r="A2453" s="5">
        <v>613.0</v>
      </c>
      <c r="B2453" s="5" t="s">
        <v>3749</v>
      </c>
      <c r="C2453" s="5" t="s">
        <v>3518</v>
      </c>
      <c r="D2453" s="5" t="s">
        <v>6637</v>
      </c>
      <c r="E2453" s="8">
        <f>vlookup(B2453,Filmes_final!$B$2:$U$1001,20,FALSE)</f>
        <v>35000000</v>
      </c>
      <c r="F2453" s="5">
        <f>vlookup(B2453,Filmes_final!$B$2:$U$1001,3,FALSE)</f>
        <v>2020</v>
      </c>
      <c r="G2453" s="5" t="str">
        <f>vlookup(B2453,Filmes_final!$B$2:$U$1001,13,FALSE)</f>
        <v>Aaron Sorkin</v>
      </c>
    </row>
    <row r="2454">
      <c r="A2454" s="5">
        <v>614.0</v>
      </c>
      <c r="B2454" s="5" t="s">
        <v>3755</v>
      </c>
      <c r="C2454" s="5" t="s">
        <v>673</v>
      </c>
      <c r="D2454" s="5" t="s">
        <v>6634</v>
      </c>
      <c r="E2454" s="8">
        <f>vlookup(B2454,Filmes_final!$B$2:$U$1001,20,FALSE)</f>
        <v>12467792</v>
      </c>
      <c r="F2454" s="5">
        <f>vlookup(B2454,Filmes_final!$B$2:$U$1001,3,FALSE)</f>
        <v>2020</v>
      </c>
      <c r="G2454" s="5" t="str">
        <f>vlookup(B2454,Filmes_final!$B$2:$U$1001,13,FALSE)</f>
        <v>Thomas Vinterberg</v>
      </c>
    </row>
    <row r="2455">
      <c r="A2455" s="5">
        <v>614.0</v>
      </c>
      <c r="B2455" s="5" t="s">
        <v>3755</v>
      </c>
      <c r="C2455" s="5" t="s">
        <v>674</v>
      </c>
      <c r="D2455" s="5" t="s">
        <v>6635</v>
      </c>
      <c r="E2455" s="8">
        <f>vlookup(B2455,Filmes_final!$B$2:$U$1001,20,FALSE)</f>
        <v>12467792</v>
      </c>
      <c r="F2455" s="5">
        <f>vlookup(B2455,Filmes_final!$B$2:$U$1001,3,FALSE)</f>
        <v>2020</v>
      </c>
      <c r="G2455" s="5" t="str">
        <f>vlookup(B2455,Filmes_final!$B$2:$U$1001,13,FALSE)</f>
        <v>Thomas Vinterberg</v>
      </c>
    </row>
    <row r="2456">
      <c r="A2456" s="5">
        <v>614.0</v>
      </c>
      <c r="B2456" s="5" t="s">
        <v>3755</v>
      </c>
      <c r="C2456" s="5" t="s">
        <v>3757</v>
      </c>
      <c r="D2456" s="5" t="s">
        <v>6636</v>
      </c>
      <c r="E2456" s="8">
        <f>vlookup(B2456,Filmes_final!$B$2:$U$1001,20,FALSE)</f>
        <v>12467792</v>
      </c>
      <c r="F2456" s="5">
        <f>vlookup(B2456,Filmes_final!$B$2:$U$1001,3,FALSE)</f>
        <v>2020</v>
      </c>
      <c r="G2456" s="5" t="str">
        <f>vlookup(B2456,Filmes_final!$B$2:$U$1001,13,FALSE)</f>
        <v>Thomas Vinterberg</v>
      </c>
    </row>
    <row r="2457">
      <c r="A2457" s="5">
        <v>614.0</v>
      </c>
      <c r="B2457" s="5" t="s">
        <v>3755</v>
      </c>
      <c r="C2457" s="5" t="s">
        <v>3758</v>
      </c>
      <c r="D2457" s="5" t="s">
        <v>6637</v>
      </c>
      <c r="E2457" s="8">
        <f>vlookup(B2457,Filmes_final!$B$2:$U$1001,20,FALSE)</f>
        <v>12467792</v>
      </c>
      <c r="F2457" s="5">
        <f>vlookup(B2457,Filmes_final!$B$2:$U$1001,3,FALSE)</f>
        <v>2020</v>
      </c>
      <c r="G2457" s="5" t="str">
        <f>vlookup(B2457,Filmes_final!$B$2:$U$1001,13,FALSE)</f>
        <v>Thomas Vinterberg</v>
      </c>
    </row>
    <row r="2458">
      <c r="A2458" s="5">
        <v>615.0</v>
      </c>
      <c r="B2458" s="5" t="s">
        <v>3759</v>
      </c>
      <c r="C2458" s="5" t="s">
        <v>311</v>
      </c>
      <c r="D2458" s="5" t="s">
        <v>6634</v>
      </c>
      <c r="E2458" s="8">
        <f>vlookup(B2458,Filmes_final!$B$2:$U$1001,20,FALSE)</f>
        <v>111453264</v>
      </c>
      <c r="F2458" s="5">
        <f>vlookup(B2458,Filmes_final!$B$2:$U$1001,3,FALSE)</f>
        <v>2010</v>
      </c>
      <c r="G2458" s="5" t="str">
        <f>vlookup(B2458,Filmes_final!$B$2:$U$1001,13,FALSE)</f>
        <v>David O. Russell</v>
      </c>
    </row>
    <row r="2459">
      <c r="A2459" s="5">
        <v>615.0</v>
      </c>
      <c r="B2459" s="5" t="s">
        <v>3759</v>
      </c>
      <c r="C2459" s="5" t="s">
        <v>42</v>
      </c>
      <c r="D2459" s="5" t="s">
        <v>6635</v>
      </c>
      <c r="E2459" s="8">
        <f>vlookup(B2459,Filmes_final!$B$2:$U$1001,20,FALSE)</f>
        <v>111453264</v>
      </c>
      <c r="F2459" s="5">
        <f>vlookup(B2459,Filmes_final!$B$2:$U$1001,3,FALSE)</f>
        <v>2010</v>
      </c>
      <c r="G2459" s="5" t="str">
        <f>vlookup(B2459,Filmes_final!$B$2:$U$1001,13,FALSE)</f>
        <v>David O. Russell</v>
      </c>
    </row>
    <row r="2460">
      <c r="A2460" s="5">
        <v>615.0</v>
      </c>
      <c r="B2460" s="5" t="s">
        <v>3759</v>
      </c>
      <c r="C2460" s="5" t="s">
        <v>2254</v>
      </c>
      <c r="D2460" s="5" t="s">
        <v>6636</v>
      </c>
      <c r="E2460" s="8">
        <f>vlookup(B2460,Filmes_final!$B$2:$U$1001,20,FALSE)</f>
        <v>111453264</v>
      </c>
      <c r="F2460" s="5">
        <f>vlookup(B2460,Filmes_final!$B$2:$U$1001,3,FALSE)</f>
        <v>2010</v>
      </c>
      <c r="G2460" s="5" t="str">
        <f>vlookup(B2460,Filmes_final!$B$2:$U$1001,13,FALSE)</f>
        <v>David O. Russell</v>
      </c>
    </row>
    <row r="2461">
      <c r="A2461" s="5">
        <v>615.0</v>
      </c>
      <c r="B2461" s="5" t="s">
        <v>3759</v>
      </c>
      <c r="C2461" s="5" t="s">
        <v>1544</v>
      </c>
      <c r="D2461" s="5" t="s">
        <v>6637</v>
      </c>
      <c r="E2461" s="8">
        <f>vlookup(B2461,Filmes_final!$B$2:$U$1001,20,FALSE)</f>
        <v>111453264</v>
      </c>
      <c r="F2461" s="5">
        <f>vlookup(B2461,Filmes_final!$B$2:$U$1001,3,FALSE)</f>
        <v>2010</v>
      </c>
      <c r="G2461" s="5" t="str">
        <f>vlookup(B2461,Filmes_final!$B$2:$U$1001,13,FALSE)</f>
        <v>David O. Russell</v>
      </c>
    </row>
    <row r="2462">
      <c r="A2462" s="5">
        <v>616.0</v>
      </c>
      <c r="B2462" s="5" t="s">
        <v>3762</v>
      </c>
      <c r="C2462" s="5" t="s">
        <v>82</v>
      </c>
      <c r="D2462" s="5" t="s">
        <v>6634</v>
      </c>
      <c r="E2462" s="8">
        <f>vlookup(B2462,Filmes_final!$B$2:$U$1001,20,FALSE)</f>
        <v>177212669</v>
      </c>
      <c r="F2462" s="5">
        <f>vlookup(B2462,Filmes_final!$B$2:$U$1001,3,FALSE)</f>
        <v>2008</v>
      </c>
      <c r="G2462" s="5" t="str">
        <f>vlookup(B2462,Filmes_final!$B$2:$U$1001,13,FALSE)</f>
        <v>Pierre Morel</v>
      </c>
    </row>
    <row r="2463">
      <c r="A2463" s="5">
        <v>616.0</v>
      </c>
      <c r="B2463" s="5" t="s">
        <v>3762</v>
      </c>
      <c r="C2463" s="5" t="s">
        <v>3765</v>
      </c>
      <c r="D2463" s="5" t="s">
        <v>6635</v>
      </c>
      <c r="E2463" s="8">
        <f>vlookup(B2463,Filmes_final!$B$2:$U$1001,20,FALSE)</f>
        <v>177212669</v>
      </c>
      <c r="F2463" s="5">
        <f>vlookup(B2463,Filmes_final!$B$2:$U$1001,3,FALSE)</f>
        <v>2008</v>
      </c>
      <c r="G2463" s="5" t="str">
        <f>vlookup(B2463,Filmes_final!$B$2:$U$1001,13,FALSE)</f>
        <v>Pierre Morel</v>
      </c>
    </row>
    <row r="2464">
      <c r="A2464" s="5">
        <v>616.0</v>
      </c>
      <c r="B2464" s="5" t="s">
        <v>3762</v>
      </c>
      <c r="C2464" s="5" t="s">
        <v>3766</v>
      </c>
      <c r="D2464" s="5" t="s">
        <v>6636</v>
      </c>
      <c r="E2464" s="8">
        <f>vlookup(B2464,Filmes_final!$B$2:$U$1001,20,FALSE)</f>
        <v>177212669</v>
      </c>
      <c r="F2464" s="5">
        <f>vlookup(B2464,Filmes_final!$B$2:$U$1001,3,FALSE)</f>
        <v>2008</v>
      </c>
      <c r="G2464" s="5" t="str">
        <f>vlookup(B2464,Filmes_final!$B$2:$U$1001,13,FALSE)</f>
        <v>Pierre Morel</v>
      </c>
    </row>
    <row r="2465">
      <c r="A2465" s="5">
        <v>616.0</v>
      </c>
      <c r="B2465" s="5" t="s">
        <v>3762</v>
      </c>
      <c r="C2465" s="5" t="s">
        <v>3767</v>
      </c>
      <c r="D2465" s="5" t="s">
        <v>6637</v>
      </c>
      <c r="E2465" s="8">
        <f>vlookup(B2465,Filmes_final!$B$2:$U$1001,20,FALSE)</f>
        <v>177212669</v>
      </c>
      <c r="F2465" s="5">
        <f>vlookup(B2465,Filmes_final!$B$2:$U$1001,3,FALSE)</f>
        <v>2008</v>
      </c>
      <c r="G2465" s="5" t="str">
        <f>vlookup(B2465,Filmes_final!$B$2:$U$1001,13,FALSE)</f>
        <v>Pierre Morel</v>
      </c>
    </row>
    <row r="2466">
      <c r="A2466" s="5">
        <v>617.0</v>
      </c>
      <c r="B2466" s="5" t="s">
        <v>3768</v>
      </c>
      <c r="C2466" s="5" t="s">
        <v>3771</v>
      </c>
      <c r="D2466" s="5" t="s">
        <v>6634</v>
      </c>
      <c r="E2466" s="8">
        <f>vlookup(B2466,Filmes_final!$B$2:$U$1001,20,FALSE)</f>
        <v>11036707</v>
      </c>
      <c r="F2466" s="5">
        <f>vlookup(B2466,Filmes_final!$B$2:$U$1001,3,FALSE)</f>
        <v>2008</v>
      </c>
      <c r="G2466" s="5" t="str">
        <f>vlookup(B2466,Filmes_final!$B$2:$U$1001,13,FALSE)</f>
        <v>Mark Herman</v>
      </c>
    </row>
    <row r="2467">
      <c r="A2467" s="5">
        <v>617.0</v>
      </c>
      <c r="B2467" s="5" t="s">
        <v>3768</v>
      </c>
      <c r="C2467" s="5" t="s">
        <v>3772</v>
      </c>
      <c r="D2467" s="5" t="s">
        <v>6635</v>
      </c>
      <c r="E2467" s="8">
        <f>vlookup(B2467,Filmes_final!$B$2:$U$1001,20,FALSE)</f>
        <v>11036707</v>
      </c>
      <c r="F2467" s="5">
        <f>vlookup(B2467,Filmes_final!$B$2:$U$1001,3,FALSE)</f>
        <v>2008</v>
      </c>
      <c r="G2467" s="5" t="str">
        <f>vlookup(B2467,Filmes_final!$B$2:$U$1001,13,FALSE)</f>
        <v>Mark Herman</v>
      </c>
    </row>
    <row r="2468">
      <c r="A2468" s="5">
        <v>617.0</v>
      </c>
      <c r="B2468" s="5" t="s">
        <v>3768</v>
      </c>
      <c r="C2468" s="5" t="s">
        <v>3773</v>
      </c>
      <c r="D2468" s="5" t="s">
        <v>6636</v>
      </c>
      <c r="E2468" s="8">
        <f>vlookup(B2468,Filmes_final!$B$2:$U$1001,20,FALSE)</f>
        <v>11036707</v>
      </c>
      <c r="F2468" s="5">
        <f>vlookup(B2468,Filmes_final!$B$2:$U$1001,3,FALSE)</f>
        <v>2008</v>
      </c>
      <c r="G2468" s="5" t="str">
        <f>vlookup(B2468,Filmes_final!$B$2:$U$1001,13,FALSE)</f>
        <v>Mark Herman</v>
      </c>
    </row>
    <row r="2469">
      <c r="A2469" s="5">
        <v>617.0</v>
      </c>
      <c r="B2469" s="5" t="s">
        <v>3768</v>
      </c>
      <c r="C2469" s="5" t="s">
        <v>3774</v>
      </c>
      <c r="D2469" s="5" t="s">
        <v>6637</v>
      </c>
      <c r="E2469" s="8">
        <f>vlookup(B2469,Filmes_final!$B$2:$U$1001,20,FALSE)</f>
        <v>11036707</v>
      </c>
      <c r="F2469" s="5">
        <f>vlookup(B2469,Filmes_final!$B$2:$U$1001,3,FALSE)</f>
        <v>2008</v>
      </c>
      <c r="G2469" s="5" t="str">
        <f>vlookup(B2469,Filmes_final!$B$2:$U$1001,13,FALSE)</f>
        <v>Mark Herman</v>
      </c>
    </row>
    <row r="2470">
      <c r="A2470" s="5">
        <v>618.0</v>
      </c>
      <c r="B2470" s="5" t="s">
        <v>3775</v>
      </c>
      <c r="C2470" s="5" t="s">
        <v>3777</v>
      </c>
      <c r="D2470" s="5" t="s">
        <v>6634</v>
      </c>
      <c r="E2470" s="8">
        <f>vlookup(B2470,Filmes_final!$B$2:$U$1001,20,FALSE)</f>
        <v>12030800</v>
      </c>
      <c r="F2470" s="5">
        <f>vlookup(B2470,Filmes_final!$B$2:$U$1001,3,FALSE)</f>
        <v>2007</v>
      </c>
      <c r="G2470" s="5" t="str">
        <f>vlookup(B2470,Filmes_final!$B$2:$U$1001,13,FALSE)</f>
        <v>John Carney</v>
      </c>
    </row>
    <row r="2471">
      <c r="A2471" s="5">
        <v>618.0</v>
      </c>
      <c r="B2471" s="5" t="s">
        <v>3775</v>
      </c>
      <c r="C2471" s="5" t="s">
        <v>3778</v>
      </c>
      <c r="D2471" s="5" t="s">
        <v>6635</v>
      </c>
      <c r="E2471" s="8">
        <f>vlookup(B2471,Filmes_final!$B$2:$U$1001,20,FALSE)</f>
        <v>12030800</v>
      </c>
      <c r="F2471" s="5">
        <f>vlookup(B2471,Filmes_final!$B$2:$U$1001,3,FALSE)</f>
        <v>2007</v>
      </c>
      <c r="G2471" s="5" t="str">
        <f>vlookup(B2471,Filmes_final!$B$2:$U$1001,13,FALSE)</f>
        <v>John Carney</v>
      </c>
    </row>
    <row r="2472">
      <c r="A2472" s="5">
        <v>618.0</v>
      </c>
      <c r="B2472" s="5" t="s">
        <v>3775</v>
      </c>
      <c r="C2472" s="5" t="s">
        <v>3779</v>
      </c>
      <c r="D2472" s="5" t="s">
        <v>6636</v>
      </c>
      <c r="E2472" s="8">
        <f>vlookup(B2472,Filmes_final!$B$2:$U$1001,20,FALSE)</f>
        <v>12030800</v>
      </c>
      <c r="F2472" s="5">
        <f>vlookup(B2472,Filmes_final!$B$2:$U$1001,3,FALSE)</f>
        <v>2007</v>
      </c>
      <c r="G2472" s="5" t="str">
        <f>vlookup(B2472,Filmes_final!$B$2:$U$1001,13,FALSE)</f>
        <v>John Carney</v>
      </c>
    </row>
    <row r="2473">
      <c r="A2473" s="5">
        <v>618.0</v>
      </c>
      <c r="B2473" s="5" t="s">
        <v>3775</v>
      </c>
      <c r="C2473" s="5" t="s">
        <v>3780</v>
      </c>
      <c r="D2473" s="5" t="s">
        <v>6637</v>
      </c>
      <c r="E2473" s="8">
        <f>vlookup(B2473,Filmes_final!$B$2:$U$1001,20,FALSE)</f>
        <v>12030800</v>
      </c>
      <c r="F2473" s="5">
        <f>vlookup(B2473,Filmes_final!$B$2:$U$1001,3,FALSE)</f>
        <v>2007</v>
      </c>
      <c r="G2473" s="5" t="str">
        <f>vlookup(B2473,Filmes_final!$B$2:$U$1001,13,FALSE)</f>
        <v>John Carney</v>
      </c>
    </row>
    <row r="2474">
      <c r="A2474" s="5">
        <v>619.0</v>
      </c>
      <c r="B2474" s="5" t="s">
        <v>3781</v>
      </c>
      <c r="C2474" s="5" t="s">
        <v>3733</v>
      </c>
      <c r="D2474" s="5" t="s">
        <v>6634</v>
      </c>
      <c r="E2474" s="8">
        <f>vlookup(B2474,Filmes_final!$B$2:$U$1001,20,FALSE)</f>
        <v>344853124</v>
      </c>
      <c r="F2474" s="5">
        <f>vlookup(B2474,Filmes_final!$B$2:$U$1001,3,FALSE)</f>
        <v>2012</v>
      </c>
      <c r="G2474" s="5" t="str">
        <f>vlookup(B2474,Filmes_final!$B$2:$U$1001,13,FALSE)</f>
        <v>Peter Jackson</v>
      </c>
    </row>
    <row r="2475">
      <c r="A2475" s="5">
        <v>619.0</v>
      </c>
      <c r="B2475" s="5" t="s">
        <v>3781</v>
      </c>
      <c r="C2475" s="5" t="s">
        <v>67</v>
      </c>
      <c r="D2475" s="5" t="s">
        <v>6635</v>
      </c>
      <c r="E2475" s="8">
        <f>vlookup(B2475,Filmes_final!$B$2:$U$1001,20,FALSE)</f>
        <v>344853124</v>
      </c>
      <c r="F2475" s="5">
        <f>vlookup(B2475,Filmes_final!$B$2:$U$1001,3,FALSE)</f>
        <v>2012</v>
      </c>
      <c r="G2475" s="5" t="str">
        <f>vlookup(B2475,Filmes_final!$B$2:$U$1001,13,FALSE)</f>
        <v>Peter Jackson</v>
      </c>
    </row>
    <row r="2476">
      <c r="A2476" s="5">
        <v>619.0</v>
      </c>
      <c r="B2476" s="5" t="s">
        <v>3781</v>
      </c>
      <c r="C2476" s="5" t="s">
        <v>3734</v>
      </c>
      <c r="D2476" s="5" t="s">
        <v>6636</v>
      </c>
      <c r="E2476" s="8">
        <f>vlookup(B2476,Filmes_final!$B$2:$U$1001,20,FALSE)</f>
        <v>344853124</v>
      </c>
      <c r="F2476" s="5">
        <f>vlookup(B2476,Filmes_final!$B$2:$U$1001,3,FALSE)</f>
        <v>2012</v>
      </c>
      <c r="G2476" s="5" t="str">
        <f>vlookup(B2476,Filmes_final!$B$2:$U$1001,13,FALSE)</f>
        <v>Peter Jackson</v>
      </c>
    </row>
    <row r="2477">
      <c r="A2477" s="5">
        <v>619.0</v>
      </c>
      <c r="B2477" s="5" t="s">
        <v>3781</v>
      </c>
      <c r="C2477" s="5" t="s">
        <v>3783</v>
      </c>
      <c r="D2477" s="5" t="s">
        <v>6637</v>
      </c>
      <c r="E2477" s="8">
        <f>vlookup(B2477,Filmes_final!$B$2:$U$1001,20,FALSE)</f>
        <v>344853124</v>
      </c>
      <c r="F2477" s="5">
        <f>vlookup(B2477,Filmes_final!$B$2:$U$1001,3,FALSE)</f>
        <v>2012</v>
      </c>
      <c r="G2477" s="5" t="str">
        <f>vlookup(B2477,Filmes_final!$B$2:$U$1001,13,FALSE)</f>
        <v>Peter Jackson</v>
      </c>
    </row>
    <row r="2478">
      <c r="A2478" s="5">
        <v>620.0</v>
      </c>
      <c r="B2478" s="5" t="s">
        <v>3784</v>
      </c>
      <c r="C2478" s="5" t="s">
        <v>3786</v>
      </c>
      <c r="D2478" s="5" t="s">
        <v>6634</v>
      </c>
      <c r="E2478" s="8">
        <f>vlookup(B2478,Filmes_final!$B$2:$U$1001,20,FALSE)</f>
        <v>944735</v>
      </c>
      <c r="F2478" s="5">
        <f>vlookup(B2478,Filmes_final!$B$2:$U$1001,3,FALSE)</f>
        <v>2007</v>
      </c>
      <c r="G2478" s="5" t="str">
        <f>vlookup(B2478,Filmes_final!$B$2:$U$1001,13,FALSE)</f>
        <v>Fatih Akin</v>
      </c>
    </row>
    <row r="2479">
      <c r="A2479" s="5">
        <v>620.0</v>
      </c>
      <c r="B2479" s="5" t="s">
        <v>3784</v>
      </c>
      <c r="C2479" s="5" t="s">
        <v>3787</v>
      </c>
      <c r="D2479" s="5" t="s">
        <v>6635</v>
      </c>
      <c r="E2479" s="8">
        <f>vlookup(B2479,Filmes_final!$B$2:$U$1001,20,FALSE)</f>
        <v>944735</v>
      </c>
      <c r="F2479" s="5">
        <f>vlookup(B2479,Filmes_final!$B$2:$U$1001,3,FALSE)</f>
        <v>2007</v>
      </c>
      <c r="G2479" s="5" t="str">
        <f>vlookup(B2479,Filmes_final!$B$2:$U$1001,13,FALSE)</f>
        <v>Fatih Akin</v>
      </c>
    </row>
    <row r="2480">
      <c r="A2480" s="5">
        <v>620.0</v>
      </c>
      <c r="B2480" s="5" t="s">
        <v>3784</v>
      </c>
      <c r="C2480" s="5" t="s">
        <v>3788</v>
      </c>
      <c r="D2480" s="5" t="s">
        <v>6636</v>
      </c>
      <c r="E2480" s="8">
        <f>vlookup(B2480,Filmes_final!$B$2:$U$1001,20,FALSE)</f>
        <v>944735</v>
      </c>
      <c r="F2480" s="5">
        <f>vlookup(B2480,Filmes_final!$B$2:$U$1001,3,FALSE)</f>
        <v>2007</v>
      </c>
      <c r="G2480" s="5" t="str">
        <f>vlookup(B2480,Filmes_final!$B$2:$U$1001,13,FALSE)</f>
        <v>Fatih Akin</v>
      </c>
    </row>
    <row r="2481">
      <c r="A2481" s="5">
        <v>620.0</v>
      </c>
      <c r="B2481" s="5" t="s">
        <v>3784</v>
      </c>
      <c r="C2481" s="5" t="s">
        <v>3789</v>
      </c>
      <c r="D2481" s="5" t="s">
        <v>6637</v>
      </c>
      <c r="E2481" s="8">
        <f>vlookup(B2481,Filmes_final!$B$2:$U$1001,20,FALSE)</f>
        <v>944735</v>
      </c>
      <c r="F2481" s="5">
        <f>vlookup(B2481,Filmes_final!$B$2:$U$1001,3,FALSE)</f>
        <v>2007</v>
      </c>
      <c r="G2481" s="5" t="str">
        <f>vlookup(B2481,Filmes_final!$B$2:$U$1001,13,FALSE)</f>
        <v>Fatih Akin</v>
      </c>
    </row>
    <row r="2482">
      <c r="A2482" s="5">
        <v>621.0</v>
      </c>
      <c r="B2482" s="5" t="s">
        <v>3790</v>
      </c>
      <c r="C2482" s="5" t="s">
        <v>2237</v>
      </c>
      <c r="D2482" s="5" t="s">
        <v>6634</v>
      </c>
      <c r="E2482" s="8">
        <f>vlookup(B2482,Filmes_final!$B$2:$U$1001,20,FALSE)</f>
        <v>64904486</v>
      </c>
      <c r="F2482" s="5">
        <f>vlookup(B2482,Filmes_final!$B$2:$U$1001,3,FALSE)</f>
        <v>2007</v>
      </c>
      <c r="G2482" s="5" t="str">
        <f>vlookup(B2482,Filmes_final!$B$2:$U$1001,13,FALSE)</f>
        <v>Joe Wright</v>
      </c>
    </row>
    <row r="2483">
      <c r="A2483" s="5">
        <v>621.0</v>
      </c>
      <c r="B2483" s="5" t="s">
        <v>3790</v>
      </c>
      <c r="C2483" s="5" t="s">
        <v>3022</v>
      </c>
      <c r="D2483" s="5" t="s">
        <v>6635</v>
      </c>
      <c r="E2483" s="8">
        <f>vlookup(B2483,Filmes_final!$B$2:$U$1001,20,FALSE)</f>
        <v>64904486</v>
      </c>
      <c r="F2483" s="5">
        <f>vlookup(B2483,Filmes_final!$B$2:$U$1001,3,FALSE)</f>
        <v>2007</v>
      </c>
      <c r="G2483" s="5" t="str">
        <f>vlookup(B2483,Filmes_final!$B$2:$U$1001,13,FALSE)</f>
        <v>Joe Wright</v>
      </c>
    </row>
    <row r="2484">
      <c r="A2484" s="5">
        <v>621.0</v>
      </c>
      <c r="B2484" s="5" t="s">
        <v>3790</v>
      </c>
      <c r="C2484" s="5" t="s">
        <v>2541</v>
      </c>
      <c r="D2484" s="5" t="s">
        <v>6636</v>
      </c>
      <c r="E2484" s="8">
        <f>vlookup(B2484,Filmes_final!$B$2:$U$1001,20,FALSE)</f>
        <v>64904486</v>
      </c>
      <c r="F2484" s="5">
        <f>vlookup(B2484,Filmes_final!$B$2:$U$1001,3,FALSE)</f>
        <v>2007</v>
      </c>
      <c r="G2484" s="5" t="str">
        <f>vlookup(B2484,Filmes_final!$B$2:$U$1001,13,FALSE)</f>
        <v>Joe Wright</v>
      </c>
    </row>
    <row r="2485">
      <c r="A2485" s="5">
        <v>621.0</v>
      </c>
      <c r="B2485" s="5" t="s">
        <v>3790</v>
      </c>
      <c r="C2485" s="5" t="s">
        <v>3605</v>
      </c>
      <c r="D2485" s="5" t="s">
        <v>6637</v>
      </c>
      <c r="E2485" s="8">
        <f>vlookup(B2485,Filmes_final!$B$2:$U$1001,20,FALSE)</f>
        <v>64904486</v>
      </c>
      <c r="F2485" s="5">
        <f>vlookup(B2485,Filmes_final!$B$2:$U$1001,3,FALSE)</f>
        <v>2007</v>
      </c>
      <c r="G2485" s="5" t="str">
        <f>vlookup(B2485,Filmes_final!$B$2:$U$1001,13,FALSE)</f>
        <v>Joe Wright</v>
      </c>
    </row>
    <row r="2486">
      <c r="A2486" s="5">
        <v>622.0</v>
      </c>
      <c r="B2486" s="5" t="s">
        <v>3793</v>
      </c>
      <c r="C2486" s="5" t="s">
        <v>2175</v>
      </c>
      <c r="D2486" s="5" t="s">
        <v>6634</v>
      </c>
      <c r="E2486" s="8">
        <f>vlookup(B2486,Filmes_final!$B$2:$U$1001,20,FALSE)</f>
        <v>41071388</v>
      </c>
      <c r="F2486" s="5">
        <f>vlookup(B2486,Filmes_final!$B$2:$U$1001,3,FALSE)</f>
        <v>2011</v>
      </c>
      <c r="G2486" s="5" t="str">
        <f>vlookup(B2486,Filmes_final!$B$2:$U$1001,13,FALSE)</f>
        <v>Nicolas Winding Refn</v>
      </c>
    </row>
    <row r="2487">
      <c r="A2487" s="5">
        <v>622.0</v>
      </c>
      <c r="B2487" s="5" t="s">
        <v>3793</v>
      </c>
      <c r="C2487" s="5" t="s">
        <v>3796</v>
      </c>
      <c r="D2487" s="5" t="s">
        <v>6635</v>
      </c>
      <c r="E2487" s="8">
        <f>vlookup(B2487,Filmes_final!$B$2:$U$1001,20,FALSE)</f>
        <v>41071388</v>
      </c>
      <c r="F2487" s="5">
        <f>vlookup(B2487,Filmes_final!$B$2:$U$1001,3,FALSE)</f>
        <v>2011</v>
      </c>
      <c r="G2487" s="5" t="str">
        <f>vlookup(B2487,Filmes_final!$B$2:$U$1001,13,FALSE)</f>
        <v>Nicolas Winding Refn</v>
      </c>
    </row>
    <row r="2488">
      <c r="A2488" s="5">
        <v>622.0</v>
      </c>
      <c r="B2488" s="5" t="s">
        <v>3793</v>
      </c>
      <c r="C2488" s="5" t="s">
        <v>2972</v>
      </c>
      <c r="D2488" s="5" t="s">
        <v>6636</v>
      </c>
      <c r="E2488" s="8">
        <f>vlookup(B2488,Filmes_final!$B$2:$U$1001,20,FALSE)</f>
        <v>41071388</v>
      </c>
      <c r="F2488" s="5">
        <f>vlookup(B2488,Filmes_final!$B$2:$U$1001,3,FALSE)</f>
        <v>2011</v>
      </c>
      <c r="G2488" s="5" t="str">
        <f>vlookup(B2488,Filmes_final!$B$2:$U$1001,13,FALSE)</f>
        <v>Nicolas Winding Refn</v>
      </c>
    </row>
    <row r="2489">
      <c r="A2489" s="5">
        <v>622.0</v>
      </c>
      <c r="B2489" s="5" t="s">
        <v>3793</v>
      </c>
      <c r="C2489" s="5" t="s">
        <v>828</v>
      </c>
      <c r="D2489" s="5" t="s">
        <v>6637</v>
      </c>
      <c r="E2489" s="8">
        <f>vlookup(B2489,Filmes_final!$B$2:$U$1001,20,FALSE)</f>
        <v>41071388</v>
      </c>
      <c r="F2489" s="5">
        <f>vlookup(B2489,Filmes_final!$B$2:$U$1001,3,FALSE)</f>
        <v>2011</v>
      </c>
      <c r="G2489" s="5" t="str">
        <f>vlookup(B2489,Filmes_final!$B$2:$U$1001,13,FALSE)</f>
        <v>Nicolas Winding Refn</v>
      </c>
    </row>
    <row r="2490">
      <c r="A2490" s="5">
        <v>623.0</v>
      </c>
      <c r="B2490" s="5" t="s">
        <v>3797</v>
      </c>
      <c r="C2490" s="5" t="s">
        <v>3799</v>
      </c>
      <c r="D2490" s="5" t="s">
        <v>6634</v>
      </c>
      <c r="E2490" s="8">
        <f>vlookup(B2490,Filmes_final!$B$2:$U$1001,20,FALSE)</f>
        <v>165889572</v>
      </c>
      <c r="F2490" s="5">
        <f>vlookup(B2490,Filmes_final!$B$2:$U$1001,3,FALSE)</f>
        <v>2007</v>
      </c>
      <c r="G2490" s="5" t="str">
        <f>vlookup(B2490,Filmes_final!$B$2:$U$1001,13,FALSE)</f>
        <v>Ridley Scott</v>
      </c>
    </row>
    <row r="2491">
      <c r="A2491" s="5">
        <v>623.0</v>
      </c>
      <c r="B2491" s="5" t="s">
        <v>3797</v>
      </c>
      <c r="C2491" s="5" t="s">
        <v>325</v>
      </c>
      <c r="D2491" s="5" t="s">
        <v>6635</v>
      </c>
      <c r="E2491" s="8">
        <f>vlookup(B2491,Filmes_final!$B$2:$U$1001,20,FALSE)</f>
        <v>165889572</v>
      </c>
      <c r="F2491" s="5">
        <f>vlookup(B2491,Filmes_final!$B$2:$U$1001,3,FALSE)</f>
        <v>2007</v>
      </c>
      <c r="G2491" s="5" t="str">
        <f>vlookup(B2491,Filmes_final!$B$2:$U$1001,13,FALSE)</f>
        <v>Ridley Scott</v>
      </c>
    </row>
    <row r="2492">
      <c r="A2492" s="5">
        <v>623.0</v>
      </c>
      <c r="B2492" s="5" t="s">
        <v>3797</v>
      </c>
      <c r="C2492" s="5" t="s">
        <v>1503</v>
      </c>
      <c r="D2492" s="5" t="s">
        <v>6636</v>
      </c>
      <c r="E2492" s="8">
        <f>vlookup(B2492,Filmes_final!$B$2:$U$1001,20,FALSE)</f>
        <v>165889572</v>
      </c>
      <c r="F2492" s="5">
        <f>vlookup(B2492,Filmes_final!$B$2:$U$1001,3,FALSE)</f>
        <v>2007</v>
      </c>
      <c r="G2492" s="5" t="str">
        <f>vlookup(B2492,Filmes_final!$B$2:$U$1001,13,FALSE)</f>
        <v>Ridley Scott</v>
      </c>
    </row>
    <row r="2493">
      <c r="A2493" s="5">
        <v>623.0</v>
      </c>
      <c r="B2493" s="5" t="s">
        <v>3797</v>
      </c>
      <c r="C2493" s="5" t="s">
        <v>1616</v>
      </c>
      <c r="D2493" s="5" t="s">
        <v>6637</v>
      </c>
      <c r="E2493" s="8">
        <f>vlookup(B2493,Filmes_final!$B$2:$U$1001,20,FALSE)</f>
        <v>165889572</v>
      </c>
      <c r="F2493" s="5">
        <f>vlookup(B2493,Filmes_final!$B$2:$U$1001,3,FALSE)</f>
        <v>2007</v>
      </c>
      <c r="G2493" s="5" t="str">
        <f>vlookup(B2493,Filmes_final!$B$2:$U$1001,13,FALSE)</f>
        <v>Ridley Scott</v>
      </c>
    </row>
    <row r="2494">
      <c r="A2494" s="5">
        <v>624.0</v>
      </c>
      <c r="B2494" s="5" t="s">
        <v>3800</v>
      </c>
      <c r="C2494" s="5" t="s">
        <v>1485</v>
      </c>
      <c r="D2494" s="5" t="s">
        <v>6634</v>
      </c>
      <c r="E2494" s="8">
        <f>vlookup(B2494,Filmes_final!$B$2:$U$1001,20,FALSE)</f>
        <v>929175546</v>
      </c>
      <c r="F2494" s="5">
        <f>vlookup(B2494,Filmes_final!$B$2:$U$1001,3,FALSE)</f>
        <v>2009</v>
      </c>
      <c r="G2494" s="5" t="str">
        <f>vlookup(B2494,Filmes_final!$B$2:$U$1001,13,FALSE)</f>
        <v>James Cameron</v>
      </c>
    </row>
    <row r="2495">
      <c r="A2495" s="5">
        <v>624.0</v>
      </c>
      <c r="B2495" s="5" t="s">
        <v>3800</v>
      </c>
      <c r="C2495" s="5" t="s">
        <v>2246</v>
      </c>
      <c r="D2495" s="5" t="s">
        <v>6635</v>
      </c>
      <c r="E2495" s="8">
        <f>vlookup(B2495,Filmes_final!$B$2:$U$1001,20,FALSE)</f>
        <v>929175546</v>
      </c>
      <c r="F2495" s="5">
        <f>vlookup(B2495,Filmes_final!$B$2:$U$1001,3,FALSE)</f>
        <v>2009</v>
      </c>
      <c r="G2495" s="5" t="str">
        <f>vlookup(B2495,Filmes_final!$B$2:$U$1001,13,FALSE)</f>
        <v>James Cameron</v>
      </c>
    </row>
    <row r="2496">
      <c r="A2496" s="5">
        <v>624.0</v>
      </c>
      <c r="B2496" s="5" t="s">
        <v>3800</v>
      </c>
      <c r="C2496" s="5" t="s">
        <v>583</v>
      </c>
      <c r="D2496" s="5" t="s">
        <v>6636</v>
      </c>
      <c r="E2496" s="8">
        <f>vlookup(B2496,Filmes_final!$B$2:$U$1001,20,FALSE)</f>
        <v>929175546</v>
      </c>
      <c r="F2496" s="5">
        <f>vlookup(B2496,Filmes_final!$B$2:$U$1001,3,FALSE)</f>
        <v>2009</v>
      </c>
      <c r="G2496" s="5" t="str">
        <f>vlookup(B2496,Filmes_final!$B$2:$U$1001,13,FALSE)</f>
        <v>James Cameron</v>
      </c>
    </row>
    <row r="2497">
      <c r="A2497" s="5">
        <v>624.0</v>
      </c>
      <c r="B2497" s="5" t="s">
        <v>3800</v>
      </c>
      <c r="C2497" s="5" t="s">
        <v>3802</v>
      </c>
      <c r="D2497" s="5" t="s">
        <v>6637</v>
      </c>
      <c r="E2497" s="8">
        <f>vlookup(B2497,Filmes_final!$B$2:$U$1001,20,FALSE)</f>
        <v>929175546</v>
      </c>
      <c r="F2497" s="5">
        <f>vlookup(B2497,Filmes_final!$B$2:$U$1001,3,FALSE)</f>
        <v>2009</v>
      </c>
      <c r="G2497" s="5" t="str">
        <f>vlookup(B2497,Filmes_final!$B$2:$U$1001,13,FALSE)</f>
        <v>James Cameron</v>
      </c>
    </row>
    <row r="2498">
      <c r="A2498" s="5">
        <v>625.0</v>
      </c>
      <c r="B2498" s="5" t="s">
        <v>3803</v>
      </c>
      <c r="C2498" s="5" t="s">
        <v>741</v>
      </c>
      <c r="D2498" s="5" t="s">
        <v>6634</v>
      </c>
      <c r="E2498" s="8">
        <f>vlookup(B2498,Filmes_final!$B$2:$U$1001,20,FALSE)</f>
        <v>4398</v>
      </c>
      <c r="F2498" s="5">
        <f>vlookup(B2498,Filmes_final!$B$2:$U$1001,3,FALSE)</f>
        <v>2009</v>
      </c>
      <c r="G2498" s="5" t="str">
        <f>vlookup(B2498,Filmes_final!$B$2:$U$1001,13,FALSE)</f>
        <v>Jaco Van Dormael</v>
      </c>
    </row>
    <row r="2499">
      <c r="A2499" s="5">
        <v>625.0</v>
      </c>
      <c r="B2499" s="5" t="s">
        <v>3803</v>
      </c>
      <c r="C2499" s="5" t="s">
        <v>3807</v>
      </c>
      <c r="D2499" s="5" t="s">
        <v>6635</v>
      </c>
      <c r="E2499" s="8">
        <f>vlookup(B2499,Filmes_final!$B$2:$U$1001,20,FALSE)</f>
        <v>4398</v>
      </c>
      <c r="F2499" s="5">
        <f>vlookup(B2499,Filmes_final!$B$2:$U$1001,3,FALSE)</f>
        <v>2009</v>
      </c>
      <c r="G2499" s="5" t="str">
        <f>vlookup(B2499,Filmes_final!$B$2:$U$1001,13,FALSE)</f>
        <v>Jaco Van Dormael</v>
      </c>
    </row>
    <row r="2500">
      <c r="A2500" s="5">
        <v>625.0</v>
      </c>
      <c r="B2500" s="5" t="s">
        <v>3803</v>
      </c>
      <c r="C2500" s="5" t="s">
        <v>710</v>
      </c>
      <c r="D2500" s="5" t="s">
        <v>6636</v>
      </c>
      <c r="E2500" s="8">
        <f>vlookup(B2500,Filmes_final!$B$2:$U$1001,20,FALSE)</f>
        <v>4398</v>
      </c>
      <c r="F2500" s="5">
        <f>vlookup(B2500,Filmes_final!$B$2:$U$1001,3,FALSE)</f>
        <v>2009</v>
      </c>
      <c r="G2500" s="5" t="str">
        <f>vlookup(B2500,Filmes_final!$B$2:$U$1001,13,FALSE)</f>
        <v>Jaco Van Dormael</v>
      </c>
    </row>
    <row r="2501">
      <c r="A2501" s="5">
        <v>625.0</v>
      </c>
      <c r="B2501" s="5" t="s">
        <v>3803</v>
      </c>
      <c r="C2501" s="5" t="s">
        <v>3808</v>
      </c>
      <c r="D2501" s="5" t="s">
        <v>6637</v>
      </c>
      <c r="E2501" s="8">
        <f>vlookup(B2501,Filmes_final!$B$2:$U$1001,20,FALSE)</f>
        <v>4398</v>
      </c>
      <c r="F2501" s="5">
        <f>vlookup(B2501,Filmes_final!$B$2:$U$1001,3,FALSE)</f>
        <v>2009</v>
      </c>
      <c r="G2501" s="5" t="str">
        <f>vlookup(B2501,Filmes_final!$B$2:$U$1001,13,FALSE)</f>
        <v>Jaco Van Dormael</v>
      </c>
    </row>
    <row r="2502">
      <c r="A2502" s="5">
        <v>626.0</v>
      </c>
      <c r="B2502" s="5" t="s">
        <v>3809</v>
      </c>
      <c r="C2502" s="5" t="s">
        <v>3811</v>
      </c>
      <c r="D2502" s="5" t="s">
        <v>6634</v>
      </c>
      <c r="E2502" s="8">
        <f>vlookup(B2502,Filmes_final!$B$2:$U$1001,20,FALSE)</f>
        <v>66173055</v>
      </c>
      <c r="F2502" s="5">
        <f>vlookup(B2502,Filmes_final!$B$2:$U$1001,3,FALSE)</f>
        <v>2006</v>
      </c>
      <c r="G2502" s="5" t="str">
        <f>vlookup(B2502,Filmes_final!$B$2:$U$1001,13,FALSE)</f>
        <v>Mel Gibson</v>
      </c>
    </row>
    <row r="2503">
      <c r="A2503" s="5">
        <v>626.0</v>
      </c>
      <c r="B2503" s="5" t="s">
        <v>3809</v>
      </c>
      <c r="C2503" s="5" t="s">
        <v>3812</v>
      </c>
      <c r="D2503" s="5" t="s">
        <v>6635</v>
      </c>
      <c r="E2503" s="8">
        <f>vlookup(B2503,Filmes_final!$B$2:$U$1001,20,FALSE)</f>
        <v>66173055</v>
      </c>
      <c r="F2503" s="5">
        <f>vlookup(B2503,Filmes_final!$B$2:$U$1001,3,FALSE)</f>
        <v>2006</v>
      </c>
      <c r="G2503" s="5" t="str">
        <f>vlookup(B2503,Filmes_final!$B$2:$U$1001,13,FALSE)</f>
        <v>Mel Gibson</v>
      </c>
    </row>
    <row r="2504">
      <c r="A2504" s="5">
        <v>626.0</v>
      </c>
      <c r="B2504" s="5" t="s">
        <v>3809</v>
      </c>
      <c r="C2504" s="5" t="s">
        <v>3813</v>
      </c>
      <c r="D2504" s="5" t="s">
        <v>6636</v>
      </c>
      <c r="E2504" s="8">
        <f>vlookup(B2504,Filmes_final!$B$2:$U$1001,20,FALSE)</f>
        <v>66173055</v>
      </c>
      <c r="F2504" s="5">
        <f>vlookup(B2504,Filmes_final!$B$2:$U$1001,3,FALSE)</f>
        <v>2006</v>
      </c>
      <c r="G2504" s="5" t="str">
        <f>vlookup(B2504,Filmes_final!$B$2:$U$1001,13,FALSE)</f>
        <v>Mel Gibson</v>
      </c>
    </row>
    <row r="2505">
      <c r="A2505" s="5">
        <v>626.0</v>
      </c>
      <c r="B2505" s="5" t="s">
        <v>3809</v>
      </c>
      <c r="C2505" s="5" t="s">
        <v>3814</v>
      </c>
      <c r="D2505" s="5" t="s">
        <v>6637</v>
      </c>
      <c r="E2505" s="8">
        <f>vlookup(B2505,Filmes_final!$B$2:$U$1001,20,FALSE)</f>
        <v>66173055</v>
      </c>
      <c r="F2505" s="5">
        <f>vlookup(B2505,Filmes_final!$B$2:$U$1001,3,FALSE)</f>
        <v>2006</v>
      </c>
      <c r="G2505" s="5" t="str">
        <f>vlookup(B2505,Filmes_final!$B$2:$U$1001,13,FALSE)</f>
        <v>Mel Gibson</v>
      </c>
    </row>
    <row r="2506">
      <c r="A2506" s="5">
        <v>627.0</v>
      </c>
      <c r="B2506" s="5" t="s">
        <v>3815</v>
      </c>
      <c r="C2506" s="5" t="s">
        <v>3818</v>
      </c>
      <c r="D2506" s="5" t="s">
        <v>6634</v>
      </c>
      <c r="E2506" s="8">
        <f>vlookup(B2506,Filmes_final!$B$2:$U$1001,20,FALSE)</f>
        <v>77913094</v>
      </c>
      <c r="F2506" s="5">
        <f>vlookup(B2506,Filmes_final!$B$2:$U$1001,3,FALSE)</f>
        <v>2006</v>
      </c>
      <c r="G2506" s="5" t="str">
        <f>vlookup(B2506,Filmes_final!$B$2:$U$1001,13,FALSE)</f>
        <v>Jonathan Dayton</v>
      </c>
    </row>
    <row r="2507">
      <c r="A2507" s="5">
        <v>627.0</v>
      </c>
      <c r="B2507" s="5" t="s">
        <v>3815</v>
      </c>
      <c r="C2507" s="5" t="s">
        <v>3685</v>
      </c>
      <c r="D2507" s="5" t="s">
        <v>6635</v>
      </c>
      <c r="E2507" s="8">
        <f>vlookup(B2507,Filmes_final!$B$2:$U$1001,20,FALSE)</f>
        <v>77913094</v>
      </c>
      <c r="F2507" s="5">
        <f>vlookup(B2507,Filmes_final!$B$2:$U$1001,3,FALSE)</f>
        <v>2006</v>
      </c>
      <c r="G2507" s="5" t="str">
        <f>vlookup(B2507,Filmes_final!$B$2:$U$1001,13,FALSE)</f>
        <v>Jonathan Dayton</v>
      </c>
    </row>
    <row r="2508">
      <c r="A2508" s="5">
        <v>627.0</v>
      </c>
      <c r="B2508" s="5" t="s">
        <v>3815</v>
      </c>
      <c r="C2508" s="5" t="s">
        <v>1592</v>
      </c>
      <c r="D2508" s="5" t="s">
        <v>6636</v>
      </c>
      <c r="E2508" s="8">
        <f>vlookup(B2508,Filmes_final!$B$2:$U$1001,20,FALSE)</f>
        <v>77913094</v>
      </c>
      <c r="F2508" s="5">
        <f>vlookup(B2508,Filmes_final!$B$2:$U$1001,3,FALSE)</f>
        <v>2006</v>
      </c>
      <c r="G2508" s="5" t="str">
        <f>vlookup(B2508,Filmes_final!$B$2:$U$1001,13,FALSE)</f>
        <v>Jonathan Dayton</v>
      </c>
    </row>
    <row r="2509">
      <c r="A2509" s="5">
        <v>627.0</v>
      </c>
      <c r="B2509" s="5" t="s">
        <v>3815</v>
      </c>
      <c r="C2509" s="5" t="s">
        <v>3819</v>
      </c>
      <c r="D2509" s="5" t="s">
        <v>6637</v>
      </c>
      <c r="E2509" s="8">
        <f>vlookup(B2509,Filmes_final!$B$2:$U$1001,20,FALSE)</f>
        <v>77913094</v>
      </c>
      <c r="F2509" s="5">
        <f>vlookup(B2509,Filmes_final!$B$2:$U$1001,3,FALSE)</f>
        <v>2006</v>
      </c>
      <c r="G2509" s="5" t="str">
        <f>vlookup(B2509,Filmes_final!$B$2:$U$1001,13,FALSE)</f>
        <v>Jonathan Dayton</v>
      </c>
    </row>
    <row r="2510">
      <c r="A2510" s="5">
        <v>628.0</v>
      </c>
      <c r="B2510" s="5" t="s">
        <v>3820</v>
      </c>
      <c r="C2510" s="5" t="s">
        <v>3102</v>
      </c>
      <c r="D2510" s="5" t="s">
        <v>6634</v>
      </c>
      <c r="E2510" s="8">
        <f>vlookup(B2510,Filmes_final!$B$2:$U$1001,20,FALSE)</f>
        <v>30124738</v>
      </c>
      <c r="F2510" s="5">
        <f>vlookup(B2510,Filmes_final!$B$2:$U$1001,3,FALSE)</f>
        <v>2007</v>
      </c>
      <c r="G2510" s="5" t="str">
        <f>vlookup(B2510,Filmes_final!$B$2:$U$1001,13,FALSE)</f>
        <v>Edgar Wright</v>
      </c>
    </row>
    <row r="2511">
      <c r="A2511" s="5">
        <v>628.0</v>
      </c>
      <c r="B2511" s="5" t="s">
        <v>3820</v>
      </c>
      <c r="C2511" s="5" t="s">
        <v>3159</v>
      </c>
      <c r="D2511" s="5" t="s">
        <v>6635</v>
      </c>
      <c r="E2511" s="8">
        <f>vlookup(B2511,Filmes_final!$B$2:$U$1001,20,FALSE)</f>
        <v>30124738</v>
      </c>
      <c r="F2511" s="5">
        <f>vlookup(B2511,Filmes_final!$B$2:$U$1001,3,FALSE)</f>
        <v>2007</v>
      </c>
      <c r="G2511" s="5" t="str">
        <f>vlookup(B2511,Filmes_final!$B$2:$U$1001,13,FALSE)</f>
        <v>Edgar Wright</v>
      </c>
    </row>
    <row r="2512">
      <c r="A2512" s="5">
        <v>628.0</v>
      </c>
      <c r="B2512" s="5" t="s">
        <v>3820</v>
      </c>
      <c r="C2512" s="5" t="s">
        <v>3733</v>
      </c>
      <c r="D2512" s="5" t="s">
        <v>6636</v>
      </c>
      <c r="E2512" s="8">
        <f>vlookup(B2512,Filmes_final!$B$2:$U$1001,20,FALSE)</f>
        <v>30124738</v>
      </c>
      <c r="F2512" s="5">
        <f>vlookup(B2512,Filmes_final!$B$2:$U$1001,3,FALSE)</f>
        <v>2007</v>
      </c>
      <c r="G2512" s="5" t="str">
        <f>vlookup(B2512,Filmes_final!$B$2:$U$1001,13,FALSE)</f>
        <v>Edgar Wright</v>
      </c>
    </row>
    <row r="2513">
      <c r="A2513" s="5">
        <v>628.0</v>
      </c>
      <c r="B2513" s="5" t="s">
        <v>3820</v>
      </c>
      <c r="C2513" s="5" t="s">
        <v>3619</v>
      </c>
      <c r="D2513" s="5" t="s">
        <v>6637</v>
      </c>
      <c r="E2513" s="8">
        <f>vlookup(B2513,Filmes_final!$B$2:$U$1001,20,FALSE)</f>
        <v>30124738</v>
      </c>
      <c r="F2513" s="5">
        <f>vlookup(B2513,Filmes_final!$B$2:$U$1001,3,FALSE)</f>
        <v>2007</v>
      </c>
      <c r="G2513" s="5" t="str">
        <f>vlookup(B2513,Filmes_final!$B$2:$U$1001,13,FALSE)</f>
        <v>Edgar Wright</v>
      </c>
    </row>
    <row r="2514">
      <c r="A2514" s="5">
        <v>629.0</v>
      </c>
      <c r="B2514" s="5" t="s">
        <v>3823</v>
      </c>
      <c r="C2514" s="5" t="s">
        <v>98</v>
      </c>
      <c r="D2514" s="5" t="s">
        <v>6634</v>
      </c>
      <c r="E2514" s="8">
        <f>vlookup(B2514,Filmes_final!$B$2:$U$1001,20,FALSE)</f>
        <v>155835268</v>
      </c>
      <c r="F2514" s="5">
        <f>vlookup(B2514,Filmes_final!$B$2:$U$1001,3,FALSE)</f>
        <v>2008</v>
      </c>
      <c r="G2514" s="5" t="str">
        <f>vlookup(B2514,Filmes_final!$B$2:$U$1001,13,FALSE)</f>
        <v>David Fincher</v>
      </c>
    </row>
    <row r="2515">
      <c r="A2515" s="5">
        <v>629.0</v>
      </c>
      <c r="B2515" s="5" t="s">
        <v>3823</v>
      </c>
      <c r="C2515" s="5" t="s">
        <v>2996</v>
      </c>
      <c r="D2515" s="5" t="s">
        <v>6635</v>
      </c>
      <c r="E2515" s="8">
        <f>vlookup(B2515,Filmes_final!$B$2:$U$1001,20,FALSE)</f>
        <v>155835268</v>
      </c>
      <c r="F2515" s="5">
        <f>vlookup(B2515,Filmes_final!$B$2:$U$1001,3,FALSE)</f>
        <v>2008</v>
      </c>
      <c r="G2515" s="5" t="str">
        <f>vlookup(B2515,Filmes_final!$B$2:$U$1001,13,FALSE)</f>
        <v>David Fincher</v>
      </c>
    </row>
    <row r="2516">
      <c r="A2516" s="5">
        <v>629.0</v>
      </c>
      <c r="B2516" s="5" t="s">
        <v>3823</v>
      </c>
      <c r="C2516" s="5" t="s">
        <v>3826</v>
      </c>
      <c r="D2516" s="5" t="s">
        <v>6636</v>
      </c>
      <c r="E2516" s="8">
        <f>vlookup(B2516,Filmes_final!$B$2:$U$1001,20,FALSE)</f>
        <v>155835268</v>
      </c>
      <c r="F2516" s="5">
        <f>vlookup(B2516,Filmes_final!$B$2:$U$1001,3,FALSE)</f>
        <v>2008</v>
      </c>
      <c r="G2516" s="5" t="str">
        <f>vlookup(B2516,Filmes_final!$B$2:$U$1001,13,FALSE)</f>
        <v>David Fincher</v>
      </c>
    </row>
    <row r="2517">
      <c r="A2517" s="5">
        <v>629.0</v>
      </c>
      <c r="B2517" s="5" t="s">
        <v>3823</v>
      </c>
      <c r="C2517" s="5" t="s">
        <v>3827</v>
      </c>
      <c r="D2517" s="5" t="s">
        <v>6637</v>
      </c>
      <c r="E2517" s="8">
        <f>vlookup(B2517,Filmes_final!$B$2:$U$1001,20,FALSE)</f>
        <v>155835268</v>
      </c>
      <c r="F2517" s="5">
        <f>vlookup(B2517,Filmes_final!$B$2:$U$1001,3,FALSE)</f>
        <v>2008</v>
      </c>
      <c r="G2517" s="5" t="str">
        <f>vlookup(B2517,Filmes_final!$B$2:$U$1001,13,FALSE)</f>
        <v>David Fincher</v>
      </c>
    </row>
    <row r="2518">
      <c r="A2518" s="5">
        <v>630.0</v>
      </c>
      <c r="B2518" s="5" t="s">
        <v>3828</v>
      </c>
      <c r="C2518" s="5" t="s">
        <v>1084</v>
      </c>
      <c r="D2518" s="5" t="s">
        <v>6634</v>
      </c>
      <c r="E2518" s="8">
        <f>vlookup(B2518,Filmes_final!$B$2:$U$1001,20,FALSE)</f>
        <v>4069782</v>
      </c>
      <c r="F2518" s="5">
        <f>vlookup(B2518,Filmes_final!$B$2:$U$1001,3,FALSE)</f>
        <v>2004</v>
      </c>
      <c r="G2518" s="5" t="str">
        <f>vlookup(B2518,Filmes_final!$B$2:$U$1001,13,FALSE)</f>
        <v>Yash Chopra</v>
      </c>
    </row>
    <row r="2519">
      <c r="A2519" s="5">
        <v>630.0</v>
      </c>
      <c r="B2519" s="5" t="s">
        <v>3828</v>
      </c>
      <c r="C2519" s="5" t="s">
        <v>1661</v>
      </c>
      <c r="D2519" s="5" t="s">
        <v>6635</v>
      </c>
      <c r="E2519" s="8">
        <f>vlookup(B2519,Filmes_final!$B$2:$U$1001,20,FALSE)</f>
        <v>4069782</v>
      </c>
      <c r="F2519" s="5">
        <f>vlookup(B2519,Filmes_final!$B$2:$U$1001,3,FALSE)</f>
        <v>2004</v>
      </c>
      <c r="G2519" s="5" t="str">
        <f>vlookup(B2519,Filmes_final!$B$2:$U$1001,13,FALSE)</f>
        <v>Yash Chopra</v>
      </c>
    </row>
    <row r="2520">
      <c r="A2520" s="5">
        <v>630.0</v>
      </c>
      <c r="B2520" s="5" t="s">
        <v>3828</v>
      </c>
      <c r="C2520" s="5" t="s">
        <v>1122</v>
      </c>
      <c r="D2520" s="5" t="s">
        <v>6636</v>
      </c>
      <c r="E2520" s="8">
        <f>vlookup(B2520,Filmes_final!$B$2:$U$1001,20,FALSE)</f>
        <v>4069782</v>
      </c>
      <c r="F2520" s="5">
        <f>vlookup(B2520,Filmes_final!$B$2:$U$1001,3,FALSE)</f>
        <v>2004</v>
      </c>
      <c r="G2520" s="5" t="str">
        <f>vlookup(B2520,Filmes_final!$B$2:$U$1001,13,FALSE)</f>
        <v>Yash Chopra</v>
      </c>
    </row>
    <row r="2521">
      <c r="A2521" s="5">
        <v>630.0</v>
      </c>
      <c r="B2521" s="5" t="s">
        <v>3828</v>
      </c>
      <c r="C2521" s="5" t="s">
        <v>3832</v>
      </c>
      <c r="D2521" s="5" t="s">
        <v>6637</v>
      </c>
      <c r="E2521" s="8">
        <f>vlookup(B2521,Filmes_final!$B$2:$U$1001,20,FALSE)</f>
        <v>4069782</v>
      </c>
      <c r="F2521" s="5">
        <f>vlookup(B2521,Filmes_final!$B$2:$U$1001,3,FALSE)</f>
        <v>2004</v>
      </c>
      <c r="G2521" s="5" t="str">
        <f>vlookup(B2521,Filmes_final!$B$2:$U$1001,13,FALSE)</f>
        <v>Yash Chopra</v>
      </c>
    </row>
    <row r="2522">
      <c r="A2522" s="5">
        <v>631.0</v>
      </c>
      <c r="B2522" s="5" t="s">
        <v>3833</v>
      </c>
      <c r="C2522" s="5" t="s">
        <v>2508</v>
      </c>
      <c r="D2522" s="5" t="s">
        <v>6634</v>
      </c>
      <c r="E2522" s="8">
        <f>vlookup(B2522,Filmes_final!$B$2:$U$1001,20,FALSE)</f>
        <v>1765</v>
      </c>
      <c r="F2522" s="5">
        <f>vlookup(B2522,Filmes_final!$B$2:$U$1001,3,FALSE)</f>
        <v>2005</v>
      </c>
      <c r="G2522" s="5" t="str">
        <f>vlookup(B2522,Filmes_final!$B$2:$U$1001,13,FALSE)</f>
        <v>Anders Thomas Jensen</v>
      </c>
    </row>
    <row r="2523">
      <c r="A2523" s="5">
        <v>631.0</v>
      </c>
      <c r="B2523" s="5" t="s">
        <v>3833</v>
      </c>
      <c r="C2523" s="5" t="s">
        <v>673</v>
      </c>
      <c r="D2523" s="5" t="s">
        <v>6635</v>
      </c>
      <c r="E2523" s="8">
        <f>vlookup(B2523,Filmes_final!$B$2:$U$1001,20,FALSE)</f>
        <v>1765</v>
      </c>
      <c r="F2523" s="5">
        <f>vlookup(B2523,Filmes_final!$B$2:$U$1001,3,FALSE)</f>
        <v>2005</v>
      </c>
      <c r="G2523" s="5" t="str">
        <f>vlookup(B2523,Filmes_final!$B$2:$U$1001,13,FALSE)</f>
        <v>Anders Thomas Jensen</v>
      </c>
    </row>
    <row r="2524">
      <c r="A2524" s="5">
        <v>631.0</v>
      </c>
      <c r="B2524" s="5" t="s">
        <v>3833</v>
      </c>
      <c r="C2524" s="5" t="s">
        <v>3836</v>
      </c>
      <c r="D2524" s="5" t="s">
        <v>6636</v>
      </c>
      <c r="E2524" s="8">
        <f>vlookup(B2524,Filmes_final!$B$2:$U$1001,20,FALSE)</f>
        <v>1765</v>
      </c>
      <c r="F2524" s="5">
        <f>vlookup(B2524,Filmes_final!$B$2:$U$1001,3,FALSE)</f>
        <v>2005</v>
      </c>
      <c r="G2524" s="5" t="str">
        <f>vlookup(B2524,Filmes_final!$B$2:$U$1001,13,FALSE)</f>
        <v>Anders Thomas Jensen</v>
      </c>
    </row>
    <row r="2525">
      <c r="A2525" s="5">
        <v>631.0</v>
      </c>
      <c r="B2525" s="5" t="s">
        <v>3833</v>
      </c>
      <c r="C2525" s="5" t="s">
        <v>2510</v>
      </c>
      <c r="D2525" s="5" t="s">
        <v>6637</v>
      </c>
      <c r="E2525" s="8">
        <f>vlookup(B2525,Filmes_final!$B$2:$U$1001,20,FALSE)</f>
        <v>1765</v>
      </c>
      <c r="F2525" s="5">
        <f>vlookup(B2525,Filmes_final!$B$2:$U$1001,3,FALSE)</f>
        <v>2005</v>
      </c>
      <c r="G2525" s="5" t="str">
        <f>vlookup(B2525,Filmes_final!$B$2:$U$1001,13,FALSE)</f>
        <v>Anders Thomas Jensen</v>
      </c>
    </row>
    <row r="2526">
      <c r="A2526" s="5">
        <v>632.0</v>
      </c>
      <c r="B2526" s="5" t="s">
        <v>3837</v>
      </c>
      <c r="C2526" s="5" t="s">
        <v>2237</v>
      </c>
      <c r="D2526" s="5" t="s">
        <v>6634</v>
      </c>
      <c r="E2526" s="8">
        <f>vlookup(B2526,Filmes_final!$B$2:$U$1001,20,FALSE)</f>
        <v>51952800</v>
      </c>
      <c r="F2526" s="5">
        <f>vlookup(B2526,Filmes_final!$B$2:$U$1001,3,FALSE)</f>
        <v>2005</v>
      </c>
      <c r="G2526" s="5" t="str">
        <f>vlookup(B2526,Filmes_final!$B$2:$U$1001,13,FALSE)</f>
        <v>Joe Wright</v>
      </c>
    </row>
    <row r="2527">
      <c r="A2527" s="5">
        <v>632.0</v>
      </c>
      <c r="B2527" s="5" t="s">
        <v>3837</v>
      </c>
      <c r="C2527" s="5" t="s">
        <v>3839</v>
      </c>
      <c r="D2527" s="5" t="s">
        <v>6635</v>
      </c>
      <c r="E2527" s="8">
        <f>vlookup(B2527,Filmes_final!$B$2:$U$1001,20,FALSE)</f>
        <v>51952800</v>
      </c>
      <c r="F2527" s="5">
        <f>vlookup(B2527,Filmes_final!$B$2:$U$1001,3,FALSE)</f>
        <v>2005</v>
      </c>
      <c r="G2527" s="5" t="str">
        <f>vlookup(B2527,Filmes_final!$B$2:$U$1001,13,FALSE)</f>
        <v>Joe Wright</v>
      </c>
    </row>
    <row r="2528">
      <c r="A2528" s="5">
        <v>632.0</v>
      </c>
      <c r="B2528" s="5" t="s">
        <v>3837</v>
      </c>
      <c r="C2528" s="5" t="s">
        <v>2541</v>
      </c>
      <c r="D2528" s="5" t="s">
        <v>6636</v>
      </c>
      <c r="E2528" s="8">
        <f>vlookup(B2528,Filmes_final!$B$2:$U$1001,20,FALSE)</f>
        <v>51952800</v>
      </c>
      <c r="F2528" s="5">
        <f>vlookup(B2528,Filmes_final!$B$2:$U$1001,3,FALSE)</f>
        <v>2005</v>
      </c>
      <c r="G2528" s="5" t="str">
        <f>vlookup(B2528,Filmes_final!$B$2:$U$1001,13,FALSE)</f>
        <v>Joe Wright</v>
      </c>
    </row>
    <row r="2529">
      <c r="A2529" s="5">
        <v>632.0</v>
      </c>
      <c r="B2529" s="5" t="s">
        <v>3837</v>
      </c>
      <c r="C2529" s="5" t="s">
        <v>3674</v>
      </c>
      <c r="D2529" s="5" t="s">
        <v>6637</v>
      </c>
      <c r="E2529" s="8">
        <f>vlookup(B2529,Filmes_final!$B$2:$U$1001,20,FALSE)</f>
        <v>51952800</v>
      </c>
      <c r="F2529" s="5">
        <f>vlookup(B2529,Filmes_final!$B$2:$U$1001,3,FALSE)</f>
        <v>2005</v>
      </c>
      <c r="G2529" s="5" t="str">
        <f>vlookup(B2529,Filmes_final!$B$2:$U$1001,13,FALSE)</f>
        <v>Joe Wright</v>
      </c>
    </row>
    <row r="2530">
      <c r="A2530" s="5">
        <v>633.0</v>
      </c>
      <c r="B2530" s="5" t="s">
        <v>3840</v>
      </c>
      <c r="C2530" s="5" t="s">
        <v>245</v>
      </c>
      <c r="D2530" s="5" t="s">
        <v>6634</v>
      </c>
      <c r="E2530" s="8">
        <f>vlookup(B2530,Filmes_final!$B$2:$U$1001,20,FALSE)</f>
        <v>6937112</v>
      </c>
      <c r="F2530" s="5">
        <f>vlookup(B2530,Filmes_final!$B$2:$U$1001,3,FALSE)</f>
        <v>2005</v>
      </c>
      <c r="G2530" s="5" t="str">
        <f>vlookup(B2530,Filmes_final!$B$2:$U$1001,13,FALSE)</f>
        <v>Roger Donaldson</v>
      </c>
    </row>
    <row r="2531">
      <c r="A2531" s="5">
        <v>633.0</v>
      </c>
      <c r="B2531" s="5" t="s">
        <v>3840</v>
      </c>
      <c r="C2531" s="5" t="s">
        <v>3843</v>
      </c>
      <c r="D2531" s="5" t="s">
        <v>6635</v>
      </c>
      <c r="E2531" s="8">
        <f>vlookup(B2531,Filmes_final!$B$2:$U$1001,20,FALSE)</f>
        <v>6937112</v>
      </c>
      <c r="F2531" s="5">
        <f>vlookup(B2531,Filmes_final!$B$2:$U$1001,3,FALSE)</f>
        <v>2005</v>
      </c>
      <c r="G2531" s="5" t="str">
        <f>vlookup(B2531,Filmes_final!$B$2:$U$1001,13,FALSE)</f>
        <v>Roger Donaldson</v>
      </c>
    </row>
    <row r="2532">
      <c r="A2532" s="5">
        <v>633.0</v>
      </c>
      <c r="B2532" s="5" t="s">
        <v>3840</v>
      </c>
      <c r="C2532" s="5" t="s">
        <v>3844</v>
      </c>
      <c r="D2532" s="5" t="s">
        <v>6636</v>
      </c>
      <c r="E2532" s="8">
        <f>vlookup(B2532,Filmes_final!$B$2:$U$1001,20,FALSE)</f>
        <v>6937112</v>
      </c>
      <c r="F2532" s="5">
        <f>vlookup(B2532,Filmes_final!$B$2:$U$1001,3,FALSE)</f>
        <v>2005</v>
      </c>
      <c r="G2532" s="5" t="str">
        <f>vlookup(B2532,Filmes_final!$B$2:$U$1001,13,FALSE)</f>
        <v>Roger Donaldson</v>
      </c>
    </row>
    <row r="2533">
      <c r="A2533" s="5">
        <v>633.0</v>
      </c>
      <c r="B2533" s="5" t="s">
        <v>3840</v>
      </c>
      <c r="C2533" s="5" t="s">
        <v>3845</v>
      </c>
      <c r="D2533" s="5" t="s">
        <v>6637</v>
      </c>
      <c r="E2533" s="8">
        <f>vlookup(B2533,Filmes_final!$B$2:$U$1001,20,FALSE)</f>
        <v>6937112</v>
      </c>
      <c r="F2533" s="5">
        <f>vlookup(B2533,Filmes_final!$B$2:$U$1001,3,FALSE)</f>
        <v>2005</v>
      </c>
      <c r="G2533" s="5" t="str">
        <f>vlookup(B2533,Filmes_final!$B$2:$U$1001,13,FALSE)</f>
        <v>Roger Donaldson</v>
      </c>
    </row>
    <row r="2534">
      <c r="A2534" s="5">
        <v>634.0</v>
      </c>
      <c r="B2534" s="5" t="s">
        <v>3846</v>
      </c>
      <c r="C2534" s="5" t="s">
        <v>3848</v>
      </c>
      <c r="D2534" s="5" t="s">
        <v>6634</v>
      </c>
      <c r="E2534" s="8">
        <f>vlookup(B2534,Filmes_final!$B$2:$U$1001,20,FALSE)</f>
        <v>183128</v>
      </c>
      <c r="F2534" s="5">
        <f>vlookup(B2534,Filmes_final!$B$2:$U$1001,3,FALSE)</f>
        <v>2003</v>
      </c>
      <c r="G2534" s="5" t="str">
        <f>vlookup(B2534,Filmes_final!$B$2:$U$1001,13,FALSE)</f>
        <v>Satoshi Kon</v>
      </c>
    </row>
    <row r="2535">
      <c r="A2535" s="5">
        <v>634.0</v>
      </c>
      <c r="B2535" s="5" t="s">
        <v>3846</v>
      </c>
      <c r="C2535" s="5" t="s">
        <v>3849</v>
      </c>
      <c r="D2535" s="5" t="s">
        <v>6635</v>
      </c>
      <c r="E2535" s="8">
        <f>vlookup(B2535,Filmes_final!$B$2:$U$1001,20,FALSE)</f>
        <v>183128</v>
      </c>
      <c r="F2535" s="5">
        <f>vlookup(B2535,Filmes_final!$B$2:$U$1001,3,FALSE)</f>
        <v>2003</v>
      </c>
      <c r="G2535" s="5" t="str">
        <f>vlookup(B2535,Filmes_final!$B$2:$U$1001,13,FALSE)</f>
        <v>Satoshi Kon</v>
      </c>
    </row>
    <row r="2536">
      <c r="A2536" s="5">
        <v>634.0</v>
      </c>
      <c r="B2536" s="5" t="s">
        <v>3846</v>
      </c>
      <c r="C2536" s="5" t="s">
        <v>3850</v>
      </c>
      <c r="D2536" s="5" t="s">
        <v>6636</v>
      </c>
      <c r="E2536" s="8">
        <f>vlookup(B2536,Filmes_final!$B$2:$U$1001,20,FALSE)</f>
        <v>183128</v>
      </c>
      <c r="F2536" s="5">
        <f>vlookup(B2536,Filmes_final!$B$2:$U$1001,3,FALSE)</f>
        <v>2003</v>
      </c>
      <c r="G2536" s="5" t="str">
        <f>vlookup(B2536,Filmes_final!$B$2:$U$1001,13,FALSE)</f>
        <v>Satoshi Kon</v>
      </c>
    </row>
    <row r="2537">
      <c r="A2537" s="5">
        <v>634.0</v>
      </c>
      <c r="B2537" s="5" t="s">
        <v>3846</v>
      </c>
      <c r="C2537" s="5" t="s">
        <v>3851</v>
      </c>
      <c r="D2537" s="5" t="s">
        <v>6637</v>
      </c>
      <c r="E2537" s="8">
        <f>vlookup(B2537,Filmes_final!$B$2:$U$1001,20,FALSE)</f>
        <v>183128</v>
      </c>
      <c r="F2537" s="5">
        <f>vlookup(B2537,Filmes_final!$B$2:$U$1001,3,FALSE)</f>
        <v>2003</v>
      </c>
      <c r="G2537" s="5" t="str">
        <f>vlookup(B2537,Filmes_final!$B$2:$U$1001,13,FALSE)</f>
        <v>Satoshi Kon</v>
      </c>
    </row>
    <row r="2538">
      <c r="A2538" s="5">
        <v>635.0</v>
      </c>
      <c r="B2538" s="5" t="s">
        <v>3852</v>
      </c>
      <c r="C2538" s="5" t="s">
        <v>3854</v>
      </c>
      <c r="D2538" s="5" t="s">
        <v>6634</v>
      </c>
      <c r="E2538" s="8">
        <f>vlookup(B2538,Filmes_final!$B$2:$U$1001,20,FALSE)</f>
        <v>34514974</v>
      </c>
      <c r="F2538" s="5">
        <f>vlookup(B2538,Filmes_final!$B$2:$U$1001,3,FALSE)</f>
        <v>2005</v>
      </c>
      <c r="G2538" s="5" t="str">
        <f>vlookup(B2538,Filmes_final!$B$2:$U$1001,13,FALSE)</f>
        <v>Joss Whedon</v>
      </c>
    </row>
    <row r="2539">
      <c r="A2539" s="5">
        <v>635.0</v>
      </c>
      <c r="B2539" s="5" t="s">
        <v>3852</v>
      </c>
      <c r="C2539" s="5" t="s">
        <v>3855</v>
      </c>
      <c r="D2539" s="5" t="s">
        <v>6635</v>
      </c>
      <c r="E2539" s="8">
        <f>vlookup(B2539,Filmes_final!$B$2:$U$1001,20,FALSE)</f>
        <v>34514974</v>
      </c>
      <c r="F2539" s="5">
        <f>vlookup(B2539,Filmes_final!$B$2:$U$1001,3,FALSE)</f>
        <v>2005</v>
      </c>
      <c r="G2539" s="5" t="str">
        <f>vlookup(B2539,Filmes_final!$B$2:$U$1001,13,FALSE)</f>
        <v>Joss Whedon</v>
      </c>
    </row>
    <row r="2540">
      <c r="A2540" s="5">
        <v>635.0</v>
      </c>
      <c r="B2540" s="5" t="s">
        <v>3852</v>
      </c>
      <c r="C2540" s="5" t="s">
        <v>1503</v>
      </c>
      <c r="D2540" s="5" t="s">
        <v>6636</v>
      </c>
      <c r="E2540" s="8">
        <f>vlookup(B2540,Filmes_final!$B$2:$U$1001,20,FALSE)</f>
        <v>34514974</v>
      </c>
      <c r="F2540" s="5">
        <f>vlookup(B2540,Filmes_final!$B$2:$U$1001,3,FALSE)</f>
        <v>2005</v>
      </c>
      <c r="G2540" s="5" t="str">
        <f>vlookup(B2540,Filmes_final!$B$2:$U$1001,13,FALSE)</f>
        <v>Joss Whedon</v>
      </c>
    </row>
    <row r="2541">
      <c r="A2541" s="5">
        <v>635.0</v>
      </c>
      <c r="B2541" s="5" t="s">
        <v>3852</v>
      </c>
      <c r="C2541" s="5" t="s">
        <v>3594</v>
      </c>
      <c r="D2541" s="5" t="s">
        <v>6637</v>
      </c>
      <c r="E2541" s="8">
        <f>vlookup(B2541,Filmes_final!$B$2:$U$1001,20,FALSE)</f>
        <v>34514974</v>
      </c>
      <c r="F2541" s="5">
        <f>vlookup(B2541,Filmes_final!$B$2:$U$1001,3,FALSE)</f>
        <v>2005</v>
      </c>
      <c r="G2541" s="5" t="str">
        <f>vlookup(B2541,Filmes_final!$B$2:$U$1001,13,FALSE)</f>
        <v>Joss Whedon</v>
      </c>
    </row>
    <row r="2542">
      <c r="A2542" s="5">
        <v>636.0</v>
      </c>
      <c r="B2542" s="5" t="s">
        <v>3856</v>
      </c>
      <c r="C2542" s="5" t="s">
        <v>282</v>
      </c>
      <c r="D2542" s="5" t="s">
        <v>6634</v>
      </c>
      <c r="E2542" s="8">
        <f>vlookup(B2542,Filmes_final!$B$2:$U$1001,20,FALSE)</f>
        <v>161680858</v>
      </c>
      <c r="F2542" s="5">
        <f>vlookup(B2542,Filmes_final!$B$2:$U$1001,3,FALSE)</f>
        <v>2005</v>
      </c>
      <c r="G2542" s="5" t="str">
        <f>vlookup(B2542,Filmes_final!$B$2:$U$1001,13,FALSE)</f>
        <v>James Mangold</v>
      </c>
    </row>
    <row r="2543">
      <c r="A2543" s="5">
        <v>636.0</v>
      </c>
      <c r="B2543" s="5" t="s">
        <v>3856</v>
      </c>
      <c r="C2543" s="5" t="s">
        <v>3858</v>
      </c>
      <c r="D2543" s="5" t="s">
        <v>6635</v>
      </c>
      <c r="E2543" s="8">
        <f>vlookup(B2543,Filmes_final!$B$2:$U$1001,20,FALSE)</f>
        <v>161680858</v>
      </c>
      <c r="F2543" s="5">
        <f>vlookup(B2543,Filmes_final!$B$2:$U$1001,3,FALSE)</f>
        <v>2005</v>
      </c>
      <c r="G2543" s="5" t="str">
        <f>vlookup(B2543,Filmes_final!$B$2:$U$1001,13,FALSE)</f>
        <v>James Mangold</v>
      </c>
    </row>
    <row r="2544">
      <c r="A2544" s="5">
        <v>636.0</v>
      </c>
      <c r="B2544" s="5" t="s">
        <v>3856</v>
      </c>
      <c r="C2544" s="5" t="s">
        <v>2194</v>
      </c>
      <c r="D2544" s="5" t="s">
        <v>6636</v>
      </c>
      <c r="E2544" s="8">
        <f>vlookup(B2544,Filmes_final!$B$2:$U$1001,20,FALSE)</f>
        <v>161680858</v>
      </c>
      <c r="F2544" s="5">
        <f>vlookup(B2544,Filmes_final!$B$2:$U$1001,3,FALSE)</f>
        <v>2005</v>
      </c>
      <c r="G2544" s="5" t="str">
        <f>vlookup(B2544,Filmes_final!$B$2:$U$1001,13,FALSE)</f>
        <v>James Mangold</v>
      </c>
    </row>
    <row r="2545">
      <c r="A2545" s="5">
        <v>636.0</v>
      </c>
      <c r="B2545" s="5" t="s">
        <v>3856</v>
      </c>
      <c r="C2545" s="5" t="s">
        <v>365</v>
      </c>
      <c r="D2545" s="5" t="s">
        <v>6637</v>
      </c>
      <c r="E2545" s="8">
        <f>vlookup(B2545,Filmes_final!$B$2:$U$1001,20,FALSE)</f>
        <v>161680858</v>
      </c>
      <c r="F2545" s="5">
        <f>vlookup(B2545,Filmes_final!$B$2:$U$1001,3,FALSE)</f>
        <v>2005</v>
      </c>
      <c r="G2545" s="5" t="str">
        <f>vlookup(B2545,Filmes_final!$B$2:$U$1001,13,FALSE)</f>
        <v>James Mangold</v>
      </c>
    </row>
    <row r="2546">
      <c r="A2546" s="5">
        <v>637.0</v>
      </c>
      <c r="B2546" s="5" t="s">
        <v>3859</v>
      </c>
      <c r="C2546" s="5" t="s">
        <v>3863</v>
      </c>
      <c r="D2546" s="5" t="s">
        <v>6634</v>
      </c>
      <c r="E2546" s="8">
        <f>vlookup(B2546,Filmes_final!$B$2:$U$1001,20,FALSE)</f>
        <v>21694</v>
      </c>
      <c r="F2546" s="5">
        <f>vlookup(B2546,Filmes_final!$B$2:$U$1001,3,FALSE)</f>
        <v>2003</v>
      </c>
      <c r="G2546" s="5" t="str">
        <f>vlookup(B2546,Filmes_final!$B$2:$U$1001,13,FALSE)</f>
        <v>Mikael Håfström</v>
      </c>
    </row>
    <row r="2547">
      <c r="A2547" s="5">
        <v>637.0</v>
      </c>
      <c r="B2547" s="5" t="s">
        <v>3859</v>
      </c>
      <c r="C2547" s="5" t="s">
        <v>3864</v>
      </c>
      <c r="D2547" s="5" t="s">
        <v>6635</v>
      </c>
      <c r="E2547" s="8">
        <f>vlookup(B2547,Filmes_final!$B$2:$U$1001,20,FALSE)</f>
        <v>21694</v>
      </c>
      <c r="F2547" s="5">
        <f>vlookup(B2547,Filmes_final!$B$2:$U$1001,3,FALSE)</f>
        <v>2003</v>
      </c>
      <c r="G2547" s="5" t="str">
        <f>vlookup(B2547,Filmes_final!$B$2:$U$1001,13,FALSE)</f>
        <v>Mikael Håfström</v>
      </c>
    </row>
    <row r="2548">
      <c r="A2548" s="5">
        <v>637.0</v>
      </c>
      <c r="B2548" s="5" t="s">
        <v>3859</v>
      </c>
      <c r="C2548" s="5" t="s">
        <v>3865</v>
      </c>
      <c r="D2548" s="5" t="s">
        <v>6636</v>
      </c>
      <c r="E2548" s="8">
        <f>vlookup(B2548,Filmes_final!$B$2:$U$1001,20,FALSE)</f>
        <v>21694</v>
      </c>
      <c r="F2548" s="5">
        <f>vlookup(B2548,Filmes_final!$B$2:$U$1001,3,FALSE)</f>
        <v>2003</v>
      </c>
      <c r="G2548" s="5" t="str">
        <f>vlookup(B2548,Filmes_final!$B$2:$U$1001,13,FALSE)</f>
        <v>Mikael Håfström</v>
      </c>
    </row>
    <row r="2549">
      <c r="A2549" s="5">
        <v>637.0</v>
      </c>
      <c r="B2549" s="5" t="s">
        <v>3859</v>
      </c>
      <c r="C2549" s="5" t="s">
        <v>3866</v>
      </c>
      <c r="D2549" s="5" t="s">
        <v>6637</v>
      </c>
      <c r="E2549" s="8">
        <f>vlookup(B2549,Filmes_final!$B$2:$U$1001,20,FALSE)</f>
        <v>21694</v>
      </c>
      <c r="F2549" s="5">
        <f>vlookup(B2549,Filmes_final!$B$2:$U$1001,3,FALSE)</f>
        <v>2003</v>
      </c>
      <c r="G2549" s="5" t="str">
        <f>vlookup(B2549,Filmes_final!$B$2:$U$1001,13,FALSE)</f>
        <v>Mikael Håfström</v>
      </c>
    </row>
    <row r="2550">
      <c r="A2550" s="5">
        <v>638.0</v>
      </c>
      <c r="B2550" s="5" t="s">
        <v>3867</v>
      </c>
      <c r="C2550" s="5" t="s">
        <v>2347</v>
      </c>
      <c r="D2550" s="5" t="s">
        <v>6634</v>
      </c>
      <c r="E2550" s="8">
        <f>vlookup(B2550,Filmes_final!$B$2:$U$1001,20,FALSE)</f>
        <v>112829979</v>
      </c>
      <c r="F2550" s="5">
        <f>vlookup(B2550,Filmes_final!$B$2:$U$1001,3,FALSE)</f>
        <v>2004</v>
      </c>
      <c r="G2550" s="5" t="str">
        <f>vlookup(B2550,Filmes_final!$B$2:$U$1001,13,FALSE)</f>
        <v>Nick Cassavetes</v>
      </c>
    </row>
    <row r="2551">
      <c r="A2551" s="5">
        <v>638.0</v>
      </c>
      <c r="B2551" s="5" t="s">
        <v>3867</v>
      </c>
      <c r="C2551" s="5" t="s">
        <v>1273</v>
      </c>
      <c r="D2551" s="5" t="s">
        <v>6635</v>
      </c>
      <c r="E2551" s="8">
        <f>vlookup(B2551,Filmes_final!$B$2:$U$1001,20,FALSE)</f>
        <v>112829979</v>
      </c>
      <c r="F2551" s="5">
        <f>vlookup(B2551,Filmes_final!$B$2:$U$1001,3,FALSE)</f>
        <v>2004</v>
      </c>
      <c r="G2551" s="5" t="str">
        <f>vlookup(B2551,Filmes_final!$B$2:$U$1001,13,FALSE)</f>
        <v>Nick Cassavetes</v>
      </c>
    </row>
    <row r="2552">
      <c r="A2552" s="5">
        <v>638.0</v>
      </c>
      <c r="B2552" s="5" t="s">
        <v>3867</v>
      </c>
      <c r="C2552" s="5" t="s">
        <v>1518</v>
      </c>
      <c r="D2552" s="5" t="s">
        <v>6636</v>
      </c>
      <c r="E2552" s="8">
        <f>vlookup(B2552,Filmes_final!$B$2:$U$1001,20,FALSE)</f>
        <v>112829979</v>
      </c>
      <c r="F2552" s="5">
        <f>vlookup(B2552,Filmes_final!$B$2:$U$1001,3,FALSE)</f>
        <v>2004</v>
      </c>
      <c r="G2552" s="5" t="str">
        <f>vlookup(B2552,Filmes_final!$B$2:$U$1001,13,FALSE)</f>
        <v>Nick Cassavetes</v>
      </c>
    </row>
    <row r="2553">
      <c r="A2553" s="5">
        <v>638.0</v>
      </c>
      <c r="B2553" s="5" t="s">
        <v>3867</v>
      </c>
      <c r="C2553" s="5" t="s">
        <v>2175</v>
      </c>
      <c r="D2553" s="5" t="s">
        <v>6637</v>
      </c>
      <c r="E2553" s="8">
        <f>vlookup(B2553,Filmes_final!$B$2:$U$1001,20,FALSE)</f>
        <v>112829979</v>
      </c>
      <c r="F2553" s="5">
        <f>vlookup(B2553,Filmes_final!$B$2:$U$1001,3,FALSE)</f>
        <v>2004</v>
      </c>
      <c r="G2553" s="5" t="str">
        <f>vlookup(B2553,Filmes_final!$B$2:$U$1001,13,FALSE)</f>
        <v>Nick Cassavetes</v>
      </c>
    </row>
    <row r="2554">
      <c r="A2554" s="5">
        <v>639.0</v>
      </c>
      <c r="B2554" s="5" t="s">
        <v>3870</v>
      </c>
      <c r="C2554" s="5" t="s">
        <v>492</v>
      </c>
      <c r="D2554" s="5" t="s">
        <v>6634</v>
      </c>
      <c r="E2554" s="8">
        <f>vlookup(B2554,Filmes_final!$B$2:$U$1001,20,FALSE)</f>
        <v>23340486</v>
      </c>
      <c r="F2554" s="5">
        <f>vlookup(B2554,Filmes_final!$B$2:$U$1001,3,FALSE)</f>
        <v>2004</v>
      </c>
      <c r="G2554" s="5" t="str">
        <f>vlookup(B2554,Filmes_final!$B$2:$U$1001,13,FALSE)</f>
        <v>Walter Salles</v>
      </c>
    </row>
    <row r="2555">
      <c r="A2555" s="5">
        <v>639.0</v>
      </c>
      <c r="B2555" s="5" t="s">
        <v>3870</v>
      </c>
      <c r="C2555" s="5" t="s">
        <v>3872</v>
      </c>
      <c r="D2555" s="5" t="s">
        <v>6635</v>
      </c>
      <c r="E2555" s="8">
        <f>vlookup(B2555,Filmes_final!$B$2:$U$1001,20,FALSE)</f>
        <v>23340486</v>
      </c>
      <c r="F2555" s="5">
        <f>vlookup(B2555,Filmes_final!$B$2:$U$1001,3,FALSE)</f>
        <v>2004</v>
      </c>
      <c r="G2555" s="5" t="str">
        <f>vlookup(B2555,Filmes_final!$B$2:$U$1001,13,FALSE)</f>
        <v>Walter Salles</v>
      </c>
    </row>
    <row r="2556">
      <c r="A2556" s="5">
        <v>639.0</v>
      </c>
      <c r="B2556" s="5" t="s">
        <v>3870</v>
      </c>
      <c r="C2556" s="5" t="s">
        <v>3873</v>
      </c>
      <c r="D2556" s="5" t="s">
        <v>6636</v>
      </c>
      <c r="E2556" s="8">
        <f>vlookup(B2556,Filmes_final!$B$2:$U$1001,20,FALSE)</f>
        <v>23340486</v>
      </c>
      <c r="F2556" s="5">
        <f>vlookup(B2556,Filmes_final!$B$2:$U$1001,3,FALSE)</f>
        <v>2004</v>
      </c>
      <c r="G2556" s="5" t="str">
        <f>vlookup(B2556,Filmes_final!$B$2:$U$1001,13,FALSE)</f>
        <v>Walter Salles</v>
      </c>
    </row>
    <row r="2557">
      <c r="A2557" s="5">
        <v>639.0</v>
      </c>
      <c r="B2557" s="5" t="s">
        <v>3870</v>
      </c>
      <c r="C2557" s="5" t="s">
        <v>3874</v>
      </c>
      <c r="D2557" s="5" t="s">
        <v>6637</v>
      </c>
      <c r="E2557" s="8">
        <f>vlookup(B2557,Filmes_final!$B$2:$U$1001,20,FALSE)</f>
        <v>23340486</v>
      </c>
      <c r="F2557" s="5">
        <f>vlookup(B2557,Filmes_final!$B$2:$U$1001,3,FALSE)</f>
        <v>2004</v>
      </c>
      <c r="G2557" s="5" t="str">
        <f>vlookup(B2557,Filmes_final!$B$2:$U$1001,13,FALSE)</f>
        <v>Walter Salles</v>
      </c>
    </row>
    <row r="2558">
      <c r="A2558" s="5">
        <v>640.0</v>
      </c>
      <c r="B2558" s="5" t="s">
        <v>3875</v>
      </c>
      <c r="C2558" s="5" t="s">
        <v>3878</v>
      </c>
      <c r="D2558" s="5" t="s">
        <v>6634</v>
      </c>
      <c r="E2558" s="8">
        <f>vlookup(B2558,Filmes_final!$B$2:$U$1001,20,FALSE)</f>
        <v>264606</v>
      </c>
      <c r="F2558" s="5">
        <f>vlookup(B2558,Filmes_final!$B$2:$U$1001,3,FALSE)</f>
        <v>2002</v>
      </c>
      <c r="G2558" s="5" t="str">
        <f>vlookup(B2558,Filmes_final!$B$2:$U$1001,13,FALSE)</f>
        <v>Lukas Moodysson</v>
      </c>
    </row>
    <row r="2559">
      <c r="A2559" s="5">
        <v>640.0</v>
      </c>
      <c r="B2559" s="5" t="s">
        <v>3875</v>
      </c>
      <c r="C2559" s="5" t="s">
        <v>3879</v>
      </c>
      <c r="D2559" s="5" t="s">
        <v>6635</v>
      </c>
      <c r="E2559" s="8">
        <f>vlookup(B2559,Filmes_final!$B$2:$U$1001,20,FALSE)</f>
        <v>264606</v>
      </c>
      <c r="F2559" s="5">
        <f>vlookup(B2559,Filmes_final!$B$2:$U$1001,3,FALSE)</f>
        <v>2002</v>
      </c>
      <c r="G2559" s="5" t="str">
        <f>vlookup(B2559,Filmes_final!$B$2:$U$1001,13,FALSE)</f>
        <v>Lukas Moodysson</v>
      </c>
    </row>
    <row r="2560">
      <c r="A2560" s="5">
        <v>640.0</v>
      </c>
      <c r="B2560" s="5" t="s">
        <v>3875</v>
      </c>
      <c r="C2560" s="5" t="s">
        <v>3880</v>
      </c>
      <c r="D2560" s="5" t="s">
        <v>6636</v>
      </c>
      <c r="E2560" s="8">
        <f>vlookup(B2560,Filmes_final!$B$2:$U$1001,20,FALSE)</f>
        <v>264606</v>
      </c>
      <c r="F2560" s="5">
        <f>vlookup(B2560,Filmes_final!$B$2:$U$1001,3,FALSE)</f>
        <v>2002</v>
      </c>
      <c r="G2560" s="5" t="str">
        <f>vlookup(B2560,Filmes_final!$B$2:$U$1001,13,FALSE)</f>
        <v>Lukas Moodysson</v>
      </c>
    </row>
    <row r="2561">
      <c r="A2561" s="5">
        <v>640.0</v>
      </c>
      <c r="B2561" s="5" t="s">
        <v>3875</v>
      </c>
      <c r="C2561" s="5" t="s">
        <v>3881</v>
      </c>
      <c r="D2561" s="5" t="s">
        <v>6637</v>
      </c>
      <c r="E2561" s="8">
        <f>vlookup(B2561,Filmes_final!$B$2:$U$1001,20,FALSE)</f>
        <v>264606</v>
      </c>
      <c r="F2561" s="5">
        <f>vlookup(B2561,Filmes_final!$B$2:$U$1001,3,FALSE)</f>
        <v>2002</v>
      </c>
      <c r="G2561" s="5" t="str">
        <f>vlookup(B2561,Filmes_final!$B$2:$U$1001,13,FALSE)</f>
        <v>Lukas Moodysson</v>
      </c>
    </row>
    <row r="2562">
      <c r="A2562" s="5">
        <v>641.0</v>
      </c>
      <c r="B2562" s="5" t="s">
        <v>3882</v>
      </c>
      <c r="C2562" s="5" t="s">
        <v>3885</v>
      </c>
      <c r="D2562" s="5" t="s">
        <v>6634</v>
      </c>
      <c r="E2562" s="8">
        <f>vlookup(B2562,Filmes_final!$B$2:$U$1001,20,FALSE)</f>
        <v>9941545</v>
      </c>
      <c r="F2562" s="5">
        <f>vlookup(B2562,Filmes_final!$B$2:$U$1001,3,FALSE)</f>
        <v>2003</v>
      </c>
      <c r="G2562" s="5" t="str">
        <f>vlookup(B2562,Filmes_final!$B$2:$U$1001,13,FALSE)</f>
        <v>Sylvain Chomet</v>
      </c>
    </row>
    <row r="2563">
      <c r="A2563" s="5">
        <v>641.0</v>
      </c>
      <c r="B2563" s="5" t="s">
        <v>3882</v>
      </c>
      <c r="C2563" s="5" t="s">
        <v>3886</v>
      </c>
      <c r="D2563" s="5" t="s">
        <v>6635</v>
      </c>
      <c r="E2563" s="8">
        <f>vlookup(B2563,Filmes_final!$B$2:$U$1001,20,FALSE)</f>
        <v>9941545</v>
      </c>
      <c r="F2563" s="5">
        <f>vlookup(B2563,Filmes_final!$B$2:$U$1001,3,FALSE)</f>
        <v>2003</v>
      </c>
      <c r="G2563" s="5" t="str">
        <f>vlookup(B2563,Filmes_final!$B$2:$U$1001,13,FALSE)</f>
        <v>Sylvain Chomet</v>
      </c>
    </row>
    <row r="2564">
      <c r="A2564" s="5">
        <v>641.0</v>
      </c>
      <c r="B2564" s="5" t="s">
        <v>3882</v>
      </c>
      <c r="C2564" s="5" t="s">
        <v>3887</v>
      </c>
      <c r="D2564" s="5" t="s">
        <v>6636</v>
      </c>
      <c r="E2564" s="8">
        <f>vlookup(B2564,Filmes_final!$B$2:$U$1001,20,FALSE)</f>
        <v>9941545</v>
      </c>
      <c r="F2564" s="5">
        <f>vlookup(B2564,Filmes_final!$B$2:$U$1001,3,FALSE)</f>
        <v>2003</v>
      </c>
      <c r="G2564" s="5" t="str">
        <f>vlookup(B2564,Filmes_final!$B$2:$U$1001,13,FALSE)</f>
        <v>Sylvain Chomet</v>
      </c>
    </row>
    <row r="2565">
      <c r="A2565" s="5">
        <v>641.0</v>
      </c>
      <c r="B2565" s="5" t="s">
        <v>3882</v>
      </c>
      <c r="C2565" s="5" t="s">
        <v>3888</v>
      </c>
      <c r="D2565" s="5" t="s">
        <v>6637</v>
      </c>
      <c r="E2565" s="8">
        <f>vlookup(B2565,Filmes_final!$B$2:$U$1001,20,FALSE)</f>
        <v>9941545</v>
      </c>
      <c r="F2565" s="5">
        <f>vlookup(B2565,Filmes_final!$B$2:$U$1001,3,FALSE)</f>
        <v>2003</v>
      </c>
      <c r="G2565" s="5" t="str">
        <f>vlookup(B2565,Filmes_final!$B$2:$U$1001,13,FALSE)</f>
        <v>Sylvain Chomet</v>
      </c>
    </row>
    <row r="2566">
      <c r="A2566" s="5">
        <v>642.0</v>
      </c>
      <c r="B2566" s="5" t="s">
        <v>3889</v>
      </c>
      <c r="C2566" s="5" t="s">
        <v>3891</v>
      </c>
      <c r="D2566" s="5" t="s">
        <v>6634</v>
      </c>
      <c r="E2566" s="8">
        <f>vlookup(B2566,Filmes_final!$B$2:$U$1001,20,FALSE)</f>
        <v>189613</v>
      </c>
      <c r="F2566" s="5">
        <f>vlookup(B2566,Filmes_final!$B$2:$U$1001,3,FALSE)</f>
        <v>2000</v>
      </c>
      <c r="G2566" s="5" t="str">
        <f>vlookup(B2566,Filmes_final!$B$2:$U$1001,13,FALSE)</f>
        <v>Chan-wook Park</v>
      </c>
    </row>
    <row r="2567">
      <c r="A2567" s="5">
        <v>642.0</v>
      </c>
      <c r="B2567" s="5" t="s">
        <v>3889</v>
      </c>
      <c r="C2567" s="5" t="s">
        <v>3695</v>
      </c>
      <c r="D2567" s="5" t="s">
        <v>6635</v>
      </c>
      <c r="E2567" s="8">
        <f>vlookup(B2567,Filmes_final!$B$2:$U$1001,20,FALSE)</f>
        <v>189613</v>
      </c>
      <c r="F2567" s="5">
        <f>vlookup(B2567,Filmes_final!$B$2:$U$1001,3,FALSE)</f>
        <v>2000</v>
      </c>
      <c r="G2567" s="5" t="str">
        <f>vlookup(B2567,Filmes_final!$B$2:$U$1001,13,FALSE)</f>
        <v>Chan-wook Park</v>
      </c>
    </row>
    <row r="2568">
      <c r="A2568" s="5">
        <v>642.0</v>
      </c>
      <c r="B2568" s="5" t="s">
        <v>3889</v>
      </c>
      <c r="C2568" s="5" t="s">
        <v>174</v>
      </c>
      <c r="D2568" s="5" t="s">
        <v>6636</v>
      </c>
      <c r="E2568" s="8">
        <f>vlookup(B2568,Filmes_final!$B$2:$U$1001,20,FALSE)</f>
        <v>189613</v>
      </c>
      <c r="F2568" s="5">
        <f>vlookup(B2568,Filmes_final!$B$2:$U$1001,3,FALSE)</f>
        <v>2000</v>
      </c>
      <c r="G2568" s="5" t="str">
        <f>vlookup(B2568,Filmes_final!$B$2:$U$1001,13,FALSE)</f>
        <v>Chan-wook Park</v>
      </c>
    </row>
    <row r="2569">
      <c r="A2569" s="5">
        <v>642.0</v>
      </c>
      <c r="B2569" s="5" t="s">
        <v>3889</v>
      </c>
      <c r="C2569" s="5" t="s">
        <v>3892</v>
      </c>
      <c r="D2569" s="5" t="s">
        <v>6637</v>
      </c>
      <c r="E2569" s="8">
        <f>vlookup(B2569,Filmes_final!$B$2:$U$1001,20,FALSE)</f>
        <v>189613</v>
      </c>
      <c r="F2569" s="5">
        <f>vlookup(B2569,Filmes_final!$B$2:$U$1001,3,FALSE)</f>
        <v>2000</v>
      </c>
      <c r="G2569" s="5" t="str">
        <f>vlookup(B2569,Filmes_final!$B$2:$U$1001,13,FALSE)</f>
        <v>Chan-wook Park</v>
      </c>
    </row>
    <row r="2570">
      <c r="A2570" s="5">
        <v>643.0</v>
      </c>
      <c r="B2570" s="5" t="s">
        <v>3893</v>
      </c>
      <c r="C2570" s="5" t="s">
        <v>3896</v>
      </c>
      <c r="D2570" s="5" t="s">
        <v>6634</v>
      </c>
      <c r="E2570" s="8">
        <f>vlookup(B2570,Filmes_final!$B$2:$U$1001,20,FALSE)</f>
        <v>78999521</v>
      </c>
      <c r="F2570" s="5">
        <f>vlookup(B2570,Filmes_final!$B$2:$U$1001,3,FALSE)</f>
        <v>2002</v>
      </c>
      <c r="G2570" s="5" t="str">
        <f>vlookup(B2570,Filmes_final!$B$2:$U$1001,13,FALSE)</f>
        <v>Kevin Reynolds</v>
      </c>
    </row>
    <row r="2571">
      <c r="A2571" s="5">
        <v>643.0</v>
      </c>
      <c r="B2571" s="5" t="s">
        <v>3893</v>
      </c>
      <c r="C2571" s="5" t="s">
        <v>546</v>
      </c>
      <c r="D2571" s="5" t="s">
        <v>6635</v>
      </c>
      <c r="E2571" s="8">
        <f>vlookup(B2571,Filmes_final!$B$2:$U$1001,20,FALSE)</f>
        <v>78999521</v>
      </c>
      <c r="F2571" s="5">
        <f>vlookup(B2571,Filmes_final!$B$2:$U$1001,3,FALSE)</f>
        <v>2002</v>
      </c>
      <c r="G2571" s="5" t="str">
        <f>vlookup(B2571,Filmes_final!$B$2:$U$1001,13,FALSE)</f>
        <v>Kevin Reynolds</v>
      </c>
    </row>
    <row r="2572">
      <c r="A2572" s="5">
        <v>643.0</v>
      </c>
      <c r="B2572" s="5" t="s">
        <v>3893</v>
      </c>
      <c r="C2572" s="5" t="s">
        <v>3897</v>
      </c>
      <c r="D2572" s="5" t="s">
        <v>6636</v>
      </c>
      <c r="E2572" s="8">
        <f>vlookup(B2572,Filmes_final!$B$2:$U$1001,20,FALSE)</f>
        <v>78999521</v>
      </c>
      <c r="F2572" s="5">
        <f>vlookup(B2572,Filmes_final!$B$2:$U$1001,3,FALSE)</f>
        <v>2002</v>
      </c>
      <c r="G2572" s="5" t="str">
        <f>vlookup(B2572,Filmes_final!$B$2:$U$1001,13,FALSE)</f>
        <v>Kevin Reynolds</v>
      </c>
    </row>
    <row r="2573">
      <c r="A2573" s="5">
        <v>643.0</v>
      </c>
      <c r="B2573" s="5" t="s">
        <v>3893</v>
      </c>
      <c r="C2573" s="5" t="s">
        <v>3898</v>
      </c>
      <c r="D2573" s="5" t="s">
        <v>6637</v>
      </c>
      <c r="E2573" s="8">
        <f>vlookup(B2573,Filmes_final!$B$2:$U$1001,20,FALSE)</f>
        <v>78999521</v>
      </c>
      <c r="F2573" s="5">
        <f>vlookup(B2573,Filmes_final!$B$2:$U$1001,3,FALSE)</f>
        <v>2002</v>
      </c>
      <c r="G2573" s="5" t="str">
        <f>vlookup(B2573,Filmes_final!$B$2:$U$1001,13,FALSE)</f>
        <v>Kevin Reynolds</v>
      </c>
    </row>
    <row r="2574">
      <c r="A2574" s="5">
        <v>644.0</v>
      </c>
      <c r="B2574" s="5" t="s">
        <v>3899</v>
      </c>
      <c r="C2574" s="5" t="s">
        <v>1642</v>
      </c>
      <c r="D2574" s="5" t="s">
        <v>6634</v>
      </c>
      <c r="E2574" s="8">
        <f>vlookup(B2574,Filmes_final!$B$2:$U$1001,20,FALSE)</f>
        <v>4260737</v>
      </c>
      <c r="F2574" s="5">
        <f>vlookup(B2574,Filmes_final!$B$2:$U$1001,3,FALSE)</f>
        <v>2001</v>
      </c>
      <c r="G2574" s="5" t="str">
        <f>vlookup(B2574,Filmes_final!$B$2:$U$1001,13,FALSE)</f>
        <v>Richard Linklater</v>
      </c>
    </row>
    <row r="2575">
      <c r="A2575" s="5">
        <v>644.0</v>
      </c>
      <c r="B2575" s="5" t="s">
        <v>3899</v>
      </c>
      <c r="C2575" s="5" t="s">
        <v>3901</v>
      </c>
      <c r="D2575" s="5" t="s">
        <v>6635</v>
      </c>
      <c r="E2575" s="8">
        <f>vlookup(B2575,Filmes_final!$B$2:$U$1001,20,FALSE)</f>
        <v>4260737</v>
      </c>
      <c r="F2575" s="5">
        <f>vlookup(B2575,Filmes_final!$B$2:$U$1001,3,FALSE)</f>
        <v>2001</v>
      </c>
      <c r="G2575" s="5" t="str">
        <f>vlookup(B2575,Filmes_final!$B$2:$U$1001,13,FALSE)</f>
        <v>Richard Linklater</v>
      </c>
    </row>
    <row r="2576">
      <c r="A2576" s="5">
        <v>644.0</v>
      </c>
      <c r="B2576" s="5" t="s">
        <v>3899</v>
      </c>
      <c r="C2576" s="5" t="s">
        <v>3902</v>
      </c>
      <c r="D2576" s="5" t="s">
        <v>6636</v>
      </c>
      <c r="E2576" s="8">
        <f>vlookup(B2576,Filmes_final!$B$2:$U$1001,20,FALSE)</f>
        <v>4260737</v>
      </c>
      <c r="F2576" s="5">
        <f>vlookup(B2576,Filmes_final!$B$2:$U$1001,3,FALSE)</f>
        <v>2001</v>
      </c>
      <c r="G2576" s="5" t="str">
        <f>vlookup(B2576,Filmes_final!$B$2:$U$1001,13,FALSE)</f>
        <v>Richard Linklater</v>
      </c>
    </row>
    <row r="2577">
      <c r="A2577" s="5">
        <v>644.0</v>
      </c>
      <c r="B2577" s="5" t="s">
        <v>3899</v>
      </c>
      <c r="C2577" s="5" t="s">
        <v>3903</v>
      </c>
      <c r="D2577" s="5" t="s">
        <v>6637</v>
      </c>
      <c r="E2577" s="8">
        <f>vlookup(B2577,Filmes_final!$B$2:$U$1001,20,FALSE)</f>
        <v>4260737</v>
      </c>
      <c r="F2577" s="5">
        <f>vlookup(B2577,Filmes_final!$B$2:$U$1001,3,FALSE)</f>
        <v>2001</v>
      </c>
      <c r="G2577" s="5" t="str">
        <f>vlookup(B2577,Filmes_final!$B$2:$U$1001,13,FALSE)</f>
        <v>Richard Linklater</v>
      </c>
    </row>
    <row r="2578">
      <c r="A2578" s="5">
        <v>645.0</v>
      </c>
      <c r="B2578" s="5" t="s">
        <v>3904</v>
      </c>
      <c r="C2578" s="5" t="s">
        <v>3799</v>
      </c>
      <c r="D2578" s="5" t="s">
        <v>6634</v>
      </c>
      <c r="E2578" s="8">
        <f>vlookup(B2578,Filmes_final!$B$2:$U$1001,20,FALSE)</f>
        <v>176751018</v>
      </c>
      <c r="F2578" s="5">
        <f>vlookup(B2578,Filmes_final!$B$2:$U$1001,3,FALSE)</f>
        <v>2000</v>
      </c>
      <c r="G2578" s="5" t="str">
        <f>vlookup(B2578,Filmes_final!$B$2:$U$1001,13,FALSE)</f>
        <v>Boaz Yakin</v>
      </c>
    </row>
    <row r="2579">
      <c r="A2579" s="5">
        <v>645.0</v>
      </c>
      <c r="B2579" s="5" t="s">
        <v>3904</v>
      </c>
      <c r="C2579" s="5" t="s">
        <v>3907</v>
      </c>
      <c r="D2579" s="5" t="s">
        <v>6635</v>
      </c>
      <c r="E2579" s="8">
        <f>vlookup(B2579,Filmes_final!$B$2:$U$1001,20,FALSE)</f>
        <v>176751018</v>
      </c>
      <c r="F2579" s="5">
        <f>vlookup(B2579,Filmes_final!$B$2:$U$1001,3,FALSE)</f>
        <v>2000</v>
      </c>
      <c r="G2579" s="5" t="str">
        <f>vlookup(B2579,Filmes_final!$B$2:$U$1001,13,FALSE)</f>
        <v>Boaz Yakin</v>
      </c>
    </row>
    <row r="2580">
      <c r="A2580" s="5">
        <v>645.0</v>
      </c>
      <c r="B2580" s="5" t="s">
        <v>3904</v>
      </c>
      <c r="C2580" s="5" t="s">
        <v>3908</v>
      </c>
      <c r="D2580" s="5" t="s">
        <v>6636</v>
      </c>
      <c r="E2580" s="8">
        <f>vlookup(B2580,Filmes_final!$B$2:$U$1001,20,FALSE)</f>
        <v>176751018</v>
      </c>
      <c r="F2580" s="5">
        <f>vlookup(B2580,Filmes_final!$B$2:$U$1001,3,FALSE)</f>
        <v>2000</v>
      </c>
      <c r="G2580" s="5" t="str">
        <f>vlookup(B2580,Filmes_final!$B$2:$U$1001,13,FALSE)</f>
        <v>Boaz Yakin</v>
      </c>
    </row>
    <row r="2581">
      <c r="A2581" s="5">
        <v>645.0</v>
      </c>
      <c r="B2581" s="5" t="s">
        <v>3904</v>
      </c>
      <c r="C2581" s="5" t="s">
        <v>3909</v>
      </c>
      <c r="D2581" s="5" t="s">
        <v>6637</v>
      </c>
      <c r="E2581" s="8">
        <f>vlookup(B2581,Filmes_final!$B$2:$U$1001,20,FALSE)</f>
        <v>176751018</v>
      </c>
      <c r="F2581" s="5">
        <f>vlookup(B2581,Filmes_final!$B$2:$U$1001,3,FALSE)</f>
        <v>2000</v>
      </c>
      <c r="G2581" s="5" t="str">
        <f>vlookup(B2581,Filmes_final!$B$2:$U$1001,13,FALSE)</f>
        <v>Boaz Yakin</v>
      </c>
    </row>
    <row r="2582">
      <c r="A2582" s="5">
        <v>646.0</v>
      </c>
      <c r="B2582" s="5" t="s">
        <v>3910</v>
      </c>
      <c r="C2582" s="5" t="s">
        <v>3912</v>
      </c>
      <c r="D2582" s="5" t="s">
        <v>6634</v>
      </c>
      <c r="E2582" s="8">
        <f>vlookup(B2582,Filmes_final!$B$2:$U$1001,20,FALSE)</f>
        <v>195738357</v>
      </c>
      <c r="F2582" s="5">
        <f>vlookup(B2582,Filmes_final!$B$2:$U$1001,3,FALSE)</f>
        <v>2000</v>
      </c>
      <c r="G2582" s="5" t="str">
        <f>vlookup(B2582,Filmes_final!$B$2:$U$1001,13,FALSE)</f>
        <v>Ang Lee</v>
      </c>
    </row>
    <row r="2583">
      <c r="A2583" s="5">
        <v>646.0</v>
      </c>
      <c r="B2583" s="5" t="s">
        <v>3910</v>
      </c>
      <c r="C2583" s="5" t="s">
        <v>3913</v>
      </c>
      <c r="D2583" s="5" t="s">
        <v>6635</v>
      </c>
      <c r="E2583" s="8">
        <f>vlookup(B2583,Filmes_final!$B$2:$U$1001,20,FALSE)</f>
        <v>195738357</v>
      </c>
      <c r="F2583" s="5">
        <f>vlookup(B2583,Filmes_final!$B$2:$U$1001,3,FALSE)</f>
        <v>2000</v>
      </c>
      <c r="G2583" s="5" t="str">
        <f>vlookup(B2583,Filmes_final!$B$2:$U$1001,13,FALSE)</f>
        <v>Ang Lee</v>
      </c>
    </row>
    <row r="2584">
      <c r="A2584" s="5">
        <v>646.0</v>
      </c>
      <c r="B2584" s="5" t="s">
        <v>3910</v>
      </c>
      <c r="C2584" s="5" t="s">
        <v>3181</v>
      </c>
      <c r="D2584" s="5" t="s">
        <v>6636</v>
      </c>
      <c r="E2584" s="8">
        <f>vlookup(B2584,Filmes_final!$B$2:$U$1001,20,FALSE)</f>
        <v>195738357</v>
      </c>
      <c r="F2584" s="5">
        <f>vlookup(B2584,Filmes_final!$B$2:$U$1001,3,FALSE)</f>
        <v>2000</v>
      </c>
      <c r="G2584" s="5" t="str">
        <f>vlookup(B2584,Filmes_final!$B$2:$U$1001,13,FALSE)</f>
        <v>Ang Lee</v>
      </c>
    </row>
    <row r="2585">
      <c r="A2585" s="5">
        <v>646.0</v>
      </c>
      <c r="B2585" s="5" t="s">
        <v>3910</v>
      </c>
      <c r="C2585" s="5" t="s">
        <v>3914</v>
      </c>
      <c r="D2585" s="5" t="s">
        <v>6637</v>
      </c>
      <c r="E2585" s="8">
        <f>vlookup(B2585,Filmes_final!$B$2:$U$1001,20,FALSE)</f>
        <v>195738357</v>
      </c>
      <c r="F2585" s="5">
        <f>vlookup(B2585,Filmes_final!$B$2:$U$1001,3,FALSE)</f>
        <v>2000</v>
      </c>
      <c r="G2585" s="5" t="str">
        <f>vlookup(B2585,Filmes_final!$B$2:$U$1001,13,FALSE)</f>
        <v>Ang Lee</v>
      </c>
    </row>
    <row r="2586">
      <c r="A2586" s="5">
        <v>647.0</v>
      </c>
      <c r="B2586" s="5" t="s">
        <v>3915</v>
      </c>
      <c r="C2586" s="5" t="s">
        <v>3917</v>
      </c>
      <c r="D2586" s="5" t="s">
        <v>6634</v>
      </c>
      <c r="E2586" s="8">
        <f>vlookup(B2586,Filmes_final!$B$2:$U$1001,20,FALSE)</f>
        <v>12976318</v>
      </c>
      <c r="F2586" s="5">
        <f>vlookup(B2586,Filmes_final!$B$2:$U$1001,3,FALSE)</f>
        <v>1999</v>
      </c>
      <c r="G2586" s="5" t="str">
        <f>vlookup(B2586,Filmes_final!$B$2:$U$1001,13,FALSE)</f>
        <v>Pedro Almodóvar</v>
      </c>
    </row>
    <row r="2587">
      <c r="A2587" s="5">
        <v>647.0</v>
      </c>
      <c r="B2587" s="5" t="s">
        <v>3915</v>
      </c>
      <c r="C2587" s="5" t="s">
        <v>3918</v>
      </c>
      <c r="D2587" s="5" t="s">
        <v>6635</v>
      </c>
      <c r="E2587" s="8">
        <f>vlookup(B2587,Filmes_final!$B$2:$U$1001,20,FALSE)</f>
        <v>12976318</v>
      </c>
      <c r="F2587" s="5">
        <f>vlookup(B2587,Filmes_final!$B$2:$U$1001,3,FALSE)</f>
        <v>1999</v>
      </c>
      <c r="G2587" s="5" t="str">
        <f>vlookup(B2587,Filmes_final!$B$2:$U$1001,13,FALSE)</f>
        <v>Pedro Almodóvar</v>
      </c>
    </row>
    <row r="2588">
      <c r="A2588" s="5">
        <v>647.0</v>
      </c>
      <c r="B2588" s="5" t="s">
        <v>3915</v>
      </c>
      <c r="C2588" s="5" t="s">
        <v>3919</v>
      </c>
      <c r="D2588" s="5" t="s">
        <v>6636</v>
      </c>
      <c r="E2588" s="8">
        <f>vlookup(B2588,Filmes_final!$B$2:$U$1001,20,FALSE)</f>
        <v>12976318</v>
      </c>
      <c r="F2588" s="5">
        <f>vlookup(B2588,Filmes_final!$B$2:$U$1001,3,FALSE)</f>
        <v>1999</v>
      </c>
      <c r="G2588" s="5" t="str">
        <f>vlookup(B2588,Filmes_final!$B$2:$U$1001,13,FALSE)</f>
        <v>Pedro Almodóvar</v>
      </c>
    </row>
    <row r="2589">
      <c r="A2589" s="5">
        <v>647.0</v>
      </c>
      <c r="B2589" s="5" t="s">
        <v>3915</v>
      </c>
      <c r="C2589" s="5" t="s">
        <v>3920</v>
      </c>
      <c r="D2589" s="5" t="s">
        <v>6637</v>
      </c>
      <c r="E2589" s="8">
        <f>vlookup(B2589,Filmes_final!$B$2:$U$1001,20,FALSE)</f>
        <v>12976318</v>
      </c>
      <c r="F2589" s="5">
        <f>vlookup(B2589,Filmes_final!$B$2:$U$1001,3,FALSE)</f>
        <v>1999</v>
      </c>
      <c r="G2589" s="5" t="str">
        <f>vlookup(B2589,Filmes_final!$B$2:$U$1001,13,FALSE)</f>
        <v>Pedro Almodóvar</v>
      </c>
    </row>
    <row r="2590">
      <c r="A2590" s="5">
        <v>648.0</v>
      </c>
      <c r="B2590" s="5" t="s">
        <v>3921</v>
      </c>
      <c r="C2590" s="5" t="s">
        <v>110</v>
      </c>
      <c r="D2590" s="5" t="s">
        <v>6634</v>
      </c>
      <c r="E2590" s="8">
        <f>vlookup(B2590,Filmes_final!$B$2:$U$1001,20,FALSE)</f>
        <v>357051643</v>
      </c>
      <c r="F2590" s="5">
        <f>vlookup(B2590,Filmes_final!$B$2:$U$1001,3,FALSE)</f>
        <v>2000</v>
      </c>
      <c r="G2590" s="5" t="str">
        <f>vlookup(B2590,Filmes_final!$B$2:$U$1001,13,FALSE)</f>
        <v>Robert Zemeckis</v>
      </c>
    </row>
    <row r="2591">
      <c r="A2591" s="5">
        <v>648.0</v>
      </c>
      <c r="B2591" s="5" t="s">
        <v>3921</v>
      </c>
      <c r="C2591" s="5" t="s">
        <v>3924</v>
      </c>
      <c r="D2591" s="5" t="s">
        <v>6635</v>
      </c>
      <c r="E2591" s="8">
        <f>vlookup(B2591,Filmes_final!$B$2:$U$1001,20,FALSE)</f>
        <v>357051643</v>
      </c>
      <c r="F2591" s="5">
        <f>vlookup(B2591,Filmes_final!$B$2:$U$1001,3,FALSE)</f>
        <v>2000</v>
      </c>
      <c r="G2591" s="5" t="str">
        <f>vlookup(B2591,Filmes_final!$B$2:$U$1001,13,FALSE)</f>
        <v>Robert Zemeckis</v>
      </c>
    </row>
    <row r="2592">
      <c r="A2592" s="5">
        <v>648.0</v>
      </c>
      <c r="B2592" s="5" t="s">
        <v>3921</v>
      </c>
      <c r="C2592" s="5" t="s">
        <v>3925</v>
      </c>
      <c r="D2592" s="5" t="s">
        <v>6636</v>
      </c>
      <c r="E2592" s="8">
        <f>vlookup(B2592,Filmes_final!$B$2:$U$1001,20,FALSE)</f>
        <v>357051643</v>
      </c>
      <c r="F2592" s="5">
        <f>vlookup(B2592,Filmes_final!$B$2:$U$1001,3,FALSE)</f>
        <v>2000</v>
      </c>
      <c r="G2592" s="5" t="str">
        <f>vlookup(B2592,Filmes_final!$B$2:$U$1001,13,FALSE)</f>
        <v>Robert Zemeckis</v>
      </c>
    </row>
    <row r="2593">
      <c r="A2593" s="5">
        <v>648.0</v>
      </c>
      <c r="B2593" s="5" t="s">
        <v>3921</v>
      </c>
      <c r="C2593" s="5" t="s">
        <v>3926</v>
      </c>
      <c r="D2593" s="5" t="s">
        <v>6637</v>
      </c>
      <c r="E2593" s="8">
        <f>vlookup(B2593,Filmes_final!$B$2:$U$1001,20,FALSE)</f>
        <v>357051643</v>
      </c>
      <c r="F2593" s="5">
        <f>vlookup(B2593,Filmes_final!$B$2:$U$1001,3,FALSE)</f>
        <v>2000</v>
      </c>
      <c r="G2593" s="5" t="str">
        <f>vlookup(B2593,Filmes_final!$B$2:$U$1001,13,FALSE)</f>
        <v>Robert Zemeckis</v>
      </c>
    </row>
    <row r="2594">
      <c r="A2594" s="5">
        <v>649.0</v>
      </c>
      <c r="B2594" s="5" t="s">
        <v>3927</v>
      </c>
      <c r="C2594" s="5" t="s">
        <v>1825</v>
      </c>
      <c r="D2594" s="5" t="s">
        <v>6634</v>
      </c>
      <c r="E2594" s="8">
        <f>vlookup(B2594,Filmes_final!$B$2:$U$1001,20,FALSE)</f>
        <v>40528</v>
      </c>
      <c r="F2594" s="5">
        <f>vlookup(B2594,Filmes_final!$B$2:$U$1001,3,FALSE)</f>
        <v>1999</v>
      </c>
      <c r="G2594" s="5" t="str">
        <f>vlookup(B2594,Filmes_final!$B$2:$U$1001,13,FALSE)</f>
        <v>Troy Duffy</v>
      </c>
    </row>
    <row r="2595">
      <c r="A2595" s="5">
        <v>649.0</v>
      </c>
      <c r="B2595" s="5" t="s">
        <v>3927</v>
      </c>
      <c r="C2595" s="5" t="s">
        <v>3930</v>
      </c>
      <c r="D2595" s="5" t="s">
        <v>6635</v>
      </c>
      <c r="E2595" s="8">
        <f>vlookup(B2595,Filmes_final!$B$2:$U$1001,20,FALSE)</f>
        <v>40528</v>
      </c>
      <c r="F2595" s="5">
        <f>vlookup(B2595,Filmes_final!$B$2:$U$1001,3,FALSE)</f>
        <v>1999</v>
      </c>
      <c r="G2595" s="5" t="str">
        <f>vlookup(B2595,Filmes_final!$B$2:$U$1001,13,FALSE)</f>
        <v>Troy Duffy</v>
      </c>
    </row>
    <row r="2596">
      <c r="A2596" s="5">
        <v>649.0</v>
      </c>
      <c r="B2596" s="5" t="s">
        <v>3927</v>
      </c>
      <c r="C2596" s="5" t="s">
        <v>3931</v>
      </c>
      <c r="D2596" s="5" t="s">
        <v>6636</v>
      </c>
      <c r="E2596" s="8">
        <f>vlookup(B2596,Filmes_final!$B$2:$U$1001,20,FALSE)</f>
        <v>40528</v>
      </c>
      <c r="F2596" s="5">
        <f>vlookup(B2596,Filmes_final!$B$2:$U$1001,3,FALSE)</f>
        <v>1999</v>
      </c>
      <c r="G2596" s="5" t="str">
        <f>vlookup(B2596,Filmes_final!$B$2:$U$1001,13,FALSE)</f>
        <v>Troy Duffy</v>
      </c>
    </row>
    <row r="2597">
      <c r="A2597" s="5">
        <v>649.0</v>
      </c>
      <c r="B2597" s="5" t="s">
        <v>3927</v>
      </c>
      <c r="C2597" s="5" t="s">
        <v>3932</v>
      </c>
      <c r="D2597" s="5" t="s">
        <v>6637</v>
      </c>
      <c r="E2597" s="8">
        <f>vlookup(B2597,Filmes_final!$B$2:$U$1001,20,FALSE)</f>
        <v>40528</v>
      </c>
      <c r="F2597" s="5">
        <f>vlookup(B2597,Filmes_final!$B$2:$U$1001,3,FALSE)</f>
        <v>1999</v>
      </c>
      <c r="G2597" s="5" t="str">
        <f>vlookup(B2597,Filmes_final!$B$2:$U$1001,13,FALSE)</f>
        <v>Troy Duffy</v>
      </c>
    </row>
    <row r="2598">
      <c r="A2598" s="5">
        <v>650.0</v>
      </c>
      <c r="B2598" s="5" t="s">
        <v>3933</v>
      </c>
      <c r="C2598" s="5" t="s">
        <v>325</v>
      </c>
      <c r="D2598" s="5" t="s">
        <v>6634</v>
      </c>
      <c r="E2598" s="8">
        <f>vlookup(B2598,Filmes_final!$B$2:$U$1001,20,FALSE)</f>
        <v>45478885</v>
      </c>
      <c r="F2598" s="5">
        <f>vlookup(B2598,Filmes_final!$B$2:$U$1001,3,FALSE)</f>
        <v>1999</v>
      </c>
      <c r="G2598" s="5" t="str">
        <f>vlookup(B2598,Filmes_final!$B$2:$U$1001,13,FALSE)</f>
        <v>Michael Mann</v>
      </c>
    </row>
    <row r="2599">
      <c r="A2599" s="5">
        <v>650.0</v>
      </c>
      <c r="B2599" s="5" t="s">
        <v>3933</v>
      </c>
      <c r="C2599" s="5" t="s">
        <v>33</v>
      </c>
      <c r="D2599" s="5" t="s">
        <v>6635</v>
      </c>
      <c r="E2599" s="8">
        <f>vlookup(B2599,Filmes_final!$B$2:$U$1001,20,FALSE)</f>
        <v>45478885</v>
      </c>
      <c r="F2599" s="5">
        <f>vlookup(B2599,Filmes_final!$B$2:$U$1001,3,FALSE)</f>
        <v>1999</v>
      </c>
      <c r="G2599" s="5" t="str">
        <f>vlookup(B2599,Filmes_final!$B$2:$U$1001,13,FALSE)</f>
        <v>Michael Mann</v>
      </c>
    </row>
    <row r="2600">
      <c r="A2600" s="5">
        <v>650.0</v>
      </c>
      <c r="B2600" s="5" t="s">
        <v>3933</v>
      </c>
      <c r="C2600" s="5" t="s">
        <v>1152</v>
      </c>
      <c r="D2600" s="5" t="s">
        <v>6636</v>
      </c>
      <c r="E2600" s="8">
        <f>vlookup(B2600,Filmes_final!$B$2:$U$1001,20,FALSE)</f>
        <v>45478885</v>
      </c>
      <c r="F2600" s="5">
        <f>vlookup(B2600,Filmes_final!$B$2:$U$1001,3,FALSE)</f>
        <v>1999</v>
      </c>
      <c r="G2600" s="5" t="str">
        <f>vlookup(B2600,Filmes_final!$B$2:$U$1001,13,FALSE)</f>
        <v>Michael Mann</v>
      </c>
    </row>
    <row r="2601">
      <c r="A2601" s="5">
        <v>650.0</v>
      </c>
      <c r="B2601" s="5" t="s">
        <v>3933</v>
      </c>
      <c r="C2601" s="5" t="s">
        <v>3935</v>
      </c>
      <c r="D2601" s="5" t="s">
        <v>6637</v>
      </c>
      <c r="E2601" s="8">
        <f>vlookup(B2601,Filmes_final!$B$2:$U$1001,20,FALSE)</f>
        <v>45478885</v>
      </c>
      <c r="F2601" s="5">
        <f>vlookup(B2601,Filmes_final!$B$2:$U$1001,3,FALSE)</f>
        <v>1999</v>
      </c>
      <c r="G2601" s="5" t="str">
        <f>vlookup(B2601,Filmes_final!$B$2:$U$1001,13,FALSE)</f>
        <v>Michael Mann</v>
      </c>
    </row>
    <row r="2602">
      <c r="A2602" s="5">
        <v>651.0</v>
      </c>
      <c r="B2602" s="5" t="s">
        <v>3936</v>
      </c>
      <c r="C2602" s="5" t="s">
        <v>1542</v>
      </c>
      <c r="D2602" s="5" t="s">
        <v>6634</v>
      </c>
      <c r="E2602" s="8">
        <f>vlookup(B2602,Filmes_final!$B$2:$U$1001,20,FALSE)</f>
        <v>51000419</v>
      </c>
      <c r="F2602" s="5">
        <f>vlookup(B2602,Filmes_final!$B$2:$U$1001,3,FALSE)</f>
        <v>1999</v>
      </c>
      <c r="G2602" s="5" t="str">
        <f>vlookup(B2602,Filmes_final!$B$2:$U$1001,13,FALSE)</f>
        <v>Joe Johnston</v>
      </c>
    </row>
    <row r="2603">
      <c r="A2603" s="5">
        <v>651.0</v>
      </c>
      <c r="B2603" s="5" t="s">
        <v>3936</v>
      </c>
      <c r="C2603" s="5" t="s">
        <v>3205</v>
      </c>
      <c r="D2603" s="5" t="s">
        <v>6635</v>
      </c>
      <c r="E2603" s="8">
        <f>vlookup(B2603,Filmes_final!$B$2:$U$1001,20,FALSE)</f>
        <v>51000419</v>
      </c>
      <c r="F2603" s="5">
        <f>vlookup(B2603,Filmes_final!$B$2:$U$1001,3,FALSE)</f>
        <v>1999</v>
      </c>
      <c r="G2603" s="5" t="str">
        <f>vlookup(B2603,Filmes_final!$B$2:$U$1001,13,FALSE)</f>
        <v>Joe Johnston</v>
      </c>
    </row>
    <row r="2604">
      <c r="A2604" s="5">
        <v>651.0</v>
      </c>
      <c r="B2604" s="5" t="s">
        <v>3936</v>
      </c>
      <c r="C2604" s="5" t="s">
        <v>1785</v>
      </c>
      <c r="D2604" s="5" t="s">
        <v>6636</v>
      </c>
      <c r="E2604" s="8">
        <f>vlookup(B2604,Filmes_final!$B$2:$U$1001,20,FALSE)</f>
        <v>51000419</v>
      </c>
      <c r="F2604" s="5">
        <f>vlookup(B2604,Filmes_final!$B$2:$U$1001,3,FALSE)</f>
        <v>1999</v>
      </c>
      <c r="G2604" s="5" t="str">
        <f>vlookup(B2604,Filmes_final!$B$2:$U$1001,13,FALSE)</f>
        <v>Joe Johnston</v>
      </c>
    </row>
    <row r="2605">
      <c r="A2605" s="5">
        <v>651.0</v>
      </c>
      <c r="B2605" s="5" t="s">
        <v>3936</v>
      </c>
      <c r="C2605" s="5" t="s">
        <v>3939</v>
      </c>
      <c r="D2605" s="5" t="s">
        <v>6637</v>
      </c>
      <c r="E2605" s="8">
        <f>vlookup(B2605,Filmes_final!$B$2:$U$1001,20,FALSE)</f>
        <v>51000419</v>
      </c>
      <c r="F2605" s="5">
        <f>vlookup(B2605,Filmes_final!$B$2:$U$1001,3,FALSE)</f>
        <v>1999</v>
      </c>
      <c r="G2605" s="5" t="str">
        <f>vlookup(B2605,Filmes_final!$B$2:$U$1001,13,FALSE)</f>
        <v>Joe Johnston</v>
      </c>
    </row>
    <row r="2606">
      <c r="A2606" s="5">
        <v>652.0</v>
      </c>
      <c r="B2606" s="5" t="s">
        <v>3940</v>
      </c>
      <c r="C2606" s="5" t="s">
        <v>3943</v>
      </c>
      <c r="D2606" s="5" t="s">
        <v>6634</v>
      </c>
      <c r="E2606" s="8">
        <f>vlookup(B2606,Filmes_final!$B$2:$U$1001,20,FALSE)</f>
        <v>394345007</v>
      </c>
      <c r="F2606" s="5">
        <f>vlookup(B2606,Filmes_final!$B$2:$U$1001,3,FALSE)</f>
        <v>2001</v>
      </c>
      <c r="G2606" s="5" t="str">
        <f>vlookup(B2606,Filmes_final!$B$2:$U$1001,13,FALSE)</f>
        <v>Andrew Adamson</v>
      </c>
    </row>
    <row r="2607">
      <c r="A2607" s="5">
        <v>652.0</v>
      </c>
      <c r="B2607" s="5" t="s">
        <v>3940</v>
      </c>
      <c r="C2607" s="5" t="s">
        <v>3944</v>
      </c>
      <c r="D2607" s="5" t="s">
        <v>6635</v>
      </c>
      <c r="E2607" s="8">
        <f>vlookup(B2607,Filmes_final!$B$2:$U$1001,20,FALSE)</f>
        <v>394345007</v>
      </c>
      <c r="F2607" s="5">
        <f>vlookup(B2607,Filmes_final!$B$2:$U$1001,3,FALSE)</f>
        <v>2001</v>
      </c>
      <c r="G2607" s="5" t="str">
        <f>vlookup(B2607,Filmes_final!$B$2:$U$1001,13,FALSE)</f>
        <v>Andrew Adamson</v>
      </c>
    </row>
    <row r="2608">
      <c r="A2608" s="5">
        <v>652.0</v>
      </c>
      <c r="B2608" s="5" t="s">
        <v>3940</v>
      </c>
      <c r="C2608" s="5" t="s">
        <v>3945</v>
      </c>
      <c r="D2608" s="5" t="s">
        <v>6636</v>
      </c>
      <c r="E2608" s="8">
        <f>vlookup(B2608,Filmes_final!$B$2:$U$1001,20,FALSE)</f>
        <v>394345007</v>
      </c>
      <c r="F2608" s="5">
        <f>vlookup(B2608,Filmes_final!$B$2:$U$1001,3,FALSE)</f>
        <v>2001</v>
      </c>
      <c r="G2608" s="5" t="str">
        <f>vlookup(B2608,Filmes_final!$B$2:$U$1001,13,FALSE)</f>
        <v>Andrew Adamson</v>
      </c>
    </row>
    <row r="2609">
      <c r="A2609" s="5">
        <v>652.0</v>
      </c>
      <c r="B2609" s="5" t="s">
        <v>3940</v>
      </c>
      <c r="C2609" s="5" t="s">
        <v>3946</v>
      </c>
      <c r="D2609" s="5" t="s">
        <v>6637</v>
      </c>
      <c r="E2609" s="8">
        <f>vlookup(B2609,Filmes_final!$B$2:$U$1001,20,FALSE)</f>
        <v>394345007</v>
      </c>
      <c r="F2609" s="5">
        <f>vlookup(B2609,Filmes_final!$B$2:$U$1001,3,FALSE)</f>
        <v>2001</v>
      </c>
      <c r="G2609" s="5" t="str">
        <f>vlookup(B2609,Filmes_final!$B$2:$U$1001,13,FALSE)</f>
        <v>Andrew Adamson</v>
      </c>
    </row>
    <row r="2610">
      <c r="A2610" s="5">
        <v>653.0</v>
      </c>
      <c r="B2610" s="5" t="s">
        <v>3947</v>
      </c>
      <c r="C2610" s="5" t="s">
        <v>90</v>
      </c>
      <c r="D2610" s="5" t="s">
        <v>6634</v>
      </c>
      <c r="E2610" s="8">
        <f>vlookup(B2610,Filmes_final!$B$2:$U$1001,20,FALSE)</f>
        <v>1069056114</v>
      </c>
      <c r="F2610" s="5">
        <f>vlookup(B2610,Filmes_final!$B$2:$U$1001,3,FALSE)</f>
        <v>1997</v>
      </c>
      <c r="G2610" s="5" t="str">
        <f>vlookup(B2610,Filmes_final!$B$2:$U$1001,13,FALSE)</f>
        <v>James Cameron</v>
      </c>
    </row>
    <row r="2611">
      <c r="A2611" s="5">
        <v>653.0</v>
      </c>
      <c r="B2611" s="5" t="s">
        <v>3947</v>
      </c>
      <c r="C2611" s="5" t="s">
        <v>719</v>
      </c>
      <c r="D2611" s="5" t="s">
        <v>6635</v>
      </c>
      <c r="E2611" s="8">
        <f>vlookup(B2611,Filmes_final!$B$2:$U$1001,20,FALSE)</f>
        <v>1069056114</v>
      </c>
      <c r="F2611" s="5">
        <f>vlookup(B2611,Filmes_final!$B$2:$U$1001,3,FALSE)</f>
        <v>1997</v>
      </c>
      <c r="G2611" s="5" t="str">
        <f>vlookup(B2611,Filmes_final!$B$2:$U$1001,13,FALSE)</f>
        <v>James Cameron</v>
      </c>
    </row>
    <row r="2612">
      <c r="A2612" s="5">
        <v>653.0</v>
      </c>
      <c r="B2612" s="5" t="s">
        <v>3947</v>
      </c>
      <c r="C2612" s="5" t="s">
        <v>3950</v>
      </c>
      <c r="D2612" s="5" t="s">
        <v>6636</v>
      </c>
      <c r="E2612" s="8">
        <f>vlookup(B2612,Filmes_final!$B$2:$U$1001,20,FALSE)</f>
        <v>1069056114</v>
      </c>
      <c r="F2612" s="5">
        <f>vlookup(B2612,Filmes_final!$B$2:$U$1001,3,FALSE)</f>
        <v>1997</v>
      </c>
      <c r="G2612" s="5" t="str">
        <f>vlookup(B2612,Filmes_final!$B$2:$U$1001,13,FALSE)</f>
        <v>James Cameron</v>
      </c>
    </row>
    <row r="2613">
      <c r="A2613" s="5">
        <v>653.0</v>
      </c>
      <c r="B2613" s="5" t="s">
        <v>3947</v>
      </c>
      <c r="C2613" s="5" t="s">
        <v>3951</v>
      </c>
      <c r="D2613" s="5" t="s">
        <v>6637</v>
      </c>
      <c r="E2613" s="8">
        <f>vlookup(B2613,Filmes_final!$B$2:$U$1001,20,FALSE)</f>
        <v>1069056114</v>
      </c>
      <c r="F2613" s="5">
        <f>vlookup(B2613,Filmes_final!$B$2:$U$1001,3,FALSE)</f>
        <v>1997</v>
      </c>
      <c r="G2613" s="5" t="str">
        <f>vlookup(B2613,Filmes_final!$B$2:$U$1001,13,FALSE)</f>
        <v>James Cameron</v>
      </c>
    </row>
    <row r="2614">
      <c r="A2614" s="5">
        <v>654.0</v>
      </c>
      <c r="B2614" s="5" t="s">
        <v>3952</v>
      </c>
      <c r="C2614" s="5" t="s">
        <v>3954</v>
      </c>
      <c r="D2614" s="5" t="s">
        <v>6634</v>
      </c>
      <c r="E2614" s="8">
        <f>vlookup(B2614,Filmes_final!$B$2:$U$1001,20,FALSE)</f>
        <v>379394</v>
      </c>
      <c r="F2614" s="5">
        <f>vlookup(B2614,Filmes_final!$B$2:$U$1001,3,FALSE)</f>
        <v>1997</v>
      </c>
      <c r="G2614" s="5" t="str">
        <f>vlookup(B2614,Filmes_final!$B$2:$U$1001,13,FALSE)</f>
        <v>Takeshi Kitano</v>
      </c>
    </row>
    <row r="2615">
      <c r="A2615" s="5">
        <v>654.0</v>
      </c>
      <c r="B2615" s="5" t="s">
        <v>3952</v>
      </c>
      <c r="C2615" s="5" t="s">
        <v>3955</v>
      </c>
      <c r="D2615" s="5" t="s">
        <v>6635</v>
      </c>
      <c r="E2615" s="8">
        <f>vlookup(B2615,Filmes_final!$B$2:$U$1001,20,FALSE)</f>
        <v>379394</v>
      </c>
      <c r="F2615" s="5">
        <f>vlookup(B2615,Filmes_final!$B$2:$U$1001,3,FALSE)</f>
        <v>1997</v>
      </c>
      <c r="G2615" s="5" t="str">
        <f>vlookup(B2615,Filmes_final!$B$2:$U$1001,13,FALSE)</f>
        <v>Takeshi Kitano</v>
      </c>
    </row>
    <row r="2616">
      <c r="A2616" s="5">
        <v>654.0</v>
      </c>
      <c r="B2616" s="5" t="s">
        <v>3952</v>
      </c>
      <c r="C2616" s="5" t="s">
        <v>3956</v>
      </c>
      <c r="D2616" s="5" t="s">
        <v>6636</v>
      </c>
      <c r="E2616" s="8">
        <f>vlookup(B2616,Filmes_final!$B$2:$U$1001,20,FALSE)</f>
        <v>379394</v>
      </c>
      <c r="F2616" s="5">
        <f>vlookup(B2616,Filmes_final!$B$2:$U$1001,3,FALSE)</f>
        <v>1997</v>
      </c>
      <c r="G2616" s="5" t="str">
        <f>vlookup(B2616,Filmes_final!$B$2:$U$1001,13,FALSE)</f>
        <v>Takeshi Kitano</v>
      </c>
    </row>
    <row r="2617">
      <c r="A2617" s="5">
        <v>654.0</v>
      </c>
      <c r="B2617" s="5" t="s">
        <v>3952</v>
      </c>
      <c r="C2617" s="5" t="s">
        <v>3957</v>
      </c>
      <c r="D2617" s="5" t="s">
        <v>6637</v>
      </c>
      <c r="E2617" s="8">
        <f>vlookup(B2617,Filmes_final!$B$2:$U$1001,20,FALSE)</f>
        <v>379394</v>
      </c>
      <c r="F2617" s="5">
        <f>vlookup(B2617,Filmes_final!$B$2:$U$1001,3,FALSE)</f>
        <v>1997</v>
      </c>
      <c r="G2617" s="5" t="str">
        <f>vlookup(B2617,Filmes_final!$B$2:$U$1001,13,FALSE)</f>
        <v>Takeshi Kitano</v>
      </c>
    </row>
    <row r="2618">
      <c r="A2618" s="5">
        <v>655.0</v>
      </c>
      <c r="B2618" s="5" t="s">
        <v>3958</v>
      </c>
      <c r="C2618" s="5" t="s">
        <v>1642</v>
      </c>
      <c r="D2618" s="5" t="s">
        <v>6634</v>
      </c>
      <c r="E2618" s="8">
        <f>vlookup(B2618,Filmes_final!$B$2:$U$1001,20,FALSE)</f>
        <v>20007967</v>
      </c>
      <c r="F2618" s="5">
        <f>vlookup(B2618,Filmes_final!$B$2:$U$1001,3,FALSE)</f>
        <v>1997</v>
      </c>
      <c r="G2618" s="5" t="str">
        <f>vlookup(B2618,Filmes_final!$B$2:$U$1001,13,FALSE)</f>
        <v>Andrew Niccol</v>
      </c>
    </row>
    <row r="2619">
      <c r="A2619" s="5">
        <v>655.0</v>
      </c>
      <c r="B2619" s="5" t="s">
        <v>3958</v>
      </c>
      <c r="C2619" s="5" t="s">
        <v>74</v>
      </c>
      <c r="D2619" s="5" t="s">
        <v>6635</v>
      </c>
      <c r="E2619" s="8">
        <f>vlookup(B2619,Filmes_final!$B$2:$U$1001,20,FALSE)</f>
        <v>20007967</v>
      </c>
      <c r="F2619" s="5">
        <f>vlookup(B2619,Filmes_final!$B$2:$U$1001,3,FALSE)</f>
        <v>1997</v>
      </c>
      <c r="G2619" s="5" t="str">
        <f>vlookup(B2619,Filmes_final!$B$2:$U$1001,13,FALSE)</f>
        <v>Andrew Niccol</v>
      </c>
    </row>
    <row r="2620">
      <c r="A2620" s="5">
        <v>655.0</v>
      </c>
      <c r="B2620" s="5" t="s">
        <v>3958</v>
      </c>
      <c r="C2620" s="5" t="s">
        <v>3962</v>
      </c>
      <c r="D2620" s="5" t="s">
        <v>6636</v>
      </c>
      <c r="E2620" s="8">
        <f>vlookup(B2620,Filmes_final!$B$2:$U$1001,20,FALSE)</f>
        <v>20007967</v>
      </c>
      <c r="F2620" s="5">
        <f>vlookup(B2620,Filmes_final!$B$2:$U$1001,3,FALSE)</f>
        <v>1997</v>
      </c>
      <c r="G2620" s="5" t="str">
        <f>vlookup(B2620,Filmes_final!$B$2:$U$1001,13,FALSE)</f>
        <v>Andrew Niccol</v>
      </c>
    </row>
    <row r="2621">
      <c r="A2621" s="5">
        <v>655.0</v>
      </c>
      <c r="B2621" s="5" t="s">
        <v>3958</v>
      </c>
      <c r="C2621" s="5" t="s">
        <v>3963</v>
      </c>
      <c r="D2621" s="5" t="s">
        <v>6637</v>
      </c>
      <c r="E2621" s="8">
        <f>vlookup(B2621,Filmes_final!$B$2:$U$1001,20,FALSE)</f>
        <v>20007967</v>
      </c>
      <c r="F2621" s="5">
        <f>vlookup(B2621,Filmes_final!$B$2:$U$1001,3,FALSE)</f>
        <v>1997</v>
      </c>
      <c r="G2621" s="5" t="str">
        <f>vlookup(B2621,Filmes_final!$B$2:$U$1001,13,FALSE)</f>
        <v>Andrew Niccol</v>
      </c>
    </row>
    <row r="2622">
      <c r="A2622" s="5">
        <v>656.0</v>
      </c>
      <c r="B2622" s="5" t="s">
        <v>3964</v>
      </c>
      <c r="C2622" s="5" t="s">
        <v>3966</v>
      </c>
      <c r="D2622" s="5" t="s">
        <v>6634</v>
      </c>
      <c r="E2622" s="8">
        <f>vlookup(B2622,Filmes_final!$B$2:$U$1001,20,FALSE)</f>
        <v>78353864</v>
      </c>
      <c r="F2622" s="5">
        <f>vlookup(B2622,Filmes_final!$B$2:$U$1001,3,FALSE)</f>
        <v>1997</v>
      </c>
      <c r="G2622" s="5" t="str">
        <f>vlookup(B2622,Filmes_final!$B$2:$U$1001,13,FALSE)</f>
        <v>David Fincher</v>
      </c>
    </row>
    <row r="2623">
      <c r="A2623" s="5">
        <v>656.0</v>
      </c>
      <c r="B2623" s="5" t="s">
        <v>3964</v>
      </c>
      <c r="C2623" s="5" t="s">
        <v>3967</v>
      </c>
      <c r="D2623" s="5" t="s">
        <v>6635</v>
      </c>
      <c r="E2623" s="8">
        <f>vlookup(B2623,Filmes_final!$B$2:$U$1001,20,FALSE)</f>
        <v>78353864</v>
      </c>
      <c r="F2623" s="5">
        <f>vlookup(B2623,Filmes_final!$B$2:$U$1001,3,FALSE)</f>
        <v>1997</v>
      </c>
      <c r="G2623" s="5" t="str">
        <f>vlookup(B2623,Filmes_final!$B$2:$U$1001,13,FALSE)</f>
        <v>David Fincher</v>
      </c>
    </row>
    <row r="2624">
      <c r="A2624" s="5">
        <v>656.0</v>
      </c>
      <c r="B2624" s="5" t="s">
        <v>3964</v>
      </c>
      <c r="C2624" s="5" t="s">
        <v>1605</v>
      </c>
      <c r="D2624" s="5" t="s">
        <v>6636</v>
      </c>
      <c r="E2624" s="8">
        <f>vlookup(B2624,Filmes_final!$B$2:$U$1001,20,FALSE)</f>
        <v>78353864</v>
      </c>
      <c r="F2624" s="5">
        <f>vlookup(B2624,Filmes_final!$B$2:$U$1001,3,FALSE)</f>
        <v>1997</v>
      </c>
      <c r="G2624" s="5" t="str">
        <f>vlookup(B2624,Filmes_final!$B$2:$U$1001,13,FALSE)</f>
        <v>David Fincher</v>
      </c>
    </row>
    <row r="2625">
      <c r="A2625" s="5">
        <v>656.0</v>
      </c>
      <c r="B2625" s="5" t="s">
        <v>3964</v>
      </c>
      <c r="C2625" s="5" t="s">
        <v>2583</v>
      </c>
      <c r="D2625" s="5" t="s">
        <v>6637</v>
      </c>
      <c r="E2625" s="8">
        <f>vlookup(B2625,Filmes_final!$B$2:$U$1001,20,FALSE)</f>
        <v>78353864</v>
      </c>
      <c r="F2625" s="5">
        <f>vlookup(B2625,Filmes_final!$B$2:$U$1001,3,FALSE)</f>
        <v>1997</v>
      </c>
      <c r="G2625" s="5" t="str">
        <f>vlookup(B2625,Filmes_final!$B$2:$U$1001,13,FALSE)</f>
        <v>David Fincher</v>
      </c>
    </row>
    <row r="2626">
      <c r="A2626" s="5">
        <v>657.0</v>
      </c>
      <c r="B2626" s="5" t="s">
        <v>3968</v>
      </c>
      <c r="C2626" s="5" t="s">
        <v>3970</v>
      </c>
      <c r="D2626" s="5" t="s">
        <v>6634</v>
      </c>
      <c r="E2626" s="8">
        <f>vlookup(B2626,Filmes_final!$B$2:$U$1001,20,FALSE)</f>
        <v>6751173</v>
      </c>
      <c r="F2626" s="5">
        <f>vlookup(B2626,Filmes_final!$B$2:$U$1001,3,FALSE)</f>
        <v>1996</v>
      </c>
      <c r="G2626" s="5" t="str">
        <f>vlookup(B2626,Filmes_final!$B$2:$U$1001,13,FALSE)</f>
        <v>Lars von Trier</v>
      </c>
    </row>
    <row r="2627">
      <c r="A2627" s="5">
        <v>657.0</v>
      </c>
      <c r="B2627" s="5" t="s">
        <v>3968</v>
      </c>
      <c r="C2627" s="5" t="s">
        <v>754</v>
      </c>
      <c r="D2627" s="5" t="s">
        <v>6635</v>
      </c>
      <c r="E2627" s="8">
        <f>vlookup(B2627,Filmes_final!$B$2:$U$1001,20,FALSE)</f>
        <v>6751173</v>
      </c>
      <c r="F2627" s="5">
        <f>vlookup(B2627,Filmes_final!$B$2:$U$1001,3,FALSE)</f>
        <v>1996</v>
      </c>
      <c r="G2627" s="5" t="str">
        <f>vlookup(B2627,Filmes_final!$B$2:$U$1001,13,FALSE)</f>
        <v>Lars von Trier</v>
      </c>
    </row>
    <row r="2628">
      <c r="A2628" s="5">
        <v>657.0</v>
      </c>
      <c r="B2628" s="5" t="s">
        <v>3968</v>
      </c>
      <c r="C2628" s="5" t="s">
        <v>3971</v>
      </c>
      <c r="D2628" s="5" t="s">
        <v>6636</v>
      </c>
      <c r="E2628" s="8">
        <f>vlookup(B2628,Filmes_final!$B$2:$U$1001,20,FALSE)</f>
        <v>6751173</v>
      </c>
      <c r="F2628" s="5">
        <f>vlookup(B2628,Filmes_final!$B$2:$U$1001,3,FALSE)</f>
        <v>1996</v>
      </c>
      <c r="G2628" s="5" t="str">
        <f>vlookup(B2628,Filmes_final!$B$2:$U$1001,13,FALSE)</f>
        <v>Lars von Trier</v>
      </c>
    </row>
    <row r="2629">
      <c r="A2629" s="5">
        <v>657.0</v>
      </c>
      <c r="B2629" s="5" t="s">
        <v>3968</v>
      </c>
      <c r="C2629" s="5" t="s">
        <v>3972</v>
      </c>
      <c r="D2629" s="5" t="s">
        <v>6637</v>
      </c>
      <c r="E2629" s="8">
        <f>vlookup(B2629,Filmes_final!$B$2:$U$1001,20,FALSE)</f>
        <v>6751173</v>
      </c>
      <c r="F2629" s="5">
        <f>vlookup(B2629,Filmes_final!$B$2:$U$1001,3,FALSE)</f>
        <v>1996</v>
      </c>
      <c r="G2629" s="5" t="str">
        <f>vlookup(B2629,Filmes_final!$B$2:$U$1001,13,FALSE)</f>
        <v>Lars von Trier</v>
      </c>
    </row>
    <row r="2630">
      <c r="A2630" s="5">
        <v>658.0</v>
      </c>
      <c r="B2630" s="5" t="s">
        <v>3973</v>
      </c>
      <c r="C2630" s="5" t="s">
        <v>2451</v>
      </c>
      <c r="D2630" s="5" t="s">
        <v>6634</v>
      </c>
      <c r="E2630" s="8">
        <f>vlookup(B2630,Filmes_final!$B$2:$U$1001,20,FALSE)</f>
        <v>10388462</v>
      </c>
      <c r="F2630" s="5">
        <f>vlookup(B2630,Filmes_final!$B$2:$U$1001,3,FALSE)</f>
        <v>1994</v>
      </c>
      <c r="G2630" s="5" t="str">
        <f>vlookup(B2630,Filmes_final!$B$2:$U$1001,13,FALSE)</f>
        <v>Tim Burton</v>
      </c>
    </row>
    <row r="2631">
      <c r="A2631" s="5">
        <v>658.0</v>
      </c>
      <c r="B2631" s="5" t="s">
        <v>3973</v>
      </c>
      <c r="C2631" s="5" t="s">
        <v>3278</v>
      </c>
      <c r="D2631" s="5" t="s">
        <v>6635</v>
      </c>
      <c r="E2631" s="8">
        <f>vlookup(B2631,Filmes_final!$B$2:$U$1001,20,FALSE)</f>
        <v>10388462</v>
      </c>
      <c r="F2631" s="5">
        <f>vlookup(B2631,Filmes_final!$B$2:$U$1001,3,FALSE)</f>
        <v>1994</v>
      </c>
      <c r="G2631" s="5" t="str">
        <f>vlookup(B2631,Filmes_final!$B$2:$U$1001,13,FALSE)</f>
        <v>Tim Burton</v>
      </c>
    </row>
    <row r="2632">
      <c r="A2632" s="5">
        <v>658.0</v>
      </c>
      <c r="B2632" s="5" t="s">
        <v>3973</v>
      </c>
      <c r="C2632" s="5" t="s">
        <v>3975</v>
      </c>
      <c r="D2632" s="5" t="s">
        <v>6636</v>
      </c>
      <c r="E2632" s="8">
        <f>vlookup(B2632,Filmes_final!$B$2:$U$1001,20,FALSE)</f>
        <v>10388462</v>
      </c>
      <c r="F2632" s="5">
        <f>vlookup(B2632,Filmes_final!$B$2:$U$1001,3,FALSE)</f>
        <v>1994</v>
      </c>
      <c r="G2632" s="5" t="str">
        <f>vlookup(B2632,Filmes_final!$B$2:$U$1001,13,FALSE)</f>
        <v>Tim Burton</v>
      </c>
    </row>
    <row r="2633">
      <c r="A2633" s="5">
        <v>658.0</v>
      </c>
      <c r="B2633" s="5" t="s">
        <v>3973</v>
      </c>
      <c r="C2633" s="5" t="s">
        <v>3089</v>
      </c>
      <c r="D2633" s="5" t="s">
        <v>6637</v>
      </c>
      <c r="E2633" s="8">
        <f>vlookup(B2633,Filmes_final!$B$2:$U$1001,20,FALSE)</f>
        <v>10388462</v>
      </c>
      <c r="F2633" s="5">
        <f>vlookup(B2633,Filmes_final!$B$2:$U$1001,3,FALSE)</f>
        <v>1994</v>
      </c>
      <c r="G2633" s="5" t="str">
        <f>vlookup(B2633,Filmes_final!$B$2:$U$1001,13,FALSE)</f>
        <v>Tim Burton</v>
      </c>
    </row>
    <row r="2634">
      <c r="A2634" s="5">
        <v>659.0</v>
      </c>
      <c r="B2634" s="5" t="s">
        <v>3976</v>
      </c>
      <c r="C2634" s="5" t="s">
        <v>2451</v>
      </c>
      <c r="D2634" s="5" t="s">
        <v>6634</v>
      </c>
      <c r="E2634" s="8">
        <f>vlookup(B2634,Filmes_final!$B$2:$U$1001,20,FALSE)</f>
        <v>16589406</v>
      </c>
      <c r="F2634" s="5">
        <f>vlookup(B2634,Filmes_final!$B$2:$U$1001,3,FALSE)</f>
        <v>1993</v>
      </c>
      <c r="G2634" s="5" t="str">
        <f>vlookup(B2634,Filmes_final!$B$2:$U$1001,13,FALSE)</f>
        <v>Lasse Hallström</v>
      </c>
    </row>
    <row r="2635">
      <c r="A2635" s="5">
        <v>659.0</v>
      </c>
      <c r="B2635" s="5" t="s">
        <v>3976</v>
      </c>
      <c r="C2635" s="5" t="s">
        <v>90</v>
      </c>
      <c r="D2635" s="5" t="s">
        <v>6635</v>
      </c>
      <c r="E2635" s="8">
        <f>vlookup(B2635,Filmes_final!$B$2:$U$1001,20,FALSE)</f>
        <v>16589406</v>
      </c>
      <c r="F2635" s="5">
        <f>vlookup(B2635,Filmes_final!$B$2:$U$1001,3,FALSE)</f>
        <v>1993</v>
      </c>
      <c r="G2635" s="5" t="str">
        <f>vlookup(B2635,Filmes_final!$B$2:$U$1001,13,FALSE)</f>
        <v>Lasse Hallström</v>
      </c>
    </row>
    <row r="2636">
      <c r="A2636" s="5">
        <v>659.0</v>
      </c>
      <c r="B2636" s="5" t="s">
        <v>3976</v>
      </c>
      <c r="C2636" s="5" t="s">
        <v>3978</v>
      </c>
      <c r="D2636" s="5" t="s">
        <v>6636</v>
      </c>
      <c r="E2636" s="8">
        <f>vlookup(B2636,Filmes_final!$B$2:$U$1001,20,FALSE)</f>
        <v>16589406</v>
      </c>
      <c r="F2636" s="5">
        <f>vlookup(B2636,Filmes_final!$B$2:$U$1001,3,FALSE)</f>
        <v>1993</v>
      </c>
      <c r="G2636" s="5" t="str">
        <f>vlookup(B2636,Filmes_final!$B$2:$U$1001,13,FALSE)</f>
        <v>Lasse Hallström</v>
      </c>
    </row>
    <row r="2637">
      <c r="A2637" s="5">
        <v>659.0</v>
      </c>
      <c r="B2637" s="5" t="s">
        <v>3976</v>
      </c>
      <c r="C2637" s="5" t="s">
        <v>2203</v>
      </c>
      <c r="D2637" s="5" t="s">
        <v>6637</v>
      </c>
      <c r="E2637" s="8">
        <f>vlookup(B2637,Filmes_final!$B$2:$U$1001,20,FALSE)</f>
        <v>16589406</v>
      </c>
      <c r="F2637" s="5">
        <f>vlookup(B2637,Filmes_final!$B$2:$U$1001,3,FALSE)</f>
        <v>1993</v>
      </c>
      <c r="G2637" s="5" t="str">
        <f>vlookup(B2637,Filmes_final!$B$2:$U$1001,13,FALSE)</f>
        <v>Lasse Hallström</v>
      </c>
    </row>
    <row r="2638">
      <c r="A2638" s="5">
        <v>660.0</v>
      </c>
      <c r="B2638" s="5" t="s">
        <v>3979</v>
      </c>
      <c r="C2638" s="5" t="s">
        <v>3982</v>
      </c>
      <c r="D2638" s="5" t="s">
        <v>6634</v>
      </c>
      <c r="E2638" s="8">
        <f>vlookup(B2638,Filmes_final!$B$2:$U$1001,20,FALSE)</f>
        <v>102220674</v>
      </c>
      <c r="F2638" s="5">
        <f>vlookup(B2638,Filmes_final!$B$2:$U$1001,3,FALSE)</f>
        <v>1993</v>
      </c>
      <c r="G2638" s="5" t="str">
        <f>vlookup(B2638,Filmes_final!$B$2:$U$1001,13,FALSE)</f>
        <v>George P. Cosmatos</v>
      </c>
    </row>
    <row r="2639">
      <c r="A2639" s="5">
        <v>660.0</v>
      </c>
      <c r="B2639" s="5" t="s">
        <v>3979</v>
      </c>
      <c r="C2639" s="5" t="s">
        <v>1846</v>
      </c>
      <c r="D2639" s="5" t="s">
        <v>6635</v>
      </c>
      <c r="E2639" s="8">
        <f>vlookup(B2639,Filmes_final!$B$2:$U$1001,20,FALSE)</f>
        <v>102220674</v>
      </c>
      <c r="F2639" s="5">
        <f>vlookup(B2639,Filmes_final!$B$2:$U$1001,3,FALSE)</f>
        <v>1993</v>
      </c>
      <c r="G2639" s="5" t="str">
        <f>vlookup(B2639,Filmes_final!$B$2:$U$1001,13,FALSE)</f>
        <v>George P. Cosmatos</v>
      </c>
    </row>
    <row r="2640">
      <c r="A2640" s="5">
        <v>660.0</v>
      </c>
      <c r="B2640" s="5" t="s">
        <v>3979</v>
      </c>
      <c r="C2640" s="5" t="s">
        <v>1177</v>
      </c>
      <c r="D2640" s="5" t="s">
        <v>6636</v>
      </c>
      <c r="E2640" s="8">
        <f>vlookup(B2640,Filmes_final!$B$2:$U$1001,20,FALSE)</f>
        <v>102220674</v>
      </c>
      <c r="F2640" s="5">
        <f>vlookup(B2640,Filmes_final!$B$2:$U$1001,3,FALSE)</f>
        <v>1993</v>
      </c>
      <c r="G2640" s="5" t="str">
        <f>vlookup(B2640,Filmes_final!$B$2:$U$1001,13,FALSE)</f>
        <v>George P. Cosmatos</v>
      </c>
    </row>
    <row r="2641">
      <c r="A2641" s="5">
        <v>660.0</v>
      </c>
      <c r="B2641" s="5" t="s">
        <v>3979</v>
      </c>
      <c r="C2641" s="5" t="s">
        <v>3983</v>
      </c>
      <c r="D2641" s="5" t="s">
        <v>6637</v>
      </c>
      <c r="E2641" s="8">
        <f>vlookup(B2641,Filmes_final!$B$2:$U$1001,20,FALSE)</f>
        <v>102220674</v>
      </c>
      <c r="F2641" s="5">
        <f>vlookup(B2641,Filmes_final!$B$2:$U$1001,3,FALSE)</f>
        <v>1993</v>
      </c>
      <c r="G2641" s="5" t="str">
        <f>vlookup(B2641,Filmes_final!$B$2:$U$1001,13,FALSE)</f>
        <v>George P. Cosmatos</v>
      </c>
    </row>
    <row r="2642">
      <c r="A2642" s="5">
        <v>661.0</v>
      </c>
      <c r="B2642" s="5" t="s">
        <v>3984</v>
      </c>
      <c r="C2642" s="5" t="s">
        <v>3987</v>
      </c>
      <c r="D2642" s="5" t="s">
        <v>6634</v>
      </c>
      <c r="E2642" s="8">
        <f>vlookup(B2642,Filmes_final!$B$2:$U$1001,20,FALSE)</f>
        <v>58643332</v>
      </c>
      <c r="F2642" s="5">
        <f>vlookup(B2642,Filmes_final!$B$2:$U$1001,3,FALSE)</f>
        <v>1993</v>
      </c>
      <c r="G2642" s="5" t="str">
        <f>vlookup(B2642,Filmes_final!$B$2:$U$1001,13,FALSE)</f>
        <v>David Mickey Evans</v>
      </c>
    </row>
    <row r="2643">
      <c r="A2643" s="5">
        <v>661.0</v>
      </c>
      <c r="B2643" s="5" t="s">
        <v>3984</v>
      </c>
      <c r="C2643" s="5" t="s">
        <v>3988</v>
      </c>
      <c r="D2643" s="5" t="s">
        <v>6635</v>
      </c>
      <c r="E2643" s="8">
        <f>vlookup(B2643,Filmes_final!$B$2:$U$1001,20,FALSE)</f>
        <v>58643332</v>
      </c>
      <c r="F2643" s="5">
        <f>vlookup(B2643,Filmes_final!$B$2:$U$1001,3,FALSE)</f>
        <v>1993</v>
      </c>
      <c r="G2643" s="5" t="str">
        <f>vlookup(B2643,Filmes_final!$B$2:$U$1001,13,FALSE)</f>
        <v>David Mickey Evans</v>
      </c>
    </row>
    <row r="2644">
      <c r="A2644" s="5">
        <v>661.0</v>
      </c>
      <c r="B2644" s="5" t="s">
        <v>3984</v>
      </c>
      <c r="C2644" s="5" t="s">
        <v>3989</v>
      </c>
      <c r="D2644" s="5" t="s">
        <v>6636</v>
      </c>
      <c r="E2644" s="8">
        <f>vlookup(B2644,Filmes_final!$B$2:$U$1001,20,FALSE)</f>
        <v>58643332</v>
      </c>
      <c r="F2644" s="5">
        <f>vlookup(B2644,Filmes_final!$B$2:$U$1001,3,FALSE)</f>
        <v>1993</v>
      </c>
      <c r="G2644" s="5" t="str">
        <f>vlookup(B2644,Filmes_final!$B$2:$U$1001,13,FALSE)</f>
        <v>David Mickey Evans</v>
      </c>
    </row>
    <row r="2645">
      <c r="A2645" s="5">
        <v>661.0</v>
      </c>
      <c r="B2645" s="5" t="s">
        <v>3984</v>
      </c>
      <c r="C2645" s="5" t="s">
        <v>3990</v>
      </c>
      <c r="D2645" s="5" t="s">
        <v>6637</v>
      </c>
      <c r="E2645" s="8">
        <f>vlookup(B2645,Filmes_final!$B$2:$U$1001,20,FALSE)</f>
        <v>58643332</v>
      </c>
      <c r="F2645" s="5">
        <f>vlookup(B2645,Filmes_final!$B$2:$U$1001,3,FALSE)</f>
        <v>1993</v>
      </c>
      <c r="G2645" s="5" t="str">
        <f>vlookup(B2645,Filmes_final!$B$2:$U$1001,13,FALSE)</f>
        <v>David Mickey Evans</v>
      </c>
    </row>
    <row r="2646">
      <c r="A2646" s="5">
        <v>662.0</v>
      </c>
      <c r="B2646" s="5" t="s">
        <v>3991</v>
      </c>
      <c r="C2646" s="5" t="s">
        <v>245</v>
      </c>
      <c r="D2646" s="5" t="s">
        <v>6634</v>
      </c>
      <c r="E2646" s="8">
        <f>vlookup(B2646,Filmes_final!$B$2:$U$1001,20,FALSE)</f>
        <v>41526761</v>
      </c>
      <c r="F2646" s="5">
        <f>vlookup(B2646,Filmes_final!$B$2:$U$1001,3,FALSE)</f>
        <v>1993</v>
      </c>
      <c r="G2646" s="5" t="str">
        <f>vlookup(B2646,Filmes_final!$B$2:$U$1001,13,FALSE)</f>
        <v>James Ivory</v>
      </c>
    </row>
    <row r="2647">
      <c r="A2647" s="5">
        <v>662.0</v>
      </c>
      <c r="B2647" s="5" t="s">
        <v>3991</v>
      </c>
      <c r="C2647" s="5" t="s">
        <v>3994</v>
      </c>
      <c r="D2647" s="5" t="s">
        <v>6635</v>
      </c>
      <c r="E2647" s="8">
        <f>vlookup(B2647,Filmes_final!$B$2:$U$1001,20,FALSE)</f>
        <v>41526761</v>
      </c>
      <c r="F2647" s="5">
        <f>vlookup(B2647,Filmes_final!$B$2:$U$1001,3,FALSE)</f>
        <v>1993</v>
      </c>
      <c r="G2647" s="5" t="str">
        <f>vlookup(B2647,Filmes_final!$B$2:$U$1001,13,FALSE)</f>
        <v>James Ivory</v>
      </c>
    </row>
    <row r="2648">
      <c r="A2648" s="5">
        <v>662.0</v>
      </c>
      <c r="B2648" s="5" t="s">
        <v>3991</v>
      </c>
      <c r="C2648" s="5" t="s">
        <v>3995</v>
      </c>
      <c r="D2648" s="5" t="s">
        <v>6636</v>
      </c>
      <c r="E2648" s="8">
        <f>vlookup(B2648,Filmes_final!$B$2:$U$1001,20,FALSE)</f>
        <v>41526761</v>
      </c>
      <c r="F2648" s="5">
        <f>vlookup(B2648,Filmes_final!$B$2:$U$1001,3,FALSE)</f>
        <v>1993</v>
      </c>
      <c r="G2648" s="5" t="str">
        <f>vlookup(B2648,Filmes_final!$B$2:$U$1001,13,FALSE)</f>
        <v>James Ivory</v>
      </c>
    </row>
    <row r="2649">
      <c r="A2649" s="5">
        <v>662.0</v>
      </c>
      <c r="B2649" s="5" t="s">
        <v>3991</v>
      </c>
      <c r="C2649" s="5" t="s">
        <v>3996</v>
      </c>
      <c r="D2649" s="5" t="s">
        <v>6637</v>
      </c>
      <c r="E2649" s="8">
        <f>vlookup(B2649,Filmes_final!$B$2:$U$1001,20,FALSE)</f>
        <v>41526761</v>
      </c>
      <c r="F2649" s="5">
        <f>vlookup(B2649,Filmes_final!$B$2:$U$1001,3,FALSE)</f>
        <v>1993</v>
      </c>
      <c r="G2649" s="5" t="str">
        <f>vlookup(B2649,Filmes_final!$B$2:$U$1001,13,FALSE)</f>
        <v>James Ivory</v>
      </c>
    </row>
    <row r="2650">
      <c r="A2650" s="5">
        <v>663.0</v>
      </c>
      <c r="B2650" s="5" t="s">
        <v>3997</v>
      </c>
      <c r="C2650" s="5" t="s">
        <v>3772</v>
      </c>
      <c r="D2650" s="5" t="s">
        <v>6634</v>
      </c>
      <c r="E2650" s="8">
        <f>vlookup(B2650,Filmes_final!$B$2:$U$1001,20,FALSE)</f>
        <v>3200767</v>
      </c>
      <c r="F2650" s="5">
        <f>vlookup(B2650,Filmes_final!$B$2:$U$1001,3,FALSE)</f>
        <v>1993</v>
      </c>
      <c r="G2650" s="5" t="str">
        <f>vlookup(B2650,Filmes_final!$B$2:$U$1001,13,FALSE)</f>
        <v>Mike Leigh</v>
      </c>
    </row>
    <row r="2651">
      <c r="A2651" s="5">
        <v>663.0</v>
      </c>
      <c r="B2651" s="5" t="s">
        <v>3997</v>
      </c>
      <c r="C2651" s="5" t="s">
        <v>3999</v>
      </c>
      <c r="D2651" s="5" t="s">
        <v>6635</v>
      </c>
      <c r="E2651" s="8">
        <f>vlookup(B2651,Filmes_final!$B$2:$U$1001,20,FALSE)</f>
        <v>3200767</v>
      </c>
      <c r="F2651" s="5">
        <f>vlookup(B2651,Filmes_final!$B$2:$U$1001,3,FALSE)</f>
        <v>1993</v>
      </c>
      <c r="G2651" s="5" t="str">
        <f>vlookup(B2651,Filmes_final!$B$2:$U$1001,13,FALSE)</f>
        <v>Mike Leigh</v>
      </c>
    </row>
    <row r="2652">
      <c r="A2652" s="5">
        <v>663.0</v>
      </c>
      <c r="B2652" s="5" t="s">
        <v>3997</v>
      </c>
      <c r="C2652" s="5" t="s">
        <v>3971</v>
      </c>
      <c r="D2652" s="5" t="s">
        <v>6636</v>
      </c>
      <c r="E2652" s="8">
        <f>vlookup(B2652,Filmes_final!$B$2:$U$1001,20,FALSE)</f>
        <v>3200767</v>
      </c>
      <c r="F2652" s="5">
        <f>vlookup(B2652,Filmes_final!$B$2:$U$1001,3,FALSE)</f>
        <v>1993</v>
      </c>
      <c r="G2652" s="5" t="str">
        <f>vlookup(B2652,Filmes_final!$B$2:$U$1001,13,FALSE)</f>
        <v>Mike Leigh</v>
      </c>
    </row>
    <row r="2653">
      <c r="A2653" s="5">
        <v>663.0</v>
      </c>
      <c r="B2653" s="5" t="s">
        <v>3997</v>
      </c>
      <c r="C2653" s="5" t="s">
        <v>4000</v>
      </c>
      <c r="D2653" s="5" t="s">
        <v>6637</v>
      </c>
      <c r="E2653" s="8">
        <f>vlookup(B2653,Filmes_final!$B$2:$U$1001,20,FALSE)</f>
        <v>3200767</v>
      </c>
      <c r="F2653" s="5">
        <f>vlookup(B2653,Filmes_final!$B$2:$U$1001,3,FALSE)</f>
        <v>1993</v>
      </c>
      <c r="G2653" s="5" t="str">
        <f>vlookup(B2653,Filmes_final!$B$2:$U$1001,13,FALSE)</f>
        <v>Mike Leigh</v>
      </c>
    </row>
    <row r="2654">
      <c r="A2654" s="5">
        <v>664.0</v>
      </c>
      <c r="B2654" s="5" t="s">
        <v>4001</v>
      </c>
      <c r="C2654" s="5" t="s">
        <v>149</v>
      </c>
      <c r="D2654" s="5" t="s">
        <v>6634</v>
      </c>
      <c r="E2654" s="8">
        <f>vlookup(B2654,Filmes_final!$B$2:$U$1001,20,FALSE)</f>
        <v>332641050</v>
      </c>
      <c r="F2654" s="5">
        <f>vlookup(B2654,Filmes_final!$B$2:$U$1001,3,FALSE)</f>
        <v>1993</v>
      </c>
      <c r="G2654" s="5" t="str">
        <f>vlookup(B2654,Filmes_final!$B$2:$U$1001,13,FALSE)</f>
        <v>Andrew Davis</v>
      </c>
    </row>
    <row r="2655">
      <c r="A2655" s="5">
        <v>664.0</v>
      </c>
      <c r="B2655" s="5" t="s">
        <v>4001</v>
      </c>
      <c r="C2655" s="5" t="s">
        <v>1614</v>
      </c>
      <c r="D2655" s="5" t="s">
        <v>6635</v>
      </c>
      <c r="E2655" s="8">
        <f>vlookup(B2655,Filmes_final!$B$2:$U$1001,20,FALSE)</f>
        <v>332641050</v>
      </c>
      <c r="F2655" s="5">
        <f>vlookup(B2655,Filmes_final!$B$2:$U$1001,3,FALSE)</f>
        <v>1993</v>
      </c>
      <c r="G2655" s="5" t="str">
        <f>vlookup(B2655,Filmes_final!$B$2:$U$1001,13,FALSE)</f>
        <v>Andrew Davis</v>
      </c>
    </row>
    <row r="2656">
      <c r="A2656" s="5">
        <v>664.0</v>
      </c>
      <c r="B2656" s="5" t="s">
        <v>4001</v>
      </c>
      <c r="C2656" s="5" t="s">
        <v>4004</v>
      </c>
      <c r="D2656" s="5" t="s">
        <v>6636</v>
      </c>
      <c r="E2656" s="8">
        <f>vlookup(B2656,Filmes_final!$B$2:$U$1001,20,FALSE)</f>
        <v>332641050</v>
      </c>
      <c r="F2656" s="5">
        <f>vlookup(B2656,Filmes_final!$B$2:$U$1001,3,FALSE)</f>
        <v>1993</v>
      </c>
      <c r="G2656" s="5" t="str">
        <f>vlookup(B2656,Filmes_final!$B$2:$U$1001,13,FALSE)</f>
        <v>Andrew Davis</v>
      </c>
    </row>
    <row r="2657">
      <c r="A2657" s="5">
        <v>664.0</v>
      </c>
      <c r="B2657" s="5" t="s">
        <v>4001</v>
      </c>
      <c r="C2657" s="5" t="s">
        <v>1728</v>
      </c>
      <c r="D2657" s="5" t="s">
        <v>6637</v>
      </c>
      <c r="E2657" s="8">
        <f>vlookup(B2657,Filmes_final!$B$2:$U$1001,20,FALSE)</f>
        <v>332641050</v>
      </c>
      <c r="F2657" s="5">
        <f>vlookup(B2657,Filmes_final!$B$2:$U$1001,3,FALSE)</f>
        <v>1993</v>
      </c>
      <c r="G2657" s="5" t="str">
        <f>vlookup(B2657,Filmes_final!$B$2:$U$1001,13,FALSE)</f>
        <v>Andrew Davis</v>
      </c>
    </row>
    <row r="2658">
      <c r="A2658" s="5">
        <v>665.0</v>
      </c>
      <c r="B2658" s="5" t="s">
        <v>4005</v>
      </c>
      <c r="C2658" s="5" t="s">
        <v>49</v>
      </c>
      <c r="D2658" s="5" t="s">
        <v>6634</v>
      </c>
      <c r="E2658" s="8">
        <f>vlookup(B2658,Filmes_final!$B$2:$U$1001,20,FALSE)</f>
        <v>31236871</v>
      </c>
      <c r="F2658" s="5">
        <f>vlookup(B2658,Filmes_final!$B$2:$U$1001,3,FALSE)</f>
        <v>1993</v>
      </c>
      <c r="G2658" s="5" t="str">
        <f>vlookup(B2658,Filmes_final!$B$2:$U$1001,13,FALSE)</f>
        <v>Robert De Niro</v>
      </c>
    </row>
    <row r="2659">
      <c r="A2659" s="5">
        <v>665.0</v>
      </c>
      <c r="B2659" s="5" t="s">
        <v>4005</v>
      </c>
      <c r="C2659" s="5" t="s">
        <v>340</v>
      </c>
      <c r="D2659" s="5" t="s">
        <v>6635</v>
      </c>
      <c r="E2659" s="8">
        <f>vlookup(B2659,Filmes_final!$B$2:$U$1001,20,FALSE)</f>
        <v>31236871</v>
      </c>
      <c r="F2659" s="5">
        <f>vlookup(B2659,Filmes_final!$B$2:$U$1001,3,FALSE)</f>
        <v>1993</v>
      </c>
      <c r="G2659" s="5" t="str">
        <f>vlookup(B2659,Filmes_final!$B$2:$U$1001,13,FALSE)</f>
        <v>Robert De Niro</v>
      </c>
    </row>
    <row r="2660">
      <c r="A2660" s="5">
        <v>665.0</v>
      </c>
      <c r="B2660" s="5" t="s">
        <v>4005</v>
      </c>
      <c r="C2660" s="5" t="s">
        <v>4007</v>
      </c>
      <c r="D2660" s="5" t="s">
        <v>6636</v>
      </c>
      <c r="E2660" s="8">
        <f>vlookup(B2660,Filmes_final!$B$2:$U$1001,20,FALSE)</f>
        <v>31236871</v>
      </c>
      <c r="F2660" s="5">
        <f>vlookup(B2660,Filmes_final!$B$2:$U$1001,3,FALSE)</f>
        <v>1993</v>
      </c>
      <c r="G2660" s="5" t="str">
        <f>vlookup(B2660,Filmes_final!$B$2:$U$1001,13,FALSE)</f>
        <v>Robert De Niro</v>
      </c>
    </row>
    <row r="2661">
      <c r="A2661" s="5">
        <v>665.0</v>
      </c>
      <c r="B2661" s="5" t="s">
        <v>4005</v>
      </c>
      <c r="C2661" s="5" t="s">
        <v>4008</v>
      </c>
      <c r="D2661" s="5" t="s">
        <v>6637</v>
      </c>
      <c r="E2661" s="8">
        <f>vlookup(B2661,Filmes_final!$B$2:$U$1001,20,FALSE)</f>
        <v>31236871</v>
      </c>
      <c r="F2661" s="5">
        <f>vlookup(B2661,Filmes_final!$B$2:$U$1001,3,FALSE)</f>
        <v>1993</v>
      </c>
      <c r="G2661" s="5" t="str">
        <f>vlookup(B2661,Filmes_final!$B$2:$U$1001,13,FALSE)</f>
        <v>Robert De Niro</v>
      </c>
    </row>
    <row r="2662">
      <c r="A2662" s="5">
        <v>666.0</v>
      </c>
      <c r="B2662" s="5" t="s">
        <v>4009</v>
      </c>
      <c r="C2662" s="5" t="s">
        <v>4012</v>
      </c>
      <c r="D2662" s="5" t="s">
        <v>6634</v>
      </c>
      <c r="E2662" s="8">
        <f>vlookup(B2662,Filmes_final!$B$2:$U$1001,20,FALSE)</f>
        <v>10162160</v>
      </c>
      <c r="F2662" s="5">
        <f>vlookup(B2662,Filmes_final!$B$2:$U$1001,3,FALSE)</f>
        <v>1993</v>
      </c>
      <c r="G2662" s="5" t="str">
        <f>vlookup(B2662,Filmes_final!$B$2:$U$1001,13,FALSE)</f>
        <v>Kevin Altieri</v>
      </c>
    </row>
    <row r="2663">
      <c r="A2663" s="5">
        <v>666.0</v>
      </c>
      <c r="B2663" s="5" t="s">
        <v>4009</v>
      </c>
      <c r="C2663" s="5" t="s">
        <v>4013</v>
      </c>
      <c r="D2663" s="5" t="s">
        <v>6635</v>
      </c>
      <c r="E2663" s="8">
        <f>vlookup(B2663,Filmes_final!$B$2:$U$1001,20,FALSE)</f>
        <v>10162160</v>
      </c>
      <c r="F2663" s="5">
        <f>vlookup(B2663,Filmes_final!$B$2:$U$1001,3,FALSE)</f>
        <v>1993</v>
      </c>
      <c r="G2663" s="5" t="str">
        <f>vlookup(B2663,Filmes_final!$B$2:$U$1001,13,FALSE)</f>
        <v>Kevin Altieri</v>
      </c>
    </row>
    <row r="2664">
      <c r="A2664" s="5">
        <v>666.0</v>
      </c>
      <c r="B2664" s="5" t="s">
        <v>4009</v>
      </c>
      <c r="C2664" s="5" t="s">
        <v>4014</v>
      </c>
      <c r="D2664" s="5" t="s">
        <v>6636</v>
      </c>
      <c r="E2664" s="8">
        <f>vlookup(B2664,Filmes_final!$B$2:$U$1001,20,FALSE)</f>
        <v>10162160</v>
      </c>
      <c r="F2664" s="5">
        <f>vlookup(B2664,Filmes_final!$B$2:$U$1001,3,FALSE)</f>
        <v>1993</v>
      </c>
      <c r="G2664" s="5" t="str">
        <f>vlookup(B2664,Filmes_final!$B$2:$U$1001,13,FALSE)</f>
        <v>Kevin Altieri</v>
      </c>
    </row>
    <row r="2665">
      <c r="A2665" s="5">
        <v>666.0</v>
      </c>
      <c r="B2665" s="5" t="s">
        <v>4009</v>
      </c>
      <c r="C2665" s="5" t="s">
        <v>4015</v>
      </c>
      <c r="D2665" s="5" t="s">
        <v>6637</v>
      </c>
      <c r="E2665" s="8">
        <f>vlookup(B2665,Filmes_final!$B$2:$U$1001,20,FALSE)</f>
        <v>10162160</v>
      </c>
      <c r="F2665" s="5">
        <f>vlookup(B2665,Filmes_final!$B$2:$U$1001,3,FALSE)</f>
        <v>1993</v>
      </c>
      <c r="G2665" s="5" t="str">
        <f>vlookup(B2665,Filmes_final!$B$2:$U$1001,13,FALSE)</f>
        <v>Kevin Altieri</v>
      </c>
    </row>
    <row r="2666">
      <c r="A2666" s="5">
        <v>667.0</v>
      </c>
      <c r="B2666" s="5" t="s">
        <v>4016</v>
      </c>
      <c r="C2666" s="5" t="s">
        <v>3912</v>
      </c>
      <c r="D2666" s="5" t="s">
        <v>6634</v>
      </c>
      <c r="E2666" s="8">
        <f>vlookup(B2666,Filmes_final!$B$2:$U$1001,20,FALSE)</f>
        <v>8406007</v>
      </c>
      <c r="F2666" s="5">
        <f>vlookup(B2666,Filmes_final!$B$2:$U$1001,3,FALSE)</f>
        <v>1992</v>
      </c>
      <c r="G2666" s="5" t="str">
        <f>vlookup(B2666,Filmes_final!$B$2:$U$1001,13,FALSE)</f>
        <v>John Woo</v>
      </c>
    </row>
    <row r="2667">
      <c r="A2667" s="5">
        <v>667.0</v>
      </c>
      <c r="B2667" s="5" t="s">
        <v>4016</v>
      </c>
      <c r="C2667" s="5" t="s">
        <v>1732</v>
      </c>
      <c r="D2667" s="5" t="s">
        <v>6635</v>
      </c>
      <c r="E2667" s="8">
        <f>vlookup(B2667,Filmes_final!$B$2:$U$1001,20,FALSE)</f>
        <v>8406007</v>
      </c>
      <c r="F2667" s="5">
        <f>vlookup(B2667,Filmes_final!$B$2:$U$1001,3,FALSE)</f>
        <v>1992</v>
      </c>
      <c r="G2667" s="5" t="str">
        <f>vlookup(B2667,Filmes_final!$B$2:$U$1001,13,FALSE)</f>
        <v>John Woo</v>
      </c>
    </row>
    <row r="2668">
      <c r="A2668" s="5">
        <v>667.0</v>
      </c>
      <c r="B2668" s="5" t="s">
        <v>4016</v>
      </c>
      <c r="C2668" s="5" t="s">
        <v>4019</v>
      </c>
      <c r="D2668" s="5" t="s">
        <v>6636</v>
      </c>
      <c r="E2668" s="8">
        <f>vlookup(B2668,Filmes_final!$B$2:$U$1001,20,FALSE)</f>
        <v>8406007</v>
      </c>
      <c r="F2668" s="5">
        <f>vlookup(B2668,Filmes_final!$B$2:$U$1001,3,FALSE)</f>
        <v>1992</v>
      </c>
      <c r="G2668" s="5" t="str">
        <f>vlookup(B2668,Filmes_final!$B$2:$U$1001,13,FALSE)</f>
        <v>John Woo</v>
      </c>
    </row>
    <row r="2669">
      <c r="A2669" s="5">
        <v>667.0</v>
      </c>
      <c r="B2669" s="5" t="s">
        <v>4016</v>
      </c>
      <c r="C2669" s="5" t="s">
        <v>4020</v>
      </c>
      <c r="D2669" s="5" t="s">
        <v>6637</v>
      </c>
      <c r="E2669" s="8">
        <f>vlookup(B2669,Filmes_final!$B$2:$U$1001,20,FALSE)</f>
        <v>8406007</v>
      </c>
      <c r="F2669" s="5">
        <f>vlookup(B2669,Filmes_final!$B$2:$U$1001,3,FALSE)</f>
        <v>1992</v>
      </c>
      <c r="G2669" s="5" t="str">
        <f>vlookup(B2669,Filmes_final!$B$2:$U$1001,13,FALSE)</f>
        <v>John Woo</v>
      </c>
    </row>
    <row r="2670">
      <c r="A2670" s="5">
        <v>668.0</v>
      </c>
      <c r="B2670" s="5" t="s">
        <v>4021</v>
      </c>
      <c r="C2670" s="5" t="s">
        <v>2331</v>
      </c>
      <c r="D2670" s="5" t="s">
        <v>6634</v>
      </c>
      <c r="E2670" s="8">
        <f>vlookup(B2670,Filmes_final!$B$2:$U$1001,20,FALSE)</f>
        <v>3863451</v>
      </c>
      <c r="F2670" s="5">
        <f>vlookup(B2670,Filmes_final!$B$2:$U$1001,3,FALSE)</f>
        <v>1991</v>
      </c>
      <c r="G2670" s="5" t="str">
        <f>vlookup(B2670,Filmes_final!$B$2:$U$1001,13,FALSE)</f>
        <v>Jim Jarmusch</v>
      </c>
    </row>
    <row r="2671">
      <c r="A2671" s="5">
        <v>668.0</v>
      </c>
      <c r="B2671" s="5" t="s">
        <v>4021</v>
      </c>
      <c r="C2671" s="5" t="s">
        <v>2347</v>
      </c>
      <c r="D2671" s="5" t="s">
        <v>6635</v>
      </c>
      <c r="E2671" s="8">
        <f>vlookup(B2671,Filmes_final!$B$2:$U$1001,20,FALSE)</f>
        <v>3863451</v>
      </c>
      <c r="F2671" s="5">
        <f>vlookup(B2671,Filmes_final!$B$2:$U$1001,3,FALSE)</f>
        <v>1991</v>
      </c>
      <c r="G2671" s="5" t="str">
        <f>vlookup(B2671,Filmes_final!$B$2:$U$1001,13,FALSE)</f>
        <v>Jim Jarmusch</v>
      </c>
    </row>
    <row r="2672">
      <c r="A2672" s="5">
        <v>668.0</v>
      </c>
      <c r="B2672" s="5" t="s">
        <v>4021</v>
      </c>
      <c r="C2672" s="5" t="s">
        <v>4024</v>
      </c>
      <c r="D2672" s="5" t="s">
        <v>6636</v>
      </c>
      <c r="E2672" s="8">
        <f>vlookup(B2672,Filmes_final!$B$2:$U$1001,20,FALSE)</f>
        <v>3863451</v>
      </c>
      <c r="F2672" s="5">
        <f>vlookup(B2672,Filmes_final!$B$2:$U$1001,3,FALSE)</f>
        <v>1991</v>
      </c>
      <c r="G2672" s="5" t="str">
        <f>vlookup(B2672,Filmes_final!$B$2:$U$1001,13,FALSE)</f>
        <v>Jim Jarmusch</v>
      </c>
    </row>
    <row r="2673">
      <c r="A2673" s="5">
        <v>668.0</v>
      </c>
      <c r="B2673" s="5" t="s">
        <v>4021</v>
      </c>
      <c r="C2673" s="5" t="s">
        <v>4025</v>
      </c>
      <c r="D2673" s="5" t="s">
        <v>6637</v>
      </c>
      <c r="E2673" s="8">
        <f>vlookup(B2673,Filmes_final!$B$2:$U$1001,20,FALSE)</f>
        <v>3863451</v>
      </c>
      <c r="F2673" s="5">
        <f>vlookup(B2673,Filmes_final!$B$2:$U$1001,3,FALSE)</f>
        <v>1991</v>
      </c>
      <c r="G2673" s="5" t="str">
        <f>vlookup(B2673,Filmes_final!$B$2:$U$1001,13,FALSE)</f>
        <v>Jim Jarmusch</v>
      </c>
    </row>
    <row r="2674">
      <c r="A2674" s="5">
        <v>669.0</v>
      </c>
      <c r="B2674" s="5" t="s">
        <v>4026</v>
      </c>
      <c r="C2674" s="5" t="s">
        <v>1772</v>
      </c>
      <c r="D2674" s="5" t="s">
        <v>6634</v>
      </c>
      <c r="E2674" s="8">
        <f>vlookup(B2674,Filmes_final!$B$2:$U$1001,20,FALSE)</f>
        <v>3833064</v>
      </c>
      <c r="F2674" s="5">
        <f>vlookup(B2674,Filmes_final!$B$2:$U$1001,3,FALSE)</f>
        <v>1991</v>
      </c>
      <c r="G2674" s="5" t="str">
        <f>vlookup(B2674,Filmes_final!$B$2:$U$1001,13,FALSE)</f>
        <v>Krzysztof Kieslowski</v>
      </c>
    </row>
    <row r="2675">
      <c r="A2675" s="5">
        <v>669.0</v>
      </c>
      <c r="B2675" s="5" t="s">
        <v>4026</v>
      </c>
      <c r="C2675" s="5" t="s">
        <v>4028</v>
      </c>
      <c r="D2675" s="5" t="s">
        <v>6635</v>
      </c>
      <c r="E2675" s="8">
        <f>vlookup(B2675,Filmes_final!$B$2:$U$1001,20,FALSE)</f>
        <v>3833064</v>
      </c>
      <c r="F2675" s="5">
        <f>vlookup(B2675,Filmes_final!$B$2:$U$1001,3,FALSE)</f>
        <v>1991</v>
      </c>
      <c r="G2675" s="5" t="str">
        <f>vlookup(B2675,Filmes_final!$B$2:$U$1001,13,FALSE)</f>
        <v>Krzysztof Kieslowski</v>
      </c>
    </row>
    <row r="2676">
      <c r="A2676" s="5">
        <v>669.0</v>
      </c>
      <c r="B2676" s="5" t="s">
        <v>4026</v>
      </c>
      <c r="C2676" s="5" t="s">
        <v>4029</v>
      </c>
      <c r="D2676" s="5" t="s">
        <v>6636</v>
      </c>
      <c r="E2676" s="8">
        <f>vlookup(B2676,Filmes_final!$B$2:$U$1001,20,FALSE)</f>
        <v>3833064</v>
      </c>
      <c r="F2676" s="5">
        <f>vlookup(B2676,Filmes_final!$B$2:$U$1001,3,FALSE)</f>
        <v>1991</v>
      </c>
      <c r="G2676" s="5" t="str">
        <f>vlookup(B2676,Filmes_final!$B$2:$U$1001,13,FALSE)</f>
        <v>Krzysztof Kieslowski</v>
      </c>
    </row>
    <row r="2677">
      <c r="A2677" s="5">
        <v>669.0</v>
      </c>
      <c r="B2677" s="5" t="s">
        <v>4026</v>
      </c>
      <c r="C2677" s="5" t="s">
        <v>4030</v>
      </c>
      <c r="D2677" s="5" t="s">
        <v>6637</v>
      </c>
      <c r="E2677" s="8">
        <f>vlookup(B2677,Filmes_final!$B$2:$U$1001,20,FALSE)</f>
        <v>3833064</v>
      </c>
      <c r="F2677" s="5">
        <f>vlookup(B2677,Filmes_final!$B$2:$U$1001,3,FALSE)</f>
        <v>1991</v>
      </c>
      <c r="G2677" s="5" t="str">
        <f>vlookup(B2677,Filmes_final!$B$2:$U$1001,13,FALSE)</f>
        <v>Krzysztof Kieslowski</v>
      </c>
    </row>
    <row r="2678">
      <c r="A2678" s="5">
        <v>670.0</v>
      </c>
      <c r="B2678" s="5" t="s">
        <v>4031</v>
      </c>
      <c r="C2678" s="5" t="s">
        <v>4034</v>
      </c>
      <c r="D2678" s="5" t="s">
        <v>6634</v>
      </c>
      <c r="E2678" s="8">
        <f>vlookup(B2678,Filmes_final!$B$2:$U$1001,20,FALSE)</f>
        <v>110210863</v>
      </c>
      <c r="F2678" s="5">
        <f>vlookup(B2678,Filmes_final!$B$2:$U$1001,3,FALSE)</f>
        <v>1991</v>
      </c>
      <c r="G2678" s="5" t="str">
        <f>vlookup(B2678,Filmes_final!$B$2:$U$1001,13,FALSE)</f>
        <v>John Singleton</v>
      </c>
    </row>
    <row r="2679">
      <c r="A2679" s="5">
        <v>670.0</v>
      </c>
      <c r="B2679" s="5" t="s">
        <v>4031</v>
      </c>
      <c r="C2679" s="5" t="s">
        <v>133</v>
      </c>
      <c r="D2679" s="5" t="s">
        <v>6635</v>
      </c>
      <c r="E2679" s="8">
        <f>vlookup(B2679,Filmes_final!$B$2:$U$1001,20,FALSE)</f>
        <v>110210863</v>
      </c>
      <c r="F2679" s="5">
        <f>vlookup(B2679,Filmes_final!$B$2:$U$1001,3,FALSE)</f>
        <v>1991</v>
      </c>
      <c r="G2679" s="5" t="str">
        <f>vlookup(B2679,Filmes_final!$B$2:$U$1001,13,FALSE)</f>
        <v>John Singleton</v>
      </c>
    </row>
    <row r="2680">
      <c r="A2680" s="5">
        <v>670.0</v>
      </c>
      <c r="B2680" s="5" t="s">
        <v>4031</v>
      </c>
      <c r="C2680" s="5" t="s">
        <v>4035</v>
      </c>
      <c r="D2680" s="5" t="s">
        <v>6636</v>
      </c>
      <c r="E2680" s="8">
        <f>vlookup(B2680,Filmes_final!$B$2:$U$1001,20,FALSE)</f>
        <v>110210863</v>
      </c>
      <c r="F2680" s="5">
        <f>vlookup(B2680,Filmes_final!$B$2:$U$1001,3,FALSE)</f>
        <v>1991</v>
      </c>
      <c r="G2680" s="5" t="str">
        <f>vlookup(B2680,Filmes_final!$B$2:$U$1001,13,FALSE)</f>
        <v>John Singleton</v>
      </c>
    </row>
    <row r="2681">
      <c r="A2681" s="5">
        <v>670.0</v>
      </c>
      <c r="B2681" s="5" t="s">
        <v>4031</v>
      </c>
      <c r="C2681" s="5" t="s">
        <v>4036</v>
      </c>
      <c r="D2681" s="5" t="s">
        <v>6637</v>
      </c>
      <c r="E2681" s="8">
        <f>vlookup(B2681,Filmes_final!$B$2:$U$1001,20,FALSE)</f>
        <v>110210863</v>
      </c>
      <c r="F2681" s="5">
        <f>vlookup(B2681,Filmes_final!$B$2:$U$1001,3,FALSE)</f>
        <v>1991</v>
      </c>
      <c r="G2681" s="5" t="str">
        <f>vlookup(B2681,Filmes_final!$B$2:$U$1001,13,FALSE)</f>
        <v>John Singleton</v>
      </c>
    </row>
    <row r="2682">
      <c r="A2682" s="5">
        <v>671.0</v>
      </c>
      <c r="B2682" s="5" t="s">
        <v>4037</v>
      </c>
      <c r="C2682" s="5" t="s">
        <v>34</v>
      </c>
      <c r="D2682" s="5" t="s">
        <v>6634</v>
      </c>
      <c r="E2682" s="8">
        <f>vlookup(B2682,Filmes_final!$B$2:$U$1001,20,FALSE)</f>
        <v>124078932</v>
      </c>
      <c r="F2682" s="5">
        <f>vlookup(B2682,Filmes_final!$B$2:$U$1001,3,FALSE)</f>
        <v>1990</v>
      </c>
      <c r="G2682" s="5" t="str">
        <f>vlookup(B2682,Filmes_final!$B$2:$U$1001,13,FALSE)</f>
        <v>Rob Reiner</v>
      </c>
    </row>
    <row r="2683">
      <c r="A2683" s="5">
        <v>671.0</v>
      </c>
      <c r="B2683" s="5" t="s">
        <v>4037</v>
      </c>
      <c r="C2683" s="5" t="s">
        <v>3951</v>
      </c>
      <c r="D2683" s="5" t="s">
        <v>6635</v>
      </c>
      <c r="E2683" s="8">
        <f>vlookup(B2683,Filmes_final!$B$2:$U$1001,20,FALSE)</f>
        <v>124078932</v>
      </c>
      <c r="F2683" s="5">
        <f>vlookup(B2683,Filmes_final!$B$2:$U$1001,3,FALSE)</f>
        <v>1990</v>
      </c>
      <c r="G2683" s="5" t="str">
        <f>vlookup(B2683,Filmes_final!$B$2:$U$1001,13,FALSE)</f>
        <v>Rob Reiner</v>
      </c>
    </row>
    <row r="2684">
      <c r="A2684" s="5">
        <v>671.0</v>
      </c>
      <c r="B2684" s="5" t="s">
        <v>4037</v>
      </c>
      <c r="C2684" s="5" t="s">
        <v>2494</v>
      </c>
      <c r="D2684" s="5" t="s">
        <v>6636</v>
      </c>
      <c r="E2684" s="8">
        <f>vlookup(B2684,Filmes_final!$B$2:$U$1001,20,FALSE)</f>
        <v>124078932</v>
      </c>
      <c r="F2684" s="5">
        <f>vlookup(B2684,Filmes_final!$B$2:$U$1001,3,FALSE)</f>
        <v>1990</v>
      </c>
      <c r="G2684" s="5" t="str">
        <f>vlookup(B2684,Filmes_final!$B$2:$U$1001,13,FALSE)</f>
        <v>Rob Reiner</v>
      </c>
    </row>
    <row r="2685">
      <c r="A2685" s="5">
        <v>671.0</v>
      </c>
      <c r="B2685" s="5" t="s">
        <v>4037</v>
      </c>
      <c r="C2685" s="5" t="s">
        <v>4039</v>
      </c>
      <c r="D2685" s="5" t="s">
        <v>6637</v>
      </c>
      <c r="E2685" s="8">
        <f>vlookup(B2685,Filmes_final!$B$2:$U$1001,20,FALSE)</f>
        <v>124078932</v>
      </c>
      <c r="F2685" s="5">
        <f>vlookup(B2685,Filmes_final!$B$2:$U$1001,3,FALSE)</f>
        <v>1990</v>
      </c>
      <c r="G2685" s="5" t="str">
        <f>vlookup(B2685,Filmes_final!$B$2:$U$1001,13,FALSE)</f>
        <v>Rob Reiner</v>
      </c>
    </row>
    <row r="2686">
      <c r="A2686" s="5">
        <v>672.0</v>
      </c>
      <c r="B2686" s="5" t="s">
        <v>4040</v>
      </c>
      <c r="C2686" s="5" t="s">
        <v>49</v>
      </c>
      <c r="D2686" s="5" t="s">
        <v>6634</v>
      </c>
      <c r="E2686" s="8">
        <f>vlookup(B2686,Filmes_final!$B$2:$U$1001,20,FALSE)</f>
        <v>105489637</v>
      </c>
      <c r="F2686" s="5">
        <f>vlookup(B2686,Filmes_final!$B$2:$U$1001,3,FALSE)</f>
        <v>1990</v>
      </c>
      <c r="G2686" s="5" t="str">
        <f>vlookup(B2686,Filmes_final!$B$2:$U$1001,13,FALSE)</f>
        <v>Penny Marshall</v>
      </c>
    </row>
    <row r="2687">
      <c r="A2687" s="5">
        <v>672.0</v>
      </c>
      <c r="B2687" s="5" t="s">
        <v>4040</v>
      </c>
      <c r="C2687" s="5" t="s">
        <v>752</v>
      </c>
      <c r="D2687" s="5" t="s">
        <v>6635</v>
      </c>
      <c r="E2687" s="8">
        <f>vlookup(B2687,Filmes_final!$B$2:$U$1001,20,FALSE)</f>
        <v>105489637</v>
      </c>
      <c r="F2687" s="5">
        <f>vlookup(B2687,Filmes_final!$B$2:$U$1001,3,FALSE)</f>
        <v>1990</v>
      </c>
      <c r="G2687" s="5" t="str">
        <f>vlookup(B2687,Filmes_final!$B$2:$U$1001,13,FALSE)</f>
        <v>Penny Marshall</v>
      </c>
    </row>
    <row r="2688">
      <c r="A2688" s="5">
        <v>672.0</v>
      </c>
      <c r="B2688" s="5" t="s">
        <v>4040</v>
      </c>
      <c r="C2688" s="5" t="s">
        <v>4043</v>
      </c>
      <c r="D2688" s="5" t="s">
        <v>6636</v>
      </c>
      <c r="E2688" s="8">
        <f>vlookup(B2688,Filmes_final!$B$2:$U$1001,20,FALSE)</f>
        <v>105489637</v>
      </c>
      <c r="F2688" s="5">
        <f>vlookup(B2688,Filmes_final!$B$2:$U$1001,3,FALSE)</f>
        <v>1990</v>
      </c>
      <c r="G2688" s="5" t="str">
        <f>vlookup(B2688,Filmes_final!$B$2:$U$1001,13,FALSE)</f>
        <v>Penny Marshall</v>
      </c>
    </row>
    <row r="2689">
      <c r="A2689" s="5">
        <v>672.0</v>
      </c>
      <c r="B2689" s="5" t="s">
        <v>4040</v>
      </c>
      <c r="C2689" s="5" t="s">
        <v>4044</v>
      </c>
      <c r="D2689" s="5" t="s">
        <v>6637</v>
      </c>
      <c r="E2689" s="8">
        <f>vlookup(B2689,Filmes_final!$B$2:$U$1001,20,FALSE)</f>
        <v>105489637</v>
      </c>
      <c r="F2689" s="5">
        <f>vlookup(B2689,Filmes_final!$B$2:$U$1001,3,FALSE)</f>
        <v>1990</v>
      </c>
      <c r="G2689" s="5" t="str">
        <f>vlookup(B2689,Filmes_final!$B$2:$U$1001,13,FALSE)</f>
        <v>Penny Marshall</v>
      </c>
    </row>
    <row r="2690">
      <c r="A2690" s="5">
        <v>673.0</v>
      </c>
      <c r="B2690" s="5" t="s">
        <v>4045</v>
      </c>
      <c r="C2690" s="5" t="s">
        <v>4047</v>
      </c>
      <c r="D2690" s="5" t="s">
        <v>6634</v>
      </c>
      <c r="E2690" s="8">
        <f>vlookup(B2690,Filmes_final!$B$2:$U$1001,20,FALSE)</f>
        <v>21624017</v>
      </c>
      <c r="F2690" s="5">
        <f>vlookup(B2690,Filmes_final!$B$2:$U$1001,3,FALSE)</f>
        <v>1989</v>
      </c>
      <c r="G2690" s="5" t="str">
        <f>vlookup(B2690,Filmes_final!$B$2:$U$1001,13,FALSE)</f>
        <v>Hayao Miyazaki</v>
      </c>
    </row>
    <row r="2691">
      <c r="A2691" s="5">
        <v>673.0</v>
      </c>
      <c r="B2691" s="5" t="s">
        <v>4045</v>
      </c>
      <c r="C2691" s="5" t="s">
        <v>4048</v>
      </c>
      <c r="D2691" s="5" t="s">
        <v>6635</v>
      </c>
      <c r="E2691" s="8">
        <f>vlookup(B2691,Filmes_final!$B$2:$U$1001,20,FALSE)</f>
        <v>21624017</v>
      </c>
      <c r="F2691" s="5">
        <f>vlookup(B2691,Filmes_final!$B$2:$U$1001,3,FALSE)</f>
        <v>1989</v>
      </c>
      <c r="G2691" s="5" t="str">
        <f>vlookup(B2691,Filmes_final!$B$2:$U$1001,13,FALSE)</f>
        <v>Hayao Miyazaki</v>
      </c>
    </row>
    <row r="2692">
      <c r="A2692" s="5">
        <v>673.0</v>
      </c>
      <c r="B2692" s="5" t="s">
        <v>4045</v>
      </c>
      <c r="C2692" s="5" t="s">
        <v>4049</v>
      </c>
      <c r="D2692" s="5" t="s">
        <v>6636</v>
      </c>
      <c r="E2692" s="8">
        <f>vlookup(B2692,Filmes_final!$B$2:$U$1001,20,FALSE)</f>
        <v>21624017</v>
      </c>
      <c r="F2692" s="5">
        <f>vlookup(B2692,Filmes_final!$B$2:$U$1001,3,FALSE)</f>
        <v>1989</v>
      </c>
      <c r="G2692" s="5" t="str">
        <f>vlookup(B2692,Filmes_final!$B$2:$U$1001,13,FALSE)</f>
        <v>Hayao Miyazaki</v>
      </c>
    </row>
    <row r="2693">
      <c r="A2693" s="5">
        <v>673.0</v>
      </c>
      <c r="B2693" s="5" t="s">
        <v>4045</v>
      </c>
      <c r="C2693" s="5" t="s">
        <v>4050</v>
      </c>
      <c r="D2693" s="5" t="s">
        <v>6637</v>
      </c>
      <c r="E2693" s="8">
        <f>vlookup(B2693,Filmes_final!$B$2:$U$1001,20,FALSE)</f>
        <v>21624017</v>
      </c>
      <c r="F2693" s="5">
        <f>vlookup(B2693,Filmes_final!$B$2:$U$1001,3,FALSE)</f>
        <v>1989</v>
      </c>
      <c r="G2693" s="5" t="str">
        <f>vlookup(B2693,Filmes_final!$B$2:$U$1001,13,FALSE)</f>
        <v>Hayao Miyazaki</v>
      </c>
    </row>
    <row r="2694">
      <c r="A2694" s="5">
        <v>674.0</v>
      </c>
      <c r="B2694" s="5" t="s">
        <v>4051</v>
      </c>
      <c r="C2694" s="5" t="s">
        <v>356</v>
      </c>
      <c r="D2694" s="5" t="s">
        <v>6634</v>
      </c>
      <c r="E2694" s="8">
        <f>vlookup(B2694,Filmes_final!$B$2:$U$1001,20,FALSE)</f>
        <v>57154103</v>
      </c>
      <c r="F2694" s="5">
        <f>vlookup(B2694,Filmes_final!$B$2:$U$1001,3,FALSE)</f>
        <v>1989</v>
      </c>
      <c r="G2694" s="5" t="str">
        <f>vlookup(B2694,Filmes_final!$B$2:$U$1001,13,FALSE)</f>
        <v>Edward Zwick</v>
      </c>
    </row>
    <row r="2695">
      <c r="A2695" s="5">
        <v>674.0</v>
      </c>
      <c r="B2695" s="5" t="s">
        <v>4051</v>
      </c>
      <c r="C2695" s="5" t="s">
        <v>3799</v>
      </c>
      <c r="D2695" s="5" t="s">
        <v>6635</v>
      </c>
      <c r="E2695" s="8">
        <f>vlookup(B2695,Filmes_final!$B$2:$U$1001,20,FALSE)</f>
        <v>57154103</v>
      </c>
      <c r="F2695" s="5">
        <f>vlookup(B2695,Filmes_final!$B$2:$U$1001,3,FALSE)</f>
        <v>1989</v>
      </c>
      <c r="G2695" s="5" t="str">
        <f>vlookup(B2695,Filmes_final!$B$2:$U$1001,13,FALSE)</f>
        <v>Edward Zwick</v>
      </c>
    </row>
    <row r="2696">
      <c r="A2696" s="5">
        <v>674.0</v>
      </c>
      <c r="B2696" s="5" t="s">
        <v>4051</v>
      </c>
      <c r="C2696" s="5" t="s">
        <v>2631</v>
      </c>
      <c r="D2696" s="5" t="s">
        <v>6636</v>
      </c>
      <c r="E2696" s="8">
        <f>vlookup(B2696,Filmes_final!$B$2:$U$1001,20,FALSE)</f>
        <v>57154103</v>
      </c>
      <c r="F2696" s="5">
        <f>vlookup(B2696,Filmes_final!$B$2:$U$1001,3,FALSE)</f>
        <v>1989</v>
      </c>
      <c r="G2696" s="5" t="str">
        <f>vlookup(B2696,Filmes_final!$B$2:$U$1001,13,FALSE)</f>
        <v>Edward Zwick</v>
      </c>
    </row>
    <row r="2697">
      <c r="A2697" s="5">
        <v>674.0</v>
      </c>
      <c r="B2697" s="5" t="s">
        <v>4051</v>
      </c>
      <c r="C2697" s="5" t="s">
        <v>24</v>
      </c>
      <c r="D2697" s="5" t="s">
        <v>6637</v>
      </c>
      <c r="E2697" s="8">
        <f>vlookup(B2697,Filmes_final!$B$2:$U$1001,20,FALSE)</f>
        <v>57154103</v>
      </c>
      <c r="F2697" s="5">
        <f>vlookup(B2697,Filmes_final!$B$2:$U$1001,3,FALSE)</f>
        <v>1989</v>
      </c>
      <c r="G2697" s="5" t="str">
        <f>vlookup(B2697,Filmes_final!$B$2:$U$1001,13,FALSE)</f>
        <v>Edward Zwick</v>
      </c>
    </row>
    <row r="2698">
      <c r="A2698" s="5">
        <v>675.0</v>
      </c>
      <c r="B2698" s="5" t="s">
        <v>4053</v>
      </c>
      <c r="C2698" s="5" t="s">
        <v>3912</v>
      </c>
      <c r="D2698" s="5" t="s">
        <v>6634</v>
      </c>
      <c r="E2698" s="8">
        <f>vlookup(B2698,Filmes_final!$B$2:$U$1001,20,FALSE)</f>
        <v>4985646</v>
      </c>
      <c r="F2698" s="5">
        <f>vlookup(B2698,Filmes_final!$B$2:$U$1001,3,FALSE)</f>
        <v>1989</v>
      </c>
      <c r="G2698" s="5" t="str">
        <f>vlookup(B2698,Filmes_final!$B$2:$U$1001,13,FALSE)</f>
        <v>John Woo</v>
      </c>
    </row>
    <row r="2699">
      <c r="A2699" s="5">
        <v>675.0</v>
      </c>
      <c r="B2699" s="5" t="s">
        <v>4053</v>
      </c>
      <c r="C2699" s="5" t="s">
        <v>4055</v>
      </c>
      <c r="D2699" s="5" t="s">
        <v>6635</v>
      </c>
      <c r="E2699" s="8">
        <f>vlookup(B2699,Filmes_final!$B$2:$U$1001,20,FALSE)</f>
        <v>4985646</v>
      </c>
      <c r="F2699" s="5">
        <f>vlookup(B2699,Filmes_final!$B$2:$U$1001,3,FALSE)</f>
        <v>1989</v>
      </c>
      <c r="G2699" s="5" t="str">
        <f>vlookup(B2699,Filmes_final!$B$2:$U$1001,13,FALSE)</f>
        <v>John Woo</v>
      </c>
    </row>
    <row r="2700">
      <c r="A2700" s="5">
        <v>675.0</v>
      </c>
      <c r="B2700" s="5" t="s">
        <v>4053</v>
      </c>
      <c r="C2700" s="5" t="s">
        <v>4056</v>
      </c>
      <c r="D2700" s="5" t="s">
        <v>6636</v>
      </c>
      <c r="E2700" s="8">
        <f>vlookup(B2700,Filmes_final!$B$2:$U$1001,20,FALSE)</f>
        <v>4985646</v>
      </c>
      <c r="F2700" s="5">
        <f>vlookup(B2700,Filmes_final!$B$2:$U$1001,3,FALSE)</f>
        <v>1989</v>
      </c>
      <c r="G2700" s="5" t="str">
        <f>vlookup(B2700,Filmes_final!$B$2:$U$1001,13,FALSE)</f>
        <v>John Woo</v>
      </c>
    </row>
    <row r="2701">
      <c r="A2701" s="5">
        <v>675.0</v>
      </c>
      <c r="B2701" s="5" t="s">
        <v>4053</v>
      </c>
      <c r="C2701" s="5" t="s">
        <v>4057</v>
      </c>
      <c r="D2701" s="5" t="s">
        <v>6637</v>
      </c>
      <c r="E2701" s="8">
        <f>vlookup(B2701,Filmes_final!$B$2:$U$1001,20,FALSE)</f>
        <v>4985646</v>
      </c>
      <c r="F2701" s="5">
        <f>vlookup(B2701,Filmes_final!$B$2:$U$1001,3,FALSE)</f>
        <v>1989</v>
      </c>
      <c r="G2701" s="5" t="str">
        <f>vlookup(B2701,Filmes_final!$B$2:$U$1001,13,FALSE)</f>
        <v>John Woo</v>
      </c>
    </row>
    <row r="2702">
      <c r="A2702" s="5">
        <v>676.0</v>
      </c>
      <c r="B2702" s="5" t="s">
        <v>4058</v>
      </c>
      <c r="C2702" s="5" t="s">
        <v>385</v>
      </c>
      <c r="D2702" s="5" t="s">
        <v>6634</v>
      </c>
      <c r="E2702" s="8">
        <f>vlookup(B2702,Filmes_final!$B$2:$U$1001,20,FALSE)</f>
        <v>252432398</v>
      </c>
      <c r="F2702" s="5">
        <f>vlookup(B2702,Filmes_final!$B$2:$U$1001,3,FALSE)</f>
        <v>1989</v>
      </c>
      <c r="G2702" s="5" t="str">
        <f>vlookup(B2702,Filmes_final!$B$2:$U$1001,13,FALSE)</f>
        <v>Robert Zemeckis</v>
      </c>
    </row>
    <row r="2703">
      <c r="A2703" s="5">
        <v>676.0</v>
      </c>
      <c r="B2703" s="5" t="s">
        <v>4058</v>
      </c>
      <c r="C2703" s="5" t="s">
        <v>386</v>
      </c>
      <c r="D2703" s="5" t="s">
        <v>6635</v>
      </c>
      <c r="E2703" s="8">
        <f>vlookup(B2703,Filmes_final!$B$2:$U$1001,20,FALSE)</f>
        <v>252432398</v>
      </c>
      <c r="F2703" s="5">
        <f>vlookup(B2703,Filmes_final!$B$2:$U$1001,3,FALSE)</f>
        <v>1989</v>
      </c>
      <c r="G2703" s="5" t="str">
        <f>vlookup(B2703,Filmes_final!$B$2:$U$1001,13,FALSE)</f>
        <v>Robert Zemeckis</v>
      </c>
    </row>
    <row r="2704">
      <c r="A2704" s="5">
        <v>676.0</v>
      </c>
      <c r="B2704" s="5" t="s">
        <v>4058</v>
      </c>
      <c r="C2704" s="5" t="s">
        <v>387</v>
      </c>
      <c r="D2704" s="5" t="s">
        <v>6636</v>
      </c>
      <c r="E2704" s="8">
        <f>vlookup(B2704,Filmes_final!$B$2:$U$1001,20,FALSE)</f>
        <v>252432398</v>
      </c>
      <c r="F2704" s="5">
        <f>vlookup(B2704,Filmes_final!$B$2:$U$1001,3,FALSE)</f>
        <v>1989</v>
      </c>
      <c r="G2704" s="5" t="str">
        <f>vlookup(B2704,Filmes_final!$B$2:$U$1001,13,FALSE)</f>
        <v>Robert Zemeckis</v>
      </c>
    </row>
    <row r="2705">
      <c r="A2705" s="5">
        <v>676.0</v>
      </c>
      <c r="B2705" s="5" t="s">
        <v>4058</v>
      </c>
      <c r="C2705" s="5" t="s">
        <v>4060</v>
      </c>
      <c r="D2705" s="5" t="s">
        <v>6637</v>
      </c>
      <c r="E2705" s="8">
        <f>vlookup(B2705,Filmes_final!$B$2:$U$1001,20,FALSE)</f>
        <v>252432398</v>
      </c>
      <c r="F2705" s="5">
        <f>vlookup(B2705,Filmes_final!$B$2:$U$1001,3,FALSE)</f>
        <v>1989</v>
      </c>
      <c r="G2705" s="5" t="str">
        <f>vlookup(B2705,Filmes_final!$B$2:$U$1001,13,FALSE)</f>
        <v>Robert Zemeckis</v>
      </c>
    </row>
    <row r="2706">
      <c r="A2706" s="5">
        <v>677.0</v>
      </c>
      <c r="B2706" s="5" t="s">
        <v>4061</v>
      </c>
      <c r="C2706" s="5" t="s">
        <v>1191</v>
      </c>
      <c r="D2706" s="5" t="s">
        <v>6634</v>
      </c>
      <c r="E2706" s="8">
        <f>vlookup(B2706,Filmes_final!$B$2:$U$1001,20,FALSE)</f>
        <v>77154830</v>
      </c>
      <c r="F2706" s="5">
        <f>vlookup(B2706,Filmes_final!$B$2:$U$1001,3,FALSE)</f>
        <v>1988</v>
      </c>
      <c r="G2706" s="5" t="str">
        <f>vlookup(B2706,Filmes_final!$B$2:$U$1001,13,FALSE)</f>
        <v>Alan Parker</v>
      </c>
    </row>
    <row r="2707">
      <c r="A2707" s="5">
        <v>677.0</v>
      </c>
      <c r="B2707" s="5" t="s">
        <v>4061</v>
      </c>
      <c r="C2707" s="5" t="s">
        <v>1825</v>
      </c>
      <c r="D2707" s="5" t="s">
        <v>6635</v>
      </c>
      <c r="E2707" s="8">
        <f>vlookup(B2707,Filmes_final!$B$2:$U$1001,20,FALSE)</f>
        <v>77154830</v>
      </c>
      <c r="F2707" s="5">
        <f>vlookup(B2707,Filmes_final!$B$2:$U$1001,3,FALSE)</f>
        <v>1988</v>
      </c>
      <c r="G2707" s="5" t="str">
        <f>vlookup(B2707,Filmes_final!$B$2:$U$1001,13,FALSE)</f>
        <v>Alan Parker</v>
      </c>
    </row>
    <row r="2708">
      <c r="A2708" s="5">
        <v>677.0</v>
      </c>
      <c r="B2708" s="5" t="s">
        <v>4061</v>
      </c>
      <c r="C2708" s="5" t="s">
        <v>972</v>
      </c>
      <c r="D2708" s="5" t="s">
        <v>6636</v>
      </c>
      <c r="E2708" s="8">
        <f>vlookup(B2708,Filmes_final!$B$2:$U$1001,20,FALSE)</f>
        <v>77154830</v>
      </c>
      <c r="F2708" s="5">
        <f>vlookup(B2708,Filmes_final!$B$2:$U$1001,3,FALSE)</f>
        <v>1988</v>
      </c>
      <c r="G2708" s="5" t="str">
        <f>vlookup(B2708,Filmes_final!$B$2:$U$1001,13,FALSE)</f>
        <v>Alan Parker</v>
      </c>
    </row>
    <row r="2709">
      <c r="A2709" s="5">
        <v>677.0</v>
      </c>
      <c r="B2709" s="5" t="s">
        <v>4061</v>
      </c>
      <c r="C2709" s="5" t="s">
        <v>4064</v>
      </c>
      <c r="D2709" s="5" t="s">
        <v>6637</v>
      </c>
      <c r="E2709" s="8">
        <f>vlookup(B2709,Filmes_final!$B$2:$U$1001,20,FALSE)</f>
        <v>77154830</v>
      </c>
      <c r="F2709" s="5">
        <f>vlookup(B2709,Filmes_final!$B$2:$U$1001,3,FALSE)</f>
        <v>1988</v>
      </c>
      <c r="G2709" s="5" t="str">
        <f>vlookup(B2709,Filmes_final!$B$2:$U$1001,13,FALSE)</f>
        <v>Alan Parker</v>
      </c>
    </row>
    <row r="2710">
      <c r="A2710" s="5">
        <v>678.0</v>
      </c>
      <c r="B2710" s="5" t="s">
        <v>4065</v>
      </c>
      <c r="C2710" s="5" t="s">
        <v>363</v>
      </c>
      <c r="D2710" s="5" t="s">
        <v>6634</v>
      </c>
      <c r="E2710" s="8">
        <f>vlookup(B2710,Filmes_final!$B$2:$U$1001,20,FALSE)</f>
        <v>138579488</v>
      </c>
      <c r="F2710" s="5">
        <f>vlookup(B2710,Filmes_final!$B$2:$U$1001,3,FALSE)</f>
        <v>1987</v>
      </c>
      <c r="G2710" s="5" t="str">
        <f>vlookup(B2710,Filmes_final!$B$2:$U$1001,13,FALSE)</f>
        <v>John McTiernan</v>
      </c>
    </row>
    <row r="2711">
      <c r="A2711" s="5">
        <v>678.0</v>
      </c>
      <c r="B2711" s="5" t="s">
        <v>4065</v>
      </c>
      <c r="C2711" s="5" t="s">
        <v>1896</v>
      </c>
      <c r="D2711" s="5" t="s">
        <v>6635</v>
      </c>
      <c r="E2711" s="8">
        <f>vlookup(B2711,Filmes_final!$B$2:$U$1001,20,FALSE)</f>
        <v>138579488</v>
      </c>
      <c r="F2711" s="5">
        <f>vlookup(B2711,Filmes_final!$B$2:$U$1001,3,FALSE)</f>
        <v>1987</v>
      </c>
      <c r="G2711" s="5" t="str">
        <f>vlookup(B2711,Filmes_final!$B$2:$U$1001,13,FALSE)</f>
        <v>John McTiernan</v>
      </c>
    </row>
    <row r="2712">
      <c r="A2712" s="5">
        <v>678.0</v>
      </c>
      <c r="B2712" s="5" t="s">
        <v>4065</v>
      </c>
      <c r="C2712" s="5" t="s">
        <v>4067</v>
      </c>
      <c r="D2712" s="5" t="s">
        <v>6636</v>
      </c>
      <c r="E2712" s="8">
        <f>vlookup(B2712,Filmes_final!$B$2:$U$1001,20,FALSE)</f>
        <v>138579488</v>
      </c>
      <c r="F2712" s="5">
        <f>vlookup(B2712,Filmes_final!$B$2:$U$1001,3,FALSE)</f>
        <v>1987</v>
      </c>
      <c r="G2712" s="5" t="str">
        <f>vlookup(B2712,Filmes_final!$B$2:$U$1001,13,FALSE)</f>
        <v>John McTiernan</v>
      </c>
    </row>
    <row r="2713">
      <c r="A2713" s="5">
        <v>678.0</v>
      </c>
      <c r="B2713" s="5" t="s">
        <v>4065</v>
      </c>
      <c r="C2713" s="5" t="s">
        <v>4068</v>
      </c>
      <c r="D2713" s="5" t="s">
        <v>6637</v>
      </c>
      <c r="E2713" s="8">
        <f>vlookup(B2713,Filmes_final!$B$2:$U$1001,20,FALSE)</f>
        <v>138579488</v>
      </c>
      <c r="F2713" s="5">
        <f>vlookup(B2713,Filmes_final!$B$2:$U$1001,3,FALSE)</f>
        <v>1987</v>
      </c>
      <c r="G2713" s="5" t="str">
        <f>vlookup(B2713,Filmes_final!$B$2:$U$1001,13,FALSE)</f>
        <v>John McTiernan</v>
      </c>
    </row>
    <row r="2714">
      <c r="A2714" s="5">
        <v>679.0</v>
      </c>
      <c r="B2714" s="5" t="s">
        <v>4069</v>
      </c>
      <c r="C2714" s="5" t="s">
        <v>4073</v>
      </c>
      <c r="D2714" s="5" t="s">
        <v>6634</v>
      </c>
      <c r="E2714" s="8">
        <f>vlookup(B2714,Filmes_final!$B$2:$U$1001,20,FALSE)</f>
        <v>13740770</v>
      </c>
      <c r="F2714" s="5">
        <f>vlookup(B2714,Filmes_final!$B$2:$U$1001,3,FALSE)</f>
        <v>1987</v>
      </c>
      <c r="G2714" s="5" t="str">
        <f>vlookup(B2714,Filmes_final!$B$2:$U$1001,13,FALSE)</f>
        <v>Sam Raimi</v>
      </c>
    </row>
    <row r="2715">
      <c r="A2715" s="5">
        <v>679.0</v>
      </c>
      <c r="B2715" s="5" t="s">
        <v>4069</v>
      </c>
      <c r="C2715" s="5" t="s">
        <v>4074</v>
      </c>
      <c r="D2715" s="5" t="s">
        <v>6635</v>
      </c>
      <c r="E2715" s="8">
        <f>vlookup(B2715,Filmes_final!$B$2:$U$1001,20,FALSE)</f>
        <v>13740770</v>
      </c>
      <c r="F2715" s="5">
        <f>vlookup(B2715,Filmes_final!$B$2:$U$1001,3,FALSE)</f>
        <v>1987</v>
      </c>
      <c r="G2715" s="5" t="str">
        <f>vlookup(B2715,Filmes_final!$B$2:$U$1001,13,FALSE)</f>
        <v>Sam Raimi</v>
      </c>
    </row>
    <row r="2716">
      <c r="A2716" s="5">
        <v>679.0</v>
      </c>
      <c r="B2716" s="5" t="s">
        <v>4069</v>
      </c>
      <c r="C2716" s="5" t="s">
        <v>4075</v>
      </c>
      <c r="D2716" s="5" t="s">
        <v>6636</v>
      </c>
      <c r="E2716" s="8">
        <f>vlookup(B2716,Filmes_final!$B$2:$U$1001,20,FALSE)</f>
        <v>13740770</v>
      </c>
      <c r="F2716" s="5">
        <f>vlookup(B2716,Filmes_final!$B$2:$U$1001,3,FALSE)</f>
        <v>1987</v>
      </c>
      <c r="G2716" s="5" t="str">
        <f>vlookup(B2716,Filmes_final!$B$2:$U$1001,13,FALSE)</f>
        <v>Sam Raimi</v>
      </c>
    </row>
    <row r="2717">
      <c r="A2717" s="5">
        <v>679.0</v>
      </c>
      <c r="B2717" s="5" t="s">
        <v>4069</v>
      </c>
      <c r="C2717" s="5" t="s">
        <v>4076</v>
      </c>
      <c r="D2717" s="5" t="s">
        <v>6637</v>
      </c>
      <c r="E2717" s="8">
        <f>vlookup(B2717,Filmes_final!$B$2:$U$1001,20,FALSE)</f>
        <v>13740770</v>
      </c>
      <c r="F2717" s="5">
        <f>vlookup(B2717,Filmes_final!$B$2:$U$1001,3,FALSE)</f>
        <v>1987</v>
      </c>
      <c r="G2717" s="5" t="str">
        <f>vlookup(B2717,Filmes_final!$B$2:$U$1001,13,FALSE)</f>
        <v>Sam Raimi</v>
      </c>
    </row>
    <row r="2718">
      <c r="A2718" s="5">
        <v>680.0</v>
      </c>
      <c r="B2718" s="5" t="s">
        <v>4077</v>
      </c>
      <c r="C2718" s="5" t="s">
        <v>356</v>
      </c>
      <c r="D2718" s="5" t="s">
        <v>6634</v>
      </c>
      <c r="E2718" s="8">
        <f>vlookup(B2718,Filmes_final!$B$2:$U$1001,20,FALSE)</f>
        <v>165083479</v>
      </c>
      <c r="F2718" s="5">
        <f>vlookup(B2718,Filmes_final!$B$2:$U$1001,3,FALSE)</f>
        <v>1986</v>
      </c>
      <c r="G2718" s="5" t="str">
        <f>vlookup(B2718,Filmes_final!$B$2:$U$1001,13,FALSE)</f>
        <v>John Hughes</v>
      </c>
    </row>
    <row r="2719">
      <c r="A2719" s="5">
        <v>680.0</v>
      </c>
      <c r="B2719" s="5" t="s">
        <v>4077</v>
      </c>
      <c r="C2719" s="5" t="s">
        <v>4080</v>
      </c>
      <c r="D2719" s="5" t="s">
        <v>6635</v>
      </c>
      <c r="E2719" s="8">
        <f>vlookup(B2719,Filmes_final!$B$2:$U$1001,20,FALSE)</f>
        <v>165083479</v>
      </c>
      <c r="F2719" s="5">
        <f>vlookup(B2719,Filmes_final!$B$2:$U$1001,3,FALSE)</f>
        <v>1986</v>
      </c>
      <c r="G2719" s="5" t="str">
        <f>vlookup(B2719,Filmes_final!$B$2:$U$1001,13,FALSE)</f>
        <v>John Hughes</v>
      </c>
    </row>
    <row r="2720">
      <c r="A2720" s="5">
        <v>680.0</v>
      </c>
      <c r="B2720" s="5" t="s">
        <v>4077</v>
      </c>
      <c r="C2720" s="5" t="s">
        <v>4081</v>
      </c>
      <c r="D2720" s="5" t="s">
        <v>6636</v>
      </c>
      <c r="E2720" s="8">
        <f>vlookup(B2720,Filmes_final!$B$2:$U$1001,20,FALSE)</f>
        <v>165083479</v>
      </c>
      <c r="F2720" s="5">
        <f>vlookup(B2720,Filmes_final!$B$2:$U$1001,3,FALSE)</f>
        <v>1986</v>
      </c>
      <c r="G2720" s="5" t="str">
        <f>vlookup(B2720,Filmes_final!$B$2:$U$1001,13,FALSE)</f>
        <v>John Hughes</v>
      </c>
    </row>
    <row r="2721">
      <c r="A2721" s="5">
        <v>680.0</v>
      </c>
      <c r="B2721" s="5" t="s">
        <v>4077</v>
      </c>
      <c r="C2721" s="5" t="s">
        <v>4082</v>
      </c>
      <c r="D2721" s="5" t="s">
        <v>6637</v>
      </c>
      <c r="E2721" s="8">
        <f>vlookup(B2721,Filmes_final!$B$2:$U$1001,20,FALSE)</f>
        <v>165083479</v>
      </c>
      <c r="F2721" s="5">
        <f>vlookup(B2721,Filmes_final!$B$2:$U$1001,3,FALSE)</f>
        <v>1986</v>
      </c>
      <c r="G2721" s="5" t="str">
        <f>vlookup(B2721,Filmes_final!$B$2:$U$1001,13,FALSE)</f>
        <v>John Hughes</v>
      </c>
    </row>
    <row r="2722">
      <c r="A2722" s="5">
        <v>681.0</v>
      </c>
      <c r="B2722" s="5" t="s">
        <v>4083</v>
      </c>
      <c r="C2722" s="5" t="s">
        <v>4085</v>
      </c>
      <c r="D2722" s="5" t="s">
        <v>6634</v>
      </c>
      <c r="E2722" s="8">
        <f>vlookup(B2722,Filmes_final!$B$2:$U$1001,20,FALSE)</f>
        <v>3379985</v>
      </c>
      <c r="F2722" s="5">
        <f>vlookup(B2722,Filmes_final!$B$2:$U$1001,3,FALSE)</f>
        <v>1986</v>
      </c>
      <c r="G2722" s="5" t="str">
        <f>vlookup(B2722,Filmes_final!$B$2:$U$1001,13,FALSE)</f>
        <v>Jim Jarmusch</v>
      </c>
    </row>
    <row r="2723">
      <c r="A2723" s="5">
        <v>681.0</v>
      </c>
      <c r="B2723" s="5" t="s">
        <v>4083</v>
      </c>
      <c r="C2723" s="5" t="s">
        <v>4086</v>
      </c>
      <c r="D2723" s="5" t="s">
        <v>6635</v>
      </c>
      <c r="E2723" s="8">
        <f>vlookup(B2723,Filmes_final!$B$2:$U$1001,20,FALSE)</f>
        <v>3379985</v>
      </c>
      <c r="F2723" s="5">
        <f>vlookup(B2723,Filmes_final!$B$2:$U$1001,3,FALSE)</f>
        <v>1986</v>
      </c>
      <c r="G2723" s="5" t="str">
        <f>vlookup(B2723,Filmes_final!$B$2:$U$1001,13,FALSE)</f>
        <v>Jim Jarmusch</v>
      </c>
    </row>
    <row r="2724">
      <c r="A2724" s="5">
        <v>681.0</v>
      </c>
      <c r="B2724" s="5" t="s">
        <v>4083</v>
      </c>
      <c r="C2724" s="5" t="s">
        <v>229</v>
      </c>
      <c r="D2724" s="5" t="s">
        <v>6636</v>
      </c>
      <c r="E2724" s="8">
        <f>vlookup(B2724,Filmes_final!$B$2:$U$1001,20,FALSE)</f>
        <v>3379985</v>
      </c>
      <c r="F2724" s="5">
        <f>vlookup(B2724,Filmes_final!$B$2:$U$1001,3,FALSE)</f>
        <v>1986</v>
      </c>
      <c r="G2724" s="5" t="str">
        <f>vlookup(B2724,Filmes_final!$B$2:$U$1001,13,FALSE)</f>
        <v>Jim Jarmusch</v>
      </c>
    </row>
    <row r="2725">
      <c r="A2725" s="5">
        <v>681.0</v>
      </c>
      <c r="B2725" s="5" t="s">
        <v>4083</v>
      </c>
      <c r="C2725" s="5" t="s">
        <v>230</v>
      </c>
      <c r="D2725" s="5" t="s">
        <v>6637</v>
      </c>
      <c r="E2725" s="8">
        <f>vlookup(B2725,Filmes_final!$B$2:$U$1001,20,FALSE)</f>
        <v>3379985</v>
      </c>
      <c r="F2725" s="5">
        <f>vlookup(B2725,Filmes_final!$B$2:$U$1001,3,FALSE)</f>
        <v>1986</v>
      </c>
      <c r="G2725" s="5" t="str">
        <f>vlookup(B2725,Filmes_final!$B$2:$U$1001,13,FALSE)</f>
        <v>Jim Jarmusch</v>
      </c>
    </row>
    <row r="2726">
      <c r="A2726" s="5">
        <v>682.0</v>
      </c>
      <c r="B2726" s="5" t="s">
        <v>4087</v>
      </c>
      <c r="C2726" s="5" t="s">
        <v>4090</v>
      </c>
      <c r="D2726" s="5" t="s">
        <v>6634</v>
      </c>
      <c r="E2726" s="8">
        <f>vlookup(B2726,Filmes_final!$B$2:$U$1001,20,FALSE)</f>
        <v>150389068</v>
      </c>
      <c r="F2726" s="5">
        <f>vlookup(B2726,Filmes_final!$B$2:$U$1001,3,FALSE)</f>
        <v>1985</v>
      </c>
      <c r="G2726" s="5" t="str">
        <f>vlookup(B2726,Filmes_final!$B$2:$U$1001,13,FALSE)</f>
        <v>Richard Donner</v>
      </c>
    </row>
    <row r="2727">
      <c r="A2727" s="5">
        <v>682.0</v>
      </c>
      <c r="B2727" s="5" t="s">
        <v>4087</v>
      </c>
      <c r="C2727" s="5" t="s">
        <v>1616</v>
      </c>
      <c r="D2727" s="5" t="s">
        <v>6635</v>
      </c>
      <c r="E2727" s="8">
        <f>vlookup(B2727,Filmes_final!$B$2:$U$1001,20,FALSE)</f>
        <v>150389068</v>
      </c>
      <c r="F2727" s="5">
        <f>vlookup(B2727,Filmes_final!$B$2:$U$1001,3,FALSE)</f>
        <v>1985</v>
      </c>
      <c r="G2727" s="5" t="str">
        <f>vlookup(B2727,Filmes_final!$B$2:$U$1001,13,FALSE)</f>
        <v>Richard Donner</v>
      </c>
    </row>
    <row r="2728">
      <c r="A2728" s="5">
        <v>682.0</v>
      </c>
      <c r="B2728" s="5" t="s">
        <v>4087</v>
      </c>
      <c r="C2728" s="5" t="s">
        <v>4091</v>
      </c>
      <c r="D2728" s="5" t="s">
        <v>6636</v>
      </c>
      <c r="E2728" s="8">
        <f>vlookup(B2728,Filmes_final!$B$2:$U$1001,20,FALSE)</f>
        <v>150389068</v>
      </c>
      <c r="F2728" s="5">
        <f>vlookup(B2728,Filmes_final!$B$2:$U$1001,3,FALSE)</f>
        <v>1985</v>
      </c>
      <c r="G2728" s="5" t="str">
        <f>vlookup(B2728,Filmes_final!$B$2:$U$1001,13,FALSE)</f>
        <v>Richard Donner</v>
      </c>
    </row>
    <row r="2729">
      <c r="A2729" s="5">
        <v>682.0</v>
      </c>
      <c r="B2729" s="5" t="s">
        <v>4087</v>
      </c>
      <c r="C2729" s="5" t="s">
        <v>1818</v>
      </c>
      <c r="D2729" s="5" t="s">
        <v>6637</v>
      </c>
      <c r="E2729" s="8">
        <f>vlookup(B2729,Filmes_final!$B$2:$U$1001,20,FALSE)</f>
        <v>150389068</v>
      </c>
      <c r="F2729" s="5">
        <f>vlookup(B2729,Filmes_final!$B$2:$U$1001,3,FALSE)</f>
        <v>1985</v>
      </c>
      <c r="G2729" s="5" t="str">
        <f>vlookup(B2729,Filmes_final!$B$2:$U$1001,13,FALSE)</f>
        <v>Richard Donner</v>
      </c>
    </row>
    <row r="2730">
      <c r="A2730" s="5">
        <v>683.0</v>
      </c>
      <c r="B2730" s="5" t="s">
        <v>4092</v>
      </c>
      <c r="C2730" s="5" t="s">
        <v>4094</v>
      </c>
      <c r="D2730" s="5" t="s">
        <v>6634</v>
      </c>
      <c r="E2730" s="8">
        <f>vlookup(B2730,Filmes_final!$B$2:$U$1001,20,FALSE)</f>
        <v>240775859</v>
      </c>
      <c r="F2730" s="5">
        <f>vlookup(B2730,Filmes_final!$B$2:$U$1001,3,FALSE)</f>
        <v>1985</v>
      </c>
      <c r="G2730" s="5" t="str">
        <f>vlookup(B2730,Filmes_final!$B$2:$U$1001,13,FALSE)</f>
        <v>Steven Spielberg</v>
      </c>
    </row>
    <row r="2731">
      <c r="A2731" s="5">
        <v>683.0</v>
      </c>
      <c r="B2731" s="5" t="s">
        <v>4092</v>
      </c>
      <c r="C2731" s="5" t="s">
        <v>4095</v>
      </c>
      <c r="D2731" s="5" t="s">
        <v>6635</v>
      </c>
      <c r="E2731" s="8">
        <f>vlookup(B2731,Filmes_final!$B$2:$U$1001,20,FALSE)</f>
        <v>240775859</v>
      </c>
      <c r="F2731" s="5">
        <f>vlookup(B2731,Filmes_final!$B$2:$U$1001,3,FALSE)</f>
        <v>1985</v>
      </c>
      <c r="G2731" s="5" t="str">
        <f>vlookup(B2731,Filmes_final!$B$2:$U$1001,13,FALSE)</f>
        <v>Steven Spielberg</v>
      </c>
    </row>
    <row r="2732">
      <c r="A2732" s="5">
        <v>683.0</v>
      </c>
      <c r="B2732" s="5" t="s">
        <v>4092</v>
      </c>
      <c r="C2732" s="5" t="s">
        <v>4096</v>
      </c>
      <c r="D2732" s="5" t="s">
        <v>6636</v>
      </c>
      <c r="E2732" s="8">
        <f>vlookup(B2732,Filmes_final!$B$2:$U$1001,20,FALSE)</f>
        <v>240775859</v>
      </c>
      <c r="F2732" s="5">
        <f>vlookup(B2732,Filmes_final!$B$2:$U$1001,3,FALSE)</f>
        <v>1985</v>
      </c>
      <c r="G2732" s="5" t="str">
        <f>vlookup(B2732,Filmes_final!$B$2:$U$1001,13,FALSE)</f>
        <v>Steven Spielberg</v>
      </c>
    </row>
    <row r="2733">
      <c r="A2733" s="5">
        <v>683.0</v>
      </c>
      <c r="B2733" s="5" t="s">
        <v>4092</v>
      </c>
      <c r="C2733" s="5" t="s">
        <v>4097</v>
      </c>
      <c r="D2733" s="5" t="s">
        <v>6637</v>
      </c>
      <c r="E2733" s="8">
        <f>vlookup(B2733,Filmes_final!$B$2:$U$1001,20,FALSE)</f>
        <v>240775859</v>
      </c>
      <c r="F2733" s="5">
        <f>vlookup(B2733,Filmes_final!$B$2:$U$1001,3,FALSE)</f>
        <v>1985</v>
      </c>
      <c r="G2733" s="5" t="str">
        <f>vlookup(B2733,Filmes_final!$B$2:$U$1001,13,FALSE)</f>
        <v>Steven Spielberg</v>
      </c>
    </row>
    <row r="2734">
      <c r="A2734" s="5">
        <v>684.0</v>
      </c>
      <c r="B2734" s="5" t="s">
        <v>4098</v>
      </c>
      <c r="C2734" s="5" t="s">
        <v>4100</v>
      </c>
      <c r="D2734" s="5" t="s">
        <v>6634</v>
      </c>
      <c r="E2734" s="8">
        <f>vlookup(B2734,Filmes_final!$B$2:$U$1001,20,FALSE)</f>
        <v>112175012</v>
      </c>
      <c r="F2734" s="5">
        <f>vlookup(B2734,Filmes_final!$B$2:$U$1001,3,FALSE)</f>
        <v>1985</v>
      </c>
      <c r="G2734" s="5" t="str">
        <f>vlookup(B2734,Filmes_final!$B$2:$U$1001,13,FALSE)</f>
        <v>John Hughes</v>
      </c>
    </row>
    <row r="2735">
      <c r="A2735" s="5">
        <v>684.0</v>
      </c>
      <c r="B2735" s="5" t="s">
        <v>4098</v>
      </c>
      <c r="C2735" s="5" t="s">
        <v>4101</v>
      </c>
      <c r="D2735" s="5" t="s">
        <v>6635</v>
      </c>
      <c r="E2735" s="8">
        <f>vlookup(B2735,Filmes_final!$B$2:$U$1001,20,FALSE)</f>
        <v>112175012</v>
      </c>
      <c r="F2735" s="5">
        <f>vlookup(B2735,Filmes_final!$B$2:$U$1001,3,FALSE)</f>
        <v>1985</v>
      </c>
      <c r="G2735" s="5" t="str">
        <f>vlookup(B2735,Filmes_final!$B$2:$U$1001,13,FALSE)</f>
        <v>John Hughes</v>
      </c>
    </row>
    <row r="2736">
      <c r="A2736" s="5">
        <v>684.0</v>
      </c>
      <c r="B2736" s="5" t="s">
        <v>4098</v>
      </c>
      <c r="C2736" s="5" t="s">
        <v>4102</v>
      </c>
      <c r="D2736" s="5" t="s">
        <v>6636</v>
      </c>
      <c r="E2736" s="8">
        <f>vlookup(B2736,Filmes_final!$B$2:$U$1001,20,FALSE)</f>
        <v>112175012</v>
      </c>
      <c r="F2736" s="5">
        <f>vlookup(B2736,Filmes_final!$B$2:$U$1001,3,FALSE)</f>
        <v>1985</v>
      </c>
      <c r="G2736" s="5" t="str">
        <f>vlookup(B2736,Filmes_final!$B$2:$U$1001,13,FALSE)</f>
        <v>John Hughes</v>
      </c>
    </row>
    <row r="2737">
      <c r="A2737" s="5">
        <v>684.0</v>
      </c>
      <c r="B2737" s="5" t="s">
        <v>4098</v>
      </c>
      <c r="C2737" s="5" t="s">
        <v>4103</v>
      </c>
      <c r="D2737" s="5" t="s">
        <v>6637</v>
      </c>
      <c r="E2737" s="8">
        <f>vlookup(B2737,Filmes_final!$B$2:$U$1001,20,FALSE)</f>
        <v>112175012</v>
      </c>
      <c r="F2737" s="5">
        <f>vlookup(B2737,Filmes_final!$B$2:$U$1001,3,FALSE)</f>
        <v>1985</v>
      </c>
      <c r="G2737" s="5" t="str">
        <f>vlookup(B2737,Filmes_final!$B$2:$U$1001,13,FALSE)</f>
        <v>John Hughes</v>
      </c>
    </row>
    <row r="2738">
      <c r="A2738" s="5">
        <v>685.0</v>
      </c>
      <c r="B2738" s="5" t="s">
        <v>4104</v>
      </c>
      <c r="C2738" s="5" t="s">
        <v>4107</v>
      </c>
      <c r="D2738" s="5" t="s">
        <v>6634</v>
      </c>
      <c r="E2738" s="8">
        <f>vlookup(B2738,Filmes_final!$B$2:$U$1001,20,FALSE)</f>
        <v>87847584</v>
      </c>
      <c r="F2738" s="5">
        <f>vlookup(B2738,Filmes_final!$B$2:$U$1001,3,FALSE)</f>
        <v>1984</v>
      </c>
      <c r="G2738" s="5" t="str">
        <f>vlookup(B2738,Filmes_final!$B$2:$U$1001,13,FALSE)</f>
        <v>Roland Joffé</v>
      </c>
    </row>
    <row r="2739">
      <c r="A2739" s="5">
        <v>685.0</v>
      </c>
      <c r="B2739" s="5" t="s">
        <v>4104</v>
      </c>
      <c r="C2739" s="5" t="s">
        <v>4108</v>
      </c>
      <c r="D2739" s="5" t="s">
        <v>6635</v>
      </c>
      <c r="E2739" s="8">
        <f>vlookup(B2739,Filmes_final!$B$2:$U$1001,20,FALSE)</f>
        <v>87847584</v>
      </c>
      <c r="F2739" s="5">
        <f>vlookup(B2739,Filmes_final!$B$2:$U$1001,3,FALSE)</f>
        <v>1984</v>
      </c>
      <c r="G2739" s="5" t="str">
        <f>vlookup(B2739,Filmes_final!$B$2:$U$1001,13,FALSE)</f>
        <v>Roland Joffé</v>
      </c>
    </row>
    <row r="2740">
      <c r="A2740" s="5">
        <v>685.0</v>
      </c>
      <c r="B2740" s="5" t="s">
        <v>4104</v>
      </c>
      <c r="C2740" s="5" t="s">
        <v>4109</v>
      </c>
      <c r="D2740" s="5" t="s">
        <v>6636</v>
      </c>
      <c r="E2740" s="8">
        <f>vlookup(B2740,Filmes_final!$B$2:$U$1001,20,FALSE)</f>
        <v>87847584</v>
      </c>
      <c r="F2740" s="5">
        <f>vlookup(B2740,Filmes_final!$B$2:$U$1001,3,FALSE)</f>
        <v>1984</v>
      </c>
      <c r="G2740" s="5" t="str">
        <f>vlookup(B2740,Filmes_final!$B$2:$U$1001,13,FALSE)</f>
        <v>Roland Joffé</v>
      </c>
    </row>
    <row r="2741">
      <c r="A2741" s="5">
        <v>685.0</v>
      </c>
      <c r="B2741" s="5" t="s">
        <v>4104</v>
      </c>
      <c r="C2741" s="5" t="s">
        <v>4110</v>
      </c>
      <c r="D2741" s="5" t="s">
        <v>6637</v>
      </c>
      <c r="E2741" s="8">
        <f>vlookup(B2741,Filmes_final!$B$2:$U$1001,20,FALSE)</f>
        <v>87847584</v>
      </c>
      <c r="F2741" s="5">
        <f>vlookup(B2741,Filmes_final!$B$2:$U$1001,3,FALSE)</f>
        <v>1984</v>
      </c>
      <c r="G2741" s="5" t="str">
        <f>vlookup(B2741,Filmes_final!$B$2:$U$1001,13,FALSE)</f>
        <v>Roland Joffé</v>
      </c>
    </row>
    <row r="2742">
      <c r="A2742" s="5">
        <v>686.0</v>
      </c>
      <c r="B2742" s="5" t="s">
        <v>4111</v>
      </c>
      <c r="C2742" s="5" t="s">
        <v>2569</v>
      </c>
      <c r="D2742" s="5" t="s">
        <v>6634</v>
      </c>
      <c r="E2742" s="8">
        <f>vlookup(B2742,Filmes_final!$B$2:$U$1001,20,FALSE)</f>
        <v>604123333</v>
      </c>
      <c r="F2742" s="5">
        <f>vlookup(B2742,Filmes_final!$B$2:$U$1001,3,FALSE)</f>
        <v>1984</v>
      </c>
      <c r="G2742" s="5" t="str">
        <f>vlookup(B2742,Filmes_final!$B$2:$U$1001,13,FALSE)</f>
        <v>Ivan Reitman</v>
      </c>
    </row>
    <row r="2743">
      <c r="A2743" s="5">
        <v>686.0</v>
      </c>
      <c r="B2743" s="5" t="s">
        <v>4111</v>
      </c>
      <c r="C2743" s="5" t="s">
        <v>3311</v>
      </c>
      <c r="D2743" s="5" t="s">
        <v>6635</v>
      </c>
      <c r="E2743" s="8">
        <f>vlookup(B2743,Filmes_final!$B$2:$U$1001,20,FALSE)</f>
        <v>604123333</v>
      </c>
      <c r="F2743" s="5">
        <f>vlookup(B2743,Filmes_final!$B$2:$U$1001,3,FALSE)</f>
        <v>1984</v>
      </c>
      <c r="G2743" s="5" t="str">
        <f>vlookup(B2743,Filmes_final!$B$2:$U$1001,13,FALSE)</f>
        <v>Ivan Reitman</v>
      </c>
    </row>
    <row r="2744">
      <c r="A2744" s="5">
        <v>686.0</v>
      </c>
      <c r="B2744" s="5" t="s">
        <v>4111</v>
      </c>
      <c r="C2744" s="5" t="s">
        <v>583</v>
      </c>
      <c r="D2744" s="5" t="s">
        <v>6636</v>
      </c>
      <c r="E2744" s="8">
        <f>vlookup(B2744,Filmes_final!$B$2:$U$1001,20,FALSE)</f>
        <v>604123333</v>
      </c>
      <c r="F2744" s="5">
        <f>vlookup(B2744,Filmes_final!$B$2:$U$1001,3,FALSE)</f>
        <v>1984</v>
      </c>
      <c r="G2744" s="5" t="str">
        <f>vlookup(B2744,Filmes_final!$B$2:$U$1001,13,FALSE)</f>
        <v>Ivan Reitman</v>
      </c>
    </row>
    <row r="2745">
      <c r="A2745" s="5">
        <v>686.0</v>
      </c>
      <c r="B2745" s="5" t="s">
        <v>4111</v>
      </c>
      <c r="C2745" s="5" t="s">
        <v>2568</v>
      </c>
      <c r="D2745" s="5" t="s">
        <v>6637</v>
      </c>
      <c r="E2745" s="8">
        <f>vlookup(B2745,Filmes_final!$B$2:$U$1001,20,FALSE)</f>
        <v>604123333</v>
      </c>
      <c r="F2745" s="5">
        <f>vlookup(B2745,Filmes_final!$B$2:$U$1001,3,FALSE)</f>
        <v>1984</v>
      </c>
      <c r="G2745" s="5" t="str">
        <f>vlookup(B2745,Filmes_final!$B$2:$U$1001,13,FALSE)</f>
        <v>Ivan Reitman</v>
      </c>
    </row>
    <row r="2746">
      <c r="A2746" s="5">
        <v>687.0</v>
      </c>
      <c r="B2746" s="5" t="s">
        <v>4114</v>
      </c>
      <c r="C2746" s="5" t="s">
        <v>4118</v>
      </c>
      <c r="D2746" s="5" t="s">
        <v>6634</v>
      </c>
      <c r="E2746" s="8">
        <f>vlookup(B2746,Filmes_final!$B$2:$U$1001,20,FALSE)</f>
        <v>56711416</v>
      </c>
      <c r="F2746" s="5">
        <f>vlookup(B2746,Filmes_final!$B$2:$U$1001,3,FALSE)</f>
        <v>1983</v>
      </c>
      <c r="G2746" s="5" t="str">
        <f>vlookup(B2746,Filmes_final!$B$2:$U$1001,13,FALSE)</f>
        <v>Philip Kaufman</v>
      </c>
    </row>
    <row r="2747">
      <c r="A2747" s="5">
        <v>687.0</v>
      </c>
      <c r="B2747" s="5" t="s">
        <v>4114</v>
      </c>
      <c r="C2747" s="5" t="s">
        <v>4119</v>
      </c>
      <c r="D2747" s="5" t="s">
        <v>6635</v>
      </c>
      <c r="E2747" s="8">
        <f>vlookup(B2747,Filmes_final!$B$2:$U$1001,20,FALSE)</f>
        <v>56711416</v>
      </c>
      <c r="F2747" s="5">
        <f>vlookup(B2747,Filmes_final!$B$2:$U$1001,3,FALSE)</f>
        <v>1983</v>
      </c>
      <c r="G2747" s="5" t="str">
        <f>vlookup(B2747,Filmes_final!$B$2:$U$1001,13,FALSE)</f>
        <v>Philip Kaufman</v>
      </c>
    </row>
    <row r="2748">
      <c r="A2748" s="5">
        <v>687.0</v>
      </c>
      <c r="B2748" s="5" t="s">
        <v>4114</v>
      </c>
      <c r="C2748" s="5" t="s">
        <v>1151</v>
      </c>
      <c r="D2748" s="5" t="s">
        <v>6636</v>
      </c>
      <c r="E2748" s="8">
        <f>vlookup(B2748,Filmes_final!$B$2:$U$1001,20,FALSE)</f>
        <v>56711416</v>
      </c>
      <c r="F2748" s="5">
        <f>vlookup(B2748,Filmes_final!$B$2:$U$1001,3,FALSE)</f>
        <v>1983</v>
      </c>
      <c r="G2748" s="5" t="str">
        <f>vlookup(B2748,Filmes_final!$B$2:$U$1001,13,FALSE)</f>
        <v>Philip Kaufman</v>
      </c>
    </row>
    <row r="2749">
      <c r="A2749" s="5">
        <v>687.0</v>
      </c>
      <c r="B2749" s="5" t="s">
        <v>4114</v>
      </c>
      <c r="C2749" s="5" t="s">
        <v>4120</v>
      </c>
      <c r="D2749" s="5" t="s">
        <v>6637</v>
      </c>
      <c r="E2749" s="8">
        <f>vlookup(B2749,Filmes_final!$B$2:$U$1001,20,FALSE)</f>
        <v>56711416</v>
      </c>
      <c r="F2749" s="5">
        <f>vlookup(B2749,Filmes_final!$B$2:$U$1001,3,FALSE)</f>
        <v>1983</v>
      </c>
      <c r="G2749" s="5" t="str">
        <f>vlookup(B2749,Filmes_final!$B$2:$U$1001,13,FALSE)</f>
        <v>Philip Kaufman</v>
      </c>
    </row>
    <row r="2750">
      <c r="A2750" s="5">
        <v>688.0</v>
      </c>
      <c r="B2750" s="5" t="s">
        <v>4121</v>
      </c>
      <c r="C2750" s="5" t="s">
        <v>49</v>
      </c>
      <c r="D2750" s="5" t="s">
        <v>6634</v>
      </c>
      <c r="E2750" s="8">
        <f>vlookup(B2750,Filmes_final!$B$2:$U$1001,20,FALSE)</f>
        <v>6839104</v>
      </c>
      <c r="F2750" s="5">
        <f>vlookup(B2750,Filmes_final!$B$2:$U$1001,3,FALSE)</f>
        <v>1982</v>
      </c>
      <c r="G2750" s="5" t="str">
        <f>vlookup(B2750,Filmes_final!$B$2:$U$1001,13,FALSE)</f>
        <v>Martin Scorsese</v>
      </c>
    </row>
    <row r="2751">
      <c r="A2751" s="5">
        <v>688.0</v>
      </c>
      <c r="B2751" s="5" t="s">
        <v>4121</v>
      </c>
      <c r="C2751" s="5" t="s">
        <v>4123</v>
      </c>
      <c r="D2751" s="5" t="s">
        <v>6635</v>
      </c>
      <c r="E2751" s="8">
        <f>vlookup(B2751,Filmes_final!$B$2:$U$1001,20,FALSE)</f>
        <v>6839104</v>
      </c>
      <c r="F2751" s="5">
        <f>vlookup(B2751,Filmes_final!$B$2:$U$1001,3,FALSE)</f>
        <v>1982</v>
      </c>
      <c r="G2751" s="5" t="str">
        <f>vlookup(B2751,Filmes_final!$B$2:$U$1001,13,FALSE)</f>
        <v>Martin Scorsese</v>
      </c>
    </row>
    <row r="2752">
      <c r="A2752" s="5">
        <v>688.0</v>
      </c>
      <c r="B2752" s="5" t="s">
        <v>4121</v>
      </c>
      <c r="C2752" s="5" t="s">
        <v>4124</v>
      </c>
      <c r="D2752" s="5" t="s">
        <v>6636</v>
      </c>
      <c r="E2752" s="8">
        <f>vlookup(B2752,Filmes_final!$B$2:$U$1001,20,FALSE)</f>
        <v>6839104</v>
      </c>
      <c r="F2752" s="5">
        <f>vlookup(B2752,Filmes_final!$B$2:$U$1001,3,FALSE)</f>
        <v>1982</v>
      </c>
      <c r="G2752" s="5" t="str">
        <f>vlookup(B2752,Filmes_final!$B$2:$U$1001,13,FALSE)</f>
        <v>Martin Scorsese</v>
      </c>
    </row>
    <row r="2753">
      <c r="A2753" s="5">
        <v>688.0</v>
      </c>
      <c r="B2753" s="5" t="s">
        <v>4121</v>
      </c>
      <c r="C2753" s="5" t="s">
        <v>4125</v>
      </c>
      <c r="D2753" s="5" t="s">
        <v>6637</v>
      </c>
      <c r="E2753" s="8">
        <f>vlookup(B2753,Filmes_final!$B$2:$U$1001,20,FALSE)</f>
        <v>6839104</v>
      </c>
      <c r="F2753" s="5">
        <f>vlookup(B2753,Filmes_final!$B$2:$U$1001,3,FALSE)</f>
        <v>1982</v>
      </c>
      <c r="G2753" s="5" t="str">
        <f>vlookup(B2753,Filmes_final!$B$2:$U$1001,13,FALSE)</f>
        <v>Martin Scorsese</v>
      </c>
    </row>
    <row r="2754">
      <c r="A2754" s="5">
        <v>689.0</v>
      </c>
      <c r="B2754" s="5" t="s">
        <v>4126</v>
      </c>
      <c r="C2754" s="5" t="s">
        <v>4129</v>
      </c>
      <c r="D2754" s="5" t="s">
        <v>6634</v>
      </c>
      <c r="E2754" s="8">
        <f>vlookup(B2754,Filmes_final!$B$2:$U$1001,20,FALSE)</f>
        <v>1190306519</v>
      </c>
      <c r="F2754" s="5">
        <f>vlookup(B2754,Filmes_final!$B$2:$U$1001,3,FALSE)</f>
        <v>1982</v>
      </c>
      <c r="G2754" s="5" t="str">
        <f>vlookup(B2754,Filmes_final!$B$2:$U$1001,13,FALSE)</f>
        <v>Steven Spielberg</v>
      </c>
    </row>
    <row r="2755">
      <c r="A2755" s="5">
        <v>689.0</v>
      </c>
      <c r="B2755" s="5" t="s">
        <v>4126</v>
      </c>
      <c r="C2755" s="5" t="s">
        <v>4130</v>
      </c>
      <c r="D2755" s="5" t="s">
        <v>6635</v>
      </c>
      <c r="E2755" s="8">
        <f>vlookup(B2755,Filmes_final!$B$2:$U$1001,20,FALSE)</f>
        <v>1190306519</v>
      </c>
      <c r="F2755" s="5">
        <f>vlookup(B2755,Filmes_final!$B$2:$U$1001,3,FALSE)</f>
        <v>1982</v>
      </c>
      <c r="G2755" s="5" t="str">
        <f>vlookup(B2755,Filmes_final!$B$2:$U$1001,13,FALSE)</f>
        <v>Steven Spielberg</v>
      </c>
    </row>
    <row r="2756">
      <c r="A2756" s="5">
        <v>689.0</v>
      </c>
      <c r="B2756" s="5" t="s">
        <v>4126</v>
      </c>
      <c r="C2756" s="5" t="s">
        <v>4131</v>
      </c>
      <c r="D2756" s="5" t="s">
        <v>6636</v>
      </c>
      <c r="E2756" s="8">
        <f>vlookup(B2756,Filmes_final!$B$2:$U$1001,20,FALSE)</f>
        <v>1190306519</v>
      </c>
      <c r="F2756" s="5">
        <f>vlookup(B2756,Filmes_final!$B$2:$U$1001,3,FALSE)</f>
        <v>1982</v>
      </c>
      <c r="G2756" s="5" t="str">
        <f>vlookup(B2756,Filmes_final!$B$2:$U$1001,13,FALSE)</f>
        <v>Steven Spielberg</v>
      </c>
    </row>
    <row r="2757">
      <c r="A2757" s="5">
        <v>689.0</v>
      </c>
      <c r="B2757" s="5" t="s">
        <v>4126</v>
      </c>
      <c r="C2757" s="5" t="s">
        <v>4132</v>
      </c>
      <c r="D2757" s="5" t="s">
        <v>6637</v>
      </c>
      <c r="E2757" s="8">
        <f>vlookup(B2757,Filmes_final!$B$2:$U$1001,20,FALSE)</f>
        <v>1190306519</v>
      </c>
      <c r="F2757" s="5">
        <f>vlookup(B2757,Filmes_final!$B$2:$U$1001,3,FALSE)</f>
        <v>1982</v>
      </c>
      <c r="G2757" s="5" t="str">
        <f>vlookup(B2757,Filmes_final!$B$2:$U$1001,13,FALSE)</f>
        <v>Steven Spielberg</v>
      </c>
    </row>
    <row r="2758">
      <c r="A2758" s="5">
        <v>690.0</v>
      </c>
      <c r="B2758" s="5" t="s">
        <v>4133</v>
      </c>
      <c r="C2758" s="5" t="s">
        <v>2618</v>
      </c>
      <c r="D2758" s="5" t="s">
        <v>6634</v>
      </c>
      <c r="E2758" s="8">
        <f>vlookup(B2758,Filmes_final!$B$2:$U$1001,20,FALSE)</f>
        <v>401346976</v>
      </c>
      <c r="F2758" s="5">
        <f>vlookup(B2758,Filmes_final!$B$2:$U$1001,3,FALSE)</f>
        <v>1979</v>
      </c>
      <c r="G2758" s="5" t="str">
        <f>vlookup(B2758,Filmes_final!$B$2:$U$1001,13,FALSE)</f>
        <v>Robert Benton</v>
      </c>
    </row>
    <row r="2759">
      <c r="A2759" s="5">
        <v>690.0</v>
      </c>
      <c r="B2759" s="5" t="s">
        <v>4133</v>
      </c>
      <c r="C2759" s="5" t="s">
        <v>3136</v>
      </c>
      <c r="D2759" s="5" t="s">
        <v>6635</v>
      </c>
      <c r="E2759" s="8">
        <f>vlookup(B2759,Filmes_final!$B$2:$U$1001,20,FALSE)</f>
        <v>401346976</v>
      </c>
      <c r="F2759" s="5">
        <f>vlookup(B2759,Filmes_final!$B$2:$U$1001,3,FALSE)</f>
        <v>1979</v>
      </c>
      <c r="G2759" s="5" t="str">
        <f>vlookup(B2759,Filmes_final!$B$2:$U$1001,13,FALSE)</f>
        <v>Robert Benton</v>
      </c>
    </row>
    <row r="2760">
      <c r="A2760" s="5">
        <v>690.0</v>
      </c>
      <c r="B2760" s="5" t="s">
        <v>4133</v>
      </c>
      <c r="C2760" s="5" t="s">
        <v>4136</v>
      </c>
      <c r="D2760" s="5" t="s">
        <v>6636</v>
      </c>
      <c r="E2760" s="8">
        <f>vlookup(B2760,Filmes_final!$B$2:$U$1001,20,FALSE)</f>
        <v>401346976</v>
      </c>
      <c r="F2760" s="5">
        <f>vlookup(B2760,Filmes_final!$B$2:$U$1001,3,FALSE)</f>
        <v>1979</v>
      </c>
      <c r="G2760" s="5" t="str">
        <f>vlookup(B2760,Filmes_final!$B$2:$U$1001,13,FALSE)</f>
        <v>Robert Benton</v>
      </c>
    </row>
    <row r="2761">
      <c r="A2761" s="5">
        <v>690.0</v>
      </c>
      <c r="B2761" s="5" t="s">
        <v>4133</v>
      </c>
      <c r="C2761" s="5" t="s">
        <v>4137</v>
      </c>
      <c r="D2761" s="5" t="s">
        <v>6637</v>
      </c>
      <c r="E2761" s="8">
        <f>vlookup(B2761,Filmes_final!$B$2:$U$1001,20,FALSE)</f>
        <v>401346976</v>
      </c>
      <c r="F2761" s="5">
        <f>vlookup(B2761,Filmes_final!$B$2:$U$1001,3,FALSE)</f>
        <v>1979</v>
      </c>
      <c r="G2761" s="5" t="str">
        <f>vlookup(B2761,Filmes_final!$B$2:$U$1001,13,FALSE)</f>
        <v>Robert Benton</v>
      </c>
    </row>
    <row r="2762">
      <c r="A2762" s="5">
        <v>691.0</v>
      </c>
      <c r="B2762" s="5" t="s">
        <v>4138</v>
      </c>
      <c r="C2762" s="5" t="s">
        <v>1583</v>
      </c>
      <c r="D2762" s="5" t="s">
        <v>6634</v>
      </c>
      <c r="E2762" s="8">
        <f>vlookup(B2762,Filmes_final!$B$2:$U$1001,20,FALSE)</f>
        <v>14226581</v>
      </c>
      <c r="F2762" s="5">
        <f>vlookup(B2762,Filmes_final!$B$2:$U$1001,3,FALSE)</f>
        <v>1978</v>
      </c>
      <c r="G2762" s="5" t="str">
        <f>vlookup(B2762,Filmes_final!$B$2:$U$1001,13,FALSE)</f>
        <v>Terrence Malick</v>
      </c>
    </row>
    <row r="2763">
      <c r="A2763" s="5">
        <v>691.0</v>
      </c>
      <c r="B2763" s="5" t="s">
        <v>4138</v>
      </c>
      <c r="C2763" s="5" t="s">
        <v>4141</v>
      </c>
      <c r="D2763" s="5" t="s">
        <v>6635</v>
      </c>
      <c r="E2763" s="8">
        <f>vlookup(B2763,Filmes_final!$B$2:$U$1001,20,FALSE)</f>
        <v>14226581</v>
      </c>
      <c r="F2763" s="5">
        <f>vlookup(B2763,Filmes_final!$B$2:$U$1001,3,FALSE)</f>
        <v>1978</v>
      </c>
      <c r="G2763" s="5" t="str">
        <f>vlookup(B2763,Filmes_final!$B$2:$U$1001,13,FALSE)</f>
        <v>Terrence Malick</v>
      </c>
    </row>
    <row r="2764">
      <c r="A2764" s="5">
        <v>691.0</v>
      </c>
      <c r="B2764" s="5" t="s">
        <v>4138</v>
      </c>
      <c r="C2764" s="5" t="s">
        <v>4118</v>
      </c>
      <c r="D2764" s="5" t="s">
        <v>6636</v>
      </c>
      <c r="E2764" s="8">
        <f>vlookup(B2764,Filmes_final!$B$2:$U$1001,20,FALSE)</f>
        <v>14226581</v>
      </c>
      <c r="F2764" s="5">
        <f>vlookup(B2764,Filmes_final!$B$2:$U$1001,3,FALSE)</f>
        <v>1978</v>
      </c>
      <c r="G2764" s="5" t="str">
        <f>vlookup(B2764,Filmes_final!$B$2:$U$1001,13,FALSE)</f>
        <v>Terrence Malick</v>
      </c>
    </row>
    <row r="2765">
      <c r="A2765" s="5">
        <v>691.0</v>
      </c>
      <c r="B2765" s="5" t="s">
        <v>4138</v>
      </c>
      <c r="C2765" s="5" t="s">
        <v>4142</v>
      </c>
      <c r="D2765" s="5" t="s">
        <v>6637</v>
      </c>
      <c r="E2765" s="8">
        <f>vlookup(B2765,Filmes_final!$B$2:$U$1001,20,FALSE)</f>
        <v>14226581</v>
      </c>
      <c r="F2765" s="5">
        <f>vlookup(B2765,Filmes_final!$B$2:$U$1001,3,FALSE)</f>
        <v>1978</v>
      </c>
      <c r="G2765" s="5" t="str">
        <f>vlookup(B2765,Filmes_final!$B$2:$U$1001,13,FALSE)</f>
        <v>Terrence Malick</v>
      </c>
    </row>
    <row r="2766">
      <c r="A2766" s="5">
        <v>692.0</v>
      </c>
      <c r="B2766" s="5" t="s">
        <v>4143</v>
      </c>
      <c r="C2766" s="5" t="s">
        <v>119</v>
      </c>
      <c r="D2766" s="5" t="s">
        <v>6634</v>
      </c>
      <c r="E2766" s="8">
        <f>vlookup(B2766,Filmes_final!$B$2:$U$1001,20,FALSE)</f>
        <v>147544565</v>
      </c>
      <c r="F2766" s="5">
        <f>vlookup(B2766,Filmes_final!$B$2:$U$1001,3,FALSE)</f>
        <v>1976</v>
      </c>
      <c r="G2766" s="5" t="str">
        <f>vlookup(B2766,Filmes_final!$B$2:$U$1001,13,FALSE)</f>
        <v>Clint Eastwood</v>
      </c>
    </row>
    <row r="2767">
      <c r="A2767" s="5">
        <v>692.0</v>
      </c>
      <c r="B2767" s="5" t="s">
        <v>4143</v>
      </c>
      <c r="C2767" s="5" t="s">
        <v>4145</v>
      </c>
      <c r="D2767" s="5" t="s">
        <v>6635</v>
      </c>
      <c r="E2767" s="8">
        <f>vlookup(B2767,Filmes_final!$B$2:$U$1001,20,FALSE)</f>
        <v>147544565</v>
      </c>
      <c r="F2767" s="5">
        <f>vlookup(B2767,Filmes_final!$B$2:$U$1001,3,FALSE)</f>
        <v>1976</v>
      </c>
      <c r="G2767" s="5" t="str">
        <f>vlookup(B2767,Filmes_final!$B$2:$U$1001,13,FALSE)</f>
        <v>Clint Eastwood</v>
      </c>
    </row>
    <row r="2768">
      <c r="A2768" s="5">
        <v>692.0</v>
      </c>
      <c r="B2768" s="5" t="s">
        <v>4143</v>
      </c>
      <c r="C2768" s="5" t="s">
        <v>4146</v>
      </c>
      <c r="D2768" s="5" t="s">
        <v>6636</v>
      </c>
      <c r="E2768" s="8">
        <f>vlookup(B2768,Filmes_final!$B$2:$U$1001,20,FALSE)</f>
        <v>147544565</v>
      </c>
      <c r="F2768" s="5">
        <f>vlookup(B2768,Filmes_final!$B$2:$U$1001,3,FALSE)</f>
        <v>1976</v>
      </c>
      <c r="G2768" s="5" t="str">
        <f>vlookup(B2768,Filmes_final!$B$2:$U$1001,13,FALSE)</f>
        <v>Clint Eastwood</v>
      </c>
    </row>
    <row r="2769">
      <c r="A2769" s="5">
        <v>692.0</v>
      </c>
      <c r="B2769" s="5" t="s">
        <v>4143</v>
      </c>
      <c r="C2769" s="5" t="s">
        <v>4147</v>
      </c>
      <c r="D2769" s="5" t="s">
        <v>6637</v>
      </c>
      <c r="E2769" s="8">
        <f>vlookup(B2769,Filmes_final!$B$2:$U$1001,20,FALSE)</f>
        <v>147544565</v>
      </c>
      <c r="F2769" s="5">
        <f>vlookup(B2769,Filmes_final!$B$2:$U$1001,3,FALSE)</f>
        <v>1976</v>
      </c>
      <c r="G2769" s="5" t="str">
        <f>vlookup(B2769,Filmes_final!$B$2:$U$1001,13,FALSE)</f>
        <v>Clint Eastwood</v>
      </c>
    </row>
    <row r="2770">
      <c r="A2770" s="5">
        <v>693.0</v>
      </c>
      <c r="B2770" s="5" t="s">
        <v>4148</v>
      </c>
      <c r="C2770" s="5" t="s">
        <v>1195</v>
      </c>
      <c r="D2770" s="5" t="s">
        <v>6634</v>
      </c>
      <c r="E2770" s="8">
        <f>vlookup(B2770,Filmes_final!$B$2:$U$1001,20,FALSE)</f>
        <v>62775</v>
      </c>
      <c r="F2770" s="5">
        <f>vlookup(B2770,Filmes_final!$B$2:$U$1001,3,FALSE)</f>
        <v>1975</v>
      </c>
      <c r="G2770" s="5" t="str">
        <f>vlookup(B2770,Filmes_final!$B$2:$U$1001,13,FALSE)</f>
        <v>John Huston</v>
      </c>
    </row>
    <row r="2771">
      <c r="A2771" s="5">
        <v>693.0</v>
      </c>
      <c r="B2771" s="5" t="s">
        <v>4148</v>
      </c>
      <c r="C2771" s="5" t="s">
        <v>45</v>
      </c>
      <c r="D2771" s="5" t="s">
        <v>6635</v>
      </c>
      <c r="E2771" s="8">
        <f>vlookup(B2771,Filmes_final!$B$2:$U$1001,20,FALSE)</f>
        <v>62775</v>
      </c>
      <c r="F2771" s="5">
        <f>vlookup(B2771,Filmes_final!$B$2:$U$1001,3,FALSE)</f>
        <v>1975</v>
      </c>
      <c r="G2771" s="5" t="str">
        <f>vlookup(B2771,Filmes_final!$B$2:$U$1001,13,FALSE)</f>
        <v>John Huston</v>
      </c>
    </row>
    <row r="2772">
      <c r="A2772" s="5">
        <v>693.0</v>
      </c>
      <c r="B2772" s="5" t="s">
        <v>4148</v>
      </c>
      <c r="C2772" s="5" t="s">
        <v>1152</v>
      </c>
      <c r="D2772" s="5" t="s">
        <v>6636</v>
      </c>
      <c r="E2772" s="8">
        <f>vlookup(B2772,Filmes_final!$B$2:$U$1001,20,FALSE)</f>
        <v>62775</v>
      </c>
      <c r="F2772" s="5">
        <f>vlookup(B2772,Filmes_final!$B$2:$U$1001,3,FALSE)</f>
        <v>1975</v>
      </c>
      <c r="G2772" s="5" t="str">
        <f>vlookup(B2772,Filmes_final!$B$2:$U$1001,13,FALSE)</f>
        <v>John Huston</v>
      </c>
    </row>
    <row r="2773">
      <c r="A2773" s="5">
        <v>693.0</v>
      </c>
      <c r="B2773" s="5" t="s">
        <v>4148</v>
      </c>
      <c r="C2773" s="5" t="s">
        <v>4151</v>
      </c>
      <c r="D2773" s="5" t="s">
        <v>6637</v>
      </c>
      <c r="E2773" s="8">
        <f>vlookup(B2773,Filmes_final!$B$2:$U$1001,20,FALSE)</f>
        <v>62775</v>
      </c>
      <c r="F2773" s="5">
        <f>vlookup(B2773,Filmes_final!$B$2:$U$1001,3,FALSE)</f>
        <v>1975</v>
      </c>
      <c r="G2773" s="5" t="str">
        <f>vlookup(B2773,Filmes_final!$B$2:$U$1001,13,FALSE)</f>
        <v>John Huston</v>
      </c>
    </row>
    <row r="2774">
      <c r="A2774" s="5">
        <v>694.0</v>
      </c>
      <c r="B2774" s="5" t="s">
        <v>4152</v>
      </c>
      <c r="C2774" s="5" t="s">
        <v>1191</v>
      </c>
      <c r="D2774" s="5" t="s">
        <v>6634</v>
      </c>
      <c r="E2774" s="8">
        <f>vlookup(B2774,Filmes_final!$B$2:$U$1001,20,FALSE)</f>
        <v>24468494</v>
      </c>
      <c r="F2774" s="5">
        <f>vlookup(B2774,Filmes_final!$B$2:$U$1001,3,FALSE)</f>
        <v>1974</v>
      </c>
      <c r="G2774" s="5" t="str">
        <f>vlookup(B2774,Filmes_final!$B$2:$U$1001,13,FALSE)</f>
        <v>Francis Ford Coppola</v>
      </c>
    </row>
    <row r="2775">
      <c r="A2775" s="5">
        <v>694.0</v>
      </c>
      <c r="B2775" s="5" t="s">
        <v>4152</v>
      </c>
      <c r="C2775" s="5" t="s">
        <v>1888</v>
      </c>
      <c r="D2775" s="5" t="s">
        <v>6635</v>
      </c>
      <c r="E2775" s="8">
        <f>vlookup(B2775,Filmes_final!$B$2:$U$1001,20,FALSE)</f>
        <v>24468494</v>
      </c>
      <c r="F2775" s="5">
        <f>vlookup(B2775,Filmes_final!$B$2:$U$1001,3,FALSE)</f>
        <v>1974</v>
      </c>
      <c r="G2775" s="5" t="str">
        <f>vlookup(B2775,Filmes_final!$B$2:$U$1001,13,FALSE)</f>
        <v>Francis Ford Coppola</v>
      </c>
    </row>
    <row r="2776">
      <c r="A2776" s="5">
        <v>694.0</v>
      </c>
      <c r="B2776" s="5" t="s">
        <v>4152</v>
      </c>
      <c r="C2776" s="5" t="s">
        <v>4154</v>
      </c>
      <c r="D2776" s="5" t="s">
        <v>6636</v>
      </c>
      <c r="E2776" s="8">
        <f>vlookup(B2776,Filmes_final!$B$2:$U$1001,20,FALSE)</f>
        <v>24468494</v>
      </c>
      <c r="F2776" s="5">
        <f>vlookup(B2776,Filmes_final!$B$2:$U$1001,3,FALSE)</f>
        <v>1974</v>
      </c>
      <c r="G2776" s="5" t="str">
        <f>vlookup(B2776,Filmes_final!$B$2:$U$1001,13,FALSE)</f>
        <v>Francis Ford Coppola</v>
      </c>
    </row>
    <row r="2777">
      <c r="A2777" s="5">
        <v>694.0</v>
      </c>
      <c r="B2777" s="5" t="s">
        <v>4152</v>
      </c>
      <c r="C2777" s="5" t="s">
        <v>579</v>
      </c>
      <c r="D2777" s="5" t="s">
        <v>6637</v>
      </c>
      <c r="E2777" s="8">
        <f>vlookup(B2777,Filmes_final!$B$2:$U$1001,20,FALSE)</f>
        <v>24468494</v>
      </c>
      <c r="F2777" s="5">
        <f>vlookup(B2777,Filmes_final!$B$2:$U$1001,3,FALSE)</f>
        <v>1974</v>
      </c>
      <c r="G2777" s="5" t="str">
        <f>vlookup(B2777,Filmes_final!$B$2:$U$1001,13,FALSE)</f>
        <v>Francis Ford Coppola</v>
      </c>
    </row>
    <row r="2778">
      <c r="A2778" s="5">
        <v>695.0</v>
      </c>
      <c r="B2778" s="5" t="s">
        <v>4155</v>
      </c>
      <c r="C2778" s="5" t="s">
        <v>4159</v>
      </c>
      <c r="D2778" s="5" t="s">
        <v>6634</v>
      </c>
      <c r="E2778" s="8">
        <f>vlookup(B2778,Filmes_final!$B$2:$U$1001,20,FALSE)</f>
        <v>1173689</v>
      </c>
      <c r="F2778" s="5">
        <f>vlookup(B2778,Filmes_final!$B$2:$U$1001,3,FALSE)</f>
        <v>1973</v>
      </c>
      <c r="G2778" s="5" t="str">
        <f>vlookup(B2778,Filmes_final!$B$2:$U$1001,13,FALSE)</f>
        <v>René Laloux</v>
      </c>
    </row>
    <row r="2779">
      <c r="A2779" s="5">
        <v>695.0</v>
      </c>
      <c r="B2779" s="5" t="s">
        <v>4155</v>
      </c>
      <c r="C2779" s="5" t="s">
        <v>4160</v>
      </c>
      <c r="D2779" s="5" t="s">
        <v>6635</v>
      </c>
      <c r="E2779" s="8">
        <f>vlookup(B2779,Filmes_final!$B$2:$U$1001,20,FALSE)</f>
        <v>1173689</v>
      </c>
      <c r="F2779" s="5">
        <f>vlookup(B2779,Filmes_final!$B$2:$U$1001,3,FALSE)</f>
        <v>1973</v>
      </c>
      <c r="G2779" s="5" t="str">
        <f>vlookup(B2779,Filmes_final!$B$2:$U$1001,13,FALSE)</f>
        <v>René Laloux</v>
      </c>
    </row>
    <row r="2780">
      <c r="A2780" s="5">
        <v>695.0</v>
      </c>
      <c r="B2780" s="5" t="s">
        <v>4155</v>
      </c>
      <c r="C2780" s="5" t="s">
        <v>4161</v>
      </c>
      <c r="D2780" s="5" t="s">
        <v>6636</v>
      </c>
      <c r="E2780" s="8">
        <f>vlookup(B2780,Filmes_final!$B$2:$U$1001,20,FALSE)</f>
        <v>1173689</v>
      </c>
      <c r="F2780" s="5">
        <f>vlookup(B2780,Filmes_final!$B$2:$U$1001,3,FALSE)</f>
        <v>1973</v>
      </c>
      <c r="G2780" s="5" t="str">
        <f>vlookup(B2780,Filmes_final!$B$2:$U$1001,13,FALSE)</f>
        <v>René Laloux</v>
      </c>
    </row>
    <row r="2781">
      <c r="A2781" s="5">
        <v>695.0</v>
      </c>
      <c r="B2781" s="5" t="s">
        <v>4155</v>
      </c>
      <c r="C2781" s="5" t="s">
        <v>4162</v>
      </c>
      <c r="D2781" s="5" t="s">
        <v>6637</v>
      </c>
      <c r="E2781" s="8">
        <f>vlookup(B2781,Filmes_final!$B$2:$U$1001,20,FALSE)</f>
        <v>1173689</v>
      </c>
      <c r="F2781" s="5">
        <f>vlookup(B2781,Filmes_final!$B$2:$U$1001,3,FALSE)</f>
        <v>1973</v>
      </c>
      <c r="G2781" s="5" t="str">
        <f>vlookup(B2781,Filmes_final!$B$2:$U$1001,13,FALSE)</f>
        <v>René Laloux</v>
      </c>
    </row>
    <row r="2782">
      <c r="A2782" s="5">
        <v>696.0</v>
      </c>
      <c r="B2782" s="5" t="s">
        <v>4163</v>
      </c>
      <c r="C2782" s="5" t="s">
        <v>4165</v>
      </c>
      <c r="D2782" s="5" t="s">
        <v>6634</v>
      </c>
      <c r="E2782" s="8">
        <f>vlookup(B2782,Filmes_final!$B$2:$U$1001,20,FALSE)</f>
        <v>97231177</v>
      </c>
      <c r="F2782" s="5">
        <f>vlookup(B2782,Filmes_final!$B$2:$U$1001,3,FALSE)</f>
        <v>1973</v>
      </c>
      <c r="G2782" s="5" t="str">
        <f>vlookup(B2782,Filmes_final!$B$2:$U$1001,13,FALSE)</f>
        <v>Fred Zinnemann</v>
      </c>
    </row>
    <row r="2783">
      <c r="A2783" s="5">
        <v>696.0</v>
      </c>
      <c r="B2783" s="5" t="s">
        <v>4163</v>
      </c>
      <c r="C2783" s="5" t="s">
        <v>4166</v>
      </c>
      <c r="D2783" s="5" t="s">
        <v>6635</v>
      </c>
      <c r="E2783" s="8">
        <f>vlookup(B2783,Filmes_final!$B$2:$U$1001,20,FALSE)</f>
        <v>97231177</v>
      </c>
      <c r="F2783" s="5">
        <f>vlookup(B2783,Filmes_final!$B$2:$U$1001,3,FALSE)</f>
        <v>1973</v>
      </c>
      <c r="G2783" s="5" t="str">
        <f>vlookup(B2783,Filmes_final!$B$2:$U$1001,13,FALSE)</f>
        <v>Fred Zinnemann</v>
      </c>
    </row>
    <row r="2784">
      <c r="A2784" s="5">
        <v>696.0</v>
      </c>
      <c r="B2784" s="5" t="s">
        <v>4163</v>
      </c>
      <c r="C2784" s="5" t="s">
        <v>4167</v>
      </c>
      <c r="D2784" s="5" t="s">
        <v>6636</v>
      </c>
      <c r="E2784" s="8">
        <f>vlookup(B2784,Filmes_final!$B$2:$U$1001,20,FALSE)</f>
        <v>97231177</v>
      </c>
      <c r="F2784" s="5">
        <f>vlookup(B2784,Filmes_final!$B$2:$U$1001,3,FALSE)</f>
        <v>1973</v>
      </c>
      <c r="G2784" s="5" t="str">
        <f>vlookup(B2784,Filmes_final!$B$2:$U$1001,13,FALSE)</f>
        <v>Fred Zinnemann</v>
      </c>
    </row>
    <row r="2785">
      <c r="A2785" s="5">
        <v>696.0</v>
      </c>
      <c r="B2785" s="5" t="s">
        <v>4163</v>
      </c>
      <c r="C2785" s="5" t="s">
        <v>4168</v>
      </c>
      <c r="D2785" s="5" t="s">
        <v>6637</v>
      </c>
      <c r="E2785" s="8">
        <f>vlookup(B2785,Filmes_final!$B$2:$U$1001,20,FALSE)</f>
        <v>97231177</v>
      </c>
      <c r="F2785" s="5">
        <f>vlookup(B2785,Filmes_final!$B$2:$U$1001,3,FALSE)</f>
        <v>1973</v>
      </c>
      <c r="G2785" s="5" t="str">
        <f>vlookup(B2785,Filmes_final!$B$2:$U$1001,13,FALSE)</f>
        <v>Fred Zinnemann</v>
      </c>
    </row>
    <row r="2786">
      <c r="A2786" s="5">
        <v>697.0</v>
      </c>
      <c r="B2786" s="5" t="s">
        <v>4169</v>
      </c>
      <c r="C2786" s="5" t="s">
        <v>578</v>
      </c>
      <c r="D2786" s="5" t="s">
        <v>6634</v>
      </c>
      <c r="E2786" s="8">
        <f>vlookup(B2786,Filmes_final!$B$2:$U$1001,20,FALSE)</f>
        <v>0</v>
      </c>
      <c r="F2786" s="5">
        <f>vlookup(B2786,Filmes_final!$B$2:$U$1001,3,FALSE)</f>
        <v>1973</v>
      </c>
      <c r="G2786" s="5" t="str">
        <f>vlookup(B2786,Filmes_final!$B$2:$U$1001,13,FALSE)</f>
        <v>Terrence Malick</v>
      </c>
    </row>
    <row r="2787">
      <c r="A2787" s="5">
        <v>697.0</v>
      </c>
      <c r="B2787" s="5" t="s">
        <v>4169</v>
      </c>
      <c r="C2787" s="5" t="s">
        <v>2495</v>
      </c>
      <c r="D2787" s="5" t="s">
        <v>6635</v>
      </c>
      <c r="E2787" s="8">
        <f>vlookup(B2787,Filmes_final!$B$2:$U$1001,20,FALSE)</f>
        <v>0</v>
      </c>
      <c r="F2787" s="5">
        <f>vlookup(B2787,Filmes_final!$B$2:$U$1001,3,FALSE)</f>
        <v>1973</v>
      </c>
      <c r="G2787" s="5" t="str">
        <f>vlookup(B2787,Filmes_final!$B$2:$U$1001,13,FALSE)</f>
        <v>Terrence Malick</v>
      </c>
    </row>
    <row r="2788">
      <c r="A2788" s="5">
        <v>697.0</v>
      </c>
      <c r="B2788" s="5" t="s">
        <v>4169</v>
      </c>
      <c r="C2788" s="5" t="s">
        <v>3390</v>
      </c>
      <c r="D2788" s="5" t="s">
        <v>6636</v>
      </c>
      <c r="E2788" s="8">
        <f>vlookup(B2788,Filmes_final!$B$2:$U$1001,20,FALSE)</f>
        <v>0</v>
      </c>
      <c r="F2788" s="5">
        <f>vlookup(B2788,Filmes_final!$B$2:$U$1001,3,FALSE)</f>
        <v>1973</v>
      </c>
      <c r="G2788" s="5" t="str">
        <f>vlookup(B2788,Filmes_final!$B$2:$U$1001,13,FALSE)</f>
        <v>Terrence Malick</v>
      </c>
    </row>
    <row r="2789">
      <c r="A2789" s="5">
        <v>697.0</v>
      </c>
      <c r="B2789" s="5" t="s">
        <v>4169</v>
      </c>
      <c r="C2789" s="5" t="s">
        <v>4171</v>
      </c>
      <c r="D2789" s="5" t="s">
        <v>6637</v>
      </c>
      <c r="E2789" s="8">
        <f>vlookup(B2789,Filmes_final!$B$2:$U$1001,20,FALSE)</f>
        <v>0</v>
      </c>
      <c r="F2789" s="5">
        <f>vlookup(B2789,Filmes_final!$B$2:$U$1001,3,FALSE)</f>
        <v>1973</v>
      </c>
      <c r="G2789" s="5" t="str">
        <f>vlookup(B2789,Filmes_final!$B$2:$U$1001,13,FALSE)</f>
        <v>Terrence Malick</v>
      </c>
    </row>
    <row r="2790">
      <c r="A2790" s="5">
        <v>698.0</v>
      </c>
      <c r="B2790" s="5" t="s">
        <v>4172</v>
      </c>
      <c r="C2790" s="5" t="s">
        <v>4174</v>
      </c>
      <c r="D2790" s="5" t="s">
        <v>6634</v>
      </c>
      <c r="E2790" s="8">
        <f>vlookup(B2790,Filmes_final!$B$2:$U$1001,20,FALSE)</f>
        <v>268421650</v>
      </c>
      <c r="F2790" s="5">
        <f>vlookup(B2790,Filmes_final!$B$2:$U$1001,3,FALSE)</f>
        <v>1972</v>
      </c>
      <c r="G2790" s="5" t="str">
        <f>vlookup(B2790,Filmes_final!$B$2:$U$1001,13,FALSE)</f>
        <v>Bob Fosse</v>
      </c>
    </row>
    <row r="2791">
      <c r="A2791" s="5">
        <v>698.0</v>
      </c>
      <c r="B2791" s="5" t="s">
        <v>4172</v>
      </c>
      <c r="C2791" s="5" t="s">
        <v>4175</v>
      </c>
      <c r="D2791" s="5" t="s">
        <v>6635</v>
      </c>
      <c r="E2791" s="8">
        <f>vlookup(B2791,Filmes_final!$B$2:$U$1001,20,FALSE)</f>
        <v>268421650</v>
      </c>
      <c r="F2791" s="5">
        <f>vlookup(B2791,Filmes_final!$B$2:$U$1001,3,FALSE)</f>
        <v>1972</v>
      </c>
      <c r="G2791" s="5" t="str">
        <f>vlookup(B2791,Filmes_final!$B$2:$U$1001,13,FALSE)</f>
        <v>Bob Fosse</v>
      </c>
    </row>
    <row r="2792">
      <c r="A2792" s="5">
        <v>698.0</v>
      </c>
      <c r="B2792" s="5" t="s">
        <v>4172</v>
      </c>
      <c r="C2792" s="5" t="s">
        <v>4176</v>
      </c>
      <c r="D2792" s="5" t="s">
        <v>6636</v>
      </c>
      <c r="E2792" s="8">
        <f>vlookup(B2792,Filmes_final!$B$2:$U$1001,20,FALSE)</f>
        <v>268421650</v>
      </c>
      <c r="F2792" s="5">
        <f>vlookup(B2792,Filmes_final!$B$2:$U$1001,3,FALSE)</f>
        <v>1972</v>
      </c>
      <c r="G2792" s="5" t="str">
        <f>vlookup(B2792,Filmes_final!$B$2:$U$1001,13,FALSE)</f>
        <v>Bob Fosse</v>
      </c>
    </row>
    <row r="2793">
      <c r="A2793" s="5">
        <v>698.0</v>
      </c>
      <c r="B2793" s="5" t="s">
        <v>4172</v>
      </c>
      <c r="C2793" s="5" t="s">
        <v>4177</v>
      </c>
      <c r="D2793" s="5" t="s">
        <v>6637</v>
      </c>
      <c r="E2793" s="8">
        <f>vlookup(B2793,Filmes_final!$B$2:$U$1001,20,FALSE)</f>
        <v>268421650</v>
      </c>
      <c r="F2793" s="5">
        <f>vlookup(B2793,Filmes_final!$B$2:$U$1001,3,FALSE)</f>
        <v>1972</v>
      </c>
      <c r="G2793" s="5" t="str">
        <f>vlookup(B2793,Filmes_final!$B$2:$U$1001,13,FALSE)</f>
        <v>Bob Fosse</v>
      </c>
    </row>
    <row r="2794">
      <c r="A2794" s="5">
        <v>699.0</v>
      </c>
      <c r="B2794" s="5" t="s">
        <v>4178</v>
      </c>
      <c r="C2794" s="5" t="s">
        <v>2687</v>
      </c>
      <c r="D2794" s="5" t="s">
        <v>6634</v>
      </c>
      <c r="E2794" s="8">
        <f>vlookup(B2794,Filmes_final!$B$2:$U$1001,20,FALSE)</f>
        <v>25926734</v>
      </c>
      <c r="F2794" s="5">
        <f>vlookup(B2794,Filmes_final!$B$2:$U$1001,3,FALSE)</f>
        <v>1971</v>
      </c>
      <c r="G2794" s="5" t="str">
        <f>vlookup(B2794,Filmes_final!$B$2:$U$1001,13,FALSE)</f>
        <v>Mel Stuart</v>
      </c>
    </row>
    <row r="2795">
      <c r="A2795" s="5">
        <v>699.0</v>
      </c>
      <c r="B2795" s="5" t="s">
        <v>4178</v>
      </c>
      <c r="C2795" s="5" t="s">
        <v>4182</v>
      </c>
      <c r="D2795" s="5" t="s">
        <v>6635</v>
      </c>
      <c r="E2795" s="8">
        <f>vlookup(B2795,Filmes_final!$B$2:$U$1001,20,FALSE)</f>
        <v>25926734</v>
      </c>
      <c r="F2795" s="5">
        <f>vlookup(B2795,Filmes_final!$B$2:$U$1001,3,FALSE)</f>
        <v>1971</v>
      </c>
      <c r="G2795" s="5" t="str">
        <f>vlookup(B2795,Filmes_final!$B$2:$U$1001,13,FALSE)</f>
        <v>Mel Stuart</v>
      </c>
    </row>
    <row r="2796">
      <c r="A2796" s="5">
        <v>699.0</v>
      </c>
      <c r="B2796" s="5" t="s">
        <v>4178</v>
      </c>
      <c r="C2796" s="5" t="s">
        <v>4183</v>
      </c>
      <c r="D2796" s="5" t="s">
        <v>6636</v>
      </c>
      <c r="E2796" s="8">
        <f>vlookup(B2796,Filmes_final!$B$2:$U$1001,20,FALSE)</f>
        <v>25926734</v>
      </c>
      <c r="F2796" s="5">
        <f>vlookup(B2796,Filmes_final!$B$2:$U$1001,3,FALSE)</f>
        <v>1971</v>
      </c>
      <c r="G2796" s="5" t="str">
        <f>vlookup(B2796,Filmes_final!$B$2:$U$1001,13,FALSE)</f>
        <v>Mel Stuart</v>
      </c>
    </row>
    <row r="2797">
      <c r="A2797" s="5">
        <v>699.0</v>
      </c>
      <c r="B2797" s="5" t="s">
        <v>4178</v>
      </c>
      <c r="C2797" s="5" t="s">
        <v>4184</v>
      </c>
      <c r="D2797" s="5" t="s">
        <v>6637</v>
      </c>
      <c r="E2797" s="8">
        <f>vlookup(B2797,Filmes_final!$B$2:$U$1001,20,FALSE)</f>
        <v>25926734</v>
      </c>
      <c r="F2797" s="5">
        <f>vlookup(B2797,Filmes_final!$B$2:$U$1001,3,FALSE)</f>
        <v>1971</v>
      </c>
      <c r="G2797" s="5" t="str">
        <f>vlookup(B2797,Filmes_final!$B$2:$U$1001,13,FALSE)</f>
        <v>Mel Stuart</v>
      </c>
    </row>
    <row r="2798">
      <c r="A2798" s="5">
        <v>700.0</v>
      </c>
      <c r="B2798" s="5" t="s">
        <v>4185</v>
      </c>
      <c r="C2798" s="5" t="s">
        <v>2618</v>
      </c>
      <c r="D2798" s="5" t="s">
        <v>6634</v>
      </c>
      <c r="E2798" s="8">
        <f>vlookup(B2798,Filmes_final!$B$2:$U$1001,20,FALSE)</f>
        <v>324529351</v>
      </c>
      <c r="F2798" s="5">
        <f>vlookup(B2798,Filmes_final!$B$2:$U$1001,3,FALSE)</f>
        <v>1969</v>
      </c>
      <c r="G2798" s="5" t="str">
        <f>vlookup(B2798,Filmes_final!$B$2:$U$1001,13,FALSE)</f>
        <v>John Schlesinger</v>
      </c>
    </row>
    <row r="2799">
      <c r="A2799" s="5">
        <v>700.0</v>
      </c>
      <c r="B2799" s="5" t="s">
        <v>4185</v>
      </c>
      <c r="C2799" s="5" t="s">
        <v>1178</v>
      </c>
      <c r="D2799" s="5" t="s">
        <v>6635</v>
      </c>
      <c r="E2799" s="8">
        <f>vlookup(B2799,Filmes_final!$B$2:$U$1001,20,FALSE)</f>
        <v>324529351</v>
      </c>
      <c r="F2799" s="5">
        <f>vlookup(B2799,Filmes_final!$B$2:$U$1001,3,FALSE)</f>
        <v>1969</v>
      </c>
      <c r="G2799" s="5" t="str">
        <f>vlookup(B2799,Filmes_final!$B$2:$U$1001,13,FALSE)</f>
        <v>John Schlesinger</v>
      </c>
    </row>
    <row r="2800">
      <c r="A2800" s="5">
        <v>700.0</v>
      </c>
      <c r="B2800" s="5" t="s">
        <v>4185</v>
      </c>
      <c r="C2800" s="5" t="s">
        <v>4188</v>
      </c>
      <c r="D2800" s="5" t="s">
        <v>6636</v>
      </c>
      <c r="E2800" s="8">
        <f>vlookup(B2800,Filmes_final!$B$2:$U$1001,20,FALSE)</f>
        <v>324529351</v>
      </c>
      <c r="F2800" s="5">
        <f>vlookup(B2800,Filmes_final!$B$2:$U$1001,3,FALSE)</f>
        <v>1969</v>
      </c>
      <c r="G2800" s="5" t="str">
        <f>vlookup(B2800,Filmes_final!$B$2:$U$1001,13,FALSE)</f>
        <v>John Schlesinger</v>
      </c>
    </row>
    <row r="2801">
      <c r="A2801" s="5">
        <v>700.0</v>
      </c>
      <c r="B2801" s="5" t="s">
        <v>4185</v>
      </c>
      <c r="C2801" s="5" t="s">
        <v>4189</v>
      </c>
      <c r="D2801" s="5" t="s">
        <v>6637</v>
      </c>
      <c r="E2801" s="8">
        <f>vlookup(B2801,Filmes_final!$B$2:$U$1001,20,FALSE)</f>
        <v>324529351</v>
      </c>
      <c r="F2801" s="5">
        <f>vlookup(B2801,Filmes_final!$B$2:$U$1001,3,FALSE)</f>
        <v>1969</v>
      </c>
      <c r="G2801" s="5" t="str">
        <f>vlookup(B2801,Filmes_final!$B$2:$U$1001,13,FALSE)</f>
        <v>John Schlesinger</v>
      </c>
    </row>
    <row r="2802">
      <c r="A2802" s="5">
        <v>701.0</v>
      </c>
      <c r="B2802" s="5" t="s">
        <v>4190</v>
      </c>
      <c r="C2802" s="5" t="s">
        <v>2839</v>
      </c>
      <c r="D2802" s="5" t="s">
        <v>6634</v>
      </c>
      <c r="E2802" s="8">
        <f>vlookup(B2802,Filmes_final!$B$2:$U$1001,20,FALSE)</f>
        <v>137616480</v>
      </c>
      <c r="F2802" s="5">
        <f>vlookup(B2802,Filmes_final!$B$2:$U$1001,3,FALSE)</f>
        <v>1967</v>
      </c>
      <c r="G2802" s="5" t="str">
        <f>vlookup(B2802,Filmes_final!$B$2:$U$1001,13,FALSE)</f>
        <v>Terence Young</v>
      </c>
    </row>
    <row r="2803">
      <c r="A2803" s="5">
        <v>701.0</v>
      </c>
      <c r="B2803" s="5" t="s">
        <v>4190</v>
      </c>
      <c r="C2803" s="5" t="s">
        <v>4194</v>
      </c>
      <c r="D2803" s="5" t="s">
        <v>6635</v>
      </c>
      <c r="E2803" s="8">
        <f>vlookup(B2803,Filmes_final!$B$2:$U$1001,20,FALSE)</f>
        <v>137616480</v>
      </c>
      <c r="F2803" s="5">
        <f>vlookup(B2803,Filmes_final!$B$2:$U$1001,3,FALSE)</f>
        <v>1967</v>
      </c>
      <c r="G2803" s="5" t="str">
        <f>vlookup(B2803,Filmes_final!$B$2:$U$1001,13,FALSE)</f>
        <v>Terence Young</v>
      </c>
    </row>
    <row r="2804">
      <c r="A2804" s="5">
        <v>701.0</v>
      </c>
      <c r="B2804" s="5" t="s">
        <v>4190</v>
      </c>
      <c r="C2804" s="5" t="s">
        <v>4195</v>
      </c>
      <c r="D2804" s="5" t="s">
        <v>6636</v>
      </c>
      <c r="E2804" s="8">
        <f>vlookup(B2804,Filmes_final!$B$2:$U$1001,20,FALSE)</f>
        <v>137616480</v>
      </c>
      <c r="F2804" s="5">
        <f>vlookup(B2804,Filmes_final!$B$2:$U$1001,3,FALSE)</f>
        <v>1967</v>
      </c>
      <c r="G2804" s="5" t="str">
        <f>vlookup(B2804,Filmes_final!$B$2:$U$1001,13,FALSE)</f>
        <v>Terence Young</v>
      </c>
    </row>
    <row r="2805">
      <c r="A2805" s="5">
        <v>701.0</v>
      </c>
      <c r="B2805" s="5" t="s">
        <v>4190</v>
      </c>
      <c r="C2805" s="5" t="s">
        <v>4196</v>
      </c>
      <c r="D2805" s="5" t="s">
        <v>6637</v>
      </c>
      <c r="E2805" s="8">
        <f>vlookup(B2805,Filmes_final!$B$2:$U$1001,20,FALSE)</f>
        <v>137616480</v>
      </c>
      <c r="F2805" s="5">
        <f>vlookup(B2805,Filmes_final!$B$2:$U$1001,3,FALSE)</f>
        <v>1967</v>
      </c>
      <c r="G2805" s="5" t="str">
        <f>vlookup(B2805,Filmes_final!$B$2:$U$1001,13,FALSE)</f>
        <v>Terence Young</v>
      </c>
    </row>
    <row r="2806">
      <c r="A2806" s="5">
        <v>702.0</v>
      </c>
      <c r="B2806" s="5" t="s">
        <v>4197</v>
      </c>
      <c r="C2806" s="5" t="s">
        <v>1291</v>
      </c>
      <c r="D2806" s="5" t="s">
        <v>6634</v>
      </c>
      <c r="E2806" s="8">
        <f>vlookup(B2806,Filmes_final!$B$2:$U$1001,20,FALSE)</f>
        <v>444588319</v>
      </c>
      <c r="F2806" s="5">
        <f>vlookup(B2806,Filmes_final!$B$2:$U$1001,3,FALSE)</f>
        <v>1967</v>
      </c>
      <c r="G2806" s="5" t="str">
        <f>vlookup(B2806,Filmes_final!$B$2:$U$1001,13,FALSE)</f>
        <v>Stanley Kramer</v>
      </c>
    </row>
    <row r="2807">
      <c r="A2807" s="5">
        <v>702.0</v>
      </c>
      <c r="B2807" s="5" t="s">
        <v>4197</v>
      </c>
      <c r="C2807" s="5" t="s">
        <v>3389</v>
      </c>
      <c r="D2807" s="5" t="s">
        <v>6635</v>
      </c>
      <c r="E2807" s="8">
        <f>vlookup(B2807,Filmes_final!$B$2:$U$1001,20,FALSE)</f>
        <v>444588319</v>
      </c>
      <c r="F2807" s="5">
        <f>vlookup(B2807,Filmes_final!$B$2:$U$1001,3,FALSE)</f>
        <v>1967</v>
      </c>
      <c r="G2807" s="5" t="str">
        <f>vlookup(B2807,Filmes_final!$B$2:$U$1001,13,FALSE)</f>
        <v>Stanley Kramer</v>
      </c>
    </row>
    <row r="2808">
      <c r="A2808" s="5">
        <v>702.0</v>
      </c>
      <c r="B2808" s="5" t="s">
        <v>4197</v>
      </c>
      <c r="C2808" s="5" t="s">
        <v>3385</v>
      </c>
      <c r="D2808" s="5" t="s">
        <v>6636</v>
      </c>
      <c r="E2808" s="8">
        <f>vlookup(B2808,Filmes_final!$B$2:$U$1001,20,FALSE)</f>
        <v>444588319</v>
      </c>
      <c r="F2808" s="5">
        <f>vlookup(B2808,Filmes_final!$B$2:$U$1001,3,FALSE)</f>
        <v>1967</v>
      </c>
      <c r="G2808" s="5" t="str">
        <f>vlookup(B2808,Filmes_final!$B$2:$U$1001,13,FALSE)</f>
        <v>Stanley Kramer</v>
      </c>
    </row>
    <row r="2809">
      <c r="A2809" s="5">
        <v>702.0</v>
      </c>
      <c r="B2809" s="5" t="s">
        <v>4197</v>
      </c>
      <c r="C2809" s="5" t="s">
        <v>4199</v>
      </c>
      <c r="D2809" s="5" t="s">
        <v>6637</v>
      </c>
      <c r="E2809" s="8">
        <f>vlookup(B2809,Filmes_final!$B$2:$U$1001,20,FALSE)</f>
        <v>444588319</v>
      </c>
      <c r="F2809" s="5">
        <f>vlookup(B2809,Filmes_final!$B$2:$U$1001,3,FALSE)</f>
        <v>1967</v>
      </c>
      <c r="G2809" s="5" t="str">
        <f>vlookup(B2809,Filmes_final!$B$2:$U$1001,13,FALSE)</f>
        <v>Stanley Kramer</v>
      </c>
    </row>
    <row r="2810">
      <c r="A2810" s="5">
        <v>703.0</v>
      </c>
      <c r="B2810" s="5" t="s">
        <v>4200</v>
      </c>
      <c r="C2810" s="5" t="s">
        <v>4203</v>
      </c>
      <c r="D2810" s="5" t="s">
        <v>6634</v>
      </c>
      <c r="E2810" s="8">
        <f>vlookup(B2810,Filmes_final!$B$2:$U$1001,20,FALSE)</f>
        <v>19602660</v>
      </c>
      <c r="F2810" s="5">
        <f>vlookup(B2810,Filmes_final!$B$2:$U$1001,3,FALSE)</f>
        <v>1967</v>
      </c>
      <c r="G2810" s="5" t="str">
        <f>vlookup(B2810,Filmes_final!$B$2:$U$1001,13,FALSE)</f>
        <v>Arthur Penn</v>
      </c>
    </row>
    <row r="2811">
      <c r="A2811" s="5">
        <v>703.0</v>
      </c>
      <c r="B2811" s="5" t="s">
        <v>4200</v>
      </c>
      <c r="C2811" s="5" t="s">
        <v>1899</v>
      </c>
      <c r="D2811" s="5" t="s">
        <v>6635</v>
      </c>
      <c r="E2811" s="8">
        <f>vlookup(B2811,Filmes_final!$B$2:$U$1001,20,FALSE)</f>
        <v>19602660</v>
      </c>
      <c r="F2811" s="5">
        <f>vlookup(B2811,Filmes_final!$B$2:$U$1001,3,FALSE)</f>
        <v>1967</v>
      </c>
      <c r="G2811" s="5" t="str">
        <f>vlookup(B2811,Filmes_final!$B$2:$U$1001,13,FALSE)</f>
        <v>Arthur Penn</v>
      </c>
    </row>
    <row r="2812">
      <c r="A2812" s="5">
        <v>703.0</v>
      </c>
      <c r="B2812" s="5" t="s">
        <v>4200</v>
      </c>
      <c r="C2812" s="5" t="s">
        <v>4204</v>
      </c>
      <c r="D2812" s="5" t="s">
        <v>6636</v>
      </c>
      <c r="E2812" s="8">
        <f>vlookup(B2812,Filmes_final!$B$2:$U$1001,20,FALSE)</f>
        <v>19602660</v>
      </c>
      <c r="F2812" s="5">
        <f>vlookup(B2812,Filmes_final!$B$2:$U$1001,3,FALSE)</f>
        <v>1967</v>
      </c>
      <c r="G2812" s="5" t="str">
        <f>vlookup(B2812,Filmes_final!$B$2:$U$1001,13,FALSE)</f>
        <v>Arthur Penn</v>
      </c>
    </row>
    <row r="2813">
      <c r="A2813" s="5">
        <v>703.0</v>
      </c>
      <c r="B2813" s="5" t="s">
        <v>4200</v>
      </c>
      <c r="C2813" s="5" t="s">
        <v>1191</v>
      </c>
      <c r="D2813" s="5" t="s">
        <v>6637</v>
      </c>
      <c r="E2813" s="8">
        <f>vlookup(B2813,Filmes_final!$B$2:$U$1001,20,FALSE)</f>
        <v>19602660</v>
      </c>
      <c r="F2813" s="5">
        <f>vlookup(B2813,Filmes_final!$B$2:$U$1001,3,FALSE)</f>
        <v>1967</v>
      </c>
      <c r="G2813" s="5" t="str">
        <f>vlookup(B2813,Filmes_final!$B$2:$U$1001,13,FALSE)</f>
        <v>Arthur Penn</v>
      </c>
    </row>
    <row r="2814">
      <c r="A2814" s="5">
        <v>704.0</v>
      </c>
      <c r="B2814" s="5" t="s">
        <v>4205</v>
      </c>
      <c r="C2814" s="5" t="s">
        <v>2839</v>
      </c>
      <c r="D2814" s="5" t="s">
        <v>6634</v>
      </c>
      <c r="E2814" s="8">
        <f>vlookup(B2814,Filmes_final!$B$2:$U$1001,20,FALSE)</f>
        <v>601097476</v>
      </c>
      <c r="F2814" s="5">
        <f>vlookup(B2814,Filmes_final!$B$2:$U$1001,3,FALSE)</f>
        <v>1964</v>
      </c>
      <c r="G2814" s="5" t="str">
        <f>vlookup(B2814,Filmes_final!$B$2:$U$1001,13,FALSE)</f>
        <v>George Cukor</v>
      </c>
    </row>
    <row r="2815">
      <c r="A2815" s="5">
        <v>704.0</v>
      </c>
      <c r="B2815" s="5" t="s">
        <v>4205</v>
      </c>
      <c r="C2815" s="5" t="s">
        <v>4207</v>
      </c>
      <c r="D2815" s="5" t="s">
        <v>6635</v>
      </c>
      <c r="E2815" s="8">
        <f>vlookup(B2815,Filmes_final!$B$2:$U$1001,20,FALSE)</f>
        <v>601097476</v>
      </c>
      <c r="F2815" s="5">
        <f>vlookup(B2815,Filmes_final!$B$2:$U$1001,3,FALSE)</f>
        <v>1964</v>
      </c>
      <c r="G2815" s="5" t="str">
        <f>vlookup(B2815,Filmes_final!$B$2:$U$1001,13,FALSE)</f>
        <v>George Cukor</v>
      </c>
    </row>
    <row r="2816">
      <c r="A2816" s="5">
        <v>704.0</v>
      </c>
      <c r="B2816" s="5" t="s">
        <v>4205</v>
      </c>
      <c r="C2816" s="5" t="s">
        <v>2872</v>
      </c>
      <c r="D2816" s="5" t="s">
        <v>6636</v>
      </c>
      <c r="E2816" s="8">
        <f>vlookup(B2816,Filmes_final!$B$2:$U$1001,20,FALSE)</f>
        <v>601097476</v>
      </c>
      <c r="F2816" s="5">
        <f>vlookup(B2816,Filmes_final!$B$2:$U$1001,3,FALSE)</f>
        <v>1964</v>
      </c>
      <c r="G2816" s="5" t="str">
        <f>vlookup(B2816,Filmes_final!$B$2:$U$1001,13,FALSE)</f>
        <v>George Cukor</v>
      </c>
    </row>
    <row r="2817">
      <c r="A2817" s="5">
        <v>704.0</v>
      </c>
      <c r="B2817" s="5" t="s">
        <v>4205</v>
      </c>
      <c r="C2817" s="5" t="s">
        <v>4208</v>
      </c>
      <c r="D2817" s="5" t="s">
        <v>6637</v>
      </c>
      <c r="E2817" s="8">
        <f>vlookup(B2817,Filmes_final!$B$2:$U$1001,20,FALSE)</f>
        <v>601097476</v>
      </c>
      <c r="F2817" s="5">
        <f>vlookup(B2817,Filmes_final!$B$2:$U$1001,3,FALSE)</f>
        <v>1964</v>
      </c>
      <c r="G2817" s="5" t="str">
        <f>vlookup(B2817,Filmes_final!$B$2:$U$1001,13,FALSE)</f>
        <v>George Cukor</v>
      </c>
    </row>
    <row r="2818">
      <c r="A2818" s="5">
        <v>705.0</v>
      </c>
      <c r="B2818" s="5" t="s">
        <v>4209</v>
      </c>
      <c r="C2818" s="5" t="s">
        <v>2750</v>
      </c>
      <c r="D2818" s="5" t="s">
        <v>6634</v>
      </c>
      <c r="E2818" s="8">
        <f>vlookup(B2818,Filmes_final!$B$2:$U$1001,20,FALSE)</f>
        <v>853831639</v>
      </c>
      <c r="F2818" s="5">
        <f>vlookup(B2818,Filmes_final!$B$2:$U$1001,3,FALSE)</f>
        <v>1964</v>
      </c>
      <c r="G2818" s="5" t="str">
        <f>vlookup(B2818,Filmes_final!$B$2:$U$1001,13,FALSE)</f>
        <v>Robert Stevenson</v>
      </c>
    </row>
    <row r="2819">
      <c r="A2819" s="5">
        <v>705.0</v>
      </c>
      <c r="B2819" s="5" t="s">
        <v>4209</v>
      </c>
      <c r="C2819" s="5" t="s">
        <v>4213</v>
      </c>
      <c r="D2819" s="5" t="s">
        <v>6635</v>
      </c>
      <c r="E2819" s="8">
        <f>vlookup(B2819,Filmes_final!$B$2:$U$1001,20,FALSE)</f>
        <v>853831639</v>
      </c>
      <c r="F2819" s="5">
        <f>vlookup(B2819,Filmes_final!$B$2:$U$1001,3,FALSE)</f>
        <v>1964</v>
      </c>
      <c r="G2819" s="5" t="str">
        <f>vlookup(B2819,Filmes_final!$B$2:$U$1001,13,FALSE)</f>
        <v>Robert Stevenson</v>
      </c>
    </row>
    <row r="2820">
      <c r="A2820" s="5">
        <v>705.0</v>
      </c>
      <c r="B2820" s="5" t="s">
        <v>4209</v>
      </c>
      <c r="C2820" s="5" t="s">
        <v>4214</v>
      </c>
      <c r="D2820" s="5" t="s">
        <v>6636</v>
      </c>
      <c r="E2820" s="8">
        <f>vlookup(B2820,Filmes_final!$B$2:$U$1001,20,FALSE)</f>
        <v>853831639</v>
      </c>
      <c r="F2820" s="5">
        <f>vlookup(B2820,Filmes_final!$B$2:$U$1001,3,FALSE)</f>
        <v>1964</v>
      </c>
      <c r="G2820" s="5" t="str">
        <f>vlookup(B2820,Filmes_final!$B$2:$U$1001,13,FALSE)</f>
        <v>Robert Stevenson</v>
      </c>
    </row>
    <row r="2821">
      <c r="A2821" s="5">
        <v>705.0</v>
      </c>
      <c r="B2821" s="5" t="s">
        <v>4209</v>
      </c>
      <c r="C2821" s="5" t="s">
        <v>4215</v>
      </c>
      <c r="D2821" s="5" t="s">
        <v>6637</v>
      </c>
      <c r="E2821" s="8">
        <f>vlookup(B2821,Filmes_final!$B$2:$U$1001,20,FALSE)</f>
        <v>853831639</v>
      </c>
      <c r="F2821" s="5">
        <f>vlookup(B2821,Filmes_final!$B$2:$U$1001,3,FALSE)</f>
        <v>1964</v>
      </c>
      <c r="G2821" s="5" t="str">
        <f>vlookup(B2821,Filmes_final!$B$2:$U$1001,13,FALSE)</f>
        <v>Robert Stevenson</v>
      </c>
    </row>
    <row r="2822">
      <c r="A2822" s="5">
        <v>706.0</v>
      </c>
      <c r="B2822" s="5" t="s">
        <v>4216</v>
      </c>
      <c r="C2822" s="5" t="s">
        <v>4219</v>
      </c>
      <c r="D2822" s="5" t="s">
        <v>6634</v>
      </c>
      <c r="E2822" s="8">
        <f>vlookup(B2822,Filmes_final!$B$2:$U$1001,20,FALSE)</f>
        <v>336222203</v>
      </c>
      <c r="F2822" s="5">
        <f>vlookup(B2822,Filmes_final!$B$2:$U$1001,3,FALSE)</f>
        <v>1962</v>
      </c>
      <c r="G2822" s="5" t="str">
        <f>vlookup(B2822,Filmes_final!$B$2:$U$1001,13,FALSE)</f>
        <v>Ken Annakin</v>
      </c>
    </row>
    <row r="2823">
      <c r="A2823" s="5">
        <v>706.0</v>
      </c>
      <c r="B2823" s="5" t="s">
        <v>4216</v>
      </c>
      <c r="C2823" s="5" t="s">
        <v>4220</v>
      </c>
      <c r="D2823" s="5" t="s">
        <v>6635</v>
      </c>
      <c r="E2823" s="8">
        <f>vlookup(B2823,Filmes_final!$B$2:$U$1001,20,FALSE)</f>
        <v>336222203</v>
      </c>
      <c r="F2823" s="5">
        <f>vlookup(B2823,Filmes_final!$B$2:$U$1001,3,FALSE)</f>
        <v>1962</v>
      </c>
      <c r="G2823" s="5" t="str">
        <f>vlookup(B2823,Filmes_final!$B$2:$U$1001,13,FALSE)</f>
        <v>Ken Annakin</v>
      </c>
    </row>
    <row r="2824">
      <c r="A2824" s="5">
        <v>706.0</v>
      </c>
      <c r="B2824" s="5" t="s">
        <v>4216</v>
      </c>
      <c r="C2824" s="5" t="s">
        <v>4221</v>
      </c>
      <c r="D2824" s="5" t="s">
        <v>6636</v>
      </c>
      <c r="E2824" s="8">
        <f>vlookup(B2824,Filmes_final!$B$2:$U$1001,20,FALSE)</f>
        <v>336222203</v>
      </c>
      <c r="F2824" s="5">
        <f>vlookup(B2824,Filmes_final!$B$2:$U$1001,3,FALSE)</f>
        <v>1962</v>
      </c>
      <c r="G2824" s="5" t="str">
        <f>vlookup(B2824,Filmes_final!$B$2:$U$1001,13,FALSE)</f>
        <v>Ken Annakin</v>
      </c>
    </row>
    <row r="2825">
      <c r="A2825" s="5">
        <v>706.0</v>
      </c>
      <c r="B2825" s="5" t="s">
        <v>4216</v>
      </c>
      <c r="C2825" s="5" t="s">
        <v>4222</v>
      </c>
      <c r="D2825" s="5" t="s">
        <v>6637</v>
      </c>
      <c r="E2825" s="8">
        <f>vlookup(B2825,Filmes_final!$B$2:$U$1001,20,FALSE)</f>
        <v>336222203</v>
      </c>
      <c r="F2825" s="5">
        <f>vlookup(B2825,Filmes_final!$B$2:$U$1001,3,FALSE)</f>
        <v>1962</v>
      </c>
      <c r="G2825" s="5" t="str">
        <f>vlookup(B2825,Filmes_final!$B$2:$U$1001,13,FALSE)</f>
        <v>Ken Annakin</v>
      </c>
    </row>
    <row r="2826">
      <c r="A2826" s="5">
        <v>707.0</v>
      </c>
      <c r="B2826" s="5" t="s">
        <v>4223</v>
      </c>
      <c r="C2826" s="5" t="s">
        <v>4225</v>
      </c>
      <c r="D2826" s="5" t="s">
        <v>6634</v>
      </c>
      <c r="E2826" s="8">
        <f>vlookup(B2826,Filmes_final!$B$2:$U$1001,20,FALSE)</f>
        <v>3842977</v>
      </c>
      <c r="F2826" s="5">
        <f>vlookup(B2826,Filmes_final!$B$2:$U$1001,3,FALSE)</f>
        <v>1962</v>
      </c>
      <c r="G2826" s="5" t="str">
        <f>vlookup(B2826,Filmes_final!$B$2:$U$1001,13,FALSE)</f>
        <v>François Truffaut</v>
      </c>
    </row>
    <row r="2827">
      <c r="A2827" s="5">
        <v>707.0</v>
      </c>
      <c r="B2827" s="5" t="s">
        <v>4223</v>
      </c>
      <c r="C2827" s="5" t="s">
        <v>4226</v>
      </c>
      <c r="D2827" s="5" t="s">
        <v>6635</v>
      </c>
      <c r="E2827" s="8">
        <f>vlookup(B2827,Filmes_final!$B$2:$U$1001,20,FALSE)</f>
        <v>3842977</v>
      </c>
      <c r="F2827" s="5">
        <f>vlookup(B2827,Filmes_final!$B$2:$U$1001,3,FALSE)</f>
        <v>1962</v>
      </c>
      <c r="G2827" s="5" t="str">
        <f>vlookup(B2827,Filmes_final!$B$2:$U$1001,13,FALSE)</f>
        <v>François Truffaut</v>
      </c>
    </row>
    <row r="2828">
      <c r="A2828" s="5">
        <v>707.0</v>
      </c>
      <c r="B2828" s="5" t="s">
        <v>4223</v>
      </c>
      <c r="C2828" s="5" t="s">
        <v>4227</v>
      </c>
      <c r="D2828" s="5" t="s">
        <v>6636</v>
      </c>
      <c r="E2828" s="8">
        <f>vlookup(B2828,Filmes_final!$B$2:$U$1001,20,FALSE)</f>
        <v>3842977</v>
      </c>
      <c r="F2828" s="5">
        <f>vlookup(B2828,Filmes_final!$B$2:$U$1001,3,FALSE)</f>
        <v>1962</v>
      </c>
      <c r="G2828" s="5" t="str">
        <f>vlookup(B2828,Filmes_final!$B$2:$U$1001,13,FALSE)</f>
        <v>François Truffaut</v>
      </c>
    </row>
    <row r="2829">
      <c r="A2829" s="5">
        <v>707.0</v>
      </c>
      <c r="B2829" s="5" t="s">
        <v>4223</v>
      </c>
      <c r="C2829" s="5" t="s">
        <v>4228</v>
      </c>
      <c r="D2829" s="5" t="s">
        <v>6637</v>
      </c>
      <c r="E2829" s="8">
        <f>vlookup(B2829,Filmes_final!$B$2:$U$1001,20,FALSE)</f>
        <v>3842977</v>
      </c>
      <c r="F2829" s="5">
        <f>vlookup(B2829,Filmes_final!$B$2:$U$1001,3,FALSE)</f>
        <v>1962</v>
      </c>
      <c r="G2829" s="5" t="str">
        <f>vlookup(B2829,Filmes_final!$B$2:$U$1001,13,FALSE)</f>
        <v>François Truffaut</v>
      </c>
    </row>
    <row r="2830">
      <c r="A2830" s="5">
        <v>708.0</v>
      </c>
      <c r="B2830" s="5" t="s">
        <v>4229</v>
      </c>
      <c r="C2830" s="5" t="s">
        <v>4232</v>
      </c>
      <c r="D2830" s="5" t="s">
        <v>6634</v>
      </c>
      <c r="E2830" s="8">
        <f>vlookup(B2830,Filmes_final!$B$2:$U$1001,20,FALSE)</f>
        <v>22646045</v>
      </c>
      <c r="F2830" s="5">
        <f>vlookup(B2830,Filmes_final!$B$2:$U$1001,3,FALSE)</f>
        <v>1961</v>
      </c>
      <c r="G2830" s="5" t="str">
        <f>vlookup(B2830,Filmes_final!$B$2:$U$1001,13,FALSE)</f>
        <v>Jack Clayton</v>
      </c>
    </row>
    <row r="2831">
      <c r="A2831" s="5">
        <v>708.0</v>
      </c>
      <c r="B2831" s="5" t="s">
        <v>4229</v>
      </c>
      <c r="C2831" s="5" t="s">
        <v>4233</v>
      </c>
      <c r="D2831" s="5" t="s">
        <v>6635</v>
      </c>
      <c r="E2831" s="8">
        <f>vlookup(B2831,Filmes_final!$B$2:$U$1001,20,FALSE)</f>
        <v>22646045</v>
      </c>
      <c r="F2831" s="5">
        <f>vlookup(B2831,Filmes_final!$B$2:$U$1001,3,FALSE)</f>
        <v>1961</v>
      </c>
      <c r="G2831" s="5" t="str">
        <f>vlookup(B2831,Filmes_final!$B$2:$U$1001,13,FALSE)</f>
        <v>Jack Clayton</v>
      </c>
    </row>
    <row r="2832">
      <c r="A2832" s="5">
        <v>708.0</v>
      </c>
      <c r="B2832" s="5" t="s">
        <v>4229</v>
      </c>
      <c r="C2832" s="5" t="s">
        <v>4234</v>
      </c>
      <c r="D2832" s="5" t="s">
        <v>6636</v>
      </c>
      <c r="E2832" s="8">
        <f>vlookup(B2832,Filmes_final!$B$2:$U$1001,20,FALSE)</f>
        <v>22646045</v>
      </c>
      <c r="F2832" s="5">
        <f>vlookup(B2832,Filmes_final!$B$2:$U$1001,3,FALSE)</f>
        <v>1961</v>
      </c>
      <c r="G2832" s="5" t="str">
        <f>vlookup(B2832,Filmes_final!$B$2:$U$1001,13,FALSE)</f>
        <v>Jack Clayton</v>
      </c>
    </row>
    <row r="2833">
      <c r="A2833" s="5">
        <v>708.0</v>
      </c>
      <c r="B2833" s="5" t="s">
        <v>4229</v>
      </c>
      <c r="C2833" s="5" t="s">
        <v>4235</v>
      </c>
      <c r="D2833" s="5" t="s">
        <v>6637</v>
      </c>
      <c r="E2833" s="8">
        <f>vlookup(B2833,Filmes_final!$B$2:$U$1001,20,FALSE)</f>
        <v>22646045</v>
      </c>
      <c r="F2833" s="5">
        <f>vlookup(B2833,Filmes_final!$B$2:$U$1001,3,FALSE)</f>
        <v>1961</v>
      </c>
      <c r="G2833" s="5" t="str">
        <f>vlookup(B2833,Filmes_final!$B$2:$U$1001,13,FALSE)</f>
        <v>Jack Clayton</v>
      </c>
    </row>
    <row r="2834">
      <c r="A2834" s="5">
        <v>709.0</v>
      </c>
      <c r="B2834" s="5" t="s">
        <v>4236</v>
      </c>
      <c r="C2834" s="5" t="s">
        <v>4238</v>
      </c>
      <c r="D2834" s="5" t="s">
        <v>6634</v>
      </c>
      <c r="E2834" s="8">
        <f>vlookup(B2834,Filmes_final!$B$2:$U$1001,20,FALSE)</f>
        <v>2964509</v>
      </c>
      <c r="F2834" s="5">
        <f>vlookup(B2834,Filmes_final!$B$2:$U$1001,3,FALSE)</f>
        <v>1960</v>
      </c>
      <c r="G2834" s="5" t="str">
        <f>vlookup(B2834,Filmes_final!$B$2:$U$1001,13,FALSE)</f>
        <v>Jean-Luc Godard</v>
      </c>
    </row>
    <row r="2835">
      <c r="A2835" s="5">
        <v>709.0</v>
      </c>
      <c r="B2835" s="5" t="s">
        <v>4236</v>
      </c>
      <c r="C2835" s="5" t="s">
        <v>4239</v>
      </c>
      <c r="D2835" s="5" t="s">
        <v>6635</v>
      </c>
      <c r="E2835" s="8">
        <f>vlookup(B2835,Filmes_final!$B$2:$U$1001,20,FALSE)</f>
        <v>2964509</v>
      </c>
      <c r="F2835" s="5">
        <f>vlookup(B2835,Filmes_final!$B$2:$U$1001,3,FALSE)</f>
        <v>1960</v>
      </c>
      <c r="G2835" s="5" t="str">
        <f>vlookup(B2835,Filmes_final!$B$2:$U$1001,13,FALSE)</f>
        <v>Jean-Luc Godard</v>
      </c>
    </row>
    <row r="2836">
      <c r="A2836" s="5">
        <v>709.0</v>
      </c>
      <c r="B2836" s="5" t="s">
        <v>4236</v>
      </c>
      <c r="C2836" s="5" t="s">
        <v>4240</v>
      </c>
      <c r="D2836" s="5" t="s">
        <v>6636</v>
      </c>
      <c r="E2836" s="8">
        <f>vlookup(B2836,Filmes_final!$B$2:$U$1001,20,FALSE)</f>
        <v>2964509</v>
      </c>
      <c r="F2836" s="5">
        <f>vlookup(B2836,Filmes_final!$B$2:$U$1001,3,FALSE)</f>
        <v>1960</v>
      </c>
      <c r="G2836" s="5" t="str">
        <f>vlookup(B2836,Filmes_final!$B$2:$U$1001,13,FALSE)</f>
        <v>Jean-Luc Godard</v>
      </c>
    </row>
    <row r="2837">
      <c r="A2837" s="5">
        <v>709.0</v>
      </c>
      <c r="B2837" s="5" t="s">
        <v>4236</v>
      </c>
      <c r="C2837" s="5" t="s">
        <v>4241</v>
      </c>
      <c r="D2837" s="5" t="s">
        <v>6637</v>
      </c>
      <c r="E2837" s="8">
        <f>vlookup(B2837,Filmes_final!$B$2:$U$1001,20,FALSE)</f>
        <v>2964509</v>
      </c>
      <c r="F2837" s="5">
        <f>vlookup(B2837,Filmes_final!$B$2:$U$1001,3,FALSE)</f>
        <v>1960</v>
      </c>
      <c r="G2837" s="5" t="str">
        <f>vlookup(B2837,Filmes_final!$B$2:$U$1001,13,FALSE)</f>
        <v>Jean-Luc Godard</v>
      </c>
    </row>
    <row r="2838">
      <c r="A2838" s="5">
        <v>710.0</v>
      </c>
      <c r="B2838" s="5" t="s">
        <v>4242</v>
      </c>
      <c r="C2838" s="5" t="s">
        <v>4244</v>
      </c>
      <c r="D2838" s="5" t="s">
        <v>6634</v>
      </c>
      <c r="E2838" s="8">
        <f>vlookup(B2838,Filmes_final!$B$2:$U$1001,20,FALSE)</f>
        <v>32654557</v>
      </c>
      <c r="F2838" s="5">
        <f>vlookup(B2838,Filmes_final!$B$2:$U$1001,3,FALSE)</f>
        <v>1948</v>
      </c>
      <c r="G2838" s="5" t="str">
        <f>vlookup(B2838,Filmes_final!$B$2:$U$1001,13,FALSE)</f>
        <v>Howard Hawks</v>
      </c>
    </row>
    <row r="2839">
      <c r="A2839" s="5">
        <v>710.0</v>
      </c>
      <c r="B2839" s="5" t="s">
        <v>4242</v>
      </c>
      <c r="C2839" s="5" t="s">
        <v>1985</v>
      </c>
      <c r="D2839" s="5" t="s">
        <v>6635</v>
      </c>
      <c r="E2839" s="8">
        <f>vlookup(B2839,Filmes_final!$B$2:$U$1001,20,FALSE)</f>
        <v>32654557</v>
      </c>
      <c r="F2839" s="5">
        <f>vlookup(B2839,Filmes_final!$B$2:$U$1001,3,FALSE)</f>
        <v>1948</v>
      </c>
      <c r="G2839" s="5" t="str">
        <f>vlookup(B2839,Filmes_final!$B$2:$U$1001,13,FALSE)</f>
        <v>Howard Hawks</v>
      </c>
    </row>
    <row r="2840">
      <c r="A2840" s="5">
        <v>710.0</v>
      </c>
      <c r="B2840" s="5" t="s">
        <v>4242</v>
      </c>
      <c r="C2840" s="5" t="s">
        <v>4245</v>
      </c>
      <c r="D2840" s="5" t="s">
        <v>6636</v>
      </c>
      <c r="E2840" s="8">
        <f>vlookup(B2840,Filmes_final!$B$2:$U$1001,20,FALSE)</f>
        <v>32654557</v>
      </c>
      <c r="F2840" s="5">
        <f>vlookup(B2840,Filmes_final!$B$2:$U$1001,3,FALSE)</f>
        <v>1948</v>
      </c>
      <c r="G2840" s="5" t="str">
        <f>vlookup(B2840,Filmes_final!$B$2:$U$1001,13,FALSE)</f>
        <v>Howard Hawks</v>
      </c>
    </row>
    <row r="2841">
      <c r="A2841" s="5">
        <v>710.0</v>
      </c>
      <c r="B2841" s="5" t="s">
        <v>4242</v>
      </c>
      <c r="C2841" s="5" t="s">
        <v>4246</v>
      </c>
      <c r="D2841" s="5" t="s">
        <v>6637</v>
      </c>
      <c r="E2841" s="8">
        <f>vlookup(B2841,Filmes_final!$B$2:$U$1001,20,FALSE)</f>
        <v>32654557</v>
      </c>
      <c r="F2841" s="5">
        <f>vlookup(B2841,Filmes_final!$B$2:$U$1001,3,FALSE)</f>
        <v>1948</v>
      </c>
      <c r="G2841" s="5" t="str">
        <f>vlookup(B2841,Filmes_final!$B$2:$U$1001,13,FALSE)</f>
        <v>Howard Hawks</v>
      </c>
    </row>
    <row r="2842">
      <c r="A2842" s="5">
        <v>711.0</v>
      </c>
      <c r="B2842" s="5" t="s">
        <v>4247</v>
      </c>
      <c r="C2842" s="5" t="s">
        <v>409</v>
      </c>
      <c r="D2842" s="5" t="s">
        <v>6634</v>
      </c>
      <c r="E2842" s="8">
        <f>vlookup(B2842,Filmes_final!$B$2:$U$1001,20,FALSE)</f>
        <v>103671905</v>
      </c>
      <c r="F2842" s="5">
        <f>vlookup(B2842,Filmes_final!$B$2:$U$1001,3,FALSE)</f>
        <v>1948</v>
      </c>
      <c r="G2842" s="5" t="str">
        <f>vlookup(B2842,Filmes_final!$B$2:$U$1001,13,FALSE)</f>
        <v>John Huston</v>
      </c>
    </row>
    <row r="2843">
      <c r="A2843" s="5">
        <v>711.0</v>
      </c>
      <c r="B2843" s="5" t="s">
        <v>4247</v>
      </c>
      <c r="C2843" s="5" t="s">
        <v>911</v>
      </c>
      <c r="D2843" s="5" t="s">
        <v>6635</v>
      </c>
      <c r="E2843" s="8">
        <f>vlookup(B2843,Filmes_final!$B$2:$U$1001,20,FALSE)</f>
        <v>103671905</v>
      </c>
      <c r="F2843" s="5">
        <f>vlookup(B2843,Filmes_final!$B$2:$U$1001,3,FALSE)</f>
        <v>1948</v>
      </c>
      <c r="G2843" s="5" t="str">
        <f>vlookup(B2843,Filmes_final!$B$2:$U$1001,13,FALSE)</f>
        <v>John Huston</v>
      </c>
    </row>
    <row r="2844">
      <c r="A2844" s="5">
        <v>711.0</v>
      </c>
      <c r="B2844" s="5" t="s">
        <v>4247</v>
      </c>
      <c r="C2844" s="5" t="s">
        <v>2473</v>
      </c>
      <c r="D2844" s="5" t="s">
        <v>6636</v>
      </c>
      <c r="E2844" s="8">
        <f>vlookup(B2844,Filmes_final!$B$2:$U$1001,20,FALSE)</f>
        <v>103671905</v>
      </c>
      <c r="F2844" s="5">
        <f>vlookup(B2844,Filmes_final!$B$2:$U$1001,3,FALSE)</f>
        <v>1948</v>
      </c>
      <c r="G2844" s="5" t="str">
        <f>vlookup(B2844,Filmes_final!$B$2:$U$1001,13,FALSE)</f>
        <v>John Huston</v>
      </c>
    </row>
    <row r="2845">
      <c r="A2845" s="5">
        <v>711.0</v>
      </c>
      <c r="B2845" s="5" t="s">
        <v>4247</v>
      </c>
      <c r="C2845" s="5" t="s">
        <v>276</v>
      </c>
      <c r="D2845" s="5" t="s">
        <v>6637</v>
      </c>
      <c r="E2845" s="8">
        <f>vlookup(B2845,Filmes_final!$B$2:$U$1001,20,FALSE)</f>
        <v>103671905</v>
      </c>
      <c r="F2845" s="5">
        <f>vlookup(B2845,Filmes_final!$B$2:$U$1001,3,FALSE)</f>
        <v>1948</v>
      </c>
      <c r="G2845" s="5" t="str">
        <f>vlookup(B2845,Filmes_final!$B$2:$U$1001,13,FALSE)</f>
        <v>John Huston</v>
      </c>
    </row>
    <row r="2846">
      <c r="A2846" s="5">
        <v>712.0</v>
      </c>
      <c r="B2846" s="5" t="s">
        <v>4249</v>
      </c>
      <c r="C2846" s="5" t="s">
        <v>409</v>
      </c>
      <c r="D2846" s="5" t="s">
        <v>6634</v>
      </c>
      <c r="E2846" s="8">
        <f>vlookup(B2846,Filmes_final!$B$2:$U$1001,20,FALSE)</f>
        <v>184716</v>
      </c>
      <c r="F2846" s="5">
        <f>vlookup(B2846,Filmes_final!$B$2:$U$1001,3,FALSE)</f>
        <v>1944</v>
      </c>
      <c r="G2846" s="5" t="str">
        <f>vlookup(B2846,Filmes_final!$B$2:$U$1001,13,FALSE)</f>
        <v>Howard Hawks</v>
      </c>
    </row>
    <row r="2847">
      <c r="A2847" s="5">
        <v>712.0</v>
      </c>
      <c r="B2847" s="5" t="s">
        <v>4249</v>
      </c>
      <c r="C2847" s="5" t="s">
        <v>2473</v>
      </c>
      <c r="D2847" s="5" t="s">
        <v>6635</v>
      </c>
      <c r="E2847" s="8">
        <f>vlookup(B2847,Filmes_final!$B$2:$U$1001,20,FALSE)</f>
        <v>184716</v>
      </c>
      <c r="F2847" s="5">
        <f>vlookup(B2847,Filmes_final!$B$2:$U$1001,3,FALSE)</f>
        <v>1944</v>
      </c>
      <c r="G2847" s="5" t="str">
        <f>vlookup(B2847,Filmes_final!$B$2:$U$1001,13,FALSE)</f>
        <v>Howard Hawks</v>
      </c>
    </row>
    <row r="2848">
      <c r="A2848" s="5">
        <v>712.0</v>
      </c>
      <c r="B2848" s="5" t="s">
        <v>4249</v>
      </c>
      <c r="C2848" s="5" t="s">
        <v>4252</v>
      </c>
      <c r="D2848" s="5" t="s">
        <v>6636</v>
      </c>
      <c r="E2848" s="8">
        <f>vlookup(B2848,Filmes_final!$B$2:$U$1001,20,FALSE)</f>
        <v>184716</v>
      </c>
      <c r="F2848" s="5">
        <f>vlookup(B2848,Filmes_final!$B$2:$U$1001,3,FALSE)</f>
        <v>1944</v>
      </c>
      <c r="G2848" s="5" t="str">
        <f>vlookup(B2848,Filmes_final!$B$2:$U$1001,13,FALSE)</f>
        <v>Howard Hawks</v>
      </c>
    </row>
    <row r="2849">
      <c r="A2849" s="5">
        <v>712.0</v>
      </c>
      <c r="B2849" s="5" t="s">
        <v>4249</v>
      </c>
      <c r="C2849" s="5" t="s">
        <v>4253</v>
      </c>
      <c r="D2849" s="5" t="s">
        <v>6637</v>
      </c>
      <c r="E2849" s="8">
        <f>vlookup(B2849,Filmes_final!$B$2:$U$1001,20,FALSE)</f>
        <v>184716</v>
      </c>
      <c r="F2849" s="5">
        <f>vlookup(B2849,Filmes_final!$B$2:$U$1001,3,FALSE)</f>
        <v>1944</v>
      </c>
      <c r="G2849" s="5" t="str">
        <f>vlookup(B2849,Filmes_final!$B$2:$U$1001,13,FALSE)</f>
        <v>Howard Hawks</v>
      </c>
    </row>
    <row r="2850">
      <c r="A2850" s="5">
        <v>713.0</v>
      </c>
      <c r="B2850" s="5" t="s">
        <v>4254</v>
      </c>
      <c r="C2850" s="5" t="s">
        <v>2883</v>
      </c>
      <c r="D2850" s="5" t="s">
        <v>6634</v>
      </c>
      <c r="E2850" s="8">
        <f>vlookup(B2850,Filmes_final!$B$2:$U$1001,20,FALSE)</f>
        <v>10899</v>
      </c>
      <c r="F2850" s="5">
        <f>vlookup(B2850,Filmes_final!$B$2:$U$1001,3,FALSE)</f>
        <v>1943</v>
      </c>
      <c r="G2850" s="5" t="str">
        <f>vlookup(B2850,Filmes_final!$B$2:$U$1001,13,FALSE)</f>
        <v>Alfred Hitchcock</v>
      </c>
    </row>
    <row r="2851">
      <c r="A2851" s="5">
        <v>713.0</v>
      </c>
      <c r="B2851" s="5" t="s">
        <v>4254</v>
      </c>
      <c r="C2851" s="5" t="s">
        <v>917</v>
      </c>
      <c r="D2851" s="5" t="s">
        <v>6635</v>
      </c>
      <c r="E2851" s="8">
        <f>vlookup(B2851,Filmes_final!$B$2:$U$1001,20,FALSE)</f>
        <v>10899</v>
      </c>
      <c r="F2851" s="5">
        <f>vlookup(B2851,Filmes_final!$B$2:$U$1001,3,FALSE)</f>
        <v>1943</v>
      </c>
      <c r="G2851" s="5" t="str">
        <f>vlookup(B2851,Filmes_final!$B$2:$U$1001,13,FALSE)</f>
        <v>Alfred Hitchcock</v>
      </c>
    </row>
    <row r="2852">
      <c r="A2852" s="5">
        <v>713.0</v>
      </c>
      <c r="B2852" s="5" t="s">
        <v>4254</v>
      </c>
      <c r="C2852" s="5" t="s">
        <v>4257</v>
      </c>
      <c r="D2852" s="5" t="s">
        <v>6636</v>
      </c>
      <c r="E2852" s="8">
        <f>vlookup(B2852,Filmes_final!$B$2:$U$1001,20,FALSE)</f>
        <v>10899</v>
      </c>
      <c r="F2852" s="5">
        <f>vlookup(B2852,Filmes_final!$B$2:$U$1001,3,FALSE)</f>
        <v>1943</v>
      </c>
      <c r="G2852" s="5" t="str">
        <f>vlookup(B2852,Filmes_final!$B$2:$U$1001,13,FALSE)</f>
        <v>Alfred Hitchcock</v>
      </c>
    </row>
    <row r="2853">
      <c r="A2853" s="5">
        <v>713.0</v>
      </c>
      <c r="B2853" s="5" t="s">
        <v>4254</v>
      </c>
      <c r="C2853" s="5" t="s">
        <v>4258</v>
      </c>
      <c r="D2853" s="5" t="s">
        <v>6637</v>
      </c>
      <c r="E2853" s="8">
        <f>vlookup(B2853,Filmes_final!$B$2:$U$1001,20,FALSE)</f>
        <v>10899</v>
      </c>
      <c r="F2853" s="5">
        <f>vlookup(B2853,Filmes_final!$B$2:$U$1001,3,FALSE)</f>
        <v>1943</v>
      </c>
      <c r="G2853" s="5" t="str">
        <f>vlookup(B2853,Filmes_final!$B$2:$U$1001,13,FALSE)</f>
        <v>Alfred Hitchcock</v>
      </c>
    </row>
    <row r="2854">
      <c r="A2854" s="5">
        <v>714.0</v>
      </c>
      <c r="B2854" s="5" t="s">
        <v>4259</v>
      </c>
      <c r="C2854" s="5" t="s">
        <v>1985</v>
      </c>
      <c r="D2854" s="5" t="s">
        <v>6634</v>
      </c>
      <c r="E2854" s="8">
        <f>vlookup(B2854,Filmes_final!$B$2:$U$1001,20,FALSE)</f>
        <v>7223</v>
      </c>
      <c r="F2854" s="5">
        <f>vlookup(B2854,Filmes_final!$B$2:$U$1001,3,FALSE)</f>
        <v>1939</v>
      </c>
      <c r="G2854" s="5" t="str">
        <f>vlookup(B2854,Filmes_final!$B$2:$U$1001,13,FALSE)</f>
        <v>John Ford</v>
      </c>
    </row>
    <row r="2855">
      <c r="A2855" s="5">
        <v>714.0</v>
      </c>
      <c r="B2855" s="5" t="s">
        <v>4259</v>
      </c>
      <c r="C2855" s="5" t="s">
        <v>4261</v>
      </c>
      <c r="D2855" s="5" t="s">
        <v>6635</v>
      </c>
      <c r="E2855" s="8">
        <f>vlookup(B2855,Filmes_final!$B$2:$U$1001,20,FALSE)</f>
        <v>7223</v>
      </c>
      <c r="F2855" s="5">
        <f>vlookup(B2855,Filmes_final!$B$2:$U$1001,3,FALSE)</f>
        <v>1939</v>
      </c>
      <c r="G2855" s="5" t="str">
        <f>vlookup(B2855,Filmes_final!$B$2:$U$1001,13,FALSE)</f>
        <v>John Ford</v>
      </c>
    </row>
    <row r="2856">
      <c r="A2856" s="5">
        <v>714.0</v>
      </c>
      <c r="B2856" s="5" t="s">
        <v>4259</v>
      </c>
      <c r="C2856" s="5" t="s">
        <v>4262</v>
      </c>
      <c r="D2856" s="5" t="s">
        <v>6636</v>
      </c>
      <c r="E2856" s="8">
        <f>vlookup(B2856,Filmes_final!$B$2:$U$1001,20,FALSE)</f>
        <v>7223</v>
      </c>
      <c r="F2856" s="5">
        <f>vlookup(B2856,Filmes_final!$B$2:$U$1001,3,FALSE)</f>
        <v>1939</v>
      </c>
      <c r="G2856" s="5" t="str">
        <f>vlookup(B2856,Filmes_final!$B$2:$U$1001,13,FALSE)</f>
        <v>John Ford</v>
      </c>
    </row>
    <row r="2857">
      <c r="A2857" s="5">
        <v>714.0</v>
      </c>
      <c r="B2857" s="5" t="s">
        <v>4259</v>
      </c>
      <c r="C2857" s="5" t="s">
        <v>2898</v>
      </c>
      <c r="D2857" s="5" t="s">
        <v>6637</v>
      </c>
      <c r="E2857" s="8">
        <f>vlookup(B2857,Filmes_final!$B$2:$U$1001,20,FALSE)</f>
        <v>7223</v>
      </c>
      <c r="F2857" s="5">
        <f>vlookup(B2857,Filmes_final!$B$2:$U$1001,3,FALSE)</f>
        <v>1939</v>
      </c>
      <c r="G2857" s="5" t="str">
        <f>vlookup(B2857,Filmes_final!$B$2:$U$1001,13,FALSE)</f>
        <v>John Ford</v>
      </c>
    </row>
    <row r="2858">
      <c r="A2858" s="5">
        <v>715.0</v>
      </c>
      <c r="B2858" s="5" t="s">
        <v>4263</v>
      </c>
      <c r="C2858" s="5" t="s">
        <v>4265</v>
      </c>
      <c r="D2858" s="5" t="s">
        <v>6634</v>
      </c>
      <c r="E2858" s="8">
        <f>vlookup(B2858,Filmes_final!$B$2:$U$1001,20,FALSE)</f>
        <v>722609</v>
      </c>
      <c r="F2858" s="5">
        <f>vlookup(B2858,Filmes_final!$B$2:$U$1001,3,FALSE)</f>
        <v>1938</v>
      </c>
      <c r="G2858" s="5" t="str">
        <f>vlookup(B2858,Filmes_final!$B$2:$U$1001,13,FALSE)</f>
        <v>Alfred Hitchcock</v>
      </c>
    </row>
    <row r="2859">
      <c r="A2859" s="5">
        <v>715.0</v>
      </c>
      <c r="B2859" s="5" t="s">
        <v>4263</v>
      </c>
      <c r="C2859" s="5" t="s">
        <v>4235</v>
      </c>
      <c r="D2859" s="5" t="s">
        <v>6635</v>
      </c>
      <c r="E2859" s="8">
        <f>vlookup(B2859,Filmes_final!$B$2:$U$1001,20,FALSE)</f>
        <v>722609</v>
      </c>
      <c r="F2859" s="5">
        <f>vlookup(B2859,Filmes_final!$B$2:$U$1001,3,FALSE)</f>
        <v>1938</v>
      </c>
      <c r="G2859" s="5" t="str">
        <f>vlookup(B2859,Filmes_final!$B$2:$U$1001,13,FALSE)</f>
        <v>Alfred Hitchcock</v>
      </c>
    </row>
    <row r="2860">
      <c r="A2860" s="5">
        <v>715.0</v>
      </c>
      <c r="B2860" s="5" t="s">
        <v>4263</v>
      </c>
      <c r="C2860" s="5" t="s">
        <v>4266</v>
      </c>
      <c r="D2860" s="5" t="s">
        <v>6636</v>
      </c>
      <c r="E2860" s="8">
        <f>vlookup(B2860,Filmes_final!$B$2:$U$1001,20,FALSE)</f>
        <v>722609</v>
      </c>
      <c r="F2860" s="5">
        <f>vlookup(B2860,Filmes_final!$B$2:$U$1001,3,FALSE)</f>
        <v>1938</v>
      </c>
      <c r="G2860" s="5" t="str">
        <f>vlookup(B2860,Filmes_final!$B$2:$U$1001,13,FALSE)</f>
        <v>Alfred Hitchcock</v>
      </c>
    </row>
    <row r="2861">
      <c r="A2861" s="5">
        <v>715.0</v>
      </c>
      <c r="B2861" s="5" t="s">
        <v>4263</v>
      </c>
      <c r="C2861" s="5" t="s">
        <v>4267</v>
      </c>
      <c r="D2861" s="5" t="s">
        <v>6637</v>
      </c>
      <c r="E2861" s="8">
        <f>vlookup(B2861,Filmes_final!$B$2:$U$1001,20,FALSE)</f>
        <v>722609</v>
      </c>
      <c r="F2861" s="5">
        <f>vlookup(B2861,Filmes_final!$B$2:$U$1001,3,FALSE)</f>
        <v>1938</v>
      </c>
      <c r="G2861" s="5" t="str">
        <f>vlookup(B2861,Filmes_final!$B$2:$U$1001,13,FALSE)</f>
        <v>Alfred Hitchcock</v>
      </c>
    </row>
    <row r="2862">
      <c r="A2862" s="5">
        <v>716.0</v>
      </c>
      <c r="B2862" s="5" t="s">
        <v>4268</v>
      </c>
      <c r="C2862" s="5" t="s">
        <v>3385</v>
      </c>
      <c r="D2862" s="5" t="s">
        <v>6634</v>
      </c>
      <c r="E2862" s="8">
        <f>vlookup(B2862,Filmes_final!$B$2:$U$1001,20,FALSE)</f>
        <v>203107</v>
      </c>
      <c r="F2862" s="5">
        <f>vlookup(B2862,Filmes_final!$B$2:$U$1001,3,FALSE)</f>
        <v>1938</v>
      </c>
      <c r="G2862" s="5" t="str">
        <f>vlookup(B2862,Filmes_final!$B$2:$U$1001,13,FALSE)</f>
        <v>Howard Hawks</v>
      </c>
    </row>
    <row r="2863">
      <c r="A2863" s="5">
        <v>716.0</v>
      </c>
      <c r="B2863" s="5" t="s">
        <v>4268</v>
      </c>
      <c r="C2863" s="5" t="s">
        <v>873</v>
      </c>
      <c r="D2863" s="5" t="s">
        <v>6635</v>
      </c>
      <c r="E2863" s="8">
        <f>vlookup(B2863,Filmes_final!$B$2:$U$1001,20,FALSE)</f>
        <v>203107</v>
      </c>
      <c r="F2863" s="5">
        <f>vlookup(B2863,Filmes_final!$B$2:$U$1001,3,FALSE)</f>
        <v>1938</v>
      </c>
      <c r="G2863" s="5" t="str">
        <f>vlookup(B2863,Filmes_final!$B$2:$U$1001,13,FALSE)</f>
        <v>Howard Hawks</v>
      </c>
    </row>
    <row r="2864">
      <c r="A2864" s="5">
        <v>716.0</v>
      </c>
      <c r="B2864" s="5" t="s">
        <v>4268</v>
      </c>
      <c r="C2864" s="5" t="s">
        <v>4272</v>
      </c>
      <c r="D2864" s="5" t="s">
        <v>6636</v>
      </c>
      <c r="E2864" s="8">
        <f>vlookup(B2864,Filmes_final!$B$2:$U$1001,20,FALSE)</f>
        <v>203107</v>
      </c>
      <c r="F2864" s="5">
        <f>vlookup(B2864,Filmes_final!$B$2:$U$1001,3,FALSE)</f>
        <v>1938</v>
      </c>
      <c r="G2864" s="5" t="str">
        <f>vlookup(B2864,Filmes_final!$B$2:$U$1001,13,FALSE)</f>
        <v>Howard Hawks</v>
      </c>
    </row>
    <row r="2865">
      <c r="A2865" s="5">
        <v>716.0</v>
      </c>
      <c r="B2865" s="5" t="s">
        <v>4268</v>
      </c>
      <c r="C2865" s="5" t="s">
        <v>4273</v>
      </c>
      <c r="D2865" s="5" t="s">
        <v>6637</v>
      </c>
      <c r="E2865" s="8">
        <f>vlookup(B2865,Filmes_final!$B$2:$U$1001,20,FALSE)</f>
        <v>203107</v>
      </c>
      <c r="F2865" s="5">
        <f>vlookup(B2865,Filmes_final!$B$2:$U$1001,3,FALSE)</f>
        <v>1938</v>
      </c>
      <c r="G2865" s="5" t="str">
        <f>vlookup(B2865,Filmes_final!$B$2:$U$1001,13,FALSE)</f>
        <v>Howard Hawks</v>
      </c>
    </row>
    <row r="2866">
      <c r="A2866" s="5">
        <v>717.0</v>
      </c>
      <c r="B2866" s="5" t="s">
        <v>4274</v>
      </c>
      <c r="C2866" s="5" t="s">
        <v>4278</v>
      </c>
      <c r="D2866" s="5" t="s">
        <v>6634</v>
      </c>
      <c r="E2866" s="8">
        <f>vlookup(B2866,Filmes_final!$B$2:$U$1001,20,FALSE)</f>
        <v>82702468</v>
      </c>
      <c r="F2866" s="5">
        <f>vlookup(B2866,Filmes_final!$B$2:$U$1001,3,FALSE)</f>
        <v>1935</v>
      </c>
      <c r="G2866" s="5" t="str">
        <f>vlookup(B2866,Filmes_final!$B$2:$U$1001,13,FALSE)</f>
        <v>James Whale</v>
      </c>
    </row>
    <row r="2867">
      <c r="A2867" s="5">
        <v>717.0</v>
      </c>
      <c r="B2867" s="5" t="s">
        <v>4274</v>
      </c>
      <c r="C2867" s="5" t="s">
        <v>614</v>
      </c>
      <c r="D2867" s="5" t="s">
        <v>6635</v>
      </c>
      <c r="E2867" s="8">
        <f>vlookup(B2867,Filmes_final!$B$2:$U$1001,20,FALSE)</f>
        <v>82702468</v>
      </c>
      <c r="F2867" s="5">
        <f>vlookup(B2867,Filmes_final!$B$2:$U$1001,3,FALSE)</f>
        <v>1935</v>
      </c>
      <c r="G2867" s="5" t="str">
        <f>vlookup(B2867,Filmes_final!$B$2:$U$1001,13,FALSE)</f>
        <v>James Whale</v>
      </c>
    </row>
    <row r="2868">
      <c r="A2868" s="5">
        <v>717.0</v>
      </c>
      <c r="B2868" s="5" t="s">
        <v>4274</v>
      </c>
      <c r="C2868" s="5" t="s">
        <v>4279</v>
      </c>
      <c r="D2868" s="5" t="s">
        <v>6636</v>
      </c>
      <c r="E2868" s="8">
        <f>vlookup(B2868,Filmes_final!$B$2:$U$1001,20,FALSE)</f>
        <v>82702468</v>
      </c>
      <c r="F2868" s="5">
        <f>vlookup(B2868,Filmes_final!$B$2:$U$1001,3,FALSE)</f>
        <v>1935</v>
      </c>
      <c r="G2868" s="5" t="str">
        <f>vlookup(B2868,Filmes_final!$B$2:$U$1001,13,FALSE)</f>
        <v>James Whale</v>
      </c>
    </row>
    <row r="2869">
      <c r="A2869" s="5">
        <v>717.0</v>
      </c>
      <c r="B2869" s="5" t="s">
        <v>4274</v>
      </c>
      <c r="C2869" s="5" t="s">
        <v>2855</v>
      </c>
      <c r="D2869" s="5" t="s">
        <v>6637</v>
      </c>
      <c r="E2869" s="8">
        <f>vlookup(B2869,Filmes_final!$B$2:$U$1001,20,FALSE)</f>
        <v>82702468</v>
      </c>
      <c r="F2869" s="5">
        <f>vlookup(B2869,Filmes_final!$B$2:$U$1001,3,FALSE)</f>
        <v>1935</v>
      </c>
      <c r="G2869" s="5" t="str">
        <f>vlookup(B2869,Filmes_final!$B$2:$U$1001,13,FALSE)</f>
        <v>James Whale</v>
      </c>
    </row>
    <row r="2870">
      <c r="A2870" s="5">
        <v>718.0</v>
      </c>
      <c r="B2870" s="5" t="s">
        <v>4280</v>
      </c>
      <c r="C2870" s="5" t="s">
        <v>3489</v>
      </c>
      <c r="D2870" s="5" t="s">
        <v>6634</v>
      </c>
      <c r="E2870" s="8">
        <f>vlookup(B2870,Filmes_final!$B$2:$U$1001,20,FALSE)</f>
        <v>2075767</v>
      </c>
      <c r="F2870" s="5">
        <f>vlookup(B2870,Filmes_final!$B$2:$U$1001,3,FALSE)</f>
        <v>1933</v>
      </c>
      <c r="G2870" s="5" t="str">
        <f>vlookup(B2870,Filmes_final!$B$2:$U$1001,13,FALSE)</f>
        <v>Leo McCarey</v>
      </c>
    </row>
    <row r="2871">
      <c r="A2871" s="5">
        <v>718.0</v>
      </c>
      <c r="B2871" s="5" t="s">
        <v>4280</v>
      </c>
      <c r="C2871" s="5" t="s">
        <v>3491</v>
      </c>
      <c r="D2871" s="5" t="s">
        <v>6635</v>
      </c>
      <c r="E2871" s="8">
        <f>vlookup(B2871,Filmes_final!$B$2:$U$1001,20,FALSE)</f>
        <v>2075767</v>
      </c>
      <c r="F2871" s="5">
        <f>vlookup(B2871,Filmes_final!$B$2:$U$1001,3,FALSE)</f>
        <v>1933</v>
      </c>
      <c r="G2871" s="5" t="str">
        <f>vlookup(B2871,Filmes_final!$B$2:$U$1001,13,FALSE)</f>
        <v>Leo McCarey</v>
      </c>
    </row>
    <row r="2872">
      <c r="A2872" s="5">
        <v>718.0</v>
      </c>
      <c r="B2872" s="5" t="s">
        <v>4280</v>
      </c>
      <c r="C2872" s="5" t="s">
        <v>3490</v>
      </c>
      <c r="D2872" s="5" t="s">
        <v>6636</v>
      </c>
      <c r="E2872" s="8">
        <f>vlookup(B2872,Filmes_final!$B$2:$U$1001,20,FALSE)</f>
        <v>2075767</v>
      </c>
      <c r="F2872" s="5">
        <f>vlookup(B2872,Filmes_final!$B$2:$U$1001,3,FALSE)</f>
        <v>1933</v>
      </c>
      <c r="G2872" s="5" t="str">
        <f>vlookup(B2872,Filmes_final!$B$2:$U$1001,13,FALSE)</f>
        <v>Leo McCarey</v>
      </c>
    </row>
    <row r="2873">
      <c r="A2873" s="5">
        <v>718.0</v>
      </c>
      <c r="B2873" s="5" t="s">
        <v>4280</v>
      </c>
      <c r="C2873" s="5" t="s">
        <v>4286</v>
      </c>
      <c r="D2873" s="5" t="s">
        <v>6637</v>
      </c>
      <c r="E2873" s="8">
        <f>vlookup(B2873,Filmes_final!$B$2:$U$1001,20,FALSE)</f>
        <v>2075767</v>
      </c>
      <c r="F2873" s="5">
        <f>vlookup(B2873,Filmes_final!$B$2:$U$1001,3,FALSE)</f>
        <v>1933</v>
      </c>
      <c r="G2873" s="5" t="str">
        <f>vlookup(B2873,Filmes_final!$B$2:$U$1001,13,FALSE)</f>
        <v>Leo McCarey</v>
      </c>
    </row>
    <row r="2874">
      <c r="A2874" s="5">
        <v>719.0</v>
      </c>
      <c r="B2874" s="5" t="s">
        <v>4287</v>
      </c>
      <c r="C2874" s="5" t="s">
        <v>4289</v>
      </c>
      <c r="D2874" s="5" t="s">
        <v>6634</v>
      </c>
      <c r="E2874" s="8">
        <f>vlookup(B2874,Filmes_final!$B$2:$U$1001,20,FALSE)</f>
        <v>23596229</v>
      </c>
      <c r="F2874" s="5">
        <f>vlookup(B2874,Filmes_final!$B$2:$U$1001,3,FALSE)</f>
        <v>1932</v>
      </c>
      <c r="G2874" s="5" t="str">
        <f>vlookup(B2874,Filmes_final!$B$2:$U$1001,13,FALSE)</f>
        <v>Howard Hawks</v>
      </c>
    </row>
    <row r="2875">
      <c r="A2875" s="5">
        <v>719.0</v>
      </c>
      <c r="B2875" s="5" t="s">
        <v>4287</v>
      </c>
      <c r="C2875" s="5" t="s">
        <v>4290</v>
      </c>
      <c r="D2875" s="5" t="s">
        <v>6635</v>
      </c>
      <c r="E2875" s="8">
        <f>vlookup(B2875,Filmes_final!$B$2:$U$1001,20,FALSE)</f>
        <v>23596229</v>
      </c>
      <c r="F2875" s="5">
        <f>vlookup(B2875,Filmes_final!$B$2:$U$1001,3,FALSE)</f>
        <v>1932</v>
      </c>
      <c r="G2875" s="5" t="str">
        <f>vlookup(B2875,Filmes_final!$B$2:$U$1001,13,FALSE)</f>
        <v>Howard Hawks</v>
      </c>
    </row>
    <row r="2876">
      <c r="A2876" s="5">
        <v>719.0</v>
      </c>
      <c r="B2876" s="5" t="s">
        <v>4287</v>
      </c>
      <c r="C2876" s="5" t="s">
        <v>4291</v>
      </c>
      <c r="D2876" s="5" t="s">
        <v>6636</v>
      </c>
      <c r="E2876" s="8">
        <f>vlookup(B2876,Filmes_final!$B$2:$U$1001,20,FALSE)</f>
        <v>23596229</v>
      </c>
      <c r="F2876" s="5">
        <f>vlookup(B2876,Filmes_final!$B$2:$U$1001,3,FALSE)</f>
        <v>1932</v>
      </c>
      <c r="G2876" s="5" t="str">
        <f>vlookup(B2876,Filmes_final!$B$2:$U$1001,13,FALSE)</f>
        <v>Howard Hawks</v>
      </c>
    </row>
    <row r="2877">
      <c r="A2877" s="5">
        <v>719.0</v>
      </c>
      <c r="B2877" s="5" t="s">
        <v>4287</v>
      </c>
      <c r="C2877" s="5" t="s">
        <v>4292</v>
      </c>
      <c r="D2877" s="5" t="s">
        <v>6637</v>
      </c>
      <c r="E2877" s="8">
        <f>vlookup(B2877,Filmes_final!$B$2:$U$1001,20,FALSE)</f>
        <v>23596229</v>
      </c>
      <c r="F2877" s="5">
        <f>vlookup(B2877,Filmes_final!$B$2:$U$1001,3,FALSE)</f>
        <v>1932</v>
      </c>
      <c r="G2877" s="5" t="str">
        <f>vlookup(B2877,Filmes_final!$B$2:$U$1001,13,FALSE)</f>
        <v>Howard Hawks</v>
      </c>
    </row>
    <row r="2878">
      <c r="A2878" s="5">
        <v>720.0</v>
      </c>
      <c r="B2878" s="5" t="s">
        <v>4293</v>
      </c>
      <c r="C2878" s="5" t="s">
        <v>4279</v>
      </c>
      <c r="D2878" s="5" t="s">
        <v>6634</v>
      </c>
      <c r="E2878" s="8">
        <f>vlookup(B2878,Filmes_final!$B$2:$U$1001,20,FALSE)</f>
        <v>26381</v>
      </c>
      <c r="F2878" s="5">
        <f>vlookup(B2878,Filmes_final!$B$2:$U$1001,3,FALSE)</f>
        <v>1931</v>
      </c>
      <c r="G2878" s="5" t="str">
        <f>vlookup(B2878,Filmes_final!$B$2:$U$1001,13,FALSE)</f>
        <v>James Whale</v>
      </c>
    </row>
    <row r="2879">
      <c r="A2879" s="5">
        <v>720.0</v>
      </c>
      <c r="B2879" s="5" t="s">
        <v>4293</v>
      </c>
      <c r="C2879" s="5" t="s">
        <v>4296</v>
      </c>
      <c r="D2879" s="5" t="s">
        <v>6635</v>
      </c>
      <c r="E2879" s="8">
        <f>vlookup(B2879,Filmes_final!$B$2:$U$1001,20,FALSE)</f>
        <v>26381</v>
      </c>
      <c r="F2879" s="5">
        <f>vlookup(B2879,Filmes_final!$B$2:$U$1001,3,FALSE)</f>
        <v>1931</v>
      </c>
      <c r="G2879" s="5" t="str">
        <f>vlookup(B2879,Filmes_final!$B$2:$U$1001,13,FALSE)</f>
        <v>James Whale</v>
      </c>
    </row>
    <row r="2880">
      <c r="A2880" s="5">
        <v>720.0</v>
      </c>
      <c r="B2880" s="5" t="s">
        <v>4293</v>
      </c>
      <c r="C2880" s="5" t="s">
        <v>4278</v>
      </c>
      <c r="D2880" s="5" t="s">
        <v>6636</v>
      </c>
      <c r="E2880" s="8">
        <f>vlookup(B2880,Filmes_final!$B$2:$U$1001,20,FALSE)</f>
        <v>26381</v>
      </c>
      <c r="F2880" s="5">
        <f>vlookup(B2880,Filmes_final!$B$2:$U$1001,3,FALSE)</f>
        <v>1931</v>
      </c>
      <c r="G2880" s="5" t="str">
        <f>vlookup(B2880,Filmes_final!$B$2:$U$1001,13,FALSE)</f>
        <v>James Whale</v>
      </c>
    </row>
    <row r="2881">
      <c r="A2881" s="5">
        <v>720.0</v>
      </c>
      <c r="B2881" s="5" t="s">
        <v>4293</v>
      </c>
      <c r="C2881" s="5" t="s">
        <v>4297</v>
      </c>
      <c r="D2881" s="5" t="s">
        <v>6637</v>
      </c>
      <c r="E2881" s="8">
        <f>vlookup(B2881,Filmes_final!$B$2:$U$1001,20,FALSE)</f>
        <v>26381</v>
      </c>
      <c r="F2881" s="5">
        <f>vlookup(B2881,Filmes_final!$B$2:$U$1001,3,FALSE)</f>
        <v>1931</v>
      </c>
      <c r="G2881" s="5" t="str">
        <f>vlookup(B2881,Filmes_final!$B$2:$U$1001,13,FALSE)</f>
        <v>James Whale</v>
      </c>
    </row>
    <row r="2882">
      <c r="A2882" s="5">
        <v>721.0</v>
      </c>
      <c r="B2882" s="5" t="s">
        <v>4298</v>
      </c>
      <c r="C2882" s="5" t="s">
        <v>4300</v>
      </c>
      <c r="D2882" s="5" t="s">
        <v>6634</v>
      </c>
      <c r="E2882" s="8">
        <f>vlookup(B2882,Filmes_final!$B$2:$U$1001,20,FALSE)</f>
        <v>1187271</v>
      </c>
      <c r="F2882" s="5">
        <f>vlookup(B2882,Filmes_final!$B$2:$U$1001,3,FALSE)</f>
        <v>2018</v>
      </c>
      <c r="G2882" s="5" t="str">
        <f>vlookup(B2882,Filmes_final!$B$2:$U$1001,13,FALSE)</f>
        <v>Alfonso Cuarón</v>
      </c>
    </row>
    <row r="2883">
      <c r="A2883" s="5">
        <v>721.0</v>
      </c>
      <c r="B2883" s="5" t="s">
        <v>4298</v>
      </c>
      <c r="C2883" s="5" t="s">
        <v>4301</v>
      </c>
      <c r="D2883" s="5" t="s">
        <v>6635</v>
      </c>
      <c r="E2883" s="8">
        <f>vlookup(B2883,Filmes_final!$B$2:$U$1001,20,FALSE)</f>
        <v>1187271</v>
      </c>
      <c r="F2883" s="5">
        <f>vlookup(B2883,Filmes_final!$B$2:$U$1001,3,FALSE)</f>
        <v>2018</v>
      </c>
      <c r="G2883" s="5" t="str">
        <f>vlookup(B2883,Filmes_final!$B$2:$U$1001,13,FALSE)</f>
        <v>Alfonso Cuarón</v>
      </c>
    </row>
    <row r="2884">
      <c r="A2884" s="5">
        <v>721.0</v>
      </c>
      <c r="B2884" s="5" t="s">
        <v>4298</v>
      </c>
      <c r="C2884" s="5" t="s">
        <v>4302</v>
      </c>
      <c r="D2884" s="5" t="s">
        <v>6636</v>
      </c>
      <c r="E2884" s="8">
        <f>vlookup(B2884,Filmes_final!$B$2:$U$1001,20,FALSE)</f>
        <v>1187271</v>
      </c>
      <c r="F2884" s="5">
        <f>vlookup(B2884,Filmes_final!$B$2:$U$1001,3,FALSE)</f>
        <v>2018</v>
      </c>
      <c r="G2884" s="5" t="str">
        <f>vlookup(B2884,Filmes_final!$B$2:$U$1001,13,FALSE)</f>
        <v>Alfonso Cuarón</v>
      </c>
    </row>
    <row r="2885">
      <c r="A2885" s="5">
        <v>721.0</v>
      </c>
      <c r="B2885" s="5" t="s">
        <v>4298</v>
      </c>
      <c r="C2885" s="5" t="s">
        <v>4303</v>
      </c>
      <c r="D2885" s="5" t="s">
        <v>6637</v>
      </c>
      <c r="E2885" s="8">
        <f>vlookup(B2885,Filmes_final!$B$2:$U$1001,20,FALSE)</f>
        <v>1187271</v>
      </c>
      <c r="F2885" s="5">
        <f>vlookup(B2885,Filmes_final!$B$2:$U$1001,3,FALSE)</f>
        <v>2018</v>
      </c>
      <c r="G2885" s="5" t="str">
        <f>vlookup(B2885,Filmes_final!$B$2:$U$1001,13,FALSE)</f>
        <v>Alfonso Cuarón</v>
      </c>
    </row>
    <row r="2886">
      <c r="A2886" s="5">
        <v>722.0</v>
      </c>
      <c r="B2886" s="5" t="s">
        <v>4304</v>
      </c>
      <c r="C2886" s="5" t="s">
        <v>4307</v>
      </c>
      <c r="D2886" s="5" t="s">
        <v>6634</v>
      </c>
      <c r="E2886" s="8">
        <f>vlookup(B2886,Filmes_final!$B$2:$U$1001,20,FALSE)</f>
        <v>356522</v>
      </c>
      <c r="F2886" s="5">
        <f>vlookup(B2886,Filmes_final!$B$2:$U$1001,3,FALSE)</f>
        <v>2017</v>
      </c>
      <c r="G2886" s="5" t="str">
        <f>vlookup(B2886,Filmes_final!$B$2:$U$1001,13,FALSE)</f>
        <v>Francis Lee</v>
      </c>
    </row>
    <row r="2887">
      <c r="A2887" s="5">
        <v>722.0</v>
      </c>
      <c r="B2887" s="5" t="s">
        <v>4304</v>
      </c>
      <c r="C2887" s="5" t="s">
        <v>4308</v>
      </c>
      <c r="D2887" s="5" t="s">
        <v>6635</v>
      </c>
      <c r="E2887" s="8">
        <f>vlookup(B2887,Filmes_final!$B$2:$U$1001,20,FALSE)</f>
        <v>356522</v>
      </c>
      <c r="F2887" s="5">
        <f>vlookup(B2887,Filmes_final!$B$2:$U$1001,3,FALSE)</f>
        <v>2017</v>
      </c>
      <c r="G2887" s="5" t="str">
        <f>vlookup(B2887,Filmes_final!$B$2:$U$1001,13,FALSE)</f>
        <v>Francis Lee</v>
      </c>
    </row>
    <row r="2888">
      <c r="A2888" s="5">
        <v>722.0</v>
      </c>
      <c r="B2888" s="5" t="s">
        <v>4304</v>
      </c>
      <c r="C2888" s="5" t="s">
        <v>4309</v>
      </c>
      <c r="D2888" s="5" t="s">
        <v>6636</v>
      </c>
      <c r="E2888" s="8">
        <f>vlookup(B2888,Filmes_final!$B$2:$U$1001,20,FALSE)</f>
        <v>356522</v>
      </c>
      <c r="F2888" s="5">
        <f>vlookup(B2888,Filmes_final!$B$2:$U$1001,3,FALSE)</f>
        <v>2017</v>
      </c>
      <c r="G2888" s="5" t="str">
        <f>vlookup(B2888,Filmes_final!$B$2:$U$1001,13,FALSE)</f>
        <v>Francis Lee</v>
      </c>
    </row>
    <row r="2889">
      <c r="A2889" s="5">
        <v>722.0</v>
      </c>
      <c r="B2889" s="5" t="s">
        <v>4304</v>
      </c>
      <c r="C2889" s="5" t="s">
        <v>4310</v>
      </c>
      <c r="D2889" s="5" t="s">
        <v>6637</v>
      </c>
      <c r="E2889" s="8">
        <f>vlookup(B2889,Filmes_final!$B$2:$U$1001,20,FALSE)</f>
        <v>356522</v>
      </c>
      <c r="F2889" s="5">
        <f>vlookup(B2889,Filmes_final!$B$2:$U$1001,3,FALSE)</f>
        <v>2017</v>
      </c>
      <c r="G2889" s="5" t="str">
        <f>vlookup(B2889,Filmes_final!$B$2:$U$1001,13,FALSE)</f>
        <v>Francis Lee</v>
      </c>
    </row>
    <row r="2890">
      <c r="A2890" s="5">
        <v>723.0</v>
      </c>
      <c r="B2890" s="5" t="s">
        <v>4311</v>
      </c>
      <c r="C2890" s="5" t="s">
        <v>2291</v>
      </c>
      <c r="D2890" s="5" t="s">
        <v>6634</v>
      </c>
      <c r="E2890" s="8">
        <f>vlookup(B2890,Filmes_final!$B$2:$U$1001,20,FALSE)</f>
        <v>337823328</v>
      </c>
      <c r="F2890" s="5">
        <f>vlookup(B2890,Filmes_final!$B$2:$U$1001,3,FALSE)</f>
        <v>2018</v>
      </c>
      <c r="G2890" s="5" t="str">
        <f>vlookup(B2890,Filmes_final!$B$2:$U$1001,13,FALSE)</f>
        <v>David Leitch</v>
      </c>
    </row>
    <row r="2891">
      <c r="A2891" s="5">
        <v>723.0</v>
      </c>
      <c r="B2891" s="5" t="s">
        <v>4311</v>
      </c>
      <c r="C2891" s="5" t="s">
        <v>1616</v>
      </c>
      <c r="D2891" s="5" t="s">
        <v>6635</v>
      </c>
      <c r="E2891" s="8">
        <f>vlookup(B2891,Filmes_final!$B$2:$U$1001,20,FALSE)</f>
        <v>337823328</v>
      </c>
      <c r="F2891" s="5">
        <f>vlookup(B2891,Filmes_final!$B$2:$U$1001,3,FALSE)</f>
        <v>2018</v>
      </c>
      <c r="G2891" s="5" t="str">
        <f>vlookup(B2891,Filmes_final!$B$2:$U$1001,13,FALSE)</f>
        <v>David Leitch</v>
      </c>
    </row>
    <row r="2892">
      <c r="A2892" s="5">
        <v>723.0</v>
      </c>
      <c r="B2892" s="5" t="s">
        <v>4311</v>
      </c>
      <c r="C2892" s="5" t="s">
        <v>2292</v>
      </c>
      <c r="D2892" s="5" t="s">
        <v>6636</v>
      </c>
      <c r="E2892" s="8">
        <f>vlookup(B2892,Filmes_final!$B$2:$U$1001,20,FALSE)</f>
        <v>337823328</v>
      </c>
      <c r="F2892" s="5">
        <f>vlookup(B2892,Filmes_final!$B$2:$U$1001,3,FALSE)</f>
        <v>2018</v>
      </c>
      <c r="G2892" s="5" t="str">
        <f>vlookup(B2892,Filmes_final!$B$2:$U$1001,13,FALSE)</f>
        <v>David Leitch</v>
      </c>
    </row>
    <row r="2893">
      <c r="A2893" s="5">
        <v>723.0</v>
      </c>
      <c r="B2893" s="5" t="s">
        <v>4311</v>
      </c>
      <c r="C2893" s="5" t="s">
        <v>2978</v>
      </c>
      <c r="D2893" s="5" t="s">
        <v>6637</v>
      </c>
      <c r="E2893" s="8">
        <f>vlookup(B2893,Filmes_final!$B$2:$U$1001,20,FALSE)</f>
        <v>337823328</v>
      </c>
      <c r="F2893" s="5">
        <f>vlookup(B2893,Filmes_final!$B$2:$U$1001,3,FALSE)</f>
        <v>2018</v>
      </c>
      <c r="G2893" s="5" t="str">
        <f>vlookup(B2893,Filmes_final!$B$2:$U$1001,13,FALSE)</f>
        <v>David Leitch</v>
      </c>
    </row>
    <row r="2894">
      <c r="A2894" s="5">
        <v>724.0</v>
      </c>
      <c r="B2894" s="5" t="s">
        <v>4314</v>
      </c>
      <c r="C2894" s="5" t="s">
        <v>4317</v>
      </c>
      <c r="D2894" s="5" t="s">
        <v>6634</v>
      </c>
      <c r="E2894" s="8">
        <f>vlookup(B2894,Filmes_final!$B$2:$U$1001,20,FALSE)</f>
        <v>35907088</v>
      </c>
      <c r="F2894" s="5">
        <f>vlookup(B2894,Filmes_final!$B$2:$U$1001,3,FALSE)</f>
        <v>2017</v>
      </c>
      <c r="G2894" s="5" t="str">
        <f>vlookup(B2894,Filmes_final!$B$2:$U$1001,13,FALSE)</f>
        <v>Taylor Sheridan</v>
      </c>
    </row>
    <row r="2895">
      <c r="A2895" s="5">
        <v>724.0</v>
      </c>
      <c r="B2895" s="5" t="s">
        <v>4314</v>
      </c>
      <c r="C2895" s="5" t="s">
        <v>2339</v>
      </c>
      <c r="D2895" s="5" t="s">
        <v>6635</v>
      </c>
      <c r="E2895" s="8">
        <f>vlookup(B2895,Filmes_final!$B$2:$U$1001,20,FALSE)</f>
        <v>35907088</v>
      </c>
      <c r="F2895" s="5">
        <f>vlookup(B2895,Filmes_final!$B$2:$U$1001,3,FALSE)</f>
        <v>2017</v>
      </c>
      <c r="G2895" s="5" t="str">
        <f>vlookup(B2895,Filmes_final!$B$2:$U$1001,13,FALSE)</f>
        <v>Taylor Sheridan</v>
      </c>
    </row>
    <row r="2896">
      <c r="A2896" s="5">
        <v>724.0</v>
      </c>
      <c r="B2896" s="5" t="s">
        <v>4314</v>
      </c>
      <c r="C2896" s="5" t="s">
        <v>4318</v>
      </c>
      <c r="D2896" s="5" t="s">
        <v>6636</v>
      </c>
      <c r="E2896" s="8">
        <f>vlookup(B2896,Filmes_final!$B$2:$U$1001,20,FALSE)</f>
        <v>35907088</v>
      </c>
      <c r="F2896" s="5">
        <f>vlookup(B2896,Filmes_final!$B$2:$U$1001,3,FALSE)</f>
        <v>2017</v>
      </c>
      <c r="G2896" s="5" t="str">
        <f>vlookup(B2896,Filmes_final!$B$2:$U$1001,13,FALSE)</f>
        <v>Taylor Sheridan</v>
      </c>
    </row>
    <row r="2897">
      <c r="A2897" s="5">
        <v>724.0</v>
      </c>
      <c r="B2897" s="5" t="s">
        <v>4314</v>
      </c>
      <c r="C2897" s="5" t="s">
        <v>4319</v>
      </c>
      <c r="D2897" s="5" t="s">
        <v>6637</v>
      </c>
      <c r="E2897" s="8">
        <f>vlookup(B2897,Filmes_final!$B$2:$U$1001,20,FALSE)</f>
        <v>35907088</v>
      </c>
      <c r="F2897" s="5">
        <f>vlookup(B2897,Filmes_final!$B$2:$U$1001,3,FALSE)</f>
        <v>2017</v>
      </c>
      <c r="G2897" s="5" t="str">
        <f>vlookup(B2897,Filmes_final!$B$2:$U$1001,13,FALSE)</f>
        <v>Taylor Sheridan</v>
      </c>
    </row>
    <row r="2898">
      <c r="A2898" s="5">
        <v>725.0</v>
      </c>
      <c r="B2898" s="5" t="s">
        <v>4320</v>
      </c>
      <c r="C2898" s="5" t="s">
        <v>4323</v>
      </c>
      <c r="D2898" s="5" t="s">
        <v>6634</v>
      </c>
      <c r="E2898" s="8">
        <f>vlookup(B2898,Filmes_final!$B$2:$U$1001,20,FALSE)</f>
        <v>187010268</v>
      </c>
      <c r="F2898" s="5">
        <f>vlookup(B2898,Filmes_final!$B$2:$U$1001,3,FALSE)</f>
        <v>2017</v>
      </c>
      <c r="G2898" s="5" t="str">
        <f>vlookup(B2898,Filmes_final!$B$2:$U$1001,13,FALSE)</f>
        <v>Jordan Peele</v>
      </c>
    </row>
    <row r="2899">
      <c r="A2899" s="5">
        <v>725.0</v>
      </c>
      <c r="B2899" s="5" t="s">
        <v>4320</v>
      </c>
      <c r="C2899" s="5" t="s">
        <v>4324</v>
      </c>
      <c r="D2899" s="5" t="s">
        <v>6635</v>
      </c>
      <c r="E2899" s="8">
        <f>vlookup(B2899,Filmes_final!$B$2:$U$1001,20,FALSE)</f>
        <v>187010268</v>
      </c>
      <c r="F2899" s="5">
        <f>vlookup(B2899,Filmes_final!$B$2:$U$1001,3,FALSE)</f>
        <v>2017</v>
      </c>
      <c r="G2899" s="5" t="str">
        <f>vlookup(B2899,Filmes_final!$B$2:$U$1001,13,FALSE)</f>
        <v>Jordan Peele</v>
      </c>
    </row>
    <row r="2900">
      <c r="A2900" s="5">
        <v>725.0</v>
      </c>
      <c r="B2900" s="5" t="s">
        <v>4320</v>
      </c>
      <c r="C2900" s="5" t="s">
        <v>4325</v>
      </c>
      <c r="D2900" s="5" t="s">
        <v>6636</v>
      </c>
      <c r="E2900" s="8">
        <f>vlookup(B2900,Filmes_final!$B$2:$U$1001,20,FALSE)</f>
        <v>187010268</v>
      </c>
      <c r="F2900" s="5">
        <f>vlookup(B2900,Filmes_final!$B$2:$U$1001,3,FALSE)</f>
        <v>2017</v>
      </c>
      <c r="G2900" s="5" t="str">
        <f>vlookup(B2900,Filmes_final!$B$2:$U$1001,13,FALSE)</f>
        <v>Jordan Peele</v>
      </c>
    </row>
    <row r="2901">
      <c r="A2901" s="5">
        <v>725.0</v>
      </c>
      <c r="B2901" s="5" t="s">
        <v>4320</v>
      </c>
      <c r="C2901" s="5" t="s">
        <v>1608</v>
      </c>
      <c r="D2901" s="5" t="s">
        <v>6637</v>
      </c>
      <c r="E2901" s="8">
        <f>vlookup(B2901,Filmes_final!$B$2:$U$1001,20,FALSE)</f>
        <v>187010268</v>
      </c>
      <c r="F2901" s="5">
        <f>vlookup(B2901,Filmes_final!$B$2:$U$1001,3,FALSE)</f>
        <v>2017</v>
      </c>
      <c r="G2901" s="5" t="str">
        <f>vlookup(B2901,Filmes_final!$B$2:$U$1001,13,FALSE)</f>
        <v>Jordan Peele</v>
      </c>
    </row>
    <row r="2902">
      <c r="A2902" s="5">
        <v>726.0</v>
      </c>
      <c r="B2902" s="5" t="s">
        <v>4326</v>
      </c>
      <c r="C2902" s="5" t="s">
        <v>2486</v>
      </c>
      <c r="D2902" s="5" t="s">
        <v>6634</v>
      </c>
      <c r="E2902" s="8">
        <f>vlookup(B2902,Filmes_final!$B$2:$U$1001,20,FALSE)</f>
        <v>229133626</v>
      </c>
      <c r="F2902" s="5">
        <f>vlookup(B2902,Filmes_final!$B$2:$U$1001,3,FALSE)</f>
        <v>2018</v>
      </c>
      <c r="G2902" s="5" t="str">
        <f>vlookup(B2902,Filmes_final!$B$2:$U$1001,13,FALSE)</f>
        <v>Christopher McQuarrie</v>
      </c>
    </row>
    <row r="2903">
      <c r="A2903" s="5">
        <v>726.0</v>
      </c>
      <c r="B2903" s="5" t="s">
        <v>4326</v>
      </c>
      <c r="C2903" s="5" t="s">
        <v>4329</v>
      </c>
      <c r="D2903" s="5" t="s">
        <v>6635</v>
      </c>
      <c r="E2903" s="8">
        <f>vlookup(B2903,Filmes_final!$B$2:$U$1001,20,FALSE)</f>
        <v>229133626</v>
      </c>
      <c r="F2903" s="5">
        <f>vlookup(B2903,Filmes_final!$B$2:$U$1001,3,FALSE)</f>
        <v>2018</v>
      </c>
      <c r="G2903" s="5" t="str">
        <f>vlookup(B2903,Filmes_final!$B$2:$U$1001,13,FALSE)</f>
        <v>Christopher McQuarrie</v>
      </c>
    </row>
    <row r="2904">
      <c r="A2904" s="5">
        <v>726.0</v>
      </c>
      <c r="B2904" s="5" t="s">
        <v>4326</v>
      </c>
      <c r="C2904" s="5" t="s">
        <v>4330</v>
      </c>
      <c r="D2904" s="5" t="s">
        <v>6636</v>
      </c>
      <c r="E2904" s="8">
        <f>vlookup(B2904,Filmes_final!$B$2:$U$1001,20,FALSE)</f>
        <v>229133626</v>
      </c>
      <c r="F2904" s="5">
        <f>vlookup(B2904,Filmes_final!$B$2:$U$1001,3,FALSE)</f>
        <v>2018</v>
      </c>
      <c r="G2904" s="5" t="str">
        <f>vlookup(B2904,Filmes_final!$B$2:$U$1001,13,FALSE)</f>
        <v>Christopher McQuarrie</v>
      </c>
    </row>
    <row r="2905">
      <c r="A2905" s="5">
        <v>726.0</v>
      </c>
      <c r="B2905" s="5" t="s">
        <v>4326</v>
      </c>
      <c r="C2905" s="5" t="s">
        <v>3102</v>
      </c>
      <c r="D2905" s="5" t="s">
        <v>6637</v>
      </c>
      <c r="E2905" s="8">
        <f>vlookup(B2905,Filmes_final!$B$2:$U$1001,20,FALSE)</f>
        <v>229133626</v>
      </c>
      <c r="F2905" s="5">
        <f>vlookup(B2905,Filmes_final!$B$2:$U$1001,3,FALSE)</f>
        <v>2018</v>
      </c>
      <c r="G2905" s="5" t="str">
        <f>vlookup(B2905,Filmes_final!$B$2:$U$1001,13,FALSE)</f>
        <v>Christopher McQuarrie</v>
      </c>
    </row>
    <row r="2906">
      <c r="A2906" s="5">
        <v>727.0</v>
      </c>
      <c r="B2906" s="5" t="s">
        <v>4331</v>
      </c>
      <c r="C2906" s="5" t="s">
        <v>4334</v>
      </c>
      <c r="D2906" s="5" t="s">
        <v>6634</v>
      </c>
      <c r="E2906" s="8">
        <f>vlookup(B2906,Filmes_final!$B$2:$U$1001,20,FALSE)</f>
        <v>3707207</v>
      </c>
      <c r="F2906" s="5">
        <f>vlookup(B2906,Filmes_final!$B$2:$U$1001,3,FALSE)</f>
        <v>2015</v>
      </c>
      <c r="G2906" s="5" t="str">
        <f>vlookup(B2906,Filmes_final!$B$2:$U$1001,13,FALSE)</f>
        <v>Hannes Holm</v>
      </c>
    </row>
    <row r="2907">
      <c r="A2907" s="5">
        <v>727.0</v>
      </c>
      <c r="B2907" s="5" t="s">
        <v>4331</v>
      </c>
      <c r="C2907" s="5" t="s">
        <v>4335</v>
      </c>
      <c r="D2907" s="5" t="s">
        <v>6635</v>
      </c>
      <c r="E2907" s="8">
        <f>vlookup(B2907,Filmes_final!$B$2:$U$1001,20,FALSE)</f>
        <v>3707207</v>
      </c>
      <c r="F2907" s="5">
        <f>vlookup(B2907,Filmes_final!$B$2:$U$1001,3,FALSE)</f>
        <v>2015</v>
      </c>
      <c r="G2907" s="5" t="str">
        <f>vlookup(B2907,Filmes_final!$B$2:$U$1001,13,FALSE)</f>
        <v>Hannes Holm</v>
      </c>
    </row>
    <row r="2908">
      <c r="A2908" s="5">
        <v>727.0</v>
      </c>
      <c r="B2908" s="5" t="s">
        <v>4331</v>
      </c>
      <c r="C2908" s="5" t="s">
        <v>4336</v>
      </c>
      <c r="D2908" s="5" t="s">
        <v>6636</v>
      </c>
      <c r="E2908" s="8">
        <f>vlookup(B2908,Filmes_final!$B$2:$U$1001,20,FALSE)</f>
        <v>3707207</v>
      </c>
      <c r="F2908" s="5">
        <f>vlookup(B2908,Filmes_final!$B$2:$U$1001,3,FALSE)</f>
        <v>2015</v>
      </c>
      <c r="G2908" s="5" t="str">
        <f>vlookup(B2908,Filmes_final!$B$2:$U$1001,13,FALSE)</f>
        <v>Hannes Holm</v>
      </c>
    </row>
    <row r="2909">
      <c r="A2909" s="5">
        <v>727.0</v>
      </c>
      <c r="B2909" s="5" t="s">
        <v>4331</v>
      </c>
      <c r="C2909" s="5" t="s">
        <v>4337</v>
      </c>
      <c r="D2909" s="5" t="s">
        <v>6637</v>
      </c>
      <c r="E2909" s="8">
        <f>vlookup(B2909,Filmes_final!$B$2:$U$1001,20,FALSE)</f>
        <v>3707207</v>
      </c>
      <c r="F2909" s="5">
        <f>vlookup(B2909,Filmes_final!$B$2:$U$1001,3,FALSE)</f>
        <v>2015</v>
      </c>
      <c r="G2909" s="5" t="str">
        <f>vlookup(B2909,Filmes_final!$B$2:$U$1001,13,FALSE)</f>
        <v>Hannes Holm</v>
      </c>
    </row>
    <row r="2910">
      <c r="A2910" s="5">
        <v>728.0</v>
      </c>
      <c r="B2910" s="5" t="s">
        <v>4338</v>
      </c>
      <c r="C2910" s="5" t="s">
        <v>2977</v>
      </c>
      <c r="D2910" s="5" t="s">
        <v>6634</v>
      </c>
      <c r="E2910" s="8">
        <f>vlookup(B2910,Filmes_final!$B$2:$U$1001,20,FALSE)</f>
        <v>3675753</v>
      </c>
      <c r="F2910" s="5">
        <f>vlookup(B2910,Filmes_final!$B$2:$U$1001,3,FALSE)</f>
        <v>2014</v>
      </c>
      <c r="G2910" s="5" t="str">
        <f>vlookup(B2910,Filmes_final!$B$2:$U$1001,13,FALSE)</f>
        <v>Jemaine Clement</v>
      </c>
    </row>
    <row r="2911">
      <c r="A2911" s="5">
        <v>728.0</v>
      </c>
      <c r="B2911" s="5" t="s">
        <v>4338</v>
      </c>
      <c r="C2911" s="5" t="s">
        <v>4340</v>
      </c>
      <c r="D2911" s="5" t="s">
        <v>6635</v>
      </c>
      <c r="E2911" s="8">
        <f>vlookup(B2911,Filmes_final!$B$2:$U$1001,20,FALSE)</f>
        <v>3675753</v>
      </c>
      <c r="F2911" s="5">
        <f>vlookup(B2911,Filmes_final!$B$2:$U$1001,3,FALSE)</f>
        <v>2014</v>
      </c>
      <c r="G2911" s="5" t="str">
        <f>vlookup(B2911,Filmes_final!$B$2:$U$1001,13,FALSE)</f>
        <v>Jemaine Clement</v>
      </c>
    </row>
    <row r="2912">
      <c r="A2912" s="5">
        <v>728.0</v>
      </c>
      <c r="B2912" s="5" t="s">
        <v>4338</v>
      </c>
      <c r="C2912" s="5" t="s">
        <v>2977</v>
      </c>
      <c r="D2912" s="5" t="s">
        <v>6636</v>
      </c>
      <c r="E2912" s="8">
        <f>vlookup(B2912,Filmes_final!$B$2:$U$1001,20,FALSE)</f>
        <v>3675753</v>
      </c>
      <c r="F2912" s="5">
        <f>vlookup(B2912,Filmes_final!$B$2:$U$1001,3,FALSE)</f>
        <v>2014</v>
      </c>
      <c r="G2912" s="5" t="str">
        <f>vlookup(B2912,Filmes_final!$B$2:$U$1001,13,FALSE)</f>
        <v>Jemaine Clement</v>
      </c>
    </row>
    <row r="2913">
      <c r="A2913" s="5">
        <v>728.0</v>
      </c>
      <c r="B2913" s="5" t="s">
        <v>4338</v>
      </c>
      <c r="C2913" s="5" t="s">
        <v>4341</v>
      </c>
      <c r="D2913" s="5" t="s">
        <v>6637</v>
      </c>
      <c r="E2913" s="8">
        <f>vlookup(B2913,Filmes_final!$B$2:$U$1001,20,FALSE)</f>
        <v>3675753</v>
      </c>
      <c r="F2913" s="5">
        <f>vlookup(B2913,Filmes_final!$B$2:$U$1001,3,FALSE)</f>
        <v>2014</v>
      </c>
      <c r="G2913" s="5" t="str">
        <f>vlookup(B2913,Filmes_final!$B$2:$U$1001,13,FALSE)</f>
        <v>Jemaine Clement</v>
      </c>
    </row>
    <row r="2914">
      <c r="A2914" s="5">
        <v>729.0</v>
      </c>
      <c r="B2914" s="5" t="s">
        <v>4342</v>
      </c>
      <c r="C2914" s="5" t="s">
        <v>4345</v>
      </c>
      <c r="D2914" s="5" t="s">
        <v>6634</v>
      </c>
      <c r="E2914" s="8">
        <f>vlookup(B2914,Filmes_final!$B$2:$U$1001,20,FALSE)</f>
        <v>843810</v>
      </c>
      <c r="F2914" s="5">
        <f>vlookup(B2914,Filmes_final!$B$2:$U$1001,3,FALSE)</f>
        <v>2014</v>
      </c>
      <c r="G2914" s="5" t="str">
        <f>vlookup(B2914,Filmes_final!$B$2:$U$1001,13,FALSE)</f>
        <v>James Simone</v>
      </c>
    </row>
    <row r="2915">
      <c r="A2915" s="5">
        <v>729.0</v>
      </c>
      <c r="B2915" s="5" t="s">
        <v>4342</v>
      </c>
      <c r="C2915" s="5" t="s">
        <v>4346</v>
      </c>
      <c r="D2915" s="5" t="s">
        <v>6635</v>
      </c>
      <c r="E2915" s="8">
        <f>vlookup(B2915,Filmes_final!$B$2:$U$1001,20,FALSE)</f>
        <v>843810</v>
      </c>
      <c r="F2915" s="5">
        <f>vlookup(B2915,Filmes_final!$B$2:$U$1001,3,FALSE)</f>
        <v>2014</v>
      </c>
      <c r="G2915" s="5" t="str">
        <f>vlookup(B2915,Filmes_final!$B$2:$U$1001,13,FALSE)</f>
        <v>James Simone</v>
      </c>
    </row>
    <row r="2916">
      <c r="A2916" s="5">
        <v>729.0</v>
      </c>
      <c r="B2916" s="5" t="s">
        <v>4342</v>
      </c>
      <c r="C2916" s="5" t="s">
        <v>4347</v>
      </c>
      <c r="D2916" s="5" t="s">
        <v>6636</v>
      </c>
      <c r="E2916" s="8">
        <f>vlookup(B2916,Filmes_final!$B$2:$U$1001,20,FALSE)</f>
        <v>843810</v>
      </c>
      <c r="F2916" s="5">
        <f>vlookup(B2916,Filmes_final!$B$2:$U$1001,3,FALSE)</f>
        <v>2014</v>
      </c>
      <c r="G2916" s="5" t="str">
        <f>vlookup(B2916,Filmes_final!$B$2:$U$1001,13,FALSE)</f>
        <v>James Simone</v>
      </c>
    </row>
    <row r="2917">
      <c r="A2917" s="5">
        <v>729.0</v>
      </c>
      <c r="B2917" s="5" t="s">
        <v>4342</v>
      </c>
      <c r="C2917" s="5" t="s">
        <v>4348</v>
      </c>
      <c r="D2917" s="5" t="s">
        <v>6637</v>
      </c>
      <c r="E2917" s="8">
        <f>vlookup(B2917,Filmes_final!$B$2:$U$1001,20,FALSE)</f>
        <v>843810</v>
      </c>
      <c r="F2917" s="5">
        <f>vlookup(B2917,Filmes_final!$B$2:$U$1001,3,FALSE)</f>
        <v>2014</v>
      </c>
      <c r="G2917" s="5" t="str">
        <f>vlookup(B2917,Filmes_final!$B$2:$U$1001,13,FALSE)</f>
        <v>James Simone</v>
      </c>
    </row>
    <row r="2918">
      <c r="A2918" s="5">
        <v>730.0</v>
      </c>
      <c r="B2918" s="5" t="s">
        <v>4349</v>
      </c>
      <c r="C2918" s="5" t="s">
        <v>3752</v>
      </c>
      <c r="D2918" s="5" t="s">
        <v>6634</v>
      </c>
      <c r="E2918" s="8">
        <f>vlookup(B2918,Filmes_final!$B$2:$U$1001,20,FALSE)</f>
        <v>39584687</v>
      </c>
      <c r="F2918" s="5">
        <f>vlookup(B2918,Filmes_final!$B$2:$U$1001,3,FALSE)</f>
        <v>2014</v>
      </c>
      <c r="G2918" s="5" t="str">
        <f>vlookup(B2918,Filmes_final!$B$2:$U$1001,13,FALSE)</f>
        <v>James Marsh</v>
      </c>
    </row>
    <row r="2919">
      <c r="A2919" s="5">
        <v>730.0</v>
      </c>
      <c r="B2919" s="5" t="s">
        <v>4349</v>
      </c>
      <c r="C2919" s="5" t="s">
        <v>3592</v>
      </c>
      <c r="D2919" s="5" t="s">
        <v>6635</v>
      </c>
      <c r="E2919" s="8">
        <f>vlookup(B2919,Filmes_final!$B$2:$U$1001,20,FALSE)</f>
        <v>39584687</v>
      </c>
      <c r="F2919" s="5">
        <f>vlookup(B2919,Filmes_final!$B$2:$U$1001,3,FALSE)</f>
        <v>2014</v>
      </c>
      <c r="G2919" s="5" t="str">
        <f>vlookup(B2919,Filmes_final!$B$2:$U$1001,13,FALSE)</f>
        <v>James Marsh</v>
      </c>
    </row>
    <row r="2920">
      <c r="A2920" s="5">
        <v>730.0</v>
      </c>
      <c r="B2920" s="5" t="s">
        <v>4349</v>
      </c>
      <c r="C2920" s="5" t="s">
        <v>4353</v>
      </c>
      <c r="D2920" s="5" t="s">
        <v>6636</v>
      </c>
      <c r="E2920" s="8">
        <f>vlookup(B2920,Filmes_final!$B$2:$U$1001,20,FALSE)</f>
        <v>39584687</v>
      </c>
      <c r="F2920" s="5">
        <f>vlookup(B2920,Filmes_final!$B$2:$U$1001,3,FALSE)</f>
        <v>2014</v>
      </c>
      <c r="G2920" s="5" t="str">
        <f>vlookup(B2920,Filmes_final!$B$2:$U$1001,13,FALSE)</f>
        <v>James Marsh</v>
      </c>
    </row>
    <row r="2921">
      <c r="A2921" s="5">
        <v>730.0</v>
      </c>
      <c r="B2921" s="5" t="s">
        <v>4349</v>
      </c>
      <c r="C2921" s="5" t="s">
        <v>4354</v>
      </c>
      <c r="D2921" s="5" t="s">
        <v>6637</v>
      </c>
      <c r="E2921" s="8">
        <f>vlookup(B2921,Filmes_final!$B$2:$U$1001,20,FALSE)</f>
        <v>39584687</v>
      </c>
      <c r="F2921" s="5">
        <f>vlookup(B2921,Filmes_final!$B$2:$U$1001,3,FALSE)</f>
        <v>2014</v>
      </c>
      <c r="G2921" s="5" t="str">
        <f>vlookup(B2921,Filmes_final!$B$2:$U$1001,13,FALSE)</f>
        <v>James Marsh</v>
      </c>
    </row>
    <row r="2922">
      <c r="A2922" s="5">
        <v>731.0</v>
      </c>
      <c r="B2922" s="5" t="s">
        <v>4355</v>
      </c>
      <c r="C2922" s="5" t="s">
        <v>645</v>
      </c>
      <c r="D2922" s="5" t="s">
        <v>6634</v>
      </c>
      <c r="E2922" s="8">
        <f>vlookup(B2922,Filmes_final!$B$2:$U$1001,20,FALSE)</f>
        <v>141451654</v>
      </c>
      <c r="F2922" s="5">
        <f>vlookup(B2922,Filmes_final!$B$2:$U$1001,3,FALSE)</f>
        <v>2014</v>
      </c>
      <c r="G2922" s="5" t="str">
        <f>vlookup(B2922,Filmes_final!$B$2:$U$1001,13,FALSE)</f>
        <v>Matthew Vaughn</v>
      </c>
    </row>
    <row r="2923">
      <c r="A2923" s="5">
        <v>731.0</v>
      </c>
      <c r="B2923" s="5" t="s">
        <v>4355</v>
      </c>
      <c r="C2923" s="5" t="s">
        <v>4358</v>
      </c>
      <c r="D2923" s="5" t="s">
        <v>6635</v>
      </c>
      <c r="E2923" s="8">
        <f>vlookup(B2923,Filmes_final!$B$2:$U$1001,20,FALSE)</f>
        <v>141451654</v>
      </c>
      <c r="F2923" s="5">
        <f>vlookup(B2923,Filmes_final!$B$2:$U$1001,3,FALSE)</f>
        <v>2014</v>
      </c>
      <c r="G2923" s="5" t="str">
        <f>vlookup(B2923,Filmes_final!$B$2:$U$1001,13,FALSE)</f>
        <v>Matthew Vaughn</v>
      </c>
    </row>
    <row r="2924">
      <c r="A2924" s="5">
        <v>731.0</v>
      </c>
      <c r="B2924" s="5" t="s">
        <v>4355</v>
      </c>
      <c r="C2924" s="5" t="s">
        <v>75</v>
      </c>
      <c r="D2924" s="5" t="s">
        <v>6636</v>
      </c>
      <c r="E2924" s="8">
        <f>vlookup(B2924,Filmes_final!$B$2:$U$1001,20,FALSE)</f>
        <v>141451654</v>
      </c>
      <c r="F2924" s="5">
        <f>vlookup(B2924,Filmes_final!$B$2:$U$1001,3,FALSE)</f>
        <v>2014</v>
      </c>
      <c r="G2924" s="5" t="str">
        <f>vlookup(B2924,Filmes_final!$B$2:$U$1001,13,FALSE)</f>
        <v>Matthew Vaughn</v>
      </c>
    </row>
    <row r="2925">
      <c r="A2925" s="5">
        <v>731.0</v>
      </c>
      <c r="B2925" s="5" t="s">
        <v>4355</v>
      </c>
      <c r="C2925" s="5" t="s">
        <v>45</v>
      </c>
      <c r="D2925" s="5" t="s">
        <v>6637</v>
      </c>
      <c r="E2925" s="8">
        <f>vlookup(B2925,Filmes_final!$B$2:$U$1001,20,FALSE)</f>
        <v>141451654</v>
      </c>
      <c r="F2925" s="5">
        <f>vlookup(B2925,Filmes_final!$B$2:$U$1001,3,FALSE)</f>
        <v>2014</v>
      </c>
      <c r="G2925" s="5" t="str">
        <f>vlookup(B2925,Filmes_final!$B$2:$U$1001,13,FALSE)</f>
        <v>Matthew Vaughn</v>
      </c>
    </row>
    <row r="2926">
      <c r="A2926" s="5">
        <v>732.0</v>
      </c>
      <c r="B2926" s="5" t="s">
        <v>4359</v>
      </c>
      <c r="C2926" s="5" t="s">
        <v>4362</v>
      </c>
      <c r="D2926" s="5" t="s">
        <v>6634</v>
      </c>
      <c r="E2926" s="8">
        <f>vlookup(B2926,Filmes_final!$B$2:$U$1001,20,FALSE)</f>
        <v>137713730</v>
      </c>
      <c r="F2926" s="5">
        <f>vlookup(B2926,Filmes_final!$B$2:$U$1001,3,FALSE)</f>
        <v>2014</v>
      </c>
      <c r="G2926" s="5" t="str">
        <f>vlookup(B2926,Filmes_final!$B$2:$U$1001,13,FALSE)</f>
        <v>Josh Boone</v>
      </c>
    </row>
    <row r="2927">
      <c r="A2927" s="5">
        <v>732.0</v>
      </c>
      <c r="B2927" s="5" t="s">
        <v>4359</v>
      </c>
      <c r="C2927" s="5" t="s">
        <v>4363</v>
      </c>
      <c r="D2927" s="5" t="s">
        <v>6635</v>
      </c>
      <c r="E2927" s="8">
        <f>vlookup(B2927,Filmes_final!$B$2:$U$1001,20,FALSE)</f>
        <v>137713730</v>
      </c>
      <c r="F2927" s="5">
        <f>vlookup(B2927,Filmes_final!$B$2:$U$1001,3,FALSE)</f>
        <v>2014</v>
      </c>
      <c r="G2927" s="5" t="str">
        <f>vlookup(B2927,Filmes_final!$B$2:$U$1001,13,FALSE)</f>
        <v>Josh Boone</v>
      </c>
    </row>
    <row r="2928">
      <c r="A2928" s="5">
        <v>732.0</v>
      </c>
      <c r="B2928" s="5" t="s">
        <v>4359</v>
      </c>
      <c r="C2928" s="5" t="s">
        <v>4364</v>
      </c>
      <c r="D2928" s="5" t="s">
        <v>6636</v>
      </c>
      <c r="E2928" s="8">
        <f>vlookup(B2928,Filmes_final!$B$2:$U$1001,20,FALSE)</f>
        <v>137713730</v>
      </c>
      <c r="F2928" s="5">
        <f>vlookup(B2928,Filmes_final!$B$2:$U$1001,3,FALSE)</f>
        <v>2014</v>
      </c>
      <c r="G2928" s="5" t="str">
        <f>vlookup(B2928,Filmes_final!$B$2:$U$1001,13,FALSE)</f>
        <v>Josh Boone</v>
      </c>
    </row>
    <row r="2929">
      <c r="A2929" s="5">
        <v>732.0</v>
      </c>
      <c r="B2929" s="5" t="s">
        <v>4359</v>
      </c>
      <c r="C2929" s="5" t="s">
        <v>1785</v>
      </c>
      <c r="D2929" s="5" t="s">
        <v>6637</v>
      </c>
      <c r="E2929" s="8">
        <f>vlookup(B2929,Filmes_final!$B$2:$U$1001,20,FALSE)</f>
        <v>137713730</v>
      </c>
      <c r="F2929" s="5">
        <f>vlookup(B2929,Filmes_final!$B$2:$U$1001,3,FALSE)</f>
        <v>2014</v>
      </c>
      <c r="G2929" s="5" t="str">
        <f>vlookup(B2929,Filmes_final!$B$2:$U$1001,13,FALSE)</f>
        <v>Josh Boone</v>
      </c>
    </row>
    <row r="2930">
      <c r="A2930" s="5">
        <v>733.0</v>
      </c>
      <c r="B2930" s="5" t="s">
        <v>4365</v>
      </c>
      <c r="C2930" s="5" t="s">
        <v>4368</v>
      </c>
      <c r="D2930" s="5" t="s">
        <v>6634</v>
      </c>
      <c r="E2930" s="8">
        <f>vlookup(B2930,Filmes_final!$B$2:$U$1001,20,FALSE)</f>
        <v>7443930</v>
      </c>
      <c r="F2930" s="5">
        <f>vlookup(B2930,Filmes_final!$B$2:$U$1001,3,FALSE)</f>
        <v>2015</v>
      </c>
      <c r="G2930" s="5" t="str">
        <f>vlookup(B2930,Filmes_final!$B$2:$U$1001,13,FALSE)</f>
        <v>Alfonso Gomez-Rejon</v>
      </c>
    </row>
    <row r="2931">
      <c r="A2931" s="5">
        <v>733.0</v>
      </c>
      <c r="B2931" s="5" t="s">
        <v>4365</v>
      </c>
      <c r="C2931" s="5" t="s">
        <v>4369</v>
      </c>
      <c r="D2931" s="5" t="s">
        <v>6635</v>
      </c>
      <c r="E2931" s="8">
        <f>vlookup(B2931,Filmes_final!$B$2:$U$1001,20,FALSE)</f>
        <v>7443930</v>
      </c>
      <c r="F2931" s="5">
        <f>vlookup(B2931,Filmes_final!$B$2:$U$1001,3,FALSE)</f>
        <v>2015</v>
      </c>
      <c r="G2931" s="5" t="str">
        <f>vlookup(B2931,Filmes_final!$B$2:$U$1001,13,FALSE)</f>
        <v>Alfonso Gomez-Rejon</v>
      </c>
    </row>
    <row r="2932">
      <c r="A2932" s="5">
        <v>733.0</v>
      </c>
      <c r="B2932" s="5" t="s">
        <v>4365</v>
      </c>
      <c r="C2932" s="5" t="s">
        <v>3528</v>
      </c>
      <c r="D2932" s="5" t="s">
        <v>6636</v>
      </c>
      <c r="E2932" s="8">
        <f>vlookup(B2932,Filmes_final!$B$2:$U$1001,20,FALSE)</f>
        <v>7443930</v>
      </c>
      <c r="F2932" s="5">
        <f>vlookup(B2932,Filmes_final!$B$2:$U$1001,3,FALSE)</f>
        <v>2015</v>
      </c>
      <c r="G2932" s="5" t="str">
        <f>vlookup(B2932,Filmes_final!$B$2:$U$1001,13,FALSE)</f>
        <v>Alfonso Gomez-Rejon</v>
      </c>
    </row>
    <row r="2933">
      <c r="A2933" s="5">
        <v>733.0</v>
      </c>
      <c r="B2933" s="5" t="s">
        <v>4365</v>
      </c>
      <c r="C2933" s="5" t="s">
        <v>4370</v>
      </c>
      <c r="D2933" s="5" t="s">
        <v>6637</v>
      </c>
      <c r="E2933" s="8">
        <f>vlookup(B2933,Filmes_final!$B$2:$U$1001,20,FALSE)</f>
        <v>7443930</v>
      </c>
      <c r="F2933" s="5">
        <f>vlookup(B2933,Filmes_final!$B$2:$U$1001,3,FALSE)</f>
        <v>2015</v>
      </c>
      <c r="G2933" s="5" t="str">
        <f>vlookup(B2933,Filmes_final!$B$2:$U$1001,13,FALSE)</f>
        <v>Alfonso Gomez-Rejon</v>
      </c>
    </row>
    <row r="2934">
      <c r="A2934" s="5">
        <v>734.0</v>
      </c>
      <c r="B2934" s="5" t="s">
        <v>4371</v>
      </c>
      <c r="C2934" s="5" t="s">
        <v>1517</v>
      </c>
      <c r="D2934" s="5" t="s">
        <v>6634</v>
      </c>
      <c r="E2934" s="8">
        <f>vlookup(B2934,Filmes_final!$B$2:$U$1001,20,FALSE)</f>
        <v>46694738</v>
      </c>
      <c r="F2934" s="5">
        <f>vlookup(B2934,Filmes_final!$B$2:$U$1001,3,FALSE)</f>
        <v>2014</v>
      </c>
      <c r="G2934" s="5" t="str">
        <f>vlookup(B2934,Filmes_final!$B$2:$U$1001,13,FALSE)</f>
        <v>Alejandro G. Iñárritu</v>
      </c>
    </row>
    <row r="2935">
      <c r="A2935" s="5">
        <v>734.0</v>
      </c>
      <c r="B2935" s="5" t="s">
        <v>4371</v>
      </c>
      <c r="C2935" s="5" t="s">
        <v>4373</v>
      </c>
      <c r="D2935" s="5" t="s">
        <v>6635</v>
      </c>
      <c r="E2935" s="8">
        <f>vlookup(B2935,Filmes_final!$B$2:$U$1001,20,FALSE)</f>
        <v>46694738</v>
      </c>
      <c r="F2935" s="5">
        <f>vlookup(B2935,Filmes_final!$B$2:$U$1001,3,FALSE)</f>
        <v>2014</v>
      </c>
      <c r="G2935" s="5" t="str">
        <f>vlookup(B2935,Filmes_final!$B$2:$U$1001,13,FALSE)</f>
        <v>Alejandro G. Iñárritu</v>
      </c>
    </row>
    <row r="2936">
      <c r="A2936" s="5">
        <v>734.0</v>
      </c>
      <c r="B2936" s="5" t="s">
        <v>4371</v>
      </c>
      <c r="C2936" s="5" t="s">
        <v>99</v>
      </c>
      <c r="D2936" s="5" t="s">
        <v>6636</v>
      </c>
      <c r="E2936" s="8">
        <f>vlookup(B2936,Filmes_final!$B$2:$U$1001,20,FALSE)</f>
        <v>46694738</v>
      </c>
      <c r="F2936" s="5">
        <f>vlookup(B2936,Filmes_final!$B$2:$U$1001,3,FALSE)</f>
        <v>2014</v>
      </c>
      <c r="G2936" s="5" t="str">
        <f>vlookup(B2936,Filmes_final!$B$2:$U$1001,13,FALSE)</f>
        <v>Alejandro G. Iñárritu</v>
      </c>
    </row>
    <row r="2937">
      <c r="A2937" s="5">
        <v>734.0</v>
      </c>
      <c r="B2937" s="5" t="s">
        <v>4371</v>
      </c>
      <c r="C2937" s="5" t="s">
        <v>4374</v>
      </c>
      <c r="D2937" s="5" t="s">
        <v>6637</v>
      </c>
      <c r="E2937" s="8">
        <f>vlookup(B2937,Filmes_final!$B$2:$U$1001,20,FALSE)</f>
        <v>46694738</v>
      </c>
      <c r="F2937" s="5">
        <f>vlookup(B2937,Filmes_final!$B$2:$U$1001,3,FALSE)</f>
        <v>2014</v>
      </c>
      <c r="G2937" s="5" t="str">
        <f>vlookup(B2937,Filmes_final!$B$2:$U$1001,13,FALSE)</f>
        <v>Alejandro G. Iñárritu</v>
      </c>
    </row>
    <row r="2938">
      <c r="A2938" s="5">
        <v>735.0</v>
      </c>
      <c r="B2938" s="5" t="s">
        <v>4375</v>
      </c>
      <c r="C2938" s="5" t="s">
        <v>4378</v>
      </c>
      <c r="D2938" s="5" t="s">
        <v>6634</v>
      </c>
      <c r="E2938" s="8">
        <f>vlookup(B2938,Filmes_final!$B$2:$U$1001,20,FALSE)</f>
        <v>2464184</v>
      </c>
      <c r="F2938" s="5">
        <f>vlookup(B2938,Filmes_final!$B$2:$U$1001,3,FALSE)</f>
        <v>2013</v>
      </c>
      <c r="G2938" s="5" t="str">
        <f>vlookup(B2938,Filmes_final!$B$2:$U$1001,13,FALSE)</f>
        <v>Abdellatif Kechiche</v>
      </c>
    </row>
    <row r="2939">
      <c r="A2939" s="5">
        <v>735.0</v>
      </c>
      <c r="B2939" s="5" t="s">
        <v>4375</v>
      </c>
      <c r="C2939" s="5" t="s">
        <v>4379</v>
      </c>
      <c r="D2939" s="5" t="s">
        <v>6635</v>
      </c>
      <c r="E2939" s="8">
        <f>vlookup(B2939,Filmes_final!$B$2:$U$1001,20,FALSE)</f>
        <v>2464184</v>
      </c>
      <c r="F2939" s="5">
        <f>vlookup(B2939,Filmes_final!$B$2:$U$1001,3,FALSE)</f>
        <v>2013</v>
      </c>
      <c r="G2939" s="5" t="str">
        <f>vlookup(B2939,Filmes_final!$B$2:$U$1001,13,FALSE)</f>
        <v>Abdellatif Kechiche</v>
      </c>
    </row>
    <row r="2940">
      <c r="A2940" s="5">
        <v>735.0</v>
      </c>
      <c r="B2940" s="5" t="s">
        <v>4375</v>
      </c>
      <c r="C2940" s="5" t="s">
        <v>4380</v>
      </c>
      <c r="D2940" s="5" t="s">
        <v>6636</v>
      </c>
      <c r="E2940" s="8">
        <f>vlookup(B2940,Filmes_final!$B$2:$U$1001,20,FALSE)</f>
        <v>2464184</v>
      </c>
      <c r="F2940" s="5">
        <f>vlookup(B2940,Filmes_final!$B$2:$U$1001,3,FALSE)</f>
        <v>2013</v>
      </c>
      <c r="G2940" s="5" t="str">
        <f>vlookup(B2940,Filmes_final!$B$2:$U$1001,13,FALSE)</f>
        <v>Abdellatif Kechiche</v>
      </c>
    </row>
    <row r="2941">
      <c r="A2941" s="5">
        <v>735.0</v>
      </c>
      <c r="B2941" s="5" t="s">
        <v>4375</v>
      </c>
      <c r="C2941" s="5" t="s">
        <v>4381</v>
      </c>
      <c r="D2941" s="5" t="s">
        <v>6637</v>
      </c>
      <c r="E2941" s="8">
        <f>vlookup(B2941,Filmes_final!$B$2:$U$1001,20,FALSE)</f>
        <v>2464184</v>
      </c>
      <c r="F2941" s="5">
        <f>vlookup(B2941,Filmes_final!$B$2:$U$1001,3,FALSE)</f>
        <v>2013</v>
      </c>
      <c r="G2941" s="5" t="str">
        <f>vlookup(B2941,Filmes_final!$B$2:$U$1001,13,FALSE)</f>
        <v>Abdellatif Kechiche</v>
      </c>
    </row>
    <row r="2942">
      <c r="A2942" s="5">
        <v>736.0</v>
      </c>
      <c r="B2942" s="5" t="s">
        <v>4382</v>
      </c>
      <c r="C2942" s="5" t="s">
        <v>4385</v>
      </c>
      <c r="D2942" s="5" t="s">
        <v>6634</v>
      </c>
      <c r="E2942" s="8">
        <f>vlookup(B2942,Filmes_final!$B$2:$U$1001,20,FALSE)</f>
        <v>1257510</v>
      </c>
      <c r="F2942" s="5">
        <f>vlookup(B2942,Filmes_final!$B$2:$U$1001,3,FALSE)</f>
        <v>2013</v>
      </c>
      <c r="G2942" s="5" t="str">
        <f>vlookup(B2942,Filmes_final!$B$2:$U$1001,13,FALSE)</f>
        <v>Abhishek Kapoor</v>
      </c>
    </row>
    <row r="2943">
      <c r="A2943" s="5">
        <v>736.0</v>
      </c>
      <c r="B2943" s="5" t="s">
        <v>4382</v>
      </c>
      <c r="C2943" s="5" t="s">
        <v>942</v>
      </c>
      <c r="D2943" s="5" t="s">
        <v>6635</v>
      </c>
      <c r="E2943" s="8">
        <f>vlookup(B2943,Filmes_final!$B$2:$U$1001,20,FALSE)</f>
        <v>1257510</v>
      </c>
      <c r="F2943" s="5">
        <f>vlookup(B2943,Filmes_final!$B$2:$U$1001,3,FALSE)</f>
        <v>2013</v>
      </c>
      <c r="G2943" s="5" t="str">
        <f>vlookup(B2943,Filmes_final!$B$2:$U$1001,13,FALSE)</f>
        <v>Abhishek Kapoor</v>
      </c>
    </row>
    <row r="2944">
      <c r="A2944" s="5">
        <v>736.0</v>
      </c>
      <c r="B2944" s="5" t="s">
        <v>4382</v>
      </c>
      <c r="C2944" s="5" t="s">
        <v>1008</v>
      </c>
      <c r="D2944" s="5" t="s">
        <v>6636</v>
      </c>
      <c r="E2944" s="8">
        <f>vlookup(B2944,Filmes_final!$B$2:$U$1001,20,FALSE)</f>
        <v>1257510</v>
      </c>
      <c r="F2944" s="5">
        <f>vlookup(B2944,Filmes_final!$B$2:$U$1001,3,FALSE)</f>
        <v>2013</v>
      </c>
      <c r="G2944" s="5" t="str">
        <f>vlookup(B2944,Filmes_final!$B$2:$U$1001,13,FALSE)</f>
        <v>Abhishek Kapoor</v>
      </c>
    </row>
    <row r="2945">
      <c r="A2945" s="5">
        <v>736.0</v>
      </c>
      <c r="B2945" s="5" t="s">
        <v>4382</v>
      </c>
      <c r="C2945" s="5" t="s">
        <v>4386</v>
      </c>
      <c r="D2945" s="5" t="s">
        <v>6637</v>
      </c>
      <c r="E2945" s="8">
        <f>vlookup(B2945,Filmes_final!$B$2:$U$1001,20,FALSE)</f>
        <v>1257510</v>
      </c>
      <c r="F2945" s="5">
        <f>vlookup(B2945,Filmes_final!$B$2:$U$1001,3,FALSE)</f>
        <v>2013</v>
      </c>
      <c r="G2945" s="5" t="str">
        <f>vlookup(B2945,Filmes_final!$B$2:$U$1001,13,FALSE)</f>
        <v>Abhishek Kapoor</v>
      </c>
    </row>
    <row r="2946">
      <c r="A2946" s="5">
        <v>737.0</v>
      </c>
      <c r="B2946" s="5" t="s">
        <v>4387</v>
      </c>
      <c r="C2946" s="5" t="s">
        <v>4390</v>
      </c>
      <c r="D2946" s="5" t="s">
        <v>6634</v>
      </c>
      <c r="E2946" s="8">
        <f>vlookup(B2946,Filmes_final!$B$2:$U$1001,20,FALSE)</f>
        <v>199236</v>
      </c>
      <c r="F2946" s="5">
        <f>vlookup(B2946,Filmes_final!$B$2:$U$1001,3,FALSE)</f>
        <v>2012</v>
      </c>
      <c r="G2946" s="5" t="str">
        <f>vlookup(B2946,Filmes_final!$B$2:$U$1001,13,FALSE)</f>
        <v>Felix van Groeningen</v>
      </c>
    </row>
    <row r="2947">
      <c r="A2947" s="5">
        <v>737.0</v>
      </c>
      <c r="B2947" s="5" t="s">
        <v>4387</v>
      </c>
      <c r="C2947" s="5" t="s">
        <v>4391</v>
      </c>
      <c r="D2947" s="5" t="s">
        <v>6635</v>
      </c>
      <c r="E2947" s="8">
        <f>vlookup(B2947,Filmes_final!$B$2:$U$1001,20,FALSE)</f>
        <v>199236</v>
      </c>
      <c r="F2947" s="5">
        <f>vlookup(B2947,Filmes_final!$B$2:$U$1001,3,FALSE)</f>
        <v>2012</v>
      </c>
      <c r="G2947" s="5" t="str">
        <f>vlookup(B2947,Filmes_final!$B$2:$U$1001,13,FALSE)</f>
        <v>Felix van Groeningen</v>
      </c>
    </row>
    <row r="2948">
      <c r="A2948" s="5">
        <v>737.0</v>
      </c>
      <c r="B2948" s="5" t="s">
        <v>4387</v>
      </c>
      <c r="C2948" s="5" t="s">
        <v>4392</v>
      </c>
      <c r="D2948" s="5" t="s">
        <v>6636</v>
      </c>
      <c r="E2948" s="8">
        <f>vlookup(B2948,Filmes_final!$B$2:$U$1001,20,FALSE)</f>
        <v>199236</v>
      </c>
      <c r="F2948" s="5">
        <f>vlookup(B2948,Filmes_final!$B$2:$U$1001,3,FALSE)</f>
        <v>2012</v>
      </c>
      <c r="G2948" s="5" t="str">
        <f>vlookup(B2948,Filmes_final!$B$2:$U$1001,13,FALSE)</f>
        <v>Felix van Groeningen</v>
      </c>
    </row>
    <row r="2949">
      <c r="A2949" s="5">
        <v>737.0</v>
      </c>
      <c r="B2949" s="5" t="s">
        <v>4387</v>
      </c>
      <c r="C2949" s="5" t="s">
        <v>4393</v>
      </c>
      <c r="D2949" s="5" t="s">
        <v>6637</v>
      </c>
      <c r="E2949" s="8">
        <f>vlookup(B2949,Filmes_final!$B$2:$U$1001,20,FALSE)</f>
        <v>199236</v>
      </c>
      <c r="F2949" s="5">
        <f>vlookup(B2949,Filmes_final!$B$2:$U$1001,3,FALSE)</f>
        <v>2012</v>
      </c>
      <c r="G2949" s="5" t="str">
        <f>vlookup(B2949,Filmes_final!$B$2:$U$1001,13,FALSE)</f>
        <v>Felix van Groeningen</v>
      </c>
    </row>
    <row r="2950">
      <c r="A2950" s="5">
        <v>738.0</v>
      </c>
      <c r="B2950" s="5" t="s">
        <v>4394</v>
      </c>
      <c r="C2950" s="5" t="s">
        <v>478</v>
      </c>
      <c r="D2950" s="5" t="s">
        <v>6634</v>
      </c>
      <c r="E2950" s="8">
        <f>vlookup(B2950,Filmes_final!$B$2:$U$1001,20,FALSE)</f>
        <v>286479943</v>
      </c>
      <c r="F2950" s="5">
        <f>vlookup(B2950,Filmes_final!$B$2:$U$1001,3,FALSE)</f>
        <v>2014</v>
      </c>
      <c r="G2950" s="5" t="str">
        <f>vlookup(B2950,Filmes_final!$B$2:$U$1001,13,FALSE)</f>
        <v>Anthony Russo</v>
      </c>
    </row>
    <row r="2951">
      <c r="A2951" s="5">
        <v>738.0</v>
      </c>
      <c r="B2951" s="5" t="s">
        <v>4394</v>
      </c>
      <c r="C2951" s="5" t="s">
        <v>480</v>
      </c>
      <c r="D2951" s="5" t="s">
        <v>6635</v>
      </c>
      <c r="E2951" s="8">
        <f>vlookup(B2951,Filmes_final!$B$2:$U$1001,20,FALSE)</f>
        <v>286479943</v>
      </c>
      <c r="F2951" s="5">
        <f>vlookup(B2951,Filmes_final!$B$2:$U$1001,3,FALSE)</f>
        <v>2014</v>
      </c>
      <c r="G2951" s="5" t="str">
        <f>vlookup(B2951,Filmes_final!$B$2:$U$1001,13,FALSE)</f>
        <v>Anthony Russo</v>
      </c>
    </row>
    <row r="2952">
      <c r="A2952" s="5">
        <v>738.0</v>
      </c>
      <c r="B2952" s="5" t="s">
        <v>4394</v>
      </c>
      <c r="C2952" s="5" t="s">
        <v>75</v>
      </c>
      <c r="D2952" s="5" t="s">
        <v>6636</v>
      </c>
      <c r="E2952" s="8">
        <f>vlookup(B2952,Filmes_final!$B$2:$U$1001,20,FALSE)</f>
        <v>286479943</v>
      </c>
      <c r="F2952" s="5">
        <f>vlookup(B2952,Filmes_final!$B$2:$U$1001,3,FALSE)</f>
        <v>2014</v>
      </c>
      <c r="G2952" s="5" t="str">
        <f>vlookup(B2952,Filmes_final!$B$2:$U$1001,13,FALSE)</f>
        <v>Anthony Russo</v>
      </c>
    </row>
    <row r="2953">
      <c r="A2953" s="5">
        <v>738.0</v>
      </c>
      <c r="B2953" s="5" t="s">
        <v>4394</v>
      </c>
      <c r="C2953" s="5" t="s">
        <v>307</v>
      </c>
      <c r="D2953" s="5" t="s">
        <v>6637</v>
      </c>
      <c r="E2953" s="8">
        <f>vlookup(B2953,Filmes_final!$B$2:$U$1001,20,FALSE)</f>
        <v>286479943</v>
      </c>
      <c r="F2953" s="5">
        <f>vlookup(B2953,Filmes_final!$B$2:$U$1001,3,FALSE)</f>
        <v>2014</v>
      </c>
      <c r="G2953" s="5" t="str">
        <f>vlookup(B2953,Filmes_final!$B$2:$U$1001,13,FALSE)</f>
        <v>Anthony Russo</v>
      </c>
    </row>
    <row r="2954">
      <c r="A2954" s="5">
        <v>739.0</v>
      </c>
      <c r="B2954" s="5" t="s">
        <v>4396</v>
      </c>
      <c r="C2954" s="5" t="s">
        <v>1497</v>
      </c>
      <c r="D2954" s="5" t="s">
        <v>6634</v>
      </c>
      <c r="E2954" s="8">
        <f>vlookup(B2954,Filmes_final!$B$2:$U$1001,20,FALSE)</f>
        <v>1154905</v>
      </c>
      <c r="F2954" s="5">
        <f>vlookup(B2954,Filmes_final!$B$2:$U$1001,3,FALSE)</f>
        <v>2011</v>
      </c>
      <c r="G2954" s="5" t="str">
        <f>vlookup(B2954,Filmes_final!$B$2:$U$1001,13,FALSE)</f>
        <v>Imtiaz Ali</v>
      </c>
    </row>
    <row r="2955">
      <c r="A2955" s="5">
        <v>739.0</v>
      </c>
      <c r="B2955" s="5" t="s">
        <v>4396</v>
      </c>
      <c r="C2955" s="5" t="s">
        <v>4398</v>
      </c>
      <c r="D2955" s="5" t="s">
        <v>6635</v>
      </c>
      <c r="E2955" s="8">
        <f>vlookup(B2955,Filmes_final!$B$2:$U$1001,20,FALSE)</f>
        <v>1154905</v>
      </c>
      <c r="F2955" s="5">
        <f>vlookup(B2955,Filmes_final!$B$2:$U$1001,3,FALSE)</f>
        <v>2011</v>
      </c>
      <c r="G2955" s="5" t="str">
        <f>vlookup(B2955,Filmes_final!$B$2:$U$1001,13,FALSE)</f>
        <v>Imtiaz Ali</v>
      </c>
    </row>
    <row r="2956">
      <c r="A2956" s="5">
        <v>739.0</v>
      </c>
      <c r="B2956" s="5" t="s">
        <v>4396</v>
      </c>
      <c r="C2956" s="5" t="s">
        <v>4399</v>
      </c>
      <c r="D2956" s="5" t="s">
        <v>6636</v>
      </c>
      <c r="E2956" s="8">
        <f>vlookup(B2956,Filmes_final!$B$2:$U$1001,20,FALSE)</f>
        <v>1154905</v>
      </c>
      <c r="F2956" s="5">
        <f>vlookup(B2956,Filmes_final!$B$2:$U$1001,3,FALSE)</f>
        <v>2011</v>
      </c>
      <c r="G2956" s="5" t="str">
        <f>vlookup(B2956,Filmes_final!$B$2:$U$1001,13,FALSE)</f>
        <v>Imtiaz Ali</v>
      </c>
    </row>
    <row r="2957">
      <c r="A2957" s="5">
        <v>739.0</v>
      </c>
      <c r="B2957" s="5" t="s">
        <v>4396</v>
      </c>
      <c r="C2957" s="5" t="s">
        <v>2160</v>
      </c>
      <c r="D2957" s="5" t="s">
        <v>6637</v>
      </c>
      <c r="E2957" s="8">
        <f>vlookup(B2957,Filmes_final!$B$2:$U$1001,20,FALSE)</f>
        <v>1154905</v>
      </c>
      <c r="F2957" s="5">
        <f>vlookup(B2957,Filmes_final!$B$2:$U$1001,3,FALSE)</f>
        <v>2011</v>
      </c>
      <c r="G2957" s="5" t="str">
        <f>vlookup(B2957,Filmes_final!$B$2:$U$1001,13,FALSE)</f>
        <v>Imtiaz Ali</v>
      </c>
    </row>
    <row r="2958">
      <c r="A2958" s="5">
        <v>740.0</v>
      </c>
      <c r="B2958" s="5" t="s">
        <v>4400</v>
      </c>
      <c r="C2958" s="5" t="s">
        <v>4403</v>
      </c>
      <c r="D2958" s="5" t="s">
        <v>6634</v>
      </c>
      <c r="E2958" s="8">
        <f>vlookup(B2958,Filmes_final!$B$2:$U$1001,20,FALSE)</f>
        <v>19777902</v>
      </c>
      <c r="F2958" s="5">
        <f>vlookup(B2958,Filmes_final!$B$2:$U$1001,3,FALSE)</f>
        <v>2013</v>
      </c>
      <c r="G2958" s="5" t="str">
        <f>vlookup(B2958,Filmes_final!$B$2:$U$1001,13,FALSE)</f>
        <v>Alexander Payne</v>
      </c>
    </row>
    <row r="2959">
      <c r="A2959" s="5">
        <v>740.0</v>
      </c>
      <c r="B2959" s="5" t="s">
        <v>4400</v>
      </c>
      <c r="C2959" s="5" t="s">
        <v>4404</v>
      </c>
      <c r="D2959" s="5" t="s">
        <v>6635</v>
      </c>
      <c r="E2959" s="8">
        <f>vlookup(B2959,Filmes_final!$B$2:$U$1001,20,FALSE)</f>
        <v>19777902</v>
      </c>
      <c r="F2959" s="5">
        <f>vlookup(B2959,Filmes_final!$B$2:$U$1001,3,FALSE)</f>
        <v>2013</v>
      </c>
      <c r="G2959" s="5" t="str">
        <f>vlookup(B2959,Filmes_final!$B$2:$U$1001,13,FALSE)</f>
        <v>Alexander Payne</v>
      </c>
    </row>
    <row r="2960">
      <c r="A2960" s="5">
        <v>740.0</v>
      </c>
      <c r="B2960" s="5" t="s">
        <v>4400</v>
      </c>
      <c r="C2960" s="5" t="s">
        <v>4405</v>
      </c>
      <c r="D2960" s="5" t="s">
        <v>6636</v>
      </c>
      <c r="E2960" s="8">
        <f>vlookup(B2960,Filmes_final!$B$2:$U$1001,20,FALSE)</f>
        <v>19777902</v>
      </c>
      <c r="F2960" s="5">
        <f>vlookup(B2960,Filmes_final!$B$2:$U$1001,3,FALSE)</f>
        <v>2013</v>
      </c>
      <c r="G2960" s="5" t="str">
        <f>vlookup(B2960,Filmes_final!$B$2:$U$1001,13,FALSE)</f>
        <v>Alexander Payne</v>
      </c>
    </row>
    <row r="2961">
      <c r="A2961" s="5">
        <v>740.0</v>
      </c>
      <c r="B2961" s="5" t="s">
        <v>4400</v>
      </c>
      <c r="C2961" s="5" t="s">
        <v>4406</v>
      </c>
      <c r="D2961" s="5" t="s">
        <v>6637</v>
      </c>
      <c r="E2961" s="8">
        <f>vlookup(B2961,Filmes_final!$B$2:$U$1001,20,FALSE)</f>
        <v>19777902</v>
      </c>
      <c r="F2961" s="5">
        <f>vlookup(B2961,Filmes_final!$B$2:$U$1001,3,FALSE)</f>
        <v>2013</v>
      </c>
      <c r="G2961" s="5" t="str">
        <f>vlookup(B2961,Filmes_final!$B$2:$U$1001,13,FALSE)</f>
        <v>Alexander Payne</v>
      </c>
    </row>
    <row r="2962">
      <c r="A2962" s="5">
        <v>741.0</v>
      </c>
      <c r="B2962" s="5" t="s">
        <v>4407</v>
      </c>
      <c r="C2962" s="5" t="s">
        <v>4409</v>
      </c>
      <c r="D2962" s="5" t="s">
        <v>6634</v>
      </c>
      <c r="E2962" s="8">
        <f>vlookup(B2962,Filmes_final!$B$2:$U$1001,20,FALSE)</f>
        <v>215585168</v>
      </c>
      <c r="F2962" s="5">
        <f>vlookup(B2962,Filmes_final!$B$2:$U$1001,3,FALSE)</f>
        <v>2012</v>
      </c>
      <c r="G2962" s="5" t="str">
        <f>vlookup(B2962,Filmes_final!$B$2:$U$1001,13,FALSE)</f>
        <v>Rich Moore</v>
      </c>
    </row>
    <row r="2963">
      <c r="A2963" s="5">
        <v>741.0</v>
      </c>
      <c r="B2963" s="5" t="s">
        <v>4407</v>
      </c>
      <c r="C2963" s="5" t="s">
        <v>4410</v>
      </c>
      <c r="D2963" s="5" t="s">
        <v>6635</v>
      </c>
      <c r="E2963" s="8">
        <f>vlookup(B2963,Filmes_final!$B$2:$U$1001,20,FALSE)</f>
        <v>215585168</v>
      </c>
      <c r="F2963" s="5">
        <f>vlookup(B2963,Filmes_final!$B$2:$U$1001,3,FALSE)</f>
        <v>2012</v>
      </c>
      <c r="G2963" s="5" t="str">
        <f>vlookup(B2963,Filmes_final!$B$2:$U$1001,13,FALSE)</f>
        <v>Rich Moore</v>
      </c>
    </row>
    <row r="2964">
      <c r="A2964" s="5">
        <v>741.0</v>
      </c>
      <c r="B2964" s="5" t="s">
        <v>4407</v>
      </c>
      <c r="C2964" s="5" t="s">
        <v>4411</v>
      </c>
      <c r="D2964" s="5" t="s">
        <v>6636</v>
      </c>
      <c r="E2964" s="8">
        <f>vlookup(B2964,Filmes_final!$B$2:$U$1001,20,FALSE)</f>
        <v>215585168</v>
      </c>
      <c r="F2964" s="5">
        <f>vlookup(B2964,Filmes_final!$B$2:$U$1001,3,FALSE)</f>
        <v>2012</v>
      </c>
      <c r="G2964" s="5" t="str">
        <f>vlookup(B2964,Filmes_final!$B$2:$U$1001,13,FALSE)</f>
        <v>Rich Moore</v>
      </c>
    </row>
    <row r="2965">
      <c r="A2965" s="5">
        <v>741.0</v>
      </c>
      <c r="B2965" s="5" t="s">
        <v>4407</v>
      </c>
      <c r="C2965" s="5" t="s">
        <v>4412</v>
      </c>
      <c r="D2965" s="5" t="s">
        <v>6637</v>
      </c>
      <c r="E2965" s="8">
        <f>vlookup(B2965,Filmes_final!$B$2:$U$1001,20,FALSE)</f>
        <v>215585168</v>
      </c>
      <c r="F2965" s="5">
        <f>vlookup(B2965,Filmes_final!$B$2:$U$1001,3,FALSE)</f>
        <v>2012</v>
      </c>
      <c r="G2965" s="5" t="str">
        <f>vlookup(B2965,Filmes_final!$B$2:$U$1001,13,FALSE)</f>
        <v>Rich Moore</v>
      </c>
    </row>
    <row r="2966">
      <c r="A2966" s="5">
        <v>742.0</v>
      </c>
      <c r="B2966" s="5" t="s">
        <v>4413</v>
      </c>
      <c r="C2966" s="5" t="s">
        <v>1727</v>
      </c>
      <c r="D2966" s="5" t="s">
        <v>6634</v>
      </c>
      <c r="E2966" s="8">
        <f>vlookup(B2966,Filmes_final!$B$2:$U$1001,20,FALSE)</f>
        <v>1478186</v>
      </c>
      <c r="F2966" s="5">
        <f>vlookup(B2966,Filmes_final!$B$2:$U$1001,3,FALSE)</f>
        <v>2015</v>
      </c>
      <c r="G2966" s="5" t="str">
        <f>vlookup(B2966,Filmes_final!$B$2:$U$1001,13,FALSE)</f>
        <v>Mark Osborne</v>
      </c>
    </row>
    <row r="2967">
      <c r="A2967" s="5">
        <v>742.0</v>
      </c>
      <c r="B2967" s="5" t="s">
        <v>4413</v>
      </c>
      <c r="C2967" s="5" t="s">
        <v>193</v>
      </c>
      <c r="D2967" s="5" t="s">
        <v>6635</v>
      </c>
      <c r="E2967" s="8">
        <f>vlookup(B2967,Filmes_final!$B$2:$U$1001,20,FALSE)</f>
        <v>1478186</v>
      </c>
      <c r="F2967" s="5">
        <f>vlookup(B2967,Filmes_final!$B$2:$U$1001,3,FALSE)</f>
        <v>2015</v>
      </c>
      <c r="G2967" s="5" t="str">
        <f>vlookup(B2967,Filmes_final!$B$2:$U$1001,13,FALSE)</f>
        <v>Mark Osborne</v>
      </c>
    </row>
    <row r="2968">
      <c r="A2968" s="5">
        <v>742.0</v>
      </c>
      <c r="B2968" s="5" t="s">
        <v>4413</v>
      </c>
      <c r="C2968" s="5" t="s">
        <v>1518</v>
      </c>
      <c r="D2968" s="5" t="s">
        <v>6636</v>
      </c>
      <c r="E2968" s="8">
        <f>vlookup(B2968,Filmes_final!$B$2:$U$1001,20,FALSE)</f>
        <v>1478186</v>
      </c>
      <c r="F2968" s="5">
        <f>vlookup(B2968,Filmes_final!$B$2:$U$1001,3,FALSE)</f>
        <v>2015</v>
      </c>
      <c r="G2968" s="5" t="str">
        <f>vlookup(B2968,Filmes_final!$B$2:$U$1001,13,FALSE)</f>
        <v>Mark Osborne</v>
      </c>
    </row>
    <row r="2969">
      <c r="A2969" s="5">
        <v>742.0</v>
      </c>
      <c r="B2969" s="5" t="s">
        <v>4413</v>
      </c>
      <c r="C2969" s="5" t="s">
        <v>4416</v>
      </c>
      <c r="D2969" s="5" t="s">
        <v>6637</v>
      </c>
      <c r="E2969" s="8">
        <f>vlookup(B2969,Filmes_final!$B$2:$U$1001,20,FALSE)</f>
        <v>1478186</v>
      </c>
      <c r="F2969" s="5">
        <f>vlookup(B2969,Filmes_final!$B$2:$U$1001,3,FALSE)</f>
        <v>2015</v>
      </c>
      <c r="G2969" s="5" t="str">
        <f>vlookup(B2969,Filmes_final!$B$2:$U$1001,13,FALSE)</f>
        <v>Mark Osborne</v>
      </c>
    </row>
    <row r="2970">
      <c r="A2970" s="5">
        <v>743.0</v>
      </c>
      <c r="B2970" s="5" t="s">
        <v>4417</v>
      </c>
      <c r="C2970" s="5" t="s">
        <v>317</v>
      </c>
      <c r="D2970" s="5" t="s">
        <v>6634</v>
      </c>
      <c r="E2970" s="8">
        <f>vlookup(B2970,Filmes_final!$B$2:$U$1001,20,FALSE)</f>
        <v>83377</v>
      </c>
      <c r="F2970" s="5">
        <f>vlookup(B2970,Filmes_final!$B$2:$U$1001,3,FALSE)</f>
        <v>2011</v>
      </c>
      <c r="G2970" s="5" t="str">
        <f>vlookup(B2970,Filmes_final!$B$2:$U$1001,13,FALSE)</f>
        <v>Tony Kaye</v>
      </c>
    </row>
    <row r="2971">
      <c r="A2971" s="5">
        <v>743.0</v>
      </c>
      <c r="B2971" s="5" t="s">
        <v>4417</v>
      </c>
      <c r="C2971" s="5" t="s">
        <v>4420</v>
      </c>
      <c r="D2971" s="5" t="s">
        <v>6635</v>
      </c>
      <c r="E2971" s="8">
        <f>vlookup(B2971,Filmes_final!$B$2:$U$1001,20,FALSE)</f>
        <v>83377</v>
      </c>
      <c r="F2971" s="5">
        <f>vlookup(B2971,Filmes_final!$B$2:$U$1001,3,FALSE)</f>
        <v>2011</v>
      </c>
      <c r="G2971" s="5" t="str">
        <f>vlookup(B2971,Filmes_final!$B$2:$U$1001,13,FALSE)</f>
        <v>Tony Kaye</v>
      </c>
    </row>
    <row r="2972">
      <c r="A2972" s="5">
        <v>743.0</v>
      </c>
      <c r="B2972" s="5" t="s">
        <v>4417</v>
      </c>
      <c r="C2972" s="5" t="s">
        <v>1609</v>
      </c>
      <c r="D2972" s="5" t="s">
        <v>6636</v>
      </c>
      <c r="E2972" s="8">
        <f>vlookup(B2972,Filmes_final!$B$2:$U$1001,20,FALSE)</f>
        <v>83377</v>
      </c>
      <c r="F2972" s="5">
        <f>vlookup(B2972,Filmes_final!$B$2:$U$1001,3,FALSE)</f>
        <v>2011</v>
      </c>
      <c r="G2972" s="5" t="str">
        <f>vlookup(B2972,Filmes_final!$B$2:$U$1001,13,FALSE)</f>
        <v>Tony Kaye</v>
      </c>
    </row>
    <row r="2973">
      <c r="A2973" s="5">
        <v>743.0</v>
      </c>
      <c r="B2973" s="5" t="s">
        <v>4417</v>
      </c>
      <c r="C2973" s="5" t="s">
        <v>4421</v>
      </c>
      <c r="D2973" s="5" t="s">
        <v>6637</v>
      </c>
      <c r="E2973" s="8">
        <f>vlookup(B2973,Filmes_final!$B$2:$U$1001,20,FALSE)</f>
        <v>83377</v>
      </c>
      <c r="F2973" s="5">
        <f>vlookup(B2973,Filmes_final!$B$2:$U$1001,3,FALSE)</f>
        <v>2011</v>
      </c>
      <c r="G2973" s="5" t="str">
        <f>vlookup(B2973,Filmes_final!$B$2:$U$1001,13,FALSE)</f>
        <v>Tony Kaye</v>
      </c>
    </row>
    <row r="2974">
      <c r="A2974" s="5">
        <v>744.0</v>
      </c>
      <c r="B2974" s="5" t="s">
        <v>4422</v>
      </c>
      <c r="C2974" s="5" t="s">
        <v>2208</v>
      </c>
      <c r="D2974" s="5" t="s">
        <v>6634</v>
      </c>
      <c r="E2974" s="8">
        <f>vlookup(B2974,Filmes_final!$B$2:$U$1001,20,FALSE)</f>
        <v>66555496</v>
      </c>
      <c r="F2974" s="5">
        <f>vlookup(B2974,Filmes_final!$B$2:$U$1001,3,FALSE)</f>
        <v>2011</v>
      </c>
      <c r="G2974" s="5" t="str">
        <f>vlookup(B2974,Filmes_final!$B$2:$U$1001,13,FALSE)</f>
        <v>Woody Allen</v>
      </c>
    </row>
    <row r="2975">
      <c r="A2975" s="5">
        <v>744.0</v>
      </c>
      <c r="B2975" s="5" t="s">
        <v>4422</v>
      </c>
      <c r="C2975" s="5" t="s">
        <v>1518</v>
      </c>
      <c r="D2975" s="5" t="s">
        <v>6635</v>
      </c>
      <c r="E2975" s="8">
        <f>vlookup(B2975,Filmes_final!$B$2:$U$1001,20,FALSE)</f>
        <v>66555496</v>
      </c>
      <c r="F2975" s="5">
        <f>vlookup(B2975,Filmes_final!$B$2:$U$1001,3,FALSE)</f>
        <v>2011</v>
      </c>
      <c r="G2975" s="5" t="str">
        <f>vlookup(B2975,Filmes_final!$B$2:$U$1001,13,FALSE)</f>
        <v>Woody Allen</v>
      </c>
    </row>
    <row r="2976">
      <c r="A2976" s="5">
        <v>744.0</v>
      </c>
      <c r="B2976" s="5" t="s">
        <v>4422</v>
      </c>
      <c r="C2976" s="5" t="s">
        <v>3951</v>
      </c>
      <c r="D2976" s="5" t="s">
        <v>6636</v>
      </c>
      <c r="E2976" s="8">
        <f>vlookup(B2976,Filmes_final!$B$2:$U$1001,20,FALSE)</f>
        <v>66555496</v>
      </c>
      <c r="F2976" s="5">
        <f>vlookup(B2976,Filmes_final!$B$2:$U$1001,3,FALSE)</f>
        <v>2011</v>
      </c>
      <c r="G2976" s="5" t="str">
        <f>vlookup(B2976,Filmes_final!$B$2:$U$1001,13,FALSE)</f>
        <v>Woody Allen</v>
      </c>
    </row>
    <row r="2977">
      <c r="A2977" s="5">
        <v>744.0</v>
      </c>
      <c r="B2977" s="5" t="s">
        <v>4422</v>
      </c>
      <c r="C2977" s="5" t="s">
        <v>4424</v>
      </c>
      <c r="D2977" s="5" t="s">
        <v>6637</v>
      </c>
      <c r="E2977" s="8">
        <f>vlookup(B2977,Filmes_final!$B$2:$U$1001,20,FALSE)</f>
        <v>66555496</v>
      </c>
      <c r="F2977" s="5">
        <f>vlookup(B2977,Filmes_final!$B$2:$U$1001,3,FALSE)</f>
        <v>2011</v>
      </c>
      <c r="G2977" s="5" t="str">
        <f>vlookup(B2977,Filmes_final!$B$2:$U$1001,13,FALSE)</f>
        <v>Woody Allen</v>
      </c>
    </row>
    <row r="2978">
      <c r="A2978" s="5">
        <v>745.0</v>
      </c>
      <c r="B2978" s="5" t="s">
        <v>4425</v>
      </c>
      <c r="C2978" s="5" t="s">
        <v>4428</v>
      </c>
      <c r="D2978" s="5" t="s">
        <v>6634</v>
      </c>
      <c r="E2978" s="8">
        <f>vlookup(B2978,Filmes_final!$B$2:$U$1001,20,FALSE)</f>
        <v>284267786</v>
      </c>
      <c r="F2978" s="5">
        <f>vlookup(B2978,Filmes_final!$B$2:$U$1001,3,FALSE)</f>
        <v>2014</v>
      </c>
      <c r="G2978" s="5" t="str">
        <f>vlookup(B2978,Filmes_final!$B$2:$U$1001,13,FALSE)</f>
        <v>Christopher Miller</v>
      </c>
    </row>
    <row r="2979">
      <c r="A2979" s="5">
        <v>745.0</v>
      </c>
      <c r="B2979" s="5" t="s">
        <v>4425</v>
      </c>
      <c r="C2979" s="5" t="s">
        <v>2243</v>
      </c>
      <c r="D2979" s="5" t="s">
        <v>6635</v>
      </c>
      <c r="E2979" s="8">
        <f>vlookup(B2979,Filmes_final!$B$2:$U$1001,20,FALSE)</f>
        <v>284267786</v>
      </c>
      <c r="F2979" s="5">
        <f>vlookup(B2979,Filmes_final!$B$2:$U$1001,3,FALSE)</f>
        <v>2014</v>
      </c>
      <c r="G2979" s="5" t="str">
        <f>vlookup(B2979,Filmes_final!$B$2:$U$1001,13,FALSE)</f>
        <v>Christopher Miller</v>
      </c>
    </row>
    <row r="2980">
      <c r="A2980" s="5">
        <v>745.0</v>
      </c>
      <c r="B2980" s="5" t="s">
        <v>4425</v>
      </c>
      <c r="C2980" s="5" t="s">
        <v>4429</v>
      </c>
      <c r="D2980" s="5" t="s">
        <v>6636</v>
      </c>
      <c r="E2980" s="8">
        <f>vlookup(B2980,Filmes_final!$B$2:$U$1001,20,FALSE)</f>
        <v>284267786</v>
      </c>
      <c r="F2980" s="5">
        <f>vlookup(B2980,Filmes_final!$B$2:$U$1001,3,FALSE)</f>
        <v>2014</v>
      </c>
      <c r="G2980" s="5" t="str">
        <f>vlookup(B2980,Filmes_final!$B$2:$U$1001,13,FALSE)</f>
        <v>Christopher Miller</v>
      </c>
    </row>
    <row r="2981">
      <c r="A2981" s="5">
        <v>745.0</v>
      </c>
      <c r="B2981" s="5" t="s">
        <v>4425</v>
      </c>
      <c r="C2981" s="5" t="s">
        <v>4430</v>
      </c>
      <c r="D2981" s="5" t="s">
        <v>6637</v>
      </c>
      <c r="E2981" s="8">
        <f>vlookup(B2981,Filmes_final!$B$2:$U$1001,20,FALSE)</f>
        <v>284267786</v>
      </c>
      <c r="F2981" s="5">
        <f>vlookup(B2981,Filmes_final!$B$2:$U$1001,3,FALSE)</f>
        <v>2014</v>
      </c>
      <c r="G2981" s="5" t="str">
        <f>vlookup(B2981,Filmes_final!$B$2:$U$1001,13,FALSE)</f>
        <v>Christopher Miller</v>
      </c>
    </row>
    <row r="2982">
      <c r="A2982" s="5">
        <v>746.0</v>
      </c>
      <c r="B2982" s="5" t="s">
        <v>4431</v>
      </c>
      <c r="C2982" s="5" t="s">
        <v>4433</v>
      </c>
      <c r="D2982" s="5" t="s">
        <v>6634</v>
      </c>
      <c r="E2982" s="8">
        <f>vlookup(B2982,Filmes_final!$B$2:$U$1001,20,FALSE)</f>
        <v>307052150</v>
      </c>
      <c r="F2982" s="5">
        <f>vlookup(B2982,Filmes_final!$B$2:$U$1001,3,FALSE)</f>
        <v>2013</v>
      </c>
      <c r="G2982" s="5" t="str">
        <f>vlookup(B2982,Filmes_final!$B$2:$U$1001,13,FALSE)</f>
        <v>Alfonso Cuarón</v>
      </c>
    </row>
    <row r="2983">
      <c r="A2983" s="5">
        <v>746.0</v>
      </c>
      <c r="B2983" s="5" t="s">
        <v>4431</v>
      </c>
      <c r="C2983" s="5" t="s">
        <v>3135</v>
      </c>
      <c r="D2983" s="5" t="s">
        <v>6635</v>
      </c>
      <c r="E2983" s="8">
        <f>vlookup(B2983,Filmes_final!$B$2:$U$1001,20,FALSE)</f>
        <v>307052150</v>
      </c>
      <c r="F2983" s="5">
        <f>vlookup(B2983,Filmes_final!$B$2:$U$1001,3,FALSE)</f>
        <v>2013</v>
      </c>
      <c r="G2983" s="5" t="str">
        <f>vlookup(B2983,Filmes_final!$B$2:$U$1001,13,FALSE)</f>
        <v>Alfonso Cuarón</v>
      </c>
    </row>
    <row r="2984">
      <c r="A2984" s="5">
        <v>746.0</v>
      </c>
      <c r="B2984" s="5" t="s">
        <v>4431</v>
      </c>
      <c r="C2984" s="5" t="s">
        <v>1151</v>
      </c>
      <c r="D2984" s="5" t="s">
        <v>6636</v>
      </c>
      <c r="E2984" s="8">
        <f>vlookup(B2984,Filmes_final!$B$2:$U$1001,20,FALSE)</f>
        <v>307052150</v>
      </c>
      <c r="F2984" s="5">
        <f>vlookup(B2984,Filmes_final!$B$2:$U$1001,3,FALSE)</f>
        <v>2013</v>
      </c>
      <c r="G2984" s="5" t="str">
        <f>vlookup(B2984,Filmes_final!$B$2:$U$1001,13,FALSE)</f>
        <v>Alfonso Cuarón</v>
      </c>
    </row>
    <row r="2985">
      <c r="A2985" s="5">
        <v>746.0</v>
      </c>
      <c r="B2985" s="5" t="s">
        <v>4431</v>
      </c>
      <c r="C2985" s="5" t="s">
        <v>4434</v>
      </c>
      <c r="D2985" s="5" t="s">
        <v>6637</v>
      </c>
      <c r="E2985" s="8">
        <f>vlookup(B2985,Filmes_final!$B$2:$U$1001,20,FALSE)</f>
        <v>307052150</v>
      </c>
      <c r="F2985" s="5">
        <f>vlookup(B2985,Filmes_final!$B$2:$U$1001,3,FALSE)</f>
        <v>2013</v>
      </c>
      <c r="G2985" s="5" t="str">
        <f>vlookup(B2985,Filmes_final!$B$2:$U$1001,13,FALSE)</f>
        <v>Alfonso Cuarón</v>
      </c>
    </row>
    <row r="2986">
      <c r="A2986" s="5">
        <v>747.0</v>
      </c>
      <c r="B2986" s="5" t="s">
        <v>4435</v>
      </c>
      <c r="C2986" s="5" t="s">
        <v>3100</v>
      </c>
      <c r="D2986" s="5" t="s">
        <v>6634</v>
      </c>
      <c r="E2986" s="8">
        <f>vlookup(B2986,Filmes_final!$B$2:$U$1001,20,FALSE)</f>
        <v>256289126</v>
      </c>
      <c r="F2986" s="5">
        <f>vlookup(B2986,Filmes_final!$B$2:$U$1001,3,FALSE)</f>
        <v>2013</v>
      </c>
      <c r="G2986" s="5" t="str">
        <f>vlookup(B2986,Filmes_final!$B$2:$U$1001,13,FALSE)</f>
        <v>J.J. Abrams</v>
      </c>
    </row>
    <row r="2987">
      <c r="A2987" s="5">
        <v>747.0</v>
      </c>
      <c r="B2987" s="5" t="s">
        <v>4435</v>
      </c>
      <c r="C2987" s="5" t="s">
        <v>3101</v>
      </c>
      <c r="D2987" s="5" t="s">
        <v>6635</v>
      </c>
      <c r="E2987" s="8">
        <f>vlookup(B2987,Filmes_final!$B$2:$U$1001,20,FALSE)</f>
        <v>256289126</v>
      </c>
      <c r="F2987" s="5">
        <f>vlookup(B2987,Filmes_final!$B$2:$U$1001,3,FALSE)</f>
        <v>2013</v>
      </c>
      <c r="G2987" s="5" t="str">
        <f>vlookup(B2987,Filmes_final!$B$2:$U$1001,13,FALSE)</f>
        <v>J.J. Abrams</v>
      </c>
    </row>
    <row r="2988">
      <c r="A2988" s="5">
        <v>747.0</v>
      </c>
      <c r="B2988" s="5" t="s">
        <v>4435</v>
      </c>
      <c r="C2988" s="5" t="s">
        <v>2246</v>
      </c>
      <c r="D2988" s="5" t="s">
        <v>6636</v>
      </c>
      <c r="E2988" s="8">
        <f>vlookup(B2988,Filmes_final!$B$2:$U$1001,20,FALSE)</f>
        <v>256289126</v>
      </c>
      <c r="F2988" s="5">
        <f>vlookup(B2988,Filmes_final!$B$2:$U$1001,3,FALSE)</f>
        <v>2013</v>
      </c>
      <c r="G2988" s="5" t="str">
        <f>vlookup(B2988,Filmes_final!$B$2:$U$1001,13,FALSE)</f>
        <v>J.J. Abrams</v>
      </c>
    </row>
    <row r="2989">
      <c r="A2989" s="5">
        <v>747.0</v>
      </c>
      <c r="B2989" s="5" t="s">
        <v>4435</v>
      </c>
      <c r="C2989" s="5" t="s">
        <v>2236</v>
      </c>
      <c r="D2989" s="5" t="s">
        <v>6637</v>
      </c>
      <c r="E2989" s="8">
        <f>vlookup(B2989,Filmes_final!$B$2:$U$1001,20,FALSE)</f>
        <v>256289126</v>
      </c>
      <c r="F2989" s="5">
        <f>vlookup(B2989,Filmes_final!$B$2:$U$1001,3,FALSE)</f>
        <v>2013</v>
      </c>
      <c r="G2989" s="5" t="str">
        <f>vlookup(B2989,Filmes_final!$B$2:$U$1001,13,FALSE)</f>
        <v>J.J. Abrams</v>
      </c>
    </row>
    <row r="2990">
      <c r="A2990" s="5">
        <v>748.0</v>
      </c>
      <c r="B2990" s="5" t="s">
        <v>4437</v>
      </c>
      <c r="C2990" s="5" t="s">
        <v>4440</v>
      </c>
      <c r="D2990" s="5" t="s">
        <v>6634</v>
      </c>
      <c r="E2990" s="8">
        <f>vlookup(B2990,Filmes_final!$B$2:$U$1001,20,FALSE)</f>
        <v>92568</v>
      </c>
      <c r="F2990" s="5">
        <f>vlookup(B2990,Filmes_final!$B$2:$U$1001,3,FALSE)</f>
        <v>2015</v>
      </c>
      <c r="G2990" s="5" t="str">
        <f>vlookup(B2990,Filmes_final!$B$2:$U$1001,13,FALSE)</f>
        <v>Cary Joji Fukunaga</v>
      </c>
    </row>
    <row r="2991">
      <c r="A2991" s="5">
        <v>748.0</v>
      </c>
      <c r="B2991" s="5" t="s">
        <v>4437</v>
      </c>
      <c r="C2991" s="5" t="s">
        <v>4441</v>
      </c>
      <c r="D2991" s="5" t="s">
        <v>6635</v>
      </c>
      <c r="E2991" s="8">
        <f>vlookup(B2991,Filmes_final!$B$2:$U$1001,20,FALSE)</f>
        <v>92568</v>
      </c>
      <c r="F2991" s="5">
        <f>vlookup(B2991,Filmes_final!$B$2:$U$1001,3,FALSE)</f>
        <v>2015</v>
      </c>
      <c r="G2991" s="5" t="str">
        <f>vlookup(B2991,Filmes_final!$B$2:$U$1001,13,FALSE)</f>
        <v>Cary Joji Fukunaga</v>
      </c>
    </row>
    <row r="2992">
      <c r="A2992" s="5">
        <v>748.0</v>
      </c>
      <c r="B2992" s="5" t="s">
        <v>4437</v>
      </c>
      <c r="C2992" s="5" t="s">
        <v>4442</v>
      </c>
      <c r="D2992" s="5" t="s">
        <v>6636</v>
      </c>
      <c r="E2992" s="8">
        <f>vlookup(B2992,Filmes_final!$B$2:$U$1001,20,FALSE)</f>
        <v>92568</v>
      </c>
      <c r="F2992" s="5">
        <f>vlookup(B2992,Filmes_final!$B$2:$U$1001,3,FALSE)</f>
        <v>2015</v>
      </c>
      <c r="G2992" s="5" t="str">
        <f>vlookup(B2992,Filmes_final!$B$2:$U$1001,13,FALSE)</f>
        <v>Cary Joji Fukunaga</v>
      </c>
    </row>
    <row r="2993">
      <c r="A2993" s="5">
        <v>748.0</v>
      </c>
      <c r="B2993" s="5" t="s">
        <v>4437</v>
      </c>
      <c r="C2993" s="5" t="s">
        <v>4443</v>
      </c>
      <c r="D2993" s="5" t="s">
        <v>6637</v>
      </c>
      <c r="E2993" s="8">
        <f>vlookup(B2993,Filmes_final!$B$2:$U$1001,20,FALSE)</f>
        <v>92568</v>
      </c>
      <c r="F2993" s="5">
        <f>vlookup(B2993,Filmes_final!$B$2:$U$1001,3,FALSE)</f>
        <v>2015</v>
      </c>
      <c r="G2993" s="5" t="str">
        <f>vlookup(B2993,Filmes_final!$B$2:$U$1001,13,FALSE)</f>
        <v>Cary Joji Fukunaga</v>
      </c>
    </row>
    <row r="2994">
      <c r="A2994" s="5">
        <v>749.0</v>
      </c>
      <c r="B2994" s="5" t="s">
        <v>4444</v>
      </c>
      <c r="C2994" s="5" t="s">
        <v>4446</v>
      </c>
      <c r="D2994" s="5" t="s">
        <v>6634</v>
      </c>
      <c r="E2994" s="8">
        <f>vlookup(B2994,Filmes_final!$B$2:$U$1001,20,FALSE)</f>
        <v>115436381</v>
      </c>
      <c r="F2994" s="5">
        <f>vlookup(B2994,Filmes_final!$B$2:$U$1001,3,FALSE)</f>
        <v>2010</v>
      </c>
      <c r="G2994" s="5" t="str">
        <f>vlookup(B2994,Filmes_final!$B$2:$U$1001,13,FALSE)</f>
        <v>David Fincher</v>
      </c>
    </row>
    <row r="2995">
      <c r="A2995" s="5">
        <v>749.0</v>
      </c>
      <c r="B2995" s="5" t="s">
        <v>4444</v>
      </c>
      <c r="C2995" s="5" t="s">
        <v>1484</v>
      </c>
      <c r="D2995" s="5" t="s">
        <v>6635</v>
      </c>
      <c r="E2995" s="8">
        <f>vlookup(B2995,Filmes_final!$B$2:$U$1001,20,FALSE)</f>
        <v>115436381</v>
      </c>
      <c r="F2995" s="5">
        <f>vlookup(B2995,Filmes_final!$B$2:$U$1001,3,FALSE)</f>
        <v>2010</v>
      </c>
      <c r="G2995" s="5" t="str">
        <f>vlookup(B2995,Filmes_final!$B$2:$U$1001,13,FALSE)</f>
        <v>David Fincher</v>
      </c>
    </row>
    <row r="2996">
      <c r="A2996" s="5">
        <v>749.0</v>
      </c>
      <c r="B2996" s="5" t="s">
        <v>4444</v>
      </c>
      <c r="C2996" s="5" t="s">
        <v>4447</v>
      </c>
      <c r="D2996" s="5" t="s">
        <v>6636</v>
      </c>
      <c r="E2996" s="8">
        <f>vlookup(B2996,Filmes_final!$B$2:$U$1001,20,FALSE)</f>
        <v>115436381</v>
      </c>
      <c r="F2996" s="5">
        <f>vlookup(B2996,Filmes_final!$B$2:$U$1001,3,FALSE)</f>
        <v>2010</v>
      </c>
      <c r="G2996" s="5" t="str">
        <f>vlookup(B2996,Filmes_final!$B$2:$U$1001,13,FALSE)</f>
        <v>David Fincher</v>
      </c>
    </row>
    <row r="2997">
      <c r="A2997" s="5">
        <v>749.0</v>
      </c>
      <c r="B2997" s="5" t="s">
        <v>4444</v>
      </c>
      <c r="C2997" s="5" t="s">
        <v>2183</v>
      </c>
      <c r="D2997" s="5" t="s">
        <v>6637</v>
      </c>
      <c r="E2997" s="8">
        <f>vlookup(B2997,Filmes_final!$B$2:$U$1001,20,FALSE)</f>
        <v>115436381</v>
      </c>
      <c r="F2997" s="5">
        <f>vlookup(B2997,Filmes_final!$B$2:$U$1001,3,FALSE)</f>
        <v>2010</v>
      </c>
      <c r="G2997" s="5" t="str">
        <f>vlookup(B2997,Filmes_final!$B$2:$U$1001,13,FALSE)</f>
        <v>David Fincher</v>
      </c>
    </row>
    <row r="2998">
      <c r="A2998" s="5">
        <v>750.0</v>
      </c>
      <c r="B2998" s="5" t="s">
        <v>4448</v>
      </c>
      <c r="C2998" s="5" t="s">
        <v>3022</v>
      </c>
      <c r="D2998" s="5" t="s">
        <v>6634</v>
      </c>
      <c r="E2998" s="8">
        <f>vlookup(B2998,Filmes_final!$B$2:$U$1001,20,FALSE)</f>
        <v>171503870</v>
      </c>
      <c r="F2998" s="5">
        <f>vlookup(B2998,Filmes_final!$B$2:$U$1001,3,FALSE)</f>
        <v>2011</v>
      </c>
      <c r="G2998" s="5" t="str">
        <f>vlookup(B2998,Filmes_final!$B$2:$U$1001,13,FALSE)</f>
        <v>Matthew Vaughn</v>
      </c>
    </row>
    <row r="2999">
      <c r="A2999" s="5">
        <v>750.0</v>
      </c>
      <c r="B2999" s="5" t="s">
        <v>4448</v>
      </c>
      <c r="C2999" s="5" t="s">
        <v>1505</v>
      </c>
      <c r="D2999" s="5" t="s">
        <v>6635</v>
      </c>
      <c r="E2999" s="8">
        <f>vlookup(B2999,Filmes_final!$B$2:$U$1001,20,FALSE)</f>
        <v>171503870</v>
      </c>
      <c r="F2999" s="5">
        <f>vlookup(B2999,Filmes_final!$B$2:$U$1001,3,FALSE)</f>
        <v>2011</v>
      </c>
      <c r="G2999" s="5" t="str">
        <f>vlookup(B2999,Filmes_final!$B$2:$U$1001,13,FALSE)</f>
        <v>Matthew Vaughn</v>
      </c>
    </row>
    <row r="3000">
      <c r="A3000" s="5">
        <v>750.0</v>
      </c>
      <c r="B3000" s="5" t="s">
        <v>4448</v>
      </c>
      <c r="C3000" s="5" t="s">
        <v>4450</v>
      </c>
      <c r="D3000" s="5" t="s">
        <v>6636</v>
      </c>
      <c r="E3000" s="8">
        <f>vlookup(B3000,Filmes_final!$B$2:$U$1001,20,FALSE)</f>
        <v>171503870</v>
      </c>
      <c r="F3000" s="5">
        <f>vlookup(B3000,Filmes_final!$B$2:$U$1001,3,FALSE)</f>
        <v>2011</v>
      </c>
      <c r="G3000" s="5" t="str">
        <f>vlookup(B3000,Filmes_final!$B$2:$U$1001,13,FALSE)</f>
        <v>Matthew Vaughn</v>
      </c>
    </row>
    <row r="3001">
      <c r="A3001" s="5">
        <v>750.0</v>
      </c>
      <c r="B3001" s="5" t="s">
        <v>4448</v>
      </c>
      <c r="C3001" s="5" t="s">
        <v>3171</v>
      </c>
      <c r="D3001" s="5" t="s">
        <v>6637</v>
      </c>
      <c r="E3001" s="8">
        <f>vlookup(B3001,Filmes_final!$B$2:$U$1001,20,FALSE)</f>
        <v>171503870</v>
      </c>
      <c r="F3001" s="5">
        <f>vlookup(B3001,Filmes_final!$B$2:$U$1001,3,FALSE)</f>
        <v>2011</v>
      </c>
      <c r="G3001" s="5" t="str">
        <f>vlookup(B3001,Filmes_final!$B$2:$U$1001,13,FALSE)</f>
        <v>Matthew Vaughn</v>
      </c>
    </row>
    <row r="3002">
      <c r="A3002" s="5">
        <v>751.0</v>
      </c>
      <c r="B3002" s="5" t="s">
        <v>4451</v>
      </c>
      <c r="C3002" s="5" t="s">
        <v>4373</v>
      </c>
      <c r="D3002" s="5" t="s">
        <v>6634</v>
      </c>
      <c r="E3002" s="8">
        <f>vlookup(B3002,Filmes_final!$B$2:$U$1001,20,FALSE)</f>
        <v>338828014</v>
      </c>
      <c r="F3002" s="5">
        <f>vlookup(B3002,Filmes_final!$B$2:$U$1001,3,FALSE)</f>
        <v>2009</v>
      </c>
      <c r="G3002" s="5" t="str">
        <f>vlookup(B3002,Filmes_final!$B$2:$U$1001,13,FALSE)</f>
        <v>Todd Phillips</v>
      </c>
    </row>
    <row r="3003">
      <c r="A3003" s="5">
        <v>751.0</v>
      </c>
      <c r="B3003" s="5" t="s">
        <v>4451</v>
      </c>
      <c r="C3003" s="5" t="s">
        <v>2245</v>
      </c>
      <c r="D3003" s="5" t="s">
        <v>6635</v>
      </c>
      <c r="E3003" s="8">
        <f>vlookup(B3003,Filmes_final!$B$2:$U$1001,20,FALSE)</f>
        <v>338828014</v>
      </c>
      <c r="F3003" s="5">
        <f>vlookup(B3003,Filmes_final!$B$2:$U$1001,3,FALSE)</f>
        <v>2009</v>
      </c>
      <c r="G3003" s="5" t="str">
        <f>vlookup(B3003,Filmes_final!$B$2:$U$1001,13,FALSE)</f>
        <v>Todd Phillips</v>
      </c>
    </row>
    <row r="3004">
      <c r="A3004" s="5">
        <v>751.0</v>
      </c>
      <c r="B3004" s="5" t="s">
        <v>4451</v>
      </c>
      <c r="C3004" s="5" t="s">
        <v>4453</v>
      </c>
      <c r="D3004" s="5" t="s">
        <v>6636</v>
      </c>
      <c r="E3004" s="8">
        <f>vlookup(B3004,Filmes_final!$B$2:$U$1001,20,FALSE)</f>
        <v>338828014</v>
      </c>
      <c r="F3004" s="5">
        <f>vlookup(B3004,Filmes_final!$B$2:$U$1001,3,FALSE)</f>
        <v>2009</v>
      </c>
      <c r="G3004" s="5" t="str">
        <f>vlookup(B3004,Filmes_final!$B$2:$U$1001,13,FALSE)</f>
        <v>Todd Phillips</v>
      </c>
    </row>
    <row r="3005">
      <c r="A3005" s="5">
        <v>751.0</v>
      </c>
      <c r="B3005" s="5" t="s">
        <v>4451</v>
      </c>
      <c r="C3005" s="5" t="s">
        <v>4454</v>
      </c>
      <c r="D3005" s="5" t="s">
        <v>6637</v>
      </c>
      <c r="E3005" s="8">
        <f>vlookup(B3005,Filmes_final!$B$2:$U$1001,20,FALSE)</f>
        <v>338828014</v>
      </c>
      <c r="F3005" s="5">
        <f>vlookup(B3005,Filmes_final!$B$2:$U$1001,3,FALSE)</f>
        <v>2009</v>
      </c>
      <c r="G3005" s="5" t="str">
        <f>vlookup(B3005,Filmes_final!$B$2:$U$1001,13,FALSE)</f>
        <v>Todd Phillips</v>
      </c>
    </row>
    <row r="3006">
      <c r="A3006" s="5">
        <v>752.0</v>
      </c>
      <c r="B3006" s="5" t="s">
        <v>4455</v>
      </c>
      <c r="C3006" s="5" t="s">
        <v>2409</v>
      </c>
      <c r="D3006" s="5" t="s">
        <v>6634</v>
      </c>
      <c r="E3006" s="8">
        <f>vlookup(B3006,Filmes_final!$B$2:$U$1001,20,FALSE)</f>
        <v>346397216</v>
      </c>
      <c r="F3006" s="5">
        <f>vlookup(B3006,Filmes_final!$B$2:$U$1001,3,FALSE)</f>
        <v>2012</v>
      </c>
      <c r="G3006" s="5" t="str">
        <f>vlookup(B3006,Filmes_final!$B$2:$U$1001,13,FALSE)</f>
        <v>Sam Mendes</v>
      </c>
    </row>
    <row r="3007">
      <c r="A3007" s="5">
        <v>752.0</v>
      </c>
      <c r="B3007" s="5" t="s">
        <v>4455</v>
      </c>
      <c r="C3007" s="5" t="s">
        <v>1615</v>
      </c>
      <c r="D3007" s="5" t="s">
        <v>6635</v>
      </c>
      <c r="E3007" s="8">
        <f>vlookup(B3007,Filmes_final!$B$2:$U$1001,20,FALSE)</f>
        <v>346397216</v>
      </c>
      <c r="F3007" s="5">
        <f>vlookup(B3007,Filmes_final!$B$2:$U$1001,3,FALSE)</f>
        <v>2012</v>
      </c>
      <c r="G3007" s="5" t="str">
        <f>vlookup(B3007,Filmes_final!$B$2:$U$1001,13,FALSE)</f>
        <v>Sam Mendes</v>
      </c>
    </row>
    <row r="3008">
      <c r="A3008" s="5">
        <v>752.0</v>
      </c>
      <c r="B3008" s="5" t="s">
        <v>4455</v>
      </c>
      <c r="C3008" s="5" t="s">
        <v>4457</v>
      </c>
      <c r="D3008" s="5" t="s">
        <v>6636</v>
      </c>
      <c r="E3008" s="8">
        <f>vlookup(B3008,Filmes_final!$B$2:$U$1001,20,FALSE)</f>
        <v>346397216</v>
      </c>
      <c r="F3008" s="5">
        <f>vlookup(B3008,Filmes_final!$B$2:$U$1001,3,FALSE)</f>
        <v>2012</v>
      </c>
      <c r="G3008" s="5" t="str">
        <f>vlookup(B3008,Filmes_final!$B$2:$U$1001,13,FALSE)</f>
        <v>Sam Mendes</v>
      </c>
    </row>
    <row r="3009">
      <c r="A3009" s="5">
        <v>752.0</v>
      </c>
      <c r="B3009" s="5" t="s">
        <v>4455</v>
      </c>
      <c r="C3009" s="5" t="s">
        <v>2411</v>
      </c>
      <c r="D3009" s="5" t="s">
        <v>6637</v>
      </c>
      <c r="E3009" s="8">
        <f>vlookup(B3009,Filmes_final!$B$2:$U$1001,20,FALSE)</f>
        <v>346397216</v>
      </c>
      <c r="F3009" s="5">
        <f>vlookup(B3009,Filmes_final!$B$2:$U$1001,3,FALSE)</f>
        <v>2012</v>
      </c>
      <c r="G3009" s="5" t="str">
        <f>vlookup(B3009,Filmes_final!$B$2:$U$1001,13,FALSE)</f>
        <v>Sam Mendes</v>
      </c>
    </row>
    <row r="3010">
      <c r="A3010" s="5">
        <v>753.0</v>
      </c>
      <c r="B3010" s="5" t="s">
        <v>4458</v>
      </c>
      <c r="C3010" s="5" t="s">
        <v>2245</v>
      </c>
      <c r="D3010" s="5" t="s">
        <v>6634</v>
      </c>
      <c r="E3010" s="8">
        <f>vlookup(B3010,Filmes_final!$B$2:$U$1001,20,FALSE)</f>
        <v>150337072</v>
      </c>
      <c r="F3010" s="5">
        <f>vlookup(B3010,Filmes_final!$B$2:$U$1001,3,FALSE)</f>
        <v>2012</v>
      </c>
      <c r="G3010" s="5" t="str">
        <f>vlookup(B3010,Filmes_final!$B$2:$U$1001,13,FALSE)</f>
        <v>David O. Russell</v>
      </c>
    </row>
    <row r="3011">
      <c r="A3011" s="5">
        <v>753.0</v>
      </c>
      <c r="B3011" s="5" t="s">
        <v>4458</v>
      </c>
      <c r="C3011" s="5" t="s">
        <v>4450</v>
      </c>
      <c r="D3011" s="5" t="s">
        <v>6635</v>
      </c>
      <c r="E3011" s="8">
        <f>vlookup(B3011,Filmes_final!$B$2:$U$1001,20,FALSE)</f>
        <v>150337072</v>
      </c>
      <c r="F3011" s="5">
        <f>vlookup(B3011,Filmes_final!$B$2:$U$1001,3,FALSE)</f>
        <v>2012</v>
      </c>
      <c r="G3011" s="5" t="str">
        <f>vlookup(B3011,Filmes_final!$B$2:$U$1001,13,FALSE)</f>
        <v>David O. Russell</v>
      </c>
    </row>
    <row r="3012">
      <c r="A3012" s="5">
        <v>753.0</v>
      </c>
      <c r="B3012" s="5" t="s">
        <v>4458</v>
      </c>
      <c r="C3012" s="5" t="s">
        <v>49</v>
      </c>
      <c r="D3012" s="5" t="s">
        <v>6636</v>
      </c>
      <c r="E3012" s="8">
        <f>vlookup(B3012,Filmes_final!$B$2:$U$1001,20,FALSE)</f>
        <v>150337072</v>
      </c>
      <c r="F3012" s="5">
        <f>vlookup(B3012,Filmes_final!$B$2:$U$1001,3,FALSE)</f>
        <v>2012</v>
      </c>
      <c r="G3012" s="5" t="str">
        <f>vlookup(B3012,Filmes_final!$B$2:$U$1001,13,FALSE)</f>
        <v>David O. Russell</v>
      </c>
    </row>
    <row r="3013">
      <c r="A3013" s="5">
        <v>753.0</v>
      </c>
      <c r="B3013" s="5" t="s">
        <v>4458</v>
      </c>
      <c r="C3013" s="5" t="s">
        <v>4460</v>
      </c>
      <c r="D3013" s="5" t="s">
        <v>6637</v>
      </c>
      <c r="E3013" s="8">
        <f>vlookup(B3013,Filmes_final!$B$2:$U$1001,20,FALSE)</f>
        <v>150337072</v>
      </c>
      <c r="F3013" s="5">
        <f>vlookup(B3013,Filmes_final!$B$2:$U$1001,3,FALSE)</f>
        <v>2012</v>
      </c>
      <c r="G3013" s="5" t="str">
        <f>vlookup(B3013,Filmes_final!$B$2:$U$1001,13,FALSE)</f>
        <v>David O. Russell</v>
      </c>
    </row>
    <row r="3014">
      <c r="A3014" s="5">
        <v>754.0</v>
      </c>
      <c r="B3014" s="5" t="s">
        <v>4461</v>
      </c>
      <c r="C3014" s="5" t="s">
        <v>753</v>
      </c>
      <c r="D3014" s="5" t="s">
        <v>6634</v>
      </c>
      <c r="E3014" s="8">
        <f>vlookup(B3014,Filmes_final!$B$2:$U$1001,20,FALSE)</f>
        <v>154812763</v>
      </c>
      <c r="F3014" s="5">
        <f>vlookup(B3014,Filmes_final!$B$2:$U$1001,3,FALSE)</f>
        <v>2012</v>
      </c>
      <c r="G3014" s="5" t="str">
        <f>vlookup(B3014,Filmes_final!$B$2:$U$1001,13,FALSE)</f>
        <v>Ben Affleck</v>
      </c>
    </row>
    <row r="3015">
      <c r="A3015" s="5">
        <v>754.0</v>
      </c>
      <c r="B3015" s="5" t="s">
        <v>4461</v>
      </c>
      <c r="C3015" s="5" t="s">
        <v>2972</v>
      </c>
      <c r="D3015" s="5" t="s">
        <v>6635</v>
      </c>
      <c r="E3015" s="8">
        <f>vlookup(B3015,Filmes_final!$B$2:$U$1001,20,FALSE)</f>
        <v>154812763</v>
      </c>
      <c r="F3015" s="5">
        <f>vlookup(B3015,Filmes_final!$B$2:$U$1001,3,FALSE)</f>
        <v>2012</v>
      </c>
      <c r="G3015" s="5" t="str">
        <f>vlookup(B3015,Filmes_final!$B$2:$U$1001,13,FALSE)</f>
        <v>Ben Affleck</v>
      </c>
    </row>
    <row r="3016">
      <c r="A3016" s="5">
        <v>754.0</v>
      </c>
      <c r="B3016" s="5" t="s">
        <v>4461</v>
      </c>
      <c r="C3016" s="5" t="s">
        <v>1685</v>
      </c>
      <c r="D3016" s="5" t="s">
        <v>6636</v>
      </c>
      <c r="E3016" s="8">
        <f>vlookup(B3016,Filmes_final!$B$2:$U$1001,20,FALSE)</f>
        <v>154812763</v>
      </c>
      <c r="F3016" s="5">
        <f>vlookup(B3016,Filmes_final!$B$2:$U$1001,3,FALSE)</f>
        <v>2012</v>
      </c>
      <c r="G3016" s="5" t="str">
        <f>vlookup(B3016,Filmes_final!$B$2:$U$1001,13,FALSE)</f>
        <v>Ben Affleck</v>
      </c>
    </row>
    <row r="3017">
      <c r="A3017" s="5">
        <v>754.0</v>
      </c>
      <c r="B3017" s="5" t="s">
        <v>4461</v>
      </c>
      <c r="C3017" s="5" t="s">
        <v>4194</v>
      </c>
      <c r="D3017" s="5" t="s">
        <v>6637</v>
      </c>
      <c r="E3017" s="8">
        <f>vlookup(B3017,Filmes_final!$B$2:$U$1001,20,FALSE)</f>
        <v>154812763</v>
      </c>
      <c r="F3017" s="5">
        <f>vlookup(B3017,Filmes_final!$B$2:$U$1001,3,FALSE)</f>
        <v>2012</v>
      </c>
      <c r="G3017" s="5" t="str">
        <f>vlookup(B3017,Filmes_final!$B$2:$U$1001,13,FALSE)</f>
        <v>Ben Affleck</v>
      </c>
    </row>
    <row r="3018">
      <c r="A3018" s="5">
        <v>755.0</v>
      </c>
      <c r="B3018" s="5" t="s">
        <v>4463</v>
      </c>
      <c r="C3018" s="5" t="s">
        <v>4466</v>
      </c>
      <c r="D3018" s="5" t="s">
        <v>6634</v>
      </c>
      <c r="E3018" s="8">
        <f>vlookup(B3018,Filmes_final!$B$2:$U$1001,20,FALSE)</f>
        <v>39575241</v>
      </c>
      <c r="F3018" s="5">
        <f>vlookup(B3018,Filmes_final!$B$2:$U$1001,3,FALSE)</f>
        <v>2009</v>
      </c>
      <c r="G3018" s="5" t="str">
        <f>vlookup(B3018,Filmes_final!$B$2:$U$1001,13,FALSE)</f>
        <v>Marc Webb</v>
      </c>
    </row>
    <row r="3019">
      <c r="A3019" s="5">
        <v>755.0</v>
      </c>
      <c r="B3019" s="5" t="s">
        <v>4463</v>
      </c>
      <c r="C3019" s="5" t="s">
        <v>91</v>
      </c>
      <c r="D3019" s="5" t="s">
        <v>6635</v>
      </c>
      <c r="E3019" s="8">
        <f>vlookup(B3019,Filmes_final!$B$2:$U$1001,20,FALSE)</f>
        <v>39575241</v>
      </c>
      <c r="F3019" s="5">
        <f>vlookup(B3019,Filmes_final!$B$2:$U$1001,3,FALSE)</f>
        <v>2009</v>
      </c>
      <c r="G3019" s="5" t="str">
        <f>vlookup(B3019,Filmes_final!$B$2:$U$1001,13,FALSE)</f>
        <v>Marc Webb</v>
      </c>
    </row>
    <row r="3020">
      <c r="A3020" s="5">
        <v>755.0</v>
      </c>
      <c r="B3020" s="5" t="s">
        <v>4463</v>
      </c>
      <c r="C3020" s="5" t="s">
        <v>4467</v>
      </c>
      <c r="D3020" s="5" t="s">
        <v>6636</v>
      </c>
      <c r="E3020" s="8">
        <f>vlookup(B3020,Filmes_final!$B$2:$U$1001,20,FALSE)</f>
        <v>39575241</v>
      </c>
      <c r="F3020" s="5">
        <f>vlookup(B3020,Filmes_final!$B$2:$U$1001,3,FALSE)</f>
        <v>2009</v>
      </c>
      <c r="G3020" s="5" t="str">
        <f>vlookup(B3020,Filmes_final!$B$2:$U$1001,13,FALSE)</f>
        <v>Marc Webb</v>
      </c>
    </row>
    <row r="3021">
      <c r="A3021" s="5">
        <v>755.0</v>
      </c>
      <c r="B3021" s="5" t="s">
        <v>4463</v>
      </c>
      <c r="C3021" s="5" t="s">
        <v>2202</v>
      </c>
      <c r="D3021" s="5" t="s">
        <v>6637</v>
      </c>
      <c r="E3021" s="8">
        <f>vlookup(B3021,Filmes_final!$B$2:$U$1001,20,FALSE)</f>
        <v>39575241</v>
      </c>
      <c r="F3021" s="5">
        <f>vlookup(B3021,Filmes_final!$B$2:$U$1001,3,FALSE)</f>
        <v>2009</v>
      </c>
      <c r="G3021" s="5" t="str">
        <f>vlookup(B3021,Filmes_final!$B$2:$U$1001,13,FALSE)</f>
        <v>Marc Webb</v>
      </c>
    </row>
    <row r="3022">
      <c r="A3022" s="5">
        <v>756.0</v>
      </c>
      <c r="B3022" s="5" t="s">
        <v>4468</v>
      </c>
      <c r="C3022" s="5" t="s">
        <v>1568</v>
      </c>
      <c r="D3022" s="5" t="s">
        <v>6634</v>
      </c>
      <c r="E3022" s="8">
        <f>vlookup(B3022,Filmes_final!$B$2:$U$1001,20,FALSE)</f>
        <v>352375128</v>
      </c>
      <c r="F3022" s="5">
        <f>vlookup(B3022,Filmes_final!$B$2:$U$1001,3,FALSE)</f>
        <v>2010</v>
      </c>
      <c r="G3022" s="5" t="str">
        <f>vlookup(B3022,Filmes_final!$B$2:$U$1001,13,FALSE)</f>
        <v>David Yates</v>
      </c>
    </row>
    <row r="3023">
      <c r="A3023" s="5">
        <v>756.0</v>
      </c>
      <c r="B3023" s="5" t="s">
        <v>4468</v>
      </c>
      <c r="C3023" s="5" t="s">
        <v>1569</v>
      </c>
      <c r="D3023" s="5" t="s">
        <v>6635</v>
      </c>
      <c r="E3023" s="8">
        <f>vlookup(B3023,Filmes_final!$B$2:$U$1001,20,FALSE)</f>
        <v>352375128</v>
      </c>
      <c r="F3023" s="5">
        <f>vlookup(B3023,Filmes_final!$B$2:$U$1001,3,FALSE)</f>
        <v>2010</v>
      </c>
      <c r="G3023" s="5" t="str">
        <f>vlookup(B3023,Filmes_final!$B$2:$U$1001,13,FALSE)</f>
        <v>David Yates</v>
      </c>
    </row>
    <row r="3024">
      <c r="A3024" s="5">
        <v>756.0</v>
      </c>
      <c r="B3024" s="5" t="s">
        <v>4468</v>
      </c>
      <c r="C3024" s="5" t="s">
        <v>1570</v>
      </c>
      <c r="D3024" s="5" t="s">
        <v>6636</v>
      </c>
      <c r="E3024" s="8">
        <f>vlookup(B3024,Filmes_final!$B$2:$U$1001,20,FALSE)</f>
        <v>352375128</v>
      </c>
      <c r="F3024" s="5">
        <f>vlookup(B3024,Filmes_final!$B$2:$U$1001,3,FALSE)</f>
        <v>2010</v>
      </c>
      <c r="G3024" s="5" t="str">
        <f>vlookup(B3024,Filmes_final!$B$2:$U$1001,13,FALSE)</f>
        <v>David Yates</v>
      </c>
    </row>
    <row r="3025">
      <c r="A3025" s="5">
        <v>756.0</v>
      </c>
      <c r="B3025" s="5" t="s">
        <v>4468</v>
      </c>
      <c r="C3025" s="5" t="s">
        <v>3619</v>
      </c>
      <c r="D3025" s="5" t="s">
        <v>6637</v>
      </c>
      <c r="E3025" s="8">
        <f>vlookup(B3025,Filmes_final!$B$2:$U$1001,20,FALSE)</f>
        <v>352375128</v>
      </c>
      <c r="F3025" s="5">
        <f>vlookup(B3025,Filmes_final!$B$2:$U$1001,3,FALSE)</f>
        <v>2010</v>
      </c>
      <c r="G3025" s="5" t="str">
        <f>vlookup(B3025,Filmes_final!$B$2:$U$1001,13,FALSE)</f>
        <v>David Yates</v>
      </c>
    </row>
    <row r="3026">
      <c r="A3026" s="5">
        <v>757.0</v>
      </c>
      <c r="B3026" s="5" t="s">
        <v>4470</v>
      </c>
      <c r="C3026" s="5" t="s">
        <v>2996</v>
      </c>
      <c r="D3026" s="5" t="s">
        <v>6634</v>
      </c>
      <c r="E3026" s="8">
        <f>vlookup(B3026,Filmes_final!$B$2:$U$1001,20,FALSE)</f>
        <v>18442702</v>
      </c>
      <c r="F3026" s="5">
        <f>vlookup(B3026,Filmes_final!$B$2:$U$1001,3,FALSE)</f>
        <v>2008</v>
      </c>
      <c r="G3026" s="5" t="str">
        <f>vlookup(B3026,Filmes_final!$B$2:$U$1001,13,FALSE)</f>
        <v>Hayao Miyazaki</v>
      </c>
    </row>
    <row r="3027">
      <c r="A3027" s="5">
        <v>757.0</v>
      </c>
      <c r="B3027" s="5" t="s">
        <v>4470</v>
      </c>
      <c r="C3027" s="5" t="s">
        <v>215</v>
      </c>
      <c r="D3027" s="5" t="s">
        <v>6635</v>
      </c>
      <c r="E3027" s="8">
        <f>vlookup(B3027,Filmes_final!$B$2:$U$1001,20,FALSE)</f>
        <v>18442702</v>
      </c>
      <c r="F3027" s="5">
        <f>vlookup(B3027,Filmes_final!$B$2:$U$1001,3,FALSE)</f>
        <v>2008</v>
      </c>
      <c r="G3027" s="5" t="str">
        <f>vlookup(B3027,Filmes_final!$B$2:$U$1001,13,FALSE)</f>
        <v>Hayao Miyazaki</v>
      </c>
    </row>
    <row r="3028">
      <c r="A3028" s="5">
        <v>757.0</v>
      </c>
      <c r="B3028" s="5" t="s">
        <v>4470</v>
      </c>
      <c r="C3028" s="5" t="s">
        <v>82</v>
      </c>
      <c r="D3028" s="5" t="s">
        <v>6636</v>
      </c>
      <c r="E3028" s="8">
        <f>vlookup(B3028,Filmes_final!$B$2:$U$1001,20,FALSE)</f>
        <v>18442702</v>
      </c>
      <c r="F3028" s="5">
        <f>vlookup(B3028,Filmes_final!$B$2:$U$1001,3,FALSE)</f>
        <v>2008</v>
      </c>
      <c r="G3028" s="5" t="str">
        <f>vlookup(B3028,Filmes_final!$B$2:$U$1001,13,FALSE)</f>
        <v>Hayao Miyazaki</v>
      </c>
    </row>
    <row r="3029">
      <c r="A3029" s="5">
        <v>757.0</v>
      </c>
      <c r="B3029" s="5" t="s">
        <v>4470</v>
      </c>
      <c r="C3029" s="5" t="s">
        <v>4472</v>
      </c>
      <c r="D3029" s="5" t="s">
        <v>6637</v>
      </c>
      <c r="E3029" s="8">
        <f>vlookup(B3029,Filmes_final!$B$2:$U$1001,20,FALSE)</f>
        <v>18442702</v>
      </c>
      <c r="F3029" s="5">
        <f>vlookup(B3029,Filmes_final!$B$2:$U$1001,3,FALSE)</f>
        <v>2008</v>
      </c>
      <c r="G3029" s="5" t="str">
        <f>vlookup(B3029,Filmes_final!$B$2:$U$1001,13,FALSE)</f>
        <v>Hayao Miyazaki</v>
      </c>
    </row>
    <row r="3030">
      <c r="A3030" s="5">
        <v>758.0</v>
      </c>
      <c r="B3030" s="5" t="s">
        <v>4473</v>
      </c>
      <c r="C3030" s="5" t="s">
        <v>4475</v>
      </c>
      <c r="D3030" s="5" t="s">
        <v>6634</v>
      </c>
      <c r="E3030" s="8">
        <f>vlookup(B3030,Filmes_final!$B$2:$U$1001,20,FALSE)</f>
        <v>22723588</v>
      </c>
      <c r="F3030" s="5">
        <f>vlookup(B3030,Filmes_final!$B$2:$U$1001,3,FALSE)</f>
        <v>2008</v>
      </c>
      <c r="G3030" s="5" t="str">
        <f>vlookup(B3030,Filmes_final!$B$2:$U$1001,13,FALSE)</f>
        <v>Ron Howard</v>
      </c>
    </row>
    <row r="3031">
      <c r="A3031" s="5">
        <v>758.0</v>
      </c>
      <c r="B3031" s="5" t="s">
        <v>4473</v>
      </c>
      <c r="C3031" s="5" t="s">
        <v>4476</v>
      </c>
      <c r="D3031" s="5" t="s">
        <v>6635</v>
      </c>
      <c r="E3031" s="8">
        <f>vlookup(B3031,Filmes_final!$B$2:$U$1001,20,FALSE)</f>
        <v>22723588</v>
      </c>
      <c r="F3031" s="5">
        <f>vlookup(B3031,Filmes_final!$B$2:$U$1001,3,FALSE)</f>
        <v>2008</v>
      </c>
      <c r="G3031" s="5" t="str">
        <f>vlookup(B3031,Filmes_final!$B$2:$U$1001,13,FALSE)</f>
        <v>Ron Howard</v>
      </c>
    </row>
    <row r="3032">
      <c r="A3032" s="5">
        <v>758.0</v>
      </c>
      <c r="B3032" s="5" t="s">
        <v>4473</v>
      </c>
      <c r="C3032" s="5" t="s">
        <v>3171</v>
      </c>
      <c r="D3032" s="5" t="s">
        <v>6636</v>
      </c>
      <c r="E3032" s="8">
        <f>vlookup(B3032,Filmes_final!$B$2:$U$1001,20,FALSE)</f>
        <v>22723588</v>
      </c>
      <c r="F3032" s="5">
        <f>vlookup(B3032,Filmes_final!$B$2:$U$1001,3,FALSE)</f>
        <v>2008</v>
      </c>
      <c r="G3032" s="5" t="str">
        <f>vlookup(B3032,Filmes_final!$B$2:$U$1001,13,FALSE)</f>
        <v>Ron Howard</v>
      </c>
    </row>
    <row r="3033">
      <c r="A3033" s="5">
        <v>758.0</v>
      </c>
      <c r="B3033" s="5" t="s">
        <v>4473</v>
      </c>
      <c r="C3033" s="5" t="s">
        <v>974</v>
      </c>
      <c r="D3033" s="5" t="s">
        <v>6637</v>
      </c>
      <c r="E3033" s="8">
        <f>vlookup(B3033,Filmes_final!$B$2:$U$1001,20,FALSE)</f>
        <v>22723588</v>
      </c>
      <c r="F3033" s="5">
        <f>vlookup(B3033,Filmes_final!$B$2:$U$1001,3,FALSE)</f>
        <v>2008</v>
      </c>
      <c r="G3033" s="5" t="str">
        <f>vlookup(B3033,Filmes_final!$B$2:$U$1001,13,FALSE)</f>
        <v>Ron Howard</v>
      </c>
    </row>
    <row r="3034">
      <c r="A3034" s="5">
        <v>759.0</v>
      </c>
      <c r="B3034" s="5" t="s">
        <v>4477</v>
      </c>
      <c r="C3034" s="5" t="s">
        <v>1692</v>
      </c>
      <c r="D3034" s="5" t="s">
        <v>6634</v>
      </c>
      <c r="E3034" s="8">
        <f>vlookup(B3034,Filmes_final!$B$2:$U$1001,20,FALSE)</f>
        <v>1146497</v>
      </c>
      <c r="F3034" s="5">
        <f>vlookup(B3034,Filmes_final!$B$2:$U$1001,3,FALSE)</f>
        <v>2006</v>
      </c>
      <c r="G3034" s="5" t="str">
        <f>vlookup(B3034,Filmes_final!$B$2:$U$1001,13,FALSE)</f>
        <v>Satoshi Kon</v>
      </c>
    </row>
    <row r="3035">
      <c r="A3035" s="5">
        <v>759.0</v>
      </c>
      <c r="B3035" s="5" t="s">
        <v>4477</v>
      </c>
      <c r="C3035" s="5" t="s">
        <v>3849</v>
      </c>
      <c r="D3035" s="5" t="s">
        <v>6635</v>
      </c>
      <c r="E3035" s="8">
        <f>vlookup(B3035,Filmes_final!$B$2:$U$1001,20,FALSE)</f>
        <v>1146497</v>
      </c>
      <c r="F3035" s="5">
        <f>vlookup(B3035,Filmes_final!$B$2:$U$1001,3,FALSE)</f>
        <v>2006</v>
      </c>
      <c r="G3035" s="5" t="str">
        <f>vlookup(B3035,Filmes_final!$B$2:$U$1001,13,FALSE)</f>
        <v>Satoshi Kon</v>
      </c>
    </row>
    <row r="3036">
      <c r="A3036" s="5">
        <v>759.0</v>
      </c>
      <c r="B3036" s="5" t="s">
        <v>4477</v>
      </c>
      <c r="C3036" s="5" t="s">
        <v>4479</v>
      </c>
      <c r="D3036" s="5" t="s">
        <v>6636</v>
      </c>
      <c r="E3036" s="8">
        <f>vlookup(B3036,Filmes_final!$B$2:$U$1001,20,FALSE)</f>
        <v>1146497</v>
      </c>
      <c r="F3036" s="5">
        <f>vlookup(B3036,Filmes_final!$B$2:$U$1001,3,FALSE)</f>
        <v>2006</v>
      </c>
      <c r="G3036" s="5" t="str">
        <f>vlookup(B3036,Filmes_final!$B$2:$U$1001,13,FALSE)</f>
        <v>Satoshi Kon</v>
      </c>
    </row>
    <row r="3037">
      <c r="A3037" s="5">
        <v>759.0</v>
      </c>
      <c r="B3037" s="5" t="s">
        <v>4477</v>
      </c>
      <c r="C3037" s="5" t="s">
        <v>4480</v>
      </c>
      <c r="D3037" s="5" t="s">
        <v>6637</v>
      </c>
      <c r="E3037" s="8">
        <f>vlookup(B3037,Filmes_final!$B$2:$U$1001,20,FALSE)</f>
        <v>1146497</v>
      </c>
      <c r="F3037" s="5">
        <f>vlookup(B3037,Filmes_final!$B$2:$U$1001,3,FALSE)</f>
        <v>2006</v>
      </c>
      <c r="G3037" s="5" t="str">
        <f>vlookup(B3037,Filmes_final!$B$2:$U$1001,13,FALSE)</f>
        <v>Satoshi Kon</v>
      </c>
    </row>
    <row r="3038">
      <c r="A3038" s="5">
        <v>760.0</v>
      </c>
      <c r="B3038" s="5" t="s">
        <v>4481</v>
      </c>
      <c r="C3038" s="5" t="s">
        <v>4483</v>
      </c>
      <c r="D3038" s="5" t="s">
        <v>6634</v>
      </c>
      <c r="E3038" s="8">
        <f>vlookup(B3038,Filmes_final!$B$2:$U$1001,20,FALSE)</f>
        <v>43679328</v>
      </c>
      <c r="F3038" s="5">
        <f>vlookup(B3038,Filmes_final!$B$2:$U$1001,3,FALSE)</f>
        <v>2008</v>
      </c>
      <c r="G3038" s="5" t="str">
        <f>vlookup(B3038,Filmes_final!$B$2:$U$1001,13,FALSE)</f>
        <v>Clint Eastwood</v>
      </c>
    </row>
    <row r="3039">
      <c r="A3039" s="5">
        <v>760.0</v>
      </c>
      <c r="B3039" s="5" t="s">
        <v>4481</v>
      </c>
      <c r="C3039" s="5" t="s">
        <v>4484</v>
      </c>
      <c r="D3039" s="5" t="s">
        <v>6635</v>
      </c>
      <c r="E3039" s="8">
        <f>vlookup(B3039,Filmes_final!$B$2:$U$1001,20,FALSE)</f>
        <v>43679328</v>
      </c>
      <c r="F3039" s="5">
        <f>vlookup(B3039,Filmes_final!$B$2:$U$1001,3,FALSE)</f>
        <v>2008</v>
      </c>
      <c r="G3039" s="5" t="str">
        <f>vlookup(B3039,Filmes_final!$B$2:$U$1001,13,FALSE)</f>
        <v>Clint Eastwood</v>
      </c>
    </row>
    <row r="3040">
      <c r="A3040" s="5">
        <v>760.0</v>
      </c>
      <c r="B3040" s="5" t="s">
        <v>4481</v>
      </c>
      <c r="C3040" s="5" t="s">
        <v>4485</v>
      </c>
      <c r="D3040" s="5" t="s">
        <v>6636</v>
      </c>
      <c r="E3040" s="8">
        <f>vlookup(B3040,Filmes_final!$B$2:$U$1001,20,FALSE)</f>
        <v>43679328</v>
      </c>
      <c r="F3040" s="5">
        <f>vlookup(B3040,Filmes_final!$B$2:$U$1001,3,FALSE)</f>
        <v>2008</v>
      </c>
      <c r="G3040" s="5" t="str">
        <f>vlookup(B3040,Filmes_final!$B$2:$U$1001,13,FALSE)</f>
        <v>Clint Eastwood</v>
      </c>
    </row>
    <row r="3041">
      <c r="A3041" s="5">
        <v>760.0</v>
      </c>
      <c r="B3041" s="5" t="s">
        <v>4481</v>
      </c>
      <c r="C3041" s="5" t="s">
        <v>4486</v>
      </c>
      <c r="D3041" s="5" t="s">
        <v>6637</v>
      </c>
      <c r="E3041" s="8">
        <f>vlookup(B3041,Filmes_final!$B$2:$U$1001,20,FALSE)</f>
        <v>43679328</v>
      </c>
      <c r="F3041" s="5">
        <f>vlookup(B3041,Filmes_final!$B$2:$U$1001,3,FALSE)</f>
        <v>2008</v>
      </c>
      <c r="G3041" s="5" t="str">
        <f>vlookup(B3041,Filmes_final!$B$2:$U$1001,13,FALSE)</f>
        <v>Clint Eastwood</v>
      </c>
    </row>
    <row r="3042">
      <c r="A3042" s="5">
        <v>761.0</v>
      </c>
      <c r="B3042" s="5" t="s">
        <v>4487</v>
      </c>
      <c r="C3042" s="5" t="s">
        <v>4489</v>
      </c>
      <c r="D3042" s="5" t="s">
        <v>6634</v>
      </c>
      <c r="E3042" s="8">
        <f>vlookup(B3042,Filmes_final!$B$2:$U$1001,20,FALSE)</f>
        <v>2086052</v>
      </c>
      <c r="F3042" s="5">
        <f>vlookup(B3042,Filmes_final!$B$2:$U$1001,3,FALSE)</f>
        <v>2010</v>
      </c>
      <c r="G3042" s="5" t="str">
        <f>vlookup(B3042,Filmes_final!$B$2:$U$1001,13,FALSE)</f>
        <v>Rob Reiner</v>
      </c>
    </row>
    <row r="3043">
      <c r="A3043" s="5">
        <v>761.0</v>
      </c>
      <c r="B3043" s="5" t="s">
        <v>4487</v>
      </c>
      <c r="C3043" s="5" t="s">
        <v>4490</v>
      </c>
      <c r="D3043" s="5" t="s">
        <v>6635</v>
      </c>
      <c r="E3043" s="8">
        <f>vlookup(B3043,Filmes_final!$B$2:$U$1001,20,FALSE)</f>
        <v>2086052</v>
      </c>
      <c r="F3043" s="5">
        <f>vlookup(B3043,Filmes_final!$B$2:$U$1001,3,FALSE)</f>
        <v>2010</v>
      </c>
      <c r="G3043" s="5" t="str">
        <f>vlookup(B3043,Filmes_final!$B$2:$U$1001,13,FALSE)</f>
        <v>Rob Reiner</v>
      </c>
    </row>
    <row r="3044">
      <c r="A3044" s="5">
        <v>761.0</v>
      </c>
      <c r="B3044" s="5" t="s">
        <v>4487</v>
      </c>
      <c r="C3044" s="5" t="s">
        <v>4491</v>
      </c>
      <c r="D3044" s="5" t="s">
        <v>6636</v>
      </c>
      <c r="E3044" s="8">
        <f>vlookup(B3044,Filmes_final!$B$2:$U$1001,20,FALSE)</f>
        <v>2086052</v>
      </c>
      <c r="F3044" s="5">
        <f>vlookup(B3044,Filmes_final!$B$2:$U$1001,3,FALSE)</f>
        <v>2010</v>
      </c>
      <c r="G3044" s="5" t="str">
        <f>vlookup(B3044,Filmes_final!$B$2:$U$1001,13,FALSE)</f>
        <v>Rob Reiner</v>
      </c>
    </row>
    <row r="3045">
      <c r="A3045" s="5">
        <v>761.0</v>
      </c>
      <c r="B3045" s="5" t="s">
        <v>4487</v>
      </c>
      <c r="C3045" s="5" t="s">
        <v>4492</v>
      </c>
      <c r="D3045" s="5" t="s">
        <v>6637</v>
      </c>
      <c r="E3045" s="8">
        <f>vlookup(B3045,Filmes_final!$B$2:$U$1001,20,FALSE)</f>
        <v>2086052</v>
      </c>
      <c r="F3045" s="5">
        <f>vlookup(B3045,Filmes_final!$B$2:$U$1001,3,FALSE)</f>
        <v>2010</v>
      </c>
      <c r="G3045" s="5" t="str">
        <f>vlookup(B3045,Filmes_final!$B$2:$U$1001,13,FALSE)</f>
        <v>Rob Reiner</v>
      </c>
    </row>
    <row r="3046">
      <c r="A3046" s="5">
        <v>762.0</v>
      </c>
      <c r="B3046" s="5" t="s">
        <v>4493</v>
      </c>
      <c r="C3046" s="5" t="s">
        <v>4495</v>
      </c>
      <c r="D3046" s="5" t="s">
        <v>6634</v>
      </c>
      <c r="E3046" s="8">
        <f>vlookup(B3046,Filmes_final!$B$2:$U$1001,20,FALSE)</f>
        <v>1136263</v>
      </c>
      <c r="F3046" s="5">
        <f>vlookup(B3046,Filmes_final!$B$2:$U$1001,3,FALSE)</f>
        <v>2006</v>
      </c>
      <c r="G3046" s="5" t="str">
        <f>vlookup(B3046,Filmes_final!$B$2:$U$1001,13,FALSE)</f>
        <v>Mamoru Hosoda</v>
      </c>
    </row>
    <row r="3047">
      <c r="A3047" s="5">
        <v>762.0</v>
      </c>
      <c r="B3047" s="5" t="s">
        <v>4493</v>
      </c>
      <c r="C3047" s="5" t="s">
        <v>4496</v>
      </c>
      <c r="D3047" s="5" t="s">
        <v>6635</v>
      </c>
      <c r="E3047" s="8">
        <f>vlookup(B3047,Filmes_final!$B$2:$U$1001,20,FALSE)</f>
        <v>1136263</v>
      </c>
      <c r="F3047" s="5">
        <f>vlookup(B3047,Filmes_final!$B$2:$U$1001,3,FALSE)</f>
        <v>2006</v>
      </c>
      <c r="G3047" s="5" t="str">
        <f>vlookup(B3047,Filmes_final!$B$2:$U$1001,13,FALSE)</f>
        <v>Mamoru Hosoda</v>
      </c>
    </row>
    <row r="3048">
      <c r="A3048" s="5">
        <v>762.0</v>
      </c>
      <c r="B3048" s="5" t="s">
        <v>4493</v>
      </c>
      <c r="C3048" s="5" t="s">
        <v>4497</v>
      </c>
      <c r="D3048" s="5" t="s">
        <v>6636</v>
      </c>
      <c r="E3048" s="8">
        <f>vlookup(B3048,Filmes_final!$B$2:$U$1001,20,FALSE)</f>
        <v>1136263</v>
      </c>
      <c r="F3048" s="5">
        <f>vlookup(B3048,Filmes_final!$B$2:$U$1001,3,FALSE)</f>
        <v>2006</v>
      </c>
      <c r="G3048" s="5" t="str">
        <f>vlookup(B3048,Filmes_final!$B$2:$U$1001,13,FALSE)</f>
        <v>Mamoru Hosoda</v>
      </c>
    </row>
    <row r="3049">
      <c r="A3049" s="5">
        <v>762.0</v>
      </c>
      <c r="B3049" s="5" t="s">
        <v>4493</v>
      </c>
      <c r="C3049" s="5" t="s">
        <v>4498</v>
      </c>
      <c r="D3049" s="5" t="s">
        <v>6637</v>
      </c>
      <c r="E3049" s="8">
        <f>vlookup(B3049,Filmes_final!$B$2:$U$1001,20,FALSE)</f>
        <v>1136263</v>
      </c>
      <c r="F3049" s="5">
        <f>vlookup(B3049,Filmes_final!$B$2:$U$1001,3,FALSE)</f>
        <v>2006</v>
      </c>
      <c r="G3049" s="5" t="str">
        <f>vlookup(B3049,Filmes_final!$B$2:$U$1001,13,FALSE)</f>
        <v>Mamoru Hosoda</v>
      </c>
    </row>
    <row r="3050">
      <c r="A3050" s="5">
        <v>763.0</v>
      </c>
      <c r="B3050" s="5" t="s">
        <v>4499</v>
      </c>
      <c r="C3050" s="5" t="s">
        <v>4502</v>
      </c>
      <c r="D3050" s="5" t="s">
        <v>6634</v>
      </c>
      <c r="E3050" s="8">
        <f>vlookup(B3050,Filmes_final!$B$2:$U$1001,20,FALSE)</f>
        <v>38594399</v>
      </c>
      <c r="F3050" s="5">
        <f>vlookup(B3050,Filmes_final!$B$2:$U$1001,3,FALSE)</f>
        <v>2006</v>
      </c>
      <c r="G3050" s="5" t="str">
        <f>vlookup(B3050,Filmes_final!$B$2:$U$1001,13,FALSE)</f>
        <v>Shûsuke Kaneko</v>
      </c>
    </row>
    <row r="3051">
      <c r="A3051" s="5">
        <v>763.0</v>
      </c>
      <c r="B3051" s="5" t="s">
        <v>4499</v>
      </c>
      <c r="C3051" s="5" t="s">
        <v>4503</v>
      </c>
      <c r="D3051" s="5" t="s">
        <v>6635</v>
      </c>
      <c r="E3051" s="8">
        <f>vlookup(B3051,Filmes_final!$B$2:$U$1001,20,FALSE)</f>
        <v>38594399</v>
      </c>
      <c r="F3051" s="5">
        <f>vlookup(B3051,Filmes_final!$B$2:$U$1001,3,FALSE)</f>
        <v>2006</v>
      </c>
      <c r="G3051" s="5" t="str">
        <f>vlookup(B3051,Filmes_final!$B$2:$U$1001,13,FALSE)</f>
        <v>Shûsuke Kaneko</v>
      </c>
    </row>
    <row r="3052">
      <c r="A3052" s="5">
        <v>763.0</v>
      </c>
      <c r="B3052" s="5" t="s">
        <v>4499</v>
      </c>
      <c r="C3052" s="5" t="s">
        <v>4504</v>
      </c>
      <c r="D3052" s="5" t="s">
        <v>6636</v>
      </c>
      <c r="E3052" s="8">
        <f>vlookup(B3052,Filmes_final!$B$2:$U$1001,20,FALSE)</f>
        <v>38594399</v>
      </c>
      <c r="F3052" s="5">
        <f>vlookup(B3052,Filmes_final!$B$2:$U$1001,3,FALSE)</f>
        <v>2006</v>
      </c>
      <c r="G3052" s="5" t="str">
        <f>vlookup(B3052,Filmes_final!$B$2:$U$1001,13,FALSE)</f>
        <v>Shûsuke Kaneko</v>
      </c>
    </row>
    <row r="3053">
      <c r="A3053" s="5">
        <v>763.0</v>
      </c>
      <c r="B3053" s="5" t="s">
        <v>4499</v>
      </c>
      <c r="C3053" s="5" t="s">
        <v>4505</v>
      </c>
      <c r="D3053" s="5" t="s">
        <v>6637</v>
      </c>
      <c r="E3053" s="8">
        <f>vlookup(B3053,Filmes_final!$B$2:$U$1001,20,FALSE)</f>
        <v>38594399</v>
      </c>
      <c r="F3053" s="5">
        <f>vlookup(B3053,Filmes_final!$B$2:$U$1001,3,FALSE)</f>
        <v>2006</v>
      </c>
      <c r="G3053" s="5" t="str">
        <f>vlookup(B3053,Filmes_final!$B$2:$U$1001,13,FALSE)</f>
        <v>Shûsuke Kaneko</v>
      </c>
    </row>
    <row r="3054">
      <c r="A3054" s="5">
        <v>764.0</v>
      </c>
      <c r="B3054" s="5" t="s">
        <v>4506</v>
      </c>
      <c r="C3054" s="5" t="s">
        <v>4509</v>
      </c>
      <c r="D3054" s="5" t="s">
        <v>6634</v>
      </c>
      <c r="E3054" s="8">
        <f>vlookup(B3054,Filmes_final!$B$2:$U$1001,20,FALSE)</f>
        <v>426594</v>
      </c>
      <c r="F3054" s="5">
        <f>vlookup(B3054,Filmes_final!$B$2:$U$1001,3,FALSE)</f>
        <v>2006</v>
      </c>
      <c r="G3054" s="5" t="str">
        <f>vlookup(B3054,Filmes_final!$B$2:$U$1001,13,FALSE)</f>
        <v>Shane Meadows</v>
      </c>
    </row>
    <row r="3055">
      <c r="A3055" s="5">
        <v>764.0</v>
      </c>
      <c r="B3055" s="5" t="s">
        <v>4506</v>
      </c>
      <c r="C3055" s="5" t="s">
        <v>4510</v>
      </c>
      <c r="D3055" s="5" t="s">
        <v>6635</v>
      </c>
      <c r="E3055" s="8">
        <f>vlookup(B3055,Filmes_final!$B$2:$U$1001,20,FALSE)</f>
        <v>426594</v>
      </c>
      <c r="F3055" s="5">
        <f>vlookup(B3055,Filmes_final!$B$2:$U$1001,3,FALSE)</f>
        <v>2006</v>
      </c>
      <c r="G3055" s="5" t="str">
        <f>vlookup(B3055,Filmes_final!$B$2:$U$1001,13,FALSE)</f>
        <v>Shane Meadows</v>
      </c>
    </row>
    <row r="3056">
      <c r="A3056" s="5">
        <v>764.0</v>
      </c>
      <c r="B3056" s="5" t="s">
        <v>4506</v>
      </c>
      <c r="C3056" s="5" t="s">
        <v>4511</v>
      </c>
      <c r="D3056" s="5" t="s">
        <v>6636</v>
      </c>
      <c r="E3056" s="8">
        <f>vlookup(B3056,Filmes_final!$B$2:$U$1001,20,FALSE)</f>
        <v>426594</v>
      </c>
      <c r="F3056" s="5">
        <f>vlookup(B3056,Filmes_final!$B$2:$U$1001,3,FALSE)</f>
        <v>2006</v>
      </c>
      <c r="G3056" s="5" t="str">
        <f>vlookup(B3056,Filmes_final!$B$2:$U$1001,13,FALSE)</f>
        <v>Shane Meadows</v>
      </c>
    </row>
    <row r="3057">
      <c r="A3057" s="5">
        <v>764.0</v>
      </c>
      <c r="B3057" s="5" t="s">
        <v>4506</v>
      </c>
      <c r="C3057" s="5" t="s">
        <v>4512</v>
      </c>
      <c r="D3057" s="5" t="s">
        <v>6637</v>
      </c>
      <c r="E3057" s="8">
        <f>vlookup(B3057,Filmes_final!$B$2:$U$1001,20,FALSE)</f>
        <v>426594</v>
      </c>
      <c r="F3057" s="5">
        <f>vlookup(B3057,Filmes_final!$B$2:$U$1001,3,FALSE)</f>
        <v>2006</v>
      </c>
      <c r="G3057" s="5" t="str">
        <f>vlookup(B3057,Filmes_final!$B$2:$U$1001,13,FALSE)</f>
        <v>Shane Meadows</v>
      </c>
    </row>
    <row r="3058">
      <c r="A3058" s="5">
        <v>765.0</v>
      </c>
      <c r="B3058" s="5" t="s">
        <v>4513</v>
      </c>
      <c r="C3058" s="5" t="s">
        <v>4516</v>
      </c>
      <c r="D3058" s="5" t="s">
        <v>6634</v>
      </c>
      <c r="E3058" s="8">
        <f>vlookup(B3058,Filmes_final!$B$2:$U$1001,20,FALSE)</f>
        <v>28059412</v>
      </c>
      <c r="F3058" s="5">
        <f>vlookup(B3058,Filmes_final!$B$2:$U$1001,3,FALSE)</f>
        <v>2014</v>
      </c>
      <c r="G3058" s="5" t="str">
        <f>vlookup(B3058,Filmes_final!$B$2:$U$1001,13,FALSE)</f>
        <v>Alex Garland</v>
      </c>
    </row>
    <row r="3059">
      <c r="A3059" s="5">
        <v>765.0</v>
      </c>
      <c r="B3059" s="5" t="s">
        <v>4513</v>
      </c>
      <c r="C3059" s="5" t="s">
        <v>2264</v>
      </c>
      <c r="D3059" s="5" t="s">
        <v>6635</v>
      </c>
      <c r="E3059" s="8">
        <f>vlookup(B3059,Filmes_final!$B$2:$U$1001,20,FALSE)</f>
        <v>28059412</v>
      </c>
      <c r="F3059" s="5">
        <f>vlookup(B3059,Filmes_final!$B$2:$U$1001,3,FALSE)</f>
        <v>2014</v>
      </c>
      <c r="G3059" s="5" t="str">
        <f>vlookup(B3059,Filmes_final!$B$2:$U$1001,13,FALSE)</f>
        <v>Alex Garland</v>
      </c>
    </row>
    <row r="3060">
      <c r="A3060" s="5">
        <v>765.0</v>
      </c>
      <c r="B3060" s="5" t="s">
        <v>4513</v>
      </c>
      <c r="C3060" s="5" t="s">
        <v>3015</v>
      </c>
      <c r="D3060" s="5" t="s">
        <v>6636</v>
      </c>
      <c r="E3060" s="8">
        <f>vlookup(B3060,Filmes_final!$B$2:$U$1001,20,FALSE)</f>
        <v>28059412</v>
      </c>
      <c r="F3060" s="5">
        <f>vlookup(B3060,Filmes_final!$B$2:$U$1001,3,FALSE)</f>
        <v>2014</v>
      </c>
      <c r="G3060" s="5" t="str">
        <f>vlookup(B3060,Filmes_final!$B$2:$U$1001,13,FALSE)</f>
        <v>Alex Garland</v>
      </c>
    </row>
    <row r="3061">
      <c r="A3061" s="5">
        <v>765.0</v>
      </c>
      <c r="B3061" s="5" t="s">
        <v>4513</v>
      </c>
      <c r="C3061" s="5" t="s">
        <v>4517</v>
      </c>
      <c r="D3061" s="5" t="s">
        <v>6637</v>
      </c>
      <c r="E3061" s="8">
        <f>vlookup(B3061,Filmes_final!$B$2:$U$1001,20,FALSE)</f>
        <v>28059412</v>
      </c>
      <c r="F3061" s="5">
        <f>vlookup(B3061,Filmes_final!$B$2:$U$1001,3,FALSE)</f>
        <v>2014</v>
      </c>
      <c r="G3061" s="5" t="str">
        <f>vlookup(B3061,Filmes_final!$B$2:$U$1001,13,FALSE)</f>
        <v>Alex Garland</v>
      </c>
    </row>
    <row r="3062">
      <c r="A3062" s="5">
        <v>766.0</v>
      </c>
      <c r="B3062" s="5" t="s">
        <v>4518</v>
      </c>
      <c r="C3062" s="5" t="s">
        <v>673</v>
      </c>
      <c r="D3062" s="5" t="s">
        <v>6634</v>
      </c>
      <c r="E3062" s="8">
        <f>vlookup(B3062,Filmes_final!$B$2:$U$1001,20,FALSE)</f>
        <v>536684</v>
      </c>
      <c r="F3062" s="5">
        <f>vlookup(B3062,Filmes_final!$B$2:$U$1001,3,FALSE)</f>
        <v>2006</v>
      </c>
      <c r="G3062" s="5" t="str">
        <f>vlookup(B3062,Filmes_final!$B$2:$U$1001,13,FALSE)</f>
        <v>Susanne Bier</v>
      </c>
    </row>
    <row r="3063">
      <c r="A3063" s="5">
        <v>766.0</v>
      </c>
      <c r="B3063" s="5" t="s">
        <v>4518</v>
      </c>
      <c r="C3063" s="5" t="s">
        <v>4521</v>
      </c>
      <c r="D3063" s="5" t="s">
        <v>6635</v>
      </c>
      <c r="E3063" s="8">
        <f>vlookup(B3063,Filmes_final!$B$2:$U$1001,20,FALSE)</f>
        <v>536684</v>
      </c>
      <c r="F3063" s="5">
        <f>vlookup(B3063,Filmes_final!$B$2:$U$1001,3,FALSE)</f>
        <v>2006</v>
      </c>
      <c r="G3063" s="5" t="str">
        <f>vlookup(B3063,Filmes_final!$B$2:$U$1001,13,FALSE)</f>
        <v>Susanne Bier</v>
      </c>
    </row>
    <row r="3064">
      <c r="A3064" s="5">
        <v>766.0</v>
      </c>
      <c r="B3064" s="5" t="s">
        <v>4518</v>
      </c>
      <c r="C3064" s="5" t="s">
        <v>4334</v>
      </c>
      <c r="D3064" s="5" t="s">
        <v>6636</v>
      </c>
      <c r="E3064" s="8">
        <f>vlookup(B3064,Filmes_final!$B$2:$U$1001,20,FALSE)</f>
        <v>536684</v>
      </c>
      <c r="F3064" s="5">
        <f>vlookup(B3064,Filmes_final!$B$2:$U$1001,3,FALSE)</f>
        <v>2006</v>
      </c>
      <c r="G3064" s="5" t="str">
        <f>vlookup(B3064,Filmes_final!$B$2:$U$1001,13,FALSE)</f>
        <v>Susanne Bier</v>
      </c>
    </row>
    <row r="3065">
      <c r="A3065" s="5">
        <v>766.0</v>
      </c>
      <c r="B3065" s="5" t="s">
        <v>4518</v>
      </c>
      <c r="C3065" s="5" t="s">
        <v>4522</v>
      </c>
      <c r="D3065" s="5" t="s">
        <v>6637</v>
      </c>
      <c r="E3065" s="8">
        <f>vlookup(B3065,Filmes_final!$B$2:$U$1001,20,FALSE)</f>
        <v>536684</v>
      </c>
      <c r="F3065" s="5">
        <f>vlookup(B3065,Filmes_final!$B$2:$U$1001,3,FALSE)</f>
        <v>2006</v>
      </c>
      <c r="G3065" s="5" t="str">
        <f>vlookup(B3065,Filmes_final!$B$2:$U$1001,13,FALSE)</f>
        <v>Susanne Bier</v>
      </c>
    </row>
    <row r="3066">
      <c r="A3066" s="5">
        <v>767.0</v>
      </c>
      <c r="B3066" s="5" t="s">
        <v>4523</v>
      </c>
      <c r="C3066" s="5" t="s">
        <v>3022</v>
      </c>
      <c r="D3066" s="5" t="s">
        <v>6634</v>
      </c>
      <c r="E3066" s="8">
        <f>vlookup(B3066,Filmes_final!$B$2:$U$1001,20,FALSE)</f>
        <v>22903689</v>
      </c>
      <c r="F3066" s="5">
        <f>vlookup(B3066,Filmes_final!$B$2:$U$1001,3,FALSE)</f>
        <v>2006</v>
      </c>
      <c r="G3066" s="5" t="str">
        <f>vlookup(B3066,Filmes_final!$B$2:$U$1001,13,FALSE)</f>
        <v>Kevin Macdonald</v>
      </c>
    </row>
    <row r="3067">
      <c r="A3067" s="5">
        <v>767.0</v>
      </c>
      <c r="B3067" s="5" t="s">
        <v>4523</v>
      </c>
      <c r="C3067" s="5" t="s">
        <v>3009</v>
      </c>
      <c r="D3067" s="5" t="s">
        <v>6635</v>
      </c>
      <c r="E3067" s="8">
        <f>vlookup(B3067,Filmes_final!$B$2:$U$1001,20,FALSE)</f>
        <v>22903689</v>
      </c>
      <c r="F3067" s="5">
        <f>vlookup(B3067,Filmes_final!$B$2:$U$1001,3,FALSE)</f>
        <v>2006</v>
      </c>
      <c r="G3067" s="5" t="str">
        <f>vlookup(B3067,Filmes_final!$B$2:$U$1001,13,FALSE)</f>
        <v>Kevin Macdonald</v>
      </c>
    </row>
    <row r="3068">
      <c r="A3068" s="5">
        <v>767.0</v>
      </c>
      <c r="B3068" s="5" t="s">
        <v>4523</v>
      </c>
      <c r="C3068" s="5" t="s">
        <v>4526</v>
      </c>
      <c r="D3068" s="5" t="s">
        <v>6636</v>
      </c>
      <c r="E3068" s="8">
        <f>vlookup(B3068,Filmes_final!$B$2:$U$1001,20,FALSE)</f>
        <v>22903689</v>
      </c>
      <c r="F3068" s="5">
        <f>vlookup(B3068,Filmes_final!$B$2:$U$1001,3,FALSE)</f>
        <v>2006</v>
      </c>
      <c r="G3068" s="5" t="str">
        <f>vlookup(B3068,Filmes_final!$B$2:$U$1001,13,FALSE)</f>
        <v>Kevin Macdonald</v>
      </c>
    </row>
    <row r="3069">
      <c r="A3069" s="5">
        <v>767.0</v>
      </c>
      <c r="B3069" s="5" t="s">
        <v>4523</v>
      </c>
      <c r="C3069" s="5" t="s">
        <v>499</v>
      </c>
      <c r="D3069" s="5" t="s">
        <v>6637</v>
      </c>
      <c r="E3069" s="8">
        <f>vlookup(B3069,Filmes_final!$B$2:$U$1001,20,FALSE)</f>
        <v>22903689</v>
      </c>
      <c r="F3069" s="5">
        <f>vlookup(B3069,Filmes_final!$B$2:$U$1001,3,FALSE)</f>
        <v>2006</v>
      </c>
      <c r="G3069" s="5" t="str">
        <f>vlookup(B3069,Filmes_final!$B$2:$U$1001,13,FALSE)</f>
        <v>Kevin Macdonald</v>
      </c>
    </row>
    <row r="3070">
      <c r="A3070" s="5">
        <v>768.0</v>
      </c>
      <c r="B3070" s="5" t="s">
        <v>4527</v>
      </c>
      <c r="C3070" s="5" t="s">
        <v>1542</v>
      </c>
      <c r="D3070" s="5" t="s">
        <v>6634</v>
      </c>
      <c r="E3070" s="8">
        <f>vlookup(B3070,Filmes_final!$B$2:$U$1001,20,FALSE)</f>
        <v>42159228</v>
      </c>
      <c r="F3070" s="5">
        <f>vlookup(B3070,Filmes_final!$B$2:$U$1001,3,FALSE)</f>
        <v>2007</v>
      </c>
      <c r="G3070" s="5" t="str">
        <f>vlookup(B3070,Filmes_final!$B$2:$U$1001,13,FALSE)</f>
        <v>David Fincher</v>
      </c>
    </row>
    <row r="3071">
      <c r="A3071" s="5">
        <v>768.0</v>
      </c>
      <c r="B3071" s="5" t="s">
        <v>4527</v>
      </c>
      <c r="C3071" s="5" t="s">
        <v>479</v>
      </c>
      <c r="D3071" s="5" t="s">
        <v>6635</v>
      </c>
      <c r="E3071" s="8">
        <f>vlookup(B3071,Filmes_final!$B$2:$U$1001,20,FALSE)</f>
        <v>42159228</v>
      </c>
      <c r="F3071" s="5">
        <f>vlookup(B3071,Filmes_final!$B$2:$U$1001,3,FALSE)</f>
        <v>2007</v>
      </c>
      <c r="G3071" s="5" t="str">
        <f>vlookup(B3071,Filmes_final!$B$2:$U$1001,13,FALSE)</f>
        <v>David Fincher</v>
      </c>
    </row>
    <row r="3072">
      <c r="A3072" s="5">
        <v>768.0</v>
      </c>
      <c r="B3072" s="5" t="s">
        <v>4527</v>
      </c>
      <c r="C3072" s="5" t="s">
        <v>481</v>
      </c>
      <c r="D3072" s="5" t="s">
        <v>6636</v>
      </c>
      <c r="E3072" s="8">
        <f>vlookup(B3072,Filmes_final!$B$2:$U$1001,20,FALSE)</f>
        <v>42159228</v>
      </c>
      <c r="F3072" s="5">
        <f>vlookup(B3072,Filmes_final!$B$2:$U$1001,3,FALSE)</f>
        <v>2007</v>
      </c>
      <c r="G3072" s="5" t="str">
        <f>vlookup(B3072,Filmes_final!$B$2:$U$1001,13,FALSE)</f>
        <v>David Fincher</v>
      </c>
    </row>
    <row r="3073">
      <c r="A3073" s="5">
        <v>768.0</v>
      </c>
      <c r="B3073" s="5" t="s">
        <v>4527</v>
      </c>
      <c r="C3073" s="5" t="s">
        <v>4492</v>
      </c>
      <c r="D3073" s="5" t="s">
        <v>6637</v>
      </c>
      <c r="E3073" s="8">
        <f>vlookup(B3073,Filmes_final!$B$2:$U$1001,20,FALSE)</f>
        <v>42159228</v>
      </c>
      <c r="F3073" s="5">
        <f>vlookup(B3073,Filmes_final!$B$2:$U$1001,3,FALSE)</f>
        <v>2007</v>
      </c>
      <c r="G3073" s="5" t="str">
        <f>vlookup(B3073,Filmes_final!$B$2:$U$1001,13,FALSE)</f>
        <v>David Fincher</v>
      </c>
    </row>
    <row r="3074">
      <c r="A3074" s="5">
        <v>769.0</v>
      </c>
      <c r="B3074" s="5" t="s">
        <v>4529</v>
      </c>
      <c r="C3074" s="5" t="s">
        <v>4532</v>
      </c>
      <c r="D3074" s="5" t="s">
        <v>6634</v>
      </c>
      <c r="E3074" s="8">
        <f>vlookup(B3074,Filmes_final!$B$2:$U$1001,20,FALSE)</f>
        <v>29263365</v>
      </c>
      <c r="F3074" s="5">
        <f>vlookup(B3074,Filmes_final!$B$2:$U$1001,3,FALSE)</f>
        <v>2006</v>
      </c>
      <c r="G3074" s="5" t="str">
        <f>vlookup(B3074,Filmes_final!$B$2:$U$1001,13,FALSE)</f>
        <v>Paul McGuigan</v>
      </c>
    </row>
    <row r="3075">
      <c r="A3075" s="5">
        <v>769.0</v>
      </c>
      <c r="B3075" s="5" t="s">
        <v>4529</v>
      </c>
      <c r="C3075" s="5" t="s">
        <v>84</v>
      </c>
      <c r="D3075" s="5" t="s">
        <v>6635</v>
      </c>
      <c r="E3075" s="8">
        <f>vlookup(B3075,Filmes_final!$B$2:$U$1001,20,FALSE)</f>
        <v>29263365</v>
      </c>
      <c r="F3075" s="5">
        <f>vlookup(B3075,Filmes_final!$B$2:$U$1001,3,FALSE)</f>
        <v>2006</v>
      </c>
      <c r="G3075" s="5" t="str">
        <f>vlookup(B3075,Filmes_final!$B$2:$U$1001,13,FALSE)</f>
        <v>Paul McGuigan</v>
      </c>
    </row>
    <row r="3076">
      <c r="A3076" s="5">
        <v>769.0</v>
      </c>
      <c r="B3076" s="5" t="s">
        <v>4529</v>
      </c>
      <c r="C3076" s="5" t="s">
        <v>24</v>
      </c>
      <c r="D3076" s="5" t="s">
        <v>6636</v>
      </c>
      <c r="E3076" s="8">
        <f>vlookup(B3076,Filmes_final!$B$2:$U$1001,20,FALSE)</f>
        <v>29263365</v>
      </c>
      <c r="F3076" s="5">
        <f>vlookup(B3076,Filmes_final!$B$2:$U$1001,3,FALSE)</f>
        <v>2006</v>
      </c>
      <c r="G3076" s="5" t="str">
        <f>vlookup(B3076,Filmes_final!$B$2:$U$1001,13,FALSE)</f>
        <v>Paul McGuigan</v>
      </c>
    </row>
    <row r="3077">
      <c r="A3077" s="5">
        <v>769.0</v>
      </c>
      <c r="B3077" s="5" t="s">
        <v>4529</v>
      </c>
      <c r="C3077" s="5" t="s">
        <v>4421</v>
      </c>
      <c r="D3077" s="5" t="s">
        <v>6637</v>
      </c>
      <c r="E3077" s="8">
        <f>vlookup(B3077,Filmes_final!$B$2:$U$1001,20,FALSE)</f>
        <v>29263365</v>
      </c>
      <c r="F3077" s="5">
        <f>vlookup(B3077,Filmes_final!$B$2:$U$1001,3,FALSE)</f>
        <v>2006</v>
      </c>
      <c r="G3077" s="5" t="str">
        <f>vlookup(B3077,Filmes_final!$B$2:$U$1001,13,FALSE)</f>
        <v>Paul McGuigan</v>
      </c>
    </row>
    <row r="3078">
      <c r="A3078" s="5">
        <v>770.0</v>
      </c>
      <c r="B3078" s="5" t="s">
        <v>4533</v>
      </c>
      <c r="C3078" s="5" t="s">
        <v>710</v>
      </c>
      <c r="D3078" s="5" t="s">
        <v>6634</v>
      </c>
      <c r="E3078" s="8">
        <f>vlookup(B3078,Filmes_final!$B$2:$U$1001,20,FALSE)</f>
        <v>1426296</v>
      </c>
      <c r="F3078" s="5">
        <f>vlookup(B3078,Filmes_final!$B$2:$U$1001,3,FALSE)</f>
        <v>2005</v>
      </c>
      <c r="G3078" s="5" t="str">
        <f>vlookup(B3078,Filmes_final!$B$2:$U$1001,13,FALSE)</f>
        <v>Christian Carion</v>
      </c>
    </row>
    <row r="3079">
      <c r="A3079" s="5">
        <v>770.0</v>
      </c>
      <c r="B3079" s="5" t="s">
        <v>4533</v>
      </c>
      <c r="C3079" s="5" t="s">
        <v>4537</v>
      </c>
      <c r="D3079" s="5" t="s">
        <v>6635</v>
      </c>
      <c r="E3079" s="8">
        <f>vlookup(B3079,Filmes_final!$B$2:$U$1001,20,FALSE)</f>
        <v>1426296</v>
      </c>
      <c r="F3079" s="5">
        <f>vlookup(B3079,Filmes_final!$B$2:$U$1001,3,FALSE)</f>
        <v>2005</v>
      </c>
      <c r="G3079" s="5" t="str">
        <f>vlookup(B3079,Filmes_final!$B$2:$U$1001,13,FALSE)</f>
        <v>Christian Carion</v>
      </c>
    </row>
    <row r="3080">
      <c r="A3080" s="5">
        <v>770.0</v>
      </c>
      <c r="B3080" s="5" t="s">
        <v>4533</v>
      </c>
      <c r="C3080" s="5" t="s">
        <v>4538</v>
      </c>
      <c r="D3080" s="5" t="s">
        <v>6636</v>
      </c>
      <c r="E3080" s="8">
        <f>vlookup(B3080,Filmes_final!$B$2:$U$1001,20,FALSE)</f>
        <v>1426296</v>
      </c>
      <c r="F3080" s="5">
        <f>vlookup(B3080,Filmes_final!$B$2:$U$1001,3,FALSE)</f>
        <v>2005</v>
      </c>
      <c r="G3080" s="5" t="str">
        <f>vlookup(B3080,Filmes_final!$B$2:$U$1001,13,FALSE)</f>
        <v>Christian Carion</v>
      </c>
    </row>
    <row r="3081">
      <c r="A3081" s="5">
        <v>770.0</v>
      </c>
      <c r="B3081" s="5" t="s">
        <v>4533</v>
      </c>
      <c r="C3081" s="5" t="s">
        <v>4539</v>
      </c>
      <c r="D3081" s="5" t="s">
        <v>6637</v>
      </c>
      <c r="E3081" s="8">
        <f>vlookup(B3081,Filmes_final!$B$2:$U$1001,20,FALSE)</f>
        <v>1426296</v>
      </c>
      <c r="F3081" s="5">
        <f>vlookup(B3081,Filmes_final!$B$2:$U$1001,3,FALSE)</f>
        <v>2005</v>
      </c>
      <c r="G3081" s="5" t="str">
        <f>vlookup(B3081,Filmes_final!$B$2:$U$1001,13,FALSE)</f>
        <v>Christian Carion</v>
      </c>
    </row>
    <row r="3082">
      <c r="A3082" s="5">
        <v>771.0</v>
      </c>
      <c r="B3082" s="5" t="s">
        <v>4540</v>
      </c>
      <c r="C3082" s="5" t="s">
        <v>4543</v>
      </c>
      <c r="D3082" s="5" t="s">
        <v>6634</v>
      </c>
      <c r="E3082" s="8">
        <f>vlookup(B3082,Filmes_final!$B$2:$U$1001,20,FALSE)</f>
        <v>1110790</v>
      </c>
      <c r="F3082" s="5">
        <f>vlookup(B3082,Filmes_final!$B$2:$U$1001,3,FALSE)</f>
        <v>2007</v>
      </c>
      <c r="G3082" s="5" t="str">
        <f>vlookup(B3082,Filmes_final!$B$2:$U$1001,13,FALSE)</f>
        <v>Anton Corbijn</v>
      </c>
    </row>
    <row r="3083">
      <c r="A3083" s="5">
        <v>771.0</v>
      </c>
      <c r="B3083" s="5" t="s">
        <v>4540</v>
      </c>
      <c r="C3083" s="5" t="s">
        <v>4544</v>
      </c>
      <c r="D3083" s="5" t="s">
        <v>6635</v>
      </c>
      <c r="E3083" s="8">
        <f>vlookup(B3083,Filmes_final!$B$2:$U$1001,20,FALSE)</f>
        <v>1110790</v>
      </c>
      <c r="F3083" s="5">
        <f>vlookup(B3083,Filmes_final!$B$2:$U$1001,3,FALSE)</f>
        <v>2007</v>
      </c>
      <c r="G3083" s="5" t="str">
        <f>vlookup(B3083,Filmes_final!$B$2:$U$1001,13,FALSE)</f>
        <v>Anton Corbijn</v>
      </c>
    </row>
    <row r="3084">
      <c r="A3084" s="5">
        <v>771.0</v>
      </c>
      <c r="B3084" s="5" t="s">
        <v>4540</v>
      </c>
      <c r="C3084" s="5" t="s">
        <v>4545</v>
      </c>
      <c r="D3084" s="5" t="s">
        <v>6636</v>
      </c>
      <c r="E3084" s="8">
        <f>vlookup(B3084,Filmes_final!$B$2:$U$1001,20,FALSE)</f>
        <v>1110790</v>
      </c>
      <c r="F3084" s="5">
        <f>vlookup(B3084,Filmes_final!$B$2:$U$1001,3,FALSE)</f>
        <v>2007</v>
      </c>
      <c r="G3084" s="5" t="str">
        <f>vlookup(B3084,Filmes_final!$B$2:$U$1001,13,FALSE)</f>
        <v>Anton Corbijn</v>
      </c>
    </row>
    <row r="3085">
      <c r="A3085" s="5">
        <v>771.0</v>
      </c>
      <c r="B3085" s="5" t="s">
        <v>4540</v>
      </c>
      <c r="C3085" s="5" t="s">
        <v>1138</v>
      </c>
      <c r="D3085" s="5" t="s">
        <v>6637</v>
      </c>
      <c r="E3085" s="8">
        <f>vlookup(B3085,Filmes_final!$B$2:$U$1001,20,FALSE)</f>
        <v>1110790</v>
      </c>
      <c r="F3085" s="5">
        <f>vlookup(B3085,Filmes_final!$B$2:$U$1001,3,FALSE)</f>
        <v>2007</v>
      </c>
      <c r="G3085" s="5" t="str">
        <f>vlookup(B3085,Filmes_final!$B$2:$U$1001,13,FALSE)</f>
        <v>Anton Corbijn</v>
      </c>
    </row>
    <row r="3086">
      <c r="A3086" s="5">
        <v>772.0</v>
      </c>
      <c r="B3086" s="5" t="s">
        <v>4546</v>
      </c>
      <c r="C3086" s="5" t="s">
        <v>2191</v>
      </c>
      <c r="D3086" s="5" t="s">
        <v>6634</v>
      </c>
      <c r="E3086" s="8">
        <f>vlookup(B3086,Filmes_final!$B$2:$U$1001,20,FALSE)</f>
        <v>239083266</v>
      </c>
      <c r="F3086" s="5">
        <f>vlookup(B3086,Filmes_final!$B$2:$U$1001,3,FALSE)</f>
        <v>2010</v>
      </c>
      <c r="G3086" s="5" t="str">
        <f>vlookup(B3086,Filmes_final!$B$2:$U$1001,13,FALSE)</f>
        <v>Nathan Greno</v>
      </c>
    </row>
    <row r="3087">
      <c r="A3087" s="5">
        <v>772.0</v>
      </c>
      <c r="B3087" s="5" t="s">
        <v>4546</v>
      </c>
      <c r="C3087" s="5" t="s">
        <v>4549</v>
      </c>
      <c r="D3087" s="5" t="s">
        <v>6635</v>
      </c>
      <c r="E3087" s="8">
        <f>vlookup(B3087,Filmes_final!$B$2:$U$1001,20,FALSE)</f>
        <v>239083266</v>
      </c>
      <c r="F3087" s="5">
        <f>vlookup(B3087,Filmes_final!$B$2:$U$1001,3,FALSE)</f>
        <v>2010</v>
      </c>
      <c r="G3087" s="5" t="str">
        <f>vlookup(B3087,Filmes_final!$B$2:$U$1001,13,FALSE)</f>
        <v>Nathan Greno</v>
      </c>
    </row>
    <row r="3088">
      <c r="A3088" s="5">
        <v>772.0</v>
      </c>
      <c r="B3088" s="5" t="s">
        <v>4546</v>
      </c>
      <c r="C3088" s="5" t="s">
        <v>4550</v>
      </c>
      <c r="D3088" s="5" t="s">
        <v>6636</v>
      </c>
      <c r="E3088" s="8">
        <f>vlookup(B3088,Filmes_final!$B$2:$U$1001,20,FALSE)</f>
        <v>239083266</v>
      </c>
      <c r="F3088" s="5">
        <f>vlookup(B3088,Filmes_final!$B$2:$U$1001,3,FALSE)</f>
        <v>2010</v>
      </c>
      <c r="G3088" s="5" t="str">
        <f>vlookup(B3088,Filmes_final!$B$2:$U$1001,13,FALSE)</f>
        <v>Nathan Greno</v>
      </c>
    </row>
    <row r="3089">
      <c r="A3089" s="5">
        <v>772.0</v>
      </c>
      <c r="B3089" s="5" t="s">
        <v>4546</v>
      </c>
      <c r="C3089" s="5" t="s">
        <v>4551</v>
      </c>
      <c r="D3089" s="5" t="s">
        <v>6637</v>
      </c>
      <c r="E3089" s="8">
        <f>vlookup(B3089,Filmes_final!$B$2:$U$1001,20,FALSE)</f>
        <v>239083266</v>
      </c>
      <c r="F3089" s="5">
        <f>vlookup(B3089,Filmes_final!$B$2:$U$1001,3,FALSE)</f>
        <v>2010</v>
      </c>
      <c r="G3089" s="5" t="str">
        <f>vlookup(B3089,Filmes_final!$B$2:$U$1001,13,FALSE)</f>
        <v>Nathan Greno</v>
      </c>
    </row>
    <row r="3090">
      <c r="A3090" s="5">
        <v>773.0</v>
      </c>
      <c r="B3090" s="5" t="s">
        <v>4552</v>
      </c>
      <c r="C3090" s="5" t="s">
        <v>4555</v>
      </c>
      <c r="D3090" s="5" t="s">
        <v>6634</v>
      </c>
      <c r="E3090" s="8">
        <f>vlookup(B3090,Filmes_final!$B$2:$U$1001,20,FALSE)</f>
        <v>5721924</v>
      </c>
      <c r="F3090" s="5">
        <f>vlookup(B3090,Filmes_final!$B$2:$U$1001,3,FALSE)</f>
        <v>2006</v>
      </c>
      <c r="G3090" s="5" t="str">
        <f>vlookup(B3090,Filmes_final!$B$2:$U$1001,13,FALSE)</f>
        <v>Paul Verhoeven</v>
      </c>
    </row>
    <row r="3091">
      <c r="A3091" s="5">
        <v>773.0</v>
      </c>
      <c r="B3091" s="5" t="s">
        <v>4552</v>
      </c>
      <c r="C3091" s="5" t="s">
        <v>532</v>
      </c>
      <c r="D3091" s="5" t="s">
        <v>6635</v>
      </c>
      <c r="E3091" s="8">
        <f>vlookup(B3091,Filmes_final!$B$2:$U$1001,20,FALSE)</f>
        <v>5721924</v>
      </c>
      <c r="F3091" s="5">
        <f>vlookup(B3091,Filmes_final!$B$2:$U$1001,3,FALSE)</f>
        <v>2006</v>
      </c>
      <c r="G3091" s="5" t="str">
        <f>vlookup(B3091,Filmes_final!$B$2:$U$1001,13,FALSE)</f>
        <v>Paul Verhoeven</v>
      </c>
    </row>
    <row r="3092">
      <c r="A3092" s="5">
        <v>773.0</v>
      </c>
      <c r="B3092" s="5" t="s">
        <v>4552</v>
      </c>
      <c r="C3092" s="5" t="s">
        <v>4556</v>
      </c>
      <c r="D3092" s="5" t="s">
        <v>6636</v>
      </c>
      <c r="E3092" s="8">
        <f>vlookup(B3092,Filmes_final!$B$2:$U$1001,20,FALSE)</f>
        <v>5721924</v>
      </c>
      <c r="F3092" s="5">
        <f>vlookup(B3092,Filmes_final!$B$2:$U$1001,3,FALSE)</f>
        <v>2006</v>
      </c>
      <c r="G3092" s="5" t="str">
        <f>vlookup(B3092,Filmes_final!$B$2:$U$1001,13,FALSE)</f>
        <v>Paul Verhoeven</v>
      </c>
    </row>
    <row r="3093">
      <c r="A3093" s="5">
        <v>773.0</v>
      </c>
      <c r="B3093" s="5" t="s">
        <v>4552</v>
      </c>
      <c r="C3093" s="5" t="s">
        <v>4557</v>
      </c>
      <c r="D3093" s="5" t="s">
        <v>6637</v>
      </c>
      <c r="E3093" s="8">
        <f>vlookup(B3093,Filmes_final!$B$2:$U$1001,20,FALSE)</f>
        <v>5721924</v>
      </c>
      <c r="F3093" s="5">
        <f>vlookup(B3093,Filmes_final!$B$2:$U$1001,3,FALSE)</f>
        <v>2006</v>
      </c>
      <c r="G3093" s="5" t="str">
        <f>vlookup(B3093,Filmes_final!$B$2:$U$1001,13,FALSE)</f>
        <v>Paul Verhoeven</v>
      </c>
    </row>
    <row r="3094">
      <c r="A3094" s="5">
        <v>774.0</v>
      </c>
      <c r="B3094" s="5" t="s">
        <v>4558</v>
      </c>
      <c r="C3094" s="5" t="s">
        <v>1542</v>
      </c>
      <c r="D3094" s="5" t="s">
        <v>6634</v>
      </c>
      <c r="E3094" s="8">
        <f>vlookup(B3094,Filmes_final!$B$2:$U$1001,20,FALSE)</f>
        <v>112338134</v>
      </c>
      <c r="F3094" s="5">
        <f>vlookup(B3094,Filmes_final!$B$2:$U$1001,3,FALSE)</f>
        <v>2005</v>
      </c>
      <c r="G3094" s="5" t="str">
        <f>vlookup(B3094,Filmes_final!$B$2:$U$1001,13,FALSE)</f>
        <v>Ang Lee</v>
      </c>
    </row>
    <row r="3095">
      <c r="A3095" s="5">
        <v>774.0</v>
      </c>
      <c r="B3095" s="5" t="s">
        <v>4558</v>
      </c>
      <c r="C3095" s="5" t="s">
        <v>43</v>
      </c>
      <c r="D3095" s="5" t="s">
        <v>6635</v>
      </c>
      <c r="E3095" s="8">
        <f>vlookup(B3095,Filmes_final!$B$2:$U$1001,20,FALSE)</f>
        <v>112338134</v>
      </c>
      <c r="F3095" s="5">
        <f>vlookup(B3095,Filmes_final!$B$2:$U$1001,3,FALSE)</f>
        <v>2005</v>
      </c>
      <c r="G3095" s="5" t="str">
        <f>vlookup(B3095,Filmes_final!$B$2:$U$1001,13,FALSE)</f>
        <v>Ang Lee</v>
      </c>
    </row>
    <row r="3096">
      <c r="A3096" s="5">
        <v>774.0</v>
      </c>
      <c r="B3096" s="5" t="s">
        <v>4558</v>
      </c>
      <c r="C3096" s="5" t="s">
        <v>3579</v>
      </c>
      <c r="D3096" s="5" t="s">
        <v>6636</v>
      </c>
      <c r="E3096" s="8">
        <f>vlookup(B3096,Filmes_final!$B$2:$U$1001,20,FALSE)</f>
        <v>112338134</v>
      </c>
      <c r="F3096" s="5">
        <f>vlookup(B3096,Filmes_final!$B$2:$U$1001,3,FALSE)</f>
        <v>2005</v>
      </c>
      <c r="G3096" s="5" t="str">
        <f>vlookup(B3096,Filmes_final!$B$2:$U$1001,13,FALSE)</f>
        <v>Ang Lee</v>
      </c>
    </row>
    <row r="3097">
      <c r="A3097" s="5">
        <v>774.0</v>
      </c>
      <c r="B3097" s="5" t="s">
        <v>4558</v>
      </c>
      <c r="C3097" s="5" t="s">
        <v>4560</v>
      </c>
      <c r="D3097" s="5" t="s">
        <v>6637</v>
      </c>
      <c r="E3097" s="8">
        <f>vlookup(B3097,Filmes_final!$B$2:$U$1001,20,FALSE)</f>
        <v>112338134</v>
      </c>
      <c r="F3097" s="5">
        <f>vlookup(B3097,Filmes_final!$B$2:$U$1001,3,FALSE)</f>
        <v>2005</v>
      </c>
      <c r="G3097" s="5" t="str">
        <f>vlookup(B3097,Filmes_final!$B$2:$U$1001,13,FALSE)</f>
        <v>Ang Lee</v>
      </c>
    </row>
    <row r="3098">
      <c r="A3098" s="5">
        <v>775.0</v>
      </c>
      <c r="B3098" s="5" t="s">
        <v>4561</v>
      </c>
      <c r="C3098" s="5" t="s">
        <v>325</v>
      </c>
      <c r="D3098" s="5" t="s">
        <v>6634</v>
      </c>
      <c r="E3098" s="8">
        <f>vlookup(B3098,Filmes_final!$B$2:$U$1001,20,FALSE)</f>
        <v>68319845</v>
      </c>
      <c r="F3098" s="5">
        <f>vlookup(B3098,Filmes_final!$B$2:$U$1001,3,FALSE)</f>
        <v>2007</v>
      </c>
      <c r="G3098" s="5" t="str">
        <f>vlookup(B3098,Filmes_final!$B$2:$U$1001,13,FALSE)</f>
        <v>James Mangold</v>
      </c>
    </row>
    <row r="3099">
      <c r="A3099" s="5">
        <v>775.0</v>
      </c>
      <c r="B3099" s="5" t="s">
        <v>4561</v>
      </c>
      <c r="C3099" s="5" t="s">
        <v>42</v>
      </c>
      <c r="D3099" s="5" t="s">
        <v>6635</v>
      </c>
      <c r="E3099" s="8">
        <f>vlookup(B3099,Filmes_final!$B$2:$U$1001,20,FALSE)</f>
        <v>68319845</v>
      </c>
      <c r="F3099" s="5">
        <f>vlookup(B3099,Filmes_final!$B$2:$U$1001,3,FALSE)</f>
        <v>2007</v>
      </c>
      <c r="G3099" s="5" t="str">
        <f>vlookup(B3099,Filmes_final!$B$2:$U$1001,13,FALSE)</f>
        <v>James Mangold</v>
      </c>
    </row>
    <row r="3100">
      <c r="A3100" s="5">
        <v>775.0</v>
      </c>
      <c r="B3100" s="5" t="s">
        <v>4561</v>
      </c>
      <c r="C3100" s="5" t="s">
        <v>4563</v>
      </c>
      <c r="D3100" s="5" t="s">
        <v>6636</v>
      </c>
      <c r="E3100" s="8">
        <f>vlookup(B3100,Filmes_final!$B$2:$U$1001,20,FALSE)</f>
        <v>68319845</v>
      </c>
      <c r="F3100" s="5">
        <f>vlookup(B3100,Filmes_final!$B$2:$U$1001,3,FALSE)</f>
        <v>2007</v>
      </c>
      <c r="G3100" s="5" t="str">
        <f>vlookup(B3100,Filmes_final!$B$2:$U$1001,13,FALSE)</f>
        <v>James Mangold</v>
      </c>
    </row>
    <row r="3101">
      <c r="A3101" s="5">
        <v>775.0</v>
      </c>
      <c r="B3101" s="5" t="s">
        <v>4561</v>
      </c>
      <c r="C3101" s="5" t="s">
        <v>2267</v>
      </c>
      <c r="D3101" s="5" t="s">
        <v>6637</v>
      </c>
      <c r="E3101" s="8">
        <f>vlookup(B3101,Filmes_final!$B$2:$U$1001,20,FALSE)</f>
        <v>68319845</v>
      </c>
      <c r="F3101" s="5">
        <f>vlookup(B3101,Filmes_final!$B$2:$U$1001,3,FALSE)</f>
        <v>2007</v>
      </c>
      <c r="G3101" s="5" t="str">
        <f>vlookup(B3101,Filmes_final!$B$2:$U$1001,13,FALSE)</f>
        <v>James Mangold</v>
      </c>
    </row>
    <row r="3102">
      <c r="A3102" s="5">
        <v>776.0</v>
      </c>
      <c r="B3102" s="5" t="s">
        <v>4564</v>
      </c>
      <c r="C3102" s="5" t="s">
        <v>1628</v>
      </c>
      <c r="D3102" s="5" t="s">
        <v>6634</v>
      </c>
      <c r="E3102" s="8">
        <f>vlookup(B3102,Filmes_final!$B$2:$U$1001,20,FALSE)</f>
        <v>76026645</v>
      </c>
      <c r="F3102" s="5">
        <f>vlookup(B3102,Filmes_final!$B$2:$U$1001,3,FALSE)</f>
        <v>2004</v>
      </c>
      <c r="G3102" s="5" t="str">
        <f>vlookup(B3102,Filmes_final!$B$2:$U$1001,13,FALSE)</f>
        <v>Paul Haggis</v>
      </c>
    </row>
    <row r="3103">
      <c r="A3103" s="5">
        <v>776.0</v>
      </c>
      <c r="B3103" s="5" t="s">
        <v>4564</v>
      </c>
      <c r="C3103" s="5" t="s">
        <v>4433</v>
      </c>
      <c r="D3103" s="5" t="s">
        <v>6635</v>
      </c>
      <c r="E3103" s="8">
        <f>vlookup(B3103,Filmes_final!$B$2:$U$1001,20,FALSE)</f>
        <v>76026645</v>
      </c>
      <c r="F3103" s="5">
        <f>vlookup(B3103,Filmes_final!$B$2:$U$1001,3,FALSE)</f>
        <v>2004</v>
      </c>
      <c r="G3103" s="5" t="str">
        <f>vlookup(B3103,Filmes_final!$B$2:$U$1001,13,FALSE)</f>
        <v>Paul Haggis</v>
      </c>
    </row>
    <row r="3104">
      <c r="A3104" s="5">
        <v>776.0</v>
      </c>
      <c r="B3104" s="5" t="s">
        <v>4564</v>
      </c>
      <c r="C3104" s="5" t="s">
        <v>2357</v>
      </c>
      <c r="D3104" s="5" t="s">
        <v>6636</v>
      </c>
      <c r="E3104" s="8">
        <f>vlookup(B3104,Filmes_final!$B$2:$U$1001,20,FALSE)</f>
        <v>76026645</v>
      </c>
      <c r="F3104" s="5">
        <f>vlookup(B3104,Filmes_final!$B$2:$U$1001,3,FALSE)</f>
        <v>2004</v>
      </c>
      <c r="G3104" s="5" t="str">
        <f>vlookup(B3104,Filmes_final!$B$2:$U$1001,13,FALSE)</f>
        <v>Paul Haggis</v>
      </c>
    </row>
    <row r="3105">
      <c r="A3105" s="5">
        <v>776.0</v>
      </c>
      <c r="B3105" s="5" t="s">
        <v>4564</v>
      </c>
      <c r="C3105" s="5" t="s">
        <v>4567</v>
      </c>
      <c r="D3105" s="5" t="s">
        <v>6637</v>
      </c>
      <c r="E3105" s="8">
        <f>vlookup(B3105,Filmes_final!$B$2:$U$1001,20,FALSE)</f>
        <v>76026645</v>
      </c>
      <c r="F3105" s="5">
        <f>vlookup(B3105,Filmes_final!$B$2:$U$1001,3,FALSE)</f>
        <v>2004</v>
      </c>
      <c r="G3105" s="5" t="str">
        <f>vlookup(B3105,Filmes_final!$B$2:$U$1001,13,FALSE)</f>
        <v>Paul Haggis</v>
      </c>
    </row>
    <row r="3106">
      <c r="A3106" s="5">
        <v>777.0</v>
      </c>
      <c r="B3106" s="5" t="s">
        <v>4568</v>
      </c>
      <c r="C3106" s="5" t="s">
        <v>4570</v>
      </c>
      <c r="D3106" s="5" t="s">
        <v>6634</v>
      </c>
      <c r="E3106" s="8">
        <f>vlookup(B3106,Filmes_final!$B$2:$U$1001,20,FALSE)</f>
        <v>23831103</v>
      </c>
      <c r="F3106" s="5">
        <f>vlookup(B3106,Filmes_final!$B$2:$U$1001,3,FALSE)</f>
        <v>2004</v>
      </c>
      <c r="G3106" s="5" t="str">
        <f>vlookup(B3106,Filmes_final!$B$2:$U$1001,13,FALSE)</f>
        <v>Stephen Chow</v>
      </c>
    </row>
    <row r="3107">
      <c r="A3107" s="5">
        <v>777.0</v>
      </c>
      <c r="B3107" s="5" t="s">
        <v>4568</v>
      </c>
      <c r="C3107" s="5" t="s">
        <v>4571</v>
      </c>
      <c r="D3107" s="5" t="s">
        <v>6635</v>
      </c>
      <c r="E3107" s="8">
        <f>vlookup(B3107,Filmes_final!$B$2:$U$1001,20,FALSE)</f>
        <v>23831103</v>
      </c>
      <c r="F3107" s="5">
        <f>vlookup(B3107,Filmes_final!$B$2:$U$1001,3,FALSE)</f>
        <v>2004</v>
      </c>
      <c r="G3107" s="5" t="str">
        <f>vlookup(B3107,Filmes_final!$B$2:$U$1001,13,FALSE)</f>
        <v>Stephen Chow</v>
      </c>
    </row>
    <row r="3108">
      <c r="A3108" s="5">
        <v>777.0</v>
      </c>
      <c r="B3108" s="5" t="s">
        <v>4568</v>
      </c>
      <c r="C3108" s="5" t="s">
        <v>4572</v>
      </c>
      <c r="D3108" s="5" t="s">
        <v>6636</v>
      </c>
      <c r="E3108" s="8">
        <f>vlookup(B3108,Filmes_final!$B$2:$U$1001,20,FALSE)</f>
        <v>23831103</v>
      </c>
      <c r="F3108" s="5">
        <f>vlookup(B3108,Filmes_final!$B$2:$U$1001,3,FALSE)</f>
        <v>2004</v>
      </c>
      <c r="G3108" s="5" t="str">
        <f>vlookup(B3108,Filmes_final!$B$2:$U$1001,13,FALSE)</f>
        <v>Stephen Chow</v>
      </c>
    </row>
    <row r="3109">
      <c r="A3109" s="5">
        <v>777.0</v>
      </c>
      <c r="B3109" s="5" t="s">
        <v>4568</v>
      </c>
      <c r="C3109" s="5" t="s">
        <v>4573</v>
      </c>
      <c r="D3109" s="5" t="s">
        <v>6637</v>
      </c>
      <c r="E3109" s="8">
        <f>vlookup(B3109,Filmes_final!$B$2:$U$1001,20,FALSE)</f>
        <v>23831103</v>
      </c>
      <c r="F3109" s="5">
        <f>vlookup(B3109,Filmes_final!$B$2:$U$1001,3,FALSE)</f>
        <v>2004</v>
      </c>
      <c r="G3109" s="5" t="str">
        <f>vlookup(B3109,Filmes_final!$B$2:$U$1001,13,FALSE)</f>
        <v>Stephen Chow</v>
      </c>
    </row>
    <row r="3110">
      <c r="A3110" s="5">
        <v>778.0</v>
      </c>
      <c r="B3110" s="5" t="s">
        <v>4574</v>
      </c>
      <c r="C3110" s="5" t="s">
        <v>215</v>
      </c>
      <c r="D3110" s="5" t="s">
        <v>6634</v>
      </c>
      <c r="E3110" s="8">
        <f>vlookup(B3110,Filmes_final!$B$2:$U$1001,20,FALSE)</f>
        <v>245493034</v>
      </c>
      <c r="F3110" s="5">
        <f>vlookup(B3110,Filmes_final!$B$2:$U$1001,3,FALSE)</f>
        <v>2004</v>
      </c>
      <c r="G3110" s="5" t="str">
        <f>vlookup(B3110,Filmes_final!$B$2:$U$1001,13,FALSE)</f>
        <v>Paul Greengrass</v>
      </c>
    </row>
    <row r="3111">
      <c r="A3111" s="5">
        <v>778.0</v>
      </c>
      <c r="B3111" s="5" t="s">
        <v>4574</v>
      </c>
      <c r="C3111" s="5" t="s">
        <v>3204</v>
      </c>
      <c r="D3111" s="5" t="s">
        <v>6635</v>
      </c>
      <c r="E3111" s="8">
        <f>vlookup(B3111,Filmes_final!$B$2:$U$1001,20,FALSE)</f>
        <v>245493034</v>
      </c>
      <c r="F3111" s="5">
        <f>vlookup(B3111,Filmes_final!$B$2:$U$1001,3,FALSE)</f>
        <v>2004</v>
      </c>
      <c r="G3111" s="5" t="str">
        <f>vlookup(B3111,Filmes_final!$B$2:$U$1001,13,FALSE)</f>
        <v>Paul Greengrass</v>
      </c>
    </row>
    <row r="3112">
      <c r="A3112" s="5">
        <v>778.0</v>
      </c>
      <c r="B3112" s="5" t="s">
        <v>4574</v>
      </c>
      <c r="C3112" s="5" t="s">
        <v>1584</v>
      </c>
      <c r="D3112" s="5" t="s">
        <v>6636</v>
      </c>
      <c r="E3112" s="8">
        <f>vlookup(B3112,Filmes_final!$B$2:$U$1001,20,FALSE)</f>
        <v>245493034</v>
      </c>
      <c r="F3112" s="5">
        <f>vlookup(B3112,Filmes_final!$B$2:$U$1001,3,FALSE)</f>
        <v>2004</v>
      </c>
      <c r="G3112" s="5" t="str">
        <f>vlookup(B3112,Filmes_final!$B$2:$U$1001,13,FALSE)</f>
        <v>Paul Greengrass</v>
      </c>
    </row>
    <row r="3113">
      <c r="A3113" s="5">
        <v>778.0</v>
      </c>
      <c r="B3113" s="5" t="s">
        <v>4574</v>
      </c>
      <c r="C3113" s="5" t="s">
        <v>4576</v>
      </c>
      <c r="D3113" s="5" t="s">
        <v>6637</v>
      </c>
      <c r="E3113" s="8">
        <f>vlookup(B3113,Filmes_final!$B$2:$U$1001,20,FALSE)</f>
        <v>245493034</v>
      </c>
      <c r="F3113" s="5">
        <f>vlookup(B3113,Filmes_final!$B$2:$U$1001,3,FALSE)</f>
        <v>2004</v>
      </c>
      <c r="G3113" s="5" t="str">
        <f>vlookup(B3113,Filmes_final!$B$2:$U$1001,13,FALSE)</f>
        <v>Paul Greengrass</v>
      </c>
    </row>
    <row r="3114">
      <c r="A3114" s="5">
        <v>779.0</v>
      </c>
      <c r="B3114" s="5" t="s">
        <v>4577</v>
      </c>
      <c r="C3114" s="5" t="s">
        <v>42</v>
      </c>
      <c r="D3114" s="5" t="s">
        <v>6634</v>
      </c>
      <c r="E3114" s="8">
        <f>vlookup(B3114,Filmes_final!$B$2:$U$1001,20,FALSE)</f>
        <v>1508148</v>
      </c>
      <c r="F3114" s="5">
        <f>vlookup(B3114,Filmes_final!$B$2:$U$1001,3,FALSE)</f>
        <v>2004</v>
      </c>
      <c r="G3114" s="5" t="str">
        <f>vlookup(B3114,Filmes_final!$B$2:$U$1001,13,FALSE)</f>
        <v>Brad Anderson</v>
      </c>
    </row>
    <row r="3115">
      <c r="A3115" s="5">
        <v>779.0</v>
      </c>
      <c r="B3115" s="5" t="s">
        <v>4577</v>
      </c>
      <c r="C3115" s="5" t="s">
        <v>3600</v>
      </c>
      <c r="D3115" s="5" t="s">
        <v>6635</v>
      </c>
      <c r="E3115" s="8">
        <f>vlookup(B3115,Filmes_final!$B$2:$U$1001,20,FALSE)</f>
        <v>1508148</v>
      </c>
      <c r="F3115" s="5">
        <f>vlookup(B3115,Filmes_final!$B$2:$U$1001,3,FALSE)</f>
        <v>2004</v>
      </c>
      <c r="G3115" s="5" t="str">
        <f>vlookup(B3115,Filmes_final!$B$2:$U$1001,13,FALSE)</f>
        <v>Brad Anderson</v>
      </c>
    </row>
    <row r="3116">
      <c r="A3116" s="5">
        <v>779.0</v>
      </c>
      <c r="B3116" s="5" t="s">
        <v>4577</v>
      </c>
      <c r="C3116" s="5" t="s">
        <v>4580</v>
      </c>
      <c r="D3116" s="5" t="s">
        <v>6636</v>
      </c>
      <c r="E3116" s="8">
        <f>vlookup(B3116,Filmes_final!$B$2:$U$1001,20,FALSE)</f>
        <v>1508148</v>
      </c>
      <c r="F3116" s="5">
        <f>vlookup(B3116,Filmes_final!$B$2:$U$1001,3,FALSE)</f>
        <v>2004</v>
      </c>
      <c r="G3116" s="5" t="str">
        <f>vlookup(B3116,Filmes_final!$B$2:$U$1001,13,FALSE)</f>
        <v>Brad Anderson</v>
      </c>
    </row>
    <row r="3117">
      <c r="A3117" s="5">
        <v>779.0</v>
      </c>
      <c r="B3117" s="5" t="s">
        <v>4577</v>
      </c>
      <c r="C3117" s="5" t="s">
        <v>4581</v>
      </c>
      <c r="D3117" s="5" t="s">
        <v>6637</v>
      </c>
      <c r="E3117" s="8">
        <f>vlookup(B3117,Filmes_final!$B$2:$U$1001,20,FALSE)</f>
        <v>1508148</v>
      </c>
      <c r="F3117" s="5">
        <f>vlookup(B3117,Filmes_final!$B$2:$U$1001,3,FALSE)</f>
        <v>2004</v>
      </c>
      <c r="G3117" s="5" t="str">
        <f>vlookup(B3117,Filmes_final!$B$2:$U$1001,13,FALSE)</f>
        <v>Brad Anderson</v>
      </c>
    </row>
    <row r="3118">
      <c r="A3118" s="5">
        <v>780.0</v>
      </c>
      <c r="B3118" s="5" t="s">
        <v>4582</v>
      </c>
      <c r="C3118" s="5" t="s">
        <v>497</v>
      </c>
      <c r="D3118" s="5" t="s">
        <v>6634</v>
      </c>
      <c r="E3118" s="8">
        <f>vlookup(B3118,Filmes_final!$B$2:$U$1001,20,FALSE)</f>
        <v>104931794</v>
      </c>
      <c r="F3118" s="5">
        <f>vlookup(B3118,Filmes_final!$B$2:$U$1001,3,FALSE)</f>
        <v>2004</v>
      </c>
      <c r="G3118" s="5" t="str">
        <f>vlookup(B3118,Filmes_final!$B$2:$U$1001,13,FALSE)</f>
        <v>Taylor Hackford</v>
      </c>
    </row>
    <row r="3119">
      <c r="A3119" s="5">
        <v>780.0</v>
      </c>
      <c r="B3119" s="5" t="s">
        <v>4582</v>
      </c>
      <c r="C3119" s="5" t="s">
        <v>4584</v>
      </c>
      <c r="D3119" s="5" t="s">
        <v>6635</v>
      </c>
      <c r="E3119" s="8">
        <f>vlookup(B3119,Filmes_final!$B$2:$U$1001,20,FALSE)</f>
        <v>104931794</v>
      </c>
      <c r="F3119" s="5">
        <f>vlookup(B3119,Filmes_final!$B$2:$U$1001,3,FALSE)</f>
        <v>2004</v>
      </c>
      <c r="G3119" s="5" t="str">
        <f>vlookup(B3119,Filmes_final!$B$2:$U$1001,13,FALSE)</f>
        <v>Taylor Hackford</v>
      </c>
    </row>
    <row r="3120">
      <c r="A3120" s="5">
        <v>780.0</v>
      </c>
      <c r="B3120" s="5" t="s">
        <v>4582</v>
      </c>
      <c r="C3120" s="5" t="s">
        <v>499</v>
      </c>
      <c r="D3120" s="5" t="s">
        <v>6636</v>
      </c>
      <c r="E3120" s="8">
        <f>vlookup(B3120,Filmes_final!$B$2:$U$1001,20,FALSE)</f>
        <v>104931794</v>
      </c>
      <c r="F3120" s="5">
        <f>vlookup(B3120,Filmes_final!$B$2:$U$1001,3,FALSE)</f>
        <v>2004</v>
      </c>
      <c r="G3120" s="5" t="str">
        <f>vlookup(B3120,Filmes_final!$B$2:$U$1001,13,FALSE)</f>
        <v>Taylor Hackford</v>
      </c>
    </row>
    <row r="3121">
      <c r="A3121" s="5">
        <v>780.0</v>
      </c>
      <c r="B3121" s="5" t="s">
        <v>4582</v>
      </c>
      <c r="C3121" s="5" t="s">
        <v>4585</v>
      </c>
      <c r="D3121" s="5" t="s">
        <v>6637</v>
      </c>
      <c r="E3121" s="8">
        <f>vlookup(B3121,Filmes_final!$B$2:$U$1001,20,FALSE)</f>
        <v>104931794</v>
      </c>
      <c r="F3121" s="5">
        <f>vlookup(B3121,Filmes_final!$B$2:$U$1001,3,FALSE)</f>
        <v>2004</v>
      </c>
      <c r="G3121" s="5" t="str">
        <f>vlookup(B3121,Filmes_final!$B$2:$U$1001,13,FALSE)</f>
        <v>Taylor Hackford</v>
      </c>
    </row>
    <row r="3122">
      <c r="A3122" s="5">
        <v>781.0</v>
      </c>
      <c r="B3122" s="5" t="s">
        <v>4586</v>
      </c>
      <c r="C3122" s="5" t="s">
        <v>2569</v>
      </c>
      <c r="D3122" s="5" t="s">
        <v>6634</v>
      </c>
      <c r="E3122" s="8">
        <f>vlookup(B3122,Filmes_final!$B$2:$U$1001,20,FALSE)</f>
        <v>63300792</v>
      </c>
      <c r="F3122" s="5">
        <f>vlookup(B3122,Filmes_final!$B$2:$U$1001,3,FALSE)</f>
        <v>2003</v>
      </c>
      <c r="G3122" s="5" t="str">
        <f>vlookup(B3122,Filmes_final!$B$2:$U$1001,13,FALSE)</f>
        <v>Sofia Coppola</v>
      </c>
    </row>
    <row r="3123">
      <c r="A3123" s="5">
        <v>781.0</v>
      </c>
      <c r="B3123" s="5" t="s">
        <v>4586</v>
      </c>
      <c r="C3123" s="5" t="s">
        <v>307</v>
      </c>
      <c r="D3123" s="5" t="s">
        <v>6635</v>
      </c>
      <c r="E3123" s="8">
        <f>vlookup(B3123,Filmes_final!$B$2:$U$1001,20,FALSE)</f>
        <v>63300792</v>
      </c>
      <c r="F3123" s="5">
        <f>vlookup(B3123,Filmes_final!$B$2:$U$1001,3,FALSE)</f>
        <v>2003</v>
      </c>
      <c r="G3123" s="5" t="str">
        <f>vlookup(B3123,Filmes_final!$B$2:$U$1001,13,FALSE)</f>
        <v>Sofia Coppola</v>
      </c>
    </row>
    <row r="3124">
      <c r="A3124" s="5">
        <v>781.0</v>
      </c>
      <c r="B3124" s="5" t="s">
        <v>4586</v>
      </c>
      <c r="C3124" s="5" t="s">
        <v>4589</v>
      </c>
      <c r="D3124" s="5" t="s">
        <v>6636</v>
      </c>
      <c r="E3124" s="8">
        <f>vlookup(B3124,Filmes_final!$B$2:$U$1001,20,FALSE)</f>
        <v>63300792</v>
      </c>
      <c r="F3124" s="5">
        <f>vlookup(B3124,Filmes_final!$B$2:$U$1001,3,FALSE)</f>
        <v>2003</v>
      </c>
      <c r="G3124" s="5" t="str">
        <f>vlookup(B3124,Filmes_final!$B$2:$U$1001,13,FALSE)</f>
        <v>Sofia Coppola</v>
      </c>
    </row>
    <row r="3125">
      <c r="A3125" s="5">
        <v>781.0</v>
      </c>
      <c r="B3125" s="5" t="s">
        <v>4586</v>
      </c>
      <c r="C3125" s="5" t="s">
        <v>4590</v>
      </c>
      <c r="D3125" s="5" t="s">
        <v>6637</v>
      </c>
      <c r="E3125" s="8">
        <f>vlookup(B3125,Filmes_final!$B$2:$U$1001,20,FALSE)</f>
        <v>63300792</v>
      </c>
      <c r="F3125" s="5">
        <f>vlookup(B3125,Filmes_final!$B$2:$U$1001,3,FALSE)</f>
        <v>2003</v>
      </c>
      <c r="G3125" s="5" t="str">
        <f>vlookup(B3125,Filmes_final!$B$2:$U$1001,13,FALSE)</f>
        <v>Sofia Coppola</v>
      </c>
    </row>
    <row r="3126">
      <c r="A3126" s="5">
        <v>782.0</v>
      </c>
      <c r="B3126" s="5" t="s">
        <v>4591</v>
      </c>
      <c r="C3126" s="5" t="s">
        <v>1568</v>
      </c>
      <c r="D3126" s="5" t="s">
        <v>6634</v>
      </c>
      <c r="E3126" s="8">
        <f>vlookup(B3126,Filmes_final!$B$2:$U$1001,20,FALSE)</f>
        <v>392317530</v>
      </c>
      <c r="F3126" s="5">
        <f>vlookup(B3126,Filmes_final!$B$2:$U$1001,3,FALSE)</f>
        <v>2005</v>
      </c>
      <c r="G3126" s="5" t="str">
        <f>vlookup(B3126,Filmes_final!$B$2:$U$1001,13,FALSE)</f>
        <v>Mike Newell</v>
      </c>
    </row>
    <row r="3127">
      <c r="A3127" s="5">
        <v>782.0</v>
      </c>
      <c r="B3127" s="5" t="s">
        <v>4591</v>
      </c>
      <c r="C3127" s="5" t="s">
        <v>1569</v>
      </c>
      <c r="D3127" s="5" t="s">
        <v>6635</v>
      </c>
      <c r="E3127" s="8">
        <f>vlookup(B3127,Filmes_final!$B$2:$U$1001,20,FALSE)</f>
        <v>392317530</v>
      </c>
      <c r="F3127" s="5">
        <f>vlookup(B3127,Filmes_final!$B$2:$U$1001,3,FALSE)</f>
        <v>2005</v>
      </c>
      <c r="G3127" s="5" t="str">
        <f>vlookup(B3127,Filmes_final!$B$2:$U$1001,13,FALSE)</f>
        <v>Mike Newell</v>
      </c>
    </row>
    <row r="3128">
      <c r="A3128" s="5">
        <v>782.0</v>
      </c>
      <c r="B3128" s="5" t="s">
        <v>4591</v>
      </c>
      <c r="C3128" s="5" t="s">
        <v>1570</v>
      </c>
      <c r="D3128" s="5" t="s">
        <v>6636</v>
      </c>
      <c r="E3128" s="8">
        <f>vlookup(B3128,Filmes_final!$B$2:$U$1001,20,FALSE)</f>
        <v>392317530</v>
      </c>
      <c r="F3128" s="5">
        <f>vlookup(B3128,Filmes_final!$B$2:$U$1001,3,FALSE)</f>
        <v>2005</v>
      </c>
      <c r="G3128" s="5" t="str">
        <f>vlookup(B3128,Filmes_final!$B$2:$U$1001,13,FALSE)</f>
        <v>Mike Newell</v>
      </c>
    </row>
    <row r="3129">
      <c r="A3129" s="5">
        <v>782.0</v>
      </c>
      <c r="B3129" s="5" t="s">
        <v>4591</v>
      </c>
      <c r="C3129" s="5" t="s">
        <v>4594</v>
      </c>
      <c r="D3129" s="5" t="s">
        <v>6637</v>
      </c>
      <c r="E3129" s="8">
        <f>vlookup(B3129,Filmes_final!$B$2:$U$1001,20,FALSE)</f>
        <v>392317530</v>
      </c>
      <c r="F3129" s="5">
        <f>vlookup(B3129,Filmes_final!$B$2:$U$1001,3,FALSE)</f>
        <v>2005</v>
      </c>
      <c r="G3129" s="5" t="str">
        <f>vlookup(B3129,Filmes_final!$B$2:$U$1001,13,FALSE)</f>
        <v>Mike Newell</v>
      </c>
    </row>
    <row r="3130">
      <c r="A3130" s="5">
        <v>783.0</v>
      </c>
      <c r="B3130" s="5" t="s">
        <v>4595</v>
      </c>
      <c r="C3130" s="5" t="s">
        <v>3799</v>
      </c>
      <c r="D3130" s="5" t="s">
        <v>6634</v>
      </c>
      <c r="E3130" s="8">
        <f>vlookup(B3130,Filmes_final!$B$2:$U$1001,20,FALSE)</f>
        <v>108525801</v>
      </c>
      <c r="F3130" s="5">
        <f>vlookup(B3130,Filmes_final!$B$2:$U$1001,3,FALSE)</f>
        <v>2004</v>
      </c>
      <c r="G3130" s="5" t="str">
        <f>vlookup(B3130,Filmes_final!$B$2:$U$1001,13,FALSE)</f>
        <v>Tony Scott</v>
      </c>
    </row>
    <row r="3131">
      <c r="A3131" s="5">
        <v>783.0</v>
      </c>
      <c r="B3131" s="5" t="s">
        <v>4595</v>
      </c>
      <c r="C3131" s="5" t="s">
        <v>1674</v>
      </c>
      <c r="D3131" s="5" t="s">
        <v>6635</v>
      </c>
      <c r="E3131" s="8">
        <f>vlookup(B3131,Filmes_final!$B$2:$U$1001,20,FALSE)</f>
        <v>108525801</v>
      </c>
      <c r="F3131" s="5">
        <f>vlookup(B3131,Filmes_final!$B$2:$U$1001,3,FALSE)</f>
        <v>2004</v>
      </c>
      <c r="G3131" s="5" t="str">
        <f>vlookup(B3131,Filmes_final!$B$2:$U$1001,13,FALSE)</f>
        <v>Tony Scott</v>
      </c>
    </row>
    <row r="3132">
      <c r="A3132" s="5">
        <v>783.0</v>
      </c>
      <c r="B3132" s="5" t="s">
        <v>4595</v>
      </c>
      <c r="C3132" s="5" t="s">
        <v>4597</v>
      </c>
      <c r="D3132" s="5" t="s">
        <v>6636</v>
      </c>
      <c r="E3132" s="8">
        <f>vlookup(B3132,Filmes_final!$B$2:$U$1001,20,FALSE)</f>
        <v>108525801</v>
      </c>
      <c r="F3132" s="5">
        <f>vlookup(B3132,Filmes_final!$B$2:$U$1001,3,FALSE)</f>
        <v>2004</v>
      </c>
      <c r="G3132" s="5" t="str">
        <f>vlookup(B3132,Filmes_final!$B$2:$U$1001,13,FALSE)</f>
        <v>Tony Scott</v>
      </c>
    </row>
    <row r="3133">
      <c r="A3133" s="5">
        <v>783.0</v>
      </c>
      <c r="B3133" s="5" t="s">
        <v>4595</v>
      </c>
      <c r="C3133" s="5" t="s">
        <v>4598</v>
      </c>
      <c r="D3133" s="5" t="s">
        <v>6637</v>
      </c>
      <c r="E3133" s="8">
        <f>vlookup(B3133,Filmes_final!$B$2:$U$1001,20,FALSE)</f>
        <v>108525801</v>
      </c>
      <c r="F3133" s="5">
        <f>vlookup(B3133,Filmes_final!$B$2:$U$1001,3,FALSE)</f>
        <v>2004</v>
      </c>
      <c r="G3133" s="5" t="str">
        <f>vlookup(B3133,Filmes_final!$B$2:$U$1001,13,FALSE)</f>
        <v>Tony Scott</v>
      </c>
    </row>
    <row r="3134">
      <c r="A3134" s="5">
        <v>784.0</v>
      </c>
      <c r="B3134" s="5" t="s">
        <v>4599</v>
      </c>
      <c r="C3134" s="5" t="s">
        <v>4597</v>
      </c>
      <c r="D3134" s="5" t="s">
        <v>6634</v>
      </c>
      <c r="E3134" s="8">
        <f>vlookup(B3134,Filmes_final!$B$2:$U$1001,20,FALSE)</f>
        <v>91983460</v>
      </c>
      <c r="F3134" s="5">
        <f>vlookup(B3134,Filmes_final!$B$2:$U$1001,3,FALSE)</f>
        <v>2009</v>
      </c>
      <c r="G3134" s="5" t="str">
        <f>vlookup(B3134,Filmes_final!$B$2:$U$1001,13,FALSE)</f>
        <v>Henry Selick</v>
      </c>
    </row>
    <row r="3135">
      <c r="A3135" s="5">
        <v>784.0</v>
      </c>
      <c r="B3135" s="5" t="s">
        <v>4599</v>
      </c>
      <c r="C3135" s="5" t="s">
        <v>4601</v>
      </c>
      <c r="D3135" s="5" t="s">
        <v>6635</v>
      </c>
      <c r="E3135" s="8">
        <f>vlookup(B3135,Filmes_final!$B$2:$U$1001,20,FALSE)</f>
        <v>91983460</v>
      </c>
      <c r="F3135" s="5">
        <f>vlookup(B3135,Filmes_final!$B$2:$U$1001,3,FALSE)</f>
        <v>2009</v>
      </c>
      <c r="G3135" s="5" t="str">
        <f>vlookup(B3135,Filmes_final!$B$2:$U$1001,13,FALSE)</f>
        <v>Henry Selick</v>
      </c>
    </row>
    <row r="3136">
      <c r="A3136" s="5">
        <v>784.0</v>
      </c>
      <c r="B3136" s="5" t="s">
        <v>4599</v>
      </c>
      <c r="C3136" s="5" t="s">
        <v>4602</v>
      </c>
      <c r="D3136" s="5" t="s">
        <v>6636</v>
      </c>
      <c r="E3136" s="8">
        <f>vlookup(B3136,Filmes_final!$B$2:$U$1001,20,FALSE)</f>
        <v>91983460</v>
      </c>
      <c r="F3136" s="5">
        <f>vlookup(B3136,Filmes_final!$B$2:$U$1001,3,FALSE)</f>
        <v>2009</v>
      </c>
      <c r="G3136" s="5" t="str">
        <f>vlookup(B3136,Filmes_final!$B$2:$U$1001,13,FALSE)</f>
        <v>Henry Selick</v>
      </c>
    </row>
    <row r="3137">
      <c r="A3137" s="5">
        <v>784.0</v>
      </c>
      <c r="B3137" s="5" t="s">
        <v>4599</v>
      </c>
      <c r="C3137" s="5" t="s">
        <v>4603</v>
      </c>
      <c r="D3137" s="5" t="s">
        <v>6637</v>
      </c>
      <c r="E3137" s="8">
        <f>vlookup(B3137,Filmes_final!$B$2:$U$1001,20,FALSE)</f>
        <v>91983460</v>
      </c>
      <c r="F3137" s="5">
        <f>vlookup(B3137,Filmes_final!$B$2:$U$1001,3,FALSE)</f>
        <v>2009</v>
      </c>
      <c r="G3137" s="5" t="str">
        <f>vlookup(B3137,Filmes_final!$B$2:$U$1001,13,FALSE)</f>
        <v>Henry Selick</v>
      </c>
    </row>
    <row r="3138">
      <c r="A3138" s="5">
        <v>785.0</v>
      </c>
      <c r="B3138" s="5" t="s">
        <v>4604</v>
      </c>
      <c r="C3138" s="5" t="s">
        <v>2486</v>
      </c>
      <c r="D3138" s="5" t="s">
        <v>6634</v>
      </c>
      <c r="E3138" s="8">
        <f>vlookup(B3138,Filmes_final!$B$2:$U$1001,20,FALSE)</f>
        <v>157750722</v>
      </c>
      <c r="F3138" s="5">
        <f>vlookup(B3138,Filmes_final!$B$2:$U$1001,3,FALSE)</f>
        <v>2003</v>
      </c>
      <c r="G3138" s="5" t="str">
        <f>vlookup(B3138,Filmes_final!$B$2:$U$1001,13,FALSE)</f>
        <v>Edward Zwick</v>
      </c>
    </row>
    <row r="3139">
      <c r="A3139" s="5">
        <v>785.0</v>
      </c>
      <c r="B3139" s="5" t="s">
        <v>4604</v>
      </c>
      <c r="C3139" s="5" t="s">
        <v>93</v>
      </c>
      <c r="D3139" s="5" t="s">
        <v>6635</v>
      </c>
      <c r="E3139" s="8">
        <f>vlookup(B3139,Filmes_final!$B$2:$U$1001,20,FALSE)</f>
        <v>157750722</v>
      </c>
      <c r="F3139" s="5">
        <f>vlookup(B3139,Filmes_final!$B$2:$U$1001,3,FALSE)</f>
        <v>2003</v>
      </c>
      <c r="G3139" s="5" t="str">
        <f>vlookup(B3139,Filmes_final!$B$2:$U$1001,13,FALSE)</f>
        <v>Edward Zwick</v>
      </c>
    </row>
    <row r="3140">
      <c r="A3140" s="5">
        <v>785.0</v>
      </c>
      <c r="B3140" s="5" t="s">
        <v>4604</v>
      </c>
      <c r="C3140" s="5" t="s">
        <v>4606</v>
      </c>
      <c r="D3140" s="5" t="s">
        <v>6636</v>
      </c>
      <c r="E3140" s="8">
        <f>vlookup(B3140,Filmes_final!$B$2:$U$1001,20,FALSE)</f>
        <v>157750722</v>
      </c>
      <c r="F3140" s="5">
        <f>vlookup(B3140,Filmes_final!$B$2:$U$1001,3,FALSE)</f>
        <v>2003</v>
      </c>
      <c r="G3140" s="5" t="str">
        <f>vlookup(B3140,Filmes_final!$B$2:$U$1001,13,FALSE)</f>
        <v>Edward Zwick</v>
      </c>
    </row>
    <row r="3141">
      <c r="A3141" s="5">
        <v>785.0</v>
      </c>
      <c r="B3141" s="5" t="s">
        <v>4604</v>
      </c>
      <c r="C3141" s="5" t="s">
        <v>4607</v>
      </c>
      <c r="D3141" s="5" t="s">
        <v>6637</v>
      </c>
      <c r="E3141" s="8">
        <f>vlookup(B3141,Filmes_final!$B$2:$U$1001,20,FALSE)</f>
        <v>157750722</v>
      </c>
      <c r="F3141" s="5">
        <f>vlookup(B3141,Filmes_final!$B$2:$U$1001,3,FALSE)</f>
        <v>2003</v>
      </c>
      <c r="G3141" s="5" t="str">
        <f>vlookup(B3141,Filmes_final!$B$2:$U$1001,13,FALSE)</f>
        <v>Edward Zwick</v>
      </c>
    </row>
    <row r="3142">
      <c r="A3142" s="5">
        <v>786.0</v>
      </c>
      <c r="B3142" s="5" t="s">
        <v>4608</v>
      </c>
      <c r="C3142" s="5" t="s">
        <v>4611</v>
      </c>
      <c r="D3142" s="5" t="s">
        <v>6634</v>
      </c>
      <c r="E3142" s="8">
        <f>vlookup(B3142,Filmes_final!$B$2:$U$1001,20,FALSE)</f>
        <v>7124250</v>
      </c>
      <c r="F3142" s="5">
        <f>vlookup(B3142,Filmes_final!$B$2:$U$1001,3,FALSE)</f>
        <v>2002</v>
      </c>
      <c r="G3142" s="5" t="str">
        <f>vlookup(B3142,Filmes_final!$B$2:$U$1001,13,FALSE)</f>
        <v>Peter Mullan</v>
      </c>
    </row>
    <row r="3143">
      <c r="A3143" s="5">
        <v>786.0</v>
      </c>
      <c r="B3143" s="5" t="s">
        <v>4608</v>
      </c>
      <c r="C3143" s="5" t="s">
        <v>4612</v>
      </c>
      <c r="D3143" s="5" t="s">
        <v>6635</v>
      </c>
      <c r="E3143" s="8">
        <f>vlookup(B3143,Filmes_final!$B$2:$U$1001,20,FALSE)</f>
        <v>7124250</v>
      </c>
      <c r="F3143" s="5">
        <f>vlookup(B3143,Filmes_final!$B$2:$U$1001,3,FALSE)</f>
        <v>2002</v>
      </c>
      <c r="G3143" s="5" t="str">
        <f>vlookup(B3143,Filmes_final!$B$2:$U$1001,13,FALSE)</f>
        <v>Peter Mullan</v>
      </c>
    </row>
    <row r="3144">
      <c r="A3144" s="5">
        <v>786.0</v>
      </c>
      <c r="B3144" s="5" t="s">
        <v>4608</v>
      </c>
      <c r="C3144" s="5" t="s">
        <v>4613</v>
      </c>
      <c r="D3144" s="5" t="s">
        <v>6636</v>
      </c>
      <c r="E3144" s="8">
        <f>vlookup(B3144,Filmes_final!$B$2:$U$1001,20,FALSE)</f>
        <v>7124250</v>
      </c>
      <c r="F3144" s="5">
        <f>vlookup(B3144,Filmes_final!$B$2:$U$1001,3,FALSE)</f>
        <v>2002</v>
      </c>
      <c r="G3144" s="5" t="str">
        <f>vlookup(B3144,Filmes_final!$B$2:$U$1001,13,FALSE)</f>
        <v>Peter Mullan</v>
      </c>
    </row>
    <row r="3145">
      <c r="A3145" s="5">
        <v>786.0</v>
      </c>
      <c r="B3145" s="5" t="s">
        <v>4608</v>
      </c>
      <c r="C3145" s="5" t="s">
        <v>4614</v>
      </c>
      <c r="D3145" s="5" t="s">
        <v>6637</v>
      </c>
      <c r="E3145" s="8">
        <f>vlookup(B3145,Filmes_final!$B$2:$U$1001,20,FALSE)</f>
        <v>7124250</v>
      </c>
      <c r="F3145" s="5">
        <f>vlookup(B3145,Filmes_final!$B$2:$U$1001,3,FALSE)</f>
        <v>2002</v>
      </c>
      <c r="G3145" s="5" t="str">
        <f>vlookup(B3145,Filmes_final!$B$2:$U$1001,13,FALSE)</f>
        <v>Peter Mullan</v>
      </c>
    </row>
    <row r="3146">
      <c r="A3146" s="5">
        <v>787.0</v>
      </c>
      <c r="B3146" s="5" t="s">
        <v>4615</v>
      </c>
      <c r="C3146" s="5" t="s">
        <v>1508</v>
      </c>
      <c r="D3146" s="5" t="s">
        <v>6634</v>
      </c>
      <c r="E3146" s="8">
        <f>vlookup(B3146,Filmes_final!$B$2:$U$1001,20,FALSE)</f>
        <v>5770202</v>
      </c>
      <c r="F3146" s="5">
        <f>vlookup(B3146,Filmes_final!$B$2:$U$1001,3,FALSE)</f>
        <v>2003</v>
      </c>
      <c r="G3146" s="5" t="str">
        <f>vlookup(B3146,Filmes_final!$B$2:$U$1001,13,FALSE)</f>
        <v>Wolfgang Becker</v>
      </c>
    </row>
    <row r="3147">
      <c r="A3147" s="5">
        <v>787.0</v>
      </c>
      <c r="B3147" s="5" t="s">
        <v>4615</v>
      </c>
      <c r="C3147" s="5" t="s">
        <v>4618</v>
      </c>
      <c r="D3147" s="5" t="s">
        <v>6635</v>
      </c>
      <c r="E3147" s="8">
        <f>vlookup(B3147,Filmes_final!$B$2:$U$1001,20,FALSE)</f>
        <v>5770202</v>
      </c>
      <c r="F3147" s="5">
        <f>vlookup(B3147,Filmes_final!$B$2:$U$1001,3,FALSE)</f>
        <v>2003</v>
      </c>
      <c r="G3147" s="5" t="str">
        <f>vlookup(B3147,Filmes_final!$B$2:$U$1001,13,FALSE)</f>
        <v>Wolfgang Becker</v>
      </c>
    </row>
    <row r="3148">
      <c r="A3148" s="5">
        <v>787.0</v>
      </c>
      <c r="B3148" s="5" t="s">
        <v>4615</v>
      </c>
      <c r="C3148" s="5" t="s">
        <v>4619</v>
      </c>
      <c r="D3148" s="5" t="s">
        <v>6636</v>
      </c>
      <c r="E3148" s="8">
        <f>vlookup(B3148,Filmes_final!$B$2:$U$1001,20,FALSE)</f>
        <v>5770202</v>
      </c>
      <c r="F3148" s="5">
        <f>vlookup(B3148,Filmes_final!$B$2:$U$1001,3,FALSE)</f>
        <v>2003</v>
      </c>
      <c r="G3148" s="5" t="str">
        <f>vlookup(B3148,Filmes_final!$B$2:$U$1001,13,FALSE)</f>
        <v>Wolfgang Becker</v>
      </c>
    </row>
    <row r="3149">
      <c r="A3149" s="5">
        <v>787.0</v>
      </c>
      <c r="B3149" s="5" t="s">
        <v>4615</v>
      </c>
      <c r="C3149" s="5" t="s">
        <v>4620</v>
      </c>
      <c r="D3149" s="5" t="s">
        <v>6637</v>
      </c>
      <c r="E3149" s="8">
        <f>vlookup(B3149,Filmes_final!$B$2:$U$1001,20,FALSE)</f>
        <v>5770202</v>
      </c>
      <c r="F3149" s="5">
        <f>vlookup(B3149,Filmes_final!$B$2:$U$1001,3,FALSE)</f>
        <v>2003</v>
      </c>
      <c r="G3149" s="5" t="str">
        <f>vlookup(B3149,Filmes_final!$B$2:$U$1001,13,FALSE)</f>
        <v>Wolfgang Becker</v>
      </c>
    </row>
    <row r="3150">
      <c r="A3150" s="5">
        <v>788.0</v>
      </c>
      <c r="B3150" s="5" t="s">
        <v>4621</v>
      </c>
      <c r="C3150" s="5" t="s">
        <v>3622</v>
      </c>
      <c r="D3150" s="5" t="s">
        <v>6634</v>
      </c>
      <c r="E3150" s="8">
        <f>vlookup(B3150,Filmes_final!$B$2:$U$1001,20,FALSE)</f>
        <v>22635121</v>
      </c>
      <c r="F3150" s="5">
        <f>vlookup(B3150,Filmes_final!$B$2:$U$1001,3,FALSE)</f>
        <v>2002</v>
      </c>
      <c r="G3150" s="5" t="str">
        <f>vlookup(B3150,Filmes_final!$B$2:$U$1001,13,FALSE)</f>
        <v>Jim Sheridan</v>
      </c>
    </row>
    <row r="3151">
      <c r="A3151" s="5">
        <v>788.0</v>
      </c>
      <c r="B3151" s="5" t="s">
        <v>4621</v>
      </c>
      <c r="C3151" s="5" t="s">
        <v>4544</v>
      </c>
      <c r="D3151" s="5" t="s">
        <v>6635</v>
      </c>
      <c r="E3151" s="8">
        <f>vlookup(B3151,Filmes_final!$B$2:$U$1001,20,FALSE)</f>
        <v>22635121</v>
      </c>
      <c r="F3151" s="5">
        <f>vlookup(B3151,Filmes_final!$B$2:$U$1001,3,FALSE)</f>
        <v>2002</v>
      </c>
      <c r="G3151" s="5" t="str">
        <f>vlookup(B3151,Filmes_final!$B$2:$U$1001,13,FALSE)</f>
        <v>Jim Sheridan</v>
      </c>
    </row>
    <row r="3152">
      <c r="A3152" s="5">
        <v>788.0</v>
      </c>
      <c r="B3152" s="5" t="s">
        <v>4621</v>
      </c>
      <c r="C3152" s="5" t="s">
        <v>2363</v>
      </c>
      <c r="D3152" s="5" t="s">
        <v>6636</v>
      </c>
      <c r="E3152" s="8">
        <f>vlookup(B3152,Filmes_final!$B$2:$U$1001,20,FALSE)</f>
        <v>22635121</v>
      </c>
      <c r="F3152" s="5">
        <f>vlookup(B3152,Filmes_final!$B$2:$U$1001,3,FALSE)</f>
        <v>2002</v>
      </c>
      <c r="G3152" s="5" t="str">
        <f>vlookup(B3152,Filmes_final!$B$2:$U$1001,13,FALSE)</f>
        <v>Jim Sheridan</v>
      </c>
    </row>
    <row r="3153">
      <c r="A3153" s="5">
        <v>788.0</v>
      </c>
      <c r="B3153" s="5" t="s">
        <v>4621</v>
      </c>
      <c r="C3153" s="5" t="s">
        <v>4623</v>
      </c>
      <c r="D3153" s="5" t="s">
        <v>6637</v>
      </c>
      <c r="E3153" s="8">
        <f>vlookup(B3153,Filmes_final!$B$2:$U$1001,20,FALSE)</f>
        <v>22635121</v>
      </c>
      <c r="F3153" s="5">
        <f>vlookup(B3153,Filmes_final!$B$2:$U$1001,3,FALSE)</f>
        <v>2002</v>
      </c>
      <c r="G3153" s="5" t="str">
        <f>vlookup(B3153,Filmes_final!$B$2:$U$1001,13,FALSE)</f>
        <v>Jim Sheridan</v>
      </c>
    </row>
    <row r="3154">
      <c r="A3154" s="5">
        <v>789.0</v>
      </c>
      <c r="B3154" s="5" t="s">
        <v>4624</v>
      </c>
      <c r="C3154" s="5" t="s">
        <v>1605</v>
      </c>
      <c r="D3154" s="5" t="s">
        <v>6634</v>
      </c>
      <c r="E3154" s="8">
        <f>vlookup(B3154,Filmes_final!$B$2:$U$1001,20,FALSE)</f>
        <v>59390570</v>
      </c>
      <c r="F3154" s="5">
        <f>vlookup(B3154,Filmes_final!$B$2:$U$1001,3,FALSE)</f>
        <v>2001</v>
      </c>
      <c r="G3154" s="5" t="str">
        <f>vlookup(B3154,Filmes_final!$B$2:$U$1001,13,FALSE)</f>
        <v>Jessie Nelson</v>
      </c>
    </row>
    <row r="3155">
      <c r="A3155" s="5">
        <v>789.0</v>
      </c>
      <c r="B3155" s="5" t="s">
        <v>4624</v>
      </c>
      <c r="C3155" s="5" t="s">
        <v>810</v>
      </c>
      <c r="D3155" s="5" t="s">
        <v>6635</v>
      </c>
      <c r="E3155" s="8">
        <f>vlookup(B3155,Filmes_final!$B$2:$U$1001,20,FALSE)</f>
        <v>59390570</v>
      </c>
      <c r="F3155" s="5">
        <f>vlookup(B3155,Filmes_final!$B$2:$U$1001,3,FALSE)</f>
        <v>2001</v>
      </c>
      <c r="G3155" s="5" t="str">
        <f>vlookup(B3155,Filmes_final!$B$2:$U$1001,13,FALSE)</f>
        <v>Jessie Nelson</v>
      </c>
    </row>
    <row r="3156">
      <c r="A3156" s="5">
        <v>789.0</v>
      </c>
      <c r="B3156" s="5" t="s">
        <v>4624</v>
      </c>
      <c r="C3156" s="5" t="s">
        <v>4597</v>
      </c>
      <c r="D3156" s="5" t="s">
        <v>6636</v>
      </c>
      <c r="E3156" s="8">
        <f>vlookup(B3156,Filmes_final!$B$2:$U$1001,20,FALSE)</f>
        <v>59390570</v>
      </c>
      <c r="F3156" s="5">
        <f>vlookup(B3156,Filmes_final!$B$2:$U$1001,3,FALSE)</f>
        <v>2001</v>
      </c>
      <c r="G3156" s="5" t="str">
        <f>vlookup(B3156,Filmes_final!$B$2:$U$1001,13,FALSE)</f>
        <v>Jessie Nelson</v>
      </c>
    </row>
    <row r="3157">
      <c r="A3157" s="5">
        <v>789.0</v>
      </c>
      <c r="B3157" s="5" t="s">
        <v>4624</v>
      </c>
      <c r="C3157" s="5" t="s">
        <v>3269</v>
      </c>
      <c r="D3157" s="5" t="s">
        <v>6637</v>
      </c>
      <c r="E3157" s="8">
        <f>vlookup(B3157,Filmes_final!$B$2:$U$1001,20,FALSE)</f>
        <v>59390570</v>
      </c>
      <c r="F3157" s="5">
        <f>vlookup(B3157,Filmes_final!$B$2:$U$1001,3,FALSE)</f>
        <v>2001</v>
      </c>
      <c r="G3157" s="5" t="str">
        <f>vlookup(B3157,Filmes_final!$B$2:$U$1001,13,FALSE)</f>
        <v>Jessie Nelson</v>
      </c>
    </row>
    <row r="3158">
      <c r="A3158" s="5">
        <v>790.0</v>
      </c>
      <c r="B3158" s="5" t="s">
        <v>4627</v>
      </c>
      <c r="C3158" s="5" t="s">
        <v>4629</v>
      </c>
      <c r="D3158" s="5" t="s">
        <v>6634</v>
      </c>
      <c r="E3158" s="8">
        <f>vlookup(B3158,Filmes_final!$B$2:$U$1001,20,FALSE)</f>
        <v>32404218</v>
      </c>
      <c r="F3158" s="5">
        <f>vlookup(B3158,Filmes_final!$B$2:$U$1001,3,FALSE)</f>
        <v>2002</v>
      </c>
      <c r="G3158" s="5" t="str">
        <f>vlookup(B3158,Filmes_final!$B$2:$U$1001,13,FALSE)</f>
        <v>Spike Jonze</v>
      </c>
    </row>
    <row r="3159">
      <c r="A3159" s="5">
        <v>790.0</v>
      </c>
      <c r="B3159" s="5" t="s">
        <v>4627</v>
      </c>
      <c r="C3159" s="5" t="s">
        <v>3136</v>
      </c>
      <c r="D3159" s="5" t="s">
        <v>6635</v>
      </c>
      <c r="E3159" s="8">
        <f>vlookup(B3159,Filmes_final!$B$2:$U$1001,20,FALSE)</f>
        <v>32404218</v>
      </c>
      <c r="F3159" s="5">
        <f>vlookup(B3159,Filmes_final!$B$2:$U$1001,3,FALSE)</f>
        <v>2002</v>
      </c>
      <c r="G3159" s="5" t="str">
        <f>vlookup(B3159,Filmes_final!$B$2:$U$1001,13,FALSE)</f>
        <v>Spike Jonze</v>
      </c>
    </row>
    <row r="3160">
      <c r="A3160" s="5">
        <v>790.0</v>
      </c>
      <c r="B3160" s="5" t="s">
        <v>4627</v>
      </c>
      <c r="C3160" s="5" t="s">
        <v>3205</v>
      </c>
      <c r="D3160" s="5" t="s">
        <v>6636</v>
      </c>
      <c r="E3160" s="8">
        <f>vlookup(B3160,Filmes_final!$B$2:$U$1001,20,FALSE)</f>
        <v>32404218</v>
      </c>
      <c r="F3160" s="5">
        <f>vlookup(B3160,Filmes_final!$B$2:$U$1001,3,FALSE)</f>
        <v>2002</v>
      </c>
      <c r="G3160" s="5" t="str">
        <f>vlookup(B3160,Filmes_final!$B$2:$U$1001,13,FALSE)</f>
        <v>Spike Jonze</v>
      </c>
    </row>
    <row r="3161">
      <c r="A3161" s="5">
        <v>790.0</v>
      </c>
      <c r="B3161" s="5" t="s">
        <v>4627</v>
      </c>
      <c r="C3161" s="5" t="s">
        <v>3826</v>
      </c>
      <c r="D3161" s="5" t="s">
        <v>6637</v>
      </c>
      <c r="E3161" s="8">
        <f>vlookup(B3161,Filmes_final!$B$2:$U$1001,20,FALSE)</f>
        <v>32404218</v>
      </c>
      <c r="F3161" s="5">
        <f>vlookup(B3161,Filmes_final!$B$2:$U$1001,3,FALSE)</f>
        <v>2002</v>
      </c>
      <c r="G3161" s="5" t="str">
        <f>vlookup(B3161,Filmes_final!$B$2:$U$1001,13,FALSE)</f>
        <v>Spike Jonze</v>
      </c>
    </row>
    <row r="3162">
      <c r="A3162" s="5">
        <v>791.0</v>
      </c>
      <c r="B3162" s="5" t="s">
        <v>4630</v>
      </c>
      <c r="C3162" s="5" t="s">
        <v>4532</v>
      </c>
      <c r="D3162" s="5" t="s">
        <v>6634</v>
      </c>
      <c r="E3162" s="8">
        <f>vlookup(B3162,Filmes_final!$B$2:$U$1001,20,FALSE)</f>
        <v>160055087</v>
      </c>
      <c r="F3162" s="5">
        <f>vlookup(B3162,Filmes_final!$B$2:$U$1001,3,FALSE)</f>
        <v>2001</v>
      </c>
      <c r="G3162" s="5" t="str">
        <f>vlookup(B3162,Filmes_final!$B$2:$U$1001,13,FALSE)</f>
        <v>Ridley Scott</v>
      </c>
    </row>
    <row r="3163">
      <c r="A3163" s="5">
        <v>791.0</v>
      </c>
      <c r="B3163" s="5" t="s">
        <v>4630</v>
      </c>
      <c r="C3163" s="5" t="s">
        <v>1739</v>
      </c>
      <c r="D3163" s="5" t="s">
        <v>6635</v>
      </c>
      <c r="E3163" s="8">
        <f>vlookup(B3163,Filmes_final!$B$2:$U$1001,20,FALSE)</f>
        <v>160055087</v>
      </c>
      <c r="F3163" s="5">
        <f>vlookup(B3163,Filmes_final!$B$2:$U$1001,3,FALSE)</f>
        <v>2001</v>
      </c>
      <c r="G3163" s="5" t="str">
        <f>vlookup(B3163,Filmes_final!$B$2:$U$1001,13,FALSE)</f>
        <v>Ridley Scott</v>
      </c>
    </row>
    <row r="3164">
      <c r="A3164" s="5">
        <v>791.0</v>
      </c>
      <c r="B3164" s="5" t="s">
        <v>4630</v>
      </c>
      <c r="C3164" s="5" t="s">
        <v>216</v>
      </c>
      <c r="D3164" s="5" t="s">
        <v>6636</v>
      </c>
      <c r="E3164" s="8">
        <f>vlookup(B3164,Filmes_final!$B$2:$U$1001,20,FALSE)</f>
        <v>160055087</v>
      </c>
      <c r="F3164" s="5">
        <f>vlookup(B3164,Filmes_final!$B$2:$U$1001,3,FALSE)</f>
        <v>2001</v>
      </c>
      <c r="G3164" s="5" t="str">
        <f>vlookup(B3164,Filmes_final!$B$2:$U$1001,13,FALSE)</f>
        <v>Ridley Scott</v>
      </c>
    </row>
    <row r="3165">
      <c r="A3165" s="5">
        <v>791.0</v>
      </c>
      <c r="B3165" s="5" t="s">
        <v>4630</v>
      </c>
      <c r="C3165" s="5" t="s">
        <v>1594</v>
      </c>
      <c r="D3165" s="5" t="s">
        <v>6637</v>
      </c>
      <c r="E3165" s="8">
        <f>vlookup(B3165,Filmes_final!$B$2:$U$1001,20,FALSE)</f>
        <v>160055087</v>
      </c>
      <c r="F3165" s="5">
        <f>vlookup(B3165,Filmes_final!$B$2:$U$1001,3,FALSE)</f>
        <v>2001</v>
      </c>
      <c r="G3165" s="5" t="str">
        <f>vlookup(B3165,Filmes_final!$B$2:$U$1001,13,FALSE)</f>
        <v>Ridley Scott</v>
      </c>
    </row>
    <row r="3166">
      <c r="A3166" s="5">
        <v>792.0</v>
      </c>
      <c r="B3166" s="5" t="s">
        <v>4632</v>
      </c>
      <c r="C3166" s="5" t="s">
        <v>110</v>
      </c>
      <c r="D3166" s="5" t="s">
        <v>6634</v>
      </c>
      <c r="E3166" s="8">
        <f>vlookup(B3166,Filmes_final!$B$2:$U$1001,20,FALSE)</f>
        <v>152153018</v>
      </c>
      <c r="F3166" s="5">
        <f>vlookup(B3166,Filmes_final!$B$2:$U$1001,3,FALSE)</f>
        <v>2002</v>
      </c>
      <c r="G3166" s="5" t="str">
        <f>vlookup(B3166,Filmes_final!$B$2:$U$1001,13,FALSE)</f>
        <v>Sam Mendes</v>
      </c>
    </row>
    <row r="3167">
      <c r="A3167" s="5">
        <v>792.0</v>
      </c>
      <c r="B3167" s="5" t="s">
        <v>4632</v>
      </c>
      <c r="C3167" s="5" t="s">
        <v>4634</v>
      </c>
      <c r="D3167" s="5" t="s">
        <v>6635</v>
      </c>
      <c r="E3167" s="8">
        <f>vlookup(B3167,Filmes_final!$B$2:$U$1001,20,FALSE)</f>
        <v>152153018</v>
      </c>
      <c r="F3167" s="5">
        <f>vlookup(B3167,Filmes_final!$B$2:$U$1001,3,FALSE)</f>
        <v>2002</v>
      </c>
      <c r="G3167" s="5" t="str">
        <f>vlookup(B3167,Filmes_final!$B$2:$U$1001,13,FALSE)</f>
        <v>Sam Mendes</v>
      </c>
    </row>
    <row r="3168">
      <c r="A3168" s="5">
        <v>792.0</v>
      </c>
      <c r="B3168" s="5" t="s">
        <v>4632</v>
      </c>
      <c r="C3168" s="5" t="s">
        <v>4635</v>
      </c>
      <c r="D3168" s="5" t="s">
        <v>6636</v>
      </c>
      <c r="E3168" s="8">
        <f>vlookup(B3168,Filmes_final!$B$2:$U$1001,20,FALSE)</f>
        <v>152153018</v>
      </c>
      <c r="F3168" s="5">
        <f>vlookup(B3168,Filmes_final!$B$2:$U$1001,3,FALSE)</f>
        <v>2002</v>
      </c>
      <c r="G3168" s="5" t="str">
        <f>vlookup(B3168,Filmes_final!$B$2:$U$1001,13,FALSE)</f>
        <v>Sam Mendes</v>
      </c>
    </row>
    <row r="3169">
      <c r="A3169" s="5">
        <v>792.0</v>
      </c>
      <c r="B3169" s="5" t="s">
        <v>4632</v>
      </c>
      <c r="C3169" s="5" t="s">
        <v>4636</v>
      </c>
      <c r="D3169" s="5" t="s">
        <v>6637</v>
      </c>
      <c r="E3169" s="8">
        <f>vlookup(B3169,Filmes_final!$B$2:$U$1001,20,FALSE)</f>
        <v>152153018</v>
      </c>
      <c r="F3169" s="5">
        <f>vlookup(B3169,Filmes_final!$B$2:$U$1001,3,FALSE)</f>
        <v>2002</v>
      </c>
      <c r="G3169" s="5" t="str">
        <f>vlookup(B3169,Filmes_final!$B$2:$U$1001,13,FALSE)</f>
        <v>Sam Mendes</v>
      </c>
    </row>
    <row r="3170">
      <c r="A3170" s="5">
        <v>793.0</v>
      </c>
      <c r="B3170" s="5" t="s">
        <v>4637</v>
      </c>
      <c r="C3170" s="5" t="s">
        <v>2530</v>
      </c>
      <c r="D3170" s="5" t="s">
        <v>6634</v>
      </c>
      <c r="E3170" s="8">
        <f>vlookup(B3170,Filmes_final!$B$2:$U$1001,20,FALSE)</f>
        <v>207838</v>
      </c>
      <c r="F3170" s="5">
        <f>vlookup(B3170,Filmes_final!$B$2:$U$1001,3,FALSE)</f>
        <v>2001</v>
      </c>
      <c r="G3170" s="5" t="str">
        <f>vlookup(B3170,Filmes_final!$B$2:$U$1001,13,FALSE)</f>
        <v>Oliver Hirschbiegel</v>
      </c>
    </row>
    <row r="3171">
      <c r="A3171" s="5">
        <v>793.0</v>
      </c>
      <c r="B3171" s="5" t="s">
        <v>4637</v>
      </c>
      <c r="C3171" s="5" t="s">
        <v>4639</v>
      </c>
      <c r="D3171" s="5" t="s">
        <v>6635</v>
      </c>
      <c r="E3171" s="8">
        <f>vlookup(B3171,Filmes_final!$B$2:$U$1001,20,FALSE)</f>
        <v>207838</v>
      </c>
      <c r="F3171" s="5">
        <f>vlookup(B3171,Filmes_final!$B$2:$U$1001,3,FALSE)</f>
        <v>2001</v>
      </c>
      <c r="G3171" s="5" t="str">
        <f>vlookup(B3171,Filmes_final!$B$2:$U$1001,13,FALSE)</f>
        <v>Oliver Hirschbiegel</v>
      </c>
    </row>
    <row r="3172">
      <c r="A3172" s="5">
        <v>793.0</v>
      </c>
      <c r="B3172" s="5" t="s">
        <v>4637</v>
      </c>
      <c r="C3172" s="5" t="s">
        <v>4640</v>
      </c>
      <c r="D3172" s="5" t="s">
        <v>6636</v>
      </c>
      <c r="E3172" s="8">
        <f>vlookup(B3172,Filmes_final!$B$2:$U$1001,20,FALSE)</f>
        <v>207838</v>
      </c>
      <c r="F3172" s="5">
        <f>vlookup(B3172,Filmes_final!$B$2:$U$1001,3,FALSE)</f>
        <v>2001</v>
      </c>
      <c r="G3172" s="5" t="str">
        <f>vlookup(B3172,Filmes_final!$B$2:$U$1001,13,FALSE)</f>
        <v>Oliver Hirschbiegel</v>
      </c>
    </row>
    <row r="3173">
      <c r="A3173" s="5">
        <v>793.0</v>
      </c>
      <c r="B3173" s="5" t="s">
        <v>4637</v>
      </c>
      <c r="C3173" s="5" t="s">
        <v>4641</v>
      </c>
      <c r="D3173" s="5" t="s">
        <v>6637</v>
      </c>
      <c r="E3173" s="8">
        <f>vlookup(B3173,Filmes_final!$B$2:$U$1001,20,FALSE)</f>
        <v>207838</v>
      </c>
      <c r="F3173" s="5">
        <f>vlookup(B3173,Filmes_final!$B$2:$U$1001,3,FALSE)</f>
        <v>2001</v>
      </c>
      <c r="G3173" s="5" t="str">
        <f>vlookup(B3173,Filmes_final!$B$2:$U$1001,13,FALSE)</f>
        <v>Oliver Hirschbiegel</v>
      </c>
    </row>
    <row r="3174">
      <c r="A3174" s="5">
        <v>794.0</v>
      </c>
      <c r="B3174" s="5" t="s">
        <v>4642</v>
      </c>
      <c r="C3174" s="5" t="s">
        <v>4645</v>
      </c>
      <c r="D3174" s="5" t="s">
        <v>6634</v>
      </c>
      <c r="E3174" s="8">
        <f>vlookup(B3174,Filmes_final!$B$2:$U$1001,20,FALSE)</f>
        <v>33614573</v>
      </c>
      <c r="F3174" s="5">
        <f>vlookup(B3174,Filmes_final!$B$2:$U$1001,3,FALSE)</f>
        <v>2000</v>
      </c>
      <c r="G3174" s="5" t="str">
        <f>vlookup(B3174,Filmes_final!$B$2:$U$1001,13,FALSE)</f>
        <v>Stephen Daldry</v>
      </c>
    </row>
    <row r="3175">
      <c r="A3175" s="5">
        <v>794.0</v>
      </c>
      <c r="B3175" s="5" t="s">
        <v>4642</v>
      </c>
      <c r="C3175" s="5" t="s">
        <v>4646</v>
      </c>
      <c r="D3175" s="5" t="s">
        <v>6635</v>
      </c>
      <c r="E3175" s="8">
        <f>vlookup(B3175,Filmes_final!$B$2:$U$1001,20,FALSE)</f>
        <v>33614573</v>
      </c>
      <c r="F3175" s="5">
        <f>vlookup(B3175,Filmes_final!$B$2:$U$1001,3,FALSE)</f>
        <v>2000</v>
      </c>
      <c r="G3175" s="5" t="str">
        <f>vlookup(B3175,Filmes_final!$B$2:$U$1001,13,FALSE)</f>
        <v>Stephen Daldry</v>
      </c>
    </row>
    <row r="3176">
      <c r="A3176" s="5">
        <v>794.0</v>
      </c>
      <c r="B3176" s="5" t="s">
        <v>4642</v>
      </c>
      <c r="C3176" s="5" t="s">
        <v>4647</v>
      </c>
      <c r="D3176" s="5" t="s">
        <v>6636</v>
      </c>
      <c r="E3176" s="8">
        <f>vlookup(B3176,Filmes_final!$B$2:$U$1001,20,FALSE)</f>
        <v>33614573</v>
      </c>
      <c r="F3176" s="5">
        <f>vlookup(B3176,Filmes_final!$B$2:$U$1001,3,FALSE)</f>
        <v>2000</v>
      </c>
      <c r="G3176" s="5" t="str">
        <f>vlookup(B3176,Filmes_final!$B$2:$U$1001,13,FALSE)</f>
        <v>Stephen Daldry</v>
      </c>
    </row>
    <row r="3177">
      <c r="A3177" s="5">
        <v>794.0</v>
      </c>
      <c r="B3177" s="5" t="s">
        <v>4642</v>
      </c>
      <c r="C3177" s="5" t="s">
        <v>4648</v>
      </c>
      <c r="D3177" s="5" t="s">
        <v>6637</v>
      </c>
      <c r="E3177" s="8">
        <f>vlookup(B3177,Filmes_final!$B$2:$U$1001,20,FALSE)</f>
        <v>33614573</v>
      </c>
      <c r="F3177" s="5">
        <f>vlookup(B3177,Filmes_final!$B$2:$U$1001,3,FALSE)</f>
        <v>2000</v>
      </c>
      <c r="G3177" s="5" t="str">
        <f>vlookup(B3177,Filmes_final!$B$2:$U$1001,13,FALSE)</f>
        <v>Stephen Daldry</v>
      </c>
    </row>
    <row r="3178">
      <c r="A3178" s="5">
        <v>795.0</v>
      </c>
      <c r="B3178" s="5" t="s">
        <v>4649</v>
      </c>
      <c r="C3178" s="5" t="s">
        <v>4651</v>
      </c>
      <c r="D3178" s="5" t="s">
        <v>6634</v>
      </c>
      <c r="E3178" s="8">
        <f>vlookup(B3178,Filmes_final!$B$2:$U$1001,20,FALSE)</f>
        <v>4462679</v>
      </c>
      <c r="F3178" s="5">
        <f>vlookup(B3178,Filmes_final!$B$2:$U$1001,3,FALSE)</f>
        <v>2001</v>
      </c>
      <c r="G3178" s="5" t="str">
        <f>vlookup(B3178,Filmes_final!$B$2:$U$1001,13,FALSE)</f>
        <v>John Cameron Mitchell</v>
      </c>
    </row>
    <row r="3179">
      <c r="A3179" s="5">
        <v>795.0</v>
      </c>
      <c r="B3179" s="5" t="s">
        <v>4649</v>
      </c>
      <c r="C3179" s="5" t="s">
        <v>4652</v>
      </c>
      <c r="D3179" s="5" t="s">
        <v>6635</v>
      </c>
      <c r="E3179" s="8">
        <f>vlookup(B3179,Filmes_final!$B$2:$U$1001,20,FALSE)</f>
        <v>4462679</v>
      </c>
      <c r="F3179" s="5">
        <f>vlookup(B3179,Filmes_final!$B$2:$U$1001,3,FALSE)</f>
        <v>2001</v>
      </c>
      <c r="G3179" s="5" t="str">
        <f>vlookup(B3179,Filmes_final!$B$2:$U$1001,13,FALSE)</f>
        <v>John Cameron Mitchell</v>
      </c>
    </row>
    <row r="3180">
      <c r="A3180" s="5">
        <v>795.0</v>
      </c>
      <c r="B3180" s="5" t="s">
        <v>4649</v>
      </c>
      <c r="C3180" s="5" t="s">
        <v>4653</v>
      </c>
      <c r="D3180" s="5" t="s">
        <v>6636</v>
      </c>
      <c r="E3180" s="8">
        <f>vlookup(B3180,Filmes_final!$B$2:$U$1001,20,FALSE)</f>
        <v>4462679</v>
      </c>
      <c r="F3180" s="5">
        <f>vlookup(B3180,Filmes_final!$B$2:$U$1001,3,FALSE)</f>
        <v>2001</v>
      </c>
      <c r="G3180" s="5" t="str">
        <f>vlookup(B3180,Filmes_final!$B$2:$U$1001,13,FALSE)</f>
        <v>John Cameron Mitchell</v>
      </c>
    </row>
    <row r="3181">
      <c r="A3181" s="5">
        <v>795.0</v>
      </c>
      <c r="B3181" s="5" t="s">
        <v>4649</v>
      </c>
      <c r="C3181" s="5" t="s">
        <v>4654</v>
      </c>
      <c r="D3181" s="5" t="s">
        <v>6637</v>
      </c>
      <c r="E3181" s="8">
        <f>vlookup(B3181,Filmes_final!$B$2:$U$1001,20,FALSE)</f>
        <v>4462679</v>
      </c>
      <c r="F3181" s="5">
        <f>vlookup(B3181,Filmes_final!$B$2:$U$1001,3,FALSE)</f>
        <v>2001</v>
      </c>
      <c r="G3181" s="5" t="str">
        <f>vlookup(B3181,Filmes_final!$B$2:$U$1001,13,FALSE)</f>
        <v>John Cameron Mitchell</v>
      </c>
    </row>
    <row r="3182">
      <c r="A3182" s="5">
        <v>796.0</v>
      </c>
      <c r="B3182" s="5" t="s">
        <v>4655</v>
      </c>
      <c r="C3182" s="5" t="s">
        <v>3135</v>
      </c>
      <c r="D3182" s="5" t="s">
        <v>6634</v>
      </c>
      <c r="E3182" s="8">
        <f>vlookup(B3182,Filmes_final!$B$2:$U$1001,20,FALSE)</f>
        <v>270224476</v>
      </c>
      <c r="F3182" s="5">
        <f>vlookup(B3182,Filmes_final!$B$2:$U$1001,3,FALSE)</f>
        <v>2001</v>
      </c>
      <c r="G3182" s="5" t="str">
        <f>vlookup(B3182,Filmes_final!$B$2:$U$1001,13,FALSE)</f>
        <v>Steven Soderbergh</v>
      </c>
    </row>
    <row r="3183">
      <c r="A3183" s="5">
        <v>796.0</v>
      </c>
      <c r="B3183" s="5" t="s">
        <v>4655</v>
      </c>
      <c r="C3183" s="5" t="s">
        <v>98</v>
      </c>
      <c r="D3183" s="5" t="s">
        <v>6635</v>
      </c>
      <c r="E3183" s="8">
        <f>vlookup(B3183,Filmes_final!$B$2:$U$1001,20,FALSE)</f>
        <v>270224476</v>
      </c>
      <c r="F3183" s="5">
        <f>vlookup(B3183,Filmes_final!$B$2:$U$1001,3,FALSE)</f>
        <v>2001</v>
      </c>
      <c r="G3183" s="5" t="str">
        <f>vlookup(B3183,Filmes_final!$B$2:$U$1001,13,FALSE)</f>
        <v>Steven Soderbergh</v>
      </c>
    </row>
    <row r="3184">
      <c r="A3184" s="5">
        <v>796.0</v>
      </c>
      <c r="B3184" s="5" t="s">
        <v>4655</v>
      </c>
      <c r="C3184" s="5" t="s">
        <v>2210</v>
      </c>
      <c r="D3184" s="5" t="s">
        <v>6636</v>
      </c>
      <c r="E3184" s="8">
        <f>vlookup(B3184,Filmes_final!$B$2:$U$1001,20,FALSE)</f>
        <v>270224476</v>
      </c>
      <c r="F3184" s="5">
        <f>vlookup(B3184,Filmes_final!$B$2:$U$1001,3,FALSE)</f>
        <v>2001</v>
      </c>
      <c r="G3184" s="5" t="str">
        <f>vlookup(B3184,Filmes_final!$B$2:$U$1001,13,FALSE)</f>
        <v>Steven Soderbergh</v>
      </c>
    </row>
    <row r="3185">
      <c r="A3185" s="5">
        <v>796.0</v>
      </c>
      <c r="B3185" s="5" t="s">
        <v>4655</v>
      </c>
      <c r="C3185" s="5" t="s">
        <v>215</v>
      </c>
      <c r="D3185" s="5" t="s">
        <v>6637</v>
      </c>
      <c r="E3185" s="8">
        <f>vlookup(B3185,Filmes_final!$B$2:$U$1001,20,FALSE)</f>
        <v>270224476</v>
      </c>
      <c r="F3185" s="5">
        <f>vlookup(B3185,Filmes_final!$B$2:$U$1001,3,FALSE)</f>
        <v>2001</v>
      </c>
      <c r="G3185" s="5" t="str">
        <f>vlookup(B3185,Filmes_final!$B$2:$U$1001,13,FALSE)</f>
        <v>Steven Soderbergh</v>
      </c>
    </row>
    <row r="3186">
      <c r="A3186" s="5">
        <v>797.0</v>
      </c>
      <c r="B3186" s="5" t="s">
        <v>4658</v>
      </c>
      <c r="C3186" s="5" t="s">
        <v>4661</v>
      </c>
      <c r="D3186" s="5" t="s">
        <v>6634</v>
      </c>
      <c r="E3186" s="8">
        <f>vlookup(B3186,Filmes_final!$B$2:$U$1001,20,FALSE)</f>
        <v>230899</v>
      </c>
      <c r="F3186" s="5">
        <f>vlookup(B3186,Filmes_final!$B$2:$U$1001,3,FALSE)</f>
        <v>2000</v>
      </c>
      <c r="G3186" s="5" t="str">
        <f>vlookup(B3186,Filmes_final!$B$2:$U$1001,13,FALSE)</f>
        <v>Yoshiaki Kawajiri</v>
      </c>
    </row>
    <row r="3187">
      <c r="A3187" s="5">
        <v>797.0</v>
      </c>
      <c r="B3187" s="5" t="s">
        <v>4658</v>
      </c>
      <c r="C3187" s="5" t="s">
        <v>4662</v>
      </c>
      <c r="D3187" s="5" t="s">
        <v>6635</v>
      </c>
      <c r="E3187" s="8">
        <f>vlookup(B3187,Filmes_final!$B$2:$U$1001,20,FALSE)</f>
        <v>230899</v>
      </c>
      <c r="F3187" s="5">
        <f>vlookup(B3187,Filmes_final!$B$2:$U$1001,3,FALSE)</f>
        <v>2000</v>
      </c>
      <c r="G3187" s="5" t="str">
        <f>vlookup(B3187,Filmes_final!$B$2:$U$1001,13,FALSE)</f>
        <v>Yoshiaki Kawajiri</v>
      </c>
    </row>
    <row r="3188">
      <c r="A3188" s="5">
        <v>797.0</v>
      </c>
      <c r="B3188" s="5" t="s">
        <v>4658</v>
      </c>
      <c r="C3188" s="5" t="s">
        <v>4663</v>
      </c>
      <c r="D3188" s="5" t="s">
        <v>6636</v>
      </c>
      <c r="E3188" s="8">
        <f>vlookup(B3188,Filmes_final!$B$2:$U$1001,20,FALSE)</f>
        <v>230899</v>
      </c>
      <c r="F3188" s="5">
        <f>vlookup(B3188,Filmes_final!$B$2:$U$1001,3,FALSE)</f>
        <v>2000</v>
      </c>
      <c r="G3188" s="5" t="str">
        <f>vlookup(B3188,Filmes_final!$B$2:$U$1001,13,FALSE)</f>
        <v>Yoshiaki Kawajiri</v>
      </c>
    </row>
    <row r="3189">
      <c r="A3189" s="5">
        <v>797.0</v>
      </c>
      <c r="B3189" s="5" t="s">
        <v>4658</v>
      </c>
      <c r="C3189" s="5" t="s">
        <v>4664</v>
      </c>
      <c r="D3189" s="5" t="s">
        <v>6637</v>
      </c>
      <c r="E3189" s="8">
        <f>vlookup(B3189,Filmes_final!$B$2:$U$1001,20,FALSE)</f>
        <v>230899</v>
      </c>
      <c r="F3189" s="5">
        <f>vlookup(B3189,Filmes_final!$B$2:$U$1001,3,FALSE)</f>
        <v>2000</v>
      </c>
      <c r="G3189" s="5" t="str">
        <f>vlookup(B3189,Filmes_final!$B$2:$U$1001,13,FALSE)</f>
        <v>Yoshiaki Kawajiri</v>
      </c>
    </row>
    <row r="3190">
      <c r="A3190" s="5">
        <v>798.0</v>
      </c>
      <c r="B3190" s="5" t="s">
        <v>4665</v>
      </c>
      <c r="C3190" s="5" t="s">
        <v>1612</v>
      </c>
      <c r="D3190" s="5" t="s">
        <v>6634</v>
      </c>
      <c r="E3190" s="8">
        <f>vlookup(B3190,Filmes_final!$B$2:$U$1001,20,FALSE)</f>
        <v>69555260</v>
      </c>
      <c r="F3190" s="5">
        <f>vlookup(B3190,Filmes_final!$B$2:$U$1001,3,FALSE)</f>
        <v>2000</v>
      </c>
      <c r="G3190" s="5" t="str">
        <f>vlookup(B3190,Filmes_final!$B$2:$U$1001,13,FALSE)</f>
        <v>Joel Coen</v>
      </c>
    </row>
    <row r="3191">
      <c r="A3191" s="5">
        <v>798.0</v>
      </c>
      <c r="B3191" s="5" t="s">
        <v>4665</v>
      </c>
      <c r="C3191" s="5" t="s">
        <v>3135</v>
      </c>
      <c r="D3191" s="5" t="s">
        <v>6635</v>
      </c>
      <c r="E3191" s="8">
        <f>vlookup(B3191,Filmes_final!$B$2:$U$1001,20,FALSE)</f>
        <v>69555260</v>
      </c>
      <c r="F3191" s="5">
        <f>vlookup(B3191,Filmes_final!$B$2:$U$1001,3,FALSE)</f>
        <v>2000</v>
      </c>
      <c r="G3191" s="5" t="str">
        <f>vlookup(B3191,Filmes_final!$B$2:$U$1001,13,FALSE)</f>
        <v>Joel Coen</v>
      </c>
    </row>
    <row r="3192">
      <c r="A3192" s="5">
        <v>798.0</v>
      </c>
      <c r="B3192" s="5" t="s">
        <v>4665</v>
      </c>
      <c r="C3192" s="5" t="s">
        <v>4667</v>
      </c>
      <c r="D3192" s="5" t="s">
        <v>6636</v>
      </c>
      <c r="E3192" s="8">
        <f>vlookup(B3192,Filmes_final!$B$2:$U$1001,20,FALSE)</f>
        <v>69555260</v>
      </c>
      <c r="F3192" s="5">
        <f>vlookup(B3192,Filmes_final!$B$2:$U$1001,3,FALSE)</f>
        <v>2000</v>
      </c>
      <c r="G3192" s="5" t="str">
        <f>vlookup(B3192,Filmes_final!$B$2:$U$1001,13,FALSE)</f>
        <v>Joel Coen</v>
      </c>
    </row>
    <row r="3193">
      <c r="A3193" s="5">
        <v>798.0</v>
      </c>
      <c r="B3193" s="5" t="s">
        <v>4665</v>
      </c>
      <c r="C3193" s="5" t="s">
        <v>4668</v>
      </c>
      <c r="D3193" s="5" t="s">
        <v>6637</v>
      </c>
      <c r="E3193" s="8">
        <f>vlookup(B3193,Filmes_final!$B$2:$U$1001,20,FALSE)</f>
        <v>69555260</v>
      </c>
      <c r="F3193" s="5">
        <f>vlookup(B3193,Filmes_final!$B$2:$U$1001,3,FALSE)</f>
        <v>2000</v>
      </c>
      <c r="G3193" s="5" t="str">
        <f>vlookup(B3193,Filmes_final!$B$2:$U$1001,13,FALSE)</f>
        <v>Joel Coen</v>
      </c>
    </row>
    <row r="3194">
      <c r="A3194" s="5">
        <v>799.0</v>
      </c>
      <c r="B3194" s="5" t="s">
        <v>4669</v>
      </c>
      <c r="C3194" s="5" t="s">
        <v>2204</v>
      </c>
      <c r="D3194" s="5" t="s">
        <v>6634</v>
      </c>
      <c r="E3194" s="8">
        <f>vlookup(B3194,Filmes_final!$B$2:$U$1001,20,FALSE)</f>
        <v>12307</v>
      </c>
      <c r="F3194" s="5">
        <f>vlookup(B3194,Filmes_final!$B$2:$U$1001,3,FALSE)</f>
        <v>2002</v>
      </c>
      <c r="G3194" s="5" t="str">
        <f>vlookup(B3194,Filmes_final!$B$2:$U$1001,13,FALSE)</f>
        <v>Bob Gale</v>
      </c>
    </row>
    <row r="3195">
      <c r="A3195" s="5">
        <v>799.0</v>
      </c>
      <c r="B3195" s="5" t="s">
        <v>4669</v>
      </c>
      <c r="C3195" s="5" t="s">
        <v>347</v>
      </c>
      <c r="D3195" s="5" t="s">
        <v>6635</v>
      </c>
      <c r="E3195" s="8">
        <f>vlookup(B3195,Filmes_final!$B$2:$U$1001,20,FALSE)</f>
        <v>12307</v>
      </c>
      <c r="F3195" s="5">
        <f>vlookup(B3195,Filmes_final!$B$2:$U$1001,3,FALSE)</f>
        <v>2002</v>
      </c>
      <c r="G3195" s="5" t="str">
        <f>vlookup(B3195,Filmes_final!$B$2:$U$1001,13,FALSE)</f>
        <v>Bob Gale</v>
      </c>
    </row>
    <row r="3196">
      <c r="A3196" s="5">
        <v>799.0</v>
      </c>
      <c r="B3196" s="5" t="s">
        <v>4669</v>
      </c>
      <c r="C3196" s="5" t="s">
        <v>1846</v>
      </c>
      <c r="D3196" s="5" t="s">
        <v>6636</v>
      </c>
      <c r="E3196" s="8">
        <f>vlookup(B3196,Filmes_final!$B$2:$U$1001,20,FALSE)</f>
        <v>12307</v>
      </c>
      <c r="F3196" s="5">
        <f>vlookup(B3196,Filmes_final!$B$2:$U$1001,3,FALSE)</f>
        <v>2002</v>
      </c>
      <c r="G3196" s="5" t="str">
        <f>vlookup(B3196,Filmes_final!$B$2:$U$1001,13,FALSE)</f>
        <v>Bob Gale</v>
      </c>
    </row>
    <row r="3197">
      <c r="A3197" s="5">
        <v>799.0</v>
      </c>
      <c r="B3197" s="5" t="s">
        <v>4669</v>
      </c>
      <c r="C3197" s="5" t="s">
        <v>4672</v>
      </c>
      <c r="D3197" s="5" t="s">
        <v>6637</v>
      </c>
      <c r="E3197" s="8">
        <f>vlookup(B3197,Filmes_final!$B$2:$U$1001,20,FALSE)</f>
        <v>12307</v>
      </c>
      <c r="F3197" s="5">
        <f>vlookup(B3197,Filmes_final!$B$2:$U$1001,3,FALSE)</f>
        <v>2002</v>
      </c>
      <c r="G3197" s="5" t="str">
        <f>vlookup(B3197,Filmes_final!$B$2:$U$1001,13,FALSE)</f>
        <v>Bob Gale</v>
      </c>
    </row>
    <row r="3198">
      <c r="A3198" s="5">
        <v>800.0</v>
      </c>
      <c r="B3198" s="5" t="s">
        <v>4673</v>
      </c>
      <c r="C3198" s="5" t="s">
        <v>4676</v>
      </c>
      <c r="D3198" s="5" t="s">
        <v>6634</v>
      </c>
      <c r="E3198" s="8">
        <f>vlookup(B3198,Filmes_final!$B$2:$U$1001,20,FALSE)</f>
        <v>81705371</v>
      </c>
      <c r="F3198" s="5">
        <f>vlookup(B3198,Filmes_final!$B$2:$U$1001,3,FALSE)</f>
        <v>1999</v>
      </c>
      <c r="G3198" s="5" t="str">
        <f>vlookup(B3198,Filmes_final!$B$2:$U$1001,13,FALSE)</f>
        <v>Trey Parker</v>
      </c>
    </row>
    <row r="3199">
      <c r="A3199" s="5">
        <v>800.0</v>
      </c>
      <c r="B3199" s="5" t="s">
        <v>4673</v>
      </c>
      <c r="C3199" s="5" t="s">
        <v>4677</v>
      </c>
      <c r="D3199" s="5" t="s">
        <v>6635</v>
      </c>
      <c r="E3199" s="8">
        <f>vlookup(B3199,Filmes_final!$B$2:$U$1001,20,FALSE)</f>
        <v>81705371</v>
      </c>
      <c r="F3199" s="5">
        <f>vlookup(B3199,Filmes_final!$B$2:$U$1001,3,FALSE)</f>
        <v>1999</v>
      </c>
      <c r="G3199" s="5" t="str">
        <f>vlookup(B3199,Filmes_final!$B$2:$U$1001,13,FALSE)</f>
        <v>Trey Parker</v>
      </c>
    </row>
    <row r="3200">
      <c r="A3200" s="5">
        <v>800.0</v>
      </c>
      <c r="B3200" s="5" t="s">
        <v>4673</v>
      </c>
      <c r="C3200" s="5" t="s">
        <v>4678</v>
      </c>
      <c r="D3200" s="5" t="s">
        <v>6636</v>
      </c>
      <c r="E3200" s="8">
        <f>vlookup(B3200,Filmes_final!$B$2:$U$1001,20,FALSE)</f>
        <v>81705371</v>
      </c>
      <c r="F3200" s="5">
        <f>vlookup(B3200,Filmes_final!$B$2:$U$1001,3,FALSE)</f>
        <v>1999</v>
      </c>
      <c r="G3200" s="5" t="str">
        <f>vlookup(B3200,Filmes_final!$B$2:$U$1001,13,FALSE)</f>
        <v>Trey Parker</v>
      </c>
    </row>
    <row r="3201">
      <c r="A3201" s="5">
        <v>800.0</v>
      </c>
      <c r="B3201" s="5" t="s">
        <v>4673</v>
      </c>
      <c r="C3201" s="5" t="s">
        <v>4679</v>
      </c>
      <c r="D3201" s="5" t="s">
        <v>6637</v>
      </c>
      <c r="E3201" s="8">
        <f>vlookup(B3201,Filmes_final!$B$2:$U$1001,20,FALSE)</f>
        <v>81705371</v>
      </c>
      <c r="F3201" s="5">
        <f>vlookup(B3201,Filmes_final!$B$2:$U$1001,3,FALSE)</f>
        <v>1999</v>
      </c>
      <c r="G3201" s="5" t="str">
        <f>vlookup(B3201,Filmes_final!$B$2:$U$1001,13,FALSE)</f>
        <v>Trey Parker</v>
      </c>
    </row>
    <row r="3202">
      <c r="A3202" s="5">
        <v>801.0</v>
      </c>
      <c r="B3202" s="5" t="s">
        <v>4680</v>
      </c>
      <c r="C3202" s="5" t="s">
        <v>4683</v>
      </c>
      <c r="D3202" s="5" t="s">
        <v>6634</v>
      </c>
      <c r="E3202" s="8">
        <f>vlookup(B3202,Filmes_final!$B$2:$U$1001,20,FALSE)</f>
        <v>16996444</v>
      </c>
      <c r="F3202" s="5">
        <f>vlookup(B3202,Filmes_final!$B$2:$U$1001,3,FALSE)</f>
        <v>1999</v>
      </c>
      <c r="G3202" s="5" t="str">
        <f>vlookup(B3202,Filmes_final!$B$2:$U$1001,13,FALSE)</f>
        <v>Mike Judge</v>
      </c>
    </row>
    <row r="3203">
      <c r="A3203" s="5">
        <v>801.0</v>
      </c>
      <c r="B3203" s="5" t="s">
        <v>4680</v>
      </c>
      <c r="C3203" s="5" t="s">
        <v>2522</v>
      </c>
      <c r="D3203" s="5" t="s">
        <v>6635</v>
      </c>
      <c r="E3203" s="8">
        <f>vlookup(B3203,Filmes_final!$B$2:$U$1001,20,FALSE)</f>
        <v>16996444</v>
      </c>
      <c r="F3203" s="5">
        <f>vlookup(B3203,Filmes_final!$B$2:$U$1001,3,FALSE)</f>
        <v>1999</v>
      </c>
      <c r="G3203" s="5" t="str">
        <f>vlookup(B3203,Filmes_final!$B$2:$U$1001,13,FALSE)</f>
        <v>Mike Judge</v>
      </c>
    </row>
    <row r="3204">
      <c r="A3204" s="5">
        <v>801.0</v>
      </c>
      <c r="B3204" s="5" t="s">
        <v>4680</v>
      </c>
      <c r="C3204" s="5" t="s">
        <v>4684</v>
      </c>
      <c r="D3204" s="5" t="s">
        <v>6636</v>
      </c>
      <c r="E3204" s="8">
        <f>vlookup(B3204,Filmes_final!$B$2:$U$1001,20,FALSE)</f>
        <v>16996444</v>
      </c>
      <c r="F3204" s="5">
        <f>vlookup(B3204,Filmes_final!$B$2:$U$1001,3,FALSE)</f>
        <v>1999</v>
      </c>
      <c r="G3204" s="5" t="str">
        <f>vlookup(B3204,Filmes_final!$B$2:$U$1001,13,FALSE)</f>
        <v>Mike Judge</v>
      </c>
    </row>
    <row r="3205">
      <c r="A3205" s="5">
        <v>801.0</v>
      </c>
      <c r="B3205" s="5" t="s">
        <v>4680</v>
      </c>
      <c r="C3205" s="5" t="s">
        <v>4685</v>
      </c>
      <c r="D3205" s="5" t="s">
        <v>6637</v>
      </c>
      <c r="E3205" s="8">
        <f>vlookup(B3205,Filmes_final!$B$2:$U$1001,20,FALSE)</f>
        <v>16996444</v>
      </c>
      <c r="F3205" s="5">
        <f>vlookup(B3205,Filmes_final!$B$2:$U$1001,3,FALSE)</f>
        <v>1999</v>
      </c>
      <c r="G3205" s="5" t="str">
        <f>vlookup(B3205,Filmes_final!$B$2:$U$1001,13,FALSE)</f>
        <v>Mike Judge</v>
      </c>
    </row>
    <row r="3206">
      <c r="A3206" s="5">
        <v>802.0</v>
      </c>
      <c r="B3206" s="5" t="s">
        <v>4686</v>
      </c>
      <c r="C3206" s="5" t="s">
        <v>4689</v>
      </c>
      <c r="D3206" s="5" t="s">
        <v>6634</v>
      </c>
      <c r="E3206" s="8">
        <f>vlookup(B3206,Filmes_final!$B$2:$U$1001,20,FALSE)</f>
        <v>4481592</v>
      </c>
      <c r="F3206" s="5">
        <f>vlookup(B3206,Filmes_final!$B$2:$U$1001,3,FALSE)</f>
        <v>1998</v>
      </c>
      <c r="G3206" s="5" t="str">
        <f>vlookup(B3206,Filmes_final!$B$2:$U$1001,13,FALSE)</f>
        <v>Todd Solondz</v>
      </c>
    </row>
    <row r="3207">
      <c r="A3207" s="5">
        <v>802.0</v>
      </c>
      <c r="B3207" s="5" t="s">
        <v>4686</v>
      </c>
      <c r="C3207" s="5" t="s">
        <v>4690</v>
      </c>
      <c r="D3207" s="5" t="s">
        <v>6635</v>
      </c>
      <c r="E3207" s="8">
        <f>vlookup(B3207,Filmes_final!$B$2:$U$1001,20,FALSE)</f>
        <v>4481592</v>
      </c>
      <c r="F3207" s="5">
        <f>vlookup(B3207,Filmes_final!$B$2:$U$1001,3,FALSE)</f>
        <v>1998</v>
      </c>
      <c r="G3207" s="5" t="str">
        <f>vlookup(B3207,Filmes_final!$B$2:$U$1001,13,FALSE)</f>
        <v>Todd Solondz</v>
      </c>
    </row>
    <row r="3208">
      <c r="A3208" s="5">
        <v>802.0</v>
      </c>
      <c r="B3208" s="5" t="s">
        <v>4686</v>
      </c>
      <c r="C3208" s="5" t="s">
        <v>1593</v>
      </c>
      <c r="D3208" s="5" t="s">
        <v>6636</v>
      </c>
      <c r="E3208" s="8">
        <f>vlookup(B3208,Filmes_final!$B$2:$U$1001,20,FALSE)</f>
        <v>4481592</v>
      </c>
      <c r="F3208" s="5">
        <f>vlookup(B3208,Filmes_final!$B$2:$U$1001,3,FALSE)</f>
        <v>1998</v>
      </c>
      <c r="G3208" s="5" t="str">
        <f>vlookup(B3208,Filmes_final!$B$2:$U$1001,13,FALSE)</f>
        <v>Todd Solondz</v>
      </c>
    </row>
    <row r="3209">
      <c r="A3209" s="5">
        <v>802.0</v>
      </c>
      <c r="B3209" s="5" t="s">
        <v>4686</v>
      </c>
      <c r="C3209" s="5" t="s">
        <v>4691</v>
      </c>
      <c r="D3209" s="5" t="s">
        <v>6637</v>
      </c>
      <c r="E3209" s="8">
        <f>vlookup(B3209,Filmes_final!$B$2:$U$1001,20,FALSE)</f>
        <v>4481592</v>
      </c>
      <c r="F3209" s="5">
        <f>vlookup(B3209,Filmes_final!$B$2:$U$1001,3,FALSE)</f>
        <v>1998</v>
      </c>
      <c r="G3209" s="5" t="str">
        <f>vlookup(B3209,Filmes_final!$B$2:$U$1001,13,FALSE)</f>
        <v>Todd Solondz</v>
      </c>
    </row>
    <row r="3210">
      <c r="A3210" s="5">
        <v>803.0</v>
      </c>
      <c r="B3210" s="5" t="s">
        <v>4692</v>
      </c>
      <c r="C3210" s="5" t="s">
        <v>3799</v>
      </c>
      <c r="D3210" s="5" t="s">
        <v>6634</v>
      </c>
      <c r="E3210" s="8">
        <f>vlookup(B3210,Filmes_final!$B$2:$U$1001,20,FALSE)</f>
        <v>112900113</v>
      </c>
      <c r="F3210" s="5">
        <f>vlookup(B3210,Filmes_final!$B$2:$U$1001,3,FALSE)</f>
        <v>2001</v>
      </c>
      <c r="G3210" s="5" t="str">
        <f>vlookup(B3210,Filmes_final!$B$2:$U$1001,13,FALSE)</f>
        <v>Antoine Fuqua</v>
      </c>
    </row>
    <row r="3211">
      <c r="A3211" s="5">
        <v>803.0</v>
      </c>
      <c r="B3211" s="5" t="s">
        <v>4692</v>
      </c>
      <c r="C3211" s="5" t="s">
        <v>1642</v>
      </c>
      <c r="D3211" s="5" t="s">
        <v>6635</v>
      </c>
      <c r="E3211" s="8">
        <f>vlookup(B3211,Filmes_final!$B$2:$U$1001,20,FALSE)</f>
        <v>112900113</v>
      </c>
      <c r="F3211" s="5">
        <f>vlookup(B3211,Filmes_final!$B$2:$U$1001,3,FALSE)</f>
        <v>2001</v>
      </c>
      <c r="G3211" s="5" t="str">
        <f>vlookup(B3211,Filmes_final!$B$2:$U$1001,13,FALSE)</f>
        <v>Antoine Fuqua</v>
      </c>
    </row>
    <row r="3212">
      <c r="A3212" s="5">
        <v>803.0</v>
      </c>
      <c r="B3212" s="5" t="s">
        <v>4692</v>
      </c>
      <c r="C3212" s="5" t="s">
        <v>4119</v>
      </c>
      <c r="D3212" s="5" t="s">
        <v>6636</v>
      </c>
      <c r="E3212" s="8">
        <f>vlookup(B3212,Filmes_final!$B$2:$U$1001,20,FALSE)</f>
        <v>112900113</v>
      </c>
      <c r="F3212" s="5">
        <f>vlookup(B3212,Filmes_final!$B$2:$U$1001,3,FALSE)</f>
        <v>2001</v>
      </c>
      <c r="G3212" s="5" t="str">
        <f>vlookup(B3212,Filmes_final!$B$2:$U$1001,13,FALSE)</f>
        <v>Antoine Fuqua</v>
      </c>
    </row>
    <row r="3213">
      <c r="A3213" s="5">
        <v>803.0</v>
      </c>
      <c r="B3213" s="5" t="s">
        <v>4692</v>
      </c>
      <c r="C3213" s="5" t="s">
        <v>1824</v>
      </c>
      <c r="D3213" s="5" t="s">
        <v>6637</v>
      </c>
      <c r="E3213" s="8">
        <f>vlookup(B3213,Filmes_final!$B$2:$U$1001,20,FALSE)</f>
        <v>112900113</v>
      </c>
      <c r="F3213" s="5">
        <f>vlookup(B3213,Filmes_final!$B$2:$U$1001,3,FALSE)</f>
        <v>2001</v>
      </c>
      <c r="G3213" s="5" t="str">
        <f>vlookup(B3213,Filmes_final!$B$2:$U$1001,13,FALSE)</f>
        <v>Antoine Fuqua</v>
      </c>
    </row>
    <row r="3214">
      <c r="A3214" s="5">
        <v>804.0</v>
      </c>
      <c r="B3214" s="5" t="s">
        <v>4695</v>
      </c>
      <c r="C3214" s="5" t="s">
        <v>995</v>
      </c>
      <c r="D3214" s="5" t="s">
        <v>6634</v>
      </c>
      <c r="E3214" s="8">
        <f>vlookup(B3214,Filmes_final!$B$2:$U$1001,20,FALSE)</f>
        <v>27306005</v>
      </c>
      <c r="F3214" s="5">
        <f>vlookup(B3214,Filmes_final!$B$2:$U$1001,3,FALSE)</f>
        <v>1998</v>
      </c>
      <c r="G3214" s="5" t="str">
        <f>vlookup(B3214,Filmes_final!$B$2:$U$1001,13,FALSE)</f>
        <v>Wes Anderson</v>
      </c>
    </row>
    <row r="3215">
      <c r="A3215" s="5">
        <v>804.0</v>
      </c>
      <c r="B3215" s="5" t="s">
        <v>4695</v>
      </c>
      <c r="C3215" s="5" t="s">
        <v>2569</v>
      </c>
      <c r="D3215" s="5" t="s">
        <v>6635</v>
      </c>
      <c r="E3215" s="8">
        <f>vlookup(B3215,Filmes_final!$B$2:$U$1001,20,FALSE)</f>
        <v>27306005</v>
      </c>
      <c r="F3215" s="5">
        <f>vlookup(B3215,Filmes_final!$B$2:$U$1001,3,FALSE)</f>
        <v>1998</v>
      </c>
      <c r="G3215" s="5" t="str">
        <f>vlookup(B3215,Filmes_final!$B$2:$U$1001,13,FALSE)</f>
        <v>Wes Anderson</v>
      </c>
    </row>
    <row r="3216">
      <c r="A3216" s="5">
        <v>804.0</v>
      </c>
      <c r="B3216" s="5" t="s">
        <v>4695</v>
      </c>
      <c r="C3216" s="5" t="s">
        <v>1704</v>
      </c>
      <c r="D3216" s="5" t="s">
        <v>6636</v>
      </c>
      <c r="E3216" s="8">
        <f>vlookup(B3216,Filmes_final!$B$2:$U$1001,20,FALSE)</f>
        <v>27306005</v>
      </c>
      <c r="F3216" s="5">
        <f>vlookup(B3216,Filmes_final!$B$2:$U$1001,3,FALSE)</f>
        <v>1998</v>
      </c>
      <c r="G3216" s="5" t="str">
        <f>vlookup(B3216,Filmes_final!$B$2:$U$1001,13,FALSE)</f>
        <v>Wes Anderson</v>
      </c>
    </row>
    <row r="3217">
      <c r="A3217" s="5">
        <v>804.0</v>
      </c>
      <c r="B3217" s="5" t="s">
        <v>4695</v>
      </c>
      <c r="C3217" s="5" t="s">
        <v>4697</v>
      </c>
      <c r="D3217" s="5" t="s">
        <v>6637</v>
      </c>
      <c r="E3217" s="8">
        <f>vlookup(B3217,Filmes_final!$B$2:$U$1001,20,FALSE)</f>
        <v>27306005</v>
      </c>
      <c r="F3217" s="5">
        <f>vlookup(B3217,Filmes_final!$B$2:$U$1001,3,FALSE)</f>
        <v>1998</v>
      </c>
      <c r="G3217" s="5" t="str">
        <f>vlookup(B3217,Filmes_final!$B$2:$U$1001,13,FALSE)</f>
        <v>Wes Anderson</v>
      </c>
    </row>
    <row r="3218">
      <c r="A3218" s="5">
        <v>805.0</v>
      </c>
      <c r="B3218" s="5" t="s">
        <v>4698</v>
      </c>
      <c r="C3218" s="5" t="s">
        <v>4700</v>
      </c>
      <c r="D3218" s="5" t="s">
        <v>6634</v>
      </c>
      <c r="E3218" s="8">
        <f>vlookup(B3218,Filmes_final!$B$2:$U$1001,20,FALSE)</f>
        <v>597069</v>
      </c>
      <c r="F3218" s="5">
        <f>vlookup(B3218,Filmes_final!$B$2:$U$1001,3,FALSE)</f>
        <v>1997</v>
      </c>
      <c r="G3218" s="5" t="str">
        <f>vlookup(B3218,Filmes_final!$B$2:$U$1001,13,FALSE)</f>
        <v>Alejandro Amenábar</v>
      </c>
    </row>
    <row r="3219">
      <c r="A3219" s="5">
        <v>805.0</v>
      </c>
      <c r="B3219" s="5" t="s">
        <v>4698</v>
      </c>
      <c r="C3219" s="5" t="s">
        <v>4701</v>
      </c>
      <c r="D3219" s="5" t="s">
        <v>6635</v>
      </c>
      <c r="E3219" s="8">
        <f>vlookup(B3219,Filmes_final!$B$2:$U$1001,20,FALSE)</f>
        <v>597069</v>
      </c>
      <c r="F3219" s="5">
        <f>vlookup(B3219,Filmes_final!$B$2:$U$1001,3,FALSE)</f>
        <v>1997</v>
      </c>
      <c r="G3219" s="5" t="str">
        <f>vlookup(B3219,Filmes_final!$B$2:$U$1001,13,FALSE)</f>
        <v>Alejandro Amenábar</v>
      </c>
    </row>
    <row r="3220">
      <c r="A3220" s="5">
        <v>805.0</v>
      </c>
      <c r="B3220" s="5" t="s">
        <v>4698</v>
      </c>
      <c r="C3220" s="5" t="s">
        <v>4702</v>
      </c>
      <c r="D3220" s="5" t="s">
        <v>6636</v>
      </c>
      <c r="E3220" s="8">
        <f>vlookup(B3220,Filmes_final!$B$2:$U$1001,20,FALSE)</f>
        <v>597069</v>
      </c>
      <c r="F3220" s="5">
        <f>vlookup(B3220,Filmes_final!$B$2:$U$1001,3,FALSE)</f>
        <v>1997</v>
      </c>
      <c r="G3220" s="5" t="str">
        <f>vlookup(B3220,Filmes_final!$B$2:$U$1001,13,FALSE)</f>
        <v>Alejandro Amenábar</v>
      </c>
    </row>
    <row r="3221">
      <c r="A3221" s="5">
        <v>805.0</v>
      </c>
      <c r="B3221" s="5" t="s">
        <v>4698</v>
      </c>
      <c r="C3221" s="5" t="s">
        <v>4703</v>
      </c>
      <c r="D3221" s="5" t="s">
        <v>6637</v>
      </c>
      <c r="E3221" s="8">
        <f>vlookup(B3221,Filmes_final!$B$2:$U$1001,20,FALSE)</f>
        <v>597069</v>
      </c>
      <c r="F3221" s="5">
        <f>vlookup(B3221,Filmes_final!$B$2:$U$1001,3,FALSE)</f>
        <v>1997</v>
      </c>
      <c r="G3221" s="5" t="str">
        <f>vlookup(B3221,Filmes_final!$B$2:$U$1001,13,FALSE)</f>
        <v>Alejandro Amenábar</v>
      </c>
    </row>
    <row r="3222">
      <c r="A3222" s="5">
        <v>806.0</v>
      </c>
      <c r="B3222" s="5" t="s">
        <v>4704</v>
      </c>
      <c r="C3222" s="5" t="s">
        <v>4706</v>
      </c>
      <c r="D3222" s="5" t="s">
        <v>6634</v>
      </c>
      <c r="E3222" s="8">
        <f>vlookup(B3222,Filmes_final!$B$2:$U$1001,20,FALSE)</f>
        <v>35891296</v>
      </c>
      <c r="F3222" s="5">
        <f>vlookup(B3222,Filmes_final!$B$2:$U$1001,3,FALSE)</f>
        <v>1999</v>
      </c>
      <c r="G3222" s="5" t="str">
        <f>vlookup(B3222,Filmes_final!$B$2:$U$1001,13,FALSE)</f>
        <v>Spike Jonze</v>
      </c>
    </row>
    <row r="3223">
      <c r="A3223" s="5">
        <v>806.0</v>
      </c>
      <c r="B3223" s="5" t="s">
        <v>4704</v>
      </c>
      <c r="C3223" s="5" t="s">
        <v>3946</v>
      </c>
      <c r="D3223" s="5" t="s">
        <v>6635</v>
      </c>
      <c r="E3223" s="8">
        <f>vlookup(B3223,Filmes_final!$B$2:$U$1001,20,FALSE)</f>
        <v>35891296</v>
      </c>
      <c r="F3223" s="5">
        <f>vlookup(B3223,Filmes_final!$B$2:$U$1001,3,FALSE)</f>
        <v>1999</v>
      </c>
      <c r="G3223" s="5" t="str">
        <f>vlookup(B3223,Filmes_final!$B$2:$U$1001,13,FALSE)</f>
        <v>Spike Jonze</v>
      </c>
    </row>
    <row r="3224">
      <c r="A3224" s="5">
        <v>806.0</v>
      </c>
      <c r="B3224" s="5" t="s">
        <v>4704</v>
      </c>
      <c r="C3224" s="5" t="s">
        <v>1608</v>
      </c>
      <c r="D3224" s="5" t="s">
        <v>6636</v>
      </c>
      <c r="E3224" s="8">
        <f>vlookup(B3224,Filmes_final!$B$2:$U$1001,20,FALSE)</f>
        <v>35891296</v>
      </c>
      <c r="F3224" s="5">
        <f>vlookup(B3224,Filmes_final!$B$2:$U$1001,3,FALSE)</f>
        <v>1999</v>
      </c>
      <c r="G3224" s="5" t="str">
        <f>vlookup(B3224,Filmes_final!$B$2:$U$1001,13,FALSE)</f>
        <v>Spike Jonze</v>
      </c>
    </row>
    <row r="3225">
      <c r="A3225" s="5">
        <v>806.0</v>
      </c>
      <c r="B3225" s="5" t="s">
        <v>4704</v>
      </c>
      <c r="C3225" s="5" t="s">
        <v>4109</v>
      </c>
      <c r="D3225" s="5" t="s">
        <v>6637</v>
      </c>
      <c r="E3225" s="8">
        <f>vlookup(B3225,Filmes_final!$B$2:$U$1001,20,FALSE)</f>
        <v>35891296</v>
      </c>
      <c r="F3225" s="5">
        <f>vlookup(B3225,Filmes_final!$B$2:$U$1001,3,FALSE)</f>
        <v>1999</v>
      </c>
      <c r="G3225" s="5" t="str">
        <f>vlookup(B3225,Filmes_final!$B$2:$U$1001,13,FALSE)</f>
        <v>Spike Jonze</v>
      </c>
    </row>
    <row r="3226">
      <c r="A3226" s="5">
        <v>807.0</v>
      </c>
      <c r="B3226" s="5" t="s">
        <v>4707</v>
      </c>
      <c r="C3226" s="5" t="s">
        <v>156</v>
      </c>
      <c r="D3226" s="5" t="s">
        <v>6634</v>
      </c>
      <c r="E3226" s="8">
        <f>vlookup(B3226,Filmes_final!$B$2:$U$1001,20,FALSE)</f>
        <v>240748090</v>
      </c>
      <c r="F3226" s="5">
        <f>vlookup(B3226,Filmes_final!$B$2:$U$1001,3,FALSE)</f>
        <v>1997</v>
      </c>
      <c r="G3226" s="5" t="str">
        <f>vlookup(B3226,Filmes_final!$B$2:$U$1001,13,FALSE)</f>
        <v>James L. Brooks</v>
      </c>
    </row>
    <row r="3227">
      <c r="A3227" s="5">
        <v>807.0</v>
      </c>
      <c r="B3227" s="5" t="s">
        <v>4707</v>
      </c>
      <c r="C3227" s="5" t="s">
        <v>3924</v>
      </c>
      <c r="D3227" s="5" t="s">
        <v>6635</v>
      </c>
      <c r="E3227" s="8">
        <f>vlookup(B3227,Filmes_final!$B$2:$U$1001,20,FALSE)</f>
        <v>240748090</v>
      </c>
      <c r="F3227" s="5">
        <f>vlookup(B3227,Filmes_final!$B$2:$U$1001,3,FALSE)</f>
        <v>1997</v>
      </c>
      <c r="G3227" s="5" t="str">
        <f>vlookup(B3227,Filmes_final!$B$2:$U$1001,13,FALSE)</f>
        <v>James L. Brooks</v>
      </c>
    </row>
    <row r="3228">
      <c r="A3228" s="5">
        <v>807.0</v>
      </c>
      <c r="B3228" s="5" t="s">
        <v>4707</v>
      </c>
      <c r="C3228" s="5" t="s">
        <v>3819</v>
      </c>
      <c r="D3228" s="5" t="s">
        <v>6636</v>
      </c>
      <c r="E3228" s="8">
        <f>vlookup(B3228,Filmes_final!$B$2:$U$1001,20,FALSE)</f>
        <v>240748090</v>
      </c>
      <c r="F3228" s="5">
        <f>vlookup(B3228,Filmes_final!$B$2:$U$1001,3,FALSE)</f>
        <v>1997</v>
      </c>
      <c r="G3228" s="5" t="str">
        <f>vlookup(B3228,Filmes_final!$B$2:$U$1001,13,FALSE)</f>
        <v>James L. Brooks</v>
      </c>
    </row>
    <row r="3229">
      <c r="A3229" s="5">
        <v>807.0</v>
      </c>
      <c r="B3229" s="5" t="s">
        <v>4707</v>
      </c>
      <c r="C3229" s="5" t="s">
        <v>4034</v>
      </c>
      <c r="D3229" s="5" t="s">
        <v>6637</v>
      </c>
      <c r="E3229" s="8">
        <f>vlookup(B3229,Filmes_final!$B$2:$U$1001,20,FALSE)</f>
        <v>240748090</v>
      </c>
      <c r="F3229" s="5">
        <f>vlookup(B3229,Filmes_final!$B$2:$U$1001,3,FALSE)</f>
        <v>1997</v>
      </c>
      <c r="G3229" s="5" t="str">
        <f>vlookup(B3229,Filmes_final!$B$2:$U$1001,13,FALSE)</f>
        <v>James L. Brooks</v>
      </c>
    </row>
    <row r="3230">
      <c r="A3230" s="5">
        <v>808.0</v>
      </c>
      <c r="B3230" s="5" t="s">
        <v>4710</v>
      </c>
      <c r="C3230" s="5" t="s">
        <v>76</v>
      </c>
      <c r="D3230" s="5" t="s">
        <v>6634</v>
      </c>
      <c r="E3230" s="8">
        <f>vlookup(B3230,Filmes_final!$B$2:$U$1001,20,FALSE)</f>
        <v>103026289</v>
      </c>
      <c r="F3230" s="5">
        <f>vlookup(B3230,Filmes_final!$B$2:$U$1001,3,FALSE)</f>
        <v>1997</v>
      </c>
      <c r="G3230" s="5" t="str">
        <f>vlookup(B3230,Filmes_final!$B$2:$U$1001,13,FALSE)</f>
        <v>Luc Besson</v>
      </c>
    </row>
    <row r="3231">
      <c r="A3231" s="5">
        <v>808.0</v>
      </c>
      <c r="B3231" s="5" t="s">
        <v>4710</v>
      </c>
      <c r="C3231" s="5" t="s">
        <v>4712</v>
      </c>
      <c r="D3231" s="5" t="s">
        <v>6635</v>
      </c>
      <c r="E3231" s="8">
        <f>vlookup(B3231,Filmes_final!$B$2:$U$1001,20,FALSE)</f>
        <v>103026289</v>
      </c>
      <c r="F3231" s="5">
        <f>vlookup(B3231,Filmes_final!$B$2:$U$1001,3,FALSE)</f>
        <v>1997</v>
      </c>
      <c r="G3231" s="5" t="str">
        <f>vlookup(B3231,Filmes_final!$B$2:$U$1001,13,FALSE)</f>
        <v>Luc Besson</v>
      </c>
    </row>
    <row r="3232">
      <c r="A3232" s="5">
        <v>808.0</v>
      </c>
      <c r="B3232" s="5" t="s">
        <v>4710</v>
      </c>
      <c r="C3232" s="5" t="s">
        <v>347</v>
      </c>
      <c r="D3232" s="5" t="s">
        <v>6636</v>
      </c>
      <c r="E3232" s="8">
        <f>vlookup(B3232,Filmes_final!$B$2:$U$1001,20,FALSE)</f>
        <v>103026289</v>
      </c>
      <c r="F3232" s="5">
        <f>vlookup(B3232,Filmes_final!$B$2:$U$1001,3,FALSE)</f>
        <v>1997</v>
      </c>
      <c r="G3232" s="5" t="str">
        <f>vlookup(B3232,Filmes_final!$B$2:$U$1001,13,FALSE)</f>
        <v>Luc Besson</v>
      </c>
    </row>
    <row r="3233">
      <c r="A3233" s="5">
        <v>808.0</v>
      </c>
      <c r="B3233" s="5" t="s">
        <v>4710</v>
      </c>
      <c r="C3233" s="5" t="s">
        <v>4713</v>
      </c>
      <c r="D3233" s="5" t="s">
        <v>6637</v>
      </c>
      <c r="E3233" s="8">
        <f>vlookup(B3233,Filmes_final!$B$2:$U$1001,20,FALSE)</f>
        <v>103026289</v>
      </c>
      <c r="F3233" s="5">
        <f>vlookup(B3233,Filmes_final!$B$2:$U$1001,3,FALSE)</f>
        <v>1997</v>
      </c>
      <c r="G3233" s="5" t="str">
        <f>vlookup(B3233,Filmes_final!$B$2:$U$1001,13,FALSE)</f>
        <v>Luc Besson</v>
      </c>
    </row>
    <row r="3234">
      <c r="A3234" s="5">
        <v>809.0</v>
      </c>
      <c r="B3234" s="5" t="s">
        <v>4714</v>
      </c>
      <c r="C3234" s="5" t="s">
        <v>4717</v>
      </c>
      <c r="D3234" s="5" t="s">
        <v>6634</v>
      </c>
      <c r="E3234" s="8">
        <f>vlookup(B3234,Filmes_final!$B$2:$U$1001,20,FALSE)</f>
        <v>6489369</v>
      </c>
      <c r="F3234" s="5">
        <f>vlookup(B3234,Filmes_final!$B$2:$U$1001,3,FALSE)</f>
        <v>1998</v>
      </c>
      <c r="G3234" s="5" t="str">
        <f>vlookup(B3234,Filmes_final!$B$2:$U$1001,13,FALSE)</f>
        <v>Francis Veber</v>
      </c>
    </row>
    <row r="3235">
      <c r="A3235" s="5">
        <v>809.0</v>
      </c>
      <c r="B3235" s="5" t="s">
        <v>4714</v>
      </c>
      <c r="C3235" s="5" t="s">
        <v>4718</v>
      </c>
      <c r="D3235" s="5" t="s">
        <v>6635</v>
      </c>
      <c r="E3235" s="8">
        <f>vlookup(B3235,Filmes_final!$B$2:$U$1001,20,FALSE)</f>
        <v>6489369</v>
      </c>
      <c r="F3235" s="5">
        <f>vlookup(B3235,Filmes_final!$B$2:$U$1001,3,FALSE)</f>
        <v>1998</v>
      </c>
      <c r="G3235" s="5" t="str">
        <f>vlookup(B3235,Filmes_final!$B$2:$U$1001,13,FALSE)</f>
        <v>Francis Veber</v>
      </c>
    </row>
    <row r="3236">
      <c r="A3236" s="5">
        <v>809.0</v>
      </c>
      <c r="B3236" s="5" t="s">
        <v>4714</v>
      </c>
      <c r="C3236" s="5" t="s">
        <v>4719</v>
      </c>
      <c r="D3236" s="5" t="s">
        <v>6636</v>
      </c>
      <c r="E3236" s="8">
        <f>vlookup(B3236,Filmes_final!$B$2:$U$1001,20,FALSE)</f>
        <v>6489369</v>
      </c>
      <c r="F3236" s="5">
        <f>vlookup(B3236,Filmes_final!$B$2:$U$1001,3,FALSE)</f>
        <v>1998</v>
      </c>
      <c r="G3236" s="5" t="str">
        <f>vlookup(B3236,Filmes_final!$B$2:$U$1001,13,FALSE)</f>
        <v>Francis Veber</v>
      </c>
    </row>
    <row r="3237">
      <c r="A3237" s="5">
        <v>809.0</v>
      </c>
      <c r="B3237" s="5" t="s">
        <v>4714</v>
      </c>
      <c r="C3237" s="5" t="s">
        <v>4720</v>
      </c>
      <c r="D3237" s="5" t="s">
        <v>6637</v>
      </c>
      <c r="E3237" s="8">
        <f>vlookup(B3237,Filmes_final!$B$2:$U$1001,20,FALSE)</f>
        <v>6489369</v>
      </c>
      <c r="F3237" s="5">
        <f>vlookup(B3237,Filmes_final!$B$2:$U$1001,3,FALSE)</f>
        <v>1998</v>
      </c>
      <c r="G3237" s="5" t="str">
        <f>vlookup(B3237,Filmes_final!$B$2:$U$1001,13,FALSE)</f>
        <v>Francis Veber</v>
      </c>
    </row>
    <row r="3238">
      <c r="A3238" s="5">
        <v>810.0</v>
      </c>
      <c r="B3238" s="5" t="s">
        <v>4721</v>
      </c>
      <c r="C3238" s="5" t="s">
        <v>33</v>
      </c>
      <c r="D3238" s="5" t="s">
        <v>6634</v>
      </c>
      <c r="E3238" s="8">
        <f>vlookup(B3238,Filmes_final!$B$2:$U$1001,20,FALSE)</f>
        <v>67954137</v>
      </c>
      <c r="F3238" s="5">
        <f>vlookup(B3238,Filmes_final!$B$2:$U$1001,3,FALSE)</f>
        <v>1997</v>
      </c>
      <c r="G3238" s="5" t="str">
        <f>vlookup(B3238,Filmes_final!$B$2:$U$1001,13,FALSE)</f>
        <v>Mike Newell</v>
      </c>
    </row>
    <row r="3239">
      <c r="A3239" s="5">
        <v>810.0</v>
      </c>
      <c r="B3239" s="5" t="s">
        <v>4721</v>
      </c>
      <c r="C3239" s="5" t="s">
        <v>2451</v>
      </c>
      <c r="D3239" s="5" t="s">
        <v>6635</v>
      </c>
      <c r="E3239" s="8">
        <f>vlookup(B3239,Filmes_final!$B$2:$U$1001,20,FALSE)</f>
        <v>67954137</v>
      </c>
      <c r="F3239" s="5">
        <f>vlookup(B3239,Filmes_final!$B$2:$U$1001,3,FALSE)</f>
        <v>1997</v>
      </c>
      <c r="G3239" s="5" t="str">
        <f>vlookup(B3239,Filmes_final!$B$2:$U$1001,13,FALSE)</f>
        <v>Mike Newell</v>
      </c>
    </row>
    <row r="3240">
      <c r="A3240" s="5">
        <v>810.0</v>
      </c>
      <c r="B3240" s="5" t="s">
        <v>4721</v>
      </c>
      <c r="C3240" s="5" t="s">
        <v>782</v>
      </c>
      <c r="D3240" s="5" t="s">
        <v>6636</v>
      </c>
      <c r="E3240" s="8">
        <f>vlookup(B3240,Filmes_final!$B$2:$U$1001,20,FALSE)</f>
        <v>67954137</v>
      </c>
      <c r="F3240" s="5">
        <f>vlookup(B3240,Filmes_final!$B$2:$U$1001,3,FALSE)</f>
        <v>1997</v>
      </c>
      <c r="G3240" s="5" t="str">
        <f>vlookup(B3240,Filmes_final!$B$2:$U$1001,13,FALSE)</f>
        <v>Mike Newell</v>
      </c>
    </row>
    <row r="3241">
      <c r="A3241" s="5">
        <v>810.0</v>
      </c>
      <c r="B3241" s="5" t="s">
        <v>4721</v>
      </c>
      <c r="C3241" s="5" t="s">
        <v>4723</v>
      </c>
      <c r="D3241" s="5" t="s">
        <v>6637</v>
      </c>
      <c r="E3241" s="8">
        <f>vlookup(B3241,Filmes_final!$B$2:$U$1001,20,FALSE)</f>
        <v>67954137</v>
      </c>
      <c r="F3241" s="5">
        <f>vlookup(B3241,Filmes_final!$B$2:$U$1001,3,FALSE)</f>
        <v>1997</v>
      </c>
      <c r="G3241" s="5" t="str">
        <f>vlookup(B3241,Filmes_final!$B$2:$U$1001,13,FALSE)</f>
        <v>Mike Newell</v>
      </c>
    </row>
    <row r="3242">
      <c r="A3242" s="5">
        <v>811.0</v>
      </c>
      <c r="B3242" s="5" t="s">
        <v>4724</v>
      </c>
      <c r="C3242" s="5" t="s">
        <v>2280</v>
      </c>
      <c r="D3242" s="5" t="s">
        <v>6634</v>
      </c>
      <c r="E3242" s="8">
        <f>vlookup(B3242,Filmes_final!$B$2:$U$1001,20,FALSE)</f>
        <v>59833749</v>
      </c>
      <c r="F3242" s="5">
        <f>vlookup(B3242,Filmes_final!$B$2:$U$1001,3,FALSE)</f>
        <v>1996</v>
      </c>
      <c r="G3242" s="5" t="str">
        <f>vlookup(B3242,Filmes_final!$B$2:$U$1001,13,FALSE)</f>
        <v>Scott Hicks</v>
      </c>
    </row>
    <row r="3243">
      <c r="A3243" s="5">
        <v>811.0</v>
      </c>
      <c r="B3243" s="5" t="s">
        <v>4724</v>
      </c>
      <c r="C3243" s="5" t="s">
        <v>4727</v>
      </c>
      <c r="D3243" s="5" t="s">
        <v>6635</v>
      </c>
      <c r="E3243" s="8">
        <f>vlookup(B3243,Filmes_final!$B$2:$U$1001,20,FALSE)</f>
        <v>59833749</v>
      </c>
      <c r="F3243" s="5">
        <f>vlookup(B3243,Filmes_final!$B$2:$U$1001,3,FALSE)</f>
        <v>1996</v>
      </c>
      <c r="G3243" s="5" t="str">
        <f>vlookup(B3243,Filmes_final!$B$2:$U$1001,13,FALSE)</f>
        <v>Scott Hicks</v>
      </c>
    </row>
    <row r="3244">
      <c r="A3244" s="5">
        <v>811.0</v>
      </c>
      <c r="B3244" s="5" t="s">
        <v>4724</v>
      </c>
      <c r="C3244" s="5" t="s">
        <v>4728</v>
      </c>
      <c r="D3244" s="5" t="s">
        <v>6636</v>
      </c>
      <c r="E3244" s="8">
        <f>vlookup(B3244,Filmes_final!$B$2:$U$1001,20,FALSE)</f>
        <v>59833749</v>
      </c>
      <c r="F3244" s="5">
        <f>vlookup(B3244,Filmes_final!$B$2:$U$1001,3,FALSE)</f>
        <v>1996</v>
      </c>
      <c r="G3244" s="5" t="str">
        <f>vlookup(B3244,Filmes_final!$B$2:$U$1001,13,FALSE)</f>
        <v>Scott Hicks</v>
      </c>
    </row>
    <row r="3245">
      <c r="A3245" s="5">
        <v>811.0</v>
      </c>
      <c r="B3245" s="5" t="s">
        <v>4724</v>
      </c>
      <c r="C3245" s="5" t="s">
        <v>4729</v>
      </c>
      <c r="D3245" s="5" t="s">
        <v>6637</v>
      </c>
      <c r="E3245" s="8">
        <f>vlookup(B3245,Filmes_final!$B$2:$U$1001,20,FALSE)</f>
        <v>59833749</v>
      </c>
      <c r="F3245" s="5">
        <f>vlookup(B3245,Filmes_final!$B$2:$U$1001,3,FALSE)</f>
        <v>1996</v>
      </c>
      <c r="G3245" s="5" t="str">
        <f>vlookup(B3245,Filmes_final!$B$2:$U$1001,13,FALSE)</f>
        <v>Scott Hicks</v>
      </c>
    </row>
    <row r="3246">
      <c r="A3246" s="5">
        <v>812.0</v>
      </c>
      <c r="B3246" s="5" t="s">
        <v>4730</v>
      </c>
      <c r="C3246" s="5" t="s">
        <v>1583</v>
      </c>
      <c r="D3246" s="5" t="s">
        <v>6634</v>
      </c>
      <c r="E3246" s="8">
        <f>vlookup(B3246,Filmes_final!$B$2:$U$1001,20,FALSE)</f>
        <v>93758729</v>
      </c>
      <c r="F3246" s="5">
        <f>vlookup(B3246,Filmes_final!$B$2:$U$1001,3,FALSE)</f>
        <v>1996</v>
      </c>
      <c r="G3246" s="5" t="str">
        <f>vlookup(B3246,Filmes_final!$B$2:$U$1001,13,FALSE)</f>
        <v>Gregory Hoblit</v>
      </c>
    </row>
    <row r="3247">
      <c r="A3247" s="5">
        <v>812.0</v>
      </c>
      <c r="B3247" s="5" t="s">
        <v>4730</v>
      </c>
      <c r="C3247" s="5" t="s">
        <v>1714</v>
      </c>
      <c r="D3247" s="5" t="s">
        <v>6635</v>
      </c>
      <c r="E3247" s="8">
        <f>vlookup(B3247,Filmes_final!$B$2:$U$1001,20,FALSE)</f>
        <v>93758729</v>
      </c>
      <c r="F3247" s="5">
        <f>vlookup(B3247,Filmes_final!$B$2:$U$1001,3,FALSE)</f>
        <v>1996</v>
      </c>
      <c r="G3247" s="5" t="str">
        <f>vlookup(B3247,Filmes_final!$B$2:$U$1001,13,FALSE)</f>
        <v>Gregory Hoblit</v>
      </c>
    </row>
    <row r="3248">
      <c r="A3248" s="5">
        <v>812.0</v>
      </c>
      <c r="B3248" s="5" t="s">
        <v>4730</v>
      </c>
      <c r="C3248" s="5" t="s">
        <v>99</v>
      </c>
      <c r="D3248" s="5" t="s">
        <v>6636</v>
      </c>
      <c r="E3248" s="8">
        <f>vlookup(B3248,Filmes_final!$B$2:$U$1001,20,FALSE)</f>
        <v>93758729</v>
      </c>
      <c r="F3248" s="5">
        <f>vlookup(B3248,Filmes_final!$B$2:$U$1001,3,FALSE)</f>
        <v>1996</v>
      </c>
      <c r="G3248" s="5" t="str">
        <f>vlookup(B3248,Filmes_final!$B$2:$U$1001,13,FALSE)</f>
        <v>Gregory Hoblit</v>
      </c>
    </row>
    <row r="3249">
      <c r="A3249" s="5">
        <v>812.0</v>
      </c>
      <c r="B3249" s="5" t="s">
        <v>4730</v>
      </c>
      <c r="C3249" s="5" t="s">
        <v>4733</v>
      </c>
      <c r="D3249" s="5" t="s">
        <v>6637</v>
      </c>
      <c r="E3249" s="8">
        <f>vlookup(B3249,Filmes_final!$B$2:$U$1001,20,FALSE)</f>
        <v>93758729</v>
      </c>
      <c r="F3249" s="5">
        <f>vlookup(B3249,Filmes_final!$B$2:$U$1001,3,FALSE)</f>
        <v>1996</v>
      </c>
      <c r="G3249" s="5" t="str">
        <f>vlookup(B3249,Filmes_final!$B$2:$U$1001,13,FALSE)</f>
        <v>Gregory Hoblit</v>
      </c>
    </row>
    <row r="3250">
      <c r="A3250" s="5">
        <v>813.0</v>
      </c>
      <c r="B3250" s="5" t="s">
        <v>4734</v>
      </c>
      <c r="C3250" s="5" t="s">
        <v>4737</v>
      </c>
      <c r="D3250" s="5" t="s">
        <v>6634</v>
      </c>
      <c r="E3250" s="8">
        <f>vlookup(B3250,Filmes_final!$B$2:$U$1001,20,FALSE)</f>
        <v>7375790</v>
      </c>
      <c r="F3250" s="5">
        <f>vlookup(B3250,Filmes_final!$B$2:$U$1001,3,FALSE)</f>
        <v>1996</v>
      </c>
      <c r="G3250" s="5" t="str">
        <f>vlookup(B3250,Filmes_final!$B$2:$U$1001,13,FALSE)</f>
        <v>Kenneth Branagh</v>
      </c>
    </row>
    <row r="3251">
      <c r="A3251" s="5">
        <v>813.0</v>
      </c>
      <c r="B3251" s="5" t="s">
        <v>4734</v>
      </c>
      <c r="C3251" s="5" t="s">
        <v>2757</v>
      </c>
      <c r="D3251" s="5" t="s">
        <v>6635</v>
      </c>
      <c r="E3251" s="8">
        <f>vlookup(B3251,Filmes_final!$B$2:$U$1001,20,FALSE)</f>
        <v>7375790</v>
      </c>
      <c r="F3251" s="5">
        <f>vlookup(B3251,Filmes_final!$B$2:$U$1001,3,FALSE)</f>
        <v>1996</v>
      </c>
      <c r="G3251" s="5" t="str">
        <f>vlookup(B3251,Filmes_final!$B$2:$U$1001,13,FALSE)</f>
        <v>Kenneth Branagh</v>
      </c>
    </row>
    <row r="3252">
      <c r="A3252" s="5">
        <v>813.0</v>
      </c>
      <c r="B3252" s="5" t="s">
        <v>4734</v>
      </c>
      <c r="C3252" s="5" t="s">
        <v>2282</v>
      </c>
      <c r="D3252" s="5" t="s">
        <v>6636</v>
      </c>
      <c r="E3252" s="8">
        <f>vlookup(B3252,Filmes_final!$B$2:$U$1001,20,FALSE)</f>
        <v>7375790</v>
      </c>
      <c r="F3252" s="5">
        <f>vlookup(B3252,Filmes_final!$B$2:$U$1001,3,FALSE)</f>
        <v>1996</v>
      </c>
      <c r="G3252" s="5" t="str">
        <f>vlookup(B3252,Filmes_final!$B$2:$U$1001,13,FALSE)</f>
        <v>Kenneth Branagh</v>
      </c>
    </row>
    <row r="3253">
      <c r="A3253" s="5">
        <v>813.0</v>
      </c>
      <c r="B3253" s="5" t="s">
        <v>4734</v>
      </c>
      <c r="C3253" s="5" t="s">
        <v>719</v>
      </c>
      <c r="D3253" s="5" t="s">
        <v>6637</v>
      </c>
      <c r="E3253" s="8">
        <f>vlookup(B3253,Filmes_final!$B$2:$U$1001,20,FALSE)</f>
        <v>7375790</v>
      </c>
      <c r="F3253" s="5">
        <f>vlookup(B3253,Filmes_final!$B$2:$U$1001,3,FALSE)</f>
        <v>1996</v>
      </c>
      <c r="G3253" s="5" t="str">
        <f>vlookup(B3253,Filmes_final!$B$2:$U$1001,13,FALSE)</f>
        <v>Kenneth Branagh</v>
      </c>
    </row>
    <row r="3254">
      <c r="A3254" s="5">
        <v>814.0</v>
      </c>
      <c r="B3254" s="5" t="s">
        <v>4738</v>
      </c>
      <c r="C3254" s="5" t="s">
        <v>4740</v>
      </c>
      <c r="D3254" s="5" t="s">
        <v>6634</v>
      </c>
      <c r="E3254" s="8">
        <f>vlookup(B3254,Filmes_final!$B$2:$U$1001,20,FALSE)</f>
        <v>17196877</v>
      </c>
      <c r="F3254" s="5">
        <f>vlookup(B3254,Filmes_final!$B$2:$U$1001,3,FALSE)</f>
        <v>1995</v>
      </c>
      <c r="G3254" s="5" t="str">
        <f>vlookup(B3254,Filmes_final!$B$2:$U$1001,13,FALSE)</f>
        <v>Alfonso Cuarón</v>
      </c>
    </row>
    <row r="3255">
      <c r="A3255" s="5">
        <v>814.0</v>
      </c>
      <c r="B3255" s="5" t="s">
        <v>4738</v>
      </c>
      <c r="C3255" s="5" t="s">
        <v>4741</v>
      </c>
      <c r="D3255" s="5" t="s">
        <v>6635</v>
      </c>
      <c r="E3255" s="8">
        <f>vlookup(B3255,Filmes_final!$B$2:$U$1001,20,FALSE)</f>
        <v>17196877</v>
      </c>
      <c r="F3255" s="5">
        <f>vlookup(B3255,Filmes_final!$B$2:$U$1001,3,FALSE)</f>
        <v>1995</v>
      </c>
      <c r="G3255" s="5" t="str">
        <f>vlookup(B3255,Filmes_final!$B$2:$U$1001,13,FALSE)</f>
        <v>Alfonso Cuarón</v>
      </c>
    </row>
    <row r="3256">
      <c r="A3256" s="5">
        <v>814.0</v>
      </c>
      <c r="B3256" s="5" t="s">
        <v>4738</v>
      </c>
      <c r="C3256" s="5" t="s">
        <v>4742</v>
      </c>
      <c r="D3256" s="5" t="s">
        <v>6636</v>
      </c>
      <c r="E3256" s="8">
        <f>vlookup(B3256,Filmes_final!$B$2:$U$1001,20,FALSE)</f>
        <v>17196877</v>
      </c>
      <c r="F3256" s="5">
        <f>vlookup(B3256,Filmes_final!$B$2:$U$1001,3,FALSE)</f>
        <v>1995</v>
      </c>
      <c r="G3256" s="5" t="str">
        <f>vlookup(B3256,Filmes_final!$B$2:$U$1001,13,FALSE)</f>
        <v>Alfonso Cuarón</v>
      </c>
    </row>
    <row r="3257">
      <c r="A3257" s="5">
        <v>814.0</v>
      </c>
      <c r="B3257" s="5" t="s">
        <v>4738</v>
      </c>
      <c r="C3257" s="5" t="s">
        <v>4743</v>
      </c>
      <c r="D3257" s="5" t="s">
        <v>6637</v>
      </c>
      <c r="E3257" s="8">
        <f>vlookup(B3257,Filmes_final!$B$2:$U$1001,20,FALSE)</f>
        <v>17196877</v>
      </c>
      <c r="F3257" s="5">
        <f>vlookup(B3257,Filmes_final!$B$2:$U$1001,3,FALSE)</f>
        <v>1995</v>
      </c>
      <c r="G3257" s="5" t="str">
        <f>vlookup(B3257,Filmes_final!$B$2:$U$1001,13,FALSE)</f>
        <v>Alfonso Cuarón</v>
      </c>
    </row>
    <row r="3258">
      <c r="A3258" s="5">
        <v>815.0</v>
      </c>
      <c r="B3258" s="5" t="s">
        <v>4744</v>
      </c>
      <c r="C3258" s="5" t="s">
        <v>4746</v>
      </c>
      <c r="D3258" s="5" t="s">
        <v>6634</v>
      </c>
      <c r="E3258" s="8">
        <f>vlookup(B3258,Filmes_final!$B$2:$U$1001,20,FALSE)</f>
        <v>431091</v>
      </c>
      <c r="F3258" s="5">
        <f>vlookup(B3258,Filmes_final!$B$2:$U$1001,3,FALSE)</f>
        <v>1995</v>
      </c>
      <c r="G3258" s="5" t="str">
        <f>vlookup(B3258,Filmes_final!$B$2:$U$1001,13,FALSE)</f>
        <v>Kar-Wai Wong</v>
      </c>
    </row>
    <row r="3259">
      <c r="A3259" s="5">
        <v>815.0</v>
      </c>
      <c r="B3259" s="5" t="s">
        <v>4744</v>
      </c>
      <c r="C3259" s="5" t="s">
        <v>4747</v>
      </c>
      <c r="D3259" s="5" t="s">
        <v>6635</v>
      </c>
      <c r="E3259" s="8">
        <f>vlookup(B3259,Filmes_final!$B$2:$U$1001,20,FALSE)</f>
        <v>431091</v>
      </c>
      <c r="F3259" s="5">
        <f>vlookup(B3259,Filmes_final!$B$2:$U$1001,3,FALSE)</f>
        <v>1995</v>
      </c>
      <c r="G3259" s="5" t="str">
        <f>vlookup(B3259,Filmes_final!$B$2:$U$1001,13,FALSE)</f>
        <v>Kar-Wai Wong</v>
      </c>
    </row>
    <row r="3260">
      <c r="A3260" s="5">
        <v>815.0</v>
      </c>
      <c r="B3260" s="5" t="s">
        <v>4744</v>
      </c>
      <c r="C3260" s="5" t="s">
        <v>1780</v>
      </c>
      <c r="D3260" s="5" t="s">
        <v>6636</v>
      </c>
      <c r="E3260" s="8">
        <f>vlookup(B3260,Filmes_final!$B$2:$U$1001,20,FALSE)</f>
        <v>431091</v>
      </c>
      <c r="F3260" s="5">
        <f>vlookup(B3260,Filmes_final!$B$2:$U$1001,3,FALSE)</f>
        <v>1995</v>
      </c>
      <c r="G3260" s="5" t="str">
        <f>vlookup(B3260,Filmes_final!$B$2:$U$1001,13,FALSE)</f>
        <v>Kar-Wai Wong</v>
      </c>
    </row>
    <row r="3261">
      <c r="A3261" s="5">
        <v>815.0</v>
      </c>
      <c r="B3261" s="5" t="s">
        <v>4744</v>
      </c>
      <c r="C3261" s="5" t="s">
        <v>4748</v>
      </c>
      <c r="D3261" s="5" t="s">
        <v>6637</v>
      </c>
      <c r="E3261" s="8">
        <f>vlookup(B3261,Filmes_final!$B$2:$U$1001,20,FALSE)</f>
        <v>431091</v>
      </c>
      <c r="F3261" s="5">
        <f>vlookup(B3261,Filmes_final!$B$2:$U$1001,3,FALSE)</f>
        <v>1995</v>
      </c>
      <c r="G3261" s="5" t="str">
        <f>vlookup(B3261,Filmes_final!$B$2:$U$1001,13,FALSE)</f>
        <v>Kar-Wai Wong</v>
      </c>
    </row>
    <row r="3262">
      <c r="A3262" s="5">
        <v>816.0</v>
      </c>
      <c r="B3262" s="5" t="s">
        <v>4749</v>
      </c>
      <c r="C3262" s="5" t="s">
        <v>4752</v>
      </c>
      <c r="D3262" s="5" t="s">
        <v>6634</v>
      </c>
      <c r="E3262" s="8">
        <f>vlookup(B3262,Filmes_final!$B$2:$U$1001,20,FALSE)</f>
        <v>38552605</v>
      </c>
      <c r="F3262" s="5">
        <f>vlookup(B3262,Filmes_final!$B$2:$U$1001,3,FALSE)</f>
        <v>1994</v>
      </c>
      <c r="G3262" s="5" t="str">
        <f>vlookup(B3262,Filmes_final!$B$2:$U$1001,13,FALSE)</f>
        <v>Michael Radford</v>
      </c>
    </row>
    <row r="3263">
      <c r="A3263" s="5">
        <v>816.0</v>
      </c>
      <c r="B3263" s="5" t="s">
        <v>4749</v>
      </c>
      <c r="C3263" s="5" t="s">
        <v>4752</v>
      </c>
      <c r="D3263" s="5" t="s">
        <v>6635</v>
      </c>
      <c r="E3263" s="8">
        <f>vlookup(B3263,Filmes_final!$B$2:$U$1001,20,FALSE)</f>
        <v>38552605</v>
      </c>
      <c r="F3263" s="5">
        <f>vlookup(B3263,Filmes_final!$B$2:$U$1001,3,FALSE)</f>
        <v>1994</v>
      </c>
      <c r="G3263" s="5" t="str">
        <f>vlookup(B3263,Filmes_final!$B$2:$U$1001,13,FALSE)</f>
        <v>Michael Radford</v>
      </c>
    </row>
    <row r="3264">
      <c r="A3264" s="5">
        <v>816.0</v>
      </c>
      <c r="B3264" s="5" t="s">
        <v>4749</v>
      </c>
      <c r="C3264" s="5" t="s">
        <v>369</v>
      </c>
      <c r="D3264" s="5" t="s">
        <v>6636</v>
      </c>
      <c r="E3264" s="8">
        <f>vlookup(B3264,Filmes_final!$B$2:$U$1001,20,FALSE)</f>
        <v>38552605</v>
      </c>
      <c r="F3264" s="5">
        <f>vlookup(B3264,Filmes_final!$B$2:$U$1001,3,FALSE)</f>
        <v>1994</v>
      </c>
      <c r="G3264" s="5" t="str">
        <f>vlookup(B3264,Filmes_final!$B$2:$U$1001,13,FALSE)</f>
        <v>Michael Radford</v>
      </c>
    </row>
    <row r="3265">
      <c r="A3265" s="5">
        <v>816.0</v>
      </c>
      <c r="B3265" s="5" t="s">
        <v>4749</v>
      </c>
      <c r="C3265" s="5" t="s">
        <v>4753</v>
      </c>
      <c r="D3265" s="5" t="s">
        <v>6637</v>
      </c>
      <c r="E3265" s="8">
        <f>vlookup(B3265,Filmes_final!$B$2:$U$1001,20,FALSE)</f>
        <v>38552605</v>
      </c>
      <c r="F3265" s="5">
        <f>vlookup(B3265,Filmes_final!$B$2:$U$1001,3,FALSE)</f>
        <v>1994</v>
      </c>
      <c r="G3265" s="5" t="str">
        <f>vlookup(B3265,Filmes_final!$B$2:$U$1001,13,FALSE)</f>
        <v>Michael Radford</v>
      </c>
    </row>
    <row r="3266">
      <c r="A3266" s="5">
        <v>817.0</v>
      </c>
      <c r="B3266" s="5" t="s">
        <v>4754</v>
      </c>
      <c r="C3266" s="5" t="s">
        <v>4757</v>
      </c>
      <c r="D3266" s="5" t="s">
        <v>6634</v>
      </c>
      <c r="E3266" s="8">
        <f>vlookup(B3266,Filmes_final!$B$2:$U$1001,20,FALSE)</f>
        <v>5560193</v>
      </c>
      <c r="F3266" s="5">
        <f>vlookup(B3266,Filmes_final!$B$2:$U$1001,3,FALSE)</f>
        <v>1994</v>
      </c>
      <c r="G3266" s="5" t="str">
        <f>vlookup(B3266,Filmes_final!$B$2:$U$1001,13,FALSE)</f>
        <v>Kevin Smith</v>
      </c>
    </row>
    <row r="3267">
      <c r="A3267" s="5">
        <v>817.0</v>
      </c>
      <c r="B3267" s="5" t="s">
        <v>4754</v>
      </c>
      <c r="C3267" s="5" t="s">
        <v>4758</v>
      </c>
      <c r="D3267" s="5" t="s">
        <v>6635</v>
      </c>
      <c r="E3267" s="8">
        <f>vlookup(B3267,Filmes_final!$B$2:$U$1001,20,FALSE)</f>
        <v>5560193</v>
      </c>
      <c r="F3267" s="5">
        <f>vlookup(B3267,Filmes_final!$B$2:$U$1001,3,FALSE)</f>
        <v>1994</v>
      </c>
      <c r="G3267" s="5" t="str">
        <f>vlookup(B3267,Filmes_final!$B$2:$U$1001,13,FALSE)</f>
        <v>Kevin Smith</v>
      </c>
    </row>
    <row r="3268">
      <c r="A3268" s="5">
        <v>817.0</v>
      </c>
      <c r="B3268" s="5" t="s">
        <v>4754</v>
      </c>
      <c r="C3268" s="5" t="s">
        <v>4759</v>
      </c>
      <c r="D3268" s="5" t="s">
        <v>6636</v>
      </c>
      <c r="E3268" s="8">
        <f>vlookup(B3268,Filmes_final!$B$2:$U$1001,20,FALSE)</f>
        <v>5560193</v>
      </c>
      <c r="F3268" s="5">
        <f>vlookup(B3268,Filmes_final!$B$2:$U$1001,3,FALSE)</f>
        <v>1994</v>
      </c>
      <c r="G3268" s="5" t="str">
        <f>vlookup(B3268,Filmes_final!$B$2:$U$1001,13,FALSE)</f>
        <v>Kevin Smith</v>
      </c>
    </row>
    <row r="3269">
      <c r="A3269" s="5">
        <v>817.0</v>
      </c>
      <c r="B3269" s="5" t="s">
        <v>4754</v>
      </c>
      <c r="C3269" s="5" t="s">
        <v>4760</v>
      </c>
      <c r="D3269" s="5" t="s">
        <v>6637</v>
      </c>
      <c r="E3269" s="8">
        <f>vlookup(B3269,Filmes_final!$B$2:$U$1001,20,FALSE)</f>
        <v>5560193</v>
      </c>
      <c r="F3269" s="5">
        <f>vlookup(B3269,Filmes_final!$B$2:$U$1001,3,FALSE)</f>
        <v>1994</v>
      </c>
      <c r="G3269" s="5" t="str">
        <f>vlookup(B3269,Filmes_final!$B$2:$U$1001,13,FALSE)</f>
        <v>Kevin Smith</v>
      </c>
    </row>
    <row r="3270">
      <c r="A3270" s="5">
        <v>818.0</v>
      </c>
      <c r="B3270" s="5" t="s">
        <v>4761</v>
      </c>
      <c r="C3270" s="5" t="s">
        <v>2570</v>
      </c>
      <c r="D3270" s="5" t="s">
        <v>6634</v>
      </c>
      <c r="E3270" s="8">
        <f>vlookup(B3270,Filmes_final!$B$2:$U$1001,20,FALSE)</f>
        <v>11055087</v>
      </c>
      <c r="F3270" s="5">
        <f>vlookup(B3270,Filmes_final!$B$2:$U$1001,3,FALSE)</f>
        <v>1993</v>
      </c>
      <c r="G3270" s="5" t="str">
        <f>vlookup(B3270,Filmes_final!$B$2:$U$1001,13,FALSE)</f>
        <v>Robert Altman</v>
      </c>
    </row>
    <row r="3271">
      <c r="A3271" s="5">
        <v>818.0</v>
      </c>
      <c r="B3271" s="5" t="s">
        <v>4761</v>
      </c>
      <c r="C3271" s="5" t="s">
        <v>1728</v>
      </c>
      <c r="D3271" s="5" t="s">
        <v>6635</v>
      </c>
      <c r="E3271" s="8">
        <f>vlookup(B3271,Filmes_final!$B$2:$U$1001,20,FALSE)</f>
        <v>11055087</v>
      </c>
      <c r="F3271" s="5">
        <f>vlookup(B3271,Filmes_final!$B$2:$U$1001,3,FALSE)</f>
        <v>1993</v>
      </c>
      <c r="G3271" s="5" t="str">
        <f>vlookup(B3271,Filmes_final!$B$2:$U$1001,13,FALSE)</f>
        <v>Robert Altman</v>
      </c>
    </row>
    <row r="3272">
      <c r="A3272" s="5">
        <v>818.0</v>
      </c>
      <c r="B3272" s="5" t="s">
        <v>4761</v>
      </c>
      <c r="C3272" s="5" t="s">
        <v>23</v>
      </c>
      <c r="D3272" s="5" t="s">
        <v>6636</v>
      </c>
      <c r="E3272" s="8">
        <f>vlookup(B3272,Filmes_final!$B$2:$U$1001,20,FALSE)</f>
        <v>11055087</v>
      </c>
      <c r="F3272" s="5">
        <f>vlookup(B3272,Filmes_final!$B$2:$U$1001,3,FALSE)</f>
        <v>1993</v>
      </c>
      <c r="G3272" s="5" t="str">
        <f>vlookup(B3272,Filmes_final!$B$2:$U$1001,13,FALSE)</f>
        <v>Robert Altman</v>
      </c>
    </row>
    <row r="3273">
      <c r="A3273" s="5">
        <v>818.0</v>
      </c>
      <c r="B3273" s="5" t="s">
        <v>4761</v>
      </c>
      <c r="C3273" s="5" t="s">
        <v>4764</v>
      </c>
      <c r="D3273" s="5" t="s">
        <v>6637</v>
      </c>
      <c r="E3273" s="8">
        <f>vlookup(B3273,Filmes_final!$B$2:$U$1001,20,FALSE)</f>
        <v>11055087</v>
      </c>
      <c r="F3273" s="5">
        <f>vlookup(B3273,Filmes_final!$B$2:$U$1001,3,FALSE)</f>
        <v>1993</v>
      </c>
      <c r="G3273" s="5" t="str">
        <f>vlookup(B3273,Filmes_final!$B$2:$U$1001,13,FALSE)</f>
        <v>Robert Altman</v>
      </c>
    </row>
    <row r="3274">
      <c r="A3274" s="5">
        <v>819.0</v>
      </c>
      <c r="B3274" s="5" t="s">
        <v>4765</v>
      </c>
      <c r="C3274" s="5" t="s">
        <v>110</v>
      </c>
      <c r="D3274" s="5" t="s">
        <v>6634</v>
      </c>
      <c r="E3274" s="8">
        <f>vlookup(B3274,Filmes_final!$B$2:$U$1001,20,FALSE)</f>
        <v>139884001</v>
      </c>
      <c r="F3274" s="5">
        <f>vlookup(B3274,Filmes_final!$B$2:$U$1001,3,FALSE)</f>
        <v>1993</v>
      </c>
      <c r="G3274" s="5" t="str">
        <f>vlookup(B3274,Filmes_final!$B$2:$U$1001,13,FALSE)</f>
        <v>Jonathan Demme</v>
      </c>
    </row>
    <row r="3275">
      <c r="A3275" s="5">
        <v>819.0</v>
      </c>
      <c r="B3275" s="5" t="s">
        <v>4765</v>
      </c>
      <c r="C3275" s="5" t="s">
        <v>3799</v>
      </c>
      <c r="D3275" s="5" t="s">
        <v>6635</v>
      </c>
      <c r="E3275" s="8">
        <f>vlookup(B3275,Filmes_final!$B$2:$U$1001,20,FALSE)</f>
        <v>139884001</v>
      </c>
      <c r="F3275" s="5">
        <f>vlookup(B3275,Filmes_final!$B$2:$U$1001,3,FALSE)</f>
        <v>1993</v>
      </c>
      <c r="G3275" s="5" t="str">
        <f>vlookup(B3275,Filmes_final!$B$2:$U$1001,13,FALSE)</f>
        <v>Jonathan Demme</v>
      </c>
    </row>
    <row r="3276">
      <c r="A3276" s="5">
        <v>819.0</v>
      </c>
      <c r="B3276" s="5" t="s">
        <v>4765</v>
      </c>
      <c r="C3276" s="5" t="s">
        <v>4767</v>
      </c>
      <c r="D3276" s="5" t="s">
        <v>6636</v>
      </c>
      <c r="E3276" s="8">
        <f>vlookup(B3276,Filmes_final!$B$2:$U$1001,20,FALSE)</f>
        <v>139884001</v>
      </c>
      <c r="F3276" s="5">
        <f>vlookup(B3276,Filmes_final!$B$2:$U$1001,3,FALSE)</f>
        <v>1993</v>
      </c>
      <c r="G3276" s="5" t="str">
        <f>vlookup(B3276,Filmes_final!$B$2:$U$1001,13,FALSE)</f>
        <v>Jonathan Demme</v>
      </c>
    </row>
    <row r="3277">
      <c r="A3277" s="5">
        <v>819.0</v>
      </c>
      <c r="B3277" s="5" t="s">
        <v>4765</v>
      </c>
      <c r="C3277" s="5" t="s">
        <v>4768</v>
      </c>
      <c r="D3277" s="5" t="s">
        <v>6637</v>
      </c>
      <c r="E3277" s="8">
        <f>vlookup(B3277,Filmes_final!$B$2:$U$1001,20,FALSE)</f>
        <v>139884001</v>
      </c>
      <c r="F3277" s="5">
        <f>vlookup(B3277,Filmes_final!$B$2:$U$1001,3,FALSE)</f>
        <v>1993</v>
      </c>
      <c r="G3277" s="5" t="str">
        <f>vlookup(B3277,Filmes_final!$B$2:$U$1001,13,FALSE)</f>
        <v>Jonathan Demme</v>
      </c>
    </row>
    <row r="3278">
      <c r="A3278" s="5">
        <v>820.0</v>
      </c>
      <c r="B3278" s="5" t="s">
        <v>4769</v>
      </c>
      <c r="C3278" s="5" t="s">
        <v>45</v>
      </c>
      <c r="D3278" s="5" t="s">
        <v>6634</v>
      </c>
      <c r="E3278" s="8">
        <f>vlookup(B3278,Filmes_final!$B$2:$U$1001,20,FALSE)</f>
        <v>50961895</v>
      </c>
      <c r="F3278" s="5">
        <f>vlookup(B3278,Filmes_final!$B$2:$U$1001,3,FALSE)</f>
        <v>1992</v>
      </c>
      <c r="G3278" s="5" t="str">
        <f>vlookup(B3278,Filmes_final!$B$2:$U$1001,13,FALSE)</f>
        <v>Brian Henson</v>
      </c>
    </row>
    <row r="3279">
      <c r="A3279" s="5">
        <v>820.0</v>
      </c>
      <c r="B3279" s="5" t="s">
        <v>4769</v>
      </c>
      <c r="C3279" s="5" t="s">
        <v>4772</v>
      </c>
      <c r="D3279" s="5" t="s">
        <v>6635</v>
      </c>
      <c r="E3279" s="8">
        <f>vlookup(B3279,Filmes_final!$B$2:$U$1001,20,FALSE)</f>
        <v>50961895</v>
      </c>
      <c r="F3279" s="5">
        <f>vlookup(B3279,Filmes_final!$B$2:$U$1001,3,FALSE)</f>
        <v>1992</v>
      </c>
      <c r="G3279" s="5" t="str">
        <f>vlookup(B3279,Filmes_final!$B$2:$U$1001,13,FALSE)</f>
        <v>Brian Henson</v>
      </c>
    </row>
    <row r="3280">
      <c r="A3280" s="5">
        <v>820.0</v>
      </c>
      <c r="B3280" s="5" t="s">
        <v>4769</v>
      </c>
      <c r="C3280" s="5" t="s">
        <v>4773</v>
      </c>
      <c r="D3280" s="5" t="s">
        <v>6636</v>
      </c>
      <c r="E3280" s="8">
        <f>vlookup(B3280,Filmes_final!$B$2:$U$1001,20,FALSE)</f>
        <v>50961895</v>
      </c>
      <c r="F3280" s="5">
        <f>vlookup(B3280,Filmes_final!$B$2:$U$1001,3,FALSE)</f>
        <v>1992</v>
      </c>
      <c r="G3280" s="5" t="str">
        <f>vlookup(B3280,Filmes_final!$B$2:$U$1001,13,FALSE)</f>
        <v>Brian Henson</v>
      </c>
    </row>
    <row r="3281">
      <c r="A3281" s="5">
        <v>820.0</v>
      </c>
      <c r="B3281" s="5" t="s">
        <v>4769</v>
      </c>
      <c r="C3281" s="5" t="s">
        <v>4774</v>
      </c>
      <c r="D3281" s="5" t="s">
        <v>6637</v>
      </c>
      <c r="E3281" s="8">
        <f>vlookup(B3281,Filmes_final!$B$2:$U$1001,20,FALSE)</f>
        <v>50961895</v>
      </c>
      <c r="F3281" s="5">
        <f>vlookup(B3281,Filmes_final!$B$2:$U$1001,3,FALSE)</f>
        <v>1992</v>
      </c>
      <c r="G3281" s="5" t="str">
        <f>vlookup(B3281,Filmes_final!$B$2:$U$1001,13,FALSE)</f>
        <v>Brian Henson</v>
      </c>
    </row>
    <row r="3282">
      <c r="A3282" s="5">
        <v>821.0</v>
      </c>
      <c r="B3282" s="5" t="s">
        <v>4775</v>
      </c>
      <c r="C3282" s="5" t="s">
        <v>3799</v>
      </c>
      <c r="D3282" s="5" t="s">
        <v>6634</v>
      </c>
      <c r="E3282" s="8">
        <f>vlookup(B3282,Filmes_final!$B$2:$U$1001,20,FALSE)</f>
        <v>89981458</v>
      </c>
      <c r="F3282" s="5">
        <f>vlookup(B3282,Filmes_final!$B$2:$U$1001,3,FALSE)</f>
        <v>1992</v>
      </c>
      <c r="G3282" s="5" t="str">
        <f>vlookup(B3282,Filmes_final!$B$2:$U$1001,13,FALSE)</f>
        <v>Spike Lee</v>
      </c>
    </row>
    <row r="3283">
      <c r="A3283" s="5">
        <v>821.0</v>
      </c>
      <c r="B3283" s="5" t="s">
        <v>4775</v>
      </c>
      <c r="C3283" s="5" t="s">
        <v>4777</v>
      </c>
      <c r="D3283" s="5" t="s">
        <v>6635</v>
      </c>
      <c r="E3283" s="8">
        <f>vlookup(B3283,Filmes_final!$B$2:$U$1001,20,FALSE)</f>
        <v>89981458</v>
      </c>
      <c r="F3283" s="5">
        <f>vlookup(B3283,Filmes_final!$B$2:$U$1001,3,FALSE)</f>
        <v>1992</v>
      </c>
      <c r="G3283" s="5" t="str">
        <f>vlookup(B3283,Filmes_final!$B$2:$U$1001,13,FALSE)</f>
        <v>Spike Lee</v>
      </c>
    </row>
    <row r="3284">
      <c r="A3284" s="5">
        <v>821.0</v>
      </c>
      <c r="B3284" s="5" t="s">
        <v>4775</v>
      </c>
      <c r="C3284" s="5" t="s">
        <v>4778</v>
      </c>
      <c r="D3284" s="5" t="s">
        <v>6636</v>
      </c>
      <c r="E3284" s="8">
        <f>vlookup(B3284,Filmes_final!$B$2:$U$1001,20,FALSE)</f>
        <v>89981458</v>
      </c>
      <c r="F3284" s="5">
        <f>vlookup(B3284,Filmes_final!$B$2:$U$1001,3,FALSE)</f>
        <v>1992</v>
      </c>
      <c r="G3284" s="5" t="str">
        <f>vlookup(B3284,Filmes_final!$B$2:$U$1001,13,FALSE)</f>
        <v>Spike Lee</v>
      </c>
    </row>
    <row r="3285">
      <c r="A3285" s="5">
        <v>821.0</v>
      </c>
      <c r="B3285" s="5" t="s">
        <v>4775</v>
      </c>
      <c r="C3285" s="5" t="s">
        <v>2611</v>
      </c>
      <c r="D3285" s="5" t="s">
        <v>6637</v>
      </c>
      <c r="E3285" s="8">
        <f>vlookup(B3285,Filmes_final!$B$2:$U$1001,20,FALSE)</f>
        <v>89981458</v>
      </c>
      <c r="F3285" s="5">
        <f>vlookup(B3285,Filmes_final!$B$2:$U$1001,3,FALSE)</f>
        <v>1992</v>
      </c>
      <c r="G3285" s="5" t="str">
        <f>vlookup(B3285,Filmes_final!$B$2:$U$1001,13,FALSE)</f>
        <v>Spike Lee</v>
      </c>
    </row>
    <row r="3286">
      <c r="A3286" s="5">
        <v>822.0</v>
      </c>
      <c r="B3286" s="5" t="s">
        <v>4779</v>
      </c>
      <c r="C3286" s="5" t="s">
        <v>1092</v>
      </c>
      <c r="D3286" s="5" t="s">
        <v>6634</v>
      </c>
      <c r="E3286" s="8">
        <f>vlookup(B3286,Filmes_final!$B$2:$U$1001,20,FALSE)</f>
        <v>141045048</v>
      </c>
      <c r="F3286" s="5">
        <f>vlookup(B3286,Filmes_final!$B$2:$U$1001,3,FALSE)</f>
        <v>1992</v>
      </c>
      <c r="G3286" s="5" t="str">
        <f>vlookup(B3286,Filmes_final!$B$2:$U$1001,13,FALSE)</f>
        <v>Michael Mann</v>
      </c>
    </row>
    <row r="3287">
      <c r="A3287" s="5">
        <v>822.0</v>
      </c>
      <c r="B3287" s="5" t="s">
        <v>4779</v>
      </c>
      <c r="C3287" s="5" t="s">
        <v>2547</v>
      </c>
      <c r="D3287" s="5" t="s">
        <v>6635</v>
      </c>
      <c r="E3287" s="8">
        <f>vlookup(B3287,Filmes_final!$B$2:$U$1001,20,FALSE)</f>
        <v>141045048</v>
      </c>
      <c r="F3287" s="5">
        <f>vlookup(B3287,Filmes_final!$B$2:$U$1001,3,FALSE)</f>
        <v>1992</v>
      </c>
      <c r="G3287" s="5" t="str">
        <f>vlookup(B3287,Filmes_final!$B$2:$U$1001,13,FALSE)</f>
        <v>Michael Mann</v>
      </c>
    </row>
    <row r="3288">
      <c r="A3288" s="5">
        <v>822.0</v>
      </c>
      <c r="B3288" s="5" t="s">
        <v>4779</v>
      </c>
      <c r="C3288" s="5" t="s">
        <v>4781</v>
      </c>
      <c r="D3288" s="5" t="s">
        <v>6636</v>
      </c>
      <c r="E3288" s="8">
        <f>vlookup(B3288,Filmes_final!$B$2:$U$1001,20,FALSE)</f>
        <v>141045048</v>
      </c>
      <c r="F3288" s="5">
        <f>vlookup(B3288,Filmes_final!$B$2:$U$1001,3,FALSE)</f>
        <v>1992</v>
      </c>
      <c r="G3288" s="5" t="str">
        <f>vlookup(B3288,Filmes_final!$B$2:$U$1001,13,FALSE)</f>
        <v>Michael Mann</v>
      </c>
    </row>
    <row r="3289">
      <c r="A3289" s="5">
        <v>822.0</v>
      </c>
      <c r="B3289" s="5" t="s">
        <v>4779</v>
      </c>
      <c r="C3289" s="5" t="s">
        <v>4782</v>
      </c>
      <c r="D3289" s="5" t="s">
        <v>6637</v>
      </c>
      <c r="E3289" s="8">
        <f>vlookup(B3289,Filmes_final!$B$2:$U$1001,20,FALSE)</f>
        <v>141045048</v>
      </c>
      <c r="F3289" s="5">
        <f>vlookup(B3289,Filmes_final!$B$2:$U$1001,3,FALSE)</f>
        <v>1992</v>
      </c>
      <c r="G3289" s="5" t="str">
        <f>vlookup(B3289,Filmes_final!$B$2:$U$1001,13,FALSE)</f>
        <v>Michael Mann</v>
      </c>
    </row>
    <row r="3290">
      <c r="A3290" s="5">
        <v>823.0</v>
      </c>
      <c r="B3290" s="5" t="s">
        <v>4783</v>
      </c>
      <c r="C3290" s="5" t="s">
        <v>4785</v>
      </c>
      <c r="D3290" s="5" t="s">
        <v>6634</v>
      </c>
      <c r="E3290" s="8">
        <f>vlookup(B3290,Filmes_final!$B$2:$U$1001,20,FALSE)</f>
        <v>2531067</v>
      </c>
      <c r="F3290" s="5">
        <f>vlookup(B3290,Filmes_final!$B$2:$U$1001,3,FALSE)</f>
        <v>1992</v>
      </c>
      <c r="G3290" s="5" t="str">
        <f>vlookup(B3290,Filmes_final!$B$2:$U$1001,13,FALSE)</f>
        <v>Hayao Miyazaki</v>
      </c>
    </row>
    <row r="3291">
      <c r="A3291" s="5">
        <v>823.0</v>
      </c>
      <c r="B3291" s="5" t="s">
        <v>4783</v>
      </c>
      <c r="C3291" s="5" t="s">
        <v>4786</v>
      </c>
      <c r="D3291" s="5" t="s">
        <v>6635</v>
      </c>
      <c r="E3291" s="8">
        <f>vlookup(B3291,Filmes_final!$B$2:$U$1001,20,FALSE)</f>
        <v>2531067</v>
      </c>
      <c r="F3291" s="5">
        <f>vlookup(B3291,Filmes_final!$B$2:$U$1001,3,FALSE)</f>
        <v>1992</v>
      </c>
      <c r="G3291" s="5" t="str">
        <f>vlookup(B3291,Filmes_final!$B$2:$U$1001,13,FALSE)</f>
        <v>Hayao Miyazaki</v>
      </c>
    </row>
    <row r="3292">
      <c r="A3292" s="5">
        <v>823.0</v>
      </c>
      <c r="B3292" s="5" t="s">
        <v>4783</v>
      </c>
      <c r="C3292" s="5" t="s">
        <v>4787</v>
      </c>
      <c r="D3292" s="5" t="s">
        <v>6636</v>
      </c>
      <c r="E3292" s="8">
        <f>vlookup(B3292,Filmes_final!$B$2:$U$1001,20,FALSE)</f>
        <v>2531067</v>
      </c>
      <c r="F3292" s="5">
        <f>vlookup(B3292,Filmes_final!$B$2:$U$1001,3,FALSE)</f>
        <v>1992</v>
      </c>
      <c r="G3292" s="5" t="str">
        <f>vlookup(B3292,Filmes_final!$B$2:$U$1001,13,FALSE)</f>
        <v>Hayao Miyazaki</v>
      </c>
    </row>
    <row r="3293">
      <c r="A3293" s="5">
        <v>823.0</v>
      </c>
      <c r="B3293" s="5" t="s">
        <v>4783</v>
      </c>
      <c r="C3293" s="5" t="s">
        <v>4788</v>
      </c>
      <c r="D3293" s="5" t="s">
        <v>6637</v>
      </c>
      <c r="E3293" s="8">
        <f>vlookup(B3293,Filmes_final!$B$2:$U$1001,20,FALSE)</f>
        <v>2531067</v>
      </c>
      <c r="F3293" s="5">
        <f>vlookup(B3293,Filmes_final!$B$2:$U$1001,3,FALSE)</f>
        <v>1992</v>
      </c>
      <c r="G3293" s="5" t="str">
        <f>vlookup(B3293,Filmes_final!$B$2:$U$1001,13,FALSE)</f>
        <v>Hayao Miyazaki</v>
      </c>
    </row>
    <row r="3294">
      <c r="A3294" s="5">
        <v>824.0</v>
      </c>
      <c r="B3294" s="5" t="s">
        <v>4789</v>
      </c>
      <c r="C3294" s="5" t="s">
        <v>33</v>
      </c>
      <c r="D3294" s="5" t="s">
        <v>6634</v>
      </c>
      <c r="E3294" s="8">
        <f>vlookup(B3294,Filmes_final!$B$2:$U$1001,20,FALSE)</f>
        <v>20034741</v>
      </c>
      <c r="F3294" s="5">
        <f>vlookup(B3294,Filmes_final!$B$2:$U$1001,3,FALSE)</f>
        <v>1992</v>
      </c>
      <c r="G3294" s="5" t="str">
        <f>vlookup(B3294,Filmes_final!$B$2:$U$1001,13,FALSE)</f>
        <v>James Foley</v>
      </c>
    </row>
    <row r="3295">
      <c r="A3295" s="5">
        <v>824.0</v>
      </c>
      <c r="B3295" s="5" t="s">
        <v>4789</v>
      </c>
      <c r="C3295" s="5" t="s">
        <v>866</v>
      </c>
      <c r="D3295" s="5" t="s">
        <v>6635</v>
      </c>
      <c r="E3295" s="8">
        <f>vlookup(B3295,Filmes_final!$B$2:$U$1001,20,FALSE)</f>
        <v>20034741</v>
      </c>
      <c r="F3295" s="5">
        <f>vlookup(B3295,Filmes_final!$B$2:$U$1001,3,FALSE)</f>
        <v>1992</v>
      </c>
      <c r="G3295" s="5" t="str">
        <f>vlookup(B3295,Filmes_final!$B$2:$U$1001,13,FALSE)</f>
        <v>James Foley</v>
      </c>
    </row>
    <row r="3296">
      <c r="A3296" s="5">
        <v>824.0</v>
      </c>
      <c r="B3296" s="5" t="s">
        <v>4789</v>
      </c>
      <c r="C3296" s="5" t="s">
        <v>4792</v>
      </c>
      <c r="D3296" s="5" t="s">
        <v>6636</v>
      </c>
      <c r="E3296" s="8">
        <f>vlookup(B3296,Filmes_final!$B$2:$U$1001,20,FALSE)</f>
        <v>20034741</v>
      </c>
      <c r="F3296" s="5">
        <f>vlookup(B3296,Filmes_final!$B$2:$U$1001,3,FALSE)</f>
        <v>1992</v>
      </c>
      <c r="G3296" s="5" t="str">
        <f>vlookup(B3296,Filmes_final!$B$2:$U$1001,13,FALSE)</f>
        <v>James Foley</v>
      </c>
    </row>
    <row r="3297">
      <c r="A3297" s="5">
        <v>824.0</v>
      </c>
      <c r="B3297" s="5" t="s">
        <v>4789</v>
      </c>
      <c r="C3297" s="5" t="s">
        <v>4194</v>
      </c>
      <c r="D3297" s="5" t="s">
        <v>6637</v>
      </c>
      <c r="E3297" s="8">
        <f>vlookup(B3297,Filmes_final!$B$2:$U$1001,20,FALSE)</f>
        <v>20034741</v>
      </c>
      <c r="F3297" s="5">
        <f>vlookup(B3297,Filmes_final!$B$2:$U$1001,3,FALSE)</f>
        <v>1992</v>
      </c>
      <c r="G3297" s="5" t="str">
        <f>vlookup(B3297,Filmes_final!$B$2:$U$1001,13,FALSE)</f>
        <v>James Foley</v>
      </c>
    </row>
    <row r="3298">
      <c r="A3298" s="5">
        <v>825.0</v>
      </c>
      <c r="B3298" s="5" t="s">
        <v>4793</v>
      </c>
      <c r="C3298" s="5" t="s">
        <v>2486</v>
      </c>
      <c r="D3298" s="5" t="s">
        <v>6634</v>
      </c>
      <c r="E3298" s="8">
        <f>vlookup(B3298,Filmes_final!$B$2:$U$1001,20,FALSE)</f>
        <v>264023657</v>
      </c>
      <c r="F3298" s="5">
        <f>vlookup(B3298,Filmes_final!$B$2:$U$1001,3,FALSE)</f>
        <v>1992</v>
      </c>
      <c r="G3298" s="5" t="str">
        <f>vlookup(B3298,Filmes_final!$B$2:$U$1001,13,FALSE)</f>
        <v>Rob Reiner</v>
      </c>
    </row>
    <row r="3299">
      <c r="A3299" s="5">
        <v>825.0</v>
      </c>
      <c r="B3299" s="5" t="s">
        <v>4793</v>
      </c>
      <c r="C3299" s="5" t="s">
        <v>156</v>
      </c>
      <c r="D3299" s="5" t="s">
        <v>6635</v>
      </c>
      <c r="E3299" s="8">
        <f>vlookup(B3299,Filmes_final!$B$2:$U$1001,20,FALSE)</f>
        <v>264023657</v>
      </c>
      <c r="F3299" s="5">
        <f>vlookup(B3299,Filmes_final!$B$2:$U$1001,3,FALSE)</f>
        <v>1992</v>
      </c>
      <c r="G3299" s="5" t="str">
        <f>vlookup(B3299,Filmes_final!$B$2:$U$1001,13,FALSE)</f>
        <v>Rob Reiner</v>
      </c>
    </row>
    <row r="3300">
      <c r="A3300" s="5">
        <v>825.0</v>
      </c>
      <c r="B3300" s="5" t="s">
        <v>4793</v>
      </c>
      <c r="C3300" s="5" t="s">
        <v>4795</v>
      </c>
      <c r="D3300" s="5" t="s">
        <v>6636</v>
      </c>
      <c r="E3300" s="8">
        <f>vlookup(B3300,Filmes_final!$B$2:$U$1001,20,FALSE)</f>
        <v>264023657</v>
      </c>
      <c r="F3300" s="5">
        <f>vlookup(B3300,Filmes_final!$B$2:$U$1001,3,FALSE)</f>
        <v>1992</v>
      </c>
      <c r="G3300" s="5" t="str">
        <f>vlookup(B3300,Filmes_final!$B$2:$U$1001,13,FALSE)</f>
        <v>Rob Reiner</v>
      </c>
    </row>
    <row r="3301">
      <c r="A3301" s="5">
        <v>825.0</v>
      </c>
      <c r="B3301" s="5" t="s">
        <v>4793</v>
      </c>
      <c r="C3301" s="5" t="s">
        <v>3171</v>
      </c>
      <c r="D3301" s="5" t="s">
        <v>6637</v>
      </c>
      <c r="E3301" s="8">
        <f>vlookup(B3301,Filmes_final!$B$2:$U$1001,20,FALSE)</f>
        <v>264023657</v>
      </c>
      <c r="F3301" s="5">
        <f>vlookup(B3301,Filmes_final!$B$2:$U$1001,3,FALSE)</f>
        <v>1992</v>
      </c>
      <c r="G3301" s="5" t="str">
        <f>vlookup(B3301,Filmes_final!$B$2:$U$1001,13,FALSE)</f>
        <v>Rob Reiner</v>
      </c>
    </row>
    <row r="3302">
      <c r="A3302" s="5">
        <v>826.0</v>
      </c>
      <c r="B3302" s="5" t="s">
        <v>4796</v>
      </c>
      <c r="C3302" s="5" t="s">
        <v>3951</v>
      </c>
      <c r="D3302" s="5" t="s">
        <v>6634</v>
      </c>
      <c r="E3302" s="8">
        <f>vlookup(B3302,Filmes_final!$B$2:$U$1001,20,FALSE)</f>
        <v>157961242</v>
      </c>
      <c r="F3302" s="5">
        <f>vlookup(B3302,Filmes_final!$B$2:$U$1001,3,FALSE)</f>
        <v>1991</v>
      </c>
      <c r="G3302" s="5" t="str">
        <f>vlookup(B3302,Filmes_final!$B$2:$U$1001,13,FALSE)</f>
        <v>Jon Avnet</v>
      </c>
    </row>
    <row r="3303">
      <c r="A3303" s="5">
        <v>826.0</v>
      </c>
      <c r="B3303" s="5" t="s">
        <v>4796</v>
      </c>
      <c r="C3303" s="5" t="s">
        <v>4799</v>
      </c>
      <c r="D3303" s="5" t="s">
        <v>6635</v>
      </c>
      <c r="E3303" s="8">
        <f>vlookup(B3303,Filmes_final!$B$2:$U$1001,20,FALSE)</f>
        <v>157961242</v>
      </c>
      <c r="F3303" s="5">
        <f>vlookup(B3303,Filmes_final!$B$2:$U$1001,3,FALSE)</f>
        <v>1991</v>
      </c>
      <c r="G3303" s="5" t="str">
        <f>vlookup(B3303,Filmes_final!$B$2:$U$1001,13,FALSE)</f>
        <v>Jon Avnet</v>
      </c>
    </row>
    <row r="3304">
      <c r="A3304" s="5">
        <v>826.0</v>
      </c>
      <c r="B3304" s="5" t="s">
        <v>4796</v>
      </c>
      <c r="C3304" s="5" t="s">
        <v>4800</v>
      </c>
      <c r="D3304" s="5" t="s">
        <v>6636</v>
      </c>
      <c r="E3304" s="8">
        <f>vlookup(B3304,Filmes_final!$B$2:$U$1001,20,FALSE)</f>
        <v>157961242</v>
      </c>
      <c r="F3304" s="5">
        <f>vlookup(B3304,Filmes_final!$B$2:$U$1001,3,FALSE)</f>
        <v>1991</v>
      </c>
      <c r="G3304" s="5" t="str">
        <f>vlookup(B3304,Filmes_final!$B$2:$U$1001,13,FALSE)</f>
        <v>Jon Avnet</v>
      </c>
    </row>
    <row r="3305">
      <c r="A3305" s="5">
        <v>826.0</v>
      </c>
      <c r="B3305" s="5" t="s">
        <v>4796</v>
      </c>
      <c r="C3305" s="5" t="s">
        <v>4801</v>
      </c>
      <c r="D3305" s="5" t="s">
        <v>6637</v>
      </c>
      <c r="E3305" s="8">
        <f>vlookup(B3305,Filmes_final!$B$2:$U$1001,20,FALSE)</f>
        <v>157961242</v>
      </c>
      <c r="F3305" s="5">
        <f>vlookup(B3305,Filmes_final!$B$2:$U$1001,3,FALSE)</f>
        <v>1991</v>
      </c>
      <c r="G3305" s="5" t="str">
        <f>vlookup(B3305,Filmes_final!$B$2:$U$1001,13,FALSE)</f>
        <v>Jon Avnet</v>
      </c>
    </row>
    <row r="3306">
      <c r="A3306" s="5">
        <v>827.0</v>
      </c>
      <c r="B3306" s="5" t="s">
        <v>4802</v>
      </c>
      <c r="C3306" s="5" t="s">
        <v>1612</v>
      </c>
      <c r="D3306" s="5" t="s">
        <v>6634</v>
      </c>
      <c r="E3306" s="8">
        <f>vlookup(B3306,Filmes_final!$B$2:$U$1001,20,FALSE)</f>
        <v>11794486</v>
      </c>
      <c r="F3306" s="5">
        <f>vlookup(B3306,Filmes_final!$B$2:$U$1001,3,FALSE)</f>
        <v>1991</v>
      </c>
      <c r="G3306" s="5" t="str">
        <f>vlookup(B3306,Filmes_final!$B$2:$U$1001,13,FALSE)</f>
        <v>Joel Coen</v>
      </c>
    </row>
    <row r="3307">
      <c r="A3307" s="5">
        <v>827.0</v>
      </c>
      <c r="B3307" s="5" t="s">
        <v>4802</v>
      </c>
      <c r="C3307" s="5" t="s">
        <v>4667</v>
      </c>
      <c r="D3307" s="5" t="s">
        <v>6635</v>
      </c>
      <c r="E3307" s="8">
        <f>vlookup(B3307,Filmes_final!$B$2:$U$1001,20,FALSE)</f>
        <v>11794486</v>
      </c>
      <c r="F3307" s="5">
        <f>vlookup(B3307,Filmes_final!$B$2:$U$1001,3,FALSE)</f>
        <v>1991</v>
      </c>
      <c r="G3307" s="5" t="str">
        <f>vlookup(B3307,Filmes_final!$B$2:$U$1001,13,FALSE)</f>
        <v>Joel Coen</v>
      </c>
    </row>
    <row r="3308">
      <c r="A3308" s="5">
        <v>827.0</v>
      </c>
      <c r="B3308" s="5" t="s">
        <v>4802</v>
      </c>
      <c r="C3308" s="5" t="s">
        <v>1685</v>
      </c>
      <c r="D3308" s="5" t="s">
        <v>6636</v>
      </c>
      <c r="E3308" s="8">
        <f>vlookup(B3308,Filmes_final!$B$2:$U$1001,20,FALSE)</f>
        <v>11794486</v>
      </c>
      <c r="F3308" s="5">
        <f>vlookup(B3308,Filmes_final!$B$2:$U$1001,3,FALSE)</f>
        <v>1991</v>
      </c>
      <c r="G3308" s="5" t="str">
        <f>vlookup(B3308,Filmes_final!$B$2:$U$1001,13,FALSE)</f>
        <v>Joel Coen</v>
      </c>
    </row>
    <row r="3309">
      <c r="A3309" s="5">
        <v>827.0</v>
      </c>
      <c r="B3309" s="5" t="s">
        <v>4802</v>
      </c>
      <c r="C3309" s="5" t="s">
        <v>4804</v>
      </c>
      <c r="D3309" s="5" t="s">
        <v>6637</v>
      </c>
      <c r="E3309" s="8">
        <f>vlookup(B3309,Filmes_final!$B$2:$U$1001,20,FALSE)</f>
        <v>11794486</v>
      </c>
      <c r="F3309" s="5">
        <f>vlookup(B3309,Filmes_final!$B$2:$U$1001,3,FALSE)</f>
        <v>1991</v>
      </c>
      <c r="G3309" s="5" t="str">
        <f>vlookup(B3309,Filmes_final!$B$2:$U$1001,13,FALSE)</f>
        <v>Joel Coen</v>
      </c>
    </row>
    <row r="3310">
      <c r="A3310" s="5">
        <v>828.0</v>
      </c>
      <c r="B3310" s="5" t="s">
        <v>4805</v>
      </c>
      <c r="C3310" s="5" t="s">
        <v>1612</v>
      </c>
      <c r="D3310" s="5" t="s">
        <v>6634</v>
      </c>
      <c r="E3310" s="8">
        <f>vlookup(B3310,Filmes_final!$B$2:$U$1001,20,FALSE)</f>
        <v>10287270</v>
      </c>
      <c r="F3310" s="5">
        <f>vlookup(B3310,Filmes_final!$B$2:$U$1001,3,FALSE)</f>
        <v>1990</v>
      </c>
      <c r="G3310" s="5" t="str">
        <f>vlookup(B3310,Filmes_final!$B$2:$U$1001,13,FALSE)</f>
        <v>Joel Coen</v>
      </c>
    </row>
    <row r="3311">
      <c r="A3311" s="5">
        <v>828.0</v>
      </c>
      <c r="B3311" s="5" t="s">
        <v>4805</v>
      </c>
      <c r="C3311" s="5" t="s">
        <v>339</v>
      </c>
      <c r="D3311" s="5" t="s">
        <v>6635</v>
      </c>
      <c r="E3311" s="8">
        <f>vlookup(B3311,Filmes_final!$B$2:$U$1001,20,FALSE)</f>
        <v>10287270</v>
      </c>
      <c r="F3311" s="5">
        <f>vlookup(B3311,Filmes_final!$B$2:$U$1001,3,FALSE)</f>
        <v>1990</v>
      </c>
      <c r="G3311" s="5" t="str">
        <f>vlookup(B3311,Filmes_final!$B$2:$U$1001,13,FALSE)</f>
        <v>Joel Coen</v>
      </c>
    </row>
    <row r="3312">
      <c r="A3312" s="5">
        <v>828.0</v>
      </c>
      <c r="B3312" s="5" t="s">
        <v>4805</v>
      </c>
      <c r="C3312" s="5" t="s">
        <v>2455</v>
      </c>
      <c r="D3312" s="5" t="s">
        <v>6636</v>
      </c>
      <c r="E3312" s="8">
        <f>vlookup(B3312,Filmes_final!$B$2:$U$1001,20,FALSE)</f>
        <v>10287270</v>
      </c>
      <c r="F3312" s="5">
        <f>vlookup(B3312,Filmes_final!$B$2:$U$1001,3,FALSE)</f>
        <v>1990</v>
      </c>
      <c r="G3312" s="5" t="str">
        <f>vlookup(B3312,Filmes_final!$B$2:$U$1001,13,FALSE)</f>
        <v>Joel Coen</v>
      </c>
    </row>
    <row r="3313">
      <c r="A3313" s="5">
        <v>828.0</v>
      </c>
      <c r="B3313" s="5" t="s">
        <v>4805</v>
      </c>
      <c r="C3313" s="5" t="s">
        <v>4667</v>
      </c>
      <c r="D3313" s="5" t="s">
        <v>6637</v>
      </c>
      <c r="E3313" s="8">
        <f>vlookup(B3313,Filmes_final!$B$2:$U$1001,20,FALSE)</f>
        <v>10287270</v>
      </c>
      <c r="F3313" s="5">
        <f>vlookup(B3313,Filmes_final!$B$2:$U$1001,3,FALSE)</f>
        <v>1990</v>
      </c>
      <c r="G3313" s="5" t="str">
        <f>vlookup(B3313,Filmes_final!$B$2:$U$1001,13,FALSE)</f>
        <v>Joel Coen</v>
      </c>
    </row>
    <row r="3314">
      <c r="A3314" s="5">
        <v>829.0</v>
      </c>
      <c r="B3314" s="5" t="s">
        <v>4807</v>
      </c>
      <c r="C3314" s="5" t="s">
        <v>4809</v>
      </c>
      <c r="D3314" s="5" t="s">
        <v>6634</v>
      </c>
      <c r="E3314" s="8">
        <f>vlookup(B3314,Filmes_final!$B$2:$U$1001,20,FALSE)</f>
        <v>348834696</v>
      </c>
      <c r="F3314" s="5">
        <f>vlookup(B3314,Filmes_final!$B$2:$U$1001,3,FALSE)</f>
        <v>1988</v>
      </c>
      <c r="G3314" s="5" t="str">
        <f>vlookup(B3314,Filmes_final!$B$2:$U$1001,13,FALSE)</f>
        <v>Robert Zemeckis</v>
      </c>
    </row>
    <row r="3315">
      <c r="A3315" s="5">
        <v>829.0</v>
      </c>
      <c r="B3315" s="5" t="s">
        <v>4807</v>
      </c>
      <c r="C3315" s="5" t="s">
        <v>386</v>
      </c>
      <c r="D3315" s="5" t="s">
        <v>6635</v>
      </c>
      <c r="E3315" s="8">
        <f>vlookup(B3315,Filmes_final!$B$2:$U$1001,20,FALSE)</f>
        <v>348834696</v>
      </c>
      <c r="F3315" s="5">
        <f>vlookup(B3315,Filmes_final!$B$2:$U$1001,3,FALSE)</f>
        <v>1988</v>
      </c>
      <c r="G3315" s="5" t="str">
        <f>vlookup(B3315,Filmes_final!$B$2:$U$1001,13,FALSE)</f>
        <v>Robert Zemeckis</v>
      </c>
    </row>
    <row r="3316">
      <c r="A3316" s="5">
        <v>829.0</v>
      </c>
      <c r="B3316" s="5" t="s">
        <v>4807</v>
      </c>
      <c r="C3316" s="5" t="s">
        <v>4810</v>
      </c>
      <c r="D3316" s="5" t="s">
        <v>6636</v>
      </c>
      <c r="E3316" s="8">
        <f>vlookup(B3316,Filmes_final!$B$2:$U$1001,20,FALSE)</f>
        <v>348834696</v>
      </c>
      <c r="F3316" s="5">
        <f>vlookup(B3316,Filmes_final!$B$2:$U$1001,3,FALSE)</f>
        <v>1988</v>
      </c>
      <c r="G3316" s="5" t="str">
        <f>vlookup(B3316,Filmes_final!$B$2:$U$1001,13,FALSE)</f>
        <v>Robert Zemeckis</v>
      </c>
    </row>
    <row r="3317">
      <c r="A3317" s="5">
        <v>829.0</v>
      </c>
      <c r="B3317" s="5" t="s">
        <v>4807</v>
      </c>
      <c r="C3317" s="5" t="s">
        <v>4811</v>
      </c>
      <c r="D3317" s="5" t="s">
        <v>6637</v>
      </c>
      <c r="E3317" s="8">
        <f>vlookup(B3317,Filmes_final!$B$2:$U$1001,20,FALSE)</f>
        <v>348834696</v>
      </c>
      <c r="F3317" s="5">
        <f>vlookup(B3317,Filmes_final!$B$2:$U$1001,3,FALSE)</f>
        <v>1988</v>
      </c>
      <c r="G3317" s="5" t="str">
        <f>vlookup(B3317,Filmes_final!$B$2:$U$1001,13,FALSE)</f>
        <v>Robert Zemeckis</v>
      </c>
    </row>
    <row r="3318">
      <c r="A3318" s="5">
        <v>830.0</v>
      </c>
      <c r="B3318" s="5" t="s">
        <v>4812</v>
      </c>
      <c r="C3318" s="5" t="s">
        <v>4815</v>
      </c>
      <c r="D3318" s="5" t="s">
        <v>6634</v>
      </c>
      <c r="E3318" s="8">
        <f>vlookup(B3318,Filmes_final!$B$2:$U$1001,20,FALSE)</f>
        <v>0</v>
      </c>
      <c r="F3318" s="5">
        <f>vlookup(B3318,Filmes_final!$B$2:$U$1001,3,FALSE)</f>
        <v>1988</v>
      </c>
      <c r="G3318" s="5" t="str">
        <f>vlookup(B3318,Filmes_final!$B$2:$U$1001,13,FALSE)</f>
        <v>George Sluizer</v>
      </c>
    </row>
    <row r="3319">
      <c r="A3319" s="5">
        <v>830.0</v>
      </c>
      <c r="B3319" s="5" t="s">
        <v>4812</v>
      </c>
      <c r="C3319" s="5" t="s">
        <v>4816</v>
      </c>
      <c r="D3319" s="5" t="s">
        <v>6635</v>
      </c>
      <c r="E3319" s="8">
        <f>vlookup(B3319,Filmes_final!$B$2:$U$1001,20,FALSE)</f>
        <v>0</v>
      </c>
      <c r="F3319" s="5">
        <f>vlookup(B3319,Filmes_final!$B$2:$U$1001,3,FALSE)</f>
        <v>1988</v>
      </c>
      <c r="G3319" s="5" t="str">
        <f>vlookup(B3319,Filmes_final!$B$2:$U$1001,13,FALSE)</f>
        <v>George Sluizer</v>
      </c>
    </row>
    <row r="3320">
      <c r="A3320" s="5">
        <v>830.0</v>
      </c>
      <c r="B3320" s="5" t="s">
        <v>4812</v>
      </c>
      <c r="C3320" s="5" t="s">
        <v>4817</v>
      </c>
      <c r="D3320" s="5" t="s">
        <v>6636</v>
      </c>
      <c r="E3320" s="8">
        <f>vlookup(B3320,Filmes_final!$B$2:$U$1001,20,FALSE)</f>
        <v>0</v>
      </c>
      <c r="F3320" s="5">
        <f>vlookup(B3320,Filmes_final!$B$2:$U$1001,3,FALSE)</f>
        <v>1988</v>
      </c>
      <c r="G3320" s="5" t="str">
        <f>vlookup(B3320,Filmes_final!$B$2:$U$1001,13,FALSE)</f>
        <v>George Sluizer</v>
      </c>
    </row>
    <row r="3321">
      <c r="A3321" s="5">
        <v>830.0</v>
      </c>
      <c r="B3321" s="5" t="s">
        <v>4812</v>
      </c>
      <c r="C3321" s="5" t="s">
        <v>4818</v>
      </c>
      <c r="D3321" s="5" t="s">
        <v>6637</v>
      </c>
      <c r="E3321" s="8">
        <f>vlookup(B3321,Filmes_final!$B$2:$U$1001,20,FALSE)</f>
        <v>0</v>
      </c>
      <c r="F3321" s="5">
        <f>vlookup(B3321,Filmes_final!$B$2:$U$1001,3,FALSE)</f>
        <v>1988</v>
      </c>
      <c r="G3321" s="5" t="str">
        <f>vlookup(B3321,Filmes_final!$B$2:$U$1001,13,FALSE)</f>
        <v>George Sluizer</v>
      </c>
    </row>
    <row r="3322">
      <c r="A3322" s="5">
        <v>831.0</v>
      </c>
      <c r="B3322" s="5" t="s">
        <v>4819</v>
      </c>
      <c r="C3322" s="5" t="s">
        <v>4822</v>
      </c>
      <c r="D3322" s="5" t="s">
        <v>6634</v>
      </c>
      <c r="E3322" s="8">
        <f>vlookup(B3322,Filmes_final!$B$2:$U$1001,20,FALSE)</f>
        <v>3583962</v>
      </c>
      <c r="F3322" s="5">
        <f>vlookup(B3322,Filmes_final!$B$2:$U$1001,3,FALSE)</f>
        <v>1987</v>
      </c>
      <c r="G3322" s="5" t="str">
        <f>vlookup(B3322,Filmes_final!$B$2:$U$1001,13,FALSE)</f>
        <v>Bruce Robinson</v>
      </c>
    </row>
    <row r="3323">
      <c r="A3323" s="5">
        <v>831.0</v>
      </c>
      <c r="B3323" s="5" t="s">
        <v>4819</v>
      </c>
      <c r="C3323" s="5" t="s">
        <v>4823</v>
      </c>
      <c r="D3323" s="5" t="s">
        <v>6635</v>
      </c>
      <c r="E3323" s="8">
        <f>vlookup(B3323,Filmes_final!$B$2:$U$1001,20,FALSE)</f>
        <v>3583962</v>
      </c>
      <c r="F3323" s="5">
        <f>vlookup(B3323,Filmes_final!$B$2:$U$1001,3,FALSE)</f>
        <v>1987</v>
      </c>
      <c r="G3323" s="5" t="str">
        <f>vlookup(B3323,Filmes_final!$B$2:$U$1001,13,FALSE)</f>
        <v>Bruce Robinson</v>
      </c>
    </row>
    <row r="3324">
      <c r="A3324" s="5">
        <v>831.0</v>
      </c>
      <c r="B3324" s="5" t="s">
        <v>4819</v>
      </c>
      <c r="C3324" s="5" t="s">
        <v>3176</v>
      </c>
      <c r="D3324" s="5" t="s">
        <v>6636</v>
      </c>
      <c r="E3324" s="8">
        <f>vlookup(B3324,Filmes_final!$B$2:$U$1001,20,FALSE)</f>
        <v>3583962</v>
      </c>
      <c r="F3324" s="5">
        <f>vlookup(B3324,Filmes_final!$B$2:$U$1001,3,FALSE)</f>
        <v>1987</v>
      </c>
      <c r="G3324" s="5" t="str">
        <f>vlookup(B3324,Filmes_final!$B$2:$U$1001,13,FALSE)</f>
        <v>Bruce Robinson</v>
      </c>
    </row>
    <row r="3325">
      <c r="A3325" s="5">
        <v>831.0</v>
      </c>
      <c r="B3325" s="5" t="s">
        <v>4819</v>
      </c>
      <c r="C3325" s="5" t="s">
        <v>4824</v>
      </c>
      <c r="D3325" s="5" t="s">
        <v>6637</v>
      </c>
      <c r="E3325" s="8">
        <f>vlookup(B3325,Filmes_final!$B$2:$U$1001,20,FALSE)</f>
        <v>3583962</v>
      </c>
      <c r="F3325" s="5">
        <f>vlookup(B3325,Filmes_final!$B$2:$U$1001,3,FALSE)</f>
        <v>1987</v>
      </c>
      <c r="G3325" s="5" t="str">
        <f>vlookup(B3325,Filmes_final!$B$2:$U$1001,13,FALSE)</f>
        <v>Bruce Robinson</v>
      </c>
    </row>
    <row r="3326">
      <c r="A3326" s="5">
        <v>832.0</v>
      </c>
      <c r="B3326" s="5" t="s">
        <v>4825</v>
      </c>
      <c r="C3326" s="5" t="s">
        <v>4827</v>
      </c>
      <c r="D3326" s="5" t="s">
        <v>6634</v>
      </c>
      <c r="E3326" s="8">
        <f>vlookup(B3326,Filmes_final!$B$2:$U$1001,20,FALSE)</f>
        <v>102038271</v>
      </c>
      <c r="F3326" s="5">
        <f>vlookup(B3326,Filmes_final!$B$2:$U$1001,3,FALSE)</f>
        <v>1987</v>
      </c>
      <c r="G3326" s="5" t="str">
        <f>vlookup(B3326,Filmes_final!$B$2:$U$1001,13,FALSE)</f>
        <v>Bernardo Bertolucci</v>
      </c>
    </row>
    <row r="3327">
      <c r="A3327" s="5">
        <v>832.0</v>
      </c>
      <c r="B3327" s="5" t="s">
        <v>4825</v>
      </c>
      <c r="C3327" s="5" t="s">
        <v>4828</v>
      </c>
      <c r="D3327" s="5" t="s">
        <v>6635</v>
      </c>
      <c r="E3327" s="8">
        <f>vlookup(B3327,Filmes_final!$B$2:$U$1001,20,FALSE)</f>
        <v>102038271</v>
      </c>
      <c r="F3327" s="5">
        <f>vlookup(B3327,Filmes_final!$B$2:$U$1001,3,FALSE)</f>
        <v>1987</v>
      </c>
      <c r="G3327" s="5" t="str">
        <f>vlookup(B3327,Filmes_final!$B$2:$U$1001,13,FALSE)</f>
        <v>Bernardo Bertolucci</v>
      </c>
    </row>
    <row r="3328">
      <c r="A3328" s="5">
        <v>832.0</v>
      </c>
      <c r="B3328" s="5" t="s">
        <v>4825</v>
      </c>
      <c r="C3328" s="5" t="s">
        <v>861</v>
      </c>
      <c r="D3328" s="5" t="s">
        <v>6636</v>
      </c>
      <c r="E3328" s="8">
        <f>vlookup(B3328,Filmes_final!$B$2:$U$1001,20,FALSE)</f>
        <v>102038271</v>
      </c>
      <c r="F3328" s="5">
        <f>vlookup(B3328,Filmes_final!$B$2:$U$1001,3,FALSE)</f>
        <v>1987</v>
      </c>
      <c r="G3328" s="5" t="str">
        <f>vlookup(B3328,Filmes_final!$B$2:$U$1001,13,FALSE)</f>
        <v>Bernardo Bertolucci</v>
      </c>
    </row>
    <row r="3329">
      <c r="A3329" s="5">
        <v>832.0</v>
      </c>
      <c r="B3329" s="5" t="s">
        <v>4825</v>
      </c>
      <c r="C3329" s="5" t="s">
        <v>4829</v>
      </c>
      <c r="D3329" s="5" t="s">
        <v>6637</v>
      </c>
      <c r="E3329" s="8">
        <f>vlookup(B3329,Filmes_final!$B$2:$U$1001,20,FALSE)</f>
        <v>102038271</v>
      </c>
      <c r="F3329" s="5">
        <f>vlookup(B3329,Filmes_final!$B$2:$U$1001,3,FALSE)</f>
        <v>1987</v>
      </c>
      <c r="G3329" s="5" t="str">
        <f>vlookup(B3329,Filmes_final!$B$2:$U$1001,13,FALSE)</f>
        <v>Bernardo Bertolucci</v>
      </c>
    </row>
    <row r="3330">
      <c r="A3330" s="5">
        <v>833.0</v>
      </c>
      <c r="B3330" s="5" t="s">
        <v>4830</v>
      </c>
      <c r="C3330" s="5" t="s">
        <v>42</v>
      </c>
      <c r="D3330" s="5" t="s">
        <v>6634</v>
      </c>
      <c r="E3330" s="8">
        <f>vlookup(B3330,Filmes_final!$B$2:$U$1001,20,FALSE)</f>
        <v>51591175</v>
      </c>
      <c r="F3330" s="5">
        <f>vlookup(B3330,Filmes_final!$B$2:$U$1001,3,FALSE)</f>
        <v>1987</v>
      </c>
      <c r="G3330" s="5" t="str">
        <f>vlookup(B3330,Filmes_final!$B$2:$U$1001,13,FALSE)</f>
        <v>Steven Spielberg</v>
      </c>
    </row>
    <row r="3331">
      <c r="A3331" s="5">
        <v>833.0</v>
      </c>
      <c r="B3331" s="5" t="s">
        <v>4830</v>
      </c>
      <c r="C3331" s="5" t="s">
        <v>4109</v>
      </c>
      <c r="D3331" s="5" t="s">
        <v>6635</v>
      </c>
      <c r="E3331" s="8">
        <f>vlookup(B3331,Filmes_final!$B$2:$U$1001,20,FALSE)</f>
        <v>51591175</v>
      </c>
      <c r="F3331" s="5">
        <f>vlookup(B3331,Filmes_final!$B$2:$U$1001,3,FALSE)</f>
        <v>1987</v>
      </c>
      <c r="G3331" s="5" t="str">
        <f>vlookup(B3331,Filmes_final!$B$2:$U$1001,13,FALSE)</f>
        <v>Steven Spielberg</v>
      </c>
    </row>
    <row r="3332">
      <c r="A3332" s="5">
        <v>833.0</v>
      </c>
      <c r="B3332" s="5" t="s">
        <v>4830</v>
      </c>
      <c r="C3332" s="5" t="s">
        <v>4832</v>
      </c>
      <c r="D3332" s="5" t="s">
        <v>6636</v>
      </c>
      <c r="E3332" s="8">
        <f>vlookup(B3332,Filmes_final!$B$2:$U$1001,20,FALSE)</f>
        <v>51591175</v>
      </c>
      <c r="F3332" s="5">
        <f>vlookup(B3332,Filmes_final!$B$2:$U$1001,3,FALSE)</f>
        <v>1987</v>
      </c>
      <c r="G3332" s="5" t="str">
        <f>vlookup(B3332,Filmes_final!$B$2:$U$1001,13,FALSE)</f>
        <v>Steven Spielberg</v>
      </c>
    </row>
    <row r="3333">
      <c r="A3333" s="5">
        <v>833.0</v>
      </c>
      <c r="B3333" s="5" t="s">
        <v>4830</v>
      </c>
      <c r="C3333" s="5" t="s">
        <v>4833</v>
      </c>
      <c r="D3333" s="5" t="s">
        <v>6637</v>
      </c>
      <c r="E3333" s="8">
        <f>vlookup(B3333,Filmes_final!$B$2:$U$1001,20,FALSE)</f>
        <v>51591175</v>
      </c>
      <c r="F3333" s="5">
        <f>vlookup(B3333,Filmes_final!$B$2:$U$1001,3,FALSE)</f>
        <v>1987</v>
      </c>
      <c r="G3333" s="5" t="str">
        <f>vlookup(B3333,Filmes_final!$B$2:$U$1001,13,FALSE)</f>
        <v>Steven Spielberg</v>
      </c>
    </row>
    <row r="3334">
      <c r="A3334" s="5">
        <v>834.0</v>
      </c>
      <c r="B3334" s="5" t="s">
        <v>4834</v>
      </c>
      <c r="C3334" s="5" t="s">
        <v>1195</v>
      </c>
      <c r="D3334" s="5" t="s">
        <v>6634</v>
      </c>
      <c r="E3334" s="8">
        <f>vlookup(B3334,Filmes_final!$B$2:$U$1001,20,FALSE)</f>
        <v>16837520</v>
      </c>
      <c r="F3334" s="5">
        <f>vlookup(B3334,Filmes_final!$B$2:$U$1001,3,FALSE)</f>
        <v>1986</v>
      </c>
      <c r="G3334" s="5" t="str">
        <f>vlookup(B3334,Filmes_final!$B$2:$U$1001,13,FALSE)</f>
        <v>Jean-Jacques Annaud</v>
      </c>
    </row>
    <row r="3335">
      <c r="A3335" s="5">
        <v>834.0</v>
      </c>
      <c r="B3335" s="5" t="s">
        <v>4834</v>
      </c>
      <c r="C3335" s="5" t="s">
        <v>3249</v>
      </c>
      <c r="D3335" s="5" t="s">
        <v>6635</v>
      </c>
      <c r="E3335" s="8">
        <f>vlookup(B3335,Filmes_final!$B$2:$U$1001,20,FALSE)</f>
        <v>16837520</v>
      </c>
      <c r="F3335" s="5">
        <f>vlookup(B3335,Filmes_final!$B$2:$U$1001,3,FALSE)</f>
        <v>1986</v>
      </c>
      <c r="G3335" s="5" t="str">
        <f>vlookup(B3335,Filmes_final!$B$2:$U$1001,13,FALSE)</f>
        <v>Jean-Jacques Annaud</v>
      </c>
    </row>
    <row r="3336">
      <c r="A3336" s="5">
        <v>834.0</v>
      </c>
      <c r="B3336" s="5" t="s">
        <v>4834</v>
      </c>
      <c r="C3336" s="5" t="s">
        <v>4837</v>
      </c>
      <c r="D3336" s="5" t="s">
        <v>6636</v>
      </c>
      <c r="E3336" s="8">
        <f>vlookup(B3336,Filmes_final!$B$2:$U$1001,20,FALSE)</f>
        <v>16837520</v>
      </c>
      <c r="F3336" s="5">
        <f>vlookup(B3336,Filmes_final!$B$2:$U$1001,3,FALSE)</f>
        <v>1986</v>
      </c>
      <c r="G3336" s="5" t="str">
        <f>vlookup(B3336,Filmes_final!$B$2:$U$1001,13,FALSE)</f>
        <v>Jean-Jacques Annaud</v>
      </c>
    </row>
    <row r="3337">
      <c r="A3337" s="5">
        <v>834.0</v>
      </c>
      <c r="B3337" s="5" t="s">
        <v>4834</v>
      </c>
      <c r="C3337" s="5" t="s">
        <v>4838</v>
      </c>
      <c r="D3337" s="5" t="s">
        <v>6637</v>
      </c>
      <c r="E3337" s="8">
        <f>vlookup(B3337,Filmes_final!$B$2:$U$1001,20,FALSE)</f>
        <v>16837520</v>
      </c>
      <c r="F3337" s="5">
        <f>vlookup(B3337,Filmes_final!$B$2:$U$1001,3,FALSE)</f>
        <v>1986</v>
      </c>
      <c r="G3337" s="5" t="str">
        <f>vlookup(B3337,Filmes_final!$B$2:$U$1001,13,FALSE)</f>
        <v>Jean-Jacques Annaud</v>
      </c>
    </row>
    <row r="3338">
      <c r="A3338" s="5">
        <v>835.0</v>
      </c>
      <c r="B3338" s="5" t="s">
        <v>4839</v>
      </c>
      <c r="C3338" s="5" t="s">
        <v>4841</v>
      </c>
      <c r="D3338" s="5" t="s">
        <v>6634</v>
      </c>
      <c r="E3338" s="8">
        <f>vlookup(B3338,Filmes_final!$B$2:$U$1001,20,FALSE)</f>
        <v>20127453</v>
      </c>
      <c r="F3338" s="5">
        <f>vlookup(B3338,Filmes_final!$B$2:$U$1001,3,FALSE)</f>
        <v>1986</v>
      </c>
      <c r="G3338" s="5" t="str">
        <f>vlookup(B3338,Filmes_final!$B$2:$U$1001,13,FALSE)</f>
        <v>David Lynch</v>
      </c>
    </row>
    <row r="3339">
      <c r="A3339" s="5">
        <v>835.0</v>
      </c>
      <c r="B3339" s="5" t="s">
        <v>4839</v>
      </c>
      <c r="C3339" s="5" t="s">
        <v>4842</v>
      </c>
      <c r="D3339" s="5" t="s">
        <v>6635</v>
      </c>
      <c r="E3339" s="8">
        <f>vlookup(B3339,Filmes_final!$B$2:$U$1001,20,FALSE)</f>
        <v>20127453</v>
      </c>
      <c r="F3339" s="5">
        <f>vlookup(B3339,Filmes_final!$B$2:$U$1001,3,FALSE)</f>
        <v>1986</v>
      </c>
      <c r="G3339" s="5" t="str">
        <f>vlookup(B3339,Filmes_final!$B$2:$U$1001,13,FALSE)</f>
        <v>David Lynch</v>
      </c>
    </row>
    <row r="3340">
      <c r="A3340" s="5">
        <v>835.0</v>
      </c>
      <c r="B3340" s="5" t="s">
        <v>4839</v>
      </c>
      <c r="C3340" s="5" t="s">
        <v>3250</v>
      </c>
      <c r="D3340" s="5" t="s">
        <v>6636</v>
      </c>
      <c r="E3340" s="8">
        <f>vlookup(B3340,Filmes_final!$B$2:$U$1001,20,FALSE)</f>
        <v>20127453</v>
      </c>
      <c r="F3340" s="5">
        <f>vlookup(B3340,Filmes_final!$B$2:$U$1001,3,FALSE)</f>
        <v>1986</v>
      </c>
      <c r="G3340" s="5" t="str">
        <f>vlookup(B3340,Filmes_final!$B$2:$U$1001,13,FALSE)</f>
        <v>David Lynch</v>
      </c>
    </row>
    <row r="3341">
      <c r="A3341" s="5">
        <v>835.0</v>
      </c>
      <c r="B3341" s="5" t="s">
        <v>4839</v>
      </c>
      <c r="C3341" s="5" t="s">
        <v>1785</v>
      </c>
      <c r="D3341" s="5" t="s">
        <v>6637</v>
      </c>
      <c r="E3341" s="8">
        <f>vlookup(B3341,Filmes_final!$B$2:$U$1001,20,FALSE)</f>
        <v>20127453</v>
      </c>
      <c r="F3341" s="5">
        <f>vlookup(B3341,Filmes_final!$B$2:$U$1001,3,FALSE)</f>
        <v>1986</v>
      </c>
      <c r="G3341" s="5" t="str">
        <f>vlookup(B3341,Filmes_final!$B$2:$U$1001,13,FALSE)</f>
        <v>David Lynch</v>
      </c>
    </row>
    <row r="3342">
      <c r="A3342" s="5">
        <v>836.0</v>
      </c>
      <c r="B3342" s="5" t="s">
        <v>4843</v>
      </c>
      <c r="C3342" s="5" t="s">
        <v>2728</v>
      </c>
      <c r="D3342" s="5" t="s">
        <v>6634</v>
      </c>
      <c r="E3342" s="8">
        <f>vlookup(B3342,Filmes_final!$B$2:$U$1001,20,FALSE)</f>
        <v>25995977</v>
      </c>
      <c r="F3342" s="5">
        <f>vlookup(B3342,Filmes_final!$B$2:$U$1001,3,FALSE)</f>
        <v>1985</v>
      </c>
      <c r="G3342" s="5" t="str">
        <f>vlookup(B3342,Filmes_final!$B$2:$U$1001,13,FALSE)</f>
        <v>Woody Allen</v>
      </c>
    </row>
    <row r="3343">
      <c r="A3343" s="5">
        <v>836.0</v>
      </c>
      <c r="B3343" s="5" t="s">
        <v>4843</v>
      </c>
      <c r="C3343" s="5" t="s">
        <v>4845</v>
      </c>
      <c r="D3343" s="5" t="s">
        <v>6635</v>
      </c>
      <c r="E3343" s="8">
        <f>vlookup(B3343,Filmes_final!$B$2:$U$1001,20,FALSE)</f>
        <v>25995977</v>
      </c>
      <c r="F3343" s="5">
        <f>vlookup(B3343,Filmes_final!$B$2:$U$1001,3,FALSE)</f>
        <v>1985</v>
      </c>
      <c r="G3343" s="5" t="str">
        <f>vlookup(B3343,Filmes_final!$B$2:$U$1001,13,FALSE)</f>
        <v>Woody Allen</v>
      </c>
    </row>
    <row r="3344">
      <c r="A3344" s="5">
        <v>836.0</v>
      </c>
      <c r="B3344" s="5" t="s">
        <v>4843</v>
      </c>
      <c r="C3344" s="5" t="s">
        <v>349</v>
      </c>
      <c r="D3344" s="5" t="s">
        <v>6636</v>
      </c>
      <c r="E3344" s="8">
        <f>vlookup(B3344,Filmes_final!$B$2:$U$1001,20,FALSE)</f>
        <v>25995977</v>
      </c>
      <c r="F3344" s="5">
        <f>vlookup(B3344,Filmes_final!$B$2:$U$1001,3,FALSE)</f>
        <v>1985</v>
      </c>
      <c r="G3344" s="5" t="str">
        <f>vlookup(B3344,Filmes_final!$B$2:$U$1001,13,FALSE)</f>
        <v>Woody Allen</v>
      </c>
    </row>
    <row r="3345">
      <c r="A3345" s="5">
        <v>836.0</v>
      </c>
      <c r="B3345" s="5" t="s">
        <v>4843</v>
      </c>
      <c r="C3345" s="5" t="s">
        <v>4846</v>
      </c>
      <c r="D3345" s="5" t="s">
        <v>6637</v>
      </c>
      <c r="E3345" s="8">
        <f>vlookup(B3345,Filmes_final!$B$2:$U$1001,20,FALSE)</f>
        <v>25995977</v>
      </c>
      <c r="F3345" s="5">
        <f>vlookup(B3345,Filmes_final!$B$2:$U$1001,3,FALSE)</f>
        <v>1985</v>
      </c>
      <c r="G3345" s="5" t="str">
        <f>vlookup(B3345,Filmes_final!$B$2:$U$1001,13,FALSE)</f>
        <v>Woody Allen</v>
      </c>
    </row>
    <row r="3346">
      <c r="A3346" s="5">
        <v>837.0</v>
      </c>
      <c r="B3346" s="5" t="s">
        <v>4847</v>
      </c>
      <c r="C3346" s="5" t="s">
        <v>4849</v>
      </c>
      <c r="D3346" s="5" t="s">
        <v>6634</v>
      </c>
      <c r="E3346" s="8">
        <f>vlookup(B3346,Filmes_final!$B$2:$U$1001,20,FALSE)</f>
        <v>25919361</v>
      </c>
      <c r="F3346" s="5">
        <f>vlookup(B3346,Filmes_final!$B$2:$U$1001,3,FALSE)</f>
        <v>1985</v>
      </c>
      <c r="G3346" s="5" t="str">
        <f>vlookup(B3346,Filmes_final!$B$2:$U$1001,13,FALSE)</f>
        <v>Martin Scorsese</v>
      </c>
    </row>
    <row r="3347">
      <c r="A3347" s="5">
        <v>837.0</v>
      </c>
      <c r="B3347" s="5" t="s">
        <v>4847</v>
      </c>
      <c r="C3347" s="5" t="s">
        <v>4850</v>
      </c>
      <c r="D3347" s="5" t="s">
        <v>6635</v>
      </c>
      <c r="E3347" s="8">
        <f>vlookup(B3347,Filmes_final!$B$2:$U$1001,20,FALSE)</f>
        <v>25919361</v>
      </c>
      <c r="F3347" s="5">
        <f>vlookup(B3347,Filmes_final!$B$2:$U$1001,3,FALSE)</f>
        <v>1985</v>
      </c>
      <c r="G3347" s="5" t="str">
        <f>vlookup(B3347,Filmes_final!$B$2:$U$1001,13,FALSE)</f>
        <v>Martin Scorsese</v>
      </c>
    </row>
    <row r="3348">
      <c r="A3348" s="5">
        <v>837.0</v>
      </c>
      <c r="B3348" s="5" t="s">
        <v>4847</v>
      </c>
      <c r="C3348" s="5" t="s">
        <v>4851</v>
      </c>
      <c r="D3348" s="5" t="s">
        <v>6636</v>
      </c>
      <c r="E3348" s="8">
        <f>vlookup(B3348,Filmes_final!$B$2:$U$1001,20,FALSE)</f>
        <v>25919361</v>
      </c>
      <c r="F3348" s="5">
        <f>vlookup(B3348,Filmes_final!$B$2:$U$1001,3,FALSE)</f>
        <v>1985</v>
      </c>
      <c r="G3348" s="5" t="str">
        <f>vlookup(B3348,Filmes_final!$B$2:$U$1001,13,FALSE)</f>
        <v>Martin Scorsese</v>
      </c>
    </row>
    <row r="3349">
      <c r="A3349" s="5">
        <v>837.0</v>
      </c>
      <c r="B3349" s="5" t="s">
        <v>4847</v>
      </c>
      <c r="C3349" s="5" t="s">
        <v>4852</v>
      </c>
      <c r="D3349" s="5" t="s">
        <v>6637</v>
      </c>
      <c r="E3349" s="8">
        <f>vlookup(B3349,Filmes_final!$B$2:$U$1001,20,FALSE)</f>
        <v>25919361</v>
      </c>
      <c r="F3349" s="5">
        <f>vlookup(B3349,Filmes_final!$B$2:$U$1001,3,FALSE)</f>
        <v>1985</v>
      </c>
      <c r="G3349" s="5" t="str">
        <f>vlookup(B3349,Filmes_final!$B$2:$U$1001,13,FALSE)</f>
        <v>Martin Scorsese</v>
      </c>
    </row>
    <row r="3350">
      <c r="A3350" s="5">
        <v>838.0</v>
      </c>
      <c r="B3350" s="5" t="s">
        <v>4853</v>
      </c>
      <c r="C3350" s="5" t="s">
        <v>2671</v>
      </c>
      <c r="D3350" s="5" t="s">
        <v>6634</v>
      </c>
      <c r="E3350" s="8">
        <f>vlookup(B3350,Filmes_final!$B$2:$U$1001,20,FALSE)</f>
        <v>31121685</v>
      </c>
      <c r="F3350" s="5">
        <f>vlookup(B3350,Filmes_final!$B$2:$U$1001,3,FALSE)</f>
        <v>1983</v>
      </c>
      <c r="G3350" s="5" t="str">
        <f>vlookup(B3350,Filmes_final!$B$2:$U$1001,13,FALSE)</f>
        <v>Woody Allen</v>
      </c>
    </row>
    <row r="3351">
      <c r="A3351" s="5">
        <v>838.0</v>
      </c>
      <c r="B3351" s="5" t="s">
        <v>4853</v>
      </c>
      <c r="C3351" s="5" t="s">
        <v>2728</v>
      </c>
      <c r="D3351" s="5" t="s">
        <v>6635</v>
      </c>
      <c r="E3351" s="8">
        <f>vlookup(B3351,Filmes_final!$B$2:$U$1001,20,FALSE)</f>
        <v>31121685</v>
      </c>
      <c r="F3351" s="5">
        <f>vlookup(B3351,Filmes_final!$B$2:$U$1001,3,FALSE)</f>
        <v>1983</v>
      </c>
      <c r="G3351" s="5" t="str">
        <f>vlookup(B3351,Filmes_final!$B$2:$U$1001,13,FALSE)</f>
        <v>Woody Allen</v>
      </c>
    </row>
    <row r="3352">
      <c r="A3352" s="5">
        <v>838.0</v>
      </c>
      <c r="B3352" s="5" t="s">
        <v>4853</v>
      </c>
      <c r="C3352" s="5" t="s">
        <v>4856</v>
      </c>
      <c r="D3352" s="5" t="s">
        <v>6636</v>
      </c>
      <c r="E3352" s="8">
        <f>vlookup(B3352,Filmes_final!$B$2:$U$1001,20,FALSE)</f>
        <v>31121685</v>
      </c>
      <c r="F3352" s="5">
        <f>vlookup(B3352,Filmes_final!$B$2:$U$1001,3,FALSE)</f>
        <v>1983</v>
      </c>
      <c r="G3352" s="5" t="str">
        <f>vlookup(B3352,Filmes_final!$B$2:$U$1001,13,FALSE)</f>
        <v>Woody Allen</v>
      </c>
    </row>
    <row r="3353">
      <c r="A3353" s="5">
        <v>838.0</v>
      </c>
      <c r="B3353" s="5" t="s">
        <v>4853</v>
      </c>
      <c r="C3353" s="5" t="s">
        <v>4857</v>
      </c>
      <c r="D3353" s="5" t="s">
        <v>6637</v>
      </c>
      <c r="E3353" s="8">
        <f>vlookup(B3353,Filmes_final!$B$2:$U$1001,20,FALSE)</f>
        <v>31121685</v>
      </c>
      <c r="F3353" s="5">
        <f>vlookup(B3353,Filmes_final!$B$2:$U$1001,3,FALSE)</f>
        <v>1983</v>
      </c>
      <c r="G3353" s="5" t="str">
        <f>vlookup(B3353,Filmes_final!$B$2:$U$1001,13,FALSE)</f>
        <v>Woody Allen</v>
      </c>
    </row>
    <row r="3354">
      <c r="A3354" s="5">
        <v>839.0</v>
      </c>
      <c r="B3354" s="5" t="s">
        <v>4858</v>
      </c>
      <c r="C3354" s="5" t="s">
        <v>834</v>
      </c>
      <c r="D3354" s="5" t="s">
        <v>6634</v>
      </c>
      <c r="E3354" s="8">
        <f>vlookup(B3354,Filmes_final!$B$2:$U$1001,20,FALSE)</f>
        <v>147724645</v>
      </c>
      <c r="F3354" s="5">
        <f>vlookup(B3354,Filmes_final!$B$2:$U$1001,3,FALSE)</f>
        <v>1982</v>
      </c>
      <c r="G3354" s="5" t="str">
        <f>vlookup(B3354,Filmes_final!$B$2:$U$1001,13,FALSE)</f>
        <v>Sidney Lumet</v>
      </c>
    </row>
    <row r="3355">
      <c r="A3355" s="5">
        <v>839.0</v>
      </c>
      <c r="B3355" s="5" t="s">
        <v>4858</v>
      </c>
      <c r="C3355" s="5" t="s">
        <v>4860</v>
      </c>
      <c r="D3355" s="5" t="s">
        <v>6635</v>
      </c>
      <c r="E3355" s="8">
        <f>vlookup(B3355,Filmes_final!$B$2:$U$1001,20,FALSE)</f>
        <v>147724645</v>
      </c>
      <c r="F3355" s="5">
        <f>vlookup(B3355,Filmes_final!$B$2:$U$1001,3,FALSE)</f>
        <v>1982</v>
      </c>
      <c r="G3355" s="5" t="str">
        <f>vlookup(B3355,Filmes_final!$B$2:$U$1001,13,FALSE)</f>
        <v>Sidney Lumet</v>
      </c>
    </row>
    <row r="3356">
      <c r="A3356" s="5">
        <v>839.0</v>
      </c>
      <c r="B3356" s="5" t="s">
        <v>4858</v>
      </c>
      <c r="C3356" s="5" t="s">
        <v>2668</v>
      </c>
      <c r="D3356" s="5" t="s">
        <v>6636</v>
      </c>
      <c r="E3356" s="8">
        <f>vlookup(B3356,Filmes_final!$B$2:$U$1001,20,FALSE)</f>
        <v>147724645</v>
      </c>
      <c r="F3356" s="5">
        <f>vlookup(B3356,Filmes_final!$B$2:$U$1001,3,FALSE)</f>
        <v>1982</v>
      </c>
      <c r="G3356" s="5" t="str">
        <f>vlookup(B3356,Filmes_final!$B$2:$U$1001,13,FALSE)</f>
        <v>Sidney Lumet</v>
      </c>
    </row>
    <row r="3357">
      <c r="A3357" s="5">
        <v>839.0</v>
      </c>
      <c r="B3357" s="5" t="s">
        <v>4858</v>
      </c>
      <c r="C3357" s="5" t="s">
        <v>875</v>
      </c>
      <c r="D3357" s="5" t="s">
        <v>6637</v>
      </c>
      <c r="E3357" s="8">
        <f>vlookup(B3357,Filmes_final!$B$2:$U$1001,20,FALSE)</f>
        <v>147724645</v>
      </c>
      <c r="F3357" s="5">
        <f>vlookup(B3357,Filmes_final!$B$2:$U$1001,3,FALSE)</f>
        <v>1982</v>
      </c>
      <c r="G3357" s="5" t="str">
        <f>vlookup(B3357,Filmes_final!$B$2:$U$1001,13,FALSE)</f>
        <v>Sidney Lumet</v>
      </c>
    </row>
    <row r="3358">
      <c r="A3358" s="5">
        <v>840.0</v>
      </c>
      <c r="B3358" s="5" t="s">
        <v>4861</v>
      </c>
      <c r="C3358" s="5" t="s">
        <v>4864</v>
      </c>
      <c r="D3358" s="5" t="s">
        <v>6634</v>
      </c>
      <c r="E3358" s="8">
        <f>vlookup(B3358,Filmes_final!$B$2:$U$1001,20,FALSE)</f>
        <v>215877582</v>
      </c>
      <c r="F3358" s="5">
        <f>vlookup(B3358,Filmes_final!$B$2:$U$1001,3,FALSE)</f>
        <v>1982</v>
      </c>
      <c r="G3358" s="5" t="str">
        <f>vlookup(B3358,Filmes_final!$B$2:$U$1001,13,FALSE)</f>
        <v>Nicholas Meyer</v>
      </c>
    </row>
    <row r="3359">
      <c r="A3359" s="5">
        <v>840.0</v>
      </c>
      <c r="B3359" s="5" t="s">
        <v>4861</v>
      </c>
      <c r="C3359" s="5" t="s">
        <v>3103</v>
      </c>
      <c r="D3359" s="5" t="s">
        <v>6635</v>
      </c>
      <c r="E3359" s="8">
        <f>vlookup(B3359,Filmes_final!$B$2:$U$1001,20,FALSE)</f>
        <v>215877582</v>
      </c>
      <c r="F3359" s="5">
        <f>vlookup(B3359,Filmes_final!$B$2:$U$1001,3,FALSE)</f>
        <v>1982</v>
      </c>
      <c r="G3359" s="5" t="str">
        <f>vlookup(B3359,Filmes_final!$B$2:$U$1001,13,FALSE)</f>
        <v>Nicholas Meyer</v>
      </c>
    </row>
    <row r="3360">
      <c r="A3360" s="5">
        <v>840.0</v>
      </c>
      <c r="B3360" s="5" t="s">
        <v>4861</v>
      </c>
      <c r="C3360" s="5" t="s">
        <v>4865</v>
      </c>
      <c r="D3360" s="5" t="s">
        <v>6636</v>
      </c>
      <c r="E3360" s="8">
        <f>vlookup(B3360,Filmes_final!$B$2:$U$1001,20,FALSE)</f>
        <v>215877582</v>
      </c>
      <c r="F3360" s="5">
        <f>vlookup(B3360,Filmes_final!$B$2:$U$1001,3,FALSE)</f>
        <v>1982</v>
      </c>
      <c r="G3360" s="5" t="str">
        <f>vlookup(B3360,Filmes_final!$B$2:$U$1001,13,FALSE)</f>
        <v>Nicholas Meyer</v>
      </c>
    </row>
    <row r="3361">
      <c r="A3361" s="5">
        <v>840.0</v>
      </c>
      <c r="B3361" s="5" t="s">
        <v>4861</v>
      </c>
      <c r="C3361" s="5" t="s">
        <v>4866</v>
      </c>
      <c r="D3361" s="5" t="s">
        <v>6637</v>
      </c>
      <c r="E3361" s="8">
        <f>vlookup(B3361,Filmes_final!$B$2:$U$1001,20,FALSE)</f>
        <v>215877582</v>
      </c>
      <c r="F3361" s="5">
        <f>vlookup(B3361,Filmes_final!$B$2:$U$1001,3,FALSE)</f>
        <v>1982</v>
      </c>
      <c r="G3361" s="5" t="str">
        <f>vlookup(B3361,Filmes_final!$B$2:$U$1001,13,FALSE)</f>
        <v>Nicholas Meyer</v>
      </c>
    </row>
    <row r="3362">
      <c r="A3362" s="5">
        <v>841.0</v>
      </c>
      <c r="B3362" s="5" t="s">
        <v>4867</v>
      </c>
      <c r="C3362" s="5" t="s">
        <v>1893</v>
      </c>
      <c r="D3362" s="5" t="s">
        <v>6634</v>
      </c>
      <c r="E3362" s="8">
        <f>vlookup(B3362,Filmes_final!$B$2:$U$1001,20,FALSE)</f>
        <v>129157583</v>
      </c>
      <c r="F3362" s="5">
        <f>vlookup(B3362,Filmes_final!$B$2:$U$1001,3,FALSE)</f>
        <v>1982</v>
      </c>
      <c r="G3362" s="5" t="str">
        <f>vlookup(B3362,Filmes_final!$B$2:$U$1001,13,FALSE)</f>
        <v>Ted Kotcheff</v>
      </c>
    </row>
    <row r="3363">
      <c r="A3363" s="5">
        <v>841.0</v>
      </c>
      <c r="B3363" s="5" t="s">
        <v>4867</v>
      </c>
      <c r="C3363" s="5" t="s">
        <v>4870</v>
      </c>
      <c r="D3363" s="5" t="s">
        <v>6635</v>
      </c>
      <c r="E3363" s="8">
        <f>vlookup(B3363,Filmes_final!$B$2:$U$1001,20,FALSE)</f>
        <v>129157583</v>
      </c>
      <c r="F3363" s="5">
        <f>vlookup(B3363,Filmes_final!$B$2:$U$1001,3,FALSE)</f>
        <v>1982</v>
      </c>
      <c r="G3363" s="5" t="str">
        <f>vlookup(B3363,Filmes_final!$B$2:$U$1001,13,FALSE)</f>
        <v>Ted Kotcheff</v>
      </c>
    </row>
    <row r="3364">
      <c r="A3364" s="5">
        <v>841.0</v>
      </c>
      <c r="B3364" s="5" t="s">
        <v>4867</v>
      </c>
      <c r="C3364" s="5" t="s">
        <v>4195</v>
      </c>
      <c r="D3364" s="5" t="s">
        <v>6636</v>
      </c>
      <c r="E3364" s="8">
        <f>vlookup(B3364,Filmes_final!$B$2:$U$1001,20,FALSE)</f>
        <v>129157583</v>
      </c>
      <c r="F3364" s="5">
        <f>vlookup(B3364,Filmes_final!$B$2:$U$1001,3,FALSE)</f>
        <v>1982</v>
      </c>
      <c r="G3364" s="5" t="str">
        <f>vlookup(B3364,Filmes_final!$B$2:$U$1001,13,FALSE)</f>
        <v>Ted Kotcheff</v>
      </c>
    </row>
    <row r="3365">
      <c r="A3365" s="5">
        <v>841.0</v>
      </c>
      <c r="B3365" s="5" t="s">
        <v>4867</v>
      </c>
      <c r="C3365" s="5" t="s">
        <v>4147</v>
      </c>
      <c r="D3365" s="5" t="s">
        <v>6637</v>
      </c>
      <c r="E3365" s="8">
        <f>vlookup(B3365,Filmes_final!$B$2:$U$1001,20,FALSE)</f>
        <v>129157583</v>
      </c>
      <c r="F3365" s="5">
        <f>vlookup(B3365,Filmes_final!$B$2:$U$1001,3,FALSE)</f>
        <v>1982</v>
      </c>
      <c r="G3365" s="5" t="str">
        <f>vlookup(B3365,Filmes_final!$B$2:$U$1001,13,FALSE)</f>
        <v>Ted Kotcheff</v>
      </c>
    </row>
    <row r="3366">
      <c r="A3366" s="5">
        <v>842.0</v>
      </c>
      <c r="B3366" s="5" t="s">
        <v>4871</v>
      </c>
      <c r="C3366" s="5" t="s">
        <v>3674</v>
      </c>
      <c r="D3366" s="5" t="s">
        <v>6634</v>
      </c>
      <c r="E3366" s="8">
        <f>vlookup(B3366,Filmes_final!$B$2:$U$1001,20,FALSE)</f>
        <v>181707080</v>
      </c>
      <c r="F3366" s="5">
        <f>vlookup(B3366,Filmes_final!$B$2:$U$1001,3,FALSE)</f>
        <v>1980</v>
      </c>
      <c r="G3366" s="5" t="str">
        <f>vlookup(B3366,Filmes_final!$B$2:$U$1001,13,FALSE)</f>
        <v>Robert Redford</v>
      </c>
    </row>
    <row r="3367">
      <c r="A3367" s="5">
        <v>842.0</v>
      </c>
      <c r="B3367" s="5" t="s">
        <v>4871</v>
      </c>
      <c r="C3367" s="5" t="s">
        <v>4873</v>
      </c>
      <c r="D3367" s="5" t="s">
        <v>6635</v>
      </c>
      <c r="E3367" s="8">
        <f>vlookup(B3367,Filmes_final!$B$2:$U$1001,20,FALSE)</f>
        <v>181707080</v>
      </c>
      <c r="F3367" s="5">
        <f>vlookup(B3367,Filmes_final!$B$2:$U$1001,3,FALSE)</f>
        <v>1980</v>
      </c>
      <c r="G3367" s="5" t="str">
        <f>vlookup(B3367,Filmes_final!$B$2:$U$1001,13,FALSE)</f>
        <v>Robert Redford</v>
      </c>
    </row>
    <row r="3368">
      <c r="A3368" s="5">
        <v>842.0</v>
      </c>
      <c r="B3368" s="5" t="s">
        <v>4871</v>
      </c>
      <c r="C3368" s="5" t="s">
        <v>4874</v>
      </c>
      <c r="D3368" s="5" t="s">
        <v>6636</v>
      </c>
      <c r="E3368" s="8">
        <f>vlookup(B3368,Filmes_final!$B$2:$U$1001,20,FALSE)</f>
        <v>181707080</v>
      </c>
      <c r="F3368" s="5">
        <f>vlookup(B3368,Filmes_final!$B$2:$U$1001,3,FALSE)</f>
        <v>1980</v>
      </c>
      <c r="G3368" s="5" t="str">
        <f>vlookup(B3368,Filmes_final!$B$2:$U$1001,13,FALSE)</f>
        <v>Robert Redford</v>
      </c>
    </row>
    <row r="3369">
      <c r="A3369" s="5">
        <v>842.0</v>
      </c>
      <c r="B3369" s="5" t="s">
        <v>4871</v>
      </c>
      <c r="C3369" s="5" t="s">
        <v>4875</v>
      </c>
      <c r="D3369" s="5" t="s">
        <v>6637</v>
      </c>
      <c r="E3369" s="8">
        <f>vlookup(B3369,Filmes_final!$B$2:$U$1001,20,FALSE)</f>
        <v>181707080</v>
      </c>
      <c r="F3369" s="5">
        <f>vlookup(B3369,Filmes_final!$B$2:$U$1001,3,FALSE)</f>
        <v>1980</v>
      </c>
      <c r="G3369" s="5" t="str">
        <f>vlookup(B3369,Filmes_final!$B$2:$U$1001,13,FALSE)</f>
        <v>Robert Redford</v>
      </c>
    </row>
    <row r="3370">
      <c r="A3370" s="5">
        <v>843.0</v>
      </c>
      <c r="B3370" s="5" t="s">
        <v>4876</v>
      </c>
      <c r="C3370" s="5" t="s">
        <v>4879</v>
      </c>
      <c r="D3370" s="5" t="s">
        <v>6634</v>
      </c>
      <c r="E3370" s="8">
        <f>vlookup(B3370,Filmes_final!$B$2:$U$1001,20,FALSE)</f>
        <v>276539607</v>
      </c>
      <c r="F3370" s="5">
        <f>vlookup(B3370,Filmes_final!$B$2:$U$1001,3,FALSE)</f>
        <v>1980</v>
      </c>
      <c r="G3370" s="5" t="str">
        <f>vlookup(B3370,Filmes_final!$B$2:$U$1001,13,FALSE)</f>
        <v>Jim Abrahams</v>
      </c>
    </row>
    <row r="3371">
      <c r="A3371" s="5">
        <v>843.0</v>
      </c>
      <c r="B3371" s="5" t="s">
        <v>4876</v>
      </c>
      <c r="C3371" s="5" t="s">
        <v>4880</v>
      </c>
      <c r="D3371" s="5" t="s">
        <v>6635</v>
      </c>
      <c r="E3371" s="8">
        <f>vlookup(B3371,Filmes_final!$B$2:$U$1001,20,FALSE)</f>
        <v>276539607</v>
      </c>
      <c r="F3371" s="5">
        <f>vlookup(B3371,Filmes_final!$B$2:$U$1001,3,FALSE)</f>
        <v>1980</v>
      </c>
      <c r="G3371" s="5" t="str">
        <f>vlookup(B3371,Filmes_final!$B$2:$U$1001,13,FALSE)</f>
        <v>Jim Abrahams</v>
      </c>
    </row>
    <row r="3372">
      <c r="A3372" s="5">
        <v>843.0</v>
      </c>
      <c r="B3372" s="5" t="s">
        <v>4876</v>
      </c>
      <c r="C3372" s="5" t="s">
        <v>4881</v>
      </c>
      <c r="D3372" s="5" t="s">
        <v>6636</v>
      </c>
      <c r="E3372" s="8">
        <f>vlookup(B3372,Filmes_final!$B$2:$U$1001,20,FALSE)</f>
        <v>276539607</v>
      </c>
      <c r="F3372" s="5">
        <f>vlookup(B3372,Filmes_final!$B$2:$U$1001,3,FALSE)</f>
        <v>1980</v>
      </c>
      <c r="G3372" s="5" t="str">
        <f>vlookup(B3372,Filmes_final!$B$2:$U$1001,13,FALSE)</f>
        <v>Jim Abrahams</v>
      </c>
    </row>
    <row r="3373">
      <c r="A3373" s="5">
        <v>843.0</v>
      </c>
      <c r="B3373" s="5" t="s">
        <v>4876</v>
      </c>
      <c r="C3373" s="5" t="s">
        <v>4882</v>
      </c>
      <c r="D3373" s="5" t="s">
        <v>6637</v>
      </c>
      <c r="E3373" s="8">
        <f>vlookup(B3373,Filmes_final!$B$2:$U$1001,20,FALSE)</f>
        <v>276539607</v>
      </c>
      <c r="F3373" s="5">
        <f>vlookup(B3373,Filmes_final!$B$2:$U$1001,3,FALSE)</f>
        <v>1980</v>
      </c>
      <c r="G3373" s="5" t="str">
        <f>vlookup(B3373,Filmes_final!$B$2:$U$1001,13,FALSE)</f>
        <v>Jim Abrahams</v>
      </c>
    </row>
    <row r="3374">
      <c r="A3374" s="5">
        <v>844.0</v>
      </c>
      <c r="B3374" s="5" t="s">
        <v>4883</v>
      </c>
      <c r="C3374" s="5" t="s">
        <v>4885</v>
      </c>
      <c r="D3374" s="5" t="s">
        <v>6634</v>
      </c>
      <c r="E3374" s="8">
        <f>vlookup(B3374,Filmes_final!$B$2:$U$1001,20,FALSE)</f>
        <v>1975994</v>
      </c>
      <c r="F3374" s="5">
        <f>vlookup(B3374,Filmes_final!$B$2:$U$1001,3,FALSE)</f>
        <v>1979</v>
      </c>
      <c r="G3374" s="5" t="str">
        <f>vlookup(B3374,Filmes_final!$B$2:$U$1001,13,FALSE)</f>
        <v>Hayao Miyazaki</v>
      </c>
    </row>
    <row r="3375">
      <c r="A3375" s="5">
        <v>844.0</v>
      </c>
      <c r="B3375" s="5" t="s">
        <v>4883</v>
      </c>
      <c r="C3375" s="5" t="s">
        <v>4886</v>
      </c>
      <c r="D3375" s="5" t="s">
        <v>6635</v>
      </c>
      <c r="E3375" s="8">
        <f>vlookup(B3375,Filmes_final!$B$2:$U$1001,20,FALSE)</f>
        <v>1975994</v>
      </c>
      <c r="F3375" s="5">
        <f>vlookup(B3375,Filmes_final!$B$2:$U$1001,3,FALSE)</f>
        <v>1979</v>
      </c>
      <c r="G3375" s="5" t="str">
        <f>vlookup(B3375,Filmes_final!$B$2:$U$1001,13,FALSE)</f>
        <v>Hayao Miyazaki</v>
      </c>
    </row>
    <row r="3376">
      <c r="A3376" s="5">
        <v>844.0</v>
      </c>
      <c r="B3376" s="5" t="s">
        <v>4883</v>
      </c>
      <c r="C3376" s="5" t="s">
        <v>4887</v>
      </c>
      <c r="D3376" s="5" t="s">
        <v>6636</v>
      </c>
      <c r="E3376" s="8">
        <f>vlookup(B3376,Filmes_final!$B$2:$U$1001,20,FALSE)</f>
        <v>1975994</v>
      </c>
      <c r="F3376" s="5">
        <f>vlookup(B3376,Filmes_final!$B$2:$U$1001,3,FALSE)</f>
        <v>1979</v>
      </c>
      <c r="G3376" s="5" t="str">
        <f>vlookup(B3376,Filmes_final!$B$2:$U$1001,13,FALSE)</f>
        <v>Hayao Miyazaki</v>
      </c>
    </row>
    <row r="3377">
      <c r="A3377" s="5">
        <v>844.0</v>
      </c>
      <c r="B3377" s="5" t="s">
        <v>4883</v>
      </c>
      <c r="C3377" s="5" t="s">
        <v>4888</v>
      </c>
      <c r="D3377" s="5" t="s">
        <v>6637</v>
      </c>
      <c r="E3377" s="8">
        <f>vlookup(B3377,Filmes_final!$B$2:$U$1001,20,FALSE)</f>
        <v>1975994</v>
      </c>
      <c r="F3377" s="5">
        <f>vlookup(B3377,Filmes_final!$B$2:$U$1001,3,FALSE)</f>
        <v>1979</v>
      </c>
      <c r="G3377" s="5" t="str">
        <f>vlookup(B3377,Filmes_final!$B$2:$U$1001,13,FALSE)</f>
        <v>Hayao Miyazaki</v>
      </c>
    </row>
    <row r="3378">
      <c r="A3378" s="5">
        <v>845.0</v>
      </c>
      <c r="B3378" s="5" t="s">
        <v>4889</v>
      </c>
      <c r="C3378" s="5" t="s">
        <v>4891</v>
      </c>
      <c r="D3378" s="5" t="s">
        <v>6634</v>
      </c>
      <c r="E3378" s="8">
        <f>vlookup(B3378,Filmes_final!$B$2:$U$1001,20,FALSE)</f>
        <v>193994192</v>
      </c>
      <c r="F3378" s="5">
        <f>vlookup(B3378,Filmes_final!$B$2:$U$1001,3,FALSE)</f>
        <v>1978</v>
      </c>
      <c r="G3378" s="5" t="str">
        <f>vlookup(B3378,Filmes_final!$B$2:$U$1001,13,FALSE)</f>
        <v>John Carpenter</v>
      </c>
    </row>
    <row r="3379">
      <c r="A3379" s="5">
        <v>845.0</v>
      </c>
      <c r="B3379" s="5" t="s">
        <v>4889</v>
      </c>
      <c r="C3379" s="5" t="s">
        <v>2937</v>
      </c>
      <c r="D3379" s="5" t="s">
        <v>6635</v>
      </c>
      <c r="E3379" s="8">
        <f>vlookup(B3379,Filmes_final!$B$2:$U$1001,20,FALSE)</f>
        <v>193994192</v>
      </c>
      <c r="F3379" s="5">
        <f>vlookup(B3379,Filmes_final!$B$2:$U$1001,3,FALSE)</f>
        <v>1978</v>
      </c>
      <c r="G3379" s="5" t="str">
        <f>vlookup(B3379,Filmes_final!$B$2:$U$1001,13,FALSE)</f>
        <v>John Carpenter</v>
      </c>
    </row>
    <row r="3380">
      <c r="A3380" s="5">
        <v>845.0</v>
      </c>
      <c r="B3380" s="5" t="s">
        <v>4889</v>
      </c>
      <c r="C3380" s="5" t="s">
        <v>4892</v>
      </c>
      <c r="D3380" s="5" t="s">
        <v>6636</v>
      </c>
      <c r="E3380" s="8">
        <f>vlookup(B3380,Filmes_final!$B$2:$U$1001,20,FALSE)</f>
        <v>193994192</v>
      </c>
      <c r="F3380" s="5">
        <f>vlookup(B3380,Filmes_final!$B$2:$U$1001,3,FALSE)</f>
        <v>1978</v>
      </c>
      <c r="G3380" s="5" t="str">
        <f>vlookup(B3380,Filmes_final!$B$2:$U$1001,13,FALSE)</f>
        <v>John Carpenter</v>
      </c>
    </row>
    <row r="3381">
      <c r="A3381" s="5">
        <v>845.0</v>
      </c>
      <c r="B3381" s="5" t="s">
        <v>4889</v>
      </c>
      <c r="C3381" s="5" t="s">
        <v>4893</v>
      </c>
      <c r="D3381" s="5" t="s">
        <v>6637</v>
      </c>
      <c r="E3381" s="8">
        <f>vlookup(B3381,Filmes_final!$B$2:$U$1001,20,FALSE)</f>
        <v>193994192</v>
      </c>
      <c r="F3381" s="5">
        <f>vlookup(B3381,Filmes_final!$B$2:$U$1001,3,FALSE)</f>
        <v>1978</v>
      </c>
      <c r="G3381" s="5" t="str">
        <f>vlookup(B3381,Filmes_final!$B$2:$U$1001,13,FALSE)</f>
        <v>John Carpenter</v>
      </c>
    </row>
    <row r="3382">
      <c r="A3382" s="5">
        <v>846.0</v>
      </c>
      <c r="B3382" s="5" t="s">
        <v>4894</v>
      </c>
      <c r="C3382" s="5" t="s">
        <v>316</v>
      </c>
      <c r="D3382" s="5" t="s">
        <v>6634</v>
      </c>
      <c r="E3382" s="8">
        <f>vlookup(B3382,Filmes_final!$B$2:$U$1001,20,FALSE)</f>
        <v>8930311</v>
      </c>
      <c r="F3382" s="5">
        <f>vlookup(B3382,Filmes_final!$B$2:$U$1001,3,FALSE)</f>
        <v>1976</v>
      </c>
      <c r="G3382" s="5" t="str">
        <f>vlookup(B3382,Filmes_final!$B$2:$U$1001,13,FALSE)</f>
        <v>Roman Polanski</v>
      </c>
    </row>
    <row r="3383">
      <c r="A3383" s="5">
        <v>846.0</v>
      </c>
      <c r="B3383" s="5" t="s">
        <v>4894</v>
      </c>
      <c r="C3383" s="5" t="s">
        <v>4896</v>
      </c>
      <c r="D3383" s="5" t="s">
        <v>6635</v>
      </c>
      <c r="E3383" s="8">
        <f>vlookup(B3383,Filmes_final!$B$2:$U$1001,20,FALSE)</f>
        <v>8930311</v>
      </c>
      <c r="F3383" s="5">
        <f>vlookup(B3383,Filmes_final!$B$2:$U$1001,3,FALSE)</f>
        <v>1976</v>
      </c>
      <c r="G3383" s="5" t="str">
        <f>vlookup(B3383,Filmes_final!$B$2:$U$1001,13,FALSE)</f>
        <v>Roman Polanski</v>
      </c>
    </row>
    <row r="3384">
      <c r="A3384" s="5">
        <v>846.0</v>
      </c>
      <c r="B3384" s="5" t="s">
        <v>4894</v>
      </c>
      <c r="C3384" s="5" t="s">
        <v>2667</v>
      </c>
      <c r="D3384" s="5" t="s">
        <v>6636</v>
      </c>
      <c r="E3384" s="8">
        <f>vlookup(B3384,Filmes_final!$B$2:$U$1001,20,FALSE)</f>
        <v>8930311</v>
      </c>
      <c r="F3384" s="5">
        <f>vlookup(B3384,Filmes_final!$B$2:$U$1001,3,FALSE)</f>
        <v>1976</v>
      </c>
      <c r="G3384" s="5" t="str">
        <f>vlookup(B3384,Filmes_final!$B$2:$U$1001,13,FALSE)</f>
        <v>Roman Polanski</v>
      </c>
    </row>
    <row r="3385">
      <c r="A3385" s="5">
        <v>846.0</v>
      </c>
      <c r="B3385" s="5" t="s">
        <v>4894</v>
      </c>
      <c r="C3385" s="5" t="s">
        <v>4897</v>
      </c>
      <c r="D3385" s="5" t="s">
        <v>6637</v>
      </c>
      <c r="E3385" s="8">
        <f>vlookup(B3385,Filmes_final!$B$2:$U$1001,20,FALSE)</f>
        <v>8930311</v>
      </c>
      <c r="F3385" s="5">
        <f>vlookup(B3385,Filmes_final!$B$2:$U$1001,3,FALSE)</f>
        <v>1976</v>
      </c>
      <c r="G3385" s="5" t="str">
        <f>vlookup(B3385,Filmes_final!$B$2:$U$1001,13,FALSE)</f>
        <v>Roman Polanski</v>
      </c>
    </row>
    <row r="3386">
      <c r="A3386" s="5">
        <v>847.0</v>
      </c>
      <c r="B3386" s="5" t="s">
        <v>4898</v>
      </c>
      <c r="C3386" s="5" t="s">
        <v>2671</v>
      </c>
      <c r="D3386" s="5" t="s">
        <v>6634</v>
      </c>
      <c r="E3386" s="8">
        <f>vlookup(B3386,Filmes_final!$B$2:$U$1001,20,FALSE)</f>
        <v>99641878</v>
      </c>
      <c r="F3386" s="5">
        <f>vlookup(B3386,Filmes_final!$B$2:$U$1001,3,FALSE)</f>
        <v>1975</v>
      </c>
      <c r="G3386" s="5" t="str">
        <f>vlookup(B3386,Filmes_final!$B$2:$U$1001,13,FALSE)</f>
        <v>Woody Allen</v>
      </c>
    </row>
    <row r="3387">
      <c r="A3387" s="5">
        <v>847.0</v>
      </c>
      <c r="B3387" s="5" t="s">
        <v>4898</v>
      </c>
      <c r="C3387" s="5" t="s">
        <v>35</v>
      </c>
      <c r="D3387" s="5" t="s">
        <v>6635</v>
      </c>
      <c r="E3387" s="8">
        <f>vlookup(B3387,Filmes_final!$B$2:$U$1001,20,FALSE)</f>
        <v>99641878</v>
      </c>
      <c r="F3387" s="5">
        <f>vlookup(B3387,Filmes_final!$B$2:$U$1001,3,FALSE)</f>
        <v>1975</v>
      </c>
      <c r="G3387" s="5" t="str">
        <f>vlookup(B3387,Filmes_final!$B$2:$U$1001,13,FALSE)</f>
        <v>Woody Allen</v>
      </c>
    </row>
    <row r="3388">
      <c r="A3388" s="5">
        <v>847.0</v>
      </c>
      <c r="B3388" s="5" t="s">
        <v>4898</v>
      </c>
      <c r="C3388" s="5" t="s">
        <v>4900</v>
      </c>
      <c r="D3388" s="5" t="s">
        <v>6636</v>
      </c>
      <c r="E3388" s="8">
        <f>vlookup(B3388,Filmes_final!$B$2:$U$1001,20,FALSE)</f>
        <v>99641878</v>
      </c>
      <c r="F3388" s="5">
        <f>vlookup(B3388,Filmes_final!$B$2:$U$1001,3,FALSE)</f>
        <v>1975</v>
      </c>
      <c r="G3388" s="5" t="str">
        <f>vlookup(B3388,Filmes_final!$B$2:$U$1001,13,FALSE)</f>
        <v>Woody Allen</v>
      </c>
    </row>
    <row r="3389">
      <c r="A3389" s="5">
        <v>847.0</v>
      </c>
      <c r="B3389" s="5" t="s">
        <v>4898</v>
      </c>
      <c r="C3389" s="5" t="s">
        <v>4901</v>
      </c>
      <c r="D3389" s="5" t="s">
        <v>6637</v>
      </c>
      <c r="E3389" s="8">
        <f>vlookup(B3389,Filmes_final!$B$2:$U$1001,20,FALSE)</f>
        <v>99641878</v>
      </c>
      <c r="F3389" s="5">
        <f>vlookup(B3389,Filmes_final!$B$2:$U$1001,3,FALSE)</f>
        <v>1975</v>
      </c>
      <c r="G3389" s="5" t="str">
        <f>vlookup(B3389,Filmes_final!$B$2:$U$1001,13,FALSE)</f>
        <v>Woody Allen</v>
      </c>
    </row>
    <row r="3390">
      <c r="A3390" s="5">
        <v>848.0</v>
      </c>
      <c r="B3390" s="5" t="s">
        <v>4902</v>
      </c>
      <c r="C3390" s="5" t="s">
        <v>2596</v>
      </c>
      <c r="D3390" s="5" t="s">
        <v>6634</v>
      </c>
      <c r="E3390" s="8">
        <f>vlookup(B3390,Filmes_final!$B$2:$U$1001,20,FALSE)</f>
        <v>27679292</v>
      </c>
      <c r="F3390" s="5">
        <f>vlookup(B3390,Filmes_final!$B$2:$U$1001,3,FALSE)</f>
        <v>1974</v>
      </c>
      <c r="G3390" s="5" t="str">
        <f>vlookup(B3390,Filmes_final!$B$2:$U$1001,13,FALSE)</f>
        <v>Joseph Sargent</v>
      </c>
    </row>
    <row r="3391">
      <c r="A3391" s="5">
        <v>848.0</v>
      </c>
      <c r="B3391" s="5" t="s">
        <v>4902</v>
      </c>
      <c r="C3391" s="5" t="s">
        <v>836</v>
      </c>
      <c r="D3391" s="5" t="s">
        <v>6635</v>
      </c>
      <c r="E3391" s="8">
        <f>vlookup(B3391,Filmes_final!$B$2:$U$1001,20,FALSE)</f>
        <v>27679292</v>
      </c>
      <c r="F3391" s="5">
        <f>vlookup(B3391,Filmes_final!$B$2:$U$1001,3,FALSE)</f>
        <v>1974</v>
      </c>
      <c r="G3391" s="5" t="str">
        <f>vlookup(B3391,Filmes_final!$B$2:$U$1001,13,FALSE)</f>
        <v>Joseph Sargent</v>
      </c>
    </row>
    <row r="3392">
      <c r="A3392" s="5">
        <v>848.0</v>
      </c>
      <c r="B3392" s="5" t="s">
        <v>4902</v>
      </c>
      <c r="C3392" s="5" t="s">
        <v>58</v>
      </c>
      <c r="D3392" s="5" t="s">
        <v>6636</v>
      </c>
      <c r="E3392" s="8">
        <f>vlookup(B3392,Filmes_final!$B$2:$U$1001,20,FALSE)</f>
        <v>27679292</v>
      </c>
      <c r="F3392" s="5">
        <f>vlookup(B3392,Filmes_final!$B$2:$U$1001,3,FALSE)</f>
        <v>1974</v>
      </c>
      <c r="G3392" s="5" t="str">
        <f>vlookup(B3392,Filmes_final!$B$2:$U$1001,13,FALSE)</f>
        <v>Joseph Sargent</v>
      </c>
    </row>
    <row r="3393">
      <c r="A3393" s="5">
        <v>848.0</v>
      </c>
      <c r="B3393" s="5" t="s">
        <v>4902</v>
      </c>
      <c r="C3393" s="5" t="s">
        <v>4905</v>
      </c>
      <c r="D3393" s="5" t="s">
        <v>6637</v>
      </c>
      <c r="E3393" s="8">
        <f>vlookup(B3393,Filmes_final!$B$2:$U$1001,20,FALSE)</f>
        <v>27679292</v>
      </c>
      <c r="F3393" s="5">
        <f>vlookup(B3393,Filmes_final!$B$2:$U$1001,3,FALSE)</f>
        <v>1974</v>
      </c>
      <c r="G3393" s="5" t="str">
        <f>vlookup(B3393,Filmes_final!$B$2:$U$1001,13,FALSE)</f>
        <v>Joseph Sargent</v>
      </c>
    </row>
    <row r="3394">
      <c r="A3394" s="5">
        <v>849.0</v>
      </c>
      <c r="B3394" s="5" t="s">
        <v>4906</v>
      </c>
      <c r="C3394" s="5" t="s">
        <v>4909</v>
      </c>
      <c r="D3394" s="5" t="s">
        <v>6634</v>
      </c>
      <c r="E3394" s="8">
        <f>vlookup(B3394,Filmes_final!$B$2:$U$1001,20,FALSE)</f>
        <v>661535075</v>
      </c>
      <c r="F3394" s="5">
        <f>vlookup(B3394,Filmes_final!$B$2:$U$1001,3,FALSE)</f>
        <v>1974</v>
      </c>
      <c r="G3394" s="5" t="str">
        <f>vlookup(B3394,Filmes_final!$B$2:$U$1001,13,FALSE)</f>
        <v>Mel Brooks</v>
      </c>
    </row>
    <row r="3395">
      <c r="A3395" s="5">
        <v>849.0</v>
      </c>
      <c r="B3395" s="5" t="s">
        <v>4906</v>
      </c>
      <c r="C3395" s="5" t="s">
        <v>2687</v>
      </c>
      <c r="D3395" s="5" t="s">
        <v>6635</v>
      </c>
      <c r="E3395" s="8">
        <f>vlookup(B3395,Filmes_final!$B$2:$U$1001,20,FALSE)</f>
        <v>661535075</v>
      </c>
      <c r="F3395" s="5">
        <f>vlookup(B3395,Filmes_final!$B$2:$U$1001,3,FALSE)</f>
        <v>1974</v>
      </c>
      <c r="G3395" s="5" t="str">
        <f>vlookup(B3395,Filmes_final!$B$2:$U$1001,13,FALSE)</f>
        <v>Mel Brooks</v>
      </c>
    </row>
    <row r="3396">
      <c r="A3396" s="5">
        <v>849.0</v>
      </c>
      <c r="B3396" s="5" t="s">
        <v>4906</v>
      </c>
      <c r="C3396" s="5" t="s">
        <v>4910</v>
      </c>
      <c r="D3396" s="5" t="s">
        <v>6636</v>
      </c>
      <c r="E3396" s="8">
        <f>vlookup(B3396,Filmes_final!$B$2:$U$1001,20,FALSE)</f>
        <v>661535075</v>
      </c>
      <c r="F3396" s="5">
        <f>vlookup(B3396,Filmes_final!$B$2:$U$1001,3,FALSE)</f>
        <v>1974</v>
      </c>
      <c r="G3396" s="5" t="str">
        <f>vlookup(B3396,Filmes_final!$B$2:$U$1001,13,FALSE)</f>
        <v>Mel Brooks</v>
      </c>
    </row>
    <row r="3397">
      <c r="A3397" s="5">
        <v>849.0</v>
      </c>
      <c r="B3397" s="5" t="s">
        <v>4906</v>
      </c>
      <c r="C3397" s="5" t="s">
        <v>4911</v>
      </c>
      <c r="D3397" s="5" t="s">
        <v>6637</v>
      </c>
      <c r="E3397" s="8">
        <f>vlookup(B3397,Filmes_final!$B$2:$U$1001,20,FALSE)</f>
        <v>661535075</v>
      </c>
      <c r="F3397" s="5">
        <f>vlookup(B3397,Filmes_final!$B$2:$U$1001,3,FALSE)</f>
        <v>1974</v>
      </c>
      <c r="G3397" s="5" t="str">
        <f>vlookup(B3397,Filmes_final!$B$2:$U$1001,13,FALSE)</f>
        <v>Mel Brooks</v>
      </c>
    </row>
    <row r="3398">
      <c r="A3398" s="5">
        <v>850.0</v>
      </c>
      <c r="B3398" s="5" t="s">
        <v>4912</v>
      </c>
      <c r="C3398" s="5" t="s">
        <v>33</v>
      </c>
      <c r="D3398" s="5" t="s">
        <v>6634</v>
      </c>
      <c r="E3398" s="8">
        <f>vlookup(B3398,Filmes_final!$B$2:$U$1001,20,FALSE)</f>
        <v>180458587</v>
      </c>
      <c r="F3398" s="5">
        <f>vlookup(B3398,Filmes_final!$B$2:$U$1001,3,FALSE)</f>
        <v>1973</v>
      </c>
      <c r="G3398" s="5" t="str">
        <f>vlookup(B3398,Filmes_final!$B$2:$U$1001,13,FALSE)</f>
        <v>Sidney Lumet</v>
      </c>
    </row>
    <row r="3399">
      <c r="A3399" s="5">
        <v>850.0</v>
      </c>
      <c r="B3399" s="5" t="s">
        <v>4912</v>
      </c>
      <c r="C3399" s="5" t="s">
        <v>4914</v>
      </c>
      <c r="D3399" s="5" t="s">
        <v>6635</v>
      </c>
      <c r="E3399" s="8">
        <f>vlookup(B3399,Filmes_final!$B$2:$U$1001,20,FALSE)</f>
        <v>180458587</v>
      </c>
      <c r="F3399" s="5">
        <f>vlookup(B3399,Filmes_final!$B$2:$U$1001,3,FALSE)</f>
        <v>1973</v>
      </c>
      <c r="G3399" s="5" t="str">
        <f>vlookup(B3399,Filmes_final!$B$2:$U$1001,13,FALSE)</f>
        <v>Sidney Lumet</v>
      </c>
    </row>
    <row r="3400">
      <c r="A3400" s="5">
        <v>850.0</v>
      </c>
      <c r="B3400" s="5" t="s">
        <v>4912</v>
      </c>
      <c r="C3400" s="5" t="s">
        <v>4915</v>
      </c>
      <c r="D3400" s="5" t="s">
        <v>6636</v>
      </c>
      <c r="E3400" s="8">
        <f>vlookup(B3400,Filmes_final!$B$2:$U$1001,20,FALSE)</f>
        <v>180458587</v>
      </c>
      <c r="F3400" s="5">
        <f>vlookup(B3400,Filmes_final!$B$2:$U$1001,3,FALSE)</f>
        <v>1973</v>
      </c>
      <c r="G3400" s="5" t="str">
        <f>vlookup(B3400,Filmes_final!$B$2:$U$1001,13,FALSE)</f>
        <v>Sidney Lumet</v>
      </c>
    </row>
    <row r="3401">
      <c r="A3401" s="5">
        <v>850.0</v>
      </c>
      <c r="B3401" s="5" t="s">
        <v>4912</v>
      </c>
      <c r="C3401" s="5" t="s">
        <v>4916</v>
      </c>
      <c r="D3401" s="5" t="s">
        <v>6637</v>
      </c>
      <c r="E3401" s="8">
        <f>vlookup(B3401,Filmes_final!$B$2:$U$1001,20,FALSE)</f>
        <v>180458587</v>
      </c>
      <c r="F3401" s="5">
        <f>vlookup(B3401,Filmes_final!$B$2:$U$1001,3,FALSE)</f>
        <v>1973</v>
      </c>
      <c r="G3401" s="5" t="str">
        <f>vlookup(B3401,Filmes_final!$B$2:$U$1001,13,FALSE)</f>
        <v>Sidney Lumet</v>
      </c>
    </row>
    <row r="3402">
      <c r="A3402" s="5">
        <v>851.0</v>
      </c>
      <c r="B3402" s="5" t="s">
        <v>4917</v>
      </c>
      <c r="C3402" s="5" t="s">
        <v>4920</v>
      </c>
      <c r="D3402" s="5" t="s">
        <v>6634</v>
      </c>
      <c r="E3402" s="8">
        <f>vlookup(B3402,Filmes_final!$B$2:$U$1001,20,FALSE)</f>
        <v>151391432</v>
      </c>
      <c r="F3402" s="5">
        <f>vlookup(B3402,Filmes_final!$B$2:$U$1001,3,FALSE)</f>
        <v>1973</v>
      </c>
      <c r="G3402" s="5" t="str">
        <f>vlookup(B3402,Filmes_final!$B$2:$U$1001,13,FALSE)</f>
        <v>Robert Clouse</v>
      </c>
    </row>
    <row r="3403">
      <c r="A3403" s="5">
        <v>851.0</v>
      </c>
      <c r="B3403" s="5" t="s">
        <v>4917</v>
      </c>
      <c r="C3403" s="5" t="s">
        <v>4921</v>
      </c>
      <c r="D3403" s="5" t="s">
        <v>6635</v>
      </c>
      <c r="E3403" s="8">
        <f>vlookup(B3403,Filmes_final!$B$2:$U$1001,20,FALSE)</f>
        <v>151391432</v>
      </c>
      <c r="F3403" s="5">
        <f>vlookup(B3403,Filmes_final!$B$2:$U$1001,3,FALSE)</f>
        <v>1973</v>
      </c>
      <c r="G3403" s="5" t="str">
        <f>vlookup(B3403,Filmes_final!$B$2:$U$1001,13,FALSE)</f>
        <v>Robert Clouse</v>
      </c>
    </row>
    <row r="3404">
      <c r="A3404" s="5">
        <v>851.0</v>
      </c>
      <c r="B3404" s="5" t="s">
        <v>4917</v>
      </c>
      <c r="C3404" s="5" t="s">
        <v>4922</v>
      </c>
      <c r="D3404" s="5" t="s">
        <v>6636</v>
      </c>
      <c r="E3404" s="8">
        <f>vlookup(B3404,Filmes_final!$B$2:$U$1001,20,FALSE)</f>
        <v>151391432</v>
      </c>
      <c r="F3404" s="5">
        <f>vlookup(B3404,Filmes_final!$B$2:$U$1001,3,FALSE)</f>
        <v>1973</v>
      </c>
      <c r="G3404" s="5" t="str">
        <f>vlookup(B3404,Filmes_final!$B$2:$U$1001,13,FALSE)</f>
        <v>Robert Clouse</v>
      </c>
    </row>
    <row r="3405">
      <c r="A3405" s="5">
        <v>851.0</v>
      </c>
      <c r="B3405" s="5" t="s">
        <v>4917</v>
      </c>
      <c r="C3405" s="5" t="s">
        <v>4923</v>
      </c>
      <c r="D3405" s="5" t="s">
        <v>6637</v>
      </c>
      <c r="E3405" s="8">
        <f>vlookup(B3405,Filmes_final!$B$2:$U$1001,20,FALSE)</f>
        <v>151391432</v>
      </c>
      <c r="F3405" s="5">
        <f>vlookup(B3405,Filmes_final!$B$2:$U$1001,3,FALSE)</f>
        <v>1973</v>
      </c>
      <c r="G3405" s="5" t="str">
        <f>vlookup(B3405,Filmes_final!$B$2:$U$1001,13,FALSE)</f>
        <v>Robert Clouse</v>
      </c>
    </row>
    <row r="3406">
      <c r="A3406" s="5">
        <v>852.0</v>
      </c>
      <c r="B3406" s="5" t="s">
        <v>4924</v>
      </c>
      <c r="C3406" s="5" t="s">
        <v>1178</v>
      </c>
      <c r="D3406" s="5" t="s">
        <v>6634</v>
      </c>
      <c r="E3406" s="8">
        <f>vlookup(B3406,Filmes_final!$B$2:$U$1001,20,FALSE)</f>
        <v>44288242</v>
      </c>
      <c r="F3406" s="5">
        <f>vlookup(B3406,Filmes_final!$B$2:$U$1001,3,FALSE)</f>
        <v>1972</v>
      </c>
      <c r="G3406" s="5" t="str">
        <f>vlookup(B3406,Filmes_final!$B$2:$U$1001,13,FALSE)</f>
        <v>John Boorman</v>
      </c>
    </row>
    <row r="3407">
      <c r="A3407" s="5">
        <v>852.0</v>
      </c>
      <c r="B3407" s="5" t="s">
        <v>4924</v>
      </c>
      <c r="C3407" s="5" t="s">
        <v>3230</v>
      </c>
      <c r="D3407" s="5" t="s">
        <v>6635</v>
      </c>
      <c r="E3407" s="8">
        <f>vlookup(B3407,Filmes_final!$B$2:$U$1001,20,FALSE)</f>
        <v>44288242</v>
      </c>
      <c r="F3407" s="5">
        <f>vlookup(B3407,Filmes_final!$B$2:$U$1001,3,FALSE)</f>
        <v>1972</v>
      </c>
      <c r="G3407" s="5" t="str">
        <f>vlookup(B3407,Filmes_final!$B$2:$U$1001,13,FALSE)</f>
        <v>John Boorman</v>
      </c>
    </row>
    <row r="3408">
      <c r="A3408" s="5">
        <v>852.0</v>
      </c>
      <c r="B3408" s="5" t="s">
        <v>4924</v>
      </c>
      <c r="C3408" s="5" t="s">
        <v>1107</v>
      </c>
      <c r="D3408" s="5" t="s">
        <v>6636</v>
      </c>
      <c r="E3408" s="8">
        <f>vlookup(B3408,Filmes_final!$B$2:$U$1001,20,FALSE)</f>
        <v>44288242</v>
      </c>
      <c r="F3408" s="5">
        <f>vlookup(B3408,Filmes_final!$B$2:$U$1001,3,FALSE)</f>
        <v>1972</v>
      </c>
      <c r="G3408" s="5" t="str">
        <f>vlookup(B3408,Filmes_final!$B$2:$U$1001,13,FALSE)</f>
        <v>John Boorman</v>
      </c>
    </row>
    <row r="3409">
      <c r="A3409" s="5">
        <v>852.0</v>
      </c>
      <c r="B3409" s="5" t="s">
        <v>4924</v>
      </c>
      <c r="C3409" s="5" t="s">
        <v>4927</v>
      </c>
      <c r="D3409" s="5" t="s">
        <v>6637</v>
      </c>
      <c r="E3409" s="8">
        <f>vlookup(B3409,Filmes_final!$B$2:$U$1001,20,FALSE)</f>
        <v>44288242</v>
      </c>
      <c r="F3409" s="5">
        <f>vlookup(B3409,Filmes_final!$B$2:$U$1001,3,FALSE)</f>
        <v>1972</v>
      </c>
      <c r="G3409" s="5" t="str">
        <f>vlookup(B3409,Filmes_final!$B$2:$U$1001,13,FALSE)</f>
        <v>John Boorman</v>
      </c>
    </row>
    <row r="3410">
      <c r="A3410" s="5">
        <v>853.0</v>
      </c>
      <c r="B3410" s="5" t="s">
        <v>4928</v>
      </c>
      <c r="C3410" s="5" t="s">
        <v>1191</v>
      </c>
      <c r="D3410" s="5" t="s">
        <v>6634</v>
      </c>
      <c r="E3410" s="8">
        <f>vlookup(B3410,Filmes_final!$B$2:$U$1001,20,FALSE)</f>
        <v>101313314</v>
      </c>
      <c r="F3410" s="5">
        <f>vlookup(B3410,Filmes_final!$B$2:$U$1001,3,FALSE)</f>
        <v>1971</v>
      </c>
      <c r="G3410" s="5" t="str">
        <f>vlookup(B3410,Filmes_final!$B$2:$U$1001,13,FALSE)</f>
        <v>William Friedkin</v>
      </c>
    </row>
    <row r="3411">
      <c r="A3411" s="5">
        <v>853.0</v>
      </c>
      <c r="B3411" s="5" t="s">
        <v>4928</v>
      </c>
      <c r="C3411" s="5" t="s">
        <v>2677</v>
      </c>
      <c r="D3411" s="5" t="s">
        <v>6635</v>
      </c>
      <c r="E3411" s="8">
        <f>vlookup(B3411,Filmes_final!$B$2:$U$1001,20,FALSE)</f>
        <v>101313314</v>
      </c>
      <c r="F3411" s="5">
        <f>vlookup(B3411,Filmes_final!$B$2:$U$1001,3,FALSE)</f>
        <v>1971</v>
      </c>
      <c r="G3411" s="5" t="str">
        <f>vlookup(B3411,Filmes_final!$B$2:$U$1001,13,FALSE)</f>
        <v>William Friedkin</v>
      </c>
    </row>
    <row r="3412">
      <c r="A3412" s="5">
        <v>853.0</v>
      </c>
      <c r="B3412" s="5" t="s">
        <v>4928</v>
      </c>
      <c r="C3412" s="5" t="s">
        <v>3349</v>
      </c>
      <c r="D3412" s="5" t="s">
        <v>6636</v>
      </c>
      <c r="E3412" s="8">
        <f>vlookup(B3412,Filmes_final!$B$2:$U$1001,20,FALSE)</f>
        <v>101313314</v>
      </c>
      <c r="F3412" s="5">
        <f>vlookup(B3412,Filmes_final!$B$2:$U$1001,3,FALSE)</f>
        <v>1971</v>
      </c>
      <c r="G3412" s="5" t="str">
        <f>vlookup(B3412,Filmes_final!$B$2:$U$1001,13,FALSE)</f>
        <v>William Friedkin</v>
      </c>
    </row>
    <row r="3413">
      <c r="A3413" s="5">
        <v>853.0</v>
      </c>
      <c r="B3413" s="5" t="s">
        <v>4928</v>
      </c>
      <c r="C3413" s="5" t="s">
        <v>4930</v>
      </c>
      <c r="D3413" s="5" t="s">
        <v>6637</v>
      </c>
      <c r="E3413" s="8">
        <f>vlookup(B3413,Filmes_final!$B$2:$U$1001,20,FALSE)</f>
        <v>101313314</v>
      </c>
      <c r="F3413" s="5">
        <f>vlookup(B3413,Filmes_final!$B$2:$U$1001,3,FALSE)</f>
        <v>1971</v>
      </c>
      <c r="G3413" s="5" t="str">
        <f>vlookup(B3413,Filmes_final!$B$2:$U$1001,13,FALSE)</f>
        <v>William Friedkin</v>
      </c>
    </row>
    <row r="3414">
      <c r="A3414" s="5">
        <v>854.0</v>
      </c>
      <c r="B3414" s="5" t="s">
        <v>4931</v>
      </c>
      <c r="C3414" s="5" t="s">
        <v>119</v>
      </c>
      <c r="D3414" s="5" t="s">
        <v>6634</v>
      </c>
      <c r="E3414" s="8">
        <f>vlookup(B3414,Filmes_final!$B$2:$U$1001,20,FALSE)</f>
        <v>232692435</v>
      </c>
      <c r="F3414" s="5">
        <f>vlookup(B3414,Filmes_final!$B$2:$U$1001,3,FALSE)</f>
        <v>1971</v>
      </c>
      <c r="G3414" s="5" t="str">
        <f>vlookup(B3414,Filmes_final!$B$2:$U$1001,13,FALSE)</f>
        <v>Don Siegel</v>
      </c>
    </row>
    <row r="3415">
      <c r="A3415" s="5">
        <v>854.0</v>
      </c>
      <c r="B3415" s="5" t="s">
        <v>4931</v>
      </c>
      <c r="C3415" s="5" t="s">
        <v>4934</v>
      </c>
      <c r="D3415" s="5" t="s">
        <v>6635</v>
      </c>
      <c r="E3415" s="8">
        <f>vlookup(B3415,Filmes_final!$B$2:$U$1001,20,FALSE)</f>
        <v>232692435</v>
      </c>
      <c r="F3415" s="5">
        <f>vlookup(B3415,Filmes_final!$B$2:$U$1001,3,FALSE)</f>
        <v>1971</v>
      </c>
      <c r="G3415" s="5" t="str">
        <f>vlookup(B3415,Filmes_final!$B$2:$U$1001,13,FALSE)</f>
        <v>Don Siegel</v>
      </c>
    </row>
    <row r="3416">
      <c r="A3416" s="5">
        <v>854.0</v>
      </c>
      <c r="B3416" s="5" t="s">
        <v>4931</v>
      </c>
      <c r="C3416" s="5" t="s">
        <v>4935</v>
      </c>
      <c r="D3416" s="5" t="s">
        <v>6636</v>
      </c>
      <c r="E3416" s="8">
        <f>vlookup(B3416,Filmes_final!$B$2:$U$1001,20,FALSE)</f>
        <v>232692435</v>
      </c>
      <c r="F3416" s="5">
        <f>vlookup(B3416,Filmes_final!$B$2:$U$1001,3,FALSE)</f>
        <v>1971</v>
      </c>
      <c r="G3416" s="5" t="str">
        <f>vlookup(B3416,Filmes_final!$B$2:$U$1001,13,FALSE)</f>
        <v>Don Siegel</v>
      </c>
    </row>
    <row r="3417">
      <c r="A3417" s="5">
        <v>854.0</v>
      </c>
      <c r="B3417" s="5" t="s">
        <v>4931</v>
      </c>
      <c r="C3417" s="5" t="s">
        <v>4936</v>
      </c>
      <c r="D3417" s="5" t="s">
        <v>6637</v>
      </c>
      <c r="E3417" s="8">
        <f>vlookup(B3417,Filmes_final!$B$2:$U$1001,20,FALSE)</f>
        <v>232692435</v>
      </c>
      <c r="F3417" s="5">
        <f>vlookup(B3417,Filmes_final!$B$2:$U$1001,3,FALSE)</f>
        <v>1971</v>
      </c>
      <c r="G3417" s="5" t="str">
        <f>vlookup(B3417,Filmes_final!$B$2:$U$1001,13,FALSE)</f>
        <v>Don Siegel</v>
      </c>
    </row>
    <row r="3418">
      <c r="A3418" s="5">
        <v>855.0</v>
      </c>
      <c r="B3418" s="5" t="s">
        <v>4937</v>
      </c>
      <c r="C3418" s="5" t="s">
        <v>2744</v>
      </c>
      <c r="D3418" s="5" t="s">
        <v>6634</v>
      </c>
      <c r="E3418" s="8">
        <f>vlookup(B3418,Filmes_final!$B$2:$U$1001,20,FALSE)</f>
        <v>53712437</v>
      </c>
      <c r="F3418" s="5">
        <f>vlookup(B3418,Filmes_final!$B$2:$U$1001,3,FALSE)</f>
        <v>1968</v>
      </c>
      <c r="G3418" s="5" t="str">
        <f>vlookup(B3418,Filmes_final!$B$2:$U$1001,13,FALSE)</f>
        <v>Brian G. Hutton</v>
      </c>
    </row>
    <row r="3419">
      <c r="A3419" s="5">
        <v>855.0</v>
      </c>
      <c r="B3419" s="5" t="s">
        <v>4937</v>
      </c>
      <c r="C3419" s="5" t="s">
        <v>119</v>
      </c>
      <c r="D3419" s="5" t="s">
        <v>6635</v>
      </c>
      <c r="E3419" s="8">
        <f>vlookup(B3419,Filmes_final!$B$2:$U$1001,20,FALSE)</f>
        <v>53712437</v>
      </c>
      <c r="F3419" s="5">
        <f>vlookup(B3419,Filmes_final!$B$2:$U$1001,3,FALSE)</f>
        <v>1968</v>
      </c>
      <c r="G3419" s="5" t="str">
        <f>vlookup(B3419,Filmes_final!$B$2:$U$1001,13,FALSE)</f>
        <v>Brian G. Hutton</v>
      </c>
    </row>
    <row r="3420">
      <c r="A3420" s="5">
        <v>855.0</v>
      </c>
      <c r="B3420" s="5" t="s">
        <v>4937</v>
      </c>
      <c r="C3420" s="5" t="s">
        <v>4941</v>
      </c>
      <c r="D3420" s="5" t="s">
        <v>6636</v>
      </c>
      <c r="E3420" s="8">
        <f>vlookup(B3420,Filmes_final!$B$2:$U$1001,20,FALSE)</f>
        <v>53712437</v>
      </c>
      <c r="F3420" s="5">
        <f>vlookup(B3420,Filmes_final!$B$2:$U$1001,3,FALSE)</f>
        <v>1968</v>
      </c>
      <c r="G3420" s="5" t="str">
        <f>vlookup(B3420,Filmes_final!$B$2:$U$1001,13,FALSE)</f>
        <v>Brian G. Hutton</v>
      </c>
    </row>
    <row r="3421">
      <c r="A3421" s="5">
        <v>855.0</v>
      </c>
      <c r="B3421" s="5" t="s">
        <v>4937</v>
      </c>
      <c r="C3421" s="5" t="s">
        <v>4942</v>
      </c>
      <c r="D3421" s="5" t="s">
        <v>6637</v>
      </c>
      <c r="E3421" s="8">
        <f>vlookup(B3421,Filmes_final!$B$2:$U$1001,20,FALSE)</f>
        <v>53712437</v>
      </c>
      <c r="F3421" s="5">
        <f>vlookup(B3421,Filmes_final!$B$2:$U$1001,3,FALSE)</f>
        <v>1968</v>
      </c>
      <c r="G3421" s="5" t="str">
        <f>vlookup(B3421,Filmes_final!$B$2:$U$1001,13,FALSE)</f>
        <v>Brian G. Hutton</v>
      </c>
    </row>
    <row r="3422">
      <c r="A3422" s="5">
        <v>856.0</v>
      </c>
      <c r="B3422" s="5" t="s">
        <v>4943</v>
      </c>
      <c r="C3422" s="5" t="s">
        <v>866</v>
      </c>
      <c r="D3422" s="5" t="s">
        <v>6634</v>
      </c>
      <c r="E3422" s="8">
        <f>vlookup(B3422,Filmes_final!$B$2:$U$1001,20,FALSE)</f>
        <v>336854401</v>
      </c>
      <c r="F3422" s="5">
        <f>vlookup(B3422,Filmes_final!$B$2:$U$1001,3,FALSE)</f>
        <v>1968</v>
      </c>
      <c r="G3422" s="5" t="str">
        <f>vlookup(B3422,Filmes_final!$B$2:$U$1001,13,FALSE)</f>
        <v>Gene Saks</v>
      </c>
    </row>
    <row r="3423">
      <c r="A3423" s="5">
        <v>856.0</v>
      </c>
      <c r="B3423" s="5" t="s">
        <v>4943</v>
      </c>
      <c r="C3423" s="5" t="s">
        <v>2596</v>
      </c>
      <c r="D3423" s="5" t="s">
        <v>6635</v>
      </c>
      <c r="E3423" s="8">
        <f>vlookup(B3423,Filmes_final!$B$2:$U$1001,20,FALSE)</f>
        <v>336854401</v>
      </c>
      <c r="F3423" s="5">
        <f>vlookup(B3423,Filmes_final!$B$2:$U$1001,3,FALSE)</f>
        <v>1968</v>
      </c>
      <c r="G3423" s="5" t="str">
        <f>vlookup(B3423,Filmes_final!$B$2:$U$1001,13,FALSE)</f>
        <v>Gene Saks</v>
      </c>
    </row>
    <row r="3424">
      <c r="A3424" s="5">
        <v>856.0</v>
      </c>
      <c r="B3424" s="5" t="s">
        <v>4943</v>
      </c>
      <c r="C3424" s="5" t="s">
        <v>59</v>
      </c>
      <c r="D3424" s="5" t="s">
        <v>6636</v>
      </c>
      <c r="E3424" s="8">
        <f>vlookup(B3424,Filmes_final!$B$2:$U$1001,20,FALSE)</f>
        <v>336854401</v>
      </c>
      <c r="F3424" s="5">
        <f>vlookup(B3424,Filmes_final!$B$2:$U$1001,3,FALSE)</f>
        <v>1968</v>
      </c>
      <c r="G3424" s="5" t="str">
        <f>vlookup(B3424,Filmes_final!$B$2:$U$1001,13,FALSE)</f>
        <v>Gene Saks</v>
      </c>
    </row>
    <row r="3425">
      <c r="A3425" s="5">
        <v>856.0</v>
      </c>
      <c r="B3425" s="5" t="s">
        <v>4943</v>
      </c>
      <c r="C3425" s="5" t="s">
        <v>4946</v>
      </c>
      <c r="D3425" s="5" t="s">
        <v>6637</v>
      </c>
      <c r="E3425" s="8">
        <f>vlookup(B3425,Filmes_final!$B$2:$U$1001,20,FALSE)</f>
        <v>336854401</v>
      </c>
      <c r="F3425" s="5">
        <f>vlookup(B3425,Filmes_final!$B$2:$U$1001,3,FALSE)</f>
        <v>1968</v>
      </c>
      <c r="G3425" s="5" t="str">
        <f>vlookup(B3425,Filmes_final!$B$2:$U$1001,13,FALSE)</f>
        <v>Gene Saks</v>
      </c>
    </row>
    <row r="3426">
      <c r="A3426" s="5">
        <v>857.0</v>
      </c>
      <c r="B3426" s="5" t="s">
        <v>4947</v>
      </c>
      <c r="C3426" s="5" t="s">
        <v>1986</v>
      </c>
      <c r="D3426" s="5" t="s">
        <v>6634</v>
      </c>
      <c r="E3426" s="8">
        <f>vlookup(B3426,Filmes_final!$B$2:$U$1001,20,FALSE)</f>
        <v>355200191</v>
      </c>
      <c r="F3426" s="5">
        <f>vlookup(B3426,Filmes_final!$B$2:$U$1001,3,FALSE)</f>
        <v>1967</v>
      </c>
      <c r="G3426" s="5" t="str">
        <f>vlookup(B3426,Filmes_final!$B$2:$U$1001,13,FALSE)</f>
        <v>Robert Aldrich</v>
      </c>
    </row>
    <row r="3427">
      <c r="A3427" s="5">
        <v>857.0</v>
      </c>
      <c r="B3427" s="5" t="s">
        <v>4947</v>
      </c>
      <c r="C3427" s="5" t="s">
        <v>3373</v>
      </c>
      <c r="D3427" s="5" t="s">
        <v>6635</v>
      </c>
      <c r="E3427" s="8">
        <f>vlookup(B3427,Filmes_final!$B$2:$U$1001,20,FALSE)</f>
        <v>355200191</v>
      </c>
      <c r="F3427" s="5">
        <f>vlookup(B3427,Filmes_final!$B$2:$U$1001,3,FALSE)</f>
        <v>1967</v>
      </c>
      <c r="G3427" s="5" t="str">
        <f>vlookup(B3427,Filmes_final!$B$2:$U$1001,13,FALSE)</f>
        <v>Robert Aldrich</v>
      </c>
    </row>
    <row r="3428">
      <c r="A3428" s="5">
        <v>857.0</v>
      </c>
      <c r="B3428" s="5" t="s">
        <v>4947</v>
      </c>
      <c r="C3428" s="5" t="s">
        <v>392</v>
      </c>
      <c r="D3428" s="5" t="s">
        <v>6636</v>
      </c>
      <c r="E3428" s="8">
        <f>vlookup(B3428,Filmes_final!$B$2:$U$1001,20,FALSE)</f>
        <v>355200191</v>
      </c>
      <c r="F3428" s="5">
        <f>vlookup(B3428,Filmes_final!$B$2:$U$1001,3,FALSE)</f>
        <v>1967</v>
      </c>
      <c r="G3428" s="5" t="str">
        <f>vlookup(B3428,Filmes_final!$B$2:$U$1001,13,FALSE)</f>
        <v>Robert Aldrich</v>
      </c>
    </row>
    <row r="3429">
      <c r="A3429" s="5">
        <v>857.0</v>
      </c>
      <c r="B3429" s="5" t="s">
        <v>4947</v>
      </c>
      <c r="C3429" s="5" t="s">
        <v>2729</v>
      </c>
      <c r="D3429" s="5" t="s">
        <v>6637</v>
      </c>
      <c r="E3429" s="8">
        <f>vlookup(B3429,Filmes_final!$B$2:$U$1001,20,FALSE)</f>
        <v>355200191</v>
      </c>
      <c r="F3429" s="5">
        <f>vlookup(B3429,Filmes_final!$B$2:$U$1001,3,FALSE)</f>
        <v>1967</v>
      </c>
      <c r="G3429" s="5" t="str">
        <f>vlookup(B3429,Filmes_final!$B$2:$U$1001,13,FALSE)</f>
        <v>Robert Aldrich</v>
      </c>
    </row>
    <row r="3430">
      <c r="A3430" s="5">
        <v>858.0</v>
      </c>
      <c r="B3430" s="5" t="s">
        <v>4949</v>
      </c>
      <c r="C3430" s="5" t="s">
        <v>2346</v>
      </c>
      <c r="D3430" s="5" t="s">
        <v>6634</v>
      </c>
      <c r="E3430" s="8">
        <f>vlookup(B3430,Filmes_final!$B$2:$U$1001,20,FALSE)</f>
        <v>206463</v>
      </c>
      <c r="F3430" s="5">
        <f>vlookup(B3430,Filmes_final!$B$2:$U$1001,3,FALSE)</f>
        <v>1967</v>
      </c>
      <c r="G3430" s="5" t="str">
        <f>vlookup(B3430,Filmes_final!$B$2:$U$1001,13,FALSE)</f>
        <v>Luis Buñuel</v>
      </c>
    </row>
    <row r="3431">
      <c r="A3431" s="5">
        <v>858.0</v>
      </c>
      <c r="B3431" s="5" t="s">
        <v>4949</v>
      </c>
      <c r="C3431" s="5" t="s">
        <v>4951</v>
      </c>
      <c r="D3431" s="5" t="s">
        <v>6635</v>
      </c>
      <c r="E3431" s="8">
        <f>vlookup(B3431,Filmes_final!$B$2:$U$1001,20,FALSE)</f>
        <v>206463</v>
      </c>
      <c r="F3431" s="5">
        <f>vlookup(B3431,Filmes_final!$B$2:$U$1001,3,FALSE)</f>
        <v>1967</v>
      </c>
      <c r="G3431" s="5" t="str">
        <f>vlookup(B3431,Filmes_final!$B$2:$U$1001,13,FALSE)</f>
        <v>Luis Buñuel</v>
      </c>
    </row>
    <row r="3432">
      <c r="A3432" s="5">
        <v>858.0</v>
      </c>
      <c r="B3432" s="5" t="s">
        <v>4949</v>
      </c>
      <c r="C3432" s="5" t="s">
        <v>4952</v>
      </c>
      <c r="D3432" s="5" t="s">
        <v>6636</v>
      </c>
      <c r="E3432" s="8">
        <f>vlookup(B3432,Filmes_final!$B$2:$U$1001,20,FALSE)</f>
        <v>206463</v>
      </c>
      <c r="F3432" s="5">
        <f>vlookup(B3432,Filmes_final!$B$2:$U$1001,3,FALSE)</f>
        <v>1967</v>
      </c>
      <c r="G3432" s="5" t="str">
        <f>vlookup(B3432,Filmes_final!$B$2:$U$1001,13,FALSE)</f>
        <v>Luis Buñuel</v>
      </c>
    </row>
    <row r="3433">
      <c r="A3433" s="5">
        <v>858.0</v>
      </c>
      <c r="B3433" s="5" t="s">
        <v>4949</v>
      </c>
      <c r="C3433" s="5" t="s">
        <v>4953</v>
      </c>
      <c r="D3433" s="5" t="s">
        <v>6637</v>
      </c>
      <c r="E3433" s="8">
        <f>vlookup(B3433,Filmes_final!$B$2:$U$1001,20,FALSE)</f>
        <v>206463</v>
      </c>
      <c r="F3433" s="5">
        <f>vlookup(B3433,Filmes_final!$B$2:$U$1001,3,FALSE)</f>
        <v>1967</v>
      </c>
      <c r="G3433" s="5" t="str">
        <f>vlookup(B3433,Filmes_final!$B$2:$U$1001,13,FALSE)</f>
        <v>Luis Buñuel</v>
      </c>
    </row>
    <row r="3434">
      <c r="A3434" s="5">
        <v>859.0</v>
      </c>
      <c r="B3434" s="5" t="s">
        <v>4954</v>
      </c>
      <c r="C3434" s="5" t="s">
        <v>4956</v>
      </c>
      <c r="D3434" s="5" t="s">
        <v>6634</v>
      </c>
      <c r="E3434" s="8">
        <f>vlookup(B3434,Filmes_final!$B$2:$U$1001,20,FALSE)</f>
        <v>229983580</v>
      </c>
      <c r="F3434" s="5">
        <f>vlookup(B3434,Filmes_final!$B$2:$U$1001,3,FALSE)</f>
        <v>1966</v>
      </c>
      <c r="G3434" s="5" t="str">
        <f>vlookup(B3434,Filmes_final!$B$2:$U$1001,13,FALSE)</f>
        <v>Fred Zinnemann</v>
      </c>
    </row>
    <row r="3435">
      <c r="A3435" s="5">
        <v>859.0</v>
      </c>
      <c r="B3435" s="5" t="s">
        <v>4954</v>
      </c>
      <c r="C3435" s="5" t="s">
        <v>4957</v>
      </c>
      <c r="D3435" s="5" t="s">
        <v>6635</v>
      </c>
      <c r="E3435" s="8">
        <f>vlookup(B3435,Filmes_final!$B$2:$U$1001,20,FALSE)</f>
        <v>229983580</v>
      </c>
      <c r="F3435" s="5">
        <f>vlookup(B3435,Filmes_final!$B$2:$U$1001,3,FALSE)</f>
        <v>1966</v>
      </c>
      <c r="G3435" s="5" t="str">
        <f>vlookup(B3435,Filmes_final!$B$2:$U$1001,13,FALSE)</f>
        <v>Fred Zinnemann</v>
      </c>
    </row>
    <row r="3436">
      <c r="A3436" s="5">
        <v>859.0</v>
      </c>
      <c r="B3436" s="5" t="s">
        <v>4954</v>
      </c>
      <c r="C3436" s="5" t="s">
        <v>836</v>
      </c>
      <c r="D3436" s="5" t="s">
        <v>6636</v>
      </c>
      <c r="E3436" s="8">
        <f>vlookup(B3436,Filmes_final!$B$2:$U$1001,20,FALSE)</f>
        <v>229983580</v>
      </c>
      <c r="F3436" s="5">
        <f>vlookup(B3436,Filmes_final!$B$2:$U$1001,3,FALSE)</f>
        <v>1966</v>
      </c>
      <c r="G3436" s="5" t="str">
        <f>vlookup(B3436,Filmes_final!$B$2:$U$1001,13,FALSE)</f>
        <v>Fred Zinnemann</v>
      </c>
    </row>
    <row r="3437">
      <c r="A3437" s="5">
        <v>859.0</v>
      </c>
      <c r="B3437" s="5" t="s">
        <v>4954</v>
      </c>
      <c r="C3437" s="5" t="s">
        <v>4958</v>
      </c>
      <c r="D3437" s="5" t="s">
        <v>6637</v>
      </c>
      <c r="E3437" s="8">
        <f>vlookup(B3437,Filmes_final!$B$2:$U$1001,20,FALSE)</f>
        <v>229983580</v>
      </c>
      <c r="F3437" s="5">
        <f>vlookup(B3437,Filmes_final!$B$2:$U$1001,3,FALSE)</f>
        <v>1966</v>
      </c>
      <c r="G3437" s="5" t="str">
        <f>vlookup(B3437,Filmes_final!$B$2:$U$1001,13,FALSE)</f>
        <v>Fred Zinnemann</v>
      </c>
    </row>
    <row r="3438">
      <c r="A3438" s="5">
        <v>860.0</v>
      </c>
      <c r="B3438" s="5" t="s">
        <v>4959</v>
      </c>
      <c r="C3438" s="5" t="s">
        <v>2346</v>
      </c>
      <c r="D3438" s="5" t="s">
        <v>6634</v>
      </c>
      <c r="E3438" s="8">
        <f>vlookup(B3438,Filmes_final!$B$2:$U$1001,20,FALSE)</f>
        <v>274293</v>
      </c>
      <c r="F3438" s="5">
        <f>vlookup(B3438,Filmes_final!$B$2:$U$1001,3,FALSE)</f>
        <v>1965</v>
      </c>
      <c r="G3438" s="5" t="str">
        <f>vlookup(B3438,Filmes_final!$B$2:$U$1001,13,FALSE)</f>
        <v>Roman Polanski</v>
      </c>
    </row>
    <row r="3439">
      <c r="A3439" s="5">
        <v>860.0</v>
      </c>
      <c r="B3439" s="5" t="s">
        <v>4959</v>
      </c>
      <c r="C3439" s="5" t="s">
        <v>4961</v>
      </c>
      <c r="D3439" s="5" t="s">
        <v>6635</v>
      </c>
      <c r="E3439" s="8">
        <f>vlookup(B3439,Filmes_final!$B$2:$U$1001,20,FALSE)</f>
        <v>274293</v>
      </c>
      <c r="F3439" s="5">
        <f>vlookup(B3439,Filmes_final!$B$2:$U$1001,3,FALSE)</f>
        <v>1965</v>
      </c>
      <c r="G3439" s="5" t="str">
        <f>vlookup(B3439,Filmes_final!$B$2:$U$1001,13,FALSE)</f>
        <v>Roman Polanski</v>
      </c>
    </row>
    <row r="3440">
      <c r="A3440" s="5">
        <v>860.0</v>
      </c>
      <c r="B3440" s="5" t="s">
        <v>4959</v>
      </c>
      <c r="C3440" s="5" t="s">
        <v>4962</v>
      </c>
      <c r="D3440" s="5" t="s">
        <v>6636</v>
      </c>
      <c r="E3440" s="8">
        <f>vlookup(B3440,Filmes_final!$B$2:$U$1001,20,FALSE)</f>
        <v>274293</v>
      </c>
      <c r="F3440" s="5">
        <f>vlookup(B3440,Filmes_final!$B$2:$U$1001,3,FALSE)</f>
        <v>1965</v>
      </c>
      <c r="G3440" s="5" t="str">
        <f>vlookup(B3440,Filmes_final!$B$2:$U$1001,13,FALSE)</f>
        <v>Roman Polanski</v>
      </c>
    </row>
    <row r="3441">
      <c r="A3441" s="5">
        <v>860.0</v>
      </c>
      <c r="B3441" s="5" t="s">
        <v>4959</v>
      </c>
      <c r="C3441" s="5" t="s">
        <v>2786</v>
      </c>
      <c r="D3441" s="5" t="s">
        <v>6637</v>
      </c>
      <c r="E3441" s="8">
        <f>vlookup(B3441,Filmes_final!$B$2:$U$1001,20,FALSE)</f>
        <v>274293</v>
      </c>
      <c r="F3441" s="5">
        <f>vlookup(B3441,Filmes_final!$B$2:$U$1001,3,FALSE)</f>
        <v>1965</v>
      </c>
      <c r="G3441" s="5" t="str">
        <f>vlookup(B3441,Filmes_final!$B$2:$U$1001,13,FALSE)</f>
        <v>Roman Polanski</v>
      </c>
    </row>
    <row r="3442">
      <c r="A3442" s="5">
        <v>861.0</v>
      </c>
      <c r="B3442" s="5" t="s">
        <v>4963</v>
      </c>
      <c r="C3442" s="5" t="s">
        <v>4966</v>
      </c>
      <c r="D3442" s="5" t="s">
        <v>6634</v>
      </c>
      <c r="E3442" s="8">
        <f>vlookup(B3442,Filmes_final!$B$2:$U$1001,20,FALSE)</f>
        <v>14359551</v>
      </c>
      <c r="F3442" s="5">
        <f>vlookup(B3442,Filmes_final!$B$2:$U$1001,3,FALSE)</f>
        <v>1964</v>
      </c>
      <c r="G3442" s="5" t="str">
        <f>vlookup(B3442,Filmes_final!$B$2:$U$1001,13,FALSE)</f>
        <v>Cy Endfield</v>
      </c>
    </row>
    <row r="3443">
      <c r="A3443" s="5">
        <v>861.0</v>
      </c>
      <c r="B3443" s="5" t="s">
        <v>4963</v>
      </c>
      <c r="C3443" s="5" t="s">
        <v>863</v>
      </c>
      <c r="D3443" s="5" t="s">
        <v>6635</v>
      </c>
      <c r="E3443" s="8">
        <f>vlookup(B3443,Filmes_final!$B$2:$U$1001,20,FALSE)</f>
        <v>14359551</v>
      </c>
      <c r="F3443" s="5">
        <f>vlookup(B3443,Filmes_final!$B$2:$U$1001,3,FALSE)</f>
        <v>1964</v>
      </c>
      <c r="G3443" s="5" t="str">
        <f>vlookup(B3443,Filmes_final!$B$2:$U$1001,13,FALSE)</f>
        <v>Cy Endfield</v>
      </c>
    </row>
    <row r="3444">
      <c r="A3444" s="5">
        <v>861.0</v>
      </c>
      <c r="B3444" s="5" t="s">
        <v>4963</v>
      </c>
      <c r="C3444" s="5" t="s">
        <v>4967</v>
      </c>
      <c r="D3444" s="5" t="s">
        <v>6636</v>
      </c>
      <c r="E3444" s="8">
        <f>vlookup(B3444,Filmes_final!$B$2:$U$1001,20,FALSE)</f>
        <v>14359551</v>
      </c>
      <c r="F3444" s="5">
        <f>vlookup(B3444,Filmes_final!$B$2:$U$1001,3,FALSE)</f>
        <v>1964</v>
      </c>
      <c r="G3444" s="5" t="str">
        <f>vlookup(B3444,Filmes_final!$B$2:$U$1001,13,FALSE)</f>
        <v>Cy Endfield</v>
      </c>
    </row>
    <row r="3445">
      <c r="A3445" s="5">
        <v>861.0</v>
      </c>
      <c r="B3445" s="5" t="s">
        <v>4963</v>
      </c>
      <c r="C3445" s="5" t="s">
        <v>4968</v>
      </c>
      <c r="D3445" s="5" t="s">
        <v>6637</v>
      </c>
      <c r="E3445" s="8">
        <f>vlookup(B3445,Filmes_final!$B$2:$U$1001,20,FALSE)</f>
        <v>14359551</v>
      </c>
      <c r="F3445" s="5">
        <f>vlookup(B3445,Filmes_final!$B$2:$U$1001,3,FALSE)</f>
        <v>1964</v>
      </c>
      <c r="G3445" s="5" t="str">
        <f>vlookup(B3445,Filmes_final!$B$2:$U$1001,13,FALSE)</f>
        <v>Cy Endfield</v>
      </c>
    </row>
    <row r="3446">
      <c r="A3446" s="5">
        <v>862.0</v>
      </c>
      <c r="B3446" s="5" t="s">
        <v>4969</v>
      </c>
      <c r="C3446" s="5" t="s">
        <v>1195</v>
      </c>
      <c r="D3446" s="5" t="s">
        <v>6634</v>
      </c>
      <c r="E3446" s="8">
        <f>vlookup(B3446,Filmes_final!$B$2:$U$1001,20,FALSE)</f>
        <v>426454131</v>
      </c>
      <c r="F3446" s="5">
        <f>vlookup(B3446,Filmes_final!$B$2:$U$1001,3,FALSE)</f>
        <v>1964</v>
      </c>
      <c r="G3446" s="5" t="str">
        <f>vlookup(B3446,Filmes_final!$B$2:$U$1001,13,FALSE)</f>
        <v>Guy Hamilton</v>
      </c>
    </row>
    <row r="3447">
      <c r="A3447" s="5">
        <v>862.0</v>
      </c>
      <c r="B3447" s="5" t="s">
        <v>4969</v>
      </c>
      <c r="C3447" s="5" t="s">
        <v>4972</v>
      </c>
      <c r="D3447" s="5" t="s">
        <v>6635</v>
      </c>
      <c r="E3447" s="8">
        <f>vlookup(B3447,Filmes_final!$B$2:$U$1001,20,FALSE)</f>
        <v>426454131</v>
      </c>
      <c r="F3447" s="5">
        <f>vlookup(B3447,Filmes_final!$B$2:$U$1001,3,FALSE)</f>
        <v>1964</v>
      </c>
      <c r="G3447" s="5" t="str">
        <f>vlookup(B3447,Filmes_final!$B$2:$U$1001,13,FALSE)</f>
        <v>Guy Hamilton</v>
      </c>
    </row>
    <row r="3448">
      <c r="A3448" s="5">
        <v>862.0</v>
      </c>
      <c r="B3448" s="5" t="s">
        <v>4969</v>
      </c>
      <c r="C3448" s="5" t="s">
        <v>4973</v>
      </c>
      <c r="D3448" s="5" t="s">
        <v>6636</v>
      </c>
      <c r="E3448" s="8">
        <f>vlookup(B3448,Filmes_final!$B$2:$U$1001,20,FALSE)</f>
        <v>426454131</v>
      </c>
      <c r="F3448" s="5">
        <f>vlookup(B3448,Filmes_final!$B$2:$U$1001,3,FALSE)</f>
        <v>1964</v>
      </c>
      <c r="G3448" s="5" t="str">
        <f>vlookup(B3448,Filmes_final!$B$2:$U$1001,13,FALSE)</f>
        <v>Guy Hamilton</v>
      </c>
    </row>
    <row r="3449">
      <c r="A3449" s="5">
        <v>862.0</v>
      </c>
      <c r="B3449" s="5" t="s">
        <v>4969</v>
      </c>
      <c r="C3449" s="5" t="s">
        <v>4974</v>
      </c>
      <c r="D3449" s="5" t="s">
        <v>6637</v>
      </c>
      <c r="E3449" s="8">
        <f>vlookup(B3449,Filmes_final!$B$2:$U$1001,20,FALSE)</f>
        <v>426454131</v>
      </c>
      <c r="F3449" s="5">
        <f>vlookup(B3449,Filmes_final!$B$2:$U$1001,3,FALSE)</f>
        <v>1964</v>
      </c>
      <c r="G3449" s="5" t="str">
        <f>vlookup(B3449,Filmes_final!$B$2:$U$1001,13,FALSE)</f>
        <v>Guy Hamilton</v>
      </c>
    </row>
    <row r="3450">
      <c r="A3450" s="5">
        <v>863.0</v>
      </c>
      <c r="B3450" s="5" t="s">
        <v>4975</v>
      </c>
      <c r="C3450" s="5" t="s">
        <v>4978</v>
      </c>
      <c r="D3450" s="5" t="s">
        <v>6634</v>
      </c>
      <c r="E3450" s="8">
        <f>vlookup(B3450,Filmes_final!$B$2:$U$1001,20,FALSE)</f>
        <v>96769072</v>
      </c>
      <c r="F3450" s="5">
        <f>vlookup(B3450,Filmes_final!$B$2:$U$1001,3,FALSE)</f>
        <v>1963</v>
      </c>
      <c r="G3450" s="5" t="str">
        <f>vlookup(B3450,Filmes_final!$B$2:$U$1001,13,FALSE)</f>
        <v>Alfred Hitchcock</v>
      </c>
    </row>
    <row r="3451">
      <c r="A3451" s="5">
        <v>863.0</v>
      </c>
      <c r="B3451" s="5" t="s">
        <v>4975</v>
      </c>
      <c r="C3451" s="5" t="s">
        <v>4979</v>
      </c>
      <c r="D3451" s="5" t="s">
        <v>6635</v>
      </c>
      <c r="E3451" s="8">
        <f>vlookup(B3451,Filmes_final!$B$2:$U$1001,20,FALSE)</f>
        <v>96769072</v>
      </c>
      <c r="F3451" s="5">
        <f>vlookup(B3451,Filmes_final!$B$2:$U$1001,3,FALSE)</f>
        <v>1963</v>
      </c>
      <c r="G3451" s="5" t="str">
        <f>vlookup(B3451,Filmes_final!$B$2:$U$1001,13,FALSE)</f>
        <v>Alfred Hitchcock</v>
      </c>
    </row>
    <row r="3452">
      <c r="A3452" s="5">
        <v>863.0</v>
      </c>
      <c r="B3452" s="5" t="s">
        <v>4975</v>
      </c>
      <c r="C3452" s="5" t="s">
        <v>4799</v>
      </c>
      <c r="D3452" s="5" t="s">
        <v>6636</v>
      </c>
      <c r="E3452" s="8">
        <f>vlookup(B3452,Filmes_final!$B$2:$U$1001,20,FALSE)</f>
        <v>96769072</v>
      </c>
      <c r="F3452" s="5">
        <f>vlookup(B3452,Filmes_final!$B$2:$U$1001,3,FALSE)</f>
        <v>1963</v>
      </c>
      <c r="G3452" s="5" t="str">
        <f>vlookup(B3452,Filmes_final!$B$2:$U$1001,13,FALSE)</f>
        <v>Alfred Hitchcock</v>
      </c>
    </row>
    <row r="3453">
      <c r="A3453" s="5">
        <v>863.0</v>
      </c>
      <c r="B3453" s="5" t="s">
        <v>4975</v>
      </c>
      <c r="C3453" s="5" t="s">
        <v>208</v>
      </c>
      <c r="D3453" s="5" t="s">
        <v>6637</v>
      </c>
      <c r="E3453" s="8">
        <f>vlookup(B3453,Filmes_final!$B$2:$U$1001,20,FALSE)</f>
        <v>96769072</v>
      </c>
      <c r="F3453" s="5">
        <f>vlookup(B3453,Filmes_final!$B$2:$U$1001,3,FALSE)</f>
        <v>1963</v>
      </c>
      <c r="G3453" s="5" t="str">
        <f>vlookup(B3453,Filmes_final!$B$2:$U$1001,13,FALSE)</f>
        <v>Alfred Hitchcock</v>
      </c>
    </row>
    <row r="3454">
      <c r="A3454" s="5">
        <v>864.0</v>
      </c>
      <c r="B3454" s="5" t="s">
        <v>4980</v>
      </c>
      <c r="C3454" s="5" t="s">
        <v>1278</v>
      </c>
      <c r="D3454" s="5" t="s">
        <v>6634</v>
      </c>
      <c r="E3454" s="8">
        <f>vlookup(B3454,Filmes_final!$B$2:$U$1001,20,FALSE)</f>
        <v>25797100</v>
      </c>
      <c r="F3454" s="5">
        <f>vlookup(B3454,Filmes_final!$B$2:$U$1001,3,FALSE)</f>
        <v>1962</v>
      </c>
      <c r="G3454" s="5" t="str">
        <f>vlookup(B3454,Filmes_final!$B$2:$U$1001,13,FALSE)</f>
        <v>J. Lee Thompson</v>
      </c>
    </row>
    <row r="3455">
      <c r="A3455" s="5">
        <v>864.0</v>
      </c>
      <c r="B3455" s="5" t="s">
        <v>4980</v>
      </c>
      <c r="C3455" s="5" t="s">
        <v>2819</v>
      </c>
      <c r="D3455" s="5" t="s">
        <v>6635</v>
      </c>
      <c r="E3455" s="8">
        <f>vlookup(B3455,Filmes_final!$B$2:$U$1001,20,FALSE)</f>
        <v>25797100</v>
      </c>
      <c r="F3455" s="5">
        <f>vlookup(B3455,Filmes_final!$B$2:$U$1001,3,FALSE)</f>
        <v>1962</v>
      </c>
      <c r="G3455" s="5" t="str">
        <f>vlookup(B3455,Filmes_final!$B$2:$U$1001,13,FALSE)</f>
        <v>J. Lee Thompson</v>
      </c>
    </row>
    <row r="3456">
      <c r="A3456" s="5">
        <v>864.0</v>
      </c>
      <c r="B3456" s="5" t="s">
        <v>4980</v>
      </c>
      <c r="C3456" s="5" t="s">
        <v>4983</v>
      </c>
      <c r="D3456" s="5" t="s">
        <v>6636</v>
      </c>
      <c r="E3456" s="8">
        <f>vlookup(B3456,Filmes_final!$B$2:$U$1001,20,FALSE)</f>
        <v>25797100</v>
      </c>
      <c r="F3456" s="5">
        <f>vlookup(B3456,Filmes_final!$B$2:$U$1001,3,FALSE)</f>
        <v>1962</v>
      </c>
      <c r="G3456" s="5" t="str">
        <f>vlookup(B3456,Filmes_final!$B$2:$U$1001,13,FALSE)</f>
        <v>J. Lee Thompson</v>
      </c>
    </row>
    <row r="3457">
      <c r="A3457" s="5">
        <v>864.0</v>
      </c>
      <c r="B3457" s="5" t="s">
        <v>4980</v>
      </c>
      <c r="C3457" s="5" t="s">
        <v>4984</v>
      </c>
      <c r="D3457" s="5" t="s">
        <v>6637</v>
      </c>
      <c r="E3457" s="8">
        <f>vlookup(B3457,Filmes_final!$B$2:$U$1001,20,FALSE)</f>
        <v>25797100</v>
      </c>
      <c r="F3457" s="5">
        <f>vlookup(B3457,Filmes_final!$B$2:$U$1001,3,FALSE)</f>
        <v>1962</v>
      </c>
      <c r="G3457" s="5" t="str">
        <f>vlookup(B3457,Filmes_final!$B$2:$U$1001,13,FALSE)</f>
        <v>J. Lee Thompson</v>
      </c>
    </row>
    <row r="3458">
      <c r="A3458" s="5">
        <v>865.0</v>
      </c>
      <c r="B3458" s="5" t="s">
        <v>4985</v>
      </c>
      <c r="C3458" s="5" t="s">
        <v>4987</v>
      </c>
      <c r="D3458" s="5" t="s">
        <v>6634</v>
      </c>
      <c r="E3458" s="8">
        <f>vlookup(B3458,Filmes_final!$B$2:$U$1001,20,FALSE)</f>
        <v>739197</v>
      </c>
      <c r="F3458" s="5">
        <f>vlookup(B3458,Filmes_final!$B$2:$U$1001,3,FALSE)</f>
        <v>1960</v>
      </c>
      <c r="G3458" s="5" t="str">
        <f>vlookup(B3458,Filmes_final!$B$2:$U$1001,13,FALSE)</f>
        <v>Michael Powell</v>
      </c>
    </row>
    <row r="3459">
      <c r="A3459" s="5">
        <v>865.0</v>
      </c>
      <c r="B3459" s="5" t="s">
        <v>4985</v>
      </c>
      <c r="C3459" s="5" t="s">
        <v>4988</v>
      </c>
      <c r="D3459" s="5" t="s">
        <v>6635</v>
      </c>
      <c r="E3459" s="8">
        <f>vlookup(B3459,Filmes_final!$B$2:$U$1001,20,FALSE)</f>
        <v>739197</v>
      </c>
      <c r="F3459" s="5">
        <f>vlookup(B3459,Filmes_final!$B$2:$U$1001,3,FALSE)</f>
        <v>1960</v>
      </c>
      <c r="G3459" s="5" t="str">
        <f>vlookup(B3459,Filmes_final!$B$2:$U$1001,13,FALSE)</f>
        <v>Michael Powell</v>
      </c>
    </row>
    <row r="3460">
      <c r="A3460" s="5">
        <v>865.0</v>
      </c>
      <c r="B3460" s="5" t="s">
        <v>4985</v>
      </c>
      <c r="C3460" s="5" t="s">
        <v>2072</v>
      </c>
      <c r="D3460" s="5" t="s">
        <v>6636</v>
      </c>
      <c r="E3460" s="8">
        <f>vlookup(B3460,Filmes_final!$B$2:$U$1001,20,FALSE)</f>
        <v>739197</v>
      </c>
      <c r="F3460" s="5">
        <f>vlookup(B3460,Filmes_final!$B$2:$U$1001,3,FALSE)</f>
        <v>1960</v>
      </c>
      <c r="G3460" s="5" t="str">
        <f>vlookup(B3460,Filmes_final!$B$2:$U$1001,13,FALSE)</f>
        <v>Michael Powell</v>
      </c>
    </row>
    <row r="3461">
      <c r="A3461" s="5">
        <v>865.0</v>
      </c>
      <c r="B3461" s="5" t="s">
        <v>4985</v>
      </c>
      <c r="C3461" s="5" t="s">
        <v>4989</v>
      </c>
      <c r="D3461" s="5" t="s">
        <v>6637</v>
      </c>
      <c r="E3461" s="8">
        <f>vlookup(B3461,Filmes_final!$B$2:$U$1001,20,FALSE)</f>
        <v>739197</v>
      </c>
      <c r="F3461" s="5">
        <f>vlookup(B3461,Filmes_final!$B$2:$U$1001,3,FALSE)</f>
        <v>1960</v>
      </c>
      <c r="G3461" s="5" t="str">
        <f>vlookup(B3461,Filmes_final!$B$2:$U$1001,13,FALSE)</f>
        <v>Michael Powell</v>
      </c>
    </row>
    <row r="3462">
      <c r="A3462" s="5">
        <v>866.0</v>
      </c>
      <c r="B3462" s="5" t="s">
        <v>4990</v>
      </c>
      <c r="C3462" s="5" t="s">
        <v>3423</v>
      </c>
      <c r="D3462" s="5" t="s">
        <v>6634</v>
      </c>
      <c r="E3462" s="8">
        <f>vlookup(B3462,Filmes_final!$B$2:$U$1001,20,FALSE)</f>
        <v>43185930</v>
      </c>
      <c r="F3462" s="5">
        <f>vlookup(B3462,Filmes_final!$B$2:$U$1001,3,FALSE)</f>
        <v>1960</v>
      </c>
      <c r="G3462" s="5" t="str">
        <f>vlookup(B3462,Filmes_final!$B$2:$U$1001,13,FALSE)</f>
        <v>John Sturges</v>
      </c>
    </row>
    <row r="3463">
      <c r="A3463" s="5">
        <v>866.0</v>
      </c>
      <c r="B3463" s="5" t="s">
        <v>4990</v>
      </c>
      <c r="C3463" s="5" t="s">
        <v>1272</v>
      </c>
      <c r="D3463" s="5" t="s">
        <v>6635</v>
      </c>
      <c r="E3463" s="8">
        <f>vlookup(B3463,Filmes_final!$B$2:$U$1001,20,FALSE)</f>
        <v>43185930</v>
      </c>
      <c r="F3463" s="5">
        <f>vlookup(B3463,Filmes_final!$B$2:$U$1001,3,FALSE)</f>
        <v>1960</v>
      </c>
      <c r="G3463" s="5" t="str">
        <f>vlookup(B3463,Filmes_final!$B$2:$U$1001,13,FALSE)</f>
        <v>John Sturges</v>
      </c>
    </row>
    <row r="3464">
      <c r="A3464" s="5">
        <v>866.0</v>
      </c>
      <c r="B3464" s="5" t="s">
        <v>4990</v>
      </c>
      <c r="C3464" s="5" t="s">
        <v>392</v>
      </c>
      <c r="D3464" s="5" t="s">
        <v>6636</v>
      </c>
      <c r="E3464" s="8">
        <f>vlookup(B3464,Filmes_final!$B$2:$U$1001,20,FALSE)</f>
        <v>43185930</v>
      </c>
      <c r="F3464" s="5">
        <f>vlookup(B3464,Filmes_final!$B$2:$U$1001,3,FALSE)</f>
        <v>1960</v>
      </c>
      <c r="G3464" s="5" t="str">
        <f>vlookup(B3464,Filmes_final!$B$2:$U$1001,13,FALSE)</f>
        <v>John Sturges</v>
      </c>
    </row>
    <row r="3465">
      <c r="A3465" s="5">
        <v>866.0</v>
      </c>
      <c r="B3465" s="5" t="s">
        <v>4990</v>
      </c>
      <c r="C3465" s="5" t="s">
        <v>120</v>
      </c>
      <c r="D3465" s="5" t="s">
        <v>6637</v>
      </c>
      <c r="E3465" s="8">
        <f>vlookup(B3465,Filmes_final!$B$2:$U$1001,20,FALSE)</f>
        <v>43185930</v>
      </c>
      <c r="F3465" s="5">
        <f>vlookup(B3465,Filmes_final!$B$2:$U$1001,3,FALSE)</f>
        <v>1960</v>
      </c>
      <c r="G3465" s="5" t="str">
        <f>vlookup(B3465,Filmes_final!$B$2:$U$1001,13,FALSE)</f>
        <v>John Sturges</v>
      </c>
    </row>
    <row r="3466">
      <c r="A3466" s="5">
        <v>867.0</v>
      </c>
      <c r="B3466" s="5" t="s">
        <v>4992</v>
      </c>
      <c r="C3466" s="5" t="s">
        <v>4995</v>
      </c>
      <c r="D3466" s="5" t="s">
        <v>6634</v>
      </c>
      <c r="E3466" s="8">
        <f>vlookup(B3466,Filmes_final!$B$2:$U$1001,20,FALSE)</f>
        <v>464075</v>
      </c>
      <c r="F3466" s="5">
        <f>vlookup(B3466,Filmes_final!$B$2:$U$1001,3,FALSE)</f>
        <v>1960</v>
      </c>
      <c r="G3466" s="5" t="str">
        <f>vlookup(B3466,Filmes_final!$B$2:$U$1001,13,FALSE)</f>
        <v>Georges Franju</v>
      </c>
    </row>
    <row r="3467">
      <c r="A3467" s="5">
        <v>867.0</v>
      </c>
      <c r="B3467" s="5" t="s">
        <v>4992</v>
      </c>
      <c r="C3467" s="5" t="s">
        <v>2063</v>
      </c>
      <c r="D3467" s="5" t="s">
        <v>6635</v>
      </c>
      <c r="E3467" s="8">
        <f>vlookup(B3467,Filmes_final!$B$2:$U$1001,20,FALSE)</f>
        <v>464075</v>
      </c>
      <c r="F3467" s="5">
        <f>vlookup(B3467,Filmes_final!$B$2:$U$1001,3,FALSE)</f>
        <v>1960</v>
      </c>
      <c r="G3467" s="5" t="str">
        <f>vlookup(B3467,Filmes_final!$B$2:$U$1001,13,FALSE)</f>
        <v>Georges Franju</v>
      </c>
    </row>
    <row r="3468">
      <c r="A3468" s="5">
        <v>867.0</v>
      </c>
      <c r="B3468" s="5" t="s">
        <v>4992</v>
      </c>
      <c r="C3468" s="5" t="s">
        <v>4996</v>
      </c>
      <c r="D3468" s="5" t="s">
        <v>6636</v>
      </c>
      <c r="E3468" s="8">
        <f>vlookup(B3468,Filmes_final!$B$2:$U$1001,20,FALSE)</f>
        <v>464075</v>
      </c>
      <c r="F3468" s="5">
        <f>vlookup(B3468,Filmes_final!$B$2:$U$1001,3,FALSE)</f>
        <v>1960</v>
      </c>
      <c r="G3468" s="5" t="str">
        <f>vlookup(B3468,Filmes_final!$B$2:$U$1001,13,FALSE)</f>
        <v>Georges Franju</v>
      </c>
    </row>
    <row r="3469">
      <c r="A3469" s="5">
        <v>867.0</v>
      </c>
      <c r="B3469" s="5" t="s">
        <v>4992</v>
      </c>
      <c r="C3469" s="5" t="s">
        <v>4997</v>
      </c>
      <c r="D3469" s="5" t="s">
        <v>6637</v>
      </c>
      <c r="E3469" s="8">
        <f>vlookup(B3469,Filmes_final!$B$2:$U$1001,20,FALSE)</f>
        <v>464075</v>
      </c>
      <c r="F3469" s="5">
        <f>vlookup(B3469,Filmes_final!$B$2:$U$1001,3,FALSE)</f>
        <v>1960</v>
      </c>
      <c r="G3469" s="5" t="str">
        <f>vlookup(B3469,Filmes_final!$B$2:$U$1001,13,FALSE)</f>
        <v>Georges Franju</v>
      </c>
    </row>
    <row r="3470">
      <c r="A3470" s="5">
        <v>868.0</v>
      </c>
      <c r="B3470" s="5" t="s">
        <v>4998</v>
      </c>
      <c r="C3470" s="5" t="s">
        <v>5000</v>
      </c>
      <c r="D3470" s="5" t="s">
        <v>6634</v>
      </c>
      <c r="E3470" s="8">
        <f>vlookup(B3470,Filmes_final!$B$2:$U$1001,20,FALSE)</f>
        <v>17914</v>
      </c>
      <c r="F3470" s="5">
        <f>vlookup(B3470,Filmes_final!$B$2:$U$1001,3,FALSE)</f>
        <v>1956</v>
      </c>
      <c r="G3470" s="5" t="str">
        <f>vlookup(B3470,Filmes_final!$B$2:$U$1001,13,FALSE)</f>
        <v>Don Siegel</v>
      </c>
    </row>
    <row r="3471">
      <c r="A3471" s="5">
        <v>868.0</v>
      </c>
      <c r="B3471" s="5" t="s">
        <v>4998</v>
      </c>
      <c r="C3471" s="5" t="s">
        <v>5001</v>
      </c>
      <c r="D3471" s="5" t="s">
        <v>6635</v>
      </c>
      <c r="E3471" s="8">
        <f>vlookup(B3471,Filmes_final!$B$2:$U$1001,20,FALSE)</f>
        <v>17914</v>
      </c>
      <c r="F3471" s="5">
        <f>vlookup(B3471,Filmes_final!$B$2:$U$1001,3,FALSE)</f>
        <v>1956</v>
      </c>
      <c r="G3471" s="5" t="str">
        <f>vlookup(B3471,Filmes_final!$B$2:$U$1001,13,FALSE)</f>
        <v>Don Siegel</v>
      </c>
    </row>
    <row r="3472">
      <c r="A3472" s="5">
        <v>868.0</v>
      </c>
      <c r="B3472" s="5" t="s">
        <v>4998</v>
      </c>
      <c r="C3472" s="5" t="s">
        <v>5002</v>
      </c>
      <c r="D3472" s="5" t="s">
        <v>6636</v>
      </c>
      <c r="E3472" s="8">
        <f>vlookup(B3472,Filmes_final!$B$2:$U$1001,20,FALSE)</f>
        <v>17914</v>
      </c>
      <c r="F3472" s="5">
        <f>vlookup(B3472,Filmes_final!$B$2:$U$1001,3,FALSE)</f>
        <v>1956</v>
      </c>
      <c r="G3472" s="5" t="str">
        <f>vlookup(B3472,Filmes_final!$B$2:$U$1001,13,FALSE)</f>
        <v>Don Siegel</v>
      </c>
    </row>
    <row r="3473">
      <c r="A3473" s="5">
        <v>868.0</v>
      </c>
      <c r="B3473" s="5" t="s">
        <v>4998</v>
      </c>
      <c r="C3473" s="5" t="s">
        <v>5003</v>
      </c>
      <c r="D3473" s="5" t="s">
        <v>6637</v>
      </c>
      <c r="E3473" s="8">
        <f>vlookup(B3473,Filmes_final!$B$2:$U$1001,20,FALSE)</f>
        <v>17914</v>
      </c>
      <c r="F3473" s="5">
        <f>vlookup(B3473,Filmes_final!$B$2:$U$1001,3,FALSE)</f>
        <v>1956</v>
      </c>
      <c r="G3473" s="5" t="str">
        <f>vlookup(B3473,Filmes_final!$B$2:$U$1001,13,FALSE)</f>
        <v>Don Siegel</v>
      </c>
    </row>
    <row r="3474">
      <c r="A3474" s="5">
        <v>869.0</v>
      </c>
      <c r="B3474" s="5" t="s">
        <v>5004</v>
      </c>
      <c r="C3474" s="5" t="s">
        <v>3430</v>
      </c>
      <c r="D3474" s="5" t="s">
        <v>6634</v>
      </c>
      <c r="E3474" s="8">
        <f>vlookup(B3474,Filmes_final!$B$2:$U$1001,20,FALSE)</f>
        <v>1932010</v>
      </c>
      <c r="F3474" s="5">
        <f>vlookup(B3474,Filmes_final!$B$2:$U$1001,3,FALSE)</f>
        <v>1955</v>
      </c>
      <c r="G3474" s="5" t="str">
        <f>vlookup(B3474,Filmes_final!$B$2:$U$1001,13,FALSE)</f>
        <v>Nicholas Ray</v>
      </c>
    </row>
    <row r="3475">
      <c r="A3475" s="5">
        <v>869.0</v>
      </c>
      <c r="B3475" s="5" t="s">
        <v>5004</v>
      </c>
      <c r="C3475" s="5" t="s">
        <v>5006</v>
      </c>
      <c r="D3475" s="5" t="s">
        <v>6635</v>
      </c>
      <c r="E3475" s="8">
        <f>vlookup(B3475,Filmes_final!$B$2:$U$1001,20,FALSE)</f>
        <v>1932010</v>
      </c>
      <c r="F3475" s="5">
        <f>vlookup(B3475,Filmes_final!$B$2:$U$1001,3,FALSE)</f>
        <v>1955</v>
      </c>
      <c r="G3475" s="5" t="str">
        <f>vlookup(B3475,Filmes_final!$B$2:$U$1001,13,FALSE)</f>
        <v>Nicholas Ray</v>
      </c>
    </row>
    <row r="3476">
      <c r="A3476" s="5">
        <v>869.0</v>
      </c>
      <c r="B3476" s="5" t="s">
        <v>5004</v>
      </c>
      <c r="C3476" s="5" t="s">
        <v>5007</v>
      </c>
      <c r="D3476" s="5" t="s">
        <v>6636</v>
      </c>
      <c r="E3476" s="8">
        <f>vlookup(B3476,Filmes_final!$B$2:$U$1001,20,FALSE)</f>
        <v>1932010</v>
      </c>
      <c r="F3476" s="5">
        <f>vlookup(B3476,Filmes_final!$B$2:$U$1001,3,FALSE)</f>
        <v>1955</v>
      </c>
      <c r="G3476" s="5" t="str">
        <f>vlookup(B3476,Filmes_final!$B$2:$U$1001,13,FALSE)</f>
        <v>Nicholas Ray</v>
      </c>
    </row>
    <row r="3477">
      <c r="A3477" s="5">
        <v>869.0</v>
      </c>
      <c r="B3477" s="5" t="s">
        <v>5004</v>
      </c>
      <c r="C3477" s="5" t="s">
        <v>5008</v>
      </c>
      <c r="D3477" s="5" t="s">
        <v>6637</v>
      </c>
      <c r="E3477" s="8">
        <f>vlookup(B3477,Filmes_final!$B$2:$U$1001,20,FALSE)</f>
        <v>1932010</v>
      </c>
      <c r="F3477" s="5">
        <f>vlookup(B3477,Filmes_final!$B$2:$U$1001,3,FALSE)</f>
        <v>1955</v>
      </c>
      <c r="G3477" s="5" t="str">
        <f>vlookup(B3477,Filmes_final!$B$2:$U$1001,13,FALSE)</f>
        <v>Nicholas Ray</v>
      </c>
    </row>
    <row r="3478">
      <c r="A3478" s="5">
        <v>870.0</v>
      </c>
      <c r="B3478" s="5" t="s">
        <v>5009</v>
      </c>
      <c r="C3478" s="5" t="s">
        <v>252</v>
      </c>
      <c r="D3478" s="5" t="s">
        <v>6634</v>
      </c>
      <c r="E3478" s="8">
        <f>vlookup(B3478,Filmes_final!$B$2:$U$1001,20,FALSE)</f>
        <v>224280</v>
      </c>
      <c r="F3478" s="5">
        <f>vlookup(B3478,Filmes_final!$B$2:$U$1001,3,FALSE)</f>
        <v>1955</v>
      </c>
      <c r="G3478" s="5" t="str">
        <f>vlookup(B3478,Filmes_final!$B$2:$U$1001,13,FALSE)</f>
        <v>Alexander Mackendrick</v>
      </c>
    </row>
    <row r="3479">
      <c r="A3479" s="5">
        <v>870.0</v>
      </c>
      <c r="B3479" s="5" t="s">
        <v>5009</v>
      </c>
      <c r="C3479" s="5" t="s">
        <v>604</v>
      </c>
      <c r="D3479" s="5" t="s">
        <v>6635</v>
      </c>
      <c r="E3479" s="8">
        <f>vlookup(B3479,Filmes_final!$B$2:$U$1001,20,FALSE)</f>
        <v>224280</v>
      </c>
      <c r="F3479" s="5">
        <f>vlookup(B3479,Filmes_final!$B$2:$U$1001,3,FALSE)</f>
        <v>1955</v>
      </c>
      <c r="G3479" s="5" t="str">
        <f>vlookup(B3479,Filmes_final!$B$2:$U$1001,13,FALSE)</f>
        <v>Alexander Mackendrick</v>
      </c>
    </row>
    <row r="3480">
      <c r="A3480" s="5">
        <v>870.0</v>
      </c>
      <c r="B3480" s="5" t="s">
        <v>5009</v>
      </c>
      <c r="C3480" s="5" t="s">
        <v>5011</v>
      </c>
      <c r="D3480" s="5" t="s">
        <v>6636</v>
      </c>
      <c r="E3480" s="8">
        <f>vlookup(B3480,Filmes_final!$B$2:$U$1001,20,FALSE)</f>
        <v>224280</v>
      </c>
      <c r="F3480" s="5">
        <f>vlookup(B3480,Filmes_final!$B$2:$U$1001,3,FALSE)</f>
        <v>1955</v>
      </c>
      <c r="G3480" s="5" t="str">
        <f>vlookup(B3480,Filmes_final!$B$2:$U$1001,13,FALSE)</f>
        <v>Alexander Mackendrick</v>
      </c>
    </row>
    <row r="3481">
      <c r="A3481" s="5">
        <v>870.0</v>
      </c>
      <c r="B3481" s="5" t="s">
        <v>5009</v>
      </c>
      <c r="C3481" s="5" t="s">
        <v>5012</v>
      </c>
      <c r="D3481" s="5" t="s">
        <v>6637</v>
      </c>
      <c r="E3481" s="8">
        <f>vlookup(B3481,Filmes_final!$B$2:$U$1001,20,FALSE)</f>
        <v>224280</v>
      </c>
      <c r="F3481" s="5">
        <f>vlookup(B3481,Filmes_final!$B$2:$U$1001,3,FALSE)</f>
        <v>1955</v>
      </c>
      <c r="G3481" s="5" t="str">
        <f>vlookup(B3481,Filmes_final!$B$2:$U$1001,13,FALSE)</f>
        <v>Alexander Mackendrick</v>
      </c>
    </row>
    <row r="3482">
      <c r="A3482" s="5">
        <v>871.0</v>
      </c>
      <c r="B3482" s="5" t="s">
        <v>5013</v>
      </c>
      <c r="C3482" s="5" t="s">
        <v>409</v>
      </c>
      <c r="D3482" s="5" t="s">
        <v>6634</v>
      </c>
      <c r="E3482" s="8">
        <f>vlookup(B3482,Filmes_final!$B$2:$U$1001,20,FALSE)</f>
        <v>21470217</v>
      </c>
      <c r="F3482" s="5">
        <f>vlookup(B3482,Filmes_final!$B$2:$U$1001,3,FALSE)</f>
        <v>1954</v>
      </c>
      <c r="G3482" s="5" t="str">
        <f>vlookup(B3482,Filmes_final!$B$2:$U$1001,13,FALSE)</f>
        <v>Billy Wilder</v>
      </c>
    </row>
    <row r="3483">
      <c r="A3483" s="5">
        <v>871.0</v>
      </c>
      <c r="B3483" s="5" t="s">
        <v>5013</v>
      </c>
      <c r="C3483" s="5" t="s">
        <v>2839</v>
      </c>
      <c r="D3483" s="5" t="s">
        <v>6635</v>
      </c>
      <c r="E3483" s="8">
        <f>vlookup(B3483,Filmes_final!$B$2:$U$1001,20,FALSE)</f>
        <v>21470217</v>
      </c>
      <c r="F3483" s="5">
        <f>vlookup(B3483,Filmes_final!$B$2:$U$1001,3,FALSE)</f>
        <v>1954</v>
      </c>
      <c r="G3483" s="5" t="str">
        <f>vlookup(B3483,Filmes_final!$B$2:$U$1001,13,FALSE)</f>
        <v>Billy Wilder</v>
      </c>
    </row>
    <row r="3484">
      <c r="A3484" s="5">
        <v>871.0</v>
      </c>
      <c r="B3484" s="5" t="s">
        <v>5013</v>
      </c>
      <c r="C3484" s="5" t="s">
        <v>630</v>
      </c>
      <c r="D3484" s="5" t="s">
        <v>6636</v>
      </c>
      <c r="E3484" s="8">
        <f>vlookup(B3484,Filmes_final!$B$2:$U$1001,20,FALSE)</f>
        <v>21470217</v>
      </c>
      <c r="F3484" s="5">
        <f>vlookup(B3484,Filmes_final!$B$2:$U$1001,3,FALSE)</f>
        <v>1954</v>
      </c>
      <c r="G3484" s="5" t="str">
        <f>vlookup(B3484,Filmes_final!$B$2:$U$1001,13,FALSE)</f>
        <v>Billy Wilder</v>
      </c>
    </row>
    <row r="3485">
      <c r="A3485" s="5">
        <v>871.0</v>
      </c>
      <c r="B3485" s="5" t="s">
        <v>5013</v>
      </c>
      <c r="C3485" s="5" t="s">
        <v>5015</v>
      </c>
      <c r="D3485" s="5" t="s">
        <v>6637</v>
      </c>
      <c r="E3485" s="8">
        <f>vlookup(B3485,Filmes_final!$B$2:$U$1001,20,FALSE)</f>
        <v>21470217</v>
      </c>
      <c r="F3485" s="5">
        <f>vlookup(B3485,Filmes_final!$B$2:$U$1001,3,FALSE)</f>
        <v>1954</v>
      </c>
      <c r="G3485" s="5" t="str">
        <f>vlookup(B3485,Filmes_final!$B$2:$U$1001,13,FALSE)</f>
        <v>Billy Wilder</v>
      </c>
    </row>
    <row r="3486">
      <c r="A3486" s="5">
        <v>872.0</v>
      </c>
      <c r="B3486" s="5" t="s">
        <v>5016</v>
      </c>
      <c r="C3486" s="5" t="s">
        <v>1985</v>
      </c>
      <c r="D3486" s="5" t="s">
        <v>6634</v>
      </c>
      <c r="E3486" s="8">
        <f>vlookup(B3486,Filmes_final!$B$2:$U$1001,20,FALSE)</f>
        <v>102701662</v>
      </c>
      <c r="F3486" s="5">
        <f>vlookup(B3486,Filmes_final!$B$2:$U$1001,3,FALSE)</f>
        <v>1952</v>
      </c>
      <c r="G3486" s="5" t="str">
        <f>vlookup(B3486,Filmes_final!$B$2:$U$1001,13,FALSE)</f>
        <v>John Ford</v>
      </c>
    </row>
    <row r="3487">
      <c r="A3487" s="5">
        <v>872.0</v>
      </c>
      <c r="B3487" s="5" t="s">
        <v>5016</v>
      </c>
      <c r="C3487" s="5" t="s">
        <v>3454</v>
      </c>
      <c r="D3487" s="5" t="s">
        <v>6635</v>
      </c>
      <c r="E3487" s="8">
        <f>vlookup(B3487,Filmes_final!$B$2:$U$1001,20,FALSE)</f>
        <v>102701662</v>
      </c>
      <c r="F3487" s="5">
        <f>vlookup(B3487,Filmes_final!$B$2:$U$1001,3,FALSE)</f>
        <v>1952</v>
      </c>
      <c r="G3487" s="5" t="str">
        <f>vlookup(B3487,Filmes_final!$B$2:$U$1001,13,FALSE)</f>
        <v>John Ford</v>
      </c>
    </row>
    <row r="3488">
      <c r="A3488" s="5">
        <v>872.0</v>
      </c>
      <c r="B3488" s="5" t="s">
        <v>5016</v>
      </c>
      <c r="C3488" s="5" t="s">
        <v>5018</v>
      </c>
      <c r="D3488" s="5" t="s">
        <v>6636</v>
      </c>
      <c r="E3488" s="8">
        <f>vlookup(B3488,Filmes_final!$B$2:$U$1001,20,FALSE)</f>
        <v>102701662</v>
      </c>
      <c r="F3488" s="5">
        <f>vlookup(B3488,Filmes_final!$B$2:$U$1001,3,FALSE)</f>
        <v>1952</v>
      </c>
      <c r="G3488" s="5" t="str">
        <f>vlookup(B3488,Filmes_final!$B$2:$U$1001,13,FALSE)</f>
        <v>John Ford</v>
      </c>
    </row>
    <row r="3489">
      <c r="A3489" s="5">
        <v>872.0</v>
      </c>
      <c r="B3489" s="5" t="s">
        <v>5016</v>
      </c>
      <c r="C3489" s="5" t="s">
        <v>3427</v>
      </c>
      <c r="D3489" s="5" t="s">
        <v>6637</v>
      </c>
      <c r="E3489" s="8">
        <f>vlookup(B3489,Filmes_final!$B$2:$U$1001,20,FALSE)</f>
        <v>102701662</v>
      </c>
      <c r="F3489" s="5">
        <f>vlookup(B3489,Filmes_final!$B$2:$U$1001,3,FALSE)</f>
        <v>1952</v>
      </c>
      <c r="G3489" s="5" t="str">
        <f>vlookup(B3489,Filmes_final!$B$2:$U$1001,13,FALSE)</f>
        <v>John Ford</v>
      </c>
    </row>
    <row r="3490">
      <c r="A3490" s="5">
        <v>873.0</v>
      </c>
      <c r="B3490" s="5" t="s">
        <v>5019</v>
      </c>
      <c r="C3490" s="5" t="s">
        <v>5021</v>
      </c>
      <c r="D3490" s="5" t="s">
        <v>6634</v>
      </c>
      <c r="E3490" s="8">
        <f>vlookup(B3490,Filmes_final!$B$2:$U$1001,20,FALSE)</f>
        <v>12187606</v>
      </c>
      <c r="F3490" s="5">
        <f>vlookup(B3490,Filmes_final!$B$2:$U$1001,3,FALSE)</f>
        <v>1951</v>
      </c>
      <c r="G3490" s="5" t="str">
        <f>vlookup(B3490,Filmes_final!$B$2:$U$1001,13,FALSE)</f>
        <v>Robert Wise</v>
      </c>
    </row>
    <row r="3491">
      <c r="A3491" s="5">
        <v>873.0</v>
      </c>
      <c r="B3491" s="5" t="s">
        <v>5019</v>
      </c>
      <c r="C3491" s="5" t="s">
        <v>5022</v>
      </c>
      <c r="D3491" s="5" t="s">
        <v>6635</v>
      </c>
      <c r="E3491" s="8">
        <f>vlookup(B3491,Filmes_final!$B$2:$U$1001,20,FALSE)</f>
        <v>12187606</v>
      </c>
      <c r="F3491" s="5">
        <f>vlookup(B3491,Filmes_final!$B$2:$U$1001,3,FALSE)</f>
        <v>1951</v>
      </c>
      <c r="G3491" s="5" t="str">
        <f>vlookup(B3491,Filmes_final!$B$2:$U$1001,13,FALSE)</f>
        <v>Robert Wise</v>
      </c>
    </row>
    <row r="3492">
      <c r="A3492" s="5">
        <v>873.0</v>
      </c>
      <c r="B3492" s="5" t="s">
        <v>5019</v>
      </c>
      <c r="C3492" s="5" t="s">
        <v>5023</v>
      </c>
      <c r="D3492" s="5" t="s">
        <v>6636</v>
      </c>
      <c r="E3492" s="8">
        <f>vlookup(B3492,Filmes_final!$B$2:$U$1001,20,FALSE)</f>
        <v>12187606</v>
      </c>
      <c r="F3492" s="5">
        <f>vlookup(B3492,Filmes_final!$B$2:$U$1001,3,FALSE)</f>
        <v>1951</v>
      </c>
      <c r="G3492" s="5" t="str">
        <f>vlookup(B3492,Filmes_final!$B$2:$U$1001,13,FALSE)</f>
        <v>Robert Wise</v>
      </c>
    </row>
    <row r="3493">
      <c r="A3493" s="5">
        <v>873.0</v>
      </c>
      <c r="B3493" s="5" t="s">
        <v>5019</v>
      </c>
      <c r="C3493" s="5" t="s">
        <v>5024</v>
      </c>
      <c r="D3493" s="5" t="s">
        <v>6637</v>
      </c>
      <c r="E3493" s="8">
        <f>vlookup(B3493,Filmes_final!$B$2:$U$1001,20,FALSE)</f>
        <v>12187606</v>
      </c>
      <c r="F3493" s="5">
        <f>vlookup(B3493,Filmes_final!$B$2:$U$1001,3,FALSE)</f>
        <v>1951</v>
      </c>
      <c r="G3493" s="5" t="str">
        <f>vlookup(B3493,Filmes_final!$B$2:$U$1001,13,FALSE)</f>
        <v>Robert Wise</v>
      </c>
    </row>
    <row r="3494">
      <c r="A3494" s="5">
        <v>874.0</v>
      </c>
      <c r="B3494" s="5" t="s">
        <v>5025</v>
      </c>
      <c r="C3494" s="5" t="s">
        <v>409</v>
      </c>
      <c r="D3494" s="5" t="s">
        <v>6634</v>
      </c>
      <c r="E3494" s="8">
        <f>vlookup(B3494,Filmes_final!$B$2:$U$1001,20,FALSE)</f>
        <v>5444996</v>
      </c>
      <c r="F3494" s="5">
        <f>vlookup(B3494,Filmes_final!$B$2:$U$1001,3,FALSE)</f>
        <v>1951</v>
      </c>
      <c r="G3494" s="5" t="str">
        <f>vlookup(B3494,Filmes_final!$B$2:$U$1001,13,FALSE)</f>
        <v>John Huston</v>
      </c>
    </row>
    <row r="3495">
      <c r="A3495" s="5">
        <v>874.0</v>
      </c>
      <c r="B3495" s="5" t="s">
        <v>5025</v>
      </c>
      <c r="C3495" s="5" t="s">
        <v>3385</v>
      </c>
      <c r="D3495" s="5" t="s">
        <v>6635</v>
      </c>
      <c r="E3495" s="8">
        <f>vlookup(B3495,Filmes_final!$B$2:$U$1001,20,FALSE)</f>
        <v>5444996</v>
      </c>
      <c r="F3495" s="5">
        <f>vlookup(B3495,Filmes_final!$B$2:$U$1001,3,FALSE)</f>
        <v>1951</v>
      </c>
      <c r="G3495" s="5" t="str">
        <f>vlookup(B3495,Filmes_final!$B$2:$U$1001,13,FALSE)</f>
        <v>John Huston</v>
      </c>
    </row>
    <row r="3496">
      <c r="A3496" s="5">
        <v>874.0</v>
      </c>
      <c r="B3496" s="5" t="s">
        <v>5025</v>
      </c>
      <c r="C3496" s="5" t="s">
        <v>5027</v>
      </c>
      <c r="D3496" s="5" t="s">
        <v>6636</v>
      </c>
      <c r="E3496" s="8">
        <f>vlookup(B3496,Filmes_final!$B$2:$U$1001,20,FALSE)</f>
        <v>5444996</v>
      </c>
      <c r="F3496" s="5">
        <f>vlookup(B3496,Filmes_final!$B$2:$U$1001,3,FALSE)</f>
        <v>1951</v>
      </c>
      <c r="G3496" s="5" t="str">
        <f>vlookup(B3496,Filmes_final!$B$2:$U$1001,13,FALSE)</f>
        <v>John Huston</v>
      </c>
    </row>
    <row r="3497">
      <c r="A3497" s="5">
        <v>874.0</v>
      </c>
      <c r="B3497" s="5" t="s">
        <v>5025</v>
      </c>
      <c r="C3497" s="5" t="s">
        <v>5028</v>
      </c>
      <c r="D3497" s="5" t="s">
        <v>6637</v>
      </c>
      <c r="E3497" s="8">
        <f>vlookup(B3497,Filmes_final!$B$2:$U$1001,20,FALSE)</f>
        <v>5444996</v>
      </c>
      <c r="F3497" s="5">
        <f>vlookup(B3497,Filmes_final!$B$2:$U$1001,3,FALSE)</f>
        <v>1951</v>
      </c>
      <c r="G3497" s="5" t="str">
        <f>vlookup(B3497,Filmes_final!$B$2:$U$1001,13,FALSE)</f>
        <v>John Huston</v>
      </c>
    </row>
    <row r="3498">
      <c r="A3498" s="5">
        <v>875.0</v>
      </c>
      <c r="B3498" s="5" t="s">
        <v>5029</v>
      </c>
      <c r="C3498" s="5" t="s">
        <v>5032</v>
      </c>
      <c r="D3498" s="5" t="s">
        <v>6634</v>
      </c>
      <c r="E3498" s="8">
        <f>vlookup(B3498,Filmes_final!$B$2:$U$1001,20,FALSE)</f>
        <v>141742308</v>
      </c>
      <c r="F3498" s="5">
        <f>vlookup(B3498,Filmes_final!$B$2:$U$1001,3,FALSE)</f>
        <v>1946</v>
      </c>
      <c r="G3498" s="5" t="str">
        <f>vlookup(B3498,Filmes_final!$B$2:$U$1001,13,FALSE)</f>
        <v>Charles Vidor</v>
      </c>
    </row>
    <row r="3499">
      <c r="A3499" s="5">
        <v>875.0</v>
      </c>
      <c r="B3499" s="5" t="s">
        <v>5029</v>
      </c>
      <c r="C3499" s="5" t="s">
        <v>5033</v>
      </c>
      <c r="D3499" s="5" t="s">
        <v>6635</v>
      </c>
      <c r="E3499" s="8">
        <f>vlookup(B3499,Filmes_final!$B$2:$U$1001,20,FALSE)</f>
        <v>141742308</v>
      </c>
      <c r="F3499" s="5">
        <f>vlookup(B3499,Filmes_final!$B$2:$U$1001,3,FALSE)</f>
        <v>1946</v>
      </c>
      <c r="G3499" s="5" t="str">
        <f>vlookup(B3499,Filmes_final!$B$2:$U$1001,13,FALSE)</f>
        <v>Charles Vidor</v>
      </c>
    </row>
    <row r="3500">
      <c r="A3500" s="5">
        <v>875.0</v>
      </c>
      <c r="B3500" s="5" t="s">
        <v>5029</v>
      </c>
      <c r="C3500" s="5" t="s">
        <v>620</v>
      </c>
      <c r="D3500" s="5" t="s">
        <v>6636</v>
      </c>
      <c r="E3500" s="8">
        <f>vlookup(B3500,Filmes_final!$B$2:$U$1001,20,FALSE)</f>
        <v>141742308</v>
      </c>
      <c r="F3500" s="5">
        <f>vlookup(B3500,Filmes_final!$B$2:$U$1001,3,FALSE)</f>
        <v>1946</v>
      </c>
      <c r="G3500" s="5" t="str">
        <f>vlookup(B3500,Filmes_final!$B$2:$U$1001,13,FALSE)</f>
        <v>Charles Vidor</v>
      </c>
    </row>
    <row r="3501">
      <c r="A3501" s="5">
        <v>875.0</v>
      </c>
      <c r="B3501" s="5" t="s">
        <v>5029</v>
      </c>
      <c r="C3501" s="5" t="s">
        <v>2801</v>
      </c>
      <c r="D3501" s="5" t="s">
        <v>6637</v>
      </c>
      <c r="E3501" s="8">
        <f>vlookup(B3501,Filmes_final!$B$2:$U$1001,20,FALSE)</f>
        <v>141742308</v>
      </c>
      <c r="F3501" s="5">
        <f>vlookup(B3501,Filmes_final!$B$2:$U$1001,3,FALSE)</f>
        <v>1946</v>
      </c>
      <c r="G3501" s="5" t="str">
        <f>vlookup(B3501,Filmes_final!$B$2:$U$1001,13,FALSE)</f>
        <v>Charles Vidor</v>
      </c>
    </row>
    <row r="3502">
      <c r="A3502" s="5">
        <v>876.0</v>
      </c>
      <c r="B3502" s="5" t="s">
        <v>5034</v>
      </c>
      <c r="C3502" s="5" t="s">
        <v>5037</v>
      </c>
      <c r="D3502" s="5" t="s">
        <v>6634</v>
      </c>
      <c r="E3502" s="8">
        <f>vlookup(B3502,Filmes_final!$B$2:$U$1001,20,FALSE)</f>
        <v>1418062820</v>
      </c>
      <c r="F3502" s="5">
        <f>vlookup(B3502,Filmes_final!$B$2:$U$1001,3,FALSE)</f>
        <v>1940</v>
      </c>
      <c r="G3502" s="5" t="str">
        <f>vlookup(B3502,Filmes_final!$B$2:$U$1001,13,FALSE)</f>
        <v>James Algar</v>
      </c>
    </row>
    <row r="3503">
      <c r="A3503" s="5">
        <v>876.0</v>
      </c>
      <c r="B3503" s="5" t="s">
        <v>5034</v>
      </c>
      <c r="C3503" s="5" t="s">
        <v>5038</v>
      </c>
      <c r="D3503" s="5" t="s">
        <v>6635</v>
      </c>
      <c r="E3503" s="8">
        <f>vlookup(B3503,Filmes_final!$B$2:$U$1001,20,FALSE)</f>
        <v>1418062820</v>
      </c>
      <c r="F3503" s="5">
        <f>vlookup(B3503,Filmes_final!$B$2:$U$1001,3,FALSE)</f>
        <v>1940</v>
      </c>
      <c r="G3503" s="5" t="str">
        <f>vlookup(B3503,Filmes_final!$B$2:$U$1001,13,FALSE)</f>
        <v>James Algar</v>
      </c>
    </row>
    <row r="3504">
      <c r="A3504" s="5">
        <v>876.0</v>
      </c>
      <c r="B3504" s="5" t="s">
        <v>5034</v>
      </c>
      <c r="C3504" s="5" t="s">
        <v>5039</v>
      </c>
      <c r="D3504" s="5" t="s">
        <v>6636</v>
      </c>
      <c r="E3504" s="8">
        <f>vlookup(B3504,Filmes_final!$B$2:$U$1001,20,FALSE)</f>
        <v>1418062820</v>
      </c>
      <c r="F3504" s="5">
        <f>vlookup(B3504,Filmes_final!$B$2:$U$1001,3,FALSE)</f>
        <v>1940</v>
      </c>
      <c r="G3504" s="5" t="str">
        <f>vlookup(B3504,Filmes_final!$B$2:$U$1001,13,FALSE)</f>
        <v>James Algar</v>
      </c>
    </row>
    <row r="3505">
      <c r="A3505" s="5">
        <v>876.0</v>
      </c>
      <c r="B3505" s="5" t="s">
        <v>5034</v>
      </c>
      <c r="C3505" s="5" t="s">
        <v>5040</v>
      </c>
      <c r="D3505" s="5" t="s">
        <v>6637</v>
      </c>
      <c r="E3505" s="8">
        <f>vlookup(B3505,Filmes_final!$B$2:$U$1001,20,FALSE)</f>
        <v>1418062820</v>
      </c>
      <c r="F3505" s="5">
        <f>vlookup(B3505,Filmes_final!$B$2:$U$1001,3,FALSE)</f>
        <v>1940</v>
      </c>
      <c r="G3505" s="5" t="str">
        <f>vlookup(B3505,Filmes_final!$B$2:$U$1001,13,FALSE)</f>
        <v>James Algar</v>
      </c>
    </row>
    <row r="3506">
      <c r="A3506" s="5">
        <v>877.0</v>
      </c>
      <c r="B3506" s="5" t="s">
        <v>5041</v>
      </c>
      <c r="C3506" s="5" t="s">
        <v>412</v>
      </c>
      <c r="D3506" s="5" t="s">
        <v>6634</v>
      </c>
      <c r="E3506" s="8">
        <f>vlookup(B3506,Filmes_final!$B$2:$U$1001,20,FALSE)</f>
        <v>542039</v>
      </c>
      <c r="F3506" s="5">
        <f>vlookup(B3506,Filmes_final!$B$2:$U$1001,3,FALSE)</f>
        <v>1933</v>
      </c>
      <c r="G3506" s="5" t="str">
        <f>vlookup(B3506,Filmes_final!$B$2:$U$1001,13,FALSE)</f>
        <v>James Whale</v>
      </c>
    </row>
    <row r="3507">
      <c r="A3507" s="5">
        <v>877.0</v>
      </c>
      <c r="B3507" s="5" t="s">
        <v>5041</v>
      </c>
      <c r="C3507" s="5" t="s">
        <v>5044</v>
      </c>
      <c r="D3507" s="5" t="s">
        <v>6635</v>
      </c>
      <c r="E3507" s="8">
        <f>vlookup(B3507,Filmes_final!$B$2:$U$1001,20,FALSE)</f>
        <v>542039</v>
      </c>
      <c r="F3507" s="5">
        <f>vlookup(B3507,Filmes_final!$B$2:$U$1001,3,FALSE)</f>
        <v>1933</v>
      </c>
      <c r="G3507" s="5" t="str">
        <f>vlookup(B3507,Filmes_final!$B$2:$U$1001,13,FALSE)</f>
        <v>James Whale</v>
      </c>
    </row>
    <row r="3508">
      <c r="A3508" s="5">
        <v>877.0</v>
      </c>
      <c r="B3508" s="5" t="s">
        <v>5041</v>
      </c>
      <c r="C3508" s="5" t="s">
        <v>5045</v>
      </c>
      <c r="D3508" s="5" t="s">
        <v>6636</v>
      </c>
      <c r="E3508" s="8">
        <f>vlookup(B3508,Filmes_final!$B$2:$U$1001,20,FALSE)</f>
        <v>542039</v>
      </c>
      <c r="F3508" s="5">
        <f>vlookup(B3508,Filmes_final!$B$2:$U$1001,3,FALSE)</f>
        <v>1933</v>
      </c>
      <c r="G3508" s="5" t="str">
        <f>vlookup(B3508,Filmes_final!$B$2:$U$1001,13,FALSE)</f>
        <v>James Whale</v>
      </c>
    </row>
    <row r="3509">
      <c r="A3509" s="5">
        <v>877.0</v>
      </c>
      <c r="B3509" s="5" t="s">
        <v>5041</v>
      </c>
      <c r="C3509" s="5" t="s">
        <v>4258</v>
      </c>
      <c r="D3509" s="5" t="s">
        <v>6637</v>
      </c>
      <c r="E3509" s="8">
        <f>vlookup(B3509,Filmes_final!$B$2:$U$1001,20,FALSE)</f>
        <v>542039</v>
      </c>
      <c r="F3509" s="5">
        <f>vlookup(B3509,Filmes_final!$B$2:$U$1001,3,FALSE)</f>
        <v>1933</v>
      </c>
      <c r="G3509" s="5" t="str">
        <f>vlookup(B3509,Filmes_final!$B$2:$U$1001,13,FALSE)</f>
        <v>James Whale</v>
      </c>
    </row>
    <row r="3510">
      <c r="A3510" s="5">
        <v>878.0</v>
      </c>
      <c r="B3510" s="5" t="s">
        <v>5046</v>
      </c>
      <c r="C3510" s="5" t="s">
        <v>481</v>
      </c>
      <c r="D3510" s="5" t="s">
        <v>6634</v>
      </c>
      <c r="E3510" s="8">
        <f>vlookup(B3510,Filmes_final!$B$2:$U$1001,20,FALSE)</f>
        <v>11412991</v>
      </c>
      <c r="F3510" s="5">
        <f>vlookup(B3510,Filmes_final!$B$2:$U$1001,3,FALSE)</f>
        <v>2019</v>
      </c>
      <c r="G3510" s="5" t="str">
        <f>vlookup(B3510,Filmes_final!$B$2:$U$1001,13,FALSE)</f>
        <v>Todd Haynes</v>
      </c>
    </row>
    <row r="3511">
      <c r="A3511" s="5">
        <v>878.0</v>
      </c>
      <c r="B3511" s="5" t="s">
        <v>5046</v>
      </c>
      <c r="C3511" s="5" t="s">
        <v>191</v>
      </c>
      <c r="D3511" s="5" t="s">
        <v>6635</v>
      </c>
      <c r="E3511" s="8">
        <f>vlookup(B3511,Filmes_final!$B$2:$U$1001,20,FALSE)</f>
        <v>11412991</v>
      </c>
      <c r="F3511" s="5">
        <f>vlookup(B3511,Filmes_final!$B$2:$U$1001,3,FALSE)</f>
        <v>2019</v>
      </c>
      <c r="G3511" s="5" t="str">
        <f>vlookup(B3511,Filmes_final!$B$2:$U$1001,13,FALSE)</f>
        <v>Todd Haynes</v>
      </c>
    </row>
    <row r="3512">
      <c r="A3512" s="5">
        <v>878.0</v>
      </c>
      <c r="B3512" s="5" t="s">
        <v>5046</v>
      </c>
      <c r="C3512" s="5" t="s">
        <v>23</v>
      </c>
      <c r="D3512" s="5" t="s">
        <v>6636</v>
      </c>
      <c r="E3512" s="8">
        <f>vlookup(B3512,Filmes_final!$B$2:$U$1001,20,FALSE)</f>
        <v>11412991</v>
      </c>
      <c r="F3512" s="5">
        <f>vlookup(B3512,Filmes_final!$B$2:$U$1001,3,FALSE)</f>
        <v>2019</v>
      </c>
      <c r="G3512" s="5" t="str">
        <f>vlookup(B3512,Filmes_final!$B$2:$U$1001,13,FALSE)</f>
        <v>Todd Haynes</v>
      </c>
    </row>
    <row r="3513">
      <c r="A3513" s="5">
        <v>878.0</v>
      </c>
      <c r="B3513" s="5" t="s">
        <v>5046</v>
      </c>
      <c r="C3513" s="5" t="s">
        <v>5049</v>
      </c>
      <c r="D3513" s="5" t="s">
        <v>6637</v>
      </c>
      <c r="E3513" s="8">
        <f>vlookup(B3513,Filmes_final!$B$2:$U$1001,20,FALSE)</f>
        <v>11412991</v>
      </c>
      <c r="F3513" s="5">
        <f>vlookup(B3513,Filmes_final!$B$2:$U$1001,3,FALSE)</f>
        <v>2019</v>
      </c>
      <c r="G3513" s="5" t="str">
        <f>vlookup(B3513,Filmes_final!$B$2:$U$1001,13,FALSE)</f>
        <v>Todd Haynes</v>
      </c>
    </row>
    <row r="3514">
      <c r="A3514" s="5">
        <v>879.0</v>
      </c>
      <c r="B3514" s="5" t="s">
        <v>5050</v>
      </c>
      <c r="C3514" s="5" t="s">
        <v>5054</v>
      </c>
      <c r="D3514" s="5" t="s">
        <v>6634</v>
      </c>
      <c r="E3514" s="8">
        <f>vlookup(B3514,Filmes_final!$B$2:$U$1001,20,FALSE)</f>
        <v>27081670</v>
      </c>
      <c r="F3514" s="5">
        <f>vlookup(B3514,Filmes_final!$B$2:$U$1001,3,FALSE)</f>
        <v>2018</v>
      </c>
      <c r="G3514" s="5" t="str">
        <f>vlookup(B3514,Filmes_final!$B$2:$U$1001,13,FALSE)</f>
        <v>Aneesh Chaganty</v>
      </c>
    </row>
    <row r="3515">
      <c r="A3515" s="5">
        <v>879.0</v>
      </c>
      <c r="B3515" s="5" t="s">
        <v>5050</v>
      </c>
      <c r="C3515" s="5" t="s">
        <v>5055</v>
      </c>
      <c r="D3515" s="5" t="s">
        <v>6635</v>
      </c>
      <c r="E3515" s="8">
        <f>vlookup(B3515,Filmes_final!$B$2:$U$1001,20,FALSE)</f>
        <v>27081670</v>
      </c>
      <c r="F3515" s="5">
        <f>vlookup(B3515,Filmes_final!$B$2:$U$1001,3,FALSE)</f>
        <v>2018</v>
      </c>
      <c r="G3515" s="5" t="str">
        <f>vlookup(B3515,Filmes_final!$B$2:$U$1001,13,FALSE)</f>
        <v>Aneesh Chaganty</v>
      </c>
    </row>
    <row r="3516">
      <c r="A3516" s="5">
        <v>879.0</v>
      </c>
      <c r="B3516" s="5" t="s">
        <v>5050</v>
      </c>
      <c r="C3516" s="5" t="s">
        <v>5056</v>
      </c>
      <c r="D3516" s="5" t="s">
        <v>6636</v>
      </c>
      <c r="E3516" s="8">
        <f>vlookup(B3516,Filmes_final!$B$2:$U$1001,20,FALSE)</f>
        <v>27081670</v>
      </c>
      <c r="F3516" s="5">
        <f>vlookup(B3516,Filmes_final!$B$2:$U$1001,3,FALSE)</f>
        <v>2018</v>
      </c>
      <c r="G3516" s="5" t="str">
        <f>vlookup(B3516,Filmes_final!$B$2:$U$1001,13,FALSE)</f>
        <v>Aneesh Chaganty</v>
      </c>
    </row>
    <row r="3517">
      <c r="A3517" s="5">
        <v>879.0</v>
      </c>
      <c r="B3517" s="5" t="s">
        <v>5050</v>
      </c>
      <c r="C3517" s="5" t="s">
        <v>5057</v>
      </c>
      <c r="D3517" s="5" t="s">
        <v>6637</v>
      </c>
      <c r="E3517" s="8">
        <f>vlookup(B3517,Filmes_final!$B$2:$U$1001,20,FALSE)</f>
        <v>27081670</v>
      </c>
      <c r="F3517" s="5">
        <f>vlookup(B3517,Filmes_final!$B$2:$U$1001,3,FALSE)</f>
        <v>2018</v>
      </c>
      <c r="G3517" s="5" t="str">
        <f>vlookup(B3517,Filmes_final!$B$2:$U$1001,13,FALSE)</f>
        <v>Aneesh Chaganty</v>
      </c>
    </row>
    <row r="3518">
      <c r="A3518" s="5">
        <v>880.0</v>
      </c>
      <c r="B3518" s="5" t="s">
        <v>5058</v>
      </c>
      <c r="C3518" s="5" t="s">
        <v>90</v>
      </c>
      <c r="D3518" s="5" t="s">
        <v>6634</v>
      </c>
      <c r="E3518" s="8">
        <f>vlookup(B3518,Filmes_final!$B$2:$U$1001,20,FALSE)</f>
        <v>146046161</v>
      </c>
      <c r="F3518" s="5">
        <f>vlookup(B3518,Filmes_final!$B$2:$U$1001,3,FALSE)</f>
        <v>2019</v>
      </c>
      <c r="G3518" s="5" t="str">
        <f>vlookup(B3518,Filmes_final!$B$2:$U$1001,13,FALSE)</f>
        <v>Quentin Tarantino</v>
      </c>
    </row>
    <row r="3519">
      <c r="A3519" s="5">
        <v>880.0</v>
      </c>
      <c r="B3519" s="5" t="s">
        <v>5058</v>
      </c>
      <c r="C3519" s="5" t="s">
        <v>98</v>
      </c>
      <c r="D3519" s="5" t="s">
        <v>6635</v>
      </c>
      <c r="E3519" s="8">
        <f>vlookup(B3519,Filmes_final!$B$2:$U$1001,20,FALSE)</f>
        <v>146046161</v>
      </c>
      <c r="F3519" s="5">
        <f>vlookup(B3519,Filmes_final!$B$2:$U$1001,3,FALSE)</f>
        <v>2019</v>
      </c>
      <c r="G3519" s="5" t="str">
        <f>vlookup(B3519,Filmes_final!$B$2:$U$1001,13,FALSE)</f>
        <v>Quentin Tarantino</v>
      </c>
    </row>
    <row r="3520">
      <c r="A3520" s="5">
        <v>880.0</v>
      </c>
      <c r="B3520" s="5" t="s">
        <v>5058</v>
      </c>
      <c r="C3520" s="5" t="s">
        <v>1080</v>
      </c>
      <c r="D3520" s="5" t="s">
        <v>6636</v>
      </c>
      <c r="E3520" s="8">
        <f>vlookup(B3520,Filmes_final!$B$2:$U$1001,20,FALSE)</f>
        <v>146046161</v>
      </c>
      <c r="F3520" s="5">
        <f>vlookup(B3520,Filmes_final!$B$2:$U$1001,3,FALSE)</f>
        <v>2019</v>
      </c>
      <c r="G3520" s="5" t="str">
        <f>vlookup(B3520,Filmes_final!$B$2:$U$1001,13,FALSE)</f>
        <v>Quentin Tarantino</v>
      </c>
    </row>
    <row r="3521">
      <c r="A3521" s="5">
        <v>880.0</v>
      </c>
      <c r="B3521" s="5" t="s">
        <v>5058</v>
      </c>
      <c r="C3521" s="5" t="s">
        <v>1606</v>
      </c>
      <c r="D3521" s="5" t="s">
        <v>6637</v>
      </c>
      <c r="E3521" s="8">
        <f>vlookup(B3521,Filmes_final!$B$2:$U$1001,20,FALSE)</f>
        <v>146046161</v>
      </c>
      <c r="F3521" s="5">
        <f>vlookup(B3521,Filmes_final!$B$2:$U$1001,3,FALSE)</f>
        <v>2019</v>
      </c>
      <c r="G3521" s="5" t="str">
        <f>vlookup(B3521,Filmes_final!$B$2:$U$1001,13,FALSE)</f>
        <v>Quentin Tarantino</v>
      </c>
    </row>
    <row r="3522">
      <c r="A3522" s="5">
        <v>881.0</v>
      </c>
      <c r="B3522" s="5" t="s">
        <v>5060</v>
      </c>
      <c r="C3522" s="5" t="s">
        <v>5062</v>
      </c>
      <c r="D3522" s="5" t="s">
        <v>6634</v>
      </c>
      <c r="E3522" s="8">
        <f>vlookup(B3522,Filmes_final!$B$2:$U$1001,20,FALSE)</f>
        <v>601647</v>
      </c>
      <c r="F3522" s="5">
        <f>vlookup(B3522,Filmes_final!$B$2:$U$1001,3,FALSE)</f>
        <v>2017</v>
      </c>
      <c r="G3522" s="5" t="str">
        <f>vlookup(B3522,Filmes_final!$B$2:$U$1001,13,FALSE)</f>
        <v>Andrey Zvyagintsev</v>
      </c>
    </row>
    <row r="3523">
      <c r="A3523" s="5">
        <v>881.0</v>
      </c>
      <c r="B3523" s="5" t="s">
        <v>5060</v>
      </c>
      <c r="C3523" s="5" t="s">
        <v>5063</v>
      </c>
      <c r="D3523" s="5" t="s">
        <v>6635</v>
      </c>
      <c r="E3523" s="8">
        <f>vlookup(B3523,Filmes_final!$B$2:$U$1001,20,FALSE)</f>
        <v>601647</v>
      </c>
      <c r="F3523" s="5">
        <f>vlookup(B3523,Filmes_final!$B$2:$U$1001,3,FALSE)</f>
        <v>2017</v>
      </c>
      <c r="G3523" s="5" t="str">
        <f>vlookup(B3523,Filmes_final!$B$2:$U$1001,13,FALSE)</f>
        <v>Andrey Zvyagintsev</v>
      </c>
    </row>
    <row r="3524">
      <c r="A3524" s="5">
        <v>881.0</v>
      </c>
      <c r="B3524" s="5" t="s">
        <v>5060</v>
      </c>
      <c r="C3524" s="5" t="s">
        <v>5064</v>
      </c>
      <c r="D3524" s="5" t="s">
        <v>6636</v>
      </c>
      <c r="E3524" s="8">
        <f>vlookup(B3524,Filmes_final!$B$2:$U$1001,20,FALSE)</f>
        <v>601647</v>
      </c>
      <c r="F3524" s="5">
        <f>vlookup(B3524,Filmes_final!$B$2:$U$1001,3,FALSE)</f>
        <v>2017</v>
      </c>
      <c r="G3524" s="5" t="str">
        <f>vlookup(B3524,Filmes_final!$B$2:$U$1001,13,FALSE)</f>
        <v>Andrey Zvyagintsev</v>
      </c>
    </row>
    <row r="3525">
      <c r="A3525" s="5">
        <v>881.0</v>
      </c>
      <c r="B3525" s="5" t="s">
        <v>5060</v>
      </c>
      <c r="C3525" s="5" t="s">
        <v>5065</v>
      </c>
      <c r="D3525" s="5" t="s">
        <v>6637</v>
      </c>
      <c r="E3525" s="8">
        <f>vlookup(B3525,Filmes_final!$B$2:$U$1001,20,FALSE)</f>
        <v>601647</v>
      </c>
      <c r="F3525" s="5">
        <f>vlookup(B3525,Filmes_final!$B$2:$U$1001,3,FALSE)</f>
        <v>2017</v>
      </c>
      <c r="G3525" s="5" t="str">
        <f>vlookup(B3525,Filmes_final!$B$2:$U$1001,13,FALSE)</f>
        <v>Andrey Zvyagintsev</v>
      </c>
    </row>
    <row r="3526">
      <c r="A3526" s="5">
        <v>882.0</v>
      </c>
      <c r="B3526" s="5" t="s">
        <v>5066</v>
      </c>
      <c r="C3526" s="5" t="s">
        <v>5069</v>
      </c>
      <c r="D3526" s="5" t="s">
        <v>6634</v>
      </c>
      <c r="E3526" s="8">
        <f>vlookup(B3526,Filmes_final!$B$2:$U$1001,20,FALSE)</f>
        <v>6272284</v>
      </c>
      <c r="F3526" s="5">
        <f>vlookup(B3526,Filmes_final!$B$2:$U$1001,3,FALSE)</f>
        <v>2017</v>
      </c>
      <c r="G3526" s="5" t="str">
        <f>vlookup(B3526,Filmes_final!$B$2:$U$1001,13,FALSE)</f>
        <v>Sean Baker</v>
      </c>
    </row>
    <row r="3527">
      <c r="A3527" s="5">
        <v>882.0</v>
      </c>
      <c r="B3527" s="5" t="s">
        <v>5066</v>
      </c>
      <c r="C3527" s="5" t="s">
        <v>5070</v>
      </c>
      <c r="D3527" s="5" t="s">
        <v>6635</v>
      </c>
      <c r="E3527" s="8">
        <f>vlookup(B3527,Filmes_final!$B$2:$U$1001,20,FALSE)</f>
        <v>6272284</v>
      </c>
      <c r="F3527" s="5">
        <f>vlookup(B3527,Filmes_final!$B$2:$U$1001,3,FALSE)</f>
        <v>2017</v>
      </c>
      <c r="G3527" s="5" t="str">
        <f>vlookup(B3527,Filmes_final!$B$2:$U$1001,13,FALSE)</f>
        <v>Sean Baker</v>
      </c>
    </row>
    <row r="3528">
      <c r="A3528" s="5">
        <v>882.0</v>
      </c>
      <c r="B3528" s="5" t="s">
        <v>5066</v>
      </c>
      <c r="C3528" s="5" t="s">
        <v>1825</v>
      </c>
      <c r="D3528" s="5" t="s">
        <v>6636</v>
      </c>
      <c r="E3528" s="8">
        <f>vlookup(B3528,Filmes_final!$B$2:$U$1001,20,FALSE)</f>
        <v>6272284</v>
      </c>
      <c r="F3528" s="5">
        <f>vlookup(B3528,Filmes_final!$B$2:$U$1001,3,FALSE)</f>
        <v>2017</v>
      </c>
      <c r="G3528" s="5" t="str">
        <f>vlookup(B3528,Filmes_final!$B$2:$U$1001,13,FALSE)</f>
        <v>Sean Baker</v>
      </c>
    </row>
    <row r="3529">
      <c r="A3529" s="5">
        <v>882.0</v>
      </c>
      <c r="B3529" s="5" t="s">
        <v>5066</v>
      </c>
      <c r="C3529" s="5" t="s">
        <v>5071</v>
      </c>
      <c r="D3529" s="5" t="s">
        <v>6637</v>
      </c>
      <c r="E3529" s="8">
        <f>vlookup(B3529,Filmes_final!$B$2:$U$1001,20,FALSE)</f>
        <v>6272284</v>
      </c>
      <c r="F3529" s="5">
        <f>vlookup(B3529,Filmes_final!$B$2:$U$1001,3,FALSE)</f>
        <v>2017</v>
      </c>
      <c r="G3529" s="5" t="str">
        <f>vlookup(B3529,Filmes_final!$B$2:$U$1001,13,FALSE)</f>
        <v>Sean Baker</v>
      </c>
    </row>
    <row r="3530">
      <c r="A3530" s="5">
        <v>883.0</v>
      </c>
      <c r="B3530" s="5" t="s">
        <v>5072</v>
      </c>
      <c r="C3530" s="5" t="s">
        <v>5074</v>
      </c>
      <c r="D3530" s="5" t="s">
        <v>6634</v>
      </c>
      <c r="E3530" s="8">
        <f>vlookup(B3530,Filmes_final!$B$2:$U$1001,20,FALSE)</f>
        <v>36896705</v>
      </c>
      <c r="F3530" s="5">
        <f>vlookup(B3530,Filmes_final!$B$2:$U$1001,3,FALSE)</f>
        <v>2019</v>
      </c>
      <c r="G3530" s="5" t="str">
        <f>vlookup(B3530,Filmes_final!$B$2:$U$1001,13,FALSE)</f>
        <v>Destin Daniel Cretton</v>
      </c>
    </row>
    <row r="3531">
      <c r="A3531" s="5">
        <v>883.0</v>
      </c>
      <c r="B3531" s="5" t="s">
        <v>5072</v>
      </c>
      <c r="C3531" s="5" t="s">
        <v>497</v>
      </c>
      <c r="D3531" s="5" t="s">
        <v>6635</v>
      </c>
      <c r="E3531" s="8">
        <f>vlookup(B3531,Filmes_final!$B$2:$U$1001,20,FALSE)</f>
        <v>36896705</v>
      </c>
      <c r="F3531" s="5">
        <f>vlookup(B3531,Filmes_final!$B$2:$U$1001,3,FALSE)</f>
        <v>2019</v>
      </c>
      <c r="G3531" s="5" t="str">
        <f>vlookup(B3531,Filmes_final!$B$2:$U$1001,13,FALSE)</f>
        <v>Destin Daniel Cretton</v>
      </c>
    </row>
    <row r="3532">
      <c r="A3532" s="5">
        <v>883.0</v>
      </c>
      <c r="B3532" s="5" t="s">
        <v>5072</v>
      </c>
      <c r="C3532" s="5" t="s">
        <v>1427</v>
      </c>
      <c r="D3532" s="5" t="s">
        <v>6636</v>
      </c>
      <c r="E3532" s="8">
        <f>vlookup(B3532,Filmes_final!$B$2:$U$1001,20,FALSE)</f>
        <v>36896705</v>
      </c>
      <c r="F3532" s="5">
        <f>vlookup(B3532,Filmes_final!$B$2:$U$1001,3,FALSE)</f>
        <v>2019</v>
      </c>
      <c r="G3532" s="5" t="str">
        <f>vlookup(B3532,Filmes_final!$B$2:$U$1001,13,FALSE)</f>
        <v>Destin Daniel Cretton</v>
      </c>
    </row>
    <row r="3533">
      <c r="A3533" s="5">
        <v>883.0</v>
      </c>
      <c r="B3533" s="5" t="s">
        <v>5072</v>
      </c>
      <c r="C3533" s="5" t="s">
        <v>5075</v>
      </c>
      <c r="D3533" s="5" t="s">
        <v>6637</v>
      </c>
      <c r="E3533" s="8">
        <f>vlookup(B3533,Filmes_final!$B$2:$U$1001,20,FALSE)</f>
        <v>36896705</v>
      </c>
      <c r="F3533" s="5">
        <f>vlookup(B3533,Filmes_final!$B$2:$U$1001,3,FALSE)</f>
        <v>2019</v>
      </c>
      <c r="G3533" s="5" t="str">
        <f>vlookup(B3533,Filmes_final!$B$2:$U$1001,13,FALSE)</f>
        <v>Destin Daniel Cretton</v>
      </c>
    </row>
    <row r="3534">
      <c r="A3534" s="5">
        <v>884.0</v>
      </c>
      <c r="B3534" s="5" t="s">
        <v>5076</v>
      </c>
      <c r="C3534" s="5" t="s">
        <v>480</v>
      </c>
      <c r="D3534" s="5" t="s">
        <v>6634</v>
      </c>
      <c r="E3534" s="8">
        <f>vlookup(B3534,Filmes_final!$B$2:$U$1001,20,FALSE)</f>
        <v>26346647</v>
      </c>
      <c r="F3534" s="5">
        <f>vlookup(B3534,Filmes_final!$B$2:$U$1001,3,FALSE)</f>
        <v>2017</v>
      </c>
      <c r="G3534" s="5" t="str">
        <f>vlookup(B3534,Filmes_final!$B$2:$U$1001,13,FALSE)</f>
        <v>Marc Webb</v>
      </c>
    </row>
    <row r="3535">
      <c r="A3535" s="5">
        <v>884.0</v>
      </c>
      <c r="B3535" s="5" t="s">
        <v>5076</v>
      </c>
      <c r="C3535" s="5" t="s">
        <v>5078</v>
      </c>
      <c r="D3535" s="5" t="s">
        <v>6635</v>
      </c>
      <c r="E3535" s="8">
        <f>vlookup(B3535,Filmes_final!$B$2:$U$1001,20,FALSE)</f>
        <v>26346647</v>
      </c>
      <c r="F3535" s="5">
        <f>vlookup(B3535,Filmes_final!$B$2:$U$1001,3,FALSE)</f>
        <v>2017</v>
      </c>
      <c r="G3535" s="5" t="str">
        <f>vlookup(B3535,Filmes_final!$B$2:$U$1001,13,FALSE)</f>
        <v>Marc Webb</v>
      </c>
    </row>
    <row r="3536">
      <c r="A3536" s="5">
        <v>884.0</v>
      </c>
      <c r="B3536" s="5" t="s">
        <v>5076</v>
      </c>
      <c r="C3536" s="5" t="s">
        <v>5079</v>
      </c>
      <c r="D3536" s="5" t="s">
        <v>6636</v>
      </c>
      <c r="E3536" s="8">
        <f>vlookup(B3536,Filmes_final!$B$2:$U$1001,20,FALSE)</f>
        <v>26346647</v>
      </c>
      <c r="F3536" s="5">
        <f>vlookup(B3536,Filmes_final!$B$2:$U$1001,3,FALSE)</f>
        <v>2017</v>
      </c>
      <c r="G3536" s="5" t="str">
        <f>vlookup(B3536,Filmes_final!$B$2:$U$1001,13,FALSE)</f>
        <v>Marc Webb</v>
      </c>
    </row>
    <row r="3537">
      <c r="A3537" s="5">
        <v>884.0</v>
      </c>
      <c r="B3537" s="5" t="s">
        <v>5076</v>
      </c>
      <c r="C3537" s="5" t="s">
        <v>2286</v>
      </c>
      <c r="D3537" s="5" t="s">
        <v>6637</v>
      </c>
      <c r="E3537" s="8">
        <f>vlookup(B3537,Filmes_final!$B$2:$U$1001,20,FALSE)</f>
        <v>26346647</v>
      </c>
      <c r="F3537" s="5">
        <f>vlookup(B3537,Filmes_final!$B$2:$U$1001,3,FALSE)</f>
        <v>2017</v>
      </c>
      <c r="G3537" s="5" t="str">
        <f>vlookup(B3537,Filmes_final!$B$2:$U$1001,13,FALSE)</f>
        <v>Marc Webb</v>
      </c>
    </row>
    <row r="3538">
      <c r="A3538" s="5">
        <v>885.0</v>
      </c>
      <c r="B3538" s="5" t="s">
        <v>5080</v>
      </c>
      <c r="C3538" s="5" t="s">
        <v>5083</v>
      </c>
      <c r="D3538" s="5" t="s">
        <v>6634</v>
      </c>
      <c r="E3538" s="8">
        <f>vlookup(B3538,Filmes_final!$B$2:$U$1001,20,FALSE)</f>
        <v>13448946</v>
      </c>
      <c r="F3538" s="5">
        <f>vlookup(B3538,Filmes_final!$B$2:$U$1001,3,FALSE)</f>
        <v>2019</v>
      </c>
      <c r="G3538" s="5" t="str">
        <f>vlookup(B3538,Filmes_final!$B$2:$U$1001,13,FALSE)</f>
        <v>Tyler Nilson</v>
      </c>
    </row>
    <row r="3539">
      <c r="A3539" s="5">
        <v>885.0</v>
      </c>
      <c r="B3539" s="5" t="s">
        <v>5080</v>
      </c>
      <c r="C3539" s="5" t="s">
        <v>5084</v>
      </c>
      <c r="D3539" s="5" t="s">
        <v>6635</v>
      </c>
      <c r="E3539" s="8">
        <f>vlookup(B3539,Filmes_final!$B$2:$U$1001,20,FALSE)</f>
        <v>13448946</v>
      </c>
      <c r="F3539" s="5">
        <f>vlookup(B3539,Filmes_final!$B$2:$U$1001,3,FALSE)</f>
        <v>2019</v>
      </c>
      <c r="G3539" s="5" t="str">
        <f>vlookup(B3539,Filmes_final!$B$2:$U$1001,13,FALSE)</f>
        <v>Tyler Nilson</v>
      </c>
    </row>
    <row r="3540">
      <c r="A3540" s="5">
        <v>885.0</v>
      </c>
      <c r="B3540" s="5" t="s">
        <v>5080</v>
      </c>
      <c r="C3540" s="5" t="s">
        <v>5085</v>
      </c>
      <c r="D3540" s="5" t="s">
        <v>6636</v>
      </c>
      <c r="E3540" s="8">
        <f>vlookup(B3540,Filmes_final!$B$2:$U$1001,20,FALSE)</f>
        <v>13448946</v>
      </c>
      <c r="F3540" s="5">
        <f>vlookup(B3540,Filmes_final!$B$2:$U$1001,3,FALSE)</f>
        <v>2019</v>
      </c>
      <c r="G3540" s="5" t="str">
        <f>vlookup(B3540,Filmes_final!$B$2:$U$1001,13,FALSE)</f>
        <v>Tyler Nilson</v>
      </c>
    </row>
    <row r="3541">
      <c r="A3541" s="5">
        <v>885.0</v>
      </c>
      <c r="B3541" s="5" t="s">
        <v>5080</v>
      </c>
      <c r="C3541" s="5" t="s">
        <v>5086</v>
      </c>
      <c r="D3541" s="5" t="s">
        <v>6637</v>
      </c>
      <c r="E3541" s="8">
        <f>vlookup(B3541,Filmes_final!$B$2:$U$1001,20,FALSE)</f>
        <v>13448946</v>
      </c>
      <c r="F3541" s="5">
        <f>vlookup(B3541,Filmes_final!$B$2:$U$1001,3,FALSE)</f>
        <v>2019</v>
      </c>
      <c r="G3541" s="5" t="str">
        <f>vlookup(B3541,Filmes_final!$B$2:$U$1001,13,FALSE)</f>
        <v>Tyler Nilson</v>
      </c>
    </row>
    <row r="3542">
      <c r="A3542" s="5">
        <v>886.0</v>
      </c>
      <c r="B3542" s="5" t="s">
        <v>5087</v>
      </c>
      <c r="C3542" s="5" t="s">
        <v>5090</v>
      </c>
      <c r="D3542" s="5" t="s">
        <v>6634</v>
      </c>
      <c r="E3542" s="8">
        <f>vlookup(B3542,Filmes_final!$B$2:$U$1001,20,FALSE)</f>
        <v>3523704</v>
      </c>
      <c r="F3542" s="5">
        <f>vlookup(B3542,Filmes_final!$B$2:$U$1001,3,FALSE)</f>
        <v>2015</v>
      </c>
      <c r="G3542" s="5" t="str">
        <f>vlookup(B3542,Filmes_final!$B$2:$U$1001,13,FALSE)</f>
        <v>Sebastian Schipper</v>
      </c>
    </row>
    <row r="3543">
      <c r="A3543" s="5">
        <v>886.0</v>
      </c>
      <c r="B3543" s="5" t="s">
        <v>5087</v>
      </c>
      <c r="C3543" s="5" t="s">
        <v>5091</v>
      </c>
      <c r="D3543" s="5" t="s">
        <v>6635</v>
      </c>
      <c r="E3543" s="8">
        <f>vlookup(B3543,Filmes_final!$B$2:$U$1001,20,FALSE)</f>
        <v>3523704</v>
      </c>
      <c r="F3543" s="5">
        <f>vlookup(B3543,Filmes_final!$B$2:$U$1001,3,FALSE)</f>
        <v>2015</v>
      </c>
      <c r="G3543" s="5" t="str">
        <f>vlookup(B3543,Filmes_final!$B$2:$U$1001,13,FALSE)</f>
        <v>Sebastian Schipper</v>
      </c>
    </row>
    <row r="3544">
      <c r="A3544" s="5">
        <v>886.0</v>
      </c>
      <c r="B3544" s="5" t="s">
        <v>5087</v>
      </c>
      <c r="C3544" s="5" t="s">
        <v>5092</v>
      </c>
      <c r="D3544" s="5" t="s">
        <v>6636</v>
      </c>
      <c r="E3544" s="8">
        <f>vlookup(B3544,Filmes_final!$B$2:$U$1001,20,FALSE)</f>
        <v>3523704</v>
      </c>
      <c r="F3544" s="5">
        <f>vlookup(B3544,Filmes_final!$B$2:$U$1001,3,FALSE)</f>
        <v>2015</v>
      </c>
      <c r="G3544" s="5" t="str">
        <f>vlookup(B3544,Filmes_final!$B$2:$U$1001,13,FALSE)</f>
        <v>Sebastian Schipper</v>
      </c>
    </row>
    <row r="3545">
      <c r="A3545" s="5">
        <v>886.0</v>
      </c>
      <c r="B3545" s="5" t="s">
        <v>5087</v>
      </c>
      <c r="C3545" s="5" t="s">
        <v>5093</v>
      </c>
      <c r="D3545" s="5" t="s">
        <v>6637</v>
      </c>
      <c r="E3545" s="8">
        <f>vlookup(B3545,Filmes_final!$B$2:$U$1001,20,FALSE)</f>
        <v>3523704</v>
      </c>
      <c r="F3545" s="5">
        <f>vlookup(B3545,Filmes_final!$B$2:$U$1001,3,FALSE)</f>
        <v>2015</v>
      </c>
      <c r="G3545" s="5" t="str">
        <f>vlookup(B3545,Filmes_final!$B$2:$U$1001,13,FALSE)</f>
        <v>Sebastian Schipper</v>
      </c>
    </row>
    <row r="3546">
      <c r="A3546" s="5">
        <v>887.0</v>
      </c>
      <c r="B3546" s="5" t="s">
        <v>5094</v>
      </c>
      <c r="C3546" s="5" t="s">
        <v>5097</v>
      </c>
      <c r="D3546" s="5" t="s">
        <v>6634</v>
      </c>
      <c r="E3546" s="8">
        <f>vlookup(B3546,Filmes_final!$B$2:$U$1001,20,FALSE)</f>
        <v>933242</v>
      </c>
      <c r="F3546" s="5">
        <f>vlookup(B3546,Filmes_final!$B$2:$U$1001,3,FALSE)</f>
        <v>2015</v>
      </c>
      <c r="G3546" s="5" t="str">
        <f>vlookup(B3546,Filmes_final!$B$2:$U$1001,13,FALSE)</f>
        <v>Deniz Gamze Ergüven</v>
      </c>
    </row>
    <row r="3547">
      <c r="A3547" s="5">
        <v>887.0</v>
      </c>
      <c r="B3547" s="5" t="s">
        <v>5094</v>
      </c>
      <c r="C3547" s="5" t="s">
        <v>5098</v>
      </c>
      <c r="D3547" s="5" t="s">
        <v>6635</v>
      </c>
      <c r="E3547" s="8">
        <f>vlookup(B3547,Filmes_final!$B$2:$U$1001,20,FALSE)</f>
        <v>933242</v>
      </c>
      <c r="F3547" s="5">
        <f>vlookup(B3547,Filmes_final!$B$2:$U$1001,3,FALSE)</f>
        <v>2015</v>
      </c>
      <c r="G3547" s="5" t="str">
        <f>vlookup(B3547,Filmes_final!$B$2:$U$1001,13,FALSE)</f>
        <v>Deniz Gamze Ergüven</v>
      </c>
    </row>
    <row r="3548">
      <c r="A3548" s="5">
        <v>887.0</v>
      </c>
      <c r="B3548" s="5" t="s">
        <v>5094</v>
      </c>
      <c r="C3548" s="5" t="s">
        <v>5099</v>
      </c>
      <c r="D3548" s="5" t="s">
        <v>6636</v>
      </c>
      <c r="E3548" s="8">
        <f>vlookup(B3548,Filmes_final!$B$2:$U$1001,20,FALSE)</f>
        <v>933242</v>
      </c>
      <c r="F3548" s="5">
        <f>vlookup(B3548,Filmes_final!$B$2:$U$1001,3,FALSE)</f>
        <v>2015</v>
      </c>
      <c r="G3548" s="5" t="str">
        <f>vlookup(B3548,Filmes_final!$B$2:$U$1001,13,FALSE)</f>
        <v>Deniz Gamze Ergüven</v>
      </c>
    </row>
    <row r="3549">
      <c r="A3549" s="5">
        <v>887.0</v>
      </c>
      <c r="B3549" s="5" t="s">
        <v>5094</v>
      </c>
      <c r="C3549" s="5" t="s">
        <v>5100</v>
      </c>
      <c r="D3549" s="5" t="s">
        <v>6637</v>
      </c>
      <c r="E3549" s="8">
        <f>vlookup(B3549,Filmes_final!$B$2:$U$1001,20,FALSE)</f>
        <v>933242</v>
      </c>
      <c r="F3549" s="5">
        <f>vlookup(B3549,Filmes_final!$B$2:$U$1001,3,FALSE)</f>
        <v>2015</v>
      </c>
      <c r="G3549" s="5" t="str">
        <f>vlookup(B3549,Filmes_final!$B$2:$U$1001,13,FALSE)</f>
        <v>Deniz Gamze Ergüven</v>
      </c>
    </row>
    <row r="3550">
      <c r="A3550" s="5">
        <v>888.0</v>
      </c>
      <c r="B3550" s="5" t="s">
        <v>5101</v>
      </c>
      <c r="C3550" s="5" t="s">
        <v>2243</v>
      </c>
      <c r="D3550" s="5" t="s">
        <v>6634</v>
      </c>
      <c r="E3550" s="8">
        <f>vlookup(B3550,Filmes_final!$B$2:$U$1001,20,FALSE)</f>
        <v>414103482</v>
      </c>
      <c r="F3550" s="5">
        <f>vlookup(B3550,Filmes_final!$B$2:$U$1001,3,FALSE)</f>
        <v>2017</v>
      </c>
      <c r="G3550" s="5" t="str">
        <f>vlookup(B3550,Filmes_final!$B$2:$U$1001,13,FALSE)</f>
        <v>James Gunn</v>
      </c>
    </row>
    <row r="3551">
      <c r="A3551" s="5">
        <v>888.0</v>
      </c>
      <c r="B3551" s="5" t="s">
        <v>5101</v>
      </c>
      <c r="C3551" s="5" t="s">
        <v>2246</v>
      </c>
      <c r="D3551" s="5" t="s">
        <v>6635</v>
      </c>
      <c r="E3551" s="8">
        <f>vlookup(B3551,Filmes_final!$B$2:$U$1001,20,FALSE)</f>
        <v>414103482</v>
      </c>
      <c r="F3551" s="5">
        <f>vlookup(B3551,Filmes_final!$B$2:$U$1001,3,FALSE)</f>
        <v>2017</v>
      </c>
      <c r="G3551" s="5" t="str">
        <f>vlookup(B3551,Filmes_final!$B$2:$U$1001,13,FALSE)</f>
        <v>James Gunn</v>
      </c>
    </row>
    <row r="3552">
      <c r="A3552" s="5">
        <v>888.0</v>
      </c>
      <c r="B3552" s="5" t="s">
        <v>5101</v>
      </c>
      <c r="C3552" s="5" t="s">
        <v>2250</v>
      </c>
      <c r="D3552" s="5" t="s">
        <v>6636</v>
      </c>
      <c r="E3552" s="8">
        <f>vlookup(B3552,Filmes_final!$B$2:$U$1001,20,FALSE)</f>
        <v>414103482</v>
      </c>
      <c r="F3552" s="5">
        <f>vlookup(B3552,Filmes_final!$B$2:$U$1001,3,FALSE)</f>
        <v>2017</v>
      </c>
      <c r="G3552" s="5" t="str">
        <f>vlookup(B3552,Filmes_final!$B$2:$U$1001,13,FALSE)</f>
        <v>James Gunn</v>
      </c>
    </row>
    <row r="3553">
      <c r="A3553" s="5">
        <v>888.0</v>
      </c>
      <c r="B3553" s="5" t="s">
        <v>5101</v>
      </c>
      <c r="C3553" s="5" t="s">
        <v>2244</v>
      </c>
      <c r="D3553" s="5" t="s">
        <v>6637</v>
      </c>
      <c r="E3553" s="8">
        <f>vlookup(B3553,Filmes_final!$B$2:$U$1001,20,FALSE)</f>
        <v>414103482</v>
      </c>
      <c r="F3553" s="5">
        <f>vlookup(B3553,Filmes_final!$B$2:$U$1001,3,FALSE)</f>
        <v>2017</v>
      </c>
      <c r="G3553" s="5" t="str">
        <f>vlookup(B3553,Filmes_final!$B$2:$U$1001,13,FALSE)</f>
        <v>James Gunn</v>
      </c>
    </row>
    <row r="3554">
      <c r="A3554" s="5">
        <v>889.0</v>
      </c>
      <c r="B3554" s="5" t="s">
        <v>5103</v>
      </c>
      <c r="C3554" s="5" t="s">
        <v>4363</v>
      </c>
      <c r="D3554" s="5" t="s">
        <v>6634</v>
      </c>
      <c r="E3554" s="8">
        <f>vlookup(B3554,Filmes_final!$B$2:$U$1001,20,FALSE)</f>
        <v>114544803</v>
      </c>
      <c r="F3554" s="5">
        <f>vlookup(B3554,Filmes_final!$B$2:$U$1001,3,FALSE)</f>
        <v>2017</v>
      </c>
      <c r="G3554" s="5" t="str">
        <f>vlookup(B3554,Filmes_final!$B$2:$U$1001,13,FALSE)</f>
        <v>Edgar Wright</v>
      </c>
    </row>
    <row r="3555">
      <c r="A3555" s="5">
        <v>889.0</v>
      </c>
      <c r="B3555" s="5" t="s">
        <v>5103</v>
      </c>
      <c r="C3555" s="5" t="s">
        <v>1512</v>
      </c>
      <c r="D3555" s="5" t="s">
        <v>6635</v>
      </c>
      <c r="E3555" s="8">
        <f>vlookup(B3555,Filmes_final!$B$2:$U$1001,20,FALSE)</f>
        <v>114544803</v>
      </c>
      <c r="F3555" s="5">
        <f>vlookup(B3555,Filmes_final!$B$2:$U$1001,3,FALSE)</f>
        <v>2017</v>
      </c>
      <c r="G3555" s="5" t="str">
        <f>vlookup(B3555,Filmes_final!$B$2:$U$1001,13,FALSE)</f>
        <v>Edgar Wright</v>
      </c>
    </row>
    <row r="3556">
      <c r="A3556" s="5">
        <v>889.0</v>
      </c>
      <c r="B3556" s="5" t="s">
        <v>5103</v>
      </c>
      <c r="C3556" s="5" t="s">
        <v>5105</v>
      </c>
      <c r="D3556" s="5" t="s">
        <v>6636</v>
      </c>
      <c r="E3556" s="8">
        <f>vlookup(B3556,Filmes_final!$B$2:$U$1001,20,FALSE)</f>
        <v>114544803</v>
      </c>
      <c r="F3556" s="5">
        <f>vlookup(B3556,Filmes_final!$B$2:$U$1001,3,FALSE)</f>
        <v>2017</v>
      </c>
      <c r="G3556" s="5" t="str">
        <f>vlookup(B3556,Filmes_final!$B$2:$U$1001,13,FALSE)</f>
        <v>Edgar Wright</v>
      </c>
    </row>
    <row r="3557">
      <c r="A3557" s="5">
        <v>889.0</v>
      </c>
      <c r="B3557" s="5" t="s">
        <v>5103</v>
      </c>
      <c r="C3557" s="5" t="s">
        <v>5106</v>
      </c>
      <c r="D3557" s="5" t="s">
        <v>6637</v>
      </c>
      <c r="E3557" s="8">
        <f>vlookup(B3557,Filmes_final!$B$2:$U$1001,20,FALSE)</f>
        <v>114544803</v>
      </c>
      <c r="F3557" s="5">
        <f>vlookup(B3557,Filmes_final!$B$2:$U$1001,3,FALSE)</f>
        <v>2017</v>
      </c>
      <c r="G3557" s="5" t="str">
        <f>vlookup(B3557,Filmes_final!$B$2:$U$1001,13,FALSE)</f>
        <v>Edgar Wright</v>
      </c>
    </row>
    <row r="3558">
      <c r="A3558" s="5">
        <v>890.0</v>
      </c>
      <c r="B3558" s="5" t="s">
        <v>5107</v>
      </c>
      <c r="C3558" s="5" t="s">
        <v>1616</v>
      </c>
      <c r="D3558" s="5" t="s">
        <v>6634</v>
      </c>
      <c r="E3558" s="8">
        <f>vlookup(B3558,Filmes_final!$B$2:$U$1001,20,FALSE)</f>
        <v>19482873</v>
      </c>
      <c r="F3558" s="5">
        <f>vlookup(B3558,Filmes_final!$B$2:$U$1001,3,FALSE)</f>
        <v>2017</v>
      </c>
      <c r="G3558" s="5" t="str">
        <f>vlookup(B3558,Filmes_final!$B$2:$U$1001,13,FALSE)</f>
        <v>Joseph Kosinski</v>
      </c>
    </row>
    <row r="3559">
      <c r="A3559" s="5">
        <v>890.0</v>
      </c>
      <c r="B3559" s="5" t="s">
        <v>5107</v>
      </c>
      <c r="C3559" s="5" t="s">
        <v>290</v>
      </c>
      <c r="D3559" s="5" t="s">
        <v>6635</v>
      </c>
      <c r="E3559" s="8">
        <f>vlookup(B3559,Filmes_final!$B$2:$U$1001,20,FALSE)</f>
        <v>19482873</v>
      </c>
      <c r="F3559" s="5">
        <f>vlookup(B3559,Filmes_final!$B$2:$U$1001,3,FALSE)</f>
        <v>2017</v>
      </c>
      <c r="G3559" s="5" t="str">
        <f>vlookup(B3559,Filmes_final!$B$2:$U$1001,13,FALSE)</f>
        <v>Joseph Kosinski</v>
      </c>
    </row>
    <row r="3560">
      <c r="A3560" s="5">
        <v>890.0</v>
      </c>
      <c r="B3560" s="5" t="s">
        <v>5107</v>
      </c>
      <c r="C3560" s="5" t="s">
        <v>1727</v>
      </c>
      <c r="D3560" s="5" t="s">
        <v>6636</v>
      </c>
      <c r="E3560" s="8">
        <f>vlookup(B3560,Filmes_final!$B$2:$U$1001,20,FALSE)</f>
        <v>19482873</v>
      </c>
      <c r="F3560" s="5">
        <f>vlookup(B3560,Filmes_final!$B$2:$U$1001,3,FALSE)</f>
        <v>2017</v>
      </c>
      <c r="G3560" s="5" t="str">
        <f>vlookup(B3560,Filmes_final!$B$2:$U$1001,13,FALSE)</f>
        <v>Joseph Kosinski</v>
      </c>
    </row>
    <row r="3561">
      <c r="A3561" s="5">
        <v>890.0</v>
      </c>
      <c r="B3561" s="5" t="s">
        <v>5107</v>
      </c>
      <c r="C3561" s="5" t="s">
        <v>742</v>
      </c>
      <c r="D3561" s="5" t="s">
        <v>6637</v>
      </c>
      <c r="E3561" s="8">
        <f>vlookup(B3561,Filmes_final!$B$2:$U$1001,20,FALSE)</f>
        <v>19482873</v>
      </c>
      <c r="F3561" s="5">
        <f>vlookup(B3561,Filmes_final!$B$2:$U$1001,3,FALSE)</f>
        <v>2017</v>
      </c>
      <c r="G3561" s="5" t="str">
        <f>vlookup(B3561,Filmes_final!$B$2:$U$1001,13,FALSE)</f>
        <v>Joseph Kosinski</v>
      </c>
    </row>
    <row r="3562">
      <c r="A3562" s="5">
        <v>891.0</v>
      </c>
      <c r="B3562" s="5" t="s">
        <v>5110</v>
      </c>
      <c r="C3562" s="5" t="s">
        <v>110</v>
      </c>
      <c r="D3562" s="5" t="s">
        <v>6634</v>
      </c>
      <c r="E3562" s="8">
        <f>vlookup(B3562,Filmes_final!$B$2:$U$1001,20,FALSE)</f>
        <v>79821535</v>
      </c>
      <c r="F3562" s="5">
        <f>vlookup(B3562,Filmes_final!$B$2:$U$1001,3,FALSE)</f>
        <v>2015</v>
      </c>
      <c r="G3562" s="5" t="str">
        <f>vlookup(B3562,Filmes_final!$B$2:$U$1001,13,FALSE)</f>
        <v>Steven Spielberg</v>
      </c>
    </row>
    <row r="3563">
      <c r="A3563" s="5">
        <v>891.0</v>
      </c>
      <c r="B3563" s="5" t="s">
        <v>5110</v>
      </c>
      <c r="C3563" s="5" t="s">
        <v>3540</v>
      </c>
      <c r="D3563" s="5" t="s">
        <v>6635</v>
      </c>
      <c r="E3563" s="8">
        <f>vlookup(B3563,Filmes_final!$B$2:$U$1001,20,FALSE)</f>
        <v>79821535</v>
      </c>
      <c r="F3563" s="5">
        <f>vlookup(B3563,Filmes_final!$B$2:$U$1001,3,FALSE)</f>
        <v>2015</v>
      </c>
      <c r="G3563" s="5" t="str">
        <f>vlookup(B3563,Filmes_final!$B$2:$U$1001,13,FALSE)</f>
        <v>Steven Spielberg</v>
      </c>
    </row>
    <row r="3564">
      <c r="A3564" s="5">
        <v>891.0</v>
      </c>
      <c r="B3564" s="5" t="s">
        <v>5110</v>
      </c>
      <c r="C3564" s="5" t="s">
        <v>5112</v>
      </c>
      <c r="D3564" s="5" t="s">
        <v>6636</v>
      </c>
      <c r="E3564" s="8">
        <f>vlookup(B3564,Filmes_final!$B$2:$U$1001,20,FALSE)</f>
        <v>79821535</v>
      </c>
      <c r="F3564" s="5">
        <f>vlookup(B3564,Filmes_final!$B$2:$U$1001,3,FALSE)</f>
        <v>2015</v>
      </c>
      <c r="G3564" s="5" t="str">
        <f>vlookup(B3564,Filmes_final!$B$2:$U$1001,13,FALSE)</f>
        <v>Steven Spielberg</v>
      </c>
    </row>
    <row r="3565">
      <c r="A3565" s="5">
        <v>891.0</v>
      </c>
      <c r="B3565" s="5" t="s">
        <v>5110</v>
      </c>
      <c r="C3565" s="5" t="s">
        <v>4485</v>
      </c>
      <c r="D3565" s="5" t="s">
        <v>6637</v>
      </c>
      <c r="E3565" s="8">
        <f>vlookup(B3565,Filmes_final!$B$2:$U$1001,20,FALSE)</f>
        <v>79821535</v>
      </c>
      <c r="F3565" s="5">
        <f>vlookup(B3565,Filmes_final!$B$2:$U$1001,3,FALSE)</f>
        <v>2015</v>
      </c>
      <c r="G3565" s="5" t="str">
        <f>vlookup(B3565,Filmes_final!$B$2:$U$1001,13,FALSE)</f>
        <v>Steven Spielberg</v>
      </c>
    </row>
    <row r="3566">
      <c r="A3566" s="5">
        <v>892.0</v>
      </c>
      <c r="B3566" s="5" t="s">
        <v>5113</v>
      </c>
      <c r="C3566" s="5" t="s">
        <v>2459</v>
      </c>
      <c r="D3566" s="5" t="s">
        <v>6634</v>
      </c>
      <c r="E3566" s="8">
        <f>vlookup(B3566,Filmes_final!$B$2:$U$1001,20,FALSE)</f>
        <v>633389848</v>
      </c>
      <c r="F3566" s="5">
        <f>vlookup(B3566,Filmes_final!$B$2:$U$1001,3,FALSE)</f>
        <v>2018</v>
      </c>
      <c r="G3566" s="5" t="str">
        <f>vlookup(B3566,Filmes_final!$B$2:$U$1001,13,FALSE)</f>
        <v>Brad Bird</v>
      </c>
    </row>
    <row r="3567">
      <c r="A3567" s="5">
        <v>892.0</v>
      </c>
      <c r="B3567" s="5" t="s">
        <v>5113</v>
      </c>
      <c r="C3567" s="5" t="s">
        <v>2460</v>
      </c>
      <c r="D3567" s="5" t="s">
        <v>6635</v>
      </c>
      <c r="E3567" s="8">
        <f>vlookup(B3567,Filmes_final!$B$2:$U$1001,20,FALSE)</f>
        <v>633389848</v>
      </c>
      <c r="F3567" s="5">
        <f>vlookup(B3567,Filmes_final!$B$2:$U$1001,3,FALSE)</f>
        <v>2018</v>
      </c>
      <c r="G3567" s="5" t="str">
        <f>vlookup(B3567,Filmes_final!$B$2:$U$1001,13,FALSE)</f>
        <v>Brad Bird</v>
      </c>
    </row>
    <row r="3568">
      <c r="A3568" s="5">
        <v>892.0</v>
      </c>
      <c r="B3568" s="5" t="s">
        <v>5113</v>
      </c>
      <c r="C3568" s="5" t="s">
        <v>5115</v>
      </c>
      <c r="D3568" s="5" t="s">
        <v>6636</v>
      </c>
      <c r="E3568" s="8">
        <f>vlookup(B3568,Filmes_final!$B$2:$U$1001,20,FALSE)</f>
        <v>633389848</v>
      </c>
      <c r="F3568" s="5">
        <f>vlookup(B3568,Filmes_final!$B$2:$U$1001,3,FALSE)</f>
        <v>2018</v>
      </c>
      <c r="G3568" s="5" t="str">
        <f>vlookup(B3568,Filmes_final!$B$2:$U$1001,13,FALSE)</f>
        <v>Brad Bird</v>
      </c>
    </row>
    <row r="3569">
      <c r="A3569" s="5">
        <v>892.0</v>
      </c>
      <c r="B3569" s="5" t="s">
        <v>5113</v>
      </c>
      <c r="C3569" s="5" t="s">
        <v>5116</v>
      </c>
      <c r="D3569" s="5" t="s">
        <v>6637</v>
      </c>
      <c r="E3569" s="8">
        <f>vlookup(B3569,Filmes_final!$B$2:$U$1001,20,FALSE)</f>
        <v>633389848</v>
      </c>
      <c r="F3569" s="5">
        <f>vlookup(B3569,Filmes_final!$B$2:$U$1001,3,FALSE)</f>
        <v>2018</v>
      </c>
      <c r="G3569" s="5" t="str">
        <f>vlookup(B3569,Filmes_final!$B$2:$U$1001,13,FALSE)</f>
        <v>Brad Bird</v>
      </c>
    </row>
    <row r="3570">
      <c r="A3570" s="5">
        <v>893.0</v>
      </c>
      <c r="B3570" s="5" t="s">
        <v>5117</v>
      </c>
      <c r="C3570" s="5" t="s">
        <v>2589</v>
      </c>
      <c r="D3570" s="5" t="s">
        <v>6634</v>
      </c>
      <c r="E3570" s="8">
        <f>vlookup(B3570,Filmes_final!$B$2:$U$1001,20,FALSE)</f>
        <v>270864371</v>
      </c>
      <c r="F3570" s="5">
        <f>vlookup(B3570,Filmes_final!$B$2:$U$1001,3,FALSE)</f>
        <v>2016</v>
      </c>
      <c r="G3570" s="5" t="str">
        <f>vlookup(B3570,Filmes_final!$B$2:$U$1001,13,FALSE)</f>
        <v>Ron Clements</v>
      </c>
    </row>
    <row r="3571">
      <c r="A3571" s="5">
        <v>893.0</v>
      </c>
      <c r="B3571" s="5" t="s">
        <v>5117</v>
      </c>
      <c r="C3571" s="5" t="s">
        <v>3645</v>
      </c>
      <c r="D3571" s="5" t="s">
        <v>6635</v>
      </c>
      <c r="E3571" s="8">
        <f>vlookup(B3571,Filmes_final!$B$2:$U$1001,20,FALSE)</f>
        <v>270864371</v>
      </c>
      <c r="F3571" s="5">
        <f>vlookup(B3571,Filmes_final!$B$2:$U$1001,3,FALSE)</f>
        <v>2016</v>
      </c>
      <c r="G3571" s="5" t="str">
        <f>vlookup(B3571,Filmes_final!$B$2:$U$1001,13,FALSE)</f>
        <v>Ron Clements</v>
      </c>
    </row>
    <row r="3572">
      <c r="A3572" s="5">
        <v>893.0</v>
      </c>
      <c r="B3572" s="5" t="s">
        <v>5117</v>
      </c>
      <c r="C3572" s="5" t="s">
        <v>3646</v>
      </c>
      <c r="D3572" s="5" t="s">
        <v>6636</v>
      </c>
      <c r="E3572" s="8">
        <f>vlookup(B3572,Filmes_final!$B$2:$U$1001,20,FALSE)</f>
        <v>270864371</v>
      </c>
      <c r="F3572" s="5">
        <f>vlookup(B3572,Filmes_final!$B$2:$U$1001,3,FALSE)</f>
        <v>2016</v>
      </c>
      <c r="G3572" s="5" t="str">
        <f>vlookup(B3572,Filmes_final!$B$2:$U$1001,13,FALSE)</f>
        <v>Ron Clements</v>
      </c>
    </row>
    <row r="3573">
      <c r="A3573" s="5">
        <v>893.0</v>
      </c>
      <c r="B3573" s="5" t="s">
        <v>5117</v>
      </c>
      <c r="C3573" s="5" t="s">
        <v>5119</v>
      </c>
      <c r="D3573" s="5" t="s">
        <v>6637</v>
      </c>
      <c r="E3573" s="8">
        <f>vlookup(B3573,Filmes_final!$B$2:$U$1001,20,FALSE)</f>
        <v>270864371</v>
      </c>
      <c r="F3573" s="5">
        <f>vlookup(B3573,Filmes_final!$B$2:$U$1001,3,FALSE)</f>
        <v>2016</v>
      </c>
      <c r="G3573" s="5" t="str">
        <f>vlookup(B3573,Filmes_final!$B$2:$U$1001,13,FALSE)</f>
        <v>Ron Clements</v>
      </c>
    </row>
    <row r="3574">
      <c r="A3574" s="5">
        <v>894.0</v>
      </c>
      <c r="B3574" s="5" t="s">
        <v>5120</v>
      </c>
      <c r="C3574" s="5" t="s">
        <v>3039</v>
      </c>
      <c r="D3574" s="5" t="s">
        <v>6634</v>
      </c>
      <c r="E3574" s="8">
        <f>vlookup(B3574,Filmes_final!$B$2:$U$1001,20,FALSE)</f>
        <v>51757448</v>
      </c>
      <c r="F3574" s="5">
        <f>vlookup(B3574,Filmes_final!$B$2:$U$1001,3,FALSE)</f>
        <v>2015</v>
      </c>
      <c r="G3574" s="5" t="str">
        <f>vlookup(B3574,Filmes_final!$B$2:$U$1001,13,FALSE)</f>
        <v>Denis Villeneuve</v>
      </c>
    </row>
    <row r="3575">
      <c r="A3575" s="5">
        <v>894.0</v>
      </c>
      <c r="B3575" s="5" t="s">
        <v>5120</v>
      </c>
      <c r="C3575" s="5" t="s">
        <v>1616</v>
      </c>
      <c r="D3575" s="5" t="s">
        <v>6635</v>
      </c>
      <c r="E3575" s="8">
        <f>vlookup(B3575,Filmes_final!$B$2:$U$1001,20,FALSE)</f>
        <v>51757448</v>
      </c>
      <c r="F3575" s="5">
        <f>vlookup(B3575,Filmes_final!$B$2:$U$1001,3,FALSE)</f>
        <v>2015</v>
      </c>
      <c r="G3575" s="5" t="str">
        <f>vlookup(B3575,Filmes_final!$B$2:$U$1001,13,FALSE)</f>
        <v>Denis Villeneuve</v>
      </c>
    </row>
    <row r="3576">
      <c r="A3576" s="5">
        <v>894.0</v>
      </c>
      <c r="B3576" s="5" t="s">
        <v>5120</v>
      </c>
      <c r="C3576" s="5" t="s">
        <v>735</v>
      </c>
      <c r="D3576" s="5" t="s">
        <v>6636</v>
      </c>
      <c r="E3576" s="8">
        <f>vlookup(B3576,Filmes_final!$B$2:$U$1001,20,FALSE)</f>
        <v>51757448</v>
      </c>
      <c r="F3576" s="5">
        <f>vlookup(B3576,Filmes_final!$B$2:$U$1001,3,FALSE)</f>
        <v>2015</v>
      </c>
      <c r="G3576" s="5" t="str">
        <f>vlookup(B3576,Filmes_final!$B$2:$U$1001,13,FALSE)</f>
        <v>Denis Villeneuve</v>
      </c>
    </row>
    <row r="3577">
      <c r="A3577" s="5">
        <v>894.0</v>
      </c>
      <c r="B3577" s="5" t="s">
        <v>5120</v>
      </c>
      <c r="C3577" s="5" t="s">
        <v>1512</v>
      </c>
      <c r="D3577" s="5" t="s">
        <v>6637</v>
      </c>
      <c r="E3577" s="8">
        <f>vlookup(B3577,Filmes_final!$B$2:$U$1001,20,FALSE)</f>
        <v>51757448</v>
      </c>
      <c r="F3577" s="5">
        <f>vlookup(B3577,Filmes_final!$B$2:$U$1001,3,FALSE)</f>
        <v>2015</v>
      </c>
      <c r="G3577" s="5" t="str">
        <f>vlookup(B3577,Filmes_final!$B$2:$U$1001,13,FALSE)</f>
        <v>Denis Villeneuve</v>
      </c>
    </row>
    <row r="3578">
      <c r="A3578" s="5">
        <v>895.0</v>
      </c>
      <c r="B3578" s="5" t="s">
        <v>5122</v>
      </c>
      <c r="C3578" s="5" t="s">
        <v>5074</v>
      </c>
      <c r="D3578" s="5" t="s">
        <v>6634</v>
      </c>
      <c r="E3578" s="8">
        <f>vlookup(B3578,Filmes_final!$B$2:$U$1001,20,FALSE)</f>
        <v>121163905</v>
      </c>
      <c r="F3578" s="5">
        <f>vlookup(B3578,Filmes_final!$B$2:$U$1001,3,FALSE)</f>
        <v>2015</v>
      </c>
      <c r="G3578" s="5" t="str">
        <f>vlookup(B3578,Filmes_final!$B$2:$U$1001,13,FALSE)</f>
        <v>Ryan Coogler</v>
      </c>
    </row>
    <row r="3579">
      <c r="A3579" s="5">
        <v>895.0</v>
      </c>
      <c r="B3579" s="5" t="s">
        <v>5122</v>
      </c>
      <c r="C3579" s="5" t="s">
        <v>1893</v>
      </c>
      <c r="D3579" s="5" t="s">
        <v>6635</v>
      </c>
      <c r="E3579" s="8">
        <f>vlookup(B3579,Filmes_final!$B$2:$U$1001,20,FALSE)</f>
        <v>121163905</v>
      </c>
      <c r="F3579" s="5">
        <f>vlookup(B3579,Filmes_final!$B$2:$U$1001,3,FALSE)</f>
        <v>2015</v>
      </c>
      <c r="G3579" s="5" t="str">
        <f>vlookup(B3579,Filmes_final!$B$2:$U$1001,13,FALSE)</f>
        <v>Ryan Coogler</v>
      </c>
    </row>
    <row r="3580">
      <c r="A3580" s="5">
        <v>895.0</v>
      </c>
      <c r="B3580" s="5" t="s">
        <v>5122</v>
      </c>
      <c r="C3580" s="5" t="s">
        <v>5125</v>
      </c>
      <c r="D3580" s="5" t="s">
        <v>6636</v>
      </c>
      <c r="E3580" s="8">
        <f>vlookup(B3580,Filmes_final!$B$2:$U$1001,20,FALSE)</f>
        <v>121163905</v>
      </c>
      <c r="F3580" s="5">
        <f>vlookup(B3580,Filmes_final!$B$2:$U$1001,3,FALSE)</f>
        <v>2015</v>
      </c>
      <c r="G3580" s="5" t="str">
        <f>vlookup(B3580,Filmes_final!$B$2:$U$1001,13,FALSE)</f>
        <v>Ryan Coogler</v>
      </c>
    </row>
    <row r="3581">
      <c r="A3581" s="5">
        <v>895.0</v>
      </c>
      <c r="B3581" s="5" t="s">
        <v>5122</v>
      </c>
      <c r="C3581" s="5" t="s">
        <v>5126</v>
      </c>
      <c r="D3581" s="5" t="s">
        <v>6637</v>
      </c>
      <c r="E3581" s="8">
        <f>vlookup(B3581,Filmes_final!$B$2:$U$1001,20,FALSE)</f>
        <v>121163905</v>
      </c>
      <c r="F3581" s="5">
        <f>vlookup(B3581,Filmes_final!$B$2:$U$1001,3,FALSE)</f>
        <v>2015</v>
      </c>
      <c r="G3581" s="5" t="str">
        <f>vlookup(B3581,Filmes_final!$B$2:$U$1001,13,FALSE)</f>
        <v>Ryan Coogler</v>
      </c>
    </row>
    <row r="3582">
      <c r="A3582" s="5">
        <v>896.0</v>
      </c>
      <c r="B3582" s="5" t="s">
        <v>5127</v>
      </c>
      <c r="C3582" s="5" t="s">
        <v>5129</v>
      </c>
      <c r="D3582" s="5" t="s">
        <v>6634</v>
      </c>
      <c r="E3582" s="8">
        <f>vlookup(B3582,Filmes_final!$B$2:$U$1001,20,FALSE)</f>
        <v>1205179</v>
      </c>
      <c r="F3582" s="5">
        <f>vlookup(B3582,Filmes_final!$B$2:$U$1001,3,FALSE)</f>
        <v>2014</v>
      </c>
      <c r="G3582" s="5" t="str">
        <f>vlookup(B3582,Filmes_final!$B$2:$U$1001,13,FALSE)</f>
        <v>Andrey Zvyagintsev</v>
      </c>
    </row>
    <row r="3583">
      <c r="A3583" s="5">
        <v>896.0</v>
      </c>
      <c r="B3583" s="5" t="s">
        <v>5127</v>
      </c>
      <c r="C3583" s="5" t="s">
        <v>5130</v>
      </c>
      <c r="D3583" s="5" t="s">
        <v>6635</v>
      </c>
      <c r="E3583" s="8">
        <f>vlookup(B3583,Filmes_final!$B$2:$U$1001,20,FALSE)</f>
        <v>1205179</v>
      </c>
      <c r="F3583" s="5">
        <f>vlookup(B3583,Filmes_final!$B$2:$U$1001,3,FALSE)</f>
        <v>2014</v>
      </c>
      <c r="G3583" s="5" t="str">
        <f>vlookup(B3583,Filmes_final!$B$2:$U$1001,13,FALSE)</f>
        <v>Andrey Zvyagintsev</v>
      </c>
    </row>
    <row r="3584">
      <c r="A3584" s="5">
        <v>896.0</v>
      </c>
      <c r="B3584" s="5" t="s">
        <v>5127</v>
      </c>
      <c r="C3584" s="5" t="s">
        <v>5131</v>
      </c>
      <c r="D3584" s="5" t="s">
        <v>6636</v>
      </c>
      <c r="E3584" s="8">
        <f>vlookup(B3584,Filmes_final!$B$2:$U$1001,20,FALSE)</f>
        <v>1205179</v>
      </c>
      <c r="F3584" s="5">
        <f>vlookup(B3584,Filmes_final!$B$2:$U$1001,3,FALSE)</f>
        <v>2014</v>
      </c>
      <c r="G3584" s="5" t="str">
        <f>vlookup(B3584,Filmes_final!$B$2:$U$1001,13,FALSE)</f>
        <v>Andrey Zvyagintsev</v>
      </c>
    </row>
    <row r="3585">
      <c r="A3585" s="5">
        <v>896.0</v>
      </c>
      <c r="B3585" s="5" t="s">
        <v>5127</v>
      </c>
      <c r="C3585" s="5" t="s">
        <v>5132</v>
      </c>
      <c r="D3585" s="5" t="s">
        <v>6637</v>
      </c>
      <c r="E3585" s="8">
        <f>vlookup(B3585,Filmes_final!$B$2:$U$1001,20,FALSE)</f>
        <v>1205179</v>
      </c>
      <c r="F3585" s="5">
        <f>vlookup(B3585,Filmes_final!$B$2:$U$1001,3,FALSE)</f>
        <v>2014</v>
      </c>
      <c r="G3585" s="5" t="str">
        <f>vlookup(B3585,Filmes_final!$B$2:$U$1001,13,FALSE)</f>
        <v>Andrey Zvyagintsev</v>
      </c>
    </row>
    <row r="3586">
      <c r="A3586" s="5">
        <v>897.0</v>
      </c>
      <c r="B3586" s="5" t="s">
        <v>5133</v>
      </c>
      <c r="C3586" s="5" t="s">
        <v>3100</v>
      </c>
      <c r="D3586" s="5" t="s">
        <v>6634</v>
      </c>
      <c r="E3586" s="8">
        <f>vlookup(B3586,Filmes_final!$B$2:$U$1001,20,FALSE)</f>
        <v>29249747</v>
      </c>
      <c r="F3586" s="5">
        <f>vlookup(B3586,Filmes_final!$B$2:$U$1001,3,FALSE)</f>
        <v>2016</v>
      </c>
      <c r="G3586" s="5" t="str">
        <f>vlookup(B3586,Filmes_final!$B$2:$U$1001,13,FALSE)</f>
        <v>David Mackenzie</v>
      </c>
    </row>
    <row r="3587">
      <c r="A3587" s="5">
        <v>897.0</v>
      </c>
      <c r="B3587" s="5" t="s">
        <v>5133</v>
      </c>
      <c r="C3587" s="5" t="s">
        <v>4563</v>
      </c>
      <c r="D3587" s="5" t="s">
        <v>6635</v>
      </c>
      <c r="E3587" s="8">
        <f>vlookup(B3587,Filmes_final!$B$2:$U$1001,20,FALSE)</f>
        <v>29249747</v>
      </c>
      <c r="F3587" s="5">
        <f>vlookup(B3587,Filmes_final!$B$2:$U$1001,3,FALSE)</f>
        <v>2016</v>
      </c>
      <c r="G3587" s="5" t="str">
        <f>vlookup(B3587,Filmes_final!$B$2:$U$1001,13,FALSE)</f>
        <v>David Mackenzie</v>
      </c>
    </row>
    <row r="3588">
      <c r="A3588" s="5">
        <v>897.0</v>
      </c>
      <c r="B3588" s="5" t="s">
        <v>5133</v>
      </c>
      <c r="C3588" s="5" t="s">
        <v>1727</v>
      </c>
      <c r="D3588" s="5" t="s">
        <v>6636</v>
      </c>
      <c r="E3588" s="8">
        <f>vlookup(B3588,Filmes_final!$B$2:$U$1001,20,FALSE)</f>
        <v>29249747</v>
      </c>
      <c r="F3588" s="5">
        <f>vlookup(B3588,Filmes_final!$B$2:$U$1001,3,FALSE)</f>
        <v>2016</v>
      </c>
      <c r="G3588" s="5" t="str">
        <f>vlookup(B3588,Filmes_final!$B$2:$U$1001,13,FALSE)</f>
        <v>David Mackenzie</v>
      </c>
    </row>
    <row r="3589">
      <c r="A3589" s="5">
        <v>897.0</v>
      </c>
      <c r="B3589" s="5" t="s">
        <v>5133</v>
      </c>
      <c r="C3589" s="5" t="s">
        <v>5136</v>
      </c>
      <c r="D3589" s="5" t="s">
        <v>6637</v>
      </c>
      <c r="E3589" s="8">
        <f>vlookup(B3589,Filmes_final!$B$2:$U$1001,20,FALSE)</f>
        <v>29249747</v>
      </c>
      <c r="F3589" s="5">
        <f>vlookup(B3589,Filmes_final!$B$2:$U$1001,3,FALSE)</f>
        <v>2016</v>
      </c>
      <c r="G3589" s="5" t="str">
        <f>vlookup(B3589,Filmes_final!$B$2:$U$1001,13,FALSE)</f>
        <v>David Mackenzie</v>
      </c>
    </row>
    <row r="3590">
      <c r="A3590" s="5">
        <v>898.0</v>
      </c>
      <c r="B3590" s="5" t="s">
        <v>5137</v>
      </c>
      <c r="C3590" s="5" t="s">
        <v>2411</v>
      </c>
      <c r="D3590" s="5" t="s">
        <v>6634</v>
      </c>
      <c r="E3590" s="8">
        <f>vlookup(B3590,Filmes_final!$B$2:$U$1001,20,FALSE)</f>
        <v>42242044</v>
      </c>
      <c r="F3590" s="5">
        <f>vlookup(B3590,Filmes_final!$B$2:$U$1001,3,FALSE)</f>
        <v>2013</v>
      </c>
      <c r="G3590" s="5" t="str">
        <f>vlookup(B3590,Filmes_final!$B$2:$U$1001,13,FALSE)</f>
        <v>Stephen Frears</v>
      </c>
    </row>
    <row r="3591">
      <c r="A3591" s="5">
        <v>898.0</v>
      </c>
      <c r="B3591" s="5" t="s">
        <v>5137</v>
      </c>
      <c r="C3591" s="5" t="s">
        <v>5140</v>
      </c>
      <c r="D3591" s="5" t="s">
        <v>6635</v>
      </c>
      <c r="E3591" s="8">
        <f>vlookup(B3591,Filmes_final!$B$2:$U$1001,20,FALSE)</f>
        <v>42242044</v>
      </c>
      <c r="F3591" s="5">
        <f>vlookup(B3591,Filmes_final!$B$2:$U$1001,3,FALSE)</f>
        <v>2013</v>
      </c>
      <c r="G3591" s="5" t="str">
        <f>vlookup(B3591,Filmes_final!$B$2:$U$1001,13,FALSE)</f>
        <v>Stephen Frears</v>
      </c>
    </row>
    <row r="3592">
      <c r="A3592" s="5">
        <v>898.0</v>
      </c>
      <c r="B3592" s="5" t="s">
        <v>5137</v>
      </c>
      <c r="C3592" s="5" t="s">
        <v>5141</v>
      </c>
      <c r="D3592" s="5" t="s">
        <v>6636</v>
      </c>
      <c r="E3592" s="8">
        <f>vlookup(B3592,Filmes_final!$B$2:$U$1001,20,FALSE)</f>
        <v>42242044</v>
      </c>
      <c r="F3592" s="5">
        <f>vlookup(B3592,Filmes_final!$B$2:$U$1001,3,FALSE)</f>
        <v>2013</v>
      </c>
      <c r="G3592" s="5" t="str">
        <f>vlookup(B3592,Filmes_final!$B$2:$U$1001,13,FALSE)</f>
        <v>Stephen Frears</v>
      </c>
    </row>
    <row r="3593">
      <c r="A3593" s="5">
        <v>898.0</v>
      </c>
      <c r="B3593" s="5" t="s">
        <v>5137</v>
      </c>
      <c r="C3593" s="5" t="s">
        <v>5142</v>
      </c>
      <c r="D3593" s="5" t="s">
        <v>6637</v>
      </c>
      <c r="E3593" s="8">
        <f>vlookup(B3593,Filmes_final!$B$2:$U$1001,20,FALSE)</f>
        <v>42242044</v>
      </c>
      <c r="F3593" s="5">
        <f>vlookup(B3593,Filmes_final!$B$2:$U$1001,3,FALSE)</f>
        <v>2013</v>
      </c>
      <c r="G3593" s="5" t="str">
        <f>vlookup(B3593,Filmes_final!$B$2:$U$1001,13,FALSE)</f>
        <v>Stephen Frears</v>
      </c>
    </row>
    <row r="3594">
      <c r="A3594" s="5">
        <v>899.0</v>
      </c>
      <c r="B3594" s="5" t="s">
        <v>5143</v>
      </c>
      <c r="C3594" s="5" t="s">
        <v>347</v>
      </c>
      <c r="D3594" s="5" t="s">
        <v>6634</v>
      </c>
      <c r="E3594" s="8">
        <f>vlookup(B3594,Filmes_final!$B$2:$U$1001,20,FALSE)</f>
        <v>229991596</v>
      </c>
      <c r="F3594" s="5">
        <f>vlookup(B3594,Filmes_final!$B$2:$U$1001,3,FALSE)</f>
        <v>2014</v>
      </c>
      <c r="G3594" s="5" t="str">
        <f>vlookup(B3594,Filmes_final!$B$2:$U$1001,13,FALSE)</f>
        <v>Matt Reeves</v>
      </c>
    </row>
    <row r="3595">
      <c r="A3595" s="5">
        <v>899.0</v>
      </c>
      <c r="B3595" s="5" t="s">
        <v>5143</v>
      </c>
      <c r="C3595" s="5" t="s">
        <v>5146</v>
      </c>
      <c r="D3595" s="5" t="s">
        <v>6635</v>
      </c>
      <c r="E3595" s="8">
        <f>vlookup(B3595,Filmes_final!$B$2:$U$1001,20,FALSE)</f>
        <v>229991596</v>
      </c>
      <c r="F3595" s="5">
        <f>vlookup(B3595,Filmes_final!$B$2:$U$1001,3,FALSE)</f>
        <v>2014</v>
      </c>
      <c r="G3595" s="5" t="str">
        <f>vlookup(B3595,Filmes_final!$B$2:$U$1001,13,FALSE)</f>
        <v>Matt Reeves</v>
      </c>
    </row>
    <row r="3596">
      <c r="A3596" s="5">
        <v>899.0</v>
      </c>
      <c r="B3596" s="5" t="s">
        <v>5143</v>
      </c>
      <c r="C3596" s="5" t="s">
        <v>3783</v>
      </c>
      <c r="D3596" s="5" t="s">
        <v>6636</v>
      </c>
      <c r="E3596" s="8">
        <f>vlookup(B3596,Filmes_final!$B$2:$U$1001,20,FALSE)</f>
        <v>229991596</v>
      </c>
      <c r="F3596" s="5">
        <f>vlookup(B3596,Filmes_final!$B$2:$U$1001,3,FALSE)</f>
        <v>2014</v>
      </c>
      <c r="G3596" s="5" t="str">
        <f>vlookup(B3596,Filmes_final!$B$2:$U$1001,13,FALSE)</f>
        <v>Matt Reeves</v>
      </c>
    </row>
    <row r="3597">
      <c r="A3597" s="5">
        <v>899.0</v>
      </c>
      <c r="B3597" s="5" t="s">
        <v>5143</v>
      </c>
      <c r="C3597" s="5" t="s">
        <v>5147</v>
      </c>
      <c r="D3597" s="5" t="s">
        <v>6637</v>
      </c>
      <c r="E3597" s="8">
        <f>vlookup(B3597,Filmes_final!$B$2:$U$1001,20,FALSE)</f>
        <v>229991596</v>
      </c>
      <c r="F3597" s="5">
        <f>vlookup(B3597,Filmes_final!$B$2:$U$1001,3,FALSE)</f>
        <v>2014</v>
      </c>
      <c r="G3597" s="5" t="str">
        <f>vlookup(B3597,Filmes_final!$B$2:$U$1001,13,FALSE)</f>
        <v>Matt Reeves</v>
      </c>
    </row>
    <row r="3598">
      <c r="A3598" s="5">
        <v>900.0</v>
      </c>
      <c r="B3598" s="5" t="s">
        <v>5148</v>
      </c>
      <c r="C3598" s="5" t="s">
        <v>1395</v>
      </c>
      <c r="D3598" s="5" t="s">
        <v>6634</v>
      </c>
      <c r="E3598" s="8">
        <f>vlookup(B3598,Filmes_final!$B$2:$U$1001,20,FALSE)</f>
        <v>9992211</v>
      </c>
      <c r="F3598" s="5">
        <f>vlookup(B3598,Filmes_final!$B$2:$U$1001,3,FALSE)</f>
        <v>2012</v>
      </c>
      <c r="G3598" s="5" t="str">
        <f>vlookup(B3598,Filmes_final!$B$2:$U$1001,13,FALSE)</f>
        <v>Oriol Paulo</v>
      </c>
    </row>
    <row r="3599">
      <c r="A3599" s="5">
        <v>900.0</v>
      </c>
      <c r="B3599" s="5" t="s">
        <v>5148</v>
      </c>
      <c r="C3599" s="5" t="s">
        <v>5150</v>
      </c>
      <c r="D3599" s="5" t="s">
        <v>6635</v>
      </c>
      <c r="E3599" s="8">
        <f>vlookup(B3599,Filmes_final!$B$2:$U$1001,20,FALSE)</f>
        <v>9992211</v>
      </c>
      <c r="F3599" s="5">
        <f>vlookup(B3599,Filmes_final!$B$2:$U$1001,3,FALSE)</f>
        <v>2012</v>
      </c>
      <c r="G3599" s="5" t="str">
        <f>vlookup(B3599,Filmes_final!$B$2:$U$1001,13,FALSE)</f>
        <v>Oriol Paulo</v>
      </c>
    </row>
    <row r="3600">
      <c r="A3600" s="5">
        <v>900.0</v>
      </c>
      <c r="B3600" s="5" t="s">
        <v>5148</v>
      </c>
      <c r="C3600" s="5" t="s">
        <v>2430</v>
      </c>
      <c r="D3600" s="5" t="s">
        <v>6636</v>
      </c>
      <c r="E3600" s="8">
        <f>vlookup(B3600,Filmes_final!$B$2:$U$1001,20,FALSE)</f>
        <v>9992211</v>
      </c>
      <c r="F3600" s="5">
        <f>vlookup(B3600,Filmes_final!$B$2:$U$1001,3,FALSE)</f>
        <v>2012</v>
      </c>
      <c r="G3600" s="5" t="str">
        <f>vlookup(B3600,Filmes_final!$B$2:$U$1001,13,FALSE)</f>
        <v>Oriol Paulo</v>
      </c>
    </row>
    <row r="3601">
      <c r="A3601" s="5">
        <v>900.0</v>
      </c>
      <c r="B3601" s="5" t="s">
        <v>5148</v>
      </c>
      <c r="C3601" s="5" t="s">
        <v>5151</v>
      </c>
      <c r="D3601" s="5" t="s">
        <v>6637</v>
      </c>
      <c r="E3601" s="8">
        <f>vlookup(B3601,Filmes_final!$B$2:$U$1001,20,FALSE)</f>
        <v>9992211</v>
      </c>
      <c r="F3601" s="5">
        <f>vlookup(B3601,Filmes_final!$B$2:$U$1001,3,FALSE)</f>
        <v>2012</v>
      </c>
      <c r="G3601" s="5" t="str">
        <f>vlookup(B3601,Filmes_final!$B$2:$U$1001,13,FALSE)</f>
        <v>Oriol Paulo</v>
      </c>
    </row>
    <row r="3602">
      <c r="A3602" s="5">
        <v>901.0</v>
      </c>
      <c r="B3602" s="5" t="s">
        <v>5152</v>
      </c>
      <c r="C3602" s="5" t="s">
        <v>2228</v>
      </c>
      <c r="D3602" s="5" t="s">
        <v>6634</v>
      </c>
      <c r="E3602" s="8">
        <f>vlookup(B3602,Filmes_final!$B$2:$U$1001,20,FALSE)</f>
        <v>4808774</v>
      </c>
      <c r="F3602" s="5">
        <f>vlookup(B3602,Filmes_final!$B$2:$U$1001,3,FALSE)</f>
        <v>2011</v>
      </c>
      <c r="G3602" s="5" t="str">
        <f>vlookup(B3602,Filmes_final!$B$2:$U$1001,13,FALSE)</f>
        <v>Gareth Evans</v>
      </c>
    </row>
    <row r="3603">
      <c r="A3603" s="5">
        <v>901.0</v>
      </c>
      <c r="B3603" s="5" t="s">
        <v>5152</v>
      </c>
      <c r="C3603" s="5" t="s">
        <v>5154</v>
      </c>
      <c r="D3603" s="5" t="s">
        <v>6635</v>
      </c>
      <c r="E3603" s="8">
        <f>vlookup(B3603,Filmes_final!$B$2:$U$1001,20,FALSE)</f>
        <v>4808774</v>
      </c>
      <c r="F3603" s="5">
        <f>vlookup(B3603,Filmes_final!$B$2:$U$1001,3,FALSE)</f>
        <v>2011</v>
      </c>
      <c r="G3603" s="5" t="str">
        <f>vlookup(B3603,Filmes_final!$B$2:$U$1001,13,FALSE)</f>
        <v>Gareth Evans</v>
      </c>
    </row>
    <row r="3604">
      <c r="A3604" s="5">
        <v>901.0</v>
      </c>
      <c r="B3604" s="5" t="s">
        <v>5152</v>
      </c>
      <c r="C3604" s="5" t="s">
        <v>5155</v>
      </c>
      <c r="D3604" s="5" t="s">
        <v>6636</v>
      </c>
      <c r="E3604" s="8">
        <f>vlookup(B3604,Filmes_final!$B$2:$U$1001,20,FALSE)</f>
        <v>4808774</v>
      </c>
      <c r="F3604" s="5">
        <f>vlookup(B3604,Filmes_final!$B$2:$U$1001,3,FALSE)</f>
        <v>2011</v>
      </c>
      <c r="G3604" s="5" t="str">
        <f>vlookup(B3604,Filmes_final!$B$2:$U$1001,13,FALSE)</f>
        <v>Gareth Evans</v>
      </c>
    </row>
    <row r="3605">
      <c r="A3605" s="5">
        <v>901.0</v>
      </c>
      <c r="B3605" s="5" t="s">
        <v>5152</v>
      </c>
      <c r="C3605" s="5" t="s">
        <v>5156</v>
      </c>
      <c r="D3605" s="5" t="s">
        <v>6637</v>
      </c>
      <c r="E3605" s="8">
        <f>vlookup(B3605,Filmes_final!$B$2:$U$1001,20,FALSE)</f>
        <v>4808774</v>
      </c>
      <c r="F3605" s="5">
        <f>vlookup(B3605,Filmes_final!$B$2:$U$1001,3,FALSE)</f>
        <v>2011</v>
      </c>
      <c r="G3605" s="5" t="str">
        <f>vlookup(B3605,Filmes_final!$B$2:$U$1001,13,FALSE)</f>
        <v>Gareth Evans</v>
      </c>
    </row>
    <row r="3606">
      <c r="A3606" s="5">
        <v>902.0</v>
      </c>
      <c r="B3606" s="5" t="s">
        <v>5157</v>
      </c>
      <c r="C3606" s="5" t="s">
        <v>1542</v>
      </c>
      <c r="D3606" s="5" t="s">
        <v>6634</v>
      </c>
      <c r="E3606" s="8">
        <f>vlookup(B3606,Filmes_final!$B$2:$U$1001,20,FALSE)</f>
        <v>46666581</v>
      </c>
      <c r="F3606" s="5">
        <f>vlookup(B3606,Filmes_final!$B$2:$U$1001,3,FALSE)</f>
        <v>2012</v>
      </c>
      <c r="G3606" s="5" t="str">
        <f>vlookup(B3606,Filmes_final!$B$2:$U$1001,13,FALSE)</f>
        <v>David Ayer</v>
      </c>
    </row>
    <row r="3607">
      <c r="A3607" s="5">
        <v>902.0</v>
      </c>
      <c r="B3607" s="5" t="s">
        <v>5157</v>
      </c>
      <c r="C3607" s="5" t="s">
        <v>5160</v>
      </c>
      <c r="D3607" s="5" t="s">
        <v>6635</v>
      </c>
      <c r="E3607" s="8">
        <f>vlookup(B3607,Filmes_final!$B$2:$U$1001,20,FALSE)</f>
        <v>46666581</v>
      </c>
      <c r="F3607" s="5">
        <f>vlookup(B3607,Filmes_final!$B$2:$U$1001,3,FALSE)</f>
        <v>2012</v>
      </c>
      <c r="G3607" s="5" t="str">
        <f>vlookup(B3607,Filmes_final!$B$2:$U$1001,13,FALSE)</f>
        <v>David Ayer</v>
      </c>
    </row>
    <row r="3608">
      <c r="A3608" s="5">
        <v>902.0</v>
      </c>
      <c r="B3608" s="5" t="s">
        <v>5157</v>
      </c>
      <c r="C3608" s="5" t="s">
        <v>5161</v>
      </c>
      <c r="D3608" s="5" t="s">
        <v>6636</v>
      </c>
      <c r="E3608" s="8">
        <f>vlookup(B3608,Filmes_final!$B$2:$U$1001,20,FALSE)</f>
        <v>46666581</v>
      </c>
      <c r="F3608" s="5">
        <f>vlookup(B3608,Filmes_final!$B$2:$U$1001,3,FALSE)</f>
        <v>2012</v>
      </c>
      <c r="G3608" s="5" t="str">
        <f>vlookup(B3608,Filmes_final!$B$2:$U$1001,13,FALSE)</f>
        <v>David Ayer</v>
      </c>
    </row>
    <row r="3609">
      <c r="A3609" s="5">
        <v>902.0</v>
      </c>
      <c r="B3609" s="5" t="s">
        <v>5157</v>
      </c>
      <c r="C3609" s="5" t="s">
        <v>5162</v>
      </c>
      <c r="D3609" s="5" t="s">
        <v>6637</v>
      </c>
      <c r="E3609" s="8">
        <f>vlookup(B3609,Filmes_final!$B$2:$U$1001,20,FALSE)</f>
        <v>46666581</v>
      </c>
      <c r="F3609" s="5">
        <f>vlookup(B3609,Filmes_final!$B$2:$U$1001,3,FALSE)</f>
        <v>2012</v>
      </c>
      <c r="G3609" s="5" t="str">
        <f>vlookup(B3609,Filmes_final!$B$2:$U$1001,13,FALSE)</f>
        <v>David Ayer</v>
      </c>
    </row>
    <row r="3610">
      <c r="A3610" s="5">
        <v>903.0</v>
      </c>
      <c r="B3610" s="5" t="s">
        <v>5163</v>
      </c>
      <c r="C3610" s="5" t="s">
        <v>1491</v>
      </c>
      <c r="D3610" s="5" t="s">
        <v>6634</v>
      </c>
      <c r="E3610" s="8">
        <f>vlookup(B3610,Filmes_final!$B$2:$U$1001,20,FALSE)</f>
        <v>22861320</v>
      </c>
      <c r="F3610" s="5">
        <f>vlookup(B3610,Filmes_final!$B$2:$U$1001,3,FALSE)</f>
        <v>2010</v>
      </c>
      <c r="G3610" s="5" t="str">
        <f>vlookup(B3610,Filmes_final!$B$2:$U$1001,13,FALSE)</f>
        <v>Hiromasa Yonebayashi</v>
      </c>
    </row>
    <row r="3611">
      <c r="A3611" s="5">
        <v>903.0</v>
      </c>
      <c r="B3611" s="5" t="s">
        <v>5163</v>
      </c>
      <c r="C3611" s="5" t="s">
        <v>5165</v>
      </c>
      <c r="D3611" s="5" t="s">
        <v>6635</v>
      </c>
      <c r="E3611" s="8">
        <f>vlookup(B3611,Filmes_final!$B$2:$U$1001,20,FALSE)</f>
        <v>22861320</v>
      </c>
      <c r="F3611" s="5">
        <f>vlookup(B3611,Filmes_final!$B$2:$U$1001,3,FALSE)</f>
        <v>2010</v>
      </c>
      <c r="G3611" s="5" t="str">
        <f>vlookup(B3611,Filmes_final!$B$2:$U$1001,13,FALSE)</f>
        <v>Hiromasa Yonebayashi</v>
      </c>
    </row>
    <row r="3612">
      <c r="A3612" s="5">
        <v>903.0</v>
      </c>
      <c r="B3612" s="5" t="s">
        <v>5163</v>
      </c>
      <c r="C3612" s="5" t="s">
        <v>453</v>
      </c>
      <c r="D3612" s="5" t="s">
        <v>6636</v>
      </c>
      <c r="E3612" s="8">
        <f>vlookup(B3612,Filmes_final!$B$2:$U$1001,20,FALSE)</f>
        <v>22861320</v>
      </c>
      <c r="F3612" s="5">
        <f>vlookup(B3612,Filmes_final!$B$2:$U$1001,3,FALSE)</f>
        <v>2010</v>
      </c>
      <c r="G3612" s="5" t="str">
        <f>vlookup(B3612,Filmes_final!$B$2:$U$1001,13,FALSE)</f>
        <v>Hiromasa Yonebayashi</v>
      </c>
    </row>
    <row r="3613">
      <c r="A3613" s="5">
        <v>903.0</v>
      </c>
      <c r="B3613" s="5" t="s">
        <v>5163</v>
      </c>
      <c r="C3613" s="5" t="s">
        <v>4502</v>
      </c>
      <c r="D3613" s="5" t="s">
        <v>6637</v>
      </c>
      <c r="E3613" s="8">
        <f>vlookup(B3613,Filmes_final!$B$2:$U$1001,20,FALSE)</f>
        <v>22861320</v>
      </c>
      <c r="F3613" s="5">
        <f>vlookup(B3613,Filmes_final!$B$2:$U$1001,3,FALSE)</f>
        <v>2010</v>
      </c>
      <c r="G3613" s="5" t="str">
        <f>vlookup(B3613,Filmes_final!$B$2:$U$1001,13,FALSE)</f>
        <v>Hiromasa Yonebayashi</v>
      </c>
    </row>
    <row r="3614">
      <c r="A3614" s="5">
        <v>904.0</v>
      </c>
      <c r="B3614" s="5" t="s">
        <v>5166</v>
      </c>
      <c r="C3614" s="5" t="s">
        <v>5168</v>
      </c>
      <c r="D3614" s="5" t="s">
        <v>6634</v>
      </c>
      <c r="E3614" s="8">
        <f>vlookup(B3614,Filmes_final!$B$2:$U$1001,20,FALSE)</f>
        <v>224064858</v>
      </c>
      <c r="F3614" s="5">
        <f>vlookup(B3614,Filmes_final!$B$2:$U$1001,3,FALSE)</f>
        <v>2018</v>
      </c>
      <c r="G3614" s="5" t="str">
        <f>vlookup(B3614,Filmes_final!$B$2:$U$1001,13,FALSE)</f>
        <v>Bradley Cooper</v>
      </c>
    </row>
    <row r="3615">
      <c r="A3615" s="5">
        <v>904.0</v>
      </c>
      <c r="B3615" s="5" t="s">
        <v>5166</v>
      </c>
      <c r="C3615" s="5" t="s">
        <v>2245</v>
      </c>
      <c r="D3615" s="5" t="s">
        <v>6635</v>
      </c>
      <c r="E3615" s="8">
        <f>vlookup(B3615,Filmes_final!$B$2:$U$1001,20,FALSE)</f>
        <v>224064858</v>
      </c>
      <c r="F3615" s="5">
        <f>vlookup(B3615,Filmes_final!$B$2:$U$1001,3,FALSE)</f>
        <v>2018</v>
      </c>
      <c r="G3615" s="5" t="str">
        <f>vlookup(B3615,Filmes_final!$B$2:$U$1001,13,FALSE)</f>
        <v>Bradley Cooper</v>
      </c>
    </row>
    <row r="3616">
      <c r="A3616" s="5">
        <v>904.0</v>
      </c>
      <c r="B3616" s="5" t="s">
        <v>5166</v>
      </c>
      <c r="C3616" s="5" t="s">
        <v>3983</v>
      </c>
      <c r="D3616" s="5" t="s">
        <v>6636</v>
      </c>
      <c r="E3616" s="8">
        <f>vlookup(B3616,Filmes_final!$B$2:$U$1001,20,FALSE)</f>
        <v>224064858</v>
      </c>
      <c r="F3616" s="5">
        <f>vlookup(B3616,Filmes_final!$B$2:$U$1001,3,FALSE)</f>
        <v>2018</v>
      </c>
      <c r="G3616" s="5" t="str">
        <f>vlookup(B3616,Filmes_final!$B$2:$U$1001,13,FALSE)</f>
        <v>Bradley Cooper</v>
      </c>
    </row>
    <row r="3617">
      <c r="A3617" s="5">
        <v>904.0</v>
      </c>
      <c r="B3617" s="5" t="s">
        <v>5166</v>
      </c>
      <c r="C3617" s="5" t="s">
        <v>5169</v>
      </c>
      <c r="D3617" s="5" t="s">
        <v>6637</v>
      </c>
      <c r="E3617" s="8">
        <f>vlookup(B3617,Filmes_final!$B$2:$U$1001,20,FALSE)</f>
        <v>224064858</v>
      </c>
      <c r="F3617" s="5">
        <f>vlookup(B3617,Filmes_final!$B$2:$U$1001,3,FALSE)</f>
        <v>2018</v>
      </c>
      <c r="G3617" s="5" t="str">
        <f>vlookup(B3617,Filmes_final!$B$2:$U$1001,13,FALSE)</f>
        <v>Bradley Cooper</v>
      </c>
    </row>
    <row r="3618">
      <c r="A3618" s="5">
        <v>905.0</v>
      </c>
      <c r="B3618" s="5" t="s">
        <v>5170</v>
      </c>
      <c r="C3618" s="5" t="s">
        <v>1613</v>
      </c>
      <c r="D3618" s="5" t="s">
        <v>6634</v>
      </c>
      <c r="E3618" s="8">
        <f>vlookup(B3618,Filmes_final!$B$2:$U$1001,20,FALSE)</f>
        <v>203868849</v>
      </c>
      <c r="F3618" s="5">
        <f>vlookup(B3618,Filmes_final!$B$2:$U$1001,3,FALSE)</f>
        <v>2010</v>
      </c>
      <c r="G3618" s="5" t="str">
        <f>vlookup(B3618,Filmes_final!$B$2:$U$1001,13,FALSE)</f>
        <v>Ethan Coen</v>
      </c>
    </row>
    <row r="3619">
      <c r="A3619" s="5">
        <v>905.0</v>
      </c>
      <c r="B3619" s="5" t="s">
        <v>5170</v>
      </c>
      <c r="C3619" s="5" t="s">
        <v>1727</v>
      </c>
      <c r="D3619" s="5" t="s">
        <v>6635</v>
      </c>
      <c r="E3619" s="8">
        <f>vlookup(B3619,Filmes_final!$B$2:$U$1001,20,FALSE)</f>
        <v>203868849</v>
      </c>
      <c r="F3619" s="5">
        <f>vlookup(B3619,Filmes_final!$B$2:$U$1001,3,FALSE)</f>
        <v>2010</v>
      </c>
      <c r="G3619" s="5" t="str">
        <f>vlookup(B3619,Filmes_final!$B$2:$U$1001,13,FALSE)</f>
        <v>Ethan Coen</v>
      </c>
    </row>
    <row r="3620">
      <c r="A3620" s="5">
        <v>905.0</v>
      </c>
      <c r="B3620" s="5" t="s">
        <v>5170</v>
      </c>
      <c r="C3620" s="5" t="s">
        <v>215</v>
      </c>
      <c r="D3620" s="5" t="s">
        <v>6636</v>
      </c>
      <c r="E3620" s="8">
        <f>vlookup(B3620,Filmes_final!$B$2:$U$1001,20,FALSE)</f>
        <v>203868849</v>
      </c>
      <c r="F3620" s="5">
        <f>vlookup(B3620,Filmes_final!$B$2:$U$1001,3,FALSE)</f>
        <v>2010</v>
      </c>
      <c r="G3620" s="5" t="str">
        <f>vlookup(B3620,Filmes_final!$B$2:$U$1001,13,FALSE)</f>
        <v>Ethan Coen</v>
      </c>
    </row>
    <row r="3621">
      <c r="A3621" s="5">
        <v>905.0</v>
      </c>
      <c r="B3621" s="5" t="s">
        <v>5170</v>
      </c>
      <c r="C3621" s="5" t="s">
        <v>5172</v>
      </c>
      <c r="D3621" s="5" t="s">
        <v>6637</v>
      </c>
      <c r="E3621" s="8">
        <f>vlookup(B3621,Filmes_final!$B$2:$U$1001,20,FALSE)</f>
        <v>203868849</v>
      </c>
      <c r="F3621" s="5">
        <f>vlookup(B3621,Filmes_final!$B$2:$U$1001,3,FALSE)</f>
        <v>2010</v>
      </c>
      <c r="G3621" s="5" t="str">
        <f>vlookup(B3621,Filmes_final!$B$2:$U$1001,13,FALSE)</f>
        <v>Ethan Coen</v>
      </c>
    </row>
    <row r="3622">
      <c r="A3622" s="5">
        <v>906.0</v>
      </c>
      <c r="B3622" s="5" t="s">
        <v>5173</v>
      </c>
      <c r="C3622" s="5" t="s">
        <v>5175</v>
      </c>
      <c r="D3622" s="5" t="s">
        <v>6634</v>
      </c>
      <c r="E3622" s="8">
        <f>vlookup(B3622,Filmes_final!$B$2:$U$1001,20,FALSE)</f>
        <v>1200165</v>
      </c>
      <c r="F3622" s="5">
        <f>vlookup(B3622,Filmes_final!$B$2:$U$1001,3,FALSE)</f>
        <v>2010</v>
      </c>
      <c r="G3622" s="5" t="str">
        <f>vlookup(B3622,Filmes_final!$B$2:$U$1001,13,FALSE)</f>
        <v>Susanne Bier</v>
      </c>
    </row>
    <row r="3623">
      <c r="A3623" s="5">
        <v>906.0</v>
      </c>
      <c r="B3623" s="5" t="s">
        <v>5173</v>
      </c>
      <c r="C3623" s="5" t="s">
        <v>5176</v>
      </c>
      <c r="D3623" s="5" t="s">
        <v>6635</v>
      </c>
      <c r="E3623" s="8">
        <f>vlookup(B3623,Filmes_final!$B$2:$U$1001,20,FALSE)</f>
        <v>1200165</v>
      </c>
      <c r="F3623" s="5">
        <f>vlookup(B3623,Filmes_final!$B$2:$U$1001,3,FALSE)</f>
        <v>2010</v>
      </c>
      <c r="G3623" s="5" t="str">
        <f>vlookup(B3623,Filmes_final!$B$2:$U$1001,13,FALSE)</f>
        <v>Susanne Bier</v>
      </c>
    </row>
    <row r="3624">
      <c r="A3624" s="5">
        <v>906.0</v>
      </c>
      <c r="B3624" s="5" t="s">
        <v>5173</v>
      </c>
      <c r="C3624" s="5" t="s">
        <v>5177</v>
      </c>
      <c r="D3624" s="5" t="s">
        <v>6636</v>
      </c>
      <c r="E3624" s="8">
        <f>vlookup(B3624,Filmes_final!$B$2:$U$1001,20,FALSE)</f>
        <v>1200165</v>
      </c>
      <c r="F3624" s="5">
        <f>vlookup(B3624,Filmes_final!$B$2:$U$1001,3,FALSE)</f>
        <v>2010</v>
      </c>
      <c r="G3624" s="5" t="str">
        <f>vlookup(B3624,Filmes_final!$B$2:$U$1001,13,FALSE)</f>
        <v>Susanne Bier</v>
      </c>
    </row>
    <row r="3625">
      <c r="A3625" s="5">
        <v>906.0</v>
      </c>
      <c r="B3625" s="5" t="s">
        <v>5173</v>
      </c>
      <c r="C3625" s="5" t="s">
        <v>5178</v>
      </c>
      <c r="D3625" s="5" t="s">
        <v>6637</v>
      </c>
      <c r="E3625" s="8">
        <f>vlookup(B3625,Filmes_final!$B$2:$U$1001,20,FALSE)</f>
        <v>1200165</v>
      </c>
      <c r="F3625" s="5">
        <f>vlookup(B3625,Filmes_final!$B$2:$U$1001,3,FALSE)</f>
        <v>2010</v>
      </c>
      <c r="G3625" s="5" t="str">
        <f>vlookup(B3625,Filmes_final!$B$2:$U$1001,13,FALSE)</f>
        <v>Susanne Bier</v>
      </c>
    </row>
    <row r="3626">
      <c r="A3626" s="5">
        <v>907.0</v>
      </c>
      <c r="B3626" s="5" t="s">
        <v>5179</v>
      </c>
      <c r="C3626" s="5" t="s">
        <v>5183</v>
      </c>
      <c r="D3626" s="5" t="s">
        <v>6634</v>
      </c>
      <c r="E3626" s="8">
        <f>vlookup(B3626,Filmes_final!$B$2:$U$1001,20,FALSE)</f>
        <v>299433350</v>
      </c>
      <c r="F3626" s="5">
        <f>vlookup(B3626,Filmes_final!$B$2:$U$1001,3,FALSE)</f>
        <v>2010</v>
      </c>
      <c r="G3626" s="5" t="str">
        <f>vlookup(B3626,Filmes_final!$B$2:$U$1001,13,FALSE)</f>
        <v>Pierre Coffin</v>
      </c>
    </row>
    <row r="3627">
      <c r="A3627" s="5">
        <v>907.0</v>
      </c>
      <c r="B3627" s="5" t="s">
        <v>5179</v>
      </c>
      <c r="C3627" s="5" t="s">
        <v>3685</v>
      </c>
      <c r="D3627" s="5" t="s">
        <v>6635</v>
      </c>
      <c r="E3627" s="8">
        <f>vlookup(B3627,Filmes_final!$B$2:$U$1001,20,FALSE)</f>
        <v>299433350</v>
      </c>
      <c r="F3627" s="5">
        <f>vlookup(B3627,Filmes_final!$B$2:$U$1001,3,FALSE)</f>
        <v>2010</v>
      </c>
      <c r="G3627" s="5" t="str">
        <f>vlookup(B3627,Filmes_final!$B$2:$U$1001,13,FALSE)</f>
        <v>Pierre Coffin</v>
      </c>
    </row>
    <row r="3628">
      <c r="A3628" s="5">
        <v>907.0</v>
      </c>
      <c r="B3628" s="5" t="s">
        <v>5179</v>
      </c>
      <c r="C3628" s="5" t="s">
        <v>5184</v>
      </c>
      <c r="D3628" s="5" t="s">
        <v>6636</v>
      </c>
      <c r="E3628" s="8">
        <f>vlookup(B3628,Filmes_final!$B$2:$U$1001,20,FALSE)</f>
        <v>299433350</v>
      </c>
      <c r="F3628" s="5">
        <f>vlookup(B3628,Filmes_final!$B$2:$U$1001,3,FALSE)</f>
        <v>2010</v>
      </c>
      <c r="G3628" s="5" t="str">
        <f>vlookup(B3628,Filmes_final!$B$2:$U$1001,13,FALSE)</f>
        <v>Pierre Coffin</v>
      </c>
    </row>
    <row r="3629">
      <c r="A3629" s="5">
        <v>907.0</v>
      </c>
      <c r="B3629" s="5" t="s">
        <v>5179</v>
      </c>
      <c r="C3629" s="5" t="s">
        <v>5185</v>
      </c>
      <c r="D3629" s="5" t="s">
        <v>6637</v>
      </c>
      <c r="E3629" s="8">
        <f>vlookup(B3629,Filmes_final!$B$2:$U$1001,20,FALSE)</f>
        <v>299433350</v>
      </c>
      <c r="F3629" s="5">
        <f>vlookup(B3629,Filmes_final!$B$2:$U$1001,3,FALSE)</f>
        <v>2010</v>
      </c>
      <c r="G3629" s="5" t="str">
        <f>vlookup(B3629,Filmes_final!$B$2:$U$1001,13,FALSE)</f>
        <v>Pierre Coffin</v>
      </c>
    </row>
    <row r="3630">
      <c r="A3630" s="5">
        <v>908.0</v>
      </c>
      <c r="B3630" s="5" t="s">
        <v>5186</v>
      </c>
      <c r="C3630" s="5" t="s">
        <v>91</v>
      </c>
      <c r="D3630" s="5" t="s">
        <v>6634</v>
      </c>
      <c r="E3630" s="8">
        <f>vlookup(B3630,Filmes_final!$B$2:$U$1001,20,FALSE)</f>
        <v>41015907</v>
      </c>
      <c r="F3630" s="5">
        <f>vlookup(B3630,Filmes_final!$B$2:$U$1001,3,FALSE)</f>
        <v>2011</v>
      </c>
      <c r="G3630" s="5" t="str">
        <f>vlookup(B3630,Filmes_final!$B$2:$U$1001,13,FALSE)</f>
        <v>Jonathan Levine</v>
      </c>
    </row>
    <row r="3631">
      <c r="A3631" s="5">
        <v>908.0</v>
      </c>
      <c r="B3631" s="5" t="s">
        <v>5186</v>
      </c>
      <c r="C3631" s="5" t="s">
        <v>5189</v>
      </c>
      <c r="D3631" s="5" t="s">
        <v>6635</v>
      </c>
      <c r="E3631" s="8">
        <f>vlookup(B3631,Filmes_final!$B$2:$U$1001,20,FALSE)</f>
        <v>41015907</v>
      </c>
      <c r="F3631" s="5">
        <f>vlookup(B3631,Filmes_final!$B$2:$U$1001,3,FALSE)</f>
        <v>2011</v>
      </c>
      <c r="G3631" s="5" t="str">
        <f>vlookup(B3631,Filmes_final!$B$2:$U$1001,13,FALSE)</f>
        <v>Jonathan Levine</v>
      </c>
    </row>
    <row r="3632">
      <c r="A3632" s="5">
        <v>908.0</v>
      </c>
      <c r="B3632" s="5" t="s">
        <v>5186</v>
      </c>
      <c r="C3632" s="5" t="s">
        <v>5161</v>
      </c>
      <c r="D3632" s="5" t="s">
        <v>6636</v>
      </c>
      <c r="E3632" s="8">
        <f>vlookup(B3632,Filmes_final!$B$2:$U$1001,20,FALSE)</f>
        <v>41015907</v>
      </c>
      <c r="F3632" s="5">
        <f>vlookup(B3632,Filmes_final!$B$2:$U$1001,3,FALSE)</f>
        <v>2011</v>
      </c>
      <c r="G3632" s="5" t="str">
        <f>vlookup(B3632,Filmes_final!$B$2:$U$1001,13,FALSE)</f>
        <v>Jonathan Levine</v>
      </c>
    </row>
    <row r="3633">
      <c r="A3633" s="5">
        <v>908.0</v>
      </c>
      <c r="B3633" s="5" t="s">
        <v>5186</v>
      </c>
      <c r="C3633" s="5" t="s">
        <v>2287</v>
      </c>
      <c r="D3633" s="5" t="s">
        <v>6637</v>
      </c>
      <c r="E3633" s="8">
        <f>vlookup(B3633,Filmes_final!$B$2:$U$1001,20,FALSE)</f>
        <v>41015907</v>
      </c>
      <c r="F3633" s="5">
        <f>vlookup(B3633,Filmes_final!$B$2:$U$1001,3,FALSE)</f>
        <v>2011</v>
      </c>
      <c r="G3633" s="5" t="str">
        <f>vlookup(B3633,Filmes_final!$B$2:$U$1001,13,FALSE)</f>
        <v>Jonathan Levine</v>
      </c>
    </row>
    <row r="3634">
      <c r="A3634" s="5">
        <v>909.0</v>
      </c>
      <c r="B3634" s="5" t="s">
        <v>5190</v>
      </c>
      <c r="C3634" s="5" t="s">
        <v>5192</v>
      </c>
      <c r="D3634" s="5" t="s">
        <v>6634</v>
      </c>
      <c r="E3634" s="8">
        <f>vlookup(B3634,Filmes_final!$B$2:$U$1001,20,FALSE)</f>
        <v>57230024</v>
      </c>
      <c r="F3634" s="5">
        <f>vlookup(B3634,Filmes_final!$B$2:$U$1001,3,FALSE)</f>
        <v>2010</v>
      </c>
      <c r="G3634" s="5" t="str">
        <f>vlookup(B3634,Filmes_final!$B$2:$U$1001,13,FALSE)</f>
        <v>Matthew Vaughn</v>
      </c>
    </row>
    <row r="3635">
      <c r="A3635" s="5">
        <v>909.0</v>
      </c>
      <c r="B3635" s="5" t="s">
        <v>5190</v>
      </c>
      <c r="C3635" s="5" t="s">
        <v>4629</v>
      </c>
      <c r="D3635" s="5" t="s">
        <v>6635</v>
      </c>
      <c r="E3635" s="8">
        <f>vlookup(B3635,Filmes_final!$B$2:$U$1001,20,FALSE)</f>
        <v>57230024</v>
      </c>
      <c r="F3635" s="5">
        <f>vlookup(B3635,Filmes_final!$B$2:$U$1001,3,FALSE)</f>
        <v>2010</v>
      </c>
      <c r="G3635" s="5" t="str">
        <f>vlookup(B3635,Filmes_final!$B$2:$U$1001,13,FALSE)</f>
        <v>Matthew Vaughn</v>
      </c>
    </row>
    <row r="3636">
      <c r="A3636" s="5">
        <v>909.0</v>
      </c>
      <c r="B3636" s="5" t="s">
        <v>5190</v>
      </c>
      <c r="C3636" s="5" t="s">
        <v>2202</v>
      </c>
      <c r="D3636" s="5" t="s">
        <v>6636</v>
      </c>
      <c r="E3636" s="8">
        <f>vlookup(B3636,Filmes_final!$B$2:$U$1001,20,FALSE)</f>
        <v>57230024</v>
      </c>
      <c r="F3636" s="5">
        <f>vlookup(B3636,Filmes_final!$B$2:$U$1001,3,FALSE)</f>
        <v>2010</v>
      </c>
      <c r="G3636" s="5" t="str">
        <f>vlookup(B3636,Filmes_final!$B$2:$U$1001,13,FALSE)</f>
        <v>Matthew Vaughn</v>
      </c>
    </row>
    <row r="3637">
      <c r="A3637" s="5">
        <v>909.0</v>
      </c>
      <c r="B3637" s="5" t="s">
        <v>5190</v>
      </c>
      <c r="C3637" s="5" t="s">
        <v>5193</v>
      </c>
      <c r="D3637" s="5" t="s">
        <v>6637</v>
      </c>
      <c r="E3637" s="8">
        <f>vlookup(B3637,Filmes_final!$B$2:$U$1001,20,FALSE)</f>
        <v>57230024</v>
      </c>
      <c r="F3637" s="5">
        <f>vlookup(B3637,Filmes_final!$B$2:$U$1001,3,FALSE)</f>
        <v>2010</v>
      </c>
      <c r="G3637" s="5" t="str">
        <f>vlookup(B3637,Filmes_final!$B$2:$U$1001,13,FALSE)</f>
        <v>Matthew Vaughn</v>
      </c>
    </row>
    <row r="3638">
      <c r="A3638" s="5">
        <v>910.0</v>
      </c>
      <c r="B3638" s="5" t="s">
        <v>5194</v>
      </c>
      <c r="C3638" s="5" t="s">
        <v>5198</v>
      </c>
      <c r="D3638" s="5" t="s">
        <v>6634</v>
      </c>
      <c r="E3638" s="8">
        <f>vlookup(B3638,Filmes_final!$B$2:$U$1001,20,FALSE)</f>
        <v>23586911</v>
      </c>
      <c r="F3638" s="5">
        <f>vlookup(B3638,Filmes_final!$B$2:$U$1001,3,FALSE)</f>
        <v>2009</v>
      </c>
      <c r="G3638" s="5" t="str">
        <f>vlookup(B3638,Filmes_final!$B$2:$U$1001,13,FALSE)</f>
        <v>Daniel Monzón</v>
      </c>
    </row>
    <row r="3639">
      <c r="A3639" s="5">
        <v>910.0</v>
      </c>
      <c r="B3639" s="5" t="s">
        <v>5194</v>
      </c>
      <c r="C3639" s="5" t="s">
        <v>5199</v>
      </c>
      <c r="D3639" s="5" t="s">
        <v>6635</v>
      </c>
      <c r="E3639" s="8">
        <f>vlookup(B3639,Filmes_final!$B$2:$U$1001,20,FALSE)</f>
        <v>23586911</v>
      </c>
      <c r="F3639" s="5">
        <f>vlookup(B3639,Filmes_final!$B$2:$U$1001,3,FALSE)</f>
        <v>2009</v>
      </c>
      <c r="G3639" s="5" t="str">
        <f>vlookup(B3639,Filmes_final!$B$2:$U$1001,13,FALSE)</f>
        <v>Daniel Monzón</v>
      </c>
    </row>
    <row r="3640">
      <c r="A3640" s="5">
        <v>910.0</v>
      </c>
      <c r="B3640" s="5" t="s">
        <v>5194</v>
      </c>
      <c r="C3640" s="5" t="s">
        <v>5200</v>
      </c>
      <c r="D3640" s="5" t="s">
        <v>6636</v>
      </c>
      <c r="E3640" s="8">
        <f>vlookup(B3640,Filmes_final!$B$2:$U$1001,20,FALSE)</f>
        <v>23586911</v>
      </c>
      <c r="F3640" s="5">
        <f>vlookup(B3640,Filmes_final!$B$2:$U$1001,3,FALSE)</f>
        <v>2009</v>
      </c>
      <c r="G3640" s="5" t="str">
        <f>vlookup(B3640,Filmes_final!$B$2:$U$1001,13,FALSE)</f>
        <v>Daniel Monzón</v>
      </c>
    </row>
    <row r="3641">
      <c r="A3641" s="5">
        <v>910.0</v>
      </c>
      <c r="B3641" s="5" t="s">
        <v>5194</v>
      </c>
      <c r="C3641" s="5" t="s">
        <v>5201</v>
      </c>
      <c r="D3641" s="5" t="s">
        <v>6637</v>
      </c>
      <c r="E3641" s="8">
        <f>vlookup(B3641,Filmes_final!$B$2:$U$1001,20,FALSE)</f>
        <v>23586911</v>
      </c>
      <c r="F3641" s="5">
        <f>vlookup(B3641,Filmes_final!$B$2:$U$1001,3,FALSE)</f>
        <v>2009</v>
      </c>
      <c r="G3641" s="5" t="str">
        <f>vlookup(B3641,Filmes_final!$B$2:$U$1001,13,FALSE)</f>
        <v>Daniel Monzón</v>
      </c>
    </row>
    <row r="3642">
      <c r="A3642" s="5">
        <v>911.0</v>
      </c>
      <c r="B3642" s="5" t="s">
        <v>5202</v>
      </c>
      <c r="C3642" s="5" t="s">
        <v>98</v>
      </c>
      <c r="D3642" s="5" t="s">
        <v>6634</v>
      </c>
      <c r="E3642" s="8">
        <f>vlookup(B3642,Filmes_final!$B$2:$U$1001,20,FALSE)</f>
        <v>88564883</v>
      </c>
      <c r="F3642" s="5">
        <f>vlookup(B3642,Filmes_final!$B$2:$U$1001,3,FALSE)</f>
        <v>2011</v>
      </c>
      <c r="G3642" s="5" t="str">
        <f>vlookup(B3642,Filmes_final!$B$2:$U$1001,13,FALSE)</f>
        <v>Bennett Miller</v>
      </c>
    </row>
    <row r="3643">
      <c r="A3643" s="5">
        <v>911.0</v>
      </c>
      <c r="B3643" s="5" t="s">
        <v>5202</v>
      </c>
      <c r="C3643" s="5" t="s">
        <v>111</v>
      </c>
      <c r="D3643" s="5" t="s">
        <v>6635</v>
      </c>
      <c r="E3643" s="8">
        <f>vlookup(B3643,Filmes_final!$B$2:$U$1001,20,FALSE)</f>
        <v>88564883</v>
      </c>
      <c r="F3643" s="5">
        <f>vlookup(B3643,Filmes_final!$B$2:$U$1001,3,FALSE)</f>
        <v>2011</v>
      </c>
      <c r="G3643" s="5" t="str">
        <f>vlookup(B3643,Filmes_final!$B$2:$U$1001,13,FALSE)</f>
        <v>Bennett Miller</v>
      </c>
    </row>
    <row r="3644">
      <c r="A3644" s="5">
        <v>911.0</v>
      </c>
      <c r="B3644" s="5" t="s">
        <v>5202</v>
      </c>
      <c r="C3644" s="5" t="s">
        <v>1079</v>
      </c>
      <c r="D3644" s="5" t="s">
        <v>6636</v>
      </c>
      <c r="E3644" s="8">
        <f>vlookup(B3644,Filmes_final!$B$2:$U$1001,20,FALSE)</f>
        <v>88564883</v>
      </c>
      <c r="F3644" s="5">
        <f>vlookup(B3644,Filmes_final!$B$2:$U$1001,3,FALSE)</f>
        <v>2011</v>
      </c>
      <c r="G3644" s="5" t="str">
        <f>vlookup(B3644,Filmes_final!$B$2:$U$1001,13,FALSE)</f>
        <v>Bennett Miller</v>
      </c>
    </row>
    <row r="3645">
      <c r="A3645" s="5">
        <v>911.0</v>
      </c>
      <c r="B3645" s="5" t="s">
        <v>5202</v>
      </c>
      <c r="C3645" s="5" t="s">
        <v>1593</v>
      </c>
      <c r="D3645" s="5" t="s">
        <v>6637</v>
      </c>
      <c r="E3645" s="8">
        <f>vlookup(B3645,Filmes_final!$B$2:$U$1001,20,FALSE)</f>
        <v>88564883</v>
      </c>
      <c r="F3645" s="5">
        <f>vlookup(B3645,Filmes_final!$B$2:$U$1001,3,FALSE)</f>
        <v>2011</v>
      </c>
      <c r="G3645" s="5" t="str">
        <f>vlookup(B3645,Filmes_final!$B$2:$U$1001,13,FALSE)</f>
        <v>Bennett Miller</v>
      </c>
    </row>
    <row r="3646">
      <c r="A3646" s="5">
        <v>912.0</v>
      </c>
      <c r="B3646" s="5" t="s">
        <v>5205</v>
      </c>
      <c r="C3646" s="5" t="s">
        <v>5207</v>
      </c>
      <c r="D3646" s="5" t="s">
        <v>6634</v>
      </c>
      <c r="E3646" s="8">
        <f>vlookup(B3646,Filmes_final!$B$2:$U$1001,20,FALSE)</f>
        <v>3731886</v>
      </c>
      <c r="F3646" s="5">
        <f>vlookup(B3646,Filmes_final!$B$2:$U$1001,3,FALSE)</f>
        <v>2011</v>
      </c>
      <c r="G3646" s="5" t="str">
        <f>vlookup(B3646,Filmes_final!$B$2:$U$1001,13,FALSE)</f>
        <v>Pedro Almodóvar</v>
      </c>
    </row>
    <row r="3647">
      <c r="A3647" s="5">
        <v>912.0</v>
      </c>
      <c r="B3647" s="5" t="s">
        <v>5205</v>
      </c>
      <c r="C3647" s="5" t="s">
        <v>5208</v>
      </c>
      <c r="D3647" s="5" t="s">
        <v>6635</v>
      </c>
      <c r="E3647" s="8">
        <f>vlookup(B3647,Filmes_final!$B$2:$U$1001,20,FALSE)</f>
        <v>3731886</v>
      </c>
      <c r="F3647" s="5">
        <f>vlookup(B3647,Filmes_final!$B$2:$U$1001,3,FALSE)</f>
        <v>2011</v>
      </c>
      <c r="G3647" s="5" t="str">
        <f>vlookup(B3647,Filmes_final!$B$2:$U$1001,13,FALSE)</f>
        <v>Pedro Almodóvar</v>
      </c>
    </row>
    <row r="3648">
      <c r="A3648" s="5">
        <v>912.0</v>
      </c>
      <c r="B3648" s="5" t="s">
        <v>5205</v>
      </c>
      <c r="C3648" s="5" t="s">
        <v>5209</v>
      </c>
      <c r="D3648" s="5" t="s">
        <v>6636</v>
      </c>
      <c r="E3648" s="8">
        <f>vlookup(B3648,Filmes_final!$B$2:$U$1001,20,FALSE)</f>
        <v>3731886</v>
      </c>
      <c r="F3648" s="5">
        <f>vlookup(B3648,Filmes_final!$B$2:$U$1001,3,FALSE)</f>
        <v>2011</v>
      </c>
      <c r="G3648" s="5" t="str">
        <f>vlookup(B3648,Filmes_final!$B$2:$U$1001,13,FALSE)</f>
        <v>Pedro Almodóvar</v>
      </c>
    </row>
    <row r="3649">
      <c r="A3649" s="5">
        <v>912.0</v>
      </c>
      <c r="B3649" s="5" t="s">
        <v>5205</v>
      </c>
      <c r="C3649" s="5" t="s">
        <v>3918</v>
      </c>
      <c r="D3649" s="5" t="s">
        <v>6637</v>
      </c>
      <c r="E3649" s="8">
        <f>vlookup(B3649,Filmes_final!$B$2:$U$1001,20,FALSE)</f>
        <v>3731886</v>
      </c>
      <c r="F3649" s="5">
        <f>vlookup(B3649,Filmes_final!$B$2:$U$1001,3,FALSE)</f>
        <v>2011</v>
      </c>
      <c r="G3649" s="5" t="str">
        <f>vlookup(B3649,Filmes_final!$B$2:$U$1001,13,FALSE)</f>
        <v>Pedro Almodóvar</v>
      </c>
    </row>
    <row r="3650">
      <c r="A3650" s="5">
        <v>913.0</v>
      </c>
      <c r="B3650" s="5" t="s">
        <v>5210</v>
      </c>
      <c r="C3650" s="5" t="s">
        <v>4446</v>
      </c>
      <c r="D3650" s="5" t="s">
        <v>6634</v>
      </c>
      <c r="E3650" s="8">
        <f>vlookup(B3650,Filmes_final!$B$2:$U$1001,20,FALSE)</f>
        <v>92354952</v>
      </c>
      <c r="F3650" s="5">
        <f>vlookup(B3650,Filmes_final!$B$2:$U$1001,3,FALSE)</f>
        <v>2009</v>
      </c>
      <c r="G3650" s="5" t="str">
        <f>vlookup(B3650,Filmes_final!$B$2:$U$1001,13,FALSE)</f>
        <v>Ruben Fleischer</v>
      </c>
    </row>
    <row r="3651">
      <c r="A3651" s="5">
        <v>913.0</v>
      </c>
      <c r="B3651" s="5" t="s">
        <v>5210</v>
      </c>
      <c r="C3651" s="5" t="s">
        <v>2176</v>
      </c>
      <c r="D3651" s="5" t="s">
        <v>6635</v>
      </c>
      <c r="E3651" s="8">
        <f>vlookup(B3651,Filmes_final!$B$2:$U$1001,20,FALSE)</f>
        <v>92354952</v>
      </c>
      <c r="F3651" s="5">
        <f>vlookup(B3651,Filmes_final!$B$2:$U$1001,3,FALSE)</f>
        <v>2009</v>
      </c>
      <c r="G3651" s="5" t="str">
        <f>vlookup(B3651,Filmes_final!$B$2:$U$1001,13,FALSE)</f>
        <v>Ruben Fleischer</v>
      </c>
    </row>
    <row r="3652">
      <c r="A3652" s="5">
        <v>913.0</v>
      </c>
      <c r="B3652" s="5" t="s">
        <v>5210</v>
      </c>
      <c r="C3652" s="5" t="s">
        <v>973</v>
      </c>
      <c r="D3652" s="5" t="s">
        <v>6636</v>
      </c>
      <c r="E3652" s="8">
        <f>vlookup(B3652,Filmes_final!$B$2:$U$1001,20,FALSE)</f>
        <v>92354952</v>
      </c>
      <c r="F3652" s="5">
        <f>vlookup(B3652,Filmes_final!$B$2:$U$1001,3,FALSE)</f>
        <v>2009</v>
      </c>
      <c r="G3652" s="5" t="str">
        <f>vlookup(B3652,Filmes_final!$B$2:$U$1001,13,FALSE)</f>
        <v>Ruben Fleischer</v>
      </c>
    </row>
    <row r="3653">
      <c r="A3653" s="5">
        <v>913.0</v>
      </c>
      <c r="B3653" s="5" t="s">
        <v>5210</v>
      </c>
      <c r="C3653" s="5" t="s">
        <v>5213</v>
      </c>
      <c r="D3653" s="5" t="s">
        <v>6637</v>
      </c>
      <c r="E3653" s="8">
        <f>vlookup(B3653,Filmes_final!$B$2:$U$1001,20,FALSE)</f>
        <v>92354952</v>
      </c>
      <c r="F3653" s="5">
        <f>vlookup(B3653,Filmes_final!$B$2:$U$1001,3,FALSE)</f>
        <v>2009</v>
      </c>
      <c r="G3653" s="5" t="str">
        <f>vlookup(B3653,Filmes_final!$B$2:$U$1001,13,FALSE)</f>
        <v>Ruben Fleischer</v>
      </c>
    </row>
    <row r="3654">
      <c r="A3654" s="5">
        <v>914.0</v>
      </c>
      <c r="B3654" s="5" t="s">
        <v>5214</v>
      </c>
      <c r="C3654" s="5" t="s">
        <v>5217</v>
      </c>
      <c r="D3654" s="5" t="s">
        <v>6634</v>
      </c>
      <c r="E3654" s="8">
        <f>vlookup(B3654,Filmes_final!$B$2:$U$1001,20,FALSE)</f>
        <v>39537266</v>
      </c>
      <c r="F3654" s="5">
        <f>vlookup(B3654,Filmes_final!$B$2:$U$1001,3,FALSE)</f>
        <v>2008</v>
      </c>
      <c r="G3654" s="5" t="str">
        <f>vlookup(B3654,Filmes_final!$B$2:$U$1001,13,FALSE)</f>
        <v>Dennis Gansel</v>
      </c>
    </row>
    <row r="3655">
      <c r="A3655" s="5">
        <v>914.0</v>
      </c>
      <c r="B3655" s="5" t="s">
        <v>5214</v>
      </c>
      <c r="C3655" s="5" t="s">
        <v>5091</v>
      </c>
      <c r="D3655" s="5" t="s">
        <v>6635</v>
      </c>
      <c r="E3655" s="8">
        <f>vlookup(B3655,Filmes_final!$B$2:$U$1001,20,FALSE)</f>
        <v>39537266</v>
      </c>
      <c r="F3655" s="5">
        <f>vlookup(B3655,Filmes_final!$B$2:$U$1001,3,FALSE)</f>
        <v>2008</v>
      </c>
      <c r="G3655" s="5" t="str">
        <f>vlookup(B3655,Filmes_final!$B$2:$U$1001,13,FALSE)</f>
        <v>Dennis Gansel</v>
      </c>
    </row>
    <row r="3656">
      <c r="A3656" s="5">
        <v>914.0</v>
      </c>
      <c r="B3656" s="5" t="s">
        <v>5214</v>
      </c>
      <c r="C3656" s="5" t="s">
        <v>5218</v>
      </c>
      <c r="D3656" s="5" t="s">
        <v>6636</v>
      </c>
      <c r="E3656" s="8">
        <f>vlookup(B3656,Filmes_final!$B$2:$U$1001,20,FALSE)</f>
        <v>39537266</v>
      </c>
      <c r="F3656" s="5">
        <f>vlookup(B3656,Filmes_final!$B$2:$U$1001,3,FALSE)</f>
        <v>2008</v>
      </c>
      <c r="G3656" s="5" t="str">
        <f>vlookup(B3656,Filmes_final!$B$2:$U$1001,13,FALSE)</f>
        <v>Dennis Gansel</v>
      </c>
    </row>
    <row r="3657">
      <c r="A3657" s="5">
        <v>914.0</v>
      </c>
      <c r="B3657" s="5" t="s">
        <v>5214</v>
      </c>
      <c r="C3657" s="5" t="s">
        <v>5219</v>
      </c>
      <c r="D3657" s="5" t="s">
        <v>6637</v>
      </c>
      <c r="E3657" s="8">
        <f>vlookup(B3657,Filmes_final!$B$2:$U$1001,20,FALSE)</f>
        <v>39537266</v>
      </c>
      <c r="F3657" s="5">
        <f>vlookup(B3657,Filmes_final!$B$2:$U$1001,3,FALSE)</f>
        <v>2008</v>
      </c>
      <c r="G3657" s="5" t="str">
        <f>vlookup(B3657,Filmes_final!$B$2:$U$1001,13,FALSE)</f>
        <v>Dennis Gansel</v>
      </c>
    </row>
    <row r="3658">
      <c r="A3658" s="5">
        <v>915.0</v>
      </c>
      <c r="B3658" s="5" t="s">
        <v>5220</v>
      </c>
      <c r="C3658" s="5" t="s">
        <v>479</v>
      </c>
      <c r="D3658" s="5" t="s">
        <v>6634</v>
      </c>
      <c r="E3658" s="8">
        <f>vlookup(B3658,Filmes_final!$B$2:$U$1001,20,FALSE)</f>
        <v>255387758</v>
      </c>
      <c r="F3658" s="5">
        <f>vlookup(B3658,Filmes_final!$B$2:$U$1001,3,FALSE)</f>
        <v>2009</v>
      </c>
      <c r="G3658" s="5" t="str">
        <f>vlookup(B3658,Filmes_final!$B$2:$U$1001,13,FALSE)</f>
        <v>Guy Ritchie</v>
      </c>
    </row>
    <row r="3659">
      <c r="A3659" s="5">
        <v>915.0</v>
      </c>
      <c r="B3659" s="5" t="s">
        <v>5220</v>
      </c>
      <c r="C3659" s="5" t="s">
        <v>3962</v>
      </c>
      <c r="D3659" s="5" t="s">
        <v>6635</v>
      </c>
      <c r="E3659" s="8">
        <f>vlookup(B3659,Filmes_final!$B$2:$U$1001,20,FALSE)</f>
        <v>255387758</v>
      </c>
      <c r="F3659" s="5">
        <f>vlookup(B3659,Filmes_final!$B$2:$U$1001,3,FALSE)</f>
        <v>2009</v>
      </c>
      <c r="G3659" s="5" t="str">
        <f>vlookup(B3659,Filmes_final!$B$2:$U$1001,13,FALSE)</f>
        <v>Guy Ritchie</v>
      </c>
    </row>
    <row r="3660">
      <c r="A3660" s="5">
        <v>915.0</v>
      </c>
      <c r="B3660" s="5" t="s">
        <v>5220</v>
      </c>
      <c r="C3660" s="5" t="s">
        <v>1518</v>
      </c>
      <c r="D3660" s="5" t="s">
        <v>6636</v>
      </c>
      <c r="E3660" s="8">
        <f>vlookup(B3660,Filmes_final!$B$2:$U$1001,20,FALSE)</f>
        <v>255387758</v>
      </c>
      <c r="F3660" s="5">
        <f>vlookup(B3660,Filmes_final!$B$2:$U$1001,3,FALSE)</f>
        <v>2009</v>
      </c>
      <c r="G3660" s="5" t="str">
        <f>vlookup(B3660,Filmes_final!$B$2:$U$1001,13,FALSE)</f>
        <v>Guy Ritchie</v>
      </c>
    </row>
    <row r="3661">
      <c r="A3661" s="5">
        <v>915.0</v>
      </c>
      <c r="B3661" s="5" t="s">
        <v>5220</v>
      </c>
      <c r="C3661" s="5" t="s">
        <v>5223</v>
      </c>
      <c r="D3661" s="5" t="s">
        <v>6637</v>
      </c>
      <c r="E3661" s="8">
        <f>vlookup(B3661,Filmes_final!$B$2:$U$1001,20,FALSE)</f>
        <v>255387758</v>
      </c>
      <c r="F3661" s="5">
        <f>vlookup(B3661,Filmes_final!$B$2:$U$1001,3,FALSE)</f>
        <v>2009</v>
      </c>
      <c r="G3661" s="5" t="str">
        <f>vlookup(B3661,Filmes_final!$B$2:$U$1001,13,FALSE)</f>
        <v>Guy Ritchie</v>
      </c>
    </row>
    <row r="3662">
      <c r="A3662" s="5">
        <v>916.0</v>
      </c>
      <c r="B3662" s="5" t="s">
        <v>5224</v>
      </c>
      <c r="C3662" s="5" t="s">
        <v>5227</v>
      </c>
      <c r="D3662" s="5" t="s">
        <v>6634</v>
      </c>
      <c r="E3662" s="8">
        <f>vlookup(B3662,Filmes_final!$B$2:$U$1001,20,FALSE)</f>
        <v>312727022</v>
      </c>
      <c r="F3662" s="5">
        <f>vlookup(B3662,Filmes_final!$B$2:$U$1001,3,FALSE)</f>
        <v>2009</v>
      </c>
      <c r="G3662" s="5" t="str">
        <f>vlookup(B3662,Filmes_final!$B$2:$U$1001,13,FALSE)</f>
        <v>John Lee Hancock</v>
      </c>
    </row>
    <row r="3663">
      <c r="A3663" s="5">
        <v>916.0</v>
      </c>
      <c r="B3663" s="5" t="s">
        <v>5224</v>
      </c>
      <c r="C3663" s="5" t="s">
        <v>4433</v>
      </c>
      <c r="D3663" s="5" t="s">
        <v>6635</v>
      </c>
      <c r="E3663" s="8">
        <f>vlookup(B3663,Filmes_final!$B$2:$U$1001,20,FALSE)</f>
        <v>312727022</v>
      </c>
      <c r="F3663" s="5">
        <f>vlookup(B3663,Filmes_final!$B$2:$U$1001,3,FALSE)</f>
        <v>2009</v>
      </c>
      <c r="G3663" s="5" t="str">
        <f>vlookup(B3663,Filmes_final!$B$2:$U$1001,13,FALSE)</f>
        <v>John Lee Hancock</v>
      </c>
    </row>
    <row r="3664">
      <c r="A3664" s="5">
        <v>916.0</v>
      </c>
      <c r="B3664" s="5" t="s">
        <v>5224</v>
      </c>
      <c r="C3664" s="5" t="s">
        <v>5228</v>
      </c>
      <c r="D3664" s="5" t="s">
        <v>6636</v>
      </c>
      <c r="E3664" s="8">
        <f>vlookup(B3664,Filmes_final!$B$2:$U$1001,20,FALSE)</f>
        <v>312727022</v>
      </c>
      <c r="F3664" s="5">
        <f>vlookup(B3664,Filmes_final!$B$2:$U$1001,3,FALSE)</f>
        <v>2009</v>
      </c>
      <c r="G3664" s="5" t="str">
        <f>vlookup(B3664,Filmes_final!$B$2:$U$1001,13,FALSE)</f>
        <v>John Lee Hancock</v>
      </c>
    </row>
    <row r="3665">
      <c r="A3665" s="5">
        <v>916.0</v>
      </c>
      <c r="B3665" s="5" t="s">
        <v>5224</v>
      </c>
      <c r="C3665" s="5" t="s">
        <v>5229</v>
      </c>
      <c r="D3665" s="5" t="s">
        <v>6637</v>
      </c>
      <c r="E3665" s="8">
        <f>vlookup(B3665,Filmes_final!$B$2:$U$1001,20,FALSE)</f>
        <v>312727022</v>
      </c>
      <c r="F3665" s="5">
        <f>vlookup(B3665,Filmes_final!$B$2:$U$1001,3,FALSE)</f>
        <v>2009</v>
      </c>
      <c r="G3665" s="5" t="str">
        <f>vlookup(B3665,Filmes_final!$B$2:$U$1001,13,FALSE)</f>
        <v>John Lee Hancock</v>
      </c>
    </row>
    <row r="3666">
      <c r="A3666" s="5">
        <v>917.0</v>
      </c>
      <c r="B3666" s="5" t="s">
        <v>5230</v>
      </c>
      <c r="C3666" s="5" t="s">
        <v>5232</v>
      </c>
      <c r="D3666" s="5" t="s">
        <v>6634</v>
      </c>
      <c r="E3666" s="8">
        <f>vlookup(B3666,Filmes_final!$B$2:$U$1001,20,FALSE)</f>
        <v>12008496</v>
      </c>
      <c r="F3666" s="5">
        <f>vlookup(B3666,Filmes_final!$B$2:$U$1001,3,FALSE)</f>
        <v>2007</v>
      </c>
      <c r="G3666" s="5" t="str">
        <f>vlookup(B3666,Filmes_final!$B$2:$U$1001,13,FALSE)</f>
        <v>Tom McCarthy</v>
      </c>
    </row>
    <row r="3667">
      <c r="A3667" s="5">
        <v>917.0</v>
      </c>
      <c r="B3667" s="5" t="s">
        <v>5230</v>
      </c>
      <c r="C3667" s="5" t="s">
        <v>5233</v>
      </c>
      <c r="D3667" s="5" t="s">
        <v>6635</v>
      </c>
      <c r="E3667" s="8">
        <f>vlookup(B3667,Filmes_final!$B$2:$U$1001,20,FALSE)</f>
        <v>12008496</v>
      </c>
      <c r="F3667" s="5">
        <f>vlookup(B3667,Filmes_final!$B$2:$U$1001,3,FALSE)</f>
        <v>2007</v>
      </c>
      <c r="G3667" s="5" t="str">
        <f>vlookup(B3667,Filmes_final!$B$2:$U$1001,13,FALSE)</f>
        <v>Tom McCarthy</v>
      </c>
    </row>
    <row r="3668">
      <c r="A3668" s="5">
        <v>917.0</v>
      </c>
      <c r="B3668" s="5" t="s">
        <v>5230</v>
      </c>
      <c r="C3668" s="5" t="s">
        <v>5234</v>
      </c>
      <c r="D3668" s="5" t="s">
        <v>6636</v>
      </c>
      <c r="E3668" s="8">
        <f>vlookup(B3668,Filmes_final!$B$2:$U$1001,20,FALSE)</f>
        <v>12008496</v>
      </c>
      <c r="F3668" s="5">
        <f>vlookup(B3668,Filmes_final!$B$2:$U$1001,3,FALSE)</f>
        <v>2007</v>
      </c>
      <c r="G3668" s="5" t="str">
        <f>vlookup(B3668,Filmes_final!$B$2:$U$1001,13,FALSE)</f>
        <v>Tom McCarthy</v>
      </c>
    </row>
    <row r="3669">
      <c r="A3669" s="5">
        <v>917.0</v>
      </c>
      <c r="B3669" s="5" t="s">
        <v>5230</v>
      </c>
      <c r="C3669" s="5" t="s">
        <v>5235</v>
      </c>
      <c r="D3669" s="5" t="s">
        <v>6637</v>
      </c>
      <c r="E3669" s="8">
        <f>vlookup(B3669,Filmes_final!$B$2:$U$1001,20,FALSE)</f>
        <v>12008496</v>
      </c>
      <c r="F3669" s="5">
        <f>vlookup(B3669,Filmes_final!$B$2:$U$1001,3,FALSE)</f>
        <v>2007</v>
      </c>
      <c r="G3669" s="5" t="str">
        <f>vlookup(B3669,Filmes_final!$B$2:$U$1001,13,FALSE)</f>
        <v>Tom McCarthy</v>
      </c>
    </row>
    <row r="3670">
      <c r="A3670" s="5">
        <v>918.0</v>
      </c>
      <c r="B3670" s="5" t="s">
        <v>5236</v>
      </c>
      <c r="C3670" s="5" t="s">
        <v>2356</v>
      </c>
      <c r="D3670" s="5" t="s">
        <v>6634</v>
      </c>
      <c r="E3670" s="8">
        <f>vlookup(B3670,Filmes_final!$B$2:$U$1001,20,FALSE)</f>
        <v>85491482</v>
      </c>
      <c r="F3670" s="5">
        <f>vlookup(B3670,Filmes_final!$B$2:$U$1001,3,FALSE)</f>
        <v>2008</v>
      </c>
      <c r="G3670" s="5" t="str">
        <f>vlookup(B3670,Filmes_final!$B$2:$U$1001,13,FALSE)</f>
        <v>Gabriele Muccino</v>
      </c>
    </row>
    <row r="3671">
      <c r="A3671" s="5">
        <v>918.0</v>
      </c>
      <c r="B3671" s="5" t="s">
        <v>5236</v>
      </c>
      <c r="C3671" s="5" t="s">
        <v>5238</v>
      </c>
      <c r="D3671" s="5" t="s">
        <v>6635</v>
      </c>
      <c r="E3671" s="8">
        <f>vlookup(B3671,Filmes_final!$B$2:$U$1001,20,FALSE)</f>
        <v>85491482</v>
      </c>
      <c r="F3671" s="5">
        <f>vlookup(B3671,Filmes_final!$B$2:$U$1001,3,FALSE)</f>
        <v>2008</v>
      </c>
      <c r="G3671" s="5" t="str">
        <f>vlookup(B3671,Filmes_final!$B$2:$U$1001,13,FALSE)</f>
        <v>Gabriele Muccino</v>
      </c>
    </row>
    <row r="3672">
      <c r="A3672" s="5">
        <v>918.0</v>
      </c>
      <c r="B3672" s="5" t="s">
        <v>5236</v>
      </c>
      <c r="C3672" s="5" t="s">
        <v>973</v>
      </c>
      <c r="D3672" s="5" t="s">
        <v>6636</v>
      </c>
      <c r="E3672" s="8">
        <f>vlookup(B3672,Filmes_final!$B$2:$U$1001,20,FALSE)</f>
        <v>85491482</v>
      </c>
      <c r="F3672" s="5">
        <f>vlookup(B3672,Filmes_final!$B$2:$U$1001,3,FALSE)</f>
        <v>2008</v>
      </c>
      <c r="G3672" s="5" t="str">
        <f>vlookup(B3672,Filmes_final!$B$2:$U$1001,13,FALSE)</f>
        <v>Gabriele Muccino</v>
      </c>
    </row>
    <row r="3673">
      <c r="A3673" s="5">
        <v>918.0</v>
      </c>
      <c r="B3673" s="5" t="s">
        <v>5236</v>
      </c>
      <c r="C3673" s="5" t="s">
        <v>5239</v>
      </c>
      <c r="D3673" s="5" t="s">
        <v>6637</v>
      </c>
      <c r="E3673" s="8">
        <f>vlookup(B3673,Filmes_final!$B$2:$U$1001,20,FALSE)</f>
        <v>85491482</v>
      </c>
      <c r="F3673" s="5">
        <f>vlookup(B3673,Filmes_final!$B$2:$U$1001,3,FALSE)</f>
        <v>2008</v>
      </c>
      <c r="G3673" s="5" t="str">
        <f>vlookup(B3673,Filmes_final!$B$2:$U$1001,13,FALSE)</f>
        <v>Gabriele Muccino</v>
      </c>
    </row>
    <row r="3674">
      <c r="A3674" s="5">
        <v>919.0</v>
      </c>
      <c r="B3674" s="5" t="s">
        <v>5240</v>
      </c>
      <c r="C3674" s="5" t="s">
        <v>3221</v>
      </c>
      <c r="D3674" s="5" t="s">
        <v>6634</v>
      </c>
      <c r="E3674" s="8">
        <f>vlookup(B3674,Filmes_final!$B$2:$U$1001,20,FALSE)</f>
        <v>21812224</v>
      </c>
      <c r="F3674" s="5">
        <f>vlookup(B3674,Filmes_final!$B$2:$U$1001,3,FALSE)</f>
        <v>2007</v>
      </c>
      <c r="G3674" s="5" t="str">
        <f>vlookup(B3674,Filmes_final!$B$2:$U$1001,13,FALSE)</f>
        <v>David Cronenberg</v>
      </c>
    </row>
    <row r="3675">
      <c r="A3675" s="5">
        <v>919.0</v>
      </c>
      <c r="B3675" s="5" t="s">
        <v>5240</v>
      </c>
      <c r="C3675" s="5" t="s">
        <v>66</v>
      </c>
      <c r="D3675" s="5" t="s">
        <v>6635</v>
      </c>
      <c r="E3675" s="8">
        <f>vlookup(B3675,Filmes_final!$B$2:$U$1001,20,FALSE)</f>
        <v>21812224</v>
      </c>
      <c r="F3675" s="5">
        <f>vlookup(B3675,Filmes_final!$B$2:$U$1001,3,FALSE)</f>
        <v>2007</v>
      </c>
      <c r="G3675" s="5" t="str">
        <f>vlookup(B3675,Filmes_final!$B$2:$U$1001,13,FALSE)</f>
        <v>David Cronenberg</v>
      </c>
    </row>
    <row r="3676">
      <c r="A3676" s="5">
        <v>919.0</v>
      </c>
      <c r="B3676" s="5" t="s">
        <v>5240</v>
      </c>
      <c r="C3676" s="5" t="s">
        <v>4727</v>
      </c>
      <c r="D3676" s="5" t="s">
        <v>6636</v>
      </c>
      <c r="E3676" s="8">
        <f>vlookup(B3676,Filmes_final!$B$2:$U$1001,20,FALSE)</f>
        <v>21812224</v>
      </c>
      <c r="F3676" s="5">
        <f>vlookup(B3676,Filmes_final!$B$2:$U$1001,3,FALSE)</f>
        <v>2007</v>
      </c>
      <c r="G3676" s="5" t="str">
        <f>vlookup(B3676,Filmes_final!$B$2:$U$1001,13,FALSE)</f>
        <v>David Cronenberg</v>
      </c>
    </row>
    <row r="3677">
      <c r="A3677" s="5">
        <v>919.0</v>
      </c>
      <c r="B3677" s="5" t="s">
        <v>5240</v>
      </c>
      <c r="C3677" s="5" t="s">
        <v>5243</v>
      </c>
      <c r="D3677" s="5" t="s">
        <v>6637</v>
      </c>
      <c r="E3677" s="8">
        <f>vlookup(B3677,Filmes_final!$B$2:$U$1001,20,FALSE)</f>
        <v>21812224</v>
      </c>
      <c r="F3677" s="5">
        <f>vlookup(B3677,Filmes_final!$B$2:$U$1001,3,FALSE)</f>
        <v>2007</v>
      </c>
      <c r="G3677" s="5" t="str">
        <f>vlookup(B3677,Filmes_final!$B$2:$U$1001,13,FALSE)</f>
        <v>David Cronenberg</v>
      </c>
    </row>
    <row r="3678">
      <c r="A3678" s="5">
        <v>920.0</v>
      </c>
      <c r="B3678" s="5" t="s">
        <v>5244</v>
      </c>
      <c r="C3678" s="5" t="s">
        <v>5246</v>
      </c>
      <c r="D3678" s="5" t="s">
        <v>6634</v>
      </c>
      <c r="E3678" s="8">
        <f>vlookup(B3678,Filmes_final!$B$2:$U$1001,20,FALSE)</f>
        <v>49238665</v>
      </c>
      <c r="F3678" s="5">
        <f>vlookup(B3678,Filmes_final!$B$2:$U$1001,3,FALSE)</f>
        <v>2007</v>
      </c>
      <c r="G3678" s="5" t="str">
        <f>vlookup(B3678,Filmes_final!$B$2:$U$1001,13,FALSE)</f>
        <v>Matthew Vaughn</v>
      </c>
    </row>
    <row r="3679">
      <c r="A3679" s="5">
        <v>920.0</v>
      </c>
      <c r="B3679" s="5" t="s">
        <v>5244</v>
      </c>
      <c r="C3679" s="5" t="s">
        <v>5247</v>
      </c>
      <c r="D3679" s="5" t="s">
        <v>6635</v>
      </c>
      <c r="E3679" s="8">
        <f>vlookup(B3679,Filmes_final!$B$2:$U$1001,20,FALSE)</f>
        <v>49238665</v>
      </c>
      <c r="F3679" s="5">
        <f>vlookup(B3679,Filmes_final!$B$2:$U$1001,3,FALSE)</f>
        <v>2007</v>
      </c>
      <c r="G3679" s="5" t="str">
        <f>vlookup(B3679,Filmes_final!$B$2:$U$1001,13,FALSE)</f>
        <v>Matthew Vaughn</v>
      </c>
    </row>
    <row r="3680">
      <c r="A3680" s="5">
        <v>920.0</v>
      </c>
      <c r="B3680" s="5" t="s">
        <v>5244</v>
      </c>
      <c r="C3680" s="5" t="s">
        <v>5248</v>
      </c>
      <c r="D3680" s="5" t="s">
        <v>6636</v>
      </c>
      <c r="E3680" s="8">
        <f>vlookup(B3680,Filmes_final!$B$2:$U$1001,20,FALSE)</f>
        <v>49238665</v>
      </c>
      <c r="F3680" s="5">
        <f>vlookup(B3680,Filmes_final!$B$2:$U$1001,3,FALSE)</f>
        <v>2007</v>
      </c>
      <c r="G3680" s="5" t="str">
        <f>vlookup(B3680,Filmes_final!$B$2:$U$1001,13,FALSE)</f>
        <v>Matthew Vaughn</v>
      </c>
    </row>
    <row r="3681">
      <c r="A3681" s="5">
        <v>920.0</v>
      </c>
      <c r="B3681" s="5" t="s">
        <v>5244</v>
      </c>
      <c r="C3681" s="5" t="s">
        <v>67</v>
      </c>
      <c r="D3681" s="5" t="s">
        <v>6637</v>
      </c>
      <c r="E3681" s="8">
        <f>vlookup(B3681,Filmes_final!$B$2:$U$1001,20,FALSE)</f>
        <v>49238665</v>
      </c>
      <c r="F3681" s="5">
        <f>vlookup(B3681,Filmes_final!$B$2:$U$1001,3,FALSE)</f>
        <v>2007</v>
      </c>
      <c r="G3681" s="5" t="str">
        <f>vlookup(B3681,Filmes_final!$B$2:$U$1001,13,FALSE)</f>
        <v>Matthew Vaughn</v>
      </c>
    </row>
    <row r="3682">
      <c r="A3682" s="5">
        <v>921.0</v>
      </c>
      <c r="B3682" s="5" t="s">
        <v>5249</v>
      </c>
      <c r="C3682" s="5" t="s">
        <v>5251</v>
      </c>
      <c r="D3682" s="5" t="s">
        <v>6634</v>
      </c>
      <c r="E3682" s="8">
        <f>vlookup(B3682,Filmes_final!$B$2:$U$1001,20,FALSE)</f>
        <v>838611</v>
      </c>
      <c r="F3682" s="5">
        <f>vlookup(B3682,Filmes_final!$B$2:$U$1001,3,FALSE)</f>
        <v>2009</v>
      </c>
      <c r="G3682" s="5" t="str">
        <f>vlookup(B3682,Filmes_final!$B$2:$U$1001,13,FALSE)</f>
        <v>Tomm Moore</v>
      </c>
    </row>
    <row r="3683">
      <c r="A3683" s="5">
        <v>921.0</v>
      </c>
      <c r="B3683" s="5" t="s">
        <v>5249</v>
      </c>
      <c r="C3683" s="5" t="s">
        <v>5252</v>
      </c>
      <c r="D3683" s="5" t="s">
        <v>6635</v>
      </c>
      <c r="E3683" s="8">
        <f>vlookup(B3683,Filmes_final!$B$2:$U$1001,20,FALSE)</f>
        <v>838611</v>
      </c>
      <c r="F3683" s="5">
        <f>vlookup(B3683,Filmes_final!$B$2:$U$1001,3,FALSE)</f>
        <v>2009</v>
      </c>
      <c r="G3683" s="5" t="str">
        <f>vlookup(B3683,Filmes_final!$B$2:$U$1001,13,FALSE)</f>
        <v>Tomm Moore</v>
      </c>
    </row>
    <row r="3684">
      <c r="A3684" s="5">
        <v>921.0</v>
      </c>
      <c r="B3684" s="5" t="s">
        <v>5249</v>
      </c>
      <c r="C3684" s="5" t="s">
        <v>1525</v>
      </c>
      <c r="D3684" s="5" t="s">
        <v>6636</v>
      </c>
      <c r="E3684" s="8">
        <f>vlookup(B3684,Filmes_final!$B$2:$U$1001,20,FALSE)</f>
        <v>838611</v>
      </c>
      <c r="F3684" s="5">
        <f>vlookup(B3684,Filmes_final!$B$2:$U$1001,3,FALSE)</f>
        <v>2009</v>
      </c>
      <c r="G3684" s="5" t="str">
        <f>vlookup(B3684,Filmes_final!$B$2:$U$1001,13,FALSE)</f>
        <v>Tomm Moore</v>
      </c>
    </row>
    <row r="3685">
      <c r="A3685" s="5">
        <v>921.0</v>
      </c>
      <c r="B3685" s="5" t="s">
        <v>5249</v>
      </c>
      <c r="C3685" s="5" t="s">
        <v>5253</v>
      </c>
      <c r="D3685" s="5" t="s">
        <v>6637</v>
      </c>
      <c r="E3685" s="8">
        <f>vlookup(B3685,Filmes_final!$B$2:$U$1001,20,FALSE)</f>
        <v>838611</v>
      </c>
      <c r="F3685" s="5">
        <f>vlookup(B3685,Filmes_final!$B$2:$U$1001,3,FALSE)</f>
        <v>2009</v>
      </c>
      <c r="G3685" s="5" t="str">
        <f>vlookup(B3685,Filmes_final!$B$2:$U$1001,13,FALSE)</f>
        <v>Tomm Moore</v>
      </c>
    </row>
    <row r="3686">
      <c r="A3686" s="5">
        <v>922.0</v>
      </c>
      <c r="B3686" s="5" t="s">
        <v>5254</v>
      </c>
      <c r="C3686" s="5" t="s">
        <v>3799</v>
      </c>
      <c r="D3686" s="5" t="s">
        <v>6634</v>
      </c>
      <c r="E3686" s="8">
        <f>vlookup(B3686,Filmes_final!$B$2:$U$1001,20,FALSE)</f>
        <v>115148335</v>
      </c>
      <c r="F3686" s="5">
        <f>vlookup(B3686,Filmes_final!$B$2:$U$1001,3,FALSE)</f>
        <v>2006</v>
      </c>
      <c r="G3686" s="5" t="str">
        <f>vlookup(B3686,Filmes_final!$B$2:$U$1001,13,FALSE)</f>
        <v>Spike Lee</v>
      </c>
    </row>
    <row r="3687">
      <c r="A3687" s="5">
        <v>922.0</v>
      </c>
      <c r="B3687" s="5" t="s">
        <v>5254</v>
      </c>
      <c r="C3687" s="5" t="s">
        <v>2384</v>
      </c>
      <c r="D3687" s="5" t="s">
        <v>6635</v>
      </c>
      <c r="E3687" s="8">
        <f>vlookup(B3687,Filmes_final!$B$2:$U$1001,20,FALSE)</f>
        <v>115148335</v>
      </c>
      <c r="F3687" s="5">
        <f>vlookup(B3687,Filmes_final!$B$2:$U$1001,3,FALSE)</f>
        <v>2006</v>
      </c>
      <c r="G3687" s="5" t="str">
        <f>vlookup(B3687,Filmes_final!$B$2:$U$1001,13,FALSE)</f>
        <v>Spike Lee</v>
      </c>
    </row>
    <row r="3688">
      <c r="A3688" s="5">
        <v>922.0</v>
      </c>
      <c r="B3688" s="5" t="s">
        <v>5254</v>
      </c>
      <c r="C3688" s="5" t="s">
        <v>244</v>
      </c>
      <c r="D3688" s="5" t="s">
        <v>6636</v>
      </c>
      <c r="E3688" s="8">
        <f>vlookup(B3688,Filmes_final!$B$2:$U$1001,20,FALSE)</f>
        <v>115148335</v>
      </c>
      <c r="F3688" s="5">
        <f>vlookup(B3688,Filmes_final!$B$2:$U$1001,3,FALSE)</f>
        <v>2006</v>
      </c>
      <c r="G3688" s="5" t="str">
        <f>vlookup(B3688,Filmes_final!$B$2:$U$1001,13,FALSE)</f>
        <v>Spike Lee</v>
      </c>
    </row>
    <row r="3689">
      <c r="A3689" s="5">
        <v>922.0</v>
      </c>
      <c r="B3689" s="5" t="s">
        <v>5254</v>
      </c>
      <c r="C3689" s="5" t="s">
        <v>1152</v>
      </c>
      <c r="D3689" s="5" t="s">
        <v>6637</v>
      </c>
      <c r="E3689" s="8">
        <f>vlookup(B3689,Filmes_final!$B$2:$U$1001,20,FALSE)</f>
        <v>115148335</v>
      </c>
      <c r="F3689" s="5">
        <f>vlookup(B3689,Filmes_final!$B$2:$U$1001,3,FALSE)</f>
        <v>2006</v>
      </c>
      <c r="G3689" s="5" t="str">
        <f>vlookup(B3689,Filmes_final!$B$2:$U$1001,13,FALSE)</f>
        <v>Spike Lee</v>
      </c>
    </row>
    <row r="3690">
      <c r="A3690" s="5">
        <v>923.0</v>
      </c>
      <c r="B3690" s="5" t="s">
        <v>5256</v>
      </c>
      <c r="C3690" s="5" t="s">
        <v>24</v>
      </c>
      <c r="D3690" s="5" t="s">
        <v>6634</v>
      </c>
      <c r="E3690" s="8">
        <f>vlookup(B3690,Filmes_final!$B$2:$U$1001,20,FALSE)</f>
        <v>25871806</v>
      </c>
      <c r="F3690" s="5">
        <f>vlookup(B3690,Filmes_final!$B$2:$U$1001,3,FALSE)</f>
        <v>2007</v>
      </c>
      <c r="G3690" s="5" t="str">
        <f>vlookup(B3690,Filmes_final!$B$2:$U$1001,13,FALSE)</f>
        <v>Ben Affleck</v>
      </c>
    </row>
    <row r="3691">
      <c r="A3691" s="5">
        <v>923.0</v>
      </c>
      <c r="B3691" s="5" t="s">
        <v>5256</v>
      </c>
      <c r="C3691" s="5" t="s">
        <v>1151</v>
      </c>
      <c r="D3691" s="5" t="s">
        <v>6635</v>
      </c>
      <c r="E3691" s="8">
        <f>vlookup(B3691,Filmes_final!$B$2:$U$1001,20,FALSE)</f>
        <v>25871806</v>
      </c>
      <c r="F3691" s="5">
        <f>vlookup(B3691,Filmes_final!$B$2:$U$1001,3,FALSE)</f>
        <v>2007</v>
      </c>
      <c r="G3691" s="5" t="str">
        <f>vlookup(B3691,Filmes_final!$B$2:$U$1001,13,FALSE)</f>
        <v>Ben Affleck</v>
      </c>
    </row>
    <row r="3692">
      <c r="A3692" s="5">
        <v>923.0</v>
      </c>
      <c r="B3692" s="5" t="s">
        <v>5256</v>
      </c>
      <c r="C3692" s="5" t="s">
        <v>3578</v>
      </c>
      <c r="D3692" s="5" t="s">
        <v>6636</v>
      </c>
      <c r="E3692" s="8">
        <f>vlookup(B3692,Filmes_final!$B$2:$U$1001,20,FALSE)</f>
        <v>25871806</v>
      </c>
      <c r="F3692" s="5">
        <f>vlookup(B3692,Filmes_final!$B$2:$U$1001,3,FALSE)</f>
        <v>2007</v>
      </c>
      <c r="G3692" s="5" t="str">
        <f>vlookup(B3692,Filmes_final!$B$2:$U$1001,13,FALSE)</f>
        <v>Ben Affleck</v>
      </c>
    </row>
    <row r="3693">
      <c r="A3693" s="5">
        <v>923.0</v>
      </c>
      <c r="B3693" s="5" t="s">
        <v>5256</v>
      </c>
      <c r="C3693" s="5" t="s">
        <v>5258</v>
      </c>
      <c r="D3693" s="5" t="s">
        <v>6637</v>
      </c>
      <c r="E3693" s="8">
        <f>vlookup(B3693,Filmes_final!$B$2:$U$1001,20,FALSE)</f>
        <v>25871806</v>
      </c>
      <c r="F3693" s="5">
        <f>vlookup(B3693,Filmes_final!$B$2:$U$1001,3,FALSE)</f>
        <v>2007</v>
      </c>
      <c r="G3693" s="5" t="str">
        <f>vlookup(B3693,Filmes_final!$B$2:$U$1001,13,FALSE)</f>
        <v>Ben Affleck</v>
      </c>
    </row>
    <row r="3694">
      <c r="A3694" s="5">
        <v>924.0</v>
      </c>
      <c r="B3694" s="5" t="s">
        <v>5259</v>
      </c>
      <c r="C3694" s="5" t="s">
        <v>4416</v>
      </c>
      <c r="D3694" s="5" t="s">
        <v>6634</v>
      </c>
      <c r="E3694" s="8">
        <f>vlookup(B3694,Filmes_final!$B$2:$U$1001,20,FALSE)</f>
        <v>13129107</v>
      </c>
      <c r="F3694" s="5">
        <f>vlookup(B3694,Filmes_final!$B$2:$U$1001,3,FALSE)</f>
        <v>2007</v>
      </c>
      <c r="G3694" s="5" t="str">
        <f>vlookup(B3694,Filmes_final!$B$2:$U$1001,13,FALSE)</f>
        <v>Olivier Dahan</v>
      </c>
    </row>
    <row r="3695">
      <c r="A3695" s="5">
        <v>924.0</v>
      </c>
      <c r="B3695" s="5" t="s">
        <v>5259</v>
      </c>
      <c r="C3695" s="5" t="s">
        <v>5262</v>
      </c>
      <c r="D3695" s="5" t="s">
        <v>6635</v>
      </c>
      <c r="E3695" s="8">
        <f>vlookup(B3695,Filmes_final!$B$2:$U$1001,20,FALSE)</f>
        <v>13129107</v>
      </c>
      <c r="F3695" s="5">
        <f>vlookup(B3695,Filmes_final!$B$2:$U$1001,3,FALSE)</f>
        <v>2007</v>
      </c>
      <c r="G3695" s="5" t="str">
        <f>vlookup(B3695,Filmes_final!$B$2:$U$1001,13,FALSE)</f>
        <v>Olivier Dahan</v>
      </c>
    </row>
    <row r="3696">
      <c r="A3696" s="5">
        <v>924.0</v>
      </c>
      <c r="B3696" s="5" t="s">
        <v>5259</v>
      </c>
      <c r="C3696" s="5" t="s">
        <v>5263</v>
      </c>
      <c r="D3696" s="5" t="s">
        <v>6636</v>
      </c>
      <c r="E3696" s="8">
        <f>vlookup(B3696,Filmes_final!$B$2:$U$1001,20,FALSE)</f>
        <v>13129107</v>
      </c>
      <c r="F3696" s="5">
        <f>vlookup(B3696,Filmes_final!$B$2:$U$1001,3,FALSE)</f>
        <v>2007</v>
      </c>
      <c r="G3696" s="5" t="str">
        <f>vlookup(B3696,Filmes_final!$B$2:$U$1001,13,FALSE)</f>
        <v>Olivier Dahan</v>
      </c>
    </row>
    <row r="3697">
      <c r="A3697" s="5">
        <v>924.0</v>
      </c>
      <c r="B3697" s="5" t="s">
        <v>5259</v>
      </c>
      <c r="C3697" s="5" t="s">
        <v>2389</v>
      </c>
      <c r="D3697" s="5" t="s">
        <v>6637</v>
      </c>
      <c r="E3697" s="8">
        <f>vlookup(B3697,Filmes_final!$B$2:$U$1001,20,FALSE)</f>
        <v>13129107</v>
      </c>
      <c r="F3697" s="5">
        <f>vlookup(B3697,Filmes_final!$B$2:$U$1001,3,FALSE)</f>
        <v>2007</v>
      </c>
      <c r="G3697" s="5" t="str">
        <f>vlookup(B3697,Filmes_final!$B$2:$U$1001,13,FALSE)</f>
        <v>Olivier Dahan</v>
      </c>
    </row>
    <row r="3698">
      <c r="A3698" s="5">
        <v>925.0</v>
      </c>
      <c r="B3698" s="5" t="s">
        <v>5264</v>
      </c>
      <c r="C3698" s="5" t="s">
        <v>3180</v>
      </c>
      <c r="D3698" s="5" t="s">
        <v>6634</v>
      </c>
      <c r="E3698" s="8">
        <f>vlookup(B3698,Filmes_final!$B$2:$U$1001,20,FALSE)</f>
        <v>32046334</v>
      </c>
      <c r="F3698" s="5">
        <f>vlookup(B3698,Filmes_final!$B$2:$U$1001,3,FALSE)</f>
        <v>2006</v>
      </c>
      <c r="G3698" s="5" t="str">
        <f>vlookup(B3698,Filmes_final!$B$2:$U$1001,13,FALSE)</f>
        <v>Ronny Yu</v>
      </c>
    </row>
    <row r="3699">
      <c r="A3699" s="5">
        <v>925.0</v>
      </c>
      <c r="B3699" s="5" t="s">
        <v>5264</v>
      </c>
      <c r="C3699" s="5" t="s">
        <v>5267</v>
      </c>
      <c r="D3699" s="5" t="s">
        <v>6635</v>
      </c>
      <c r="E3699" s="8">
        <f>vlookup(B3699,Filmes_final!$B$2:$U$1001,20,FALSE)</f>
        <v>32046334</v>
      </c>
      <c r="F3699" s="5">
        <f>vlookup(B3699,Filmes_final!$B$2:$U$1001,3,FALSE)</f>
        <v>2006</v>
      </c>
      <c r="G3699" s="5" t="str">
        <f>vlookup(B3699,Filmes_final!$B$2:$U$1001,13,FALSE)</f>
        <v>Ronny Yu</v>
      </c>
    </row>
    <row r="3700">
      <c r="A3700" s="5">
        <v>925.0</v>
      </c>
      <c r="B3700" s="5" t="s">
        <v>5264</v>
      </c>
      <c r="C3700" s="5" t="s">
        <v>5268</v>
      </c>
      <c r="D3700" s="5" t="s">
        <v>6636</v>
      </c>
      <c r="E3700" s="8">
        <f>vlookup(B3700,Filmes_final!$B$2:$U$1001,20,FALSE)</f>
        <v>32046334</v>
      </c>
      <c r="F3700" s="5">
        <f>vlookup(B3700,Filmes_final!$B$2:$U$1001,3,FALSE)</f>
        <v>2006</v>
      </c>
      <c r="G3700" s="5" t="str">
        <f>vlookup(B3700,Filmes_final!$B$2:$U$1001,13,FALSE)</f>
        <v>Ronny Yu</v>
      </c>
    </row>
    <row r="3701">
      <c r="A3701" s="5">
        <v>925.0</v>
      </c>
      <c r="B3701" s="5" t="s">
        <v>5264</v>
      </c>
      <c r="C3701" s="5" t="s">
        <v>5269</v>
      </c>
      <c r="D3701" s="5" t="s">
        <v>6637</v>
      </c>
      <c r="E3701" s="8">
        <f>vlookup(B3701,Filmes_final!$B$2:$U$1001,20,FALSE)</f>
        <v>32046334</v>
      </c>
      <c r="F3701" s="5">
        <f>vlookup(B3701,Filmes_final!$B$2:$U$1001,3,FALSE)</f>
        <v>2006</v>
      </c>
      <c r="G3701" s="5" t="str">
        <f>vlookup(B3701,Filmes_final!$B$2:$U$1001,13,FALSE)</f>
        <v>Ronny Yu</v>
      </c>
    </row>
    <row r="3702">
      <c r="A3702" s="5">
        <v>926.0</v>
      </c>
      <c r="B3702" s="5" t="s">
        <v>5270</v>
      </c>
      <c r="C3702" s="5" t="s">
        <v>99</v>
      </c>
      <c r="D3702" s="5" t="s">
        <v>6634</v>
      </c>
      <c r="E3702" s="8">
        <f>vlookup(B3702,Filmes_final!$B$2:$U$1001,20,FALSE)</f>
        <v>51865625</v>
      </c>
      <c r="F3702" s="5">
        <f>vlookup(B3702,Filmes_final!$B$2:$U$1001,3,FALSE)</f>
        <v>2006</v>
      </c>
      <c r="G3702" s="5" t="str">
        <f>vlookup(B3702,Filmes_final!$B$2:$U$1001,13,FALSE)</f>
        <v>Neil Burger</v>
      </c>
    </row>
    <row r="3703">
      <c r="A3703" s="5">
        <v>926.0</v>
      </c>
      <c r="B3703" s="5" t="s">
        <v>5270</v>
      </c>
      <c r="C3703" s="5" t="s">
        <v>5273</v>
      </c>
      <c r="D3703" s="5" t="s">
        <v>6635</v>
      </c>
      <c r="E3703" s="8">
        <f>vlookup(B3703,Filmes_final!$B$2:$U$1001,20,FALSE)</f>
        <v>51865625</v>
      </c>
      <c r="F3703" s="5">
        <f>vlookup(B3703,Filmes_final!$B$2:$U$1001,3,FALSE)</f>
        <v>2006</v>
      </c>
      <c r="G3703" s="5" t="str">
        <f>vlookup(B3703,Filmes_final!$B$2:$U$1001,13,FALSE)</f>
        <v>Neil Burger</v>
      </c>
    </row>
    <row r="3704">
      <c r="A3704" s="5">
        <v>926.0</v>
      </c>
      <c r="B3704" s="5" t="s">
        <v>5270</v>
      </c>
      <c r="C3704" s="5" t="s">
        <v>2437</v>
      </c>
      <c r="D3704" s="5" t="s">
        <v>6636</v>
      </c>
      <c r="E3704" s="8">
        <f>vlookup(B3704,Filmes_final!$B$2:$U$1001,20,FALSE)</f>
        <v>51865625</v>
      </c>
      <c r="F3704" s="5">
        <f>vlookup(B3704,Filmes_final!$B$2:$U$1001,3,FALSE)</f>
        <v>2006</v>
      </c>
      <c r="G3704" s="5" t="str">
        <f>vlookup(B3704,Filmes_final!$B$2:$U$1001,13,FALSE)</f>
        <v>Neil Burger</v>
      </c>
    </row>
    <row r="3705">
      <c r="A3705" s="5">
        <v>926.0</v>
      </c>
      <c r="B3705" s="5" t="s">
        <v>5270</v>
      </c>
      <c r="C3705" s="5" t="s">
        <v>5274</v>
      </c>
      <c r="D3705" s="5" t="s">
        <v>6637</v>
      </c>
      <c r="E3705" s="8">
        <f>vlookup(B3705,Filmes_final!$B$2:$U$1001,20,FALSE)</f>
        <v>51865625</v>
      </c>
      <c r="F3705" s="5">
        <f>vlookup(B3705,Filmes_final!$B$2:$U$1001,3,FALSE)</f>
        <v>2006</v>
      </c>
      <c r="G3705" s="5" t="str">
        <f>vlookup(B3705,Filmes_final!$B$2:$U$1001,13,FALSE)</f>
        <v>Neil Burger</v>
      </c>
    </row>
    <row r="3706">
      <c r="A3706" s="5">
        <v>927.0</v>
      </c>
      <c r="B3706" s="5" t="s">
        <v>5275</v>
      </c>
      <c r="C3706" s="5" t="s">
        <v>3622</v>
      </c>
      <c r="D3706" s="5" t="s">
        <v>6634</v>
      </c>
      <c r="E3706" s="8">
        <f>vlookup(B3706,Filmes_final!$B$2:$U$1001,20,FALSE)</f>
        <v>8376</v>
      </c>
      <c r="F3706" s="5">
        <f>vlookup(B3706,Filmes_final!$B$2:$U$1001,3,FALSE)</f>
        <v>2004</v>
      </c>
      <c r="G3706" s="5" t="str">
        <f>vlookup(B3706,Filmes_final!$B$2:$U$1001,13,FALSE)</f>
        <v>Shane Meadows</v>
      </c>
    </row>
    <row r="3707">
      <c r="A3707" s="5">
        <v>927.0</v>
      </c>
      <c r="B3707" s="5" t="s">
        <v>5275</v>
      </c>
      <c r="C3707" s="5" t="s">
        <v>5277</v>
      </c>
      <c r="D3707" s="5" t="s">
        <v>6635</v>
      </c>
      <c r="E3707" s="8">
        <f>vlookup(B3707,Filmes_final!$B$2:$U$1001,20,FALSE)</f>
        <v>8376</v>
      </c>
      <c r="F3707" s="5">
        <f>vlookup(B3707,Filmes_final!$B$2:$U$1001,3,FALSE)</f>
        <v>2004</v>
      </c>
      <c r="G3707" s="5" t="str">
        <f>vlookup(B3707,Filmes_final!$B$2:$U$1001,13,FALSE)</f>
        <v>Shane Meadows</v>
      </c>
    </row>
    <row r="3708">
      <c r="A3708" s="5">
        <v>927.0</v>
      </c>
      <c r="B3708" s="5" t="s">
        <v>5275</v>
      </c>
      <c r="C3708" s="5" t="s">
        <v>5278</v>
      </c>
      <c r="D3708" s="5" t="s">
        <v>6636</v>
      </c>
      <c r="E3708" s="8">
        <f>vlookup(B3708,Filmes_final!$B$2:$U$1001,20,FALSE)</f>
        <v>8376</v>
      </c>
      <c r="F3708" s="5">
        <f>vlookup(B3708,Filmes_final!$B$2:$U$1001,3,FALSE)</f>
        <v>2004</v>
      </c>
      <c r="G3708" s="5" t="str">
        <f>vlookup(B3708,Filmes_final!$B$2:$U$1001,13,FALSE)</f>
        <v>Shane Meadows</v>
      </c>
    </row>
    <row r="3709">
      <c r="A3709" s="5">
        <v>927.0</v>
      </c>
      <c r="B3709" s="5" t="s">
        <v>5275</v>
      </c>
      <c r="C3709" s="5" t="s">
        <v>5279</v>
      </c>
      <c r="D3709" s="5" t="s">
        <v>6637</v>
      </c>
      <c r="E3709" s="8">
        <f>vlookup(B3709,Filmes_final!$B$2:$U$1001,20,FALSE)</f>
        <v>8376</v>
      </c>
      <c r="F3709" s="5">
        <f>vlookup(B3709,Filmes_final!$B$2:$U$1001,3,FALSE)</f>
        <v>2004</v>
      </c>
      <c r="G3709" s="5" t="str">
        <f>vlookup(B3709,Filmes_final!$B$2:$U$1001,13,FALSE)</f>
        <v>Shane Meadows</v>
      </c>
    </row>
    <row r="3710">
      <c r="A3710" s="5">
        <v>928.0</v>
      </c>
      <c r="B3710" s="5" t="s">
        <v>5280</v>
      </c>
      <c r="C3710" s="5" t="s">
        <v>1568</v>
      </c>
      <c r="D3710" s="5" t="s">
        <v>6634</v>
      </c>
      <c r="E3710" s="8">
        <f>vlookup(B3710,Filmes_final!$B$2:$U$1001,20,FALSE)</f>
        <v>368928716</v>
      </c>
      <c r="F3710" s="5">
        <f>vlookup(B3710,Filmes_final!$B$2:$U$1001,3,FALSE)</f>
        <v>2009</v>
      </c>
      <c r="G3710" s="5" t="str">
        <f>vlookup(B3710,Filmes_final!$B$2:$U$1001,13,FALSE)</f>
        <v>David Yates</v>
      </c>
    </row>
    <row r="3711">
      <c r="A3711" s="5">
        <v>928.0</v>
      </c>
      <c r="B3711" s="5" t="s">
        <v>5280</v>
      </c>
      <c r="C3711" s="5" t="s">
        <v>1569</v>
      </c>
      <c r="D3711" s="5" t="s">
        <v>6635</v>
      </c>
      <c r="E3711" s="8">
        <f>vlookup(B3711,Filmes_final!$B$2:$U$1001,20,FALSE)</f>
        <v>368928716</v>
      </c>
      <c r="F3711" s="5">
        <f>vlookup(B3711,Filmes_final!$B$2:$U$1001,3,FALSE)</f>
        <v>2009</v>
      </c>
      <c r="G3711" s="5" t="str">
        <f>vlookup(B3711,Filmes_final!$B$2:$U$1001,13,FALSE)</f>
        <v>David Yates</v>
      </c>
    </row>
    <row r="3712">
      <c r="A3712" s="5">
        <v>928.0</v>
      </c>
      <c r="B3712" s="5" t="s">
        <v>5280</v>
      </c>
      <c r="C3712" s="5" t="s">
        <v>1570</v>
      </c>
      <c r="D3712" s="5" t="s">
        <v>6636</v>
      </c>
      <c r="E3712" s="8">
        <f>vlookup(B3712,Filmes_final!$B$2:$U$1001,20,FALSE)</f>
        <v>368928716</v>
      </c>
      <c r="F3712" s="5">
        <f>vlookup(B3712,Filmes_final!$B$2:$U$1001,3,FALSE)</f>
        <v>2009</v>
      </c>
      <c r="G3712" s="5" t="str">
        <f>vlookup(B3712,Filmes_final!$B$2:$U$1001,13,FALSE)</f>
        <v>David Yates</v>
      </c>
    </row>
    <row r="3713">
      <c r="A3713" s="5">
        <v>928.0</v>
      </c>
      <c r="B3713" s="5" t="s">
        <v>5280</v>
      </c>
      <c r="C3713" s="5" t="s">
        <v>1571</v>
      </c>
      <c r="D3713" s="5" t="s">
        <v>6637</v>
      </c>
      <c r="E3713" s="8">
        <f>vlookup(B3713,Filmes_final!$B$2:$U$1001,20,FALSE)</f>
        <v>368928716</v>
      </c>
      <c r="F3713" s="5">
        <f>vlookup(B3713,Filmes_final!$B$2:$U$1001,3,FALSE)</f>
        <v>2009</v>
      </c>
      <c r="G3713" s="5" t="str">
        <f>vlookup(B3713,Filmes_final!$B$2:$U$1001,13,FALSE)</f>
        <v>David Yates</v>
      </c>
    </row>
    <row r="3714">
      <c r="A3714" s="5">
        <v>929.0</v>
      </c>
      <c r="B3714" s="5">
        <v>300.0</v>
      </c>
      <c r="C3714" s="5" t="s">
        <v>1601</v>
      </c>
      <c r="D3714" s="5" t="s">
        <v>6634</v>
      </c>
      <c r="E3714" s="8">
        <f>vlookup(B3714,Filmes_final!$B$2:$U$1001,20,FALSE)</f>
        <v>273991662</v>
      </c>
      <c r="F3714" s="5">
        <f>vlookup(B3714,Filmes_final!$B$2:$U$1001,3,FALSE)</f>
        <v>2006</v>
      </c>
      <c r="G3714" s="5" t="str">
        <f>vlookup(B3714,Filmes_final!$B$2:$U$1001,13,FALSE)</f>
        <v>Zack Snyder</v>
      </c>
    </row>
    <row r="3715">
      <c r="A3715" s="5">
        <v>929.0</v>
      </c>
      <c r="B3715" s="5">
        <v>300.0</v>
      </c>
      <c r="C3715" s="5" t="s">
        <v>5285</v>
      </c>
      <c r="D3715" s="5" t="s">
        <v>6635</v>
      </c>
      <c r="E3715" s="8">
        <f>vlookup(B3715,Filmes_final!$B$2:$U$1001,20,FALSE)</f>
        <v>273991662</v>
      </c>
      <c r="F3715" s="5">
        <f>vlookup(B3715,Filmes_final!$B$2:$U$1001,3,FALSE)</f>
        <v>2006</v>
      </c>
      <c r="G3715" s="5" t="str">
        <f>vlookup(B3715,Filmes_final!$B$2:$U$1001,13,FALSE)</f>
        <v>Zack Snyder</v>
      </c>
    </row>
    <row r="3716">
      <c r="A3716" s="5">
        <v>929.0</v>
      </c>
      <c r="B3716" s="5">
        <v>300.0</v>
      </c>
      <c r="C3716" s="5" t="s">
        <v>5286</v>
      </c>
      <c r="D3716" s="5" t="s">
        <v>6636</v>
      </c>
      <c r="E3716" s="8">
        <f>vlookup(B3716,Filmes_final!$B$2:$U$1001,20,FALSE)</f>
        <v>273991662</v>
      </c>
      <c r="F3716" s="5">
        <f>vlookup(B3716,Filmes_final!$B$2:$U$1001,3,FALSE)</f>
        <v>2006</v>
      </c>
      <c r="G3716" s="5" t="str">
        <f>vlookup(B3716,Filmes_final!$B$2:$U$1001,13,FALSE)</f>
        <v>Zack Snyder</v>
      </c>
    </row>
    <row r="3717">
      <c r="A3717" s="5">
        <v>929.0</v>
      </c>
      <c r="B3717" s="5">
        <v>300.0</v>
      </c>
      <c r="C3717" s="5" t="s">
        <v>3621</v>
      </c>
      <c r="D3717" s="5" t="s">
        <v>6637</v>
      </c>
      <c r="E3717" s="8">
        <f>vlookup(B3717,Filmes_final!$B$2:$U$1001,20,FALSE)</f>
        <v>273991662</v>
      </c>
      <c r="F3717" s="5">
        <f>vlookup(B3717,Filmes_final!$B$2:$U$1001,3,FALSE)</f>
        <v>2006</v>
      </c>
      <c r="G3717" s="5" t="str">
        <f>vlookup(B3717,Filmes_final!$B$2:$U$1001,13,FALSE)</f>
        <v>Zack Snyder</v>
      </c>
    </row>
    <row r="3718">
      <c r="A3718" s="5">
        <v>930.0</v>
      </c>
      <c r="B3718" s="5" t="s">
        <v>5287</v>
      </c>
      <c r="C3718" s="5" t="s">
        <v>307</v>
      </c>
      <c r="D3718" s="5" t="s">
        <v>6634</v>
      </c>
      <c r="E3718" s="8">
        <f>vlookup(B3718,Filmes_final!$B$2:$U$1001,20,FALSE)</f>
        <v>31235088</v>
      </c>
      <c r="F3718" s="5">
        <f>vlookup(B3718,Filmes_final!$B$2:$U$1001,3,FALSE)</f>
        <v>2005</v>
      </c>
      <c r="G3718" s="5" t="str">
        <f>vlookup(B3718,Filmes_final!$B$2:$U$1001,13,FALSE)</f>
        <v>Woody Allen</v>
      </c>
    </row>
    <row r="3719">
      <c r="A3719" s="5">
        <v>930.0</v>
      </c>
      <c r="B3719" s="5" t="s">
        <v>5287</v>
      </c>
      <c r="C3719" s="5" t="s">
        <v>5289</v>
      </c>
      <c r="D3719" s="5" t="s">
        <v>6635</v>
      </c>
      <c r="E3719" s="8">
        <f>vlookup(B3719,Filmes_final!$B$2:$U$1001,20,FALSE)</f>
        <v>31235088</v>
      </c>
      <c r="F3719" s="5">
        <f>vlookup(B3719,Filmes_final!$B$2:$U$1001,3,FALSE)</f>
        <v>2005</v>
      </c>
      <c r="G3719" s="5" t="str">
        <f>vlookup(B3719,Filmes_final!$B$2:$U$1001,13,FALSE)</f>
        <v>Woody Allen</v>
      </c>
    </row>
    <row r="3720">
      <c r="A3720" s="5">
        <v>930.0</v>
      </c>
      <c r="B3720" s="5" t="s">
        <v>5287</v>
      </c>
      <c r="C3720" s="5" t="s">
        <v>1068</v>
      </c>
      <c r="D3720" s="5" t="s">
        <v>6636</v>
      </c>
      <c r="E3720" s="8">
        <f>vlookup(B3720,Filmes_final!$B$2:$U$1001,20,FALSE)</f>
        <v>31235088</v>
      </c>
      <c r="F3720" s="5">
        <f>vlookup(B3720,Filmes_final!$B$2:$U$1001,3,FALSE)</f>
        <v>2005</v>
      </c>
      <c r="G3720" s="5" t="str">
        <f>vlookup(B3720,Filmes_final!$B$2:$U$1001,13,FALSE)</f>
        <v>Woody Allen</v>
      </c>
    </row>
    <row r="3721">
      <c r="A3721" s="5">
        <v>930.0</v>
      </c>
      <c r="B3721" s="5" t="s">
        <v>5287</v>
      </c>
      <c r="C3721" s="5" t="s">
        <v>2238</v>
      </c>
      <c r="D3721" s="5" t="s">
        <v>6637</v>
      </c>
      <c r="E3721" s="8">
        <f>vlookup(B3721,Filmes_final!$B$2:$U$1001,20,FALSE)</f>
        <v>31235088</v>
      </c>
      <c r="F3721" s="5">
        <f>vlookup(B3721,Filmes_final!$B$2:$U$1001,3,FALSE)</f>
        <v>2005</v>
      </c>
      <c r="G3721" s="5" t="str">
        <f>vlookup(B3721,Filmes_final!$B$2:$U$1001,13,FALSE)</f>
        <v>Woody Allen</v>
      </c>
    </row>
    <row r="3722">
      <c r="A3722" s="5">
        <v>931.0</v>
      </c>
      <c r="B3722" s="5" t="s">
        <v>5290</v>
      </c>
      <c r="C3722" s="5" t="s">
        <v>5292</v>
      </c>
      <c r="D3722" s="5" t="s">
        <v>6634</v>
      </c>
      <c r="E3722" s="8">
        <f>vlookup(B3722,Filmes_final!$B$2:$U$1001,20,FALSE)</f>
        <v>131353681</v>
      </c>
      <c r="F3722" s="5">
        <f>vlookup(B3722,Filmes_final!$B$2:$U$1001,3,FALSE)</f>
        <v>2009</v>
      </c>
      <c r="G3722" s="5" t="str">
        <f>vlookup(B3722,Filmes_final!$B$2:$U$1001,13,FALSE)</f>
        <v>Zack Snyder</v>
      </c>
    </row>
    <row r="3723">
      <c r="A3723" s="5">
        <v>931.0</v>
      </c>
      <c r="B3723" s="5" t="s">
        <v>5290</v>
      </c>
      <c r="C3723" s="5" t="s">
        <v>5293</v>
      </c>
      <c r="D3723" s="5" t="s">
        <v>6635</v>
      </c>
      <c r="E3723" s="8">
        <f>vlookup(B3723,Filmes_final!$B$2:$U$1001,20,FALSE)</f>
        <v>131353681</v>
      </c>
      <c r="F3723" s="5">
        <f>vlookup(B3723,Filmes_final!$B$2:$U$1001,3,FALSE)</f>
        <v>2009</v>
      </c>
      <c r="G3723" s="5" t="str">
        <f>vlookup(B3723,Filmes_final!$B$2:$U$1001,13,FALSE)</f>
        <v>Zack Snyder</v>
      </c>
    </row>
    <row r="3724">
      <c r="A3724" s="5">
        <v>931.0</v>
      </c>
      <c r="B3724" s="5" t="s">
        <v>5290</v>
      </c>
      <c r="C3724" s="5" t="s">
        <v>5294</v>
      </c>
      <c r="D3724" s="5" t="s">
        <v>6636</v>
      </c>
      <c r="E3724" s="8">
        <f>vlookup(B3724,Filmes_final!$B$2:$U$1001,20,FALSE)</f>
        <v>131353681</v>
      </c>
      <c r="F3724" s="5">
        <f>vlookup(B3724,Filmes_final!$B$2:$U$1001,3,FALSE)</f>
        <v>2009</v>
      </c>
      <c r="G3724" s="5" t="str">
        <f>vlookup(B3724,Filmes_final!$B$2:$U$1001,13,FALSE)</f>
        <v>Zack Snyder</v>
      </c>
    </row>
    <row r="3725">
      <c r="A3725" s="5">
        <v>931.0</v>
      </c>
      <c r="B3725" s="5" t="s">
        <v>5290</v>
      </c>
      <c r="C3725" s="5" t="s">
        <v>5295</v>
      </c>
      <c r="D3725" s="5" t="s">
        <v>6637</v>
      </c>
      <c r="E3725" s="8">
        <f>vlookup(B3725,Filmes_final!$B$2:$U$1001,20,FALSE)</f>
        <v>131353681</v>
      </c>
      <c r="F3725" s="5">
        <f>vlookup(B3725,Filmes_final!$B$2:$U$1001,3,FALSE)</f>
        <v>2009</v>
      </c>
      <c r="G3725" s="5" t="str">
        <f>vlookup(B3725,Filmes_final!$B$2:$U$1001,13,FALSE)</f>
        <v>Zack Snyder</v>
      </c>
    </row>
    <row r="3726">
      <c r="A3726" s="5">
        <v>932.0</v>
      </c>
      <c r="B3726" s="5" t="s">
        <v>5296</v>
      </c>
      <c r="C3726" s="5" t="s">
        <v>4629</v>
      </c>
      <c r="D3726" s="5" t="s">
        <v>6634</v>
      </c>
      <c r="E3726" s="8">
        <f>vlookup(B3726,Filmes_final!$B$2:$U$1001,20,FALSE)</f>
        <v>32668614</v>
      </c>
      <c r="F3726" s="5">
        <f>vlookup(B3726,Filmes_final!$B$2:$U$1001,3,FALSE)</f>
        <v>2005</v>
      </c>
      <c r="G3726" s="5" t="str">
        <f>vlookup(B3726,Filmes_final!$B$2:$U$1001,13,FALSE)</f>
        <v>Andrew Niccol</v>
      </c>
    </row>
    <row r="3727">
      <c r="A3727" s="5">
        <v>932.0</v>
      </c>
      <c r="B3727" s="5" t="s">
        <v>5296</v>
      </c>
      <c r="C3727" s="5" t="s">
        <v>1642</v>
      </c>
      <c r="D3727" s="5" t="s">
        <v>6635</v>
      </c>
      <c r="E3727" s="8">
        <f>vlookup(B3727,Filmes_final!$B$2:$U$1001,20,FALSE)</f>
        <v>32668614</v>
      </c>
      <c r="F3727" s="5">
        <f>vlookup(B3727,Filmes_final!$B$2:$U$1001,3,FALSE)</f>
        <v>2005</v>
      </c>
      <c r="G3727" s="5" t="str">
        <f>vlookup(B3727,Filmes_final!$B$2:$U$1001,13,FALSE)</f>
        <v>Andrew Niccol</v>
      </c>
    </row>
    <row r="3728">
      <c r="A3728" s="5">
        <v>932.0</v>
      </c>
      <c r="B3728" s="5" t="s">
        <v>5296</v>
      </c>
      <c r="C3728" s="5" t="s">
        <v>741</v>
      </c>
      <c r="D3728" s="5" t="s">
        <v>6636</v>
      </c>
      <c r="E3728" s="8">
        <f>vlookup(B3728,Filmes_final!$B$2:$U$1001,20,FALSE)</f>
        <v>32668614</v>
      </c>
      <c r="F3728" s="5">
        <f>vlookup(B3728,Filmes_final!$B$2:$U$1001,3,FALSE)</f>
        <v>2005</v>
      </c>
      <c r="G3728" s="5" t="str">
        <f>vlookup(B3728,Filmes_final!$B$2:$U$1001,13,FALSE)</f>
        <v>Andrew Niccol</v>
      </c>
    </row>
    <row r="3729">
      <c r="A3729" s="5">
        <v>932.0</v>
      </c>
      <c r="B3729" s="5" t="s">
        <v>5296</v>
      </c>
      <c r="C3729" s="5" t="s">
        <v>5298</v>
      </c>
      <c r="D3729" s="5" t="s">
        <v>6637</v>
      </c>
      <c r="E3729" s="8">
        <f>vlookup(B3729,Filmes_final!$B$2:$U$1001,20,FALSE)</f>
        <v>32668614</v>
      </c>
      <c r="F3729" s="5">
        <f>vlookup(B3729,Filmes_final!$B$2:$U$1001,3,FALSE)</f>
        <v>2005</v>
      </c>
      <c r="G3729" s="5" t="str">
        <f>vlookup(B3729,Filmes_final!$B$2:$U$1001,13,FALSE)</f>
        <v>Andrew Niccol</v>
      </c>
    </row>
    <row r="3730">
      <c r="A3730" s="5">
        <v>933.0</v>
      </c>
      <c r="B3730" s="5" t="s">
        <v>5299</v>
      </c>
      <c r="C3730" s="5" t="s">
        <v>2631</v>
      </c>
      <c r="D3730" s="5" t="s">
        <v>6634</v>
      </c>
      <c r="E3730" s="8">
        <f>vlookup(B3730,Filmes_final!$B$2:$U$1001,20,FALSE)</f>
        <v>78004704</v>
      </c>
      <c r="F3730" s="5">
        <f>vlookup(B3730,Filmes_final!$B$2:$U$1001,3,FALSE)</f>
        <v>2004</v>
      </c>
      <c r="G3730" s="5" t="str">
        <f>vlookup(B3730,Filmes_final!$B$2:$U$1001,13,FALSE)</f>
        <v>James Wan</v>
      </c>
    </row>
    <row r="3731">
      <c r="A3731" s="5">
        <v>933.0</v>
      </c>
      <c r="B3731" s="5" t="s">
        <v>5299</v>
      </c>
      <c r="C3731" s="5" t="s">
        <v>5302</v>
      </c>
      <c r="D3731" s="5" t="s">
        <v>6635</v>
      </c>
      <c r="E3731" s="8">
        <f>vlookup(B3731,Filmes_final!$B$2:$U$1001,20,FALSE)</f>
        <v>78004704</v>
      </c>
      <c r="F3731" s="5">
        <f>vlookup(B3731,Filmes_final!$B$2:$U$1001,3,FALSE)</f>
        <v>2004</v>
      </c>
      <c r="G3731" s="5" t="str">
        <f>vlookup(B3731,Filmes_final!$B$2:$U$1001,13,FALSE)</f>
        <v>James Wan</v>
      </c>
    </row>
    <row r="3732">
      <c r="A3732" s="5">
        <v>933.0</v>
      </c>
      <c r="B3732" s="5" t="s">
        <v>5299</v>
      </c>
      <c r="C3732" s="5" t="s">
        <v>4094</v>
      </c>
      <c r="D3732" s="5" t="s">
        <v>6636</v>
      </c>
      <c r="E3732" s="8">
        <f>vlookup(B3732,Filmes_final!$B$2:$U$1001,20,FALSE)</f>
        <v>78004704</v>
      </c>
      <c r="F3732" s="5">
        <f>vlookup(B3732,Filmes_final!$B$2:$U$1001,3,FALSE)</f>
        <v>2004</v>
      </c>
      <c r="G3732" s="5" t="str">
        <f>vlookup(B3732,Filmes_final!$B$2:$U$1001,13,FALSE)</f>
        <v>James Wan</v>
      </c>
    </row>
    <row r="3733">
      <c r="A3733" s="5">
        <v>933.0</v>
      </c>
      <c r="B3733" s="5" t="s">
        <v>5299</v>
      </c>
      <c r="C3733" s="5" t="s">
        <v>5303</v>
      </c>
      <c r="D3733" s="5" t="s">
        <v>6637</v>
      </c>
      <c r="E3733" s="8">
        <f>vlookup(B3733,Filmes_final!$B$2:$U$1001,20,FALSE)</f>
        <v>78004704</v>
      </c>
      <c r="F3733" s="5">
        <f>vlookup(B3733,Filmes_final!$B$2:$U$1001,3,FALSE)</f>
        <v>2004</v>
      </c>
      <c r="G3733" s="5" t="str">
        <f>vlookup(B3733,Filmes_final!$B$2:$U$1001,13,FALSE)</f>
        <v>James Wan</v>
      </c>
    </row>
    <row r="3734">
      <c r="A3734" s="5">
        <v>934.0</v>
      </c>
      <c r="B3734" s="5" t="s">
        <v>5304</v>
      </c>
      <c r="C3734" s="5" t="s">
        <v>1593</v>
      </c>
      <c r="D3734" s="5" t="s">
        <v>6634</v>
      </c>
      <c r="E3734" s="8">
        <f>vlookup(B3734,Filmes_final!$B$2:$U$1001,20,FALSE)</f>
        <v>3766568</v>
      </c>
      <c r="F3734" s="5">
        <f>vlookup(B3734,Filmes_final!$B$2:$U$1001,3,FALSE)</f>
        <v>2008</v>
      </c>
      <c r="G3734" s="5" t="str">
        <f>vlookup(B3734,Filmes_final!$B$2:$U$1001,13,FALSE)</f>
        <v>Charlie Kaufman</v>
      </c>
    </row>
    <row r="3735">
      <c r="A3735" s="5">
        <v>934.0</v>
      </c>
      <c r="B3735" s="5" t="s">
        <v>5304</v>
      </c>
      <c r="C3735" s="5" t="s">
        <v>4544</v>
      </c>
      <c r="D3735" s="5" t="s">
        <v>6635</v>
      </c>
      <c r="E3735" s="8">
        <f>vlookup(B3735,Filmes_final!$B$2:$U$1001,20,FALSE)</f>
        <v>3766568</v>
      </c>
      <c r="F3735" s="5">
        <f>vlookup(B3735,Filmes_final!$B$2:$U$1001,3,FALSE)</f>
        <v>2008</v>
      </c>
      <c r="G3735" s="5" t="str">
        <f>vlookup(B3735,Filmes_final!$B$2:$U$1001,13,FALSE)</f>
        <v>Charlie Kaufman</v>
      </c>
    </row>
    <row r="3736">
      <c r="A3736" s="5">
        <v>934.0</v>
      </c>
      <c r="B3736" s="5" t="s">
        <v>5304</v>
      </c>
      <c r="C3736" s="5" t="s">
        <v>3579</v>
      </c>
      <c r="D3736" s="5" t="s">
        <v>6636</v>
      </c>
      <c r="E3736" s="8">
        <f>vlookup(B3736,Filmes_final!$B$2:$U$1001,20,FALSE)</f>
        <v>3766568</v>
      </c>
      <c r="F3736" s="5">
        <f>vlookup(B3736,Filmes_final!$B$2:$U$1001,3,FALSE)</f>
        <v>2008</v>
      </c>
      <c r="G3736" s="5" t="str">
        <f>vlookup(B3736,Filmes_final!$B$2:$U$1001,13,FALSE)</f>
        <v>Charlie Kaufman</v>
      </c>
    </row>
    <row r="3737">
      <c r="A3737" s="5">
        <v>934.0</v>
      </c>
      <c r="B3737" s="5" t="s">
        <v>5304</v>
      </c>
      <c r="C3737" s="5" t="s">
        <v>1608</v>
      </c>
      <c r="D3737" s="5" t="s">
        <v>6637</v>
      </c>
      <c r="E3737" s="8">
        <f>vlookup(B3737,Filmes_final!$B$2:$U$1001,20,FALSE)</f>
        <v>3766568</v>
      </c>
      <c r="F3737" s="5">
        <f>vlookup(B3737,Filmes_final!$B$2:$U$1001,3,FALSE)</f>
        <v>2008</v>
      </c>
      <c r="G3737" s="5" t="str">
        <f>vlookup(B3737,Filmes_final!$B$2:$U$1001,13,FALSE)</f>
        <v>Charlie Kaufman</v>
      </c>
    </row>
    <row r="3738">
      <c r="A3738" s="5">
        <v>935.0</v>
      </c>
      <c r="B3738" s="5" t="s">
        <v>5307</v>
      </c>
      <c r="C3738" s="5" t="s">
        <v>5310</v>
      </c>
      <c r="D3738" s="5" t="s">
        <v>6634</v>
      </c>
      <c r="E3738" s="8">
        <f>vlookup(B3738,Filmes_final!$B$2:$U$1001,20,FALSE)</f>
        <v>971126</v>
      </c>
      <c r="F3738" s="5">
        <f>vlookup(B3738,Filmes_final!$B$2:$U$1001,3,FALSE)</f>
        <v>2004</v>
      </c>
      <c r="G3738" s="5" t="str">
        <f>vlookup(B3738,Filmes_final!$B$2:$U$1001,13,FALSE)</f>
        <v>Gregg Araki</v>
      </c>
    </row>
    <row r="3739">
      <c r="A3739" s="5">
        <v>935.0</v>
      </c>
      <c r="B3739" s="5" t="s">
        <v>5307</v>
      </c>
      <c r="C3739" s="5" t="s">
        <v>91</v>
      </c>
      <c r="D3739" s="5" t="s">
        <v>6635</v>
      </c>
      <c r="E3739" s="8">
        <f>vlookup(B3739,Filmes_final!$B$2:$U$1001,20,FALSE)</f>
        <v>971126</v>
      </c>
      <c r="F3739" s="5">
        <f>vlookup(B3739,Filmes_final!$B$2:$U$1001,3,FALSE)</f>
        <v>2004</v>
      </c>
      <c r="G3739" s="5" t="str">
        <f>vlookup(B3739,Filmes_final!$B$2:$U$1001,13,FALSE)</f>
        <v>Gregg Araki</v>
      </c>
    </row>
    <row r="3740">
      <c r="A3740" s="5">
        <v>935.0</v>
      </c>
      <c r="B3740" s="5" t="s">
        <v>5307</v>
      </c>
      <c r="C3740" s="5" t="s">
        <v>5311</v>
      </c>
      <c r="D3740" s="5" t="s">
        <v>6636</v>
      </c>
      <c r="E3740" s="8">
        <f>vlookup(B3740,Filmes_final!$B$2:$U$1001,20,FALSE)</f>
        <v>971126</v>
      </c>
      <c r="F3740" s="5">
        <f>vlookup(B3740,Filmes_final!$B$2:$U$1001,3,FALSE)</f>
        <v>2004</v>
      </c>
      <c r="G3740" s="5" t="str">
        <f>vlookup(B3740,Filmes_final!$B$2:$U$1001,13,FALSE)</f>
        <v>Gregg Araki</v>
      </c>
    </row>
    <row r="3741">
      <c r="A3741" s="5">
        <v>935.0</v>
      </c>
      <c r="B3741" s="5" t="s">
        <v>5307</v>
      </c>
      <c r="C3741" s="5" t="s">
        <v>5312</v>
      </c>
      <c r="D3741" s="5" t="s">
        <v>6637</v>
      </c>
      <c r="E3741" s="8">
        <f>vlookup(B3741,Filmes_final!$B$2:$U$1001,20,FALSE)</f>
        <v>971126</v>
      </c>
      <c r="F3741" s="5">
        <f>vlookup(B3741,Filmes_final!$B$2:$U$1001,3,FALSE)</f>
        <v>2004</v>
      </c>
      <c r="G3741" s="5" t="str">
        <f>vlookup(B3741,Filmes_final!$B$2:$U$1001,13,FALSE)</f>
        <v>Gregg Araki</v>
      </c>
    </row>
    <row r="3742">
      <c r="A3742" s="5">
        <v>936.0</v>
      </c>
      <c r="B3742" s="5" t="s">
        <v>5313</v>
      </c>
      <c r="C3742" s="5" t="s">
        <v>4538</v>
      </c>
      <c r="D3742" s="5" t="s">
        <v>6634</v>
      </c>
      <c r="E3742" s="8">
        <f>vlookup(B3742,Filmes_final!$B$2:$U$1001,20,FALSE)</f>
        <v>779034</v>
      </c>
      <c r="F3742" s="5">
        <f>vlookup(B3742,Filmes_final!$B$2:$U$1001,3,FALSE)</f>
        <v>2003</v>
      </c>
      <c r="G3742" s="5" t="str">
        <f>vlookup(B3742,Filmes_final!$B$2:$U$1001,13,FALSE)</f>
        <v>Yann Samuell</v>
      </c>
    </row>
    <row r="3743">
      <c r="A3743" s="5">
        <v>936.0</v>
      </c>
      <c r="B3743" s="5" t="s">
        <v>5313</v>
      </c>
      <c r="C3743" s="5" t="s">
        <v>4416</v>
      </c>
      <c r="D3743" s="5" t="s">
        <v>6635</v>
      </c>
      <c r="E3743" s="8">
        <f>vlookup(B3743,Filmes_final!$B$2:$U$1001,20,FALSE)</f>
        <v>779034</v>
      </c>
      <c r="F3743" s="5">
        <f>vlookup(B3743,Filmes_final!$B$2:$U$1001,3,FALSE)</f>
        <v>2003</v>
      </c>
      <c r="G3743" s="5" t="str">
        <f>vlookup(B3743,Filmes_final!$B$2:$U$1001,13,FALSE)</f>
        <v>Yann Samuell</v>
      </c>
    </row>
    <row r="3744">
      <c r="A3744" s="5">
        <v>936.0</v>
      </c>
      <c r="B3744" s="5" t="s">
        <v>5313</v>
      </c>
      <c r="C3744" s="5" t="s">
        <v>5316</v>
      </c>
      <c r="D3744" s="5" t="s">
        <v>6636</v>
      </c>
      <c r="E3744" s="8">
        <f>vlookup(B3744,Filmes_final!$B$2:$U$1001,20,FALSE)</f>
        <v>779034</v>
      </c>
      <c r="F3744" s="5">
        <f>vlookup(B3744,Filmes_final!$B$2:$U$1001,3,FALSE)</f>
        <v>2003</v>
      </c>
      <c r="G3744" s="5" t="str">
        <f>vlookup(B3744,Filmes_final!$B$2:$U$1001,13,FALSE)</f>
        <v>Yann Samuell</v>
      </c>
    </row>
    <row r="3745">
      <c r="A3745" s="5">
        <v>936.0</v>
      </c>
      <c r="B3745" s="5" t="s">
        <v>5313</v>
      </c>
      <c r="C3745" s="5" t="s">
        <v>5317</v>
      </c>
      <c r="D3745" s="5" t="s">
        <v>6637</v>
      </c>
      <c r="E3745" s="8">
        <f>vlookup(B3745,Filmes_final!$B$2:$U$1001,20,FALSE)</f>
        <v>779034</v>
      </c>
      <c r="F3745" s="5">
        <f>vlookup(B3745,Filmes_final!$B$2:$U$1001,3,FALSE)</f>
        <v>2003</v>
      </c>
      <c r="G3745" s="5" t="str">
        <f>vlookup(B3745,Filmes_final!$B$2:$U$1001,13,FALSE)</f>
        <v>Yann Samuell</v>
      </c>
    </row>
    <row r="3746">
      <c r="A3746" s="5">
        <v>937.0</v>
      </c>
      <c r="B3746" s="5" t="s">
        <v>5318</v>
      </c>
      <c r="C3746" s="5" t="s">
        <v>726</v>
      </c>
      <c r="D3746" s="5" t="s">
        <v>6634</v>
      </c>
      <c r="E3746" s="8">
        <f>vlookup(B3746,Filmes_final!$B$2:$U$1001,20,FALSE)</f>
        <v>8591349</v>
      </c>
      <c r="F3746" s="5">
        <f>vlookup(B3746,Filmes_final!$B$2:$U$1001,3,FALSE)</f>
        <v>2004</v>
      </c>
      <c r="G3746" s="5" t="str">
        <f>vlookup(B3746,Filmes_final!$B$2:$U$1001,13,FALSE)</f>
        <v>Jean-Pierre Jeunet</v>
      </c>
    </row>
    <row r="3747">
      <c r="A3747" s="5">
        <v>937.0</v>
      </c>
      <c r="B3747" s="5" t="s">
        <v>5318</v>
      </c>
      <c r="C3747" s="5" t="s">
        <v>5320</v>
      </c>
      <c r="D3747" s="5" t="s">
        <v>6635</v>
      </c>
      <c r="E3747" s="8">
        <f>vlookup(B3747,Filmes_final!$B$2:$U$1001,20,FALSE)</f>
        <v>8591349</v>
      </c>
      <c r="F3747" s="5">
        <f>vlookup(B3747,Filmes_final!$B$2:$U$1001,3,FALSE)</f>
        <v>2004</v>
      </c>
      <c r="G3747" s="5" t="str">
        <f>vlookup(B3747,Filmes_final!$B$2:$U$1001,13,FALSE)</f>
        <v>Jean-Pierre Jeunet</v>
      </c>
    </row>
    <row r="3748">
      <c r="A3748" s="5">
        <v>937.0</v>
      </c>
      <c r="B3748" s="5" t="s">
        <v>5318</v>
      </c>
      <c r="C3748" s="5" t="s">
        <v>244</v>
      </c>
      <c r="D3748" s="5" t="s">
        <v>6636</v>
      </c>
      <c r="E3748" s="8">
        <f>vlookup(B3748,Filmes_final!$B$2:$U$1001,20,FALSE)</f>
        <v>8591349</v>
      </c>
      <c r="F3748" s="5">
        <f>vlookup(B3748,Filmes_final!$B$2:$U$1001,3,FALSE)</f>
        <v>2004</v>
      </c>
      <c r="G3748" s="5" t="str">
        <f>vlookup(B3748,Filmes_final!$B$2:$U$1001,13,FALSE)</f>
        <v>Jean-Pierre Jeunet</v>
      </c>
    </row>
    <row r="3749">
      <c r="A3749" s="5">
        <v>937.0</v>
      </c>
      <c r="B3749" s="5" t="s">
        <v>5318</v>
      </c>
      <c r="C3749" s="5" t="s">
        <v>5321</v>
      </c>
      <c r="D3749" s="5" t="s">
        <v>6637</v>
      </c>
      <c r="E3749" s="8">
        <f>vlookup(B3749,Filmes_final!$B$2:$U$1001,20,FALSE)</f>
        <v>8591349</v>
      </c>
      <c r="F3749" s="5">
        <f>vlookup(B3749,Filmes_final!$B$2:$U$1001,3,FALSE)</f>
        <v>2004</v>
      </c>
      <c r="G3749" s="5" t="str">
        <f>vlookup(B3749,Filmes_final!$B$2:$U$1001,13,FALSE)</f>
        <v>Jean-Pierre Jeunet</v>
      </c>
    </row>
    <row r="3750">
      <c r="A3750" s="5">
        <v>938.0</v>
      </c>
      <c r="B3750" s="5" t="s">
        <v>5322</v>
      </c>
      <c r="C3750" s="5" t="s">
        <v>5324</v>
      </c>
      <c r="D3750" s="5" t="s">
        <v>6634</v>
      </c>
      <c r="E3750" s="8">
        <f>vlookup(B3750,Filmes_final!$B$2:$U$1001,20,FALSE)</f>
        <v>8148556</v>
      </c>
      <c r="F3750" s="5">
        <f>vlookup(B3750,Filmes_final!$B$2:$U$1001,3,FALSE)</f>
        <v>2003</v>
      </c>
      <c r="G3750" s="5" t="str">
        <f>vlookup(B3750,Filmes_final!$B$2:$U$1001,13,FALSE)</f>
        <v>Tom McCarthy</v>
      </c>
    </row>
    <row r="3751">
      <c r="A3751" s="5">
        <v>938.0</v>
      </c>
      <c r="B3751" s="5" t="s">
        <v>5322</v>
      </c>
      <c r="C3751" s="5" t="s">
        <v>5325</v>
      </c>
      <c r="D3751" s="5" t="s">
        <v>6635</v>
      </c>
      <c r="E3751" s="8">
        <f>vlookup(B3751,Filmes_final!$B$2:$U$1001,20,FALSE)</f>
        <v>8148556</v>
      </c>
      <c r="F3751" s="5">
        <f>vlookup(B3751,Filmes_final!$B$2:$U$1001,3,FALSE)</f>
        <v>2003</v>
      </c>
      <c r="G3751" s="5" t="str">
        <f>vlookup(B3751,Filmes_final!$B$2:$U$1001,13,FALSE)</f>
        <v>Tom McCarthy</v>
      </c>
    </row>
    <row r="3752">
      <c r="A3752" s="5">
        <v>938.0</v>
      </c>
      <c r="B3752" s="5" t="s">
        <v>5322</v>
      </c>
      <c r="C3752" s="5" t="s">
        <v>5326</v>
      </c>
      <c r="D3752" s="5" t="s">
        <v>6636</v>
      </c>
      <c r="E3752" s="8">
        <f>vlookup(B3752,Filmes_final!$B$2:$U$1001,20,FALSE)</f>
        <v>8148556</v>
      </c>
      <c r="F3752" s="5">
        <f>vlookup(B3752,Filmes_final!$B$2:$U$1001,3,FALSE)</f>
        <v>2003</v>
      </c>
      <c r="G3752" s="5" t="str">
        <f>vlookup(B3752,Filmes_final!$B$2:$U$1001,13,FALSE)</f>
        <v>Tom McCarthy</v>
      </c>
    </row>
    <row r="3753">
      <c r="A3753" s="5">
        <v>938.0</v>
      </c>
      <c r="B3753" s="5" t="s">
        <v>5322</v>
      </c>
      <c r="C3753" s="5" t="s">
        <v>5327</v>
      </c>
      <c r="D3753" s="5" t="s">
        <v>6637</v>
      </c>
      <c r="E3753" s="8">
        <f>vlookup(B3753,Filmes_final!$B$2:$U$1001,20,FALSE)</f>
        <v>8148556</v>
      </c>
      <c r="F3753" s="5">
        <f>vlookup(B3753,Filmes_final!$B$2:$U$1001,3,FALSE)</f>
        <v>2003</v>
      </c>
      <c r="G3753" s="5" t="str">
        <f>vlookup(B3753,Filmes_final!$B$2:$U$1001,13,FALSE)</f>
        <v>Tom McCarthy</v>
      </c>
    </row>
    <row r="3754">
      <c r="A3754" s="5">
        <v>939.0</v>
      </c>
      <c r="B3754" s="5" t="s">
        <v>5328</v>
      </c>
      <c r="C3754" s="5" t="s">
        <v>1605</v>
      </c>
      <c r="D3754" s="5" t="s">
        <v>6634</v>
      </c>
      <c r="E3754" s="8">
        <f>vlookup(B3754,Filmes_final!$B$2:$U$1001,20,FALSE)</f>
        <v>23128621</v>
      </c>
      <c r="F3754" s="5">
        <f>vlookup(B3754,Filmes_final!$B$2:$U$1001,3,FALSE)</f>
        <v>2003</v>
      </c>
      <c r="G3754" s="5" t="str">
        <f>vlookup(B3754,Filmes_final!$B$2:$U$1001,13,FALSE)</f>
        <v>Alejandro G. Iñárritu</v>
      </c>
    </row>
    <row r="3755">
      <c r="A3755" s="5">
        <v>939.0</v>
      </c>
      <c r="B3755" s="5" t="s">
        <v>5328</v>
      </c>
      <c r="C3755" s="5" t="s">
        <v>735</v>
      </c>
      <c r="D3755" s="5" t="s">
        <v>6635</v>
      </c>
      <c r="E3755" s="8">
        <f>vlookup(B3755,Filmes_final!$B$2:$U$1001,20,FALSE)</f>
        <v>23128621</v>
      </c>
      <c r="F3755" s="5">
        <f>vlookup(B3755,Filmes_final!$B$2:$U$1001,3,FALSE)</f>
        <v>2003</v>
      </c>
      <c r="G3755" s="5" t="str">
        <f>vlookup(B3755,Filmes_final!$B$2:$U$1001,13,FALSE)</f>
        <v>Alejandro G. Iñárritu</v>
      </c>
    </row>
    <row r="3756">
      <c r="A3756" s="5">
        <v>939.0</v>
      </c>
      <c r="B3756" s="5" t="s">
        <v>5328</v>
      </c>
      <c r="C3756" s="5" t="s">
        <v>3221</v>
      </c>
      <c r="D3756" s="5" t="s">
        <v>6636</v>
      </c>
      <c r="E3756" s="8">
        <f>vlookup(B3756,Filmes_final!$B$2:$U$1001,20,FALSE)</f>
        <v>23128621</v>
      </c>
      <c r="F3756" s="5">
        <f>vlookup(B3756,Filmes_final!$B$2:$U$1001,3,FALSE)</f>
        <v>2003</v>
      </c>
      <c r="G3756" s="5" t="str">
        <f>vlookup(B3756,Filmes_final!$B$2:$U$1001,13,FALSE)</f>
        <v>Alejandro G. Iñárritu</v>
      </c>
    </row>
    <row r="3757">
      <c r="A3757" s="5">
        <v>939.0</v>
      </c>
      <c r="B3757" s="5" t="s">
        <v>5328</v>
      </c>
      <c r="C3757" s="5" t="s">
        <v>5330</v>
      </c>
      <c r="D3757" s="5" t="s">
        <v>6637</v>
      </c>
      <c r="E3757" s="8">
        <f>vlookup(B3757,Filmes_final!$B$2:$U$1001,20,FALSE)</f>
        <v>23128621</v>
      </c>
      <c r="F3757" s="5">
        <f>vlookup(B3757,Filmes_final!$B$2:$U$1001,3,FALSE)</f>
        <v>2003</v>
      </c>
      <c r="G3757" s="5" t="str">
        <f>vlookup(B3757,Filmes_final!$B$2:$U$1001,13,FALSE)</f>
        <v>Alejandro G. Iñárritu</v>
      </c>
    </row>
    <row r="3758">
      <c r="A3758" s="5">
        <v>940.0</v>
      </c>
      <c r="B3758" s="5" t="s">
        <v>5331</v>
      </c>
      <c r="C3758" s="5" t="s">
        <v>174</v>
      </c>
      <c r="D3758" s="5" t="s">
        <v>6634</v>
      </c>
      <c r="E3758" s="8">
        <f>vlookup(B3758,Filmes_final!$B$2:$U$1001,20,FALSE)</f>
        <v>65970</v>
      </c>
      <c r="F3758" s="5">
        <f>vlookup(B3758,Filmes_final!$B$2:$U$1001,3,FALSE)</f>
        <v>2002</v>
      </c>
      <c r="G3758" s="5" t="str">
        <f>vlookup(B3758,Filmes_final!$B$2:$U$1001,13,FALSE)</f>
        <v>Chan-wook Park</v>
      </c>
    </row>
    <row r="3759">
      <c r="A3759" s="5">
        <v>940.0</v>
      </c>
      <c r="B3759" s="5" t="s">
        <v>5331</v>
      </c>
      <c r="C3759" s="5" t="s">
        <v>5333</v>
      </c>
      <c r="D3759" s="5" t="s">
        <v>6635</v>
      </c>
      <c r="E3759" s="8">
        <f>vlookup(B3759,Filmes_final!$B$2:$U$1001,20,FALSE)</f>
        <v>65970</v>
      </c>
      <c r="F3759" s="5">
        <f>vlookup(B3759,Filmes_final!$B$2:$U$1001,3,FALSE)</f>
        <v>2002</v>
      </c>
      <c r="G3759" s="5" t="str">
        <f>vlookup(B3759,Filmes_final!$B$2:$U$1001,13,FALSE)</f>
        <v>Chan-wook Park</v>
      </c>
    </row>
    <row r="3760">
      <c r="A3760" s="5">
        <v>940.0</v>
      </c>
      <c r="B3760" s="5" t="s">
        <v>5331</v>
      </c>
      <c r="C3760" s="5" t="s">
        <v>5334</v>
      </c>
      <c r="D3760" s="5" t="s">
        <v>6636</v>
      </c>
      <c r="E3760" s="8">
        <f>vlookup(B3760,Filmes_final!$B$2:$U$1001,20,FALSE)</f>
        <v>65970</v>
      </c>
      <c r="F3760" s="5">
        <f>vlookup(B3760,Filmes_final!$B$2:$U$1001,3,FALSE)</f>
        <v>2002</v>
      </c>
      <c r="G3760" s="5" t="str">
        <f>vlookup(B3760,Filmes_final!$B$2:$U$1001,13,FALSE)</f>
        <v>Chan-wook Park</v>
      </c>
    </row>
    <row r="3761">
      <c r="A3761" s="5">
        <v>940.0</v>
      </c>
      <c r="B3761" s="5" t="s">
        <v>5331</v>
      </c>
      <c r="C3761" s="5" t="s">
        <v>5335</v>
      </c>
      <c r="D3761" s="5" t="s">
        <v>6637</v>
      </c>
      <c r="E3761" s="8">
        <f>vlookup(B3761,Filmes_final!$B$2:$U$1001,20,FALSE)</f>
        <v>65970</v>
      </c>
      <c r="F3761" s="5">
        <f>vlookup(B3761,Filmes_final!$B$2:$U$1001,3,FALSE)</f>
        <v>2002</v>
      </c>
      <c r="G3761" s="5" t="str">
        <f>vlookup(B3761,Filmes_final!$B$2:$U$1001,13,FALSE)</f>
        <v>Chan-wook Park</v>
      </c>
    </row>
    <row r="3762">
      <c r="A3762" s="5">
        <v>941.0</v>
      </c>
      <c r="B3762" s="5" t="s">
        <v>5336</v>
      </c>
      <c r="C3762" s="5" t="s">
        <v>2451</v>
      </c>
      <c r="D3762" s="5" t="s">
        <v>6634</v>
      </c>
      <c r="E3762" s="8">
        <f>vlookup(B3762,Filmes_final!$B$2:$U$1001,20,FALSE)</f>
        <v>71987578</v>
      </c>
      <c r="F3762" s="5">
        <f>vlookup(B3762,Filmes_final!$B$2:$U$1001,3,FALSE)</f>
        <v>2004</v>
      </c>
      <c r="G3762" s="5" t="str">
        <f>vlookup(B3762,Filmes_final!$B$2:$U$1001,13,FALSE)</f>
        <v>Marc Forster</v>
      </c>
    </row>
    <row r="3763">
      <c r="A3763" s="5">
        <v>941.0</v>
      </c>
      <c r="B3763" s="5" t="s">
        <v>5336</v>
      </c>
      <c r="C3763" s="5" t="s">
        <v>719</v>
      </c>
      <c r="D3763" s="5" t="s">
        <v>6635</v>
      </c>
      <c r="E3763" s="8">
        <f>vlookup(B3763,Filmes_final!$B$2:$U$1001,20,FALSE)</f>
        <v>71987578</v>
      </c>
      <c r="F3763" s="5">
        <f>vlookup(B3763,Filmes_final!$B$2:$U$1001,3,FALSE)</f>
        <v>2004</v>
      </c>
      <c r="G3763" s="5" t="str">
        <f>vlookup(B3763,Filmes_final!$B$2:$U$1001,13,FALSE)</f>
        <v>Marc Forster</v>
      </c>
    </row>
    <row r="3764">
      <c r="A3764" s="5">
        <v>941.0</v>
      </c>
      <c r="B3764" s="5" t="s">
        <v>5336</v>
      </c>
      <c r="C3764" s="5" t="s">
        <v>2757</v>
      </c>
      <c r="D3764" s="5" t="s">
        <v>6636</v>
      </c>
      <c r="E3764" s="8">
        <f>vlookup(B3764,Filmes_final!$B$2:$U$1001,20,FALSE)</f>
        <v>71987578</v>
      </c>
      <c r="F3764" s="5">
        <f>vlookup(B3764,Filmes_final!$B$2:$U$1001,3,FALSE)</f>
        <v>2004</v>
      </c>
      <c r="G3764" s="5" t="str">
        <f>vlookup(B3764,Filmes_final!$B$2:$U$1001,13,FALSE)</f>
        <v>Marc Forster</v>
      </c>
    </row>
    <row r="3765">
      <c r="A3765" s="5">
        <v>941.0</v>
      </c>
      <c r="B3765" s="5" t="s">
        <v>5336</v>
      </c>
      <c r="C3765" s="5" t="s">
        <v>4598</v>
      </c>
      <c r="D3765" s="5" t="s">
        <v>6637</v>
      </c>
      <c r="E3765" s="8">
        <f>vlookup(B3765,Filmes_final!$B$2:$U$1001,20,FALSE)</f>
        <v>71987578</v>
      </c>
      <c r="F3765" s="5">
        <f>vlookup(B3765,Filmes_final!$B$2:$U$1001,3,FALSE)</f>
        <v>2004</v>
      </c>
      <c r="G3765" s="5" t="str">
        <f>vlookup(B3765,Filmes_final!$B$2:$U$1001,13,FALSE)</f>
        <v>Marc Forster</v>
      </c>
    </row>
    <row r="3766">
      <c r="A3766" s="5">
        <v>942.0</v>
      </c>
      <c r="B3766" s="5" t="s">
        <v>5339</v>
      </c>
      <c r="C3766" s="5" t="s">
        <v>99</v>
      </c>
      <c r="D3766" s="5" t="s">
        <v>6634</v>
      </c>
      <c r="E3766" s="8">
        <f>vlookup(B3766,Filmes_final!$B$2:$U$1001,20,FALSE)</f>
        <v>19024951</v>
      </c>
      <c r="F3766" s="5">
        <f>vlookup(B3766,Filmes_final!$B$2:$U$1001,3,FALSE)</f>
        <v>2002</v>
      </c>
      <c r="G3766" s="5" t="str">
        <f>vlookup(B3766,Filmes_final!$B$2:$U$1001,13,FALSE)</f>
        <v>Spike Lee</v>
      </c>
    </row>
    <row r="3767">
      <c r="A3767" s="5">
        <v>942.0</v>
      </c>
      <c r="B3767" s="5" t="s">
        <v>5339</v>
      </c>
      <c r="C3767" s="5" t="s">
        <v>5341</v>
      </c>
      <c r="D3767" s="5" t="s">
        <v>6635</v>
      </c>
      <c r="E3767" s="8">
        <f>vlookup(B3767,Filmes_final!$B$2:$U$1001,20,FALSE)</f>
        <v>19024951</v>
      </c>
      <c r="F3767" s="5">
        <f>vlookup(B3767,Filmes_final!$B$2:$U$1001,3,FALSE)</f>
        <v>2002</v>
      </c>
      <c r="G3767" s="5" t="str">
        <f>vlookup(B3767,Filmes_final!$B$2:$U$1001,13,FALSE)</f>
        <v>Spike Lee</v>
      </c>
    </row>
    <row r="3768">
      <c r="A3768" s="5">
        <v>942.0</v>
      </c>
      <c r="B3768" s="5" t="s">
        <v>5339</v>
      </c>
      <c r="C3768" s="5" t="s">
        <v>1593</v>
      </c>
      <c r="D3768" s="5" t="s">
        <v>6636</v>
      </c>
      <c r="E3768" s="8">
        <f>vlookup(B3768,Filmes_final!$B$2:$U$1001,20,FALSE)</f>
        <v>19024951</v>
      </c>
      <c r="F3768" s="5">
        <f>vlookup(B3768,Filmes_final!$B$2:$U$1001,3,FALSE)</f>
        <v>2002</v>
      </c>
      <c r="G3768" s="5" t="str">
        <f>vlookup(B3768,Filmes_final!$B$2:$U$1001,13,FALSE)</f>
        <v>Spike Lee</v>
      </c>
    </row>
    <row r="3769">
      <c r="A3769" s="5">
        <v>942.0</v>
      </c>
      <c r="B3769" s="5" t="s">
        <v>5339</v>
      </c>
      <c r="C3769" s="5" t="s">
        <v>5238</v>
      </c>
      <c r="D3769" s="5" t="s">
        <v>6637</v>
      </c>
      <c r="E3769" s="8">
        <f>vlookup(B3769,Filmes_final!$B$2:$U$1001,20,FALSE)</f>
        <v>19024951</v>
      </c>
      <c r="F3769" s="5">
        <f>vlookup(B3769,Filmes_final!$B$2:$U$1001,3,FALSE)</f>
        <v>2002</v>
      </c>
      <c r="G3769" s="5" t="str">
        <f>vlookup(B3769,Filmes_final!$B$2:$U$1001,13,FALSE)</f>
        <v>Spike Lee</v>
      </c>
    </row>
    <row r="3770">
      <c r="A3770" s="5">
        <v>943.0</v>
      </c>
      <c r="B3770" s="5" t="s">
        <v>5342</v>
      </c>
      <c r="C3770" s="5" t="s">
        <v>5345</v>
      </c>
      <c r="D3770" s="5" t="s">
        <v>6634</v>
      </c>
      <c r="E3770" s="8">
        <f>vlookup(B3770,Filmes_final!$B$2:$U$1001,20,FALSE)</f>
        <v>80704658</v>
      </c>
      <c r="F3770" s="5">
        <f>vlookup(B3770,Filmes_final!$B$2:$U$1001,3,FALSE)</f>
        <v>2004</v>
      </c>
      <c r="G3770" s="5" t="str">
        <f>vlookup(B3770,Filmes_final!$B$2:$U$1001,13,FALSE)</f>
        <v>Eric Bress</v>
      </c>
    </row>
    <row r="3771">
      <c r="A3771" s="5">
        <v>943.0</v>
      </c>
      <c r="B3771" s="5" t="s">
        <v>5342</v>
      </c>
      <c r="C3771" s="5" t="s">
        <v>5346</v>
      </c>
      <c r="D3771" s="5" t="s">
        <v>6635</v>
      </c>
      <c r="E3771" s="8">
        <f>vlookup(B3771,Filmes_final!$B$2:$U$1001,20,FALSE)</f>
        <v>80704658</v>
      </c>
      <c r="F3771" s="5">
        <f>vlookup(B3771,Filmes_final!$B$2:$U$1001,3,FALSE)</f>
        <v>2004</v>
      </c>
      <c r="G3771" s="5" t="str">
        <f>vlookup(B3771,Filmes_final!$B$2:$U$1001,13,FALSE)</f>
        <v>Eric Bress</v>
      </c>
    </row>
    <row r="3772">
      <c r="A3772" s="5">
        <v>943.0</v>
      </c>
      <c r="B3772" s="5" t="s">
        <v>5342</v>
      </c>
      <c r="C3772" s="5" t="s">
        <v>5347</v>
      </c>
      <c r="D3772" s="5" t="s">
        <v>6636</v>
      </c>
      <c r="E3772" s="8">
        <f>vlookup(B3772,Filmes_final!$B$2:$U$1001,20,FALSE)</f>
        <v>80704658</v>
      </c>
      <c r="F3772" s="5">
        <f>vlookup(B3772,Filmes_final!$B$2:$U$1001,3,FALSE)</f>
        <v>2004</v>
      </c>
      <c r="G3772" s="5" t="str">
        <f>vlookup(B3772,Filmes_final!$B$2:$U$1001,13,FALSE)</f>
        <v>Eric Bress</v>
      </c>
    </row>
    <row r="3773">
      <c r="A3773" s="5">
        <v>943.0</v>
      </c>
      <c r="B3773" s="5" t="s">
        <v>5342</v>
      </c>
      <c r="C3773" s="5" t="s">
        <v>5348</v>
      </c>
      <c r="D3773" s="5" t="s">
        <v>6637</v>
      </c>
      <c r="E3773" s="8">
        <f>vlookup(B3773,Filmes_final!$B$2:$U$1001,20,FALSE)</f>
        <v>80704658</v>
      </c>
      <c r="F3773" s="5">
        <f>vlookup(B3773,Filmes_final!$B$2:$U$1001,3,FALSE)</f>
        <v>2004</v>
      </c>
      <c r="G3773" s="5" t="str">
        <f>vlookup(B3773,Filmes_final!$B$2:$U$1001,13,FALSE)</f>
        <v>Eric Bress</v>
      </c>
    </row>
    <row r="3774">
      <c r="A3774" s="5">
        <v>944.0</v>
      </c>
      <c r="B3774" s="5" t="s">
        <v>5349</v>
      </c>
      <c r="C3774" s="5" t="s">
        <v>5351</v>
      </c>
      <c r="D3774" s="5" t="s">
        <v>6634</v>
      </c>
      <c r="E3774" s="8">
        <f>vlookup(B3774,Filmes_final!$B$2:$U$1001,20,FALSE)</f>
        <v>65643372</v>
      </c>
      <c r="F3774" s="5">
        <f>vlookup(B3774,Filmes_final!$B$2:$U$1001,3,FALSE)</f>
        <v>2002</v>
      </c>
      <c r="G3774" s="5" t="str">
        <f>vlookup(B3774,Filmes_final!$B$2:$U$1001,13,FALSE)</f>
        <v>Danny Boyle</v>
      </c>
    </row>
    <row r="3775">
      <c r="A3775" s="5">
        <v>944.0</v>
      </c>
      <c r="B3775" s="5" t="s">
        <v>5349</v>
      </c>
      <c r="C3775" s="5" t="s">
        <v>4457</v>
      </c>
      <c r="D3775" s="5" t="s">
        <v>6635</v>
      </c>
      <c r="E3775" s="8">
        <f>vlookup(B3775,Filmes_final!$B$2:$U$1001,20,FALSE)</f>
        <v>65643372</v>
      </c>
      <c r="F3775" s="5">
        <f>vlookup(B3775,Filmes_final!$B$2:$U$1001,3,FALSE)</f>
        <v>2002</v>
      </c>
      <c r="G3775" s="5" t="str">
        <f>vlookup(B3775,Filmes_final!$B$2:$U$1001,13,FALSE)</f>
        <v>Danny Boyle</v>
      </c>
    </row>
    <row r="3776">
      <c r="A3776" s="5">
        <v>944.0</v>
      </c>
      <c r="B3776" s="5" t="s">
        <v>5349</v>
      </c>
      <c r="C3776" s="5" t="s">
        <v>5352</v>
      </c>
      <c r="D3776" s="5" t="s">
        <v>6636</v>
      </c>
      <c r="E3776" s="8">
        <f>vlookup(B3776,Filmes_final!$B$2:$U$1001,20,FALSE)</f>
        <v>65643372</v>
      </c>
      <c r="F3776" s="5">
        <f>vlookup(B3776,Filmes_final!$B$2:$U$1001,3,FALSE)</f>
        <v>2002</v>
      </c>
      <c r="G3776" s="5" t="str">
        <f>vlookup(B3776,Filmes_final!$B$2:$U$1001,13,FALSE)</f>
        <v>Danny Boyle</v>
      </c>
    </row>
    <row r="3777">
      <c r="A3777" s="5">
        <v>944.0</v>
      </c>
      <c r="B3777" s="5" t="s">
        <v>5349</v>
      </c>
      <c r="C3777" s="5" t="s">
        <v>5353</v>
      </c>
      <c r="D3777" s="5" t="s">
        <v>6637</v>
      </c>
      <c r="E3777" s="8">
        <f>vlookup(B3777,Filmes_final!$B$2:$U$1001,20,FALSE)</f>
        <v>65643372</v>
      </c>
      <c r="F3777" s="5">
        <f>vlookup(B3777,Filmes_final!$B$2:$U$1001,3,FALSE)</f>
        <v>2002</v>
      </c>
      <c r="G3777" s="5" t="str">
        <f>vlookup(B3777,Filmes_final!$B$2:$U$1001,13,FALSE)</f>
        <v>Danny Boyle</v>
      </c>
    </row>
    <row r="3778">
      <c r="A3778" s="5">
        <v>945.0</v>
      </c>
      <c r="B3778" s="5" t="s">
        <v>5354</v>
      </c>
      <c r="C3778" s="5" t="s">
        <v>4502</v>
      </c>
      <c r="D3778" s="5" t="s">
        <v>6634</v>
      </c>
      <c r="E3778" s="8">
        <f>vlookup(B3778,Filmes_final!$B$2:$U$1001,20,FALSE)</f>
        <v>1465589</v>
      </c>
      <c r="F3778" s="5">
        <f>vlookup(B3778,Filmes_final!$B$2:$U$1001,3,FALSE)</f>
        <v>2000</v>
      </c>
      <c r="G3778" s="5" t="str">
        <f>vlookup(B3778,Filmes_final!$B$2:$U$1001,13,FALSE)</f>
        <v>Kinji Fukasaku</v>
      </c>
    </row>
    <row r="3779">
      <c r="A3779" s="5">
        <v>945.0</v>
      </c>
      <c r="B3779" s="5" t="s">
        <v>5354</v>
      </c>
      <c r="C3779" s="5" t="s">
        <v>5357</v>
      </c>
      <c r="D3779" s="5" t="s">
        <v>6635</v>
      </c>
      <c r="E3779" s="8">
        <f>vlookup(B3779,Filmes_final!$B$2:$U$1001,20,FALSE)</f>
        <v>1465589</v>
      </c>
      <c r="F3779" s="5">
        <f>vlookup(B3779,Filmes_final!$B$2:$U$1001,3,FALSE)</f>
        <v>2000</v>
      </c>
      <c r="G3779" s="5" t="str">
        <f>vlookup(B3779,Filmes_final!$B$2:$U$1001,13,FALSE)</f>
        <v>Kinji Fukasaku</v>
      </c>
    </row>
    <row r="3780">
      <c r="A3780" s="5">
        <v>945.0</v>
      </c>
      <c r="B3780" s="5" t="s">
        <v>5354</v>
      </c>
      <c r="C3780" s="5" t="s">
        <v>5358</v>
      </c>
      <c r="D3780" s="5" t="s">
        <v>6636</v>
      </c>
      <c r="E3780" s="8">
        <f>vlookup(B3780,Filmes_final!$B$2:$U$1001,20,FALSE)</f>
        <v>1465589</v>
      </c>
      <c r="F3780" s="5">
        <f>vlookup(B3780,Filmes_final!$B$2:$U$1001,3,FALSE)</f>
        <v>2000</v>
      </c>
      <c r="G3780" s="5" t="str">
        <f>vlookup(B3780,Filmes_final!$B$2:$U$1001,13,FALSE)</f>
        <v>Kinji Fukasaku</v>
      </c>
    </row>
    <row r="3781">
      <c r="A3781" s="5">
        <v>945.0</v>
      </c>
      <c r="B3781" s="5" t="s">
        <v>5354</v>
      </c>
      <c r="C3781" s="5" t="s">
        <v>3954</v>
      </c>
      <c r="D3781" s="5" t="s">
        <v>6637</v>
      </c>
      <c r="E3781" s="8">
        <f>vlookup(B3781,Filmes_final!$B$2:$U$1001,20,FALSE)</f>
        <v>1465589</v>
      </c>
      <c r="F3781" s="5">
        <f>vlookup(B3781,Filmes_final!$B$2:$U$1001,3,FALSE)</f>
        <v>2000</v>
      </c>
      <c r="G3781" s="5" t="str">
        <f>vlookup(B3781,Filmes_final!$B$2:$U$1001,13,FALSE)</f>
        <v>Kinji Fukasaku</v>
      </c>
    </row>
    <row r="3782">
      <c r="A3782" s="5">
        <v>946.0</v>
      </c>
      <c r="B3782" s="5" t="s">
        <v>5359</v>
      </c>
      <c r="C3782" s="5" t="s">
        <v>1191</v>
      </c>
      <c r="D3782" s="5" t="s">
        <v>6634</v>
      </c>
      <c r="E3782" s="8">
        <f>vlookup(B3782,Filmes_final!$B$2:$U$1001,20,FALSE)</f>
        <v>77146751</v>
      </c>
      <c r="F3782" s="5">
        <f>vlookup(B3782,Filmes_final!$B$2:$U$1001,3,FALSE)</f>
        <v>2001</v>
      </c>
      <c r="G3782" s="5" t="str">
        <f>vlookup(B3782,Filmes_final!$B$2:$U$1001,13,FALSE)</f>
        <v>Wes Anderson</v>
      </c>
    </row>
    <row r="3783">
      <c r="A3783" s="5">
        <v>946.0</v>
      </c>
      <c r="B3783" s="5" t="s">
        <v>5359</v>
      </c>
      <c r="C3783" s="5" t="s">
        <v>3153</v>
      </c>
      <c r="D3783" s="5" t="s">
        <v>6635</v>
      </c>
      <c r="E3783" s="8">
        <f>vlookup(B3783,Filmes_final!$B$2:$U$1001,20,FALSE)</f>
        <v>77146751</v>
      </c>
      <c r="F3783" s="5">
        <f>vlookup(B3783,Filmes_final!$B$2:$U$1001,3,FALSE)</f>
        <v>2001</v>
      </c>
      <c r="G3783" s="5" t="str">
        <f>vlookup(B3783,Filmes_final!$B$2:$U$1001,13,FALSE)</f>
        <v>Wes Anderson</v>
      </c>
    </row>
    <row r="3784">
      <c r="A3784" s="5">
        <v>946.0</v>
      </c>
      <c r="B3784" s="5" t="s">
        <v>5359</v>
      </c>
      <c r="C3784" s="5" t="s">
        <v>5361</v>
      </c>
      <c r="D3784" s="5" t="s">
        <v>6636</v>
      </c>
      <c r="E3784" s="8">
        <f>vlookup(B3784,Filmes_final!$B$2:$U$1001,20,FALSE)</f>
        <v>77146751</v>
      </c>
      <c r="F3784" s="5">
        <f>vlookup(B3784,Filmes_final!$B$2:$U$1001,3,FALSE)</f>
        <v>2001</v>
      </c>
      <c r="G3784" s="5" t="str">
        <f>vlookup(B3784,Filmes_final!$B$2:$U$1001,13,FALSE)</f>
        <v>Wes Anderson</v>
      </c>
    </row>
    <row r="3785">
      <c r="A3785" s="5">
        <v>946.0</v>
      </c>
      <c r="B3785" s="5" t="s">
        <v>5359</v>
      </c>
      <c r="C3785" s="5" t="s">
        <v>5362</v>
      </c>
      <c r="D3785" s="5" t="s">
        <v>6637</v>
      </c>
      <c r="E3785" s="8">
        <f>vlookup(B3785,Filmes_final!$B$2:$U$1001,20,FALSE)</f>
        <v>77146751</v>
      </c>
      <c r="F3785" s="5">
        <f>vlookup(B3785,Filmes_final!$B$2:$U$1001,3,FALSE)</f>
        <v>2001</v>
      </c>
      <c r="G3785" s="5" t="str">
        <f>vlookup(B3785,Filmes_final!$B$2:$U$1001,13,FALSE)</f>
        <v>Wes Anderson</v>
      </c>
    </row>
    <row r="3786">
      <c r="A3786" s="5">
        <v>947.0</v>
      </c>
      <c r="B3786" s="5" t="s">
        <v>5363</v>
      </c>
      <c r="C3786" s="5" t="s">
        <v>1103</v>
      </c>
      <c r="D3786" s="5" t="s">
        <v>6634</v>
      </c>
      <c r="E3786" s="8">
        <f>vlookup(B3786,Filmes_final!$B$2:$U$1001,20,FALSE)</f>
        <v>20069485</v>
      </c>
      <c r="F3786" s="5">
        <f>vlookup(B3786,Filmes_final!$B$2:$U$1001,3,FALSE)</f>
        <v>2001</v>
      </c>
      <c r="G3786" s="5" t="str">
        <f>vlookup(B3786,Filmes_final!$B$2:$U$1001,13,FALSE)</f>
        <v>Alfonso Cuarón</v>
      </c>
    </row>
    <row r="3787">
      <c r="A3787" s="5">
        <v>947.0</v>
      </c>
      <c r="B3787" s="5" t="s">
        <v>5363</v>
      </c>
      <c r="C3787" s="5" t="s">
        <v>492</v>
      </c>
      <c r="D3787" s="5" t="s">
        <v>6635</v>
      </c>
      <c r="E3787" s="8">
        <f>vlookup(B3787,Filmes_final!$B$2:$U$1001,20,FALSE)</f>
        <v>20069485</v>
      </c>
      <c r="F3787" s="5">
        <f>vlookup(B3787,Filmes_final!$B$2:$U$1001,3,FALSE)</f>
        <v>2001</v>
      </c>
      <c r="G3787" s="5" t="str">
        <f>vlookup(B3787,Filmes_final!$B$2:$U$1001,13,FALSE)</f>
        <v>Alfonso Cuarón</v>
      </c>
    </row>
    <row r="3788">
      <c r="A3788" s="5">
        <v>947.0</v>
      </c>
      <c r="B3788" s="5" t="s">
        <v>5363</v>
      </c>
      <c r="C3788" s="5" t="s">
        <v>5365</v>
      </c>
      <c r="D3788" s="5" t="s">
        <v>6636</v>
      </c>
      <c r="E3788" s="8">
        <f>vlookup(B3788,Filmes_final!$B$2:$U$1001,20,FALSE)</f>
        <v>20069485</v>
      </c>
      <c r="F3788" s="5">
        <f>vlookup(B3788,Filmes_final!$B$2:$U$1001,3,FALSE)</f>
        <v>2001</v>
      </c>
      <c r="G3788" s="5" t="str">
        <f>vlookup(B3788,Filmes_final!$B$2:$U$1001,13,FALSE)</f>
        <v>Alfonso Cuarón</v>
      </c>
    </row>
    <row r="3789">
      <c r="A3789" s="5">
        <v>947.0</v>
      </c>
      <c r="B3789" s="5" t="s">
        <v>5363</v>
      </c>
      <c r="C3789" s="5" t="s">
        <v>5366</v>
      </c>
      <c r="D3789" s="5" t="s">
        <v>6637</v>
      </c>
      <c r="E3789" s="8">
        <f>vlookup(B3789,Filmes_final!$B$2:$U$1001,20,FALSE)</f>
        <v>20069485</v>
      </c>
      <c r="F3789" s="5">
        <f>vlookup(B3789,Filmes_final!$B$2:$U$1001,3,FALSE)</f>
        <v>2001</v>
      </c>
      <c r="G3789" s="5" t="str">
        <f>vlookup(B3789,Filmes_final!$B$2:$U$1001,13,FALSE)</f>
        <v>Alfonso Cuarón</v>
      </c>
    </row>
    <row r="3790">
      <c r="A3790" s="5">
        <v>948.0</v>
      </c>
      <c r="B3790" s="5" t="s">
        <v>5367</v>
      </c>
      <c r="C3790" s="5" t="s">
        <v>1568</v>
      </c>
      <c r="D3790" s="5" t="s">
        <v>6634</v>
      </c>
      <c r="E3790" s="8">
        <f>vlookup(B3790,Filmes_final!$B$2:$U$1001,20,FALSE)</f>
        <v>467877112</v>
      </c>
      <c r="F3790" s="5">
        <f>vlookup(B3790,Filmes_final!$B$2:$U$1001,3,FALSE)</f>
        <v>2001</v>
      </c>
      <c r="G3790" s="5" t="str">
        <f>vlookup(B3790,Filmes_final!$B$2:$U$1001,13,FALSE)</f>
        <v>Chris Columbus</v>
      </c>
    </row>
    <row r="3791">
      <c r="A3791" s="5">
        <v>948.0</v>
      </c>
      <c r="B3791" s="5" t="s">
        <v>5367</v>
      </c>
      <c r="C3791" s="5" t="s">
        <v>1570</v>
      </c>
      <c r="D3791" s="5" t="s">
        <v>6635</v>
      </c>
      <c r="E3791" s="8">
        <f>vlookup(B3791,Filmes_final!$B$2:$U$1001,20,FALSE)</f>
        <v>467877112</v>
      </c>
      <c r="F3791" s="5">
        <f>vlookup(B3791,Filmes_final!$B$2:$U$1001,3,FALSE)</f>
        <v>2001</v>
      </c>
      <c r="G3791" s="5" t="str">
        <f>vlookup(B3791,Filmes_final!$B$2:$U$1001,13,FALSE)</f>
        <v>Chris Columbus</v>
      </c>
    </row>
    <row r="3792">
      <c r="A3792" s="5">
        <v>948.0</v>
      </c>
      <c r="B3792" s="5" t="s">
        <v>5367</v>
      </c>
      <c r="C3792" s="5" t="s">
        <v>1192</v>
      </c>
      <c r="D3792" s="5" t="s">
        <v>6636</v>
      </c>
      <c r="E3792" s="8">
        <f>vlookup(B3792,Filmes_final!$B$2:$U$1001,20,FALSE)</f>
        <v>467877112</v>
      </c>
      <c r="F3792" s="5">
        <f>vlookup(B3792,Filmes_final!$B$2:$U$1001,3,FALSE)</f>
        <v>2001</v>
      </c>
      <c r="G3792" s="5" t="str">
        <f>vlookup(B3792,Filmes_final!$B$2:$U$1001,13,FALSE)</f>
        <v>Chris Columbus</v>
      </c>
    </row>
    <row r="3793">
      <c r="A3793" s="5">
        <v>948.0</v>
      </c>
      <c r="B3793" s="5" t="s">
        <v>5367</v>
      </c>
      <c r="C3793" s="5" t="s">
        <v>5370</v>
      </c>
      <c r="D3793" s="5" t="s">
        <v>6637</v>
      </c>
      <c r="E3793" s="8">
        <f>vlookup(B3793,Filmes_final!$B$2:$U$1001,20,FALSE)</f>
        <v>467877112</v>
      </c>
      <c r="F3793" s="5">
        <f>vlookup(B3793,Filmes_final!$B$2:$U$1001,3,FALSE)</f>
        <v>2001</v>
      </c>
      <c r="G3793" s="5" t="str">
        <f>vlookup(B3793,Filmes_final!$B$2:$U$1001,13,FALSE)</f>
        <v>Chris Columbus</v>
      </c>
    </row>
    <row r="3794">
      <c r="A3794" s="5">
        <v>949.0</v>
      </c>
      <c r="B3794" s="5" t="s">
        <v>5371</v>
      </c>
      <c r="C3794" s="5" t="s">
        <v>2182</v>
      </c>
      <c r="D3794" s="5" t="s">
        <v>6634</v>
      </c>
      <c r="E3794" s="8">
        <f>vlookup(B3794,Filmes_final!$B$2:$U$1001,20,FALSE)</f>
        <v>142204764</v>
      </c>
      <c r="F3794" s="5">
        <f>vlookup(B3794,Filmes_final!$B$2:$U$1001,3,FALSE)</f>
        <v>2001</v>
      </c>
      <c r="G3794" s="5" t="str">
        <f>vlookup(B3794,Filmes_final!$B$2:$U$1001,13,FALSE)</f>
        <v>Alejandro Amenábar</v>
      </c>
    </row>
    <row r="3795">
      <c r="A3795" s="5">
        <v>949.0</v>
      </c>
      <c r="B3795" s="5" t="s">
        <v>5371</v>
      </c>
      <c r="C3795" s="5" t="s">
        <v>5352</v>
      </c>
      <c r="D3795" s="5" t="s">
        <v>6635</v>
      </c>
      <c r="E3795" s="8">
        <f>vlookup(B3795,Filmes_final!$B$2:$U$1001,20,FALSE)</f>
        <v>142204764</v>
      </c>
      <c r="F3795" s="5">
        <f>vlookup(B3795,Filmes_final!$B$2:$U$1001,3,FALSE)</f>
        <v>2001</v>
      </c>
      <c r="G3795" s="5" t="str">
        <f>vlookup(B3795,Filmes_final!$B$2:$U$1001,13,FALSE)</f>
        <v>Alejandro Amenábar</v>
      </c>
    </row>
    <row r="3796">
      <c r="A3796" s="5">
        <v>949.0</v>
      </c>
      <c r="B3796" s="5" t="s">
        <v>5371</v>
      </c>
      <c r="C3796" s="5" t="s">
        <v>1527</v>
      </c>
      <c r="D3796" s="5" t="s">
        <v>6636</v>
      </c>
      <c r="E3796" s="8">
        <f>vlookup(B3796,Filmes_final!$B$2:$U$1001,20,FALSE)</f>
        <v>142204764</v>
      </c>
      <c r="F3796" s="5">
        <f>vlookup(B3796,Filmes_final!$B$2:$U$1001,3,FALSE)</f>
        <v>2001</v>
      </c>
      <c r="G3796" s="5" t="str">
        <f>vlookup(B3796,Filmes_final!$B$2:$U$1001,13,FALSE)</f>
        <v>Alejandro Amenábar</v>
      </c>
    </row>
    <row r="3797">
      <c r="A3797" s="5">
        <v>949.0</v>
      </c>
      <c r="B3797" s="5" t="s">
        <v>5371</v>
      </c>
      <c r="C3797" s="5" t="s">
        <v>5373</v>
      </c>
      <c r="D3797" s="5" t="s">
        <v>6637</v>
      </c>
      <c r="E3797" s="8">
        <f>vlookup(B3797,Filmes_final!$B$2:$U$1001,20,FALSE)</f>
        <v>142204764</v>
      </c>
      <c r="F3797" s="5">
        <f>vlookup(B3797,Filmes_final!$B$2:$U$1001,3,FALSE)</f>
        <v>2001</v>
      </c>
      <c r="G3797" s="5" t="str">
        <f>vlookup(B3797,Filmes_final!$B$2:$U$1001,13,FALSE)</f>
        <v>Alejandro Amenábar</v>
      </c>
    </row>
    <row r="3798">
      <c r="A3798" s="5">
        <v>950.0</v>
      </c>
      <c r="B3798" s="5" t="s">
        <v>5374</v>
      </c>
      <c r="C3798" s="5" t="s">
        <v>2451</v>
      </c>
      <c r="D3798" s="5" t="s">
        <v>6634</v>
      </c>
      <c r="E3798" s="8">
        <f>vlookup(B3798,Filmes_final!$B$2:$U$1001,20,FALSE)</f>
        <v>78070150</v>
      </c>
      <c r="F3798" s="5">
        <f>vlookup(B3798,Filmes_final!$B$2:$U$1001,3,FALSE)</f>
        <v>2001</v>
      </c>
      <c r="G3798" s="5" t="str">
        <f>vlookup(B3798,Filmes_final!$B$2:$U$1001,13,FALSE)</f>
        <v>Ted Demme</v>
      </c>
    </row>
    <row r="3799">
      <c r="A3799" s="5">
        <v>950.0</v>
      </c>
      <c r="B3799" s="5" t="s">
        <v>5374</v>
      </c>
      <c r="C3799" s="5" t="s">
        <v>4701</v>
      </c>
      <c r="D3799" s="5" t="s">
        <v>6635</v>
      </c>
      <c r="E3799" s="8">
        <f>vlookup(B3799,Filmes_final!$B$2:$U$1001,20,FALSE)</f>
        <v>78070150</v>
      </c>
      <c r="F3799" s="5">
        <f>vlookup(B3799,Filmes_final!$B$2:$U$1001,3,FALSE)</f>
        <v>2001</v>
      </c>
      <c r="G3799" s="5" t="str">
        <f>vlookup(B3799,Filmes_final!$B$2:$U$1001,13,FALSE)</f>
        <v>Ted Demme</v>
      </c>
    </row>
    <row r="3800">
      <c r="A3800" s="5">
        <v>950.0</v>
      </c>
      <c r="B3800" s="5" t="s">
        <v>5374</v>
      </c>
      <c r="C3800" s="5" t="s">
        <v>3204</v>
      </c>
      <c r="D3800" s="5" t="s">
        <v>6636</v>
      </c>
      <c r="E3800" s="8">
        <f>vlookup(B3800,Filmes_final!$B$2:$U$1001,20,FALSE)</f>
        <v>78070150</v>
      </c>
      <c r="F3800" s="5">
        <f>vlookup(B3800,Filmes_final!$B$2:$U$1001,3,FALSE)</f>
        <v>2001</v>
      </c>
      <c r="G3800" s="5" t="str">
        <f>vlookup(B3800,Filmes_final!$B$2:$U$1001,13,FALSE)</f>
        <v>Ted Demme</v>
      </c>
    </row>
    <row r="3801">
      <c r="A3801" s="5">
        <v>950.0</v>
      </c>
      <c r="B3801" s="5" t="s">
        <v>5374</v>
      </c>
      <c r="C3801" s="5" t="s">
        <v>5377</v>
      </c>
      <c r="D3801" s="5" t="s">
        <v>6637</v>
      </c>
      <c r="E3801" s="8">
        <f>vlookup(B3801,Filmes_final!$B$2:$U$1001,20,FALSE)</f>
        <v>78070150</v>
      </c>
      <c r="F3801" s="5">
        <f>vlookup(B3801,Filmes_final!$B$2:$U$1001,3,FALSE)</f>
        <v>2001</v>
      </c>
      <c r="G3801" s="5" t="str">
        <f>vlookup(B3801,Filmes_final!$B$2:$U$1001,13,FALSE)</f>
        <v>Ted Demme</v>
      </c>
    </row>
    <row r="3802">
      <c r="A3802" s="5">
        <v>951.0</v>
      </c>
      <c r="B3802" s="5" t="s">
        <v>5378</v>
      </c>
      <c r="C3802" s="5" t="s">
        <v>3962</v>
      </c>
      <c r="D3802" s="5" t="s">
        <v>6634</v>
      </c>
      <c r="E3802" s="8">
        <f>vlookup(B3802,Filmes_final!$B$2:$U$1001,20,FALSE)</f>
        <v>75729086</v>
      </c>
      <c r="F3802" s="5">
        <f>vlookup(B3802,Filmes_final!$B$2:$U$1001,3,FALSE)</f>
        <v>2001</v>
      </c>
      <c r="G3802" s="5" t="str">
        <f>vlookup(B3802,Filmes_final!$B$2:$U$1001,13,FALSE)</f>
        <v>Jean-Jacques Annaud</v>
      </c>
    </row>
    <row r="3803">
      <c r="A3803" s="5">
        <v>951.0</v>
      </c>
      <c r="B3803" s="5" t="s">
        <v>5378</v>
      </c>
      <c r="C3803" s="5" t="s">
        <v>1151</v>
      </c>
      <c r="D3803" s="5" t="s">
        <v>6635</v>
      </c>
      <c r="E3803" s="8">
        <f>vlookup(B3803,Filmes_final!$B$2:$U$1001,20,FALSE)</f>
        <v>75729086</v>
      </c>
      <c r="F3803" s="5">
        <f>vlookup(B3803,Filmes_final!$B$2:$U$1001,3,FALSE)</f>
        <v>2001</v>
      </c>
      <c r="G3803" s="5" t="str">
        <f>vlookup(B3803,Filmes_final!$B$2:$U$1001,13,FALSE)</f>
        <v>Jean-Jacques Annaud</v>
      </c>
    </row>
    <row r="3804">
      <c r="A3804" s="5">
        <v>951.0</v>
      </c>
      <c r="B3804" s="5" t="s">
        <v>5378</v>
      </c>
      <c r="C3804" s="5" t="s">
        <v>5380</v>
      </c>
      <c r="D3804" s="5" t="s">
        <v>6636</v>
      </c>
      <c r="E3804" s="8">
        <f>vlookup(B3804,Filmes_final!$B$2:$U$1001,20,FALSE)</f>
        <v>75729086</v>
      </c>
      <c r="F3804" s="5">
        <f>vlookup(B3804,Filmes_final!$B$2:$U$1001,3,FALSE)</f>
        <v>2001</v>
      </c>
      <c r="G3804" s="5" t="str">
        <f>vlookup(B3804,Filmes_final!$B$2:$U$1001,13,FALSE)</f>
        <v>Jean-Jacques Annaud</v>
      </c>
    </row>
    <row r="3805">
      <c r="A3805" s="5">
        <v>951.0</v>
      </c>
      <c r="B3805" s="5" t="s">
        <v>5378</v>
      </c>
      <c r="C3805" s="5" t="s">
        <v>5381</v>
      </c>
      <c r="D3805" s="5" t="s">
        <v>6637</v>
      </c>
      <c r="E3805" s="8">
        <f>vlookup(B3805,Filmes_final!$B$2:$U$1001,20,FALSE)</f>
        <v>75729086</v>
      </c>
      <c r="F3805" s="5">
        <f>vlookup(B3805,Filmes_final!$B$2:$U$1001,3,FALSE)</f>
        <v>2001</v>
      </c>
      <c r="G3805" s="5" t="str">
        <f>vlookup(B3805,Filmes_final!$B$2:$U$1001,13,FALSE)</f>
        <v>Jean-Jacques Annaud</v>
      </c>
    </row>
    <row r="3806">
      <c r="A3806" s="5">
        <v>952.0</v>
      </c>
      <c r="B3806" s="5" t="s">
        <v>5382</v>
      </c>
      <c r="C3806" s="5" t="s">
        <v>2486</v>
      </c>
      <c r="D3806" s="5" t="s">
        <v>6634</v>
      </c>
      <c r="E3806" s="8">
        <f>vlookup(B3806,Filmes_final!$B$2:$U$1001,20,FALSE)</f>
        <v>192382749</v>
      </c>
      <c r="F3806" s="5">
        <f>vlookup(B3806,Filmes_final!$B$2:$U$1001,3,FALSE)</f>
        <v>2002</v>
      </c>
      <c r="G3806" s="5" t="str">
        <f>vlookup(B3806,Filmes_final!$B$2:$U$1001,13,FALSE)</f>
        <v>Steven Spielberg</v>
      </c>
    </row>
    <row r="3807">
      <c r="A3807" s="5">
        <v>952.0</v>
      </c>
      <c r="B3807" s="5" t="s">
        <v>5382</v>
      </c>
      <c r="C3807" s="5" t="s">
        <v>3106</v>
      </c>
      <c r="D3807" s="5" t="s">
        <v>6635</v>
      </c>
      <c r="E3807" s="8">
        <f>vlookup(B3807,Filmes_final!$B$2:$U$1001,20,FALSE)</f>
        <v>192382749</v>
      </c>
      <c r="F3807" s="5">
        <f>vlookup(B3807,Filmes_final!$B$2:$U$1001,3,FALSE)</f>
        <v>2002</v>
      </c>
      <c r="G3807" s="5" t="str">
        <f>vlookup(B3807,Filmes_final!$B$2:$U$1001,13,FALSE)</f>
        <v>Steven Spielberg</v>
      </c>
    </row>
    <row r="3808">
      <c r="A3808" s="5">
        <v>952.0</v>
      </c>
      <c r="B3808" s="5" t="s">
        <v>5382</v>
      </c>
      <c r="C3808" s="5" t="s">
        <v>4544</v>
      </c>
      <c r="D3808" s="5" t="s">
        <v>6636</v>
      </c>
      <c r="E3808" s="8">
        <f>vlookup(B3808,Filmes_final!$B$2:$U$1001,20,FALSE)</f>
        <v>192382749</v>
      </c>
      <c r="F3808" s="5">
        <f>vlookup(B3808,Filmes_final!$B$2:$U$1001,3,FALSE)</f>
        <v>2002</v>
      </c>
      <c r="G3808" s="5" t="str">
        <f>vlookup(B3808,Filmes_final!$B$2:$U$1001,13,FALSE)</f>
        <v>Steven Spielberg</v>
      </c>
    </row>
    <row r="3809">
      <c r="A3809" s="5">
        <v>952.0</v>
      </c>
      <c r="B3809" s="5" t="s">
        <v>5382</v>
      </c>
      <c r="C3809" s="5" t="s">
        <v>1309</v>
      </c>
      <c r="D3809" s="5" t="s">
        <v>6637</v>
      </c>
      <c r="E3809" s="8">
        <f>vlookup(B3809,Filmes_final!$B$2:$U$1001,20,FALSE)</f>
        <v>192382749</v>
      </c>
      <c r="F3809" s="5">
        <f>vlookup(B3809,Filmes_final!$B$2:$U$1001,3,FALSE)</f>
        <v>2002</v>
      </c>
      <c r="G3809" s="5" t="str">
        <f>vlookup(B3809,Filmes_final!$B$2:$U$1001,13,FALSE)</f>
        <v>Steven Spielberg</v>
      </c>
    </row>
    <row r="3810">
      <c r="A3810" s="5">
        <v>953.0</v>
      </c>
      <c r="B3810" s="5" t="s">
        <v>5385</v>
      </c>
      <c r="C3810" s="5" t="s">
        <v>3799</v>
      </c>
      <c r="D3810" s="5" t="s">
        <v>6634</v>
      </c>
      <c r="E3810" s="8">
        <f>vlookup(B3810,Filmes_final!$B$2:$U$1001,20,FALSE)</f>
        <v>79556350</v>
      </c>
      <c r="F3810" s="5">
        <f>vlookup(B3810,Filmes_final!$B$2:$U$1001,3,FALSE)</f>
        <v>1999</v>
      </c>
      <c r="G3810" s="5" t="str">
        <f>vlookup(B3810,Filmes_final!$B$2:$U$1001,13,FALSE)</f>
        <v>Norman Jewison</v>
      </c>
    </row>
    <row r="3811">
      <c r="A3811" s="5">
        <v>953.0</v>
      </c>
      <c r="B3811" s="5" t="s">
        <v>5385</v>
      </c>
      <c r="C3811" s="5" t="s">
        <v>5387</v>
      </c>
      <c r="D3811" s="5" t="s">
        <v>6635</v>
      </c>
      <c r="E3811" s="8">
        <f>vlookup(B3811,Filmes_final!$B$2:$U$1001,20,FALSE)</f>
        <v>79556350</v>
      </c>
      <c r="F3811" s="5">
        <f>vlookup(B3811,Filmes_final!$B$2:$U$1001,3,FALSE)</f>
        <v>1999</v>
      </c>
      <c r="G3811" s="5" t="str">
        <f>vlookup(B3811,Filmes_final!$B$2:$U$1001,13,FALSE)</f>
        <v>Norman Jewison</v>
      </c>
    </row>
    <row r="3812">
      <c r="A3812" s="5">
        <v>953.0</v>
      </c>
      <c r="B3812" s="5" t="s">
        <v>5385</v>
      </c>
      <c r="C3812" s="5" t="s">
        <v>3967</v>
      </c>
      <c r="D3812" s="5" t="s">
        <v>6636</v>
      </c>
      <c r="E3812" s="8">
        <f>vlookup(B3812,Filmes_final!$B$2:$U$1001,20,FALSE)</f>
        <v>79556350</v>
      </c>
      <c r="F3812" s="5">
        <f>vlookup(B3812,Filmes_final!$B$2:$U$1001,3,FALSE)</f>
        <v>1999</v>
      </c>
      <c r="G3812" s="5" t="str">
        <f>vlookup(B3812,Filmes_final!$B$2:$U$1001,13,FALSE)</f>
        <v>Norman Jewison</v>
      </c>
    </row>
    <row r="3813">
      <c r="A3813" s="5">
        <v>953.0</v>
      </c>
      <c r="B3813" s="5" t="s">
        <v>5385</v>
      </c>
      <c r="C3813" s="5" t="s">
        <v>1519</v>
      </c>
      <c r="D3813" s="5" t="s">
        <v>6637</v>
      </c>
      <c r="E3813" s="8">
        <f>vlookup(B3813,Filmes_final!$B$2:$U$1001,20,FALSE)</f>
        <v>79556350</v>
      </c>
      <c r="F3813" s="5">
        <f>vlookup(B3813,Filmes_final!$B$2:$U$1001,3,FALSE)</f>
        <v>1999</v>
      </c>
      <c r="G3813" s="5" t="str">
        <f>vlookup(B3813,Filmes_final!$B$2:$U$1001,13,FALSE)</f>
        <v>Norman Jewison</v>
      </c>
    </row>
    <row r="3814">
      <c r="A3814" s="5">
        <v>954.0</v>
      </c>
      <c r="B3814" s="5" t="s">
        <v>5388</v>
      </c>
      <c r="C3814" s="5" t="s">
        <v>42</v>
      </c>
      <c r="D3814" s="5" t="s">
        <v>6634</v>
      </c>
      <c r="E3814" s="8">
        <f>vlookup(B3814,Filmes_final!$B$2:$U$1001,20,FALSE)</f>
        <v>23031377</v>
      </c>
      <c r="F3814" s="5">
        <f>vlookup(B3814,Filmes_final!$B$2:$U$1001,3,FALSE)</f>
        <v>2000</v>
      </c>
      <c r="G3814" s="5" t="str">
        <f>vlookup(B3814,Filmes_final!$B$2:$U$1001,13,FALSE)</f>
        <v>Mary Harron</v>
      </c>
    </row>
    <row r="3815">
      <c r="A3815" s="5">
        <v>954.0</v>
      </c>
      <c r="B3815" s="5" t="s">
        <v>5388</v>
      </c>
      <c r="C3815" s="5" t="s">
        <v>3223</v>
      </c>
      <c r="D3815" s="5" t="s">
        <v>6635</v>
      </c>
      <c r="E3815" s="8">
        <f>vlookup(B3815,Filmes_final!$B$2:$U$1001,20,FALSE)</f>
        <v>23031377</v>
      </c>
      <c r="F3815" s="5">
        <f>vlookup(B3815,Filmes_final!$B$2:$U$1001,3,FALSE)</f>
        <v>2000</v>
      </c>
      <c r="G3815" s="5" t="str">
        <f>vlookup(B3815,Filmes_final!$B$2:$U$1001,13,FALSE)</f>
        <v>Mary Harron</v>
      </c>
    </row>
    <row r="3816">
      <c r="A3816" s="5">
        <v>954.0</v>
      </c>
      <c r="B3816" s="5" t="s">
        <v>5388</v>
      </c>
      <c r="C3816" s="5" t="s">
        <v>5391</v>
      </c>
      <c r="D3816" s="5" t="s">
        <v>6636</v>
      </c>
      <c r="E3816" s="8">
        <f>vlookup(B3816,Filmes_final!$B$2:$U$1001,20,FALSE)</f>
        <v>23031377</v>
      </c>
      <c r="F3816" s="5">
        <f>vlookup(B3816,Filmes_final!$B$2:$U$1001,3,FALSE)</f>
        <v>2000</v>
      </c>
      <c r="G3816" s="5" t="str">
        <f>vlookup(B3816,Filmes_final!$B$2:$U$1001,13,FALSE)</f>
        <v>Mary Harron</v>
      </c>
    </row>
    <row r="3817">
      <c r="A3817" s="5">
        <v>954.0</v>
      </c>
      <c r="B3817" s="5" t="s">
        <v>5388</v>
      </c>
      <c r="C3817" s="5" t="s">
        <v>5392</v>
      </c>
      <c r="D3817" s="5" t="s">
        <v>6637</v>
      </c>
      <c r="E3817" s="8">
        <f>vlookup(B3817,Filmes_final!$B$2:$U$1001,20,FALSE)</f>
        <v>23031377</v>
      </c>
      <c r="F3817" s="5">
        <f>vlookup(B3817,Filmes_final!$B$2:$U$1001,3,FALSE)</f>
        <v>2000</v>
      </c>
      <c r="G3817" s="5" t="str">
        <f>vlookup(B3817,Filmes_final!$B$2:$U$1001,13,FALSE)</f>
        <v>Mary Harron</v>
      </c>
    </row>
    <row r="3818">
      <c r="A3818" s="5">
        <v>955.0</v>
      </c>
      <c r="B3818" s="5" t="s">
        <v>5393</v>
      </c>
      <c r="C3818" s="5" t="s">
        <v>3204</v>
      </c>
      <c r="D3818" s="5" t="s">
        <v>6634</v>
      </c>
      <c r="E3818" s="8">
        <f>vlookup(B3818,Filmes_final!$B$2:$U$1001,20,FALSE)</f>
        <v>11601647</v>
      </c>
      <c r="F3818" s="5">
        <f>vlookup(B3818,Filmes_final!$B$2:$U$1001,3,FALSE)</f>
        <v>1998</v>
      </c>
      <c r="G3818" s="5" t="str">
        <f>vlookup(B3818,Filmes_final!$B$2:$U$1001,13,FALSE)</f>
        <v>Tom Tykwer</v>
      </c>
    </row>
    <row r="3819">
      <c r="A3819" s="5">
        <v>955.0</v>
      </c>
      <c r="B3819" s="5" t="s">
        <v>5393</v>
      </c>
      <c r="C3819" s="5" t="s">
        <v>2530</v>
      </c>
      <c r="D3819" s="5" t="s">
        <v>6635</v>
      </c>
      <c r="E3819" s="8">
        <f>vlookup(B3819,Filmes_final!$B$2:$U$1001,20,FALSE)</f>
        <v>11601647</v>
      </c>
      <c r="F3819" s="5">
        <f>vlookup(B3819,Filmes_final!$B$2:$U$1001,3,FALSE)</f>
        <v>1998</v>
      </c>
      <c r="G3819" s="5" t="str">
        <f>vlookup(B3819,Filmes_final!$B$2:$U$1001,13,FALSE)</f>
        <v>Tom Tykwer</v>
      </c>
    </row>
    <row r="3820">
      <c r="A3820" s="5">
        <v>955.0</v>
      </c>
      <c r="B3820" s="5" t="s">
        <v>5393</v>
      </c>
      <c r="C3820" s="5" t="s">
        <v>5396</v>
      </c>
      <c r="D3820" s="5" t="s">
        <v>6636</v>
      </c>
      <c r="E3820" s="8">
        <f>vlookup(B3820,Filmes_final!$B$2:$U$1001,20,FALSE)</f>
        <v>11601647</v>
      </c>
      <c r="F3820" s="5">
        <f>vlookup(B3820,Filmes_final!$B$2:$U$1001,3,FALSE)</f>
        <v>1998</v>
      </c>
      <c r="G3820" s="5" t="str">
        <f>vlookup(B3820,Filmes_final!$B$2:$U$1001,13,FALSE)</f>
        <v>Tom Tykwer</v>
      </c>
    </row>
    <row r="3821">
      <c r="A3821" s="5">
        <v>955.0</v>
      </c>
      <c r="B3821" s="5" t="s">
        <v>5393</v>
      </c>
      <c r="C3821" s="5" t="s">
        <v>5397</v>
      </c>
      <c r="D3821" s="5" t="s">
        <v>6637</v>
      </c>
      <c r="E3821" s="8">
        <f>vlookup(B3821,Filmes_final!$B$2:$U$1001,20,FALSE)</f>
        <v>11601647</v>
      </c>
      <c r="F3821" s="5">
        <f>vlookup(B3821,Filmes_final!$B$2:$U$1001,3,FALSE)</f>
        <v>1998</v>
      </c>
      <c r="G3821" s="5" t="str">
        <f>vlookup(B3821,Filmes_final!$B$2:$U$1001,13,FALSE)</f>
        <v>Tom Tykwer</v>
      </c>
    </row>
    <row r="3822">
      <c r="A3822" s="5">
        <v>956.0</v>
      </c>
      <c r="B3822" s="5" t="s">
        <v>5398</v>
      </c>
      <c r="C3822" s="5" t="s">
        <v>3896</v>
      </c>
      <c r="D3822" s="5" t="s">
        <v>6634</v>
      </c>
      <c r="E3822" s="8">
        <f>vlookup(B3822,Filmes_final!$B$2:$U$1001,20,FALSE)</f>
        <v>58108113</v>
      </c>
      <c r="F3822" s="5">
        <f>vlookup(B3822,Filmes_final!$B$2:$U$1001,3,FALSE)</f>
        <v>1998</v>
      </c>
      <c r="G3822" s="5" t="str">
        <f>vlookup(B3822,Filmes_final!$B$2:$U$1001,13,FALSE)</f>
        <v>Terrence Malick</v>
      </c>
    </row>
    <row r="3823">
      <c r="A3823" s="5">
        <v>956.0</v>
      </c>
      <c r="B3823" s="5" t="s">
        <v>5398</v>
      </c>
      <c r="C3823" s="5" t="s">
        <v>1605</v>
      </c>
      <c r="D3823" s="5" t="s">
        <v>6635</v>
      </c>
      <c r="E3823" s="8">
        <f>vlookup(B3823,Filmes_final!$B$2:$U$1001,20,FALSE)</f>
        <v>58108113</v>
      </c>
      <c r="F3823" s="5">
        <f>vlookup(B3823,Filmes_final!$B$2:$U$1001,3,FALSE)</f>
        <v>1998</v>
      </c>
      <c r="G3823" s="5" t="str">
        <f>vlookup(B3823,Filmes_final!$B$2:$U$1001,13,FALSE)</f>
        <v>Terrence Malick</v>
      </c>
    </row>
    <row r="3824">
      <c r="A3824" s="5">
        <v>956.0</v>
      </c>
      <c r="B3824" s="5" t="s">
        <v>5398</v>
      </c>
      <c r="C3824" s="5" t="s">
        <v>1063</v>
      </c>
      <c r="D3824" s="5" t="s">
        <v>6636</v>
      </c>
      <c r="E3824" s="8">
        <f>vlookup(B3824,Filmes_final!$B$2:$U$1001,20,FALSE)</f>
        <v>58108113</v>
      </c>
      <c r="F3824" s="5">
        <f>vlookup(B3824,Filmes_final!$B$2:$U$1001,3,FALSE)</f>
        <v>1998</v>
      </c>
      <c r="G3824" s="5" t="str">
        <f>vlookup(B3824,Filmes_final!$B$2:$U$1001,13,FALSE)</f>
        <v>Terrence Malick</v>
      </c>
    </row>
    <row r="3825">
      <c r="A3825" s="5">
        <v>956.0</v>
      </c>
      <c r="B3825" s="5" t="s">
        <v>5398</v>
      </c>
      <c r="C3825" s="5" t="s">
        <v>5400</v>
      </c>
      <c r="D3825" s="5" t="s">
        <v>6637</v>
      </c>
      <c r="E3825" s="8">
        <f>vlookup(B3825,Filmes_final!$B$2:$U$1001,20,FALSE)</f>
        <v>58108113</v>
      </c>
      <c r="F3825" s="5">
        <f>vlookup(B3825,Filmes_final!$B$2:$U$1001,3,FALSE)</f>
        <v>1998</v>
      </c>
      <c r="G3825" s="5" t="str">
        <f>vlookup(B3825,Filmes_final!$B$2:$U$1001,13,FALSE)</f>
        <v>Terrence Malick</v>
      </c>
    </row>
    <row r="3826">
      <c r="A3826" s="5">
        <v>957.0</v>
      </c>
      <c r="B3826" s="5" t="s">
        <v>5401</v>
      </c>
      <c r="C3826" s="5" t="s">
        <v>5404</v>
      </c>
      <c r="D3826" s="5" t="s">
        <v>6634</v>
      </c>
      <c r="E3826" s="8">
        <f>vlookup(B3826,Filmes_final!$B$2:$U$1001,20,FALSE)</f>
        <v>192552770</v>
      </c>
      <c r="F3826" s="5">
        <f>vlookup(B3826,Filmes_final!$B$2:$U$1001,3,FALSE)</f>
        <v>1998</v>
      </c>
      <c r="G3826" s="5" t="str">
        <f>vlookup(B3826,Filmes_final!$B$2:$U$1001,13,FALSE)</f>
        <v>Tony Bancroft</v>
      </c>
    </row>
    <row r="3827">
      <c r="A3827" s="5">
        <v>957.0</v>
      </c>
      <c r="B3827" s="5" t="s">
        <v>5401</v>
      </c>
      <c r="C3827" s="5" t="s">
        <v>5405</v>
      </c>
      <c r="D3827" s="5" t="s">
        <v>6635</v>
      </c>
      <c r="E3827" s="8">
        <f>vlookup(B3827,Filmes_final!$B$2:$U$1001,20,FALSE)</f>
        <v>192552770</v>
      </c>
      <c r="F3827" s="5">
        <f>vlookup(B3827,Filmes_final!$B$2:$U$1001,3,FALSE)</f>
        <v>1998</v>
      </c>
      <c r="G3827" s="5" t="str">
        <f>vlookup(B3827,Filmes_final!$B$2:$U$1001,13,FALSE)</f>
        <v>Tony Bancroft</v>
      </c>
    </row>
    <row r="3828">
      <c r="A3828" s="5">
        <v>957.0</v>
      </c>
      <c r="B3828" s="5" t="s">
        <v>5401</v>
      </c>
      <c r="C3828" s="5" t="s">
        <v>3945</v>
      </c>
      <c r="D3828" s="5" t="s">
        <v>6636</v>
      </c>
      <c r="E3828" s="8">
        <f>vlookup(B3828,Filmes_final!$B$2:$U$1001,20,FALSE)</f>
        <v>192552770</v>
      </c>
      <c r="F3828" s="5">
        <f>vlookup(B3828,Filmes_final!$B$2:$U$1001,3,FALSE)</f>
        <v>1998</v>
      </c>
      <c r="G3828" s="5" t="str">
        <f>vlookup(B3828,Filmes_final!$B$2:$U$1001,13,FALSE)</f>
        <v>Tony Bancroft</v>
      </c>
    </row>
    <row r="3829">
      <c r="A3829" s="5">
        <v>957.0</v>
      </c>
      <c r="B3829" s="5" t="s">
        <v>5401</v>
      </c>
      <c r="C3829" s="5" t="s">
        <v>5406</v>
      </c>
      <c r="D3829" s="5" t="s">
        <v>6637</v>
      </c>
      <c r="E3829" s="8">
        <f>vlookup(B3829,Filmes_final!$B$2:$U$1001,20,FALSE)</f>
        <v>192552770</v>
      </c>
      <c r="F3829" s="5">
        <f>vlookup(B3829,Filmes_final!$B$2:$U$1001,3,FALSE)</f>
        <v>1998</v>
      </c>
      <c r="G3829" s="5" t="str">
        <f>vlookup(B3829,Filmes_final!$B$2:$U$1001,13,FALSE)</f>
        <v>Tony Bancroft</v>
      </c>
    </row>
    <row r="3830">
      <c r="A3830" s="5">
        <v>958.0</v>
      </c>
      <c r="B3830" s="5" t="s">
        <v>5407</v>
      </c>
      <c r="C3830" s="5" t="s">
        <v>2451</v>
      </c>
      <c r="D3830" s="5" t="s">
        <v>6634</v>
      </c>
      <c r="E3830" s="8">
        <f>vlookup(B3830,Filmes_final!$B$2:$U$1001,20,FALSE)</f>
        <v>17049513</v>
      </c>
      <c r="F3830" s="5">
        <f>vlookup(B3830,Filmes_final!$B$2:$U$1001,3,FALSE)</f>
        <v>1998</v>
      </c>
      <c r="G3830" s="5" t="str">
        <f>vlookup(B3830,Filmes_final!$B$2:$U$1001,13,FALSE)</f>
        <v>Terry Gilliam</v>
      </c>
    </row>
    <row r="3831">
      <c r="A3831" s="5">
        <v>958.0</v>
      </c>
      <c r="B3831" s="5" t="s">
        <v>5407</v>
      </c>
      <c r="C3831" s="5" t="s">
        <v>735</v>
      </c>
      <c r="D3831" s="5" t="s">
        <v>6635</v>
      </c>
      <c r="E3831" s="8">
        <f>vlookup(B3831,Filmes_final!$B$2:$U$1001,20,FALSE)</f>
        <v>17049513</v>
      </c>
      <c r="F3831" s="5">
        <f>vlookup(B3831,Filmes_final!$B$2:$U$1001,3,FALSE)</f>
        <v>1998</v>
      </c>
      <c r="G3831" s="5" t="str">
        <f>vlookup(B3831,Filmes_final!$B$2:$U$1001,13,FALSE)</f>
        <v>Terry Gilliam</v>
      </c>
    </row>
    <row r="3832">
      <c r="A3832" s="5">
        <v>958.0</v>
      </c>
      <c r="B3832" s="5" t="s">
        <v>5407</v>
      </c>
      <c r="C3832" s="5" t="s">
        <v>5409</v>
      </c>
      <c r="D3832" s="5" t="s">
        <v>6636</v>
      </c>
      <c r="E3832" s="8">
        <f>vlookup(B3832,Filmes_final!$B$2:$U$1001,20,FALSE)</f>
        <v>17049513</v>
      </c>
      <c r="F3832" s="5">
        <f>vlookup(B3832,Filmes_final!$B$2:$U$1001,3,FALSE)</f>
        <v>1998</v>
      </c>
      <c r="G3832" s="5" t="str">
        <f>vlookup(B3832,Filmes_final!$B$2:$U$1001,13,FALSE)</f>
        <v>Terry Gilliam</v>
      </c>
    </row>
    <row r="3833">
      <c r="A3833" s="5">
        <v>958.0</v>
      </c>
      <c r="B3833" s="5" t="s">
        <v>5407</v>
      </c>
      <c r="C3833" s="5" t="s">
        <v>5410</v>
      </c>
      <c r="D3833" s="5" t="s">
        <v>6637</v>
      </c>
      <c r="E3833" s="8">
        <f>vlookup(B3833,Filmes_final!$B$2:$U$1001,20,FALSE)</f>
        <v>17049513</v>
      </c>
      <c r="F3833" s="5">
        <f>vlookup(B3833,Filmes_final!$B$2:$U$1001,3,FALSE)</f>
        <v>1998</v>
      </c>
      <c r="G3833" s="5" t="str">
        <f>vlookup(B3833,Filmes_final!$B$2:$U$1001,13,FALSE)</f>
        <v>Terry Gilliam</v>
      </c>
    </row>
    <row r="3834">
      <c r="A3834" s="5">
        <v>959.0</v>
      </c>
      <c r="B3834" s="5" t="s">
        <v>5411</v>
      </c>
      <c r="C3834" s="5" t="s">
        <v>5413</v>
      </c>
      <c r="D3834" s="5" t="s">
        <v>6634</v>
      </c>
      <c r="E3834" s="8">
        <f>vlookup(B3834,Filmes_final!$B$2:$U$1001,20,FALSE)</f>
        <v>2099633</v>
      </c>
      <c r="F3834" s="5">
        <f>vlookup(B3834,Filmes_final!$B$2:$U$1001,3,FALSE)</f>
        <v>1997</v>
      </c>
      <c r="G3834" s="5" t="str">
        <f>vlookup(B3834,Filmes_final!$B$2:$U$1001,13,FALSE)</f>
        <v>Michael Haneke</v>
      </c>
    </row>
    <row r="3835">
      <c r="A3835" s="5">
        <v>959.0</v>
      </c>
      <c r="B3835" s="5" t="s">
        <v>5411</v>
      </c>
      <c r="C3835" s="5" t="s">
        <v>530</v>
      </c>
      <c r="D3835" s="5" t="s">
        <v>6635</v>
      </c>
      <c r="E3835" s="8">
        <f>vlookup(B3835,Filmes_final!$B$2:$U$1001,20,FALSE)</f>
        <v>2099633</v>
      </c>
      <c r="F3835" s="5">
        <f>vlookup(B3835,Filmes_final!$B$2:$U$1001,3,FALSE)</f>
        <v>1997</v>
      </c>
      <c r="G3835" s="5" t="str">
        <f>vlookup(B3835,Filmes_final!$B$2:$U$1001,13,FALSE)</f>
        <v>Michael Haneke</v>
      </c>
    </row>
    <row r="3836">
      <c r="A3836" s="5">
        <v>959.0</v>
      </c>
      <c r="B3836" s="5" t="s">
        <v>5411</v>
      </c>
      <c r="C3836" s="5" t="s">
        <v>5414</v>
      </c>
      <c r="D3836" s="5" t="s">
        <v>6636</v>
      </c>
      <c r="E3836" s="8">
        <f>vlookup(B3836,Filmes_final!$B$2:$U$1001,20,FALSE)</f>
        <v>2099633</v>
      </c>
      <c r="F3836" s="5">
        <f>vlookup(B3836,Filmes_final!$B$2:$U$1001,3,FALSE)</f>
        <v>1997</v>
      </c>
      <c r="G3836" s="5" t="str">
        <f>vlookup(B3836,Filmes_final!$B$2:$U$1001,13,FALSE)</f>
        <v>Michael Haneke</v>
      </c>
    </row>
    <row r="3837">
      <c r="A3837" s="5">
        <v>959.0</v>
      </c>
      <c r="B3837" s="5" t="s">
        <v>5411</v>
      </c>
      <c r="C3837" s="5" t="s">
        <v>5415</v>
      </c>
      <c r="D3837" s="5" t="s">
        <v>6637</v>
      </c>
      <c r="E3837" s="8">
        <f>vlookup(B3837,Filmes_final!$B$2:$U$1001,20,FALSE)</f>
        <v>2099633</v>
      </c>
      <c r="F3837" s="5">
        <f>vlookup(B3837,Filmes_final!$B$2:$U$1001,3,FALSE)</f>
        <v>1997</v>
      </c>
      <c r="G3837" s="5" t="str">
        <f>vlookup(B3837,Filmes_final!$B$2:$U$1001,13,FALSE)</f>
        <v>Michael Haneke</v>
      </c>
    </row>
    <row r="3838">
      <c r="A3838" s="5">
        <v>960.0</v>
      </c>
      <c r="B3838" s="5" t="s">
        <v>5416</v>
      </c>
      <c r="C3838" s="5" t="s">
        <v>5274</v>
      </c>
      <c r="D3838" s="5" t="s">
        <v>6634</v>
      </c>
      <c r="E3838" s="8">
        <f>vlookup(B3838,Filmes_final!$B$2:$U$1001,20,FALSE)</f>
        <v>22952923</v>
      </c>
      <c r="F3838" s="5">
        <f>vlookup(B3838,Filmes_final!$B$2:$U$1001,3,FALSE)</f>
        <v>1998</v>
      </c>
      <c r="G3838" s="5" t="str">
        <f>vlookup(B3838,Filmes_final!$B$2:$U$1001,13,FALSE)</f>
        <v>Alex Proyas</v>
      </c>
    </row>
    <row r="3839">
      <c r="A3839" s="5">
        <v>960.0</v>
      </c>
      <c r="B3839" s="5" t="s">
        <v>5416</v>
      </c>
      <c r="C3839" s="5" t="s">
        <v>5419</v>
      </c>
      <c r="D3839" s="5" t="s">
        <v>6635</v>
      </c>
      <c r="E3839" s="8">
        <f>vlookup(B3839,Filmes_final!$B$2:$U$1001,20,FALSE)</f>
        <v>22952923</v>
      </c>
      <c r="F3839" s="5">
        <f>vlookup(B3839,Filmes_final!$B$2:$U$1001,3,FALSE)</f>
        <v>1998</v>
      </c>
      <c r="G3839" s="5" t="str">
        <f>vlookup(B3839,Filmes_final!$B$2:$U$1001,13,FALSE)</f>
        <v>Alex Proyas</v>
      </c>
    </row>
    <row r="3840">
      <c r="A3840" s="5">
        <v>960.0</v>
      </c>
      <c r="B3840" s="5" t="s">
        <v>5416</v>
      </c>
      <c r="C3840" s="5" t="s">
        <v>742</v>
      </c>
      <c r="D3840" s="5" t="s">
        <v>6636</v>
      </c>
      <c r="E3840" s="8">
        <f>vlookup(B3840,Filmes_final!$B$2:$U$1001,20,FALSE)</f>
        <v>22952923</v>
      </c>
      <c r="F3840" s="5">
        <f>vlookup(B3840,Filmes_final!$B$2:$U$1001,3,FALSE)</f>
        <v>1998</v>
      </c>
      <c r="G3840" s="5" t="str">
        <f>vlookup(B3840,Filmes_final!$B$2:$U$1001,13,FALSE)</f>
        <v>Alex Proyas</v>
      </c>
    </row>
    <row r="3841">
      <c r="A3841" s="5">
        <v>960.0</v>
      </c>
      <c r="B3841" s="5" t="s">
        <v>5416</v>
      </c>
      <c r="C3841" s="5" t="s">
        <v>5420</v>
      </c>
      <c r="D3841" s="5" t="s">
        <v>6637</v>
      </c>
      <c r="E3841" s="8">
        <f>vlookup(B3841,Filmes_final!$B$2:$U$1001,20,FALSE)</f>
        <v>22952923</v>
      </c>
      <c r="F3841" s="5">
        <f>vlookup(B3841,Filmes_final!$B$2:$U$1001,3,FALSE)</f>
        <v>1998</v>
      </c>
      <c r="G3841" s="5" t="str">
        <f>vlookup(B3841,Filmes_final!$B$2:$U$1001,13,FALSE)</f>
        <v>Alex Proyas</v>
      </c>
    </row>
    <row r="3842">
      <c r="A3842" s="5">
        <v>961.0</v>
      </c>
      <c r="B3842" s="5" t="s">
        <v>5421</v>
      </c>
      <c r="C3842" s="5" t="s">
        <v>49</v>
      </c>
      <c r="D3842" s="5" t="s">
        <v>6634</v>
      </c>
      <c r="E3842" s="8">
        <f>vlookup(B3842,Filmes_final!$B$2:$U$1001,20,FALSE)</f>
        <v>82036115</v>
      </c>
      <c r="F3842" s="5">
        <f>vlookup(B3842,Filmes_final!$B$2:$U$1001,3,FALSE)</f>
        <v>1996</v>
      </c>
      <c r="G3842" s="5" t="str">
        <f>vlookup(B3842,Filmes_final!$B$2:$U$1001,13,FALSE)</f>
        <v>Barry Levinson</v>
      </c>
    </row>
    <row r="3843">
      <c r="A3843" s="5">
        <v>961.0</v>
      </c>
      <c r="B3843" s="5" t="s">
        <v>5421</v>
      </c>
      <c r="C3843" s="5" t="s">
        <v>3171</v>
      </c>
      <c r="D3843" s="5" t="s">
        <v>6635</v>
      </c>
      <c r="E3843" s="8">
        <f>vlookup(B3843,Filmes_final!$B$2:$U$1001,20,FALSE)</f>
        <v>82036115</v>
      </c>
      <c r="F3843" s="5">
        <f>vlookup(B3843,Filmes_final!$B$2:$U$1001,3,FALSE)</f>
        <v>1996</v>
      </c>
      <c r="G3843" s="5" t="str">
        <f>vlookup(B3843,Filmes_final!$B$2:$U$1001,13,FALSE)</f>
        <v>Barry Levinson</v>
      </c>
    </row>
    <row r="3844">
      <c r="A3844" s="5">
        <v>961.0</v>
      </c>
      <c r="B3844" s="5" t="s">
        <v>5421</v>
      </c>
      <c r="C3844" s="5" t="s">
        <v>98</v>
      </c>
      <c r="D3844" s="5" t="s">
        <v>6636</v>
      </c>
      <c r="E3844" s="8">
        <f>vlookup(B3844,Filmes_final!$B$2:$U$1001,20,FALSE)</f>
        <v>82036115</v>
      </c>
      <c r="F3844" s="5">
        <f>vlookup(B3844,Filmes_final!$B$2:$U$1001,3,FALSE)</f>
        <v>1996</v>
      </c>
      <c r="G3844" s="5" t="str">
        <f>vlookup(B3844,Filmes_final!$B$2:$U$1001,13,FALSE)</f>
        <v>Barry Levinson</v>
      </c>
    </row>
    <row r="3845">
      <c r="A3845" s="5">
        <v>961.0</v>
      </c>
      <c r="B3845" s="5" t="s">
        <v>5421</v>
      </c>
      <c r="C3845" s="5" t="s">
        <v>5423</v>
      </c>
      <c r="D3845" s="5" t="s">
        <v>6637</v>
      </c>
      <c r="E3845" s="8">
        <f>vlookup(B3845,Filmes_final!$B$2:$U$1001,20,FALSE)</f>
        <v>82036115</v>
      </c>
      <c r="F3845" s="5">
        <f>vlookup(B3845,Filmes_final!$B$2:$U$1001,3,FALSE)</f>
        <v>1996</v>
      </c>
      <c r="G3845" s="5" t="str">
        <f>vlookup(B3845,Filmes_final!$B$2:$U$1001,13,FALSE)</f>
        <v>Barry Levinson</v>
      </c>
    </row>
    <row r="3846">
      <c r="A3846" s="5">
        <v>962.0</v>
      </c>
      <c r="B3846" s="5" t="s">
        <v>5424</v>
      </c>
      <c r="C3846" s="5" t="s">
        <v>5049</v>
      </c>
      <c r="D3846" s="5" t="s">
        <v>6634</v>
      </c>
      <c r="E3846" s="8">
        <f>vlookup(B3846,Filmes_final!$B$2:$U$1001,20,FALSE)</f>
        <v>6156117</v>
      </c>
      <c r="F3846" s="5">
        <f>vlookup(B3846,Filmes_final!$B$2:$U$1001,3,FALSE)</f>
        <v>1997</v>
      </c>
      <c r="G3846" s="5" t="str">
        <f>vlookup(B3846,Filmes_final!$B$2:$U$1001,13,FALSE)</f>
        <v>David Lynch</v>
      </c>
    </row>
    <row r="3847">
      <c r="A3847" s="5">
        <v>962.0</v>
      </c>
      <c r="B3847" s="5" t="s">
        <v>5424</v>
      </c>
      <c r="C3847" s="5" t="s">
        <v>3089</v>
      </c>
      <c r="D3847" s="5" t="s">
        <v>6635</v>
      </c>
      <c r="E3847" s="8">
        <f>vlookup(B3847,Filmes_final!$B$2:$U$1001,20,FALSE)</f>
        <v>6156117</v>
      </c>
      <c r="F3847" s="5">
        <f>vlookup(B3847,Filmes_final!$B$2:$U$1001,3,FALSE)</f>
        <v>1997</v>
      </c>
      <c r="G3847" s="5" t="str">
        <f>vlookup(B3847,Filmes_final!$B$2:$U$1001,13,FALSE)</f>
        <v>David Lynch</v>
      </c>
    </row>
    <row r="3848">
      <c r="A3848" s="5">
        <v>962.0</v>
      </c>
      <c r="B3848" s="5" t="s">
        <v>5424</v>
      </c>
      <c r="C3848" s="5" t="s">
        <v>5426</v>
      </c>
      <c r="D3848" s="5" t="s">
        <v>6636</v>
      </c>
      <c r="E3848" s="8">
        <f>vlookup(B3848,Filmes_final!$B$2:$U$1001,20,FALSE)</f>
        <v>6156117</v>
      </c>
      <c r="F3848" s="5">
        <f>vlookup(B3848,Filmes_final!$B$2:$U$1001,3,FALSE)</f>
        <v>1997</v>
      </c>
      <c r="G3848" s="5" t="str">
        <f>vlookup(B3848,Filmes_final!$B$2:$U$1001,13,FALSE)</f>
        <v>David Lynch</v>
      </c>
    </row>
    <row r="3849">
      <c r="A3849" s="5">
        <v>962.0</v>
      </c>
      <c r="B3849" s="5" t="s">
        <v>5424</v>
      </c>
      <c r="C3849" s="5" t="s">
        <v>5427</v>
      </c>
      <c r="D3849" s="5" t="s">
        <v>6637</v>
      </c>
      <c r="E3849" s="8">
        <f>vlookup(B3849,Filmes_final!$B$2:$U$1001,20,FALSE)</f>
        <v>6156117</v>
      </c>
      <c r="F3849" s="5">
        <f>vlookup(B3849,Filmes_final!$B$2:$U$1001,3,FALSE)</f>
        <v>1997</v>
      </c>
      <c r="G3849" s="5" t="str">
        <f>vlookup(B3849,Filmes_final!$B$2:$U$1001,13,FALSE)</f>
        <v>David Lynch</v>
      </c>
    </row>
    <row r="3850">
      <c r="A3850" s="5">
        <v>963.0</v>
      </c>
      <c r="B3850" s="5" t="s">
        <v>5428</v>
      </c>
      <c r="C3850" s="5" t="s">
        <v>3994</v>
      </c>
      <c r="D3850" s="5" t="s">
        <v>6634</v>
      </c>
      <c r="E3850" s="8">
        <f>vlookup(B3850,Filmes_final!$B$2:$U$1001,20,FALSE)</f>
        <v>74117791</v>
      </c>
      <c r="F3850" s="5">
        <f>vlookup(B3850,Filmes_final!$B$2:$U$1001,3,FALSE)</f>
        <v>1995</v>
      </c>
      <c r="G3850" s="5" t="str">
        <f>vlookup(B3850,Filmes_final!$B$2:$U$1001,13,FALSE)</f>
        <v>Ang Lee</v>
      </c>
    </row>
    <row r="3851">
      <c r="A3851" s="5">
        <v>963.0</v>
      </c>
      <c r="B3851" s="5" t="s">
        <v>5428</v>
      </c>
      <c r="C3851" s="5" t="s">
        <v>719</v>
      </c>
      <c r="D3851" s="5" t="s">
        <v>6635</v>
      </c>
      <c r="E3851" s="8">
        <f>vlookup(B3851,Filmes_final!$B$2:$U$1001,20,FALSE)</f>
        <v>74117791</v>
      </c>
      <c r="F3851" s="5">
        <f>vlookup(B3851,Filmes_final!$B$2:$U$1001,3,FALSE)</f>
        <v>1995</v>
      </c>
      <c r="G3851" s="5" t="str">
        <f>vlookup(B3851,Filmes_final!$B$2:$U$1001,13,FALSE)</f>
        <v>Ang Lee</v>
      </c>
    </row>
    <row r="3852">
      <c r="A3852" s="5">
        <v>963.0</v>
      </c>
      <c r="B3852" s="5" t="s">
        <v>5428</v>
      </c>
      <c r="C3852" s="5" t="s">
        <v>5430</v>
      </c>
      <c r="D3852" s="5" t="s">
        <v>6636</v>
      </c>
      <c r="E3852" s="8">
        <f>vlookup(B3852,Filmes_final!$B$2:$U$1001,20,FALSE)</f>
        <v>74117791</v>
      </c>
      <c r="F3852" s="5">
        <f>vlookup(B3852,Filmes_final!$B$2:$U$1001,3,FALSE)</f>
        <v>1995</v>
      </c>
      <c r="G3852" s="5" t="str">
        <f>vlookup(B3852,Filmes_final!$B$2:$U$1001,13,FALSE)</f>
        <v>Ang Lee</v>
      </c>
    </row>
    <row r="3853">
      <c r="A3853" s="5">
        <v>963.0</v>
      </c>
      <c r="B3853" s="5" t="s">
        <v>5428</v>
      </c>
      <c r="C3853" s="5" t="s">
        <v>720</v>
      </c>
      <c r="D3853" s="5" t="s">
        <v>6637</v>
      </c>
      <c r="E3853" s="8">
        <f>vlookup(B3853,Filmes_final!$B$2:$U$1001,20,FALSE)</f>
        <v>74117791</v>
      </c>
      <c r="F3853" s="5">
        <f>vlookup(B3853,Filmes_final!$B$2:$U$1001,3,FALSE)</f>
        <v>1995</v>
      </c>
      <c r="G3853" s="5" t="str">
        <f>vlookup(B3853,Filmes_final!$B$2:$U$1001,13,FALSE)</f>
        <v>Ang Lee</v>
      </c>
    </row>
    <row r="3854">
      <c r="A3854" s="5">
        <v>964.0</v>
      </c>
      <c r="B3854" s="5" t="s">
        <v>5431</v>
      </c>
      <c r="C3854" s="5" t="s">
        <v>76</v>
      </c>
      <c r="D3854" s="5" t="s">
        <v>6634</v>
      </c>
      <c r="E3854" s="8">
        <f>vlookup(B3854,Filmes_final!$B$2:$U$1001,20,FALSE)</f>
        <v>171658845</v>
      </c>
      <c r="F3854" s="5">
        <f>vlookup(B3854,Filmes_final!$B$2:$U$1001,3,FALSE)</f>
        <v>1995</v>
      </c>
      <c r="G3854" s="5" t="str">
        <f>vlookup(B3854,Filmes_final!$B$2:$U$1001,13,FALSE)</f>
        <v>John McTiernan</v>
      </c>
    </row>
    <row r="3855">
      <c r="A3855" s="5">
        <v>964.0</v>
      </c>
      <c r="B3855" s="5" t="s">
        <v>5431</v>
      </c>
      <c r="C3855" s="5" t="s">
        <v>357</v>
      </c>
      <c r="D3855" s="5" t="s">
        <v>6635</v>
      </c>
      <c r="E3855" s="8">
        <f>vlookup(B3855,Filmes_final!$B$2:$U$1001,20,FALSE)</f>
        <v>171658845</v>
      </c>
      <c r="F3855" s="5">
        <f>vlookup(B3855,Filmes_final!$B$2:$U$1001,3,FALSE)</f>
        <v>1995</v>
      </c>
      <c r="G3855" s="5" t="str">
        <f>vlookup(B3855,Filmes_final!$B$2:$U$1001,13,FALSE)</f>
        <v>John McTiernan</v>
      </c>
    </row>
    <row r="3856">
      <c r="A3856" s="5">
        <v>964.0</v>
      </c>
      <c r="B3856" s="5" t="s">
        <v>5431</v>
      </c>
      <c r="C3856" s="5" t="s">
        <v>75</v>
      </c>
      <c r="D3856" s="5" t="s">
        <v>6636</v>
      </c>
      <c r="E3856" s="8">
        <f>vlookup(B3856,Filmes_final!$B$2:$U$1001,20,FALSE)</f>
        <v>171658845</v>
      </c>
      <c r="F3856" s="5">
        <f>vlookup(B3856,Filmes_final!$B$2:$U$1001,3,FALSE)</f>
        <v>1995</v>
      </c>
      <c r="G3856" s="5" t="str">
        <f>vlookup(B3856,Filmes_final!$B$2:$U$1001,13,FALSE)</f>
        <v>John McTiernan</v>
      </c>
    </row>
    <row r="3857">
      <c r="A3857" s="5">
        <v>964.0</v>
      </c>
      <c r="B3857" s="5" t="s">
        <v>5431</v>
      </c>
      <c r="C3857" s="5" t="s">
        <v>2607</v>
      </c>
      <c r="D3857" s="5" t="s">
        <v>6637</v>
      </c>
      <c r="E3857" s="8">
        <f>vlookup(B3857,Filmes_final!$B$2:$U$1001,20,FALSE)</f>
        <v>171658845</v>
      </c>
      <c r="F3857" s="5">
        <f>vlookup(B3857,Filmes_final!$B$2:$U$1001,3,FALSE)</f>
        <v>1995</v>
      </c>
      <c r="G3857" s="5" t="str">
        <f>vlookup(B3857,Filmes_final!$B$2:$U$1001,13,FALSE)</f>
        <v>John McTiernan</v>
      </c>
    </row>
    <row r="3858">
      <c r="A3858" s="5">
        <v>965.0</v>
      </c>
      <c r="B3858" s="5" t="s">
        <v>5433</v>
      </c>
      <c r="C3858" s="5" t="s">
        <v>2451</v>
      </c>
      <c r="D3858" s="5" t="s">
        <v>6634</v>
      </c>
      <c r="E3858" s="8">
        <f>vlookup(B3858,Filmes_final!$B$2:$U$1001,20,FALSE)</f>
        <v>1781334</v>
      </c>
      <c r="F3858" s="5">
        <f>vlookup(B3858,Filmes_final!$B$2:$U$1001,3,FALSE)</f>
        <v>1995</v>
      </c>
      <c r="G3858" s="5" t="str">
        <f>vlookup(B3858,Filmes_final!$B$2:$U$1001,13,FALSE)</f>
        <v>Jim Jarmusch</v>
      </c>
    </row>
    <row r="3859">
      <c r="A3859" s="5">
        <v>965.0</v>
      </c>
      <c r="B3859" s="5" t="s">
        <v>5433</v>
      </c>
      <c r="C3859" s="5" t="s">
        <v>5435</v>
      </c>
      <c r="D3859" s="5" t="s">
        <v>6635</v>
      </c>
      <c r="E3859" s="8">
        <f>vlookup(B3859,Filmes_final!$B$2:$U$1001,20,FALSE)</f>
        <v>1781334</v>
      </c>
      <c r="F3859" s="5">
        <f>vlookup(B3859,Filmes_final!$B$2:$U$1001,3,FALSE)</f>
        <v>1995</v>
      </c>
      <c r="G3859" s="5" t="str">
        <f>vlookup(B3859,Filmes_final!$B$2:$U$1001,13,FALSE)</f>
        <v>Jim Jarmusch</v>
      </c>
    </row>
    <row r="3860">
      <c r="A3860" s="5">
        <v>965.0</v>
      </c>
      <c r="B3860" s="5" t="s">
        <v>5433</v>
      </c>
      <c r="C3860" s="5" t="s">
        <v>388</v>
      </c>
      <c r="D3860" s="5" t="s">
        <v>6636</v>
      </c>
      <c r="E3860" s="8">
        <f>vlookup(B3860,Filmes_final!$B$2:$U$1001,20,FALSE)</f>
        <v>1781334</v>
      </c>
      <c r="F3860" s="5">
        <f>vlookup(B3860,Filmes_final!$B$2:$U$1001,3,FALSE)</f>
        <v>1995</v>
      </c>
      <c r="G3860" s="5" t="str">
        <f>vlookup(B3860,Filmes_final!$B$2:$U$1001,13,FALSE)</f>
        <v>Jim Jarmusch</v>
      </c>
    </row>
    <row r="3861">
      <c r="A3861" s="5">
        <v>965.0</v>
      </c>
      <c r="B3861" s="5" t="s">
        <v>5433</v>
      </c>
      <c r="C3861" s="5" t="s">
        <v>5436</v>
      </c>
      <c r="D3861" s="5" t="s">
        <v>6637</v>
      </c>
      <c r="E3861" s="8">
        <f>vlookup(B3861,Filmes_final!$B$2:$U$1001,20,FALSE)</f>
        <v>1781334</v>
      </c>
      <c r="F3861" s="5">
        <f>vlookup(B3861,Filmes_final!$B$2:$U$1001,3,FALSE)</f>
        <v>1995</v>
      </c>
      <c r="G3861" s="5" t="str">
        <f>vlookup(B3861,Filmes_final!$B$2:$U$1001,13,FALSE)</f>
        <v>Jim Jarmusch</v>
      </c>
    </row>
    <row r="3862">
      <c r="A3862" s="5">
        <v>966.0</v>
      </c>
      <c r="B3862" s="5" t="s">
        <v>5437</v>
      </c>
      <c r="C3862" s="5" t="s">
        <v>119</v>
      </c>
      <c r="D3862" s="5" t="s">
        <v>6634</v>
      </c>
      <c r="E3862" s="8">
        <f>vlookup(B3862,Filmes_final!$B$2:$U$1001,20,FALSE)</f>
        <v>122749256</v>
      </c>
      <c r="F3862" s="5">
        <f>vlookup(B3862,Filmes_final!$B$2:$U$1001,3,FALSE)</f>
        <v>1995</v>
      </c>
      <c r="G3862" s="5" t="str">
        <f>vlookup(B3862,Filmes_final!$B$2:$U$1001,13,FALSE)</f>
        <v>Clint Eastwood</v>
      </c>
    </row>
    <row r="3863">
      <c r="A3863" s="5">
        <v>966.0</v>
      </c>
      <c r="B3863" s="5" t="s">
        <v>5437</v>
      </c>
      <c r="C3863" s="5" t="s">
        <v>3136</v>
      </c>
      <c r="D3863" s="5" t="s">
        <v>6635</v>
      </c>
      <c r="E3863" s="8">
        <f>vlookup(B3863,Filmes_final!$B$2:$U$1001,20,FALSE)</f>
        <v>122749256</v>
      </c>
      <c r="F3863" s="5">
        <f>vlookup(B3863,Filmes_final!$B$2:$U$1001,3,FALSE)</f>
        <v>1995</v>
      </c>
      <c r="G3863" s="5" t="str">
        <f>vlookup(B3863,Filmes_final!$B$2:$U$1001,13,FALSE)</f>
        <v>Clint Eastwood</v>
      </c>
    </row>
    <row r="3864">
      <c r="A3864" s="5">
        <v>966.0</v>
      </c>
      <c r="B3864" s="5" t="s">
        <v>5437</v>
      </c>
      <c r="C3864" s="5" t="s">
        <v>5439</v>
      </c>
      <c r="D3864" s="5" t="s">
        <v>6636</v>
      </c>
      <c r="E3864" s="8">
        <f>vlookup(B3864,Filmes_final!$B$2:$U$1001,20,FALSE)</f>
        <v>122749256</v>
      </c>
      <c r="F3864" s="5">
        <f>vlookup(B3864,Filmes_final!$B$2:$U$1001,3,FALSE)</f>
        <v>1995</v>
      </c>
      <c r="G3864" s="5" t="str">
        <f>vlookup(B3864,Filmes_final!$B$2:$U$1001,13,FALSE)</f>
        <v>Clint Eastwood</v>
      </c>
    </row>
    <row r="3865">
      <c r="A3865" s="5">
        <v>966.0</v>
      </c>
      <c r="B3865" s="5" t="s">
        <v>5437</v>
      </c>
      <c r="C3865" s="5" t="s">
        <v>5440</v>
      </c>
      <c r="D3865" s="5" t="s">
        <v>6637</v>
      </c>
      <c r="E3865" s="8">
        <f>vlookup(B3865,Filmes_final!$B$2:$U$1001,20,FALSE)</f>
        <v>122749256</v>
      </c>
      <c r="F3865" s="5">
        <f>vlookup(B3865,Filmes_final!$B$2:$U$1001,3,FALSE)</f>
        <v>1995</v>
      </c>
      <c r="G3865" s="5" t="str">
        <f>vlookup(B3865,Filmes_final!$B$2:$U$1001,13,FALSE)</f>
        <v>Clint Eastwood</v>
      </c>
    </row>
    <row r="3866">
      <c r="A3866" s="5">
        <v>967.0</v>
      </c>
      <c r="B3866" s="5" t="s">
        <v>5441</v>
      </c>
      <c r="C3866" s="5" t="s">
        <v>110</v>
      </c>
      <c r="D3866" s="5" t="s">
        <v>6634</v>
      </c>
      <c r="E3866" s="8">
        <f>vlookup(B3866,Filmes_final!$B$2:$U$1001,20,FALSE)</f>
        <v>1186379508</v>
      </c>
      <c r="F3866" s="5">
        <f>vlookup(B3866,Filmes_final!$B$2:$U$1001,3,FALSE)</f>
        <v>1970</v>
      </c>
      <c r="G3866" s="5" t="str">
        <f>vlookup(B3866,Filmes_final!$B$2:$U$1001,13,FALSE)</f>
        <v>Ron Howard</v>
      </c>
    </row>
    <row r="3867">
      <c r="A3867" s="5">
        <v>967.0</v>
      </c>
      <c r="B3867" s="5" t="s">
        <v>5441</v>
      </c>
      <c r="C3867" s="5" t="s">
        <v>3001</v>
      </c>
      <c r="D3867" s="5" t="s">
        <v>6635</v>
      </c>
      <c r="E3867" s="8">
        <f>vlookup(B3867,Filmes_final!$B$2:$U$1001,20,FALSE)</f>
        <v>1186379508</v>
      </c>
      <c r="F3867" s="5">
        <f>vlookup(B3867,Filmes_final!$B$2:$U$1001,3,FALSE)</f>
        <v>1970</v>
      </c>
      <c r="G3867" s="5" t="str">
        <f>vlookup(B3867,Filmes_final!$B$2:$U$1001,13,FALSE)</f>
        <v>Ron Howard</v>
      </c>
    </row>
    <row r="3868">
      <c r="A3868" s="5">
        <v>967.0</v>
      </c>
      <c r="B3868" s="5" t="s">
        <v>5441</v>
      </c>
      <c r="C3868" s="5" t="s">
        <v>3171</v>
      </c>
      <c r="D3868" s="5" t="s">
        <v>6636</v>
      </c>
      <c r="E3868" s="8">
        <f>vlookup(B3868,Filmes_final!$B$2:$U$1001,20,FALSE)</f>
        <v>1186379508</v>
      </c>
      <c r="F3868" s="5">
        <f>vlookup(B3868,Filmes_final!$B$2:$U$1001,3,FALSE)</f>
        <v>1970</v>
      </c>
      <c r="G3868" s="5" t="str">
        <f>vlookup(B3868,Filmes_final!$B$2:$U$1001,13,FALSE)</f>
        <v>Ron Howard</v>
      </c>
    </row>
    <row r="3869">
      <c r="A3869" s="5">
        <v>967.0</v>
      </c>
      <c r="B3869" s="5" t="s">
        <v>5441</v>
      </c>
      <c r="C3869" s="5" t="s">
        <v>112</v>
      </c>
      <c r="D3869" s="5" t="s">
        <v>6637</v>
      </c>
      <c r="E3869" s="8">
        <f>vlookup(B3869,Filmes_final!$B$2:$U$1001,20,FALSE)</f>
        <v>1186379508</v>
      </c>
      <c r="F3869" s="5">
        <f>vlookup(B3869,Filmes_final!$B$2:$U$1001,3,FALSE)</f>
        <v>1970</v>
      </c>
      <c r="G3869" s="5" t="str">
        <f>vlookup(B3869,Filmes_final!$B$2:$U$1001,13,FALSE)</f>
        <v>Ron Howard</v>
      </c>
    </row>
    <row r="3870">
      <c r="A3870" s="5">
        <v>968.0</v>
      </c>
      <c r="B3870" s="5" t="s">
        <v>5443</v>
      </c>
      <c r="C3870" s="5" t="s">
        <v>3255</v>
      </c>
      <c r="D3870" s="5" t="s">
        <v>6634</v>
      </c>
      <c r="E3870" s="8">
        <f>vlookup(B3870,Filmes_final!$B$2:$U$1001,20,FALSE)</f>
        <v>2584342</v>
      </c>
      <c r="F3870" s="5">
        <f>vlookup(B3870,Filmes_final!$B$2:$U$1001,3,FALSE)</f>
        <v>1994</v>
      </c>
      <c r="G3870" s="5" t="str">
        <f>vlookup(B3870,Filmes_final!$B$2:$U$1001,13,FALSE)</f>
        <v>Krzysztof Kieslowski</v>
      </c>
    </row>
    <row r="3871">
      <c r="A3871" s="5">
        <v>968.0</v>
      </c>
      <c r="B3871" s="5" t="s">
        <v>5443</v>
      </c>
      <c r="C3871" s="5" t="s">
        <v>1643</v>
      </c>
      <c r="D3871" s="5" t="s">
        <v>6635</v>
      </c>
      <c r="E3871" s="8">
        <f>vlookup(B3871,Filmes_final!$B$2:$U$1001,20,FALSE)</f>
        <v>2584342</v>
      </c>
      <c r="F3871" s="5">
        <f>vlookup(B3871,Filmes_final!$B$2:$U$1001,3,FALSE)</f>
        <v>1994</v>
      </c>
      <c r="G3871" s="5" t="str">
        <f>vlookup(B3871,Filmes_final!$B$2:$U$1001,13,FALSE)</f>
        <v>Krzysztof Kieslowski</v>
      </c>
    </row>
    <row r="3872">
      <c r="A3872" s="5">
        <v>968.0</v>
      </c>
      <c r="B3872" s="5" t="s">
        <v>5443</v>
      </c>
      <c r="C3872" s="5" t="s">
        <v>5445</v>
      </c>
      <c r="D3872" s="5" t="s">
        <v>6636</v>
      </c>
      <c r="E3872" s="8">
        <f>vlookup(B3872,Filmes_final!$B$2:$U$1001,20,FALSE)</f>
        <v>2584342</v>
      </c>
      <c r="F3872" s="5">
        <f>vlookup(B3872,Filmes_final!$B$2:$U$1001,3,FALSE)</f>
        <v>1994</v>
      </c>
      <c r="G3872" s="5" t="str">
        <f>vlookup(B3872,Filmes_final!$B$2:$U$1001,13,FALSE)</f>
        <v>Krzysztof Kieslowski</v>
      </c>
    </row>
    <row r="3873">
      <c r="A3873" s="5">
        <v>968.0</v>
      </c>
      <c r="B3873" s="5" t="s">
        <v>5443</v>
      </c>
      <c r="C3873" s="5" t="s">
        <v>5446</v>
      </c>
      <c r="D3873" s="5" t="s">
        <v>6637</v>
      </c>
      <c r="E3873" s="8">
        <f>vlookup(B3873,Filmes_final!$B$2:$U$1001,20,FALSE)</f>
        <v>2584342</v>
      </c>
      <c r="F3873" s="5">
        <f>vlookup(B3873,Filmes_final!$B$2:$U$1001,3,FALSE)</f>
        <v>1994</v>
      </c>
      <c r="G3873" s="5" t="str">
        <f>vlookup(B3873,Filmes_final!$B$2:$U$1001,13,FALSE)</f>
        <v>Krzysztof Kieslowski</v>
      </c>
    </row>
    <row r="3874">
      <c r="A3874" s="5">
        <v>969.0</v>
      </c>
      <c r="B3874" s="5" t="s">
        <v>5447</v>
      </c>
      <c r="C3874" s="5" t="s">
        <v>3966</v>
      </c>
      <c r="D3874" s="5" t="s">
        <v>6634</v>
      </c>
      <c r="E3874" s="8">
        <f>vlookup(B3874,Filmes_final!$B$2:$U$1001,20,FALSE)</f>
        <v>73996780</v>
      </c>
      <c r="F3874" s="5">
        <f>vlookup(B3874,Filmes_final!$B$2:$U$1001,3,FALSE)</f>
        <v>1993</v>
      </c>
      <c r="G3874" s="5" t="str">
        <f>vlookup(B3874,Filmes_final!$B$2:$U$1001,13,FALSE)</f>
        <v>Joel Schumacher</v>
      </c>
    </row>
    <row r="3875">
      <c r="A3875" s="5">
        <v>969.0</v>
      </c>
      <c r="B3875" s="5" t="s">
        <v>5447</v>
      </c>
      <c r="C3875" s="5" t="s">
        <v>50</v>
      </c>
      <c r="D3875" s="5" t="s">
        <v>6635</v>
      </c>
      <c r="E3875" s="8">
        <f>vlookup(B3875,Filmes_final!$B$2:$U$1001,20,FALSE)</f>
        <v>73996780</v>
      </c>
      <c r="F3875" s="5">
        <f>vlookup(B3875,Filmes_final!$B$2:$U$1001,3,FALSE)</f>
        <v>1993</v>
      </c>
      <c r="G3875" s="5" t="str">
        <f>vlookup(B3875,Filmes_final!$B$2:$U$1001,13,FALSE)</f>
        <v>Joel Schumacher</v>
      </c>
    </row>
    <row r="3876">
      <c r="A3876" s="5">
        <v>969.0</v>
      </c>
      <c r="B3876" s="5" t="s">
        <v>5447</v>
      </c>
      <c r="C3876" s="5" t="s">
        <v>3286</v>
      </c>
      <c r="D3876" s="5" t="s">
        <v>6636</v>
      </c>
      <c r="E3876" s="8">
        <f>vlookup(B3876,Filmes_final!$B$2:$U$1001,20,FALSE)</f>
        <v>73996780</v>
      </c>
      <c r="F3876" s="5">
        <f>vlookup(B3876,Filmes_final!$B$2:$U$1001,3,FALSE)</f>
        <v>1993</v>
      </c>
      <c r="G3876" s="5" t="str">
        <f>vlookup(B3876,Filmes_final!$B$2:$U$1001,13,FALSE)</f>
        <v>Joel Schumacher</v>
      </c>
    </row>
    <row r="3877">
      <c r="A3877" s="5">
        <v>969.0</v>
      </c>
      <c r="B3877" s="5" t="s">
        <v>5447</v>
      </c>
      <c r="C3877" s="5" t="s">
        <v>5450</v>
      </c>
      <c r="D3877" s="5" t="s">
        <v>6637</v>
      </c>
      <c r="E3877" s="8">
        <f>vlookup(B3877,Filmes_final!$B$2:$U$1001,20,FALSE)</f>
        <v>73996780</v>
      </c>
      <c r="F3877" s="5">
        <f>vlookup(B3877,Filmes_final!$B$2:$U$1001,3,FALSE)</f>
        <v>1993</v>
      </c>
      <c r="G3877" s="5" t="str">
        <f>vlookup(B3877,Filmes_final!$B$2:$U$1001,13,FALSE)</f>
        <v>Joel Schumacher</v>
      </c>
    </row>
    <row r="3878">
      <c r="A3878" s="5">
        <v>970.0</v>
      </c>
      <c r="B3878" s="5" t="s">
        <v>5451</v>
      </c>
      <c r="C3878" s="5" t="s">
        <v>5453</v>
      </c>
      <c r="D3878" s="5" t="s">
        <v>6634</v>
      </c>
      <c r="E3878" s="8">
        <f>vlookup(B3878,Filmes_final!$B$2:$U$1001,20,FALSE)</f>
        <v>14459834</v>
      </c>
      <c r="F3878" s="5">
        <f>vlookup(B3878,Filmes_final!$B$2:$U$1001,3,FALSE)</f>
        <v>1993</v>
      </c>
      <c r="G3878" s="5" t="str">
        <f>vlookup(B3878,Filmes_final!$B$2:$U$1001,13,FALSE)</f>
        <v>Richard Linklater</v>
      </c>
    </row>
    <row r="3879">
      <c r="A3879" s="5">
        <v>970.0</v>
      </c>
      <c r="B3879" s="5" t="s">
        <v>5451</v>
      </c>
      <c r="C3879" s="5" t="s">
        <v>3903</v>
      </c>
      <c r="D3879" s="5" t="s">
        <v>6635</v>
      </c>
      <c r="E3879" s="8">
        <f>vlookup(B3879,Filmes_final!$B$2:$U$1001,20,FALSE)</f>
        <v>14459834</v>
      </c>
      <c r="F3879" s="5">
        <f>vlookup(B3879,Filmes_final!$B$2:$U$1001,3,FALSE)</f>
        <v>1993</v>
      </c>
      <c r="G3879" s="5" t="str">
        <f>vlookup(B3879,Filmes_final!$B$2:$U$1001,13,FALSE)</f>
        <v>Richard Linklater</v>
      </c>
    </row>
    <row r="3880">
      <c r="A3880" s="5">
        <v>970.0</v>
      </c>
      <c r="B3880" s="5" t="s">
        <v>5451</v>
      </c>
      <c r="C3880" s="5" t="s">
        <v>190</v>
      </c>
      <c r="D3880" s="5" t="s">
        <v>6636</v>
      </c>
      <c r="E3880" s="8">
        <f>vlookup(B3880,Filmes_final!$B$2:$U$1001,20,FALSE)</f>
        <v>14459834</v>
      </c>
      <c r="F3880" s="5">
        <f>vlookup(B3880,Filmes_final!$B$2:$U$1001,3,FALSE)</f>
        <v>1993</v>
      </c>
      <c r="G3880" s="5" t="str">
        <f>vlookup(B3880,Filmes_final!$B$2:$U$1001,13,FALSE)</f>
        <v>Richard Linklater</v>
      </c>
    </row>
    <row r="3881">
      <c r="A3881" s="5">
        <v>970.0</v>
      </c>
      <c r="B3881" s="5" t="s">
        <v>5451</v>
      </c>
      <c r="C3881" s="5" t="s">
        <v>5454</v>
      </c>
      <c r="D3881" s="5" t="s">
        <v>6637</v>
      </c>
      <c r="E3881" s="8">
        <f>vlookup(B3881,Filmes_final!$B$2:$U$1001,20,FALSE)</f>
        <v>14459834</v>
      </c>
      <c r="F3881" s="5">
        <f>vlookup(B3881,Filmes_final!$B$2:$U$1001,3,FALSE)</f>
        <v>1993</v>
      </c>
      <c r="G3881" s="5" t="str">
        <f>vlookup(B3881,Filmes_final!$B$2:$U$1001,13,FALSE)</f>
        <v>Richard Linklater</v>
      </c>
    </row>
    <row r="3882">
      <c r="A3882" s="5">
        <v>971.0</v>
      </c>
      <c r="B3882" s="5" t="s">
        <v>5455</v>
      </c>
      <c r="C3882" s="5" t="s">
        <v>141</v>
      </c>
      <c r="D3882" s="5" t="s">
        <v>6634</v>
      </c>
      <c r="E3882" s="8">
        <f>vlookup(B3882,Filmes_final!$B$2:$U$1001,20,FALSE)</f>
        <v>98871763</v>
      </c>
      <c r="F3882" s="5">
        <f>vlookup(B3882,Filmes_final!$B$2:$U$1001,3,FALSE)</f>
        <v>1992</v>
      </c>
      <c r="G3882" s="5" t="str">
        <f>vlookup(B3882,Filmes_final!$B$2:$U$1001,13,FALSE)</f>
        <v>Jonathan Lynn</v>
      </c>
    </row>
    <row r="3883">
      <c r="A3883" s="5">
        <v>971.0</v>
      </c>
      <c r="B3883" s="5" t="s">
        <v>5455</v>
      </c>
      <c r="C3883" s="5" t="s">
        <v>3077</v>
      </c>
      <c r="D3883" s="5" t="s">
        <v>6635</v>
      </c>
      <c r="E3883" s="8">
        <f>vlookup(B3883,Filmes_final!$B$2:$U$1001,20,FALSE)</f>
        <v>98871763</v>
      </c>
      <c r="F3883" s="5">
        <f>vlookup(B3883,Filmes_final!$B$2:$U$1001,3,FALSE)</f>
        <v>1992</v>
      </c>
      <c r="G3883" s="5" t="str">
        <f>vlookup(B3883,Filmes_final!$B$2:$U$1001,13,FALSE)</f>
        <v>Jonathan Lynn</v>
      </c>
    </row>
    <row r="3884">
      <c r="A3884" s="5">
        <v>971.0</v>
      </c>
      <c r="B3884" s="5" t="s">
        <v>5455</v>
      </c>
      <c r="C3884" s="5" t="s">
        <v>5458</v>
      </c>
      <c r="D3884" s="5" t="s">
        <v>6636</v>
      </c>
      <c r="E3884" s="8">
        <f>vlookup(B3884,Filmes_final!$B$2:$U$1001,20,FALSE)</f>
        <v>98871763</v>
      </c>
      <c r="F3884" s="5">
        <f>vlookup(B3884,Filmes_final!$B$2:$U$1001,3,FALSE)</f>
        <v>1992</v>
      </c>
      <c r="G3884" s="5" t="str">
        <f>vlookup(B3884,Filmes_final!$B$2:$U$1001,13,FALSE)</f>
        <v>Jonathan Lynn</v>
      </c>
    </row>
    <row r="3885">
      <c r="A3885" s="5">
        <v>971.0</v>
      </c>
      <c r="B3885" s="5" t="s">
        <v>5455</v>
      </c>
      <c r="C3885" s="5" t="s">
        <v>5459</v>
      </c>
      <c r="D3885" s="5" t="s">
        <v>6637</v>
      </c>
      <c r="E3885" s="8">
        <f>vlookup(B3885,Filmes_final!$B$2:$U$1001,20,FALSE)</f>
        <v>98871763</v>
      </c>
      <c r="F3885" s="5">
        <f>vlookup(B3885,Filmes_final!$B$2:$U$1001,3,FALSE)</f>
        <v>1992</v>
      </c>
      <c r="G3885" s="5" t="str">
        <f>vlookup(B3885,Filmes_final!$B$2:$U$1001,13,FALSE)</f>
        <v>Jonathan Lynn</v>
      </c>
    </row>
    <row r="3886">
      <c r="A3886" s="5">
        <v>972.0</v>
      </c>
      <c r="B3886" s="5" t="s">
        <v>5460</v>
      </c>
      <c r="C3886" s="5" t="s">
        <v>5463</v>
      </c>
      <c r="D3886" s="5" t="s">
        <v>6634</v>
      </c>
      <c r="E3886" s="8">
        <f>vlookup(B3886,Filmes_final!$B$2:$U$1001,20,FALSE)</f>
        <v>868674</v>
      </c>
      <c r="F3886" s="5">
        <f>vlookup(B3886,Filmes_final!$B$2:$U$1001,3,FALSE)</f>
        <v>1991</v>
      </c>
      <c r="G3886" s="5" t="str">
        <f>vlookup(B3886,Filmes_final!$B$2:$U$1001,13,FALSE)</f>
        <v>Isao Takahata</v>
      </c>
    </row>
    <row r="3887">
      <c r="A3887" s="5">
        <v>972.0</v>
      </c>
      <c r="B3887" s="5" t="s">
        <v>5460</v>
      </c>
      <c r="C3887" s="5" t="s">
        <v>5464</v>
      </c>
      <c r="D3887" s="5" t="s">
        <v>6635</v>
      </c>
      <c r="E3887" s="8">
        <f>vlookup(B3887,Filmes_final!$B$2:$U$1001,20,FALSE)</f>
        <v>868674</v>
      </c>
      <c r="F3887" s="5">
        <f>vlookup(B3887,Filmes_final!$B$2:$U$1001,3,FALSE)</f>
        <v>1991</v>
      </c>
      <c r="G3887" s="5" t="str">
        <f>vlookup(B3887,Filmes_final!$B$2:$U$1001,13,FALSE)</f>
        <v>Isao Takahata</v>
      </c>
    </row>
    <row r="3888">
      <c r="A3888" s="5">
        <v>972.0</v>
      </c>
      <c r="B3888" s="5" t="s">
        <v>5460</v>
      </c>
      <c r="C3888" s="5" t="s">
        <v>3235</v>
      </c>
      <c r="D3888" s="5" t="s">
        <v>6636</v>
      </c>
      <c r="E3888" s="8">
        <f>vlookup(B3888,Filmes_final!$B$2:$U$1001,20,FALSE)</f>
        <v>868674</v>
      </c>
      <c r="F3888" s="5">
        <f>vlookup(B3888,Filmes_final!$B$2:$U$1001,3,FALSE)</f>
        <v>1991</v>
      </c>
      <c r="G3888" s="5" t="str">
        <f>vlookup(B3888,Filmes_final!$B$2:$U$1001,13,FALSE)</f>
        <v>Isao Takahata</v>
      </c>
    </row>
    <row r="3889">
      <c r="A3889" s="5">
        <v>972.0</v>
      </c>
      <c r="B3889" s="5" t="s">
        <v>5460</v>
      </c>
      <c r="C3889" s="5" t="s">
        <v>5465</v>
      </c>
      <c r="D3889" s="5" t="s">
        <v>6637</v>
      </c>
      <c r="E3889" s="8">
        <f>vlookup(B3889,Filmes_final!$B$2:$U$1001,20,FALSE)</f>
        <v>868674</v>
      </c>
      <c r="F3889" s="5">
        <f>vlookup(B3889,Filmes_final!$B$2:$U$1001,3,FALSE)</f>
        <v>1991</v>
      </c>
      <c r="G3889" s="5" t="str">
        <f>vlookup(B3889,Filmes_final!$B$2:$U$1001,13,FALSE)</f>
        <v>Isao Takahata</v>
      </c>
    </row>
    <row r="3890">
      <c r="A3890" s="5">
        <v>973.0</v>
      </c>
      <c r="B3890" s="5" t="s">
        <v>5466</v>
      </c>
      <c r="C3890" s="5" t="s">
        <v>725</v>
      </c>
      <c r="D3890" s="5" t="s">
        <v>6634</v>
      </c>
      <c r="E3890" s="8">
        <f>vlookup(B3890,Filmes_final!$B$2:$U$1001,20,FALSE)</f>
        <v>3438694</v>
      </c>
      <c r="F3890" s="5">
        <f>vlookup(B3890,Filmes_final!$B$2:$U$1001,3,FALSE)</f>
        <v>1991</v>
      </c>
      <c r="G3890" s="5" t="str">
        <f>vlookup(B3890,Filmes_final!$B$2:$U$1001,13,FALSE)</f>
        <v>Marc Caro</v>
      </c>
    </row>
    <row r="3891">
      <c r="A3891" s="5">
        <v>973.0</v>
      </c>
      <c r="B3891" s="5" t="s">
        <v>5466</v>
      </c>
      <c r="C3891" s="5" t="s">
        <v>5469</v>
      </c>
      <c r="D3891" s="5" t="s">
        <v>6635</v>
      </c>
      <c r="E3891" s="8">
        <f>vlookup(B3891,Filmes_final!$B$2:$U$1001,20,FALSE)</f>
        <v>3438694</v>
      </c>
      <c r="F3891" s="5">
        <f>vlookup(B3891,Filmes_final!$B$2:$U$1001,3,FALSE)</f>
        <v>1991</v>
      </c>
      <c r="G3891" s="5" t="str">
        <f>vlookup(B3891,Filmes_final!$B$2:$U$1001,13,FALSE)</f>
        <v>Marc Caro</v>
      </c>
    </row>
    <row r="3892">
      <c r="A3892" s="5">
        <v>973.0</v>
      </c>
      <c r="B3892" s="5" t="s">
        <v>5466</v>
      </c>
      <c r="C3892" s="5" t="s">
        <v>5321</v>
      </c>
      <c r="D3892" s="5" t="s">
        <v>6636</v>
      </c>
      <c r="E3892" s="8">
        <f>vlookup(B3892,Filmes_final!$B$2:$U$1001,20,FALSE)</f>
        <v>3438694</v>
      </c>
      <c r="F3892" s="5">
        <f>vlookup(B3892,Filmes_final!$B$2:$U$1001,3,FALSE)</f>
        <v>1991</v>
      </c>
      <c r="G3892" s="5" t="str">
        <f>vlookup(B3892,Filmes_final!$B$2:$U$1001,13,FALSE)</f>
        <v>Marc Caro</v>
      </c>
    </row>
    <row r="3893">
      <c r="A3893" s="5">
        <v>973.0</v>
      </c>
      <c r="B3893" s="5" t="s">
        <v>5466</v>
      </c>
      <c r="C3893" s="5" t="s">
        <v>5470</v>
      </c>
      <c r="D3893" s="5" t="s">
        <v>6637</v>
      </c>
      <c r="E3893" s="8">
        <f>vlookup(B3893,Filmes_final!$B$2:$U$1001,20,FALSE)</f>
        <v>3438694</v>
      </c>
      <c r="F3893" s="5">
        <f>vlookup(B3893,Filmes_final!$B$2:$U$1001,3,FALSE)</f>
        <v>1991</v>
      </c>
      <c r="G3893" s="5" t="str">
        <f>vlookup(B3893,Filmes_final!$B$2:$U$1001,13,FALSE)</f>
        <v>Marc Caro</v>
      </c>
    </row>
    <row r="3894">
      <c r="A3894" s="5">
        <v>974.0</v>
      </c>
      <c r="B3894" s="5" t="s">
        <v>5471</v>
      </c>
      <c r="C3894" s="5" t="s">
        <v>5473</v>
      </c>
      <c r="D3894" s="5" t="s">
        <v>6634</v>
      </c>
      <c r="E3894" s="8">
        <f>vlookup(B3894,Filmes_final!$B$2:$U$1001,20,FALSE)</f>
        <v>578635115</v>
      </c>
      <c r="F3894" s="5">
        <f>vlookup(B3894,Filmes_final!$B$2:$U$1001,3,FALSE)</f>
        <v>1990</v>
      </c>
      <c r="G3894" s="5" t="str">
        <f>vlookup(B3894,Filmes_final!$B$2:$U$1001,13,FALSE)</f>
        <v>Chris Columbus</v>
      </c>
    </row>
    <row r="3895">
      <c r="A3895" s="5">
        <v>974.0</v>
      </c>
      <c r="B3895" s="5" t="s">
        <v>5471</v>
      </c>
      <c r="C3895" s="5" t="s">
        <v>141</v>
      </c>
      <c r="D3895" s="5" t="s">
        <v>6635</v>
      </c>
      <c r="E3895" s="8">
        <f>vlookup(B3895,Filmes_final!$B$2:$U$1001,20,FALSE)</f>
        <v>578635115</v>
      </c>
      <c r="F3895" s="5">
        <f>vlookup(B3895,Filmes_final!$B$2:$U$1001,3,FALSE)</f>
        <v>1990</v>
      </c>
      <c r="G3895" s="5" t="str">
        <f>vlookup(B3895,Filmes_final!$B$2:$U$1001,13,FALSE)</f>
        <v>Chris Columbus</v>
      </c>
    </row>
    <row r="3896">
      <c r="A3896" s="5">
        <v>974.0</v>
      </c>
      <c r="B3896" s="5" t="s">
        <v>5471</v>
      </c>
      <c r="C3896" s="5" t="s">
        <v>5474</v>
      </c>
      <c r="D3896" s="5" t="s">
        <v>6636</v>
      </c>
      <c r="E3896" s="8">
        <f>vlookup(B3896,Filmes_final!$B$2:$U$1001,20,FALSE)</f>
        <v>578635115</v>
      </c>
      <c r="F3896" s="5">
        <f>vlookup(B3896,Filmes_final!$B$2:$U$1001,3,FALSE)</f>
        <v>1990</v>
      </c>
      <c r="G3896" s="5" t="str">
        <f>vlookup(B3896,Filmes_final!$B$2:$U$1001,13,FALSE)</f>
        <v>Chris Columbus</v>
      </c>
    </row>
    <row r="3897">
      <c r="A3897" s="5">
        <v>974.0</v>
      </c>
      <c r="B3897" s="5" t="s">
        <v>5471</v>
      </c>
      <c r="C3897" s="5" t="s">
        <v>5475</v>
      </c>
      <c r="D3897" s="5" t="s">
        <v>6637</v>
      </c>
      <c r="E3897" s="8">
        <f>vlookup(B3897,Filmes_final!$B$2:$U$1001,20,FALSE)</f>
        <v>578635115</v>
      </c>
      <c r="F3897" s="5">
        <f>vlookup(B3897,Filmes_final!$B$2:$U$1001,3,FALSE)</f>
        <v>1990</v>
      </c>
      <c r="G3897" s="5" t="str">
        <f>vlookup(B3897,Filmes_final!$B$2:$U$1001,13,FALSE)</f>
        <v>Chris Columbus</v>
      </c>
    </row>
    <row r="3898">
      <c r="A3898" s="5">
        <v>975.0</v>
      </c>
      <c r="B3898" s="5" t="s">
        <v>5476</v>
      </c>
      <c r="C3898" s="5" t="s">
        <v>33</v>
      </c>
      <c r="D3898" s="5" t="s">
        <v>6634</v>
      </c>
      <c r="E3898" s="8">
        <f>vlookup(B3898,Filmes_final!$B$2:$U$1001,20,FALSE)</f>
        <v>134991450</v>
      </c>
      <c r="F3898" s="5">
        <f>vlookup(B3898,Filmes_final!$B$2:$U$1001,3,FALSE)</f>
        <v>1990</v>
      </c>
      <c r="G3898" s="5" t="str">
        <f>vlookup(B3898,Filmes_final!$B$2:$U$1001,13,FALSE)</f>
        <v>Francis Ford Coppola</v>
      </c>
    </row>
    <row r="3899">
      <c r="A3899" s="5">
        <v>975.0</v>
      </c>
      <c r="B3899" s="5" t="s">
        <v>5476</v>
      </c>
      <c r="C3899" s="5" t="s">
        <v>35</v>
      </c>
      <c r="D3899" s="5" t="s">
        <v>6635</v>
      </c>
      <c r="E3899" s="8">
        <f>vlookup(B3899,Filmes_final!$B$2:$U$1001,20,FALSE)</f>
        <v>134991450</v>
      </c>
      <c r="F3899" s="5">
        <f>vlookup(B3899,Filmes_final!$B$2:$U$1001,3,FALSE)</f>
        <v>1990</v>
      </c>
      <c r="G3899" s="5" t="str">
        <f>vlookup(B3899,Filmes_final!$B$2:$U$1001,13,FALSE)</f>
        <v>Francis Ford Coppola</v>
      </c>
    </row>
    <row r="3900">
      <c r="A3900" s="5">
        <v>975.0</v>
      </c>
      <c r="B3900" s="5" t="s">
        <v>5476</v>
      </c>
      <c r="C3900" s="5" t="s">
        <v>5478</v>
      </c>
      <c r="D3900" s="5" t="s">
        <v>6636</v>
      </c>
      <c r="E3900" s="8">
        <f>vlookup(B3900,Filmes_final!$B$2:$U$1001,20,FALSE)</f>
        <v>134991450</v>
      </c>
      <c r="F3900" s="5">
        <f>vlookup(B3900,Filmes_final!$B$2:$U$1001,3,FALSE)</f>
        <v>1990</v>
      </c>
      <c r="G3900" s="5" t="str">
        <f>vlookup(B3900,Filmes_final!$B$2:$U$1001,13,FALSE)</f>
        <v>Francis Ford Coppola</v>
      </c>
    </row>
    <row r="3901">
      <c r="A3901" s="5">
        <v>975.0</v>
      </c>
      <c r="B3901" s="5" t="s">
        <v>5476</v>
      </c>
      <c r="C3901" s="5" t="s">
        <v>1894</v>
      </c>
      <c r="D3901" s="5" t="s">
        <v>6637</v>
      </c>
      <c r="E3901" s="8">
        <f>vlookup(B3901,Filmes_final!$B$2:$U$1001,20,FALSE)</f>
        <v>134991450</v>
      </c>
      <c r="F3901" s="5">
        <f>vlookup(B3901,Filmes_final!$B$2:$U$1001,3,FALSE)</f>
        <v>1990</v>
      </c>
      <c r="G3901" s="5" t="str">
        <f>vlookup(B3901,Filmes_final!$B$2:$U$1001,13,FALSE)</f>
        <v>Francis Ford Coppola</v>
      </c>
    </row>
    <row r="3902">
      <c r="A3902" s="5">
        <v>976.0</v>
      </c>
      <c r="B3902" s="5" t="s">
        <v>5479</v>
      </c>
      <c r="C3902" s="5" t="s">
        <v>1684</v>
      </c>
      <c r="D3902" s="5" t="s">
        <v>6634</v>
      </c>
      <c r="E3902" s="8">
        <f>vlookup(B3902,Filmes_final!$B$2:$U$1001,20,FALSE)</f>
        <v>197735730</v>
      </c>
      <c r="F3902" s="5">
        <f>vlookup(B3902,Filmes_final!$B$2:$U$1001,3,FALSE)</f>
        <v>1989</v>
      </c>
      <c r="G3902" s="5" t="str">
        <f>vlookup(B3902,Filmes_final!$B$2:$U$1001,13,FALSE)</f>
        <v>Rob Reiner</v>
      </c>
    </row>
    <row r="3903">
      <c r="A3903" s="5">
        <v>976.0</v>
      </c>
      <c r="B3903" s="5" t="s">
        <v>5479</v>
      </c>
      <c r="C3903" s="5" t="s">
        <v>5481</v>
      </c>
      <c r="D3903" s="5" t="s">
        <v>6635</v>
      </c>
      <c r="E3903" s="8">
        <f>vlookup(B3903,Filmes_final!$B$2:$U$1001,20,FALSE)</f>
        <v>197735730</v>
      </c>
      <c r="F3903" s="5">
        <f>vlookup(B3903,Filmes_final!$B$2:$U$1001,3,FALSE)</f>
        <v>1989</v>
      </c>
      <c r="G3903" s="5" t="str">
        <f>vlookup(B3903,Filmes_final!$B$2:$U$1001,13,FALSE)</f>
        <v>Rob Reiner</v>
      </c>
    </row>
    <row r="3904">
      <c r="A3904" s="5">
        <v>976.0</v>
      </c>
      <c r="B3904" s="5" t="s">
        <v>5479</v>
      </c>
      <c r="C3904" s="5" t="s">
        <v>150</v>
      </c>
      <c r="D3904" s="5" t="s">
        <v>6636</v>
      </c>
      <c r="E3904" s="8">
        <f>vlookup(B3904,Filmes_final!$B$2:$U$1001,20,FALSE)</f>
        <v>197735730</v>
      </c>
      <c r="F3904" s="5">
        <f>vlookup(B3904,Filmes_final!$B$2:$U$1001,3,FALSE)</f>
        <v>1989</v>
      </c>
      <c r="G3904" s="5" t="str">
        <f>vlookup(B3904,Filmes_final!$B$2:$U$1001,13,FALSE)</f>
        <v>Rob Reiner</v>
      </c>
    </row>
    <row r="3905">
      <c r="A3905" s="5">
        <v>976.0</v>
      </c>
      <c r="B3905" s="5" t="s">
        <v>5479</v>
      </c>
      <c r="C3905" s="5" t="s">
        <v>4723</v>
      </c>
      <c r="D3905" s="5" t="s">
        <v>6637</v>
      </c>
      <c r="E3905" s="8">
        <f>vlookup(B3905,Filmes_final!$B$2:$U$1001,20,FALSE)</f>
        <v>197735730</v>
      </c>
      <c r="F3905" s="5">
        <f>vlookup(B3905,Filmes_final!$B$2:$U$1001,3,FALSE)</f>
        <v>1989</v>
      </c>
      <c r="G3905" s="5" t="str">
        <f>vlookup(B3905,Filmes_final!$B$2:$U$1001,13,FALSE)</f>
        <v>Rob Reiner</v>
      </c>
    </row>
    <row r="3906">
      <c r="A3906" s="5">
        <v>977.0</v>
      </c>
      <c r="B3906" s="5" t="s">
        <v>5482</v>
      </c>
      <c r="C3906" s="5" t="s">
        <v>2589</v>
      </c>
      <c r="D3906" s="5" t="s">
        <v>6634</v>
      </c>
      <c r="E3906" s="8">
        <f>vlookup(B3906,Filmes_final!$B$2:$U$1001,20,FALSE)</f>
        <v>237613400</v>
      </c>
      <c r="F3906" s="5">
        <f>vlookup(B3906,Filmes_final!$B$2:$U$1001,3,FALSE)</f>
        <v>1989</v>
      </c>
      <c r="G3906" s="5" t="str">
        <f>vlookup(B3906,Filmes_final!$B$2:$U$1001,13,FALSE)</f>
        <v>Ron Clements</v>
      </c>
    </row>
    <row r="3907">
      <c r="A3907" s="5">
        <v>977.0</v>
      </c>
      <c r="B3907" s="5" t="s">
        <v>5482</v>
      </c>
      <c r="C3907" s="5" t="s">
        <v>5484</v>
      </c>
      <c r="D3907" s="5" t="s">
        <v>6635</v>
      </c>
      <c r="E3907" s="8">
        <f>vlookup(B3907,Filmes_final!$B$2:$U$1001,20,FALSE)</f>
        <v>237613400</v>
      </c>
      <c r="F3907" s="5">
        <f>vlookup(B3907,Filmes_final!$B$2:$U$1001,3,FALSE)</f>
        <v>1989</v>
      </c>
      <c r="G3907" s="5" t="str">
        <f>vlookup(B3907,Filmes_final!$B$2:$U$1001,13,FALSE)</f>
        <v>Ron Clements</v>
      </c>
    </row>
    <row r="3908">
      <c r="A3908" s="5">
        <v>977.0</v>
      </c>
      <c r="B3908" s="5" t="s">
        <v>5482</v>
      </c>
      <c r="C3908" s="5" t="s">
        <v>5485</v>
      </c>
      <c r="D3908" s="5" t="s">
        <v>6636</v>
      </c>
      <c r="E3908" s="8">
        <f>vlookup(B3908,Filmes_final!$B$2:$U$1001,20,FALSE)</f>
        <v>237613400</v>
      </c>
      <c r="F3908" s="5">
        <f>vlookup(B3908,Filmes_final!$B$2:$U$1001,3,FALSE)</f>
        <v>1989</v>
      </c>
      <c r="G3908" s="5" t="str">
        <f>vlookup(B3908,Filmes_final!$B$2:$U$1001,13,FALSE)</f>
        <v>Ron Clements</v>
      </c>
    </row>
    <row r="3909">
      <c r="A3909" s="5">
        <v>977.0</v>
      </c>
      <c r="B3909" s="5" t="s">
        <v>5482</v>
      </c>
      <c r="C3909" s="5" t="s">
        <v>5486</v>
      </c>
      <c r="D3909" s="5" t="s">
        <v>6637</v>
      </c>
      <c r="E3909" s="8">
        <f>vlookup(B3909,Filmes_final!$B$2:$U$1001,20,FALSE)</f>
        <v>237613400</v>
      </c>
      <c r="F3909" s="5">
        <f>vlookup(B3909,Filmes_final!$B$2:$U$1001,3,FALSE)</f>
        <v>1989</v>
      </c>
      <c r="G3909" s="5" t="str">
        <f>vlookup(B3909,Filmes_final!$B$2:$U$1001,13,FALSE)</f>
        <v>Ron Clements</v>
      </c>
    </row>
    <row r="3910">
      <c r="A3910" s="5">
        <v>978.0</v>
      </c>
      <c r="B3910" s="5" t="s">
        <v>5487</v>
      </c>
      <c r="C3910" s="5" t="s">
        <v>5489</v>
      </c>
      <c r="D3910" s="5" t="s">
        <v>6634</v>
      </c>
      <c r="E3910" s="8">
        <f>vlookup(B3910,Filmes_final!$B$2:$U$1001,20,FALSE)</f>
        <v>175599047</v>
      </c>
      <c r="F3910" s="5">
        <f>vlookup(B3910,Filmes_final!$B$2:$U$1001,3,FALSE)</f>
        <v>1988</v>
      </c>
      <c r="G3910" s="5" t="str">
        <f>vlookup(B3910,Filmes_final!$B$2:$U$1001,13,FALSE)</f>
        <v>David Zucker</v>
      </c>
    </row>
    <row r="3911">
      <c r="A3911" s="5">
        <v>978.0</v>
      </c>
      <c r="B3911" s="5" t="s">
        <v>5487</v>
      </c>
      <c r="C3911" s="5" t="s">
        <v>5490</v>
      </c>
      <c r="D3911" s="5" t="s">
        <v>6635</v>
      </c>
      <c r="E3911" s="8">
        <f>vlookup(B3911,Filmes_final!$B$2:$U$1001,20,FALSE)</f>
        <v>175599047</v>
      </c>
      <c r="F3911" s="5">
        <f>vlookup(B3911,Filmes_final!$B$2:$U$1001,3,FALSE)</f>
        <v>1988</v>
      </c>
      <c r="G3911" s="5" t="str">
        <f>vlookup(B3911,Filmes_final!$B$2:$U$1001,13,FALSE)</f>
        <v>David Zucker</v>
      </c>
    </row>
    <row r="3912">
      <c r="A3912" s="5">
        <v>978.0</v>
      </c>
      <c r="B3912" s="5" t="s">
        <v>5487</v>
      </c>
      <c r="C3912" s="5" t="s">
        <v>5491</v>
      </c>
      <c r="D3912" s="5" t="s">
        <v>6636</v>
      </c>
      <c r="E3912" s="8">
        <f>vlookup(B3912,Filmes_final!$B$2:$U$1001,20,FALSE)</f>
        <v>175599047</v>
      </c>
      <c r="F3912" s="5">
        <f>vlookup(B3912,Filmes_final!$B$2:$U$1001,3,FALSE)</f>
        <v>1988</v>
      </c>
      <c r="G3912" s="5" t="str">
        <f>vlookup(B3912,Filmes_final!$B$2:$U$1001,13,FALSE)</f>
        <v>David Zucker</v>
      </c>
    </row>
    <row r="3913">
      <c r="A3913" s="5">
        <v>978.0</v>
      </c>
      <c r="B3913" s="5" t="s">
        <v>5487</v>
      </c>
      <c r="C3913" s="5" t="s">
        <v>5492</v>
      </c>
      <c r="D3913" s="5" t="s">
        <v>6637</v>
      </c>
      <c r="E3913" s="8">
        <f>vlookup(B3913,Filmes_final!$B$2:$U$1001,20,FALSE)</f>
        <v>175599047</v>
      </c>
      <c r="F3913" s="5">
        <f>vlookup(B3913,Filmes_final!$B$2:$U$1001,3,FALSE)</f>
        <v>1988</v>
      </c>
      <c r="G3913" s="5" t="str">
        <f>vlookup(B3913,Filmes_final!$B$2:$U$1001,13,FALSE)</f>
        <v>David Zucker</v>
      </c>
    </row>
    <row r="3914">
      <c r="A3914" s="5">
        <v>979.0</v>
      </c>
      <c r="B3914" s="5" t="s">
        <v>5493</v>
      </c>
      <c r="C3914" s="5" t="s">
        <v>5495</v>
      </c>
      <c r="D3914" s="5" t="s">
        <v>6634</v>
      </c>
      <c r="E3914" s="8">
        <f>vlookup(B3914,Filmes_final!$B$2:$U$1001,20,FALSE)</f>
        <v>114904459</v>
      </c>
      <c r="F3914" s="5">
        <f>vlookup(B3914,Filmes_final!$B$2:$U$1001,3,FALSE)</f>
        <v>1987</v>
      </c>
      <c r="G3914" s="5" t="str">
        <f>vlookup(B3914,Filmes_final!$B$2:$U$1001,13,FALSE)</f>
        <v>John Hughes</v>
      </c>
    </row>
    <row r="3915">
      <c r="A3915" s="5">
        <v>979.0</v>
      </c>
      <c r="B3915" s="5" t="s">
        <v>5493</v>
      </c>
      <c r="C3915" s="5" t="s">
        <v>3313</v>
      </c>
      <c r="D3915" s="5" t="s">
        <v>6635</v>
      </c>
      <c r="E3915" s="8">
        <f>vlookup(B3915,Filmes_final!$B$2:$U$1001,20,FALSE)</f>
        <v>114904459</v>
      </c>
      <c r="F3915" s="5">
        <f>vlookup(B3915,Filmes_final!$B$2:$U$1001,3,FALSE)</f>
        <v>1987</v>
      </c>
      <c r="G3915" s="5" t="str">
        <f>vlookup(B3915,Filmes_final!$B$2:$U$1001,13,FALSE)</f>
        <v>John Hughes</v>
      </c>
    </row>
    <row r="3916">
      <c r="A3916" s="5">
        <v>979.0</v>
      </c>
      <c r="B3916" s="5" t="s">
        <v>5493</v>
      </c>
      <c r="C3916" s="5" t="s">
        <v>5496</v>
      </c>
      <c r="D3916" s="5" t="s">
        <v>6636</v>
      </c>
      <c r="E3916" s="8">
        <f>vlookup(B3916,Filmes_final!$B$2:$U$1001,20,FALSE)</f>
        <v>114904459</v>
      </c>
      <c r="F3916" s="5">
        <f>vlookup(B3916,Filmes_final!$B$2:$U$1001,3,FALSE)</f>
        <v>1987</v>
      </c>
      <c r="G3916" s="5" t="str">
        <f>vlookup(B3916,Filmes_final!$B$2:$U$1001,13,FALSE)</f>
        <v>John Hughes</v>
      </c>
    </row>
    <row r="3917">
      <c r="A3917" s="5">
        <v>979.0</v>
      </c>
      <c r="B3917" s="5" t="s">
        <v>5493</v>
      </c>
      <c r="C3917" s="5" t="s">
        <v>3296</v>
      </c>
      <c r="D3917" s="5" t="s">
        <v>6637</v>
      </c>
      <c r="E3917" s="8">
        <f>vlookup(B3917,Filmes_final!$B$2:$U$1001,20,FALSE)</f>
        <v>114904459</v>
      </c>
      <c r="F3917" s="5">
        <f>vlookup(B3917,Filmes_final!$B$2:$U$1001,3,FALSE)</f>
        <v>1987</v>
      </c>
      <c r="G3917" s="5" t="str">
        <f>vlookup(B3917,Filmes_final!$B$2:$U$1001,13,FALSE)</f>
        <v>John Hughes</v>
      </c>
    </row>
    <row r="3918">
      <c r="A3918" s="5">
        <v>980.0</v>
      </c>
      <c r="B3918" s="5" t="s">
        <v>5497</v>
      </c>
      <c r="C3918" s="5" t="s">
        <v>773</v>
      </c>
      <c r="D3918" s="5" t="s">
        <v>6634</v>
      </c>
      <c r="E3918" s="8">
        <f>vlookup(B3918,Filmes_final!$B$2:$U$1001,20,FALSE)</f>
        <v>151272911</v>
      </c>
      <c r="F3918" s="5">
        <f>vlookup(B3918,Filmes_final!$B$2:$U$1001,3,FALSE)</f>
        <v>1987</v>
      </c>
      <c r="G3918" s="5" t="str">
        <f>vlookup(B3918,Filmes_final!$B$2:$U$1001,13,FALSE)</f>
        <v>Richard Donner</v>
      </c>
    </row>
    <row r="3919">
      <c r="A3919" s="5">
        <v>980.0</v>
      </c>
      <c r="B3919" s="5" t="s">
        <v>5497</v>
      </c>
      <c r="C3919" s="5" t="s">
        <v>4094</v>
      </c>
      <c r="D3919" s="5" t="s">
        <v>6635</v>
      </c>
      <c r="E3919" s="8">
        <f>vlookup(B3919,Filmes_final!$B$2:$U$1001,20,FALSE)</f>
        <v>151272911</v>
      </c>
      <c r="F3919" s="5">
        <f>vlookup(B3919,Filmes_final!$B$2:$U$1001,3,FALSE)</f>
        <v>1987</v>
      </c>
      <c r="G3919" s="5" t="str">
        <f>vlookup(B3919,Filmes_final!$B$2:$U$1001,13,FALSE)</f>
        <v>Richard Donner</v>
      </c>
    </row>
    <row r="3920">
      <c r="A3920" s="5">
        <v>980.0</v>
      </c>
      <c r="B3920" s="5" t="s">
        <v>5497</v>
      </c>
      <c r="C3920" s="5" t="s">
        <v>5499</v>
      </c>
      <c r="D3920" s="5" t="s">
        <v>6636</v>
      </c>
      <c r="E3920" s="8">
        <f>vlookup(B3920,Filmes_final!$B$2:$U$1001,20,FALSE)</f>
        <v>151272911</v>
      </c>
      <c r="F3920" s="5">
        <f>vlookup(B3920,Filmes_final!$B$2:$U$1001,3,FALSE)</f>
        <v>1987</v>
      </c>
      <c r="G3920" s="5" t="str">
        <f>vlookup(B3920,Filmes_final!$B$2:$U$1001,13,FALSE)</f>
        <v>Richard Donner</v>
      </c>
    </row>
    <row r="3921">
      <c r="A3921" s="5">
        <v>980.0</v>
      </c>
      <c r="B3921" s="5" t="s">
        <v>5497</v>
      </c>
      <c r="C3921" s="5" t="s">
        <v>5500</v>
      </c>
      <c r="D3921" s="5" t="s">
        <v>6637</v>
      </c>
      <c r="E3921" s="8">
        <f>vlookup(B3921,Filmes_final!$B$2:$U$1001,20,FALSE)</f>
        <v>151272911</v>
      </c>
      <c r="F3921" s="5">
        <f>vlookup(B3921,Filmes_final!$B$2:$U$1001,3,FALSE)</f>
        <v>1987</v>
      </c>
      <c r="G3921" s="5" t="str">
        <f>vlookup(B3921,Filmes_final!$B$2:$U$1001,13,FALSE)</f>
        <v>Richard Donner</v>
      </c>
    </row>
    <row r="3922">
      <c r="A3922" s="5">
        <v>981.0</v>
      </c>
      <c r="B3922" s="5" t="s">
        <v>5501</v>
      </c>
      <c r="C3922" s="5" t="s">
        <v>1612</v>
      </c>
      <c r="D3922" s="5" t="s">
        <v>6634</v>
      </c>
      <c r="E3922" s="8">
        <f>vlookup(B3922,Filmes_final!$B$2:$U$1001,20,FALSE)</f>
        <v>5442960</v>
      </c>
      <c r="F3922" s="5">
        <f>vlookup(B3922,Filmes_final!$B$2:$U$1001,3,FALSE)</f>
        <v>1984</v>
      </c>
      <c r="G3922" s="5" t="str">
        <f>vlookup(B3922,Filmes_final!$B$2:$U$1001,13,FALSE)</f>
        <v>Joel Coen</v>
      </c>
    </row>
    <row r="3923">
      <c r="A3923" s="5">
        <v>981.0</v>
      </c>
      <c r="B3923" s="5" t="s">
        <v>5501</v>
      </c>
      <c r="C3923" s="5" t="s">
        <v>5503</v>
      </c>
      <c r="D3923" s="5" t="s">
        <v>6635</v>
      </c>
      <c r="E3923" s="8">
        <f>vlookup(B3923,Filmes_final!$B$2:$U$1001,20,FALSE)</f>
        <v>5442960</v>
      </c>
      <c r="F3923" s="5">
        <f>vlookup(B3923,Filmes_final!$B$2:$U$1001,3,FALSE)</f>
        <v>1984</v>
      </c>
      <c r="G3923" s="5" t="str">
        <f>vlookup(B3923,Filmes_final!$B$2:$U$1001,13,FALSE)</f>
        <v>Joel Coen</v>
      </c>
    </row>
    <row r="3924">
      <c r="A3924" s="5">
        <v>981.0</v>
      </c>
      <c r="B3924" s="5" t="s">
        <v>5501</v>
      </c>
      <c r="C3924" s="5" t="s">
        <v>972</v>
      </c>
      <c r="D3924" s="5" t="s">
        <v>6636</v>
      </c>
      <c r="E3924" s="8">
        <f>vlookup(B3924,Filmes_final!$B$2:$U$1001,20,FALSE)</f>
        <v>5442960</v>
      </c>
      <c r="F3924" s="5">
        <f>vlookup(B3924,Filmes_final!$B$2:$U$1001,3,FALSE)</f>
        <v>1984</v>
      </c>
      <c r="G3924" s="5" t="str">
        <f>vlookup(B3924,Filmes_final!$B$2:$U$1001,13,FALSE)</f>
        <v>Joel Coen</v>
      </c>
    </row>
    <row r="3925">
      <c r="A3925" s="5">
        <v>981.0</v>
      </c>
      <c r="B3925" s="5" t="s">
        <v>5501</v>
      </c>
      <c r="C3925" s="5" t="s">
        <v>5504</v>
      </c>
      <c r="D3925" s="5" t="s">
        <v>6637</v>
      </c>
      <c r="E3925" s="8">
        <f>vlookup(B3925,Filmes_final!$B$2:$U$1001,20,FALSE)</f>
        <v>5442960</v>
      </c>
      <c r="F3925" s="5">
        <f>vlookup(B3925,Filmes_final!$B$2:$U$1001,3,FALSE)</f>
        <v>1984</v>
      </c>
      <c r="G3925" s="5" t="str">
        <f>vlookup(B3925,Filmes_final!$B$2:$U$1001,13,FALSE)</f>
        <v>Joel Coen</v>
      </c>
    </row>
    <row r="3926">
      <c r="A3926" s="5">
        <v>982.0</v>
      </c>
      <c r="B3926" s="5" t="s">
        <v>5505</v>
      </c>
      <c r="C3926" s="5" t="s">
        <v>3385</v>
      </c>
      <c r="D3926" s="5" t="s">
        <v>6634</v>
      </c>
      <c r="E3926" s="8">
        <f>vlookup(B3926,Filmes_final!$B$2:$U$1001,20,FALSE)</f>
        <v>353703244</v>
      </c>
      <c r="F3926" s="5">
        <f>vlookup(B3926,Filmes_final!$B$2:$U$1001,3,FALSE)</f>
        <v>1981</v>
      </c>
      <c r="G3926" s="5" t="str">
        <f>vlookup(B3926,Filmes_final!$B$2:$U$1001,13,FALSE)</f>
        <v>Mark Rydell</v>
      </c>
    </row>
    <row r="3927">
      <c r="A3927" s="5">
        <v>982.0</v>
      </c>
      <c r="B3927" s="5" t="s">
        <v>5505</v>
      </c>
      <c r="C3927" s="5" t="s">
        <v>56</v>
      </c>
      <c r="D3927" s="5" t="s">
        <v>6635</v>
      </c>
      <c r="E3927" s="8">
        <f>vlookup(B3927,Filmes_final!$B$2:$U$1001,20,FALSE)</f>
        <v>353703244</v>
      </c>
      <c r="F3927" s="5">
        <f>vlookup(B3927,Filmes_final!$B$2:$U$1001,3,FALSE)</f>
        <v>1981</v>
      </c>
      <c r="G3927" s="5" t="str">
        <f>vlookup(B3927,Filmes_final!$B$2:$U$1001,13,FALSE)</f>
        <v>Mark Rydell</v>
      </c>
    </row>
    <row r="3928">
      <c r="A3928" s="5">
        <v>982.0</v>
      </c>
      <c r="B3928" s="5" t="s">
        <v>5505</v>
      </c>
      <c r="C3928" s="5" t="s">
        <v>5508</v>
      </c>
      <c r="D3928" s="5" t="s">
        <v>6636</v>
      </c>
      <c r="E3928" s="8">
        <f>vlookup(B3928,Filmes_final!$B$2:$U$1001,20,FALSE)</f>
        <v>353703244</v>
      </c>
      <c r="F3928" s="5">
        <f>vlookup(B3928,Filmes_final!$B$2:$U$1001,3,FALSE)</f>
        <v>1981</v>
      </c>
      <c r="G3928" s="5" t="str">
        <f>vlookup(B3928,Filmes_final!$B$2:$U$1001,13,FALSE)</f>
        <v>Mark Rydell</v>
      </c>
    </row>
    <row r="3929">
      <c r="A3929" s="5">
        <v>982.0</v>
      </c>
      <c r="B3929" s="5" t="s">
        <v>5505</v>
      </c>
      <c r="C3929" s="5" t="s">
        <v>5509</v>
      </c>
      <c r="D3929" s="5" t="s">
        <v>6637</v>
      </c>
      <c r="E3929" s="8">
        <f>vlookup(B3929,Filmes_final!$B$2:$U$1001,20,FALSE)</f>
        <v>353703244</v>
      </c>
      <c r="F3929" s="5">
        <f>vlookup(B3929,Filmes_final!$B$2:$U$1001,3,FALSE)</f>
        <v>1981</v>
      </c>
      <c r="G3929" s="5" t="str">
        <f>vlookup(B3929,Filmes_final!$B$2:$U$1001,13,FALSE)</f>
        <v>Mark Rydell</v>
      </c>
    </row>
    <row r="3930">
      <c r="A3930" s="5">
        <v>983.0</v>
      </c>
      <c r="B3930" s="5" t="s">
        <v>5510</v>
      </c>
      <c r="C3930" s="5" t="s">
        <v>773</v>
      </c>
      <c r="D3930" s="5" t="s">
        <v>6634</v>
      </c>
      <c r="E3930" s="8">
        <f>vlookup(B3930,Filmes_final!$B$2:$U$1001,20,FALSE)</f>
        <v>36962118</v>
      </c>
      <c r="F3930" s="5">
        <f>vlookup(B3930,Filmes_final!$B$2:$U$1001,3,FALSE)</f>
        <v>1981</v>
      </c>
      <c r="G3930" s="5" t="str">
        <f>vlookup(B3930,Filmes_final!$B$2:$U$1001,13,FALSE)</f>
        <v>George Miller</v>
      </c>
    </row>
    <row r="3931">
      <c r="A3931" s="5">
        <v>983.0</v>
      </c>
      <c r="B3931" s="5" t="s">
        <v>5510</v>
      </c>
      <c r="C3931" s="5" t="s">
        <v>5512</v>
      </c>
      <c r="D3931" s="5" t="s">
        <v>6635</v>
      </c>
      <c r="E3931" s="8">
        <f>vlookup(B3931,Filmes_final!$B$2:$U$1001,20,FALSE)</f>
        <v>36962118</v>
      </c>
      <c r="F3931" s="5">
        <f>vlookup(B3931,Filmes_final!$B$2:$U$1001,3,FALSE)</f>
        <v>1981</v>
      </c>
      <c r="G3931" s="5" t="str">
        <f>vlookup(B3931,Filmes_final!$B$2:$U$1001,13,FALSE)</f>
        <v>George Miller</v>
      </c>
    </row>
    <row r="3932">
      <c r="A3932" s="5">
        <v>983.0</v>
      </c>
      <c r="B3932" s="5" t="s">
        <v>5510</v>
      </c>
      <c r="C3932" s="5" t="s">
        <v>5513</v>
      </c>
      <c r="D3932" s="5" t="s">
        <v>6636</v>
      </c>
      <c r="E3932" s="8">
        <f>vlookup(B3932,Filmes_final!$B$2:$U$1001,20,FALSE)</f>
        <v>36962118</v>
      </c>
      <c r="F3932" s="5">
        <f>vlookup(B3932,Filmes_final!$B$2:$U$1001,3,FALSE)</f>
        <v>1981</v>
      </c>
      <c r="G3932" s="5" t="str">
        <f>vlookup(B3932,Filmes_final!$B$2:$U$1001,13,FALSE)</f>
        <v>George Miller</v>
      </c>
    </row>
    <row r="3933">
      <c r="A3933" s="5">
        <v>983.0</v>
      </c>
      <c r="B3933" s="5" t="s">
        <v>5510</v>
      </c>
      <c r="C3933" s="5" t="s">
        <v>5514</v>
      </c>
      <c r="D3933" s="5" t="s">
        <v>6637</v>
      </c>
      <c r="E3933" s="8">
        <f>vlookup(B3933,Filmes_final!$B$2:$U$1001,20,FALSE)</f>
        <v>36962118</v>
      </c>
      <c r="F3933" s="5">
        <f>vlookup(B3933,Filmes_final!$B$2:$U$1001,3,FALSE)</f>
        <v>1981</v>
      </c>
      <c r="G3933" s="5" t="str">
        <f>vlookup(B3933,Filmes_final!$B$2:$U$1001,13,FALSE)</f>
        <v>George Miller</v>
      </c>
    </row>
    <row r="3934">
      <c r="A3934" s="5">
        <v>984.0</v>
      </c>
      <c r="B3934" s="5" t="s">
        <v>5515</v>
      </c>
      <c r="C3934" s="5" t="s">
        <v>5518</v>
      </c>
      <c r="D3934" s="5" t="s">
        <v>6634</v>
      </c>
      <c r="E3934" s="8">
        <f>vlookup(B3934,Filmes_final!$B$2:$U$1001,20,FALSE)</f>
        <v>84945503</v>
      </c>
      <c r="F3934" s="5">
        <f>vlookup(B3934,Filmes_final!$B$2:$U$1001,3,FALSE)</f>
        <v>1979</v>
      </c>
      <c r="G3934" s="5" t="str">
        <f>vlookup(B3934,Filmes_final!$B$2:$U$1001,13,FALSE)</f>
        <v>Walter Hill</v>
      </c>
    </row>
    <row r="3935">
      <c r="A3935" s="5">
        <v>984.0</v>
      </c>
      <c r="B3935" s="5" t="s">
        <v>5515</v>
      </c>
      <c r="C3935" s="5" t="s">
        <v>5519</v>
      </c>
      <c r="D3935" s="5" t="s">
        <v>6635</v>
      </c>
      <c r="E3935" s="8">
        <f>vlookup(B3935,Filmes_final!$B$2:$U$1001,20,FALSE)</f>
        <v>84945503</v>
      </c>
      <c r="F3935" s="5">
        <f>vlookup(B3935,Filmes_final!$B$2:$U$1001,3,FALSE)</f>
        <v>1979</v>
      </c>
      <c r="G3935" s="5" t="str">
        <f>vlookup(B3935,Filmes_final!$B$2:$U$1001,13,FALSE)</f>
        <v>Walter Hill</v>
      </c>
    </row>
    <row r="3936">
      <c r="A3936" s="5">
        <v>984.0</v>
      </c>
      <c r="B3936" s="5" t="s">
        <v>5515</v>
      </c>
      <c r="C3936" s="5" t="s">
        <v>5520</v>
      </c>
      <c r="D3936" s="5" t="s">
        <v>6636</v>
      </c>
      <c r="E3936" s="8">
        <f>vlookup(B3936,Filmes_final!$B$2:$U$1001,20,FALSE)</f>
        <v>84945503</v>
      </c>
      <c r="F3936" s="5">
        <f>vlookup(B3936,Filmes_final!$B$2:$U$1001,3,FALSE)</f>
        <v>1979</v>
      </c>
      <c r="G3936" s="5" t="str">
        <f>vlookup(B3936,Filmes_final!$B$2:$U$1001,13,FALSE)</f>
        <v>Walter Hill</v>
      </c>
    </row>
    <row r="3937">
      <c r="A3937" s="5">
        <v>984.0</v>
      </c>
      <c r="B3937" s="5" t="s">
        <v>5515</v>
      </c>
      <c r="C3937" s="5" t="s">
        <v>5521</v>
      </c>
      <c r="D3937" s="5" t="s">
        <v>6637</v>
      </c>
      <c r="E3937" s="8">
        <f>vlookup(B3937,Filmes_final!$B$2:$U$1001,20,FALSE)</f>
        <v>84945503</v>
      </c>
      <c r="F3937" s="5">
        <f>vlookup(B3937,Filmes_final!$B$2:$U$1001,3,FALSE)</f>
        <v>1979</v>
      </c>
      <c r="G3937" s="5" t="str">
        <f>vlookup(B3937,Filmes_final!$B$2:$U$1001,13,FALSE)</f>
        <v>Walter Hill</v>
      </c>
    </row>
    <row r="3938">
      <c r="A3938" s="5">
        <v>985.0</v>
      </c>
      <c r="B3938" s="5" t="s">
        <v>5522</v>
      </c>
      <c r="C3938" s="5" t="s">
        <v>5525</v>
      </c>
      <c r="D3938" s="5" t="s">
        <v>6634</v>
      </c>
      <c r="E3938" s="8">
        <f>vlookup(B3938,Filmes_final!$B$2:$U$1001,20,FALSE)</f>
        <v>289535622</v>
      </c>
      <c r="F3938" s="5">
        <f>vlookup(B3938,Filmes_final!$B$2:$U$1001,3,FALSE)</f>
        <v>1979</v>
      </c>
      <c r="G3938" s="5" t="str">
        <f>vlookup(B3938,Filmes_final!$B$2:$U$1001,13,FALSE)</f>
        <v>James Frawley</v>
      </c>
    </row>
    <row r="3939">
      <c r="A3939" s="5">
        <v>985.0</v>
      </c>
      <c r="B3939" s="5" t="s">
        <v>5522</v>
      </c>
      <c r="C3939" s="5" t="s">
        <v>5526</v>
      </c>
      <c r="D3939" s="5" t="s">
        <v>6635</v>
      </c>
      <c r="E3939" s="8">
        <f>vlookup(B3939,Filmes_final!$B$2:$U$1001,20,FALSE)</f>
        <v>289535622</v>
      </c>
      <c r="F3939" s="5">
        <f>vlookup(B3939,Filmes_final!$B$2:$U$1001,3,FALSE)</f>
        <v>1979</v>
      </c>
      <c r="G3939" s="5" t="str">
        <f>vlookup(B3939,Filmes_final!$B$2:$U$1001,13,FALSE)</f>
        <v>James Frawley</v>
      </c>
    </row>
    <row r="3940">
      <c r="A3940" s="5">
        <v>985.0</v>
      </c>
      <c r="B3940" s="5" t="s">
        <v>5522</v>
      </c>
      <c r="C3940" s="5" t="s">
        <v>5527</v>
      </c>
      <c r="D3940" s="5" t="s">
        <v>6636</v>
      </c>
      <c r="E3940" s="8">
        <f>vlookup(B3940,Filmes_final!$B$2:$U$1001,20,FALSE)</f>
        <v>289535622</v>
      </c>
      <c r="F3940" s="5">
        <f>vlookup(B3940,Filmes_final!$B$2:$U$1001,3,FALSE)</f>
        <v>1979</v>
      </c>
      <c r="G3940" s="5" t="str">
        <f>vlookup(B3940,Filmes_final!$B$2:$U$1001,13,FALSE)</f>
        <v>James Frawley</v>
      </c>
    </row>
    <row r="3941">
      <c r="A3941" s="5">
        <v>985.0</v>
      </c>
      <c r="B3941" s="5" t="s">
        <v>5522</v>
      </c>
      <c r="C3941" s="5" t="s">
        <v>5528</v>
      </c>
      <c r="D3941" s="5" t="s">
        <v>6637</v>
      </c>
      <c r="E3941" s="8">
        <f>vlookup(B3941,Filmes_final!$B$2:$U$1001,20,FALSE)</f>
        <v>289535622</v>
      </c>
      <c r="F3941" s="5">
        <f>vlookup(B3941,Filmes_final!$B$2:$U$1001,3,FALSE)</f>
        <v>1979</v>
      </c>
      <c r="G3941" s="5" t="str">
        <f>vlookup(B3941,Filmes_final!$B$2:$U$1001,13,FALSE)</f>
        <v>James Frawley</v>
      </c>
    </row>
    <row r="3942">
      <c r="A3942" s="5">
        <v>986.0</v>
      </c>
      <c r="B3942" s="5" t="s">
        <v>5529</v>
      </c>
      <c r="C3942" s="5" t="s">
        <v>119</v>
      </c>
      <c r="D3942" s="5" t="s">
        <v>6634</v>
      </c>
      <c r="E3942" s="8">
        <f>vlookup(B3942,Filmes_final!$B$2:$U$1001,20,FALSE)</f>
        <v>162412196</v>
      </c>
      <c r="F3942" s="5">
        <f>vlookup(B3942,Filmes_final!$B$2:$U$1001,3,FALSE)</f>
        <v>1979</v>
      </c>
      <c r="G3942" s="5" t="str">
        <f>vlookup(B3942,Filmes_final!$B$2:$U$1001,13,FALSE)</f>
        <v>Don Siegel</v>
      </c>
    </row>
    <row r="3943">
      <c r="A3943" s="5">
        <v>986.0</v>
      </c>
      <c r="B3943" s="5" t="s">
        <v>5529</v>
      </c>
      <c r="C3943" s="5" t="s">
        <v>775</v>
      </c>
      <c r="D3943" s="5" t="s">
        <v>6635</v>
      </c>
      <c r="E3943" s="8">
        <f>vlookup(B3943,Filmes_final!$B$2:$U$1001,20,FALSE)</f>
        <v>162412196</v>
      </c>
      <c r="F3943" s="5">
        <f>vlookup(B3943,Filmes_final!$B$2:$U$1001,3,FALSE)</f>
        <v>1979</v>
      </c>
      <c r="G3943" s="5" t="str">
        <f>vlookup(B3943,Filmes_final!$B$2:$U$1001,13,FALSE)</f>
        <v>Don Siegel</v>
      </c>
    </row>
    <row r="3944">
      <c r="A3944" s="5">
        <v>986.0</v>
      </c>
      <c r="B3944" s="5" t="s">
        <v>5529</v>
      </c>
      <c r="C3944" s="5" t="s">
        <v>5531</v>
      </c>
      <c r="D3944" s="5" t="s">
        <v>6636</v>
      </c>
      <c r="E3944" s="8">
        <f>vlookup(B3944,Filmes_final!$B$2:$U$1001,20,FALSE)</f>
        <v>162412196</v>
      </c>
      <c r="F3944" s="5">
        <f>vlookup(B3944,Filmes_final!$B$2:$U$1001,3,FALSE)</f>
        <v>1979</v>
      </c>
      <c r="G3944" s="5" t="str">
        <f>vlookup(B3944,Filmes_final!$B$2:$U$1001,13,FALSE)</f>
        <v>Don Siegel</v>
      </c>
    </row>
    <row r="3945">
      <c r="A3945" s="5">
        <v>986.0</v>
      </c>
      <c r="B3945" s="5" t="s">
        <v>5529</v>
      </c>
      <c r="C3945" s="5" t="s">
        <v>5532</v>
      </c>
      <c r="D3945" s="5" t="s">
        <v>6637</v>
      </c>
      <c r="E3945" s="8">
        <f>vlookup(B3945,Filmes_final!$B$2:$U$1001,20,FALSE)</f>
        <v>162412196</v>
      </c>
      <c r="F3945" s="5">
        <f>vlookup(B3945,Filmes_final!$B$2:$U$1001,3,FALSE)</f>
        <v>1979</v>
      </c>
      <c r="G3945" s="5" t="str">
        <f>vlookup(B3945,Filmes_final!$B$2:$U$1001,13,FALSE)</f>
        <v>Don Siegel</v>
      </c>
    </row>
    <row r="3946">
      <c r="A3946" s="5">
        <v>987.0</v>
      </c>
      <c r="B3946" s="5" t="s">
        <v>5533</v>
      </c>
      <c r="C3946" s="5" t="s">
        <v>5536</v>
      </c>
      <c r="D3946" s="5" t="s">
        <v>6634</v>
      </c>
      <c r="E3946" s="8">
        <f>vlookup(B3946,Filmes_final!$B$2:$U$1001,20,FALSE)</f>
        <v>2966035</v>
      </c>
      <c r="F3946" s="5">
        <f>vlookup(B3946,Filmes_final!$B$2:$U$1001,3,FALSE)</f>
        <v>1978</v>
      </c>
      <c r="G3946" s="5" t="str">
        <f>vlookup(B3946,Filmes_final!$B$2:$U$1001,13,FALSE)</f>
        <v>Martin Rosen</v>
      </c>
    </row>
    <row r="3947">
      <c r="A3947" s="5">
        <v>987.0</v>
      </c>
      <c r="B3947" s="5" t="s">
        <v>5533</v>
      </c>
      <c r="C3947" s="5" t="s">
        <v>585</v>
      </c>
      <c r="D3947" s="5" t="s">
        <v>6635</v>
      </c>
      <c r="E3947" s="8">
        <f>vlookup(B3947,Filmes_final!$B$2:$U$1001,20,FALSE)</f>
        <v>2966035</v>
      </c>
      <c r="F3947" s="5">
        <f>vlookup(B3947,Filmes_final!$B$2:$U$1001,3,FALSE)</f>
        <v>1978</v>
      </c>
      <c r="G3947" s="5" t="str">
        <f>vlookup(B3947,Filmes_final!$B$2:$U$1001,13,FALSE)</f>
        <v>Martin Rosen</v>
      </c>
    </row>
    <row r="3948">
      <c r="A3948" s="5">
        <v>987.0</v>
      </c>
      <c r="B3948" s="5" t="s">
        <v>5533</v>
      </c>
      <c r="C3948" s="5" t="s">
        <v>5537</v>
      </c>
      <c r="D3948" s="5" t="s">
        <v>6636</v>
      </c>
      <c r="E3948" s="8">
        <f>vlookup(B3948,Filmes_final!$B$2:$U$1001,20,FALSE)</f>
        <v>2966035</v>
      </c>
      <c r="F3948" s="5">
        <f>vlookup(B3948,Filmes_final!$B$2:$U$1001,3,FALSE)</f>
        <v>1978</v>
      </c>
      <c r="G3948" s="5" t="str">
        <f>vlookup(B3948,Filmes_final!$B$2:$U$1001,13,FALSE)</f>
        <v>Martin Rosen</v>
      </c>
    </row>
    <row r="3949">
      <c r="A3949" s="5">
        <v>987.0</v>
      </c>
      <c r="B3949" s="5" t="s">
        <v>5533</v>
      </c>
      <c r="C3949" s="5" t="s">
        <v>5538</v>
      </c>
      <c r="D3949" s="5" t="s">
        <v>6637</v>
      </c>
      <c r="E3949" s="8">
        <f>vlookup(B3949,Filmes_final!$B$2:$U$1001,20,FALSE)</f>
        <v>2966035</v>
      </c>
      <c r="F3949" s="5">
        <f>vlookup(B3949,Filmes_final!$B$2:$U$1001,3,FALSE)</f>
        <v>1978</v>
      </c>
      <c r="G3949" s="5" t="str">
        <f>vlookup(B3949,Filmes_final!$B$2:$U$1001,13,FALSE)</f>
        <v>Martin Rosen</v>
      </c>
    </row>
    <row r="3950">
      <c r="A3950" s="5">
        <v>988.0</v>
      </c>
      <c r="B3950" s="5" t="s">
        <v>5539</v>
      </c>
      <c r="C3950" s="5" t="s">
        <v>5541</v>
      </c>
      <c r="D3950" s="5" t="s">
        <v>6634</v>
      </c>
      <c r="E3950" s="8">
        <f>vlookup(B3950,Filmes_final!$B$2:$U$1001,20,FALSE)</f>
        <v>144463760</v>
      </c>
      <c r="F3950" s="5">
        <f>vlookup(B3950,Filmes_final!$B$2:$U$1001,3,FALSE)</f>
        <v>1978</v>
      </c>
      <c r="G3950" s="5" t="str">
        <f>vlookup(B3950,Filmes_final!$B$2:$U$1001,13,FALSE)</f>
        <v>Alan Parker</v>
      </c>
    </row>
    <row r="3951">
      <c r="A3951" s="5">
        <v>988.0</v>
      </c>
      <c r="B3951" s="5" t="s">
        <v>5539</v>
      </c>
      <c r="C3951" s="5" t="s">
        <v>5542</v>
      </c>
      <c r="D3951" s="5" t="s">
        <v>6635</v>
      </c>
      <c r="E3951" s="8">
        <f>vlookup(B3951,Filmes_final!$B$2:$U$1001,20,FALSE)</f>
        <v>144463760</v>
      </c>
      <c r="F3951" s="5">
        <f>vlookup(B3951,Filmes_final!$B$2:$U$1001,3,FALSE)</f>
        <v>1978</v>
      </c>
      <c r="G3951" s="5" t="str">
        <f>vlookup(B3951,Filmes_final!$B$2:$U$1001,13,FALSE)</f>
        <v>Alan Parker</v>
      </c>
    </row>
    <row r="3952">
      <c r="A3952" s="5">
        <v>988.0</v>
      </c>
      <c r="B3952" s="5" t="s">
        <v>5539</v>
      </c>
      <c r="C3952" s="5" t="s">
        <v>5543</v>
      </c>
      <c r="D3952" s="5" t="s">
        <v>6636</v>
      </c>
      <c r="E3952" s="8">
        <f>vlookup(B3952,Filmes_final!$B$2:$U$1001,20,FALSE)</f>
        <v>144463760</v>
      </c>
      <c r="F3952" s="5">
        <f>vlookup(B3952,Filmes_final!$B$2:$U$1001,3,FALSE)</f>
        <v>1978</v>
      </c>
      <c r="G3952" s="5" t="str">
        <f>vlookup(B3952,Filmes_final!$B$2:$U$1001,13,FALSE)</f>
        <v>Alan Parker</v>
      </c>
    </row>
    <row r="3953">
      <c r="A3953" s="5">
        <v>988.0</v>
      </c>
      <c r="B3953" s="5" t="s">
        <v>5539</v>
      </c>
      <c r="C3953" s="5" t="s">
        <v>5544</v>
      </c>
      <c r="D3953" s="5" t="s">
        <v>6637</v>
      </c>
      <c r="E3953" s="8">
        <f>vlookup(B3953,Filmes_final!$B$2:$U$1001,20,FALSE)</f>
        <v>144463760</v>
      </c>
      <c r="F3953" s="5">
        <f>vlookup(B3953,Filmes_final!$B$2:$U$1001,3,FALSE)</f>
        <v>1978</v>
      </c>
      <c r="G3953" s="5" t="str">
        <f>vlookup(B3953,Filmes_final!$B$2:$U$1001,13,FALSE)</f>
        <v>Alan Parker</v>
      </c>
    </row>
    <row r="3954">
      <c r="A3954" s="5">
        <v>989.0</v>
      </c>
      <c r="B3954" s="5" t="s">
        <v>5545</v>
      </c>
      <c r="C3954" s="5" t="s">
        <v>2678</v>
      </c>
      <c r="D3954" s="5" t="s">
        <v>6634</v>
      </c>
      <c r="E3954" s="8">
        <f>vlookup(B3954,Filmes_final!$B$2:$U$1001,20,FALSE)</f>
        <v>582479269</v>
      </c>
      <c r="F3954" s="5">
        <f>vlookup(B3954,Filmes_final!$B$2:$U$1001,3,FALSE)</f>
        <v>1977</v>
      </c>
      <c r="G3954" s="5" t="str">
        <f>vlookup(B3954,Filmes_final!$B$2:$U$1001,13,FALSE)</f>
        <v>Steven Spielberg</v>
      </c>
    </row>
    <row r="3955">
      <c r="A3955" s="5">
        <v>989.0</v>
      </c>
      <c r="B3955" s="5" t="s">
        <v>5545</v>
      </c>
      <c r="C3955" s="5" t="s">
        <v>2004</v>
      </c>
      <c r="D3955" s="5" t="s">
        <v>6635</v>
      </c>
      <c r="E3955" s="8">
        <f>vlookup(B3955,Filmes_final!$B$2:$U$1001,20,FALSE)</f>
        <v>582479269</v>
      </c>
      <c r="F3955" s="5">
        <f>vlookup(B3955,Filmes_final!$B$2:$U$1001,3,FALSE)</f>
        <v>1977</v>
      </c>
      <c r="G3955" s="5" t="str">
        <f>vlookup(B3955,Filmes_final!$B$2:$U$1001,13,FALSE)</f>
        <v>Steven Spielberg</v>
      </c>
    </row>
    <row r="3956">
      <c r="A3956" s="5">
        <v>989.0</v>
      </c>
      <c r="B3956" s="5" t="s">
        <v>5545</v>
      </c>
      <c r="C3956" s="5" t="s">
        <v>5547</v>
      </c>
      <c r="D3956" s="5" t="s">
        <v>6636</v>
      </c>
      <c r="E3956" s="8">
        <f>vlookup(B3956,Filmes_final!$B$2:$U$1001,20,FALSE)</f>
        <v>582479269</v>
      </c>
      <c r="F3956" s="5">
        <f>vlookup(B3956,Filmes_final!$B$2:$U$1001,3,FALSE)</f>
        <v>1977</v>
      </c>
      <c r="G3956" s="5" t="str">
        <f>vlookup(B3956,Filmes_final!$B$2:$U$1001,13,FALSE)</f>
        <v>Steven Spielberg</v>
      </c>
    </row>
    <row r="3957">
      <c r="A3957" s="5">
        <v>989.0</v>
      </c>
      <c r="B3957" s="5" t="s">
        <v>5545</v>
      </c>
      <c r="C3957" s="5" t="s">
        <v>3304</v>
      </c>
      <c r="D3957" s="5" t="s">
        <v>6637</v>
      </c>
      <c r="E3957" s="8">
        <f>vlookup(B3957,Filmes_final!$B$2:$U$1001,20,FALSE)</f>
        <v>582479269</v>
      </c>
      <c r="F3957" s="5">
        <f>vlookup(B3957,Filmes_final!$B$2:$U$1001,3,FALSE)</f>
        <v>1977</v>
      </c>
      <c r="G3957" s="5" t="str">
        <f>vlookup(B3957,Filmes_final!$B$2:$U$1001,13,FALSE)</f>
        <v>Steven Spielberg</v>
      </c>
    </row>
    <row r="3958">
      <c r="A3958" s="5">
        <v>990.0</v>
      </c>
      <c r="B3958" s="5" t="s">
        <v>5548</v>
      </c>
      <c r="C3958" s="5" t="s">
        <v>5550</v>
      </c>
      <c r="D3958" s="5" t="s">
        <v>6634</v>
      </c>
      <c r="E3958" s="8">
        <f>vlookup(B3958,Filmes_final!$B$2:$U$1001,20,FALSE)</f>
        <v>5807</v>
      </c>
      <c r="F3958" s="5">
        <f>vlookup(B3958,Filmes_final!$B$2:$U$1001,3,FALSE)</f>
        <v>1973</v>
      </c>
      <c r="G3958" s="5" t="str">
        <f>vlookup(B3958,Filmes_final!$B$2:$U$1001,13,FALSE)</f>
        <v>Robert Altman</v>
      </c>
    </row>
    <row r="3959">
      <c r="A3959" s="5">
        <v>990.0</v>
      </c>
      <c r="B3959" s="5" t="s">
        <v>5548</v>
      </c>
      <c r="C3959" s="5" t="s">
        <v>5551</v>
      </c>
      <c r="D3959" s="5" t="s">
        <v>6635</v>
      </c>
      <c r="E3959" s="8">
        <f>vlookup(B3959,Filmes_final!$B$2:$U$1001,20,FALSE)</f>
        <v>5807</v>
      </c>
      <c r="F3959" s="5">
        <f>vlookup(B3959,Filmes_final!$B$2:$U$1001,3,FALSE)</f>
        <v>1973</v>
      </c>
      <c r="G3959" s="5" t="str">
        <f>vlookup(B3959,Filmes_final!$B$2:$U$1001,13,FALSE)</f>
        <v>Robert Altman</v>
      </c>
    </row>
    <row r="3960">
      <c r="A3960" s="5">
        <v>990.0</v>
      </c>
      <c r="B3960" s="5" t="s">
        <v>5548</v>
      </c>
      <c r="C3960" s="5" t="s">
        <v>606</v>
      </c>
      <c r="D3960" s="5" t="s">
        <v>6636</v>
      </c>
      <c r="E3960" s="8">
        <f>vlookup(B3960,Filmes_final!$B$2:$U$1001,20,FALSE)</f>
        <v>5807</v>
      </c>
      <c r="F3960" s="5">
        <f>vlookup(B3960,Filmes_final!$B$2:$U$1001,3,FALSE)</f>
        <v>1973</v>
      </c>
      <c r="G3960" s="5" t="str">
        <f>vlookup(B3960,Filmes_final!$B$2:$U$1001,13,FALSE)</f>
        <v>Robert Altman</v>
      </c>
    </row>
    <row r="3961">
      <c r="A3961" s="5">
        <v>990.0</v>
      </c>
      <c r="B3961" s="5" t="s">
        <v>5548</v>
      </c>
      <c r="C3961" s="5" t="s">
        <v>5507</v>
      </c>
      <c r="D3961" s="5" t="s">
        <v>6637</v>
      </c>
      <c r="E3961" s="8">
        <f>vlookup(B3961,Filmes_final!$B$2:$U$1001,20,FALSE)</f>
        <v>5807</v>
      </c>
      <c r="F3961" s="5">
        <f>vlookup(B3961,Filmes_final!$B$2:$U$1001,3,FALSE)</f>
        <v>1973</v>
      </c>
      <c r="G3961" s="5" t="str">
        <f>vlookup(B3961,Filmes_final!$B$2:$U$1001,13,FALSE)</f>
        <v>Robert Altman</v>
      </c>
    </row>
    <row r="3962">
      <c r="A3962" s="5">
        <v>991.0</v>
      </c>
      <c r="B3962" s="5" t="s">
        <v>5552</v>
      </c>
      <c r="C3962" s="5" t="s">
        <v>2038</v>
      </c>
      <c r="D3962" s="5" t="s">
        <v>6634</v>
      </c>
      <c r="E3962" s="8">
        <f>vlookup(B3962,Filmes_final!$B$2:$U$1001,20,FALSE)</f>
        <v>4515724</v>
      </c>
      <c r="F3962" s="5">
        <f>vlookup(B3962,Filmes_final!$B$2:$U$1001,3,FALSE)</f>
        <v>1971</v>
      </c>
      <c r="G3962" s="5" t="str">
        <f>vlookup(B3962,Filmes_final!$B$2:$U$1001,13,FALSE)</f>
        <v>Sergio Leone</v>
      </c>
    </row>
    <row r="3963">
      <c r="A3963" s="5">
        <v>991.0</v>
      </c>
      <c r="B3963" s="5" t="s">
        <v>5552</v>
      </c>
      <c r="C3963" s="5" t="s">
        <v>3395</v>
      </c>
      <c r="D3963" s="5" t="s">
        <v>6635</v>
      </c>
      <c r="E3963" s="8">
        <f>vlookup(B3963,Filmes_final!$B$2:$U$1001,20,FALSE)</f>
        <v>4515724</v>
      </c>
      <c r="F3963" s="5">
        <f>vlookup(B3963,Filmes_final!$B$2:$U$1001,3,FALSE)</f>
        <v>1971</v>
      </c>
      <c r="G3963" s="5" t="str">
        <f>vlookup(B3963,Filmes_final!$B$2:$U$1001,13,FALSE)</f>
        <v>Sergio Leone</v>
      </c>
    </row>
    <row r="3964">
      <c r="A3964" s="5">
        <v>991.0</v>
      </c>
      <c r="B3964" s="5" t="s">
        <v>5552</v>
      </c>
      <c r="C3964" s="5" t="s">
        <v>5556</v>
      </c>
      <c r="D3964" s="5" t="s">
        <v>6636</v>
      </c>
      <c r="E3964" s="8">
        <f>vlookup(B3964,Filmes_final!$B$2:$U$1001,20,FALSE)</f>
        <v>4515724</v>
      </c>
      <c r="F3964" s="5">
        <f>vlookup(B3964,Filmes_final!$B$2:$U$1001,3,FALSE)</f>
        <v>1971</v>
      </c>
      <c r="G3964" s="5" t="str">
        <f>vlookup(B3964,Filmes_final!$B$2:$U$1001,13,FALSE)</f>
        <v>Sergio Leone</v>
      </c>
    </row>
    <row r="3965">
      <c r="A3965" s="5">
        <v>991.0</v>
      </c>
      <c r="B3965" s="5" t="s">
        <v>5552</v>
      </c>
      <c r="C3965" s="5" t="s">
        <v>5557</v>
      </c>
      <c r="D3965" s="5" t="s">
        <v>6637</v>
      </c>
      <c r="E3965" s="8">
        <f>vlookup(B3965,Filmes_final!$B$2:$U$1001,20,FALSE)</f>
        <v>4515724</v>
      </c>
      <c r="F3965" s="5">
        <f>vlookup(B3965,Filmes_final!$B$2:$U$1001,3,FALSE)</f>
        <v>1971</v>
      </c>
      <c r="G3965" s="5" t="str">
        <f>vlookup(B3965,Filmes_final!$B$2:$U$1001,13,FALSE)</f>
        <v>Sergio Leone</v>
      </c>
    </row>
    <row r="3966">
      <c r="A3966" s="5">
        <v>992.0</v>
      </c>
      <c r="B3966" s="5" t="s">
        <v>5558</v>
      </c>
      <c r="C3966" s="5" t="s">
        <v>119</v>
      </c>
      <c r="D3966" s="5" t="s">
        <v>6634</v>
      </c>
      <c r="E3966" s="8">
        <f>vlookup(B3966,Filmes_final!$B$2:$U$1001,20,FALSE)</f>
        <v>9407308</v>
      </c>
      <c r="F3966" s="5">
        <f>vlookup(B3966,Filmes_final!$B$2:$U$1001,3,FALSE)</f>
        <v>1970</v>
      </c>
      <c r="G3966" s="5" t="str">
        <f>vlookup(B3966,Filmes_final!$B$2:$U$1001,13,FALSE)</f>
        <v>Brian G. Hutton</v>
      </c>
    </row>
    <row r="3967">
      <c r="A3967" s="5">
        <v>992.0</v>
      </c>
      <c r="B3967" s="5" t="s">
        <v>5558</v>
      </c>
      <c r="C3967" s="5" t="s">
        <v>5561</v>
      </c>
      <c r="D3967" s="5" t="s">
        <v>6635</v>
      </c>
      <c r="E3967" s="8">
        <f>vlookup(B3967,Filmes_final!$B$2:$U$1001,20,FALSE)</f>
        <v>9407308</v>
      </c>
      <c r="F3967" s="5">
        <f>vlookup(B3967,Filmes_final!$B$2:$U$1001,3,FALSE)</f>
        <v>1970</v>
      </c>
      <c r="G3967" s="5" t="str">
        <f>vlookup(B3967,Filmes_final!$B$2:$U$1001,13,FALSE)</f>
        <v>Brian G. Hutton</v>
      </c>
    </row>
    <row r="3968">
      <c r="A3968" s="5">
        <v>992.0</v>
      </c>
      <c r="B3968" s="5" t="s">
        <v>5558</v>
      </c>
      <c r="C3968" s="5" t="s">
        <v>769</v>
      </c>
      <c r="D3968" s="5" t="s">
        <v>6636</v>
      </c>
      <c r="E3968" s="8">
        <f>vlookup(B3968,Filmes_final!$B$2:$U$1001,20,FALSE)</f>
        <v>9407308</v>
      </c>
      <c r="F3968" s="5">
        <f>vlookup(B3968,Filmes_final!$B$2:$U$1001,3,FALSE)</f>
        <v>1970</v>
      </c>
      <c r="G3968" s="5" t="str">
        <f>vlookup(B3968,Filmes_final!$B$2:$U$1001,13,FALSE)</f>
        <v>Brian G. Hutton</v>
      </c>
    </row>
    <row r="3969">
      <c r="A3969" s="5">
        <v>992.0</v>
      </c>
      <c r="B3969" s="5" t="s">
        <v>5558</v>
      </c>
      <c r="C3969" s="5" t="s">
        <v>5562</v>
      </c>
      <c r="D3969" s="5" t="s">
        <v>6637</v>
      </c>
      <c r="E3969" s="8">
        <f>vlookup(B3969,Filmes_final!$B$2:$U$1001,20,FALSE)</f>
        <v>9407308</v>
      </c>
      <c r="F3969" s="5">
        <f>vlookup(B3969,Filmes_final!$B$2:$U$1001,3,FALSE)</f>
        <v>1970</v>
      </c>
      <c r="G3969" s="5" t="str">
        <f>vlookup(B3969,Filmes_final!$B$2:$U$1001,13,FALSE)</f>
        <v>Brian G. Hutton</v>
      </c>
    </row>
    <row r="3970">
      <c r="A3970" s="5">
        <v>993.0</v>
      </c>
      <c r="B3970" s="5" t="s">
        <v>5563</v>
      </c>
      <c r="C3970" s="5" t="s">
        <v>5567</v>
      </c>
      <c r="D3970" s="5" t="s">
        <v>6634</v>
      </c>
      <c r="E3970" s="8">
        <f>vlookup(B3970,Filmes_final!$B$2:$U$1001,20,FALSE)</f>
        <v>1112204816</v>
      </c>
      <c r="F3970" s="5">
        <f>vlookup(B3970,Filmes_final!$B$2:$U$1001,3,FALSE)</f>
        <v>1967</v>
      </c>
      <c r="G3970" s="5" t="str">
        <f>vlookup(B3970,Filmes_final!$B$2:$U$1001,13,FALSE)</f>
        <v>Wolfgang Reitherman</v>
      </c>
    </row>
    <row r="3971">
      <c r="A3971" s="5">
        <v>993.0</v>
      </c>
      <c r="B3971" s="5" t="s">
        <v>5563</v>
      </c>
      <c r="C3971" s="5" t="s">
        <v>5568</v>
      </c>
      <c r="D3971" s="5" t="s">
        <v>6635</v>
      </c>
      <c r="E3971" s="8">
        <f>vlookup(B3971,Filmes_final!$B$2:$U$1001,20,FALSE)</f>
        <v>1112204816</v>
      </c>
      <c r="F3971" s="5">
        <f>vlookup(B3971,Filmes_final!$B$2:$U$1001,3,FALSE)</f>
        <v>1967</v>
      </c>
      <c r="G3971" s="5" t="str">
        <f>vlookup(B3971,Filmes_final!$B$2:$U$1001,13,FALSE)</f>
        <v>Wolfgang Reitherman</v>
      </c>
    </row>
    <row r="3972">
      <c r="A3972" s="5">
        <v>993.0</v>
      </c>
      <c r="B3972" s="5" t="s">
        <v>5563</v>
      </c>
      <c r="C3972" s="5" t="s">
        <v>5569</v>
      </c>
      <c r="D3972" s="5" t="s">
        <v>6636</v>
      </c>
      <c r="E3972" s="8">
        <f>vlookup(B3972,Filmes_final!$B$2:$U$1001,20,FALSE)</f>
        <v>1112204816</v>
      </c>
      <c r="F3972" s="5">
        <f>vlookup(B3972,Filmes_final!$B$2:$U$1001,3,FALSE)</f>
        <v>1967</v>
      </c>
      <c r="G3972" s="5" t="str">
        <f>vlookup(B3972,Filmes_final!$B$2:$U$1001,13,FALSE)</f>
        <v>Wolfgang Reitherman</v>
      </c>
    </row>
    <row r="3973">
      <c r="A3973" s="5">
        <v>993.0</v>
      </c>
      <c r="B3973" s="5" t="s">
        <v>5563</v>
      </c>
      <c r="C3973" s="5" t="s">
        <v>5570</v>
      </c>
      <c r="D3973" s="5" t="s">
        <v>6637</v>
      </c>
      <c r="E3973" s="8">
        <f>vlookup(B3973,Filmes_final!$B$2:$U$1001,20,FALSE)</f>
        <v>1112204816</v>
      </c>
      <c r="F3973" s="5">
        <f>vlookup(B3973,Filmes_final!$B$2:$U$1001,3,FALSE)</f>
        <v>1967</v>
      </c>
      <c r="G3973" s="5" t="str">
        <f>vlookup(B3973,Filmes_final!$B$2:$U$1001,13,FALSE)</f>
        <v>Wolfgang Reitherman</v>
      </c>
    </row>
    <row r="3974">
      <c r="A3974" s="5">
        <v>994.0</v>
      </c>
      <c r="B3974" s="5" t="s">
        <v>5571</v>
      </c>
      <c r="C3974" s="5" t="s">
        <v>5573</v>
      </c>
      <c r="D3974" s="5" t="s">
        <v>6634</v>
      </c>
      <c r="E3974" s="8">
        <f>vlookup(B3974,Filmes_final!$B$2:$U$1001,20,FALSE)</f>
        <v>49209</v>
      </c>
      <c r="F3974" s="5">
        <f>vlookup(B3974,Filmes_final!$B$2:$U$1001,3,FALSE)</f>
        <v>1966</v>
      </c>
      <c r="G3974" s="5" t="str">
        <f>vlookup(B3974,Filmes_final!$B$2:$U$1001,13,FALSE)</f>
        <v>Michelangelo Antonioni</v>
      </c>
    </row>
    <row r="3975">
      <c r="A3975" s="5">
        <v>994.0</v>
      </c>
      <c r="B3975" s="5" t="s">
        <v>5571</v>
      </c>
      <c r="C3975" s="5" t="s">
        <v>5574</v>
      </c>
      <c r="D3975" s="5" t="s">
        <v>6635</v>
      </c>
      <c r="E3975" s="8">
        <f>vlookup(B3975,Filmes_final!$B$2:$U$1001,20,FALSE)</f>
        <v>49209</v>
      </c>
      <c r="F3975" s="5">
        <f>vlookup(B3975,Filmes_final!$B$2:$U$1001,3,FALSE)</f>
        <v>1966</v>
      </c>
      <c r="G3975" s="5" t="str">
        <f>vlookup(B3975,Filmes_final!$B$2:$U$1001,13,FALSE)</f>
        <v>Michelangelo Antonioni</v>
      </c>
    </row>
    <row r="3976">
      <c r="A3976" s="5">
        <v>994.0</v>
      </c>
      <c r="B3976" s="5" t="s">
        <v>5571</v>
      </c>
      <c r="C3976" s="5" t="s">
        <v>5575</v>
      </c>
      <c r="D3976" s="5" t="s">
        <v>6636</v>
      </c>
      <c r="E3976" s="8">
        <f>vlookup(B3976,Filmes_final!$B$2:$U$1001,20,FALSE)</f>
        <v>49209</v>
      </c>
      <c r="F3976" s="5">
        <f>vlookup(B3976,Filmes_final!$B$2:$U$1001,3,FALSE)</f>
        <v>1966</v>
      </c>
      <c r="G3976" s="5" t="str">
        <f>vlookup(B3976,Filmes_final!$B$2:$U$1001,13,FALSE)</f>
        <v>Michelangelo Antonioni</v>
      </c>
    </row>
    <row r="3977">
      <c r="A3977" s="5">
        <v>994.0</v>
      </c>
      <c r="B3977" s="5" t="s">
        <v>5571</v>
      </c>
      <c r="C3977" s="5" t="s">
        <v>3386</v>
      </c>
      <c r="D3977" s="5" t="s">
        <v>6637</v>
      </c>
      <c r="E3977" s="8">
        <f>vlookup(B3977,Filmes_final!$B$2:$U$1001,20,FALSE)</f>
        <v>49209</v>
      </c>
      <c r="F3977" s="5">
        <f>vlookup(B3977,Filmes_final!$B$2:$U$1001,3,FALSE)</f>
        <v>1966</v>
      </c>
      <c r="G3977" s="5" t="str">
        <f>vlookup(B3977,Filmes_final!$B$2:$U$1001,13,FALSE)</f>
        <v>Michelangelo Antonioni</v>
      </c>
    </row>
    <row r="3978">
      <c r="A3978" s="5">
        <v>995.0</v>
      </c>
      <c r="B3978" s="5" t="s">
        <v>5576</v>
      </c>
      <c r="C3978" s="5" t="s">
        <v>5579</v>
      </c>
      <c r="D3978" s="5" t="s">
        <v>6634</v>
      </c>
      <c r="E3978" s="8">
        <f>vlookup(B3978,Filmes_final!$B$2:$U$1001,20,FALSE)</f>
        <v>115043578</v>
      </c>
      <c r="F3978" s="5">
        <f>vlookup(B3978,Filmes_final!$B$2:$U$1001,3,FALSE)</f>
        <v>1964</v>
      </c>
      <c r="G3978" s="5" t="str">
        <f>vlookup(B3978,Filmes_final!$B$2:$U$1001,13,FALSE)</f>
        <v>Richard Lester</v>
      </c>
    </row>
    <row r="3979">
      <c r="A3979" s="5">
        <v>995.0</v>
      </c>
      <c r="B3979" s="5" t="s">
        <v>5576</v>
      </c>
      <c r="C3979" s="5" t="s">
        <v>5580</v>
      </c>
      <c r="D3979" s="5" t="s">
        <v>6635</v>
      </c>
      <c r="E3979" s="8">
        <f>vlookup(B3979,Filmes_final!$B$2:$U$1001,20,FALSE)</f>
        <v>115043578</v>
      </c>
      <c r="F3979" s="5">
        <f>vlookup(B3979,Filmes_final!$B$2:$U$1001,3,FALSE)</f>
        <v>1964</v>
      </c>
      <c r="G3979" s="5" t="str">
        <f>vlookup(B3979,Filmes_final!$B$2:$U$1001,13,FALSE)</f>
        <v>Richard Lester</v>
      </c>
    </row>
    <row r="3980">
      <c r="A3980" s="5">
        <v>995.0</v>
      </c>
      <c r="B3980" s="5" t="s">
        <v>5576</v>
      </c>
      <c r="C3980" s="5" t="s">
        <v>5581</v>
      </c>
      <c r="D3980" s="5" t="s">
        <v>6636</v>
      </c>
      <c r="E3980" s="8">
        <f>vlookup(B3980,Filmes_final!$B$2:$U$1001,20,FALSE)</f>
        <v>115043578</v>
      </c>
      <c r="F3980" s="5">
        <f>vlookup(B3980,Filmes_final!$B$2:$U$1001,3,FALSE)</f>
        <v>1964</v>
      </c>
      <c r="G3980" s="5" t="str">
        <f>vlookup(B3980,Filmes_final!$B$2:$U$1001,13,FALSE)</f>
        <v>Richard Lester</v>
      </c>
    </row>
    <row r="3981">
      <c r="A3981" s="5">
        <v>995.0</v>
      </c>
      <c r="B3981" s="5" t="s">
        <v>5576</v>
      </c>
      <c r="C3981" s="5" t="s">
        <v>5582</v>
      </c>
      <c r="D3981" s="5" t="s">
        <v>6637</v>
      </c>
      <c r="E3981" s="8">
        <f>vlookup(B3981,Filmes_final!$B$2:$U$1001,20,FALSE)</f>
        <v>115043578</v>
      </c>
      <c r="F3981" s="5">
        <f>vlookup(B3981,Filmes_final!$B$2:$U$1001,3,FALSE)</f>
        <v>1964</v>
      </c>
      <c r="G3981" s="5" t="str">
        <f>vlookup(B3981,Filmes_final!$B$2:$U$1001,13,FALSE)</f>
        <v>Richard Lester</v>
      </c>
    </row>
    <row r="3982">
      <c r="A3982" s="5">
        <v>996.0</v>
      </c>
      <c r="B3982" s="5" t="s">
        <v>5583</v>
      </c>
      <c r="C3982" s="5" t="s">
        <v>2839</v>
      </c>
      <c r="D3982" s="5" t="s">
        <v>6634</v>
      </c>
      <c r="E3982" s="8">
        <f>vlookup(B3982,Filmes_final!$B$2:$U$1001,20,FALSE)</f>
        <v>4397730</v>
      </c>
      <c r="F3982" s="5">
        <f>vlookup(B3982,Filmes_final!$B$2:$U$1001,3,FALSE)</f>
        <v>1961</v>
      </c>
      <c r="G3982" s="5" t="str">
        <f>vlookup(B3982,Filmes_final!$B$2:$U$1001,13,FALSE)</f>
        <v>Blake Edwards</v>
      </c>
    </row>
    <row r="3983">
      <c r="A3983" s="5">
        <v>996.0</v>
      </c>
      <c r="B3983" s="5" t="s">
        <v>5583</v>
      </c>
      <c r="C3983" s="5" t="s">
        <v>5586</v>
      </c>
      <c r="D3983" s="5" t="s">
        <v>6635</v>
      </c>
      <c r="E3983" s="8">
        <f>vlookup(B3983,Filmes_final!$B$2:$U$1001,20,FALSE)</f>
        <v>4397730</v>
      </c>
      <c r="F3983" s="5">
        <f>vlookup(B3983,Filmes_final!$B$2:$U$1001,3,FALSE)</f>
        <v>1961</v>
      </c>
      <c r="G3983" s="5" t="str">
        <f>vlookup(B3983,Filmes_final!$B$2:$U$1001,13,FALSE)</f>
        <v>Blake Edwards</v>
      </c>
    </row>
    <row r="3984">
      <c r="A3984" s="5">
        <v>996.0</v>
      </c>
      <c r="B3984" s="5" t="s">
        <v>5583</v>
      </c>
      <c r="C3984" s="5" t="s">
        <v>5022</v>
      </c>
      <c r="D3984" s="5" t="s">
        <v>6636</v>
      </c>
      <c r="E3984" s="8">
        <f>vlookup(B3984,Filmes_final!$B$2:$U$1001,20,FALSE)</f>
        <v>4397730</v>
      </c>
      <c r="F3984" s="5">
        <f>vlookup(B3984,Filmes_final!$B$2:$U$1001,3,FALSE)</f>
        <v>1961</v>
      </c>
      <c r="G3984" s="5" t="str">
        <f>vlookup(B3984,Filmes_final!$B$2:$U$1001,13,FALSE)</f>
        <v>Blake Edwards</v>
      </c>
    </row>
    <row r="3985">
      <c r="A3985" s="5">
        <v>996.0</v>
      </c>
      <c r="B3985" s="5" t="s">
        <v>5583</v>
      </c>
      <c r="C3985" s="5" t="s">
        <v>5587</v>
      </c>
      <c r="D3985" s="5" t="s">
        <v>6637</v>
      </c>
      <c r="E3985" s="8">
        <f>vlookup(B3985,Filmes_final!$B$2:$U$1001,20,FALSE)</f>
        <v>4397730</v>
      </c>
      <c r="F3985" s="5">
        <f>vlookup(B3985,Filmes_final!$B$2:$U$1001,3,FALSE)</f>
        <v>1961</v>
      </c>
      <c r="G3985" s="5" t="str">
        <f>vlookup(B3985,Filmes_final!$B$2:$U$1001,13,FALSE)</f>
        <v>Blake Edwards</v>
      </c>
    </row>
    <row r="3986">
      <c r="A3986" s="5">
        <v>997.0</v>
      </c>
      <c r="B3986" s="5" t="s">
        <v>5588</v>
      </c>
      <c r="C3986" s="5" t="s">
        <v>2743</v>
      </c>
      <c r="D3986" s="5" t="s">
        <v>6634</v>
      </c>
      <c r="E3986" s="8">
        <f>vlookup(B3986,Filmes_final!$B$2:$U$1001,20,FALSE)</f>
        <v>51979231</v>
      </c>
      <c r="F3986" s="5">
        <f>vlookup(B3986,Filmes_final!$B$2:$U$1001,3,FALSE)</f>
        <v>1956</v>
      </c>
      <c r="G3986" s="5" t="str">
        <f>vlookup(B3986,Filmes_final!$B$2:$U$1001,13,FALSE)</f>
        <v>George Stevens</v>
      </c>
    </row>
    <row r="3987">
      <c r="A3987" s="5">
        <v>997.0</v>
      </c>
      <c r="B3987" s="5" t="s">
        <v>5588</v>
      </c>
      <c r="C3987" s="5" t="s">
        <v>5592</v>
      </c>
      <c r="D3987" s="5" t="s">
        <v>6635</v>
      </c>
      <c r="E3987" s="8">
        <f>vlookup(B3987,Filmes_final!$B$2:$U$1001,20,FALSE)</f>
        <v>51979231</v>
      </c>
      <c r="F3987" s="5">
        <f>vlookup(B3987,Filmes_final!$B$2:$U$1001,3,FALSE)</f>
        <v>1956</v>
      </c>
      <c r="G3987" s="5" t="str">
        <f>vlookup(B3987,Filmes_final!$B$2:$U$1001,13,FALSE)</f>
        <v>George Stevens</v>
      </c>
    </row>
    <row r="3988">
      <c r="A3988" s="5">
        <v>997.0</v>
      </c>
      <c r="B3988" s="5" t="s">
        <v>5588</v>
      </c>
      <c r="C3988" s="5" t="s">
        <v>3430</v>
      </c>
      <c r="D3988" s="5" t="s">
        <v>6636</v>
      </c>
      <c r="E3988" s="8">
        <f>vlookup(B3988,Filmes_final!$B$2:$U$1001,20,FALSE)</f>
        <v>51979231</v>
      </c>
      <c r="F3988" s="5">
        <f>vlookup(B3988,Filmes_final!$B$2:$U$1001,3,FALSE)</f>
        <v>1956</v>
      </c>
      <c r="G3988" s="5" t="str">
        <f>vlookup(B3988,Filmes_final!$B$2:$U$1001,13,FALSE)</f>
        <v>George Stevens</v>
      </c>
    </row>
    <row r="3989">
      <c r="A3989" s="5">
        <v>997.0</v>
      </c>
      <c r="B3989" s="5" t="s">
        <v>5588</v>
      </c>
      <c r="C3989" s="5" t="s">
        <v>5593</v>
      </c>
      <c r="D3989" s="5" t="s">
        <v>6637</v>
      </c>
      <c r="E3989" s="8">
        <f>vlookup(B3989,Filmes_final!$B$2:$U$1001,20,FALSE)</f>
        <v>51979231</v>
      </c>
      <c r="F3989" s="5">
        <f>vlookup(B3989,Filmes_final!$B$2:$U$1001,3,FALSE)</f>
        <v>1956</v>
      </c>
      <c r="G3989" s="5" t="str">
        <f>vlookup(B3989,Filmes_final!$B$2:$U$1001,13,FALSE)</f>
        <v>George Stevens</v>
      </c>
    </row>
    <row r="3990">
      <c r="A3990" s="5">
        <v>998.0</v>
      </c>
      <c r="B3990" s="5" t="s">
        <v>5594</v>
      </c>
      <c r="C3990" s="5" t="s">
        <v>1292</v>
      </c>
      <c r="D3990" s="5" t="s">
        <v>6634</v>
      </c>
      <c r="E3990" s="8">
        <f>vlookup(B3990,Filmes_final!$B$2:$U$1001,20,FALSE)</f>
        <v>295793816</v>
      </c>
      <c r="F3990" s="5">
        <f>vlookup(B3990,Filmes_final!$B$2:$U$1001,3,FALSE)</f>
        <v>1953</v>
      </c>
      <c r="G3990" s="5" t="str">
        <f>vlookup(B3990,Filmes_final!$B$2:$U$1001,13,FALSE)</f>
        <v>Fred Zinnemann</v>
      </c>
    </row>
    <row r="3991">
      <c r="A3991" s="5">
        <v>998.0</v>
      </c>
      <c r="B3991" s="5" t="s">
        <v>5594</v>
      </c>
      <c r="C3991" s="5" t="s">
        <v>4245</v>
      </c>
      <c r="D3991" s="5" t="s">
        <v>6635</v>
      </c>
      <c r="E3991" s="8">
        <f>vlookup(B3991,Filmes_final!$B$2:$U$1001,20,FALSE)</f>
        <v>295793816</v>
      </c>
      <c r="F3991" s="5">
        <f>vlookup(B3991,Filmes_final!$B$2:$U$1001,3,FALSE)</f>
        <v>1953</v>
      </c>
      <c r="G3991" s="5" t="str">
        <f>vlookup(B3991,Filmes_final!$B$2:$U$1001,13,FALSE)</f>
        <v>Fred Zinnemann</v>
      </c>
    </row>
    <row r="3992">
      <c r="A3992" s="5">
        <v>998.0</v>
      </c>
      <c r="B3992" s="5" t="s">
        <v>5594</v>
      </c>
      <c r="C3992" s="5" t="s">
        <v>4232</v>
      </c>
      <c r="D3992" s="5" t="s">
        <v>6636</v>
      </c>
      <c r="E3992" s="8">
        <f>vlookup(B3992,Filmes_final!$B$2:$U$1001,20,FALSE)</f>
        <v>295793816</v>
      </c>
      <c r="F3992" s="5">
        <f>vlookup(B3992,Filmes_final!$B$2:$U$1001,3,FALSE)</f>
        <v>1953</v>
      </c>
      <c r="G3992" s="5" t="str">
        <f>vlookup(B3992,Filmes_final!$B$2:$U$1001,13,FALSE)</f>
        <v>Fred Zinnemann</v>
      </c>
    </row>
    <row r="3993">
      <c r="A3993" s="5">
        <v>998.0</v>
      </c>
      <c r="B3993" s="5" t="s">
        <v>5594</v>
      </c>
      <c r="C3993" s="5" t="s">
        <v>275</v>
      </c>
      <c r="D3993" s="5" t="s">
        <v>6637</v>
      </c>
      <c r="E3993" s="8">
        <f>vlookup(B3993,Filmes_final!$B$2:$U$1001,20,FALSE)</f>
        <v>295793816</v>
      </c>
      <c r="F3993" s="5">
        <f>vlookup(B3993,Filmes_final!$B$2:$U$1001,3,FALSE)</f>
        <v>1953</v>
      </c>
      <c r="G3993" s="5" t="str">
        <f>vlookup(B3993,Filmes_final!$B$2:$U$1001,13,FALSE)</f>
        <v>Fred Zinnemann</v>
      </c>
    </row>
    <row r="3994">
      <c r="A3994" s="5">
        <v>999.0</v>
      </c>
      <c r="B3994" s="5" t="s">
        <v>5596</v>
      </c>
      <c r="C3994" s="5" t="s">
        <v>5598</v>
      </c>
      <c r="D3994" s="5" t="s">
        <v>6634</v>
      </c>
      <c r="E3994" s="8">
        <f>vlookup(B3994,Filmes_final!$B$2:$U$1001,20,FALSE)</f>
        <v>23573212</v>
      </c>
      <c r="F3994" s="5">
        <f>vlookup(B3994,Filmes_final!$B$2:$U$1001,3,FALSE)</f>
        <v>1944</v>
      </c>
      <c r="G3994" s="5" t="str">
        <f>vlookup(B3994,Filmes_final!$B$2:$U$1001,13,FALSE)</f>
        <v>Alfred Hitchcock</v>
      </c>
    </row>
    <row r="3995">
      <c r="A3995" s="5">
        <v>999.0</v>
      </c>
      <c r="B3995" s="5" t="s">
        <v>5596</v>
      </c>
      <c r="C3995" s="5" t="s">
        <v>5599</v>
      </c>
      <c r="D3995" s="5" t="s">
        <v>6635</v>
      </c>
      <c r="E3995" s="8">
        <f>vlookup(B3995,Filmes_final!$B$2:$U$1001,20,FALSE)</f>
        <v>23573212</v>
      </c>
      <c r="F3995" s="5">
        <f>vlookup(B3995,Filmes_final!$B$2:$U$1001,3,FALSE)</f>
        <v>1944</v>
      </c>
      <c r="G3995" s="5" t="str">
        <f>vlookup(B3995,Filmes_final!$B$2:$U$1001,13,FALSE)</f>
        <v>Alfred Hitchcock</v>
      </c>
    </row>
    <row r="3996">
      <c r="A3996" s="5">
        <v>999.0</v>
      </c>
      <c r="B3996" s="5" t="s">
        <v>5596</v>
      </c>
      <c r="C3996" s="5" t="s">
        <v>5600</v>
      </c>
      <c r="D3996" s="5" t="s">
        <v>6636</v>
      </c>
      <c r="E3996" s="8">
        <f>vlookup(B3996,Filmes_final!$B$2:$U$1001,20,FALSE)</f>
        <v>23573212</v>
      </c>
      <c r="F3996" s="5">
        <f>vlookup(B3996,Filmes_final!$B$2:$U$1001,3,FALSE)</f>
        <v>1944</v>
      </c>
      <c r="G3996" s="5" t="str">
        <f>vlookup(B3996,Filmes_final!$B$2:$U$1001,13,FALSE)</f>
        <v>Alfred Hitchcock</v>
      </c>
    </row>
    <row r="3997">
      <c r="A3997" s="5">
        <v>999.0</v>
      </c>
      <c r="B3997" s="5" t="s">
        <v>5596</v>
      </c>
      <c r="C3997" s="5" t="s">
        <v>5601</v>
      </c>
      <c r="D3997" s="5" t="s">
        <v>6637</v>
      </c>
      <c r="E3997" s="8">
        <f>vlookup(B3997,Filmes_final!$B$2:$U$1001,20,FALSE)</f>
        <v>23573212</v>
      </c>
      <c r="F3997" s="5">
        <f>vlookup(B3997,Filmes_final!$B$2:$U$1001,3,FALSE)</f>
        <v>1944</v>
      </c>
      <c r="G3997" s="5" t="str">
        <f>vlookup(B3997,Filmes_final!$B$2:$U$1001,13,FALSE)</f>
        <v>Alfred Hitchcock</v>
      </c>
    </row>
    <row r="3998">
      <c r="A3998" s="5">
        <v>1000.0</v>
      </c>
      <c r="B3998" s="5" t="s">
        <v>5602</v>
      </c>
      <c r="C3998" s="5" t="s">
        <v>5604</v>
      </c>
      <c r="D3998" s="5" t="s">
        <v>6634</v>
      </c>
      <c r="E3998" s="8">
        <f>vlookup(B3998,Filmes_final!$B$2:$U$1001,20,FALSE)</f>
        <v>980878</v>
      </c>
      <c r="F3998" s="5">
        <f>vlookup(B3998,Filmes_final!$B$2:$U$1001,3,FALSE)</f>
        <v>1935</v>
      </c>
      <c r="G3998" s="5" t="str">
        <f>vlookup(B3998,Filmes_final!$B$2:$U$1001,13,FALSE)</f>
        <v>Alfred Hitchcock</v>
      </c>
    </row>
    <row r="3999">
      <c r="A3999" s="5">
        <v>1000.0</v>
      </c>
      <c r="B3999" s="5" t="s">
        <v>5602</v>
      </c>
      <c r="C3999" s="5" t="s">
        <v>5605</v>
      </c>
      <c r="D3999" s="5" t="s">
        <v>6635</v>
      </c>
      <c r="E3999" s="8">
        <f>vlookup(B3999,Filmes_final!$B$2:$U$1001,20,FALSE)</f>
        <v>980878</v>
      </c>
      <c r="F3999" s="5">
        <f>vlookup(B3999,Filmes_final!$B$2:$U$1001,3,FALSE)</f>
        <v>1935</v>
      </c>
      <c r="G3999" s="5" t="str">
        <f>vlookup(B3999,Filmes_final!$B$2:$U$1001,13,FALSE)</f>
        <v>Alfred Hitchcock</v>
      </c>
    </row>
    <row r="4000">
      <c r="A4000" s="5">
        <v>1000.0</v>
      </c>
      <c r="B4000" s="5" t="s">
        <v>5602</v>
      </c>
      <c r="C4000" s="5" t="s">
        <v>5606</v>
      </c>
      <c r="D4000" s="5" t="s">
        <v>6636</v>
      </c>
      <c r="E4000" s="8">
        <f>vlookup(B4000,Filmes_final!$B$2:$U$1001,20,FALSE)</f>
        <v>980878</v>
      </c>
      <c r="F4000" s="5">
        <f>vlookup(B4000,Filmes_final!$B$2:$U$1001,3,FALSE)</f>
        <v>1935</v>
      </c>
      <c r="G4000" s="5" t="str">
        <f>vlookup(B4000,Filmes_final!$B$2:$U$1001,13,FALSE)</f>
        <v>Alfred Hitchcock</v>
      </c>
    </row>
    <row r="4001">
      <c r="A4001" s="5">
        <v>1000.0</v>
      </c>
      <c r="B4001" s="5" t="s">
        <v>5602</v>
      </c>
      <c r="C4001" s="5" t="s">
        <v>5607</v>
      </c>
      <c r="D4001" s="5" t="s">
        <v>6637</v>
      </c>
      <c r="E4001" s="8">
        <f>vlookup(B4001,Filmes_final!$B$2:$U$1001,20,FALSE)</f>
        <v>980878</v>
      </c>
      <c r="F4001" s="5">
        <f>vlookup(B4001,Filmes_final!$B$2:$U$1001,3,FALSE)</f>
        <v>1935</v>
      </c>
      <c r="G4001" s="5" t="str">
        <f>vlookup(B4001,Filmes_final!$B$2:$U$1001,13,FALSE)</f>
        <v>Alfred Hitchcock</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3.75"/>
  </cols>
  <sheetData>
    <row r="1">
      <c r="A1" s="1" t="s">
        <v>0</v>
      </c>
      <c r="B1" s="11" t="s">
        <v>2</v>
      </c>
      <c r="C1" s="5" t="str">
        <f>Filmes_final!D1</f>
        <v>Released_Year</v>
      </c>
      <c r="D1" s="1" t="s">
        <v>6638</v>
      </c>
      <c r="E1" s="1" t="s">
        <v>6639</v>
      </c>
      <c r="F1" s="1" t="s">
        <v>6640</v>
      </c>
    </row>
    <row r="2">
      <c r="A2" s="1">
        <v>1.0</v>
      </c>
      <c r="B2" s="8">
        <f>Filmes_final!C2</f>
        <v>28341469</v>
      </c>
      <c r="C2" s="5">
        <f>Filmes_final!D2</f>
        <v>1994</v>
      </c>
      <c r="D2" s="5">
        <f t="shared" ref="D2:D1001" si="1">MAX($C$2:$C$1001)</f>
        <v>2020</v>
      </c>
      <c r="E2" s="12">
        <f t="shared" ref="E2:E1001" si="2">VLOOKUP(C2, $K$2:$M$102,3,TRUE)</f>
        <v>1.76450752</v>
      </c>
      <c r="F2" s="8">
        <f t="shared" ref="F2:F1001" si="3">round(B2*E2,0)</f>
        <v>50008735</v>
      </c>
      <c r="K2" s="1">
        <v>1920.0</v>
      </c>
      <c r="L2" s="5">
        <f t="shared" ref="L2:L102" si="4">MAX($C$2:$C$1001)</f>
        <v>2020</v>
      </c>
      <c r="M2" s="12">
        <f>IFERROR(__xludf.DUMMYFUNCTION("IMPORTXML(""https://data.bls.gov/cgi-bin/cpicalc.pl?cost1=1000000&amp;year1=""&amp;K2&amp;""01&amp;year2=""&amp;L2&amp;""01"", ""//span[@id='answer']"") / 1000000"),13.36637306)</f>
        <v>13.36637306</v>
      </c>
    </row>
    <row r="3">
      <c r="A3" s="1">
        <v>2.0</v>
      </c>
      <c r="B3" s="8">
        <f>Filmes_final!C3</f>
        <v>134966411</v>
      </c>
      <c r="C3" s="5">
        <f>Filmes_final!D3</f>
        <v>1972</v>
      </c>
      <c r="D3" s="5">
        <f t="shared" si="1"/>
        <v>2020</v>
      </c>
      <c r="E3" s="12">
        <f t="shared" si="2"/>
        <v>6.27666667</v>
      </c>
      <c r="F3" s="8">
        <f t="shared" si="3"/>
        <v>847139173</v>
      </c>
      <c r="K3" s="1">
        <v>1921.0</v>
      </c>
      <c r="L3" s="5">
        <f t="shared" si="4"/>
        <v>2020</v>
      </c>
      <c r="M3" s="12">
        <f>IFERROR(__xludf.DUMMYFUNCTION("IMPORTXML(""https://data.bls.gov/cgi-bin/cpicalc.pl?cost1=1000000&amp;year1=""&amp;K3&amp;""01&amp;year2=""&amp;L3&amp;""01"", ""//span[@id='answer']"") / 1000000"),13.57742105)</f>
        <v>13.57742105</v>
      </c>
    </row>
    <row r="4">
      <c r="A4" s="1">
        <v>3.0</v>
      </c>
      <c r="B4" s="8">
        <f>Filmes_final!C4</f>
        <v>534858444</v>
      </c>
      <c r="C4" s="5">
        <f>Filmes_final!D4</f>
        <v>2008</v>
      </c>
      <c r="D4" s="5">
        <f t="shared" si="1"/>
        <v>2020</v>
      </c>
      <c r="E4" s="12">
        <f t="shared" si="2"/>
        <v>1.222148</v>
      </c>
      <c r="F4" s="8">
        <f t="shared" si="3"/>
        <v>653676178</v>
      </c>
      <c r="K4" s="1">
        <v>1922.0</v>
      </c>
      <c r="L4" s="5">
        <f t="shared" si="4"/>
        <v>2020</v>
      </c>
      <c r="M4" s="12">
        <f>IFERROR(__xludf.DUMMYFUNCTION("IMPORTXML(""https://data.bls.gov/cgi-bin/cpicalc.pl?cost1=1000000&amp;year1=""&amp;K4&amp;""01&amp;year2=""&amp;L4&amp;""01"", ""//span[@id='answer']"") / 1000000"),15.26455621)</f>
        <v>15.26455621</v>
      </c>
    </row>
    <row r="5">
      <c r="A5" s="1">
        <v>4.0</v>
      </c>
      <c r="B5" s="8">
        <f>Filmes_final!C5</f>
        <v>57300000</v>
      </c>
      <c r="C5" s="5">
        <f>Filmes_final!D5</f>
        <v>1974</v>
      </c>
      <c r="D5" s="5">
        <f t="shared" si="1"/>
        <v>2020</v>
      </c>
      <c r="E5" s="12">
        <f t="shared" si="2"/>
        <v>5.53585837</v>
      </c>
      <c r="F5" s="8">
        <f t="shared" si="3"/>
        <v>317204685</v>
      </c>
      <c r="K5" s="1">
        <v>1923.0</v>
      </c>
      <c r="L5" s="5">
        <f t="shared" si="4"/>
        <v>2020</v>
      </c>
      <c r="M5" s="12">
        <f>IFERROR(__xludf.DUMMYFUNCTION("IMPORTXML(""https://data.bls.gov/cgi-bin/cpicalc.pl?cost1=1000000&amp;year1=""&amp;K5&amp;""01&amp;year2=""&amp;L5&amp;""01"", ""//span[@id='answer']"") / 1000000"),15.35541667)</f>
        <v>15.35541667</v>
      </c>
    </row>
    <row r="6">
      <c r="A6" s="1">
        <v>5.0</v>
      </c>
      <c r="B6" s="8">
        <f>Filmes_final!C6</f>
        <v>4360000</v>
      </c>
      <c r="C6" s="5">
        <f>Filmes_final!D6</f>
        <v>1957</v>
      </c>
      <c r="D6" s="5">
        <f t="shared" si="1"/>
        <v>2020</v>
      </c>
      <c r="E6" s="12">
        <f t="shared" si="2"/>
        <v>9.34677536</v>
      </c>
      <c r="F6" s="8">
        <f t="shared" si="3"/>
        <v>40751941</v>
      </c>
      <c r="K6" s="1">
        <v>1924.0</v>
      </c>
      <c r="L6" s="5">
        <f t="shared" si="4"/>
        <v>2020</v>
      </c>
      <c r="M6" s="12">
        <f>IFERROR(__xludf.DUMMYFUNCTION("IMPORTXML(""https://data.bls.gov/cgi-bin/cpicalc.pl?cost1=1000000&amp;year1=""&amp;K6&amp;""01&amp;year2=""&amp;L6&amp;""01"", ""//span[@id='answer']"") / 1000000"),14.9116185)</f>
        <v>14.9116185</v>
      </c>
    </row>
    <row r="7">
      <c r="A7" s="1">
        <v>6.0</v>
      </c>
      <c r="B7" s="8">
        <f>Filmes_final!C7</f>
        <v>377845905</v>
      </c>
      <c r="C7" s="5">
        <f>Filmes_final!D7</f>
        <v>2003</v>
      </c>
      <c r="D7" s="5">
        <f t="shared" si="1"/>
        <v>2020</v>
      </c>
      <c r="E7" s="12">
        <f t="shared" si="2"/>
        <v>1.41976335</v>
      </c>
      <c r="F7" s="8">
        <f t="shared" si="3"/>
        <v>536451768</v>
      </c>
      <c r="K7" s="1">
        <v>1925.0</v>
      </c>
      <c r="L7" s="5">
        <f t="shared" si="4"/>
        <v>2020</v>
      </c>
      <c r="M7" s="12">
        <f>IFERROR(__xludf.DUMMYFUNCTION("IMPORTXML(""https://data.bls.gov/cgi-bin/cpicalc.pl?cost1=1000000&amp;year1=""&amp;K7&amp;""01&amp;year2=""&amp;L7&amp;""01"", ""//span[@id='answer']"") / 1000000"),14.9116185)</f>
        <v>14.9116185</v>
      </c>
    </row>
    <row r="8">
      <c r="A8" s="1">
        <v>7.0</v>
      </c>
      <c r="B8" s="8">
        <f>Filmes_final!C8</f>
        <v>107928762</v>
      </c>
      <c r="C8" s="5">
        <f>Filmes_final!D8</f>
        <v>1994</v>
      </c>
      <c r="D8" s="5">
        <f t="shared" si="1"/>
        <v>2020</v>
      </c>
      <c r="E8" s="12">
        <f t="shared" si="2"/>
        <v>1.76450752</v>
      </c>
      <c r="F8" s="8">
        <f t="shared" si="3"/>
        <v>190441112</v>
      </c>
      <c r="K8" s="1">
        <v>1926.0</v>
      </c>
      <c r="L8" s="5">
        <f t="shared" si="4"/>
        <v>2020</v>
      </c>
      <c r="M8" s="12">
        <f>IFERROR(__xludf.DUMMYFUNCTION("IMPORTXML(""https://data.bls.gov/cgi-bin/cpicalc.pl?cost1=1000000&amp;year1=""&amp;K8&amp;""01&amp;year2=""&amp;L8&amp;""01"", ""//span[@id='answer']"") / 1000000"),14.41178771)</f>
        <v>14.41178771</v>
      </c>
    </row>
    <row r="9">
      <c r="A9" s="1">
        <v>8.0</v>
      </c>
      <c r="B9" s="8">
        <f>Filmes_final!C9</f>
        <v>96898818</v>
      </c>
      <c r="C9" s="5">
        <f>Filmes_final!D9</f>
        <v>1993</v>
      </c>
      <c r="D9" s="5">
        <f t="shared" si="1"/>
        <v>2020</v>
      </c>
      <c r="E9" s="12">
        <f t="shared" si="2"/>
        <v>1.8090533</v>
      </c>
      <c r="F9" s="8">
        <f t="shared" si="3"/>
        <v>175295126</v>
      </c>
      <c r="K9" s="1">
        <v>1927.0</v>
      </c>
      <c r="L9" s="5">
        <f t="shared" si="4"/>
        <v>2020</v>
      </c>
      <c r="M9" s="12">
        <f>IFERROR(__xludf.DUMMYFUNCTION("IMPORTXML(""https://data.bls.gov/cgi-bin/cpicalc.pl?cost1=1000000&amp;year1=""&amp;K9&amp;""01&amp;year2=""&amp;L9&amp;""01"", ""//span[@id='answer']"") / 1000000"),14.7412)</f>
        <v>14.7412</v>
      </c>
    </row>
    <row r="10">
      <c r="A10" s="1">
        <v>9.0</v>
      </c>
      <c r="B10" s="8">
        <f>Filmes_final!C10</f>
        <v>292576195</v>
      </c>
      <c r="C10" s="5">
        <f>Filmes_final!D10</f>
        <v>2010</v>
      </c>
      <c r="D10" s="5">
        <f t="shared" si="1"/>
        <v>2020</v>
      </c>
      <c r="E10" s="12">
        <f t="shared" si="2"/>
        <v>1.19052366</v>
      </c>
      <c r="F10" s="8">
        <f t="shared" si="3"/>
        <v>348318883</v>
      </c>
      <c r="K10" s="1">
        <v>1928.0</v>
      </c>
      <c r="L10" s="5">
        <f t="shared" si="4"/>
        <v>2020</v>
      </c>
      <c r="M10" s="12">
        <f>IFERROR(__xludf.DUMMYFUNCTION("IMPORTXML(""https://data.bls.gov/cgi-bin/cpicalc.pl?cost1=1000000&amp;year1=""&amp;K10&amp;""01&amp;year2=""&amp;L10&amp;""01"", ""//span[@id='answer']"") / 1000000"),14.9116185)</f>
        <v>14.9116185</v>
      </c>
    </row>
    <row r="11">
      <c r="A11" s="1">
        <v>10.0</v>
      </c>
      <c r="B11" s="8">
        <f>Filmes_final!C11</f>
        <v>37030102</v>
      </c>
      <c r="C11" s="5">
        <f>Filmes_final!D11</f>
        <v>1999</v>
      </c>
      <c r="D11" s="5">
        <f t="shared" si="1"/>
        <v>2020</v>
      </c>
      <c r="E11" s="12">
        <f t="shared" si="2"/>
        <v>1.57012173</v>
      </c>
      <c r="F11" s="8">
        <f t="shared" si="3"/>
        <v>58141768</v>
      </c>
      <c r="K11" s="1">
        <v>1929.0</v>
      </c>
      <c r="L11" s="5">
        <f t="shared" si="4"/>
        <v>2020</v>
      </c>
      <c r="M11" s="12">
        <f>IFERROR(__xludf.DUMMYFUNCTION("IMPORTXML(""https://data.bls.gov/cgi-bin/cpicalc.pl?cost1=1000000&amp;year1=""&amp;K11&amp;""01&amp;year2=""&amp;L11&amp;""01"", ""//span[@id='answer']"") / 1000000"),15.086023390000001)</f>
        <v>15.08602339</v>
      </c>
    </row>
    <row r="12">
      <c r="A12" s="1">
        <v>11.0</v>
      </c>
      <c r="B12" s="8">
        <f>Filmes_final!C12</f>
        <v>315544750</v>
      </c>
      <c r="C12" s="5">
        <f>Filmes_final!D12</f>
        <v>2001</v>
      </c>
      <c r="D12" s="5">
        <f t="shared" si="1"/>
        <v>2020</v>
      </c>
      <c r="E12" s="12">
        <f t="shared" si="2"/>
        <v>1.47327813</v>
      </c>
      <c r="F12" s="8">
        <f t="shared" si="3"/>
        <v>464885179</v>
      </c>
      <c r="K12" s="1">
        <v>1930.0</v>
      </c>
      <c r="L12" s="5">
        <f t="shared" si="4"/>
        <v>2020</v>
      </c>
      <c r="M12" s="12">
        <f>IFERROR(__xludf.DUMMYFUNCTION("IMPORTXML(""https://data.bls.gov/cgi-bin/cpicalc.pl?cost1=1000000&amp;year1=""&amp;K12&amp;""01&amp;year2=""&amp;L12&amp;""01"", ""//span[@id='answer']"") / 1000000"),15.086023390000001)</f>
        <v>15.08602339</v>
      </c>
    </row>
    <row r="13">
      <c r="A13" s="1">
        <v>12.0</v>
      </c>
      <c r="B13" s="8">
        <f>Filmes_final!C13</f>
        <v>330252182</v>
      </c>
      <c r="C13" s="5">
        <f>Filmes_final!D13</f>
        <v>1994</v>
      </c>
      <c r="D13" s="5">
        <f t="shared" si="1"/>
        <v>2020</v>
      </c>
      <c r="E13" s="12">
        <f t="shared" si="2"/>
        <v>1.76450752</v>
      </c>
      <c r="F13" s="8">
        <f t="shared" si="3"/>
        <v>582732459</v>
      </c>
      <c r="K13" s="1">
        <v>1931.0</v>
      </c>
      <c r="L13" s="5">
        <f t="shared" si="4"/>
        <v>2020</v>
      </c>
      <c r="M13" s="12">
        <f>IFERROR(__xludf.DUMMYFUNCTION("IMPORTXML(""https://data.bls.gov/cgi-bin/cpicalc.pl?cost1=1000000&amp;year1=""&amp;K13&amp;""01&amp;year2=""&amp;L13&amp;""01"", ""//span[@id='answer']"") / 1000000"),16.224591189999998)</f>
        <v>16.22459119</v>
      </c>
    </row>
    <row r="14">
      <c r="A14" s="1">
        <v>13.0</v>
      </c>
      <c r="B14" s="8">
        <f>Filmes_final!C14</f>
        <v>6100000</v>
      </c>
      <c r="C14" s="5">
        <f>Filmes_final!D14</f>
        <v>1966</v>
      </c>
      <c r="D14" s="5">
        <f t="shared" si="1"/>
        <v>2020</v>
      </c>
      <c r="E14" s="12">
        <f t="shared" si="2"/>
        <v>8.1122956</v>
      </c>
      <c r="F14" s="8">
        <f t="shared" si="3"/>
        <v>49485003</v>
      </c>
      <c r="K14" s="1">
        <v>1932.0</v>
      </c>
      <c r="L14" s="5">
        <f t="shared" si="4"/>
        <v>2020</v>
      </c>
      <c r="M14" s="12">
        <f>IFERROR(__xludf.DUMMYFUNCTION("IMPORTXML(""https://data.bls.gov/cgi-bin/cpicalc.pl?cost1=1000000&amp;year1=""&amp;K14&amp;""01&amp;year2=""&amp;L14&amp;""01"", ""//span[@id='answer']"") / 1000000"),18.03993007)</f>
        <v>18.03993007</v>
      </c>
    </row>
    <row r="15">
      <c r="A15" s="1">
        <v>14.0</v>
      </c>
      <c r="B15" s="8">
        <f>Filmes_final!C15</f>
        <v>342551365</v>
      </c>
      <c r="C15" s="5">
        <f>Filmes_final!D15</f>
        <v>2002</v>
      </c>
      <c r="D15" s="5">
        <f t="shared" si="1"/>
        <v>2020</v>
      </c>
      <c r="E15" s="12">
        <f t="shared" si="2"/>
        <v>1.45664032</v>
      </c>
      <c r="F15" s="8">
        <f t="shared" si="3"/>
        <v>498974130</v>
      </c>
      <c r="K15" s="1">
        <v>1933.0</v>
      </c>
      <c r="L15" s="5">
        <f t="shared" si="4"/>
        <v>2020</v>
      </c>
      <c r="M15" s="12">
        <f>IFERROR(__xludf.DUMMYFUNCTION("IMPORTXML(""https://data.bls.gov/cgi-bin/cpicalc.pl?cost1=1000000&amp;year1=""&amp;K15&amp;""01&amp;year2=""&amp;L15&amp;""01"", ""//span[@id='answer']"") / 1000000"),19.99775194)</f>
        <v>19.99775194</v>
      </c>
    </row>
    <row r="16">
      <c r="A16" s="1">
        <v>15.0</v>
      </c>
      <c r="B16" s="8">
        <f>Filmes_final!C16</f>
        <v>171479930</v>
      </c>
      <c r="C16" s="5">
        <f>Filmes_final!D16</f>
        <v>1999</v>
      </c>
      <c r="D16" s="5">
        <f t="shared" si="1"/>
        <v>2020</v>
      </c>
      <c r="E16" s="12">
        <f t="shared" si="2"/>
        <v>1.57012173</v>
      </c>
      <c r="F16" s="8">
        <f t="shared" si="3"/>
        <v>269244364</v>
      </c>
      <c r="K16" s="1">
        <v>1934.0</v>
      </c>
      <c r="L16" s="5">
        <f t="shared" si="4"/>
        <v>2020</v>
      </c>
      <c r="M16" s="12">
        <f>IFERROR(__xludf.DUMMYFUNCTION("IMPORTXML(""https://data.bls.gov/cgi-bin/cpicalc.pl?cost1=1000000&amp;year1=""&amp;K16&amp;""01&amp;year2=""&amp;L16&amp;""01"", ""//span[@id='answer']"") / 1000000"),19.54325758)</f>
        <v>19.54325758</v>
      </c>
    </row>
    <row r="17">
      <c r="A17" s="1">
        <v>16.0</v>
      </c>
      <c r="B17" s="8">
        <f>Filmes_final!C17</f>
        <v>46836394</v>
      </c>
      <c r="C17" s="5">
        <f>Filmes_final!D17</f>
        <v>1990</v>
      </c>
      <c r="D17" s="5">
        <f t="shared" si="1"/>
        <v>2020</v>
      </c>
      <c r="E17" s="12">
        <f t="shared" si="2"/>
        <v>2.02489011</v>
      </c>
      <c r="F17" s="8">
        <f t="shared" si="3"/>
        <v>94838551</v>
      </c>
      <c r="K17" s="1">
        <v>1935.0</v>
      </c>
      <c r="L17" s="5">
        <f t="shared" si="4"/>
        <v>2020</v>
      </c>
      <c r="M17" s="12">
        <f>IFERROR(__xludf.DUMMYFUNCTION("IMPORTXML(""https://data.bls.gov/cgi-bin/cpicalc.pl?cost1=1000000&amp;year1=""&amp;K17&amp;""01&amp;year2=""&amp;L17&amp;""01"", ""//span[@id='answer']"") / 1000000"),18.96845588)</f>
        <v>18.96845588</v>
      </c>
    </row>
    <row r="18">
      <c r="A18" s="1">
        <v>17.0</v>
      </c>
      <c r="B18" s="8">
        <f>Filmes_final!C18</f>
        <v>290475067</v>
      </c>
      <c r="C18" s="5">
        <f>Filmes_final!D18</f>
        <v>1980</v>
      </c>
      <c r="D18" s="5">
        <f t="shared" si="1"/>
        <v>2020</v>
      </c>
      <c r="E18" s="12">
        <f t="shared" si="2"/>
        <v>3.31582262</v>
      </c>
      <c r="F18" s="8">
        <f t="shared" si="3"/>
        <v>963163798</v>
      </c>
      <c r="K18" s="1">
        <v>1936.0</v>
      </c>
      <c r="L18" s="5">
        <f t="shared" si="4"/>
        <v>2020</v>
      </c>
      <c r="M18" s="12">
        <f>IFERROR(__xludf.DUMMYFUNCTION("IMPORTXML(""https://data.bls.gov/cgi-bin/cpicalc.pl?cost1=1000000&amp;year1=""&amp;K18&amp;""01&amp;year2=""&amp;L18&amp;""01"", ""//span[@id='answer']"") / 1000000"),18.693550719999998)</f>
        <v>18.69355072</v>
      </c>
    </row>
    <row r="19">
      <c r="A19" s="1">
        <v>18.0</v>
      </c>
      <c r="B19" s="8">
        <f>Filmes_final!C19</f>
        <v>112000000</v>
      </c>
      <c r="C19" s="5">
        <f>Filmes_final!D19</f>
        <v>1975</v>
      </c>
      <c r="D19" s="5">
        <f t="shared" si="1"/>
        <v>2020</v>
      </c>
      <c r="E19" s="12">
        <f t="shared" si="2"/>
        <v>4.95145873</v>
      </c>
      <c r="F19" s="8">
        <f t="shared" si="3"/>
        <v>554563378</v>
      </c>
      <c r="K19" s="1">
        <v>1937.0</v>
      </c>
      <c r="L19" s="5">
        <f t="shared" si="4"/>
        <v>2020</v>
      </c>
      <c r="M19" s="12">
        <f>IFERROR(__xludf.DUMMYFUNCTION("IMPORTXML(""https://data.bls.gov/cgi-bin/cpicalc.pl?cost1=1000000&amp;year1=""&amp;K19&amp;""01&amp;year2=""&amp;L19&amp;""01"", ""//span[@id='answer']"") / 1000000"),18.2958156)</f>
        <v>18.2958156</v>
      </c>
    </row>
    <row r="20">
      <c r="A20" s="1">
        <v>19.0</v>
      </c>
      <c r="B20" s="8">
        <f>Filmes_final!C20</f>
        <v>0</v>
      </c>
      <c r="C20" s="5">
        <f>Filmes_final!D20</f>
        <v>2020</v>
      </c>
      <c r="D20" s="5">
        <f t="shared" si="1"/>
        <v>2020</v>
      </c>
      <c r="E20" s="12">
        <f t="shared" si="2"/>
        <v>1</v>
      </c>
      <c r="F20" s="8">
        <f t="shared" si="3"/>
        <v>0</v>
      </c>
      <c r="K20" s="1">
        <v>1938.0</v>
      </c>
      <c r="L20" s="5">
        <f t="shared" si="4"/>
        <v>2020</v>
      </c>
      <c r="M20" s="12">
        <f>IFERROR(__xludf.DUMMYFUNCTION("IMPORTXML(""https://data.bls.gov/cgi-bin/cpicalc.pl?cost1=1000000&amp;year1=""&amp;K20&amp;""01&amp;year2=""&amp;L20&amp;""01"", ""//span[@id='answer']"") / 1000000"),18.166971829999998)</f>
        <v>18.16697183</v>
      </c>
    </row>
    <row r="21">
      <c r="A21" s="1">
        <v>20.0</v>
      </c>
      <c r="B21" s="8">
        <f>Filmes_final!C21</f>
        <v>53367844</v>
      </c>
      <c r="C21" s="5">
        <f>Filmes_final!D21</f>
        <v>2019</v>
      </c>
      <c r="D21" s="5">
        <f t="shared" si="1"/>
        <v>2020</v>
      </c>
      <c r="E21" s="12">
        <f t="shared" si="2"/>
        <v>1.02486572</v>
      </c>
      <c r="F21" s="8">
        <f t="shared" si="3"/>
        <v>54694874</v>
      </c>
      <c r="K21" s="1">
        <v>1939.0</v>
      </c>
      <c r="L21" s="5">
        <f t="shared" si="4"/>
        <v>2020</v>
      </c>
      <c r="M21" s="12">
        <f>IFERROR(__xludf.DUMMYFUNCTION("IMPORTXML(""https://data.bls.gov/cgi-bin/cpicalc.pl?cost1=1000000&amp;year1=""&amp;K21&amp;""01&amp;year2=""&amp;L21&amp;""01"", ""//span[@id='answer']"") / 1000000"),18.4265)</f>
        <v>18.4265</v>
      </c>
    </row>
    <row r="22">
      <c r="A22" s="1">
        <v>21.0</v>
      </c>
      <c r="B22" s="8">
        <f>Filmes_final!C22</f>
        <v>2024032</v>
      </c>
      <c r="C22" s="5">
        <f>Filmes_final!D22</f>
        <v>2020</v>
      </c>
      <c r="D22" s="5">
        <f t="shared" si="1"/>
        <v>2020</v>
      </c>
      <c r="E22" s="12">
        <f t="shared" si="2"/>
        <v>1</v>
      </c>
      <c r="F22" s="8">
        <f t="shared" si="3"/>
        <v>2024032</v>
      </c>
      <c r="K22" s="1">
        <v>1940.0</v>
      </c>
      <c r="L22" s="5">
        <f t="shared" si="4"/>
        <v>2020</v>
      </c>
      <c r="M22" s="12">
        <f>IFERROR(__xludf.DUMMYFUNCTION("IMPORTXML(""https://data.bls.gov/cgi-bin/cpicalc.pl?cost1=1000000&amp;year1=""&amp;K22&amp;""01&amp;year2=""&amp;L22&amp;""01"", ""//span[@id='answer']"") / 1000000"),18.55906475)</f>
        <v>18.55906475</v>
      </c>
    </row>
    <row r="23">
      <c r="A23" s="1">
        <v>22.0</v>
      </c>
      <c r="B23" s="8">
        <f>Filmes_final!C23</f>
        <v>188020017</v>
      </c>
      <c r="C23" s="5">
        <f>Filmes_final!D23</f>
        <v>2014</v>
      </c>
      <c r="D23" s="5">
        <f t="shared" si="1"/>
        <v>2020</v>
      </c>
      <c r="E23" s="12">
        <f t="shared" si="2"/>
        <v>1.10283606</v>
      </c>
      <c r="F23" s="8">
        <f t="shared" si="3"/>
        <v>207355255</v>
      </c>
      <c r="K23" s="1">
        <v>1941.0</v>
      </c>
      <c r="L23" s="5">
        <f t="shared" si="4"/>
        <v>2020</v>
      </c>
      <c r="M23" s="12">
        <f>IFERROR(__xludf.DUMMYFUNCTION("IMPORTXML(""https://data.bls.gov/cgi-bin/cpicalc.pl?cost1=1000000&amp;year1=""&amp;K23&amp;""01&amp;year2=""&amp;L23&amp;""01"", ""//span[@id='answer']"") / 1000000"),18.2958156)</f>
        <v>18.2958156</v>
      </c>
    </row>
    <row r="24">
      <c r="A24" s="1">
        <v>23.0</v>
      </c>
      <c r="B24" s="8">
        <f>Filmes_final!C24</f>
        <v>7563397</v>
      </c>
      <c r="C24" s="5">
        <f>Filmes_final!D24</f>
        <v>2002</v>
      </c>
      <c r="D24" s="5">
        <f t="shared" si="1"/>
        <v>2020</v>
      </c>
      <c r="E24" s="12">
        <f t="shared" si="2"/>
        <v>1.45664032</v>
      </c>
      <c r="F24" s="8">
        <f t="shared" si="3"/>
        <v>11017149</v>
      </c>
      <c r="K24" s="1">
        <v>1942.0</v>
      </c>
      <c r="L24" s="5">
        <f t="shared" si="4"/>
        <v>2020</v>
      </c>
      <c r="M24" s="12">
        <f>IFERROR(__xludf.DUMMYFUNCTION("IMPORTXML(""https://data.bls.gov/cgi-bin/cpicalc.pl?cost1=1000000&amp;year1=""&amp;K24&amp;""01&amp;year2=""&amp;L24&amp;""01"", ""//span[@id='answer']"") / 1000000"),16.43127389)</f>
        <v>16.43127389</v>
      </c>
    </row>
    <row r="25">
      <c r="A25" s="1">
        <v>24.0</v>
      </c>
      <c r="B25" s="8">
        <f>Filmes_final!C25</f>
        <v>10055859</v>
      </c>
      <c r="C25" s="5">
        <f>Filmes_final!D25</f>
        <v>2001</v>
      </c>
      <c r="D25" s="5">
        <f t="shared" si="1"/>
        <v>2020</v>
      </c>
      <c r="E25" s="12">
        <f t="shared" si="2"/>
        <v>1.47327813</v>
      </c>
      <c r="F25" s="8">
        <f t="shared" si="3"/>
        <v>14815077</v>
      </c>
      <c r="K25" s="1">
        <v>1943.0</v>
      </c>
      <c r="L25" s="5">
        <f t="shared" si="4"/>
        <v>2020</v>
      </c>
      <c r="M25" s="12">
        <f>IFERROR(__xludf.DUMMYFUNCTION("IMPORTXML(""https://data.bls.gov/cgi-bin/cpicalc.pl?cost1=1000000&amp;year1=""&amp;K25&amp;""01&amp;year2=""&amp;L25&amp;""01"", ""//span[@id='answer']"") / 1000000"),15.26455621)</f>
        <v>15.26455621</v>
      </c>
    </row>
    <row r="26">
      <c r="A26" s="1">
        <v>25.0</v>
      </c>
      <c r="B26" s="8">
        <f>Filmes_final!C26</f>
        <v>216540909</v>
      </c>
      <c r="C26" s="5">
        <f>Filmes_final!D26</f>
        <v>1998</v>
      </c>
      <c r="D26" s="5">
        <f t="shared" si="1"/>
        <v>2020</v>
      </c>
      <c r="E26" s="12">
        <f t="shared" si="2"/>
        <v>1.5963552</v>
      </c>
      <c r="F26" s="8">
        <f t="shared" si="3"/>
        <v>345676206</v>
      </c>
      <c r="K26" s="1">
        <v>1944.0</v>
      </c>
      <c r="L26" s="5">
        <f t="shared" si="4"/>
        <v>2020</v>
      </c>
      <c r="M26" s="12">
        <f>IFERROR(__xludf.DUMMYFUNCTION("IMPORTXML(""https://data.bls.gov/cgi-bin/cpicalc.pl?cost1=1000000&amp;year1=""&amp;K26&amp;""01&amp;year2=""&amp;L26&amp;""01"", ""//span[@id='answer']"") / 1000000"),14.82591954)</f>
        <v>14.82591954</v>
      </c>
    </row>
    <row r="27">
      <c r="A27" s="1">
        <v>26.0</v>
      </c>
      <c r="B27" s="8">
        <f>Filmes_final!C27</f>
        <v>136801374</v>
      </c>
      <c r="C27" s="5">
        <f>Filmes_final!D27</f>
        <v>1999</v>
      </c>
      <c r="D27" s="5">
        <f t="shared" si="1"/>
        <v>2020</v>
      </c>
      <c r="E27" s="12">
        <f t="shared" si="2"/>
        <v>1.57012173</v>
      </c>
      <c r="F27" s="8">
        <f t="shared" si="3"/>
        <v>214794810</v>
      </c>
      <c r="K27" s="1">
        <v>1945.0</v>
      </c>
      <c r="L27" s="5">
        <f t="shared" si="4"/>
        <v>2020</v>
      </c>
      <c r="M27" s="12">
        <f>IFERROR(__xludf.DUMMYFUNCTION("IMPORTXML(""https://data.bls.gov/cgi-bin/cpicalc.pl?cost1=1000000&amp;year1=""&amp;K27&amp;""01&amp;year2=""&amp;L27&amp;""01"", ""//span[@id='answer']"") / 1000000"),14.49275281)</f>
        <v>14.49275281</v>
      </c>
    </row>
    <row r="28">
      <c r="A28" s="1">
        <v>27.0</v>
      </c>
      <c r="B28" s="8">
        <f>Filmes_final!C28</f>
        <v>57598247</v>
      </c>
      <c r="C28" s="5">
        <f>Filmes_final!D28</f>
        <v>1997</v>
      </c>
      <c r="D28" s="5">
        <f t="shared" si="1"/>
        <v>2020</v>
      </c>
      <c r="E28" s="12">
        <f t="shared" si="2"/>
        <v>1.62143935</v>
      </c>
      <c r="F28" s="8">
        <f t="shared" si="3"/>
        <v>93392064</v>
      </c>
      <c r="K28" s="1">
        <v>1946.0</v>
      </c>
      <c r="L28" s="5">
        <f t="shared" si="4"/>
        <v>2020</v>
      </c>
      <c r="M28" s="12">
        <f>IFERROR(__xludf.DUMMYFUNCTION("IMPORTXML(""https://data.bls.gov/cgi-bin/cpicalc.pl?cost1=1000000&amp;year1=""&amp;K28&amp;""01&amp;year2=""&amp;L28&amp;""01"", ""//span[@id='answer']"") / 1000000"),14.17423077)</f>
        <v>14.17423077</v>
      </c>
    </row>
    <row r="29">
      <c r="A29" s="1">
        <v>28.0</v>
      </c>
      <c r="B29" s="8">
        <f>Filmes_final!C29</f>
        <v>100125643</v>
      </c>
      <c r="C29" s="5">
        <f>Filmes_final!D29</f>
        <v>1995</v>
      </c>
      <c r="D29" s="5">
        <f t="shared" si="1"/>
        <v>2020</v>
      </c>
      <c r="E29" s="12">
        <f t="shared" si="2"/>
        <v>1.71637392</v>
      </c>
      <c r="F29" s="8">
        <f t="shared" si="3"/>
        <v>171853042</v>
      </c>
      <c r="K29" s="1">
        <v>1947.0</v>
      </c>
      <c r="L29" s="5">
        <f t="shared" si="4"/>
        <v>2020</v>
      </c>
      <c r="M29" s="12">
        <f>IFERROR(__xludf.DUMMYFUNCTION("IMPORTXML(""https://data.bls.gov/cgi-bin/cpicalc.pl?cost1=1000000&amp;year1=""&amp;K29&amp;""01&amp;year2=""&amp;L29&amp;""01"", ""//span[@id='answer']"") / 1000000"),11.99865116)</f>
        <v>11.99865116</v>
      </c>
    </row>
    <row r="30">
      <c r="A30" s="1">
        <v>29.0</v>
      </c>
      <c r="B30" s="8">
        <f>Filmes_final!C30</f>
        <v>130742922</v>
      </c>
      <c r="C30" s="5">
        <f>Filmes_final!D30</f>
        <v>1991</v>
      </c>
      <c r="D30" s="5">
        <f t="shared" si="1"/>
        <v>2020</v>
      </c>
      <c r="E30" s="12">
        <f t="shared" si="2"/>
        <v>1.91657504</v>
      </c>
      <c r="F30" s="8">
        <f t="shared" si="3"/>
        <v>250578621</v>
      </c>
      <c r="K30" s="1">
        <v>1948.0</v>
      </c>
      <c r="L30" s="5">
        <f t="shared" si="4"/>
        <v>2020</v>
      </c>
      <c r="M30" s="12">
        <f>IFERROR(__xludf.DUMMYFUNCTION("IMPORTXML(""https://data.bls.gov/cgi-bin/cpicalc.pl?cost1=1000000&amp;year1=""&amp;K30&amp;""01&amp;year2=""&amp;L30&amp;""01"", ""//span[@id='answer']"") / 1000000"),10.88485232)</f>
        <v>10.88485232</v>
      </c>
    </row>
    <row r="31">
      <c r="A31" s="1">
        <v>30.0</v>
      </c>
      <c r="B31" s="8">
        <f>Filmes_final!C31</f>
        <v>322740140</v>
      </c>
      <c r="C31" s="5">
        <f>Filmes_final!D31</f>
        <v>1977</v>
      </c>
      <c r="D31" s="5">
        <f t="shared" si="1"/>
        <v>2020</v>
      </c>
      <c r="E31" s="12">
        <f t="shared" si="2"/>
        <v>4.40976068</v>
      </c>
      <c r="F31" s="8">
        <f t="shared" si="3"/>
        <v>1423206779</v>
      </c>
      <c r="K31" s="1">
        <v>1949.0</v>
      </c>
      <c r="L31" s="5">
        <f t="shared" si="4"/>
        <v>2020</v>
      </c>
      <c r="M31" s="12">
        <f>IFERROR(__xludf.DUMMYFUNCTION("IMPORTXML(""https://data.bls.gov/cgi-bin/cpicalc.pl?cost1=1000000&amp;year1=""&amp;K31&amp;""01&amp;year2=""&amp;L31&amp;""01"", ""//span[@id='answer']"") / 1000000"),10.74879167)</f>
        <v>10.74879167</v>
      </c>
    </row>
    <row r="32">
      <c r="A32" s="1">
        <v>31.0</v>
      </c>
      <c r="B32" s="8">
        <f>Filmes_final!C32</f>
        <v>15222</v>
      </c>
      <c r="C32" s="5">
        <f>Filmes_final!D32</f>
        <v>1962</v>
      </c>
      <c r="D32" s="5">
        <f t="shared" si="1"/>
        <v>2020</v>
      </c>
      <c r="E32" s="12">
        <f t="shared" si="2"/>
        <v>8.59903333</v>
      </c>
      <c r="F32" s="8">
        <f t="shared" si="3"/>
        <v>130894</v>
      </c>
      <c r="K32" s="1">
        <v>1950.0</v>
      </c>
      <c r="L32" s="5">
        <f t="shared" si="4"/>
        <v>2020</v>
      </c>
      <c r="M32" s="12">
        <f>IFERROR(__xludf.DUMMYFUNCTION("IMPORTXML(""https://data.bls.gov/cgi-bin/cpicalc.pl?cost1=1000000&amp;year1=""&amp;K32&amp;""01&amp;year2=""&amp;L32&amp;""01"", ""//span[@id='answer']"") / 1000000"),10.97748936)</f>
        <v>10.97748936</v>
      </c>
    </row>
    <row r="33">
      <c r="A33" s="1">
        <v>32.0</v>
      </c>
      <c r="B33" s="8">
        <f>Filmes_final!C33</f>
        <v>269061</v>
      </c>
      <c r="C33" s="5">
        <f>Filmes_final!D33</f>
        <v>1954</v>
      </c>
      <c r="D33" s="5">
        <f t="shared" si="1"/>
        <v>2020</v>
      </c>
      <c r="E33" s="12">
        <f t="shared" si="2"/>
        <v>9.59</v>
      </c>
      <c r="F33" s="8">
        <f t="shared" si="3"/>
        <v>2580295</v>
      </c>
      <c r="K33" s="1">
        <v>1951.0</v>
      </c>
      <c r="L33" s="5">
        <f t="shared" si="4"/>
        <v>2020</v>
      </c>
      <c r="M33" s="12">
        <f>IFERROR(__xludf.DUMMYFUNCTION("IMPORTXML(""https://data.bls.gov/cgi-bin/cpicalc.pl?cost1=1000000&amp;year1=""&amp;K33&amp;""01&amp;year2=""&amp;L33&amp;""01"", ""//span[@id='answer']"") / 1000000"),10.15633858)</f>
        <v>10.15633858</v>
      </c>
    </row>
    <row r="34">
      <c r="A34" s="1">
        <v>33.0</v>
      </c>
      <c r="B34" s="8">
        <f>Filmes_final!C34</f>
        <v>44000</v>
      </c>
      <c r="C34" s="5">
        <f>Filmes_final!D34</f>
        <v>1946</v>
      </c>
      <c r="D34" s="5">
        <f t="shared" si="1"/>
        <v>2020</v>
      </c>
      <c r="E34" s="12">
        <f t="shared" si="2"/>
        <v>14.17423077</v>
      </c>
      <c r="F34" s="8">
        <f t="shared" si="3"/>
        <v>623666</v>
      </c>
      <c r="K34" s="1">
        <v>1952.0</v>
      </c>
      <c r="L34" s="5">
        <f t="shared" si="4"/>
        <v>2020</v>
      </c>
      <c r="M34" s="12">
        <f>IFERROR(__xludf.DUMMYFUNCTION("IMPORTXML(""https://data.bls.gov/cgi-bin/cpicalc.pl?cost1=1000000&amp;year1=""&amp;K34&amp;""01&amp;year2=""&amp;L34&amp;""01"", ""//span[@id='answer']"") / 1000000"),9.734754720000002)</f>
        <v>9.73475472</v>
      </c>
    </row>
    <row r="35">
      <c r="A35" s="1">
        <v>34.0</v>
      </c>
      <c r="B35" s="8">
        <f>Filmes_final!C35</f>
        <v>335451311</v>
      </c>
      <c r="C35" s="5">
        <f>Filmes_final!D35</f>
        <v>2019</v>
      </c>
      <c r="D35" s="5">
        <f t="shared" si="1"/>
        <v>2020</v>
      </c>
      <c r="E35" s="12">
        <f t="shared" si="2"/>
        <v>1.02486572</v>
      </c>
      <c r="F35" s="8">
        <f t="shared" si="3"/>
        <v>343792549</v>
      </c>
      <c r="K35" s="1">
        <v>1953.0</v>
      </c>
      <c r="L35" s="5">
        <f t="shared" si="4"/>
        <v>2020</v>
      </c>
      <c r="M35" s="12">
        <f>IFERROR(__xludf.DUMMYFUNCTION("IMPORTXML(""https://data.bls.gov/cgi-bin/cpicalc.pl?cost1=1000000&amp;year1=""&amp;K35&amp;""01&amp;year2=""&amp;L35&amp;""01"", ""//span[@id='answer']"") / 1000000"),9.698157890000001)</f>
        <v>9.69815789</v>
      </c>
    </row>
    <row r="36">
      <c r="A36" s="1">
        <v>35.0</v>
      </c>
      <c r="B36" s="8">
        <f>Filmes_final!C36</f>
        <v>13092000</v>
      </c>
      <c r="C36" s="5">
        <f>Filmes_final!D36</f>
        <v>2014</v>
      </c>
      <c r="D36" s="5">
        <f t="shared" si="1"/>
        <v>2020</v>
      </c>
      <c r="E36" s="12">
        <f t="shared" si="2"/>
        <v>1.10283606</v>
      </c>
      <c r="F36" s="8">
        <f t="shared" si="3"/>
        <v>14438330</v>
      </c>
      <c r="K36" s="1">
        <v>1954.0</v>
      </c>
      <c r="L36" s="5">
        <f t="shared" si="4"/>
        <v>2020</v>
      </c>
      <c r="M36" s="12">
        <f>IFERROR(__xludf.DUMMYFUNCTION("IMPORTXML(""https://data.bls.gov/cgi-bin/cpicalc.pl?cost1=1000000&amp;year1=""&amp;K36&amp;""01&amp;year2=""&amp;L36&amp;""01"", ""//span[@id='answer']"") / 1000000"),9.59)</f>
        <v>9.59</v>
      </c>
    </row>
    <row r="37">
      <c r="A37" s="1">
        <v>36.0</v>
      </c>
      <c r="B37" s="8">
        <f>Filmes_final!C37</f>
        <v>13182281</v>
      </c>
      <c r="C37" s="5">
        <f>Filmes_final!D37</f>
        <v>2011</v>
      </c>
      <c r="D37" s="5">
        <f t="shared" si="1"/>
        <v>2020</v>
      </c>
      <c r="E37" s="12">
        <f t="shared" si="2"/>
        <v>1.17140807</v>
      </c>
      <c r="F37" s="8">
        <f t="shared" si="3"/>
        <v>15441830</v>
      </c>
      <c r="K37" s="1">
        <v>1955.0</v>
      </c>
      <c r="L37" s="5">
        <f t="shared" si="4"/>
        <v>2020</v>
      </c>
      <c r="M37" s="12">
        <f>IFERROR(__xludf.DUMMYFUNCTION("IMPORTXML(""https://data.bls.gov/cgi-bin/cpicalc.pl?cost1=1000000&amp;year1=""&amp;K37&amp;""01&amp;year2=""&amp;L37&amp;""01"", ""//span[@id='answer']"") / 1000000"),9.661835210000001)</f>
        <v>9.66183521</v>
      </c>
    </row>
    <row r="38">
      <c r="A38" s="1">
        <v>37.0</v>
      </c>
      <c r="B38" s="8">
        <f>Filmes_final!C38</f>
        <v>53089891</v>
      </c>
      <c r="C38" s="5">
        <f>Filmes_final!D38</f>
        <v>2006</v>
      </c>
      <c r="D38" s="5">
        <f t="shared" si="1"/>
        <v>2020</v>
      </c>
      <c r="E38" s="12">
        <f t="shared" si="2"/>
        <v>1.30091276</v>
      </c>
      <c r="F38" s="8">
        <f t="shared" si="3"/>
        <v>69065317</v>
      </c>
      <c r="K38" s="1">
        <v>1956.0</v>
      </c>
      <c r="L38" s="5">
        <f t="shared" si="4"/>
        <v>2020</v>
      </c>
      <c r="M38" s="12">
        <f>IFERROR(__xludf.DUMMYFUNCTION("IMPORTXML(""https://data.bls.gov/cgi-bin/cpicalc.pl?cost1=1000000&amp;year1=""&amp;K38&amp;""01&amp;year2=""&amp;L38&amp;""01"", ""//span[@id='answer']"") / 1000000"),9.62578358)</f>
        <v>9.62578358</v>
      </c>
    </row>
    <row r="39">
      <c r="A39" s="1">
        <v>38.0</v>
      </c>
      <c r="B39" s="8">
        <f>Filmes_final!C39</f>
        <v>132384315</v>
      </c>
      <c r="C39" s="5">
        <f>Filmes_final!D39</f>
        <v>2006</v>
      </c>
      <c r="D39" s="5">
        <f t="shared" si="1"/>
        <v>2020</v>
      </c>
      <c r="E39" s="12">
        <f t="shared" si="2"/>
        <v>1.30091276</v>
      </c>
      <c r="F39" s="8">
        <f t="shared" si="3"/>
        <v>172220445</v>
      </c>
      <c r="K39" s="1">
        <v>1957.0</v>
      </c>
      <c r="L39" s="5">
        <f t="shared" si="4"/>
        <v>2020</v>
      </c>
      <c r="M39" s="12">
        <f>IFERROR(__xludf.DUMMYFUNCTION("IMPORTXML(""https://data.bls.gov/cgi-bin/cpicalc.pl?cost1=1000000&amp;year1=""&amp;K39&amp;""01&amp;year2=""&amp;L39&amp;""01"", ""//span[@id='answer']"") / 1000000"),9.346775359999999)</f>
        <v>9.34677536</v>
      </c>
    </row>
    <row r="40">
      <c r="A40" s="1">
        <v>39.0</v>
      </c>
      <c r="B40" s="8">
        <f>Filmes_final!C40</f>
        <v>32572577</v>
      </c>
      <c r="C40" s="5">
        <f>Filmes_final!D40</f>
        <v>2002</v>
      </c>
      <c r="D40" s="5">
        <f t="shared" si="1"/>
        <v>2020</v>
      </c>
      <c r="E40" s="12">
        <f t="shared" si="2"/>
        <v>1.45664032</v>
      </c>
      <c r="F40" s="8">
        <f t="shared" si="3"/>
        <v>47446529</v>
      </c>
      <c r="K40" s="1">
        <v>1958.0</v>
      </c>
      <c r="L40" s="5">
        <f t="shared" si="4"/>
        <v>2020</v>
      </c>
      <c r="M40" s="12">
        <f>IFERROR(__xludf.DUMMYFUNCTION("IMPORTXML(""https://data.bls.gov/cgi-bin/cpicalc.pl?cost1=1000000&amp;year1=""&amp;K40&amp;""01&amp;year2=""&amp;L40&amp;""01"", ""//span[@id='answer']"") / 1000000"),9.01996503)</f>
        <v>9.01996503</v>
      </c>
    </row>
    <row r="41">
      <c r="A41" s="1">
        <v>40.0</v>
      </c>
      <c r="B41" s="8">
        <f>Filmes_final!C41</f>
        <v>187705427</v>
      </c>
      <c r="C41" s="5">
        <f>Filmes_final!D41</f>
        <v>2000</v>
      </c>
      <c r="D41" s="5">
        <f t="shared" si="1"/>
        <v>2020</v>
      </c>
      <c r="E41" s="12">
        <f t="shared" si="2"/>
        <v>1.52826422</v>
      </c>
      <c r="F41" s="8">
        <f t="shared" si="3"/>
        <v>286863488</v>
      </c>
      <c r="K41" s="1">
        <v>1959.0</v>
      </c>
      <c r="L41" s="5">
        <f t="shared" si="4"/>
        <v>2020</v>
      </c>
      <c r="M41" s="12">
        <f>IFERROR(__xludf.DUMMYFUNCTION("IMPORTXML(""https://data.bls.gov/cgi-bin/cpicalc.pl?cost1=1000000&amp;year1=""&amp;K41&amp;""01&amp;year2=""&amp;L41&amp;""01"", ""//span[@id='answer']"") / 1000000"),8.89555172)</f>
        <v>8.89555172</v>
      </c>
    </row>
    <row r="42">
      <c r="A42" s="1">
        <v>41.0</v>
      </c>
      <c r="B42" s="8">
        <f>Filmes_final!C42</f>
        <v>6719864</v>
      </c>
      <c r="C42" s="5">
        <f>Filmes_final!D42</f>
        <v>1998</v>
      </c>
      <c r="D42" s="5">
        <f t="shared" si="1"/>
        <v>2020</v>
      </c>
      <c r="E42" s="12">
        <f t="shared" si="2"/>
        <v>1.5963552</v>
      </c>
      <c r="F42" s="8">
        <f t="shared" si="3"/>
        <v>10727290</v>
      </c>
      <c r="K42" s="1">
        <v>1960.0</v>
      </c>
      <c r="L42" s="5">
        <f t="shared" si="4"/>
        <v>2020</v>
      </c>
      <c r="M42" s="12">
        <f>IFERROR(__xludf.DUMMYFUNCTION("IMPORTXML(""https://data.bls.gov/cgi-bin/cpicalc.pl?cost1=1000000&amp;year1=""&amp;K42&amp;""01&amp;year2=""&amp;L42&amp;""01"", ""//span[@id='answer']"") / 1000000"),8.80447099)</f>
        <v>8.80447099</v>
      </c>
    </row>
    <row r="43">
      <c r="A43" s="1">
        <v>42.0</v>
      </c>
      <c r="B43" s="8">
        <f>Filmes_final!C43</f>
        <v>23341568</v>
      </c>
      <c r="C43" s="5">
        <f>Filmes_final!D43</f>
        <v>1995</v>
      </c>
      <c r="D43" s="5">
        <f t="shared" si="1"/>
        <v>2020</v>
      </c>
      <c r="E43" s="12">
        <f t="shared" si="2"/>
        <v>1.71637392</v>
      </c>
      <c r="F43" s="8">
        <f t="shared" si="3"/>
        <v>40062859</v>
      </c>
      <c r="K43" s="1">
        <v>1961.0</v>
      </c>
      <c r="L43" s="5">
        <f t="shared" si="4"/>
        <v>2020</v>
      </c>
      <c r="M43" s="12">
        <f>IFERROR(__xludf.DUMMYFUNCTION("IMPORTXML(""https://data.bls.gov/cgi-bin/cpicalc.pl?cost1=1000000&amp;year1=""&amp;K43&amp;""01&amp;year2=""&amp;L43&amp;""01"", ""//span[@id='answer']"") / 1000000"),8.65674497)</f>
        <v>8.65674497</v>
      </c>
    </row>
    <row r="44">
      <c r="A44" s="1">
        <v>43.0</v>
      </c>
      <c r="B44" s="8">
        <f>Filmes_final!C44</f>
        <v>19501238</v>
      </c>
      <c r="C44" s="5">
        <f>Filmes_final!D44</f>
        <v>1994</v>
      </c>
      <c r="D44" s="5">
        <f t="shared" si="1"/>
        <v>2020</v>
      </c>
      <c r="E44" s="12">
        <f t="shared" si="2"/>
        <v>1.76450752</v>
      </c>
      <c r="F44" s="8">
        <f t="shared" si="3"/>
        <v>34410081</v>
      </c>
      <c r="K44" s="1">
        <v>1962.0</v>
      </c>
      <c r="L44" s="5">
        <f t="shared" si="4"/>
        <v>2020</v>
      </c>
      <c r="M44" s="12">
        <f>IFERROR(__xludf.DUMMYFUNCTION("IMPORTXML(""https://data.bls.gov/cgi-bin/cpicalc.pl?cost1=1000000&amp;year1=""&amp;K44&amp;""01&amp;year2=""&amp;L44&amp;""01"", ""//span[@id='answer']"") / 1000000"),8.59903333)</f>
        <v>8.59903333</v>
      </c>
    </row>
    <row r="45">
      <c r="A45" s="1">
        <v>44.0</v>
      </c>
      <c r="B45" s="8">
        <f>Filmes_final!C45</f>
        <v>422783777</v>
      </c>
      <c r="C45" s="5">
        <f>Filmes_final!D45</f>
        <v>1994</v>
      </c>
      <c r="D45" s="5">
        <f t="shared" si="1"/>
        <v>2020</v>
      </c>
      <c r="E45" s="12">
        <f t="shared" si="2"/>
        <v>1.76450752</v>
      </c>
      <c r="F45" s="8">
        <f t="shared" si="3"/>
        <v>746005154</v>
      </c>
      <c r="K45" s="1">
        <v>1963.0</v>
      </c>
      <c r="L45" s="5">
        <f t="shared" si="4"/>
        <v>2020</v>
      </c>
      <c r="M45" s="12">
        <f>IFERROR(__xludf.DUMMYFUNCTION("IMPORTXML(""https://data.bls.gov/cgi-bin/cpicalc.pl?cost1=1000000&amp;year1=""&amp;K45&amp;""01&amp;year2=""&amp;L45&amp;""01"", ""//span[@id='answer']"") / 1000000"),8.48588816)</f>
        <v>8.48588816</v>
      </c>
    </row>
    <row r="46">
      <c r="A46" s="1">
        <v>45.0</v>
      </c>
      <c r="B46" s="8">
        <f>Filmes_final!C46</f>
        <v>204843350</v>
      </c>
      <c r="C46" s="5">
        <f>Filmes_final!D46</f>
        <v>1991</v>
      </c>
      <c r="D46" s="5">
        <f t="shared" si="1"/>
        <v>2020</v>
      </c>
      <c r="E46" s="12">
        <f t="shared" si="2"/>
        <v>1.91657504</v>
      </c>
      <c r="F46" s="8">
        <f t="shared" si="3"/>
        <v>392597652</v>
      </c>
      <c r="K46" s="1">
        <v>1964.0</v>
      </c>
      <c r="L46" s="5">
        <f t="shared" si="4"/>
        <v>2020</v>
      </c>
      <c r="M46" s="12">
        <f>IFERROR(__xludf.DUMMYFUNCTION("IMPORTXML(""https://data.bls.gov/cgi-bin/cpicalc.pl?cost1=1000000&amp;year1=""&amp;K46&amp;""01&amp;year2=""&amp;L46&amp;""01"", ""//span[@id='answer']"") / 1000000"),8.34857605)</f>
        <v>8.34857605</v>
      </c>
    </row>
    <row r="47">
      <c r="A47" s="1">
        <v>46.0</v>
      </c>
      <c r="B47" s="8">
        <f>Filmes_final!C47</f>
        <v>11990401</v>
      </c>
      <c r="C47" s="5">
        <f>Filmes_final!D47</f>
        <v>1988</v>
      </c>
      <c r="D47" s="5">
        <f t="shared" si="1"/>
        <v>2020</v>
      </c>
      <c r="E47" s="12">
        <f t="shared" si="2"/>
        <v>2.22965428</v>
      </c>
      <c r="F47" s="8">
        <f t="shared" si="3"/>
        <v>26734449</v>
      </c>
      <c r="K47" s="1">
        <v>1965.0</v>
      </c>
      <c r="L47" s="5">
        <f t="shared" si="4"/>
        <v>2020</v>
      </c>
      <c r="M47" s="12">
        <f>IFERROR(__xludf.DUMMYFUNCTION("IMPORTXML(""https://data.bls.gov/cgi-bin/cpicalc.pl?cost1=1000000&amp;year1=""&amp;K47&amp;""01&amp;year2=""&amp;L47&amp;""01"", ""//span[@id='answer']"") / 1000000"),8.268301280000001)</f>
        <v>8.26830128</v>
      </c>
    </row>
    <row r="48">
      <c r="A48" s="1">
        <v>47.0</v>
      </c>
      <c r="B48" s="8">
        <f>Filmes_final!C48</f>
        <v>516962</v>
      </c>
      <c r="C48" s="5">
        <f>Filmes_final!D48</f>
        <v>1988</v>
      </c>
      <c r="D48" s="5">
        <f t="shared" si="1"/>
        <v>2020</v>
      </c>
      <c r="E48" s="12">
        <f t="shared" si="2"/>
        <v>2.22965428</v>
      </c>
      <c r="F48" s="8">
        <f t="shared" si="3"/>
        <v>1152647</v>
      </c>
      <c r="K48" s="1">
        <v>1966.0</v>
      </c>
      <c r="L48" s="5">
        <f t="shared" si="4"/>
        <v>2020</v>
      </c>
      <c r="M48" s="12">
        <f>IFERROR(__xludf.DUMMYFUNCTION("IMPORTXML(""https://data.bls.gov/cgi-bin/cpicalc.pl?cost1=1000000&amp;year1=""&amp;K48&amp;""01&amp;year2=""&amp;L48&amp;""01"", ""//span[@id='answer']"") / 1000000"),8.1122956)</f>
        <v>8.1122956</v>
      </c>
    </row>
    <row r="49">
      <c r="A49" s="1">
        <v>48.0</v>
      </c>
      <c r="B49" s="8">
        <f>Filmes_final!C49</f>
        <v>210609762</v>
      </c>
      <c r="C49" s="5">
        <f>Filmes_final!D49</f>
        <v>1985</v>
      </c>
      <c r="D49" s="5">
        <f t="shared" si="1"/>
        <v>2020</v>
      </c>
      <c r="E49" s="12">
        <f t="shared" si="2"/>
        <v>2.44522275</v>
      </c>
      <c r="F49" s="8">
        <f t="shared" si="3"/>
        <v>514987781</v>
      </c>
      <c r="K49" s="1">
        <v>1967.0</v>
      </c>
      <c r="L49" s="5">
        <f t="shared" si="4"/>
        <v>2020</v>
      </c>
      <c r="M49" s="12">
        <f>IFERROR(__xludf.DUMMYFUNCTION("IMPORTXML(""https://data.bls.gov/cgi-bin/cpicalc.pl?cost1=1000000&amp;year1=""&amp;K49&amp;""01&amp;year2=""&amp;L49&amp;""01"", ""//span[@id='answer']"") / 1000000"),7.84106383)</f>
        <v>7.84106383</v>
      </c>
    </row>
    <row r="50">
      <c r="A50" s="1">
        <v>49.0</v>
      </c>
      <c r="B50" s="8">
        <f>Filmes_final!C50</f>
        <v>5321508</v>
      </c>
      <c r="C50" s="5">
        <f>Filmes_final!D50</f>
        <v>1968</v>
      </c>
      <c r="D50" s="5">
        <f t="shared" si="1"/>
        <v>2020</v>
      </c>
      <c r="E50" s="12">
        <f t="shared" si="2"/>
        <v>7.56513196</v>
      </c>
      <c r="F50" s="8">
        <f t="shared" si="3"/>
        <v>40257910</v>
      </c>
      <c r="K50" s="1">
        <v>1968.0</v>
      </c>
      <c r="L50" s="5">
        <f t="shared" si="4"/>
        <v>2020</v>
      </c>
      <c r="M50" s="12">
        <f>IFERROR(__xludf.DUMMYFUNCTION("IMPORTXML(""https://data.bls.gov/cgi-bin/cpicalc.pl?cost1=1000000&amp;year1=""&amp;K50&amp;""01&amp;year2=""&amp;L50&amp;""01"", ""//span[@id='answer']"") / 1000000"),7.5651319599999995)</f>
        <v>7.56513196</v>
      </c>
    </row>
    <row r="51">
      <c r="A51" s="1">
        <v>50.0</v>
      </c>
      <c r="B51" s="8">
        <f>Filmes_final!C51</f>
        <v>32000000</v>
      </c>
      <c r="C51" s="5">
        <f>Filmes_final!D51</f>
        <v>1960</v>
      </c>
      <c r="D51" s="5">
        <f t="shared" si="1"/>
        <v>2020</v>
      </c>
      <c r="E51" s="12">
        <f t="shared" si="2"/>
        <v>8.80447099</v>
      </c>
      <c r="F51" s="8">
        <f t="shared" si="3"/>
        <v>281743072</v>
      </c>
      <c r="K51" s="1">
        <v>1969.0</v>
      </c>
      <c r="L51" s="5">
        <f t="shared" si="4"/>
        <v>2020</v>
      </c>
      <c r="M51" s="12">
        <f>IFERROR(__xludf.DUMMYFUNCTION("IMPORTXML(""https://data.bls.gov/cgi-bin/cpicalc.pl?cost1=1000000&amp;year1=""&amp;K51&amp;""01&amp;year2=""&amp;L51&amp;""01"", ""//span[@id='answer']"") / 1000000"),7.2463764)</f>
        <v>7.2463764</v>
      </c>
    </row>
    <row r="52">
      <c r="A52" s="1">
        <v>51.0</v>
      </c>
      <c r="B52" s="8">
        <f>Filmes_final!C52</f>
        <v>1024560</v>
      </c>
      <c r="C52" s="5">
        <f>Filmes_final!D52</f>
        <v>1942</v>
      </c>
      <c r="D52" s="5">
        <f t="shared" si="1"/>
        <v>2020</v>
      </c>
      <c r="E52" s="12">
        <f t="shared" si="2"/>
        <v>16.43127389</v>
      </c>
      <c r="F52" s="8">
        <f t="shared" si="3"/>
        <v>16834826</v>
      </c>
      <c r="K52" s="1">
        <v>1970.0</v>
      </c>
      <c r="L52" s="5">
        <f t="shared" si="4"/>
        <v>2020</v>
      </c>
      <c r="M52" s="12">
        <f>IFERROR(__xludf.DUMMYFUNCTION("IMPORTXML(""https://data.bls.gov/cgi-bin/cpicalc.pl?cost1=1000000&amp;year1=""&amp;K52&amp;""01&amp;year2=""&amp;L52&amp;""01"", ""//span[@id='answer']"") / 1000000"),6.82462963)</f>
        <v>6.82462963</v>
      </c>
    </row>
    <row r="53">
      <c r="A53" s="1">
        <v>52.0</v>
      </c>
      <c r="B53" s="8">
        <f>Filmes_final!C53</f>
        <v>163245</v>
      </c>
      <c r="C53" s="5">
        <f>Filmes_final!D53</f>
        <v>1936</v>
      </c>
      <c r="D53" s="5">
        <f t="shared" si="1"/>
        <v>2020</v>
      </c>
      <c r="E53" s="12">
        <f t="shared" si="2"/>
        <v>18.69355072</v>
      </c>
      <c r="F53" s="8">
        <f t="shared" si="3"/>
        <v>3051629</v>
      </c>
      <c r="K53" s="1">
        <v>1971.0</v>
      </c>
      <c r="L53" s="5">
        <f t="shared" si="4"/>
        <v>2020</v>
      </c>
      <c r="M53" s="12">
        <f>IFERROR(__xludf.DUMMYFUNCTION("IMPORTXML(""https://data.bls.gov/cgi-bin/cpicalc.pl?cost1=1000000&amp;year1=""&amp;K53&amp;""01&amp;year2=""&amp;L53&amp;""01"", ""//span[@id='answer']"") / 1000000"),6.4816834199999995)</f>
        <v>6.48168342</v>
      </c>
    </row>
    <row r="54">
      <c r="A54" s="1">
        <v>53.0</v>
      </c>
      <c r="B54" s="8">
        <f>Filmes_final!C54</f>
        <v>47017</v>
      </c>
      <c r="C54" s="5">
        <f>Filmes_final!D54</f>
        <v>1931</v>
      </c>
      <c r="D54" s="5">
        <f t="shared" si="1"/>
        <v>2020</v>
      </c>
      <c r="E54" s="12">
        <f t="shared" si="2"/>
        <v>16.22459119</v>
      </c>
      <c r="F54" s="8">
        <f t="shared" si="3"/>
        <v>762832</v>
      </c>
      <c r="K54" s="1">
        <v>1972.0</v>
      </c>
      <c r="L54" s="5">
        <f t="shared" si="4"/>
        <v>2020</v>
      </c>
      <c r="M54" s="12">
        <f>IFERROR(__xludf.DUMMYFUNCTION("IMPORTXML(""https://data.bls.gov/cgi-bin/cpicalc.pl?cost1=1000000&amp;year1=""&amp;K54&amp;""01&amp;year2=""&amp;L54&amp;""01"", ""//span[@id='answer']"") / 1000000"),6.27666667)</f>
        <v>6.27666667</v>
      </c>
    </row>
    <row r="55">
      <c r="A55" s="1">
        <v>54.0</v>
      </c>
      <c r="B55" s="8">
        <f>Filmes_final!C55</f>
        <v>1661096</v>
      </c>
      <c r="C55" s="5">
        <f>Filmes_final!D55</f>
        <v>2018</v>
      </c>
      <c r="D55" s="5">
        <f t="shared" si="1"/>
        <v>2020</v>
      </c>
      <c r="E55" s="12">
        <f t="shared" si="2"/>
        <v>1.0407638</v>
      </c>
      <c r="F55" s="8">
        <f t="shared" si="3"/>
        <v>1728809</v>
      </c>
      <c r="K55" s="1">
        <v>1973.0</v>
      </c>
      <c r="L55" s="5">
        <f t="shared" si="4"/>
        <v>2020</v>
      </c>
      <c r="M55" s="12">
        <f>IFERROR(__xludf.DUMMYFUNCTION("IMPORTXML(""https://data.bls.gov/cgi-bin/cpicalc.pl?cost1=1000000&amp;year1=""&amp;K55&amp;""01&amp;year2=""&amp;L55&amp;""01"", ""//span[@id='answer']"") / 1000000"),6.05565728)</f>
        <v>6.05565728</v>
      </c>
    </row>
    <row r="56">
      <c r="A56" s="1">
        <v>55.0</v>
      </c>
      <c r="B56" s="8">
        <f>Filmes_final!C56</f>
        <v>946947</v>
      </c>
      <c r="C56" s="5">
        <f>Filmes_final!D56</f>
        <v>2017</v>
      </c>
      <c r="D56" s="5">
        <f t="shared" si="1"/>
        <v>2020</v>
      </c>
      <c r="E56" s="12">
        <f t="shared" si="2"/>
        <v>1.06231289</v>
      </c>
      <c r="F56" s="8">
        <f t="shared" si="3"/>
        <v>1005954</v>
      </c>
      <c r="K56" s="1">
        <v>1974.0</v>
      </c>
      <c r="L56" s="5">
        <f t="shared" si="4"/>
        <v>2020</v>
      </c>
      <c r="M56" s="12">
        <f>IFERROR(__xludf.DUMMYFUNCTION("IMPORTXML(""https://data.bls.gov/cgi-bin/cpicalc.pl?cost1=1000000&amp;year1=""&amp;K56&amp;""01&amp;year2=""&amp;L56&amp;""01"", ""//span[@id='answer']"") / 1000000"),5.53585837)</f>
        <v>5.53585837</v>
      </c>
    </row>
    <row r="57">
      <c r="A57" s="1">
        <v>56.0</v>
      </c>
      <c r="B57" s="8">
        <f>Filmes_final!C57</f>
        <v>546792</v>
      </c>
      <c r="C57" s="5">
        <f>Filmes_final!D57</f>
        <v>2017</v>
      </c>
      <c r="D57" s="5">
        <f t="shared" si="1"/>
        <v>2020</v>
      </c>
      <c r="E57" s="12">
        <f t="shared" si="2"/>
        <v>1.06231289</v>
      </c>
      <c r="F57" s="8">
        <f t="shared" si="3"/>
        <v>580864</v>
      </c>
      <c r="K57" s="1">
        <v>1975.0</v>
      </c>
      <c r="L57" s="5">
        <f t="shared" si="4"/>
        <v>2020</v>
      </c>
      <c r="M57" s="12">
        <f>IFERROR(__xludf.DUMMYFUNCTION("IMPORTXML(""https://data.bls.gov/cgi-bin/cpicalc.pl?cost1=1000000&amp;year1=""&amp;K57&amp;""01&amp;year2=""&amp;L57&amp;""01"", ""//span[@id='answer']"") / 1000000"),4.951458730000001)</f>
        <v>4.95145873</v>
      </c>
    </row>
    <row r="58">
      <c r="A58" s="1">
        <v>57.0</v>
      </c>
      <c r="B58" s="8">
        <f>Filmes_final!C58</f>
        <v>5017246</v>
      </c>
      <c r="C58" s="5">
        <f>Filmes_final!D58</f>
        <v>2016</v>
      </c>
      <c r="D58" s="5">
        <f t="shared" si="1"/>
        <v>2020</v>
      </c>
      <c r="E58" s="12">
        <f t="shared" si="2"/>
        <v>1.08887116</v>
      </c>
      <c r="F58" s="8">
        <f t="shared" si="3"/>
        <v>5463134</v>
      </c>
      <c r="K58" s="1">
        <v>1976.0</v>
      </c>
      <c r="L58" s="5">
        <f t="shared" si="4"/>
        <v>2020</v>
      </c>
      <c r="M58" s="12">
        <f>IFERROR(__xludf.DUMMYFUNCTION("IMPORTXML(""https://data.bls.gov/cgi-bin/cpicalc.pl?cost1=1000000&amp;year1=""&amp;K58&amp;""01&amp;year2=""&amp;L58&amp;""01"", ""//span[@id='answer']"") / 1000000"),4.6397661900000005)</f>
        <v>4.63976619</v>
      </c>
    </row>
    <row r="59">
      <c r="A59" s="1">
        <v>58.0</v>
      </c>
      <c r="B59" s="8">
        <f>Filmes_final!C59</f>
        <v>12391761</v>
      </c>
      <c r="C59" s="5">
        <f>Filmes_final!D59</f>
        <v>2016</v>
      </c>
      <c r="D59" s="5">
        <f t="shared" si="1"/>
        <v>2020</v>
      </c>
      <c r="E59" s="12">
        <f t="shared" si="2"/>
        <v>1.08887116</v>
      </c>
      <c r="F59" s="8">
        <f t="shared" si="3"/>
        <v>13493031</v>
      </c>
      <c r="K59" s="1">
        <v>1977.0</v>
      </c>
      <c r="L59" s="5">
        <f t="shared" si="4"/>
        <v>2020</v>
      </c>
      <c r="M59" s="12">
        <f>IFERROR(__xludf.DUMMYFUNCTION("IMPORTXML(""https://data.bls.gov/cgi-bin/cpicalc.pl?cost1=1000000&amp;year1=""&amp;K59&amp;""01&amp;year2=""&amp;L59&amp;""01"", ""//span[@id='answer']"") / 1000000"),4.40976068)</f>
        <v>4.40976068</v>
      </c>
    </row>
    <row r="60">
      <c r="A60" s="1">
        <v>59.0</v>
      </c>
      <c r="B60" s="8">
        <f>Filmes_final!C60</f>
        <v>190241310</v>
      </c>
      <c r="C60" s="5">
        <f>Filmes_final!D60</f>
        <v>2018</v>
      </c>
      <c r="D60" s="5">
        <f t="shared" si="1"/>
        <v>2020</v>
      </c>
      <c r="E60" s="12">
        <f t="shared" si="2"/>
        <v>1.0407638</v>
      </c>
      <c r="F60" s="8">
        <f t="shared" si="3"/>
        <v>197996269</v>
      </c>
      <c r="K60" s="1">
        <v>1978.0</v>
      </c>
      <c r="L60" s="5">
        <f t="shared" si="4"/>
        <v>2020</v>
      </c>
      <c r="M60" s="12">
        <f>IFERROR(__xludf.DUMMYFUNCTION("IMPORTXML(""https://data.bls.gov/cgi-bin/cpicalc.pl?cost1=1000000&amp;year1=""&amp;K60&amp;""01&amp;year2=""&amp;L60&amp;""01"", ""//span[@id='answer']"") / 1000000"),4.127536)</f>
        <v>4.127536</v>
      </c>
    </row>
    <row r="61">
      <c r="A61" s="1">
        <v>60.0</v>
      </c>
      <c r="B61" s="8">
        <f>Filmes_final!C61</f>
        <v>858373000</v>
      </c>
      <c r="C61" s="5">
        <f>Filmes_final!D61</f>
        <v>2019</v>
      </c>
      <c r="D61" s="5">
        <f t="shared" si="1"/>
        <v>2020</v>
      </c>
      <c r="E61" s="12">
        <f t="shared" si="2"/>
        <v>1.02486572</v>
      </c>
      <c r="F61" s="8">
        <f t="shared" si="3"/>
        <v>879717063</v>
      </c>
      <c r="K61" s="1">
        <v>1979.0</v>
      </c>
      <c r="L61" s="5">
        <f t="shared" si="4"/>
        <v>2020</v>
      </c>
      <c r="M61" s="12">
        <f>IFERROR(__xludf.DUMMYFUNCTION("IMPORTXML(""https://data.bls.gov/cgi-bin/cpicalc.pl?cost1=1000000&amp;year1=""&amp;K61&amp;""01&amp;year2=""&amp;L61&amp;""01"", ""//span[@id='answer']"") / 1000000"),3.77702782)</f>
        <v>3.77702782</v>
      </c>
    </row>
    <row r="62">
      <c r="A62" s="1">
        <v>61.0</v>
      </c>
      <c r="B62" s="8">
        <f>Filmes_final!C62</f>
        <v>678815482</v>
      </c>
      <c r="C62" s="5">
        <f>Filmes_final!D62</f>
        <v>2018</v>
      </c>
      <c r="D62" s="5">
        <f t="shared" si="1"/>
        <v>2020</v>
      </c>
      <c r="E62" s="12">
        <f t="shared" si="2"/>
        <v>1.0407638</v>
      </c>
      <c r="F62" s="8">
        <f t="shared" si="3"/>
        <v>706486581</v>
      </c>
      <c r="K62" s="1">
        <v>1980.0</v>
      </c>
      <c r="L62" s="5">
        <f t="shared" si="4"/>
        <v>2020</v>
      </c>
      <c r="M62" s="12">
        <f>IFERROR(__xludf.DUMMYFUNCTION("IMPORTXML(""https://data.bls.gov/cgi-bin/cpicalc.pl?cost1=1000000&amp;year1=""&amp;K62&amp;""01&amp;year2=""&amp;L62&amp;""01"", ""//span[@id='answer']"") / 1000000"),3.31582262)</f>
        <v>3.31582262</v>
      </c>
    </row>
    <row r="63">
      <c r="A63" s="1">
        <v>62.0</v>
      </c>
      <c r="B63" s="8">
        <f>Filmes_final!C63</f>
        <v>209726015</v>
      </c>
      <c r="C63" s="5">
        <f>Filmes_final!D63</f>
        <v>2017</v>
      </c>
      <c r="D63" s="5">
        <f t="shared" si="1"/>
        <v>2020</v>
      </c>
      <c r="E63" s="12">
        <f t="shared" si="2"/>
        <v>1.06231289</v>
      </c>
      <c r="F63" s="8">
        <f t="shared" si="3"/>
        <v>222794649</v>
      </c>
      <c r="K63" s="1">
        <v>1981.0</v>
      </c>
      <c r="L63" s="5">
        <f t="shared" si="4"/>
        <v>2020</v>
      </c>
      <c r="M63" s="12">
        <f>IFERROR(__xludf.DUMMYFUNCTION("IMPORTXML(""https://data.bls.gov/cgi-bin/cpicalc.pl?cost1=1000000&amp;year1=""&amp;K63&amp;""01&amp;year2=""&amp;L63&amp;""01"", ""//span[@id='answer']"") / 1000000"),2.9651839100000004)</f>
        <v>2.96518391</v>
      </c>
    </row>
    <row r="64">
      <c r="A64" s="1">
        <v>63.0</v>
      </c>
      <c r="B64" s="8">
        <f>Filmes_final!C64</f>
        <v>162805434</v>
      </c>
      <c r="C64" s="5">
        <f>Filmes_final!D64</f>
        <v>2012</v>
      </c>
      <c r="D64" s="5">
        <f t="shared" si="1"/>
        <v>2020</v>
      </c>
      <c r="E64" s="12">
        <f t="shared" si="2"/>
        <v>1.13811572</v>
      </c>
      <c r="F64" s="8">
        <f t="shared" si="3"/>
        <v>185291424</v>
      </c>
      <c r="K64" s="1">
        <v>1982.0</v>
      </c>
      <c r="L64" s="5">
        <f t="shared" si="4"/>
        <v>2020</v>
      </c>
      <c r="M64" s="12">
        <f>IFERROR(__xludf.DUMMYFUNCTION("IMPORTXML(""https://data.bls.gov/cgi-bin/cpicalc.pl?cost1=1000000&amp;year1=""&amp;K64&amp;""01&amp;year2=""&amp;L64&amp;""01"", ""//span[@id='answer']"") / 1000000"),2.73564157)</f>
        <v>2.73564157</v>
      </c>
    </row>
    <row r="65">
      <c r="A65" s="1">
        <v>64.0</v>
      </c>
      <c r="B65" s="8">
        <f>Filmes_final!C65</f>
        <v>448139099</v>
      </c>
      <c r="C65" s="5">
        <f>Filmes_final!D65</f>
        <v>2012</v>
      </c>
      <c r="D65" s="5">
        <f t="shared" si="1"/>
        <v>2020</v>
      </c>
      <c r="E65" s="12">
        <f t="shared" si="2"/>
        <v>1.13811572</v>
      </c>
      <c r="F65" s="8">
        <f t="shared" si="3"/>
        <v>510034153</v>
      </c>
      <c r="K65" s="1">
        <v>1983.0</v>
      </c>
      <c r="L65" s="5">
        <f t="shared" si="4"/>
        <v>2020</v>
      </c>
      <c r="M65" s="12">
        <f>IFERROR(__xludf.DUMMYFUNCTION("IMPORTXML(""https://data.bls.gov/cgi-bin/cpicalc.pl?cost1=1000000&amp;year1=""&amp;K65&amp;""01&amp;year2=""&amp;L65&amp;""01"", ""//span[@id='answer']"") / 1000000"),2.63774029)</f>
        <v>2.63774029</v>
      </c>
    </row>
    <row r="66">
      <c r="A66" s="1">
        <v>65.0</v>
      </c>
      <c r="B66" s="8">
        <f>Filmes_final!C66</f>
        <v>6532908</v>
      </c>
      <c r="C66" s="5">
        <f>Filmes_final!D66</f>
        <v>2009</v>
      </c>
      <c r="D66" s="5">
        <f t="shared" si="1"/>
        <v>2020</v>
      </c>
      <c r="E66" s="12">
        <f t="shared" si="2"/>
        <v>1.22178334</v>
      </c>
      <c r="F66" s="8">
        <f t="shared" si="3"/>
        <v>7981798</v>
      </c>
      <c r="K66" s="1">
        <v>1984.0</v>
      </c>
      <c r="L66" s="5">
        <f t="shared" si="4"/>
        <v>2020</v>
      </c>
      <c r="M66" s="12">
        <f>IFERROR(__xludf.DUMMYFUNCTION("IMPORTXML(""https://data.bls.gov/cgi-bin/cpicalc.pl?cost1=1000000&amp;year1=""&amp;K66&amp;""01&amp;year2=""&amp;L66&amp;""01"", ""//span[@id='answer']"") / 1000000"),2.53160942)</f>
        <v>2.53160942</v>
      </c>
    </row>
    <row r="67">
      <c r="A67" s="1">
        <v>66.0</v>
      </c>
      <c r="B67" s="8">
        <f>Filmes_final!C67</f>
        <v>1223869</v>
      </c>
      <c r="C67" s="5">
        <f>Filmes_final!D67</f>
        <v>2007</v>
      </c>
      <c r="D67" s="5">
        <f t="shared" si="1"/>
        <v>2020</v>
      </c>
      <c r="E67" s="12">
        <f t="shared" si="2"/>
        <v>1.27445953</v>
      </c>
      <c r="F67" s="8">
        <f t="shared" si="3"/>
        <v>1559772</v>
      </c>
      <c r="K67" s="1">
        <v>1985.0</v>
      </c>
      <c r="L67" s="5">
        <f t="shared" si="4"/>
        <v>2020</v>
      </c>
      <c r="M67" s="12">
        <f>IFERROR(__xludf.DUMMYFUNCTION("IMPORTXML(""https://data.bls.gov/cgi-bin/cpicalc.pl?cost1=1000000&amp;year1=""&amp;K67&amp;""01&amp;year2=""&amp;L67&amp;""01"", ""//span[@id='answer']"") / 1000000"),2.44522275)</f>
        <v>2.44522275</v>
      </c>
    </row>
    <row r="68">
      <c r="A68" s="1">
        <v>67.0</v>
      </c>
      <c r="B68" s="8">
        <f>Filmes_final!C68</f>
        <v>223808164</v>
      </c>
      <c r="C68" s="5">
        <f>Filmes_final!D68</f>
        <v>2008</v>
      </c>
      <c r="D68" s="5">
        <f t="shared" si="1"/>
        <v>2020</v>
      </c>
      <c r="E68" s="12">
        <f t="shared" si="2"/>
        <v>1.222148</v>
      </c>
      <c r="F68" s="8">
        <f t="shared" si="3"/>
        <v>273526700</v>
      </c>
      <c r="K68" s="1">
        <v>1986.0</v>
      </c>
      <c r="L68" s="5">
        <f t="shared" si="4"/>
        <v>2020</v>
      </c>
      <c r="M68" s="12">
        <f>IFERROR(__xludf.DUMMYFUNCTION("IMPORTXML(""https://data.bls.gov/cgi-bin/cpicalc.pl?cost1=1000000&amp;year1=""&amp;K68&amp;""01&amp;year2=""&amp;L68&amp;""01"", ""//span[@id='answer']"") / 1000000"),2.35375)</f>
        <v>2.35375</v>
      </c>
    </row>
    <row r="69">
      <c r="A69" s="1">
        <v>68.0</v>
      </c>
      <c r="B69" s="8">
        <f>Filmes_final!C69</f>
        <v>11286112</v>
      </c>
      <c r="C69" s="5">
        <f>Filmes_final!D69</f>
        <v>2006</v>
      </c>
      <c r="D69" s="5">
        <f t="shared" si="1"/>
        <v>2020</v>
      </c>
      <c r="E69" s="12">
        <f t="shared" si="2"/>
        <v>1.30091276</v>
      </c>
      <c r="F69" s="8">
        <f t="shared" si="3"/>
        <v>14682247</v>
      </c>
      <c r="K69" s="1">
        <v>1987.0</v>
      </c>
      <c r="L69" s="5">
        <f t="shared" si="4"/>
        <v>2020</v>
      </c>
      <c r="M69" s="12">
        <f>IFERROR(__xludf.DUMMYFUNCTION("IMPORTXML(""https://data.bls.gov/cgi-bin/cpicalc.pl?cost1=1000000&amp;year1=""&amp;K69&amp;""01&amp;year2=""&amp;L69&amp;""01"", ""//span[@id='answer']"") / 1000000"),2.31988309)</f>
        <v>2.31988309</v>
      </c>
    </row>
    <row r="70">
      <c r="A70" s="1">
        <v>69.0</v>
      </c>
      <c r="B70" s="8">
        <f>Filmes_final!C70</f>
        <v>707481</v>
      </c>
      <c r="C70" s="5">
        <f>Filmes_final!D70</f>
        <v>2003</v>
      </c>
      <c r="D70" s="5">
        <f t="shared" si="1"/>
        <v>2020</v>
      </c>
      <c r="E70" s="12">
        <f t="shared" si="2"/>
        <v>1.41976335</v>
      </c>
      <c r="F70" s="8">
        <f t="shared" si="3"/>
        <v>1004456</v>
      </c>
      <c r="K70" s="1">
        <v>1988.0</v>
      </c>
      <c r="L70" s="5">
        <f t="shared" si="4"/>
        <v>2020</v>
      </c>
      <c r="M70" s="12">
        <f>IFERROR(__xludf.DUMMYFUNCTION("IMPORTXML(""https://data.bls.gov/cgi-bin/cpicalc.pl?cost1=1000000&amp;year1=""&amp;K70&amp;""01&amp;year2=""&amp;L70&amp;""01"", ""//span[@id='answer']"") / 1000000"),2.2296542799999997)</f>
        <v>2.22965428</v>
      </c>
    </row>
    <row r="71">
      <c r="A71" s="1">
        <v>70.0</v>
      </c>
      <c r="B71" s="8">
        <f>Filmes_final!C71</f>
        <v>25544867</v>
      </c>
      <c r="C71" s="5">
        <f>Filmes_final!D71</f>
        <v>2000</v>
      </c>
      <c r="D71" s="5">
        <f t="shared" si="1"/>
        <v>2020</v>
      </c>
      <c r="E71" s="12">
        <f t="shared" si="2"/>
        <v>1.52826422</v>
      </c>
      <c r="F71" s="8">
        <f t="shared" si="3"/>
        <v>39039306</v>
      </c>
      <c r="K71" s="1">
        <v>1989.0</v>
      </c>
      <c r="L71" s="5">
        <f t="shared" si="4"/>
        <v>2020</v>
      </c>
      <c r="M71" s="12">
        <f>IFERROR(__xludf.DUMMYFUNCTION("IMPORTXML(""https://data.bls.gov/cgi-bin/cpicalc.pl?cost1=1000000&amp;year1=""&amp;K71&amp;""01&amp;year2=""&amp;L71&amp;""01"", ""//span[@id='answer']"") / 1000000"),2.13023121)</f>
        <v>2.13023121</v>
      </c>
    </row>
    <row r="72">
      <c r="A72" s="1">
        <v>71.0</v>
      </c>
      <c r="B72" s="8">
        <f>Filmes_final!C72</f>
        <v>2375308</v>
      </c>
      <c r="C72" s="5">
        <f>Filmes_final!D72</f>
        <v>1997</v>
      </c>
      <c r="D72" s="5">
        <f t="shared" si="1"/>
        <v>2020</v>
      </c>
      <c r="E72" s="12">
        <f t="shared" si="2"/>
        <v>1.62143935</v>
      </c>
      <c r="F72" s="8">
        <f t="shared" si="3"/>
        <v>3851418</v>
      </c>
      <c r="K72" s="1">
        <v>1990.0</v>
      </c>
      <c r="L72" s="5">
        <f t="shared" si="4"/>
        <v>2020</v>
      </c>
      <c r="M72" s="12">
        <f>IFERROR(__xludf.DUMMYFUNCTION("IMPORTXML(""https://data.bls.gov/cgi-bin/cpicalc.pl?cost1=1000000&amp;year1=""&amp;K72&amp;""01&amp;year2=""&amp;L72&amp;""01"", ""//span[@id='answer']"") / 1000000"),2.0248901100000003)</f>
        <v>2.02489011</v>
      </c>
    </row>
    <row r="73">
      <c r="A73" s="1">
        <v>72.0</v>
      </c>
      <c r="B73" s="8">
        <f>Filmes_final!C73</f>
        <v>5321508</v>
      </c>
      <c r="C73" s="5">
        <f>Filmes_final!D73</f>
        <v>1984</v>
      </c>
      <c r="D73" s="5">
        <f t="shared" si="1"/>
        <v>2020</v>
      </c>
      <c r="E73" s="12">
        <f t="shared" si="2"/>
        <v>2.53160942</v>
      </c>
      <c r="F73" s="8">
        <f t="shared" si="3"/>
        <v>13471980</v>
      </c>
      <c r="K73" s="1">
        <v>1991.0</v>
      </c>
      <c r="L73" s="5">
        <f t="shared" si="4"/>
        <v>2020</v>
      </c>
      <c r="M73" s="12">
        <f>IFERROR(__xludf.DUMMYFUNCTION("IMPORTXML(""https://data.bls.gov/cgi-bin/cpicalc.pl?cost1=1000000&amp;year1=""&amp;K73&amp;""01&amp;year2=""&amp;L73&amp;""01"", ""//span[@id='answer']"") / 1000000"),1.9165750400000001)</f>
        <v>1.91657504</v>
      </c>
    </row>
    <row r="74">
      <c r="A74" s="1">
        <v>73.0</v>
      </c>
      <c r="B74" s="8">
        <f>Filmes_final!C74</f>
        <v>248159971</v>
      </c>
      <c r="C74" s="5">
        <f>Filmes_final!D74</f>
        <v>1981</v>
      </c>
      <c r="D74" s="5">
        <f t="shared" si="1"/>
        <v>2020</v>
      </c>
      <c r="E74" s="12">
        <f t="shared" si="2"/>
        <v>2.96518391</v>
      </c>
      <c r="F74" s="8">
        <f t="shared" si="3"/>
        <v>735839953</v>
      </c>
      <c r="K74" s="1">
        <v>1992.0</v>
      </c>
      <c r="L74" s="5">
        <f t="shared" si="4"/>
        <v>2020</v>
      </c>
      <c r="M74" s="12">
        <f>IFERROR(__xludf.DUMMYFUNCTION("IMPORTXML(""https://data.bls.gov/cgi-bin/cpicalc.pl?cost1=1000000&amp;year1=""&amp;K74&amp;""01&amp;year2=""&amp;L74&amp;""01"", ""//span[@id='answer']"") / 1000000"),1.86800145)</f>
        <v>1.86800145</v>
      </c>
    </row>
    <row r="75">
      <c r="A75" s="1">
        <v>74.0</v>
      </c>
      <c r="B75" s="8">
        <f>Filmes_final!C75</f>
        <v>44017374</v>
      </c>
      <c r="C75" s="5">
        <f>Filmes_final!D75</f>
        <v>1980</v>
      </c>
      <c r="D75" s="5">
        <f t="shared" si="1"/>
        <v>2020</v>
      </c>
      <c r="E75" s="12">
        <f t="shared" si="2"/>
        <v>3.31582262</v>
      </c>
      <c r="F75" s="8">
        <f t="shared" si="3"/>
        <v>145953804</v>
      </c>
      <c r="K75" s="1">
        <v>1993.0</v>
      </c>
      <c r="L75" s="5">
        <f t="shared" si="4"/>
        <v>2020</v>
      </c>
      <c r="M75" s="12">
        <f>IFERROR(__xludf.DUMMYFUNCTION("IMPORTXML(""https://data.bls.gov/cgi-bin/cpicalc.pl?cost1=1000000&amp;year1=""&amp;K75&amp;""01&amp;year2=""&amp;L75&amp;""01"", ""//span[@id='answer']"") / 1000000"),1.8090533)</f>
        <v>1.8090533</v>
      </c>
    </row>
    <row r="76">
      <c r="A76" s="1">
        <v>75.0</v>
      </c>
      <c r="B76" s="8">
        <f>Filmes_final!C76</f>
        <v>83471511</v>
      </c>
      <c r="C76" s="5">
        <f>Filmes_final!D76</f>
        <v>1979</v>
      </c>
      <c r="D76" s="5">
        <f t="shared" si="1"/>
        <v>2020</v>
      </c>
      <c r="E76" s="12">
        <f t="shared" si="2"/>
        <v>3.77702782</v>
      </c>
      <c r="F76" s="8">
        <f t="shared" si="3"/>
        <v>315274219</v>
      </c>
      <c r="K76" s="1">
        <v>1994.0</v>
      </c>
      <c r="L76" s="5">
        <f t="shared" si="4"/>
        <v>2020</v>
      </c>
      <c r="M76" s="12">
        <f>IFERROR(__xludf.DUMMYFUNCTION("IMPORTXML(""https://data.bls.gov/cgi-bin/cpicalc.pl?cost1=1000000&amp;year1=""&amp;K76&amp;""01&amp;year2=""&amp;L76&amp;""01"", ""//span[@id='answer']"") / 1000000"),1.76450752)</f>
        <v>1.76450752</v>
      </c>
    </row>
    <row r="77">
      <c r="A77" s="1">
        <v>76.0</v>
      </c>
      <c r="B77" s="8">
        <f>Filmes_final!C77</f>
        <v>78900000</v>
      </c>
      <c r="C77" s="5">
        <f>Filmes_final!D77</f>
        <v>1979</v>
      </c>
      <c r="D77" s="5">
        <f t="shared" si="1"/>
        <v>2020</v>
      </c>
      <c r="E77" s="12">
        <f t="shared" si="2"/>
        <v>3.77702782</v>
      </c>
      <c r="F77" s="8">
        <f t="shared" si="3"/>
        <v>298007495</v>
      </c>
      <c r="K77" s="1">
        <v>1995.0</v>
      </c>
      <c r="L77" s="5">
        <f t="shared" si="4"/>
        <v>2020</v>
      </c>
      <c r="M77" s="12">
        <f>IFERROR(__xludf.DUMMYFUNCTION("IMPORTXML(""https://data.bls.gov/cgi-bin/cpicalc.pl?cost1=1000000&amp;year1=""&amp;K77&amp;""01&amp;year2=""&amp;L77&amp;""01"", ""//span[@id='answer']"") / 1000000"),1.7163739199999999)</f>
        <v>1.71637392</v>
      </c>
    </row>
    <row r="78">
      <c r="A78" s="1">
        <v>77.0</v>
      </c>
      <c r="B78" s="8">
        <f>Filmes_final!C78</f>
        <v>3000000</v>
      </c>
      <c r="C78" s="5">
        <f>Filmes_final!D78</f>
        <v>1971</v>
      </c>
      <c r="D78" s="5">
        <f t="shared" si="1"/>
        <v>2020</v>
      </c>
      <c r="E78" s="12">
        <f t="shared" si="2"/>
        <v>6.48168342</v>
      </c>
      <c r="F78" s="8">
        <f t="shared" si="3"/>
        <v>19445050</v>
      </c>
      <c r="K78" s="1">
        <v>1996.0</v>
      </c>
      <c r="L78" s="5">
        <f t="shared" si="4"/>
        <v>2020</v>
      </c>
      <c r="M78" s="12">
        <f>IFERROR(__xludf.DUMMYFUNCTION("IMPORTXML(""https://data.bls.gov/cgi-bin/cpicalc.pl?cost1=1000000&amp;year1=""&amp;K78&amp;""01&amp;year2=""&amp;L78&amp;""01"", ""//span[@id='answer']"") / 1000000"),1.67079663)</f>
        <v>1.67079663</v>
      </c>
    </row>
    <row r="79">
      <c r="A79" s="1">
        <v>78.0</v>
      </c>
      <c r="B79" s="8">
        <f>Filmes_final!C79</f>
        <v>46808</v>
      </c>
      <c r="C79" s="5">
        <f>Filmes_final!D79</f>
        <v>1963</v>
      </c>
      <c r="D79" s="5">
        <f t="shared" si="1"/>
        <v>2020</v>
      </c>
      <c r="E79" s="12">
        <f t="shared" si="2"/>
        <v>8.48588816</v>
      </c>
      <c r="F79" s="8">
        <f t="shared" si="3"/>
        <v>397207</v>
      </c>
      <c r="K79" s="1">
        <v>1997.0</v>
      </c>
      <c r="L79" s="5">
        <f t="shared" si="4"/>
        <v>2020</v>
      </c>
      <c r="M79" s="12">
        <f>IFERROR(__xludf.DUMMYFUNCTION("IMPORTXML(""https://data.bls.gov/cgi-bin/cpicalc.pl?cost1=1000000&amp;year1=""&amp;K79&amp;""01&amp;year2=""&amp;L79&amp;""01"", ""//span[@id='answer']"") / 1000000"),1.6214393500000002)</f>
        <v>1.62143935</v>
      </c>
    </row>
    <row r="80">
      <c r="A80" s="1">
        <v>79.0</v>
      </c>
      <c r="B80" s="8">
        <f>Filmes_final!C80</f>
        <v>275902</v>
      </c>
      <c r="C80" s="5">
        <f>Filmes_final!D80</f>
        <v>1964</v>
      </c>
      <c r="D80" s="5">
        <f t="shared" si="1"/>
        <v>2020</v>
      </c>
      <c r="E80" s="12">
        <f t="shared" si="2"/>
        <v>8.34857605</v>
      </c>
      <c r="F80" s="8">
        <f t="shared" si="3"/>
        <v>2303389</v>
      </c>
      <c r="K80" s="1">
        <v>1998.0</v>
      </c>
      <c r="L80" s="5">
        <f t="shared" si="4"/>
        <v>2020</v>
      </c>
      <c r="M80" s="12">
        <f>IFERROR(__xludf.DUMMYFUNCTION("IMPORTXML(""https://data.bls.gov/cgi-bin/cpicalc.pl?cost1=1000000&amp;year1=""&amp;K80&amp;""01&amp;year2=""&amp;L80&amp;""01"", ""//span[@id='answer']"") / 1000000"),1.5963551999999999)</f>
        <v>1.5963552</v>
      </c>
    </row>
    <row r="81">
      <c r="A81" s="1">
        <v>80.0</v>
      </c>
      <c r="B81" s="8">
        <f>Filmes_final!C81</f>
        <v>8175000</v>
      </c>
      <c r="C81" s="5">
        <f>Filmes_final!D81</f>
        <v>1957</v>
      </c>
      <c r="D81" s="5">
        <f t="shared" si="1"/>
        <v>2020</v>
      </c>
      <c r="E81" s="12">
        <f t="shared" si="2"/>
        <v>9.34677536</v>
      </c>
      <c r="F81" s="8">
        <f t="shared" si="3"/>
        <v>76409889</v>
      </c>
      <c r="K81" s="1">
        <v>1999.0</v>
      </c>
      <c r="L81" s="5">
        <f t="shared" si="4"/>
        <v>2020</v>
      </c>
      <c r="M81" s="12">
        <f>IFERROR(__xludf.DUMMYFUNCTION("IMPORTXML(""https://data.bls.gov/cgi-bin/cpicalc.pl?cost1=1000000&amp;year1=""&amp;K81&amp;""01&amp;year2=""&amp;L81&amp;""01"", ""//span[@id='answer']"") / 1000000"),1.5701217299999999)</f>
        <v>1.57012173</v>
      </c>
    </row>
    <row r="82">
      <c r="A82" s="1">
        <v>81.0</v>
      </c>
      <c r="B82" s="8">
        <f>Filmes_final!C82</f>
        <v>5252</v>
      </c>
      <c r="C82" s="5">
        <f>Filmes_final!D82</f>
        <v>1957</v>
      </c>
      <c r="D82" s="5">
        <f t="shared" si="1"/>
        <v>2020</v>
      </c>
      <c r="E82" s="12">
        <f t="shared" si="2"/>
        <v>9.34677536</v>
      </c>
      <c r="F82" s="8">
        <f t="shared" si="3"/>
        <v>49089</v>
      </c>
      <c r="K82" s="1">
        <v>2000.0</v>
      </c>
      <c r="L82" s="5">
        <f t="shared" si="4"/>
        <v>2020</v>
      </c>
      <c r="M82" s="12">
        <f>IFERROR(__xludf.DUMMYFUNCTION("IMPORTXML(""https://data.bls.gov/cgi-bin/cpicalc.pl?cost1=1000000&amp;year1=""&amp;K82&amp;""01&amp;year2=""&amp;L82&amp;""01"", ""//span[@id='answer']"") / 1000000"),1.52826422)</f>
        <v>1.52826422</v>
      </c>
    </row>
    <row r="83">
      <c r="A83" s="1">
        <v>82.0</v>
      </c>
      <c r="B83" s="8">
        <f>Filmes_final!C83</f>
        <v>36764313</v>
      </c>
      <c r="C83" s="5">
        <f>Filmes_final!D83</f>
        <v>1954</v>
      </c>
      <c r="D83" s="5">
        <f t="shared" si="1"/>
        <v>2020</v>
      </c>
      <c r="E83" s="12">
        <f t="shared" si="2"/>
        <v>9.59</v>
      </c>
      <c r="F83" s="8">
        <f t="shared" si="3"/>
        <v>352569762</v>
      </c>
      <c r="K83" s="1">
        <v>2001.0</v>
      </c>
      <c r="L83" s="5">
        <f t="shared" si="4"/>
        <v>2020</v>
      </c>
      <c r="M83" s="12">
        <f>IFERROR(__xludf.DUMMYFUNCTION("IMPORTXML(""https://data.bls.gov/cgi-bin/cpicalc.pl?cost1=1000000&amp;year1=""&amp;K83&amp;""01&amp;year2=""&amp;L83&amp;""01"", ""//span[@id='answer']"") / 1000000"),1.47327813)</f>
        <v>1.47327813</v>
      </c>
    </row>
    <row r="84">
      <c r="A84" s="1">
        <v>83.0</v>
      </c>
      <c r="B84" s="8">
        <f>Filmes_final!C84</f>
        <v>299645</v>
      </c>
      <c r="C84" s="5">
        <f>Filmes_final!D84</f>
        <v>1950</v>
      </c>
      <c r="D84" s="5">
        <f t="shared" si="1"/>
        <v>2020</v>
      </c>
      <c r="E84" s="12">
        <f t="shared" si="2"/>
        <v>10.97748936</v>
      </c>
      <c r="F84" s="8">
        <f t="shared" si="3"/>
        <v>3289350</v>
      </c>
      <c r="K84" s="1">
        <v>2002.0</v>
      </c>
      <c r="L84" s="5">
        <f t="shared" si="4"/>
        <v>2020</v>
      </c>
      <c r="M84" s="12">
        <f>IFERROR(__xludf.DUMMYFUNCTION("IMPORTXML(""https://data.bls.gov/cgi-bin/cpicalc.pl?cost1=1000000&amp;year1=""&amp;K84&amp;""01&amp;year2=""&amp;L84&amp;""01"", ""//span[@id='answer']"") / 1000000"),1.45664032)</f>
        <v>1.45664032</v>
      </c>
    </row>
    <row r="85">
      <c r="A85" s="1">
        <v>84.0</v>
      </c>
      <c r="B85" s="8">
        <f>Filmes_final!C85</f>
        <v>288475</v>
      </c>
      <c r="C85" s="5">
        <f>Filmes_final!D85</f>
        <v>1940</v>
      </c>
      <c r="D85" s="5">
        <f t="shared" si="1"/>
        <v>2020</v>
      </c>
      <c r="E85" s="12">
        <f t="shared" si="2"/>
        <v>18.55906475</v>
      </c>
      <c r="F85" s="8">
        <f t="shared" si="3"/>
        <v>5353826</v>
      </c>
      <c r="K85" s="1">
        <v>2003.0</v>
      </c>
      <c r="L85" s="5">
        <f t="shared" si="4"/>
        <v>2020</v>
      </c>
      <c r="M85" s="12">
        <f>IFERROR(__xludf.DUMMYFUNCTION("IMPORTXML(""https://data.bls.gov/cgi-bin/cpicalc.pl?cost1=1000000&amp;year1=""&amp;K85&amp;""01&amp;year2=""&amp;L85&amp;""01"", ""//span[@id='answer']"") / 1000000"),1.4197633500000002)</f>
        <v>1.41976335</v>
      </c>
    </row>
    <row r="86">
      <c r="A86" s="1">
        <v>85.0</v>
      </c>
      <c r="B86" s="8">
        <f>Filmes_final!C86</f>
        <v>159227644</v>
      </c>
      <c r="C86" s="5">
        <f>Filmes_final!D86</f>
        <v>2019</v>
      </c>
      <c r="D86" s="5">
        <f t="shared" si="1"/>
        <v>2020</v>
      </c>
      <c r="E86" s="12">
        <f t="shared" si="2"/>
        <v>1.02486572</v>
      </c>
      <c r="F86" s="8">
        <f t="shared" si="3"/>
        <v>163186954</v>
      </c>
      <c r="K86" s="1">
        <v>2004.0</v>
      </c>
      <c r="L86" s="5">
        <f t="shared" si="4"/>
        <v>2020</v>
      </c>
      <c r="M86" s="12">
        <f>IFERROR(__xludf.DUMMYFUNCTION("IMPORTXML(""https://data.bls.gov/cgi-bin/cpicalc.pl?cost1=1000000&amp;year1=""&amp;K86&amp;""01&amp;year2=""&amp;L86&amp;""01"", ""//span[@id='answer']"") / 1000000"),1.39293197)</f>
        <v>1.39293197</v>
      </c>
    </row>
    <row r="87">
      <c r="A87" s="1">
        <v>86.0</v>
      </c>
      <c r="B87" s="8">
        <f>Filmes_final!C87</f>
        <v>1691980</v>
      </c>
      <c r="C87" s="5">
        <f>Filmes_final!D87</f>
        <v>2018</v>
      </c>
      <c r="D87" s="5">
        <f t="shared" si="1"/>
        <v>2020</v>
      </c>
      <c r="E87" s="12">
        <f t="shared" si="2"/>
        <v>1.0407638</v>
      </c>
      <c r="F87" s="8">
        <f t="shared" si="3"/>
        <v>1760952</v>
      </c>
      <c r="K87" s="1">
        <v>2005.0</v>
      </c>
      <c r="L87" s="5">
        <f t="shared" si="4"/>
        <v>2020</v>
      </c>
      <c r="M87" s="12">
        <f>IFERROR(__xludf.DUMMYFUNCTION("IMPORTXML(""https://data.bls.gov/cgi-bin/cpicalc.pl?cost1=1000000&amp;year1=""&amp;K87&amp;""01&amp;year2=""&amp;L87&amp;""01"", ""//span[@id='answer']"") / 1000000"),1.35275826)</f>
        <v>1.35275826</v>
      </c>
    </row>
    <row r="88">
      <c r="A88" s="1">
        <v>87.0</v>
      </c>
      <c r="B88" s="8">
        <f>Filmes_final!C88</f>
        <v>1373943</v>
      </c>
      <c r="C88" s="5">
        <f>Filmes_final!D88</f>
        <v>2018</v>
      </c>
      <c r="D88" s="5">
        <f t="shared" si="1"/>
        <v>2020</v>
      </c>
      <c r="E88" s="12">
        <f t="shared" si="2"/>
        <v>1.0407638</v>
      </c>
      <c r="F88" s="8">
        <f t="shared" si="3"/>
        <v>1429950</v>
      </c>
      <c r="K88" s="1">
        <v>2006.0</v>
      </c>
      <c r="L88" s="5">
        <f t="shared" si="4"/>
        <v>2020</v>
      </c>
      <c r="M88" s="12">
        <f>IFERROR(__xludf.DUMMYFUNCTION("IMPORTXML(""https://data.bls.gov/cgi-bin/cpicalc.pl?cost1=1000000&amp;year1=""&amp;K88&amp;""01&amp;year2=""&amp;L88&amp;""01"", ""//span[@id='answer']"") / 1000000"),1.3009127600000001)</f>
        <v>1.30091276</v>
      </c>
    </row>
    <row r="89">
      <c r="A89" s="1">
        <v>88.0</v>
      </c>
      <c r="B89" s="8">
        <f>Filmes_final!C89</f>
        <v>3841</v>
      </c>
      <c r="C89" s="5">
        <f>Filmes_final!D89</f>
        <v>2013</v>
      </c>
      <c r="D89" s="5">
        <f t="shared" si="1"/>
        <v>2020</v>
      </c>
      <c r="E89" s="12">
        <f t="shared" si="2"/>
        <v>1.12024926</v>
      </c>
      <c r="F89" s="8">
        <f t="shared" si="3"/>
        <v>4303</v>
      </c>
      <c r="K89" s="1">
        <v>2007.0</v>
      </c>
      <c r="L89" s="5">
        <f t="shared" si="4"/>
        <v>2020</v>
      </c>
      <c r="M89" s="12">
        <f>IFERROR(__xludf.DUMMYFUNCTION("IMPORTXML(""https://data.bls.gov/cgi-bin/cpicalc.pl?cost1=1000000&amp;year1=""&amp;K89&amp;""01&amp;year2=""&amp;L89&amp;""01"", ""//span[@id='answer']"") / 1000000"),1.2744595300000001)</f>
        <v>1.27445953</v>
      </c>
    </row>
    <row r="90">
      <c r="A90" s="1">
        <v>89.0</v>
      </c>
      <c r="B90" s="8">
        <f>Filmes_final!C90</f>
        <v>687185</v>
      </c>
      <c r="C90" s="5">
        <f>Filmes_final!D90</f>
        <v>2012</v>
      </c>
      <c r="D90" s="5">
        <f t="shared" si="1"/>
        <v>2020</v>
      </c>
      <c r="E90" s="12">
        <f t="shared" si="2"/>
        <v>1.13811572</v>
      </c>
      <c r="F90" s="8">
        <f t="shared" si="3"/>
        <v>782096</v>
      </c>
      <c r="K90" s="1">
        <v>2008.0</v>
      </c>
      <c r="L90" s="5">
        <f t="shared" si="4"/>
        <v>2020</v>
      </c>
      <c r="M90" s="12">
        <f>IFERROR(__xludf.DUMMYFUNCTION("IMPORTXML(""https://data.bls.gov/cgi-bin/cpicalc.pl?cost1=1000000&amp;year1=""&amp;K90&amp;""01&amp;year2=""&amp;L90&amp;""01"", ""//span[@id='answer']"") / 1000000"),1.222148)</f>
        <v>1.222148</v>
      </c>
    </row>
    <row r="91">
      <c r="A91" s="1">
        <v>90.0</v>
      </c>
      <c r="B91" s="8">
        <f>Filmes_final!C91</f>
        <v>7098492</v>
      </c>
      <c r="C91" s="5">
        <f>Filmes_final!D91</f>
        <v>2011</v>
      </c>
      <c r="D91" s="5">
        <f t="shared" si="1"/>
        <v>2020</v>
      </c>
      <c r="E91" s="12">
        <f t="shared" si="2"/>
        <v>1.17140807</v>
      </c>
      <c r="F91" s="8">
        <f t="shared" si="3"/>
        <v>8315231</v>
      </c>
      <c r="K91" s="1">
        <v>2009.0</v>
      </c>
      <c r="L91" s="5">
        <f t="shared" si="4"/>
        <v>2020</v>
      </c>
      <c r="M91" s="12">
        <f>IFERROR(__xludf.DUMMYFUNCTION("IMPORTXML(""https://data.bls.gov/cgi-bin/cpicalc.pl?cost1=1000000&amp;year1=""&amp;K91&amp;""01&amp;year2=""&amp;L91&amp;""01"", ""//span[@id='answer']"") / 1000000"),1.22178334)</f>
        <v>1.22178334</v>
      </c>
    </row>
    <row r="92">
      <c r="A92" s="1">
        <v>91.0</v>
      </c>
      <c r="B92" s="8">
        <f>Filmes_final!C92</f>
        <v>6857096</v>
      </c>
      <c r="C92" s="5">
        <f>Filmes_final!D92</f>
        <v>2010</v>
      </c>
      <c r="D92" s="5">
        <f t="shared" si="1"/>
        <v>2020</v>
      </c>
      <c r="E92" s="12">
        <f t="shared" si="2"/>
        <v>1.19052366</v>
      </c>
      <c r="F92" s="8">
        <f t="shared" si="3"/>
        <v>8163535</v>
      </c>
      <c r="K92" s="1">
        <v>2010.0</v>
      </c>
      <c r="L92" s="5">
        <f t="shared" si="4"/>
        <v>2020</v>
      </c>
      <c r="M92" s="12">
        <f>IFERROR(__xludf.DUMMYFUNCTION("IMPORTXML(""https://data.bls.gov/cgi-bin/cpicalc.pl?cost1=1000000&amp;year1=""&amp;K92&amp;""01&amp;year2=""&amp;L92&amp;""01"", ""//span[@id='answer']"") / 1000000"),1.19052366)</f>
        <v>1.19052366</v>
      </c>
    </row>
    <row r="93">
      <c r="A93" s="1">
        <v>92.0</v>
      </c>
      <c r="B93" s="8">
        <f>Filmes_final!C93</f>
        <v>17163660</v>
      </c>
      <c r="C93" s="5">
        <f>Filmes_final!D93</f>
        <v>2019</v>
      </c>
      <c r="D93" s="5">
        <f t="shared" si="1"/>
        <v>2020</v>
      </c>
      <c r="E93" s="12">
        <f t="shared" si="2"/>
        <v>1.02486572</v>
      </c>
      <c r="F93" s="8">
        <f t="shared" si="3"/>
        <v>17590447</v>
      </c>
      <c r="K93" s="1">
        <v>2011.0</v>
      </c>
      <c r="L93" s="5">
        <f t="shared" si="4"/>
        <v>2020</v>
      </c>
      <c r="M93" s="12">
        <f>IFERROR(__xludf.DUMMYFUNCTION("IMPORTXML(""https://data.bls.gov/cgi-bin/cpicalc.pl?cost1=1000000&amp;year1=""&amp;K93&amp;""01&amp;year2=""&amp;L93&amp;""01"", ""//span[@id='answer']"") / 1000000"),1.17140807)</f>
        <v>1.17140807</v>
      </c>
    </row>
    <row r="94">
      <c r="A94" s="1">
        <v>93.0</v>
      </c>
      <c r="B94" s="8">
        <f>Filmes_final!C94</f>
        <v>18612999</v>
      </c>
      <c r="C94" s="5">
        <f>Filmes_final!D94</f>
        <v>2005</v>
      </c>
      <c r="D94" s="5">
        <f t="shared" si="1"/>
        <v>2020</v>
      </c>
      <c r="E94" s="12">
        <f t="shared" si="2"/>
        <v>1.35275826</v>
      </c>
      <c r="F94" s="8">
        <f t="shared" si="3"/>
        <v>25178888</v>
      </c>
      <c r="K94" s="1">
        <v>2012.0</v>
      </c>
      <c r="L94" s="5">
        <f t="shared" si="4"/>
        <v>2020</v>
      </c>
      <c r="M94" s="12">
        <f>IFERROR(__xludf.DUMMYFUNCTION("IMPORTXML(""https://data.bls.gov/cgi-bin/cpicalc.pl?cost1=1000000&amp;year1=""&amp;K94&amp;""01&amp;year2=""&amp;L94&amp;""01"", ""//span[@id='answer']"") / 1000000"),1.13811572)</f>
        <v>1.13811572</v>
      </c>
    </row>
    <row r="95">
      <c r="A95" s="1">
        <v>94.0</v>
      </c>
      <c r="B95" s="8">
        <f>Filmes_final!C95</f>
        <v>120540719</v>
      </c>
      <c r="C95" s="5">
        <f>Filmes_final!D95</f>
        <v>2009</v>
      </c>
      <c r="D95" s="5">
        <f t="shared" si="1"/>
        <v>2020</v>
      </c>
      <c r="E95" s="12">
        <f t="shared" si="2"/>
        <v>1.22178334</v>
      </c>
      <c r="F95" s="8">
        <f t="shared" si="3"/>
        <v>147274642</v>
      </c>
      <c r="K95" s="1">
        <v>2013.0</v>
      </c>
      <c r="L95" s="5">
        <f t="shared" si="4"/>
        <v>2020</v>
      </c>
      <c r="M95" s="12">
        <f>IFERROR(__xludf.DUMMYFUNCTION("IMPORTXML(""https://data.bls.gov/cgi-bin/cpicalc.pl?cost1=1000000&amp;year1=""&amp;K95&amp;""01&amp;year2=""&amp;L95&amp;""01"", ""//span[@id='answer']"") / 1000000"),1.12024926)</f>
        <v>1.12024926</v>
      </c>
    </row>
    <row r="96">
      <c r="A96" s="1">
        <v>95.0</v>
      </c>
      <c r="B96" s="8">
        <f>Filmes_final!C96</f>
        <v>34400301</v>
      </c>
      <c r="C96" s="5">
        <f>Filmes_final!D96</f>
        <v>2004</v>
      </c>
      <c r="D96" s="5">
        <f t="shared" si="1"/>
        <v>2020</v>
      </c>
      <c r="E96" s="12">
        <f t="shared" si="2"/>
        <v>1.39293197</v>
      </c>
      <c r="F96" s="8">
        <f t="shared" si="3"/>
        <v>47917279</v>
      </c>
      <c r="K96" s="1">
        <v>2014.0</v>
      </c>
      <c r="L96" s="5">
        <f t="shared" si="4"/>
        <v>2020</v>
      </c>
      <c r="M96" s="12">
        <f>IFERROR(__xludf.DUMMYFUNCTION("IMPORTXML(""https://data.bls.gov/cgi-bin/cpicalc.pl?cost1=1000000&amp;year1=""&amp;K96&amp;""01&amp;year2=""&amp;L96&amp;""01"", ""//span[@id='answer']"") / 1000000"),1.10283606)</f>
        <v>1.10283606</v>
      </c>
    </row>
    <row r="97">
      <c r="A97" s="1">
        <v>96.0</v>
      </c>
      <c r="B97" s="8">
        <f>Filmes_final!C97</f>
        <v>33225499</v>
      </c>
      <c r="C97" s="5">
        <f>Filmes_final!D97</f>
        <v>2001</v>
      </c>
      <c r="D97" s="5">
        <f t="shared" si="1"/>
        <v>2020</v>
      </c>
      <c r="E97" s="12">
        <f t="shared" si="2"/>
        <v>1.47327813</v>
      </c>
      <c r="F97" s="8">
        <f t="shared" si="3"/>
        <v>48950401</v>
      </c>
      <c r="K97" s="1">
        <v>2015.0</v>
      </c>
      <c r="L97" s="5">
        <f t="shared" si="4"/>
        <v>2020</v>
      </c>
      <c r="M97" s="12">
        <f>IFERROR(__xludf.DUMMYFUNCTION("IMPORTXML(""https://data.bls.gov/cgi-bin/cpicalc.pl?cost1=1000000&amp;year1=""&amp;K97&amp;""01&amp;year2=""&amp;L97&amp;""01"", ""//span[@id='answer']"") / 1000000"),1.10382231)</f>
        <v>1.10382231</v>
      </c>
    </row>
    <row r="98">
      <c r="A98" s="1">
        <v>97.0</v>
      </c>
      <c r="B98" s="8">
        <f>Filmes_final!C98</f>
        <v>30328156</v>
      </c>
      <c r="C98" s="5">
        <f>Filmes_final!D98</f>
        <v>2000</v>
      </c>
      <c r="D98" s="5">
        <f t="shared" si="1"/>
        <v>2020</v>
      </c>
      <c r="E98" s="12">
        <f t="shared" si="2"/>
        <v>1.52826422</v>
      </c>
      <c r="F98" s="8">
        <f t="shared" si="3"/>
        <v>46349436</v>
      </c>
      <c r="K98" s="1">
        <v>2016.0</v>
      </c>
      <c r="L98" s="5">
        <f t="shared" si="4"/>
        <v>2020</v>
      </c>
      <c r="M98" s="12">
        <f>IFERROR(__xludf.DUMMYFUNCTION("IMPORTXML(""https://data.bls.gov/cgi-bin/cpicalc.pl?cost1=1000000&amp;year1=""&amp;K98&amp;""01&amp;year2=""&amp;L98&amp;""01"", ""//span[@id='answer']"") / 1000000"),1.0888711599999998)</f>
        <v>1.08887116</v>
      </c>
    </row>
    <row r="99">
      <c r="A99" s="1">
        <v>98.0</v>
      </c>
      <c r="B99" s="8">
        <f>Filmes_final!C99</f>
        <v>3635482</v>
      </c>
      <c r="C99" s="5">
        <f>Filmes_final!D99</f>
        <v>2000</v>
      </c>
      <c r="D99" s="5">
        <f t="shared" si="1"/>
        <v>2020</v>
      </c>
      <c r="E99" s="12">
        <f t="shared" si="2"/>
        <v>1.52826422</v>
      </c>
      <c r="F99" s="8">
        <f t="shared" si="3"/>
        <v>5555977</v>
      </c>
      <c r="K99" s="1">
        <v>2017.0</v>
      </c>
      <c r="L99" s="5">
        <f t="shared" si="4"/>
        <v>2020</v>
      </c>
      <c r="M99" s="12">
        <f>IFERROR(__xludf.DUMMYFUNCTION("IMPORTXML(""https://data.bls.gov/cgi-bin/cpicalc.pl?cost1=1000000&amp;year1=""&amp;K99&amp;""01&amp;year2=""&amp;L99&amp;""01"", ""//span[@id='answer']"") / 1000000"),1.0623128899999998)</f>
        <v>1.06231289</v>
      </c>
    </row>
    <row r="100">
      <c r="A100" s="1">
        <v>99.0</v>
      </c>
      <c r="B100" s="8">
        <f>Filmes_final!C100</f>
        <v>130096601</v>
      </c>
      <c r="C100" s="5">
        <f>Filmes_final!D100</f>
        <v>1999</v>
      </c>
      <c r="D100" s="5">
        <f t="shared" si="1"/>
        <v>2020</v>
      </c>
      <c r="E100" s="12">
        <f t="shared" si="2"/>
        <v>1.57012173</v>
      </c>
      <c r="F100" s="8">
        <f t="shared" si="3"/>
        <v>204267500</v>
      </c>
      <c r="K100" s="1">
        <v>2018.0</v>
      </c>
      <c r="L100" s="5">
        <f t="shared" si="4"/>
        <v>2020</v>
      </c>
      <c r="M100" s="12">
        <f>IFERROR(__xludf.DUMMYFUNCTION("IMPORTXML(""https://data.bls.gov/cgi-bin/cpicalc.pl?cost1=1000000&amp;year1=""&amp;K100&amp;""01&amp;year2=""&amp;L100&amp;""01"", ""//span[@id='answer']"") / 1000000"),1.0407638000000001)</f>
        <v>1.0407638</v>
      </c>
    </row>
    <row r="101">
      <c r="A101" s="1">
        <v>100.0</v>
      </c>
      <c r="B101" s="8">
        <f>Filmes_final!C101</f>
        <v>138433435</v>
      </c>
      <c r="C101" s="5">
        <f>Filmes_final!D101</f>
        <v>1997</v>
      </c>
      <c r="D101" s="5">
        <f t="shared" si="1"/>
        <v>2020</v>
      </c>
      <c r="E101" s="12">
        <f t="shared" si="2"/>
        <v>1.62143935</v>
      </c>
      <c r="F101" s="8">
        <f t="shared" si="3"/>
        <v>224461419</v>
      </c>
      <c r="K101" s="1">
        <v>2019.0</v>
      </c>
      <c r="L101" s="5">
        <f t="shared" si="4"/>
        <v>2020</v>
      </c>
      <c r="M101" s="12">
        <f>IFERROR(__xludf.DUMMYFUNCTION("IMPORTXML(""https://data.bls.gov/cgi-bin/cpicalc.pl?cost1=1000000&amp;year1=""&amp;K101&amp;""01&amp;year2=""&amp;L101&amp;""01"", ""//span[@id='answer']"") / 1000000"),1.02486572)</f>
        <v>1.02486572</v>
      </c>
    </row>
    <row r="102">
      <c r="A102" s="1">
        <v>101.0</v>
      </c>
      <c r="B102" s="8">
        <f>Filmes_final!C102</f>
        <v>933933</v>
      </c>
      <c r="C102" s="5">
        <f>Filmes_final!D102</f>
        <v>1997</v>
      </c>
      <c r="D102" s="5">
        <f t="shared" si="1"/>
        <v>2020</v>
      </c>
      <c r="E102" s="12">
        <f t="shared" si="2"/>
        <v>1.62143935</v>
      </c>
      <c r="F102" s="8">
        <f t="shared" si="3"/>
        <v>1514316</v>
      </c>
      <c r="K102" s="1">
        <v>2020.0</v>
      </c>
      <c r="L102" s="5">
        <f t="shared" si="4"/>
        <v>2020</v>
      </c>
      <c r="M102" s="12">
        <f>IFERROR(__xludf.DUMMYFUNCTION("IMPORTXML(""https://data.bls.gov/cgi-bin/cpicalc.pl?cost1=1000000&amp;year1=""&amp;K102&amp;""01&amp;year2=""&amp;L102&amp;""01"", ""//span[@id='answer']"") / 1000000"),1.0)</f>
        <v>1</v>
      </c>
    </row>
    <row r="103">
      <c r="A103" s="1">
        <v>102.0</v>
      </c>
      <c r="B103" s="8">
        <f>Filmes_final!C103</f>
        <v>191796233</v>
      </c>
      <c r="C103" s="5">
        <f>Filmes_final!D103</f>
        <v>1995</v>
      </c>
      <c r="D103" s="5">
        <f t="shared" si="1"/>
        <v>2020</v>
      </c>
      <c r="E103" s="12">
        <f t="shared" si="2"/>
        <v>1.71637392</v>
      </c>
      <c r="F103" s="8">
        <f t="shared" si="3"/>
        <v>329194052</v>
      </c>
    </row>
    <row r="104">
      <c r="A104" s="1">
        <v>103.0</v>
      </c>
      <c r="B104" s="8">
        <f>Filmes_final!C104</f>
        <v>75600000</v>
      </c>
      <c r="C104" s="5">
        <f>Filmes_final!D104</f>
        <v>1995</v>
      </c>
      <c r="D104" s="5">
        <f t="shared" si="1"/>
        <v>2020</v>
      </c>
      <c r="E104" s="12">
        <f t="shared" si="2"/>
        <v>1.71637392</v>
      </c>
      <c r="F104" s="8">
        <f t="shared" si="3"/>
        <v>129757868</v>
      </c>
    </row>
    <row r="105">
      <c r="A105" s="1">
        <v>104.0</v>
      </c>
      <c r="B105" s="8">
        <f>Filmes_final!C105</f>
        <v>2832029</v>
      </c>
      <c r="C105" s="5">
        <f>Filmes_final!D105</f>
        <v>1992</v>
      </c>
      <c r="D105" s="5">
        <f t="shared" si="1"/>
        <v>2020</v>
      </c>
      <c r="E105" s="12">
        <f t="shared" si="2"/>
        <v>1.86800145</v>
      </c>
      <c r="F105" s="8">
        <f t="shared" si="3"/>
        <v>5290234</v>
      </c>
    </row>
    <row r="106">
      <c r="A106" s="1">
        <v>105.0</v>
      </c>
      <c r="B106" s="8">
        <f>Filmes_final!C106</f>
        <v>46357676</v>
      </c>
      <c r="C106" s="5">
        <f>Filmes_final!D106</f>
        <v>1987</v>
      </c>
      <c r="D106" s="5">
        <f t="shared" si="1"/>
        <v>2020</v>
      </c>
      <c r="E106" s="12">
        <f t="shared" si="2"/>
        <v>2.31988309</v>
      </c>
      <c r="F106" s="8">
        <f t="shared" si="3"/>
        <v>107544389</v>
      </c>
    </row>
    <row r="107">
      <c r="A107" s="1">
        <v>106.0</v>
      </c>
      <c r="B107" s="8">
        <f>Filmes_final!C107</f>
        <v>71909</v>
      </c>
      <c r="C107" s="5">
        <f>Filmes_final!D107</f>
        <v>1985</v>
      </c>
      <c r="D107" s="5">
        <f t="shared" si="1"/>
        <v>2020</v>
      </c>
      <c r="E107" s="12">
        <f t="shared" si="2"/>
        <v>2.44522275</v>
      </c>
      <c r="F107" s="8">
        <f t="shared" si="3"/>
        <v>175834</v>
      </c>
    </row>
    <row r="108">
      <c r="A108" s="1">
        <v>107.0</v>
      </c>
      <c r="B108" s="8">
        <f>Filmes_final!C108</f>
        <v>85160248</v>
      </c>
      <c r="C108" s="5">
        <f>Filmes_final!D108</f>
        <v>1986</v>
      </c>
      <c r="D108" s="5">
        <f t="shared" si="1"/>
        <v>2020</v>
      </c>
      <c r="E108" s="12">
        <f t="shared" si="2"/>
        <v>2.35375</v>
      </c>
      <c r="F108" s="8">
        <f t="shared" si="3"/>
        <v>200445934</v>
      </c>
    </row>
    <row r="109">
      <c r="A109" s="1">
        <v>108.0</v>
      </c>
      <c r="B109" s="8">
        <f>Filmes_final!C109</f>
        <v>51973029</v>
      </c>
      <c r="C109" s="5">
        <f>Filmes_final!D109</f>
        <v>1984</v>
      </c>
      <c r="D109" s="5">
        <f t="shared" si="1"/>
        <v>2020</v>
      </c>
      <c r="E109" s="12">
        <f t="shared" si="2"/>
        <v>2.53160942</v>
      </c>
      <c r="F109" s="8">
        <f t="shared" si="3"/>
        <v>131575410</v>
      </c>
    </row>
    <row r="110">
      <c r="A110" s="1">
        <v>109.0</v>
      </c>
      <c r="B110" s="8">
        <f>Filmes_final!C110</f>
        <v>45598982</v>
      </c>
      <c r="C110" s="5">
        <f>Filmes_final!D110</f>
        <v>1983</v>
      </c>
      <c r="D110" s="5">
        <f t="shared" si="1"/>
        <v>2020</v>
      </c>
      <c r="E110" s="12">
        <f t="shared" si="2"/>
        <v>2.63774029</v>
      </c>
      <c r="F110" s="8">
        <f t="shared" si="3"/>
        <v>120278272</v>
      </c>
    </row>
    <row r="111">
      <c r="A111" s="1">
        <v>110.0</v>
      </c>
      <c r="B111" s="8">
        <f>Filmes_final!C111</f>
        <v>309125409</v>
      </c>
      <c r="C111" s="5">
        <f>Filmes_final!D111</f>
        <v>1983</v>
      </c>
      <c r="D111" s="5">
        <f t="shared" si="1"/>
        <v>2020</v>
      </c>
      <c r="E111" s="12">
        <f t="shared" si="2"/>
        <v>2.63774029</v>
      </c>
      <c r="F111" s="8">
        <f t="shared" si="3"/>
        <v>815392546</v>
      </c>
    </row>
    <row r="112">
      <c r="A112" s="1">
        <v>111.0</v>
      </c>
      <c r="B112" s="8">
        <f>Filmes_final!C112</f>
        <v>11487676</v>
      </c>
      <c r="C112" s="5">
        <f>Filmes_final!D112</f>
        <v>1981</v>
      </c>
      <c r="D112" s="5">
        <f t="shared" si="1"/>
        <v>2020</v>
      </c>
      <c r="E112" s="12">
        <f t="shared" si="2"/>
        <v>2.96518391</v>
      </c>
      <c r="F112" s="8">
        <f t="shared" si="3"/>
        <v>34063072</v>
      </c>
    </row>
    <row r="113">
      <c r="A113" s="1">
        <v>112.0</v>
      </c>
      <c r="B113" s="8">
        <f>Filmes_final!C113</f>
        <v>28262574</v>
      </c>
      <c r="C113" s="5">
        <f>Filmes_final!D113</f>
        <v>1976</v>
      </c>
      <c r="D113" s="5">
        <f t="shared" si="1"/>
        <v>2020</v>
      </c>
      <c r="E113" s="12">
        <f t="shared" si="2"/>
        <v>4.63976619</v>
      </c>
      <c r="F113" s="8">
        <f t="shared" si="3"/>
        <v>131131735</v>
      </c>
    </row>
    <row r="114">
      <c r="A114" s="1">
        <v>113.0</v>
      </c>
      <c r="B114" s="8">
        <f>Filmes_final!C114</f>
        <v>159600000</v>
      </c>
      <c r="C114" s="5">
        <f>Filmes_final!D114</f>
        <v>1973</v>
      </c>
      <c r="D114" s="5">
        <f t="shared" si="1"/>
        <v>2020</v>
      </c>
      <c r="E114" s="12">
        <f t="shared" si="2"/>
        <v>6.05565728</v>
      </c>
      <c r="F114" s="8">
        <f t="shared" si="3"/>
        <v>966482902</v>
      </c>
    </row>
    <row r="115">
      <c r="A115" s="1">
        <v>114.0</v>
      </c>
      <c r="B115" s="8">
        <f>Filmes_final!C115</f>
        <v>6207725</v>
      </c>
      <c r="C115" s="5">
        <f>Filmes_final!D115</f>
        <v>1971</v>
      </c>
      <c r="D115" s="5">
        <f t="shared" si="1"/>
        <v>2020</v>
      </c>
      <c r="E115" s="12">
        <f t="shared" si="2"/>
        <v>6.48168342</v>
      </c>
      <c r="F115" s="8">
        <f t="shared" si="3"/>
        <v>40236508</v>
      </c>
    </row>
    <row r="116">
      <c r="A116" s="1">
        <v>115.0</v>
      </c>
      <c r="B116" s="8">
        <f>Filmes_final!C116</f>
        <v>56954992</v>
      </c>
      <c r="C116" s="5">
        <f>Filmes_final!D116</f>
        <v>1968</v>
      </c>
      <c r="D116" s="5">
        <f t="shared" si="1"/>
        <v>2020</v>
      </c>
      <c r="E116" s="12">
        <f t="shared" si="2"/>
        <v>7.56513196</v>
      </c>
      <c r="F116" s="8">
        <f t="shared" si="3"/>
        <v>430872030</v>
      </c>
    </row>
    <row r="117">
      <c r="A117" s="1">
        <v>116.0</v>
      </c>
      <c r="B117" s="8">
        <f>Filmes_final!C117</f>
        <v>15000000</v>
      </c>
      <c r="C117" s="5">
        <f>Filmes_final!D117</f>
        <v>1965</v>
      </c>
      <c r="D117" s="5">
        <f t="shared" si="1"/>
        <v>2020</v>
      </c>
      <c r="E117" s="12">
        <f t="shared" si="2"/>
        <v>8.26830128</v>
      </c>
      <c r="F117" s="8">
        <f t="shared" si="3"/>
        <v>124024519</v>
      </c>
    </row>
    <row r="118">
      <c r="A118" s="1">
        <v>117.0</v>
      </c>
      <c r="B118" s="8">
        <f>Filmes_final!C118</f>
        <v>44824144</v>
      </c>
      <c r="C118" s="5">
        <f>Filmes_final!D118</f>
        <v>1962</v>
      </c>
      <c r="D118" s="5">
        <f t="shared" si="1"/>
        <v>2020</v>
      </c>
      <c r="E118" s="12">
        <f t="shared" si="2"/>
        <v>8.59903333</v>
      </c>
      <c r="F118" s="8">
        <f t="shared" si="3"/>
        <v>385444308</v>
      </c>
    </row>
    <row r="119">
      <c r="A119" s="1">
        <v>118.0</v>
      </c>
      <c r="B119" s="8">
        <f>Filmes_final!C119</f>
        <v>18600000</v>
      </c>
      <c r="C119" s="5">
        <f>Filmes_final!D119</f>
        <v>1960</v>
      </c>
      <c r="D119" s="5">
        <f t="shared" si="1"/>
        <v>2020</v>
      </c>
      <c r="E119" s="12">
        <f t="shared" si="2"/>
        <v>8.80447099</v>
      </c>
      <c r="F119" s="8">
        <f t="shared" si="3"/>
        <v>163763160</v>
      </c>
    </row>
    <row r="120">
      <c r="A120" s="1">
        <v>119.0</v>
      </c>
      <c r="B120" s="8">
        <f>Filmes_final!C120</f>
        <v>13275000</v>
      </c>
      <c r="C120" s="5">
        <f>Filmes_final!D120</f>
        <v>1959</v>
      </c>
      <c r="D120" s="5">
        <f t="shared" si="1"/>
        <v>2020</v>
      </c>
      <c r="E120" s="12">
        <f t="shared" si="2"/>
        <v>8.89555172</v>
      </c>
      <c r="F120" s="8">
        <f t="shared" si="3"/>
        <v>118088449</v>
      </c>
    </row>
    <row r="121">
      <c r="A121" s="1">
        <v>120.0</v>
      </c>
      <c r="B121" s="8">
        <f>Filmes_final!C121</f>
        <v>3200000</v>
      </c>
      <c r="C121" s="5">
        <f>Filmes_final!D121</f>
        <v>1958</v>
      </c>
      <c r="D121" s="5">
        <f t="shared" si="1"/>
        <v>2020</v>
      </c>
      <c r="E121" s="12">
        <f t="shared" si="2"/>
        <v>9.01996503</v>
      </c>
      <c r="F121" s="8">
        <f t="shared" si="3"/>
        <v>28863888</v>
      </c>
    </row>
    <row r="122">
      <c r="A122" s="1">
        <v>121.0</v>
      </c>
      <c r="B122" s="8">
        <f>Filmes_final!C122</f>
        <v>8819028</v>
      </c>
      <c r="C122" s="5">
        <f>Filmes_final!D122</f>
        <v>1952</v>
      </c>
      <c r="D122" s="5">
        <f t="shared" si="1"/>
        <v>2020</v>
      </c>
      <c r="E122" s="12">
        <f t="shared" si="2"/>
        <v>9.73475472</v>
      </c>
      <c r="F122" s="8">
        <f t="shared" si="3"/>
        <v>85851074</v>
      </c>
    </row>
    <row r="123">
      <c r="A123" s="1">
        <v>122.0</v>
      </c>
      <c r="B123" s="8">
        <f>Filmes_final!C123</f>
        <v>55240</v>
      </c>
      <c r="C123" s="5">
        <f>Filmes_final!D123</f>
        <v>1952</v>
      </c>
      <c r="D123" s="5">
        <f t="shared" si="1"/>
        <v>2020</v>
      </c>
      <c r="E123" s="12">
        <f t="shared" si="2"/>
        <v>9.73475472</v>
      </c>
      <c r="F123" s="8">
        <f t="shared" si="3"/>
        <v>537748</v>
      </c>
    </row>
    <row r="124">
      <c r="A124" s="1">
        <v>123.0</v>
      </c>
      <c r="B124" s="8">
        <f>Filmes_final!C124</f>
        <v>332930</v>
      </c>
      <c r="C124" s="5">
        <f>Filmes_final!D124</f>
        <v>1948</v>
      </c>
      <c r="D124" s="5">
        <f t="shared" si="1"/>
        <v>2020</v>
      </c>
      <c r="E124" s="12">
        <f t="shared" si="2"/>
        <v>10.88485232</v>
      </c>
      <c r="F124" s="8">
        <f t="shared" si="3"/>
        <v>3623894</v>
      </c>
    </row>
    <row r="125">
      <c r="A125" s="1">
        <v>124.0</v>
      </c>
      <c r="B125" s="8">
        <f>Filmes_final!C125</f>
        <v>5720000</v>
      </c>
      <c r="C125" s="5">
        <f>Filmes_final!D125</f>
        <v>1944</v>
      </c>
      <c r="D125" s="5">
        <f t="shared" si="1"/>
        <v>2020</v>
      </c>
      <c r="E125" s="12">
        <f t="shared" si="2"/>
        <v>14.82591954</v>
      </c>
      <c r="F125" s="8">
        <f t="shared" si="3"/>
        <v>84804260</v>
      </c>
    </row>
    <row r="126">
      <c r="A126" s="1">
        <v>125.0</v>
      </c>
      <c r="B126" s="8">
        <f>Filmes_final!C126</f>
        <v>1585634</v>
      </c>
      <c r="C126" s="5">
        <f>Filmes_final!D126</f>
        <v>1941</v>
      </c>
      <c r="D126" s="5">
        <f t="shared" si="1"/>
        <v>2020</v>
      </c>
      <c r="E126" s="12">
        <f t="shared" si="2"/>
        <v>18.2958156</v>
      </c>
      <c r="F126" s="8">
        <f t="shared" si="3"/>
        <v>29010467</v>
      </c>
    </row>
    <row r="127">
      <c r="A127" s="1">
        <v>126.0</v>
      </c>
      <c r="B127" s="8">
        <f>Filmes_final!C127</f>
        <v>28877</v>
      </c>
      <c r="C127" s="5">
        <f>Filmes_final!D127</f>
        <v>1931</v>
      </c>
      <c r="D127" s="5">
        <f t="shared" si="1"/>
        <v>2020</v>
      </c>
      <c r="E127" s="12">
        <f t="shared" si="2"/>
        <v>16.22459119</v>
      </c>
      <c r="F127" s="8">
        <f t="shared" si="3"/>
        <v>468518</v>
      </c>
    </row>
    <row r="128">
      <c r="A128" s="1">
        <v>127.0</v>
      </c>
      <c r="B128" s="8">
        <f>Filmes_final!C128</f>
        <v>1236166</v>
      </c>
      <c r="C128" s="5">
        <f>Filmes_final!D128</f>
        <v>1927</v>
      </c>
      <c r="D128" s="5">
        <f t="shared" si="1"/>
        <v>2020</v>
      </c>
      <c r="E128" s="12">
        <f t="shared" si="2"/>
        <v>14.7412</v>
      </c>
      <c r="F128" s="8">
        <f t="shared" si="3"/>
        <v>18222570</v>
      </c>
    </row>
    <row r="129">
      <c r="A129" s="1">
        <v>128.0</v>
      </c>
      <c r="B129" s="8">
        <f>Filmes_final!C129</f>
        <v>5450000</v>
      </c>
      <c r="C129" s="5">
        <f>Filmes_final!D129</f>
        <v>1921</v>
      </c>
      <c r="D129" s="5">
        <f t="shared" si="1"/>
        <v>2020</v>
      </c>
      <c r="E129" s="12">
        <f t="shared" si="2"/>
        <v>13.57742105</v>
      </c>
      <c r="F129" s="8">
        <f t="shared" si="3"/>
        <v>73996945</v>
      </c>
    </row>
    <row r="130">
      <c r="A130" s="1">
        <v>129.0</v>
      </c>
      <c r="B130" s="8">
        <f>Filmes_final!C130</f>
        <v>898575</v>
      </c>
      <c r="C130" s="5">
        <f>Filmes_final!D130</f>
        <v>2019</v>
      </c>
      <c r="D130" s="5">
        <f t="shared" si="1"/>
        <v>2020</v>
      </c>
      <c r="E130" s="12">
        <f t="shared" si="2"/>
        <v>1.02486572</v>
      </c>
      <c r="F130" s="8">
        <f t="shared" si="3"/>
        <v>920919</v>
      </c>
    </row>
    <row r="131">
      <c r="A131" s="1">
        <v>130.0</v>
      </c>
      <c r="B131" s="8">
        <f>Filmes_final!C131</f>
        <v>4186168</v>
      </c>
      <c r="C131" s="5">
        <f>Filmes_final!D131</f>
        <v>2018</v>
      </c>
      <c r="D131" s="5">
        <f t="shared" si="1"/>
        <v>2020</v>
      </c>
      <c r="E131" s="12">
        <f t="shared" si="2"/>
        <v>1.0407638</v>
      </c>
      <c r="F131" s="8">
        <f t="shared" si="3"/>
        <v>4356812</v>
      </c>
    </row>
    <row r="132">
      <c r="A132" s="1">
        <v>131.0</v>
      </c>
      <c r="B132" s="8">
        <f>Filmes_final!C132</f>
        <v>6421597</v>
      </c>
      <c r="C132" s="5">
        <f>Filmes_final!D132</f>
        <v>2018</v>
      </c>
      <c r="D132" s="5">
        <f t="shared" si="1"/>
        <v>2020</v>
      </c>
      <c r="E132" s="12">
        <f t="shared" si="2"/>
        <v>1.0407638</v>
      </c>
      <c r="F132" s="8">
        <f t="shared" si="3"/>
        <v>6683366</v>
      </c>
    </row>
    <row r="133">
      <c r="A133" s="1">
        <v>132.0</v>
      </c>
      <c r="B133" s="8">
        <f>Filmes_final!C133</f>
        <v>85080171</v>
      </c>
      <c r="C133" s="5">
        <f>Filmes_final!D133</f>
        <v>2018</v>
      </c>
      <c r="D133" s="5">
        <f t="shared" si="1"/>
        <v>2020</v>
      </c>
      <c r="E133" s="12">
        <f t="shared" si="2"/>
        <v>1.0407638</v>
      </c>
      <c r="F133" s="8">
        <f t="shared" si="3"/>
        <v>88548362</v>
      </c>
    </row>
    <row r="134">
      <c r="A134" s="1">
        <v>133.0</v>
      </c>
      <c r="B134" s="8">
        <f>Filmes_final!C134</f>
        <v>54513740</v>
      </c>
      <c r="C134" s="5">
        <f>Filmes_final!D134</f>
        <v>2017</v>
      </c>
      <c r="D134" s="5">
        <f t="shared" si="1"/>
        <v>2020</v>
      </c>
      <c r="E134" s="12">
        <f t="shared" si="2"/>
        <v>1.06231289</v>
      </c>
      <c r="F134" s="8">
        <f t="shared" si="3"/>
        <v>57910649</v>
      </c>
    </row>
    <row r="135">
      <c r="A135" s="1">
        <v>134.0</v>
      </c>
      <c r="B135" s="8">
        <f>Filmes_final!C135</f>
        <v>342370</v>
      </c>
      <c r="C135" s="5">
        <f>Filmes_final!D135</f>
        <v>2015</v>
      </c>
      <c r="D135" s="5">
        <f t="shared" si="1"/>
        <v>2020</v>
      </c>
      <c r="E135" s="12">
        <f t="shared" si="2"/>
        <v>1.10382231</v>
      </c>
      <c r="F135" s="8">
        <f t="shared" si="3"/>
        <v>377916</v>
      </c>
    </row>
    <row r="136">
      <c r="A136" s="1">
        <v>135.0</v>
      </c>
      <c r="B136" s="8">
        <f>Filmes_final!C136</f>
        <v>20186659</v>
      </c>
      <c r="C136" s="5">
        <f>Filmes_final!D136</f>
        <v>2017</v>
      </c>
      <c r="D136" s="5">
        <f t="shared" si="1"/>
        <v>2020</v>
      </c>
      <c r="E136" s="12">
        <f t="shared" si="2"/>
        <v>1.06231289</v>
      </c>
      <c r="F136" s="8">
        <f t="shared" si="3"/>
        <v>21444548</v>
      </c>
    </row>
    <row r="137">
      <c r="A137" s="1">
        <v>136.0</v>
      </c>
      <c r="B137" s="8">
        <f>Filmes_final!C137</f>
        <v>40000000</v>
      </c>
      <c r="C137" s="5">
        <f>Filmes_final!D137</f>
        <v>2019</v>
      </c>
      <c r="D137" s="5">
        <f t="shared" si="1"/>
        <v>2020</v>
      </c>
      <c r="E137" s="12">
        <f t="shared" si="2"/>
        <v>1.02486572</v>
      </c>
      <c r="F137" s="8">
        <f t="shared" si="3"/>
        <v>40994629</v>
      </c>
    </row>
    <row r="138">
      <c r="A138" s="1">
        <v>137.0</v>
      </c>
      <c r="B138" s="8">
        <f>Filmes_final!C138</f>
        <v>739478</v>
      </c>
      <c r="C138" s="5">
        <f>Filmes_final!D138</f>
        <v>2015</v>
      </c>
      <c r="D138" s="5">
        <f t="shared" si="1"/>
        <v>2020</v>
      </c>
      <c r="E138" s="12">
        <f t="shared" si="2"/>
        <v>1.10382231</v>
      </c>
      <c r="F138" s="8">
        <f t="shared" si="3"/>
        <v>816252</v>
      </c>
    </row>
    <row r="139">
      <c r="A139" s="1">
        <v>138.0</v>
      </c>
      <c r="B139" s="8">
        <f>Filmes_final!C139</f>
        <v>1429534</v>
      </c>
      <c r="C139" s="5">
        <f>Filmes_final!D139</f>
        <v>2013</v>
      </c>
      <c r="D139" s="5">
        <f t="shared" si="1"/>
        <v>2020</v>
      </c>
      <c r="E139" s="12">
        <f t="shared" si="2"/>
        <v>1.12024926</v>
      </c>
      <c r="F139" s="8">
        <f t="shared" si="3"/>
        <v>1601434</v>
      </c>
    </row>
    <row r="140">
      <c r="A140" s="1">
        <v>139.0</v>
      </c>
      <c r="B140" s="8">
        <f>Filmes_final!C140</f>
        <v>144501</v>
      </c>
      <c r="C140" s="5">
        <f>Filmes_final!D140</f>
        <v>2013</v>
      </c>
      <c r="D140" s="5">
        <f t="shared" si="1"/>
        <v>2020</v>
      </c>
      <c r="E140" s="12">
        <f t="shared" si="2"/>
        <v>1.12024926</v>
      </c>
      <c r="F140" s="8">
        <f t="shared" si="3"/>
        <v>161877</v>
      </c>
    </row>
    <row r="141">
      <c r="A141" s="1">
        <v>140.0</v>
      </c>
      <c r="B141" s="8">
        <f>Filmes_final!C141</f>
        <v>1626289</v>
      </c>
      <c r="C141" s="5">
        <f>Filmes_final!D141</f>
        <v>2013</v>
      </c>
      <c r="D141" s="5">
        <f t="shared" si="1"/>
        <v>2020</v>
      </c>
      <c r="E141" s="12">
        <f t="shared" si="2"/>
        <v>1.12024926</v>
      </c>
      <c r="F141" s="8">
        <f t="shared" si="3"/>
        <v>1821849</v>
      </c>
    </row>
    <row r="142">
      <c r="A142" s="1">
        <v>141.0</v>
      </c>
      <c r="B142" s="8">
        <f>Filmes_final!C142</f>
        <v>4384642</v>
      </c>
      <c r="C142" s="5">
        <f>Filmes_final!D142</f>
        <v>2012</v>
      </c>
      <c r="D142" s="5">
        <f t="shared" si="1"/>
        <v>2020</v>
      </c>
      <c r="E142" s="12">
        <f t="shared" si="2"/>
        <v>1.13811572</v>
      </c>
      <c r="F142" s="8">
        <f t="shared" si="3"/>
        <v>4990230</v>
      </c>
    </row>
    <row r="143">
      <c r="A143" s="1">
        <v>142.0</v>
      </c>
      <c r="B143" s="8">
        <f>Filmes_final!C143</f>
        <v>7461</v>
      </c>
      <c r="C143" s="5">
        <f>Filmes_final!D143</f>
        <v>2010</v>
      </c>
      <c r="D143" s="5">
        <f t="shared" si="1"/>
        <v>2020</v>
      </c>
      <c r="E143" s="12">
        <f t="shared" si="2"/>
        <v>1.19052366</v>
      </c>
      <c r="F143" s="8">
        <f t="shared" si="3"/>
        <v>8882</v>
      </c>
    </row>
    <row r="144">
      <c r="A144" s="1">
        <v>143.0</v>
      </c>
      <c r="B144" s="8">
        <f>Filmes_final!C144</f>
        <v>39567</v>
      </c>
      <c r="C144" s="5">
        <f>Filmes_final!D144</f>
        <v>2012</v>
      </c>
      <c r="D144" s="5">
        <f t="shared" si="1"/>
        <v>2020</v>
      </c>
      <c r="E144" s="12">
        <f t="shared" si="2"/>
        <v>1.13811572</v>
      </c>
      <c r="F144" s="8">
        <f t="shared" si="3"/>
        <v>45032</v>
      </c>
    </row>
    <row r="145">
      <c r="A145" s="1">
        <v>144.0</v>
      </c>
      <c r="B145" s="8">
        <f>Filmes_final!C145</f>
        <v>6391436</v>
      </c>
      <c r="C145" s="5">
        <f>Filmes_final!D145</f>
        <v>2009</v>
      </c>
      <c r="D145" s="5">
        <f t="shared" si="1"/>
        <v>2020</v>
      </c>
      <c r="E145" s="12">
        <f t="shared" si="2"/>
        <v>1.22178334</v>
      </c>
      <c r="F145" s="8">
        <f t="shared" si="3"/>
        <v>7808950</v>
      </c>
    </row>
    <row r="146">
      <c r="A146" s="1">
        <v>145.0</v>
      </c>
      <c r="B146" s="8">
        <f>Filmes_final!C146</f>
        <v>13657115</v>
      </c>
      <c r="C146" s="5">
        <f>Filmes_final!D146</f>
        <v>2011</v>
      </c>
      <c r="D146" s="5">
        <f t="shared" si="1"/>
        <v>2020</v>
      </c>
      <c r="E146" s="12">
        <f t="shared" si="2"/>
        <v>1.17140807</v>
      </c>
      <c r="F146" s="8">
        <f t="shared" si="3"/>
        <v>15998055</v>
      </c>
    </row>
    <row r="147">
      <c r="A147" s="1">
        <v>146.0</v>
      </c>
      <c r="B147" s="8">
        <f>Filmes_final!C147</f>
        <v>128012934</v>
      </c>
      <c r="C147" s="5">
        <f>Filmes_final!D147</f>
        <v>2010</v>
      </c>
      <c r="D147" s="5">
        <f t="shared" si="1"/>
        <v>2020</v>
      </c>
      <c r="E147" s="12">
        <f t="shared" si="2"/>
        <v>1.19052366</v>
      </c>
      <c r="F147" s="8">
        <f t="shared" si="3"/>
        <v>152402427</v>
      </c>
    </row>
    <row r="148">
      <c r="A148" s="1">
        <v>147.0</v>
      </c>
      <c r="B148" s="8">
        <f>Filmes_final!C148</f>
        <v>293004164</v>
      </c>
      <c r="C148" s="5">
        <f>Filmes_final!D148</f>
        <v>2009</v>
      </c>
      <c r="D148" s="5">
        <f t="shared" si="1"/>
        <v>2020</v>
      </c>
      <c r="E148" s="12">
        <f t="shared" si="2"/>
        <v>1.22178334</v>
      </c>
      <c r="F148" s="8">
        <f t="shared" si="3"/>
        <v>357987606</v>
      </c>
    </row>
    <row r="149">
      <c r="A149" s="1">
        <v>148.0</v>
      </c>
      <c r="B149" s="8">
        <f>Filmes_final!C149</f>
        <v>116900694</v>
      </c>
      <c r="C149" s="5">
        <f>Filmes_final!D149</f>
        <v>2013</v>
      </c>
      <c r="D149" s="5">
        <f t="shared" si="1"/>
        <v>2020</v>
      </c>
      <c r="E149" s="12">
        <f t="shared" si="2"/>
        <v>1.12024926</v>
      </c>
      <c r="F149" s="8">
        <f t="shared" si="3"/>
        <v>130957916</v>
      </c>
    </row>
    <row r="150">
      <c r="A150" s="1">
        <v>149.0</v>
      </c>
      <c r="B150" s="8">
        <f>Filmes_final!C150</f>
        <v>1113541</v>
      </c>
      <c r="C150" s="5">
        <f>Filmes_final!D150</f>
        <v>2007</v>
      </c>
      <c r="D150" s="5">
        <f t="shared" si="1"/>
        <v>2020</v>
      </c>
      <c r="E150" s="12">
        <f t="shared" si="2"/>
        <v>1.27445953</v>
      </c>
      <c r="F150" s="8">
        <f t="shared" si="3"/>
        <v>1419163</v>
      </c>
    </row>
    <row r="151">
      <c r="A151" s="1">
        <v>150.0</v>
      </c>
      <c r="B151" s="8">
        <f>Filmes_final!C151</f>
        <v>40222514</v>
      </c>
      <c r="C151" s="5">
        <f>Filmes_final!D151</f>
        <v>2007</v>
      </c>
      <c r="D151" s="5">
        <f t="shared" si="1"/>
        <v>2020</v>
      </c>
      <c r="E151" s="12">
        <f t="shared" si="2"/>
        <v>1.27445953</v>
      </c>
      <c r="F151" s="8">
        <f t="shared" si="3"/>
        <v>51261966</v>
      </c>
    </row>
    <row r="152">
      <c r="A152" s="1">
        <v>151.0</v>
      </c>
      <c r="B152" s="8">
        <f>Filmes_final!C152</f>
        <v>37634615</v>
      </c>
      <c r="C152" s="5">
        <f>Filmes_final!D152</f>
        <v>2006</v>
      </c>
      <c r="D152" s="5">
        <f t="shared" si="1"/>
        <v>2020</v>
      </c>
      <c r="E152" s="12">
        <f t="shared" si="2"/>
        <v>1.30091276</v>
      </c>
      <c r="F152" s="8">
        <f t="shared" si="3"/>
        <v>48959351</v>
      </c>
    </row>
    <row r="153">
      <c r="A153" s="1">
        <v>152.0</v>
      </c>
      <c r="B153" s="8">
        <f>Filmes_final!C153</f>
        <v>415004880</v>
      </c>
      <c r="C153" s="5">
        <f>Filmes_final!D153</f>
        <v>2010</v>
      </c>
      <c r="D153" s="5">
        <f t="shared" si="1"/>
        <v>2020</v>
      </c>
      <c r="E153" s="12">
        <f t="shared" si="2"/>
        <v>1.19052366</v>
      </c>
      <c r="F153" s="8">
        <f t="shared" si="3"/>
        <v>494073129</v>
      </c>
    </row>
    <row r="154">
      <c r="A154" s="1">
        <v>153.0</v>
      </c>
      <c r="B154" s="8">
        <f>Filmes_final!C154</f>
        <v>70511035</v>
      </c>
      <c r="C154" s="5">
        <f>Filmes_final!D154</f>
        <v>2005</v>
      </c>
      <c r="D154" s="5">
        <f t="shared" si="1"/>
        <v>2020</v>
      </c>
      <c r="E154" s="12">
        <f t="shared" si="2"/>
        <v>1.35275826</v>
      </c>
      <c r="F154" s="8">
        <f t="shared" si="3"/>
        <v>95384385</v>
      </c>
    </row>
    <row r="155">
      <c r="A155" s="1">
        <v>154.0</v>
      </c>
      <c r="B155" s="8">
        <f>Filmes_final!C155</f>
        <v>2197331</v>
      </c>
      <c r="C155" s="5">
        <f>Filmes_final!D155</f>
        <v>2006</v>
      </c>
      <c r="D155" s="5">
        <f t="shared" si="1"/>
        <v>2020</v>
      </c>
      <c r="E155" s="12">
        <f t="shared" si="2"/>
        <v>1.30091276</v>
      </c>
      <c r="F155" s="8">
        <f t="shared" si="3"/>
        <v>2858536</v>
      </c>
    </row>
    <row r="156">
      <c r="A156" s="1">
        <v>155.0</v>
      </c>
      <c r="B156" s="8">
        <f>Filmes_final!C156</f>
        <v>733094</v>
      </c>
      <c r="C156" s="5">
        <f>Filmes_final!D156</f>
        <v>2005</v>
      </c>
      <c r="D156" s="5">
        <f t="shared" si="1"/>
        <v>2020</v>
      </c>
      <c r="E156" s="12">
        <f t="shared" si="2"/>
        <v>1.35275826</v>
      </c>
      <c r="F156" s="8">
        <f t="shared" si="3"/>
        <v>991699</v>
      </c>
    </row>
    <row r="157">
      <c r="A157" s="1">
        <v>156.0</v>
      </c>
      <c r="B157" s="8">
        <f>Filmes_final!C157</f>
        <v>206852432</v>
      </c>
      <c r="C157" s="5">
        <f>Filmes_final!D157</f>
        <v>2005</v>
      </c>
      <c r="D157" s="5">
        <f t="shared" si="1"/>
        <v>2020</v>
      </c>
      <c r="E157" s="12">
        <f t="shared" si="2"/>
        <v>1.35275826</v>
      </c>
      <c r="F157" s="8">
        <f t="shared" si="3"/>
        <v>279821336</v>
      </c>
    </row>
    <row r="158">
      <c r="A158" s="1">
        <v>157.0</v>
      </c>
      <c r="B158" s="8">
        <f>Filmes_final!C158</f>
        <v>1223240</v>
      </c>
      <c r="C158" s="5">
        <f>Filmes_final!D158</f>
        <v>2004</v>
      </c>
      <c r="D158" s="5">
        <f t="shared" si="1"/>
        <v>2020</v>
      </c>
      <c r="E158" s="12">
        <f t="shared" si="2"/>
        <v>1.39293197</v>
      </c>
      <c r="F158" s="8">
        <f t="shared" si="3"/>
        <v>1703890</v>
      </c>
    </row>
    <row r="159">
      <c r="A159" s="1">
        <v>158.0</v>
      </c>
      <c r="B159" s="8">
        <f>Filmes_final!C159</f>
        <v>5509040</v>
      </c>
      <c r="C159" s="5">
        <f>Filmes_final!D159</f>
        <v>2004</v>
      </c>
      <c r="D159" s="5">
        <f t="shared" si="1"/>
        <v>2020</v>
      </c>
      <c r="E159" s="12">
        <f t="shared" si="2"/>
        <v>1.39293197</v>
      </c>
      <c r="F159" s="8">
        <f t="shared" si="3"/>
        <v>7673718</v>
      </c>
    </row>
    <row r="160">
      <c r="A160" s="1">
        <v>159.0</v>
      </c>
      <c r="B160" s="8">
        <f>Filmes_final!C160</f>
        <v>4711096</v>
      </c>
      <c r="C160" s="5">
        <f>Filmes_final!D160</f>
        <v>2004</v>
      </c>
      <c r="D160" s="5">
        <f t="shared" si="1"/>
        <v>2020</v>
      </c>
      <c r="E160" s="12">
        <f t="shared" si="2"/>
        <v>1.39293197</v>
      </c>
      <c r="F160" s="8">
        <f t="shared" si="3"/>
        <v>6562236</v>
      </c>
    </row>
    <row r="161">
      <c r="A161" s="1">
        <v>160.0</v>
      </c>
      <c r="B161" s="8">
        <f>Filmes_final!C161</f>
        <v>170742341</v>
      </c>
      <c r="C161" s="5">
        <f>Filmes_final!D161</f>
        <v>2001</v>
      </c>
      <c r="D161" s="5">
        <f t="shared" si="1"/>
        <v>2020</v>
      </c>
      <c r="E161" s="12">
        <f t="shared" si="2"/>
        <v>1.47327813</v>
      </c>
      <c r="F161" s="8">
        <f t="shared" si="3"/>
        <v>251550957</v>
      </c>
    </row>
    <row r="162">
      <c r="A162" s="1">
        <v>161.0</v>
      </c>
      <c r="B162" s="8">
        <f>Filmes_final!C162</f>
        <v>0</v>
      </c>
      <c r="C162" s="5">
        <f>Filmes_final!D162</f>
        <v>2000</v>
      </c>
      <c r="D162" s="5">
        <f t="shared" si="1"/>
        <v>2020</v>
      </c>
      <c r="E162" s="12">
        <f t="shared" si="2"/>
        <v>1.52826422</v>
      </c>
      <c r="F162" s="8">
        <f t="shared" si="3"/>
        <v>0</v>
      </c>
    </row>
    <row r="163">
      <c r="A163" s="1">
        <v>162.0</v>
      </c>
      <c r="B163" s="8">
        <f>Filmes_final!C163</f>
        <v>3897569</v>
      </c>
      <c r="C163" s="5">
        <f>Filmes_final!D163</f>
        <v>1998</v>
      </c>
      <c r="D163" s="5">
        <f t="shared" si="1"/>
        <v>2020</v>
      </c>
      <c r="E163" s="12">
        <f t="shared" si="2"/>
        <v>1.5963552</v>
      </c>
      <c r="F163" s="8">
        <f t="shared" si="3"/>
        <v>6221905</v>
      </c>
    </row>
    <row r="164">
      <c r="A164" s="1">
        <v>163.0</v>
      </c>
      <c r="B164" s="8">
        <f>Filmes_final!C164</f>
        <v>64616940</v>
      </c>
      <c r="C164" s="5">
        <f>Filmes_final!D164</f>
        <v>1997</v>
      </c>
      <c r="D164" s="5">
        <f t="shared" si="1"/>
        <v>2020</v>
      </c>
      <c r="E164" s="12">
        <f t="shared" si="2"/>
        <v>1.62143935</v>
      </c>
      <c r="F164" s="8">
        <f t="shared" si="3"/>
        <v>104772449</v>
      </c>
    </row>
    <row r="165">
      <c r="A165" s="1">
        <v>164.0</v>
      </c>
      <c r="B165" s="8">
        <f>Filmes_final!C165</f>
        <v>1200000</v>
      </c>
      <c r="C165" s="5">
        <f>Filmes_final!D165</f>
        <v>1996</v>
      </c>
      <c r="D165" s="5">
        <f t="shared" si="1"/>
        <v>2020</v>
      </c>
      <c r="E165" s="12">
        <f t="shared" si="2"/>
        <v>1.67079663</v>
      </c>
      <c r="F165" s="8">
        <f t="shared" si="3"/>
        <v>2004956</v>
      </c>
    </row>
    <row r="166">
      <c r="A166" s="1">
        <v>165.0</v>
      </c>
      <c r="B166" s="8">
        <f>Filmes_final!C166</f>
        <v>67436818</v>
      </c>
      <c r="C166" s="5">
        <f>Filmes_final!D166</f>
        <v>1995</v>
      </c>
      <c r="D166" s="5">
        <f t="shared" si="1"/>
        <v>2020</v>
      </c>
      <c r="E166" s="12">
        <f t="shared" si="2"/>
        <v>1.71637392</v>
      </c>
      <c r="F166" s="8">
        <f t="shared" si="3"/>
        <v>115746796</v>
      </c>
    </row>
    <row r="167">
      <c r="A167" s="1">
        <v>166.0</v>
      </c>
      <c r="B167" s="8">
        <f>Filmes_final!C167</f>
        <v>42438300</v>
      </c>
      <c r="C167" s="5">
        <f>Filmes_final!D167</f>
        <v>1995</v>
      </c>
      <c r="D167" s="5">
        <f t="shared" si="1"/>
        <v>2020</v>
      </c>
      <c r="E167" s="12">
        <f t="shared" si="2"/>
        <v>1.71637392</v>
      </c>
      <c r="F167" s="8">
        <f t="shared" si="3"/>
        <v>72839991</v>
      </c>
    </row>
    <row r="168">
      <c r="A168" s="1">
        <v>167.0</v>
      </c>
      <c r="B168" s="8">
        <f>Filmes_final!C168</f>
        <v>0</v>
      </c>
      <c r="C168" s="5">
        <f>Filmes_final!D168</f>
        <v>1994</v>
      </c>
      <c r="D168" s="5">
        <f t="shared" si="1"/>
        <v>2020</v>
      </c>
      <c r="E168" s="12">
        <f t="shared" si="2"/>
        <v>1.76450752</v>
      </c>
      <c r="F168" s="8">
        <f t="shared" si="3"/>
        <v>0</v>
      </c>
    </row>
    <row r="169">
      <c r="A169" s="1">
        <v>168.0</v>
      </c>
      <c r="B169" s="8">
        <f>Filmes_final!C169</f>
        <v>101157447</v>
      </c>
      <c r="C169" s="5">
        <f>Filmes_final!D169</f>
        <v>1992</v>
      </c>
      <c r="D169" s="5">
        <f t="shared" si="1"/>
        <v>2020</v>
      </c>
      <c r="E169" s="12">
        <f t="shared" si="2"/>
        <v>1.86800145</v>
      </c>
      <c r="F169" s="8">
        <f t="shared" si="3"/>
        <v>188962258</v>
      </c>
    </row>
    <row r="170">
      <c r="A170" s="1">
        <v>169.0</v>
      </c>
      <c r="B170" s="8">
        <f>Filmes_final!C170</f>
        <v>197171806</v>
      </c>
      <c r="C170" s="5">
        <f>Filmes_final!D170</f>
        <v>1989</v>
      </c>
      <c r="D170" s="5">
        <f t="shared" si="1"/>
        <v>2020</v>
      </c>
      <c r="E170" s="12">
        <f t="shared" si="2"/>
        <v>2.13023121</v>
      </c>
      <c r="F170" s="8">
        <f t="shared" si="3"/>
        <v>420021535</v>
      </c>
    </row>
    <row r="171">
      <c r="A171" s="1">
        <v>170.0</v>
      </c>
      <c r="B171" s="8">
        <f>Filmes_final!C171</f>
        <v>280015</v>
      </c>
      <c r="C171" s="5">
        <f>Filmes_final!D171</f>
        <v>1988</v>
      </c>
      <c r="D171" s="5">
        <f t="shared" si="1"/>
        <v>2020</v>
      </c>
      <c r="E171" s="12">
        <f t="shared" si="2"/>
        <v>2.22965428</v>
      </c>
      <c r="F171" s="8">
        <f t="shared" si="3"/>
        <v>624337</v>
      </c>
    </row>
    <row r="172">
      <c r="A172" s="1">
        <v>171.0</v>
      </c>
      <c r="B172" s="8">
        <f>Filmes_final!C172</f>
        <v>1105564</v>
      </c>
      <c r="C172" s="5">
        <f>Filmes_final!D172</f>
        <v>1988</v>
      </c>
      <c r="D172" s="5">
        <f t="shared" si="1"/>
        <v>2020</v>
      </c>
      <c r="E172" s="12">
        <f t="shared" si="2"/>
        <v>2.22965428</v>
      </c>
      <c r="F172" s="8">
        <f t="shared" si="3"/>
        <v>2465026</v>
      </c>
    </row>
    <row r="173">
      <c r="A173" s="1">
        <v>172.0</v>
      </c>
      <c r="B173" s="8">
        <f>Filmes_final!C173</f>
        <v>83008852</v>
      </c>
      <c r="C173" s="5">
        <f>Filmes_final!D173</f>
        <v>1988</v>
      </c>
      <c r="D173" s="5">
        <f t="shared" si="1"/>
        <v>2020</v>
      </c>
      <c r="E173" s="12">
        <f t="shared" si="2"/>
        <v>2.22965428</v>
      </c>
      <c r="F173" s="8">
        <f t="shared" si="3"/>
        <v>185081042</v>
      </c>
    </row>
    <row r="174">
      <c r="A174" s="1">
        <v>173.0</v>
      </c>
      <c r="B174" s="8">
        <f>Filmes_final!C174</f>
        <v>4135750</v>
      </c>
      <c r="C174" s="5">
        <f>Filmes_final!D174</f>
        <v>1985</v>
      </c>
      <c r="D174" s="5">
        <f t="shared" si="1"/>
        <v>2020</v>
      </c>
      <c r="E174" s="12">
        <f t="shared" si="2"/>
        <v>2.44522275</v>
      </c>
      <c r="F174" s="8">
        <f t="shared" si="3"/>
        <v>10112830</v>
      </c>
    </row>
    <row r="175">
      <c r="A175" s="1">
        <v>174.0</v>
      </c>
      <c r="B175" s="8">
        <f>Filmes_final!C175</f>
        <v>23383987</v>
      </c>
      <c r="C175" s="5">
        <f>Filmes_final!D175</f>
        <v>1980</v>
      </c>
      <c r="D175" s="5">
        <f t="shared" si="1"/>
        <v>2020</v>
      </c>
      <c r="E175" s="12">
        <f t="shared" si="2"/>
        <v>3.31582262</v>
      </c>
      <c r="F175" s="8">
        <f t="shared" si="3"/>
        <v>77537153</v>
      </c>
    </row>
    <row r="176">
      <c r="A176" s="1">
        <v>175.0</v>
      </c>
      <c r="B176" s="8">
        <f>Filmes_final!C176</f>
        <v>234723</v>
      </c>
      <c r="C176" s="5">
        <f>Filmes_final!D176</f>
        <v>1979</v>
      </c>
      <c r="D176" s="5">
        <f t="shared" si="1"/>
        <v>2020</v>
      </c>
      <c r="E176" s="12">
        <f t="shared" si="2"/>
        <v>3.77702782</v>
      </c>
      <c r="F176" s="8">
        <f t="shared" si="3"/>
        <v>886555</v>
      </c>
    </row>
    <row r="177">
      <c r="A177" s="1">
        <v>176.0</v>
      </c>
      <c r="B177" s="8">
        <f>Filmes_final!C177</f>
        <v>14338</v>
      </c>
      <c r="C177" s="5">
        <f>Filmes_final!D177</f>
        <v>1978</v>
      </c>
      <c r="D177" s="5">
        <f t="shared" si="1"/>
        <v>2020</v>
      </c>
      <c r="E177" s="12">
        <f t="shared" si="2"/>
        <v>4.127536</v>
      </c>
      <c r="F177" s="8">
        <f t="shared" si="3"/>
        <v>59181</v>
      </c>
    </row>
    <row r="178">
      <c r="A178" s="1">
        <v>177.0</v>
      </c>
      <c r="B178" s="8">
        <f>Filmes_final!C178</f>
        <v>10000000</v>
      </c>
      <c r="C178" s="5">
        <f>Filmes_final!D178</f>
        <v>1976</v>
      </c>
      <c r="D178" s="5">
        <f t="shared" si="1"/>
        <v>2020</v>
      </c>
      <c r="E178" s="12">
        <f t="shared" si="2"/>
        <v>4.63976619</v>
      </c>
      <c r="F178" s="8">
        <f t="shared" si="3"/>
        <v>46397662</v>
      </c>
    </row>
    <row r="179">
      <c r="A179" s="1">
        <v>178.0</v>
      </c>
      <c r="B179" s="8">
        <f>Filmes_final!C179</f>
        <v>0</v>
      </c>
      <c r="C179" s="5">
        <f>Filmes_final!D179</f>
        <v>1975</v>
      </c>
      <c r="D179" s="5">
        <f t="shared" si="1"/>
        <v>2020</v>
      </c>
      <c r="E179" s="12">
        <f t="shared" si="2"/>
        <v>4.95145873</v>
      </c>
      <c r="F179" s="8">
        <f t="shared" si="3"/>
        <v>0</v>
      </c>
    </row>
    <row r="180">
      <c r="A180" s="1">
        <v>179.0</v>
      </c>
      <c r="B180" s="8">
        <f>Filmes_final!C180</f>
        <v>1229197</v>
      </c>
      <c r="C180" s="5">
        <f>Filmes_final!D180</f>
        <v>1975</v>
      </c>
      <c r="D180" s="5">
        <f t="shared" si="1"/>
        <v>2020</v>
      </c>
      <c r="E180" s="12">
        <f t="shared" si="2"/>
        <v>4.95145873</v>
      </c>
      <c r="F180" s="8">
        <f t="shared" si="3"/>
        <v>6086318</v>
      </c>
    </row>
    <row r="181">
      <c r="A181" s="1">
        <v>180.0</v>
      </c>
      <c r="B181" s="8">
        <f>Filmes_final!C181</f>
        <v>12100000</v>
      </c>
      <c r="C181" s="5">
        <f>Filmes_final!D181</f>
        <v>1963</v>
      </c>
      <c r="D181" s="5">
        <f t="shared" si="1"/>
        <v>2020</v>
      </c>
      <c r="E181" s="12">
        <f t="shared" si="2"/>
        <v>8.48588816</v>
      </c>
      <c r="F181" s="8">
        <f t="shared" si="3"/>
        <v>102679247</v>
      </c>
    </row>
    <row r="182">
      <c r="A182" s="1">
        <v>181.0</v>
      </c>
      <c r="B182" s="8">
        <f>Filmes_final!C182</f>
        <v>599146</v>
      </c>
      <c r="C182" s="5">
        <f>Filmes_final!D182</f>
        <v>1962</v>
      </c>
      <c r="D182" s="5">
        <f t="shared" si="1"/>
        <v>2020</v>
      </c>
      <c r="E182" s="12">
        <f t="shared" si="2"/>
        <v>8.59903333</v>
      </c>
      <c r="F182" s="8">
        <f t="shared" si="3"/>
        <v>5152076</v>
      </c>
    </row>
    <row r="183">
      <c r="A183" s="1">
        <v>182.0</v>
      </c>
      <c r="B183" s="8">
        <f>Filmes_final!C183</f>
        <v>46808</v>
      </c>
      <c r="C183" s="5">
        <f>Filmes_final!D183</f>
        <v>1961</v>
      </c>
      <c r="D183" s="5">
        <f t="shared" si="1"/>
        <v>2020</v>
      </c>
      <c r="E183" s="12">
        <f t="shared" si="2"/>
        <v>8.65674497</v>
      </c>
      <c r="F183" s="8">
        <f t="shared" si="3"/>
        <v>405205</v>
      </c>
    </row>
    <row r="184">
      <c r="A184" s="1">
        <v>183.0</v>
      </c>
      <c r="B184" s="8">
        <f>Filmes_final!C184</f>
        <v>12180</v>
      </c>
      <c r="C184" s="5">
        <f>Filmes_final!D184</f>
        <v>1961</v>
      </c>
      <c r="D184" s="5">
        <f t="shared" si="1"/>
        <v>2020</v>
      </c>
      <c r="E184" s="12">
        <f t="shared" si="2"/>
        <v>8.65674497</v>
      </c>
      <c r="F184" s="8">
        <f t="shared" si="3"/>
        <v>105439</v>
      </c>
    </row>
    <row r="185">
      <c r="A185" s="1">
        <v>184.0</v>
      </c>
      <c r="B185" s="8">
        <f>Filmes_final!C185</f>
        <v>25000000</v>
      </c>
      <c r="C185" s="5">
        <f>Filmes_final!D185</f>
        <v>1959</v>
      </c>
      <c r="D185" s="5">
        <f t="shared" si="1"/>
        <v>2020</v>
      </c>
      <c r="E185" s="12">
        <f t="shared" si="2"/>
        <v>8.89555172</v>
      </c>
      <c r="F185" s="8">
        <f t="shared" si="3"/>
        <v>222388793</v>
      </c>
    </row>
    <row r="186">
      <c r="A186" s="1">
        <v>185.0</v>
      </c>
      <c r="B186" s="8">
        <f>Filmes_final!C186</f>
        <v>14524</v>
      </c>
      <c r="C186" s="5">
        <f>Filmes_final!D186</f>
        <v>1957</v>
      </c>
      <c r="D186" s="5">
        <f t="shared" si="1"/>
        <v>2020</v>
      </c>
      <c r="E186" s="12">
        <f t="shared" si="2"/>
        <v>9.34677536</v>
      </c>
      <c r="F186" s="8">
        <f t="shared" si="3"/>
        <v>135753</v>
      </c>
    </row>
    <row r="187">
      <c r="A187" s="1">
        <v>186.0</v>
      </c>
      <c r="B187" s="8">
        <f>Filmes_final!C187</f>
        <v>230571</v>
      </c>
      <c r="C187" s="5">
        <f>Filmes_final!D187</f>
        <v>1957</v>
      </c>
      <c r="D187" s="5">
        <f t="shared" si="1"/>
        <v>2020</v>
      </c>
      <c r="E187" s="12">
        <f t="shared" si="2"/>
        <v>9.34677536</v>
      </c>
      <c r="F187" s="8">
        <f t="shared" si="3"/>
        <v>2155095</v>
      </c>
    </row>
    <row r="188">
      <c r="A188" s="1">
        <v>187.0</v>
      </c>
      <c r="B188" s="8">
        <f>Filmes_final!C188</f>
        <v>57226</v>
      </c>
      <c r="C188" s="5">
        <f>Filmes_final!D188</f>
        <v>1955</v>
      </c>
      <c r="D188" s="5">
        <f t="shared" si="1"/>
        <v>2020</v>
      </c>
      <c r="E188" s="12">
        <f t="shared" si="2"/>
        <v>9.66183521</v>
      </c>
      <c r="F188" s="8">
        <f t="shared" si="3"/>
        <v>552908</v>
      </c>
    </row>
    <row r="189">
      <c r="A189" s="1">
        <v>188.0</v>
      </c>
      <c r="B189" s="8">
        <f>Filmes_final!C189</f>
        <v>12562</v>
      </c>
      <c r="C189" s="5">
        <f>Filmes_final!D189</f>
        <v>1954</v>
      </c>
      <c r="D189" s="5">
        <f t="shared" si="1"/>
        <v>2020</v>
      </c>
      <c r="E189" s="12">
        <f t="shared" si="2"/>
        <v>9.59</v>
      </c>
      <c r="F189" s="8">
        <f t="shared" si="3"/>
        <v>120470</v>
      </c>
    </row>
    <row r="190">
      <c r="A190" s="1">
        <v>189.0</v>
      </c>
      <c r="B190" s="8">
        <f>Filmes_final!C190</f>
        <v>40468</v>
      </c>
      <c r="C190" s="5">
        <f>Filmes_final!D190</f>
        <v>1953</v>
      </c>
      <c r="D190" s="5">
        <f t="shared" si="1"/>
        <v>2020</v>
      </c>
      <c r="E190" s="12">
        <f t="shared" si="2"/>
        <v>9.69815789</v>
      </c>
      <c r="F190" s="8">
        <f t="shared" si="3"/>
        <v>392465</v>
      </c>
    </row>
    <row r="191">
      <c r="A191" s="1">
        <v>190.0</v>
      </c>
      <c r="B191" s="8">
        <f>Filmes_final!C191</f>
        <v>96568</v>
      </c>
      <c r="C191" s="5">
        <f>Filmes_final!D191</f>
        <v>1950</v>
      </c>
      <c r="D191" s="5">
        <f t="shared" si="1"/>
        <v>2020</v>
      </c>
      <c r="E191" s="12">
        <f t="shared" si="2"/>
        <v>10.97748936</v>
      </c>
      <c r="F191" s="8">
        <f t="shared" si="3"/>
        <v>1060074</v>
      </c>
    </row>
    <row r="192">
      <c r="A192" s="1">
        <v>191.0</v>
      </c>
      <c r="B192" s="8">
        <f>Filmes_final!C192</f>
        <v>10177</v>
      </c>
      <c r="C192" s="5">
        <f>Filmes_final!D192</f>
        <v>1950</v>
      </c>
      <c r="D192" s="5">
        <f t="shared" si="1"/>
        <v>2020</v>
      </c>
      <c r="E192" s="12">
        <f t="shared" si="2"/>
        <v>10.97748936</v>
      </c>
      <c r="F192" s="8">
        <f t="shared" si="3"/>
        <v>111718</v>
      </c>
    </row>
    <row r="193">
      <c r="A193" s="1">
        <v>192.0</v>
      </c>
      <c r="B193" s="8">
        <f>Filmes_final!C193</f>
        <v>5014000</v>
      </c>
      <c r="C193" s="5">
        <f>Filmes_final!D193</f>
        <v>1948</v>
      </c>
      <c r="D193" s="5">
        <f t="shared" si="1"/>
        <v>2020</v>
      </c>
      <c r="E193" s="12">
        <f t="shared" si="2"/>
        <v>10.88485232</v>
      </c>
      <c r="F193" s="8">
        <f t="shared" si="3"/>
        <v>54576650</v>
      </c>
    </row>
    <row r="194">
      <c r="A194" s="1">
        <v>193.0</v>
      </c>
      <c r="B194" s="8">
        <f>Filmes_final!C194</f>
        <v>4578000</v>
      </c>
      <c r="C194" s="5">
        <f>Filmes_final!D194</f>
        <v>1942</v>
      </c>
      <c r="D194" s="5">
        <f t="shared" si="1"/>
        <v>2020</v>
      </c>
      <c r="E194" s="12">
        <f t="shared" si="2"/>
        <v>16.43127389</v>
      </c>
      <c r="F194" s="8">
        <f t="shared" si="3"/>
        <v>75222372</v>
      </c>
    </row>
    <row r="195">
      <c r="A195" s="1">
        <v>194.0</v>
      </c>
      <c r="B195" s="8">
        <f>Filmes_final!C195</f>
        <v>5450000</v>
      </c>
      <c r="C195" s="5">
        <f>Filmes_final!D195</f>
        <v>1925</v>
      </c>
      <c r="D195" s="5">
        <f t="shared" si="1"/>
        <v>2020</v>
      </c>
      <c r="E195" s="12">
        <f t="shared" si="2"/>
        <v>14.9116185</v>
      </c>
      <c r="F195" s="8">
        <f t="shared" si="3"/>
        <v>81268321</v>
      </c>
    </row>
    <row r="196">
      <c r="A196" s="1">
        <v>195.0</v>
      </c>
      <c r="B196" s="8">
        <f>Filmes_final!C196</f>
        <v>977375</v>
      </c>
      <c r="C196" s="5">
        <f>Filmes_final!D196</f>
        <v>1924</v>
      </c>
      <c r="D196" s="5">
        <f t="shared" si="1"/>
        <v>2020</v>
      </c>
      <c r="E196" s="12">
        <f t="shared" si="2"/>
        <v>14.9116185</v>
      </c>
      <c r="F196" s="8">
        <f t="shared" si="3"/>
        <v>14574243</v>
      </c>
    </row>
    <row r="197">
      <c r="A197" s="1">
        <v>196.0</v>
      </c>
      <c r="B197" s="8">
        <f>Filmes_final!C197</f>
        <v>3759854</v>
      </c>
      <c r="C197" s="5">
        <f>Filmes_final!D197</f>
        <v>2019</v>
      </c>
      <c r="D197" s="5">
        <f t="shared" si="1"/>
        <v>2020</v>
      </c>
      <c r="E197" s="12">
        <f t="shared" si="2"/>
        <v>1.02486572</v>
      </c>
      <c r="F197" s="8">
        <f t="shared" si="3"/>
        <v>3853345</v>
      </c>
    </row>
    <row r="198">
      <c r="A198" s="1">
        <v>197.0</v>
      </c>
      <c r="B198" s="8">
        <f>Filmes_final!C198</f>
        <v>1241223</v>
      </c>
      <c r="C198" s="5">
        <f>Filmes_final!D198</f>
        <v>2016</v>
      </c>
      <c r="D198" s="5">
        <f t="shared" si="1"/>
        <v>2020</v>
      </c>
      <c r="E198" s="12">
        <f t="shared" si="2"/>
        <v>1.08887116</v>
      </c>
      <c r="F198" s="8">
        <f t="shared" si="3"/>
        <v>1351532</v>
      </c>
    </row>
    <row r="199">
      <c r="A199" s="1">
        <v>198.0</v>
      </c>
      <c r="B199" s="8">
        <f>Filmes_final!C199</f>
        <v>30518948</v>
      </c>
      <c r="C199" s="5">
        <f>Filmes_final!D199</f>
        <v>2016</v>
      </c>
      <c r="D199" s="5">
        <f t="shared" si="1"/>
        <v>2020</v>
      </c>
      <c r="E199" s="12">
        <f t="shared" si="2"/>
        <v>1.08887116</v>
      </c>
      <c r="F199" s="8">
        <f t="shared" si="3"/>
        <v>33231202</v>
      </c>
    </row>
    <row r="200">
      <c r="A200" s="1">
        <v>199.0</v>
      </c>
      <c r="B200" s="8">
        <f>Filmes_final!C200</f>
        <v>0</v>
      </c>
      <c r="C200" s="5">
        <f>Filmes_final!D200</f>
        <v>2016</v>
      </c>
      <c r="D200" s="5">
        <f t="shared" si="1"/>
        <v>2020</v>
      </c>
      <c r="E200" s="12">
        <f t="shared" si="2"/>
        <v>1.08887116</v>
      </c>
      <c r="F200" s="8">
        <f t="shared" si="3"/>
        <v>0</v>
      </c>
    </row>
    <row r="201">
      <c r="A201" s="1">
        <v>200.0</v>
      </c>
      <c r="B201" s="8">
        <f>Filmes_final!C201</f>
        <v>2006788</v>
      </c>
      <c r="C201" s="5">
        <f>Filmes_final!D201</f>
        <v>2016</v>
      </c>
      <c r="D201" s="5">
        <f t="shared" si="1"/>
        <v>2020</v>
      </c>
      <c r="E201" s="12">
        <f t="shared" si="2"/>
        <v>1.08887116</v>
      </c>
      <c r="F201" s="8">
        <f t="shared" si="3"/>
        <v>2185134</v>
      </c>
    </row>
    <row r="202">
      <c r="A202" s="1">
        <v>201.0</v>
      </c>
      <c r="B202" s="8">
        <f>Filmes_final!C202</f>
        <v>3492754</v>
      </c>
      <c r="C202" s="5">
        <f>Filmes_final!D202</f>
        <v>2014</v>
      </c>
      <c r="D202" s="5">
        <f t="shared" si="1"/>
        <v>2020</v>
      </c>
      <c r="E202" s="12">
        <f t="shared" si="2"/>
        <v>1.10283606</v>
      </c>
      <c r="F202" s="8">
        <f t="shared" si="3"/>
        <v>3851935</v>
      </c>
    </row>
    <row r="203">
      <c r="A203" s="1">
        <v>202.0</v>
      </c>
      <c r="B203" s="8">
        <f>Filmes_final!C203</f>
        <v>901610</v>
      </c>
      <c r="C203" s="5">
        <f>Filmes_final!D203</f>
        <v>2014</v>
      </c>
      <c r="D203" s="5">
        <f t="shared" si="1"/>
        <v>2020</v>
      </c>
      <c r="E203" s="12">
        <f t="shared" si="2"/>
        <v>1.10283606</v>
      </c>
      <c r="F203" s="8">
        <f t="shared" si="3"/>
        <v>994328</v>
      </c>
    </row>
    <row r="204">
      <c r="A204" s="1">
        <v>203.0</v>
      </c>
      <c r="B204" s="8">
        <f>Filmes_final!C204</f>
        <v>226277068</v>
      </c>
      <c r="C204" s="5">
        <f>Filmes_final!D204</f>
        <v>2017</v>
      </c>
      <c r="D204" s="5">
        <f t="shared" si="1"/>
        <v>2020</v>
      </c>
      <c r="E204" s="12">
        <f t="shared" si="2"/>
        <v>1.06231289</v>
      </c>
      <c r="F204" s="8">
        <f t="shared" si="3"/>
        <v>240377046</v>
      </c>
    </row>
    <row r="205">
      <c r="A205" s="1">
        <v>204.0</v>
      </c>
      <c r="B205" s="8">
        <f>Filmes_final!C205</f>
        <v>14677674</v>
      </c>
      <c r="C205" s="5">
        <f>Filmes_final!D205</f>
        <v>2015</v>
      </c>
      <c r="D205" s="5">
        <f t="shared" si="1"/>
        <v>2020</v>
      </c>
      <c r="E205" s="12">
        <f t="shared" si="2"/>
        <v>1.10382231</v>
      </c>
      <c r="F205" s="8">
        <f t="shared" si="3"/>
        <v>16201544</v>
      </c>
    </row>
    <row r="206">
      <c r="A206" s="1">
        <v>205.0</v>
      </c>
      <c r="B206" s="8">
        <f>Filmes_final!C206</f>
        <v>3107072</v>
      </c>
      <c r="C206" s="5">
        <f>Filmes_final!D206</f>
        <v>2014</v>
      </c>
      <c r="D206" s="5">
        <f t="shared" si="1"/>
        <v>2020</v>
      </c>
      <c r="E206" s="12">
        <f t="shared" si="2"/>
        <v>1.10283606</v>
      </c>
      <c r="F206" s="8">
        <f t="shared" si="3"/>
        <v>3426591</v>
      </c>
    </row>
    <row r="207">
      <c r="A207" s="1">
        <v>206.0</v>
      </c>
      <c r="B207" s="8">
        <f>Filmes_final!C207</f>
        <v>120957731</v>
      </c>
      <c r="C207" s="5">
        <f>Filmes_final!D207</f>
        <v>2020</v>
      </c>
      <c r="D207" s="5">
        <f t="shared" si="1"/>
        <v>2020</v>
      </c>
      <c r="E207" s="12">
        <f t="shared" si="2"/>
        <v>1</v>
      </c>
      <c r="F207" s="8">
        <f t="shared" si="3"/>
        <v>120957731</v>
      </c>
    </row>
    <row r="208">
      <c r="A208" s="1">
        <v>207.0</v>
      </c>
      <c r="B208" s="8">
        <f>Filmes_final!C208</f>
        <v>165520</v>
      </c>
      <c r="C208" s="5">
        <f>Filmes_final!D208</f>
        <v>2014</v>
      </c>
      <c r="D208" s="5">
        <f t="shared" si="1"/>
        <v>2020</v>
      </c>
      <c r="E208" s="12">
        <f t="shared" si="2"/>
        <v>1.10283606</v>
      </c>
      <c r="F208" s="8">
        <f t="shared" si="3"/>
        <v>182541</v>
      </c>
    </row>
    <row r="209">
      <c r="A209" s="1">
        <v>208.0</v>
      </c>
      <c r="B209" s="8">
        <f>Filmes_final!C209</f>
        <v>10616104</v>
      </c>
      <c r="C209" s="5">
        <f>Filmes_final!D209</f>
        <v>2014</v>
      </c>
      <c r="D209" s="5">
        <f t="shared" si="1"/>
        <v>2020</v>
      </c>
      <c r="E209" s="12">
        <f t="shared" si="2"/>
        <v>1.10283606</v>
      </c>
      <c r="F209" s="8">
        <f t="shared" si="3"/>
        <v>11707822</v>
      </c>
    </row>
    <row r="210">
      <c r="A210" s="1">
        <v>209.0</v>
      </c>
      <c r="B210" s="8">
        <f>Filmes_final!C210</f>
        <v>923221</v>
      </c>
      <c r="C210" s="5">
        <f>Filmes_final!D210</f>
        <v>2012</v>
      </c>
      <c r="D210" s="5">
        <f t="shared" si="1"/>
        <v>2020</v>
      </c>
      <c r="E210" s="12">
        <f t="shared" si="2"/>
        <v>1.13811572</v>
      </c>
      <c r="F210" s="8">
        <f t="shared" si="3"/>
        <v>1050732</v>
      </c>
    </row>
    <row r="211">
      <c r="A211" s="1">
        <v>210.0</v>
      </c>
      <c r="B211" s="8">
        <f>Filmes_final!C211</f>
        <v>59100318</v>
      </c>
      <c r="C211" s="5">
        <f>Filmes_final!D211</f>
        <v>2014</v>
      </c>
      <c r="D211" s="5">
        <f t="shared" si="1"/>
        <v>2020</v>
      </c>
      <c r="E211" s="12">
        <f t="shared" si="2"/>
        <v>1.10283606</v>
      </c>
      <c r="F211" s="8">
        <f t="shared" si="3"/>
        <v>65177962</v>
      </c>
    </row>
    <row r="212">
      <c r="A212" s="1">
        <v>211.0</v>
      </c>
      <c r="B212" s="8">
        <f>Filmes_final!C212</f>
        <v>167767189</v>
      </c>
      <c r="C212" s="5">
        <f>Filmes_final!D212</f>
        <v>2014</v>
      </c>
      <c r="D212" s="5">
        <f t="shared" si="1"/>
        <v>2020</v>
      </c>
      <c r="E212" s="12">
        <f t="shared" si="2"/>
        <v>1.10283606</v>
      </c>
      <c r="F212" s="8">
        <f t="shared" si="3"/>
        <v>185019706</v>
      </c>
    </row>
    <row r="213">
      <c r="A213" s="1">
        <v>212.0</v>
      </c>
      <c r="B213" s="8">
        <f>Filmes_final!C213</f>
        <v>55060661</v>
      </c>
      <c r="C213" s="5">
        <f>Filmes_final!D213</f>
        <v>2012</v>
      </c>
      <c r="D213" s="5">
        <f t="shared" si="1"/>
        <v>2020</v>
      </c>
      <c r="E213" s="12">
        <f t="shared" si="2"/>
        <v>1.13811572</v>
      </c>
      <c r="F213" s="8">
        <f t="shared" si="3"/>
        <v>62665404</v>
      </c>
    </row>
    <row r="214">
      <c r="A214" s="1">
        <v>213.0</v>
      </c>
      <c r="B214" s="8">
        <f>Filmes_final!C214</f>
        <v>67209615</v>
      </c>
      <c r="C214" s="5">
        <f>Filmes_final!D214</f>
        <v>2016</v>
      </c>
      <c r="D214" s="5">
        <f t="shared" si="1"/>
        <v>2020</v>
      </c>
      <c r="E214" s="12">
        <f t="shared" si="2"/>
        <v>1.08887116</v>
      </c>
      <c r="F214" s="8">
        <f t="shared" si="3"/>
        <v>73182611</v>
      </c>
    </row>
    <row r="215">
      <c r="A215" s="1">
        <v>214.0</v>
      </c>
      <c r="B215" s="8">
        <f>Filmes_final!C215</f>
        <v>356461711</v>
      </c>
      <c r="C215" s="5">
        <f>Filmes_final!D215</f>
        <v>2015</v>
      </c>
      <c r="D215" s="5">
        <f t="shared" si="1"/>
        <v>2020</v>
      </c>
      <c r="E215" s="12">
        <f t="shared" si="2"/>
        <v>1.10382231</v>
      </c>
      <c r="F215" s="8">
        <f t="shared" si="3"/>
        <v>393470389</v>
      </c>
    </row>
    <row r="216">
      <c r="A216" s="1">
        <v>215.0</v>
      </c>
      <c r="B216" s="8">
        <f>Filmes_final!C216</f>
        <v>2804874</v>
      </c>
      <c r="C216" s="5">
        <f>Filmes_final!D216</f>
        <v>2012</v>
      </c>
      <c r="D216" s="5">
        <f t="shared" si="1"/>
        <v>2020</v>
      </c>
      <c r="E216" s="12">
        <f t="shared" si="2"/>
        <v>1.13811572</v>
      </c>
      <c r="F216" s="8">
        <f t="shared" si="3"/>
        <v>3192271</v>
      </c>
    </row>
    <row r="217">
      <c r="A217" s="1">
        <v>216.0</v>
      </c>
      <c r="B217" s="8">
        <f>Filmes_final!C217</f>
        <v>56671993</v>
      </c>
      <c r="C217" s="5">
        <f>Filmes_final!D217</f>
        <v>2013</v>
      </c>
      <c r="D217" s="5">
        <f t="shared" si="1"/>
        <v>2020</v>
      </c>
      <c r="E217" s="12">
        <f t="shared" si="2"/>
        <v>1.12024926</v>
      </c>
      <c r="F217" s="8">
        <f t="shared" si="3"/>
        <v>63486758</v>
      </c>
    </row>
    <row r="218">
      <c r="A218" s="1">
        <v>217.0</v>
      </c>
      <c r="B218" s="8">
        <f>Filmes_final!C218</f>
        <v>26947624</v>
      </c>
      <c r="C218" s="5">
        <f>Filmes_final!D218</f>
        <v>2013</v>
      </c>
      <c r="D218" s="5">
        <f t="shared" si="1"/>
        <v>2020</v>
      </c>
      <c r="E218" s="12">
        <f t="shared" si="2"/>
        <v>1.12024926</v>
      </c>
      <c r="F218" s="8">
        <f t="shared" si="3"/>
        <v>30188056</v>
      </c>
    </row>
    <row r="219">
      <c r="A219" s="1">
        <v>218.0</v>
      </c>
      <c r="B219" s="8">
        <f>Filmes_final!C219</f>
        <v>117624028</v>
      </c>
      <c r="C219" s="5">
        <f>Filmes_final!D219</f>
        <v>2019</v>
      </c>
      <c r="D219" s="5">
        <f t="shared" si="1"/>
        <v>2020</v>
      </c>
      <c r="E219" s="12">
        <f t="shared" si="2"/>
        <v>1.02486572</v>
      </c>
      <c r="F219" s="8">
        <f t="shared" si="3"/>
        <v>120548834</v>
      </c>
    </row>
    <row r="220">
      <c r="A220" s="1">
        <v>219.0</v>
      </c>
      <c r="B220" s="8">
        <f>Filmes_final!C220</f>
        <v>45055776</v>
      </c>
      <c r="C220" s="5">
        <f>Filmes_final!D220</f>
        <v>2015</v>
      </c>
      <c r="D220" s="5">
        <f t="shared" si="1"/>
        <v>2020</v>
      </c>
      <c r="E220" s="12">
        <f t="shared" si="2"/>
        <v>1.10382231</v>
      </c>
      <c r="F220" s="8">
        <f t="shared" si="3"/>
        <v>49733571</v>
      </c>
    </row>
    <row r="221">
      <c r="A221" s="1">
        <v>220.0</v>
      </c>
      <c r="B221" s="8">
        <f>Filmes_final!C221</f>
        <v>857524</v>
      </c>
      <c r="C221" s="5">
        <f>Filmes_final!D221</f>
        <v>2014</v>
      </c>
      <c r="D221" s="5">
        <f t="shared" si="1"/>
        <v>2020</v>
      </c>
      <c r="E221" s="12">
        <f t="shared" si="2"/>
        <v>1.10283606</v>
      </c>
      <c r="F221" s="8">
        <f t="shared" si="3"/>
        <v>945708</v>
      </c>
    </row>
    <row r="222">
      <c r="A222" s="1">
        <v>221.0</v>
      </c>
      <c r="B222" s="8">
        <f>Filmes_final!C222</f>
        <v>1035953</v>
      </c>
      <c r="C222" s="5">
        <f>Filmes_final!D222</f>
        <v>2012</v>
      </c>
      <c r="D222" s="5">
        <f t="shared" si="1"/>
        <v>2020</v>
      </c>
      <c r="E222" s="12">
        <f t="shared" si="2"/>
        <v>1.13811572</v>
      </c>
      <c r="F222" s="8">
        <f t="shared" si="3"/>
        <v>1179034</v>
      </c>
    </row>
    <row r="223">
      <c r="A223" s="1">
        <v>222.0</v>
      </c>
      <c r="B223" s="8">
        <f>Filmes_final!C223</f>
        <v>3108485</v>
      </c>
      <c r="C223" s="5">
        <f>Filmes_final!D223</f>
        <v>2011</v>
      </c>
      <c r="D223" s="5">
        <f t="shared" si="1"/>
        <v>2020</v>
      </c>
      <c r="E223" s="12">
        <f t="shared" si="2"/>
        <v>1.17140807</v>
      </c>
      <c r="F223" s="8">
        <f t="shared" si="3"/>
        <v>3641304</v>
      </c>
    </row>
    <row r="224">
      <c r="A224" s="1">
        <v>223.0</v>
      </c>
      <c r="B224" s="8">
        <f>Filmes_final!C224</f>
        <v>61002302</v>
      </c>
      <c r="C224" s="5">
        <f>Filmes_final!D224</f>
        <v>2013</v>
      </c>
      <c r="D224" s="5">
        <f t="shared" si="1"/>
        <v>2020</v>
      </c>
      <c r="E224" s="12">
        <f t="shared" si="2"/>
        <v>1.12024926</v>
      </c>
      <c r="F224" s="8">
        <f t="shared" si="3"/>
        <v>68337784</v>
      </c>
    </row>
    <row r="225">
      <c r="A225" s="1">
        <v>224.0</v>
      </c>
      <c r="B225" s="8">
        <f>Filmes_final!C225</f>
        <v>154058340</v>
      </c>
      <c r="C225" s="5">
        <f>Filmes_final!D225</f>
        <v>2015</v>
      </c>
      <c r="D225" s="5">
        <f t="shared" si="1"/>
        <v>2020</v>
      </c>
      <c r="E225" s="12">
        <f t="shared" si="2"/>
        <v>1.10382231</v>
      </c>
      <c r="F225" s="8">
        <f t="shared" si="3"/>
        <v>170053033</v>
      </c>
    </row>
    <row r="226">
      <c r="A226" s="1">
        <v>225.0</v>
      </c>
      <c r="B226" s="8">
        <f>Filmes_final!C226</f>
        <v>3256911</v>
      </c>
      <c r="C226" s="5">
        <f>Filmes_final!D226</f>
        <v>2008</v>
      </c>
      <c r="D226" s="5">
        <f t="shared" si="1"/>
        <v>2020</v>
      </c>
      <c r="E226" s="12">
        <f t="shared" si="2"/>
        <v>1.222148</v>
      </c>
      <c r="F226" s="8">
        <f t="shared" si="3"/>
        <v>3980427</v>
      </c>
    </row>
    <row r="227">
      <c r="A227" s="1">
        <v>226.0</v>
      </c>
      <c r="B227" s="8">
        <f>Filmes_final!C227</f>
        <v>148095302</v>
      </c>
      <c r="C227" s="5">
        <f>Filmes_final!D227</f>
        <v>2008</v>
      </c>
      <c r="D227" s="5">
        <f t="shared" si="1"/>
        <v>2020</v>
      </c>
      <c r="E227" s="12">
        <f t="shared" si="2"/>
        <v>1.222148</v>
      </c>
      <c r="F227" s="8">
        <f t="shared" si="3"/>
        <v>180994377</v>
      </c>
    </row>
    <row r="228">
      <c r="A228" s="1">
        <v>227.0</v>
      </c>
      <c r="B228" s="8">
        <f>Filmes_final!C228</f>
        <v>381011219</v>
      </c>
      <c r="C228" s="5">
        <f>Filmes_final!D228</f>
        <v>2011</v>
      </c>
      <c r="D228" s="5">
        <f t="shared" si="1"/>
        <v>2020</v>
      </c>
      <c r="E228" s="12">
        <f t="shared" si="2"/>
        <v>1.17140807</v>
      </c>
      <c r="F228" s="8">
        <f t="shared" si="3"/>
        <v>446319617</v>
      </c>
    </row>
    <row r="229">
      <c r="A229" s="1">
        <v>228.0</v>
      </c>
      <c r="B229" s="8">
        <f>Filmes_final!C229</f>
        <v>1498210</v>
      </c>
      <c r="C229" s="5">
        <f>Filmes_final!D229</f>
        <v>2008</v>
      </c>
      <c r="D229" s="5">
        <f t="shared" si="1"/>
        <v>2020</v>
      </c>
      <c r="E229" s="12">
        <f t="shared" si="2"/>
        <v>1.222148</v>
      </c>
      <c r="F229" s="8">
        <f t="shared" si="3"/>
        <v>1831034</v>
      </c>
    </row>
    <row r="230">
      <c r="A230" s="1">
        <v>229.0</v>
      </c>
      <c r="B230" s="8">
        <f>Filmes_final!C230</f>
        <v>46749646</v>
      </c>
      <c r="C230" s="5">
        <f>Filmes_final!D230</f>
        <v>2009</v>
      </c>
      <c r="D230" s="5">
        <f t="shared" si="1"/>
        <v>2020</v>
      </c>
      <c r="E230" s="12">
        <f t="shared" si="2"/>
        <v>1.22178334</v>
      </c>
      <c r="F230" s="8">
        <f t="shared" si="3"/>
        <v>57117939</v>
      </c>
    </row>
    <row r="231">
      <c r="A231" s="1">
        <v>230.0</v>
      </c>
      <c r="B231" s="8">
        <f>Filmes_final!C231</f>
        <v>1740429</v>
      </c>
      <c r="C231" s="5">
        <f>Filmes_final!D231</f>
        <v>2009</v>
      </c>
      <c r="D231" s="5">
        <f t="shared" si="1"/>
        <v>2020</v>
      </c>
      <c r="E231" s="12">
        <f t="shared" si="2"/>
        <v>1.22178334</v>
      </c>
      <c r="F231" s="8">
        <f t="shared" si="3"/>
        <v>2126427</v>
      </c>
    </row>
    <row r="232">
      <c r="A232" s="1">
        <v>231.0</v>
      </c>
      <c r="B232" s="8">
        <f>Filmes_final!C232</f>
        <v>217581231</v>
      </c>
      <c r="C232" s="5">
        <f>Filmes_final!D232</f>
        <v>2010</v>
      </c>
      <c r="D232" s="5">
        <f t="shared" si="1"/>
        <v>2020</v>
      </c>
      <c r="E232" s="12">
        <f t="shared" si="2"/>
        <v>1.19052366</v>
      </c>
      <c r="F232" s="8">
        <f t="shared" si="3"/>
        <v>259035603</v>
      </c>
    </row>
    <row r="233">
      <c r="A233" s="1">
        <v>232.0</v>
      </c>
      <c r="B233" s="8">
        <f>Filmes_final!C233</f>
        <v>18354356</v>
      </c>
      <c r="C233" s="5">
        <f>Filmes_final!D233</f>
        <v>2007</v>
      </c>
      <c r="D233" s="5">
        <f t="shared" si="1"/>
        <v>2020</v>
      </c>
      <c r="E233" s="12">
        <f t="shared" si="2"/>
        <v>1.27445953</v>
      </c>
      <c r="F233" s="8">
        <f t="shared" si="3"/>
        <v>23391884</v>
      </c>
    </row>
    <row r="234">
      <c r="A234" s="1">
        <v>233.0</v>
      </c>
      <c r="B234" s="8">
        <f>Filmes_final!C234</f>
        <v>74283625</v>
      </c>
      <c r="C234" s="5">
        <f>Filmes_final!D234</f>
        <v>2007</v>
      </c>
      <c r="D234" s="5">
        <f t="shared" si="1"/>
        <v>2020</v>
      </c>
      <c r="E234" s="12">
        <f t="shared" si="2"/>
        <v>1.27445953</v>
      </c>
      <c r="F234" s="8">
        <f t="shared" si="3"/>
        <v>94671474</v>
      </c>
    </row>
    <row r="235">
      <c r="A235" s="1">
        <v>234.0</v>
      </c>
      <c r="B235" s="8">
        <f>Filmes_final!C235</f>
        <v>2217561</v>
      </c>
      <c r="C235" s="5">
        <f>Filmes_final!D235</f>
        <v>2006</v>
      </c>
      <c r="D235" s="5">
        <f t="shared" si="1"/>
        <v>2020</v>
      </c>
      <c r="E235" s="12">
        <f t="shared" si="2"/>
        <v>1.30091276</v>
      </c>
      <c r="F235" s="8">
        <f t="shared" si="3"/>
        <v>2884853</v>
      </c>
    </row>
    <row r="236">
      <c r="A236" s="1">
        <v>235.0</v>
      </c>
      <c r="B236" s="8">
        <f>Filmes_final!C236</f>
        <v>100492203</v>
      </c>
      <c r="C236" s="5">
        <f>Filmes_final!D236</f>
        <v>2004</v>
      </c>
      <c r="D236" s="5">
        <f t="shared" si="1"/>
        <v>2020</v>
      </c>
      <c r="E236" s="12">
        <f t="shared" si="2"/>
        <v>1.39293197</v>
      </c>
      <c r="F236" s="8">
        <f t="shared" si="3"/>
        <v>139978802</v>
      </c>
    </row>
    <row r="237">
      <c r="A237" s="1">
        <v>236.0</v>
      </c>
      <c r="B237" s="8">
        <f>Filmes_final!C237</f>
        <v>23530892</v>
      </c>
      <c r="C237" s="5">
        <f>Filmes_final!D237</f>
        <v>2004</v>
      </c>
      <c r="D237" s="5">
        <f t="shared" si="1"/>
        <v>2020</v>
      </c>
      <c r="E237" s="12">
        <f t="shared" si="2"/>
        <v>1.39293197</v>
      </c>
      <c r="F237" s="8">
        <f t="shared" si="3"/>
        <v>32776932</v>
      </c>
    </row>
    <row r="238">
      <c r="A238" s="1">
        <v>237.0</v>
      </c>
      <c r="B238" s="8">
        <f>Filmes_final!C238</f>
        <v>1111061</v>
      </c>
      <c r="C238" s="5">
        <f>Filmes_final!D238</f>
        <v>2004</v>
      </c>
      <c r="D238" s="5">
        <f t="shared" si="1"/>
        <v>2020</v>
      </c>
      <c r="E238" s="12">
        <f t="shared" si="2"/>
        <v>1.39293197</v>
      </c>
      <c r="F238" s="8">
        <f t="shared" si="3"/>
        <v>1547632</v>
      </c>
    </row>
    <row r="239">
      <c r="A239" s="1">
        <v>238.0</v>
      </c>
      <c r="B239" s="8">
        <f>Filmes_final!C239</f>
        <v>5820649</v>
      </c>
      <c r="C239" s="5">
        <f>Filmes_final!D239</f>
        <v>2004</v>
      </c>
      <c r="D239" s="5">
        <f t="shared" si="1"/>
        <v>2020</v>
      </c>
      <c r="E239" s="12">
        <f t="shared" si="2"/>
        <v>1.39293197</v>
      </c>
      <c r="F239" s="8">
        <f t="shared" si="3"/>
        <v>8107768</v>
      </c>
    </row>
    <row r="240">
      <c r="A240" s="1">
        <v>239.0</v>
      </c>
      <c r="B240" s="8">
        <f>Filmes_final!C240</f>
        <v>3137716</v>
      </c>
      <c r="C240" s="5">
        <f>Filmes_final!D240</f>
        <v>2003</v>
      </c>
      <c r="D240" s="5">
        <f t="shared" si="1"/>
        <v>2020</v>
      </c>
      <c r="E240" s="12">
        <f t="shared" si="2"/>
        <v>1.41976335</v>
      </c>
      <c r="F240" s="8">
        <f t="shared" si="3"/>
        <v>4454814</v>
      </c>
    </row>
    <row r="241">
      <c r="A241" s="1">
        <v>240.0</v>
      </c>
      <c r="B241" s="8">
        <f>Filmes_final!C241</f>
        <v>14131</v>
      </c>
      <c r="C241" s="5">
        <f>Filmes_final!D241</f>
        <v>2003</v>
      </c>
      <c r="D241" s="5">
        <f t="shared" si="1"/>
        <v>2020</v>
      </c>
      <c r="E241" s="12">
        <f t="shared" si="2"/>
        <v>1.41976335</v>
      </c>
      <c r="F241" s="8">
        <f t="shared" si="3"/>
        <v>20063</v>
      </c>
    </row>
    <row r="242">
      <c r="A242" s="1">
        <v>241.0</v>
      </c>
      <c r="B242" s="8">
        <f>Filmes_final!C242</f>
        <v>300</v>
      </c>
      <c r="C242" s="5">
        <f>Filmes_final!D242</f>
        <v>2001</v>
      </c>
      <c r="D242" s="5">
        <f t="shared" si="1"/>
        <v>2020</v>
      </c>
      <c r="E242" s="12">
        <f t="shared" si="2"/>
        <v>1.47327813</v>
      </c>
      <c r="F242" s="8">
        <f t="shared" si="3"/>
        <v>442</v>
      </c>
    </row>
    <row r="243">
      <c r="A243" s="1">
        <v>242.0</v>
      </c>
      <c r="B243" s="8">
        <f>Filmes_final!C243</f>
        <v>70099045</v>
      </c>
      <c r="C243" s="5">
        <f>Filmes_final!D243</f>
        <v>2003</v>
      </c>
      <c r="D243" s="5">
        <f t="shared" si="1"/>
        <v>2020</v>
      </c>
      <c r="E243" s="12">
        <f t="shared" si="2"/>
        <v>1.41976335</v>
      </c>
      <c r="F243" s="8">
        <f t="shared" si="3"/>
        <v>99524055</v>
      </c>
    </row>
    <row r="244">
      <c r="A244" s="1">
        <v>243.0</v>
      </c>
      <c r="B244" s="8">
        <f>Filmes_final!C244</f>
        <v>380843261</v>
      </c>
      <c r="C244" s="5">
        <f>Filmes_final!D244</f>
        <v>2003</v>
      </c>
      <c r="D244" s="5">
        <f t="shared" si="1"/>
        <v>2020</v>
      </c>
      <c r="E244" s="12">
        <f t="shared" si="2"/>
        <v>1.41976335</v>
      </c>
      <c r="F244" s="8">
        <f t="shared" si="3"/>
        <v>540707304</v>
      </c>
    </row>
    <row r="245">
      <c r="A245" s="1">
        <v>244.0</v>
      </c>
      <c r="B245" s="8">
        <f>Filmes_final!C245</f>
        <v>164615351</v>
      </c>
      <c r="C245" s="5">
        <f>Filmes_final!D245</f>
        <v>2002</v>
      </c>
      <c r="D245" s="5">
        <f t="shared" si="1"/>
        <v>2020</v>
      </c>
      <c r="E245" s="12">
        <f t="shared" si="2"/>
        <v>1.45664032</v>
      </c>
      <c r="F245" s="8">
        <f t="shared" si="3"/>
        <v>239785358</v>
      </c>
    </row>
    <row r="246">
      <c r="A246" s="1">
        <v>245.0</v>
      </c>
      <c r="B246" s="8">
        <f>Filmes_final!C246</f>
        <v>5383834</v>
      </c>
      <c r="C246" s="5">
        <f>Filmes_final!D246</f>
        <v>2000</v>
      </c>
      <c r="D246" s="5">
        <f t="shared" si="1"/>
        <v>2020</v>
      </c>
      <c r="E246" s="12">
        <f t="shared" si="2"/>
        <v>1.52826422</v>
      </c>
      <c r="F246" s="8">
        <f t="shared" si="3"/>
        <v>8227921</v>
      </c>
    </row>
    <row r="247">
      <c r="A247" s="1">
        <v>246.0</v>
      </c>
      <c r="B247" s="8">
        <f>Filmes_final!C247</f>
        <v>289916256</v>
      </c>
      <c r="C247" s="5">
        <f>Filmes_final!D247</f>
        <v>2001</v>
      </c>
      <c r="D247" s="5">
        <f t="shared" si="1"/>
        <v>2020</v>
      </c>
      <c r="E247" s="12">
        <f t="shared" si="2"/>
        <v>1.47327813</v>
      </c>
      <c r="F247" s="8">
        <f t="shared" si="3"/>
        <v>427127279</v>
      </c>
    </row>
    <row r="248">
      <c r="A248" s="1">
        <v>247.0</v>
      </c>
      <c r="B248" s="8">
        <f>Filmes_final!C248</f>
        <v>0</v>
      </c>
      <c r="C248" s="5">
        <f>Filmes_final!D248</f>
        <v>1997</v>
      </c>
      <c r="D248" s="5">
        <f t="shared" si="1"/>
        <v>2020</v>
      </c>
      <c r="E248" s="12">
        <f t="shared" si="2"/>
        <v>1.62143935</v>
      </c>
      <c r="F248" s="8">
        <f t="shared" si="3"/>
        <v>0</v>
      </c>
    </row>
    <row r="249">
      <c r="A249" s="1">
        <v>248.0</v>
      </c>
      <c r="B249" s="8">
        <f>Filmes_final!C249</f>
        <v>70147</v>
      </c>
      <c r="C249" s="5">
        <f>Filmes_final!D249</f>
        <v>2001</v>
      </c>
      <c r="D249" s="5">
        <f t="shared" si="1"/>
        <v>2020</v>
      </c>
      <c r="E249" s="12">
        <f t="shared" si="2"/>
        <v>1.47327813</v>
      </c>
      <c r="F249" s="8">
        <f t="shared" si="3"/>
        <v>103346</v>
      </c>
    </row>
    <row r="250">
      <c r="A250" s="1">
        <v>249.0</v>
      </c>
      <c r="B250" s="8">
        <f>Filmes_final!C250</f>
        <v>293506292</v>
      </c>
      <c r="C250" s="5">
        <f>Filmes_final!D250</f>
        <v>1999</v>
      </c>
      <c r="D250" s="5">
        <f t="shared" si="1"/>
        <v>2020</v>
      </c>
      <c r="E250" s="12">
        <f t="shared" si="2"/>
        <v>1.57012173</v>
      </c>
      <c r="F250" s="8">
        <f t="shared" si="3"/>
        <v>460840607</v>
      </c>
    </row>
    <row r="251">
      <c r="A251" s="1">
        <v>250.0</v>
      </c>
      <c r="B251" s="8">
        <f>Filmes_final!C251</f>
        <v>259127</v>
      </c>
      <c r="C251" s="5">
        <f>Filmes_final!D251</f>
        <v>1998</v>
      </c>
      <c r="D251" s="5">
        <f t="shared" si="1"/>
        <v>2020</v>
      </c>
      <c r="E251" s="12">
        <f t="shared" si="2"/>
        <v>1.5963552</v>
      </c>
      <c r="F251" s="8">
        <f t="shared" si="3"/>
        <v>413659</v>
      </c>
    </row>
    <row r="252">
      <c r="A252" s="1">
        <v>251.0</v>
      </c>
      <c r="B252" s="8">
        <f>Filmes_final!C252</f>
        <v>125618201</v>
      </c>
      <c r="C252" s="5">
        <f>Filmes_final!D252</f>
        <v>1998</v>
      </c>
      <c r="D252" s="5">
        <f t="shared" si="1"/>
        <v>2020</v>
      </c>
      <c r="E252" s="12">
        <f t="shared" si="2"/>
        <v>1.5963552</v>
      </c>
      <c r="F252" s="8">
        <f t="shared" si="3"/>
        <v>200531268</v>
      </c>
    </row>
    <row r="253">
      <c r="A253" s="1">
        <v>252.0</v>
      </c>
      <c r="B253" s="8">
        <f>Filmes_final!C253</f>
        <v>348660</v>
      </c>
      <c r="C253" s="5">
        <f>Filmes_final!D253</f>
        <v>1998</v>
      </c>
      <c r="D253" s="5">
        <f t="shared" si="1"/>
        <v>2020</v>
      </c>
      <c r="E253" s="12">
        <f t="shared" si="2"/>
        <v>1.5963552</v>
      </c>
      <c r="F253" s="8">
        <f t="shared" si="3"/>
        <v>556585</v>
      </c>
    </row>
    <row r="254">
      <c r="A254" s="1">
        <v>253.0</v>
      </c>
      <c r="B254" s="8">
        <f>Filmes_final!C254</f>
        <v>17498804</v>
      </c>
      <c r="C254" s="5">
        <f>Filmes_final!D254</f>
        <v>1998</v>
      </c>
      <c r="D254" s="5">
        <f t="shared" si="1"/>
        <v>2020</v>
      </c>
      <c r="E254" s="12">
        <f t="shared" si="2"/>
        <v>1.5963552</v>
      </c>
      <c r="F254" s="8">
        <f t="shared" si="3"/>
        <v>27934307</v>
      </c>
    </row>
    <row r="255">
      <c r="A255" s="1">
        <v>254.0</v>
      </c>
      <c r="B255" s="8">
        <f>Filmes_final!C255</f>
        <v>2734044</v>
      </c>
      <c r="C255" s="5">
        <f>Filmes_final!D255</f>
        <v>2000</v>
      </c>
      <c r="D255" s="5">
        <f t="shared" si="1"/>
        <v>2020</v>
      </c>
      <c r="E255" s="12">
        <f t="shared" si="2"/>
        <v>1.52826422</v>
      </c>
      <c r="F255" s="8">
        <f t="shared" si="3"/>
        <v>4178342</v>
      </c>
    </row>
    <row r="256">
      <c r="A256" s="1">
        <v>255.0</v>
      </c>
      <c r="B256" s="8">
        <f>Filmes_final!C256</f>
        <v>16501785</v>
      </c>
      <c r="C256" s="5">
        <f>Filmes_final!D256</f>
        <v>1996</v>
      </c>
      <c r="D256" s="5">
        <f t="shared" si="1"/>
        <v>2020</v>
      </c>
      <c r="E256" s="12">
        <f t="shared" si="2"/>
        <v>1.67079663</v>
      </c>
      <c r="F256" s="8">
        <f t="shared" si="3"/>
        <v>27571127</v>
      </c>
    </row>
    <row r="257">
      <c r="A257" s="1">
        <v>256.0</v>
      </c>
      <c r="B257" s="8">
        <f>Filmes_final!C257</f>
        <v>24611975</v>
      </c>
      <c r="C257" s="5">
        <f>Filmes_final!D257</f>
        <v>1996</v>
      </c>
      <c r="D257" s="5">
        <f t="shared" si="1"/>
        <v>2020</v>
      </c>
      <c r="E257" s="12">
        <f t="shared" si="2"/>
        <v>1.67079663</v>
      </c>
      <c r="F257" s="8">
        <f t="shared" si="3"/>
        <v>41121605</v>
      </c>
    </row>
    <row r="258">
      <c r="A258" s="1">
        <v>257.0</v>
      </c>
      <c r="B258" s="8">
        <f>Filmes_final!C258</f>
        <v>171082</v>
      </c>
      <c r="C258" s="5">
        <f>Filmes_final!D258</f>
        <v>1995</v>
      </c>
      <c r="D258" s="5">
        <f t="shared" si="1"/>
        <v>2020</v>
      </c>
      <c r="E258" s="12">
        <f t="shared" si="2"/>
        <v>1.71637392</v>
      </c>
      <c r="F258" s="8">
        <f t="shared" si="3"/>
        <v>293641</v>
      </c>
    </row>
    <row r="259">
      <c r="A259" s="1">
        <v>258.0</v>
      </c>
      <c r="B259" s="8">
        <f>Filmes_final!C259</f>
        <v>309811</v>
      </c>
      <c r="C259" s="5">
        <f>Filmes_final!D259</f>
        <v>1995</v>
      </c>
      <c r="D259" s="5">
        <f t="shared" si="1"/>
        <v>2020</v>
      </c>
      <c r="E259" s="12">
        <f t="shared" si="2"/>
        <v>1.71637392</v>
      </c>
      <c r="F259" s="8">
        <f t="shared" si="3"/>
        <v>531752</v>
      </c>
    </row>
    <row r="260">
      <c r="A260" s="1">
        <v>259.0</v>
      </c>
      <c r="B260" s="8">
        <f>Filmes_final!C260</f>
        <v>74965</v>
      </c>
      <c r="C260" s="5">
        <f>Filmes_final!D260</f>
        <v>1995</v>
      </c>
      <c r="D260" s="5">
        <f t="shared" si="1"/>
        <v>2020</v>
      </c>
      <c r="E260" s="12">
        <f t="shared" si="2"/>
        <v>1.71637392</v>
      </c>
      <c r="F260" s="8">
        <f t="shared" si="3"/>
        <v>128668</v>
      </c>
    </row>
    <row r="261">
      <c r="A261" s="1">
        <v>260.0</v>
      </c>
      <c r="B261" s="8">
        <f>Filmes_final!C261</f>
        <v>5535405</v>
      </c>
      <c r="C261" s="5">
        <f>Filmes_final!D261</f>
        <v>1995</v>
      </c>
      <c r="D261" s="5">
        <f t="shared" si="1"/>
        <v>2020</v>
      </c>
      <c r="E261" s="12">
        <f t="shared" si="2"/>
        <v>1.71637392</v>
      </c>
      <c r="F261" s="8">
        <f t="shared" si="3"/>
        <v>9500825</v>
      </c>
    </row>
    <row r="262">
      <c r="A262" s="1">
        <v>261.0</v>
      </c>
      <c r="B262" s="8">
        <f>Filmes_final!C262</f>
        <v>4043686</v>
      </c>
      <c r="C262" s="5">
        <f>Filmes_final!D262</f>
        <v>1994</v>
      </c>
      <c r="D262" s="5">
        <f t="shared" si="1"/>
        <v>2020</v>
      </c>
      <c r="E262" s="12">
        <f t="shared" si="2"/>
        <v>1.76450752</v>
      </c>
      <c r="F262" s="8">
        <f t="shared" si="3"/>
        <v>7135114</v>
      </c>
    </row>
    <row r="263">
      <c r="A263" s="1">
        <v>262.0</v>
      </c>
      <c r="B263" s="8">
        <f>Filmes_final!C263</f>
        <v>600200</v>
      </c>
      <c r="C263" s="5">
        <f>Filmes_final!D263</f>
        <v>1994</v>
      </c>
      <c r="D263" s="5">
        <f t="shared" si="1"/>
        <v>2020</v>
      </c>
      <c r="E263" s="12">
        <f t="shared" si="2"/>
        <v>1.76450752</v>
      </c>
      <c r="F263" s="8">
        <f t="shared" si="3"/>
        <v>1059057</v>
      </c>
    </row>
    <row r="264">
      <c r="A264" s="1">
        <v>263.0</v>
      </c>
      <c r="B264" s="8">
        <f>Filmes_final!C264</f>
        <v>402453882</v>
      </c>
      <c r="C264" s="5">
        <f>Filmes_final!D264</f>
        <v>1993</v>
      </c>
      <c r="D264" s="5">
        <f t="shared" si="1"/>
        <v>2020</v>
      </c>
      <c r="E264" s="12">
        <f t="shared" si="2"/>
        <v>1.8090533</v>
      </c>
      <c r="F264" s="8">
        <f t="shared" si="3"/>
        <v>728060523</v>
      </c>
    </row>
    <row r="265">
      <c r="A265" s="1">
        <v>264.0</v>
      </c>
      <c r="B265" s="8">
        <f>Filmes_final!C265</f>
        <v>25010410</v>
      </c>
      <c r="C265" s="5">
        <f>Filmes_final!D265</f>
        <v>1993</v>
      </c>
      <c r="D265" s="5">
        <f t="shared" si="1"/>
        <v>2020</v>
      </c>
      <c r="E265" s="12">
        <f t="shared" si="2"/>
        <v>1.8090533</v>
      </c>
      <c r="F265" s="8">
        <f t="shared" si="3"/>
        <v>45245165</v>
      </c>
    </row>
    <row r="266">
      <c r="A266" s="1">
        <v>265.0</v>
      </c>
      <c r="B266" s="8">
        <f>Filmes_final!C266</f>
        <v>5216888</v>
      </c>
      <c r="C266" s="5">
        <f>Filmes_final!D266</f>
        <v>1993</v>
      </c>
      <c r="D266" s="5">
        <f t="shared" si="1"/>
        <v>2020</v>
      </c>
      <c r="E266" s="12">
        <f t="shared" si="2"/>
        <v>1.8090533</v>
      </c>
      <c r="F266" s="8">
        <f t="shared" si="3"/>
        <v>9437628</v>
      </c>
    </row>
    <row r="267">
      <c r="A267" s="1">
        <v>266.0</v>
      </c>
      <c r="B267" s="8">
        <f>Filmes_final!C267</f>
        <v>2603061</v>
      </c>
      <c r="C267" s="5">
        <f>Filmes_final!D267</f>
        <v>1991</v>
      </c>
      <c r="D267" s="5">
        <f t="shared" si="1"/>
        <v>2020</v>
      </c>
      <c r="E267" s="12">
        <f t="shared" si="2"/>
        <v>1.91657504</v>
      </c>
      <c r="F267" s="8">
        <f t="shared" si="3"/>
        <v>4988962</v>
      </c>
    </row>
    <row r="268">
      <c r="A268" s="1">
        <v>267.0</v>
      </c>
      <c r="B268" s="8">
        <f>Filmes_final!C268</f>
        <v>95860116</v>
      </c>
      <c r="C268" s="5">
        <f>Filmes_final!D268</f>
        <v>1989</v>
      </c>
      <c r="D268" s="5">
        <f t="shared" si="1"/>
        <v>2020</v>
      </c>
      <c r="E268" s="12">
        <f t="shared" si="2"/>
        <v>2.13023121</v>
      </c>
      <c r="F268" s="8">
        <f t="shared" si="3"/>
        <v>204204211</v>
      </c>
    </row>
    <row r="269">
      <c r="A269" s="1">
        <v>268.0</v>
      </c>
      <c r="B269" s="8">
        <f>Filmes_final!C269</f>
        <v>52287414</v>
      </c>
      <c r="C269" s="5">
        <f>Filmes_final!D269</f>
        <v>1986</v>
      </c>
      <c r="D269" s="5">
        <f t="shared" si="1"/>
        <v>2020</v>
      </c>
      <c r="E269" s="12">
        <f t="shared" si="2"/>
        <v>2.35375</v>
      </c>
      <c r="F269" s="8">
        <f t="shared" si="3"/>
        <v>123071501</v>
      </c>
    </row>
    <row r="270">
      <c r="A270" s="1">
        <v>269.0</v>
      </c>
      <c r="B270" s="8">
        <f>Filmes_final!C270</f>
        <v>138530565</v>
      </c>
      <c r="C270" s="5">
        <f>Filmes_final!D270</f>
        <v>1986</v>
      </c>
      <c r="D270" s="5">
        <f t="shared" si="1"/>
        <v>2020</v>
      </c>
      <c r="E270" s="12">
        <f t="shared" si="2"/>
        <v>2.35375</v>
      </c>
      <c r="F270" s="8">
        <f t="shared" si="3"/>
        <v>326066317</v>
      </c>
    </row>
    <row r="271">
      <c r="A271" s="1">
        <v>270.0</v>
      </c>
      <c r="B271" s="8">
        <f>Filmes_final!C271</f>
        <v>2181987</v>
      </c>
      <c r="C271" s="5">
        <f>Filmes_final!D271</f>
        <v>1984</v>
      </c>
      <c r="D271" s="5">
        <f t="shared" si="1"/>
        <v>2020</v>
      </c>
      <c r="E271" s="12">
        <f t="shared" si="2"/>
        <v>2.53160942</v>
      </c>
      <c r="F271" s="8">
        <f t="shared" si="3"/>
        <v>5523939</v>
      </c>
    </row>
    <row r="272">
      <c r="A272" s="1">
        <v>271.0</v>
      </c>
      <c r="B272" s="8">
        <f>Filmes_final!C272</f>
        <v>495770</v>
      </c>
      <c r="C272" s="5">
        <f>Filmes_final!D272</f>
        <v>1984</v>
      </c>
      <c r="D272" s="5">
        <f t="shared" si="1"/>
        <v>2020</v>
      </c>
      <c r="E272" s="12">
        <f t="shared" si="2"/>
        <v>2.53160942</v>
      </c>
      <c r="F272" s="8">
        <f t="shared" si="3"/>
        <v>1255096</v>
      </c>
    </row>
    <row r="273">
      <c r="A273" s="1">
        <v>272.0</v>
      </c>
      <c r="B273" s="8">
        <f>Filmes_final!C273</f>
        <v>13782838</v>
      </c>
      <c r="C273" s="5">
        <f>Filmes_final!D273</f>
        <v>1982</v>
      </c>
      <c r="D273" s="5">
        <f t="shared" si="1"/>
        <v>2020</v>
      </c>
      <c r="E273" s="12">
        <f t="shared" si="2"/>
        <v>2.73564157</v>
      </c>
      <c r="F273" s="8">
        <f t="shared" si="3"/>
        <v>37704905</v>
      </c>
    </row>
    <row r="274">
      <c r="A274" s="1">
        <v>273.0</v>
      </c>
      <c r="B274" s="8">
        <f>Filmes_final!C274</f>
        <v>22244207</v>
      </c>
      <c r="C274" s="5">
        <f>Filmes_final!D274</f>
        <v>1982</v>
      </c>
      <c r="D274" s="5">
        <f t="shared" si="1"/>
        <v>2020</v>
      </c>
      <c r="E274" s="12">
        <f t="shared" si="2"/>
        <v>2.73564157</v>
      </c>
      <c r="F274" s="8">
        <f t="shared" si="3"/>
        <v>60852177</v>
      </c>
    </row>
    <row r="275">
      <c r="A275" s="1">
        <v>274.0</v>
      </c>
      <c r="B275" s="8">
        <f>Filmes_final!C275</f>
        <v>2874</v>
      </c>
      <c r="C275" s="5">
        <f>Filmes_final!D275</f>
        <v>1982</v>
      </c>
      <c r="D275" s="5">
        <f t="shared" si="1"/>
        <v>2020</v>
      </c>
      <c r="E275" s="12">
        <f t="shared" si="2"/>
        <v>2.73564157</v>
      </c>
      <c r="F275" s="8">
        <f t="shared" si="3"/>
        <v>7862</v>
      </c>
    </row>
    <row r="276">
      <c r="A276" s="1">
        <v>275.0</v>
      </c>
      <c r="B276" s="8">
        <f>Filmes_final!C276</f>
        <v>4971340</v>
      </c>
      <c r="C276" s="5">
        <f>Filmes_final!D276</f>
        <v>1982</v>
      </c>
      <c r="D276" s="5">
        <f t="shared" si="1"/>
        <v>2020</v>
      </c>
      <c r="E276" s="12">
        <f t="shared" si="2"/>
        <v>2.73564157</v>
      </c>
      <c r="F276" s="8">
        <f t="shared" si="3"/>
        <v>13599804</v>
      </c>
    </row>
    <row r="277">
      <c r="A277" s="1">
        <v>276.0</v>
      </c>
      <c r="B277" s="8">
        <f>Filmes_final!C277</f>
        <v>32868943</v>
      </c>
      <c r="C277" s="5">
        <f>Filmes_final!D277</f>
        <v>1982</v>
      </c>
      <c r="D277" s="5">
        <f t="shared" si="1"/>
        <v>2020</v>
      </c>
      <c r="E277" s="12">
        <f t="shared" si="2"/>
        <v>2.73564157</v>
      </c>
      <c r="F277" s="8">
        <f t="shared" si="3"/>
        <v>89917647</v>
      </c>
    </row>
    <row r="278">
      <c r="A278" s="1">
        <v>277.0</v>
      </c>
      <c r="B278" s="8">
        <f>Filmes_final!C278</f>
        <v>26010864</v>
      </c>
      <c r="C278" s="5">
        <f>Filmes_final!D278</f>
        <v>1980</v>
      </c>
      <c r="D278" s="5">
        <f t="shared" si="1"/>
        <v>2020</v>
      </c>
      <c r="E278" s="12">
        <f t="shared" si="2"/>
        <v>3.31582262</v>
      </c>
      <c r="F278" s="8">
        <f t="shared" si="3"/>
        <v>86247411</v>
      </c>
    </row>
    <row r="279">
      <c r="A279" s="1">
        <v>278.0</v>
      </c>
      <c r="B279" s="8">
        <f>Filmes_final!C279</f>
        <v>20045115</v>
      </c>
      <c r="C279" s="5">
        <f>Filmes_final!D279</f>
        <v>1979</v>
      </c>
      <c r="D279" s="5">
        <f t="shared" si="1"/>
        <v>2020</v>
      </c>
      <c r="E279" s="12">
        <f t="shared" si="2"/>
        <v>3.77702782</v>
      </c>
      <c r="F279" s="8">
        <f t="shared" si="3"/>
        <v>75710957</v>
      </c>
    </row>
    <row r="280">
      <c r="A280" s="1">
        <v>279.0</v>
      </c>
      <c r="B280" s="8">
        <f>Filmes_final!C280</f>
        <v>48979328</v>
      </c>
      <c r="C280" s="5">
        <f>Filmes_final!D280</f>
        <v>1978</v>
      </c>
      <c r="D280" s="5">
        <f t="shared" si="1"/>
        <v>2020</v>
      </c>
      <c r="E280" s="12">
        <f t="shared" si="2"/>
        <v>4.127536</v>
      </c>
      <c r="F280" s="8">
        <f t="shared" si="3"/>
        <v>202163940</v>
      </c>
    </row>
    <row r="281">
      <c r="A281" s="1">
        <v>280.0</v>
      </c>
      <c r="B281" s="8">
        <f>Filmes_final!C281</f>
        <v>117235247</v>
      </c>
      <c r="C281" s="5">
        <f>Filmes_final!D281</f>
        <v>1976</v>
      </c>
      <c r="D281" s="5">
        <f t="shared" si="1"/>
        <v>2020</v>
      </c>
      <c r="E281" s="12">
        <f t="shared" si="2"/>
        <v>4.63976619</v>
      </c>
      <c r="F281" s="8">
        <f t="shared" si="3"/>
        <v>543944135</v>
      </c>
    </row>
    <row r="282">
      <c r="A282" s="1">
        <v>281.0</v>
      </c>
      <c r="B282" s="8">
        <f>Filmes_final!C282</f>
        <v>23689877</v>
      </c>
      <c r="C282" s="5">
        <f>Filmes_final!D282</f>
        <v>1976</v>
      </c>
      <c r="D282" s="5">
        <f t="shared" si="1"/>
        <v>2020</v>
      </c>
      <c r="E282" s="12">
        <f t="shared" si="2"/>
        <v>4.63976619</v>
      </c>
      <c r="F282" s="8">
        <f t="shared" si="3"/>
        <v>109915490</v>
      </c>
    </row>
    <row r="283">
      <c r="A283" s="1">
        <v>282.0</v>
      </c>
      <c r="B283" s="8">
        <f>Filmes_final!C283</f>
        <v>198992</v>
      </c>
      <c r="C283" s="5">
        <f>Filmes_final!D283</f>
        <v>1975</v>
      </c>
      <c r="D283" s="5">
        <f t="shared" si="1"/>
        <v>2020</v>
      </c>
      <c r="E283" s="12">
        <f t="shared" si="2"/>
        <v>4.95145873</v>
      </c>
      <c r="F283" s="8">
        <f t="shared" si="3"/>
        <v>985301</v>
      </c>
    </row>
    <row r="284">
      <c r="A284" s="1">
        <v>283.0</v>
      </c>
      <c r="B284" s="8">
        <f>Filmes_final!C284</f>
        <v>177345</v>
      </c>
      <c r="C284" s="5">
        <f>Filmes_final!D284</f>
        <v>1975</v>
      </c>
      <c r="D284" s="5">
        <f t="shared" si="1"/>
        <v>2020</v>
      </c>
      <c r="E284" s="12">
        <f t="shared" si="2"/>
        <v>4.95145873</v>
      </c>
      <c r="F284" s="8">
        <f t="shared" si="3"/>
        <v>878116</v>
      </c>
    </row>
    <row r="285">
      <c r="A285" s="1">
        <v>284.0</v>
      </c>
      <c r="B285" s="8">
        <f>Filmes_final!C285</f>
        <v>29000000</v>
      </c>
      <c r="C285" s="5">
        <f>Filmes_final!D285</f>
        <v>1974</v>
      </c>
      <c r="D285" s="5">
        <f t="shared" si="1"/>
        <v>2020</v>
      </c>
      <c r="E285" s="12">
        <f t="shared" si="2"/>
        <v>5.53585837</v>
      </c>
      <c r="F285" s="8">
        <f t="shared" si="3"/>
        <v>160539893</v>
      </c>
    </row>
    <row r="286">
      <c r="A286" s="1">
        <v>285.0</v>
      </c>
      <c r="B286" s="8">
        <f>Filmes_final!C286</f>
        <v>30933743</v>
      </c>
      <c r="C286" s="5">
        <f>Filmes_final!D286</f>
        <v>1973</v>
      </c>
      <c r="D286" s="5">
        <f t="shared" si="1"/>
        <v>2020</v>
      </c>
      <c r="E286" s="12">
        <f t="shared" si="2"/>
        <v>6.05565728</v>
      </c>
      <c r="F286" s="8">
        <f t="shared" si="3"/>
        <v>187324146</v>
      </c>
    </row>
    <row r="287">
      <c r="A287" s="1">
        <v>286.0</v>
      </c>
      <c r="B287" s="8">
        <f>Filmes_final!C287</f>
        <v>1742348</v>
      </c>
      <c r="C287" s="5">
        <f>Filmes_final!D287</f>
        <v>1972</v>
      </c>
      <c r="D287" s="5">
        <f t="shared" si="1"/>
        <v>2020</v>
      </c>
      <c r="E287" s="12">
        <f t="shared" si="2"/>
        <v>6.27666667</v>
      </c>
      <c r="F287" s="8">
        <f t="shared" si="3"/>
        <v>10936138</v>
      </c>
    </row>
    <row r="288">
      <c r="A288" s="1">
        <v>287.0</v>
      </c>
      <c r="B288" s="8">
        <f>Filmes_final!C288</f>
        <v>135289</v>
      </c>
      <c r="C288" s="5">
        <f>Filmes_final!D288</f>
        <v>1972</v>
      </c>
      <c r="D288" s="5">
        <f t="shared" si="1"/>
        <v>2020</v>
      </c>
      <c r="E288" s="12">
        <f t="shared" si="2"/>
        <v>6.27666667</v>
      </c>
      <c r="F288" s="8">
        <f t="shared" si="3"/>
        <v>849164</v>
      </c>
    </row>
    <row r="289">
      <c r="A289" s="1">
        <v>288.0</v>
      </c>
      <c r="B289" s="8">
        <f>Filmes_final!C289</f>
        <v>39481</v>
      </c>
      <c r="C289" s="5">
        <f>Filmes_final!D289</f>
        <v>1967</v>
      </c>
      <c r="D289" s="5">
        <f t="shared" si="1"/>
        <v>2020</v>
      </c>
      <c r="E289" s="12">
        <f t="shared" si="2"/>
        <v>7.84106383</v>
      </c>
      <c r="F289" s="8">
        <f t="shared" si="3"/>
        <v>309573</v>
      </c>
    </row>
    <row r="290">
      <c r="A290" s="1">
        <v>289.0</v>
      </c>
      <c r="B290" s="8">
        <f>Filmes_final!C290</f>
        <v>16217773</v>
      </c>
      <c r="C290" s="5">
        <f>Filmes_final!D290</f>
        <v>1967</v>
      </c>
      <c r="D290" s="5">
        <f t="shared" si="1"/>
        <v>2020</v>
      </c>
      <c r="E290" s="12">
        <f t="shared" si="2"/>
        <v>7.84106383</v>
      </c>
      <c r="F290" s="8">
        <f t="shared" si="3"/>
        <v>127164593</v>
      </c>
    </row>
    <row r="291">
      <c r="A291" s="1">
        <v>290.0</v>
      </c>
      <c r="B291" s="8">
        <f>Filmes_final!C291</f>
        <v>90556</v>
      </c>
      <c r="C291" s="5">
        <f>Filmes_final!D291</f>
        <v>1966</v>
      </c>
      <c r="D291" s="5">
        <f t="shared" si="1"/>
        <v>2020</v>
      </c>
      <c r="E291" s="12">
        <f t="shared" si="2"/>
        <v>8.1122956</v>
      </c>
      <c r="F291" s="8">
        <f t="shared" si="3"/>
        <v>734617</v>
      </c>
    </row>
    <row r="292">
      <c r="A292" s="1">
        <v>291.0</v>
      </c>
      <c r="B292" s="8">
        <f>Filmes_final!C292</f>
        <v>102021</v>
      </c>
      <c r="C292" s="5">
        <f>Filmes_final!D292</f>
        <v>1966</v>
      </c>
      <c r="D292" s="5">
        <f t="shared" si="1"/>
        <v>2020</v>
      </c>
      <c r="E292" s="12">
        <f t="shared" si="2"/>
        <v>8.1122956</v>
      </c>
      <c r="F292" s="8">
        <f t="shared" si="3"/>
        <v>827625</v>
      </c>
    </row>
    <row r="293">
      <c r="A293" s="1">
        <v>292.0</v>
      </c>
      <c r="B293" s="8">
        <f>Filmes_final!C293</f>
        <v>55908</v>
      </c>
      <c r="C293" s="5">
        <f>Filmes_final!D293</f>
        <v>1966</v>
      </c>
      <c r="D293" s="5">
        <f t="shared" si="1"/>
        <v>2020</v>
      </c>
      <c r="E293" s="12">
        <f t="shared" si="2"/>
        <v>8.1122956</v>
      </c>
      <c r="F293" s="8">
        <f t="shared" si="3"/>
        <v>453542</v>
      </c>
    </row>
    <row r="294">
      <c r="A294" s="1">
        <v>293.0</v>
      </c>
      <c r="B294" s="8">
        <f>Filmes_final!C294</f>
        <v>1843</v>
      </c>
      <c r="C294" s="5">
        <f>Filmes_final!D294</f>
        <v>1962</v>
      </c>
      <c r="D294" s="5">
        <f t="shared" si="1"/>
        <v>2020</v>
      </c>
      <c r="E294" s="12">
        <f t="shared" si="2"/>
        <v>8.59903333</v>
      </c>
      <c r="F294" s="8">
        <f t="shared" si="3"/>
        <v>15848</v>
      </c>
    </row>
    <row r="295">
      <c r="A295" s="1">
        <v>294.0</v>
      </c>
      <c r="B295" s="8">
        <f>Filmes_final!C295</f>
        <v>4050000</v>
      </c>
      <c r="C295" s="5">
        <f>Filmes_final!D295</f>
        <v>1962</v>
      </c>
      <c r="D295" s="5">
        <f t="shared" si="1"/>
        <v>2020</v>
      </c>
      <c r="E295" s="12">
        <f t="shared" si="2"/>
        <v>8.59903333</v>
      </c>
      <c r="F295" s="8">
        <f t="shared" si="3"/>
        <v>34826085</v>
      </c>
    </row>
    <row r="296">
      <c r="A296" s="1">
        <v>295.0</v>
      </c>
      <c r="B296" s="8">
        <f>Filmes_final!C296</f>
        <v>55528</v>
      </c>
      <c r="C296" s="5">
        <f>Filmes_final!D296</f>
        <v>1962</v>
      </c>
      <c r="D296" s="5">
        <f t="shared" si="1"/>
        <v>2020</v>
      </c>
      <c r="E296" s="12">
        <f t="shared" si="2"/>
        <v>8.59903333</v>
      </c>
      <c r="F296" s="8">
        <f t="shared" si="3"/>
        <v>477487</v>
      </c>
    </row>
    <row r="297">
      <c r="A297" s="1">
        <v>296.0</v>
      </c>
      <c r="B297" s="8">
        <f>Filmes_final!C297</f>
        <v>3200000</v>
      </c>
      <c r="C297" s="5">
        <f>Filmes_final!D297</f>
        <v>1962</v>
      </c>
      <c r="D297" s="5">
        <f t="shared" si="1"/>
        <v>2020</v>
      </c>
      <c r="E297" s="12">
        <f t="shared" si="2"/>
        <v>8.59903333</v>
      </c>
      <c r="F297" s="8">
        <f t="shared" si="3"/>
        <v>27516907</v>
      </c>
    </row>
    <row r="298">
      <c r="A298" s="1">
        <v>297.0</v>
      </c>
      <c r="B298" s="8">
        <f>Filmes_final!C298</f>
        <v>22168</v>
      </c>
      <c r="C298" s="5">
        <f>Filmes_final!D298</f>
        <v>1962</v>
      </c>
      <c r="D298" s="5">
        <f t="shared" si="1"/>
        <v>2020</v>
      </c>
      <c r="E298" s="12">
        <f t="shared" si="2"/>
        <v>8.59903333</v>
      </c>
      <c r="F298" s="8">
        <f t="shared" si="3"/>
        <v>190623</v>
      </c>
    </row>
    <row r="299">
      <c r="A299" s="1">
        <v>298.0</v>
      </c>
      <c r="B299" s="8">
        <f>Filmes_final!C299</f>
        <v>1526000</v>
      </c>
      <c r="C299" s="5">
        <f>Filmes_final!D299</f>
        <v>1960</v>
      </c>
      <c r="D299" s="5">
        <f t="shared" si="1"/>
        <v>2020</v>
      </c>
      <c r="E299" s="12">
        <f t="shared" si="2"/>
        <v>8.80447099</v>
      </c>
      <c r="F299" s="8">
        <f t="shared" si="3"/>
        <v>13435623</v>
      </c>
    </row>
    <row r="300">
      <c r="A300" s="1">
        <v>299.0</v>
      </c>
      <c r="B300" s="8">
        <f>Filmes_final!C300</f>
        <v>2000000</v>
      </c>
      <c r="C300" s="5">
        <f>Filmes_final!D300</f>
        <v>1960</v>
      </c>
      <c r="D300" s="5">
        <f t="shared" si="1"/>
        <v>2020</v>
      </c>
      <c r="E300" s="12">
        <f t="shared" si="2"/>
        <v>8.80447099</v>
      </c>
      <c r="F300" s="8">
        <f t="shared" si="3"/>
        <v>17608942</v>
      </c>
    </row>
    <row r="301">
      <c r="A301" s="1">
        <v>300.0</v>
      </c>
      <c r="B301" s="8">
        <f>Filmes_final!C301</f>
        <v>127244</v>
      </c>
      <c r="C301" s="5">
        <f>Filmes_final!D301</f>
        <v>1959</v>
      </c>
      <c r="D301" s="5">
        <f t="shared" si="1"/>
        <v>2020</v>
      </c>
      <c r="E301" s="12">
        <f t="shared" si="2"/>
        <v>8.89555172</v>
      </c>
      <c r="F301" s="8">
        <f t="shared" si="3"/>
        <v>1131906</v>
      </c>
    </row>
    <row r="302">
      <c r="A302" s="1">
        <v>301.0</v>
      </c>
      <c r="B302" s="8">
        <f>Filmes_final!C302</f>
        <v>74700000</v>
      </c>
      <c r="C302" s="5">
        <f>Filmes_final!D302</f>
        <v>1959</v>
      </c>
      <c r="D302" s="5">
        <f t="shared" si="1"/>
        <v>2020</v>
      </c>
      <c r="E302" s="12">
        <f t="shared" si="2"/>
        <v>8.89555172</v>
      </c>
      <c r="F302" s="8">
        <f t="shared" si="3"/>
        <v>664497713</v>
      </c>
    </row>
    <row r="303">
      <c r="A303" s="1">
        <v>302.0</v>
      </c>
      <c r="B303" s="8">
        <f>Filmes_final!C303</f>
        <v>46808</v>
      </c>
      <c r="C303" s="5">
        <f>Filmes_final!D303</f>
        <v>1958</v>
      </c>
      <c r="D303" s="5">
        <f t="shared" si="1"/>
        <v>2020</v>
      </c>
      <c r="E303" s="12">
        <f t="shared" si="2"/>
        <v>9.01996503</v>
      </c>
      <c r="F303" s="8">
        <f t="shared" si="3"/>
        <v>422207</v>
      </c>
    </row>
    <row r="304">
      <c r="A304" s="1">
        <v>303.0</v>
      </c>
      <c r="B304" s="8">
        <f>Filmes_final!C304</f>
        <v>752045</v>
      </c>
      <c r="C304" s="5">
        <f>Filmes_final!D304</f>
        <v>1957</v>
      </c>
      <c r="D304" s="5">
        <f t="shared" si="1"/>
        <v>2020</v>
      </c>
      <c r="E304" s="12">
        <f t="shared" si="2"/>
        <v>9.34677536</v>
      </c>
      <c r="F304" s="8">
        <f t="shared" si="3"/>
        <v>7029196</v>
      </c>
    </row>
    <row r="305">
      <c r="A305" s="1">
        <v>304.0</v>
      </c>
      <c r="B305" s="8">
        <f>Filmes_final!C305</f>
        <v>46808</v>
      </c>
      <c r="C305" s="5">
        <f>Filmes_final!D305</f>
        <v>1957</v>
      </c>
      <c r="D305" s="5">
        <f t="shared" si="1"/>
        <v>2020</v>
      </c>
      <c r="E305" s="12">
        <f t="shared" si="2"/>
        <v>9.34677536</v>
      </c>
      <c r="F305" s="8">
        <f t="shared" si="3"/>
        <v>437504</v>
      </c>
    </row>
    <row r="306">
      <c r="A306" s="1">
        <v>305.0</v>
      </c>
      <c r="B306" s="8">
        <f>Filmes_final!C306</f>
        <v>44908000</v>
      </c>
      <c r="C306" s="5">
        <f>Filmes_final!D306</f>
        <v>1957</v>
      </c>
      <c r="D306" s="5">
        <f t="shared" si="1"/>
        <v>2020</v>
      </c>
      <c r="E306" s="12">
        <f t="shared" si="2"/>
        <v>9.34677536</v>
      </c>
      <c r="F306" s="8">
        <f t="shared" si="3"/>
        <v>419744988</v>
      </c>
    </row>
    <row r="307">
      <c r="A307" s="1">
        <v>306.0</v>
      </c>
      <c r="B307" s="8">
        <f>Filmes_final!C307</f>
        <v>9600000</v>
      </c>
      <c r="C307" s="5">
        <f>Filmes_final!D307</f>
        <v>1954</v>
      </c>
      <c r="D307" s="5">
        <f t="shared" si="1"/>
        <v>2020</v>
      </c>
      <c r="E307" s="12">
        <f t="shared" si="2"/>
        <v>9.59</v>
      </c>
      <c r="F307" s="8">
        <f t="shared" si="3"/>
        <v>92064000</v>
      </c>
    </row>
    <row r="308">
      <c r="A308" s="1">
        <v>307.0</v>
      </c>
      <c r="B308" s="8">
        <f>Filmes_final!C308</f>
        <v>1098</v>
      </c>
      <c r="C308" s="5">
        <f>Filmes_final!D308</f>
        <v>1953</v>
      </c>
      <c r="D308" s="5">
        <f t="shared" si="1"/>
        <v>2020</v>
      </c>
      <c r="E308" s="12">
        <f t="shared" si="2"/>
        <v>9.69815789</v>
      </c>
      <c r="F308" s="8">
        <f t="shared" si="3"/>
        <v>10649</v>
      </c>
    </row>
    <row r="309">
      <c r="A309" s="1">
        <v>308.0</v>
      </c>
      <c r="B309" s="8">
        <f>Filmes_final!C309</f>
        <v>3969893</v>
      </c>
      <c r="C309" s="5">
        <f>Filmes_final!D309</f>
        <v>1951</v>
      </c>
      <c r="D309" s="5">
        <f t="shared" si="1"/>
        <v>2020</v>
      </c>
      <c r="E309" s="12">
        <f t="shared" si="2"/>
        <v>10.15633858</v>
      </c>
      <c r="F309" s="8">
        <f t="shared" si="3"/>
        <v>40319577</v>
      </c>
    </row>
    <row r="310">
      <c r="A310" s="1">
        <v>309.0</v>
      </c>
      <c r="B310" s="8">
        <f>Filmes_final!C310</f>
        <v>5534</v>
      </c>
      <c r="C310" s="5">
        <f>Filmes_final!D310</f>
        <v>1949</v>
      </c>
      <c r="D310" s="5">
        <f t="shared" si="1"/>
        <v>2020</v>
      </c>
      <c r="E310" s="12">
        <f t="shared" si="2"/>
        <v>10.74879167</v>
      </c>
      <c r="F310" s="8">
        <f t="shared" si="3"/>
        <v>59484</v>
      </c>
    </row>
    <row r="311">
      <c r="A311" s="1">
        <v>310.0</v>
      </c>
      <c r="B311" s="8">
        <f>Filmes_final!C311</f>
        <v>449191</v>
      </c>
      <c r="C311" s="5">
        <f>Filmes_final!D311</f>
        <v>1949</v>
      </c>
      <c r="D311" s="5">
        <f t="shared" si="1"/>
        <v>2020</v>
      </c>
      <c r="E311" s="12">
        <f t="shared" si="2"/>
        <v>10.74879167</v>
      </c>
      <c r="F311" s="8">
        <f t="shared" si="3"/>
        <v>4828260</v>
      </c>
    </row>
    <row r="312">
      <c r="A312" s="1">
        <v>311.0</v>
      </c>
      <c r="B312" s="8">
        <f>Filmes_final!C312</f>
        <v>10900000</v>
      </c>
      <c r="C312" s="5">
        <f>Filmes_final!D312</f>
        <v>1948</v>
      </c>
      <c r="D312" s="5">
        <f t="shared" si="1"/>
        <v>2020</v>
      </c>
      <c r="E312" s="12">
        <f t="shared" si="2"/>
        <v>10.88485232</v>
      </c>
      <c r="F312" s="8">
        <f t="shared" si="3"/>
        <v>118644890</v>
      </c>
    </row>
    <row r="313">
      <c r="A313" s="1">
        <v>312.0</v>
      </c>
      <c r="B313" s="8">
        <f>Filmes_final!C313</f>
        <v>203300</v>
      </c>
      <c r="C313" s="5">
        <f>Filmes_final!D313</f>
        <v>1940</v>
      </c>
      <c r="D313" s="5">
        <f t="shared" si="1"/>
        <v>2020</v>
      </c>
      <c r="E313" s="12">
        <f t="shared" si="2"/>
        <v>18.55906475</v>
      </c>
      <c r="F313" s="8">
        <f t="shared" si="3"/>
        <v>3773058</v>
      </c>
    </row>
    <row r="314">
      <c r="A314" s="1">
        <v>313.0</v>
      </c>
      <c r="B314" s="8">
        <f>Filmes_final!C314</f>
        <v>4360000</v>
      </c>
      <c r="C314" s="5">
        <f>Filmes_final!D314</f>
        <v>1940</v>
      </c>
      <c r="D314" s="5">
        <f t="shared" si="1"/>
        <v>2020</v>
      </c>
      <c r="E314" s="12">
        <f t="shared" si="2"/>
        <v>18.55906475</v>
      </c>
      <c r="F314" s="8">
        <f t="shared" si="3"/>
        <v>80917522</v>
      </c>
    </row>
    <row r="315">
      <c r="A315" s="1">
        <v>314.0</v>
      </c>
      <c r="B315" s="8">
        <f>Filmes_final!C315</f>
        <v>9600000</v>
      </c>
      <c r="C315" s="5">
        <f>Filmes_final!D315</f>
        <v>1939</v>
      </c>
      <c r="D315" s="5">
        <f t="shared" si="1"/>
        <v>2020</v>
      </c>
      <c r="E315" s="12">
        <f t="shared" si="2"/>
        <v>18.4265</v>
      </c>
      <c r="F315" s="8">
        <f t="shared" si="3"/>
        <v>176894400</v>
      </c>
    </row>
    <row r="316">
      <c r="A316" s="1">
        <v>315.0</v>
      </c>
      <c r="B316" s="8">
        <f>Filmes_final!C316</f>
        <v>198676459</v>
      </c>
      <c r="C316" s="5">
        <f>Filmes_final!D316</f>
        <v>1939</v>
      </c>
      <c r="D316" s="5">
        <f t="shared" si="1"/>
        <v>2020</v>
      </c>
      <c r="E316" s="12">
        <f t="shared" si="2"/>
        <v>18.4265</v>
      </c>
      <c r="F316" s="8">
        <f t="shared" si="3"/>
        <v>3660911772</v>
      </c>
    </row>
    <row r="317">
      <c r="A317" s="1">
        <v>316.0</v>
      </c>
      <c r="B317" s="8">
        <f>Filmes_final!C317</f>
        <v>172885</v>
      </c>
      <c r="C317" s="5">
        <f>Filmes_final!D317</f>
        <v>1937</v>
      </c>
      <c r="D317" s="5">
        <f t="shared" si="1"/>
        <v>2020</v>
      </c>
      <c r="E317" s="12">
        <f t="shared" si="2"/>
        <v>18.2958156</v>
      </c>
      <c r="F317" s="8">
        <f t="shared" si="3"/>
        <v>3163072</v>
      </c>
    </row>
    <row r="318">
      <c r="A318" s="1">
        <v>317.0</v>
      </c>
      <c r="B318" s="8">
        <f>Filmes_final!C318</f>
        <v>4360000</v>
      </c>
      <c r="C318" s="5">
        <f>Filmes_final!D318</f>
        <v>1934</v>
      </c>
      <c r="D318" s="5">
        <f t="shared" si="1"/>
        <v>2020</v>
      </c>
      <c r="E318" s="12">
        <f t="shared" si="2"/>
        <v>19.54325758</v>
      </c>
      <c r="F318" s="8">
        <f t="shared" si="3"/>
        <v>85208603</v>
      </c>
    </row>
    <row r="319">
      <c r="A319" s="1">
        <v>318.0</v>
      </c>
      <c r="B319" s="8">
        <f>Filmes_final!C319</f>
        <v>21877</v>
      </c>
      <c r="C319" s="5">
        <f>Filmes_final!D319</f>
        <v>1928</v>
      </c>
      <c r="D319" s="5">
        <f t="shared" si="1"/>
        <v>2020</v>
      </c>
      <c r="E319" s="12">
        <f t="shared" si="2"/>
        <v>14.9116185</v>
      </c>
      <c r="F319" s="8">
        <f t="shared" si="3"/>
        <v>326221</v>
      </c>
    </row>
    <row r="320">
      <c r="A320" s="1">
        <v>319.0</v>
      </c>
      <c r="B320" s="8">
        <f>Filmes_final!C320</f>
        <v>27410</v>
      </c>
      <c r="C320" s="5">
        <f>Filmes_final!D320</f>
        <v>1928</v>
      </c>
      <c r="D320" s="5">
        <f t="shared" si="1"/>
        <v>2020</v>
      </c>
      <c r="E320" s="12">
        <f t="shared" si="2"/>
        <v>14.9116185</v>
      </c>
      <c r="F320" s="8">
        <f t="shared" si="3"/>
        <v>408727</v>
      </c>
    </row>
    <row r="321">
      <c r="A321" s="1">
        <v>320.0</v>
      </c>
      <c r="B321" s="8">
        <f>Filmes_final!C321</f>
        <v>539540</v>
      </c>
      <c r="C321" s="5">
        <f>Filmes_final!D321</f>
        <v>1927</v>
      </c>
      <c r="D321" s="5">
        <f t="shared" si="1"/>
        <v>2020</v>
      </c>
      <c r="E321" s="12">
        <f t="shared" si="2"/>
        <v>14.7412</v>
      </c>
      <c r="F321" s="8">
        <f t="shared" si="3"/>
        <v>7953467</v>
      </c>
    </row>
    <row r="322">
      <c r="A322" s="1">
        <v>321.0</v>
      </c>
      <c r="B322" s="8">
        <f>Filmes_final!C322</f>
        <v>1033895</v>
      </c>
      <c r="C322" s="5">
        <f>Filmes_final!D322</f>
        <v>1926</v>
      </c>
      <c r="D322" s="5">
        <f t="shared" si="1"/>
        <v>2020</v>
      </c>
      <c r="E322" s="12">
        <f t="shared" si="2"/>
        <v>14.41178771</v>
      </c>
      <c r="F322" s="8">
        <f t="shared" si="3"/>
        <v>14900275</v>
      </c>
    </row>
    <row r="323">
      <c r="A323" s="1">
        <v>322.0</v>
      </c>
      <c r="B323" s="8">
        <f>Filmes_final!C323</f>
        <v>8811</v>
      </c>
      <c r="C323" s="5">
        <f>Filmes_final!D323</f>
        <v>1920</v>
      </c>
      <c r="D323" s="5">
        <f t="shared" si="1"/>
        <v>2020</v>
      </c>
      <c r="E323" s="12">
        <f t="shared" si="2"/>
        <v>13.36637306</v>
      </c>
      <c r="F323" s="8">
        <f t="shared" si="3"/>
        <v>117771</v>
      </c>
    </row>
    <row r="324">
      <c r="A324" s="1">
        <v>323.0</v>
      </c>
      <c r="B324" s="8">
        <f>Filmes_final!C324</f>
        <v>26125610</v>
      </c>
      <c r="C324" s="5">
        <f>Filmes_final!D324</f>
        <v>2018</v>
      </c>
      <c r="D324" s="5">
        <f t="shared" si="1"/>
        <v>2020</v>
      </c>
      <c r="E324" s="12">
        <f t="shared" si="2"/>
        <v>1.0407638</v>
      </c>
      <c r="F324" s="8">
        <f t="shared" si="3"/>
        <v>27190589</v>
      </c>
    </row>
    <row r="325">
      <c r="A325" s="1">
        <v>324.0</v>
      </c>
      <c r="B325" s="8">
        <f>Filmes_final!C325</f>
        <v>0</v>
      </c>
      <c r="C325" s="5">
        <f>Filmes_final!D325</f>
        <v>2019</v>
      </c>
      <c r="D325" s="5">
        <f t="shared" si="1"/>
        <v>2020</v>
      </c>
      <c r="E325" s="12">
        <f t="shared" si="2"/>
        <v>1.02486572</v>
      </c>
      <c r="F325" s="8">
        <f t="shared" si="3"/>
        <v>0</v>
      </c>
    </row>
    <row r="326">
      <c r="A326" s="1">
        <v>325.0</v>
      </c>
      <c r="B326" s="8">
        <f>Filmes_final!C326</f>
        <v>9323484</v>
      </c>
      <c r="C326" s="5">
        <f>Filmes_final!D326</f>
        <v>2016</v>
      </c>
      <c r="D326" s="5">
        <f t="shared" si="1"/>
        <v>2020</v>
      </c>
      <c r="E326" s="12">
        <f t="shared" si="2"/>
        <v>1.08887116</v>
      </c>
      <c r="F326" s="8">
        <f t="shared" si="3"/>
        <v>10152073</v>
      </c>
    </row>
    <row r="327">
      <c r="A327" s="1">
        <v>326.0</v>
      </c>
      <c r="B327" s="8">
        <f>Filmes_final!C327</f>
        <v>8178001</v>
      </c>
      <c r="C327" s="5">
        <f>Filmes_final!D327</f>
        <v>2015</v>
      </c>
      <c r="D327" s="5">
        <f t="shared" si="1"/>
        <v>2020</v>
      </c>
      <c r="E327" s="12">
        <f t="shared" si="2"/>
        <v>1.10382231</v>
      </c>
      <c r="F327" s="8">
        <f t="shared" si="3"/>
        <v>9027060</v>
      </c>
    </row>
    <row r="328">
      <c r="A328" s="1">
        <v>327.0</v>
      </c>
      <c r="B328" s="8">
        <f>Filmes_final!C328</f>
        <v>11533057</v>
      </c>
      <c r="C328" s="5">
        <f>Filmes_final!D328</f>
        <v>2015</v>
      </c>
      <c r="D328" s="5">
        <f t="shared" si="1"/>
        <v>2020</v>
      </c>
      <c r="E328" s="12">
        <f t="shared" si="2"/>
        <v>1.10382231</v>
      </c>
      <c r="F328" s="8">
        <f t="shared" si="3"/>
        <v>12730446</v>
      </c>
    </row>
    <row r="329">
      <c r="A329" s="1">
        <v>328.0</v>
      </c>
      <c r="B329" s="8">
        <f>Filmes_final!C329</f>
        <v>151101803</v>
      </c>
      <c r="C329" s="5">
        <f>Filmes_final!D329</f>
        <v>2016</v>
      </c>
      <c r="D329" s="5">
        <f t="shared" si="1"/>
        <v>2020</v>
      </c>
      <c r="E329" s="12">
        <f t="shared" si="2"/>
        <v>1.08887116</v>
      </c>
      <c r="F329" s="8">
        <f t="shared" si="3"/>
        <v>164530396</v>
      </c>
    </row>
    <row r="330">
      <c r="A330" s="1">
        <v>329.0</v>
      </c>
      <c r="B330" s="8">
        <f>Filmes_final!C330</f>
        <v>51739495</v>
      </c>
      <c r="C330" s="5">
        <f>Filmes_final!D330</f>
        <v>2016</v>
      </c>
      <c r="D330" s="5">
        <f t="shared" si="1"/>
        <v>2020</v>
      </c>
      <c r="E330" s="12">
        <f t="shared" si="2"/>
        <v>1.08887116</v>
      </c>
      <c r="F330" s="8">
        <f t="shared" si="3"/>
        <v>56337644</v>
      </c>
    </row>
    <row r="331">
      <c r="A331" s="1">
        <v>330.0</v>
      </c>
      <c r="B331" s="8">
        <f>Filmes_final!C331</f>
        <v>228433663</v>
      </c>
      <c r="C331" s="5">
        <f>Filmes_final!D331</f>
        <v>2015</v>
      </c>
      <c r="D331" s="5">
        <f t="shared" si="1"/>
        <v>2020</v>
      </c>
      <c r="E331" s="12">
        <f t="shared" si="2"/>
        <v>1.10382231</v>
      </c>
      <c r="F331" s="8">
        <f t="shared" si="3"/>
        <v>252150174</v>
      </c>
    </row>
    <row r="332">
      <c r="A332" s="1">
        <v>331.0</v>
      </c>
      <c r="B332" s="8">
        <f>Filmes_final!C332</f>
        <v>341268248</v>
      </c>
      <c r="C332" s="5">
        <f>Filmes_final!D332</f>
        <v>2016</v>
      </c>
      <c r="D332" s="5">
        <f t="shared" si="1"/>
        <v>2020</v>
      </c>
      <c r="E332" s="12">
        <f t="shared" si="2"/>
        <v>1.08887116</v>
      </c>
      <c r="F332" s="8">
        <f t="shared" si="3"/>
        <v>371597153</v>
      </c>
    </row>
    <row r="333">
      <c r="A333" s="1">
        <v>332.0</v>
      </c>
      <c r="B333" s="8">
        <f>Filmes_final!C333</f>
        <v>6738000</v>
      </c>
      <c r="C333" s="5">
        <f>Filmes_final!D333</f>
        <v>2015</v>
      </c>
      <c r="D333" s="5">
        <f t="shared" si="1"/>
        <v>2020</v>
      </c>
      <c r="E333" s="12">
        <f t="shared" si="2"/>
        <v>1.10382231</v>
      </c>
      <c r="F333" s="8">
        <f t="shared" si="3"/>
        <v>7437555</v>
      </c>
    </row>
    <row r="334">
      <c r="A334" s="1">
        <v>333.0</v>
      </c>
      <c r="B334" s="8">
        <f>Filmes_final!C334</f>
        <v>1506975</v>
      </c>
      <c r="C334" s="5">
        <f>Filmes_final!D334</f>
        <v>2013</v>
      </c>
      <c r="D334" s="5">
        <f t="shared" si="1"/>
        <v>2020</v>
      </c>
      <c r="E334" s="12">
        <f t="shared" si="2"/>
        <v>1.12024926</v>
      </c>
      <c r="F334" s="8">
        <f t="shared" si="3"/>
        <v>1688188</v>
      </c>
    </row>
    <row r="335">
      <c r="A335" s="1">
        <v>334.0</v>
      </c>
      <c r="B335" s="8">
        <f>Filmes_final!C335</f>
        <v>132422809</v>
      </c>
      <c r="C335" s="5">
        <f>Filmes_final!D335</f>
        <v>2017</v>
      </c>
      <c r="D335" s="5">
        <f t="shared" si="1"/>
        <v>2020</v>
      </c>
      <c r="E335" s="12">
        <f t="shared" si="2"/>
        <v>1.06231289</v>
      </c>
      <c r="F335" s="8">
        <f t="shared" si="3"/>
        <v>140674457</v>
      </c>
    </row>
    <row r="336">
      <c r="A336" s="1">
        <v>335.0</v>
      </c>
      <c r="B336" s="8">
        <f>Filmes_final!C336</f>
        <v>5566534</v>
      </c>
      <c r="C336" s="5">
        <f>Filmes_final!D336</f>
        <v>2019</v>
      </c>
      <c r="D336" s="5">
        <f t="shared" si="1"/>
        <v>2020</v>
      </c>
      <c r="E336" s="12">
        <f t="shared" si="2"/>
        <v>1.02486572</v>
      </c>
      <c r="F336" s="8">
        <f t="shared" si="3"/>
        <v>5704950</v>
      </c>
    </row>
    <row r="337">
      <c r="A337" s="1">
        <v>336.0</v>
      </c>
      <c r="B337" s="8">
        <f>Filmes_final!C337</f>
        <v>1079369</v>
      </c>
      <c r="C337" s="5">
        <f>Filmes_final!D337</f>
        <v>2013</v>
      </c>
      <c r="D337" s="5">
        <f t="shared" si="1"/>
        <v>2020</v>
      </c>
      <c r="E337" s="12">
        <f t="shared" si="2"/>
        <v>1.12024926</v>
      </c>
      <c r="F337" s="8">
        <f t="shared" si="3"/>
        <v>1209162</v>
      </c>
    </row>
    <row r="338">
      <c r="A338" s="1">
        <v>337.0</v>
      </c>
      <c r="B338" s="8">
        <f>Filmes_final!C338</f>
        <v>1010414</v>
      </c>
      <c r="C338" s="5">
        <f>Filmes_final!D338</f>
        <v>2013</v>
      </c>
      <c r="D338" s="5">
        <f t="shared" si="1"/>
        <v>2020</v>
      </c>
      <c r="E338" s="12">
        <f t="shared" si="2"/>
        <v>1.12024926</v>
      </c>
      <c r="F338" s="8">
        <f t="shared" si="3"/>
        <v>1131916</v>
      </c>
    </row>
    <row r="339">
      <c r="A339" s="1">
        <v>338.0</v>
      </c>
      <c r="B339" s="8">
        <f>Filmes_final!C339</f>
        <v>2625803</v>
      </c>
      <c r="C339" s="5">
        <f>Filmes_final!D339</f>
        <v>2014</v>
      </c>
      <c r="D339" s="5">
        <f t="shared" si="1"/>
        <v>2020</v>
      </c>
      <c r="E339" s="12">
        <f t="shared" si="2"/>
        <v>1.10283606</v>
      </c>
      <c r="F339" s="8">
        <f t="shared" si="3"/>
        <v>2895830</v>
      </c>
    </row>
    <row r="340">
      <c r="A340" s="1">
        <v>339.0</v>
      </c>
      <c r="B340" s="8">
        <f>Filmes_final!C340</f>
        <v>91125683</v>
      </c>
      <c r="C340" s="5">
        <f>Filmes_final!D340</f>
        <v>2014</v>
      </c>
      <c r="D340" s="5">
        <f t="shared" si="1"/>
        <v>2020</v>
      </c>
      <c r="E340" s="12">
        <f t="shared" si="2"/>
        <v>1.10283606</v>
      </c>
      <c r="F340" s="8">
        <f t="shared" si="3"/>
        <v>100496689</v>
      </c>
    </row>
    <row r="341">
      <c r="A341" s="1">
        <v>340.0</v>
      </c>
      <c r="B341" s="8">
        <f>Filmes_final!C341</f>
        <v>333176600</v>
      </c>
      <c r="C341" s="5">
        <f>Filmes_final!D341</f>
        <v>2014</v>
      </c>
      <c r="D341" s="5">
        <f t="shared" si="1"/>
        <v>2020</v>
      </c>
      <c r="E341" s="12">
        <f t="shared" si="2"/>
        <v>1.10283606</v>
      </c>
      <c r="F341" s="8">
        <f t="shared" si="3"/>
        <v>367439169</v>
      </c>
    </row>
    <row r="342">
      <c r="A342" s="1">
        <v>341.0</v>
      </c>
      <c r="B342" s="8">
        <f>Filmes_final!C342</f>
        <v>92054159</v>
      </c>
      <c r="C342" s="5">
        <f>Filmes_final!D342</f>
        <v>2017</v>
      </c>
      <c r="D342" s="5">
        <f t="shared" si="1"/>
        <v>2020</v>
      </c>
      <c r="E342" s="12">
        <f t="shared" si="2"/>
        <v>1.06231289</v>
      </c>
      <c r="F342" s="8">
        <f t="shared" si="3"/>
        <v>97790320</v>
      </c>
    </row>
    <row r="343">
      <c r="A343" s="1">
        <v>342.0</v>
      </c>
      <c r="B343" s="8">
        <f>Filmes_final!C343</f>
        <v>25568251</v>
      </c>
      <c r="C343" s="5">
        <f>Filmes_final!D343</f>
        <v>2013</v>
      </c>
      <c r="D343" s="5">
        <f t="shared" si="1"/>
        <v>2020</v>
      </c>
      <c r="E343" s="12">
        <f t="shared" si="2"/>
        <v>1.12024926</v>
      </c>
      <c r="F343" s="8">
        <f t="shared" si="3"/>
        <v>28642814</v>
      </c>
    </row>
    <row r="344">
      <c r="A344" s="1">
        <v>343.0</v>
      </c>
      <c r="B344" s="8">
        <f>Filmes_final!C344</f>
        <v>216428042</v>
      </c>
      <c r="C344" s="5">
        <f>Filmes_final!D344</f>
        <v>2018</v>
      </c>
      <c r="D344" s="5">
        <f t="shared" si="1"/>
        <v>2020</v>
      </c>
      <c r="E344" s="12">
        <f t="shared" si="2"/>
        <v>1.0407638</v>
      </c>
      <c r="F344" s="8">
        <f t="shared" si="3"/>
        <v>225250471</v>
      </c>
    </row>
    <row r="345">
      <c r="A345" s="1">
        <v>344.0</v>
      </c>
      <c r="B345" s="8">
        <f>Filmes_final!C345</f>
        <v>183637894</v>
      </c>
      <c r="C345" s="5">
        <f>Filmes_final!D345</f>
        <v>2015</v>
      </c>
      <c r="D345" s="5">
        <f t="shared" si="1"/>
        <v>2020</v>
      </c>
      <c r="E345" s="12">
        <f t="shared" si="2"/>
        <v>1.10382231</v>
      </c>
      <c r="F345" s="8">
        <f t="shared" si="3"/>
        <v>202703604</v>
      </c>
    </row>
    <row r="346">
      <c r="A346" s="1">
        <v>345.0</v>
      </c>
      <c r="B346" s="8">
        <f>Filmes_final!C346</f>
        <v>17738570</v>
      </c>
      <c r="C346" s="5">
        <f>Filmes_final!D346</f>
        <v>2012</v>
      </c>
      <c r="D346" s="5">
        <f t="shared" si="1"/>
        <v>2020</v>
      </c>
      <c r="E346" s="12">
        <f t="shared" si="2"/>
        <v>1.13811572</v>
      </c>
      <c r="F346" s="8">
        <f t="shared" si="3"/>
        <v>20188545</v>
      </c>
    </row>
    <row r="347">
      <c r="A347" s="1">
        <v>346.0</v>
      </c>
      <c r="B347" s="8">
        <f>Filmes_final!C347</f>
        <v>100119</v>
      </c>
      <c r="C347" s="5">
        <f>Filmes_final!D347</f>
        <v>2010</v>
      </c>
      <c r="D347" s="5">
        <f t="shared" si="1"/>
        <v>2020</v>
      </c>
      <c r="E347" s="12">
        <f t="shared" si="2"/>
        <v>1.19052366</v>
      </c>
      <c r="F347" s="8">
        <f t="shared" si="3"/>
        <v>119194</v>
      </c>
    </row>
    <row r="348">
      <c r="A348" s="1">
        <v>347.0</v>
      </c>
      <c r="B348" s="8">
        <f>Filmes_final!C348</f>
        <v>138797449</v>
      </c>
      <c r="C348" s="5">
        <f>Filmes_final!D348</f>
        <v>2010</v>
      </c>
      <c r="D348" s="5">
        <f t="shared" si="1"/>
        <v>2020</v>
      </c>
      <c r="E348" s="12">
        <f t="shared" si="2"/>
        <v>1.19052366</v>
      </c>
      <c r="F348" s="8">
        <f t="shared" si="3"/>
        <v>165241647</v>
      </c>
    </row>
    <row r="349">
      <c r="A349" s="1">
        <v>348.0</v>
      </c>
      <c r="B349" s="8">
        <f>Filmes_final!C349</f>
        <v>169708112</v>
      </c>
      <c r="C349" s="5">
        <f>Filmes_final!D349</f>
        <v>2011</v>
      </c>
      <c r="D349" s="5">
        <f t="shared" si="1"/>
        <v>2020</v>
      </c>
      <c r="E349" s="12">
        <f t="shared" si="2"/>
        <v>1.17140807</v>
      </c>
      <c r="F349" s="8">
        <f t="shared" si="3"/>
        <v>198797452</v>
      </c>
    </row>
    <row r="350">
      <c r="A350" s="1">
        <v>349.0</v>
      </c>
      <c r="B350" s="8">
        <f>Filmes_final!C350</f>
        <v>363070709</v>
      </c>
      <c r="C350" s="5">
        <f>Filmes_final!D350</f>
        <v>2016</v>
      </c>
      <c r="D350" s="5">
        <f t="shared" si="1"/>
        <v>2020</v>
      </c>
      <c r="E350" s="12">
        <f t="shared" si="2"/>
        <v>1.08887116</v>
      </c>
      <c r="F350" s="8">
        <f t="shared" si="3"/>
        <v>395337224</v>
      </c>
    </row>
    <row r="351">
      <c r="A351" s="1">
        <v>350.0</v>
      </c>
      <c r="B351" s="8">
        <f>Filmes_final!C351</f>
        <v>106662</v>
      </c>
      <c r="C351" s="5">
        <f>Filmes_final!D351</f>
        <v>2009</v>
      </c>
      <c r="D351" s="5">
        <f t="shared" si="1"/>
        <v>2020</v>
      </c>
      <c r="E351" s="12">
        <f t="shared" si="2"/>
        <v>1.22178334</v>
      </c>
      <c r="F351" s="8">
        <f t="shared" si="3"/>
        <v>130318</v>
      </c>
    </row>
    <row r="352">
      <c r="A352" s="1">
        <v>351.0</v>
      </c>
      <c r="B352" s="8">
        <f>Filmes_final!C352</f>
        <v>10950</v>
      </c>
      <c r="C352" s="5">
        <f>Filmes_final!D352</f>
        <v>2009</v>
      </c>
      <c r="D352" s="5">
        <f t="shared" si="1"/>
        <v>2020</v>
      </c>
      <c r="E352" s="12">
        <f t="shared" si="2"/>
        <v>1.22178334</v>
      </c>
      <c r="F352" s="8">
        <f t="shared" si="3"/>
        <v>13379</v>
      </c>
    </row>
    <row r="353">
      <c r="A353" s="1">
        <v>352.0</v>
      </c>
      <c r="B353" s="8">
        <f>Filmes_final!C353</f>
        <v>22108789</v>
      </c>
      <c r="C353" s="5">
        <f>Filmes_final!D353</f>
        <v>2008</v>
      </c>
      <c r="D353" s="5">
        <f t="shared" si="1"/>
        <v>2020</v>
      </c>
      <c r="E353" s="12">
        <f t="shared" si="2"/>
        <v>1.222148</v>
      </c>
      <c r="F353" s="8">
        <f t="shared" si="3"/>
        <v>27020212</v>
      </c>
    </row>
    <row r="354">
      <c r="A354" s="1">
        <v>353.0</v>
      </c>
      <c r="B354" s="8">
        <f>Filmes_final!C354</f>
        <v>4018695</v>
      </c>
      <c r="C354" s="5">
        <f>Filmes_final!D354</f>
        <v>2010</v>
      </c>
      <c r="D354" s="5">
        <f t="shared" si="1"/>
        <v>2020</v>
      </c>
      <c r="E354" s="12">
        <f t="shared" si="2"/>
        <v>1.19052366</v>
      </c>
      <c r="F354" s="8">
        <f t="shared" si="3"/>
        <v>4784351</v>
      </c>
    </row>
    <row r="355">
      <c r="A355" s="1">
        <v>354.0</v>
      </c>
      <c r="B355" s="8">
        <f>Filmes_final!C355</f>
        <v>15291338</v>
      </c>
      <c r="C355" s="5">
        <f>Filmes_final!D355</f>
        <v>2009</v>
      </c>
      <c r="D355" s="5">
        <f t="shared" si="1"/>
        <v>2020</v>
      </c>
      <c r="E355" s="12">
        <f t="shared" si="2"/>
        <v>1.22178334</v>
      </c>
      <c r="F355" s="8">
        <f t="shared" si="3"/>
        <v>18682702</v>
      </c>
    </row>
    <row r="356">
      <c r="A356" s="1">
        <v>355.0</v>
      </c>
      <c r="B356" s="8">
        <f>Filmes_final!C356</f>
        <v>141319928</v>
      </c>
      <c r="C356" s="5">
        <f>Filmes_final!D356</f>
        <v>2008</v>
      </c>
      <c r="D356" s="5">
        <f t="shared" si="1"/>
        <v>2020</v>
      </c>
      <c r="E356" s="12">
        <f t="shared" si="2"/>
        <v>1.222148</v>
      </c>
      <c r="F356" s="8">
        <f t="shared" si="3"/>
        <v>172713867</v>
      </c>
    </row>
    <row r="357">
      <c r="A357" s="1">
        <v>356.0</v>
      </c>
      <c r="B357" s="8">
        <f>Filmes_final!C357</f>
        <v>106954678</v>
      </c>
      <c r="C357" s="5">
        <f>Filmes_final!D357</f>
        <v>2010</v>
      </c>
      <c r="D357" s="5">
        <f t="shared" si="1"/>
        <v>2020</v>
      </c>
      <c r="E357" s="12">
        <f t="shared" si="2"/>
        <v>1.19052366</v>
      </c>
      <c r="F357" s="8">
        <f t="shared" si="3"/>
        <v>127332075</v>
      </c>
    </row>
    <row r="358">
      <c r="A358" s="1">
        <v>357.0</v>
      </c>
      <c r="B358" s="8">
        <f>Filmes_final!C358</f>
        <v>8060</v>
      </c>
      <c r="C358" s="5">
        <f>Filmes_final!D358</f>
        <v>2007</v>
      </c>
      <c r="D358" s="5">
        <f t="shared" si="1"/>
        <v>2020</v>
      </c>
      <c r="E358" s="12">
        <f t="shared" si="2"/>
        <v>1.27445953</v>
      </c>
      <c r="F358" s="8">
        <f t="shared" si="3"/>
        <v>10272</v>
      </c>
    </row>
    <row r="359">
      <c r="A359" s="1">
        <v>358.0</v>
      </c>
      <c r="B359" s="8">
        <f>Filmes_final!C359</f>
        <v>623279547</v>
      </c>
      <c r="C359" s="5">
        <f>Filmes_final!D359</f>
        <v>2012</v>
      </c>
      <c r="D359" s="5">
        <f t="shared" si="1"/>
        <v>2020</v>
      </c>
      <c r="E359" s="12">
        <f t="shared" si="2"/>
        <v>1.13811572</v>
      </c>
      <c r="F359" s="8">
        <f t="shared" si="3"/>
        <v>709364250</v>
      </c>
    </row>
    <row r="360">
      <c r="A360" s="1">
        <v>359.0</v>
      </c>
      <c r="B360" s="8">
        <f>Filmes_final!C360</f>
        <v>4445756</v>
      </c>
      <c r="C360" s="5">
        <f>Filmes_final!D360</f>
        <v>2007</v>
      </c>
      <c r="D360" s="5">
        <f t="shared" si="1"/>
        <v>2020</v>
      </c>
      <c r="E360" s="12">
        <f t="shared" si="2"/>
        <v>1.27445953</v>
      </c>
      <c r="F360" s="8">
        <f t="shared" si="3"/>
        <v>5665936</v>
      </c>
    </row>
    <row r="361">
      <c r="A361" s="1">
        <v>360.0</v>
      </c>
      <c r="B361" s="8">
        <f>Filmes_final!C361</f>
        <v>27298285</v>
      </c>
      <c r="C361" s="5">
        <f>Filmes_final!D361</f>
        <v>2013</v>
      </c>
      <c r="D361" s="5">
        <f t="shared" si="1"/>
        <v>2020</v>
      </c>
      <c r="E361" s="12">
        <f t="shared" si="2"/>
        <v>1.12024926</v>
      </c>
      <c r="F361" s="8">
        <f t="shared" si="3"/>
        <v>30580884</v>
      </c>
    </row>
    <row r="362">
      <c r="A362" s="1">
        <v>361.0</v>
      </c>
      <c r="B362" s="8">
        <f>Filmes_final!C362</f>
        <v>163566459</v>
      </c>
      <c r="C362" s="5">
        <f>Filmes_final!D362</f>
        <v>2006</v>
      </c>
      <c r="D362" s="5">
        <f t="shared" si="1"/>
        <v>2020</v>
      </c>
      <c r="E362" s="12">
        <f t="shared" si="2"/>
        <v>1.30091276</v>
      </c>
      <c r="F362" s="8">
        <f t="shared" si="3"/>
        <v>212785694</v>
      </c>
    </row>
    <row r="363">
      <c r="A363" s="1">
        <v>362.0</v>
      </c>
      <c r="B363" s="8">
        <f>Filmes_final!C363</f>
        <v>57366262</v>
      </c>
      <c r="C363" s="5">
        <f>Filmes_final!D363</f>
        <v>2006</v>
      </c>
      <c r="D363" s="5">
        <f t="shared" si="1"/>
        <v>2020</v>
      </c>
      <c r="E363" s="12">
        <f t="shared" si="2"/>
        <v>1.30091276</v>
      </c>
      <c r="F363" s="8">
        <f t="shared" si="3"/>
        <v>74628502</v>
      </c>
    </row>
    <row r="364">
      <c r="A364" s="1">
        <v>363.0</v>
      </c>
      <c r="B364" s="8">
        <f>Filmes_final!C364</f>
        <v>227471070</v>
      </c>
      <c r="C364" s="5">
        <f>Filmes_final!D364</f>
        <v>2007</v>
      </c>
      <c r="D364" s="5">
        <f t="shared" si="1"/>
        <v>2020</v>
      </c>
      <c r="E364" s="12">
        <f t="shared" si="2"/>
        <v>1.27445953</v>
      </c>
      <c r="F364" s="8">
        <f t="shared" si="3"/>
        <v>289902673</v>
      </c>
    </row>
    <row r="365">
      <c r="A365" s="1">
        <v>364.0</v>
      </c>
      <c r="B365" s="8">
        <f>Filmes_final!C365</f>
        <v>238507</v>
      </c>
      <c r="C365" s="5">
        <f>Filmes_final!D365</f>
        <v>2004</v>
      </c>
      <c r="D365" s="5">
        <f t="shared" si="1"/>
        <v>2020</v>
      </c>
      <c r="E365" s="12">
        <f t="shared" si="2"/>
        <v>1.39293197</v>
      </c>
      <c r="F365" s="8">
        <f t="shared" si="3"/>
        <v>332224</v>
      </c>
    </row>
    <row r="366">
      <c r="A366" s="1">
        <v>365.0</v>
      </c>
      <c r="B366" s="8">
        <f>Filmes_final!C366</f>
        <v>74103820</v>
      </c>
      <c r="C366" s="5">
        <f>Filmes_final!D366</f>
        <v>2005</v>
      </c>
      <c r="D366" s="5">
        <f t="shared" si="1"/>
        <v>2020</v>
      </c>
      <c r="E366" s="12">
        <f t="shared" si="2"/>
        <v>1.35275826</v>
      </c>
      <c r="F366" s="8">
        <f t="shared" si="3"/>
        <v>100244555</v>
      </c>
    </row>
    <row r="367">
      <c r="A367" s="1">
        <v>366.0</v>
      </c>
      <c r="B367" s="8">
        <f>Filmes_final!C367</f>
        <v>5990075</v>
      </c>
      <c r="C367" s="5">
        <f>Filmes_final!D367</f>
        <v>2007</v>
      </c>
      <c r="D367" s="5">
        <f t="shared" si="1"/>
        <v>2020</v>
      </c>
      <c r="E367" s="12">
        <f t="shared" si="2"/>
        <v>1.27445953</v>
      </c>
      <c r="F367" s="8">
        <f t="shared" si="3"/>
        <v>7634108</v>
      </c>
    </row>
    <row r="368">
      <c r="A368" s="1">
        <v>367.0</v>
      </c>
      <c r="B368" s="8">
        <f>Filmes_final!C368</f>
        <v>20839049</v>
      </c>
      <c r="C368" s="5">
        <f>Filmes_final!D368</f>
        <v>2004</v>
      </c>
      <c r="D368" s="5">
        <f t="shared" si="1"/>
        <v>2020</v>
      </c>
      <c r="E368" s="12">
        <f t="shared" si="2"/>
        <v>1.39293197</v>
      </c>
      <c r="F368" s="8">
        <f t="shared" si="3"/>
        <v>29027378</v>
      </c>
    </row>
    <row r="369">
      <c r="A369" s="1">
        <v>368.0</v>
      </c>
      <c r="B369" s="8">
        <f>Filmes_final!C369</f>
        <v>206445654</v>
      </c>
      <c r="C369" s="5">
        <f>Filmes_final!D369</f>
        <v>2007</v>
      </c>
      <c r="D369" s="5">
        <f t="shared" si="1"/>
        <v>2020</v>
      </c>
      <c r="E369" s="12">
        <f t="shared" si="2"/>
        <v>1.27445953</v>
      </c>
      <c r="F369" s="8">
        <f t="shared" si="3"/>
        <v>263106631</v>
      </c>
    </row>
    <row r="370">
      <c r="A370" s="1">
        <v>369.0</v>
      </c>
      <c r="B370" s="8">
        <f>Filmes_final!C370</f>
        <v>167445960</v>
      </c>
      <c r="C370" s="5">
        <f>Filmes_final!D370</f>
        <v>2006</v>
      </c>
      <c r="D370" s="5">
        <f t="shared" si="1"/>
        <v>2020</v>
      </c>
      <c r="E370" s="12">
        <f t="shared" si="2"/>
        <v>1.30091276</v>
      </c>
      <c r="F370" s="8">
        <f t="shared" si="3"/>
        <v>217832586</v>
      </c>
    </row>
    <row r="371">
      <c r="A371" s="1">
        <v>370.0</v>
      </c>
      <c r="B371" s="8">
        <f>Filmes_final!C371</f>
        <v>66208183</v>
      </c>
      <c r="C371" s="5">
        <f>Filmes_final!D371</f>
        <v>2004</v>
      </c>
      <c r="D371" s="5">
        <f t="shared" si="1"/>
        <v>2020</v>
      </c>
      <c r="E371" s="12">
        <f t="shared" si="2"/>
        <v>1.39293197</v>
      </c>
      <c r="F371" s="8">
        <f t="shared" si="3"/>
        <v>92223495</v>
      </c>
    </row>
    <row r="372">
      <c r="A372" s="1">
        <v>371.0</v>
      </c>
      <c r="B372" s="8">
        <f>Filmes_final!C372</f>
        <v>502028</v>
      </c>
      <c r="C372" s="5">
        <f>Filmes_final!D372</f>
        <v>2003</v>
      </c>
      <c r="D372" s="5">
        <f t="shared" si="1"/>
        <v>2020</v>
      </c>
      <c r="E372" s="12">
        <f t="shared" si="2"/>
        <v>1.41976335</v>
      </c>
      <c r="F372" s="8">
        <f t="shared" si="3"/>
        <v>712761</v>
      </c>
    </row>
    <row r="373">
      <c r="A373" s="1">
        <v>372.0</v>
      </c>
      <c r="B373" s="8">
        <f>Filmes_final!C373</f>
        <v>2380788</v>
      </c>
      <c r="C373" s="5">
        <f>Filmes_final!D373</f>
        <v>2003</v>
      </c>
      <c r="D373" s="5">
        <f t="shared" si="1"/>
        <v>2020</v>
      </c>
      <c r="E373" s="12">
        <f t="shared" si="2"/>
        <v>1.41976335</v>
      </c>
      <c r="F373" s="8">
        <f t="shared" si="3"/>
        <v>3380156</v>
      </c>
    </row>
    <row r="374">
      <c r="A374" s="1">
        <v>373.0</v>
      </c>
      <c r="B374" s="8">
        <f>Filmes_final!C374</f>
        <v>2086345</v>
      </c>
      <c r="C374" s="5">
        <f>Filmes_final!D374</f>
        <v>2014</v>
      </c>
      <c r="D374" s="5">
        <f t="shared" si="1"/>
        <v>2020</v>
      </c>
      <c r="E374" s="12">
        <f t="shared" si="2"/>
        <v>1.10283606</v>
      </c>
      <c r="F374" s="8">
        <f t="shared" si="3"/>
        <v>2300896</v>
      </c>
    </row>
    <row r="375">
      <c r="A375" s="1">
        <v>374.0</v>
      </c>
      <c r="B375" s="8">
        <f>Filmes_final!C375</f>
        <v>61649911</v>
      </c>
      <c r="C375" s="5">
        <f>Filmes_final!D375</f>
        <v>2005</v>
      </c>
      <c r="D375" s="5">
        <f t="shared" si="1"/>
        <v>2020</v>
      </c>
      <c r="E375" s="12">
        <f t="shared" si="2"/>
        <v>1.35275826</v>
      </c>
      <c r="F375" s="8">
        <f t="shared" si="3"/>
        <v>83397426</v>
      </c>
    </row>
    <row r="376">
      <c r="A376" s="1">
        <v>375.0</v>
      </c>
      <c r="B376" s="8">
        <f>Filmes_final!C376</f>
        <v>1787378</v>
      </c>
      <c r="C376" s="5">
        <f>Filmes_final!D376</f>
        <v>2003</v>
      </c>
      <c r="D376" s="5">
        <f t="shared" si="1"/>
        <v>2020</v>
      </c>
      <c r="E376" s="12">
        <f t="shared" si="2"/>
        <v>1.41976335</v>
      </c>
      <c r="F376" s="8">
        <f t="shared" si="3"/>
        <v>2537654</v>
      </c>
    </row>
    <row r="377">
      <c r="A377" s="1">
        <v>376.0</v>
      </c>
      <c r="B377" s="8">
        <f>Filmes_final!C377</f>
        <v>169659</v>
      </c>
      <c r="C377" s="5">
        <f>Filmes_final!D377</f>
        <v>2002</v>
      </c>
      <c r="D377" s="5">
        <f t="shared" si="1"/>
        <v>2020</v>
      </c>
      <c r="E377" s="12">
        <f t="shared" si="2"/>
        <v>1.45664032</v>
      </c>
      <c r="F377" s="8">
        <f t="shared" si="3"/>
        <v>247132</v>
      </c>
    </row>
    <row r="378">
      <c r="A378" s="1">
        <v>377.0</v>
      </c>
      <c r="B378" s="8">
        <f>Filmes_final!C378</f>
        <v>305413918</v>
      </c>
      <c r="C378" s="5">
        <f>Filmes_final!D378</f>
        <v>2003</v>
      </c>
      <c r="D378" s="5">
        <f t="shared" si="1"/>
        <v>2020</v>
      </c>
      <c r="E378" s="12">
        <f t="shared" si="2"/>
        <v>1.41976335</v>
      </c>
      <c r="F378" s="8">
        <f t="shared" si="3"/>
        <v>433615487</v>
      </c>
    </row>
    <row r="379">
      <c r="A379" s="1">
        <v>378.0</v>
      </c>
      <c r="B379" s="8">
        <f>Filmes_final!C379</f>
        <v>66257002</v>
      </c>
      <c r="C379" s="5">
        <f>Filmes_final!D379</f>
        <v>2003</v>
      </c>
      <c r="D379" s="5">
        <f t="shared" si="1"/>
        <v>2020</v>
      </c>
      <c r="E379" s="12">
        <f t="shared" si="2"/>
        <v>1.41976335</v>
      </c>
      <c r="F379" s="8">
        <f t="shared" si="3"/>
        <v>94069263</v>
      </c>
    </row>
    <row r="380">
      <c r="A380" s="1">
        <v>379.0</v>
      </c>
      <c r="B380" s="8">
        <f>Filmes_final!C380</f>
        <v>261441092</v>
      </c>
      <c r="C380" s="5">
        <f>Filmes_final!D380</f>
        <v>2004</v>
      </c>
      <c r="D380" s="5">
        <f t="shared" si="1"/>
        <v>2020</v>
      </c>
      <c r="E380" s="12">
        <f t="shared" si="2"/>
        <v>1.39293197</v>
      </c>
      <c r="F380" s="8">
        <f t="shared" si="3"/>
        <v>364169655</v>
      </c>
    </row>
    <row r="381">
      <c r="A381" s="1">
        <v>380.0</v>
      </c>
      <c r="B381" s="8">
        <f>Filmes_final!C381</f>
        <v>365429</v>
      </c>
      <c r="C381" s="5">
        <f>Filmes_final!D381</f>
        <v>2001</v>
      </c>
      <c r="D381" s="5">
        <f t="shared" si="1"/>
        <v>2020</v>
      </c>
      <c r="E381" s="12">
        <f t="shared" si="2"/>
        <v>1.47327813</v>
      </c>
      <c r="F381" s="8">
        <f t="shared" si="3"/>
        <v>538379</v>
      </c>
    </row>
    <row r="382">
      <c r="A382" s="1">
        <v>381.0</v>
      </c>
      <c r="B382" s="8">
        <f>Filmes_final!C382</f>
        <v>1530386</v>
      </c>
      <c r="C382" s="5">
        <f>Filmes_final!D382</f>
        <v>2003</v>
      </c>
      <c r="D382" s="5">
        <f t="shared" si="1"/>
        <v>2020</v>
      </c>
      <c r="E382" s="12">
        <f t="shared" si="2"/>
        <v>1.41976335</v>
      </c>
      <c r="F382" s="8">
        <f t="shared" si="3"/>
        <v>2172786</v>
      </c>
    </row>
    <row r="383">
      <c r="A383" s="1">
        <v>382.0</v>
      </c>
      <c r="B383" s="8">
        <f>Filmes_final!C383</f>
        <v>968318</v>
      </c>
      <c r="C383" s="5">
        <f>Filmes_final!D383</f>
        <v>2001</v>
      </c>
      <c r="D383" s="5">
        <f t="shared" si="1"/>
        <v>2020</v>
      </c>
      <c r="E383" s="12">
        <f t="shared" si="2"/>
        <v>1.47327813</v>
      </c>
      <c r="F383" s="8">
        <f t="shared" si="3"/>
        <v>1426602</v>
      </c>
    </row>
    <row r="384">
      <c r="A384" s="1">
        <v>383.0</v>
      </c>
      <c r="B384" s="8">
        <f>Filmes_final!C384</f>
        <v>1480006</v>
      </c>
      <c r="C384" s="5">
        <f>Filmes_final!D384</f>
        <v>2001</v>
      </c>
      <c r="D384" s="5">
        <f t="shared" si="1"/>
        <v>2020</v>
      </c>
      <c r="E384" s="12">
        <f t="shared" si="2"/>
        <v>1.47327813</v>
      </c>
      <c r="F384" s="8">
        <f t="shared" si="3"/>
        <v>2180460</v>
      </c>
    </row>
    <row r="385">
      <c r="A385" s="1">
        <v>384.0</v>
      </c>
      <c r="B385" s="8">
        <f>Filmes_final!C385</f>
        <v>22455976</v>
      </c>
      <c r="C385" s="5">
        <f>Filmes_final!D385</f>
        <v>1999</v>
      </c>
      <c r="D385" s="5">
        <f t="shared" si="1"/>
        <v>2020</v>
      </c>
      <c r="E385" s="12">
        <f t="shared" si="2"/>
        <v>1.57012173</v>
      </c>
      <c r="F385" s="8">
        <f t="shared" si="3"/>
        <v>35258616</v>
      </c>
    </row>
    <row r="386">
      <c r="A386" s="1">
        <v>385.0</v>
      </c>
      <c r="B386" s="8">
        <f>Filmes_final!C386</f>
        <v>4184036</v>
      </c>
      <c r="C386" s="5">
        <f>Filmes_final!D386</f>
        <v>2000</v>
      </c>
      <c r="D386" s="5">
        <f t="shared" si="1"/>
        <v>2020</v>
      </c>
      <c r="E386" s="12">
        <f t="shared" si="2"/>
        <v>1.52826422</v>
      </c>
      <c r="F386" s="8">
        <f t="shared" si="3"/>
        <v>6394313</v>
      </c>
    </row>
    <row r="387">
      <c r="A387" s="1">
        <v>386.0</v>
      </c>
      <c r="B387" s="8">
        <f>Filmes_final!C387</f>
        <v>6203044</v>
      </c>
      <c r="C387" s="5">
        <f>Filmes_final!D387</f>
        <v>1999</v>
      </c>
      <c r="D387" s="5">
        <f t="shared" si="1"/>
        <v>2020</v>
      </c>
      <c r="E387" s="12">
        <f t="shared" si="2"/>
        <v>1.57012173</v>
      </c>
      <c r="F387" s="8">
        <f t="shared" si="3"/>
        <v>9739534</v>
      </c>
    </row>
    <row r="388">
      <c r="A388" s="1">
        <v>387.0</v>
      </c>
      <c r="B388" s="8">
        <f>Filmes_final!C388</f>
        <v>776665</v>
      </c>
      <c r="C388" s="5">
        <f>Filmes_final!D388</f>
        <v>1997</v>
      </c>
      <c r="D388" s="5">
        <f t="shared" si="1"/>
        <v>2020</v>
      </c>
      <c r="E388" s="12">
        <f t="shared" si="2"/>
        <v>1.62143935</v>
      </c>
      <c r="F388" s="8">
        <f t="shared" si="3"/>
        <v>1259315</v>
      </c>
    </row>
    <row r="389">
      <c r="A389" s="1">
        <v>388.0</v>
      </c>
      <c r="B389" s="8">
        <f>Filmes_final!C389</f>
        <v>1647780</v>
      </c>
      <c r="C389" s="5">
        <f>Filmes_final!D389</f>
        <v>1998</v>
      </c>
      <c r="D389" s="5">
        <f t="shared" si="1"/>
        <v>2020</v>
      </c>
      <c r="E389" s="12">
        <f t="shared" si="2"/>
        <v>1.5963552</v>
      </c>
      <c r="F389" s="8">
        <f t="shared" si="3"/>
        <v>2630442</v>
      </c>
    </row>
    <row r="390">
      <c r="A390" s="1">
        <v>389.0</v>
      </c>
      <c r="B390" s="8">
        <f>Filmes_final!C390</f>
        <v>5595428</v>
      </c>
      <c r="C390" s="5">
        <f>Filmes_final!D390</f>
        <v>1998</v>
      </c>
      <c r="D390" s="5">
        <f t="shared" si="1"/>
        <v>2020</v>
      </c>
      <c r="E390" s="12">
        <f t="shared" si="2"/>
        <v>1.5963552</v>
      </c>
      <c r="F390" s="8">
        <f t="shared" si="3"/>
        <v>8932291</v>
      </c>
    </row>
    <row r="391">
      <c r="A391" s="1">
        <v>390.0</v>
      </c>
      <c r="B391" s="8">
        <f>Filmes_final!C391</f>
        <v>23159305</v>
      </c>
      <c r="C391" s="5">
        <f>Filmes_final!D391</f>
        <v>1999</v>
      </c>
      <c r="D391" s="5">
        <f t="shared" si="1"/>
        <v>2020</v>
      </c>
      <c r="E391" s="12">
        <f t="shared" si="2"/>
        <v>1.57012173</v>
      </c>
      <c r="F391" s="8">
        <f t="shared" si="3"/>
        <v>36362928</v>
      </c>
    </row>
    <row r="392">
      <c r="A392" s="1">
        <v>391.0</v>
      </c>
      <c r="B392" s="8">
        <f>Filmes_final!C392</f>
        <v>3296</v>
      </c>
      <c r="C392" s="5">
        <f>Filmes_final!D392</f>
        <v>1997</v>
      </c>
      <c r="D392" s="5">
        <f t="shared" si="1"/>
        <v>2020</v>
      </c>
      <c r="E392" s="12">
        <f t="shared" si="2"/>
        <v>1.62143935</v>
      </c>
      <c r="F392" s="8">
        <f t="shared" si="3"/>
        <v>5344</v>
      </c>
    </row>
    <row r="393">
      <c r="A393" s="1">
        <v>392.0</v>
      </c>
      <c r="B393" s="8">
        <f>Filmes_final!C393</f>
        <v>24475416</v>
      </c>
      <c r="C393" s="5">
        <f>Filmes_final!D393</f>
        <v>1996</v>
      </c>
      <c r="D393" s="5">
        <f t="shared" si="1"/>
        <v>2020</v>
      </c>
      <c r="E393" s="12">
        <f t="shared" si="2"/>
        <v>1.67079663</v>
      </c>
      <c r="F393" s="8">
        <f t="shared" si="3"/>
        <v>40893443</v>
      </c>
    </row>
    <row r="394">
      <c r="A394" s="1">
        <v>393.0</v>
      </c>
      <c r="B394" s="8">
        <f>Filmes_final!C394</f>
        <v>13417292</v>
      </c>
      <c r="C394" s="5">
        <f>Filmes_final!D394</f>
        <v>1996</v>
      </c>
      <c r="D394" s="5">
        <f t="shared" si="1"/>
        <v>2020</v>
      </c>
      <c r="E394" s="12">
        <f t="shared" si="2"/>
        <v>1.67079663</v>
      </c>
      <c r="F394" s="8">
        <f t="shared" si="3"/>
        <v>22417566</v>
      </c>
    </row>
    <row r="395">
      <c r="A395" s="1">
        <v>394.0</v>
      </c>
      <c r="B395" s="8">
        <f>Filmes_final!C395</f>
        <v>57141459</v>
      </c>
      <c r="C395" s="5">
        <f>Filmes_final!D395</f>
        <v>1995</v>
      </c>
      <c r="D395" s="5">
        <f t="shared" si="1"/>
        <v>2020</v>
      </c>
      <c r="E395" s="12">
        <f t="shared" si="2"/>
        <v>1.71637392</v>
      </c>
      <c r="F395" s="8">
        <f t="shared" si="3"/>
        <v>98076110</v>
      </c>
    </row>
    <row r="396">
      <c r="A396" s="1">
        <v>395.0</v>
      </c>
      <c r="B396" s="8">
        <f>Filmes_final!C396</f>
        <v>515905</v>
      </c>
      <c r="C396" s="5">
        <f>Filmes_final!D396</f>
        <v>1995</v>
      </c>
      <c r="D396" s="5">
        <f t="shared" si="1"/>
        <v>2020</v>
      </c>
      <c r="E396" s="12">
        <f t="shared" si="2"/>
        <v>1.71637392</v>
      </c>
      <c r="F396" s="8">
        <f t="shared" si="3"/>
        <v>885486</v>
      </c>
    </row>
    <row r="397">
      <c r="A397" s="1">
        <v>396.0</v>
      </c>
      <c r="B397" s="8">
        <f>Filmes_final!C397</f>
        <v>75082668</v>
      </c>
      <c r="C397" s="5">
        <f>Filmes_final!D397</f>
        <v>1993</v>
      </c>
      <c r="D397" s="5">
        <f t="shared" si="1"/>
        <v>2020</v>
      </c>
      <c r="E397" s="12">
        <f t="shared" si="2"/>
        <v>1.8090533</v>
      </c>
      <c r="F397" s="8">
        <f t="shared" si="3"/>
        <v>135828548</v>
      </c>
    </row>
    <row r="398">
      <c r="A398" s="1">
        <v>397.0</v>
      </c>
      <c r="B398" s="8">
        <f>Filmes_final!C398</f>
        <v>70906973</v>
      </c>
      <c r="C398" s="5">
        <f>Filmes_final!D398</f>
        <v>1993</v>
      </c>
      <c r="D398" s="5">
        <f t="shared" si="1"/>
        <v>2020</v>
      </c>
      <c r="E398" s="12">
        <f t="shared" si="2"/>
        <v>1.8090533</v>
      </c>
      <c r="F398" s="8">
        <f t="shared" si="3"/>
        <v>128274493</v>
      </c>
    </row>
    <row r="399">
      <c r="A399" s="1">
        <v>398.0</v>
      </c>
      <c r="B399" s="8">
        <f>Filmes_final!C399</f>
        <v>4496583</v>
      </c>
      <c r="C399" s="5">
        <f>Filmes_final!D399</f>
        <v>1993</v>
      </c>
      <c r="D399" s="5">
        <f t="shared" si="1"/>
        <v>2020</v>
      </c>
      <c r="E399" s="12">
        <f t="shared" si="2"/>
        <v>1.8090533</v>
      </c>
      <c r="F399" s="8">
        <f t="shared" si="3"/>
        <v>8134558</v>
      </c>
    </row>
    <row r="400">
      <c r="A400" s="1">
        <v>399.0</v>
      </c>
      <c r="B400" s="8">
        <f>Filmes_final!C400</f>
        <v>63895607</v>
      </c>
      <c r="C400" s="5">
        <f>Filmes_final!D400</f>
        <v>1992</v>
      </c>
      <c r="D400" s="5">
        <f t="shared" si="1"/>
        <v>2020</v>
      </c>
      <c r="E400" s="12">
        <f t="shared" si="2"/>
        <v>1.86800145</v>
      </c>
      <c r="F400" s="8">
        <f t="shared" si="3"/>
        <v>119357087</v>
      </c>
    </row>
    <row r="401">
      <c r="A401" s="1">
        <v>400.0</v>
      </c>
      <c r="B401" s="8">
        <f>Filmes_final!C401</f>
        <v>217350219</v>
      </c>
      <c r="C401" s="5">
        <f>Filmes_final!D401</f>
        <v>1992</v>
      </c>
      <c r="D401" s="5">
        <f t="shared" si="1"/>
        <v>2020</v>
      </c>
      <c r="E401" s="12">
        <f t="shared" si="2"/>
        <v>1.86800145</v>
      </c>
      <c r="F401" s="8">
        <f t="shared" si="3"/>
        <v>406010524</v>
      </c>
    </row>
    <row r="402">
      <c r="A402" s="1">
        <v>401.0</v>
      </c>
      <c r="B402" s="8">
        <f>Filmes_final!C402</f>
        <v>70405498</v>
      </c>
      <c r="C402" s="5">
        <f>Filmes_final!D402</f>
        <v>1991</v>
      </c>
      <c r="D402" s="5">
        <f t="shared" si="1"/>
        <v>2020</v>
      </c>
      <c r="E402" s="12">
        <f t="shared" si="2"/>
        <v>1.91657504</v>
      </c>
      <c r="F402" s="8">
        <f t="shared" si="3"/>
        <v>134937420</v>
      </c>
    </row>
    <row r="403">
      <c r="A403" s="1">
        <v>402.0</v>
      </c>
      <c r="B403" s="8">
        <f>Filmes_final!C403</f>
        <v>218967620</v>
      </c>
      <c r="C403" s="5">
        <f>Filmes_final!D403</f>
        <v>1991</v>
      </c>
      <c r="D403" s="5">
        <f t="shared" si="1"/>
        <v>2020</v>
      </c>
      <c r="E403" s="12">
        <f t="shared" si="2"/>
        <v>1.91657504</v>
      </c>
      <c r="F403" s="8">
        <f t="shared" si="3"/>
        <v>419667875</v>
      </c>
    </row>
    <row r="404">
      <c r="A404" s="1">
        <v>403.0</v>
      </c>
      <c r="B404" s="8">
        <f>Filmes_final!C404</f>
        <v>184208848</v>
      </c>
      <c r="C404" s="5">
        <f>Filmes_final!D404</f>
        <v>1990</v>
      </c>
      <c r="D404" s="5">
        <f t="shared" si="1"/>
        <v>2020</v>
      </c>
      <c r="E404" s="12">
        <f t="shared" si="2"/>
        <v>2.02489011</v>
      </c>
      <c r="F404" s="8">
        <f t="shared" si="3"/>
        <v>373002674</v>
      </c>
    </row>
    <row r="405">
      <c r="A405" s="1">
        <v>404.0</v>
      </c>
      <c r="B405" s="8">
        <f>Filmes_final!C405</f>
        <v>27545445</v>
      </c>
      <c r="C405" s="5">
        <f>Filmes_final!D405</f>
        <v>1989</v>
      </c>
      <c r="D405" s="5">
        <f t="shared" si="1"/>
        <v>2020</v>
      </c>
      <c r="E405" s="12">
        <f t="shared" si="2"/>
        <v>2.13023121</v>
      </c>
      <c r="F405" s="8">
        <f t="shared" si="3"/>
        <v>58678167</v>
      </c>
    </row>
    <row r="406">
      <c r="A406" s="1">
        <v>405.0</v>
      </c>
      <c r="B406" s="8">
        <f>Filmes_final!C406</f>
        <v>178800000</v>
      </c>
      <c r="C406" s="5">
        <f>Filmes_final!D406</f>
        <v>1988</v>
      </c>
      <c r="D406" s="5">
        <f t="shared" si="1"/>
        <v>2020</v>
      </c>
      <c r="E406" s="12">
        <f t="shared" si="2"/>
        <v>2.22965428</v>
      </c>
      <c r="F406" s="8">
        <f t="shared" si="3"/>
        <v>398662185</v>
      </c>
    </row>
    <row r="407">
      <c r="A407" s="1">
        <v>406.0</v>
      </c>
      <c r="B407" s="8">
        <f>Filmes_final!C407</f>
        <v>553171</v>
      </c>
      <c r="C407" s="5">
        <f>Filmes_final!D407</f>
        <v>1988</v>
      </c>
      <c r="D407" s="5">
        <f t="shared" si="1"/>
        <v>2020</v>
      </c>
      <c r="E407" s="12">
        <f t="shared" si="2"/>
        <v>2.22965428</v>
      </c>
      <c r="F407" s="8">
        <f t="shared" si="3"/>
        <v>1233380</v>
      </c>
    </row>
    <row r="408">
      <c r="A408" s="1">
        <v>407.0</v>
      </c>
      <c r="B408" s="8">
        <f>Filmes_final!C408</f>
        <v>30857814</v>
      </c>
      <c r="C408" s="5">
        <f>Filmes_final!D408</f>
        <v>1987</v>
      </c>
      <c r="D408" s="5">
        <f t="shared" si="1"/>
        <v>2020</v>
      </c>
      <c r="E408" s="12">
        <f t="shared" si="2"/>
        <v>2.31988309</v>
      </c>
      <c r="F408" s="8">
        <f t="shared" si="3"/>
        <v>71586521</v>
      </c>
    </row>
    <row r="409">
      <c r="A409" s="1">
        <v>408.0</v>
      </c>
      <c r="B409" s="8">
        <f>Filmes_final!C409</f>
        <v>3333969</v>
      </c>
      <c r="C409" s="5">
        <f>Filmes_final!D409</f>
        <v>1987</v>
      </c>
      <c r="D409" s="5">
        <f t="shared" si="1"/>
        <v>2020</v>
      </c>
      <c r="E409" s="12">
        <f t="shared" si="2"/>
        <v>2.31988309</v>
      </c>
      <c r="F409" s="8">
        <f t="shared" si="3"/>
        <v>7734418</v>
      </c>
    </row>
    <row r="410">
      <c r="A410" s="1">
        <v>409.0</v>
      </c>
      <c r="B410" s="8">
        <f>Filmes_final!C410</f>
        <v>4542825</v>
      </c>
      <c r="C410" s="5">
        <f>Filmes_final!D410</f>
        <v>1987</v>
      </c>
      <c r="D410" s="5">
        <f t="shared" si="1"/>
        <v>2020</v>
      </c>
      <c r="E410" s="12">
        <f t="shared" si="2"/>
        <v>2.31988309</v>
      </c>
      <c r="F410" s="8">
        <f t="shared" si="3"/>
        <v>10538823</v>
      </c>
    </row>
    <row r="411">
      <c r="A411" s="1">
        <v>410.0</v>
      </c>
      <c r="B411" s="8">
        <f>Filmes_final!C411</f>
        <v>523664</v>
      </c>
      <c r="C411" s="5">
        <f>Filmes_final!D411</f>
        <v>1986</v>
      </c>
      <c r="D411" s="5">
        <f t="shared" si="1"/>
        <v>2020</v>
      </c>
      <c r="E411" s="12">
        <f t="shared" si="2"/>
        <v>2.35375</v>
      </c>
      <c r="F411" s="8">
        <f t="shared" si="3"/>
        <v>1232574</v>
      </c>
    </row>
    <row r="412">
      <c r="A412" s="1">
        <v>411.0</v>
      </c>
      <c r="B412" s="8">
        <f>Filmes_final!C412</f>
        <v>38400000</v>
      </c>
      <c r="C412" s="5">
        <f>Filmes_final!D412</f>
        <v>1984</v>
      </c>
      <c r="D412" s="5">
        <f t="shared" si="1"/>
        <v>2020</v>
      </c>
      <c r="E412" s="12">
        <f t="shared" si="2"/>
        <v>2.53160942</v>
      </c>
      <c r="F412" s="8">
        <f t="shared" si="3"/>
        <v>97213802</v>
      </c>
    </row>
    <row r="413">
      <c r="A413" s="1">
        <v>412.0</v>
      </c>
      <c r="B413" s="8">
        <f>Filmes_final!C413</f>
        <v>52767889</v>
      </c>
      <c r="C413" s="5">
        <f>Filmes_final!D413</f>
        <v>1982</v>
      </c>
      <c r="D413" s="5">
        <f t="shared" si="1"/>
        <v>2020</v>
      </c>
      <c r="E413" s="12">
        <f t="shared" si="2"/>
        <v>2.73564157</v>
      </c>
      <c r="F413" s="8">
        <f t="shared" si="3"/>
        <v>144354031</v>
      </c>
    </row>
    <row r="414">
      <c r="A414" s="1">
        <v>413.0</v>
      </c>
      <c r="B414" s="8">
        <f>Filmes_final!C414</f>
        <v>4000000</v>
      </c>
      <c r="C414" s="5">
        <f>Filmes_final!D414</f>
        <v>1980</v>
      </c>
      <c r="D414" s="5">
        <f t="shared" si="1"/>
        <v>2020</v>
      </c>
      <c r="E414" s="12">
        <f t="shared" si="2"/>
        <v>3.31582262</v>
      </c>
      <c r="F414" s="8">
        <f t="shared" si="3"/>
        <v>13263290</v>
      </c>
    </row>
    <row r="415">
      <c r="A415" s="1">
        <v>414.0</v>
      </c>
      <c r="B415" s="8">
        <f>Filmes_final!C415</f>
        <v>30177511</v>
      </c>
      <c r="C415" s="5">
        <f>Filmes_final!D415</f>
        <v>1979</v>
      </c>
      <c r="D415" s="5">
        <f t="shared" si="1"/>
        <v>2020</v>
      </c>
      <c r="E415" s="12">
        <f t="shared" si="2"/>
        <v>3.77702782</v>
      </c>
      <c r="F415" s="8">
        <f t="shared" si="3"/>
        <v>113981299</v>
      </c>
    </row>
    <row r="416">
      <c r="A416" s="1">
        <v>415.0</v>
      </c>
      <c r="B416" s="8">
        <f>Filmes_final!C416</f>
        <v>39200000</v>
      </c>
      <c r="C416" s="5">
        <f>Filmes_final!D416</f>
        <v>1977</v>
      </c>
      <c r="D416" s="5">
        <f t="shared" si="1"/>
        <v>2020</v>
      </c>
      <c r="E416" s="12">
        <f t="shared" si="2"/>
        <v>4.40976068</v>
      </c>
      <c r="F416" s="8">
        <f t="shared" si="3"/>
        <v>172862619</v>
      </c>
    </row>
    <row r="417">
      <c r="A417" s="1">
        <v>416.0</v>
      </c>
      <c r="B417" s="8">
        <f>Filmes_final!C417</f>
        <v>260000000</v>
      </c>
      <c r="C417" s="5">
        <f>Filmes_final!D417</f>
        <v>1975</v>
      </c>
      <c r="D417" s="5">
        <f t="shared" si="1"/>
        <v>2020</v>
      </c>
      <c r="E417" s="12">
        <f t="shared" si="2"/>
        <v>4.95145873</v>
      </c>
      <c r="F417" s="8">
        <f t="shared" si="3"/>
        <v>1287379270</v>
      </c>
    </row>
    <row r="418">
      <c r="A418" s="1">
        <v>417.0</v>
      </c>
      <c r="B418" s="8">
        <f>Filmes_final!C418</f>
        <v>50000000</v>
      </c>
      <c r="C418" s="5">
        <f>Filmes_final!D418</f>
        <v>1975</v>
      </c>
      <c r="D418" s="5">
        <f t="shared" si="1"/>
        <v>2020</v>
      </c>
      <c r="E418" s="12">
        <f t="shared" si="2"/>
        <v>4.95145873</v>
      </c>
      <c r="F418" s="8">
        <f t="shared" si="3"/>
        <v>247572937</v>
      </c>
    </row>
    <row r="419">
      <c r="A419" s="1">
        <v>418.0</v>
      </c>
      <c r="B419" s="8">
        <f>Filmes_final!C419</f>
        <v>86300000</v>
      </c>
      <c r="C419" s="5">
        <f>Filmes_final!D419</f>
        <v>1974</v>
      </c>
      <c r="D419" s="5">
        <f t="shared" si="1"/>
        <v>2020</v>
      </c>
      <c r="E419" s="12">
        <f t="shared" si="2"/>
        <v>5.53585837</v>
      </c>
      <c r="F419" s="8">
        <f t="shared" si="3"/>
        <v>477744577</v>
      </c>
    </row>
    <row r="420">
      <c r="A420" s="1">
        <v>419.0</v>
      </c>
      <c r="B420" s="8">
        <f>Filmes_final!C420</f>
        <v>53267000</v>
      </c>
      <c r="C420" s="5">
        <f>Filmes_final!D420</f>
        <v>1973</v>
      </c>
      <c r="D420" s="5">
        <f t="shared" si="1"/>
        <v>2020</v>
      </c>
      <c r="E420" s="12">
        <f t="shared" si="2"/>
        <v>6.05565728</v>
      </c>
      <c r="F420" s="8">
        <f t="shared" si="3"/>
        <v>322566696</v>
      </c>
    </row>
    <row r="421">
      <c r="A421" s="1">
        <v>420.0</v>
      </c>
      <c r="B421" s="8">
        <f>Filmes_final!C421</f>
        <v>232906145</v>
      </c>
      <c r="C421" s="5">
        <f>Filmes_final!D421</f>
        <v>1973</v>
      </c>
      <c r="D421" s="5">
        <f t="shared" si="1"/>
        <v>2020</v>
      </c>
      <c r="E421" s="12">
        <f t="shared" si="2"/>
        <v>6.05565728</v>
      </c>
      <c r="F421" s="8">
        <f t="shared" si="3"/>
        <v>1410399793</v>
      </c>
    </row>
    <row r="422">
      <c r="A422" s="1">
        <v>421.0</v>
      </c>
      <c r="B422" s="8">
        <f>Filmes_final!C422</f>
        <v>4081254</v>
      </c>
      <c r="C422" s="5">
        <f>Filmes_final!D422</f>
        <v>1972</v>
      </c>
      <c r="D422" s="5">
        <f t="shared" si="1"/>
        <v>2020</v>
      </c>
      <c r="E422" s="12">
        <f t="shared" si="2"/>
        <v>6.27666667</v>
      </c>
      <c r="F422" s="8">
        <f t="shared" si="3"/>
        <v>25616671</v>
      </c>
    </row>
    <row r="423">
      <c r="A423" s="1">
        <v>422.0</v>
      </c>
      <c r="B423" s="8">
        <f>Filmes_final!C423</f>
        <v>29133000</v>
      </c>
      <c r="C423" s="5">
        <f>Filmes_final!D423</f>
        <v>1971</v>
      </c>
      <c r="D423" s="5">
        <f t="shared" si="1"/>
        <v>2020</v>
      </c>
      <c r="E423" s="12">
        <f t="shared" si="2"/>
        <v>6.48168342</v>
      </c>
      <c r="F423" s="8">
        <f t="shared" si="3"/>
        <v>188830883</v>
      </c>
    </row>
    <row r="424">
      <c r="A424" s="1">
        <v>423.0</v>
      </c>
      <c r="B424" s="8">
        <f>Filmes_final!C424</f>
        <v>80500000</v>
      </c>
      <c r="C424" s="5">
        <f>Filmes_final!D424</f>
        <v>1971</v>
      </c>
      <c r="D424" s="5">
        <f t="shared" si="1"/>
        <v>2020</v>
      </c>
      <c r="E424" s="12">
        <f t="shared" si="2"/>
        <v>6.48168342</v>
      </c>
      <c r="F424" s="8">
        <f t="shared" si="3"/>
        <v>521775515</v>
      </c>
    </row>
    <row r="425">
      <c r="A425" s="1">
        <v>424.0</v>
      </c>
      <c r="B425" s="8">
        <f>Filmes_final!C425</f>
        <v>541940</v>
      </c>
      <c r="C425" s="5">
        <f>Filmes_final!D425</f>
        <v>1970</v>
      </c>
      <c r="D425" s="5">
        <f t="shared" si="1"/>
        <v>2020</v>
      </c>
      <c r="E425" s="12">
        <f t="shared" si="2"/>
        <v>6.82462963</v>
      </c>
      <c r="F425" s="8">
        <f t="shared" si="3"/>
        <v>3698540</v>
      </c>
    </row>
    <row r="426">
      <c r="A426" s="1">
        <v>425.0</v>
      </c>
      <c r="B426" s="8">
        <f>Filmes_final!C426</f>
        <v>102308889</v>
      </c>
      <c r="C426" s="5">
        <f>Filmes_final!D426</f>
        <v>1969</v>
      </c>
      <c r="D426" s="5">
        <f t="shared" si="1"/>
        <v>2020</v>
      </c>
      <c r="E426" s="12">
        <f t="shared" si="2"/>
        <v>7.2463764</v>
      </c>
      <c r="F426" s="8">
        <f t="shared" si="3"/>
        <v>741368719</v>
      </c>
    </row>
    <row r="427">
      <c r="A427" s="1">
        <v>426.0</v>
      </c>
      <c r="B427" s="8">
        <f>Filmes_final!C427</f>
        <v>2300000</v>
      </c>
      <c r="C427" s="5">
        <f>Filmes_final!D427</f>
        <v>1968</v>
      </c>
      <c r="D427" s="5">
        <f t="shared" si="1"/>
        <v>2020</v>
      </c>
      <c r="E427" s="12">
        <f t="shared" si="2"/>
        <v>7.56513196</v>
      </c>
      <c r="F427" s="8">
        <f t="shared" si="3"/>
        <v>17399804</v>
      </c>
    </row>
    <row r="428">
      <c r="A428" s="1">
        <v>427.0</v>
      </c>
      <c r="B428" s="8">
        <f>Filmes_final!C428</f>
        <v>33395426</v>
      </c>
      <c r="C428" s="5">
        <f>Filmes_final!D428</f>
        <v>1968</v>
      </c>
      <c r="D428" s="5">
        <f t="shared" si="1"/>
        <v>2020</v>
      </c>
      <c r="E428" s="12">
        <f t="shared" si="2"/>
        <v>7.56513196</v>
      </c>
      <c r="F428" s="8">
        <f t="shared" si="3"/>
        <v>252640805</v>
      </c>
    </row>
    <row r="429">
      <c r="A429" s="1">
        <v>428.0</v>
      </c>
      <c r="B429" s="8">
        <f>Filmes_final!C429</f>
        <v>104945305</v>
      </c>
      <c r="C429" s="5">
        <f>Filmes_final!D429</f>
        <v>1967</v>
      </c>
      <c r="D429" s="5">
        <f t="shared" si="1"/>
        <v>2020</v>
      </c>
      <c r="E429" s="12">
        <f t="shared" si="2"/>
        <v>7.84106383</v>
      </c>
      <c r="F429" s="8">
        <f t="shared" si="3"/>
        <v>822882835</v>
      </c>
    </row>
    <row r="430">
      <c r="A430" s="1">
        <v>429.0</v>
      </c>
      <c r="B430" s="8">
        <f>Filmes_final!C430</f>
        <v>28000000</v>
      </c>
      <c r="C430" s="5">
        <f>Filmes_final!D430</f>
        <v>1966</v>
      </c>
      <c r="D430" s="5">
        <f t="shared" si="1"/>
        <v>2020</v>
      </c>
      <c r="E430" s="12">
        <f t="shared" si="2"/>
        <v>8.1122956</v>
      </c>
      <c r="F430" s="8">
        <f t="shared" si="3"/>
        <v>227144277</v>
      </c>
    </row>
    <row r="431">
      <c r="A431" s="1">
        <v>430.0</v>
      </c>
      <c r="B431" s="8">
        <f>Filmes_final!C431</f>
        <v>163214286</v>
      </c>
      <c r="C431" s="5">
        <f>Filmes_final!D431</f>
        <v>1965</v>
      </c>
      <c r="D431" s="5">
        <f t="shared" si="1"/>
        <v>2020</v>
      </c>
      <c r="E431" s="12">
        <f t="shared" si="2"/>
        <v>8.26830128</v>
      </c>
      <c r="F431" s="8">
        <f t="shared" si="3"/>
        <v>1349504890</v>
      </c>
    </row>
    <row r="432">
      <c r="A432" s="1">
        <v>431.0</v>
      </c>
      <c r="B432" s="8">
        <f>Filmes_final!C432</f>
        <v>111722000</v>
      </c>
      <c r="C432" s="5">
        <f>Filmes_final!D432</f>
        <v>1965</v>
      </c>
      <c r="D432" s="5">
        <f t="shared" si="1"/>
        <v>2020</v>
      </c>
      <c r="E432" s="12">
        <f t="shared" si="2"/>
        <v>8.26830128</v>
      </c>
      <c r="F432" s="8">
        <f t="shared" si="3"/>
        <v>923751156</v>
      </c>
    </row>
    <row r="433">
      <c r="A433" s="1">
        <v>432.0</v>
      </c>
      <c r="B433" s="8">
        <f>Filmes_final!C433</f>
        <v>14500000</v>
      </c>
      <c r="C433" s="5">
        <f>Filmes_final!D433</f>
        <v>1964</v>
      </c>
      <c r="D433" s="5">
        <f t="shared" si="1"/>
        <v>2020</v>
      </c>
      <c r="E433" s="12">
        <f t="shared" si="2"/>
        <v>8.34857605</v>
      </c>
      <c r="F433" s="8">
        <f t="shared" si="3"/>
        <v>121054353</v>
      </c>
    </row>
    <row r="434">
      <c r="A434" s="1">
        <v>433.0</v>
      </c>
      <c r="B434" s="8">
        <f>Filmes_final!C434</f>
        <v>50690</v>
      </c>
      <c r="C434" s="5">
        <f>Filmes_final!D434</f>
        <v>1963</v>
      </c>
      <c r="D434" s="5">
        <f t="shared" si="1"/>
        <v>2020</v>
      </c>
      <c r="E434" s="12">
        <f t="shared" si="2"/>
        <v>8.48588816</v>
      </c>
      <c r="F434" s="8">
        <f t="shared" si="3"/>
        <v>430150</v>
      </c>
    </row>
    <row r="435">
      <c r="A435" s="1">
        <v>434.0</v>
      </c>
      <c r="B435" s="8">
        <f>Filmes_final!C435</f>
        <v>24517</v>
      </c>
      <c r="C435" s="5">
        <f>Filmes_final!D435</f>
        <v>1962</v>
      </c>
      <c r="D435" s="5">
        <f t="shared" si="1"/>
        <v>2020</v>
      </c>
      <c r="E435" s="12">
        <f t="shared" si="2"/>
        <v>8.59903333</v>
      </c>
      <c r="F435" s="8">
        <f t="shared" si="3"/>
        <v>210823</v>
      </c>
    </row>
    <row r="436">
      <c r="A436" s="1">
        <v>435.0</v>
      </c>
      <c r="B436" s="8">
        <f>Filmes_final!C436</f>
        <v>8284000</v>
      </c>
      <c r="C436" s="5">
        <f>Filmes_final!D436</f>
        <v>1961</v>
      </c>
      <c r="D436" s="5">
        <f t="shared" si="1"/>
        <v>2020</v>
      </c>
      <c r="E436" s="12">
        <f t="shared" si="2"/>
        <v>8.65674497</v>
      </c>
      <c r="F436" s="8">
        <f t="shared" si="3"/>
        <v>71712475</v>
      </c>
    </row>
    <row r="437">
      <c r="A437" s="1">
        <v>436.0</v>
      </c>
      <c r="B437" s="8">
        <f>Filmes_final!C437</f>
        <v>19516000</v>
      </c>
      <c r="C437" s="5">
        <f>Filmes_final!D437</f>
        <v>1960</v>
      </c>
      <c r="D437" s="5">
        <f t="shared" si="1"/>
        <v>2020</v>
      </c>
      <c r="E437" s="12">
        <f t="shared" si="2"/>
        <v>8.80447099</v>
      </c>
      <c r="F437" s="8">
        <f t="shared" si="3"/>
        <v>171828056</v>
      </c>
    </row>
    <row r="438">
      <c r="A438" s="1">
        <v>437.0</v>
      </c>
      <c r="B438" s="8">
        <f>Filmes_final!C438</f>
        <v>12535000</v>
      </c>
      <c r="C438" s="5">
        <f>Filmes_final!D438</f>
        <v>1959</v>
      </c>
      <c r="D438" s="5">
        <f t="shared" si="1"/>
        <v>2020</v>
      </c>
      <c r="E438" s="12">
        <f t="shared" si="2"/>
        <v>8.89555172</v>
      </c>
      <c r="F438" s="8">
        <f t="shared" si="3"/>
        <v>111505741</v>
      </c>
    </row>
    <row r="439">
      <c r="A439" s="1">
        <v>438.0</v>
      </c>
      <c r="B439" s="8">
        <f>Filmes_final!C439</f>
        <v>11900000</v>
      </c>
      <c r="C439" s="5">
        <f>Filmes_final!D439</f>
        <v>1959</v>
      </c>
      <c r="D439" s="5">
        <f t="shared" si="1"/>
        <v>2020</v>
      </c>
      <c r="E439" s="12">
        <f t="shared" si="2"/>
        <v>8.89555172</v>
      </c>
      <c r="F439" s="8">
        <f t="shared" si="3"/>
        <v>105857065</v>
      </c>
    </row>
    <row r="440">
      <c r="A440" s="1">
        <v>439.0</v>
      </c>
      <c r="B440" s="8">
        <f>Filmes_final!C440</f>
        <v>2237659</v>
      </c>
      <c r="C440" s="5">
        <f>Filmes_final!D440</f>
        <v>1958</v>
      </c>
      <c r="D440" s="5">
        <f t="shared" si="1"/>
        <v>2020</v>
      </c>
      <c r="E440" s="12">
        <f t="shared" si="2"/>
        <v>9.01996503</v>
      </c>
      <c r="F440" s="8">
        <f t="shared" si="3"/>
        <v>20183606</v>
      </c>
    </row>
    <row r="441">
      <c r="A441" s="1">
        <v>440.0</v>
      </c>
      <c r="B441" s="8">
        <f>Filmes_final!C441</f>
        <v>17570324</v>
      </c>
      <c r="C441" s="5">
        <f>Filmes_final!D441</f>
        <v>1958</v>
      </c>
      <c r="D441" s="5">
        <f t="shared" si="1"/>
        <v>2020</v>
      </c>
      <c r="E441" s="12">
        <f t="shared" si="2"/>
        <v>9.01996503</v>
      </c>
      <c r="F441" s="8">
        <f t="shared" si="3"/>
        <v>158483708</v>
      </c>
    </row>
    <row r="442">
      <c r="A442" s="1">
        <v>441.0</v>
      </c>
      <c r="B442" s="8">
        <f>Filmes_final!C442</f>
        <v>7704</v>
      </c>
      <c r="C442" s="5">
        <f>Filmes_final!D442</f>
        <v>1957</v>
      </c>
      <c r="D442" s="5">
        <f t="shared" si="1"/>
        <v>2020</v>
      </c>
      <c r="E442" s="12">
        <f t="shared" si="2"/>
        <v>9.34677536</v>
      </c>
      <c r="F442" s="8">
        <f t="shared" si="3"/>
        <v>72008</v>
      </c>
    </row>
    <row r="443">
      <c r="A443" s="1">
        <v>442.0</v>
      </c>
      <c r="B443" s="8">
        <f>Filmes_final!C443</f>
        <v>203</v>
      </c>
      <c r="C443" s="5">
        <f>Filmes_final!D443</f>
        <v>1956</v>
      </c>
      <c r="D443" s="5">
        <f t="shared" si="1"/>
        <v>2020</v>
      </c>
      <c r="E443" s="12">
        <f t="shared" si="2"/>
        <v>9.62578358</v>
      </c>
      <c r="F443" s="8">
        <f t="shared" si="3"/>
        <v>1954</v>
      </c>
    </row>
    <row r="444">
      <c r="A444" s="1">
        <v>443.0</v>
      </c>
      <c r="B444" s="8">
        <f>Filmes_final!C444</f>
        <v>654</v>
      </c>
      <c r="C444" s="5">
        <f>Filmes_final!D444</f>
        <v>1955</v>
      </c>
      <c r="D444" s="5">
        <f t="shared" si="1"/>
        <v>2020</v>
      </c>
      <c r="E444" s="12">
        <f t="shared" si="2"/>
        <v>9.66183521</v>
      </c>
      <c r="F444" s="8">
        <f t="shared" si="3"/>
        <v>6319</v>
      </c>
    </row>
    <row r="445">
      <c r="A445" s="1">
        <v>444.0</v>
      </c>
      <c r="B445" s="8">
        <f>Filmes_final!C445</f>
        <v>17923</v>
      </c>
      <c r="C445" s="5">
        <f>Filmes_final!D445</f>
        <v>1954</v>
      </c>
      <c r="D445" s="5">
        <f t="shared" si="1"/>
        <v>2020</v>
      </c>
      <c r="E445" s="12">
        <f t="shared" si="2"/>
        <v>9.59</v>
      </c>
      <c r="F445" s="8">
        <f t="shared" si="3"/>
        <v>171882</v>
      </c>
    </row>
    <row r="446">
      <c r="A446" s="1">
        <v>445.0</v>
      </c>
      <c r="B446" s="8">
        <f>Filmes_final!C446</f>
        <v>12498</v>
      </c>
      <c r="C446" s="5">
        <f>Filmes_final!D446</f>
        <v>1955</v>
      </c>
      <c r="D446" s="5">
        <f t="shared" si="1"/>
        <v>2020</v>
      </c>
      <c r="E446" s="12">
        <f t="shared" si="2"/>
        <v>9.66183521</v>
      </c>
      <c r="F446" s="8">
        <f t="shared" si="3"/>
        <v>120754</v>
      </c>
    </row>
    <row r="447">
      <c r="A447" s="1">
        <v>446.0</v>
      </c>
      <c r="B447" s="8">
        <f>Filmes_final!C447</f>
        <v>1661530</v>
      </c>
      <c r="C447" s="5">
        <f>Filmes_final!D447</f>
        <v>1953</v>
      </c>
      <c r="D447" s="5">
        <f t="shared" si="1"/>
        <v>2020</v>
      </c>
      <c r="E447" s="12">
        <f t="shared" si="2"/>
        <v>9.69815789</v>
      </c>
      <c r="F447" s="8">
        <f t="shared" si="3"/>
        <v>16113780</v>
      </c>
    </row>
    <row r="448">
      <c r="A448" s="1">
        <v>447.0</v>
      </c>
      <c r="B448" s="8">
        <f>Filmes_final!C448</f>
        <v>1500000</v>
      </c>
      <c r="C448" s="5">
        <f>Filmes_final!D448</f>
        <v>1953</v>
      </c>
      <c r="D448" s="5">
        <f t="shared" si="1"/>
        <v>2020</v>
      </c>
      <c r="E448" s="12">
        <f t="shared" si="2"/>
        <v>9.69815789</v>
      </c>
      <c r="F448" s="8">
        <f t="shared" si="3"/>
        <v>14547237</v>
      </c>
    </row>
    <row r="449">
      <c r="A449" s="1">
        <v>448.0</v>
      </c>
      <c r="B449" s="8">
        <f>Filmes_final!C449</f>
        <v>8000000</v>
      </c>
      <c r="C449" s="5">
        <f>Filmes_final!D449</f>
        <v>1951</v>
      </c>
      <c r="D449" s="5">
        <f t="shared" si="1"/>
        <v>2020</v>
      </c>
      <c r="E449" s="12">
        <f t="shared" si="2"/>
        <v>10.15633858</v>
      </c>
      <c r="F449" s="8">
        <f t="shared" si="3"/>
        <v>81250709</v>
      </c>
    </row>
    <row r="450">
      <c r="A450" s="1">
        <v>449.0</v>
      </c>
      <c r="B450" s="8">
        <f>Filmes_final!C450</f>
        <v>21493</v>
      </c>
      <c r="C450" s="5">
        <f>Filmes_final!D450</f>
        <v>1950</v>
      </c>
      <c r="D450" s="5">
        <f t="shared" si="1"/>
        <v>2020</v>
      </c>
      <c r="E450" s="12">
        <f t="shared" si="2"/>
        <v>10.97748936</v>
      </c>
      <c r="F450" s="8">
        <f t="shared" si="3"/>
        <v>235939</v>
      </c>
    </row>
    <row r="451">
      <c r="A451" s="1">
        <v>450.0</v>
      </c>
      <c r="B451" s="8">
        <f>Filmes_final!C451</f>
        <v>145583</v>
      </c>
      <c r="C451" s="5">
        <f>Filmes_final!D451</f>
        <v>1949</v>
      </c>
      <c r="D451" s="5">
        <f t="shared" si="1"/>
        <v>2020</v>
      </c>
      <c r="E451" s="12">
        <f t="shared" si="2"/>
        <v>10.74879167</v>
      </c>
      <c r="F451" s="8">
        <f t="shared" si="3"/>
        <v>1564841</v>
      </c>
    </row>
    <row r="452">
      <c r="A452" s="1">
        <v>451.0</v>
      </c>
      <c r="B452" s="8">
        <f>Filmes_final!C452</f>
        <v>10590</v>
      </c>
      <c r="C452" s="5">
        <f>Filmes_final!D452</f>
        <v>1948</v>
      </c>
      <c r="D452" s="5">
        <f t="shared" si="1"/>
        <v>2020</v>
      </c>
      <c r="E452" s="12">
        <f t="shared" si="2"/>
        <v>10.88485232</v>
      </c>
      <c r="F452" s="8">
        <f t="shared" si="3"/>
        <v>115271</v>
      </c>
    </row>
    <row r="453">
      <c r="A453" s="1">
        <v>452.0</v>
      </c>
      <c r="B453" s="8">
        <f>Filmes_final!C453</f>
        <v>0</v>
      </c>
      <c r="C453" s="5">
        <f>Filmes_final!D453</f>
        <v>1947</v>
      </c>
      <c r="D453" s="5">
        <f t="shared" si="1"/>
        <v>2020</v>
      </c>
      <c r="E453" s="12">
        <f t="shared" si="2"/>
        <v>11.99865116</v>
      </c>
      <c r="F453" s="8">
        <f t="shared" si="3"/>
        <v>0</v>
      </c>
    </row>
    <row r="454">
      <c r="A454" s="1">
        <v>453.0</v>
      </c>
      <c r="B454" s="8">
        <f>Filmes_final!C454</f>
        <v>107384</v>
      </c>
      <c r="C454" s="5">
        <f>Filmes_final!D454</f>
        <v>1945</v>
      </c>
      <c r="D454" s="5">
        <f t="shared" si="1"/>
        <v>2020</v>
      </c>
      <c r="E454" s="12">
        <f t="shared" si="2"/>
        <v>14.49275281</v>
      </c>
      <c r="F454" s="8">
        <f t="shared" si="3"/>
        <v>1556290</v>
      </c>
    </row>
    <row r="455">
      <c r="A455" s="1">
        <v>454.0</v>
      </c>
      <c r="B455" s="8">
        <f>Filmes_final!C455</f>
        <v>4360000</v>
      </c>
      <c r="C455" s="5">
        <f>Filmes_final!D455</f>
        <v>1944</v>
      </c>
      <c r="D455" s="5">
        <f t="shared" si="1"/>
        <v>2020</v>
      </c>
      <c r="E455" s="12">
        <f t="shared" si="2"/>
        <v>14.82591954</v>
      </c>
      <c r="F455" s="8">
        <f t="shared" si="3"/>
        <v>64641009</v>
      </c>
    </row>
    <row r="456">
      <c r="A456" s="1">
        <v>455.0</v>
      </c>
      <c r="B456" s="8">
        <f>Filmes_final!C456</f>
        <v>23650000</v>
      </c>
      <c r="C456" s="5">
        <f>Filmes_final!D456</f>
        <v>1946</v>
      </c>
      <c r="D456" s="5">
        <f t="shared" si="1"/>
        <v>2020</v>
      </c>
      <c r="E456" s="12">
        <f t="shared" si="2"/>
        <v>14.17423077</v>
      </c>
      <c r="F456" s="8">
        <f t="shared" si="3"/>
        <v>335220558</v>
      </c>
    </row>
    <row r="457">
      <c r="A457" s="1">
        <v>456.0</v>
      </c>
      <c r="B457" s="8">
        <f>Filmes_final!C457</f>
        <v>1164000</v>
      </c>
      <c r="C457" s="5">
        <f>Filmes_final!D457</f>
        <v>1942</v>
      </c>
      <c r="D457" s="5">
        <f t="shared" si="1"/>
        <v>2020</v>
      </c>
      <c r="E457" s="12">
        <f t="shared" si="2"/>
        <v>16.43127389</v>
      </c>
      <c r="F457" s="8">
        <f t="shared" si="3"/>
        <v>19126003</v>
      </c>
    </row>
    <row r="458">
      <c r="A458" s="1">
        <v>457.0</v>
      </c>
      <c r="B458" s="8">
        <f>Filmes_final!C458</f>
        <v>2108060</v>
      </c>
      <c r="C458" s="5">
        <f>Filmes_final!D458</f>
        <v>1941</v>
      </c>
      <c r="D458" s="5">
        <f t="shared" si="1"/>
        <v>2020</v>
      </c>
      <c r="E458" s="12">
        <f t="shared" si="2"/>
        <v>18.2958156</v>
      </c>
      <c r="F458" s="8">
        <f t="shared" si="3"/>
        <v>38568677</v>
      </c>
    </row>
    <row r="459">
      <c r="A459" s="1">
        <v>458.0</v>
      </c>
      <c r="B459" s="8">
        <f>Filmes_final!C459</f>
        <v>55</v>
      </c>
      <c r="C459" s="5">
        <f>Filmes_final!D459</f>
        <v>1940</v>
      </c>
      <c r="D459" s="5">
        <f t="shared" si="1"/>
        <v>2020</v>
      </c>
      <c r="E459" s="12">
        <f t="shared" si="2"/>
        <v>18.55906475</v>
      </c>
      <c r="F459" s="8">
        <f t="shared" si="3"/>
        <v>1021</v>
      </c>
    </row>
    <row r="460">
      <c r="A460" s="1">
        <v>459.0</v>
      </c>
      <c r="B460" s="8">
        <f>Filmes_final!C460</f>
        <v>2076020</v>
      </c>
      <c r="C460" s="5">
        <f>Filmes_final!D460</f>
        <v>1939</v>
      </c>
      <c r="D460" s="5">
        <f t="shared" si="1"/>
        <v>2020</v>
      </c>
      <c r="E460" s="12">
        <f t="shared" si="2"/>
        <v>18.4265</v>
      </c>
      <c r="F460" s="8">
        <f t="shared" si="3"/>
        <v>38253783</v>
      </c>
    </row>
    <row r="461">
      <c r="A461" s="1">
        <v>460.0</v>
      </c>
      <c r="B461" s="8">
        <f>Filmes_final!C461</f>
        <v>273641</v>
      </c>
      <c r="C461" s="5">
        <f>Filmes_final!D461</f>
        <v>1939</v>
      </c>
      <c r="D461" s="5">
        <f t="shared" si="1"/>
        <v>2020</v>
      </c>
      <c r="E461" s="12">
        <f t="shared" si="2"/>
        <v>18.4265</v>
      </c>
      <c r="F461" s="8">
        <f t="shared" si="3"/>
        <v>5042246</v>
      </c>
    </row>
    <row r="462">
      <c r="A462" s="1">
        <v>461.0</v>
      </c>
      <c r="B462" s="8">
        <f>Filmes_final!C462</f>
        <v>226408</v>
      </c>
      <c r="C462" s="5">
        <f>Filmes_final!D462</f>
        <v>1934</v>
      </c>
      <c r="D462" s="5">
        <f t="shared" si="1"/>
        <v>2020</v>
      </c>
      <c r="E462" s="12">
        <f t="shared" si="2"/>
        <v>19.54325758</v>
      </c>
      <c r="F462" s="8">
        <f t="shared" si="3"/>
        <v>4424750</v>
      </c>
    </row>
    <row r="463">
      <c r="A463" s="1">
        <v>462.0</v>
      </c>
      <c r="B463" s="8">
        <f>Filmes_final!C463</f>
        <v>3270000</v>
      </c>
      <c r="C463" s="5">
        <f>Filmes_final!D463</f>
        <v>1930</v>
      </c>
      <c r="D463" s="5">
        <f t="shared" si="1"/>
        <v>2020</v>
      </c>
      <c r="E463" s="12">
        <f t="shared" si="2"/>
        <v>15.08602339</v>
      </c>
      <c r="F463" s="8">
        <f t="shared" si="3"/>
        <v>49331296</v>
      </c>
    </row>
    <row r="464">
      <c r="A464" s="1">
        <v>463.0</v>
      </c>
      <c r="B464" s="8">
        <f>Filmes_final!C464</f>
        <v>50970</v>
      </c>
      <c r="C464" s="5">
        <f>Filmes_final!D464</f>
        <v>1925</v>
      </c>
      <c r="D464" s="5">
        <f t="shared" si="1"/>
        <v>2020</v>
      </c>
      <c r="E464" s="12">
        <f t="shared" si="2"/>
        <v>14.9116185</v>
      </c>
      <c r="F464" s="8">
        <f t="shared" si="3"/>
        <v>760045</v>
      </c>
    </row>
    <row r="465">
      <c r="A465" s="1">
        <v>464.0</v>
      </c>
      <c r="B465" s="8">
        <f>Filmes_final!C465</f>
        <v>165359751</v>
      </c>
      <c r="C465" s="5">
        <f>Filmes_final!D465</f>
        <v>2019</v>
      </c>
      <c r="D465" s="5">
        <f t="shared" si="1"/>
        <v>2020</v>
      </c>
      <c r="E465" s="12">
        <f t="shared" si="2"/>
        <v>1.02486572</v>
      </c>
      <c r="F465" s="8">
        <f t="shared" si="3"/>
        <v>169471540</v>
      </c>
    </row>
    <row r="466">
      <c r="A466" s="1">
        <v>465.0</v>
      </c>
      <c r="B466" s="8">
        <f>Filmes_final!C466</f>
        <v>45171</v>
      </c>
      <c r="C466" s="5">
        <f>Filmes_final!D466</f>
        <v>2020</v>
      </c>
      <c r="D466" s="5">
        <f t="shared" si="1"/>
        <v>2020</v>
      </c>
      <c r="E466" s="12">
        <f t="shared" si="2"/>
        <v>1</v>
      </c>
      <c r="F466" s="8">
        <f t="shared" si="3"/>
        <v>45171</v>
      </c>
    </row>
    <row r="467">
      <c r="A467" s="1">
        <v>466.0</v>
      </c>
      <c r="B467" s="8">
        <f>Filmes_final!C467</f>
        <v>3313513</v>
      </c>
      <c r="C467" s="5">
        <f>Filmes_final!D467</f>
        <v>2018</v>
      </c>
      <c r="D467" s="5">
        <f t="shared" si="1"/>
        <v>2020</v>
      </c>
      <c r="E467" s="12">
        <f t="shared" si="2"/>
        <v>1.0407638</v>
      </c>
      <c r="F467" s="8">
        <f t="shared" si="3"/>
        <v>3448584</v>
      </c>
    </row>
    <row r="468">
      <c r="A468" s="1">
        <v>467.0</v>
      </c>
      <c r="B468" s="8">
        <f>Filmes_final!C468</f>
        <v>2000000</v>
      </c>
      <c r="C468" s="5">
        <f>Filmes_final!D468</f>
        <v>2019</v>
      </c>
      <c r="D468" s="5">
        <f t="shared" si="1"/>
        <v>2020</v>
      </c>
      <c r="E468" s="12">
        <f t="shared" si="2"/>
        <v>1.02486572</v>
      </c>
      <c r="F468" s="8">
        <f t="shared" si="3"/>
        <v>2049731</v>
      </c>
    </row>
    <row r="469">
      <c r="A469" s="1">
        <v>468.0</v>
      </c>
      <c r="B469" s="8">
        <f>Filmes_final!C469</f>
        <v>18095701</v>
      </c>
      <c r="C469" s="5">
        <f>Filmes_final!D469</f>
        <v>2017</v>
      </c>
      <c r="D469" s="5">
        <f t="shared" si="1"/>
        <v>2020</v>
      </c>
      <c r="E469" s="12">
        <f t="shared" si="2"/>
        <v>1.06231289</v>
      </c>
      <c r="F469" s="8">
        <f t="shared" si="3"/>
        <v>19223296</v>
      </c>
    </row>
    <row r="470">
      <c r="A470" s="1">
        <v>469.0</v>
      </c>
      <c r="B470" s="8">
        <f>Filmes_final!C470</f>
        <v>258168</v>
      </c>
      <c r="C470" s="5">
        <f>Filmes_final!D470</f>
        <v>2016</v>
      </c>
      <c r="D470" s="5">
        <f t="shared" si="1"/>
        <v>2020</v>
      </c>
      <c r="E470" s="12">
        <f t="shared" si="2"/>
        <v>1.08887116</v>
      </c>
      <c r="F470" s="8">
        <f t="shared" si="3"/>
        <v>281112</v>
      </c>
    </row>
    <row r="471">
      <c r="A471" s="1">
        <v>470.0</v>
      </c>
      <c r="B471" s="8">
        <f>Filmes_final!C471</f>
        <v>32015231</v>
      </c>
      <c r="C471" s="5">
        <f>Filmes_final!D471</f>
        <v>2018</v>
      </c>
      <c r="D471" s="5">
        <f t="shared" si="1"/>
        <v>2020</v>
      </c>
      <c r="E471" s="12">
        <f t="shared" si="2"/>
        <v>1.0407638</v>
      </c>
      <c r="F471" s="8">
        <f t="shared" si="3"/>
        <v>33320293</v>
      </c>
    </row>
    <row r="472">
      <c r="A472" s="1">
        <v>471.0</v>
      </c>
      <c r="B472" s="8">
        <f>Filmes_final!C472</f>
        <v>5202582</v>
      </c>
      <c r="C472" s="5">
        <f>Filmes_final!D472</f>
        <v>2016</v>
      </c>
      <c r="D472" s="5">
        <f t="shared" si="1"/>
        <v>2020</v>
      </c>
      <c r="E472" s="12">
        <f t="shared" si="2"/>
        <v>1.08887116</v>
      </c>
      <c r="F472" s="8">
        <f t="shared" si="3"/>
        <v>5664941</v>
      </c>
    </row>
    <row r="473">
      <c r="A473" s="1">
        <v>472.0</v>
      </c>
      <c r="B473" s="8">
        <f>Filmes_final!C473</f>
        <v>5875006</v>
      </c>
      <c r="C473" s="5">
        <f>Filmes_final!D473</f>
        <v>2016</v>
      </c>
      <c r="D473" s="5">
        <f t="shared" si="1"/>
        <v>2020</v>
      </c>
      <c r="E473" s="12">
        <f t="shared" si="2"/>
        <v>1.08887116</v>
      </c>
      <c r="F473" s="8">
        <f t="shared" si="3"/>
        <v>6397125</v>
      </c>
    </row>
    <row r="474">
      <c r="A474" s="1">
        <v>473.0</v>
      </c>
      <c r="B474" s="8">
        <f>Filmes_final!C474</f>
        <v>3237118</v>
      </c>
      <c r="C474" s="5">
        <f>Filmes_final!D474</f>
        <v>2016</v>
      </c>
      <c r="D474" s="5">
        <f t="shared" si="1"/>
        <v>2020</v>
      </c>
      <c r="E474" s="12">
        <f t="shared" si="2"/>
        <v>1.08887116</v>
      </c>
      <c r="F474" s="8">
        <f t="shared" si="3"/>
        <v>3524804</v>
      </c>
    </row>
    <row r="475">
      <c r="A475" s="1">
        <v>474.0</v>
      </c>
      <c r="B475" s="8">
        <f>Filmes_final!C475</f>
        <v>315058289</v>
      </c>
      <c r="C475" s="5">
        <f>Filmes_final!D475</f>
        <v>2017</v>
      </c>
      <c r="D475" s="5">
        <f t="shared" si="1"/>
        <v>2020</v>
      </c>
      <c r="E475" s="12">
        <f t="shared" si="2"/>
        <v>1.06231289</v>
      </c>
      <c r="F475" s="8">
        <f t="shared" si="3"/>
        <v>334690482</v>
      </c>
    </row>
    <row r="476">
      <c r="A476" s="1">
        <v>475.0</v>
      </c>
      <c r="B476" s="8">
        <f>Filmes_final!C476</f>
        <v>32381218</v>
      </c>
      <c r="C476" s="5">
        <f>Filmes_final!D476</f>
        <v>2014</v>
      </c>
      <c r="D476" s="5">
        <f t="shared" si="1"/>
        <v>2020</v>
      </c>
      <c r="E476" s="12">
        <f t="shared" si="2"/>
        <v>1.10283606</v>
      </c>
      <c r="F476" s="8">
        <f t="shared" si="3"/>
        <v>35711175</v>
      </c>
    </row>
    <row r="477">
      <c r="A477" s="1">
        <v>476.0</v>
      </c>
      <c r="B477" s="8">
        <f>Filmes_final!C477</f>
        <v>349555</v>
      </c>
      <c r="C477" s="5">
        <f>Filmes_final!D477</f>
        <v>2019</v>
      </c>
      <c r="D477" s="5">
        <f t="shared" si="1"/>
        <v>2020</v>
      </c>
      <c r="E477" s="12">
        <f t="shared" si="2"/>
        <v>1.02486572</v>
      </c>
      <c r="F477" s="8">
        <f t="shared" si="3"/>
        <v>358247</v>
      </c>
    </row>
    <row r="478">
      <c r="A478" s="1">
        <v>477.0</v>
      </c>
      <c r="B478" s="8">
        <f>Filmes_final!C478</f>
        <v>100546139</v>
      </c>
      <c r="C478" s="5">
        <f>Filmes_final!D478</f>
        <v>2016</v>
      </c>
      <c r="D478" s="5">
        <f t="shared" si="1"/>
        <v>2020</v>
      </c>
      <c r="E478" s="12">
        <f t="shared" si="2"/>
        <v>1.08887116</v>
      </c>
      <c r="F478" s="8">
        <f t="shared" si="3"/>
        <v>109481791</v>
      </c>
    </row>
    <row r="479">
      <c r="A479" s="1">
        <v>478.0</v>
      </c>
      <c r="B479" s="8">
        <f>Filmes_final!C479</f>
        <v>936662225</v>
      </c>
      <c r="C479" s="5">
        <f>Filmes_final!D479</f>
        <v>2015</v>
      </c>
      <c r="D479" s="5">
        <f t="shared" si="1"/>
        <v>2020</v>
      </c>
      <c r="E479" s="12">
        <f t="shared" si="2"/>
        <v>1.10382231</v>
      </c>
      <c r="F479" s="8">
        <f t="shared" si="3"/>
        <v>1033908661</v>
      </c>
    </row>
    <row r="480">
      <c r="A480" s="1">
        <v>479.0</v>
      </c>
      <c r="B480" s="8">
        <f>Filmes_final!C480</f>
        <v>8114627</v>
      </c>
      <c r="C480" s="5">
        <f>Filmes_final!D480</f>
        <v>2013</v>
      </c>
      <c r="D480" s="5">
        <f t="shared" si="1"/>
        <v>2020</v>
      </c>
      <c r="E480" s="12">
        <f t="shared" si="2"/>
        <v>1.12024926</v>
      </c>
      <c r="F480" s="8">
        <f t="shared" si="3"/>
        <v>9090405</v>
      </c>
    </row>
    <row r="481">
      <c r="A481" s="1">
        <v>480.0</v>
      </c>
      <c r="B481" s="8">
        <f>Filmes_final!C481</f>
        <v>233921534</v>
      </c>
      <c r="C481" s="5">
        <f>Filmes_final!D481</f>
        <v>2014</v>
      </c>
      <c r="D481" s="5">
        <f t="shared" si="1"/>
        <v>2020</v>
      </c>
      <c r="E481" s="12">
        <f t="shared" si="2"/>
        <v>1.10283606</v>
      </c>
      <c r="F481" s="8">
        <f t="shared" si="3"/>
        <v>257977103</v>
      </c>
    </row>
    <row r="482">
      <c r="A482" s="1">
        <v>481.0</v>
      </c>
      <c r="B482" s="8">
        <f>Filmes_final!C482</f>
        <v>138730</v>
      </c>
      <c r="C482" s="5">
        <f>Filmes_final!D482</f>
        <v>2011</v>
      </c>
      <c r="D482" s="5">
        <f t="shared" si="1"/>
        <v>2020</v>
      </c>
      <c r="E482" s="12">
        <f t="shared" si="2"/>
        <v>1.17140807</v>
      </c>
      <c r="F482" s="8">
        <f t="shared" si="3"/>
        <v>162509</v>
      </c>
    </row>
    <row r="483">
      <c r="A483" s="1">
        <v>482.0</v>
      </c>
      <c r="B483" s="8">
        <f>Filmes_final!C483</f>
        <v>44671682</v>
      </c>
      <c r="C483" s="5">
        <f>Filmes_final!D483</f>
        <v>2011</v>
      </c>
      <c r="D483" s="5">
        <f t="shared" si="1"/>
        <v>2020</v>
      </c>
      <c r="E483" s="12">
        <f t="shared" si="2"/>
        <v>1.17140807</v>
      </c>
      <c r="F483" s="8">
        <f t="shared" si="3"/>
        <v>52328769</v>
      </c>
    </row>
    <row r="484">
      <c r="A484" s="1">
        <v>483.0</v>
      </c>
      <c r="B484" s="8">
        <f>Filmes_final!C484</f>
        <v>100206256</v>
      </c>
      <c r="C484" s="5">
        <f>Filmes_final!D484</f>
        <v>2014</v>
      </c>
      <c r="D484" s="5">
        <f t="shared" si="1"/>
        <v>2020</v>
      </c>
      <c r="E484" s="12">
        <f t="shared" si="2"/>
        <v>1.10283606</v>
      </c>
      <c r="F484" s="8">
        <f t="shared" si="3"/>
        <v>110511073</v>
      </c>
    </row>
    <row r="485">
      <c r="A485" s="1">
        <v>484.0</v>
      </c>
      <c r="B485" s="8">
        <f>Filmes_final!C485</f>
        <v>6739492</v>
      </c>
      <c r="C485" s="5">
        <f>Filmes_final!D485</f>
        <v>2012</v>
      </c>
      <c r="D485" s="5">
        <f t="shared" si="1"/>
        <v>2020</v>
      </c>
      <c r="E485" s="12">
        <f t="shared" si="2"/>
        <v>1.13811572</v>
      </c>
      <c r="F485" s="8">
        <f t="shared" si="3"/>
        <v>7670322</v>
      </c>
    </row>
    <row r="486">
      <c r="A486" s="1">
        <v>485.0</v>
      </c>
      <c r="B486" s="8">
        <f>Filmes_final!C486</f>
        <v>7000000</v>
      </c>
      <c r="C486" s="5">
        <f>Filmes_final!D486</f>
        <v>2019</v>
      </c>
      <c r="D486" s="5">
        <f t="shared" si="1"/>
        <v>2020</v>
      </c>
      <c r="E486" s="12">
        <f t="shared" si="2"/>
        <v>1.02486572</v>
      </c>
      <c r="F486" s="8">
        <f t="shared" si="3"/>
        <v>7174060</v>
      </c>
    </row>
    <row r="487">
      <c r="A487" s="1">
        <v>486.0</v>
      </c>
      <c r="B487" s="8">
        <f>Filmes_final!C487</f>
        <v>2084637</v>
      </c>
      <c r="C487" s="5">
        <f>Filmes_final!D487</f>
        <v>2009</v>
      </c>
      <c r="D487" s="5">
        <f t="shared" si="1"/>
        <v>2020</v>
      </c>
      <c r="E487" s="12">
        <f t="shared" si="2"/>
        <v>1.22178334</v>
      </c>
      <c r="F487" s="8">
        <f t="shared" si="3"/>
        <v>2546975</v>
      </c>
    </row>
    <row r="488">
      <c r="A488" s="1">
        <v>487.0</v>
      </c>
      <c r="B488" s="8">
        <f>Filmes_final!C488</f>
        <v>5009677</v>
      </c>
      <c r="C488" s="5">
        <f>Filmes_final!D488</f>
        <v>2009</v>
      </c>
      <c r="D488" s="5">
        <f t="shared" si="1"/>
        <v>2020</v>
      </c>
      <c r="E488" s="12">
        <f t="shared" si="2"/>
        <v>1.22178334</v>
      </c>
      <c r="F488" s="8">
        <f t="shared" si="3"/>
        <v>6120740</v>
      </c>
    </row>
    <row r="489">
      <c r="A489" s="1">
        <v>488.0</v>
      </c>
      <c r="B489" s="8">
        <f>Filmes_final!C489</f>
        <v>2122065</v>
      </c>
      <c r="C489" s="5">
        <f>Filmes_final!D489</f>
        <v>2008</v>
      </c>
      <c r="D489" s="5">
        <f t="shared" si="1"/>
        <v>2020</v>
      </c>
      <c r="E489" s="12">
        <f t="shared" si="2"/>
        <v>1.222148</v>
      </c>
      <c r="F489" s="8">
        <f t="shared" si="3"/>
        <v>2593477</v>
      </c>
    </row>
    <row r="490">
      <c r="A490" s="1">
        <v>489.0</v>
      </c>
      <c r="B490" s="8">
        <f>Filmes_final!C490</f>
        <v>115646235</v>
      </c>
      <c r="C490" s="5">
        <f>Filmes_final!D490</f>
        <v>2009</v>
      </c>
      <c r="D490" s="5">
        <f t="shared" si="1"/>
        <v>2020</v>
      </c>
      <c r="E490" s="12">
        <f t="shared" si="2"/>
        <v>1.22178334</v>
      </c>
      <c r="F490" s="8">
        <f t="shared" si="3"/>
        <v>141294643</v>
      </c>
    </row>
    <row r="491">
      <c r="A491" s="1">
        <v>490.0</v>
      </c>
      <c r="B491" s="8">
        <f>Filmes_final!C491</f>
        <v>26236603</v>
      </c>
      <c r="C491" s="5">
        <f>Filmes_final!D491</f>
        <v>2008</v>
      </c>
      <c r="D491" s="5">
        <f t="shared" si="1"/>
        <v>2020</v>
      </c>
      <c r="E491" s="12">
        <f t="shared" si="2"/>
        <v>1.222148</v>
      </c>
      <c r="F491" s="8">
        <f t="shared" si="3"/>
        <v>32065012</v>
      </c>
    </row>
    <row r="492">
      <c r="A492" s="1">
        <v>491.0</v>
      </c>
      <c r="B492" s="8">
        <f>Filmes_final!C492</f>
        <v>410800</v>
      </c>
      <c r="C492" s="5">
        <f>Filmes_final!D492</f>
        <v>2007</v>
      </c>
      <c r="D492" s="5">
        <f t="shared" si="1"/>
        <v>2020</v>
      </c>
      <c r="E492" s="12">
        <f t="shared" si="2"/>
        <v>1.27445953</v>
      </c>
      <c r="F492" s="8">
        <f t="shared" si="3"/>
        <v>523548</v>
      </c>
    </row>
    <row r="493">
      <c r="A493" s="1">
        <v>492.0</v>
      </c>
      <c r="B493" s="8">
        <f>Filmes_final!C493</f>
        <v>25379975</v>
      </c>
      <c r="C493" s="5">
        <f>Filmes_final!D493</f>
        <v>2014</v>
      </c>
      <c r="D493" s="5">
        <f t="shared" si="1"/>
        <v>2020</v>
      </c>
      <c r="E493" s="12">
        <f t="shared" si="2"/>
        <v>1.10283606</v>
      </c>
      <c r="F493" s="8">
        <f t="shared" si="3"/>
        <v>27989952</v>
      </c>
    </row>
    <row r="494">
      <c r="A494" s="1">
        <v>493.0</v>
      </c>
      <c r="B494" s="8">
        <f>Filmes_final!C494</f>
        <v>1185783</v>
      </c>
      <c r="C494" s="5">
        <f>Filmes_final!D494</f>
        <v>2007</v>
      </c>
      <c r="D494" s="5">
        <f t="shared" si="1"/>
        <v>2020</v>
      </c>
      <c r="E494" s="12">
        <f t="shared" si="2"/>
        <v>1.27445953</v>
      </c>
      <c r="F494" s="8">
        <f t="shared" si="3"/>
        <v>1511232</v>
      </c>
    </row>
    <row r="495">
      <c r="A495" s="1">
        <v>494.0</v>
      </c>
      <c r="B495" s="8">
        <f>Filmes_final!C495</f>
        <v>257730019</v>
      </c>
      <c r="C495" s="5">
        <f>Filmes_final!D495</f>
        <v>2009</v>
      </c>
      <c r="D495" s="5">
        <f t="shared" si="1"/>
        <v>2020</v>
      </c>
      <c r="E495" s="12">
        <f t="shared" si="2"/>
        <v>1.22178334</v>
      </c>
      <c r="F495" s="8">
        <f t="shared" si="3"/>
        <v>314890243</v>
      </c>
    </row>
    <row r="496">
      <c r="A496" s="1">
        <v>495.0</v>
      </c>
      <c r="B496" s="8">
        <f>Filmes_final!C496</f>
        <v>7757130</v>
      </c>
      <c r="C496" s="5">
        <f>Filmes_final!D496</f>
        <v>2008</v>
      </c>
      <c r="D496" s="5">
        <f t="shared" si="1"/>
        <v>2020</v>
      </c>
      <c r="E496" s="12">
        <f t="shared" si="2"/>
        <v>1.222148</v>
      </c>
      <c r="F496" s="8">
        <f t="shared" si="3"/>
        <v>9480361</v>
      </c>
    </row>
    <row r="497">
      <c r="A497" s="1">
        <v>496.0</v>
      </c>
      <c r="B497" s="8">
        <f>Filmes_final!C497</f>
        <v>200</v>
      </c>
      <c r="C497" s="5">
        <f>Filmes_final!D497</f>
        <v>2007</v>
      </c>
      <c r="D497" s="5">
        <f t="shared" si="1"/>
        <v>2020</v>
      </c>
      <c r="E497" s="12">
        <f t="shared" si="2"/>
        <v>1.27445953</v>
      </c>
      <c r="F497" s="8">
        <f t="shared" si="3"/>
        <v>255</v>
      </c>
    </row>
    <row r="498">
      <c r="A498" s="1">
        <v>497.0</v>
      </c>
      <c r="B498" s="8">
        <f>Filmes_final!C498</f>
        <v>13756082</v>
      </c>
      <c r="C498" s="5">
        <f>Filmes_final!D498</f>
        <v>2006</v>
      </c>
      <c r="D498" s="5">
        <f t="shared" si="1"/>
        <v>2020</v>
      </c>
      <c r="E498" s="12">
        <f t="shared" si="2"/>
        <v>1.30091276</v>
      </c>
      <c r="F498" s="8">
        <f t="shared" si="3"/>
        <v>17895463</v>
      </c>
    </row>
    <row r="499">
      <c r="A499" s="1">
        <v>498.0</v>
      </c>
      <c r="B499" s="8">
        <f>Filmes_final!C499</f>
        <v>2280348</v>
      </c>
      <c r="C499" s="5">
        <f>Filmes_final!D499</f>
        <v>2006</v>
      </c>
      <c r="D499" s="5">
        <f t="shared" si="1"/>
        <v>2020</v>
      </c>
      <c r="E499" s="12">
        <f t="shared" si="2"/>
        <v>1.30091276</v>
      </c>
      <c r="F499" s="8">
        <f t="shared" si="3"/>
        <v>2966534</v>
      </c>
    </row>
    <row r="500">
      <c r="A500" s="1">
        <v>499.0</v>
      </c>
      <c r="B500" s="8">
        <f>Filmes_final!C500</f>
        <v>124987023</v>
      </c>
      <c r="C500" s="5">
        <f>Filmes_final!D500</f>
        <v>2012</v>
      </c>
      <c r="D500" s="5">
        <f t="shared" si="1"/>
        <v>2020</v>
      </c>
      <c r="E500" s="12">
        <f t="shared" si="2"/>
        <v>1.13811572</v>
      </c>
      <c r="F500" s="8">
        <f t="shared" si="3"/>
        <v>142249696</v>
      </c>
    </row>
    <row r="501">
      <c r="A501" s="1">
        <v>500.0</v>
      </c>
      <c r="B501" s="8">
        <f>Filmes_final!C501</f>
        <v>21002919</v>
      </c>
      <c r="C501" s="5">
        <f>Filmes_final!D501</f>
        <v>2009</v>
      </c>
      <c r="D501" s="5">
        <f t="shared" si="1"/>
        <v>2020</v>
      </c>
      <c r="E501" s="12">
        <f t="shared" si="2"/>
        <v>1.22178334</v>
      </c>
      <c r="F501" s="8">
        <f t="shared" si="3"/>
        <v>25661017</v>
      </c>
    </row>
    <row r="502">
      <c r="A502" s="1">
        <v>501.0</v>
      </c>
      <c r="B502" s="8">
        <f>Filmes_final!C502</f>
        <v>3710169</v>
      </c>
      <c r="C502" s="5">
        <f>Filmes_final!D502</f>
        <v>2005</v>
      </c>
      <c r="D502" s="5">
        <f t="shared" si="1"/>
        <v>2020</v>
      </c>
      <c r="E502" s="12">
        <f t="shared" si="2"/>
        <v>1.35275826</v>
      </c>
      <c r="F502" s="8">
        <f t="shared" si="3"/>
        <v>5018962</v>
      </c>
    </row>
    <row r="503">
      <c r="A503" s="1">
        <v>502.0</v>
      </c>
      <c r="B503" s="8">
        <f>Filmes_final!C503</f>
        <v>3635164</v>
      </c>
      <c r="C503" s="5">
        <f>Filmes_final!D503</f>
        <v>2004</v>
      </c>
      <c r="D503" s="5">
        <f t="shared" si="1"/>
        <v>2020</v>
      </c>
      <c r="E503" s="12">
        <f t="shared" si="2"/>
        <v>1.39293197</v>
      </c>
      <c r="F503" s="8">
        <f t="shared" si="3"/>
        <v>5063536</v>
      </c>
    </row>
    <row r="504">
      <c r="A504" s="1">
        <v>503.0</v>
      </c>
      <c r="B504" s="8">
        <f>Filmes_final!C504</f>
        <v>318412101</v>
      </c>
      <c r="C504" s="5">
        <f>Filmes_final!D504</f>
        <v>2008</v>
      </c>
      <c r="D504" s="5">
        <f t="shared" si="1"/>
        <v>2020</v>
      </c>
      <c r="E504" s="12">
        <f t="shared" si="2"/>
        <v>1.222148</v>
      </c>
      <c r="F504" s="8">
        <f t="shared" si="3"/>
        <v>389146712</v>
      </c>
    </row>
    <row r="505">
      <c r="A505" s="1">
        <v>504.0</v>
      </c>
      <c r="B505" s="8">
        <f>Filmes_final!C505</f>
        <v>13542874</v>
      </c>
      <c r="C505" s="5">
        <f>Filmes_final!D505</f>
        <v>2004</v>
      </c>
      <c r="D505" s="5">
        <f t="shared" si="1"/>
        <v>2020</v>
      </c>
      <c r="E505" s="12">
        <f t="shared" si="2"/>
        <v>1.39293197</v>
      </c>
      <c r="F505" s="8">
        <f t="shared" si="3"/>
        <v>18864302</v>
      </c>
    </row>
    <row r="506">
      <c r="A506" s="1">
        <v>505.0</v>
      </c>
      <c r="B506" s="8">
        <f>Filmes_final!C506</f>
        <v>11065801</v>
      </c>
      <c r="C506" s="5">
        <f>Filmes_final!D506</f>
        <v>2004</v>
      </c>
      <c r="D506" s="5">
        <f t="shared" si="1"/>
        <v>2020</v>
      </c>
      <c r="E506" s="12">
        <f t="shared" si="2"/>
        <v>1.39293197</v>
      </c>
      <c r="F506" s="8">
        <f t="shared" si="3"/>
        <v>15413908</v>
      </c>
    </row>
    <row r="507">
      <c r="A507" s="1">
        <v>506.0</v>
      </c>
      <c r="B507" s="8">
        <f>Filmes_final!C507</f>
        <v>90135191</v>
      </c>
      <c r="C507" s="5">
        <f>Filmes_final!D507</f>
        <v>2003</v>
      </c>
      <c r="D507" s="5">
        <f t="shared" si="1"/>
        <v>2020</v>
      </c>
      <c r="E507" s="12">
        <f t="shared" si="2"/>
        <v>1.41976335</v>
      </c>
      <c r="F507" s="8">
        <f t="shared" si="3"/>
        <v>127970641</v>
      </c>
    </row>
    <row r="508">
      <c r="A508" s="1">
        <v>507.0</v>
      </c>
      <c r="B508" s="8">
        <f>Filmes_final!C508</f>
        <v>249358727</v>
      </c>
      <c r="C508" s="5">
        <f>Filmes_final!D508</f>
        <v>2004</v>
      </c>
      <c r="D508" s="5">
        <f t="shared" si="1"/>
        <v>2020</v>
      </c>
      <c r="E508" s="12">
        <f t="shared" si="2"/>
        <v>1.39293197</v>
      </c>
      <c r="F508" s="8">
        <f t="shared" si="3"/>
        <v>347339743</v>
      </c>
    </row>
    <row r="509">
      <c r="A509" s="1">
        <v>508.0</v>
      </c>
      <c r="B509" s="8">
        <f>Filmes_final!C509</f>
        <v>53710019</v>
      </c>
      <c r="C509" s="5">
        <f>Filmes_final!D509</f>
        <v>2002</v>
      </c>
      <c r="D509" s="5">
        <f t="shared" si="1"/>
        <v>2020</v>
      </c>
      <c r="E509" s="12">
        <f t="shared" si="2"/>
        <v>1.45664032</v>
      </c>
      <c r="F509" s="8">
        <f t="shared" si="3"/>
        <v>78236179</v>
      </c>
    </row>
    <row r="510">
      <c r="A510" s="1">
        <v>509.0</v>
      </c>
      <c r="B510" s="8">
        <f>Filmes_final!C510</f>
        <v>9284265</v>
      </c>
      <c r="C510" s="5">
        <f>Filmes_final!D510</f>
        <v>2002</v>
      </c>
      <c r="D510" s="5">
        <f t="shared" si="1"/>
        <v>2020</v>
      </c>
      <c r="E510" s="12">
        <f t="shared" si="2"/>
        <v>1.45664032</v>
      </c>
      <c r="F510" s="8">
        <f t="shared" si="3"/>
        <v>13523835</v>
      </c>
    </row>
    <row r="511">
      <c r="A511" s="1">
        <v>510.0</v>
      </c>
      <c r="B511" s="8">
        <f>Filmes_final!C511</f>
        <v>1059830</v>
      </c>
      <c r="C511" s="5">
        <f>Filmes_final!D511</f>
        <v>2001</v>
      </c>
      <c r="D511" s="5">
        <f t="shared" si="1"/>
        <v>2020</v>
      </c>
      <c r="E511" s="12">
        <f t="shared" si="2"/>
        <v>1.47327813</v>
      </c>
      <c r="F511" s="8">
        <f t="shared" si="3"/>
        <v>1561424</v>
      </c>
    </row>
    <row r="512">
      <c r="A512" s="1">
        <v>511.0</v>
      </c>
      <c r="B512" s="8">
        <f>Filmes_final!C512</f>
        <v>1000045</v>
      </c>
      <c r="C512" s="5">
        <f>Filmes_final!D512</f>
        <v>2001</v>
      </c>
      <c r="D512" s="5">
        <f t="shared" si="1"/>
        <v>2020</v>
      </c>
      <c r="E512" s="12">
        <f t="shared" si="2"/>
        <v>1.47327813</v>
      </c>
      <c r="F512" s="8">
        <f t="shared" si="3"/>
        <v>1473344</v>
      </c>
    </row>
    <row r="513">
      <c r="A513" s="1">
        <v>512.0</v>
      </c>
      <c r="B513" s="8">
        <f>Filmes_final!C513</f>
        <v>121661683</v>
      </c>
      <c r="C513" s="5">
        <f>Filmes_final!D513</f>
        <v>2002</v>
      </c>
      <c r="D513" s="5">
        <f t="shared" si="1"/>
        <v>2020</v>
      </c>
      <c r="E513" s="12">
        <f t="shared" si="2"/>
        <v>1.45664032</v>
      </c>
      <c r="F513" s="8">
        <f t="shared" si="3"/>
        <v>177217313</v>
      </c>
    </row>
    <row r="514">
      <c r="A514" s="1">
        <v>513.0</v>
      </c>
      <c r="B514" s="8">
        <f>Filmes_final!C514</f>
        <v>1221261</v>
      </c>
      <c r="C514" s="5">
        <f>Filmes_final!D514</f>
        <v>2000</v>
      </c>
      <c r="D514" s="5">
        <f t="shared" si="1"/>
        <v>2020</v>
      </c>
      <c r="E514" s="12">
        <f t="shared" si="2"/>
        <v>1.52826422</v>
      </c>
      <c r="F514" s="8">
        <f t="shared" si="3"/>
        <v>1866409</v>
      </c>
    </row>
    <row r="515">
      <c r="A515" s="1">
        <v>514.0</v>
      </c>
      <c r="B515" s="8">
        <f>Filmes_final!C515</f>
        <v>35552383</v>
      </c>
      <c r="C515" s="5">
        <f>Filmes_final!D515</f>
        <v>2006</v>
      </c>
      <c r="D515" s="5">
        <f t="shared" si="1"/>
        <v>2020</v>
      </c>
      <c r="E515" s="12">
        <f t="shared" si="2"/>
        <v>1.30091276</v>
      </c>
      <c r="F515" s="8">
        <f t="shared" si="3"/>
        <v>46250549</v>
      </c>
    </row>
    <row r="516">
      <c r="A516" s="1">
        <v>515.0</v>
      </c>
      <c r="B516" s="8">
        <f>Filmes_final!C516</f>
        <v>32534850</v>
      </c>
      <c r="C516" s="5">
        <f>Filmes_final!D516</f>
        <v>2000</v>
      </c>
      <c r="D516" s="5">
        <f t="shared" si="1"/>
        <v>2020</v>
      </c>
      <c r="E516" s="12">
        <f t="shared" si="2"/>
        <v>1.52826422</v>
      </c>
      <c r="F516" s="8">
        <f t="shared" si="3"/>
        <v>49721847</v>
      </c>
    </row>
    <row r="517">
      <c r="A517" s="1">
        <v>516.0</v>
      </c>
      <c r="B517" s="8">
        <f>Filmes_final!C517</f>
        <v>7220243</v>
      </c>
      <c r="C517" s="5">
        <f>Filmes_final!D517</f>
        <v>2001</v>
      </c>
      <c r="D517" s="5">
        <f t="shared" si="1"/>
        <v>2020</v>
      </c>
      <c r="E517" s="12">
        <f t="shared" si="2"/>
        <v>1.47327813</v>
      </c>
      <c r="F517" s="8">
        <f t="shared" si="3"/>
        <v>10637426</v>
      </c>
    </row>
    <row r="518">
      <c r="A518" s="1">
        <v>517.0</v>
      </c>
      <c r="B518" s="8">
        <f>Filmes_final!C518</f>
        <v>245852179</v>
      </c>
      <c r="C518" s="5">
        <f>Filmes_final!D518</f>
        <v>1999</v>
      </c>
      <c r="D518" s="5">
        <f t="shared" si="1"/>
        <v>2020</v>
      </c>
      <c r="E518" s="12">
        <f t="shared" si="2"/>
        <v>1.57012173</v>
      </c>
      <c r="F518" s="8">
        <f t="shared" si="3"/>
        <v>386017849</v>
      </c>
    </row>
    <row r="519">
      <c r="A519" s="1">
        <v>518.0</v>
      </c>
      <c r="B519" s="8">
        <f>Filmes_final!C519</f>
        <v>26400640</v>
      </c>
      <c r="C519" s="5">
        <f>Filmes_final!D519</f>
        <v>1997</v>
      </c>
      <c r="D519" s="5">
        <f t="shared" si="1"/>
        <v>2020</v>
      </c>
      <c r="E519" s="12">
        <f t="shared" si="2"/>
        <v>1.62143935</v>
      </c>
      <c r="F519" s="8">
        <f t="shared" si="3"/>
        <v>42807037</v>
      </c>
    </row>
    <row r="520">
      <c r="A520" s="1">
        <v>519.0</v>
      </c>
      <c r="B520" s="8">
        <f>Filmes_final!C520</f>
        <v>585013</v>
      </c>
      <c r="C520" s="5">
        <f>Filmes_final!D520</f>
        <v>1995</v>
      </c>
      <c r="D520" s="5">
        <f t="shared" si="1"/>
        <v>2020</v>
      </c>
      <c r="E520" s="12">
        <f t="shared" si="2"/>
        <v>1.71637392</v>
      </c>
      <c r="F520" s="8">
        <f t="shared" si="3"/>
        <v>1004101</v>
      </c>
    </row>
    <row r="521">
      <c r="A521" s="1">
        <v>520.0</v>
      </c>
      <c r="B521" s="8">
        <f>Filmes_final!C521</f>
        <v>2201126</v>
      </c>
      <c r="C521" s="5">
        <f>Filmes_final!D521</f>
        <v>1994</v>
      </c>
      <c r="D521" s="5">
        <f t="shared" si="1"/>
        <v>2020</v>
      </c>
      <c r="E521" s="12">
        <f t="shared" si="2"/>
        <v>1.76450752</v>
      </c>
      <c r="F521" s="8">
        <f t="shared" si="3"/>
        <v>3883903</v>
      </c>
    </row>
    <row r="522">
      <c r="A522" s="1">
        <v>521.0</v>
      </c>
      <c r="B522" s="8">
        <f>Filmes_final!C522</f>
        <v>12281500</v>
      </c>
      <c r="C522" s="5">
        <f>Filmes_final!D522</f>
        <v>1993</v>
      </c>
      <c r="D522" s="5">
        <f t="shared" si="1"/>
        <v>2020</v>
      </c>
      <c r="E522" s="12">
        <f t="shared" si="2"/>
        <v>1.8090533</v>
      </c>
      <c r="F522" s="8">
        <f t="shared" si="3"/>
        <v>22217888</v>
      </c>
    </row>
    <row r="523">
      <c r="A523" s="1">
        <v>522.0</v>
      </c>
      <c r="B523" s="8">
        <f>Filmes_final!C523</f>
        <v>1324974</v>
      </c>
      <c r="C523" s="5">
        <f>Filmes_final!D523</f>
        <v>1993</v>
      </c>
      <c r="D523" s="5">
        <f t="shared" si="1"/>
        <v>2020</v>
      </c>
      <c r="E523" s="12">
        <f t="shared" si="2"/>
        <v>1.8090533</v>
      </c>
      <c r="F523" s="8">
        <f t="shared" si="3"/>
        <v>2396949</v>
      </c>
    </row>
    <row r="524">
      <c r="A524" s="1">
        <v>523.0</v>
      </c>
      <c r="B524" s="8">
        <f>Filmes_final!C524</f>
        <v>1073</v>
      </c>
      <c r="C524" s="5">
        <f>Filmes_final!D524</f>
        <v>1993</v>
      </c>
      <c r="D524" s="5">
        <f t="shared" si="1"/>
        <v>2020</v>
      </c>
      <c r="E524" s="12">
        <f t="shared" si="2"/>
        <v>1.8090533</v>
      </c>
      <c r="F524" s="8">
        <f t="shared" si="3"/>
        <v>1941</v>
      </c>
    </row>
    <row r="525">
      <c r="A525" s="1">
        <v>524.0</v>
      </c>
      <c r="B525" s="8">
        <f>Filmes_final!C525</f>
        <v>36948322</v>
      </c>
      <c r="C525" s="5">
        <f>Filmes_final!D525</f>
        <v>1993</v>
      </c>
      <c r="D525" s="5">
        <f t="shared" si="1"/>
        <v>2020</v>
      </c>
      <c r="E525" s="12">
        <f t="shared" si="2"/>
        <v>1.8090533</v>
      </c>
      <c r="F525" s="8">
        <f t="shared" si="3"/>
        <v>66841484</v>
      </c>
    </row>
    <row r="526">
      <c r="A526" s="1">
        <v>525.0</v>
      </c>
      <c r="B526" s="8">
        <f>Filmes_final!C526</f>
        <v>56362352</v>
      </c>
      <c r="C526" s="5">
        <f>Filmes_final!D526</f>
        <v>1990</v>
      </c>
      <c r="D526" s="5">
        <f t="shared" si="1"/>
        <v>2020</v>
      </c>
      <c r="E526" s="12">
        <f t="shared" si="2"/>
        <v>2.02489011</v>
      </c>
      <c r="F526" s="8">
        <f t="shared" si="3"/>
        <v>114127569</v>
      </c>
    </row>
    <row r="527">
      <c r="A527" s="1">
        <v>526.0</v>
      </c>
      <c r="B527" s="8">
        <f>Filmes_final!C527</f>
        <v>14743391</v>
      </c>
      <c r="C527" s="5">
        <f>Filmes_final!D527</f>
        <v>1989</v>
      </c>
      <c r="D527" s="5">
        <f t="shared" si="1"/>
        <v>2020</v>
      </c>
      <c r="E527" s="12">
        <f t="shared" si="2"/>
        <v>2.13023121</v>
      </c>
      <c r="F527" s="8">
        <f t="shared" si="3"/>
        <v>31406832</v>
      </c>
    </row>
    <row r="528">
      <c r="A528" s="1">
        <v>527.0</v>
      </c>
      <c r="B528" s="8">
        <f>Filmes_final!C528</f>
        <v>18254702</v>
      </c>
      <c r="C528" s="5">
        <f>Filmes_final!D528</f>
        <v>1989</v>
      </c>
      <c r="D528" s="5">
        <f t="shared" si="1"/>
        <v>2020</v>
      </c>
      <c r="E528" s="12">
        <f t="shared" si="2"/>
        <v>2.13023121</v>
      </c>
      <c r="F528" s="8">
        <f t="shared" si="3"/>
        <v>38886736</v>
      </c>
    </row>
    <row r="529">
      <c r="A529" s="1">
        <v>528.0</v>
      </c>
      <c r="B529" s="8">
        <f>Filmes_final!C529</f>
        <v>76270454</v>
      </c>
      <c r="C529" s="5">
        <f>Filmes_final!D529</f>
        <v>1987</v>
      </c>
      <c r="D529" s="5">
        <f t="shared" si="1"/>
        <v>2020</v>
      </c>
      <c r="E529" s="12">
        <f t="shared" si="2"/>
        <v>2.31988309</v>
      </c>
      <c r="F529" s="8">
        <f t="shared" si="3"/>
        <v>176938537</v>
      </c>
    </row>
    <row r="530">
      <c r="A530" s="1">
        <v>529.0</v>
      </c>
      <c r="B530" s="8">
        <f>Filmes_final!C530</f>
        <v>40084041</v>
      </c>
      <c r="C530" s="5">
        <f>Filmes_final!D530</f>
        <v>1986</v>
      </c>
      <c r="D530" s="5">
        <f t="shared" si="1"/>
        <v>2020</v>
      </c>
      <c r="E530" s="12">
        <f t="shared" si="2"/>
        <v>2.35375</v>
      </c>
      <c r="F530" s="8">
        <f t="shared" si="3"/>
        <v>94347812</v>
      </c>
    </row>
    <row r="531">
      <c r="A531" s="1">
        <v>530.0</v>
      </c>
      <c r="B531" s="8">
        <f>Filmes_final!C531</f>
        <v>9929135</v>
      </c>
      <c r="C531" s="5">
        <f>Filmes_final!D531</f>
        <v>1985</v>
      </c>
      <c r="D531" s="5">
        <f t="shared" si="1"/>
        <v>2020</v>
      </c>
      <c r="E531" s="12">
        <f t="shared" si="2"/>
        <v>2.44522275</v>
      </c>
      <c r="F531" s="8">
        <f t="shared" si="3"/>
        <v>24278947</v>
      </c>
    </row>
    <row r="532">
      <c r="A532" s="1">
        <v>531.0</v>
      </c>
      <c r="B532" s="8">
        <f>Filmes_final!C532</f>
        <v>188751</v>
      </c>
      <c r="C532" s="5">
        <f>Filmes_final!D532</f>
        <v>1984</v>
      </c>
      <c r="D532" s="5">
        <f t="shared" si="1"/>
        <v>2020</v>
      </c>
      <c r="E532" s="12">
        <f t="shared" si="2"/>
        <v>2.53160942</v>
      </c>
      <c r="F532" s="8">
        <f t="shared" si="3"/>
        <v>477844</v>
      </c>
    </row>
    <row r="533">
      <c r="A533" s="1">
        <v>532.0</v>
      </c>
      <c r="B533" s="8">
        <f>Filmes_final!C533</f>
        <v>20605209</v>
      </c>
      <c r="C533" s="5">
        <f>Filmes_final!D533</f>
        <v>1983</v>
      </c>
      <c r="D533" s="5">
        <f t="shared" si="1"/>
        <v>2020</v>
      </c>
      <c r="E533" s="12">
        <f t="shared" si="2"/>
        <v>2.63774029</v>
      </c>
      <c r="F533" s="8">
        <f t="shared" si="3"/>
        <v>54351190</v>
      </c>
    </row>
    <row r="534">
      <c r="A534" s="1">
        <v>533.0</v>
      </c>
      <c r="B534" s="8">
        <f>Filmes_final!C534</f>
        <v>57229890</v>
      </c>
      <c r="C534" s="5">
        <f>Filmes_final!D534</f>
        <v>1980</v>
      </c>
      <c r="D534" s="5">
        <f t="shared" si="1"/>
        <v>2020</v>
      </c>
      <c r="E534" s="12">
        <f t="shared" si="2"/>
        <v>3.31582262</v>
      </c>
      <c r="F534" s="8">
        <f t="shared" si="3"/>
        <v>189764164</v>
      </c>
    </row>
    <row r="535">
      <c r="A535" s="1">
        <v>534.0</v>
      </c>
      <c r="B535" s="8">
        <f>Filmes_final!C535</f>
        <v>45700000</v>
      </c>
      <c r="C535" s="5">
        <f>Filmes_final!D535</f>
        <v>1979</v>
      </c>
      <c r="D535" s="5">
        <f t="shared" si="1"/>
        <v>2020</v>
      </c>
      <c r="E535" s="12">
        <f t="shared" si="2"/>
        <v>3.77702782</v>
      </c>
      <c r="F535" s="8">
        <f t="shared" si="3"/>
        <v>172610171</v>
      </c>
    </row>
    <row r="536">
      <c r="A536" s="1">
        <v>535.0</v>
      </c>
      <c r="B536" s="8">
        <f>Filmes_final!C536</f>
        <v>37823676</v>
      </c>
      <c r="C536" s="5">
        <f>Filmes_final!D536</f>
        <v>1979</v>
      </c>
      <c r="D536" s="5">
        <f t="shared" si="1"/>
        <v>2020</v>
      </c>
      <c r="E536" s="12">
        <f t="shared" si="2"/>
        <v>3.77702782</v>
      </c>
      <c r="F536" s="8">
        <f t="shared" si="3"/>
        <v>142861077</v>
      </c>
    </row>
    <row r="537">
      <c r="A537" s="1">
        <v>536.0</v>
      </c>
      <c r="B537" s="8">
        <f>Filmes_final!C537</f>
        <v>5100000</v>
      </c>
      <c r="C537" s="5">
        <f>Filmes_final!D537</f>
        <v>1978</v>
      </c>
      <c r="D537" s="5">
        <f t="shared" si="1"/>
        <v>2020</v>
      </c>
      <c r="E537" s="12">
        <f t="shared" si="2"/>
        <v>4.127536</v>
      </c>
      <c r="F537" s="8">
        <f t="shared" si="3"/>
        <v>21050434</v>
      </c>
    </row>
    <row r="538">
      <c r="A538" s="1">
        <v>537.0</v>
      </c>
      <c r="B538" s="8">
        <f>Filmes_final!C538</f>
        <v>70600000</v>
      </c>
      <c r="C538" s="5">
        <f>Filmes_final!D538</f>
        <v>1976</v>
      </c>
      <c r="D538" s="5">
        <f t="shared" si="1"/>
        <v>2020</v>
      </c>
      <c r="E538" s="12">
        <f t="shared" si="2"/>
        <v>4.63976619</v>
      </c>
      <c r="F538" s="8">
        <f t="shared" si="3"/>
        <v>327567493</v>
      </c>
    </row>
    <row r="539">
      <c r="A539" s="1">
        <v>538.0</v>
      </c>
      <c r="B539" s="8">
        <f>Filmes_final!C539</f>
        <v>61001</v>
      </c>
      <c r="C539" s="5">
        <f>Filmes_final!D539</f>
        <v>1973</v>
      </c>
      <c r="D539" s="5">
        <f t="shared" si="1"/>
        <v>2020</v>
      </c>
      <c r="E539" s="12">
        <f t="shared" si="2"/>
        <v>6.05565728</v>
      </c>
      <c r="F539" s="8">
        <f t="shared" si="3"/>
        <v>369401</v>
      </c>
    </row>
    <row r="540">
      <c r="A540" s="1">
        <v>539.0</v>
      </c>
      <c r="B540" s="8">
        <f>Filmes_final!C540</f>
        <v>196609</v>
      </c>
      <c r="C540" s="5">
        <f>Filmes_final!D540</f>
        <v>1973</v>
      </c>
      <c r="D540" s="5">
        <f t="shared" si="1"/>
        <v>2020</v>
      </c>
      <c r="E540" s="12">
        <f t="shared" si="2"/>
        <v>6.05565728</v>
      </c>
      <c r="F540" s="8">
        <f t="shared" si="3"/>
        <v>1190597</v>
      </c>
    </row>
    <row r="541">
      <c r="A541" s="1">
        <v>540.0</v>
      </c>
      <c r="B541" s="8">
        <f>Filmes_final!C541</f>
        <v>198809</v>
      </c>
      <c r="C541" s="5">
        <f>Filmes_final!D541</f>
        <v>1972</v>
      </c>
      <c r="D541" s="5">
        <f t="shared" si="1"/>
        <v>2020</v>
      </c>
      <c r="E541" s="12">
        <f t="shared" si="2"/>
        <v>6.27666667</v>
      </c>
      <c r="F541" s="8">
        <f t="shared" si="3"/>
        <v>1247858</v>
      </c>
    </row>
    <row r="542">
      <c r="A542" s="1">
        <v>541.0</v>
      </c>
      <c r="B542" s="8">
        <f>Filmes_final!C542</f>
        <v>37041</v>
      </c>
      <c r="C542" s="5">
        <f>Filmes_final!D542</f>
        <v>1972</v>
      </c>
      <c r="D542" s="5">
        <f t="shared" si="1"/>
        <v>2020</v>
      </c>
      <c r="E542" s="12">
        <f t="shared" si="2"/>
        <v>6.27666667</v>
      </c>
      <c r="F542" s="8">
        <f t="shared" si="3"/>
        <v>232494</v>
      </c>
    </row>
    <row r="543">
      <c r="A543" s="1">
        <v>542.0</v>
      </c>
      <c r="B543" s="8">
        <f>Filmes_final!C543</f>
        <v>1546</v>
      </c>
      <c r="C543" s="5">
        <f>Filmes_final!D543</f>
        <v>1971</v>
      </c>
      <c r="D543" s="5">
        <f t="shared" si="1"/>
        <v>2020</v>
      </c>
      <c r="E543" s="12">
        <f t="shared" si="2"/>
        <v>6.48168342</v>
      </c>
      <c r="F543" s="8">
        <f t="shared" si="3"/>
        <v>10021</v>
      </c>
    </row>
    <row r="544">
      <c r="A544" s="1">
        <v>543.0</v>
      </c>
      <c r="B544" s="8">
        <f>Filmes_final!C544</f>
        <v>61700000</v>
      </c>
      <c r="C544" s="5">
        <f>Filmes_final!D544</f>
        <v>1970</v>
      </c>
      <c r="D544" s="5">
        <f t="shared" si="1"/>
        <v>2020</v>
      </c>
      <c r="E544" s="12">
        <f t="shared" si="2"/>
        <v>6.82462963</v>
      </c>
      <c r="F544" s="8">
        <f t="shared" si="3"/>
        <v>421079648</v>
      </c>
    </row>
    <row r="545">
      <c r="A545" s="1">
        <v>544.0</v>
      </c>
      <c r="B545" s="8">
        <f>Filmes_final!C545</f>
        <v>12064472</v>
      </c>
      <c r="C545" s="5">
        <f>Filmes_final!D545</f>
        <v>1969</v>
      </c>
      <c r="D545" s="5">
        <f t="shared" si="1"/>
        <v>2020</v>
      </c>
      <c r="E545" s="12">
        <f t="shared" si="2"/>
        <v>7.2463764</v>
      </c>
      <c r="F545" s="8">
        <f t="shared" si="3"/>
        <v>87423705</v>
      </c>
    </row>
    <row r="546">
      <c r="A546" s="1">
        <v>545.0</v>
      </c>
      <c r="B546" s="8">
        <f>Filmes_final!C546</f>
        <v>89029</v>
      </c>
      <c r="C546" s="5">
        <f>Filmes_final!D546</f>
        <v>1968</v>
      </c>
      <c r="D546" s="5">
        <f t="shared" si="1"/>
        <v>2020</v>
      </c>
      <c r="E546" s="12">
        <f t="shared" si="2"/>
        <v>7.56513196</v>
      </c>
      <c r="F546" s="8">
        <f t="shared" si="3"/>
        <v>673516</v>
      </c>
    </row>
    <row r="547">
      <c r="A547" s="1">
        <v>546.0</v>
      </c>
      <c r="B547" s="8">
        <f>Filmes_final!C547</f>
        <v>22276975</v>
      </c>
      <c r="C547" s="5">
        <f>Filmes_final!D547</f>
        <v>1968</v>
      </c>
      <c r="D547" s="5">
        <f t="shared" si="1"/>
        <v>2020</v>
      </c>
      <c r="E547" s="12">
        <f t="shared" si="2"/>
        <v>7.56513196</v>
      </c>
      <c r="F547" s="8">
        <f t="shared" si="3"/>
        <v>168528256</v>
      </c>
    </row>
    <row r="548">
      <c r="A548" s="1">
        <v>547.0</v>
      </c>
      <c r="B548" s="8">
        <f>Filmes_final!C548</f>
        <v>24379978</v>
      </c>
      <c r="C548" s="5">
        <f>Filmes_final!D548</f>
        <v>1967</v>
      </c>
      <c r="D548" s="5">
        <f t="shared" si="1"/>
        <v>2020</v>
      </c>
      <c r="E548" s="12">
        <f t="shared" si="2"/>
        <v>7.84106383</v>
      </c>
      <c r="F548" s="8">
        <f t="shared" si="3"/>
        <v>191164964</v>
      </c>
    </row>
    <row r="549">
      <c r="A549" s="1">
        <v>548.0</v>
      </c>
      <c r="B549" s="8">
        <f>Filmes_final!C549</f>
        <v>13474588</v>
      </c>
      <c r="C549" s="5">
        <f>Filmes_final!D549</f>
        <v>1963</v>
      </c>
      <c r="D549" s="5">
        <f t="shared" si="1"/>
        <v>2020</v>
      </c>
      <c r="E549" s="12">
        <f t="shared" si="2"/>
        <v>8.48588816</v>
      </c>
      <c r="F549" s="8">
        <f t="shared" si="3"/>
        <v>114343847</v>
      </c>
    </row>
    <row r="550">
      <c r="A550" s="1">
        <v>549.0</v>
      </c>
      <c r="B550" s="8">
        <f>Filmes_final!C550</f>
        <v>65955630</v>
      </c>
      <c r="C550" s="5">
        <f>Filmes_final!D550</f>
        <v>1962</v>
      </c>
      <c r="D550" s="5">
        <f t="shared" si="1"/>
        <v>2020</v>
      </c>
      <c r="E550" s="12">
        <f t="shared" si="2"/>
        <v>8.59903333</v>
      </c>
      <c r="F550" s="8">
        <f t="shared" si="3"/>
        <v>567154661</v>
      </c>
    </row>
    <row r="551">
      <c r="A551" s="1">
        <v>550.0</v>
      </c>
      <c r="B551" s="8">
        <f>Filmes_final!C551</f>
        <v>30000000</v>
      </c>
      <c r="C551" s="5">
        <f>Filmes_final!D551</f>
        <v>1960</v>
      </c>
      <c r="D551" s="5">
        <f t="shared" si="1"/>
        <v>2020</v>
      </c>
      <c r="E551" s="12">
        <f t="shared" si="2"/>
        <v>8.80447099</v>
      </c>
      <c r="F551" s="8">
        <f t="shared" si="3"/>
        <v>264134130</v>
      </c>
    </row>
    <row r="552">
      <c r="A552" s="1">
        <v>551.0</v>
      </c>
      <c r="B552" s="8">
        <f>Filmes_final!C552</f>
        <v>2606</v>
      </c>
      <c r="C552" s="5">
        <f>Filmes_final!D552</f>
        <v>1960</v>
      </c>
      <c r="D552" s="5">
        <f t="shared" si="1"/>
        <v>2020</v>
      </c>
      <c r="E552" s="12">
        <f t="shared" si="2"/>
        <v>8.80447099</v>
      </c>
      <c r="F552" s="8">
        <f t="shared" si="3"/>
        <v>22944</v>
      </c>
    </row>
    <row r="553">
      <c r="A553" s="1">
        <v>552.0</v>
      </c>
      <c r="B553" s="8">
        <f>Filmes_final!C553</f>
        <v>88300</v>
      </c>
      <c r="C553" s="5">
        <f>Filmes_final!D553</f>
        <v>1959</v>
      </c>
      <c r="D553" s="5">
        <f t="shared" si="1"/>
        <v>2020</v>
      </c>
      <c r="E553" s="12">
        <f t="shared" si="2"/>
        <v>8.89555172</v>
      </c>
      <c r="F553" s="8">
        <f t="shared" si="3"/>
        <v>785477</v>
      </c>
    </row>
    <row r="554">
      <c r="A554" s="1">
        <v>553.0</v>
      </c>
      <c r="B554" s="8">
        <f>Filmes_final!C554</f>
        <v>93740000</v>
      </c>
      <c r="C554" s="5">
        <f>Filmes_final!D554</f>
        <v>1956</v>
      </c>
      <c r="D554" s="5">
        <f t="shared" si="1"/>
        <v>2020</v>
      </c>
      <c r="E554" s="12">
        <f t="shared" si="2"/>
        <v>9.62578358</v>
      </c>
      <c r="F554" s="8">
        <f t="shared" si="3"/>
        <v>902320953</v>
      </c>
    </row>
    <row r="555">
      <c r="A555" s="1">
        <v>554.0</v>
      </c>
      <c r="B555" s="8">
        <f>Filmes_final!C555</f>
        <v>3750000</v>
      </c>
      <c r="C555" s="5">
        <f>Filmes_final!D555</f>
        <v>1956</v>
      </c>
      <c r="D555" s="5">
        <f t="shared" si="1"/>
        <v>2020</v>
      </c>
      <c r="E555" s="12">
        <f t="shared" si="2"/>
        <v>9.62578358</v>
      </c>
      <c r="F555" s="8">
        <f t="shared" si="3"/>
        <v>36096688</v>
      </c>
    </row>
    <row r="556">
      <c r="A556" s="1">
        <v>555.0</v>
      </c>
      <c r="B556" s="8">
        <f>Filmes_final!C556</f>
        <v>24079</v>
      </c>
      <c r="C556" s="5">
        <f>Filmes_final!D556</f>
        <v>1955</v>
      </c>
      <c r="D556" s="5">
        <f t="shared" si="1"/>
        <v>2020</v>
      </c>
      <c r="E556" s="12">
        <f t="shared" si="2"/>
        <v>9.66183521</v>
      </c>
      <c r="F556" s="8">
        <f t="shared" si="3"/>
        <v>232647</v>
      </c>
    </row>
    <row r="557">
      <c r="A557" s="1">
        <v>556.0</v>
      </c>
      <c r="B557" s="8">
        <f>Filmes_final!C557</f>
        <v>9450000</v>
      </c>
      <c r="C557" s="5">
        <f>Filmes_final!D557</f>
        <v>1952</v>
      </c>
      <c r="D557" s="5">
        <f t="shared" si="1"/>
        <v>2020</v>
      </c>
      <c r="E557" s="12">
        <f t="shared" si="2"/>
        <v>9.73475472</v>
      </c>
      <c r="F557" s="8">
        <f t="shared" si="3"/>
        <v>91993432</v>
      </c>
    </row>
    <row r="558">
      <c r="A558" s="1">
        <v>557.0</v>
      </c>
      <c r="B558" s="8">
        <f>Filmes_final!C558</f>
        <v>7630000</v>
      </c>
      <c r="C558" s="5">
        <f>Filmes_final!D558</f>
        <v>1951</v>
      </c>
      <c r="D558" s="5">
        <f t="shared" si="1"/>
        <v>2020</v>
      </c>
      <c r="E558" s="12">
        <f t="shared" si="2"/>
        <v>10.15633858</v>
      </c>
      <c r="F558" s="8">
        <f t="shared" si="3"/>
        <v>77492863</v>
      </c>
    </row>
    <row r="559">
      <c r="A559" s="1">
        <v>558.0</v>
      </c>
      <c r="B559" s="8">
        <f>Filmes_final!C559</f>
        <v>0</v>
      </c>
      <c r="C559" s="5">
        <f>Filmes_final!D559</f>
        <v>1950</v>
      </c>
      <c r="D559" s="5">
        <f t="shared" si="1"/>
        <v>2020</v>
      </c>
      <c r="E559" s="12">
        <f t="shared" si="2"/>
        <v>10.97748936</v>
      </c>
      <c r="F559" s="8">
        <f t="shared" si="3"/>
        <v>0</v>
      </c>
    </row>
    <row r="560">
      <c r="A560" s="1">
        <v>559.0</v>
      </c>
      <c r="B560" s="8">
        <f>Filmes_final!C560</f>
        <v>2650000</v>
      </c>
      <c r="C560" s="5">
        <f>Filmes_final!D560</f>
        <v>1947</v>
      </c>
      <c r="D560" s="5">
        <f t="shared" si="1"/>
        <v>2020</v>
      </c>
      <c r="E560" s="12">
        <f t="shared" si="2"/>
        <v>11.99865116</v>
      </c>
      <c r="F560" s="8">
        <f t="shared" si="3"/>
        <v>31796426</v>
      </c>
    </row>
    <row r="561">
      <c r="A561" s="1">
        <v>560.0</v>
      </c>
      <c r="B561" s="8">
        <f>Filmes_final!C561</f>
        <v>10464000</v>
      </c>
      <c r="C561" s="5">
        <f>Filmes_final!D561</f>
        <v>1946</v>
      </c>
      <c r="D561" s="5">
        <f t="shared" si="1"/>
        <v>2020</v>
      </c>
      <c r="E561" s="12">
        <f t="shared" si="2"/>
        <v>14.17423077</v>
      </c>
      <c r="F561" s="8">
        <f t="shared" si="3"/>
        <v>148319151</v>
      </c>
    </row>
    <row r="562">
      <c r="A562" s="1">
        <v>561.0</v>
      </c>
      <c r="B562" s="8">
        <f>Filmes_final!C562</f>
        <v>6540000</v>
      </c>
      <c r="C562" s="5">
        <f>Filmes_final!D562</f>
        <v>1946</v>
      </c>
      <c r="D562" s="5">
        <f t="shared" si="1"/>
        <v>2020</v>
      </c>
      <c r="E562" s="12">
        <f t="shared" si="2"/>
        <v>14.17423077</v>
      </c>
      <c r="F562" s="8">
        <f t="shared" si="3"/>
        <v>92699469</v>
      </c>
    </row>
    <row r="563">
      <c r="A563" s="1">
        <v>562.0</v>
      </c>
      <c r="B563" s="8">
        <f>Filmes_final!C563</f>
        <v>9460000</v>
      </c>
      <c r="C563" s="5">
        <f>Filmes_final!D563</f>
        <v>1945</v>
      </c>
      <c r="D563" s="5">
        <f t="shared" si="1"/>
        <v>2020</v>
      </c>
      <c r="E563" s="12">
        <f t="shared" si="2"/>
        <v>14.49275281</v>
      </c>
      <c r="F563" s="8">
        <f t="shared" si="3"/>
        <v>137101442</v>
      </c>
    </row>
    <row r="564">
      <c r="A564" s="1">
        <v>563.0</v>
      </c>
      <c r="B564" s="8">
        <f>Filmes_final!C564</f>
        <v>411663</v>
      </c>
      <c r="C564" s="5">
        <f>Filmes_final!D564</f>
        <v>1940</v>
      </c>
      <c r="D564" s="5">
        <f t="shared" si="1"/>
        <v>2020</v>
      </c>
      <c r="E564" s="12">
        <f t="shared" si="2"/>
        <v>18.55906475</v>
      </c>
      <c r="F564" s="8">
        <f t="shared" si="3"/>
        <v>7640080</v>
      </c>
    </row>
    <row r="565">
      <c r="A565" s="1">
        <v>564.0</v>
      </c>
      <c r="B565" s="8">
        <f>Filmes_final!C565</f>
        <v>296</v>
      </c>
      <c r="C565" s="5">
        <f>Filmes_final!D565</f>
        <v>1940</v>
      </c>
      <c r="D565" s="5">
        <f t="shared" si="1"/>
        <v>2020</v>
      </c>
      <c r="E565" s="12">
        <f t="shared" si="2"/>
        <v>18.55906475</v>
      </c>
      <c r="F565" s="8">
        <f t="shared" si="3"/>
        <v>5493</v>
      </c>
    </row>
    <row r="566">
      <c r="A566" s="1">
        <v>565.0</v>
      </c>
      <c r="B566" s="8">
        <f>Filmes_final!C566</f>
        <v>3981000</v>
      </c>
      <c r="C566" s="5">
        <f>Filmes_final!D566</f>
        <v>1938</v>
      </c>
      <c r="D566" s="5">
        <f t="shared" si="1"/>
        <v>2020</v>
      </c>
      <c r="E566" s="12">
        <f t="shared" si="2"/>
        <v>18.16697183</v>
      </c>
      <c r="F566" s="8">
        <f t="shared" si="3"/>
        <v>72322715</v>
      </c>
    </row>
    <row r="567">
      <c r="A567" s="1">
        <v>566.0</v>
      </c>
      <c r="B567" s="8">
        <f>Filmes_final!C567</f>
        <v>2537520</v>
      </c>
      <c r="C567" s="5">
        <f>Filmes_final!D567</f>
        <v>1935</v>
      </c>
      <c r="D567" s="5">
        <f t="shared" si="1"/>
        <v>2020</v>
      </c>
      <c r="E567" s="12">
        <f t="shared" si="2"/>
        <v>18.96845588</v>
      </c>
      <c r="F567" s="8">
        <f t="shared" si="3"/>
        <v>48132836</v>
      </c>
    </row>
    <row r="568">
      <c r="A568" s="1">
        <v>567.0</v>
      </c>
      <c r="B568" s="8">
        <f>Filmes_final!C568</f>
        <v>10000000</v>
      </c>
      <c r="C568" s="5">
        <f>Filmes_final!D568</f>
        <v>1933</v>
      </c>
      <c r="D568" s="5">
        <f t="shared" si="1"/>
        <v>2020</v>
      </c>
      <c r="E568" s="12">
        <f t="shared" si="2"/>
        <v>19.99775194</v>
      </c>
      <c r="F568" s="8">
        <f t="shared" si="3"/>
        <v>199977519</v>
      </c>
    </row>
    <row r="569">
      <c r="A569" s="1">
        <v>568.0</v>
      </c>
      <c r="B569" s="8">
        <f>Filmes_final!C569</f>
        <v>4072</v>
      </c>
      <c r="C569" s="5">
        <f>Filmes_final!D569</f>
        <v>1932</v>
      </c>
      <c r="D569" s="5">
        <f t="shared" si="1"/>
        <v>2020</v>
      </c>
      <c r="E569" s="12">
        <f t="shared" si="2"/>
        <v>18.03993007</v>
      </c>
      <c r="F569" s="8">
        <f t="shared" si="3"/>
        <v>73459</v>
      </c>
    </row>
    <row r="570">
      <c r="A570" s="1">
        <v>569.0</v>
      </c>
      <c r="B570" s="8">
        <f>Filmes_final!C570</f>
        <v>19054</v>
      </c>
      <c r="C570" s="5">
        <f>Filmes_final!D570</f>
        <v>1922</v>
      </c>
      <c r="D570" s="5">
        <f t="shared" si="1"/>
        <v>2020</v>
      </c>
      <c r="E570" s="12">
        <f t="shared" si="2"/>
        <v>15.26455621</v>
      </c>
      <c r="F570" s="8">
        <f t="shared" si="3"/>
        <v>290851</v>
      </c>
    </row>
    <row r="571">
      <c r="A571" s="1">
        <v>570.0</v>
      </c>
      <c r="B571" s="8">
        <f>Filmes_final!C571</f>
        <v>36471795</v>
      </c>
      <c r="C571" s="5">
        <f>Filmes_final!D571</f>
        <v>2019</v>
      </c>
      <c r="D571" s="5">
        <f t="shared" si="1"/>
        <v>2020</v>
      </c>
      <c r="E571" s="12">
        <f t="shared" si="2"/>
        <v>1.02486572</v>
      </c>
      <c r="F571" s="8">
        <f t="shared" si="3"/>
        <v>37378692</v>
      </c>
    </row>
    <row r="572">
      <c r="A572" s="1">
        <v>571.0</v>
      </c>
      <c r="B572" s="8">
        <f>Filmes_final!C572</f>
        <v>1812763</v>
      </c>
      <c r="C572" s="5">
        <f>Filmes_final!D572</f>
        <v>2018</v>
      </c>
      <c r="D572" s="5">
        <f t="shared" si="1"/>
        <v>2020</v>
      </c>
      <c r="E572" s="12">
        <f t="shared" si="2"/>
        <v>1.0407638</v>
      </c>
      <c r="F572" s="8">
        <f t="shared" si="3"/>
        <v>1886658</v>
      </c>
    </row>
    <row r="573">
      <c r="A573" s="1">
        <v>572.0</v>
      </c>
      <c r="B573" s="8">
        <f>Filmes_final!C573</f>
        <v>516520</v>
      </c>
      <c r="C573" s="5">
        <f>Filmes_final!D573</f>
        <v>2019</v>
      </c>
      <c r="D573" s="5">
        <f t="shared" si="1"/>
        <v>2020</v>
      </c>
      <c r="E573" s="12">
        <f t="shared" si="2"/>
        <v>1.02486572</v>
      </c>
      <c r="F573" s="8">
        <f t="shared" si="3"/>
        <v>529364</v>
      </c>
    </row>
    <row r="574">
      <c r="A574" s="1">
        <v>573.0</v>
      </c>
      <c r="B574" s="8">
        <f>Filmes_final!C574</f>
        <v>2402067</v>
      </c>
      <c r="C574" s="5">
        <f>Filmes_final!D574</f>
        <v>2016</v>
      </c>
      <c r="D574" s="5">
        <f t="shared" si="1"/>
        <v>2020</v>
      </c>
      <c r="E574" s="12">
        <f t="shared" si="2"/>
        <v>1.08887116</v>
      </c>
      <c r="F574" s="8">
        <f t="shared" si="3"/>
        <v>2615541</v>
      </c>
    </row>
    <row r="575">
      <c r="A575" s="1">
        <v>574.0</v>
      </c>
      <c r="B575" s="8">
        <f>Filmes_final!C575</f>
        <v>188373161</v>
      </c>
      <c r="C575" s="5">
        <f>Filmes_final!D575</f>
        <v>2017</v>
      </c>
      <c r="D575" s="5">
        <f t="shared" si="1"/>
        <v>2020</v>
      </c>
      <c r="E575" s="12">
        <f t="shared" si="2"/>
        <v>1.06231289</v>
      </c>
      <c r="F575" s="8">
        <f t="shared" si="3"/>
        <v>200111237</v>
      </c>
    </row>
    <row r="576">
      <c r="A576" s="1">
        <v>575.0</v>
      </c>
      <c r="B576" s="8">
        <f>Filmes_final!C576</f>
        <v>31640626</v>
      </c>
      <c r="C576" s="5">
        <f>Filmes_final!D576</f>
        <v>2016</v>
      </c>
      <c r="D576" s="5">
        <f t="shared" si="1"/>
        <v>2020</v>
      </c>
      <c r="E576" s="12">
        <f t="shared" si="2"/>
        <v>1.08887116</v>
      </c>
      <c r="F576" s="8">
        <f t="shared" si="3"/>
        <v>34452565</v>
      </c>
    </row>
    <row r="577">
      <c r="A577" s="1">
        <v>576.0</v>
      </c>
      <c r="B577" s="8">
        <f>Filmes_final!C577</f>
        <v>169607287</v>
      </c>
      <c r="C577" s="5">
        <f>Filmes_final!D577</f>
        <v>2016</v>
      </c>
      <c r="D577" s="5">
        <f t="shared" si="1"/>
        <v>2020</v>
      </c>
      <c r="E577" s="12">
        <f t="shared" si="2"/>
        <v>1.08887116</v>
      </c>
      <c r="F577" s="8">
        <f t="shared" si="3"/>
        <v>184680483</v>
      </c>
    </row>
    <row r="578">
      <c r="A578" s="1">
        <v>577.0</v>
      </c>
      <c r="B578" s="8">
        <f>Filmes_final!C578</f>
        <v>40442052</v>
      </c>
      <c r="C578" s="5">
        <f>Filmes_final!D578</f>
        <v>2017</v>
      </c>
      <c r="D578" s="5">
        <f t="shared" si="1"/>
        <v>2020</v>
      </c>
      <c r="E578" s="12">
        <f t="shared" si="2"/>
        <v>1.06231289</v>
      </c>
      <c r="F578" s="8">
        <f t="shared" si="3"/>
        <v>42962113</v>
      </c>
    </row>
    <row r="579">
      <c r="A579" s="1">
        <v>578.0</v>
      </c>
      <c r="B579" s="8">
        <f>Filmes_final!C579</f>
        <v>359891</v>
      </c>
      <c r="C579" s="5">
        <f>Filmes_final!D579</f>
        <v>2016</v>
      </c>
      <c r="D579" s="5">
        <f t="shared" si="1"/>
        <v>2020</v>
      </c>
      <c r="E579" s="12">
        <f t="shared" si="2"/>
        <v>1.08887116</v>
      </c>
      <c r="F579" s="8">
        <f t="shared" si="3"/>
        <v>391875</v>
      </c>
    </row>
    <row r="580">
      <c r="A580" s="1">
        <v>579.0</v>
      </c>
      <c r="B580" s="8">
        <f>Filmes_final!C580</f>
        <v>48023088</v>
      </c>
      <c r="C580" s="5">
        <f>Filmes_final!D580</f>
        <v>2016</v>
      </c>
      <c r="D580" s="5">
        <f t="shared" si="1"/>
        <v>2020</v>
      </c>
      <c r="E580" s="12">
        <f t="shared" si="2"/>
        <v>1.08887116</v>
      </c>
      <c r="F580" s="8">
        <f t="shared" si="3"/>
        <v>52290956</v>
      </c>
    </row>
    <row r="581">
      <c r="A581" s="1">
        <v>580.0</v>
      </c>
      <c r="B581" s="8">
        <f>Filmes_final!C581</f>
        <v>1782795</v>
      </c>
      <c r="C581" s="5">
        <f>Filmes_final!D581</f>
        <v>2016</v>
      </c>
      <c r="D581" s="5">
        <f t="shared" si="1"/>
        <v>2020</v>
      </c>
      <c r="E581" s="12">
        <f t="shared" si="2"/>
        <v>1.08887116</v>
      </c>
      <c r="F581" s="8">
        <f t="shared" si="3"/>
        <v>1941234</v>
      </c>
    </row>
    <row r="582">
      <c r="A582" s="1">
        <v>581.0</v>
      </c>
      <c r="B582" s="8">
        <f>Filmes_final!C582</f>
        <v>47695120</v>
      </c>
      <c r="C582" s="5">
        <f>Filmes_final!D582</f>
        <v>2016</v>
      </c>
      <c r="D582" s="5">
        <f t="shared" si="1"/>
        <v>2020</v>
      </c>
      <c r="E582" s="12">
        <f t="shared" si="2"/>
        <v>1.08887116</v>
      </c>
      <c r="F582" s="8">
        <f t="shared" si="3"/>
        <v>51933841</v>
      </c>
    </row>
    <row r="583">
      <c r="A583" s="1">
        <v>582.0</v>
      </c>
      <c r="B583" s="8">
        <f>Filmes_final!C583</f>
        <v>435266</v>
      </c>
      <c r="C583" s="5">
        <f>Filmes_final!D583</f>
        <v>2015</v>
      </c>
      <c r="D583" s="5">
        <f t="shared" si="1"/>
        <v>2020</v>
      </c>
      <c r="E583" s="12">
        <f t="shared" si="2"/>
        <v>1.10382231</v>
      </c>
      <c r="F583" s="8">
        <f t="shared" si="3"/>
        <v>480456</v>
      </c>
    </row>
    <row r="584">
      <c r="A584" s="1">
        <v>583.0</v>
      </c>
      <c r="B584" s="8">
        <f>Filmes_final!C584</f>
        <v>532177324</v>
      </c>
      <c r="C584" s="5">
        <f>Filmes_final!D584</f>
        <v>2016</v>
      </c>
      <c r="D584" s="5">
        <f t="shared" si="1"/>
        <v>2020</v>
      </c>
      <c r="E584" s="12">
        <f t="shared" si="2"/>
        <v>1.08887116</v>
      </c>
      <c r="F584" s="8">
        <f t="shared" si="3"/>
        <v>579472540</v>
      </c>
    </row>
    <row r="585">
      <c r="A585" s="1">
        <v>584.0</v>
      </c>
      <c r="B585" s="8">
        <f>Filmes_final!C585</f>
        <v>408084349</v>
      </c>
      <c r="C585" s="5">
        <f>Filmes_final!D585</f>
        <v>2016</v>
      </c>
      <c r="D585" s="5">
        <f t="shared" si="1"/>
        <v>2020</v>
      </c>
      <c r="E585" s="12">
        <f t="shared" si="2"/>
        <v>1.08887116</v>
      </c>
      <c r="F585" s="8">
        <f t="shared" si="3"/>
        <v>444351278</v>
      </c>
    </row>
    <row r="586">
      <c r="A586" s="1">
        <v>585.0</v>
      </c>
      <c r="B586" s="8">
        <f>Filmes_final!C586</f>
        <v>54117416</v>
      </c>
      <c r="C586" s="5">
        <f>Filmes_final!D586</f>
        <v>2015</v>
      </c>
      <c r="D586" s="5">
        <f t="shared" si="1"/>
        <v>2020</v>
      </c>
      <c r="E586" s="12">
        <f t="shared" si="2"/>
        <v>1.10382231</v>
      </c>
      <c r="F586" s="8">
        <f t="shared" si="3"/>
        <v>59736011</v>
      </c>
    </row>
    <row r="587">
      <c r="A587" s="1">
        <v>586.0</v>
      </c>
      <c r="B587" s="8">
        <f>Filmes_final!C587</f>
        <v>108101214</v>
      </c>
      <c r="C587" s="5">
        <f>Filmes_final!D587</f>
        <v>2019</v>
      </c>
      <c r="D587" s="5">
        <f t="shared" si="1"/>
        <v>2020</v>
      </c>
      <c r="E587" s="12">
        <f t="shared" si="2"/>
        <v>1.02486572</v>
      </c>
      <c r="F587" s="8">
        <f t="shared" si="3"/>
        <v>110789229</v>
      </c>
    </row>
    <row r="588">
      <c r="A588" s="1">
        <v>587.0</v>
      </c>
      <c r="B588" s="8">
        <f>Filmes_final!C588</f>
        <v>6735118</v>
      </c>
      <c r="C588" s="5">
        <f>Filmes_final!D588</f>
        <v>2017</v>
      </c>
      <c r="D588" s="5">
        <f t="shared" si="1"/>
        <v>2020</v>
      </c>
      <c r="E588" s="12">
        <f t="shared" si="2"/>
        <v>1.06231289</v>
      </c>
      <c r="F588" s="8">
        <f t="shared" si="3"/>
        <v>7154803</v>
      </c>
    </row>
    <row r="589">
      <c r="A589" s="1">
        <v>588.0</v>
      </c>
      <c r="B589" s="8">
        <f>Filmes_final!C589</f>
        <v>16775629</v>
      </c>
      <c r="C589" s="5">
        <f>Filmes_final!D589</f>
        <v>2014</v>
      </c>
      <c r="D589" s="5">
        <f t="shared" si="1"/>
        <v>2020</v>
      </c>
      <c r="E589" s="12">
        <f t="shared" si="2"/>
        <v>1.10283606</v>
      </c>
      <c r="F589" s="8">
        <f t="shared" si="3"/>
        <v>18500769</v>
      </c>
    </row>
    <row r="590">
      <c r="A590" s="1">
        <v>589.0</v>
      </c>
      <c r="B590" s="8">
        <f>Filmes_final!C590</f>
        <v>1330596</v>
      </c>
      <c r="C590" s="5">
        <f>Filmes_final!D590</f>
        <v>2013</v>
      </c>
      <c r="D590" s="5">
        <f t="shared" si="1"/>
        <v>2020</v>
      </c>
      <c r="E590" s="12">
        <f t="shared" si="2"/>
        <v>1.12024926</v>
      </c>
      <c r="F590" s="8">
        <f t="shared" si="3"/>
        <v>1490599</v>
      </c>
    </row>
    <row r="591">
      <c r="A591" s="1">
        <v>590.0</v>
      </c>
      <c r="B591" s="8">
        <f>Filmes_final!C591</f>
        <v>2852400</v>
      </c>
      <c r="C591" s="5">
        <f>Filmes_final!D591</f>
        <v>2013</v>
      </c>
      <c r="D591" s="5">
        <f t="shared" si="1"/>
        <v>2020</v>
      </c>
      <c r="E591" s="12">
        <f t="shared" si="2"/>
        <v>1.12024926</v>
      </c>
      <c r="F591" s="8">
        <f t="shared" si="3"/>
        <v>3195399</v>
      </c>
    </row>
    <row r="592">
      <c r="A592" s="1">
        <v>591.0</v>
      </c>
      <c r="B592" s="8">
        <f>Filmes_final!C592</f>
        <v>4231500</v>
      </c>
      <c r="C592" s="5">
        <f>Filmes_final!D592</f>
        <v>2013</v>
      </c>
      <c r="D592" s="5">
        <f t="shared" si="1"/>
        <v>2020</v>
      </c>
      <c r="E592" s="12">
        <f t="shared" si="2"/>
        <v>1.12024926</v>
      </c>
      <c r="F592" s="8">
        <f t="shared" si="3"/>
        <v>4740335</v>
      </c>
    </row>
    <row r="593">
      <c r="A593" s="1">
        <v>592.0</v>
      </c>
      <c r="B593" s="8">
        <f>Filmes_final!C593</f>
        <v>169209</v>
      </c>
      <c r="C593" s="5">
        <f>Filmes_final!D593</f>
        <v>2012</v>
      </c>
      <c r="D593" s="5">
        <f t="shared" si="1"/>
        <v>2020</v>
      </c>
      <c r="E593" s="12">
        <f t="shared" si="2"/>
        <v>1.13811572</v>
      </c>
      <c r="F593" s="8">
        <f t="shared" si="3"/>
        <v>192579</v>
      </c>
    </row>
    <row r="594">
      <c r="A594" s="1">
        <v>593.0</v>
      </c>
      <c r="B594" s="8">
        <f>Filmes_final!C594</f>
        <v>222527828</v>
      </c>
      <c r="C594" s="5">
        <f>Filmes_final!D594</f>
        <v>2014</v>
      </c>
      <c r="D594" s="5">
        <f t="shared" si="1"/>
        <v>2020</v>
      </c>
      <c r="E594" s="12">
        <f t="shared" si="2"/>
        <v>1.10283606</v>
      </c>
      <c r="F594" s="8">
        <f t="shared" si="3"/>
        <v>245411713</v>
      </c>
    </row>
    <row r="595">
      <c r="A595" s="1">
        <v>594.0</v>
      </c>
      <c r="B595" s="8">
        <f>Filmes_final!C595</f>
        <v>15322921</v>
      </c>
      <c r="C595" s="5">
        <f>Filmes_final!D595</f>
        <v>2013</v>
      </c>
      <c r="D595" s="5">
        <f t="shared" si="1"/>
        <v>2020</v>
      </c>
      <c r="E595" s="12">
        <f t="shared" si="2"/>
        <v>1.12024926</v>
      </c>
      <c r="F595" s="8">
        <f t="shared" si="3"/>
        <v>17165491</v>
      </c>
    </row>
    <row r="596">
      <c r="A596" s="1">
        <v>595.0</v>
      </c>
      <c r="B596" s="8">
        <f>Filmes_final!C596</f>
        <v>1670773</v>
      </c>
      <c r="C596" s="5">
        <f>Filmes_final!D596</f>
        <v>2012</v>
      </c>
      <c r="D596" s="5">
        <f t="shared" si="1"/>
        <v>2020</v>
      </c>
      <c r="E596" s="12">
        <f t="shared" si="2"/>
        <v>1.13811572</v>
      </c>
      <c r="F596" s="8">
        <f t="shared" si="3"/>
        <v>1901533</v>
      </c>
    </row>
    <row r="597">
      <c r="A597" s="1">
        <v>596.0</v>
      </c>
      <c r="B597" s="8">
        <f>Filmes_final!C597</f>
        <v>5209580</v>
      </c>
      <c r="C597" s="5">
        <f>Filmes_final!D597</f>
        <v>2013</v>
      </c>
      <c r="D597" s="5">
        <f t="shared" si="1"/>
        <v>2020</v>
      </c>
      <c r="E597" s="12">
        <f t="shared" si="2"/>
        <v>1.12024926</v>
      </c>
      <c r="F597" s="8">
        <f t="shared" si="3"/>
        <v>5836028</v>
      </c>
    </row>
    <row r="598">
      <c r="A598" s="1">
        <v>597.0</v>
      </c>
      <c r="B598" s="8">
        <f>Filmes_final!C598</f>
        <v>434038008</v>
      </c>
      <c r="C598" s="5">
        <f>Filmes_final!D598</f>
        <v>2019</v>
      </c>
      <c r="D598" s="5">
        <f t="shared" si="1"/>
        <v>2020</v>
      </c>
      <c r="E598" s="12">
        <f t="shared" si="2"/>
        <v>1.02486572</v>
      </c>
      <c r="F598" s="8">
        <f t="shared" si="3"/>
        <v>444830676</v>
      </c>
    </row>
    <row r="599">
      <c r="A599" s="1">
        <v>598.0</v>
      </c>
      <c r="B599" s="8">
        <f>Filmes_final!C599</f>
        <v>85433</v>
      </c>
      <c r="C599" s="5">
        <f>Filmes_final!D599</f>
        <v>2013</v>
      </c>
      <c r="D599" s="5">
        <f t="shared" si="1"/>
        <v>2020</v>
      </c>
      <c r="E599" s="12">
        <f t="shared" si="2"/>
        <v>1.12024926</v>
      </c>
      <c r="F599" s="8">
        <f t="shared" si="3"/>
        <v>95706</v>
      </c>
    </row>
    <row r="600">
      <c r="A600" s="1">
        <v>599.0</v>
      </c>
      <c r="B600" s="8">
        <f>Filmes_final!C600</f>
        <v>45512466</v>
      </c>
      <c r="C600" s="5">
        <f>Filmes_final!D600</f>
        <v>2012</v>
      </c>
      <c r="D600" s="5">
        <f t="shared" si="1"/>
        <v>2020</v>
      </c>
      <c r="E600" s="12">
        <f t="shared" si="2"/>
        <v>1.13811572</v>
      </c>
      <c r="F600" s="8">
        <f t="shared" si="3"/>
        <v>51798453</v>
      </c>
    </row>
    <row r="601">
      <c r="A601" s="1">
        <v>600.0</v>
      </c>
      <c r="B601" s="8">
        <f>Filmes_final!C601</f>
        <v>177002924</v>
      </c>
      <c r="C601" s="5">
        <f>Filmes_final!D601</f>
        <v>2014</v>
      </c>
      <c r="D601" s="5">
        <f t="shared" si="1"/>
        <v>2020</v>
      </c>
      <c r="E601" s="12">
        <f t="shared" si="2"/>
        <v>1.10283606</v>
      </c>
      <c r="F601" s="8">
        <f t="shared" si="3"/>
        <v>195205207</v>
      </c>
    </row>
    <row r="602">
      <c r="A602" s="1">
        <v>601.0</v>
      </c>
      <c r="B602" s="8">
        <f>Filmes_final!C602</f>
        <v>70259870</v>
      </c>
      <c r="C602" s="5">
        <f>Filmes_final!D602</f>
        <v>2015</v>
      </c>
      <c r="D602" s="5">
        <f t="shared" si="1"/>
        <v>2020</v>
      </c>
      <c r="E602" s="12">
        <f t="shared" si="2"/>
        <v>1.10382231</v>
      </c>
      <c r="F602" s="8">
        <f t="shared" si="3"/>
        <v>77554412</v>
      </c>
    </row>
    <row r="603">
      <c r="A603" s="1">
        <v>602.0</v>
      </c>
      <c r="B603" s="8">
        <f>Filmes_final!C603</f>
        <v>45203103</v>
      </c>
      <c r="C603" s="5">
        <f>Filmes_final!D603</f>
        <v>2010</v>
      </c>
      <c r="D603" s="5">
        <f t="shared" si="1"/>
        <v>2020</v>
      </c>
      <c r="E603" s="12">
        <f t="shared" si="2"/>
        <v>1.19052366</v>
      </c>
      <c r="F603" s="8">
        <f t="shared" si="3"/>
        <v>53815364</v>
      </c>
    </row>
    <row r="604">
      <c r="A604" s="1">
        <v>603.0</v>
      </c>
      <c r="B604" s="8">
        <f>Filmes_final!C604</f>
        <v>128392</v>
      </c>
      <c r="C604" s="5">
        <f>Filmes_final!D604</f>
        <v>2010</v>
      </c>
      <c r="D604" s="5">
        <f t="shared" si="1"/>
        <v>2020</v>
      </c>
      <c r="E604" s="12">
        <f t="shared" si="2"/>
        <v>1.19052366</v>
      </c>
      <c r="F604" s="8">
        <f t="shared" si="3"/>
        <v>152854</v>
      </c>
    </row>
    <row r="605">
      <c r="A605" s="1">
        <v>604.0</v>
      </c>
      <c r="B605" s="8">
        <f>Filmes_final!C605</f>
        <v>102515793</v>
      </c>
      <c r="C605" s="5">
        <f>Filmes_final!D605</f>
        <v>2011</v>
      </c>
      <c r="D605" s="5">
        <f t="shared" si="1"/>
        <v>2020</v>
      </c>
      <c r="E605" s="12">
        <f t="shared" si="2"/>
        <v>1.17140807</v>
      </c>
      <c r="F605" s="8">
        <f t="shared" si="3"/>
        <v>120087827</v>
      </c>
    </row>
    <row r="606">
      <c r="A606" s="1">
        <v>605.0</v>
      </c>
      <c r="B606" s="8">
        <f>Filmes_final!C606</f>
        <v>107100855</v>
      </c>
      <c r="C606" s="5">
        <f>Filmes_final!D606</f>
        <v>2013</v>
      </c>
      <c r="D606" s="5">
        <f t="shared" si="1"/>
        <v>2020</v>
      </c>
      <c r="E606" s="12">
        <f t="shared" si="2"/>
        <v>1.12024926</v>
      </c>
      <c r="F606" s="8">
        <f t="shared" si="3"/>
        <v>119979654</v>
      </c>
    </row>
    <row r="607">
      <c r="A607" s="1">
        <v>606.0</v>
      </c>
      <c r="B607" s="8">
        <f>Filmes_final!C607</f>
        <v>6460</v>
      </c>
      <c r="C607" s="5">
        <f>Filmes_final!D607</f>
        <v>2010</v>
      </c>
      <c r="D607" s="5">
        <f t="shared" si="1"/>
        <v>2020</v>
      </c>
      <c r="E607" s="12">
        <f t="shared" si="2"/>
        <v>1.19052366</v>
      </c>
      <c r="F607" s="8">
        <f t="shared" si="3"/>
        <v>7691</v>
      </c>
    </row>
    <row r="608">
      <c r="A608" s="1">
        <v>607.0</v>
      </c>
      <c r="B608" s="8">
        <f>Filmes_final!C608</f>
        <v>161197785</v>
      </c>
      <c r="C608" s="5">
        <f>Filmes_final!D608</f>
        <v>2015</v>
      </c>
      <c r="D608" s="5">
        <f t="shared" si="1"/>
        <v>2020</v>
      </c>
      <c r="E608" s="12">
        <f t="shared" si="2"/>
        <v>1.10382231</v>
      </c>
      <c r="F608" s="8">
        <f t="shared" si="3"/>
        <v>177933711</v>
      </c>
    </row>
    <row r="609">
      <c r="A609" s="1">
        <v>608.0</v>
      </c>
      <c r="B609" s="8">
        <f>Filmes_final!C609</f>
        <v>547292</v>
      </c>
      <c r="C609" s="5">
        <f>Filmes_final!D609</f>
        <v>2009</v>
      </c>
      <c r="D609" s="5">
        <f t="shared" si="1"/>
        <v>2020</v>
      </c>
      <c r="E609" s="12">
        <f t="shared" si="2"/>
        <v>1.22178334</v>
      </c>
      <c r="F609" s="8">
        <f t="shared" si="3"/>
        <v>668672</v>
      </c>
    </row>
    <row r="610">
      <c r="A610" s="1">
        <v>609.0</v>
      </c>
      <c r="B610" s="8">
        <f>Filmes_final!C610</f>
        <v>36495748</v>
      </c>
      <c r="C610" s="5">
        <f>Filmes_final!D610</f>
        <v>2008</v>
      </c>
      <c r="D610" s="5">
        <f t="shared" si="1"/>
        <v>2020</v>
      </c>
      <c r="E610" s="12">
        <f t="shared" si="2"/>
        <v>1.222148</v>
      </c>
      <c r="F610" s="8">
        <f t="shared" si="3"/>
        <v>44603205</v>
      </c>
    </row>
    <row r="611">
      <c r="A611" s="1">
        <v>610.0</v>
      </c>
      <c r="B611" s="8">
        <f>Filmes_final!C611</f>
        <v>258366855</v>
      </c>
      <c r="C611" s="5">
        <f>Filmes_final!D611</f>
        <v>2013</v>
      </c>
      <c r="D611" s="5">
        <f t="shared" si="1"/>
        <v>2020</v>
      </c>
      <c r="E611" s="12">
        <f t="shared" si="2"/>
        <v>1.12024926</v>
      </c>
      <c r="F611" s="8">
        <f t="shared" si="3"/>
        <v>289435278</v>
      </c>
    </row>
    <row r="612">
      <c r="A612" s="1">
        <v>611.0</v>
      </c>
      <c r="B612" s="8">
        <f>Filmes_final!C612</f>
        <v>2222647</v>
      </c>
      <c r="C612" s="5">
        <f>Filmes_final!D612</f>
        <v>2009</v>
      </c>
      <c r="D612" s="5">
        <f t="shared" si="1"/>
        <v>2020</v>
      </c>
      <c r="E612" s="12">
        <f t="shared" si="2"/>
        <v>1.22178334</v>
      </c>
      <c r="F612" s="8">
        <f t="shared" si="3"/>
        <v>2715593</v>
      </c>
    </row>
    <row r="613">
      <c r="A613" s="1">
        <v>612.0</v>
      </c>
      <c r="B613" s="8">
        <f>Filmes_final!C613</f>
        <v>10095170</v>
      </c>
      <c r="C613" s="5">
        <f>Filmes_final!D613</f>
        <v>2009</v>
      </c>
      <c r="D613" s="5">
        <f t="shared" si="1"/>
        <v>2020</v>
      </c>
      <c r="E613" s="12">
        <f t="shared" si="2"/>
        <v>1.22178334</v>
      </c>
      <c r="F613" s="8">
        <f t="shared" si="3"/>
        <v>12334111</v>
      </c>
    </row>
    <row r="614">
      <c r="A614" s="1">
        <v>613.0</v>
      </c>
      <c r="B614" s="8">
        <f>Filmes_final!C614</f>
        <v>35000000</v>
      </c>
      <c r="C614" s="5">
        <f>Filmes_final!D614</f>
        <v>2020</v>
      </c>
      <c r="D614" s="5">
        <f t="shared" si="1"/>
        <v>2020</v>
      </c>
      <c r="E614" s="12">
        <f t="shared" si="2"/>
        <v>1</v>
      </c>
      <c r="F614" s="8">
        <f t="shared" si="3"/>
        <v>35000000</v>
      </c>
    </row>
    <row r="615">
      <c r="A615" s="1">
        <v>614.0</v>
      </c>
      <c r="B615" s="8">
        <f>Filmes_final!C615</f>
        <v>12467792</v>
      </c>
      <c r="C615" s="5">
        <f>Filmes_final!D615</f>
        <v>2020</v>
      </c>
      <c r="D615" s="5">
        <f t="shared" si="1"/>
        <v>2020</v>
      </c>
      <c r="E615" s="12">
        <f t="shared" si="2"/>
        <v>1</v>
      </c>
      <c r="F615" s="8">
        <f t="shared" si="3"/>
        <v>12467792</v>
      </c>
    </row>
    <row r="616">
      <c r="A616" s="1">
        <v>615.0</v>
      </c>
      <c r="B616" s="8">
        <f>Filmes_final!C616</f>
        <v>93617009</v>
      </c>
      <c r="C616" s="5">
        <f>Filmes_final!D616</f>
        <v>2010</v>
      </c>
      <c r="D616" s="5">
        <f t="shared" si="1"/>
        <v>2020</v>
      </c>
      <c r="E616" s="12">
        <f t="shared" si="2"/>
        <v>1.19052366</v>
      </c>
      <c r="F616" s="8">
        <f t="shared" si="3"/>
        <v>111453264</v>
      </c>
    </row>
    <row r="617">
      <c r="A617" s="1">
        <v>616.0</v>
      </c>
      <c r="B617" s="8">
        <f>Filmes_final!C617</f>
        <v>145000989</v>
      </c>
      <c r="C617" s="5">
        <f>Filmes_final!D617</f>
        <v>2008</v>
      </c>
      <c r="D617" s="5">
        <f t="shared" si="1"/>
        <v>2020</v>
      </c>
      <c r="E617" s="12">
        <f t="shared" si="2"/>
        <v>1.222148</v>
      </c>
      <c r="F617" s="8">
        <f t="shared" si="3"/>
        <v>177212669</v>
      </c>
    </row>
    <row r="618">
      <c r="A618" s="1">
        <v>617.0</v>
      </c>
      <c r="B618" s="8">
        <f>Filmes_final!C618</f>
        <v>9030581</v>
      </c>
      <c r="C618" s="5">
        <f>Filmes_final!D618</f>
        <v>2008</v>
      </c>
      <c r="D618" s="5">
        <f t="shared" si="1"/>
        <v>2020</v>
      </c>
      <c r="E618" s="12">
        <f t="shared" si="2"/>
        <v>1.222148</v>
      </c>
      <c r="F618" s="8">
        <f t="shared" si="3"/>
        <v>11036707</v>
      </c>
    </row>
    <row r="619">
      <c r="A619" s="1">
        <v>618.0</v>
      </c>
      <c r="B619" s="8">
        <f>Filmes_final!C619</f>
        <v>9439923</v>
      </c>
      <c r="C619" s="5">
        <f>Filmes_final!D619</f>
        <v>2007</v>
      </c>
      <c r="D619" s="5">
        <f t="shared" si="1"/>
        <v>2020</v>
      </c>
      <c r="E619" s="12">
        <f t="shared" si="2"/>
        <v>1.27445953</v>
      </c>
      <c r="F619" s="8">
        <f t="shared" si="3"/>
        <v>12030800</v>
      </c>
    </row>
    <row r="620">
      <c r="A620" s="1">
        <v>619.0</v>
      </c>
      <c r="B620" s="8">
        <f>Filmes_final!C620</f>
        <v>303003568</v>
      </c>
      <c r="C620" s="5">
        <f>Filmes_final!D620</f>
        <v>2012</v>
      </c>
      <c r="D620" s="5">
        <f t="shared" si="1"/>
        <v>2020</v>
      </c>
      <c r="E620" s="12">
        <f t="shared" si="2"/>
        <v>1.13811572</v>
      </c>
      <c r="F620" s="8">
        <f t="shared" si="3"/>
        <v>344853124</v>
      </c>
    </row>
    <row r="621">
      <c r="A621" s="1">
        <v>620.0</v>
      </c>
      <c r="B621" s="8">
        <f>Filmes_final!C621</f>
        <v>741283</v>
      </c>
      <c r="C621" s="5">
        <f>Filmes_final!D621</f>
        <v>2007</v>
      </c>
      <c r="D621" s="5">
        <f t="shared" si="1"/>
        <v>2020</v>
      </c>
      <c r="E621" s="12">
        <f t="shared" si="2"/>
        <v>1.27445953</v>
      </c>
      <c r="F621" s="8">
        <f t="shared" si="3"/>
        <v>944735</v>
      </c>
    </row>
    <row r="622">
      <c r="A622" s="1">
        <v>621.0</v>
      </c>
      <c r="B622" s="8">
        <f>Filmes_final!C622</f>
        <v>50927067</v>
      </c>
      <c r="C622" s="5">
        <f>Filmes_final!D622</f>
        <v>2007</v>
      </c>
      <c r="D622" s="5">
        <f t="shared" si="1"/>
        <v>2020</v>
      </c>
      <c r="E622" s="12">
        <f t="shared" si="2"/>
        <v>1.27445953</v>
      </c>
      <c r="F622" s="8">
        <f t="shared" si="3"/>
        <v>64904486</v>
      </c>
    </row>
    <row r="623">
      <c r="A623" s="1">
        <v>622.0</v>
      </c>
      <c r="B623" s="8">
        <f>Filmes_final!C623</f>
        <v>35061555</v>
      </c>
      <c r="C623" s="5">
        <f>Filmes_final!D623</f>
        <v>2011</v>
      </c>
      <c r="D623" s="5">
        <f t="shared" si="1"/>
        <v>2020</v>
      </c>
      <c r="E623" s="12">
        <f t="shared" si="2"/>
        <v>1.17140807</v>
      </c>
      <c r="F623" s="8">
        <f t="shared" si="3"/>
        <v>41071388</v>
      </c>
    </row>
    <row r="624">
      <c r="A624" s="1">
        <v>623.0</v>
      </c>
      <c r="B624" s="8">
        <f>Filmes_final!C624</f>
        <v>130164645</v>
      </c>
      <c r="C624" s="5">
        <f>Filmes_final!D624</f>
        <v>2007</v>
      </c>
      <c r="D624" s="5">
        <f t="shared" si="1"/>
        <v>2020</v>
      </c>
      <c r="E624" s="12">
        <f t="shared" si="2"/>
        <v>1.27445953</v>
      </c>
      <c r="F624" s="8">
        <f t="shared" si="3"/>
        <v>165889572</v>
      </c>
    </row>
    <row r="625">
      <c r="A625" s="1">
        <v>624.0</v>
      </c>
      <c r="B625" s="8">
        <f>Filmes_final!C625</f>
        <v>760507625</v>
      </c>
      <c r="C625" s="5">
        <f>Filmes_final!D625</f>
        <v>2009</v>
      </c>
      <c r="D625" s="5">
        <f t="shared" si="1"/>
        <v>2020</v>
      </c>
      <c r="E625" s="12">
        <f t="shared" si="2"/>
        <v>1.22178334</v>
      </c>
      <c r="F625" s="8">
        <f t="shared" si="3"/>
        <v>929175546</v>
      </c>
    </row>
    <row r="626">
      <c r="A626" s="1">
        <v>625.0</v>
      </c>
      <c r="B626" s="8">
        <f>Filmes_final!C626</f>
        <v>3600</v>
      </c>
      <c r="C626" s="5">
        <f>Filmes_final!D626</f>
        <v>2009</v>
      </c>
      <c r="D626" s="5">
        <f t="shared" si="1"/>
        <v>2020</v>
      </c>
      <c r="E626" s="12">
        <f t="shared" si="2"/>
        <v>1.22178334</v>
      </c>
      <c r="F626" s="8">
        <f t="shared" si="3"/>
        <v>4398</v>
      </c>
    </row>
    <row r="627">
      <c r="A627" s="1">
        <v>626.0</v>
      </c>
      <c r="B627" s="8">
        <f>Filmes_final!C627</f>
        <v>50866635</v>
      </c>
      <c r="C627" s="5">
        <f>Filmes_final!D627</f>
        <v>2006</v>
      </c>
      <c r="D627" s="5">
        <f t="shared" si="1"/>
        <v>2020</v>
      </c>
      <c r="E627" s="12">
        <f t="shared" si="2"/>
        <v>1.30091276</v>
      </c>
      <c r="F627" s="8">
        <f t="shared" si="3"/>
        <v>66173055</v>
      </c>
    </row>
    <row r="628">
      <c r="A628" s="1">
        <v>627.0</v>
      </c>
      <c r="B628" s="8">
        <f>Filmes_final!C628</f>
        <v>59891098</v>
      </c>
      <c r="C628" s="5">
        <f>Filmes_final!D628</f>
        <v>2006</v>
      </c>
      <c r="D628" s="5">
        <f t="shared" si="1"/>
        <v>2020</v>
      </c>
      <c r="E628" s="12">
        <f t="shared" si="2"/>
        <v>1.30091276</v>
      </c>
      <c r="F628" s="8">
        <f t="shared" si="3"/>
        <v>77913094</v>
      </c>
    </row>
    <row r="629">
      <c r="A629" s="1">
        <v>628.0</v>
      </c>
      <c r="B629" s="8">
        <f>Filmes_final!C629</f>
        <v>23637265</v>
      </c>
      <c r="C629" s="5">
        <f>Filmes_final!D629</f>
        <v>2007</v>
      </c>
      <c r="D629" s="5">
        <f t="shared" si="1"/>
        <v>2020</v>
      </c>
      <c r="E629" s="12">
        <f t="shared" si="2"/>
        <v>1.27445953</v>
      </c>
      <c r="F629" s="8">
        <f t="shared" si="3"/>
        <v>30124738</v>
      </c>
    </row>
    <row r="630">
      <c r="A630" s="1">
        <v>629.0</v>
      </c>
      <c r="B630" s="8">
        <f>Filmes_final!C630</f>
        <v>127509326</v>
      </c>
      <c r="C630" s="5">
        <f>Filmes_final!D630</f>
        <v>2008</v>
      </c>
      <c r="D630" s="5">
        <f t="shared" si="1"/>
        <v>2020</v>
      </c>
      <c r="E630" s="12">
        <f t="shared" si="2"/>
        <v>1.222148</v>
      </c>
      <c r="F630" s="8">
        <f t="shared" si="3"/>
        <v>155835268</v>
      </c>
    </row>
    <row r="631">
      <c r="A631" s="1">
        <v>630.0</v>
      </c>
      <c r="B631" s="8">
        <f>Filmes_final!C631</f>
        <v>2921738</v>
      </c>
      <c r="C631" s="5">
        <f>Filmes_final!D631</f>
        <v>2004</v>
      </c>
      <c r="D631" s="5">
        <f t="shared" si="1"/>
        <v>2020</v>
      </c>
      <c r="E631" s="12">
        <f t="shared" si="2"/>
        <v>1.39293197</v>
      </c>
      <c r="F631" s="8">
        <f t="shared" si="3"/>
        <v>4069782</v>
      </c>
    </row>
    <row r="632">
      <c r="A632" s="1">
        <v>631.0</v>
      </c>
      <c r="B632" s="8">
        <f>Filmes_final!C632</f>
        <v>1305</v>
      </c>
      <c r="C632" s="5">
        <f>Filmes_final!D632</f>
        <v>2005</v>
      </c>
      <c r="D632" s="5">
        <f t="shared" si="1"/>
        <v>2020</v>
      </c>
      <c r="E632" s="12">
        <f t="shared" si="2"/>
        <v>1.35275826</v>
      </c>
      <c r="F632" s="8">
        <f t="shared" si="3"/>
        <v>1765</v>
      </c>
    </row>
    <row r="633">
      <c r="A633" s="1">
        <v>632.0</v>
      </c>
      <c r="B633" s="8">
        <f>Filmes_final!C633</f>
        <v>38405088</v>
      </c>
      <c r="C633" s="5">
        <f>Filmes_final!D633</f>
        <v>2005</v>
      </c>
      <c r="D633" s="5">
        <f t="shared" si="1"/>
        <v>2020</v>
      </c>
      <c r="E633" s="12">
        <f t="shared" si="2"/>
        <v>1.35275826</v>
      </c>
      <c r="F633" s="8">
        <f t="shared" si="3"/>
        <v>51952800</v>
      </c>
    </row>
    <row r="634">
      <c r="A634" s="1">
        <v>633.0</v>
      </c>
      <c r="B634" s="8">
        <f>Filmes_final!C634</f>
        <v>5128124</v>
      </c>
      <c r="C634" s="5">
        <f>Filmes_final!D634</f>
        <v>2005</v>
      </c>
      <c r="D634" s="5">
        <f t="shared" si="1"/>
        <v>2020</v>
      </c>
      <c r="E634" s="12">
        <f t="shared" si="2"/>
        <v>1.35275826</v>
      </c>
      <c r="F634" s="8">
        <f t="shared" si="3"/>
        <v>6937112</v>
      </c>
    </row>
    <row r="635">
      <c r="A635" s="1">
        <v>634.0</v>
      </c>
      <c r="B635" s="8">
        <f>Filmes_final!C635</f>
        <v>128985</v>
      </c>
      <c r="C635" s="5">
        <f>Filmes_final!D635</f>
        <v>2003</v>
      </c>
      <c r="D635" s="5">
        <f t="shared" si="1"/>
        <v>2020</v>
      </c>
      <c r="E635" s="12">
        <f t="shared" si="2"/>
        <v>1.41976335</v>
      </c>
      <c r="F635" s="8">
        <f t="shared" si="3"/>
        <v>183128</v>
      </c>
    </row>
    <row r="636">
      <c r="A636" s="1">
        <v>635.0</v>
      </c>
      <c r="B636" s="8">
        <f>Filmes_final!C636</f>
        <v>25514517</v>
      </c>
      <c r="C636" s="5">
        <f>Filmes_final!D636</f>
        <v>2005</v>
      </c>
      <c r="D636" s="5">
        <f t="shared" si="1"/>
        <v>2020</v>
      </c>
      <c r="E636" s="12">
        <f t="shared" si="2"/>
        <v>1.35275826</v>
      </c>
      <c r="F636" s="8">
        <f t="shared" si="3"/>
        <v>34514974</v>
      </c>
    </row>
    <row r="637">
      <c r="A637" s="1">
        <v>636.0</v>
      </c>
      <c r="B637" s="8">
        <f>Filmes_final!C637</f>
        <v>119519402</v>
      </c>
      <c r="C637" s="5">
        <f>Filmes_final!D637</f>
        <v>2005</v>
      </c>
      <c r="D637" s="5">
        <f t="shared" si="1"/>
        <v>2020</v>
      </c>
      <c r="E637" s="12">
        <f t="shared" si="2"/>
        <v>1.35275826</v>
      </c>
      <c r="F637" s="8">
        <f t="shared" si="3"/>
        <v>161680858</v>
      </c>
    </row>
    <row r="638">
      <c r="A638" s="1">
        <v>637.0</v>
      </c>
      <c r="B638" s="8">
        <f>Filmes_final!C638</f>
        <v>15280</v>
      </c>
      <c r="C638" s="5">
        <f>Filmes_final!D638</f>
        <v>2003</v>
      </c>
      <c r="D638" s="5">
        <f t="shared" si="1"/>
        <v>2020</v>
      </c>
      <c r="E638" s="12">
        <f t="shared" si="2"/>
        <v>1.41976335</v>
      </c>
      <c r="F638" s="8">
        <f t="shared" si="3"/>
        <v>21694</v>
      </c>
    </row>
    <row r="639">
      <c r="A639" s="1">
        <v>638.0</v>
      </c>
      <c r="B639" s="8">
        <f>Filmes_final!C639</f>
        <v>81001787</v>
      </c>
      <c r="C639" s="5">
        <f>Filmes_final!D639</f>
        <v>2004</v>
      </c>
      <c r="D639" s="5">
        <f t="shared" si="1"/>
        <v>2020</v>
      </c>
      <c r="E639" s="12">
        <f t="shared" si="2"/>
        <v>1.39293197</v>
      </c>
      <c r="F639" s="8">
        <f t="shared" si="3"/>
        <v>112829979</v>
      </c>
    </row>
    <row r="640">
      <c r="A640" s="1">
        <v>639.0</v>
      </c>
      <c r="B640" s="8">
        <f>Filmes_final!C640</f>
        <v>16756372</v>
      </c>
      <c r="C640" s="5">
        <f>Filmes_final!D640</f>
        <v>2004</v>
      </c>
      <c r="D640" s="5">
        <f t="shared" si="1"/>
        <v>2020</v>
      </c>
      <c r="E640" s="12">
        <f t="shared" si="2"/>
        <v>1.39293197</v>
      </c>
      <c r="F640" s="8">
        <f t="shared" si="3"/>
        <v>23340486</v>
      </c>
    </row>
    <row r="641">
      <c r="A641" s="1">
        <v>640.0</v>
      </c>
      <c r="B641" s="8">
        <f>Filmes_final!C641</f>
        <v>181655</v>
      </c>
      <c r="C641" s="5">
        <f>Filmes_final!D641</f>
        <v>2002</v>
      </c>
      <c r="D641" s="5">
        <f t="shared" si="1"/>
        <v>2020</v>
      </c>
      <c r="E641" s="12">
        <f t="shared" si="2"/>
        <v>1.45664032</v>
      </c>
      <c r="F641" s="8">
        <f t="shared" si="3"/>
        <v>264606</v>
      </c>
    </row>
    <row r="642">
      <c r="A642" s="1">
        <v>641.0</v>
      </c>
      <c r="B642" s="8">
        <f>Filmes_final!C642</f>
        <v>7002255</v>
      </c>
      <c r="C642" s="5">
        <f>Filmes_final!D642</f>
        <v>2003</v>
      </c>
      <c r="D642" s="5">
        <f t="shared" si="1"/>
        <v>2020</v>
      </c>
      <c r="E642" s="12">
        <f t="shared" si="2"/>
        <v>1.41976335</v>
      </c>
      <c r="F642" s="8">
        <f t="shared" si="3"/>
        <v>9941545</v>
      </c>
    </row>
    <row r="643">
      <c r="A643" s="1">
        <v>642.0</v>
      </c>
      <c r="B643" s="8">
        <f>Filmes_final!C643</f>
        <v>124071</v>
      </c>
      <c r="C643" s="5">
        <f>Filmes_final!D643</f>
        <v>2000</v>
      </c>
      <c r="D643" s="5">
        <f t="shared" si="1"/>
        <v>2020</v>
      </c>
      <c r="E643" s="12">
        <f t="shared" si="2"/>
        <v>1.52826422</v>
      </c>
      <c r="F643" s="8">
        <f t="shared" si="3"/>
        <v>189613</v>
      </c>
    </row>
    <row r="644">
      <c r="A644" s="1">
        <v>643.0</v>
      </c>
      <c r="B644" s="8">
        <f>Filmes_final!C644</f>
        <v>54234062</v>
      </c>
      <c r="C644" s="5">
        <f>Filmes_final!D644</f>
        <v>2002</v>
      </c>
      <c r="D644" s="5">
        <f t="shared" si="1"/>
        <v>2020</v>
      </c>
      <c r="E644" s="12">
        <f t="shared" si="2"/>
        <v>1.45664032</v>
      </c>
      <c r="F644" s="8">
        <f t="shared" si="3"/>
        <v>78999521</v>
      </c>
    </row>
    <row r="645">
      <c r="A645" s="1">
        <v>644.0</v>
      </c>
      <c r="B645" s="8">
        <f>Filmes_final!C645</f>
        <v>2892011</v>
      </c>
      <c r="C645" s="5">
        <f>Filmes_final!D645</f>
        <v>2001</v>
      </c>
      <c r="D645" s="5">
        <f t="shared" si="1"/>
        <v>2020</v>
      </c>
      <c r="E645" s="12">
        <f t="shared" si="2"/>
        <v>1.47327813</v>
      </c>
      <c r="F645" s="8">
        <f t="shared" si="3"/>
        <v>4260737</v>
      </c>
    </row>
    <row r="646">
      <c r="A646" s="1">
        <v>645.0</v>
      </c>
      <c r="B646" s="8">
        <f>Filmes_final!C646</f>
        <v>115654751</v>
      </c>
      <c r="C646" s="5">
        <f>Filmes_final!D646</f>
        <v>2000</v>
      </c>
      <c r="D646" s="5">
        <f t="shared" si="1"/>
        <v>2020</v>
      </c>
      <c r="E646" s="12">
        <f t="shared" si="2"/>
        <v>1.52826422</v>
      </c>
      <c r="F646" s="8">
        <f t="shared" si="3"/>
        <v>176751018</v>
      </c>
    </row>
    <row r="647">
      <c r="A647" s="1">
        <v>646.0</v>
      </c>
      <c r="B647" s="8">
        <f>Filmes_final!C647</f>
        <v>128078872</v>
      </c>
      <c r="C647" s="5">
        <f>Filmes_final!D647</f>
        <v>2000</v>
      </c>
      <c r="D647" s="5">
        <f t="shared" si="1"/>
        <v>2020</v>
      </c>
      <c r="E647" s="12">
        <f t="shared" si="2"/>
        <v>1.52826422</v>
      </c>
      <c r="F647" s="8">
        <f t="shared" si="3"/>
        <v>195738357</v>
      </c>
    </row>
    <row r="648">
      <c r="A648" s="1">
        <v>647.0</v>
      </c>
      <c r="B648" s="8">
        <f>Filmes_final!C648</f>
        <v>8264530</v>
      </c>
      <c r="C648" s="5">
        <f>Filmes_final!D648</f>
        <v>1999</v>
      </c>
      <c r="D648" s="5">
        <f t="shared" si="1"/>
        <v>2020</v>
      </c>
      <c r="E648" s="12">
        <f t="shared" si="2"/>
        <v>1.57012173</v>
      </c>
      <c r="F648" s="8">
        <f t="shared" si="3"/>
        <v>12976318</v>
      </c>
    </row>
    <row r="649">
      <c r="A649" s="1">
        <v>648.0</v>
      </c>
      <c r="B649" s="8">
        <f>Filmes_final!C649</f>
        <v>233632142</v>
      </c>
      <c r="C649" s="5">
        <f>Filmes_final!D649</f>
        <v>2000</v>
      </c>
      <c r="D649" s="5">
        <f t="shared" si="1"/>
        <v>2020</v>
      </c>
      <c r="E649" s="12">
        <f t="shared" si="2"/>
        <v>1.52826422</v>
      </c>
      <c r="F649" s="8">
        <f t="shared" si="3"/>
        <v>357051643</v>
      </c>
    </row>
    <row r="650">
      <c r="A650" s="1">
        <v>649.0</v>
      </c>
      <c r="B650" s="8">
        <f>Filmes_final!C650</f>
        <v>25812</v>
      </c>
      <c r="C650" s="5">
        <f>Filmes_final!D650</f>
        <v>1999</v>
      </c>
      <c r="D650" s="5">
        <f t="shared" si="1"/>
        <v>2020</v>
      </c>
      <c r="E650" s="12">
        <f t="shared" si="2"/>
        <v>1.57012173</v>
      </c>
      <c r="F650" s="8">
        <f t="shared" si="3"/>
        <v>40528</v>
      </c>
    </row>
    <row r="651">
      <c r="A651" s="1">
        <v>650.0</v>
      </c>
      <c r="B651" s="8">
        <f>Filmes_final!C651</f>
        <v>28965197</v>
      </c>
      <c r="C651" s="5">
        <f>Filmes_final!D651</f>
        <v>1999</v>
      </c>
      <c r="D651" s="5">
        <f t="shared" si="1"/>
        <v>2020</v>
      </c>
      <c r="E651" s="12">
        <f t="shared" si="2"/>
        <v>1.57012173</v>
      </c>
      <c r="F651" s="8">
        <f t="shared" si="3"/>
        <v>45478885</v>
      </c>
    </row>
    <row r="652">
      <c r="A652" s="1">
        <v>651.0</v>
      </c>
      <c r="B652" s="8">
        <f>Filmes_final!C652</f>
        <v>32481825</v>
      </c>
      <c r="C652" s="5">
        <f>Filmes_final!D652</f>
        <v>1999</v>
      </c>
      <c r="D652" s="5">
        <f t="shared" si="1"/>
        <v>2020</v>
      </c>
      <c r="E652" s="12">
        <f t="shared" si="2"/>
        <v>1.57012173</v>
      </c>
      <c r="F652" s="8">
        <f t="shared" si="3"/>
        <v>51000419</v>
      </c>
    </row>
    <row r="653">
      <c r="A653" s="1">
        <v>652.0</v>
      </c>
      <c r="B653" s="8">
        <f>Filmes_final!C653</f>
        <v>267665011</v>
      </c>
      <c r="C653" s="5">
        <f>Filmes_final!D653</f>
        <v>2001</v>
      </c>
      <c r="D653" s="5">
        <f t="shared" si="1"/>
        <v>2020</v>
      </c>
      <c r="E653" s="12">
        <f t="shared" si="2"/>
        <v>1.47327813</v>
      </c>
      <c r="F653" s="8">
        <f t="shared" si="3"/>
        <v>394345007</v>
      </c>
    </row>
    <row r="654">
      <c r="A654" s="1">
        <v>653.0</v>
      </c>
      <c r="B654" s="8">
        <f>Filmes_final!C654</f>
        <v>659325379</v>
      </c>
      <c r="C654" s="5">
        <f>Filmes_final!D654</f>
        <v>1997</v>
      </c>
      <c r="D654" s="5">
        <f t="shared" si="1"/>
        <v>2020</v>
      </c>
      <c r="E654" s="12">
        <f t="shared" si="2"/>
        <v>1.62143935</v>
      </c>
      <c r="F654" s="8">
        <f t="shared" si="3"/>
        <v>1069056114</v>
      </c>
    </row>
    <row r="655">
      <c r="A655" s="1">
        <v>654.0</v>
      </c>
      <c r="B655" s="8">
        <f>Filmes_final!C655</f>
        <v>233986</v>
      </c>
      <c r="C655" s="5">
        <f>Filmes_final!D655</f>
        <v>1997</v>
      </c>
      <c r="D655" s="5">
        <f t="shared" si="1"/>
        <v>2020</v>
      </c>
      <c r="E655" s="12">
        <f t="shared" si="2"/>
        <v>1.62143935</v>
      </c>
      <c r="F655" s="8">
        <f t="shared" si="3"/>
        <v>379394</v>
      </c>
    </row>
    <row r="656">
      <c r="A656" s="1">
        <v>655.0</v>
      </c>
      <c r="B656" s="8">
        <f>Filmes_final!C656</f>
        <v>12339633</v>
      </c>
      <c r="C656" s="5">
        <f>Filmes_final!D656</f>
        <v>1997</v>
      </c>
      <c r="D656" s="5">
        <f t="shared" si="1"/>
        <v>2020</v>
      </c>
      <c r="E656" s="12">
        <f t="shared" si="2"/>
        <v>1.62143935</v>
      </c>
      <c r="F656" s="8">
        <f t="shared" si="3"/>
        <v>20007967</v>
      </c>
    </row>
    <row r="657">
      <c r="A657" s="1">
        <v>656.0</v>
      </c>
      <c r="B657" s="8">
        <f>Filmes_final!C657</f>
        <v>48323648</v>
      </c>
      <c r="C657" s="5">
        <f>Filmes_final!D657</f>
        <v>1997</v>
      </c>
      <c r="D657" s="5">
        <f t="shared" si="1"/>
        <v>2020</v>
      </c>
      <c r="E657" s="12">
        <f t="shared" si="2"/>
        <v>1.62143935</v>
      </c>
      <c r="F657" s="8">
        <f t="shared" si="3"/>
        <v>78353864</v>
      </c>
    </row>
    <row r="658">
      <c r="A658" s="1">
        <v>657.0</v>
      </c>
      <c r="B658" s="8">
        <f>Filmes_final!C658</f>
        <v>4040691</v>
      </c>
      <c r="C658" s="5">
        <f>Filmes_final!D658</f>
        <v>1996</v>
      </c>
      <c r="D658" s="5">
        <f t="shared" si="1"/>
        <v>2020</v>
      </c>
      <c r="E658" s="12">
        <f t="shared" si="2"/>
        <v>1.67079663</v>
      </c>
      <c r="F658" s="8">
        <f t="shared" si="3"/>
        <v>6751173</v>
      </c>
    </row>
    <row r="659">
      <c r="A659" s="1">
        <v>658.0</v>
      </c>
      <c r="B659" s="8">
        <f>Filmes_final!C659</f>
        <v>5887457</v>
      </c>
      <c r="C659" s="5">
        <f>Filmes_final!D659</f>
        <v>1994</v>
      </c>
      <c r="D659" s="5">
        <f t="shared" si="1"/>
        <v>2020</v>
      </c>
      <c r="E659" s="12">
        <f t="shared" si="2"/>
        <v>1.76450752</v>
      </c>
      <c r="F659" s="8">
        <f t="shared" si="3"/>
        <v>10388462</v>
      </c>
    </row>
    <row r="660">
      <c r="A660" s="1">
        <v>659.0</v>
      </c>
      <c r="B660" s="8">
        <f>Filmes_final!C660</f>
        <v>9170214</v>
      </c>
      <c r="C660" s="5">
        <f>Filmes_final!D660</f>
        <v>1993</v>
      </c>
      <c r="D660" s="5">
        <f t="shared" si="1"/>
        <v>2020</v>
      </c>
      <c r="E660" s="12">
        <f t="shared" si="2"/>
        <v>1.8090533</v>
      </c>
      <c r="F660" s="8">
        <f t="shared" si="3"/>
        <v>16589406</v>
      </c>
    </row>
    <row r="661">
      <c r="A661" s="1">
        <v>660.0</v>
      </c>
      <c r="B661" s="8">
        <f>Filmes_final!C661</f>
        <v>56505065</v>
      </c>
      <c r="C661" s="5">
        <f>Filmes_final!D661</f>
        <v>1993</v>
      </c>
      <c r="D661" s="5">
        <f t="shared" si="1"/>
        <v>2020</v>
      </c>
      <c r="E661" s="12">
        <f t="shared" si="2"/>
        <v>1.8090533</v>
      </c>
      <c r="F661" s="8">
        <f t="shared" si="3"/>
        <v>102220674</v>
      </c>
    </row>
    <row r="662">
      <c r="A662" s="1">
        <v>661.0</v>
      </c>
      <c r="B662" s="8">
        <f>Filmes_final!C662</f>
        <v>32416586</v>
      </c>
      <c r="C662" s="5">
        <f>Filmes_final!D662</f>
        <v>1993</v>
      </c>
      <c r="D662" s="5">
        <f t="shared" si="1"/>
        <v>2020</v>
      </c>
      <c r="E662" s="12">
        <f t="shared" si="2"/>
        <v>1.8090533</v>
      </c>
      <c r="F662" s="8">
        <f t="shared" si="3"/>
        <v>58643332</v>
      </c>
    </row>
    <row r="663">
      <c r="A663" s="1">
        <v>662.0</v>
      </c>
      <c r="B663" s="8">
        <f>Filmes_final!C663</f>
        <v>22954968</v>
      </c>
      <c r="C663" s="5">
        <f>Filmes_final!D663</f>
        <v>1993</v>
      </c>
      <c r="D663" s="5">
        <f t="shared" si="1"/>
        <v>2020</v>
      </c>
      <c r="E663" s="12">
        <f t="shared" si="2"/>
        <v>1.8090533</v>
      </c>
      <c r="F663" s="8">
        <f t="shared" si="3"/>
        <v>41526761</v>
      </c>
    </row>
    <row r="664">
      <c r="A664" s="1">
        <v>663.0</v>
      </c>
      <c r="B664" s="8">
        <f>Filmes_final!C664</f>
        <v>1769305</v>
      </c>
      <c r="C664" s="5">
        <f>Filmes_final!D664</f>
        <v>1993</v>
      </c>
      <c r="D664" s="5">
        <f t="shared" si="1"/>
        <v>2020</v>
      </c>
      <c r="E664" s="12">
        <f t="shared" si="2"/>
        <v>1.8090533</v>
      </c>
      <c r="F664" s="8">
        <f t="shared" si="3"/>
        <v>3200767</v>
      </c>
    </row>
    <row r="665">
      <c r="A665" s="1">
        <v>664.0</v>
      </c>
      <c r="B665" s="8">
        <f>Filmes_final!C665</f>
        <v>183875760</v>
      </c>
      <c r="C665" s="5">
        <f>Filmes_final!D665</f>
        <v>1993</v>
      </c>
      <c r="D665" s="5">
        <f t="shared" si="1"/>
        <v>2020</v>
      </c>
      <c r="E665" s="12">
        <f t="shared" si="2"/>
        <v>1.8090533</v>
      </c>
      <c r="F665" s="8">
        <f t="shared" si="3"/>
        <v>332641050</v>
      </c>
    </row>
    <row r="666">
      <c r="A666" s="1">
        <v>665.0</v>
      </c>
      <c r="B666" s="8">
        <f>Filmes_final!C666</f>
        <v>17266971</v>
      </c>
      <c r="C666" s="5">
        <f>Filmes_final!D666</f>
        <v>1993</v>
      </c>
      <c r="D666" s="5">
        <f t="shared" si="1"/>
        <v>2020</v>
      </c>
      <c r="E666" s="12">
        <f t="shared" si="2"/>
        <v>1.8090533</v>
      </c>
      <c r="F666" s="8">
        <f t="shared" si="3"/>
        <v>31236871</v>
      </c>
    </row>
    <row r="667">
      <c r="A667" s="1">
        <v>666.0</v>
      </c>
      <c r="B667" s="8">
        <f>Filmes_final!C667</f>
        <v>5617391</v>
      </c>
      <c r="C667" s="5">
        <f>Filmes_final!D667</f>
        <v>1993</v>
      </c>
      <c r="D667" s="5">
        <f t="shared" si="1"/>
        <v>2020</v>
      </c>
      <c r="E667" s="12">
        <f t="shared" si="2"/>
        <v>1.8090533</v>
      </c>
      <c r="F667" s="8">
        <f t="shared" si="3"/>
        <v>10162160</v>
      </c>
    </row>
    <row r="668">
      <c r="A668" s="1">
        <v>667.0</v>
      </c>
      <c r="B668" s="8">
        <f>Filmes_final!C668</f>
        <v>4500000</v>
      </c>
      <c r="C668" s="5">
        <f>Filmes_final!D668</f>
        <v>1992</v>
      </c>
      <c r="D668" s="5">
        <f t="shared" si="1"/>
        <v>2020</v>
      </c>
      <c r="E668" s="12">
        <f t="shared" si="2"/>
        <v>1.86800145</v>
      </c>
      <c r="F668" s="8">
        <f t="shared" si="3"/>
        <v>8406007</v>
      </c>
    </row>
    <row r="669">
      <c r="A669" s="1">
        <v>668.0</v>
      </c>
      <c r="B669" s="8">
        <f>Filmes_final!C669</f>
        <v>2015810</v>
      </c>
      <c r="C669" s="5">
        <f>Filmes_final!D669</f>
        <v>1991</v>
      </c>
      <c r="D669" s="5">
        <f t="shared" si="1"/>
        <v>2020</v>
      </c>
      <c r="E669" s="12">
        <f t="shared" si="2"/>
        <v>1.91657504</v>
      </c>
      <c r="F669" s="8">
        <f t="shared" si="3"/>
        <v>3863451</v>
      </c>
    </row>
    <row r="670">
      <c r="A670" s="1">
        <v>669.0</v>
      </c>
      <c r="B670" s="8">
        <f>Filmes_final!C670</f>
        <v>1999955</v>
      </c>
      <c r="C670" s="5">
        <f>Filmes_final!D670</f>
        <v>1991</v>
      </c>
      <c r="D670" s="5">
        <f t="shared" si="1"/>
        <v>2020</v>
      </c>
      <c r="E670" s="12">
        <f t="shared" si="2"/>
        <v>1.91657504</v>
      </c>
      <c r="F670" s="8">
        <f t="shared" si="3"/>
        <v>3833064</v>
      </c>
    </row>
    <row r="671">
      <c r="A671" s="1">
        <v>670.0</v>
      </c>
      <c r="B671" s="8">
        <f>Filmes_final!C671</f>
        <v>57504069</v>
      </c>
      <c r="C671" s="5">
        <f>Filmes_final!D671</f>
        <v>1991</v>
      </c>
      <c r="D671" s="5">
        <f t="shared" si="1"/>
        <v>2020</v>
      </c>
      <c r="E671" s="12">
        <f t="shared" si="2"/>
        <v>1.91657504</v>
      </c>
      <c r="F671" s="8">
        <f t="shared" si="3"/>
        <v>110210863</v>
      </c>
    </row>
    <row r="672">
      <c r="A672" s="1">
        <v>671.0</v>
      </c>
      <c r="B672" s="8">
        <f>Filmes_final!C672</f>
        <v>61276872</v>
      </c>
      <c r="C672" s="5">
        <f>Filmes_final!D672</f>
        <v>1990</v>
      </c>
      <c r="D672" s="5">
        <f t="shared" si="1"/>
        <v>2020</v>
      </c>
      <c r="E672" s="12">
        <f t="shared" si="2"/>
        <v>2.02489011</v>
      </c>
      <c r="F672" s="8">
        <f t="shared" si="3"/>
        <v>124078932</v>
      </c>
    </row>
    <row r="673">
      <c r="A673" s="1">
        <v>672.0</v>
      </c>
      <c r="B673" s="8">
        <f>Filmes_final!C673</f>
        <v>52096475</v>
      </c>
      <c r="C673" s="5">
        <f>Filmes_final!D673</f>
        <v>1990</v>
      </c>
      <c r="D673" s="5">
        <f t="shared" si="1"/>
        <v>2020</v>
      </c>
      <c r="E673" s="12">
        <f t="shared" si="2"/>
        <v>2.02489011</v>
      </c>
      <c r="F673" s="8">
        <f t="shared" si="3"/>
        <v>105489637</v>
      </c>
    </row>
    <row r="674">
      <c r="A674" s="1">
        <v>673.0</v>
      </c>
      <c r="B674" s="8">
        <f>Filmes_final!C674</f>
        <v>10151019</v>
      </c>
      <c r="C674" s="5">
        <f>Filmes_final!D674</f>
        <v>1989</v>
      </c>
      <c r="D674" s="5">
        <f t="shared" si="1"/>
        <v>2020</v>
      </c>
      <c r="E674" s="12">
        <f t="shared" si="2"/>
        <v>2.13023121</v>
      </c>
      <c r="F674" s="8">
        <f t="shared" si="3"/>
        <v>21624017</v>
      </c>
    </row>
    <row r="675">
      <c r="A675" s="1">
        <v>674.0</v>
      </c>
      <c r="B675" s="8">
        <f>Filmes_final!C675</f>
        <v>26830000</v>
      </c>
      <c r="C675" s="5">
        <f>Filmes_final!D675</f>
        <v>1989</v>
      </c>
      <c r="D675" s="5">
        <f t="shared" si="1"/>
        <v>2020</v>
      </c>
      <c r="E675" s="12">
        <f t="shared" si="2"/>
        <v>2.13023121</v>
      </c>
      <c r="F675" s="8">
        <f t="shared" si="3"/>
        <v>57154103</v>
      </c>
    </row>
    <row r="676">
      <c r="A676" s="1">
        <v>675.0</v>
      </c>
      <c r="B676" s="8">
        <f>Filmes_final!C676</f>
        <v>2340425</v>
      </c>
      <c r="C676" s="5">
        <f>Filmes_final!D676</f>
        <v>1989</v>
      </c>
      <c r="D676" s="5">
        <f t="shared" si="1"/>
        <v>2020</v>
      </c>
      <c r="E676" s="12">
        <f t="shared" si="2"/>
        <v>2.13023121</v>
      </c>
      <c r="F676" s="8">
        <f t="shared" si="3"/>
        <v>4985646</v>
      </c>
    </row>
    <row r="677">
      <c r="A677" s="1">
        <v>676.0</v>
      </c>
      <c r="B677" s="8">
        <f>Filmes_final!C677</f>
        <v>118500000</v>
      </c>
      <c r="C677" s="5">
        <f>Filmes_final!D677</f>
        <v>1989</v>
      </c>
      <c r="D677" s="5">
        <f t="shared" si="1"/>
        <v>2020</v>
      </c>
      <c r="E677" s="12">
        <f t="shared" si="2"/>
        <v>2.13023121</v>
      </c>
      <c r="F677" s="8">
        <f t="shared" si="3"/>
        <v>252432398</v>
      </c>
    </row>
    <row r="678">
      <c r="A678" s="1">
        <v>677.0</v>
      </c>
      <c r="B678" s="8">
        <f>Filmes_final!C678</f>
        <v>34603943</v>
      </c>
      <c r="C678" s="5">
        <f>Filmes_final!D678</f>
        <v>1988</v>
      </c>
      <c r="D678" s="5">
        <f t="shared" si="1"/>
        <v>2020</v>
      </c>
      <c r="E678" s="12">
        <f t="shared" si="2"/>
        <v>2.22965428</v>
      </c>
      <c r="F678" s="8">
        <f t="shared" si="3"/>
        <v>77154830</v>
      </c>
    </row>
    <row r="679">
      <c r="A679" s="1">
        <v>678.0</v>
      </c>
      <c r="B679" s="8">
        <f>Filmes_final!C679</f>
        <v>59735548</v>
      </c>
      <c r="C679" s="5">
        <f>Filmes_final!D679</f>
        <v>1987</v>
      </c>
      <c r="D679" s="5">
        <f t="shared" si="1"/>
        <v>2020</v>
      </c>
      <c r="E679" s="12">
        <f t="shared" si="2"/>
        <v>2.31988309</v>
      </c>
      <c r="F679" s="8">
        <f t="shared" si="3"/>
        <v>138579488</v>
      </c>
    </row>
    <row r="680">
      <c r="A680" s="1">
        <v>679.0</v>
      </c>
      <c r="B680" s="8">
        <f>Filmes_final!C680</f>
        <v>5923044</v>
      </c>
      <c r="C680" s="5">
        <f>Filmes_final!D680</f>
        <v>1987</v>
      </c>
      <c r="D680" s="5">
        <f t="shared" si="1"/>
        <v>2020</v>
      </c>
      <c r="E680" s="12">
        <f t="shared" si="2"/>
        <v>2.31988309</v>
      </c>
      <c r="F680" s="8">
        <f t="shared" si="3"/>
        <v>13740770</v>
      </c>
    </row>
    <row r="681">
      <c r="A681" s="1">
        <v>680.0</v>
      </c>
      <c r="B681" s="8">
        <f>Filmes_final!C681</f>
        <v>70136369</v>
      </c>
      <c r="C681" s="5">
        <f>Filmes_final!D681</f>
        <v>1986</v>
      </c>
      <c r="D681" s="5">
        <f t="shared" si="1"/>
        <v>2020</v>
      </c>
      <c r="E681" s="12">
        <f t="shared" si="2"/>
        <v>2.35375</v>
      </c>
      <c r="F681" s="8">
        <f t="shared" si="3"/>
        <v>165083479</v>
      </c>
    </row>
    <row r="682">
      <c r="A682" s="1">
        <v>681.0</v>
      </c>
      <c r="B682" s="8">
        <f>Filmes_final!C682</f>
        <v>1436000</v>
      </c>
      <c r="C682" s="5">
        <f>Filmes_final!D682</f>
        <v>1986</v>
      </c>
      <c r="D682" s="5">
        <f t="shared" si="1"/>
        <v>2020</v>
      </c>
      <c r="E682" s="12">
        <f t="shared" si="2"/>
        <v>2.35375</v>
      </c>
      <c r="F682" s="8">
        <f t="shared" si="3"/>
        <v>3379985</v>
      </c>
    </row>
    <row r="683">
      <c r="A683" s="1">
        <v>682.0</v>
      </c>
      <c r="B683" s="8">
        <f>Filmes_final!C683</f>
        <v>61503218</v>
      </c>
      <c r="C683" s="5">
        <f>Filmes_final!D683</f>
        <v>1985</v>
      </c>
      <c r="D683" s="5">
        <f t="shared" si="1"/>
        <v>2020</v>
      </c>
      <c r="E683" s="12">
        <f t="shared" si="2"/>
        <v>2.44522275</v>
      </c>
      <c r="F683" s="8">
        <f t="shared" si="3"/>
        <v>150389068</v>
      </c>
    </row>
    <row r="684">
      <c r="A684" s="1">
        <v>683.0</v>
      </c>
      <c r="B684" s="8">
        <f>Filmes_final!C684</f>
        <v>98467863</v>
      </c>
      <c r="C684" s="5">
        <f>Filmes_final!D684</f>
        <v>1985</v>
      </c>
      <c r="D684" s="5">
        <f t="shared" si="1"/>
        <v>2020</v>
      </c>
      <c r="E684" s="12">
        <f t="shared" si="2"/>
        <v>2.44522275</v>
      </c>
      <c r="F684" s="8">
        <f t="shared" si="3"/>
        <v>240775859</v>
      </c>
    </row>
    <row r="685">
      <c r="A685" s="1">
        <v>684.0</v>
      </c>
      <c r="B685" s="8">
        <f>Filmes_final!C685</f>
        <v>45875171</v>
      </c>
      <c r="C685" s="5">
        <f>Filmes_final!D685</f>
        <v>1985</v>
      </c>
      <c r="D685" s="5">
        <f t="shared" si="1"/>
        <v>2020</v>
      </c>
      <c r="E685" s="12">
        <f t="shared" si="2"/>
        <v>2.44522275</v>
      </c>
      <c r="F685" s="8">
        <f t="shared" si="3"/>
        <v>112175012</v>
      </c>
    </row>
    <row r="686">
      <c r="A686" s="1">
        <v>685.0</v>
      </c>
      <c r="B686" s="8">
        <f>Filmes_final!C686</f>
        <v>34700291</v>
      </c>
      <c r="C686" s="5">
        <f>Filmes_final!D686</f>
        <v>1984</v>
      </c>
      <c r="D686" s="5">
        <f t="shared" si="1"/>
        <v>2020</v>
      </c>
      <c r="E686" s="12">
        <f t="shared" si="2"/>
        <v>2.53160942</v>
      </c>
      <c r="F686" s="8">
        <f t="shared" si="3"/>
        <v>87847584</v>
      </c>
    </row>
    <row r="687">
      <c r="A687" s="1">
        <v>686.0</v>
      </c>
      <c r="B687" s="8">
        <f>Filmes_final!C687</f>
        <v>238632124</v>
      </c>
      <c r="C687" s="5">
        <f>Filmes_final!D687</f>
        <v>1984</v>
      </c>
      <c r="D687" s="5">
        <f t="shared" si="1"/>
        <v>2020</v>
      </c>
      <c r="E687" s="12">
        <f t="shared" si="2"/>
        <v>2.53160942</v>
      </c>
      <c r="F687" s="8">
        <f t="shared" si="3"/>
        <v>604123333</v>
      </c>
    </row>
    <row r="688">
      <c r="A688" s="1">
        <v>687.0</v>
      </c>
      <c r="B688" s="8">
        <f>Filmes_final!C688</f>
        <v>21500000</v>
      </c>
      <c r="C688" s="5">
        <f>Filmes_final!D688</f>
        <v>1983</v>
      </c>
      <c r="D688" s="5">
        <f t="shared" si="1"/>
        <v>2020</v>
      </c>
      <c r="E688" s="12">
        <f t="shared" si="2"/>
        <v>2.63774029</v>
      </c>
      <c r="F688" s="8">
        <f t="shared" si="3"/>
        <v>56711416</v>
      </c>
    </row>
    <row r="689">
      <c r="A689" s="1">
        <v>688.0</v>
      </c>
      <c r="B689" s="8">
        <f>Filmes_final!C689</f>
        <v>2500000</v>
      </c>
      <c r="C689" s="5">
        <f>Filmes_final!D689</f>
        <v>1982</v>
      </c>
      <c r="D689" s="5">
        <f t="shared" si="1"/>
        <v>2020</v>
      </c>
      <c r="E689" s="12">
        <f t="shared" si="2"/>
        <v>2.73564157</v>
      </c>
      <c r="F689" s="8">
        <f t="shared" si="3"/>
        <v>6839104</v>
      </c>
    </row>
    <row r="690">
      <c r="A690" s="1">
        <v>689.0</v>
      </c>
      <c r="B690" s="8">
        <f>Filmes_final!C690</f>
        <v>435110554</v>
      </c>
      <c r="C690" s="5">
        <f>Filmes_final!D690</f>
        <v>1982</v>
      </c>
      <c r="D690" s="5">
        <f t="shared" si="1"/>
        <v>2020</v>
      </c>
      <c r="E690" s="12">
        <f t="shared" si="2"/>
        <v>2.73564157</v>
      </c>
      <c r="F690" s="8">
        <f t="shared" si="3"/>
        <v>1190306519</v>
      </c>
    </row>
    <row r="691">
      <c r="A691" s="1">
        <v>690.0</v>
      </c>
      <c r="B691" s="8">
        <f>Filmes_final!C691</f>
        <v>106260000</v>
      </c>
      <c r="C691" s="5">
        <f>Filmes_final!D691</f>
        <v>1979</v>
      </c>
      <c r="D691" s="5">
        <f t="shared" si="1"/>
        <v>2020</v>
      </c>
      <c r="E691" s="12">
        <f t="shared" si="2"/>
        <v>3.77702782</v>
      </c>
      <c r="F691" s="8">
        <f t="shared" si="3"/>
        <v>401346976</v>
      </c>
    </row>
    <row r="692">
      <c r="A692" s="1">
        <v>691.0</v>
      </c>
      <c r="B692" s="8">
        <f>Filmes_final!C692</f>
        <v>3446749</v>
      </c>
      <c r="C692" s="5">
        <f>Filmes_final!D692</f>
        <v>1978</v>
      </c>
      <c r="D692" s="5">
        <f t="shared" si="1"/>
        <v>2020</v>
      </c>
      <c r="E692" s="12">
        <f t="shared" si="2"/>
        <v>4.127536</v>
      </c>
      <c r="F692" s="8">
        <f t="shared" si="3"/>
        <v>14226581</v>
      </c>
    </row>
    <row r="693">
      <c r="A693" s="1">
        <v>692.0</v>
      </c>
      <c r="B693" s="8">
        <f>Filmes_final!C693</f>
        <v>31800000</v>
      </c>
      <c r="C693" s="5">
        <f>Filmes_final!D693</f>
        <v>1976</v>
      </c>
      <c r="D693" s="5">
        <f t="shared" si="1"/>
        <v>2020</v>
      </c>
      <c r="E693" s="12">
        <f t="shared" si="2"/>
        <v>4.63976619</v>
      </c>
      <c r="F693" s="8">
        <f t="shared" si="3"/>
        <v>147544565</v>
      </c>
    </row>
    <row r="694">
      <c r="A694" s="1">
        <v>693.0</v>
      </c>
      <c r="B694" s="8">
        <f>Filmes_final!C694</f>
        <v>12678</v>
      </c>
      <c r="C694" s="5">
        <f>Filmes_final!D694</f>
        <v>1975</v>
      </c>
      <c r="D694" s="5">
        <f t="shared" si="1"/>
        <v>2020</v>
      </c>
      <c r="E694" s="12">
        <f t="shared" si="2"/>
        <v>4.95145873</v>
      </c>
      <c r="F694" s="8">
        <f t="shared" si="3"/>
        <v>62775</v>
      </c>
    </row>
    <row r="695">
      <c r="A695" s="1">
        <v>694.0</v>
      </c>
      <c r="B695" s="8">
        <f>Filmes_final!C695</f>
        <v>4420000</v>
      </c>
      <c r="C695" s="5">
        <f>Filmes_final!D695</f>
        <v>1974</v>
      </c>
      <c r="D695" s="5">
        <f t="shared" si="1"/>
        <v>2020</v>
      </c>
      <c r="E695" s="12">
        <f t="shared" si="2"/>
        <v>5.53585837</v>
      </c>
      <c r="F695" s="8">
        <f t="shared" si="3"/>
        <v>24468494</v>
      </c>
    </row>
    <row r="696">
      <c r="A696" s="1">
        <v>695.0</v>
      </c>
      <c r="B696" s="8">
        <f>Filmes_final!C696</f>
        <v>193817</v>
      </c>
      <c r="C696" s="5">
        <f>Filmes_final!D696</f>
        <v>1973</v>
      </c>
      <c r="D696" s="5">
        <f t="shared" si="1"/>
        <v>2020</v>
      </c>
      <c r="E696" s="12">
        <f t="shared" si="2"/>
        <v>6.05565728</v>
      </c>
      <c r="F696" s="8">
        <f t="shared" si="3"/>
        <v>1173689</v>
      </c>
    </row>
    <row r="697">
      <c r="A697" s="1">
        <v>696.0</v>
      </c>
      <c r="B697" s="8">
        <f>Filmes_final!C697</f>
        <v>16056255</v>
      </c>
      <c r="C697" s="5">
        <f>Filmes_final!D697</f>
        <v>1973</v>
      </c>
      <c r="D697" s="5">
        <f t="shared" si="1"/>
        <v>2020</v>
      </c>
      <c r="E697" s="12">
        <f t="shared" si="2"/>
        <v>6.05565728</v>
      </c>
      <c r="F697" s="8">
        <f t="shared" si="3"/>
        <v>97231177</v>
      </c>
    </row>
    <row r="698">
      <c r="A698" s="1">
        <v>697.0</v>
      </c>
      <c r="B698" s="8">
        <f>Filmes_final!C698</f>
        <v>0</v>
      </c>
      <c r="C698" s="5">
        <f>Filmes_final!D698</f>
        <v>1973</v>
      </c>
      <c r="D698" s="5">
        <f t="shared" si="1"/>
        <v>2020</v>
      </c>
      <c r="E698" s="12">
        <f t="shared" si="2"/>
        <v>6.05565728</v>
      </c>
      <c r="F698" s="8">
        <f t="shared" si="3"/>
        <v>0</v>
      </c>
    </row>
    <row r="699">
      <c r="A699" s="1">
        <v>698.0</v>
      </c>
      <c r="B699" s="8">
        <f>Filmes_final!C699</f>
        <v>42765000</v>
      </c>
      <c r="C699" s="5">
        <f>Filmes_final!D699</f>
        <v>1972</v>
      </c>
      <c r="D699" s="5">
        <f t="shared" si="1"/>
        <v>2020</v>
      </c>
      <c r="E699" s="12">
        <f t="shared" si="2"/>
        <v>6.27666667</v>
      </c>
      <c r="F699" s="8">
        <f t="shared" si="3"/>
        <v>268421650</v>
      </c>
    </row>
    <row r="700">
      <c r="A700" s="1">
        <v>699.0</v>
      </c>
      <c r="B700" s="8">
        <f>Filmes_final!C700</f>
        <v>4000000</v>
      </c>
      <c r="C700" s="5">
        <f>Filmes_final!D700</f>
        <v>1971</v>
      </c>
      <c r="D700" s="5">
        <f t="shared" si="1"/>
        <v>2020</v>
      </c>
      <c r="E700" s="12">
        <f t="shared" si="2"/>
        <v>6.48168342</v>
      </c>
      <c r="F700" s="8">
        <f t="shared" si="3"/>
        <v>25926734</v>
      </c>
    </row>
    <row r="701">
      <c r="A701" s="1">
        <v>700.0</v>
      </c>
      <c r="B701" s="8">
        <f>Filmes_final!C701</f>
        <v>44785053</v>
      </c>
      <c r="C701" s="5">
        <f>Filmes_final!D701</f>
        <v>1969</v>
      </c>
      <c r="D701" s="5">
        <f t="shared" si="1"/>
        <v>2020</v>
      </c>
      <c r="E701" s="12">
        <f t="shared" si="2"/>
        <v>7.2463764</v>
      </c>
      <c r="F701" s="8">
        <f t="shared" si="3"/>
        <v>324529351</v>
      </c>
    </row>
    <row r="702">
      <c r="A702" s="1">
        <v>701.0</v>
      </c>
      <c r="B702" s="8">
        <f>Filmes_final!C702</f>
        <v>17550741</v>
      </c>
      <c r="C702" s="5">
        <f>Filmes_final!D702</f>
        <v>1967</v>
      </c>
      <c r="D702" s="5">
        <f t="shared" si="1"/>
        <v>2020</v>
      </c>
      <c r="E702" s="12">
        <f t="shared" si="2"/>
        <v>7.84106383</v>
      </c>
      <c r="F702" s="8">
        <f t="shared" si="3"/>
        <v>137616480</v>
      </c>
    </row>
    <row r="703">
      <c r="A703" s="1">
        <v>702.0</v>
      </c>
      <c r="B703" s="8">
        <f>Filmes_final!C703</f>
        <v>56700000</v>
      </c>
      <c r="C703" s="5">
        <f>Filmes_final!D703</f>
        <v>1967</v>
      </c>
      <c r="D703" s="5">
        <f t="shared" si="1"/>
        <v>2020</v>
      </c>
      <c r="E703" s="12">
        <f t="shared" si="2"/>
        <v>7.84106383</v>
      </c>
      <c r="F703" s="8">
        <f t="shared" si="3"/>
        <v>444588319</v>
      </c>
    </row>
    <row r="704">
      <c r="A704" s="1">
        <v>703.0</v>
      </c>
      <c r="B704" s="8">
        <f>Filmes_final!C704</f>
        <v>2500000</v>
      </c>
      <c r="C704" s="5">
        <f>Filmes_final!D704</f>
        <v>1967</v>
      </c>
      <c r="D704" s="5">
        <f t="shared" si="1"/>
        <v>2020</v>
      </c>
      <c r="E704" s="12">
        <f t="shared" si="2"/>
        <v>7.84106383</v>
      </c>
      <c r="F704" s="8">
        <f t="shared" si="3"/>
        <v>19602660</v>
      </c>
    </row>
    <row r="705">
      <c r="A705" s="1">
        <v>704.0</v>
      </c>
      <c r="B705" s="8">
        <f>Filmes_final!C705</f>
        <v>72000000</v>
      </c>
      <c r="C705" s="5">
        <f>Filmes_final!D705</f>
        <v>1964</v>
      </c>
      <c r="D705" s="5">
        <f t="shared" si="1"/>
        <v>2020</v>
      </c>
      <c r="E705" s="12">
        <f t="shared" si="2"/>
        <v>8.34857605</v>
      </c>
      <c r="F705" s="8">
        <f t="shared" si="3"/>
        <v>601097476</v>
      </c>
    </row>
    <row r="706">
      <c r="A706" s="1">
        <v>705.0</v>
      </c>
      <c r="B706" s="8">
        <f>Filmes_final!C706</f>
        <v>102272727</v>
      </c>
      <c r="C706" s="5">
        <f>Filmes_final!D706</f>
        <v>1964</v>
      </c>
      <c r="D706" s="5">
        <f t="shared" si="1"/>
        <v>2020</v>
      </c>
      <c r="E706" s="12">
        <f t="shared" si="2"/>
        <v>8.34857605</v>
      </c>
      <c r="F706" s="8">
        <f t="shared" si="3"/>
        <v>853831639</v>
      </c>
    </row>
    <row r="707">
      <c r="A707" s="1">
        <v>706.0</v>
      </c>
      <c r="B707" s="8">
        <f>Filmes_final!C707</f>
        <v>39100000</v>
      </c>
      <c r="C707" s="5">
        <f>Filmes_final!D707</f>
        <v>1962</v>
      </c>
      <c r="D707" s="5">
        <f t="shared" si="1"/>
        <v>2020</v>
      </c>
      <c r="E707" s="12">
        <f t="shared" si="2"/>
        <v>8.59903333</v>
      </c>
      <c r="F707" s="8">
        <f t="shared" si="3"/>
        <v>336222203</v>
      </c>
    </row>
    <row r="708">
      <c r="A708" s="1">
        <v>707.0</v>
      </c>
      <c r="B708" s="8">
        <f>Filmes_final!C708</f>
        <v>446908</v>
      </c>
      <c r="C708" s="5">
        <f>Filmes_final!D708</f>
        <v>1962</v>
      </c>
      <c r="D708" s="5">
        <f t="shared" si="1"/>
        <v>2020</v>
      </c>
      <c r="E708" s="12">
        <f t="shared" si="2"/>
        <v>8.59903333</v>
      </c>
      <c r="F708" s="8">
        <f t="shared" si="3"/>
        <v>3842977</v>
      </c>
    </row>
    <row r="709">
      <c r="A709" s="1">
        <v>708.0</v>
      </c>
      <c r="B709" s="8">
        <f>Filmes_final!C709</f>
        <v>2616000</v>
      </c>
      <c r="C709" s="5">
        <f>Filmes_final!D709</f>
        <v>1961</v>
      </c>
      <c r="D709" s="5">
        <f t="shared" si="1"/>
        <v>2020</v>
      </c>
      <c r="E709" s="12">
        <f t="shared" si="2"/>
        <v>8.65674497</v>
      </c>
      <c r="F709" s="8">
        <f t="shared" si="3"/>
        <v>22646045</v>
      </c>
    </row>
    <row r="710">
      <c r="A710" s="1">
        <v>709.0</v>
      </c>
      <c r="B710" s="8">
        <f>Filmes_final!C710</f>
        <v>336705</v>
      </c>
      <c r="C710" s="5">
        <f>Filmes_final!D710</f>
        <v>1960</v>
      </c>
      <c r="D710" s="5">
        <f t="shared" si="1"/>
        <v>2020</v>
      </c>
      <c r="E710" s="12">
        <f t="shared" si="2"/>
        <v>8.80447099</v>
      </c>
      <c r="F710" s="8">
        <f t="shared" si="3"/>
        <v>2964509</v>
      </c>
    </row>
    <row r="711">
      <c r="A711" s="1">
        <v>710.0</v>
      </c>
      <c r="B711" s="8">
        <f>Filmes_final!C711</f>
        <v>3000000</v>
      </c>
      <c r="C711" s="5">
        <f>Filmes_final!D711</f>
        <v>1948</v>
      </c>
      <c r="D711" s="5">
        <f t="shared" si="1"/>
        <v>2020</v>
      </c>
      <c r="E711" s="12">
        <f t="shared" si="2"/>
        <v>10.88485232</v>
      </c>
      <c r="F711" s="8">
        <f t="shared" si="3"/>
        <v>32654557</v>
      </c>
    </row>
    <row r="712">
      <c r="A712" s="1">
        <v>711.0</v>
      </c>
      <c r="B712" s="8">
        <f>Filmes_final!C712</f>
        <v>9524420</v>
      </c>
      <c r="C712" s="5">
        <f>Filmes_final!D712</f>
        <v>1948</v>
      </c>
      <c r="D712" s="5">
        <f t="shared" si="1"/>
        <v>2020</v>
      </c>
      <c r="E712" s="12">
        <f t="shared" si="2"/>
        <v>10.88485232</v>
      </c>
      <c r="F712" s="8">
        <f t="shared" si="3"/>
        <v>103671905</v>
      </c>
    </row>
    <row r="713">
      <c r="A713" s="1">
        <v>712.0</v>
      </c>
      <c r="B713" s="8">
        <f>Filmes_final!C713</f>
        <v>12459</v>
      </c>
      <c r="C713" s="5">
        <f>Filmes_final!D713</f>
        <v>1944</v>
      </c>
      <c r="D713" s="5">
        <f t="shared" si="1"/>
        <v>2020</v>
      </c>
      <c r="E713" s="12">
        <f t="shared" si="2"/>
        <v>14.82591954</v>
      </c>
      <c r="F713" s="8">
        <f t="shared" si="3"/>
        <v>184716</v>
      </c>
    </row>
    <row r="714">
      <c r="A714" s="1">
        <v>713.0</v>
      </c>
      <c r="B714" s="8">
        <f>Filmes_final!C714</f>
        <v>714</v>
      </c>
      <c r="C714" s="5">
        <f>Filmes_final!D714</f>
        <v>1943</v>
      </c>
      <c r="D714" s="5">
        <f t="shared" si="1"/>
        <v>2020</v>
      </c>
      <c r="E714" s="12">
        <f t="shared" si="2"/>
        <v>15.26455621</v>
      </c>
      <c r="F714" s="8">
        <f t="shared" si="3"/>
        <v>10899</v>
      </c>
    </row>
    <row r="715">
      <c r="A715" s="1">
        <v>714.0</v>
      </c>
      <c r="B715" s="8">
        <f>Filmes_final!C715</f>
        <v>392</v>
      </c>
      <c r="C715" s="5">
        <f>Filmes_final!D715</f>
        <v>1939</v>
      </c>
      <c r="D715" s="5">
        <f t="shared" si="1"/>
        <v>2020</v>
      </c>
      <c r="E715" s="12">
        <f t="shared" si="2"/>
        <v>18.4265</v>
      </c>
      <c r="F715" s="8">
        <f t="shared" si="3"/>
        <v>7223</v>
      </c>
    </row>
    <row r="716">
      <c r="A716" s="1">
        <v>715.0</v>
      </c>
      <c r="B716" s="8">
        <f>Filmes_final!C716</f>
        <v>39776</v>
      </c>
      <c r="C716" s="5">
        <f>Filmes_final!D716</f>
        <v>1938</v>
      </c>
      <c r="D716" s="5">
        <f t="shared" si="1"/>
        <v>2020</v>
      </c>
      <c r="E716" s="12">
        <f t="shared" si="2"/>
        <v>18.16697183</v>
      </c>
      <c r="F716" s="8">
        <f t="shared" si="3"/>
        <v>722609</v>
      </c>
    </row>
    <row r="717">
      <c r="A717" s="1">
        <v>716.0</v>
      </c>
      <c r="B717" s="8">
        <f>Filmes_final!C717</f>
        <v>11180</v>
      </c>
      <c r="C717" s="5">
        <f>Filmes_final!D717</f>
        <v>1938</v>
      </c>
      <c r="D717" s="5">
        <f t="shared" si="1"/>
        <v>2020</v>
      </c>
      <c r="E717" s="12">
        <f t="shared" si="2"/>
        <v>18.16697183</v>
      </c>
      <c r="F717" s="8">
        <f t="shared" si="3"/>
        <v>203107</v>
      </c>
    </row>
    <row r="718">
      <c r="A718" s="1">
        <v>717.0</v>
      </c>
      <c r="B718" s="8">
        <f>Filmes_final!C718</f>
        <v>4360000</v>
      </c>
      <c r="C718" s="5">
        <f>Filmes_final!D718</f>
        <v>1935</v>
      </c>
      <c r="D718" s="5">
        <f t="shared" si="1"/>
        <v>2020</v>
      </c>
      <c r="E718" s="12">
        <f t="shared" si="2"/>
        <v>18.96845588</v>
      </c>
      <c r="F718" s="8">
        <f t="shared" si="3"/>
        <v>82702468</v>
      </c>
    </row>
    <row r="719">
      <c r="A719" s="1">
        <v>718.0</v>
      </c>
      <c r="B719" s="8">
        <f>Filmes_final!C719</f>
        <v>103800</v>
      </c>
      <c r="C719" s="5">
        <f>Filmes_final!D719</f>
        <v>1933</v>
      </c>
      <c r="D719" s="5">
        <f t="shared" si="1"/>
        <v>2020</v>
      </c>
      <c r="E719" s="12">
        <f t="shared" si="2"/>
        <v>19.99775194</v>
      </c>
      <c r="F719" s="8">
        <f t="shared" si="3"/>
        <v>2075767</v>
      </c>
    </row>
    <row r="720">
      <c r="A720" s="1">
        <v>719.0</v>
      </c>
      <c r="B720" s="8">
        <f>Filmes_final!C720</f>
        <v>1308000</v>
      </c>
      <c r="C720" s="5">
        <f>Filmes_final!D720</f>
        <v>1932</v>
      </c>
      <c r="D720" s="5">
        <f t="shared" si="1"/>
        <v>2020</v>
      </c>
      <c r="E720" s="12">
        <f t="shared" si="2"/>
        <v>18.03993007</v>
      </c>
      <c r="F720" s="8">
        <f t="shared" si="3"/>
        <v>23596229</v>
      </c>
    </row>
    <row r="721">
      <c r="A721" s="1">
        <v>720.0</v>
      </c>
      <c r="B721" s="8">
        <f>Filmes_final!C721</f>
        <v>1626</v>
      </c>
      <c r="C721" s="5">
        <f>Filmes_final!D721</f>
        <v>1931</v>
      </c>
      <c r="D721" s="5">
        <f t="shared" si="1"/>
        <v>2020</v>
      </c>
      <c r="E721" s="12">
        <f t="shared" si="2"/>
        <v>16.22459119</v>
      </c>
      <c r="F721" s="8">
        <f t="shared" si="3"/>
        <v>26381</v>
      </c>
    </row>
    <row r="722">
      <c r="A722" s="1">
        <v>721.0</v>
      </c>
      <c r="B722" s="8">
        <f>Filmes_final!C722</f>
        <v>1140769</v>
      </c>
      <c r="C722" s="5">
        <f>Filmes_final!D722</f>
        <v>2018</v>
      </c>
      <c r="D722" s="5">
        <f t="shared" si="1"/>
        <v>2020</v>
      </c>
      <c r="E722" s="12">
        <f t="shared" si="2"/>
        <v>1.0407638</v>
      </c>
      <c r="F722" s="8">
        <f t="shared" si="3"/>
        <v>1187271</v>
      </c>
    </row>
    <row r="723">
      <c r="A723" s="1">
        <v>722.0</v>
      </c>
      <c r="B723" s="8">
        <f>Filmes_final!C723</f>
        <v>335609</v>
      </c>
      <c r="C723" s="5">
        <f>Filmes_final!D723</f>
        <v>2017</v>
      </c>
      <c r="D723" s="5">
        <f t="shared" si="1"/>
        <v>2020</v>
      </c>
      <c r="E723" s="12">
        <f t="shared" si="2"/>
        <v>1.06231289</v>
      </c>
      <c r="F723" s="8">
        <f t="shared" si="3"/>
        <v>356522</v>
      </c>
    </row>
    <row r="724">
      <c r="A724" s="1">
        <v>723.0</v>
      </c>
      <c r="B724" s="8">
        <f>Filmes_final!C724</f>
        <v>324591735</v>
      </c>
      <c r="C724" s="5">
        <f>Filmes_final!D724</f>
        <v>2018</v>
      </c>
      <c r="D724" s="5">
        <f t="shared" si="1"/>
        <v>2020</v>
      </c>
      <c r="E724" s="12">
        <f t="shared" si="2"/>
        <v>1.0407638</v>
      </c>
      <c r="F724" s="8">
        <f t="shared" si="3"/>
        <v>337823328</v>
      </c>
    </row>
    <row r="725">
      <c r="A725" s="1">
        <v>724.0</v>
      </c>
      <c r="B725" s="8">
        <f>Filmes_final!C725</f>
        <v>33800859</v>
      </c>
      <c r="C725" s="5">
        <f>Filmes_final!D725</f>
        <v>2017</v>
      </c>
      <c r="D725" s="5">
        <f t="shared" si="1"/>
        <v>2020</v>
      </c>
      <c r="E725" s="12">
        <f t="shared" si="2"/>
        <v>1.06231289</v>
      </c>
      <c r="F725" s="8">
        <f t="shared" si="3"/>
        <v>35907088</v>
      </c>
    </row>
    <row r="726">
      <c r="A726" s="1">
        <v>725.0</v>
      </c>
      <c r="B726" s="8">
        <f>Filmes_final!C726</f>
        <v>176040665</v>
      </c>
      <c r="C726" s="5">
        <f>Filmes_final!D726</f>
        <v>2017</v>
      </c>
      <c r="D726" s="5">
        <f t="shared" si="1"/>
        <v>2020</v>
      </c>
      <c r="E726" s="12">
        <f t="shared" si="2"/>
        <v>1.06231289</v>
      </c>
      <c r="F726" s="8">
        <f t="shared" si="3"/>
        <v>187010268</v>
      </c>
    </row>
    <row r="727">
      <c r="A727" s="1">
        <v>726.0</v>
      </c>
      <c r="B727" s="8">
        <f>Filmes_final!C727</f>
        <v>220159104</v>
      </c>
      <c r="C727" s="5">
        <f>Filmes_final!D727</f>
        <v>2018</v>
      </c>
      <c r="D727" s="5">
        <f t="shared" si="1"/>
        <v>2020</v>
      </c>
      <c r="E727" s="12">
        <f t="shared" si="2"/>
        <v>1.0407638</v>
      </c>
      <c r="F727" s="8">
        <f t="shared" si="3"/>
        <v>229133626</v>
      </c>
    </row>
    <row r="728">
      <c r="A728" s="1">
        <v>727.0</v>
      </c>
      <c r="B728" s="8">
        <f>Filmes_final!C728</f>
        <v>3358518</v>
      </c>
      <c r="C728" s="5">
        <f>Filmes_final!D728</f>
        <v>2015</v>
      </c>
      <c r="D728" s="5">
        <f t="shared" si="1"/>
        <v>2020</v>
      </c>
      <c r="E728" s="12">
        <f t="shared" si="2"/>
        <v>1.10382231</v>
      </c>
      <c r="F728" s="8">
        <f t="shared" si="3"/>
        <v>3707207</v>
      </c>
    </row>
    <row r="729">
      <c r="A729" s="1">
        <v>728.0</v>
      </c>
      <c r="B729" s="8">
        <f>Filmes_final!C729</f>
        <v>3333000</v>
      </c>
      <c r="C729" s="5">
        <f>Filmes_final!D729</f>
        <v>2014</v>
      </c>
      <c r="D729" s="5">
        <f t="shared" si="1"/>
        <v>2020</v>
      </c>
      <c r="E729" s="12">
        <f t="shared" si="2"/>
        <v>1.10283606</v>
      </c>
      <c r="F729" s="8">
        <f t="shared" si="3"/>
        <v>3675753</v>
      </c>
    </row>
    <row r="730">
      <c r="A730" s="1">
        <v>729.0</v>
      </c>
      <c r="B730" s="8">
        <f>Filmes_final!C730</f>
        <v>765127</v>
      </c>
      <c r="C730" s="5">
        <f>Filmes_final!D730</f>
        <v>2014</v>
      </c>
      <c r="D730" s="5">
        <f t="shared" si="1"/>
        <v>2020</v>
      </c>
      <c r="E730" s="12">
        <f t="shared" si="2"/>
        <v>1.10283606</v>
      </c>
      <c r="F730" s="8">
        <f t="shared" si="3"/>
        <v>843810</v>
      </c>
    </row>
    <row r="731">
      <c r="A731" s="1">
        <v>730.0</v>
      </c>
      <c r="B731" s="8">
        <f>Filmes_final!C731</f>
        <v>35893537</v>
      </c>
      <c r="C731" s="5">
        <f>Filmes_final!D731</f>
        <v>2014</v>
      </c>
      <c r="D731" s="5">
        <f t="shared" si="1"/>
        <v>2020</v>
      </c>
      <c r="E731" s="12">
        <f t="shared" si="2"/>
        <v>1.10283606</v>
      </c>
      <c r="F731" s="8">
        <f t="shared" si="3"/>
        <v>39584687</v>
      </c>
    </row>
    <row r="732">
      <c r="A732" s="1">
        <v>731.0</v>
      </c>
      <c r="B732" s="8">
        <f>Filmes_final!C732</f>
        <v>128261724</v>
      </c>
      <c r="C732" s="5">
        <f>Filmes_final!D732</f>
        <v>2014</v>
      </c>
      <c r="D732" s="5">
        <f t="shared" si="1"/>
        <v>2020</v>
      </c>
      <c r="E732" s="12">
        <f t="shared" si="2"/>
        <v>1.10283606</v>
      </c>
      <c r="F732" s="8">
        <f t="shared" si="3"/>
        <v>141451654</v>
      </c>
    </row>
    <row r="733">
      <c r="A733" s="1">
        <v>732.0</v>
      </c>
      <c r="B733" s="8">
        <f>Filmes_final!C733</f>
        <v>124872350</v>
      </c>
      <c r="C733" s="5">
        <f>Filmes_final!D733</f>
        <v>2014</v>
      </c>
      <c r="D733" s="5">
        <f t="shared" si="1"/>
        <v>2020</v>
      </c>
      <c r="E733" s="12">
        <f t="shared" si="2"/>
        <v>1.10283606</v>
      </c>
      <c r="F733" s="8">
        <f t="shared" si="3"/>
        <v>137713730</v>
      </c>
    </row>
    <row r="734">
      <c r="A734" s="1">
        <v>733.0</v>
      </c>
      <c r="B734" s="8">
        <f>Filmes_final!C734</f>
        <v>6743776</v>
      </c>
      <c r="C734" s="5">
        <f>Filmes_final!D734</f>
        <v>2015</v>
      </c>
      <c r="D734" s="5">
        <f t="shared" si="1"/>
        <v>2020</v>
      </c>
      <c r="E734" s="12">
        <f t="shared" si="2"/>
        <v>1.10382231</v>
      </c>
      <c r="F734" s="8">
        <f t="shared" si="3"/>
        <v>7443930</v>
      </c>
    </row>
    <row r="735">
      <c r="A735" s="1">
        <v>734.0</v>
      </c>
      <c r="B735" s="8">
        <f>Filmes_final!C735</f>
        <v>42340598</v>
      </c>
      <c r="C735" s="5">
        <f>Filmes_final!D735</f>
        <v>2014</v>
      </c>
      <c r="D735" s="5">
        <f t="shared" si="1"/>
        <v>2020</v>
      </c>
      <c r="E735" s="12">
        <f t="shared" si="2"/>
        <v>1.10283606</v>
      </c>
      <c r="F735" s="8">
        <f t="shared" si="3"/>
        <v>46694738</v>
      </c>
    </row>
    <row r="736">
      <c r="A736" s="1">
        <v>735.0</v>
      </c>
      <c r="B736" s="8">
        <f>Filmes_final!C736</f>
        <v>2199675</v>
      </c>
      <c r="C736" s="5">
        <f>Filmes_final!D736</f>
        <v>2013</v>
      </c>
      <c r="D736" s="5">
        <f t="shared" si="1"/>
        <v>2020</v>
      </c>
      <c r="E736" s="12">
        <f t="shared" si="2"/>
        <v>1.12024926</v>
      </c>
      <c r="F736" s="8">
        <f t="shared" si="3"/>
        <v>2464184</v>
      </c>
    </row>
    <row r="737">
      <c r="A737" s="1">
        <v>736.0</v>
      </c>
      <c r="B737" s="8">
        <f>Filmes_final!C737</f>
        <v>1122527</v>
      </c>
      <c r="C737" s="5">
        <f>Filmes_final!D737</f>
        <v>2013</v>
      </c>
      <c r="D737" s="5">
        <f t="shared" si="1"/>
        <v>2020</v>
      </c>
      <c r="E737" s="12">
        <f t="shared" si="2"/>
        <v>1.12024926</v>
      </c>
      <c r="F737" s="8">
        <f t="shared" si="3"/>
        <v>1257510</v>
      </c>
    </row>
    <row r="738">
      <c r="A738" s="1">
        <v>737.0</v>
      </c>
      <c r="B738" s="8">
        <f>Filmes_final!C738</f>
        <v>175058</v>
      </c>
      <c r="C738" s="5">
        <f>Filmes_final!D738</f>
        <v>2012</v>
      </c>
      <c r="D738" s="5">
        <f t="shared" si="1"/>
        <v>2020</v>
      </c>
      <c r="E738" s="12">
        <f t="shared" si="2"/>
        <v>1.13811572</v>
      </c>
      <c r="F738" s="8">
        <f t="shared" si="3"/>
        <v>199236</v>
      </c>
    </row>
    <row r="739">
      <c r="A739" s="1">
        <v>738.0</v>
      </c>
      <c r="B739" s="8">
        <f>Filmes_final!C739</f>
        <v>259766572</v>
      </c>
      <c r="C739" s="5">
        <f>Filmes_final!D739</f>
        <v>2014</v>
      </c>
      <c r="D739" s="5">
        <f t="shared" si="1"/>
        <v>2020</v>
      </c>
      <c r="E739" s="12">
        <f t="shared" si="2"/>
        <v>1.10283606</v>
      </c>
      <c r="F739" s="8">
        <f t="shared" si="3"/>
        <v>286479943</v>
      </c>
    </row>
    <row r="740">
      <c r="A740" s="1">
        <v>739.0</v>
      </c>
      <c r="B740" s="8">
        <f>Filmes_final!C740</f>
        <v>985912</v>
      </c>
      <c r="C740" s="5">
        <f>Filmes_final!D740</f>
        <v>2011</v>
      </c>
      <c r="D740" s="5">
        <f t="shared" si="1"/>
        <v>2020</v>
      </c>
      <c r="E740" s="12">
        <f t="shared" si="2"/>
        <v>1.17140807</v>
      </c>
      <c r="F740" s="8">
        <f t="shared" si="3"/>
        <v>1154905</v>
      </c>
    </row>
    <row r="741">
      <c r="A741" s="1">
        <v>740.0</v>
      </c>
      <c r="B741" s="8">
        <f>Filmes_final!C741</f>
        <v>17654912</v>
      </c>
      <c r="C741" s="5">
        <f>Filmes_final!D741</f>
        <v>2013</v>
      </c>
      <c r="D741" s="5">
        <f t="shared" si="1"/>
        <v>2020</v>
      </c>
      <c r="E741" s="12">
        <f t="shared" si="2"/>
        <v>1.12024926</v>
      </c>
      <c r="F741" s="8">
        <f t="shared" si="3"/>
        <v>19777902</v>
      </c>
    </row>
    <row r="742">
      <c r="A742" s="1">
        <v>741.0</v>
      </c>
      <c r="B742" s="8">
        <f>Filmes_final!C742</f>
        <v>189422889</v>
      </c>
      <c r="C742" s="5">
        <f>Filmes_final!D742</f>
        <v>2012</v>
      </c>
      <c r="D742" s="5">
        <f t="shared" si="1"/>
        <v>2020</v>
      </c>
      <c r="E742" s="12">
        <f t="shared" si="2"/>
        <v>1.13811572</v>
      </c>
      <c r="F742" s="8">
        <f t="shared" si="3"/>
        <v>215585168</v>
      </c>
    </row>
    <row r="743">
      <c r="A743" s="1">
        <v>742.0</v>
      </c>
      <c r="B743" s="8">
        <f>Filmes_final!C743</f>
        <v>1339152</v>
      </c>
      <c r="C743" s="5">
        <f>Filmes_final!D743</f>
        <v>2015</v>
      </c>
      <c r="D743" s="5">
        <f t="shared" si="1"/>
        <v>2020</v>
      </c>
      <c r="E743" s="12">
        <f t="shared" si="2"/>
        <v>1.10382231</v>
      </c>
      <c r="F743" s="8">
        <f t="shared" si="3"/>
        <v>1478186</v>
      </c>
    </row>
    <row r="744">
      <c r="A744" s="1">
        <v>743.0</v>
      </c>
      <c r="B744" s="8">
        <f>Filmes_final!C744</f>
        <v>71177</v>
      </c>
      <c r="C744" s="5">
        <f>Filmes_final!D744</f>
        <v>2011</v>
      </c>
      <c r="D744" s="5">
        <f t="shared" si="1"/>
        <v>2020</v>
      </c>
      <c r="E744" s="12">
        <f t="shared" si="2"/>
        <v>1.17140807</v>
      </c>
      <c r="F744" s="8">
        <f t="shared" si="3"/>
        <v>83377</v>
      </c>
    </row>
    <row r="745">
      <c r="A745" s="1">
        <v>744.0</v>
      </c>
      <c r="B745" s="8">
        <f>Filmes_final!C745</f>
        <v>56816662</v>
      </c>
      <c r="C745" s="5">
        <f>Filmes_final!D745</f>
        <v>2011</v>
      </c>
      <c r="D745" s="5">
        <f t="shared" si="1"/>
        <v>2020</v>
      </c>
      <c r="E745" s="12">
        <f t="shared" si="2"/>
        <v>1.17140807</v>
      </c>
      <c r="F745" s="8">
        <f t="shared" si="3"/>
        <v>66555496</v>
      </c>
    </row>
    <row r="746">
      <c r="A746" s="1">
        <v>745.0</v>
      </c>
      <c r="B746" s="8">
        <f>Filmes_final!C746</f>
        <v>257760692</v>
      </c>
      <c r="C746" s="5">
        <f>Filmes_final!D746</f>
        <v>2014</v>
      </c>
      <c r="D746" s="5">
        <f t="shared" si="1"/>
        <v>2020</v>
      </c>
      <c r="E746" s="12">
        <f t="shared" si="2"/>
        <v>1.10283606</v>
      </c>
      <c r="F746" s="8">
        <f t="shared" si="3"/>
        <v>284267786</v>
      </c>
    </row>
    <row r="747">
      <c r="A747" s="1">
        <v>746.0</v>
      </c>
      <c r="B747" s="8">
        <f>Filmes_final!C747</f>
        <v>274092705</v>
      </c>
      <c r="C747" s="5">
        <f>Filmes_final!D747</f>
        <v>2013</v>
      </c>
      <c r="D747" s="5">
        <f t="shared" si="1"/>
        <v>2020</v>
      </c>
      <c r="E747" s="12">
        <f t="shared" si="2"/>
        <v>1.12024926</v>
      </c>
      <c r="F747" s="8">
        <f t="shared" si="3"/>
        <v>307052150</v>
      </c>
    </row>
    <row r="748">
      <c r="A748" s="1">
        <v>747.0</v>
      </c>
      <c r="B748" s="8">
        <f>Filmes_final!C748</f>
        <v>228778661</v>
      </c>
      <c r="C748" s="5">
        <f>Filmes_final!D748</f>
        <v>2013</v>
      </c>
      <c r="D748" s="5">
        <f t="shared" si="1"/>
        <v>2020</v>
      </c>
      <c r="E748" s="12">
        <f t="shared" si="2"/>
        <v>1.12024926</v>
      </c>
      <c r="F748" s="8">
        <f t="shared" si="3"/>
        <v>256289126</v>
      </c>
    </row>
    <row r="749">
      <c r="A749" s="1">
        <v>748.0</v>
      </c>
      <c r="B749" s="8">
        <f>Filmes_final!C749</f>
        <v>83861</v>
      </c>
      <c r="C749" s="5">
        <f>Filmes_final!D749</f>
        <v>2015</v>
      </c>
      <c r="D749" s="5">
        <f t="shared" si="1"/>
        <v>2020</v>
      </c>
      <c r="E749" s="12">
        <f t="shared" si="2"/>
        <v>1.10382231</v>
      </c>
      <c r="F749" s="8">
        <f t="shared" si="3"/>
        <v>92568</v>
      </c>
    </row>
    <row r="750">
      <c r="A750" s="1">
        <v>749.0</v>
      </c>
      <c r="B750" s="8">
        <f>Filmes_final!C750</f>
        <v>96962694</v>
      </c>
      <c r="C750" s="5">
        <f>Filmes_final!D750</f>
        <v>2010</v>
      </c>
      <c r="D750" s="5">
        <f t="shared" si="1"/>
        <v>2020</v>
      </c>
      <c r="E750" s="12">
        <f t="shared" si="2"/>
        <v>1.19052366</v>
      </c>
      <c r="F750" s="8">
        <f t="shared" si="3"/>
        <v>115436381</v>
      </c>
    </row>
    <row r="751">
      <c r="A751" s="1">
        <v>750.0</v>
      </c>
      <c r="B751" s="8">
        <f>Filmes_final!C751</f>
        <v>146408305</v>
      </c>
      <c r="C751" s="5">
        <f>Filmes_final!D751</f>
        <v>2011</v>
      </c>
      <c r="D751" s="5">
        <f t="shared" si="1"/>
        <v>2020</v>
      </c>
      <c r="E751" s="12">
        <f t="shared" si="2"/>
        <v>1.17140807</v>
      </c>
      <c r="F751" s="8">
        <f t="shared" si="3"/>
        <v>171503870</v>
      </c>
    </row>
    <row r="752">
      <c r="A752" s="1">
        <v>751.0</v>
      </c>
      <c r="B752" s="8">
        <f>Filmes_final!C752</f>
        <v>277322503</v>
      </c>
      <c r="C752" s="5">
        <f>Filmes_final!D752</f>
        <v>2009</v>
      </c>
      <c r="D752" s="5">
        <f t="shared" si="1"/>
        <v>2020</v>
      </c>
      <c r="E752" s="12">
        <f t="shared" si="2"/>
        <v>1.22178334</v>
      </c>
      <c r="F752" s="8">
        <f t="shared" si="3"/>
        <v>338828014</v>
      </c>
    </row>
    <row r="753">
      <c r="A753" s="1">
        <v>752.0</v>
      </c>
      <c r="B753" s="8">
        <f>Filmes_final!C753</f>
        <v>304360277</v>
      </c>
      <c r="C753" s="5">
        <f>Filmes_final!D753</f>
        <v>2012</v>
      </c>
      <c r="D753" s="5">
        <f t="shared" si="1"/>
        <v>2020</v>
      </c>
      <c r="E753" s="12">
        <f t="shared" si="2"/>
        <v>1.13811572</v>
      </c>
      <c r="F753" s="8">
        <f t="shared" si="3"/>
        <v>346397216</v>
      </c>
    </row>
    <row r="754">
      <c r="A754" s="1">
        <v>753.0</v>
      </c>
      <c r="B754" s="8">
        <f>Filmes_final!C754</f>
        <v>132092958</v>
      </c>
      <c r="C754" s="5">
        <f>Filmes_final!D754</f>
        <v>2012</v>
      </c>
      <c r="D754" s="5">
        <f t="shared" si="1"/>
        <v>2020</v>
      </c>
      <c r="E754" s="12">
        <f t="shared" si="2"/>
        <v>1.13811572</v>
      </c>
      <c r="F754" s="8">
        <f t="shared" si="3"/>
        <v>150337072</v>
      </c>
    </row>
    <row r="755">
      <c r="A755" s="1">
        <v>754.0</v>
      </c>
      <c r="B755" s="8">
        <f>Filmes_final!C755</f>
        <v>136025503</v>
      </c>
      <c r="C755" s="5">
        <f>Filmes_final!D755</f>
        <v>2012</v>
      </c>
      <c r="D755" s="5">
        <f t="shared" si="1"/>
        <v>2020</v>
      </c>
      <c r="E755" s="12">
        <f t="shared" si="2"/>
        <v>1.13811572</v>
      </c>
      <c r="F755" s="8">
        <f t="shared" si="3"/>
        <v>154812763</v>
      </c>
    </row>
    <row r="756">
      <c r="A756" s="1">
        <v>755.0</v>
      </c>
      <c r="B756" s="8">
        <f>Filmes_final!C756</f>
        <v>32391374</v>
      </c>
      <c r="C756" s="5">
        <f>Filmes_final!D756</f>
        <v>2009</v>
      </c>
      <c r="D756" s="5">
        <f t="shared" si="1"/>
        <v>2020</v>
      </c>
      <c r="E756" s="12">
        <f t="shared" si="2"/>
        <v>1.22178334</v>
      </c>
      <c r="F756" s="8">
        <f t="shared" si="3"/>
        <v>39575241</v>
      </c>
    </row>
    <row r="757">
      <c r="A757" s="1">
        <v>756.0</v>
      </c>
      <c r="B757" s="8">
        <f>Filmes_final!C757</f>
        <v>295983305</v>
      </c>
      <c r="C757" s="5">
        <f>Filmes_final!D757</f>
        <v>2010</v>
      </c>
      <c r="D757" s="5">
        <f t="shared" si="1"/>
        <v>2020</v>
      </c>
      <c r="E757" s="12">
        <f t="shared" si="2"/>
        <v>1.19052366</v>
      </c>
      <c r="F757" s="8">
        <f t="shared" si="3"/>
        <v>352375128</v>
      </c>
    </row>
    <row r="758">
      <c r="A758" s="1">
        <v>757.0</v>
      </c>
      <c r="B758" s="8">
        <f>Filmes_final!C758</f>
        <v>15090400</v>
      </c>
      <c r="C758" s="5">
        <f>Filmes_final!D758</f>
        <v>2008</v>
      </c>
      <c r="D758" s="5">
        <f t="shared" si="1"/>
        <v>2020</v>
      </c>
      <c r="E758" s="12">
        <f t="shared" si="2"/>
        <v>1.222148</v>
      </c>
      <c r="F758" s="8">
        <f t="shared" si="3"/>
        <v>18442702</v>
      </c>
    </row>
    <row r="759">
      <c r="A759" s="1">
        <v>758.0</v>
      </c>
      <c r="B759" s="8">
        <f>Filmes_final!C759</f>
        <v>18593156</v>
      </c>
      <c r="C759" s="5">
        <f>Filmes_final!D759</f>
        <v>2008</v>
      </c>
      <c r="D759" s="5">
        <f t="shared" si="1"/>
        <v>2020</v>
      </c>
      <c r="E759" s="12">
        <f t="shared" si="2"/>
        <v>1.222148</v>
      </c>
      <c r="F759" s="8">
        <f t="shared" si="3"/>
        <v>22723588</v>
      </c>
    </row>
    <row r="760">
      <c r="A760" s="1">
        <v>759.0</v>
      </c>
      <c r="B760" s="8">
        <f>Filmes_final!C760</f>
        <v>881302</v>
      </c>
      <c r="C760" s="5">
        <f>Filmes_final!D760</f>
        <v>2006</v>
      </c>
      <c r="D760" s="5">
        <f t="shared" si="1"/>
        <v>2020</v>
      </c>
      <c r="E760" s="12">
        <f t="shared" si="2"/>
        <v>1.30091276</v>
      </c>
      <c r="F760" s="8">
        <f t="shared" si="3"/>
        <v>1146497</v>
      </c>
    </row>
    <row r="761">
      <c r="A761" s="1">
        <v>760.0</v>
      </c>
      <c r="B761" s="8">
        <f>Filmes_final!C761</f>
        <v>35739802</v>
      </c>
      <c r="C761" s="5">
        <f>Filmes_final!D761</f>
        <v>2008</v>
      </c>
      <c r="D761" s="5">
        <f t="shared" si="1"/>
        <v>2020</v>
      </c>
      <c r="E761" s="12">
        <f t="shared" si="2"/>
        <v>1.222148</v>
      </c>
      <c r="F761" s="8">
        <f t="shared" si="3"/>
        <v>43679328</v>
      </c>
    </row>
    <row r="762">
      <c r="A762" s="1">
        <v>761.0</v>
      </c>
      <c r="B762" s="8">
        <f>Filmes_final!C762</f>
        <v>1752214</v>
      </c>
      <c r="C762" s="5">
        <f>Filmes_final!D762</f>
        <v>2010</v>
      </c>
      <c r="D762" s="5">
        <f t="shared" si="1"/>
        <v>2020</v>
      </c>
      <c r="E762" s="12">
        <f t="shared" si="2"/>
        <v>1.19052366</v>
      </c>
      <c r="F762" s="8">
        <f t="shared" si="3"/>
        <v>2086052</v>
      </c>
    </row>
    <row r="763">
      <c r="A763" s="1">
        <v>762.0</v>
      </c>
      <c r="B763" s="8">
        <f>Filmes_final!C763</f>
        <v>873435</v>
      </c>
      <c r="C763" s="5">
        <f>Filmes_final!D763</f>
        <v>2006</v>
      </c>
      <c r="D763" s="5">
        <f t="shared" si="1"/>
        <v>2020</v>
      </c>
      <c r="E763" s="12">
        <f t="shared" si="2"/>
        <v>1.30091276</v>
      </c>
      <c r="F763" s="8">
        <f t="shared" si="3"/>
        <v>1136263</v>
      </c>
    </row>
    <row r="764">
      <c r="A764" s="1">
        <v>763.0</v>
      </c>
      <c r="B764" s="8">
        <f>Filmes_final!C764</f>
        <v>29667169</v>
      </c>
      <c r="C764" s="5">
        <f>Filmes_final!D764</f>
        <v>2006</v>
      </c>
      <c r="D764" s="5">
        <f t="shared" si="1"/>
        <v>2020</v>
      </c>
      <c r="E764" s="12">
        <f t="shared" si="2"/>
        <v>1.30091276</v>
      </c>
      <c r="F764" s="8">
        <f t="shared" si="3"/>
        <v>38594399</v>
      </c>
    </row>
    <row r="765">
      <c r="A765" s="1">
        <v>764.0</v>
      </c>
      <c r="B765" s="8">
        <f>Filmes_final!C765</f>
        <v>327919</v>
      </c>
      <c r="C765" s="5">
        <f>Filmes_final!D765</f>
        <v>2006</v>
      </c>
      <c r="D765" s="5">
        <f t="shared" si="1"/>
        <v>2020</v>
      </c>
      <c r="E765" s="12">
        <f t="shared" si="2"/>
        <v>1.30091276</v>
      </c>
      <c r="F765" s="8">
        <f t="shared" si="3"/>
        <v>426594</v>
      </c>
    </row>
    <row r="766">
      <c r="A766" s="1">
        <v>765.0</v>
      </c>
      <c r="B766" s="8">
        <f>Filmes_final!C766</f>
        <v>25442958</v>
      </c>
      <c r="C766" s="5">
        <f>Filmes_final!D766</f>
        <v>2014</v>
      </c>
      <c r="D766" s="5">
        <f t="shared" si="1"/>
        <v>2020</v>
      </c>
      <c r="E766" s="12">
        <f t="shared" si="2"/>
        <v>1.10283606</v>
      </c>
      <c r="F766" s="8">
        <f t="shared" si="3"/>
        <v>28059412</v>
      </c>
    </row>
    <row r="767">
      <c r="A767" s="1">
        <v>766.0</v>
      </c>
      <c r="B767" s="8">
        <f>Filmes_final!C767</f>
        <v>412544</v>
      </c>
      <c r="C767" s="5">
        <f>Filmes_final!D767</f>
        <v>2006</v>
      </c>
      <c r="D767" s="5">
        <f t="shared" si="1"/>
        <v>2020</v>
      </c>
      <c r="E767" s="12">
        <f t="shared" si="2"/>
        <v>1.30091276</v>
      </c>
      <c r="F767" s="8">
        <f t="shared" si="3"/>
        <v>536684</v>
      </c>
    </row>
    <row r="768">
      <c r="A768" s="1">
        <v>767.0</v>
      </c>
      <c r="B768" s="8">
        <f>Filmes_final!C768</f>
        <v>17605861</v>
      </c>
      <c r="C768" s="5">
        <f>Filmes_final!D768</f>
        <v>2006</v>
      </c>
      <c r="D768" s="5">
        <f t="shared" si="1"/>
        <v>2020</v>
      </c>
      <c r="E768" s="12">
        <f t="shared" si="2"/>
        <v>1.30091276</v>
      </c>
      <c r="F768" s="8">
        <f t="shared" si="3"/>
        <v>22903689</v>
      </c>
    </row>
    <row r="769">
      <c r="A769" s="1">
        <v>768.0</v>
      </c>
      <c r="B769" s="8">
        <f>Filmes_final!C769</f>
        <v>33080084</v>
      </c>
      <c r="C769" s="5">
        <f>Filmes_final!D769</f>
        <v>2007</v>
      </c>
      <c r="D769" s="5">
        <f t="shared" si="1"/>
        <v>2020</v>
      </c>
      <c r="E769" s="12">
        <f t="shared" si="2"/>
        <v>1.27445953</v>
      </c>
      <c r="F769" s="8">
        <f t="shared" si="3"/>
        <v>42159228</v>
      </c>
    </row>
    <row r="770">
      <c r="A770" s="1">
        <v>769.0</v>
      </c>
      <c r="B770" s="8">
        <f>Filmes_final!C770</f>
        <v>22494487</v>
      </c>
      <c r="C770" s="5">
        <f>Filmes_final!D770</f>
        <v>2006</v>
      </c>
      <c r="D770" s="5">
        <f t="shared" si="1"/>
        <v>2020</v>
      </c>
      <c r="E770" s="12">
        <f t="shared" si="2"/>
        <v>1.30091276</v>
      </c>
      <c r="F770" s="8">
        <f t="shared" si="3"/>
        <v>29263365</v>
      </c>
    </row>
    <row r="771">
      <c r="A771" s="1">
        <v>770.0</v>
      </c>
      <c r="B771" s="8">
        <f>Filmes_final!C771</f>
        <v>1054361</v>
      </c>
      <c r="C771" s="5">
        <f>Filmes_final!D771</f>
        <v>2005</v>
      </c>
      <c r="D771" s="5">
        <f t="shared" si="1"/>
        <v>2020</v>
      </c>
      <c r="E771" s="12">
        <f t="shared" si="2"/>
        <v>1.35275826</v>
      </c>
      <c r="F771" s="8">
        <f t="shared" si="3"/>
        <v>1426296</v>
      </c>
    </row>
    <row r="772">
      <c r="A772" s="1">
        <v>771.0</v>
      </c>
      <c r="B772" s="8">
        <f>Filmes_final!C772</f>
        <v>871577</v>
      </c>
      <c r="C772" s="5">
        <f>Filmes_final!D772</f>
        <v>2007</v>
      </c>
      <c r="D772" s="5">
        <f t="shared" si="1"/>
        <v>2020</v>
      </c>
      <c r="E772" s="12">
        <f t="shared" si="2"/>
        <v>1.27445953</v>
      </c>
      <c r="F772" s="8">
        <f t="shared" si="3"/>
        <v>1110790</v>
      </c>
    </row>
    <row r="773">
      <c r="A773" s="1">
        <v>772.0</v>
      </c>
      <c r="B773" s="8">
        <f>Filmes_final!C773</f>
        <v>200821936</v>
      </c>
      <c r="C773" s="5">
        <f>Filmes_final!D773</f>
        <v>2010</v>
      </c>
      <c r="D773" s="5">
        <f t="shared" si="1"/>
        <v>2020</v>
      </c>
      <c r="E773" s="12">
        <f t="shared" si="2"/>
        <v>1.19052366</v>
      </c>
      <c r="F773" s="8">
        <f t="shared" si="3"/>
        <v>239083266</v>
      </c>
    </row>
    <row r="774">
      <c r="A774" s="1">
        <v>773.0</v>
      </c>
      <c r="B774" s="8">
        <f>Filmes_final!C774</f>
        <v>4398392</v>
      </c>
      <c r="C774" s="5">
        <f>Filmes_final!D774</f>
        <v>2006</v>
      </c>
      <c r="D774" s="5">
        <f t="shared" si="1"/>
        <v>2020</v>
      </c>
      <c r="E774" s="12">
        <f t="shared" si="2"/>
        <v>1.30091276</v>
      </c>
      <c r="F774" s="8">
        <f t="shared" si="3"/>
        <v>5721924</v>
      </c>
    </row>
    <row r="775">
      <c r="A775" s="1">
        <v>774.0</v>
      </c>
      <c r="B775" s="8">
        <f>Filmes_final!C775</f>
        <v>83043761</v>
      </c>
      <c r="C775" s="5">
        <f>Filmes_final!D775</f>
        <v>2005</v>
      </c>
      <c r="D775" s="5">
        <f t="shared" si="1"/>
        <v>2020</v>
      </c>
      <c r="E775" s="12">
        <f t="shared" si="2"/>
        <v>1.35275826</v>
      </c>
      <c r="F775" s="8">
        <f t="shared" si="3"/>
        <v>112338134</v>
      </c>
    </row>
    <row r="776">
      <c r="A776" s="1">
        <v>775.0</v>
      </c>
      <c r="B776" s="8">
        <f>Filmes_final!C776</f>
        <v>53606916</v>
      </c>
      <c r="C776" s="5">
        <f>Filmes_final!D776</f>
        <v>2007</v>
      </c>
      <c r="D776" s="5">
        <f t="shared" si="1"/>
        <v>2020</v>
      </c>
      <c r="E776" s="12">
        <f t="shared" si="2"/>
        <v>1.27445953</v>
      </c>
      <c r="F776" s="8">
        <f t="shared" si="3"/>
        <v>68319845</v>
      </c>
    </row>
    <row r="777">
      <c r="A777" s="1">
        <v>776.0</v>
      </c>
      <c r="B777" s="8">
        <f>Filmes_final!C777</f>
        <v>54580300</v>
      </c>
      <c r="C777" s="5">
        <f>Filmes_final!D777</f>
        <v>2004</v>
      </c>
      <c r="D777" s="5">
        <f t="shared" si="1"/>
        <v>2020</v>
      </c>
      <c r="E777" s="12">
        <f t="shared" si="2"/>
        <v>1.39293197</v>
      </c>
      <c r="F777" s="8">
        <f t="shared" si="3"/>
        <v>76026645</v>
      </c>
    </row>
    <row r="778">
      <c r="A778" s="1">
        <v>777.0</v>
      </c>
      <c r="B778" s="8">
        <f>Filmes_final!C778</f>
        <v>17108591</v>
      </c>
      <c r="C778" s="5">
        <f>Filmes_final!D778</f>
        <v>2004</v>
      </c>
      <c r="D778" s="5">
        <f t="shared" si="1"/>
        <v>2020</v>
      </c>
      <c r="E778" s="12">
        <f t="shared" si="2"/>
        <v>1.39293197</v>
      </c>
      <c r="F778" s="8">
        <f t="shared" si="3"/>
        <v>23831103</v>
      </c>
    </row>
    <row r="779">
      <c r="A779" s="1">
        <v>778.0</v>
      </c>
      <c r="B779" s="8">
        <f>Filmes_final!C779</f>
        <v>176241941</v>
      </c>
      <c r="C779" s="5">
        <f>Filmes_final!D779</f>
        <v>2004</v>
      </c>
      <c r="D779" s="5">
        <f t="shared" si="1"/>
        <v>2020</v>
      </c>
      <c r="E779" s="12">
        <f t="shared" si="2"/>
        <v>1.39293197</v>
      </c>
      <c r="F779" s="8">
        <f t="shared" si="3"/>
        <v>245493034</v>
      </c>
    </row>
    <row r="780">
      <c r="A780" s="1">
        <v>779.0</v>
      </c>
      <c r="B780" s="8">
        <f>Filmes_final!C780</f>
        <v>1082715</v>
      </c>
      <c r="C780" s="5">
        <f>Filmes_final!D780</f>
        <v>2004</v>
      </c>
      <c r="D780" s="5">
        <f t="shared" si="1"/>
        <v>2020</v>
      </c>
      <c r="E780" s="12">
        <f t="shared" si="2"/>
        <v>1.39293197</v>
      </c>
      <c r="F780" s="8">
        <f t="shared" si="3"/>
        <v>1508148</v>
      </c>
    </row>
    <row r="781">
      <c r="A781" s="1">
        <v>780.0</v>
      </c>
      <c r="B781" s="8">
        <f>Filmes_final!C781</f>
        <v>75331600</v>
      </c>
      <c r="C781" s="5">
        <f>Filmes_final!D781</f>
        <v>2004</v>
      </c>
      <c r="D781" s="5">
        <f t="shared" si="1"/>
        <v>2020</v>
      </c>
      <c r="E781" s="12">
        <f t="shared" si="2"/>
        <v>1.39293197</v>
      </c>
      <c r="F781" s="8">
        <f t="shared" si="3"/>
        <v>104931794</v>
      </c>
    </row>
    <row r="782">
      <c r="A782" s="1">
        <v>781.0</v>
      </c>
      <c r="B782" s="8">
        <f>Filmes_final!C782</f>
        <v>44585453</v>
      </c>
      <c r="C782" s="5">
        <f>Filmes_final!D782</f>
        <v>2003</v>
      </c>
      <c r="D782" s="5">
        <f t="shared" si="1"/>
        <v>2020</v>
      </c>
      <c r="E782" s="12">
        <f t="shared" si="2"/>
        <v>1.41976335</v>
      </c>
      <c r="F782" s="8">
        <f t="shared" si="3"/>
        <v>63300792</v>
      </c>
    </row>
    <row r="783">
      <c r="A783" s="1">
        <v>782.0</v>
      </c>
      <c r="B783" s="8">
        <f>Filmes_final!C783</f>
        <v>290013036</v>
      </c>
      <c r="C783" s="5">
        <f>Filmes_final!D783</f>
        <v>2005</v>
      </c>
      <c r="D783" s="5">
        <f t="shared" si="1"/>
        <v>2020</v>
      </c>
      <c r="E783" s="12">
        <f t="shared" si="2"/>
        <v>1.35275826</v>
      </c>
      <c r="F783" s="8">
        <f t="shared" si="3"/>
        <v>392317530</v>
      </c>
    </row>
    <row r="784">
      <c r="A784" s="1">
        <v>783.0</v>
      </c>
      <c r="B784" s="8">
        <f>Filmes_final!C784</f>
        <v>77911774</v>
      </c>
      <c r="C784" s="5">
        <f>Filmes_final!D784</f>
        <v>2004</v>
      </c>
      <c r="D784" s="5">
        <f t="shared" si="1"/>
        <v>2020</v>
      </c>
      <c r="E784" s="12">
        <f t="shared" si="2"/>
        <v>1.39293197</v>
      </c>
      <c r="F784" s="8">
        <f t="shared" si="3"/>
        <v>108525801</v>
      </c>
    </row>
    <row r="785">
      <c r="A785" s="1">
        <v>784.0</v>
      </c>
      <c r="B785" s="8">
        <f>Filmes_final!C785</f>
        <v>75286229</v>
      </c>
      <c r="C785" s="5">
        <f>Filmes_final!D785</f>
        <v>2009</v>
      </c>
      <c r="D785" s="5">
        <f t="shared" si="1"/>
        <v>2020</v>
      </c>
      <c r="E785" s="12">
        <f t="shared" si="2"/>
        <v>1.22178334</v>
      </c>
      <c r="F785" s="8">
        <f t="shared" si="3"/>
        <v>91983460</v>
      </c>
    </row>
    <row r="786">
      <c r="A786" s="1">
        <v>785.0</v>
      </c>
      <c r="B786" s="8">
        <f>Filmes_final!C786</f>
        <v>111110575</v>
      </c>
      <c r="C786" s="5">
        <f>Filmes_final!D786</f>
        <v>2003</v>
      </c>
      <c r="D786" s="5">
        <f t="shared" si="1"/>
        <v>2020</v>
      </c>
      <c r="E786" s="12">
        <f t="shared" si="2"/>
        <v>1.41976335</v>
      </c>
      <c r="F786" s="8">
        <f t="shared" si="3"/>
        <v>157750722</v>
      </c>
    </row>
    <row r="787">
      <c r="A787" s="1">
        <v>786.0</v>
      </c>
      <c r="B787" s="8">
        <f>Filmes_final!C787</f>
        <v>4890878</v>
      </c>
      <c r="C787" s="5">
        <f>Filmes_final!D787</f>
        <v>2002</v>
      </c>
      <c r="D787" s="5">
        <f t="shared" si="1"/>
        <v>2020</v>
      </c>
      <c r="E787" s="12">
        <f t="shared" si="2"/>
        <v>1.45664032</v>
      </c>
      <c r="F787" s="8">
        <f t="shared" si="3"/>
        <v>7124250</v>
      </c>
    </row>
    <row r="788">
      <c r="A788" s="1">
        <v>787.0</v>
      </c>
      <c r="B788" s="8">
        <f>Filmes_final!C788</f>
        <v>4064200</v>
      </c>
      <c r="C788" s="5">
        <f>Filmes_final!D788</f>
        <v>2003</v>
      </c>
      <c r="D788" s="5">
        <f t="shared" si="1"/>
        <v>2020</v>
      </c>
      <c r="E788" s="12">
        <f t="shared" si="2"/>
        <v>1.41976335</v>
      </c>
      <c r="F788" s="8">
        <f t="shared" si="3"/>
        <v>5770202</v>
      </c>
    </row>
    <row r="789">
      <c r="A789" s="1">
        <v>788.0</v>
      </c>
      <c r="B789" s="8">
        <f>Filmes_final!C789</f>
        <v>15539266</v>
      </c>
      <c r="C789" s="5">
        <f>Filmes_final!D789</f>
        <v>2002</v>
      </c>
      <c r="D789" s="5">
        <f t="shared" si="1"/>
        <v>2020</v>
      </c>
      <c r="E789" s="12">
        <f t="shared" si="2"/>
        <v>1.45664032</v>
      </c>
      <c r="F789" s="8">
        <f t="shared" si="3"/>
        <v>22635121</v>
      </c>
    </row>
    <row r="790">
      <c r="A790" s="1">
        <v>789.0</v>
      </c>
      <c r="B790" s="8">
        <f>Filmes_final!C790</f>
        <v>40311852</v>
      </c>
      <c r="C790" s="5">
        <f>Filmes_final!D790</f>
        <v>2001</v>
      </c>
      <c r="D790" s="5">
        <f t="shared" si="1"/>
        <v>2020</v>
      </c>
      <c r="E790" s="12">
        <f t="shared" si="2"/>
        <v>1.47327813</v>
      </c>
      <c r="F790" s="8">
        <f t="shared" si="3"/>
        <v>59390570</v>
      </c>
    </row>
    <row r="791">
      <c r="A791" s="1">
        <v>790.0</v>
      </c>
      <c r="B791" s="8">
        <f>Filmes_final!C791</f>
        <v>22245861</v>
      </c>
      <c r="C791" s="5">
        <f>Filmes_final!D791</f>
        <v>2002</v>
      </c>
      <c r="D791" s="5">
        <f t="shared" si="1"/>
        <v>2020</v>
      </c>
      <c r="E791" s="12">
        <f t="shared" si="2"/>
        <v>1.45664032</v>
      </c>
      <c r="F791" s="8">
        <f t="shared" si="3"/>
        <v>32404218</v>
      </c>
    </row>
    <row r="792">
      <c r="A792" s="1">
        <v>791.0</v>
      </c>
      <c r="B792" s="8">
        <f>Filmes_final!C792</f>
        <v>108638745</v>
      </c>
      <c r="C792" s="5">
        <f>Filmes_final!D792</f>
        <v>2001</v>
      </c>
      <c r="D792" s="5">
        <f t="shared" si="1"/>
        <v>2020</v>
      </c>
      <c r="E792" s="12">
        <f t="shared" si="2"/>
        <v>1.47327813</v>
      </c>
      <c r="F792" s="8">
        <f t="shared" si="3"/>
        <v>160055087</v>
      </c>
    </row>
    <row r="793">
      <c r="A793" s="1">
        <v>792.0</v>
      </c>
      <c r="B793" s="8">
        <f>Filmes_final!C793</f>
        <v>104454762</v>
      </c>
      <c r="C793" s="5">
        <f>Filmes_final!D793</f>
        <v>2002</v>
      </c>
      <c r="D793" s="5">
        <f t="shared" si="1"/>
        <v>2020</v>
      </c>
      <c r="E793" s="12">
        <f t="shared" si="2"/>
        <v>1.45664032</v>
      </c>
      <c r="F793" s="8">
        <f t="shared" si="3"/>
        <v>152153018</v>
      </c>
    </row>
    <row r="794">
      <c r="A794" s="1">
        <v>793.0</v>
      </c>
      <c r="B794" s="8">
        <f>Filmes_final!C794</f>
        <v>141072</v>
      </c>
      <c r="C794" s="5">
        <f>Filmes_final!D794</f>
        <v>2001</v>
      </c>
      <c r="D794" s="5">
        <f t="shared" si="1"/>
        <v>2020</v>
      </c>
      <c r="E794" s="12">
        <f t="shared" si="2"/>
        <v>1.47327813</v>
      </c>
      <c r="F794" s="8">
        <f t="shared" si="3"/>
        <v>207838</v>
      </c>
    </row>
    <row r="795">
      <c r="A795" s="1">
        <v>794.0</v>
      </c>
      <c r="B795" s="8">
        <f>Filmes_final!C795</f>
        <v>21995263</v>
      </c>
      <c r="C795" s="5">
        <f>Filmes_final!D795</f>
        <v>2000</v>
      </c>
      <c r="D795" s="5">
        <f t="shared" si="1"/>
        <v>2020</v>
      </c>
      <c r="E795" s="12">
        <f t="shared" si="2"/>
        <v>1.52826422</v>
      </c>
      <c r="F795" s="8">
        <f t="shared" si="3"/>
        <v>33614573</v>
      </c>
    </row>
    <row r="796">
      <c r="A796" s="1">
        <v>795.0</v>
      </c>
      <c r="B796" s="8">
        <f>Filmes_final!C796</f>
        <v>3029081</v>
      </c>
      <c r="C796" s="5">
        <f>Filmes_final!D796</f>
        <v>2001</v>
      </c>
      <c r="D796" s="5">
        <f t="shared" si="1"/>
        <v>2020</v>
      </c>
      <c r="E796" s="12">
        <f t="shared" si="2"/>
        <v>1.47327813</v>
      </c>
      <c r="F796" s="8">
        <f t="shared" si="3"/>
        <v>4462679</v>
      </c>
    </row>
    <row r="797">
      <c r="A797" s="1">
        <v>796.0</v>
      </c>
      <c r="B797" s="8">
        <f>Filmes_final!C797</f>
        <v>183417150</v>
      </c>
      <c r="C797" s="5">
        <f>Filmes_final!D797</f>
        <v>2001</v>
      </c>
      <c r="D797" s="5">
        <f t="shared" si="1"/>
        <v>2020</v>
      </c>
      <c r="E797" s="12">
        <f t="shared" si="2"/>
        <v>1.47327813</v>
      </c>
      <c r="F797" s="8">
        <f t="shared" si="3"/>
        <v>270224476</v>
      </c>
    </row>
    <row r="798">
      <c r="A798" s="1">
        <v>797.0</v>
      </c>
      <c r="B798" s="8">
        <f>Filmes_final!C798</f>
        <v>151086</v>
      </c>
      <c r="C798" s="5">
        <f>Filmes_final!D798</f>
        <v>2000</v>
      </c>
      <c r="D798" s="5">
        <f t="shared" si="1"/>
        <v>2020</v>
      </c>
      <c r="E798" s="12">
        <f t="shared" si="2"/>
        <v>1.52826422</v>
      </c>
      <c r="F798" s="8">
        <f t="shared" si="3"/>
        <v>230899</v>
      </c>
    </row>
    <row r="799">
      <c r="A799" s="1">
        <v>798.0</v>
      </c>
      <c r="B799" s="8">
        <f>Filmes_final!C799</f>
        <v>45512588</v>
      </c>
      <c r="C799" s="5">
        <f>Filmes_final!D799</f>
        <v>2000</v>
      </c>
      <c r="D799" s="5">
        <f t="shared" si="1"/>
        <v>2020</v>
      </c>
      <c r="E799" s="12">
        <f t="shared" si="2"/>
        <v>1.52826422</v>
      </c>
      <c r="F799" s="8">
        <f t="shared" si="3"/>
        <v>69555260</v>
      </c>
    </row>
    <row r="800">
      <c r="A800" s="1">
        <v>799.0</v>
      </c>
      <c r="B800" s="8">
        <f>Filmes_final!C800</f>
        <v>8449</v>
      </c>
      <c r="C800" s="5">
        <f>Filmes_final!D800</f>
        <v>2002</v>
      </c>
      <c r="D800" s="5">
        <f t="shared" si="1"/>
        <v>2020</v>
      </c>
      <c r="E800" s="12">
        <f t="shared" si="2"/>
        <v>1.45664032</v>
      </c>
      <c r="F800" s="8">
        <f t="shared" si="3"/>
        <v>12307</v>
      </c>
    </row>
    <row r="801">
      <c r="A801" s="1">
        <v>800.0</v>
      </c>
      <c r="B801" s="8">
        <f>Filmes_final!C801</f>
        <v>52037603</v>
      </c>
      <c r="C801" s="5">
        <f>Filmes_final!D801</f>
        <v>1999</v>
      </c>
      <c r="D801" s="5">
        <f t="shared" si="1"/>
        <v>2020</v>
      </c>
      <c r="E801" s="12">
        <f t="shared" si="2"/>
        <v>1.57012173</v>
      </c>
      <c r="F801" s="8">
        <f t="shared" si="3"/>
        <v>81705371</v>
      </c>
    </row>
    <row r="802">
      <c r="A802" s="1">
        <v>801.0</v>
      </c>
      <c r="B802" s="8">
        <f>Filmes_final!C802</f>
        <v>10824921</v>
      </c>
      <c r="C802" s="5">
        <f>Filmes_final!D802</f>
        <v>1999</v>
      </c>
      <c r="D802" s="5">
        <f t="shared" si="1"/>
        <v>2020</v>
      </c>
      <c r="E802" s="12">
        <f t="shared" si="2"/>
        <v>1.57012173</v>
      </c>
      <c r="F802" s="8">
        <f t="shared" si="3"/>
        <v>16996444</v>
      </c>
    </row>
    <row r="803">
      <c r="A803" s="1">
        <v>802.0</v>
      </c>
      <c r="B803" s="8">
        <f>Filmes_final!C803</f>
        <v>2807390</v>
      </c>
      <c r="C803" s="5">
        <f>Filmes_final!D803</f>
        <v>1998</v>
      </c>
      <c r="D803" s="5">
        <f t="shared" si="1"/>
        <v>2020</v>
      </c>
      <c r="E803" s="12">
        <f t="shared" si="2"/>
        <v>1.5963552</v>
      </c>
      <c r="F803" s="8">
        <f t="shared" si="3"/>
        <v>4481592</v>
      </c>
    </row>
    <row r="804">
      <c r="A804" s="1">
        <v>803.0</v>
      </c>
      <c r="B804" s="8">
        <f>Filmes_final!C804</f>
        <v>76631907</v>
      </c>
      <c r="C804" s="5">
        <f>Filmes_final!D804</f>
        <v>2001</v>
      </c>
      <c r="D804" s="5">
        <f t="shared" si="1"/>
        <v>2020</v>
      </c>
      <c r="E804" s="12">
        <f t="shared" si="2"/>
        <v>1.47327813</v>
      </c>
      <c r="F804" s="8">
        <f t="shared" si="3"/>
        <v>112900113</v>
      </c>
    </row>
    <row r="805">
      <c r="A805" s="1">
        <v>804.0</v>
      </c>
      <c r="B805" s="8">
        <f>Filmes_final!C805</f>
        <v>17105219</v>
      </c>
      <c r="C805" s="5">
        <f>Filmes_final!D805</f>
        <v>1998</v>
      </c>
      <c r="D805" s="5">
        <f t="shared" si="1"/>
        <v>2020</v>
      </c>
      <c r="E805" s="12">
        <f t="shared" si="2"/>
        <v>1.5963552</v>
      </c>
      <c r="F805" s="8">
        <f t="shared" si="3"/>
        <v>27306005</v>
      </c>
    </row>
    <row r="806">
      <c r="A806" s="1">
        <v>805.0</v>
      </c>
      <c r="B806" s="8">
        <f>Filmes_final!C806</f>
        <v>368234</v>
      </c>
      <c r="C806" s="5">
        <f>Filmes_final!D806</f>
        <v>1997</v>
      </c>
      <c r="D806" s="5">
        <f t="shared" si="1"/>
        <v>2020</v>
      </c>
      <c r="E806" s="12">
        <f t="shared" si="2"/>
        <v>1.62143935</v>
      </c>
      <c r="F806" s="8">
        <f t="shared" si="3"/>
        <v>597069</v>
      </c>
    </row>
    <row r="807">
      <c r="A807" s="1">
        <v>806.0</v>
      </c>
      <c r="B807" s="8">
        <f>Filmes_final!C807</f>
        <v>22858926</v>
      </c>
      <c r="C807" s="5">
        <f>Filmes_final!D807</f>
        <v>1999</v>
      </c>
      <c r="D807" s="5">
        <f t="shared" si="1"/>
        <v>2020</v>
      </c>
      <c r="E807" s="12">
        <f t="shared" si="2"/>
        <v>1.57012173</v>
      </c>
      <c r="F807" s="8">
        <f t="shared" si="3"/>
        <v>35891296</v>
      </c>
    </row>
    <row r="808">
      <c r="A808" s="1">
        <v>807.0</v>
      </c>
      <c r="B808" s="8">
        <f>Filmes_final!C808</f>
        <v>148478011</v>
      </c>
      <c r="C808" s="5">
        <f>Filmes_final!D808</f>
        <v>1997</v>
      </c>
      <c r="D808" s="5">
        <f t="shared" si="1"/>
        <v>2020</v>
      </c>
      <c r="E808" s="12">
        <f t="shared" si="2"/>
        <v>1.62143935</v>
      </c>
      <c r="F808" s="8">
        <f t="shared" si="3"/>
        <v>240748090</v>
      </c>
    </row>
    <row r="809">
      <c r="A809" s="1">
        <v>808.0</v>
      </c>
      <c r="B809" s="8">
        <f>Filmes_final!C809</f>
        <v>63540020</v>
      </c>
      <c r="C809" s="5">
        <f>Filmes_final!D809</f>
        <v>1997</v>
      </c>
      <c r="D809" s="5">
        <f t="shared" si="1"/>
        <v>2020</v>
      </c>
      <c r="E809" s="12">
        <f t="shared" si="2"/>
        <v>1.62143935</v>
      </c>
      <c r="F809" s="8">
        <f t="shared" si="3"/>
        <v>103026289</v>
      </c>
    </row>
    <row r="810">
      <c r="A810" s="1">
        <v>809.0</v>
      </c>
      <c r="B810" s="8">
        <f>Filmes_final!C810</f>
        <v>4065116</v>
      </c>
      <c r="C810" s="5">
        <f>Filmes_final!D810</f>
        <v>1998</v>
      </c>
      <c r="D810" s="5">
        <f t="shared" si="1"/>
        <v>2020</v>
      </c>
      <c r="E810" s="12">
        <f t="shared" si="2"/>
        <v>1.5963552</v>
      </c>
      <c r="F810" s="8">
        <f t="shared" si="3"/>
        <v>6489369</v>
      </c>
    </row>
    <row r="811">
      <c r="A811" s="1">
        <v>810.0</v>
      </c>
      <c r="B811" s="8">
        <f>Filmes_final!C811</f>
        <v>41909762</v>
      </c>
      <c r="C811" s="5">
        <f>Filmes_final!D811</f>
        <v>1997</v>
      </c>
      <c r="D811" s="5">
        <f t="shared" si="1"/>
        <v>2020</v>
      </c>
      <c r="E811" s="12">
        <f t="shared" si="2"/>
        <v>1.62143935</v>
      </c>
      <c r="F811" s="8">
        <f t="shared" si="3"/>
        <v>67954137</v>
      </c>
    </row>
    <row r="812">
      <c r="A812" s="1">
        <v>811.0</v>
      </c>
      <c r="B812" s="8">
        <f>Filmes_final!C812</f>
        <v>35811509</v>
      </c>
      <c r="C812" s="5">
        <f>Filmes_final!D812</f>
        <v>1996</v>
      </c>
      <c r="D812" s="5">
        <f t="shared" si="1"/>
        <v>2020</v>
      </c>
      <c r="E812" s="12">
        <f t="shared" si="2"/>
        <v>1.67079663</v>
      </c>
      <c r="F812" s="8">
        <f t="shared" si="3"/>
        <v>59833749</v>
      </c>
    </row>
    <row r="813">
      <c r="A813" s="1">
        <v>812.0</v>
      </c>
      <c r="B813" s="8">
        <f>Filmes_final!C813</f>
        <v>56116183</v>
      </c>
      <c r="C813" s="5">
        <f>Filmes_final!D813</f>
        <v>1996</v>
      </c>
      <c r="D813" s="5">
        <f t="shared" si="1"/>
        <v>2020</v>
      </c>
      <c r="E813" s="12">
        <f t="shared" si="2"/>
        <v>1.67079663</v>
      </c>
      <c r="F813" s="8">
        <f t="shared" si="3"/>
        <v>93758729</v>
      </c>
    </row>
    <row r="814">
      <c r="A814" s="1">
        <v>813.0</v>
      </c>
      <c r="B814" s="8">
        <f>Filmes_final!C814</f>
        <v>4414535</v>
      </c>
      <c r="C814" s="5">
        <f>Filmes_final!D814</f>
        <v>1996</v>
      </c>
      <c r="D814" s="5">
        <f t="shared" si="1"/>
        <v>2020</v>
      </c>
      <c r="E814" s="12">
        <f t="shared" si="2"/>
        <v>1.67079663</v>
      </c>
      <c r="F814" s="8">
        <f t="shared" si="3"/>
        <v>7375790</v>
      </c>
    </row>
    <row r="815">
      <c r="A815" s="1">
        <v>814.0</v>
      </c>
      <c r="B815" s="8">
        <f>Filmes_final!C815</f>
        <v>10019307</v>
      </c>
      <c r="C815" s="5">
        <f>Filmes_final!D815</f>
        <v>1995</v>
      </c>
      <c r="D815" s="5">
        <f t="shared" si="1"/>
        <v>2020</v>
      </c>
      <c r="E815" s="12">
        <f t="shared" si="2"/>
        <v>1.71637392</v>
      </c>
      <c r="F815" s="8">
        <f t="shared" si="3"/>
        <v>17196877</v>
      </c>
    </row>
    <row r="816">
      <c r="A816" s="1">
        <v>815.0</v>
      </c>
      <c r="B816" s="8">
        <f>Filmes_final!C816</f>
        <v>251164</v>
      </c>
      <c r="C816" s="5">
        <f>Filmes_final!D816</f>
        <v>1995</v>
      </c>
      <c r="D816" s="5">
        <f t="shared" si="1"/>
        <v>2020</v>
      </c>
      <c r="E816" s="12">
        <f t="shared" si="2"/>
        <v>1.71637392</v>
      </c>
      <c r="F816" s="8">
        <f t="shared" si="3"/>
        <v>431091</v>
      </c>
    </row>
    <row r="817">
      <c r="A817" s="1">
        <v>816.0</v>
      </c>
      <c r="B817" s="8">
        <f>Filmes_final!C817</f>
        <v>21848932</v>
      </c>
      <c r="C817" s="5">
        <f>Filmes_final!D817</f>
        <v>1994</v>
      </c>
      <c r="D817" s="5">
        <f t="shared" si="1"/>
        <v>2020</v>
      </c>
      <c r="E817" s="12">
        <f t="shared" si="2"/>
        <v>1.76450752</v>
      </c>
      <c r="F817" s="8">
        <f t="shared" si="3"/>
        <v>38552605</v>
      </c>
    </row>
    <row r="818">
      <c r="A818" s="1">
        <v>817.0</v>
      </c>
      <c r="B818" s="8">
        <f>Filmes_final!C818</f>
        <v>3151130</v>
      </c>
      <c r="C818" s="5">
        <f>Filmes_final!D818</f>
        <v>1994</v>
      </c>
      <c r="D818" s="5">
        <f t="shared" si="1"/>
        <v>2020</v>
      </c>
      <c r="E818" s="12">
        <f t="shared" si="2"/>
        <v>1.76450752</v>
      </c>
      <c r="F818" s="8">
        <f t="shared" si="3"/>
        <v>5560193</v>
      </c>
    </row>
    <row r="819">
      <c r="A819" s="1">
        <v>818.0</v>
      </c>
      <c r="B819" s="8">
        <f>Filmes_final!C819</f>
        <v>6110979</v>
      </c>
      <c r="C819" s="5">
        <f>Filmes_final!D819</f>
        <v>1993</v>
      </c>
      <c r="D819" s="5">
        <f t="shared" si="1"/>
        <v>2020</v>
      </c>
      <c r="E819" s="12">
        <f t="shared" si="2"/>
        <v>1.8090533</v>
      </c>
      <c r="F819" s="8">
        <f t="shared" si="3"/>
        <v>11055087</v>
      </c>
    </row>
    <row r="820">
      <c r="A820" s="1">
        <v>819.0</v>
      </c>
      <c r="B820" s="8">
        <f>Filmes_final!C820</f>
        <v>77324422</v>
      </c>
      <c r="C820" s="5">
        <f>Filmes_final!D820</f>
        <v>1993</v>
      </c>
      <c r="D820" s="5">
        <f t="shared" si="1"/>
        <v>2020</v>
      </c>
      <c r="E820" s="12">
        <f t="shared" si="2"/>
        <v>1.8090533</v>
      </c>
      <c r="F820" s="8">
        <f t="shared" si="3"/>
        <v>139884001</v>
      </c>
    </row>
    <row r="821">
      <c r="A821" s="1">
        <v>820.0</v>
      </c>
      <c r="B821" s="8">
        <f>Filmes_final!C821</f>
        <v>27281507</v>
      </c>
      <c r="C821" s="5">
        <f>Filmes_final!D821</f>
        <v>1992</v>
      </c>
      <c r="D821" s="5">
        <f t="shared" si="1"/>
        <v>2020</v>
      </c>
      <c r="E821" s="12">
        <f t="shared" si="2"/>
        <v>1.86800145</v>
      </c>
      <c r="F821" s="8">
        <f t="shared" si="3"/>
        <v>50961895</v>
      </c>
    </row>
    <row r="822">
      <c r="A822" s="1">
        <v>821.0</v>
      </c>
      <c r="B822" s="8">
        <f>Filmes_final!C822</f>
        <v>48169908</v>
      </c>
      <c r="C822" s="5">
        <f>Filmes_final!D822</f>
        <v>1992</v>
      </c>
      <c r="D822" s="5">
        <f t="shared" si="1"/>
        <v>2020</v>
      </c>
      <c r="E822" s="12">
        <f t="shared" si="2"/>
        <v>1.86800145</v>
      </c>
      <c r="F822" s="8">
        <f t="shared" si="3"/>
        <v>89981458</v>
      </c>
    </row>
    <row r="823">
      <c r="A823" s="1">
        <v>822.0</v>
      </c>
      <c r="B823" s="8">
        <f>Filmes_final!C823</f>
        <v>75505856</v>
      </c>
      <c r="C823" s="5">
        <f>Filmes_final!D823</f>
        <v>1992</v>
      </c>
      <c r="D823" s="5">
        <f t="shared" si="1"/>
        <v>2020</v>
      </c>
      <c r="E823" s="12">
        <f t="shared" si="2"/>
        <v>1.86800145</v>
      </c>
      <c r="F823" s="8">
        <f t="shared" si="3"/>
        <v>141045048</v>
      </c>
    </row>
    <row r="824">
      <c r="A824" s="1">
        <v>823.0</v>
      </c>
      <c r="B824" s="8">
        <f>Filmes_final!C824</f>
        <v>1354960</v>
      </c>
      <c r="C824" s="5">
        <f>Filmes_final!D824</f>
        <v>1992</v>
      </c>
      <c r="D824" s="5">
        <f t="shared" si="1"/>
        <v>2020</v>
      </c>
      <c r="E824" s="12">
        <f t="shared" si="2"/>
        <v>1.86800145</v>
      </c>
      <c r="F824" s="8">
        <f t="shared" si="3"/>
        <v>2531067</v>
      </c>
    </row>
    <row r="825">
      <c r="A825" s="1">
        <v>824.0</v>
      </c>
      <c r="B825" s="8">
        <f>Filmes_final!C825</f>
        <v>10725228</v>
      </c>
      <c r="C825" s="5">
        <f>Filmes_final!D825</f>
        <v>1992</v>
      </c>
      <c r="D825" s="5">
        <f t="shared" si="1"/>
        <v>2020</v>
      </c>
      <c r="E825" s="12">
        <f t="shared" si="2"/>
        <v>1.86800145</v>
      </c>
      <c r="F825" s="8">
        <f t="shared" si="3"/>
        <v>20034741</v>
      </c>
    </row>
    <row r="826">
      <c r="A826" s="1">
        <v>825.0</v>
      </c>
      <c r="B826" s="8">
        <f>Filmes_final!C826</f>
        <v>141340178</v>
      </c>
      <c r="C826" s="5">
        <f>Filmes_final!D826</f>
        <v>1992</v>
      </c>
      <c r="D826" s="5">
        <f t="shared" si="1"/>
        <v>2020</v>
      </c>
      <c r="E826" s="12">
        <f t="shared" si="2"/>
        <v>1.86800145</v>
      </c>
      <c r="F826" s="8">
        <f t="shared" si="3"/>
        <v>264023657</v>
      </c>
    </row>
    <row r="827">
      <c r="A827" s="1">
        <v>826.0</v>
      </c>
      <c r="B827" s="8">
        <f>Filmes_final!C827</f>
        <v>82418501</v>
      </c>
      <c r="C827" s="5">
        <f>Filmes_final!D827</f>
        <v>1991</v>
      </c>
      <c r="D827" s="5">
        <f t="shared" si="1"/>
        <v>2020</v>
      </c>
      <c r="E827" s="12">
        <f t="shared" si="2"/>
        <v>1.91657504</v>
      </c>
      <c r="F827" s="8">
        <f t="shared" si="3"/>
        <v>157961242</v>
      </c>
    </row>
    <row r="828">
      <c r="A828" s="1">
        <v>827.0</v>
      </c>
      <c r="B828" s="8">
        <f>Filmes_final!C828</f>
        <v>6153939</v>
      </c>
      <c r="C828" s="5">
        <f>Filmes_final!D828</f>
        <v>1991</v>
      </c>
      <c r="D828" s="5">
        <f t="shared" si="1"/>
        <v>2020</v>
      </c>
      <c r="E828" s="12">
        <f t="shared" si="2"/>
        <v>1.91657504</v>
      </c>
      <c r="F828" s="8">
        <f t="shared" si="3"/>
        <v>11794486</v>
      </c>
    </row>
    <row r="829">
      <c r="A829" s="1">
        <v>828.0</v>
      </c>
      <c r="B829" s="8">
        <f>Filmes_final!C829</f>
        <v>5080409</v>
      </c>
      <c r="C829" s="5">
        <f>Filmes_final!D829</f>
        <v>1990</v>
      </c>
      <c r="D829" s="5">
        <f t="shared" si="1"/>
        <v>2020</v>
      </c>
      <c r="E829" s="12">
        <f t="shared" si="2"/>
        <v>2.02489011</v>
      </c>
      <c r="F829" s="8">
        <f t="shared" si="3"/>
        <v>10287270</v>
      </c>
    </row>
    <row r="830">
      <c r="A830" s="1">
        <v>829.0</v>
      </c>
      <c r="B830" s="8">
        <f>Filmes_final!C830</f>
        <v>156452370</v>
      </c>
      <c r="C830" s="5">
        <f>Filmes_final!D830</f>
        <v>1988</v>
      </c>
      <c r="D830" s="5">
        <f t="shared" si="1"/>
        <v>2020</v>
      </c>
      <c r="E830" s="12">
        <f t="shared" si="2"/>
        <v>2.22965428</v>
      </c>
      <c r="F830" s="8">
        <f t="shared" si="3"/>
        <v>348834696</v>
      </c>
    </row>
    <row r="831">
      <c r="A831" s="1">
        <v>830.0</v>
      </c>
      <c r="B831" s="8">
        <f>Filmes_final!C831</f>
        <v>0</v>
      </c>
      <c r="C831" s="5">
        <f>Filmes_final!D831</f>
        <v>1988</v>
      </c>
      <c r="D831" s="5">
        <f t="shared" si="1"/>
        <v>2020</v>
      </c>
      <c r="E831" s="12">
        <f t="shared" si="2"/>
        <v>2.22965428</v>
      </c>
      <c r="F831" s="8">
        <f t="shared" si="3"/>
        <v>0</v>
      </c>
    </row>
    <row r="832">
      <c r="A832" s="1">
        <v>831.0</v>
      </c>
      <c r="B832" s="8">
        <f>Filmes_final!C832</f>
        <v>1544889</v>
      </c>
      <c r="C832" s="5">
        <f>Filmes_final!D832</f>
        <v>1987</v>
      </c>
      <c r="D832" s="5">
        <f t="shared" si="1"/>
        <v>2020</v>
      </c>
      <c r="E832" s="12">
        <f t="shared" si="2"/>
        <v>2.31988309</v>
      </c>
      <c r="F832" s="8">
        <f t="shared" si="3"/>
        <v>3583962</v>
      </c>
    </row>
    <row r="833">
      <c r="A833" s="1">
        <v>832.0</v>
      </c>
      <c r="B833" s="8">
        <f>Filmes_final!C833</f>
        <v>43984230</v>
      </c>
      <c r="C833" s="5">
        <f>Filmes_final!D833</f>
        <v>1987</v>
      </c>
      <c r="D833" s="5">
        <f t="shared" si="1"/>
        <v>2020</v>
      </c>
      <c r="E833" s="12">
        <f t="shared" si="2"/>
        <v>2.31988309</v>
      </c>
      <c r="F833" s="8">
        <f t="shared" si="3"/>
        <v>102038271</v>
      </c>
    </row>
    <row r="834">
      <c r="A834" s="1">
        <v>833.0</v>
      </c>
      <c r="B834" s="8">
        <f>Filmes_final!C834</f>
        <v>22238696</v>
      </c>
      <c r="C834" s="5">
        <f>Filmes_final!D834</f>
        <v>1987</v>
      </c>
      <c r="D834" s="5">
        <f t="shared" si="1"/>
        <v>2020</v>
      </c>
      <c r="E834" s="12">
        <f t="shared" si="2"/>
        <v>2.31988309</v>
      </c>
      <c r="F834" s="8">
        <f t="shared" si="3"/>
        <v>51591175</v>
      </c>
    </row>
    <row r="835">
      <c r="A835" s="1">
        <v>834.0</v>
      </c>
      <c r="B835" s="8">
        <f>Filmes_final!C835</f>
        <v>7153487</v>
      </c>
      <c r="C835" s="5">
        <f>Filmes_final!D835</f>
        <v>1986</v>
      </c>
      <c r="D835" s="5">
        <f t="shared" si="1"/>
        <v>2020</v>
      </c>
      <c r="E835" s="12">
        <f t="shared" si="2"/>
        <v>2.35375</v>
      </c>
      <c r="F835" s="8">
        <f t="shared" si="3"/>
        <v>16837520</v>
      </c>
    </row>
    <row r="836">
      <c r="A836" s="1">
        <v>835.0</v>
      </c>
      <c r="B836" s="8">
        <f>Filmes_final!C836</f>
        <v>8551228</v>
      </c>
      <c r="C836" s="5">
        <f>Filmes_final!D836</f>
        <v>1986</v>
      </c>
      <c r="D836" s="5">
        <f t="shared" si="1"/>
        <v>2020</v>
      </c>
      <c r="E836" s="12">
        <f t="shared" si="2"/>
        <v>2.35375</v>
      </c>
      <c r="F836" s="8">
        <f t="shared" si="3"/>
        <v>20127453</v>
      </c>
    </row>
    <row r="837">
      <c r="A837" s="1">
        <v>836.0</v>
      </c>
      <c r="B837" s="8">
        <f>Filmes_final!C837</f>
        <v>10631333</v>
      </c>
      <c r="C837" s="5">
        <f>Filmes_final!D837</f>
        <v>1985</v>
      </c>
      <c r="D837" s="5">
        <f t="shared" si="1"/>
        <v>2020</v>
      </c>
      <c r="E837" s="12">
        <f t="shared" si="2"/>
        <v>2.44522275</v>
      </c>
      <c r="F837" s="8">
        <f t="shared" si="3"/>
        <v>25995977</v>
      </c>
    </row>
    <row r="838">
      <c r="A838" s="1">
        <v>837.0</v>
      </c>
      <c r="B838" s="8">
        <f>Filmes_final!C838</f>
        <v>10600000</v>
      </c>
      <c r="C838" s="5">
        <f>Filmes_final!D838</f>
        <v>1985</v>
      </c>
      <c r="D838" s="5">
        <f t="shared" si="1"/>
        <v>2020</v>
      </c>
      <c r="E838" s="12">
        <f t="shared" si="2"/>
        <v>2.44522275</v>
      </c>
      <c r="F838" s="8">
        <f t="shared" si="3"/>
        <v>25919361</v>
      </c>
    </row>
    <row r="839">
      <c r="A839" s="1">
        <v>838.0</v>
      </c>
      <c r="B839" s="8">
        <f>Filmes_final!C839</f>
        <v>11798616</v>
      </c>
      <c r="C839" s="5">
        <f>Filmes_final!D839</f>
        <v>1983</v>
      </c>
      <c r="D839" s="5">
        <f t="shared" si="1"/>
        <v>2020</v>
      </c>
      <c r="E839" s="12">
        <f t="shared" si="2"/>
        <v>2.63774029</v>
      </c>
      <c r="F839" s="8">
        <f t="shared" si="3"/>
        <v>31121685</v>
      </c>
    </row>
    <row r="840">
      <c r="A840" s="1">
        <v>839.0</v>
      </c>
      <c r="B840" s="8">
        <f>Filmes_final!C840</f>
        <v>54000000</v>
      </c>
      <c r="C840" s="5">
        <f>Filmes_final!D840</f>
        <v>1982</v>
      </c>
      <c r="D840" s="5">
        <f t="shared" si="1"/>
        <v>2020</v>
      </c>
      <c r="E840" s="12">
        <f t="shared" si="2"/>
        <v>2.73564157</v>
      </c>
      <c r="F840" s="8">
        <f t="shared" si="3"/>
        <v>147724645</v>
      </c>
    </row>
    <row r="841">
      <c r="A841" s="1">
        <v>840.0</v>
      </c>
      <c r="B841" s="8">
        <f>Filmes_final!C841</f>
        <v>78912963</v>
      </c>
      <c r="C841" s="5">
        <f>Filmes_final!D841</f>
        <v>1982</v>
      </c>
      <c r="D841" s="5">
        <f t="shared" si="1"/>
        <v>2020</v>
      </c>
      <c r="E841" s="12">
        <f t="shared" si="2"/>
        <v>2.73564157</v>
      </c>
      <c r="F841" s="8">
        <f t="shared" si="3"/>
        <v>215877582</v>
      </c>
    </row>
    <row r="842">
      <c r="A842" s="1">
        <v>841.0</v>
      </c>
      <c r="B842" s="8">
        <f>Filmes_final!C842</f>
        <v>47212904</v>
      </c>
      <c r="C842" s="5">
        <f>Filmes_final!D842</f>
        <v>1982</v>
      </c>
      <c r="D842" s="5">
        <f t="shared" si="1"/>
        <v>2020</v>
      </c>
      <c r="E842" s="12">
        <f t="shared" si="2"/>
        <v>2.73564157</v>
      </c>
      <c r="F842" s="8">
        <f t="shared" si="3"/>
        <v>129157583</v>
      </c>
    </row>
    <row r="843">
      <c r="A843" s="1">
        <v>842.0</v>
      </c>
      <c r="B843" s="8">
        <f>Filmes_final!C843</f>
        <v>54800000</v>
      </c>
      <c r="C843" s="5">
        <f>Filmes_final!D843</f>
        <v>1980</v>
      </c>
      <c r="D843" s="5">
        <f t="shared" si="1"/>
        <v>2020</v>
      </c>
      <c r="E843" s="12">
        <f t="shared" si="2"/>
        <v>3.31582262</v>
      </c>
      <c r="F843" s="8">
        <f t="shared" si="3"/>
        <v>181707080</v>
      </c>
    </row>
    <row r="844">
      <c r="A844" s="1">
        <v>843.0</v>
      </c>
      <c r="B844" s="8">
        <f>Filmes_final!C844</f>
        <v>83400000</v>
      </c>
      <c r="C844" s="5">
        <f>Filmes_final!D844</f>
        <v>1980</v>
      </c>
      <c r="D844" s="5">
        <f t="shared" si="1"/>
        <v>2020</v>
      </c>
      <c r="E844" s="12">
        <f t="shared" si="2"/>
        <v>3.31582262</v>
      </c>
      <c r="F844" s="8">
        <f t="shared" si="3"/>
        <v>276539607</v>
      </c>
    </row>
    <row r="845">
      <c r="A845" s="1">
        <v>844.0</v>
      </c>
      <c r="B845" s="8">
        <f>Filmes_final!C845</f>
        <v>523161</v>
      </c>
      <c r="C845" s="5">
        <f>Filmes_final!D845</f>
        <v>1979</v>
      </c>
      <c r="D845" s="5">
        <f t="shared" si="1"/>
        <v>2020</v>
      </c>
      <c r="E845" s="12">
        <f t="shared" si="2"/>
        <v>3.77702782</v>
      </c>
      <c r="F845" s="8">
        <f t="shared" si="3"/>
        <v>1975994</v>
      </c>
    </row>
    <row r="846">
      <c r="A846" s="1">
        <v>845.0</v>
      </c>
      <c r="B846" s="8">
        <f>Filmes_final!C846</f>
        <v>47000000</v>
      </c>
      <c r="C846" s="5">
        <f>Filmes_final!D846</f>
        <v>1978</v>
      </c>
      <c r="D846" s="5">
        <f t="shared" si="1"/>
        <v>2020</v>
      </c>
      <c r="E846" s="12">
        <f t="shared" si="2"/>
        <v>4.127536</v>
      </c>
      <c r="F846" s="8">
        <f t="shared" si="3"/>
        <v>193994192</v>
      </c>
    </row>
    <row r="847">
      <c r="A847" s="1">
        <v>846.0</v>
      </c>
      <c r="B847" s="8">
        <f>Filmes_final!C847</f>
        <v>1924733</v>
      </c>
      <c r="C847" s="5">
        <f>Filmes_final!D847</f>
        <v>1976</v>
      </c>
      <c r="D847" s="5">
        <f t="shared" si="1"/>
        <v>2020</v>
      </c>
      <c r="E847" s="12">
        <f t="shared" si="2"/>
        <v>4.63976619</v>
      </c>
      <c r="F847" s="8">
        <f t="shared" si="3"/>
        <v>8930311</v>
      </c>
    </row>
    <row r="848">
      <c r="A848" s="1">
        <v>847.0</v>
      </c>
      <c r="B848" s="8">
        <f>Filmes_final!C848</f>
        <v>20123742</v>
      </c>
      <c r="C848" s="5">
        <f>Filmes_final!D848</f>
        <v>1975</v>
      </c>
      <c r="D848" s="5">
        <f t="shared" si="1"/>
        <v>2020</v>
      </c>
      <c r="E848" s="12">
        <f t="shared" si="2"/>
        <v>4.95145873</v>
      </c>
      <c r="F848" s="8">
        <f t="shared" si="3"/>
        <v>99641878</v>
      </c>
    </row>
    <row r="849">
      <c r="A849" s="1">
        <v>848.0</v>
      </c>
      <c r="B849" s="8">
        <f>Filmes_final!C849</f>
        <v>5000000</v>
      </c>
      <c r="C849" s="5">
        <f>Filmes_final!D849</f>
        <v>1974</v>
      </c>
      <c r="D849" s="5">
        <f t="shared" si="1"/>
        <v>2020</v>
      </c>
      <c r="E849" s="12">
        <f t="shared" si="2"/>
        <v>5.53585837</v>
      </c>
      <c r="F849" s="8">
        <f t="shared" si="3"/>
        <v>27679292</v>
      </c>
    </row>
    <row r="850">
      <c r="A850" s="1">
        <v>849.0</v>
      </c>
      <c r="B850" s="8">
        <f>Filmes_final!C850</f>
        <v>119500000</v>
      </c>
      <c r="C850" s="5">
        <f>Filmes_final!D850</f>
        <v>1974</v>
      </c>
      <c r="D850" s="5">
        <f t="shared" si="1"/>
        <v>2020</v>
      </c>
      <c r="E850" s="12">
        <f t="shared" si="2"/>
        <v>5.53585837</v>
      </c>
      <c r="F850" s="8">
        <f t="shared" si="3"/>
        <v>661535075</v>
      </c>
    </row>
    <row r="851">
      <c r="A851" s="1">
        <v>850.0</v>
      </c>
      <c r="B851" s="8">
        <f>Filmes_final!C851</f>
        <v>29800000</v>
      </c>
      <c r="C851" s="5">
        <f>Filmes_final!D851</f>
        <v>1973</v>
      </c>
      <c r="D851" s="5">
        <f t="shared" si="1"/>
        <v>2020</v>
      </c>
      <c r="E851" s="12">
        <f t="shared" si="2"/>
        <v>6.05565728</v>
      </c>
      <c r="F851" s="8">
        <f t="shared" si="3"/>
        <v>180458587</v>
      </c>
    </row>
    <row r="852">
      <c r="A852" s="1">
        <v>851.0</v>
      </c>
      <c r="B852" s="8">
        <f>Filmes_final!C852</f>
        <v>25000000</v>
      </c>
      <c r="C852" s="5">
        <f>Filmes_final!D852</f>
        <v>1973</v>
      </c>
      <c r="D852" s="5">
        <f t="shared" si="1"/>
        <v>2020</v>
      </c>
      <c r="E852" s="12">
        <f t="shared" si="2"/>
        <v>6.05565728</v>
      </c>
      <c r="F852" s="8">
        <f t="shared" si="3"/>
        <v>151391432</v>
      </c>
    </row>
    <row r="853">
      <c r="A853" s="1">
        <v>852.0</v>
      </c>
      <c r="B853" s="8">
        <f>Filmes_final!C853</f>
        <v>7056013</v>
      </c>
      <c r="C853" s="5">
        <f>Filmes_final!D853</f>
        <v>1972</v>
      </c>
      <c r="D853" s="5">
        <f t="shared" si="1"/>
        <v>2020</v>
      </c>
      <c r="E853" s="12">
        <f t="shared" si="2"/>
        <v>6.27666667</v>
      </c>
      <c r="F853" s="8">
        <f t="shared" si="3"/>
        <v>44288242</v>
      </c>
    </row>
    <row r="854">
      <c r="A854" s="1">
        <v>853.0</v>
      </c>
      <c r="B854" s="8">
        <f>Filmes_final!C854</f>
        <v>15630710</v>
      </c>
      <c r="C854" s="5">
        <f>Filmes_final!D854</f>
        <v>1971</v>
      </c>
      <c r="D854" s="5">
        <f t="shared" si="1"/>
        <v>2020</v>
      </c>
      <c r="E854" s="12">
        <f t="shared" si="2"/>
        <v>6.48168342</v>
      </c>
      <c r="F854" s="8">
        <f t="shared" si="3"/>
        <v>101313314</v>
      </c>
    </row>
    <row r="855">
      <c r="A855" s="1">
        <v>854.0</v>
      </c>
      <c r="B855" s="8">
        <f>Filmes_final!C855</f>
        <v>35900000</v>
      </c>
      <c r="C855" s="5">
        <f>Filmes_final!D855</f>
        <v>1971</v>
      </c>
      <c r="D855" s="5">
        <f t="shared" si="1"/>
        <v>2020</v>
      </c>
      <c r="E855" s="12">
        <f t="shared" si="2"/>
        <v>6.48168342</v>
      </c>
      <c r="F855" s="8">
        <f t="shared" si="3"/>
        <v>232692435</v>
      </c>
    </row>
    <row r="856">
      <c r="A856" s="1">
        <v>855.0</v>
      </c>
      <c r="B856" s="8">
        <f>Filmes_final!C856</f>
        <v>7100000</v>
      </c>
      <c r="C856" s="5">
        <f>Filmes_final!D856</f>
        <v>1968</v>
      </c>
      <c r="D856" s="5">
        <f t="shared" si="1"/>
        <v>2020</v>
      </c>
      <c r="E856" s="12">
        <f t="shared" si="2"/>
        <v>7.56513196</v>
      </c>
      <c r="F856" s="8">
        <f t="shared" si="3"/>
        <v>53712437</v>
      </c>
    </row>
    <row r="857">
      <c r="A857" s="1">
        <v>856.0</v>
      </c>
      <c r="B857" s="8">
        <f>Filmes_final!C857</f>
        <v>44527234</v>
      </c>
      <c r="C857" s="5">
        <f>Filmes_final!D857</f>
        <v>1968</v>
      </c>
      <c r="D857" s="5">
        <f t="shared" si="1"/>
        <v>2020</v>
      </c>
      <c r="E857" s="12">
        <f t="shared" si="2"/>
        <v>7.56513196</v>
      </c>
      <c r="F857" s="8">
        <f t="shared" si="3"/>
        <v>336854401</v>
      </c>
    </row>
    <row r="858">
      <c r="A858" s="1">
        <v>857.0</v>
      </c>
      <c r="B858" s="8">
        <f>Filmes_final!C858</f>
        <v>45300000</v>
      </c>
      <c r="C858" s="5">
        <f>Filmes_final!D858</f>
        <v>1967</v>
      </c>
      <c r="D858" s="5">
        <f t="shared" si="1"/>
        <v>2020</v>
      </c>
      <c r="E858" s="12">
        <f t="shared" si="2"/>
        <v>7.84106383</v>
      </c>
      <c r="F858" s="8">
        <f t="shared" si="3"/>
        <v>355200191</v>
      </c>
    </row>
    <row r="859">
      <c r="A859" s="1">
        <v>858.0</v>
      </c>
      <c r="B859" s="8">
        <f>Filmes_final!C859</f>
        <v>26331</v>
      </c>
      <c r="C859" s="5">
        <f>Filmes_final!D859</f>
        <v>1967</v>
      </c>
      <c r="D859" s="5">
        <f t="shared" si="1"/>
        <v>2020</v>
      </c>
      <c r="E859" s="12">
        <f t="shared" si="2"/>
        <v>7.84106383</v>
      </c>
      <c r="F859" s="8">
        <f t="shared" si="3"/>
        <v>206463</v>
      </c>
    </row>
    <row r="860">
      <c r="A860" s="1">
        <v>859.0</v>
      </c>
      <c r="B860" s="8">
        <f>Filmes_final!C860</f>
        <v>28350000</v>
      </c>
      <c r="C860" s="5">
        <f>Filmes_final!D860</f>
        <v>1966</v>
      </c>
      <c r="D860" s="5">
        <f t="shared" si="1"/>
        <v>2020</v>
      </c>
      <c r="E860" s="12">
        <f t="shared" si="2"/>
        <v>8.1122956</v>
      </c>
      <c r="F860" s="8">
        <f t="shared" si="3"/>
        <v>229983580</v>
      </c>
    </row>
    <row r="861">
      <c r="A861" s="1">
        <v>860.0</v>
      </c>
      <c r="B861" s="8">
        <f>Filmes_final!C861</f>
        <v>33174</v>
      </c>
      <c r="C861" s="5">
        <f>Filmes_final!D861</f>
        <v>1965</v>
      </c>
      <c r="D861" s="5">
        <f t="shared" si="1"/>
        <v>2020</v>
      </c>
      <c r="E861" s="12">
        <f t="shared" si="2"/>
        <v>8.26830128</v>
      </c>
      <c r="F861" s="8">
        <f t="shared" si="3"/>
        <v>274293</v>
      </c>
    </row>
    <row r="862">
      <c r="A862" s="1">
        <v>861.0</v>
      </c>
      <c r="B862" s="8">
        <f>Filmes_final!C862</f>
        <v>1720000</v>
      </c>
      <c r="C862" s="5">
        <f>Filmes_final!D862</f>
        <v>1964</v>
      </c>
      <c r="D862" s="5">
        <f t="shared" si="1"/>
        <v>2020</v>
      </c>
      <c r="E862" s="12">
        <f t="shared" si="2"/>
        <v>8.34857605</v>
      </c>
      <c r="F862" s="8">
        <f t="shared" si="3"/>
        <v>14359551</v>
      </c>
    </row>
    <row r="863">
      <c r="A863" s="1">
        <v>862.0</v>
      </c>
      <c r="B863" s="8">
        <f>Filmes_final!C863</f>
        <v>51081062</v>
      </c>
      <c r="C863" s="5">
        <f>Filmes_final!D863</f>
        <v>1964</v>
      </c>
      <c r="D863" s="5">
        <f t="shared" si="1"/>
        <v>2020</v>
      </c>
      <c r="E863" s="12">
        <f t="shared" si="2"/>
        <v>8.34857605</v>
      </c>
      <c r="F863" s="8">
        <f t="shared" si="3"/>
        <v>426454131</v>
      </c>
    </row>
    <row r="864">
      <c r="A864" s="1">
        <v>863.0</v>
      </c>
      <c r="B864" s="8">
        <f>Filmes_final!C864</f>
        <v>11403529</v>
      </c>
      <c r="C864" s="5">
        <f>Filmes_final!D864</f>
        <v>1963</v>
      </c>
      <c r="D864" s="5">
        <f t="shared" si="1"/>
        <v>2020</v>
      </c>
      <c r="E864" s="12">
        <f t="shared" si="2"/>
        <v>8.48588816</v>
      </c>
      <c r="F864" s="8">
        <f t="shared" si="3"/>
        <v>96769072</v>
      </c>
    </row>
    <row r="865">
      <c r="A865" s="1">
        <v>864.0</v>
      </c>
      <c r="B865" s="8">
        <f>Filmes_final!C865</f>
        <v>3000000</v>
      </c>
      <c r="C865" s="5">
        <f>Filmes_final!D865</f>
        <v>1962</v>
      </c>
      <c r="D865" s="5">
        <f t="shared" si="1"/>
        <v>2020</v>
      </c>
      <c r="E865" s="12">
        <f t="shared" si="2"/>
        <v>8.59903333</v>
      </c>
      <c r="F865" s="8">
        <f t="shared" si="3"/>
        <v>25797100</v>
      </c>
    </row>
    <row r="866">
      <c r="A866" s="1">
        <v>865.0</v>
      </c>
      <c r="B866" s="8">
        <f>Filmes_final!C866</f>
        <v>83957</v>
      </c>
      <c r="C866" s="5">
        <f>Filmes_final!D866</f>
        <v>1960</v>
      </c>
      <c r="D866" s="5">
        <f t="shared" si="1"/>
        <v>2020</v>
      </c>
      <c r="E866" s="12">
        <f t="shared" si="2"/>
        <v>8.80447099</v>
      </c>
      <c r="F866" s="8">
        <f t="shared" si="3"/>
        <v>739197</v>
      </c>
    </row>
    <row r="867">
      <c r="A867" s="1">
        <v>866.0</v>
      </c>
      <c r="B867" s="8">
        <f>Filmes_final!C867</f>
        <v>4905000</v>
      </c>
      <c r="C867" s="5">
        <f>Filmes_final!D867</f>
        <v>1960</v>
      </c>
      <c r="D867" s="5">
        <f t="shared" si="1"/>
        <v>2020</v>
      </c>
      <c r="E867" s="12">
        <f t="shared" si="2"/>
        <v>8.80447099</v>
      </c>
      <c r="F867" s="8">
        <f t="shared" si="3"/>
        <v>43185930</v>
      </c>
    </row>
    <row r="868">
      <c r="A868" s="1">
        <v>867.0</v>
      </c>
      <c r="B868" s="8">
        <f>Filmes_final!C868</f>
        <v>52709</v>
      </c>
      <c r="C868" s="5">
        <f>Filmes_final!D868</f>
        <v>1960</v>
      </c>
      <c r="D868" s="5">
        <f t="shared" si="1"/>
        <v>2020</v>
      </c>
      <c r="E868" s="12">
        <f t="shared" si="2"/>
        <v>8.80447099</v>
      </c>
      <c r="F868" s="8">
        <f t="shared" si="3"/>
        <v>464075</v>
      </c>
    </row>
    <row r="869">
      <c r="A869" s="1">
        <v>868.0</v>
      </c>
      <c r="B869" s="8">
        <f>Filmes_final!C869</f>
        <v>1861</v>
      </c>
      <c r="C869" s="5">
        <f>Filmes_final!D869</f>
        <v>1956</v>
      </c>
      <c r="D869" s="5">
        <f t="shared" si="1"/>
        <v>2020</v>
      </c>
      <c r="E869" s="12">
        <f t="shared" si="2"/>
        <v>9.62578358</v>
      </c>
      <c r="F869" s="8">
        <f t="shared" si="3"/>
        <v>17914</v>
      </c>
    </row>
    <row r="870">
      <c r="A870" s="1">
        <v>869.0</v>
      </c>
      <c r="B870" s="8">
        <f>Filmes_final!C870</f>
        <v>199963</v>
      </c>
      <c r="C870" s="5">
        <f>Filmes_final!D870</f>
        <v>1955</v>
      </c>
      <c r="D870" s="5">
        <f t="shared" si="1"/>
        <v>2020</v>
      </c>
      <c r="E870" s="12">
        <f t="shared" si="2"/>
        <v>9.66183521</v>
      </c>
      <c r="F870" s="8">
        <f t="shared" si="3"/>
        <v>1932010</v>
      </c>
    </row>
    <row r="871">
      <c r="A871" s="1">
        <v>870.0</v>
      </c>
      <c r="B871" s="8">
        <f>Filmes_final!C871</f>
        <v>23213</v>
      </c>
      <c r="C871" s="5">
        <f>Filmes_final!D871</f>
        <v>1955</v>
      </c>
      <c r="D871" s="5">
        <f t="shared" si="1"/>
        <v>2020</v>
      </c>
      <c r="E871" s="12">
        <f t="shared" si="2"/>
        <v>9.66183521</v>
      </c>
      <c r="F871" s="8">
        <f t="shared" si="3"/>
        <v>224280</v>
      </c>
    </row>
    <row r="872">
      <c r="A872" s="1">
        <v>871.0</v>
      </c>
      <c r="B872" s="8">
        <f>Filmes_final!C872</f>
        <v>2238813</v>
      </c>
      <c r="C872" s="5">
        <f>Filmes_final!D872</f>
        <v>1954</v>
      </c>
      <c r="D872" s="5">
        <f t="shared" si="1"/>
        <v>2020</v>
      </c>
      <c r="E872" s="12">
        <f t="shared" si="2"/>
        <v>9.59</v>
      </c>
      <c r="F872" s="8">
        <f t="shared" si="3"/>
        <v>21470217</v>
      </c>
    </row>
    <row r="873">
      <c r="A873" s="1">
        <v>872.0</v>
      </c>
      <c r="B873" s="8">
        <f>Filmes_final!C873</f>
        <v>10550000</v>
      </c>
      <c r="C873" s="5">
        <f>Filmes_final!D873</f>
        <v>1952</v>
      </c>
      <c r="D873" s="5">
        <f t="shared" si="1"/>
        <v>2020</v>
      </c>
      <c r="E873" s="12">
        <f t="shared" si="2"/>
        <v>9.73475472</v>
      </c>
      <c r="F873" s="8">
        <f t="shared" si="3"/>
        <v>102701662</v>
      </c>
    </row>
    <row r="874">
      <c r="A874" s="1">
        <v>873.0</v>
      </c>
      <c r="B874" s="8">
        <f>Filmes_final!C874</f>
        <v>1200000</v>
      </c>
      <c r="C874" s="5">
        <f>Filmes_final!D874</f>
        <v>1951</v>
      </c>
      <c r="D874" s="5">
        <f t="shared" si="1"/>
        <v>2020</v>
      </c>
      <c r="E874" s="12">
        <f t="shared" si="2"/>
        <v>10.15633858</v>
      </c>
      <c r="F874" s="8">
        <f t="shared" si="3"/>
        <v>12187606</v>
      </c>
    </row>
    <row r="875">
      <c r="A875" s="1">
        <v>874.0</v>
      </c>
      <c r="B875" s="8">
        <f>Filmes_final!C875</f>
        <v>536118</v>
      </c>
      <c r="C875" s="5">
        <f>Filmes_final!D875</f>
        <v>1951</v>
      </c>
      <c r="D875" s="5">
        <f t="shared" si="1"/>
        <v>2020</v>
      </c>
      <c r="E875" s="12">
        <f t="shared" si="2"/>
        <v>10.15633858</v>
      </c>
      <c r="F875" s="8">
        <f t="shared" si="3"/>
        <v>5444996</v>
      </c>
    </row>
    <row r="876">
      <c r="A876" s="1">
        <v>875.0</v>
      </c>
      <c r="B876" s="8">
        <f>Filmes_final!C876</f>
        <v>10000000</v>
      </c>
      <c r="C876" s="5">
        <f>Filmes_final!D876</f>
        <v>1946</v>
      </c>
      <c r="D876" s="5">
        <f t="shared" si="1"/>
        <v>2020</v>
      </c>
      <c r="E876" s="12">
        <f t="shared" si="2"/>
        <v>14.17423077</v>
      </c>
      <c r="F876" s="8">
        <f t="shared" si="3"/>
        <v>141742308</v>
      </c>
    </row>
    <row r="877">
      <c r="A877" s="1">
        <v>876.0</v>
      </c>
      <c r="B877" s="8">
        <f>Filmes_final!C877</f>
        <v>76408097</v>
      </c>
      <c r="C877" s="5">
        <f>Filmes_final!D877</f>
        <v>1940</v>
      </c>
      <c r="D877" s="5">
        <f t="shared" si="1"/>
        <v>2020</v>
      </c>
      <c r="E877" s="12">
        <f t="shared" si="2"/>
        <v>18.55906475</v>
      </c>
      <c r="F877" s="8">
        <f t="shared" si="3"/>
        <v>1418062820</v>
      </c>
    </row>
    <row r="878">
      <c r="A878" s="1">
        <v>877.0</v>
      </c>
      <c r="B878" s="8">
        <f>Filmes_final!C878</f>
        <v>27105</v>
      </c>
      <c r="C878" s="5">
        <f>Filmes_final!D878</f>
        <v>1933</v>
      </c>
      <c r="D878" s="5">
        <f t="shared" si="1"/>
        <v>2020</v>
      </c>
      <c r="E878" s="12">
        <f t="shared" si="2"/>
        <v>19.99775194</v>
      </c>
      <c r="F878" s="8">
        <f t="shared" si="3"/>
        <v>542039</v>
      </c>
    </row>
    <row r="879">
      <c r="A879" s="1">
        <v>878.0</v>
      </c>
      <c r="B879" s="8">
        <f>Filmes_final!C879</f>
        <v>11136084</v>
      </c>
      <c r="C879" s="5">
        <f>Filmes_final!D879</f>
        <v>2019</v>
      </c>
      <c r="D879" s="5">
        <f t="shared" si="1"/>
        <v>2020</v>
      </c>
      <c r="E879" s="12">
        <f t="shared" si="2"/>
        <v>1.02486572</v>
      </c>
      <c r="F879" s="8">
        <f t="shared" si="3"/>
        <v>11412991</v>
      </c>
    </row>
    <row r="880">
      <c r="A880" s="1">
        <v>879.0</v>
      </c>
      <c r="B880" s="8">
        <f>Filmes_final!C880</f>
        <v>26020957</v>
      </c>
      <c r="C880" s="5">
        <f>Filmes_final!D880</f>
        <v>2018</v>
      </c>
      <c r="D880" s="5">
        <f t="shared" si="1"/>
        <v>2020</v>
      </c>
      <c r="E880" s="12">
        <f t="shared" si="2"/>
        <v>1.0407638</v>
      </c>
      <c r="F880" s="8">
        <f t="shared" si="3"/>
        <v>27081670</v>
      </c>
    </row>
    <row r="881">
      <c r="A881" s="1">
        <v>880.0</v>
      </c>
      <c r="B881" s="8">
        <f>Filmes_final!C881</f>
        <v>142502728</v>
      </c>
      <c r="C881" s="5">
        <f>Filmes_final!D881</f>
        <v>2019</v>
      </c>
      <c r="D881" s="5">
        <f t="shared" si="1"/>
        <v>2020</v>
      </c>
      <c r="E881" s="12">
        <f t="shared" si="2"/>
        <v>1.02486572</v>
      </c>
      <c r="F881" s="8">
        <f t="shared" si="3"/>
        <v>146046161</v>
      </c>
    </row>
    <row r="882">
      <c r="A882" s="1">
        <v>881.0</v>
      </c>
      <c r="B882" s="8">
        <f>Filmes_final!C882</f>
        <v>566356</v>
      </c>
      <c r="C882" s="5">
        <f>Filmes_final!D882</f>
        <v>2017</v>
      </c>
      <c r="D882" s="5">
        <f t="shared" si="1"/>
        <v>2020</v>
      </c>
      <c r="E882" s="12">
        <f t="shared" si="2"/>
        <v>1.06231289</v>
      </c>
      <c r="F882" s="8">
        <f t="shared" si="3"/>
        <v>601647</v>
      </c>
    </row>
    <row r="883">
      <c r="A883" s="1">
        <v>882.0</v>
      </c>
      <c r="B883" s="8">
        <f>Filmes_final!C883</f>
        <v>5904366</v>
      </c>
      <c r="C883" s="5">
        <f>Filmes_final!D883</f>
        <v>2017</v>
      </c>
      <c r="D883" s="5">
        <f t="shared" si="1"/>
        <v>2020</v>
      </c>
      <c r="E883" s="12">
        <f t="shared" si="2"/>
        <v>1.06231289</v>
      </c>
      <c r="F883" s="8">
        <f t="shared" si="3"/>
        <v>6272284</v>
      </c>
    </row>
    <row r="884">
      <c r="A884" s="1">
        <v>883.0</v>
      </c>
      <c r="B884" s="8">
        <f>Filmes_final!C884</f>
        <v>36001502</v>
      </c>
      <c r="C884" s="5">
        <f>Filmes_final!D884</f>
        <v>2019</v>
      </c>
      <c r="D884" s="5">
        <f t="shared" si="1"/>
        <v>2020</v>
      </c>
      <c r="E884" s="12">
        <f t="shared" si="2"/>
        <v>1.02486572</v>
      </c>
      <c r="F884" s="8">
        <f t="shared" si="3"/>
        <v>36896705</v>
      </c>
    </row>
    <row r="885">
      <c r="A885" s="1">
        <v>884.0</v>
      </c>
      <c r="B885" s="8">
        <f>Filmes_final!C885</f>
        <v>24801212</v>
      </c>
      <c r="C885" s="5">
        <f>Filmes_final!D885</f>
        <v>2017</v>
      </c>
      <c r="D885" s="5">
        <f t="shared" si="1"/>
        <v>2020</v>
      </c>
      <c r="E885" s="12">
        <f t="shared" si="2"/>
        <v>1.06231289</v>
      </c>
      <c r="F885" s="8">
        <f t="shared" si="3"/>
        <v>26346647</v>
      </c>
    </row>
    <row r="886">
      <c r="A886" s="1">
        <v>885.0</v>
      </c>
      <c r="B886" s="8">
        <f>Filmes_final!C886</f>
        <v>13122642</v>
      </c>
      <c r="C886" s="5">
        <f>Filmes_final!D886</f>
        <v>2019</v>
      </c>
      <c r="D886" s="5">
        <f t="shared" si="1"/>
        <v>2020</v>
      </c>
      <c r="E886" s="12">
        <f t="shared" si="2"/>
        <v>1.02486572</v>
      </c>
      <c r="F886" s="8">
        <f t="shared" si="3"/>
        <v>13448946</v>
      </c>
    </row>
    <row r="887">
      <c r="A887" s="1">
        <v>886.0</v>
      </c>
      <c r="B887" s="8">
        <f>Filmes_final!C887</f>
        <v>3192275</v>
      </c>
      <c r="C887" s="5">
        <f>Filmes_final!D887</f>
        <v>2015</v>
      </c>
      <c r="D887" s="5">
        <f t="shared" si="1"/>
        <v>2020</v>
      </c>
      <c r="E887" s="12">
        <f t="shared" si="2"/>
        <v>1.10382231</v>
      </c>
      <c r="F887" s="8">
        <f t="shared" si="3"/>
        <v>3523704</v>
      </c>
    </row>
    <row r="888">
      <c r="A888" s="1">
        <v>887.0</v>
      </c>
      <c r="B888" s="8">
        <f>Filmes_final!C888</f>
        <v>845464</v>
      </c>
      <c r="C888" s="5">
        <f>Filmes_final!D888</f>
        <v>2015</v>
      </c>
      <c r="D888" s="5">
        <f t="shared" si="1"/>
        <v>2020</v>
      </c>
      <c r="E888" s="12">
        <f t="shared" si="2"/>
        <v>1.10382231</v>
      </c>
      <c r="F888" s="8">
        <f t="shared" si="3"/>
        <v>933242</v>
      </c>
    </row>
    <row r="889">
      <c r="A889" s="1">
        <v>888.0</v>
      </c>
      <c r="B889" s="8">
        <f>Filmes_final!C889</f>
        <v>389813101</v>
      </c>
      <c r="C889" s="5">
        <f>Filmes_final!D889</f>
        <v>2017</v>
      </c>
      <c r="D889" s="5">
        <f t="shared" si="1"/>
        <v>2020</v>
      </c>
      <c r="E889" s="12">
        <f t="shared" si="2"/>
        <v>1.06231289</v>
      </c>
      <c r="F889" s="8">
        <f t="shared" si="3"/>
        <v>414103482</v>
      </c>
    </row>
    <row r="890">
      <c r="A890" s="1">
        <v>889.0</v>
      </c>
      <c r="B890" s="8">
        <f>Filmes_final!C890</f>
        <v>107825862</v>
      </c>
      <c r="C890" s="5">
        <f>Filmes_final!D890</f>
        <v>2017</v>
      </c>
      <c r="D890" s="5">
        <f t="shared" si="1"/>
        <v>2020</v>
      </c>
      <c r="E890" s="12">
        <f t="shared" si="2"/>
        <v>1.06231289</v>
      </c>
      <c r="F890" s="8">
        <f t="shared" si="3"/>
        <v>114544803</v>
      </c>
    </row>
    <row r="891">
      <c r="A891" s="1">
        <v>890.0</v>
      </c>
      <c r="B891" s="8">
        <f>Filmes_final!C891</f>
        <v>18340051</v>
      </c>
      <c r="C891" s="5">
        <f>Filmes_final!D891</f>
        <v>2017</v>
      </c>
      <c r="D891" s="5">
        <f t="shared" si="1"/>
        <v>2020</v>
      </c>
      <c r="E891" s="12">
        <f t="shared" si="2"/>
        <v>1.06231289</v>
      </c>
      <c r="F891" s="8">
        <f t="shared" si="3"/>
        <v>19482873</v>
      </c>
    </row>
    <row r="892">
      <c r="A892" s="1">
        <v>891.0</v>
      </c>
      <c r="B892" s="8">
        <f>Filmes_final!C892</f>
        <v>72313754</v>
      </c>
      <c r="C892" s="5">
        <f>Filmes_final!D892</f>
        <v>2015</v>
      </c>
      <c r="D892" s="5">
        <f t="shared" si="1"/>
        <v>2020</v>
      </c>
      <c r="E892" s="12">
        <f t="shared" si="2"/>
        <v>1.10382231</v>
      </c>
      <c r="F892" s="8">
        <f t="shared" si="3"/>
        <v>79821535</v>
      </c>
    </row>
    <row r="893">
      <c r="A893" s="1">
        <v>892.0</v>
      </c>
      <c r="B893" s="8">
        <f>Filmes_final!C893</f>
        <v>608581744</v>
      </c>
      <c r="C893" s="5">
        <f>Filmes_final!D893</f>
        <v>2018</v>
      </c>
      <c r="D893" s="5">
        <f t="shared" si="1"/>
        <v>2020</v>
      </c>
      <c r="E893" s="12">
        <f t="shared" si="2"/>
        <v>1.0407638</v>
      </c>
      <c r="F893" s="8">
        <f t="shared" si="3"/>
        <v>633389848</v>
      </c>
    </row>
    <row r="894">
      <c r="A894" s="1">
        <v>893.0</v>
      </c>
      <c r="B894" s="8">
        <f>Filmes_final!C894</f>
        <v>248757044</v>
      </c>
      <c r="C894" s="5">
        <f>Filmes_final!D894</f>
        <v>2016</v>
      </c>
      <c r="D894" s="5">
        <f t="shared" si="1"/>
        <v>2020</v>
      </c>
      <c r="E894" s="12">
        <f t="shared" si="2"/>
        <v>1.08887116</v>
      </c>
      <c r="F894" s="8">
        <f t="shared" si="3"/>
        <v>270864371</v>
      </c>
    </row>
    <row r="895">
      <c r="A895" s="1">
        <v>894.0</v>
      </c>
      <c r="B895" s="8">
        <f>Filmes_final!C895</f>
        <v>46889293</v>
      </c>
      <c r="C895" s="5">
        <f>Filmes_final!D895</f>
        <v>2015</v>
      </c>
      <c r="D895" s="5">
        <f t="shared" si="1"/>
        <v>2020</v>
      </c>
      <c r="E895" s="12">
        <f t="shared" si="2"/>
        <v>1.10382231</v>
      </c>
      <c r="F895" s="8">
        <f t="shared" si="3"/>
        <v>51757448</v>
      </c>
    </row>
    <row r="896">
      <c r="A896" s="1">
        <v>895.0</v>
      </c>
      <c r="B896" s="8">
        <f>Filmes_final!C896</f>
        <v>109767581</v>
      </c>
      <c r="C896" s="5">
        <f>Filmes_final!D896</f>
        <v>2015</v>
      </c>
      <c r="D896" s="5">
        <f t="shared" si="1"/>
        <v>2020</v>
      </c>
      <c r="E896" s="12">
        <f t="shared" si="2"/>
        <v>1.10382231</v>
      </c>
      <c r="F896" s="8">
        <f t="shared" si="3"/>
        <v>121163905</v>
      </c>
    </row>
    <row r="897">
      <c r="A897" s="1">
        <v>896.0</v>
      </c>
      <c r="B897" s="8">
        <f>Filmes_final!C897</f>
        <v>1092800</v>
      </c>
      <c r="C897" s="5">
        <f>Filmes_final!D897</f>
        <v>2014</v>
      </c>
      <c r="D897" s="5">
        <f t="shared" si="1"/>
        <v>2020</v>
      </c>
      <c r="E897" s="12">
        <f t="shared" si="2"/>
        <v>1.10283606</v>
      </c>
      <c r="F897" s="8">
        <f t="shared" si="3"/>
        <v>1205179</v>
      </c>
    </row>
    <row r="898">
      <c r="A898" s="1">
        <v>897.0</v>
      </c>
      <c r="B898" s="8">
        <f>Filmes_final!C898</f>
        <v>26862450</v>
      </c>
      <c r="C898" s="5">
        <f>Filmes_final!D898</f>
        <v>2016</v>
      </c>
      <c r="D898" s="5">
        <f t="shared" si="1"/>
        <v>2020</v>
      </c>
      <c r="E898" s="12">
        <f t="shared" si="2"/>
        <v>1.08887116</v>
      </c>
      <c r="F898" s="8">
        <f t="shared" si="3"/>
        <v>29249747</v>
      </c>
    </row>
    <row r="899">
      <c r="A899" s="1">
        <v>898.0</v>
      </c>
      <c r="B899" s="8">
        <f>Filmes_final!C899</f>
        <v>37707719</v>
      </c>
      <c r="C899" s="5">
        <f>Filmes_final!D899</f>
        <v>2013</v>
      </c>
      <c r="D899" s="5">
        <f t="shared" si="1"/>
        <v>2020</v>
      </c>
      <c r="E899" s="12">
        <f t="shared" si="2"/>
        <v>1.12024926</v>
      </c>
      <c r="F899" s="8">
        <f t="shared" si="3"/>
        <v>42242044</v>
      </c>
    </row>
    <row r="900">
      <c r="A900" s="1">
        <v>899.0</v>
      </c>
      <c r="B900" s="8">
        <f>Filmes_final!C900</f>
        <v>208545589</v>
      </c>
      <c r="C900" s="5">
        <f>Filmes_final!D900</f>
        <v>2014</v>
      </c>
      <c r="D900" s="5">
        <f t="shared" si="1"/>
        <v>2020</v>
      </c>
      <c r="E900" s="12">
        <f t="shared" si="2"/>
        <v>1.10283606</v>
      </c>
      <c r="F900" s="8">
        <f t="shared" si="3"/>
        <v>229991596</v>
      </c>
    </row>
    <row r="901">
      <c r="A901" s="1">
        <v>900.0</v>
      </c>
      <c r="B901" s="8">
        <f>Filmes_final!C901</f>
        <v>8779609</v>
      </c>
      <c r="C901" s="5">
        <f>Filmes_final!D901</f>
        <v>2012</v>
      </c>
      <c r="D901" s="5">
        <f t="shared" si="1"/>
        <v>2020</v>
      </c>
      <c r="E901" s="12">
        <f t="shared" si="2"/>
        <v>1.13811572</v>
      </c>
      <c r="F901" s="8">
        <f t="shared" si="3"/>
        <v>9992211</v>
      </c>
    </row>
    <row r="902">
      <c r="A902" s="1">
        <v>901.0</v>
      </c>
      <c r="B902" s="8">
        <f>Filmes_final!C902</f>
        <v>4105123</v>
      </c>
      <c r="C902" s="5">
        <f>Filmes_final!D902</f>
        <v>2011</v>
      </c>
      <c r="D902" s="5">
        <f t="shared" si="1"/>
        <v>2020</v>
      </c>
      <c r="E902" s="12">
        <f t="shared" si="2"/>
        <v>1.17140807</v>
      </c>
      <c r="F902" s="8">
        <f t="shared" si="3"/>
        <v>4808774</v>
      </c>
    </row>
    <row r="903">
      <c r="A903" s="1">
        <v>902.0</v>
      </c>
      <c r="B903" s="8">
        <f>Filmes_final!C903</f>
        <v>41003371</v>
      </c>
      <c r="C903" s="5">
        <f>Filmes_final!D903</f>
        <v>2012</v>
      </c>
      <c r="D903" s="5">
        <f t="shared" si="1"/>
        <v>2020</v>
      </c>
      <c r="E903" s="12">
        <f t="shared" si="2"/>
        <v>1.13811572</v>
      </c>
      <c r="F903" s="8">
        <f t="shared" si="3"/>
        <v>46666581</v>
      </c>
    </row>
    <row r="904">
      <c r="A904" s="1">
        <v>903.0</v>
      </c>
      <c r="B904" s="8">
        <f>Filmes_final!C904</f>
        <v>19202743</v>
      </c>
      <c r="C904" s="5">
        <f>Filmes_final!D904</f>
        <v>2010</v>
      </c>
      <c r="D904" s="5">
        <f t="shared" si="1"/>
        <v>2020</v>
      </c>
      <c r="E904" s="12">
        <f t="shared" si="2"/>
        <v>1.19052366</v>
      </c>
      <c r="F904" s="8">
        <f t="shared" si="3"/>
        <v>22861320</v>
      </c>
    </row>
    <row r="905">
      <c r="A905" s="1">
        <v>904.0</v>
      </c>
      <c r="B905" s="8">
        <f>Filmes_final!C905</f>
        <v>215288866</v>
      </c>
      <c r="C905" s="5">
        <f>Filmes_final!D905</f>
        <v>2018</v>
      </c>
      <c r="D905" s="5">
        <f t="shared" si="1"/>
        <v>2020</v>
      </c>
      <c r="E905" s="12">
        <f t="shared" si="2"/>
        <v>1.0407638</v>
      </c>
      <c r="F905" s="8">
        <f t="shared" si="3"/>
        <v>224064858</v>
      </c>
    </row>
    <row r="906">
      <c r="A906" s="1">
        <v>905.0</v>
      </c>
      <c r="B906" s="8">
        <f>Filmes_final!C906</f>
        <v>171243005</v>
      </c>
      <c r="C906" s="5">
        <f>Filmes_final!D906</f>
        <v>2010</v>
      </c>
      <c r="D906" s="5">
        <f t="shared" si="1"/>
        <v>2020</v>
      </c>
      <c r="E906" s="12">
        <f t="shared" si="2"/>
        <v>1.19052366</v>
      </c>
      <c r="F906" s="8">
        <f t="shared" si="3"/>
        <v>203868849</v>
      </c>
    </row>
    <row r="907">
      <c r="A907" s="1">
        <v>906.0</v>
      </c>
      <c r="B907" s="8">
        <f>Filmes_final!C907</f>
        <v>1008098</v>
      </c>
      <c r="C907" s="5">
        <f>Filmes_final!D907</f>
        <v>2010</v>
      </c>
      <c r="D907" s="5">
        <f t="shared" si="1"/>
        <v>2020</v>
      </c>
      <c r="E907" s="12">
        <f t="shared" si="2"/>
        <v>1.19052366</v>
      </c>
      <c r="F907" s="8">
        <f t="shared" si="3"/>
        <v>1200165</v>
      </c>
    </row>
    <row r="908">
      <c r="A908" s="1">
        <v>907.0</v>
      </c>
      <c r="B908" s="8">
        <f>Filmes_final!C908</f>
        <v>251513985</v>
      </c>
      <c r="C908" s="5">
        <f>Filmes_final!D908</f>
        <v>2010</v>
      </c>
      <c r="D908" s="5">
        <f t="shared" si="1"/>
        <v>2020</v>
      </c>
      <c r="E908" s="12">
        <f t="shared" si="2"/>
        <v>1.19052366</v>
      </c>
      <c r="F908" s="8">
        <f t="shared" si="3"/>
        <v>299433350</v>
      </c>
    </row>
    <row r="909">
      <c r="A909" s="1">
        <v>908.0</v>
      </c>
      <c r="B909" s="8">
        <f>Filmes_final!C909</f>
        <v>35014192</v>
      </c>
      <c r="C909" s="5">
        <f>Filmes_final!D909</f>
        <v>2011</v>
      </c>
      <c r="D909" s="5">
        <f t="shared" si="1"/>
        <v>2020</v>
      </c>
      <c r="E909" s="12">
        <f t="shared" si="2"/>
        <v>1.17140807</v>
      </c>
      <c r="F909" s="8">
        <f t="shared" si="3"/>
        <v>41015907</v>
      </c>
    </row>
    <row r="910">
      <c r="A910" s="1">
        <v>909.0</v>
      </c>
      <c r="B910" s="8">
        <f>Filmes_final!C910</f>
        <v>48071303</v>
      </c>
      <c r="C910" s="5">
        <f>Filmes_final!D910</f>
        <v>2010</v>
      </c>
      <c r="D910" s="5">
        <f t="shared" si="1"/>
        <v>2020</v>
      </c>
      <c r="E910" s="12">
        <f t="shared" si="2"/>
        <v>1.19052366</v>
      </c>
      <c r="F910" s="8">
        <f t="shared" si="3"/>
        <v>57230024</v>
      </c>
    </row>
    <row r="911">
      <c r="A911" s="1">
        <v>910.0</v>
      </c>
      <c r="B911" s="8">
        <f>Filmes_final!C911</f>
        <v>19305314</v>
      </c>
      <c r="C911" s="5">
        <f>Filmes_final!D911</f>
        <v>2009</v>
      </c>
      <c r="D911" s="5">
        <f t="shared" si="1"/>
        <v>2020</v>
      </c>
      <c r="E911" s="12">
        <f t="shared" si="2"/>
        <v>1.22178334</v>
      </c>
      <c r="F911" s="8">
        <f t="shared" si="3"/>
        <v>23586911</v>
      </c>
    </row>
    <row r="912">
      <c r="A912" s="1">
        <v>911.0</v>
      </c>
      <c r="B912" s="8">
        <f>Filmes_final!C912</f>
        <v>75605492</v>
      </c>
      <c r="C912" s="5">
        <f>Filmes_final!D912</f>
        <v>2011</v>
      </c>
      <c r="D912" s="5">
        <f t="shared" si="1"/>
        <v>2020</v>
      </c>
      <c r="E912" s="12">
        <f t="shared" si="2"/>
        <v>1.17140807</v>
      </c>
      <c r="F912" s="8">
        <f t="shared" si="3"/>
        <v>88564883</v>
      </c>
    </row>
    <row r="913">
      <c r="A913" s="1">
        <v>912.0</v>
      </c>
      <c r="B913" s="8">
        <f>Filmes_final!C913</f>
        <v>3185812</v>
      </c>
      <c r="C913" s="5">
        <f>Filmes_final!D913</f>
        <v>2011</v>
      </c>
      <c r="D913" s="5">
        <f t="shared" si="1"/>
        <v>2020</v>
      </c>
      <c r="E913" s="12">
        <f t="shared" si="2"/>
        <v>1.17140807</v>
      </c>
      <c r="F913" s="8">
        <f t="shared" si="3"/>
        <v>3731886</v>
      </c>
    </row>
    <row r="914">
      <c r="A914" s="1">
        <v>913.0</v>
      </c>
      <c r="B914" s="8">
        <f>Filmes_final!C914</f>
        <v>75590286</v>
      </c>
      <c r="C914" s="5">
        <f>Filmes_final!D914</f>
        <v>2009</v>
      </c>
      <c r="D914" s="5">
        <f t="shared" si="1"/>
        <v>2020</v>
      </c>
      <c r="E914" s="12">
        <f t="shared" si="2"/>
        <v>1.22178334</v>
      </c>
      <c r="F914" s="8">
        <f t="shared" si="3"/>
        <v>92354952</v>
      </c>
    </row>
    <row r="915">
      <c r="A915" s="1">
        <v>914.0</v>
      </c>
      <c r="B915" s="8">
        <f>Filmes_final!C915</f>
        <v>32350637</v>
      </c>
      <c r="C915" s="5">
        <f>Filmes_final!D915</f>
        <v>2008</v>
      </c>
      <c r="D915" s="5">
        <f t="shared" si="1"/>
        <v>2020</v>
      </c>
      <c r="E915" s="12">
        <f t="shared" si="2"/>
        <v>1.222148</v>
      </c>
      <c r="F915" s="8">
        <f t="shared" si="3"/>
        <v>39537266</v>
      </c>
    </row>
    <row r="916">
      <c r="A916" s="1">
        <v>915.0</v>
      </c>
      <c r="B916" s="8">
        <f>Filmes_final!C916</f>
        <v>209028679</v>
      </c>
      <c r="C916" s="5">
        <f>Filmes_final!D916</f>
        <v>2009</v>
      </c>
      <c r="D916" s="5">
        <f t="shared" si="1"/>
        <v>2020</v>
      </c>
      <c r="E916" s="12">
        <f t="shared" si="2"/>
        <v>1.22178334</v>
      </c>
      <c r="F916" s="8">
        <f t="shared" si="3"/>
        <v>255387758</v>
      </c>
    </row>
    <row r="917">
      <c r="A917" s="1">
        <v>916.0</v>
      </c>
      <c r="B917" s="8">
        <f>Filmes_final!C917</f>
        <v>255959475</v>
      </c>
      <c r="C917" s="5">
        <f>Filmes_final!D917</f>
        <v>2009</v>
      </c>
      <c r="D917" s="5">
        <f t="shared" si="1"/>
        <v>2020</v>
      </c>
      <c r="E917" s="12">
        <f t="shared" si="2"/>
        <v>1.22178334</v>
      </c>
      <c r="F917" s="8">
        <f t="shared" si="3"/>
        <v>312727022</v>
      </c>
    </row>
    <row r="918">
      <c r="A918" s="1">
        <v>917.0</v>
      </c>
      <c r="B918" s="8">
        <f>Filmes_final!C918</f>
        <v>9422422</v>
      </c>
      <c r="C918" s="5">
        <f>Filmes_final!D918</f>
        <v>2007</v>
      </c>
      <c r="D918" s="5">
        <f t="shared" si="1"/>
        <v>2020</v>
      </c>
      <c r="E918" s="12">
        <f t="shared" si="2"/>
        <v>1.27445953</v>
      </c>
      <c r="F918" s="8">
        <f t="shared" si="3"/>
        <v>12008496</v>
      </c>
    </row>
    <row r="919">
      <c r="A919" s="1">
        <v>918.0</v>
      </c>
      <c r="B919" s="8">
        <f>Filmes_final!C919</f>
        <v>69951824</v>
      </c>
      <c r="C919" s="5">
        <f>Filmes_final!D919</f>
        <v>2008</v>
      </c>
      <c r="D919" s="5">
        <f t="shared" si="1"/>
        <v>2020</v>
      </c>
      <c r="E919" s="12">
        <f t="shared" si="2"/>
        <v>1.222148</v>
      </c>
      <c r="F919" s="8">
        <f t="shared" si="3"/>
        <v>85491482</v>
      </c>
    </row>
    <row r="920">
      <c r="A920" s="1">
        <v>919.0</v>
      </c>
      <c r="B920" s="8">
        <f>Filmes_final!C920</f>
        <v>17114882</v>
      </c>
      <c r="C920" s="5">
        <f>Filmes_final!D920</f>
        <v>2007</v>
      </c>
      <c r="D920" s="5">
        <f t="shared" si="1"/>
        <v>2020</v>
      </c>
      <c r="E920" s="12">
        <f t="shared" si="2"/>
        <v>1.27445953</v>
      </c>
      <c r="F920" s="8">
        <f t="shared" si="3"/>
        <v>21812224</v>
      </c>
    </row>
    <row r="921">
      <c r="A921" s="1">
        <v>920.0</v>
      </c>
      <c r="B921" s="8">
        <f>Filmes_final!C921</f>
        <v>38634938</v>
      </c>
      <c r="C921" s="5">
        <f>Filmes_final!D921</f>
        <v>2007</v>
      </c>
      <c r="D921" s="5">
        <f t="shared" si="1"/>
        <v>2020</v>
      </c>
      <c r="E921" s="12">
        <f t="shared" si="2"/>
        <v>1.27445953</v>
      </c>
      <c r="F921" s="8">
        <f t="shared" si="3"/>
        <v>49238665</v>
      </c>
    </row>
    <row r="922">
      <c r="A922" s="1">
        <v>921.0</v>
      </c>
      <c r="B922" s="8">
        <f>Filmes_final!C922</f>
        <v>686383</v>
      </c>
      <c r="C922" s="5">
        <f>Filmes_final!D922</f>
        <v>2009</v>
      </c>
      <c r="D922" s="5">
        <f t="shared" si="1"/>
        <v>2020</v>
      </c>
      <c r="E922" s="12">
        <f t="shared" si="2"/>
        <v>1.22178334</v>
      </c>
      <c r="F922" s="8">
        <f t="shared" si="3"/>
        <v>838611</v>
      </c>
    </row>
    <row r="923">
      <c r="A923" s="1">
        <v>922.0</v>
      </c>
      <c r="B923" s="8">
        <f>Filmes_final!C923</f>
        <v>88513495</v>
      </c>
      <c r="C923" s="5">
        <f>Filmes_final!D923</f>
        <v>2006</v>
      </c>
      <c r="D923" s="5">
        <f t="shared" si="1"/>
        <v>2020</v>
      </c>
      <c r="E923" s="12">
        <f t="shared" si="2"/>
        <v>1.30091276</v>
      </c>
      <c r="F923" s="8">
        <f t="shared" si="3"/>
        <v>115148335</v>
      </c>
    </row>
    <row r="924">
      <c r="A924" s="1">
        <v>923.0</v>
      </c>
      <c r="B924" s="8">
        <f>Filmes_final!C924</f>
        <v>20300218</v>
      </c>
      <c r="C924" s="5">
        <f>Filmes_final!D924</f>
        <v>2007</v>
      </c>
      <c r="D924" s="5">
        <f t="shared" si="1"/>
        <v>2020</v>
      </c>
      <c r="E924" s="12">
        <f t="shared" si="2"/>
        <v>1.27445953</v>
      </c>
      <c r="F924" s="8">
        <f t="shared" si="3"/>
        <v>25871806</v>
      </c>
    </row>
    <row r="925">
      <c r="A925" s="1">
        <v>924.0</v>
      </c>
      <c r="B925" s="8">
        <f>Filmes_final!C925</f>
        <v>10301706</v>
      </c>
      <c r="C925" s="5">
        <f>Filmes_final!D925</f>
        <v>2007</v>
      </c>
      <c r="D925" s="5">
        <f t="shared" si="1"/>
        <v>2020</v>
      </c>
      <c r="E925" s="12">
        <f t="shared" si="2"/>
        <v>1.27445953</v>
      </c>
      <c r="F925" s="8">
        <f t="shared" si="3"/>
        <v>13129107</v>
      </c>
    </row>
    <row r="926">
      <c r="A926" s="1">
        <v>925.0</v>
      </c>
      <c r="B926" s="8">
        <f>Filmes_final!C926</f>
        <v>24633730</v>
      </c>
      <c r="C926" s="5">
        <f>Filmes_final!D926</f>
        <v>2006</v>
      </c>
      <c r="D926" s="5">
        <f t="shared" si="1"/>
        <v>2020</v>
      </c>
      <c r="E926" s="12">
        <f t="shared" si="2"/>
        <v>1.30091276</v>
      </c>
      <c r="F926" s="8">
        <f t="shared" si="3"/>
        <v>32046334</v>
      </c>
    </row>
    <row r="927">
      <c r="A927" s="1">
        <v>926.0</v>
      </c>
      <c r="B927" s="8">
        <f>Filmes_final!C927</f>
        <v>39868642</v>
      </c>
      <c r="C927" s="5">
        <f>Filmes_final!D927</f>
        <v>2006</v>
      </c>
      <c r="D927" s="5">
        <f t="shared" si="1"/>
        <v>2020</v>
      </c>
      <c r="E927" s="12">
        <f t="shared" si="2"/>
        <v>1.30091276</v>
      </c>
      <c r="F927" s="8">
        <f t="shared" si="3"/>
        <v>51865625</v>
      </c>
    </row>
    <row r="928">
      <c r="A928" s="1">
        <v>927.0</v>
      </c>
      <c r="B928" s="8">
        <f>Filmes_final!C928</f>
        <v>6013</v>
      </c>
      <c r="C928" s="5">
        <f>Filmes_final!D928</f>
        <v>2004</v>
      </c>
      <c r="D928" s="5">
        <f t="shared" si="1"/>
        <v>2020</v>
      </c>
      <c r="E928" s="12">
        <f t="shared" si="2"/>
        <v>1.39293197</v>
      </c>
      <c r="F928" s="8">
        <f t="shared" si="3"/>
        <v>8376</v>
      </c>
    </row>
    <row r="929">
      <c r="A929" s="1">
        <v>928.0</v>
      </c>
      <c r="B929" s="8">
        <f>Filmes_final!C929</f>
        <v>301959197</v>
      </c>
      <c r="C929" s="5">
        <f>Filmes_final!D929</f>
        <v>2009</v>
      </c>
      <c r="D929" s="5">
        <f t="shared" si="1"/>
        <v>2020</v>
      </c>
      <c r="E929" s="12">
        <f t="shared" si="2"/>
        <v>1.22178334</v>
      </c>
      <c r="F929" s="8">
        <f t="shared" si="3"/>
        <v>368928716</v>
      </c>
    </row>
    <row r="930">
      <c r="A930" s="1">
        <v>929.0</v>
      </c>
      <c r="B930" s="8">
        <f>Filmes_final!C930</f>
        <v>210614939</v>
      </c>
      <c r="C930" s="5">
        <f>Filmes_final!D930</f>
        <v>2006</v>
      </c>
      <c r="D930" s="5">
        <f t="shared" si="1"/>
        <v>2020</v>
      </c>
      <c r="E930" s="12">
        <f t="shared" si="2"/>
        <v>1.30091276</v>
      </c>
      <c r="F930" s="8">
        <f t="shared" si="3"/>
        <v>273991662</v>
      </c>
    </row>
    <row r="931">
      <c r="A931" s="1">
        <v>930.0</v>
      </c>
      <c r="B931" s="8">
        <f>Filmes_final!C931</f>
        <v>23089926</v>
      </c>
      <c r="C931" s="5">
        <f>Filmes_final!D931</f>
        <v>2005</v>
      </c>
      <c r="D931" s="5">
        <f t="shared" si="1"/>
        <v>2020</v>
      </c>
      <c r="E931" s="12">
        <f t="shared" si="2"/>
        <v>1.35275826</v>
      </c>
      <c r="F931" s="8">
        <f t="shared" si="3"/>
        <v>31235088</v>
      </c>
    </row>
    <row r="932">
      <c r="A932" s="1">
        <v>931.0</v>
      </c>
      <c r="B932" s="8">
        <f>Filmes_final!C932</f>
        <v>107509799</v>
      </c>
      <c r="C932" s="5">
        <f>Filmes_final!D932</f>
        <v>2009</v>
      </c>
      <c r="D932" s="5">
        <f t="shared" si="1"/>
        <v>2020</v>
      </c>
      <c r="E932" s="12">
        <f t="shared" si="2"/>
        <v>1.22178334</v>
      </c>
      <c r="F932" s="8">
        <f t="shared" si="3"/>
        <v>131353681</v>
      </c>
    </row>
    <row r="933">
      <c r="A933" s="1">
        <v>932.0</v>
      </c>
      <c r="B933" s="8">
        <f>Filmes_final!C933</f>
        <v>24149632</v>
      </c>
      <c r="C933" s="5">
        <f>Filmes_final!D933</f>
        <v>2005</v>
      </c>
      <c r="D933" s="5">
        <f t="shared" si="1"/>
        <v>2020</v>
      </c>
      <c r="E933" s="12">
        <f t="shared" si="2"/>
        <v>1.35275826</v>
      </c>
      <c r="F933" s="8">
        <f t="shared" si="3"/>
        <v>32668614</v>
      </c>
    </row>
    <row r="934">
      <c r="A934" s="1">
        <v>933.0</v>
      </c>
      <c r="B934" s="8">
        <f>Filmes_final!C934</f>
        <v>56000369</v>
      </c>
      <c r="C934" s="5">
        <f>Filmes_final!D934</f>
        <v>2004</v>
      </c>
      <c r="D934" s="5">
        <f t="shared" si="1"/>
        <v>2020</v>
      </c>
      <c r="E934" s="12">
        <f t="shared" si="2"/>
        <v>1.39293197</v>
      </c>
      <c r="F934" s="8">
        <f t="shared" si="3"/>
        <v>78004704</v>
      </c>
    </row>
    <row r="935">
      <c r="A935" s="1">
        <v>934.0</v>
      </c>
      <c r="B935" s="8">
        <f>Filmes_final!C935</f>
        <v>3081925</v>
      </c>
      <c r="C935" s="5">
        <f>Filmes_final!D935</f>
        <v>2008</v>
      </c>
      <c r="D935" s="5">
        <f t="shared" si="1"/>
        <v>2020</v>
      </c>
      <c r="E935" s="12">
        <f t="shared" si="2"/>
        <v>1.222148</v>
      </c>
      <c r="F935" s="8">
        <f t="shared" si="3"/>
        <v>3766568</v>
      </c>
    </row>
    <row r="936">
      <c r="A936" s="1">
        <v>935.0</v>
      </c>
      <c r="B936" s="8">
        <f>Filmes_final!C936</f>
        <v>697181</v>
      </c>
      <c r="C936" s="5">
        <f>Filmes_final!D936</f>
        <v>2004</v>
      </c>
      <c r="D936" s="5">
        <f t="shared" si="1"/>
        <v>2020</v>
      </c>
      <c r="E936" s="12">
        <f t="shared" si="2"/>
        <v>1.39293197</v>
      </c>
      <c r="F936" s="8">
        <f t="shared" si="3"/>
        <v>971126</v>
      </c>
    </row>
    <row r="937">
      <c r="A937" s="1">
        <v>936.0</v>
      </c>
      <c r="B937" s="8">
        <f>Filmes_final!C937</f>
        <v>548707</v>
      </c>
      <c r="C937" s="5">
        <f>Filmes_final!D937</f>
        <v>2003</v>
      </c>
      <c r="D937" s="5">
        <f t="shared" si="1"/>
        <v>2020</v>
      </c>
      <c r="E937" s="12">
        <f t="shared" si="2"/>
        <v>1.41976335</v>
      </c>
      <c r="F937" s="8">
        <f t="shared" si="3"/>
        <v>779034</v>
      </c>
    </row>
    <row r="938">
      <c r="A938" s="1">
        <v>937.0</v>
      </c>
      <c r="B938" s="8">
        <f>Filmes_final!C938</f>
        <v>6167817</v>
      </c>
      <c r="C938" s="5">
        <f>Filmes_final!D938</f>
        <v>2004</v>
      </c>
      <c r="D938" s="5">
        <f t="shared" si="1"/>
        <v>2020</v>
      </c>
      <c r="E938" s="12">
        <f t="shared" si="2"/>
        <v>1.39293197</v>
      </c>
      <c r="F938" s="8">
        <f t="shared" si="3"/>
        <v>8591349</v>
      </c>
    </row>
    <row r="939">
      <c r="A939" s="1">
        <v>938.0</v>
      </c>
      <c r="B939" s="8">
        <f>Filmes_final!C939</f>
        <v>5739376</v>
      </c>
      <c r="C939" s="5">
        <f>Filmes_final!D939</f>
        <v>2003</v>
      </c>
      <c r="D939" s="5">
        <f t="shared" si="1"/>
        <v>2020</v>
      </c>
      <c r="E939" s="12">
        <f t="shared" si="2"/>
        <v>1.41976335</v>
      </c>
      <c r="F939" s="8">
        <f t="shared" si="3"/>
        <v>8148556</v>
      </c>
    </row>
    <row r="940">
      <c r="A940" s="1">
        <v>939.0</v>
      </c>
      <c r="B940" s="8">
        <f>Filmes_final!C940</f>
        <v>16290476</v>
      </c>
      <c r="C940" s="5">
        <f>Filmes_final!D940</f>
        <v>2003</v>
      </c>
      <c r="D940" s="5">
        <f t="shared" si="1"/>
        <v>2020</v>
      </c>
      <c r="E940" s="12">
        <f t="shared" si="2"/>
        <v>1.41976335</v>
      </c>
      <c r="F940" s="8">
        <f t="shared" si="3"/>
        <v>23128621</v>
      </c>
    </row>
    <row r="941">
      <c r="A941" s="1">
        <v>940.0</v>
      </c>
      <c r="B941" s="8">
        <f>Filmes_final!C941</f>
        <v>45289</v>
      </c>
      <c r="C941" s="5">
        <f>Filmes_final!D941</f>
        <v>2002</v>
      </c>
      <c r="D941" s="5">
        <f t="shared" si="1"/>
        <v>2020</v>
      </c>
      <c r="E941" s="12">
        <f t="shared" si="2"/>
        <v>1.45664032</v>
      </c>
      <c r="F941" s="8">
        <f t="shared" si="3"/>
        <v>65970</v>
      </c>
    </row>
    <row r="942">
      <c r="A942" s="1">
        <v>941.0</v>
      </c>
      <c r="B942" s="8">
        <f>Filmes_final!C942</f>
        <v>51680613</v>
      </c>
      <c r="C942" s="5">
        <f>Filmes_final!D942</f>
        <v>2004</v>
      </c>
      <c r="D942" s="5">
        <f t="shared" si="1"/>
        <v>2020</v>
      </c>
      <c r="E942" s="12">
        <f t="shared" si="2"/>
        <v>1.39293197</v>
      </c>
      <c r="F942" s="8">
        <f t="shared" si="3"/>
        <v>71987578</v>
      </c>
    </row>
    <row r="943">
      <c r="A943" s="1">
        <v>942.0</v>
      </c>
      <c r="B943" s="8">
        <f>Filmes_final!C943</f>
        <v>13060843</v>
      </c>
      <c r="C943" s="5">
        <f>Filmes_final!D943</f>
        <v>2002</v>
      </c>
      <c r="D943" s="5">
        <f t="shared" si="1"/>
        <v>2020</v>
      </c>
      <c r="E943" s="12">
        <f t="shared" si="2"/>
        <v>1.45664032</v>
      </c>
      <c r="F943" s="8">
        <f t="shared" si="3"/>
        <v>19024951</v>
      </c>
    </row>
    <row r="944">
      <c r="A944" s="1">
        <v>943.0</v>
      </c>
      <c r="B944" s="8">
        <f>Filmes_final!C944</f>
        <v>57938693</v>
      </c>
      <c r="C944" s="5">
        <f>Filmes_final!D944</f>
        <v>2004</v>
      </c>
      <c r="D944" s="5">
        <f t="shared" si="1"/>
        <v>2020</v>
      </c>
      <c r="E944" s="12">
        <f t="shared" si="2"/>
        <v>1.39293197</v>
      </c>
      <c r="F944" s="8">
        <f t="shared" si="3"/>
        <v>80704658</v>
      </c>
    </row>
    <row r="945">
      <c r="A945" s="1">
        <v>944.0</v>
      </c>
      <c r="B945" s="8">
        <f>Filmes_final!C945</f>
        <v>45064915</v>
      </c>
      <c r="C945" s="5">
        <f>Filmes_final!D945</f>
        <v>2002</v>
      </c>
      <c r="D945" s="5">
        <f t="shared" si="1"/>
        <v>2020</v>
      </c>
      <c r="E945" s="12">
        <f t="shared" si="2"/>
        <v>1.45664032</v>
      </c>
      <c r="F945" s="8">
        <f t="shared" si="3"/>
        <v>65643372</v>
      </c>
    </row>
    <row r="946">
      <c r="A946" s="1">
        <v>945.0</v>
      </c>
      <c r="B946" s="8">
        <f>Filmes_final!C946</f>
        <v>958989</v>
      </c>
      <c r="C946" s="5">
        <f>Filmes_final!D946</f>
        <v>2000</v>
      </c>
      <c r="D946" s="5">
        <f t="shared" si="1"/>
        <v>2020</v>
      </c>
      <c r="E946" s="12">
        <f t="shared" si="2"/>
        <v>1.52826422</v>
      </c>
      <c r="F946" s="8">
        <f t="shared" si="3"/>
        <v>1465589</v>
      </c>
    </row>
    <row r="947">
      <c r="A947" s="1">
        <v>946.0</v>
      </c>
      <c r="B947" s="8">
        <f>Filmes_final!C947</f>
        <v>52364010</v>
      </c>
      <c r="C947" s="5">
        <f>Filmes_final!D947</f>
        <v>2001</v>
      </c>
      <c r="D947" s="5">
        <f t="shared" si="1"/>
        <v>2020</v>
      </c>
      <c r="E947" s="12">
        <f t="shared" si="2"/>
        <v>1.47327813</v>
      </c>
      <c r="F947" s="8">
        <f t="shared" si="3"/>
        <v>77146751</v>
      </c>
    </row>
    <row r="948">
      <c r="A948" s="1">
        <v>947.0</v>
      </c>
      <c r="B948" s="8">
        <f>Filmes_final!C948</f>
        <v>13622333</v>
      </c>
      <c r="C948" s="5">
        <f>Filmes_final!D948</f>
        <v>2001</v>
      </c>
      <c r="D948" s="5">
        <f t="shared" si="1"/>
        <v>2020</v>
      </c>
      <c r="E948" s="12">
        <f t="shared" si="2"/>
        <v>1.47327813</v>
      </c>
      <c r="F948" s="8">
        <f t="shared" si="3"/>
        <v>20069485</v>
      </c>
    </row>
    <row r="949">
      <c r="A949" s="1">
        <v>948.0</v>
      </c>
      <c r="B949" s="8">
        <f>Filmes_final!C949</f>
        <v>317575550</v>
      </c>
      <c r="C949" s="5">
        <f>Filmes_final!D949</f>
        <v>2001</v>
      </c>
      <c r="D949" s="5">
        <f t="shared" si="1"/>
        <v>2020</v>
      </c>
      <c r="E949" s="12">
        <f t="shared" si="2"/>
        <v>1.47327813</v>
      </c>
      <c r="F949" s="8">
        <f t="shared" si="3"/>
        <v>467877112</v>
      </c>
    </row>
    <row r="950">
      <c r="A950" s="1">
        <v>949.0</v>
      </c>
      <c r="B950" s="8">
        <f>Filmes_final!C950</f>
        <v>96522687</v>
      </c>
      <c r="C950" s="5">
        <f>Filmes_final!D950</f>
        <v>2001</v>
      </c>
      <c r="D950" s="5">
        <f t="shared" si="1"/>
        <v>2020</v>
      </c>
      <c r="E950" s="12">
        <f t="shared" si="2"/>
        <v>1.47327813</v>
      </c>
      <c r="F950" s="8">
        <f t="shared" si="3"/>
        <v>142204764</v>
      </c>
    </row>
    <row r="951">
      <c r="A951" s="1">
        <v>950.0</v>
      </c>
      <c r="B951" s="8">
        <f>Filmes_final!C951</f>
        <v>52990775</v>
      </c>
      <c r="C951" s="5">
        <f>Filmes_final!D951</f>
        <v>2001</v>
      </c>
      <c r="D951" s="5">
        <f t="shared" si="1"/>
        <v>2020</v>
      </c>
      <c r="E951" s="12">
        <f t="shared" si="2"/>
        <v>1.47327813</v>
      </c>
      <c r="F951" s="8">
        <f t="shared" si="3"/>
        <v>78070150</v>
      </c>
    </row>
    <row r="952">
      <c r="A952" s="1">
        <v>951.0</v>
      </c>
      <c r="B952" s="8">
        <f>Filmes_final!C952</f>
        <v>51401758</v>
      </c>
      <c r="C952" s="5">
        <f>Filmes_final!D952</f>
        <v>2001</v>
      </c>
      <c r="D952" s="5">
        <f t="shared" si="1"/>
        <v>2020</v>
      </c>
      <c r="E952" s="12">
        <f t="shared" si="2"/>
        <v>1.47327813</v>
      </c>
      <c r="F952" s="8">
        <f t="shared" si="3"/>
        <v>75729086</v>
      </c>
    </row>
    <row r="953">
      <c r="A953" s="1">
        <v>952.0</v>
      </c>
      <c r="B953" s="8">
        <f>Filmes_final!C953</f>
        <v>132072926</v>
      </c>
      <c r="C953" s="5">
        <f>Filmes_final!D953</f>
        <v>2002</v>
      </c>
      <c r="D953" s="5">
        <f t="shared" si="1"/>
        <v>2020</v>
      </c>
      <c r="E953" s="12">
        <f t="shared" si="2"/>
        <v>1.45664032</v>
      </c>
      <c r="F953" s="8">
        <f t="shared" si="3"/>
        <v>192382749</v>
      </c>
    </row>
    <row r="954">
      <c r="A954" s="1">
        <v>953.0</v>
      </c>
      <c r="B954" s="8">
        <f>Filmes_final!C954</f>
        <v>50668906</v>
      </c>
      <c r="C954" s="5">
        <f>Filmes_final!D954</f>
        <v>1999</v>
      </c>
      <c r="D954" s="5">
        <f t="shared" si="1"/>
        <v>2020</v>
      </c>
      <c r="E954" s="12">
        <f t="shared" si="2"/>
        <v>1.57012173</v>
      </c>
      <c r="F954" s="8">
        <f t="shared" si="3"/>
        <v>79556350</v>
      </c>
    </row>
    <row r="955">
      <c r="A955" s="1">
        <v>954.0</v>
      </c>
      <c r="B955" s="8">
        <f>Filmes_final!C955</f>
        <v>15070285</v>
      </c>
      <c r="C955" s="5">
        <f>Filmes_final!D955</f>
        <v>2000</v>
      </c>
      <c r="D955" s="5">
        <f t="shared" si="1"/>
        <v>2020</v>
      </c>
      <c r="E955" s="12">
        <f t="shared" si="2"/>
        <v>1.52826422</v>
      </c>
      <c r="F955" s="8">
        <f t="shared" si="3"/>
        <v>23031377</v>
      </c>
    </row>
    <row r="956">
      <c r="A956" s="1">
        <v>955.0</v>
      </c>
      <c r="B956" s="8">
        <f>Filmes_final!C956</f>
        <v>7267585</v>
      </c>
      <c r="C956" s="5">
        <f>Filmes_final!D956</f>
        <v>1998</v>
      </c>
      <c r="D956" s="5">
        <f t="shared" si="1"/>
        <v>2020</v>
      </c>
      <c r="E956" s="12">
        <f t="shared" si="2"/>
        <v>1.5963552</v>
      </c>
      <c r="F956" s="8">
        <f t="shared" si="3"/>
        <v>11601647</v>
      </c>
    </row>
    <row r="957">
      <c r="A957" s="1">
        <v>956.0</v>
      </c>
      <c r="B957" s="8">
        <f>Filmes_final!C957</f>
        <v>36400491</v>
      </c>
      <c r="C957" s="5">
        <f>Filmes_final!D957</f>
        <v>1998</v>
      </c>
      <c r="D957" s="5">
        <f t="shared" si="1"/>
        <v>2020</v>
      </c>
      <c r="E957" s="12">
        <f t="shared" si="2"/>
        <v>1.5963552</v>
      </c>
      <c r="F957" s="8">
        <f t="shared" si="3"/>
        <v>58108113</v>
      </c>
    </row>
    <row r="958">
      <c r="A958" s="1">
        <v>957.0</v>
      </c>
      <c r="B958" s="8">
        <f>Filmes_final!C958</f>
        <v>120620254</v>
      </c>
      <c r="C958" s="5">
        <f>Filmes_final!D958</f>
        <v>1998</v>
      </c>
      <c r="D958" s="5">
        <f t="shared" si="1"/>
        <v>2020</v>
      </c>
      <c r="E958" s="12">
        <f t="shared" si="2"/>
        <v>1.5963552</v>
      </c>
      <c r="F958" s="8">
        <f t="shared" si="3"/>
        <v>192552770</v>
      </c>
    </row>
    <row r="959">
      <c r="A959" s="1">
        <v>958.0</v>
      </c>
      <c r="B959" s="8">
        <f>Filmes_final!C959</f>
        <v>10680275</v>
      </c>
      <c r="C959" s="5">
        <f>Filmes_final!D959</f>
        <v>1998</v>
      </c>
      <c r="D959" s="5">
        <f t="shared" si="1"/>
        <v>2020</v>
      </c>
      <c r="E959" s="12">
        <f t="shared" si="2"/>
        <v>1.5963552</v>
      </c>
      <c r="F959" s="8">
        <f t="shared" si="3"/>
        <v>17049513</v>
      </c>
    </row>
    <row r="960">
      <c r="A960" s="1">
        <v>959.0</v>
      </c>
      <c r="B960" s="8">
        <f>Filmes_final!C960</f>
        <v>1294919</v>
      </c>
      <c r="C960" s="5">
        <f>Filmes_final!D960</f>
        <v>1997</v>
      </c>
      <c r="D960" s="5">
        <f t="shared" si="1"/>
        <v>2020</v>
      </c>
      <c r="E960" s="12">
        <f t="shared" si="2"/>
        <v>1.62143935</v>
      </c>
      <c r="F960" s="8">
        <f t="shared" si="3"/>
        <v>2099633</v>
      </c>
    </row>
    <row r="961">
      <c r="A961" s="1">
        <v>960.0</v>
      </c>
      <c r="B961" s="8">
        <f>Filmes_final!C961</f>
        <v>14378331</v>
      </c>
      <c r="C961" s="5">
        <f>Filmes_final!D961</f>
        <v>1998</v>
      </c>
      <c r="D961" s="5">
        <f t="shared" si="1"/>
        <v>2020</v>
      </c>
      <c r="E961" s="12">
        <f t="shared" si="2"/>
        <v>1.5963552</v>
      </c>
      <c r="F961" s="8">
        <f t="shared" si="3"/>
        <v>22952923</v>
      </c>
    </row>
    <row r="962">
      <c r="A962" s="1">
        <v>961.0</v>
      </c>
      <c r="B962" s="8">
        <f>Filmes_final!C962</f>
        <v>49100000</v>
      </c>
      <c r="C962" s="5">
        <f>Filmes_final!D962</f>
        <v>1996</v>
      </c>
      <c r="D962" s="5">
        <f t="shared" si="1"/>
        <v>2020</v>
      </c>
      <c r="E962" s="12">
        <f t="shared" si="2"/>
        <v>1.67079663</v>
      </c>
      <c r="F962" s="8">
        <f t="shared" si="3"/>
        <v>82036115</v>
      </c>
    </row>
    <row r="963">
      <c r="A963" s="1">
        <v>962.0</v>
      </c>
      <c r="B963" s="8">
        <f>Filmes_final!C963</f>
        <v>3796699</v>
      </c>
      <c r="C963" s="5">
        <f>Filmes_final!D963</f>
        <v>1997</v>
      </c>
      <c r="D963" s="5">
        <f t="shared" si="1"/>
        <v>2020</v>
      </c>
      <c r="E963" s="12">
        <f t="shared" si="2"/>
        <v>1.62143935</v>
      </c>
      <c r="F963" s="8">
        <f t="shared" si="3"/>
        <v>6156117</v>
      </c>
    </row>
    <row r="964">
      <c r="A964" s="1">
        <v>963.0</v>
      </c>
      <c r="B964" s="8">
        <f>Filmes_final!C964</f>
        <v>43182776</v>
      </c>
      <c r="C964" s="5">
        <f>Filmes_final!D964</f>
        <v>1995</v>
      </c>
      <c r="D964" s="5">
        <f t="shared" si="1"/>
        <v>2020</v>
      </c>
      <c r="E964" s="12">
        <f t="shared" si="2"/>
        <v>1.71637392</v>
      </c>
      <c r="F964" s="8">
        <f t="shared" si="3"/>
        <v>74117791</v>
      </c>
    </row>
    <row r="965">
      <c r="A965" s="1">
        <v>964.0</v>
      </c>
      <c r="B965" s="8">
        <f>Filmes_final!C965</f>
        <v>100012499</v>
      </c>
      <c r="C965" s="5">
        <f>Filmes_final!D965</f>
        <v>1995</v>
      </c>
      <c r="D965" s="5">
        <f t="shared" si="1"/>
        <v>2020</v>
      </c>
      <c r="E965" s="12">
        <f t="shared" si="2"/>
        <v>1.71637392</v>
      </c>
      <c r="F965" s="8">
        <f t="shared" si="3"/>
        <v>171658845</v>
      </c>
    </row>
    <row r="966">
      <c r="A966" s="1">
        <v>965.0</v>
      </c>
      <c r="B966" s="8">
        <f>Filmes_final!C966</f>
        <v>1037847</v>
      </c>
      <c r="C966" s="5">
        <f>Filmes_final!D966</f>
        <v>1995</v>
      </c>
      <c r="D966" s="5">
        <f t="shared" si="1"/>
        <v>2020</v>
      </c>
      <c r="E966" s="12">
        <f t="shared" si="2"/>
        <v>1.71637392</v>
      </c>
      <c r="F966" s="8">
        <f t="shared" si="3"/>
        <v>1781334</v>
      </c>
    </row>
    <row r="967">
      <c r="A967" s="1">
        <v>966.0</v>
      </c>
      <c r="B967" s="8">
        <f>Filmes_final!C967</f>
        <v>71516617</v>
      </c>
      <c r="C967" s="5">
        <f>Filmes_final!D967</f>
        <v>1995</v>
      </c>
      <c r="D967" s="5">
        <f t="shared" si="1"/>
        <v>2020</v>
      </c>
      <c r="E967" s="12">
        <f t="shared" si="2"/>
        <v>1.71637392</v>
      </c>
      <c r="F967" s="8">
        <f t="shared" si="3"/>
        <v>122749256</v>
      </c>
    </row>
    <row r="968">
      <c r="A968" s="1">
        <v>967.0</v>
      </c>
      <c r="B968" s="8">
        <f>Filmes_final!C968</f>
        <v>173837933</v>
      </c>
      <c r="C968" s="5">
        <f>Filmes_final!D968</f>
        <v>1970</v>
      </c>
      <c r="D968" s="5">
        <f t="shared" si="1"/>
        <v>2020</v>
      </c>
      <c r="E968" s="12">
        <f t="shared" si="2"/>
        <v>6.82462963</v>
      </c>
      <c r="F968" s="8">
        <f t="shared" si="3"/>
        <v>1186379508</v>
      </c>
    </row>
    <row r="969">
      <c r="A969" s="1">
        <v>968.0</v>
      </c>
      <c r="B969" s="8">
        <f>Filmes_final!C969</f>
        <v>1464625</v>
      </c>
      <c r="C969" s="5">
        <f>Filmes_final!D969</f>
        <v>1994</v>
      </c>
      <c r="D969" s="5">
        <f t="shared" si="1"/>
        <v>2020</v>
      </c>
      <c r="E969" s="12">
        <f t="shared" si="2"/>
        <v>1.76450752</v>
      </c>
      <c r="F969" s="8">
        <f t="shared" si="3"/>
        <v>2584342</v>
      </c>
    </row>
    <row r="970">
      <c r="A970" s="1">
        <v>969.0</v>
      </c>
      <c r="B970" s="8">
        <f>Filmes_final!C970</f>
        <v>40903593</v>
      </c>
      <c r="C970" s="5">
        <f>Filmes_final!D970</f>
        <v>1993</v>
      </c>
      <c r="D970" s="5">
        <f t="shared" si="1"/>
        <v>2020</v>
      </c>
      <c r="E970" s="12">
        <f t="shared" si="2"/>
        <v>1.8090533</v>
      </c>
      <c r="F970" s="8">
        <f t="shared" si="3"/>
        <v>73996780</v>
      </c>
    </row>
    <row r="971">
      <c r="A971" s="1">
        <v>970.0</v>
      </c>
      <c r="B971" s="8">
        <f>Filmes_final!C971</f>
        <v>7993039</v>
      </c>
      <c r="C971" s="5">
        <f>Filmes_final!D971</f>
        <v>1993</v>
      </c>
      <c r="D971" s="5">
        <f t="shared" si="1"/>
        <v>2020</v>
      </c>
      <c r="E971" s="12">
        <f t="shared" si="2"/>
        <v>1.8090533</v>
      </c>
      <c r="F971" s="8">
        <f t="shared" si="3"/>
        <v>14459834</v>
      </c>
    </row>
    <row r="972">
      <c r="A972" s="1">
        <v>971.0</v>
      </c>
      <c r="B972" s="8">
        <f>Filmes_final!C972</f>
        <v>52929168</v>
      </c>
      <c r="C972" s="5">
        <f>Filmes_final!D972</f>
        <v>1992</v>
      </c>
      <c r="D972" s="5">
        <f t="shared" si="1"/>
        <v>2020</v>
      </c>
      <c r="E972" s="12">
        <f t="shared" si="2"/>
        <v>1.86800145</v>
      </c>
      <c r="F972" s="8">
        <f t="shared" si="3"/>
        <v>98871763</v>
      </c>
    </row>
    <row r="973">
      <c r="A973" s="1">
        <v>972.0</v>
      </c>
      <c r="B973" s="8">
        <f>Filmes_final!C973</f>
        <v>453243</v>
      </c>
      <c r="C973" s="5">
        <f>Filmes_final!D973</f>
        <v>1991</v>
      </c>
      <c r="D973" s="5">
        <f t="shared" si="1"/>
        <v>2020</v>
      </c>
      <c r="E973" s="12">
        <f t="shared" si="2"/>
        <v>1.91657504</v>
      </c>
      <c r="F973" s="8">
        <f t="shared" si="3"/>
        <v>868674</v>
      </c>
    </row>
    <row r="974">
      <c r="A974" s="1">
        <v>973.0</v>
      </c>
      <c r="B974" s="8">
        <f>Filmes_final!C974</f>
        <v>1794187</v>
      </c>
      <c r="C974" s="5">
        <f>Filmes_final!D974</f>
        <v>1991</v>
      </c>
      <c r="D974" s="5">
        <f t="shared" si="1"/>
        <v>2020</v>
      </c>
      <c r="E974" s="12">
        <f t="shared" si="2"/>
        <v>1.91657504</v>
      </c>
      <c r="F974" s="8">
        <f t="shared" si="3"/>
        <v>3438694</v>
      </c>
    </row>
    <row r="975">
      <c r="A975" s="1">
        <v>974.0</v>
      </c>
      <c r="B975" s="8">
        <f>Filmes_final!C975</f>
        <v>285761243</v>
      </c>
      <c r="C975" s="5">
        <f>Filmes_final!D975</f>
        <v>1990</v>
      </c>
      <c r="D975" s="5">
        <f t="shared" si="1"/>
        <v>2020</v>
      </c>
      <c r="E975" s="12">
        <f t="shared" si="2"/>
        <v>2.02489011</v>
      </c>
      <c r="F975" s="8">
        <f t="shared" si="3"/>
        <v>578635115</v>
      </c>
    </row>
    <row r="976">
      <c r="A976" s="1">
        <v>975.0</v>
      </c>
      <c r="B976" s="8">
        <f>Filmes_final!C976</f>
        <v>66666062</v>
      </c>
      <c r="C976" s="5">
        <f>Filmes_final!D976</f>
        <v>1990</v>
      </c>
      <c r="D976" s="5">
        <f t="shared" si="1"/>
        <v>2020</v>
      </c>
      <c r="E976" s="12">
        <f t="shared" si="2"/>
        <v>2.02489011</v>
      </c>
      <c r="F976" s="8">
        <f t="shared" si="3"/>
        <v>134991450</v>
      </c>
    </row>
    <row r="977">
      <c r="A977" s="1">
        <v>976.0</v>
      </c>
      <c r="B977" s="8">
        <f>Filmes_final!C977</f>
        <v>92823600</v>
      </c>
      <c r="C977" s="5">
        <f>Filmes_final!D977</f>
        <v>1989</v>
      </c>
      <c r="D977" s="5">
        <f t="shared" si="1"/>
        <v>2020</v>
      </c>
      <c r="E977" s="12">
        <f t="shared" si="2"/>
        <v>2.13023121</v>
      </c>
      <c r="F977" s="8">
        <f t="shared" si="3"/>
        <v>197735730</v>
      </c>
    </row>
    <row r="978">
      <c r="A978" s="1">
        <v>977.0</v>
      </c>
      <c r="B978" s="8">
        <f>Filmes_final!C978</f>
        <v>111543479</v>
      </c>
      <c r="C978" s="5">
        <f>Filmes_final!D978</f>
        <v>1989</v>
      </c>
      <c r="D978" s="5">
        <f t="shared" si="1"/>
        <v>2020</v>
      </c>
      <c r="E978" s="12">
        <f t="shared" si="2"/>
        <v>2.13023121</v>
      </c>
      <c r="F978" s="8">
        <f t="shared" si="3"/>
        <v>237613400</v>
      </c>
    </row>
    <row r="979">
      <c r="A979" s="1">
        <v>978.0</v>
      </c>
      <c r="B979" s="8">
        <f>Filmes_final!C979</f>
        <v>78756177</v>
      </c>
      <c r="C979" s="5">
        <f>Filmes_final!D979</f>
        <v>1988</v>
      </c>
      <c r="D979" s="5">
        <f t="shared" si="1"/>
        <v>2020</v>
      </c>
      <c r="E979" s="12">
        <f t="shared" si="2"/>
        <v>2.22965428</v>
      </c>
      <c r="F979" s="8">
        <f t="shared" si="3"/>
        <v>175599047</v>
      </c>
    </row>
    <row r="980">
      <c r="A980" s="1">
        <v>979.0</v>
      </c>
      <c r="B980" s="8">
        <f>Filmes_final!C980</f>
        <v>49530280</v>
      </c>
      <c r="C980" s="5">
        <f>Filmes_final!D980</f>
        <v>1987</v>
      </c>
      <c r="D980" s="5">
        <f t="shared" si="1"/>
        <v>2020</v>
      </c>
      <c r="E980" s="12">
        <f t="shared" si="2"/>
        <v>2.31988309</v>
      </c>
      <c r="F980" s="8">
        <f t="shared" si="3"/>
        <v>114904459</v>
      </c>
    </row>
    <row r="981">
      <c r="A981" s="1">
        <v>980.0</v>
      </c>
      <c r="B981" s="8">
        <f>Filmes_final!C981</f>
        <v>65207127</v>
      </c>
      <c r="C981" s="5">
        <f>Filmes_final!D981</f>
        <v>1987</v>
      </c>
      <c r="D981" s="5">
        <f t="shared" si="1"/>
        <v>2020</v>
      </c>
      <c r="E981" s="12">
        <f t="shared" si="2"/>
        <v>2.31988309</v>
      </c>
      <c r="F981" s="8">
        <f t="shared" si="3"/>
        <v>151272911</v>
      </c>
    </row>
    <row r="982">
      <c r="A982" s="1">
        <v>981.0</v>
      </c>
      <c r="B982" s="8">
        <f>Filmes_final!C982</f>
        <v>2150000</v>
      </c>
      <c r="C982" s="5">
        <f>Filmes_final!D982</f>
        <v>1984</v>
      </c>
      <c r="D982" s="5">
        <f t="shared" si="1"/>
        <v>2020</v>
      </c>
      <c r="E982" s="12">
        <f t="shared" si="2"/>
        <v>2.53160942</v>
      </c>
      <c r="F982" s="8">
        <f t="shared" si="3"/>
        <v>5442960</v>
      </c>
    </row>
    <row r="983">
      <c r="A983" s="1">
        <v>982.0</v>
      </c>
      <c r="B983" s="8">
        <f>Filmes_final!C983</f>
        <v>119285432</v>
      </c>
      <c r="C983" s="5">
        <f>Filmes_final!D983</f>
        <v>1981</v>
      </c>
      <c r="D983" s="5">
        <f t="shared" si="1"/>
        <v>2020</v>
      </c>
      <c r="E983" s="12">
        <f t="shared" si="2"/>
        <v>2.96518391</v>
      </c>
      <c r="F983" s="8">
        <f t="shared" si="3"/>
        <v>353703244</v>
      </c>
    </row>
    <row r="984">
      <c r="A984" s="1">
        <v>983.0</v>
      </c>
      <c r="B984" s="8">
        <f>Filmes_final!C984</f>
        <v>12465371</v>
      </c>
      <c r="C984" s="5">
        <f>Filmes_final!D984</f>
        <v>1981</v>
      </c>
      <c r="D984" s="5">
        <f t="shared" si="1"/>
        <v>2020</v>
      </c>
      <c r="E984" s="12">
        <f t="shared" si="2"/>
        <v>2.96518391</v>
      </c>
      <c r="F984" s="8">
        <f t="shared" si="3"/>
        <v>36962118</v>
      </c>
    </row>
    <row r="985">
      <c r="A985" s="1">
        <v>984.0</v>
      </c>
      <c r="B985" s="8">
        <f>Filmes_final!C985</f>
        <v>22490039</v>
      </c>
      <c r="C985" s="5">
        <f>Filmes_final!D985</f>
        <v>1979</v>
      </c>
      <c r="D985" s="5">
        <f t="shared" si="1"/>
        <v>2020</v>
      </c>
      <c r="E985" s="12">
        <f t="shared" si="2"/>
        <v>3.77702782</v>
      </c>
      <c r="F985" s="8">
        <f t="shared" si="3"/>
        <v>84945503</v>
      </c>
    </row>
    <row r="986">
      <c r="A986" s="1">
        <v>985.0</v>
      </c>
      <c r="B986" s="8">
        <f>Filmes_final!C986</f>
        <v>76657000</v>
      </c>
      <c r="C986" s="5">
        <f>Filmes_final!D986</f>
        <v>1979</v>
      </c>
      <c r="D986" s="5">
        <f t="shared" si="1"/>
        <v>2020</v>
      </c>
      <c r="E986" s="12">
        <f t="shared" si="2"/>
        <v>3.77702782</v>
      </c>
      <c r="F986" s="8">
        <f t="shared" si="3"/>
        <v>289535622</v>
      </c>
    </row>
    <row r="987">
      <c r="A987" s="1">
        <v>986.0</v>
      </c>
      <c r="B987" s="8">
        <f>Filmes_final!C987</f>
        <v>43000000</v>
      </c>
      <c r="C987" s="5">
        <f>Filmes_final!D987</f>
        <v>1979</v>
      </c>
      <c r="D987" s="5">
        <f t="shared" si="1"/>
        <v>2020</v>
      </c>
      <c r="E987" s="12">
        <f t="shared" si="2"/>
        <v>3.77702782</v>
      </c>
      <c r="F987" s="8">
        <f t="shared" si="3"/>
        <v>162412196</v>
      </c>
    </row>
    <row r="988">
      <c r="A988" s="1">
        <v>987.0</v>
      </c>
      <c r="B988" s="8">
        <f>Filmes_final!C988</f>
        <v>718597</v>
      </c>
      <c r="C988" s="5">
        <f>Filmes_final!D988</f>
        <v>1978</v>
      </c>
      <c r="D988" s="5">
        <f t="shared" si="1"/>
        <v>2020</v>
      </c>
      <c r="E988" s="12">
        <f t="shared" si="2"/>
        <v>4.127536</v>
      </c>
      <c r="F988" s="8">
        <f t="shared" si="3"/>
        <v>2966035</v>
      </c>
    </row>
    <row r="989">
      <c r="A989" s="1">
        <v>988.0</v>
      </c>
      <c r="B989" s="8">
        <f>Filmes_final!C989</f>
        <v>35000000</v>
      </c>
      <c r="C989" s="5">
        <f>Filmes_final!D989</f>
        <v>1978</v>
      </c>
      <c r="D989" s="5">
        <f t="shared" si="1"/>
        <v>2020</v>
      </c>
      <c r="E989" s="12">
        <f t="shared" si="2"/>
        <v>4.127536</v>
      </c>
      <c r="F989" s="8">
        <f t="shared" si="3"/>
        <v>144463760</v>
      </c>
    </row>
    <row r="990">
      <c r="A990" s="1">
        <v>989.0</v>
      </c>
      <c r="B990" s="8">
        <f>Filmes_final!C990</f>
        <v>132088635</v>
      </c>
      <c r="C990" s="5">
        <f>Filmes_final!D990</f>
        <v>1977</v>
      </c>
      <c r="D990" s="5">
        <f t="shared" si="1"/>
        <v>2020</v>
      </c>
      <c r="E990" s="12">
        <f t="shared" si="2"/>
        <v>4.40976068</v>
      </c>
      <c r="F990" s="8">
        <f t="shared" si="3"/>
        <v>582479269</v>
      </c>
    </row>
    <row r="991">
      <c r="A991" s="1">
        <v>990.0</v>
      </c>
      <c r="B991" s="8">
        <f>Filmes_final!C991</f>
        <v>959</v>
      </c>
      <c r="C991" s="5">
        <f>Filmes_final!D991</f>
        <v>1973</v>
      </c>
      <c r="D991" s="5">
        <f t="shared" si="1"/>
        <v>2020</v>
      </c>
      <c r="E991" s="12">
        <f t="shared" si="2"/>
        <v>6.05565728</v>
      </c>
      <c r="F991" s="8">
        <f t="shared" si="3"/>
        <v>5807</v>
      </c>
    </row>
    <row r="992">
      <c r="A992" s="1">
        <v>991.0</v>
      </c>
      <c r="B992" s="8">
        <f>Filmes_final!C992</f>
        <v>696690</v>
      </c>
      <c r="C992" s="5">
        <f>Filmes_final!D992</f>
        <v>1971</v>
      </c>
      <c r="D992" s="5">
        <f t="shared" si="1"/>
        <v>2020</v>
      </c>
      <c r="E992" s="12">
        <f t="shared" si="2"/>
        <v>6.48168342</v>
      </c>
      <c r="F992" s="8">
        <f t="shared" si="3"/>
        <v>4515724</v>
      </c>
    </row>
    <row r="993">
      <c r="A993" s="1">
        <v>992.0</v>
      </c>
      <c r="B993" s="8">
        <f>Filmes_final!C993</f>
        <v>1378435</v>
      </c>
      <c r="C993" s="5">
        <f>Filmes_final!D993</f>
        <v>1970</v>
      </c>
      <c r="D993" s="5">
        <f t="shared" si="1"/>
        <v>2020</v>
      </c>
      <c r="E993" s="12">
        <f t="shared" si="2"/>
        <v>6.82462963</v>
      </c>
      <c r="F993" s="8">
        <f t="shared" si="3"/>
        <v>9407308</v>
      </c>
    </row>
    <row r="994">
      <c r="A994" s="1">
        <v>993.0</v>
      </c>
      <c r="B994" s="8">
        <f>Filmes_final!C994</f>
        <v>141843612</v>
      </c>
      <c r="C994" s="5">
        <f>Filmes_final!D994</f>
        <v>1967</v>
      </c>
      <c r="D994" s="5">
        <f t="shared" si="1"/>
        <v>2020</v>
      </c>
      <c r="E994" s="12">
        <f t="shared" si="2"/>
        <v>7.84106383</v>
      </c>
      <c r="F994" s="8">
        <f t="shared" si="3"/>
        <v>1112204816</v>
      </c>
    </row>
    <row r="995">
      <c r="A995" s="1">
        <v>994.0</v>
      </c>
      <c r="B995" s="8">
        <f>Filmes_final!C995</f>
        <v>6066</v>
      </c>
      <c r="C995" s="5">
        <f>Filmes_final!D995</f>
        <v>1966</v>
      </c>
      <c r="D995" s="5">
        <f t="shared" si="1"/>
        <v>2020</v>
      </c>
      <c r="E995" s="12">
        <f t="shared" si="2"/>
        <v>8.1122956</v>
      </c>
      <c r="F995" s="8">
        <f t="shared" si="3"/>
        <v>49209</v>
      </c>
    </row>
    <row r="996">
      <c r="A996" s="1">
        <v>995.0</v>
      </c>
      <c r="B996" s="8">
        <f>Filmes_final!C996</f>
        <v>13780024</v>
      </c>
      <c r="C996" s="5">
        <f>Filmes_final!D996</f>
        <v>1964</v>
      </c>
      <c r="D996" s="5">
        <f t="shared" si="1"/>
        <v>2020</v>
      </c>
      <c r="E996" s="12">
        <f t="shared" si="2"/>
        <v>8.34857605</v>
      </c>
      <c r="F996" s="8">
        <f t="shared" si="3"/>
        <v>115043578</v>
      </c>
    </row>
    <row r="997">
      <c r="A997" s="1">
        <v>996.0</v>
      </c>
      <c r="B997" s="8">
        <f>Filmes_final!C997</f>
        <v>508012</v>
      </c>
      <c r="C997" s="5">
        <f>Filmes_final!D997</f>
        <v>1961</v>
      </c>
      <c r="D997" s="5">
        <f t="shared" si="1"/>
        <v>2020</v>
      </c>
      <c r="E997" s="12">
        <f t="shared" si="2"/>
        <v>8.65674497</v>
      </c>
      <c r="F997" s="8">
        <f t="shared" si="3"/>
        <v>4397730</v>
      </c>
    </row>
    <row r="998">
      <c r="A998" s="1">
        <v>997.0</v>
      </c>
      <c r="B998" s="8">
        <f>Filmes_final!C998</f>
        <v>5400000</v>
      </c>
      <c r="C998" s="5">
        <f>Filmes_final!D998</f>
        <v>1956</v>
      </c>
      <c r="D998" s="5">
        <f t="shared" si="1"/>
        <v>2020</v>
      </c>
      <c r="E998" s="12">
        <f t="shared" si="2"/>
        <v>9.62578358</v>
      </c>
      <c r="F998" s="8">
        <f t="shared" si="3"/>
        <v>51979231</v>
      </c>
    </row>
    <row r="999">
      <c r="A999" s="1">
        <v>998.0</v>
      </c>
      <c r="B999" s="8">
        <f>Filmes_final!C999</f>
        <v>30500000</v>
      </c>
      <c r="C999" s="5">
        <f>Filmes_final!D999</f>
        <v>1953</v>
      </c>
      <c r="D999" s="5">
        <f t="shared" si="1"/>
        <v>2020</v>
      </c>
      <c r="E999" s="12">
        <f t="shared" si="2"/>
        <v>9.69815789</v>
      </c>
      <c r="F999" s="8">
        <f t="shared" si="3"/>
        <v>295793816</v>
      </c>
    </row>
    <row r="1000">
      <c r="A1000" s="1">
        <v>999.0</v>
      </c>
      <c r="B1000" s="8">
        <f>Filmes_final!C1000</f>
        <v>1590000</v>
      </c>
      <c r="C1000" s="5">
        <f>Filmes_final!D1000</f>
        <v>1944</v>
      </c>
      <c r="D1000" s="5">
        <f t="shared" si="1"/>
        <v>2020</v>
      </c>
      <c r="E1000" s="12">
        <f t="shared" si="2"/>
        <v>14.82591954</v>
      </c>
      <c r="F1000" s="8">
        <f t="shared" si="3"/>
        <v>23573212</v>
      </c>
    </row>
    <row r="1001">
      <c r="A1001" s="1">
        <v>1000.0</v>
      </c>
      <c r="B1001" s="8">
        <f>Filmes_final!C1001</f>
        <v>51711</v>
      </c>
      <c r="C1001" s="5">
        <f>Filmes_final!D1001</f>
        <v>1935</v>
      </c>
      <c r="D1001" s="5">
        <f t="shared" si="1"/>
        <v>2020</v>
      </c>
      <c r="E1001" s="12">
        <f t="shared" si="2"/>
        <v>18.96845588</v>
      </c>
      <c r="F1001" s="8">
        <f t="shared" si="3"/>
        <v>980878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63"/>
    <col customWidth="1" min="3" max="3" width="20.0"/>
    <col customWidth="1" min="4" max="4" width="19.25"/>
  </cols>
  <sheetData>
    <row r="1">
      <c r="A1" s="1" t="s">
        <v>0</v>
      </c>
      <c r="B1" s="1" t="s">
        <v>1</v>
      </c>
      <c r="C1" s="1" t="s">
        <v>6641</v>
      </c>
      <c r="D1" s="1" t="s">
        <v>6642</v>
      </c>
      <c r="E1" s="1" t="s">
        <v>6643</v>
      </c>
      <c r="F1" s="2" t="s">
        <v>6609</v>
      </c>
    </row>
    <row r="2">
      <c r="A2" s="1">
        <v>1.0</v>
      </c>
      <c r="B2" s="1" t="s">
        <v>17</v>
      </c>
      <c r="C2" s="13" t="b">
        <f>IFERROR(__xludf.DUMMYFUNCTION("IF(ISTEXT(Filmes_raw!C2), REGEXEXTRACT(Filmes_raw!C2,""[^,]+$""))"),FALSE)</f>
        <v>0</v>
      </c>
      <c r="D2" s="1" t="b">
        <f t="shared" ref="D2:D1001" si="1">IFS(C2=FALSE, FALSE,LEN(C2)=1, C2 &amp; "00",LEN(C2)=2, C2 &amp; "0")</f>
        <v>0</v>
      </c>
      <c r="E2" s="14">
        <f>IFERROR(__xludf.DUMMYFUNCTION("VALUE(IF(ISTEXT(D2), REGEXREPLACE(Filmes_raw!C2,""[^,]+$"",D2),Filmes_raw!C2))"),2.8341469E7)</f>
        <v>28341469</v>
      </c>
      <c r="F2" s="6">
        <f>IFERROR(__xludf.DUMMYFUNCTION("VALUE(REGEXEXTRACT(Filmes_raw!F2, ""[0-9]+""
))"),142.0)</f>
        <v>142</v>
      </c>
    </row>
    <row r="3">
      <c r="A3" s="1">
        <v>2.0</v>
      </c>
      <c r="B3" s="1" t="s">
        <v>27</v>
      </c>
      <c r="C3" s="13" t="b">
        <f>IFERROR(__xludf.DUMMYFUNCTION("IF(ISTEXT(Filmes_raw!C3), REGEXEXTRACT(Filmes_raw!C3,""[^,]+$""))"),FALSE)</f>
        <v>0</v>
      </c>
      <c r="D3" s="1" t="b">
        <f t="shared" si="1"/>
        <v>0</v>
      </c>
      <c r="E3" s="14">
        <f>IFERROR(__xludf.DUMMYFUNCTION("VALUE(IF(ISTEXT(D3), REGEXREPLACE(Filmes_raw!C3,""[^,]+$"",D3),Filmes_raw!C3))"),1.34966411E8)</f>
        <v>134966411</v>
      </c>
      <c r="F3" s="6">
        <f>IFERROR(__xludf.DUMMYFUNCTION("VALUE(REGEXEXTRACT(Filmes_raw!F3, ""[0-9]+""
))"),175.0)</f>
        <v>175</v>
      </c>
    </row>
    <row r="4">
      <c r="A4" s="1">
        <v>3.0</v>
      </c>
      <c r="B4" s="1" t="s">
        <v>36</v>
      </c>
      <c r="C4" s="13" t="b">
        <f>IFERROR(__xludf.DUMMYFUNCTION("IF(ISTEXT(Filmes_raw!C4), REGEXEXTRACT(Filmes_raw!C4,""[^,]+$""))"),FALSE)</f>
        <v>0</v>
      </c>
      <c r="D4" s="1" t="b">
        <f t="shared" si="1"/>
        <v>0</v>
      </c>
      <c r="E4" s="14">
        <f>IFERROR(__xludf.DUMMYFUNCTION("VALUE(IF(ISTEXT(D4), REGEXREPLACE(Filmes_raw!C4,""[^,]+$"",D4),Filmes_raw!C4))"),5.34858444E8)</f>
        <v>534858444</v>
      </c>
      <c r="F4" s="6">
        <f>IFERROR(__xludf.DUMMYFUNCTION("VALUE(REGEXEXTRACT(Filmes_raw!F4, ""[0-9]+""
))"),152.0)</f>
        <v>152</v>
      </c>
    </row>
    <row r="5">
      <c r="A5" s="1">
        <v>4.0</v>
      </c>
      <c r="B5" s="1" t="s">
        <v>46</v>
      </c>
      <c r="C5" s="13" t="b">
        <f>IFERROR(__xludf.DUMMYFUNCTION("IF(ISTEXT(Filmes_raw!C5), REGEXEXTRACT(Filmes_raw!C5,""[^,]+$""))"),FALSE)</f>
        <v>0</v>
      </c>
      <c r="D5" s="1" t="b">
        <f t="shared" si="1"/>
        <v>0</v>
      </c>
      <c r="E5" s="14">
        <f>IFERROR(__xludf.DUMMYFUNCTION("VALUE(IF(ISTEXT(D5), REGEXREPLACE(Filmes_raw!C5,""[^,]+$"",D5),Filmes_raw!C5))"),5.73E7)</f>
        <v>57300000</v>
      </c>
      <c r="F5" s="6">
        <f>IFERROR(__xludf.DUMMYFUNCTION("VALUE(REGEXEXTRACT(Filmes_raw!F5, ""[0-9]+""
))"),202.0)</f>
        <v>202</v>
      </c>
    </row>
    <row r="6">
      <c r="A6" s="1">
        <v>5.0</v>
      </c>
      <c r="B6" s="1" t="s">
        <v>51</v>
      </c>
      <c r="C6" s="13" t="b">
        <f>IFERROR(__xludf.DUMMYFUNCTION("IF(ISTEXT(Filmes_raw!C6), REGEXEXTRACT(Filmes_raw!C6,""[^,]+$""))"),FALSE)</f>
        <v>0</v>
      </c>
      <c r="D6" s="1" t="b">
        <f t="shared" si="1"/>
        <v>0</v>
      </c>
      <c r="E6" s="14">
        <f>IFERROR(__xludf.DUMMYFUNCTION("VALUE(IF(ISTEXT(D6), REGEXREPLACE(Filmes_raw!C6,""[^,]+$"",D6),Filmes_raw!C6))"),4360000.0)</f>
        <v>4360000</v>
      </c>
      <c r="F6" s="6">
        <f>IFERROR(__xludf.DUMMYFUNCTION("VALUE(REGEXEXTRACT(Filmes_raw!F6, ""[0-9]+""
))"),96.0)</f>
        <v>96</v>
      </c>
    </row>
    <row r="7">
      <c r="A7" s="1">
        <v>6.0</v>
      </c>
      <c r="B7" s="1" t="s">
        <v>60</v>
      </c>
      <c r="C7" s="13" t="b">
        <f>IFERROR(__xludf.DUMMYFUNCTION("IF(ISTEXT(Filmes_raw!C7), REGEXEXTRACT(Filmes_raw!C7,""[^,]+$""))"),FALSE)</f>
        <v>0</v>
      </c>
      <c r="D7" s="1" t="b">
        <f t="shared" si="1"/>
        <v>0</v>
      </c>
      <c r="E7" s="14">
        <f>IFERROR(__xludf.DUMMYFUNCTION("VALUE(IF(ISTEXT(D7), REGEXREPLACE(Filmes_raw!C7,""[^,]+$"",D7),Filmes_raw!C7))"),3.77845905E8)</f>
        <v>377845905</v>
      </c>
      <c r="F7" s="6">
        <f>IFERROR(__xludf.DUMMYFUNCTION("VALUE(REGEXEXTRACT(Filmes_raw!F7, ""[0-9]+""
))"),201.0)</f>
        <v>201</v>
      </c>
    </row>
    <row r="8">
      <c r="A8" s="1">
        <v>7.0</v>
      </c>
      <c r="B8" s="1" t="s">
        <v>69</v>
      </c>
      <c r="C8" s="13" t="b">
        <f>IFERROR(__xludf.DUMMYFUNCTION("IF(ISTEXT(Filmes_raw!C8), REGEXEXTRACT(Filmes_raw!C8,""[^,]+$""))"),FALSE)</f>
        <v>0</v>
      </c>
      <c r="D8" s="1" t="b">
        <f t="shared" si="1"/>
        <v>0</v>
      </c>
      <c r="E8" s="14">
        <f>IFERROR(__xludf.DUMMYFUNCTION("VALUE(IF(ISTEXT(D8), REGEXREPLACE(Filmes_raw!C8,""[^,]+$"",D8),Filmes_raw!C8))"),1.07928762E8)</f>
        <v>107928762</v>
      </c>
      <c r="F8" s="6">
        <f>IFERROR(__xludf.DUMMYFUNCTION("VALUE(REGEXEXTRACT(Filmes_raw!F8, ""[0-9]+""
))"),154.0)</f>
        <v>154</v>
      </c>
    </row>
    <row r="9">
      <c r="A9" s="1">
        <v>8.0</v>
      </c>
      <c r="B9" s="1" t="s">
        <v>77</v>
      </c>
      <c r="C9" s="13" t="b">
        <f>IFERROR(__xludf.DUMMYFUNCTION("IF(ISTEXT(Filmes_raw!C9), REGEXEXTRACT(Filmes_raw!C9,""[^,]+$""))"),FALSE)</f>
        <v>0</v>
      </c>
      <c r="D9" s="1" t="b">
        <f t="shared" si="1"/>
        <v>0</v>
      </c>
      <c r="E9" s="14">
        <f>IFERROR(__xludf.DUMMYFUNCTION("VALUE(IF(ISTEXT(D9), REGEXREPLACE(Filmes_raw!C9,""[^,]+$"",D9),Filmes_raw!C9))"),9.6898818E7)</f>
        <v>96898818</v>
      </c>
      <c r="F9" s="6">
        <f>IFERROR(__xludf.DUMMYFUNCTION("VALUE(REGEXEXTRACT(Filmes_raw!F9, ""[0-9]+""
))"),195.0)</f>
        <v>195</v>
      </c>
    </row>
    <row r="10">
      <c r="A10" s="1">
        <v>9.0</v>
      </c>
      <c r="B10" s="1" t="s">
        <v>86</v>
      </c>
      <c r="C10" s="13" t="b">
        <f>IFERROR(__xludf.DUMMYFUNCTION("IF(ISTEXT(Filmes_raw!C10), REGEXEXTRACT(Filmes_raw!C10,""[^,]+$""))"),FALSE)</f>
        <v>0</v>
      </c>
      <c r="D10" s="1" t="b">
        <f t="shared" si="1"/>
        <v>0</v>
      </c>
      <c r="E10" s="14">
        <f>IFERROR(__xludf.DUMMYFUNCTION("VALUE(IF(ISTEXT(D10), REGEXREPLACE(Filmes_raw!C10,""[^,]+$"",D10),Filmes_raw!C10))"),2.92576195E8)</f>
        <v>292576195</v>
      </c>
      <c r="F10" s="6">
        <f>IFERROR(__xludf.DUMMYFUNCTION("VALUE(REGEXEXTRACT(Filmes_raw!F10, ""[0-9]+""
))"),148.0)</f>
        <v>148</v>
      </c>
    </row>
    <row r="11">
      <c r="A11" s="1">
        <v>10.0</v>
      </c>
      <c r="B11" s="1" t="s">
        <v>94</v>
      </c>
      <c r="C11" s="13" t="b">
        <f>IFERROR(__xludf.DUMMYFUNCTION("IF(ISTEXT(Filmes_raw!C11), REGEXEXTRACT(Filmes_raw!C11,""[^,]+$""))"),FALSE)</f>
        <v>0</v>
      </c>
      <c r="D11" s="1" t="b">
        <f t="shared" si="1"/>
        <v>0</v>
      </c>
      <c r="E11" s="14">
        <f>IFERROR(__xludf.DUMMYFUNCTION("VALUE(IF(ISTEXT(D11), REGEXREPLACE(Filmes_raw!C11,""[^,]+$"",D11),Filmes_raw!C11))"),3.7030102E7)</f>
        <v>37030102</v>
      </c>
      <c r="F11" s="6">
        <f>IFERROR(__xludf.DUMMYFUNCTION("VALUE(REGEXEXTRACT(Filmes_raw!F11, ""[0-9]+""
))"),139.0)</f>
        <v>139</v>
      </c>
    </row>
    <row r="12">
      <c r="A12" s="1">
        <v>11.0</v>
      </c>
      <c r="B12" s="1" t="s">
        <v>102</v>
      </c>
      <c r="C12" s="13" t="b">
        <f>IFERROR(__xludf.DUMMYFUNCTION("IF(ISTEXT(Filmes_raw!C12), REGEXEXTRACT(Filmes_raw!C12,""[^,]+$""))"),FALSE)</f>
        <v>0</v>
      </c>
      <c r="D12" s="1" t="b">
        <f t="shared" si="1"/>
        <v>0</v>
      </c>
      <c r="E12" s="14">
        <f>IFERROR(__xludf.DUMMYFUNCTION("VALUE(IF(ISTEXT(D12), REGEXREPLACE(Filmes_raw!C12,""[^,]+$"",D12),Filmes_raw!C12))"),3.1554475E8)</f>
        <v>315544750</v>
      </c>
      <c r="F12" s="6">
        <f>IFERROR(__xludf.DUMMYFUNCTION("VALUE(REGEXEXTRACT(Filmes_raw!F12, ""[0-9]+""
))"),178.0)</f>
        <v>178</v>
      </c>
    </row>
    <row r="13">
      <c r="A13" s="1">
        <v>12.0</v>
      </c>
      <c r="B13" s="1" t="s">
        <v>106</v>
      </c>
      <c r="C13" s="13" t="b">
        <f>IFERROR(__xludf.DUMMYFUNCTION("IF(ISTEXT(Filmes_raw!C13), REGEXEXTRACT(Filmes_raw!C13,""[^,]+$""))"),FALSE)</f>
        <v>0</v>
      </c>
      <c r="D13" s="1" t="b">
        <f t="shared" si="1"/>
        <v>0</v>
      </c>
      <c r="E13" s="14">
        <f>IFERROR(__xludf.DUMMYFUNCTION("VALUE(IF(ISTEXT(D13), REGEXREPLACE(Filmes_raw!C13,""[^,]+$"",D13),Filmes_raw!C13))"),3.30252182E8)</f>
        <v>330252182</v>
      </c>
      <c r="F13" s="6">
        <f>IFERROR(__xludf.DUMMYFUNCTION("VALUE(REGEXEXTRACT(Filmes_raw!F13, ""[0-9]+""
))"),142.0)</f>
        <v>142</v>
      </c>
    </row>
    <row r="14">
      <c r="A14" s="1">
        <v>13.0</v>
      </c>
      <c r="B14" s="1" t="s">
        <v>114</v>
      </c>
      <c r="C14" s="13" t="b">
        <f>IFERROR(__xludf.DUMMYFUNCTION("IF(ISTEXT(Filmes_raw!C14), REGEXEXTRACT(Filmes_raw!C14,""[^,]+$""))"),FALSE)</f>
        <v>0</v>
      </c>
      <c r="D14" s="1" t="b">
        <f t="shared" si="1"/>
        <v>0</v>
      </c>
      <c r="E14" s="14">
        <f>IFERROR(__xludf.DUMMYFUNCTION("VALUE(IF(ISTEXT(D14), REGEXREPLACE(Filmes_raw!C14,""[^,]+$"",D14),Filmes_raw!C14))"),6100000.0)</f>
        <v>6100000</v>
      </c>
      <c r="F14" s="6">
        <f>IFERROR(__xludf.DUMMYFUNCTION("VALUE(REGEXEXTRACT(Filmes_raw!F14, ""[0-9]+""
))"),161.0)</f>
        <v>161</v>
      </c>
    </row>
    <row r="15">
      <c r="A15" s="1">
        <v>14.0</v>
      </c>
      <c r="B15" s="1" t="s">
        <v>123</v>
      </c>
      <c r="C15" s="13" t="b">
        <f>IFERROR(__xludf.DUMMYFUNCTION("IF(ISTEXT(Filmes_raw!C15), REGEXEXTRACT(Filmes_raw!C15,""[^,]+$""))"),FALSE)</f>
        <v>0</v>
      </c>
      <c r="D15" s="1" t="b">
        <f t="shared" si="1"/>
        <v>0</v>
      </c>
      <c r="E15" s="14">
        <f>IFERROR(__xludf.DUMMYFUNCTION("VALUE(IF(ISTEXT(D15), REGEXREPLACE(Filmes_raw!C15,""[^,]+$"",D15),Filmes_raw!C15))"),3.42551365E8)</f>
        <v>342551365</v>
      </c>
      <c r="F15" s="6">
        <f>IFERROR(__xludf.DUMMYFUNCTION("VALUE(REGEXEXTRACT(Filmes_raw!F15, ""[0-9]+""
))"),179.0)</f>
        <v>179</v>
      </c>
    </row>
    <row r="16">
      <c r="A16" s="1">
        <v>15.0</v>
      </c>
      <c r="B16" s="1" t="s">
        <v>126</v>
      </c>
      <c r="C16" s="13" t="b">
        <f>IFERROR(__xludf.DUMMYFUNCTION("IF(ISTEXT(Filmes_raw!C16), REGEXEXTRACT(Filmes_raw!C16,""[^,]+$""))"),FALSE)</f>
        <v>0</v>
      </c>
      <c r="D16" s="1" t="b">
        <f t="shared" si="1"/>
        <v>0</v>
      </c>
      <c r="E16" s="14">
        <f>IFERROR(__xludf.DUMMYFUNCTION("VALUE(IF(ISTEXT(D16), REGEXREPLACE(Filmes_raw!C16,""[^,]+$"",D16),Filmes_raw!C16))"),1.7147993E8)</f>
        <v>171479930</v>
      </c>
      <c r="F16" s="6">
        <f>IFERROR(__xludf.DUMMYFUNCTION("VALUE(REGEXEXTRACT(Filmes_raw!F16, ""[0-9]+""
))"),136.0)</f>
        <v>136</v>
      </c>
    </row>
    <row r="17">
      <c r="A17" s="1">
        <v>16.0</v>
      </c>
      <c r="B17" s="1" t="s">
        <v>135</v>
      </c>
      <c r="C17" s="13" t="b">
        <f>IFERROR(__xludf.DUMMYFUNCTION("IF(ISTEXT(Filmes_raw!C17), REGEXEXTRACT(Filmes_raw!C17,""[^,]+$""))"),FALSE)</f>
        <v>0</v>
      </c>
      <c r="D17" s="1" t="b">
        <f t="shared" si="1"/>
        <v>0</v>
      </c>
      <c r="E17" s="14">
        <f>IFERROR(__xludf.DUMMYFUNCTION("VALUE(IF(ISTEXT(D17), REGEXREPLACE(Filmes_raw!C17,""[^,]+$"",D17),Filmes_raw!C17))"),4.6836394E7)</f>
        <v>46836394</v>
      </c>
      <c r="F17" s="6">
        <f>IFERROR(__xludf.DUMMYFUNCTION("VALUE(REGEXEXTRACT(Filmes_raw!F17, ""[0-9]+""
))"),146.0)</f>
        <v>146</v>
      </c>
    </row>
    <row r="18">
      <c r="A18" s="1">
        <v>17.0</v>
      </c>
      <c r="B18" s="1" t="s">
        <v>143</v>
      </c>
      <c r="C18" s="13" t="b">
        <f>IFERROR(__xludf.DUMMYFUNCTION("IF(ISTEXT(Filmes_raw!C18), REGEXEXTRACT(Filmes_raw!C18,""[^,]+$""))"),FALSE)</f>
        <v>0</v>
      </c>
      <c r="D18" s="1" t="b">
        <f t="shared" si="1"/>
        <v>0</v>
      </c>
      <c r="E18" s="14">
        <f>IFERROR(__xludf.DUMMYFUNCTION("VALUE(IF(ISTEXT(D18), REGEXREPLACE(Filmes_raw!C18,""[^,]+$"",D18),Filmes_raw!C18))"),2.90475067E8)</f>
        <v>290475067</v>
      </c>
      <c r="F18" s="6">
        <f>IFERROR(__xludf.DUMMYFUNCTION("VALUE(REGEXEXTRACT(Filmes_raw!F18, ""[0-9]+""
))"),124.0)</f>
        <v>124</v>
      </c>
    </row>
    <row r="19">
      <c r="A19" s="1">
        <v>18.0</v>
      </c>
      <c r="B19" s="1" t="s">
        <v>152</v>
      </c>
      <c r="C19" s="13" t="b">
        <f>IFERROR(__xludf.DUMMYFUNCTION("IF(ISTEXT(Filmes_raw!C19), REGEXEXTRACT(Filmes_raw!C19,""[^,]+$""))"),FALSE)</f>
        <v>0</v>
      </c>
      <c r="D19" s="1" t="b">
        <f t="shared" si="1"/>
        <v>0</v>
      </c>
      <c r="E19" s="14">
        <f>IFERROR(__xludf.DUMMYFUNCTION("VALUE(IF(ISTEXT(D19), REGEXREPLACE(Filmes_raw!C19,""[^,]+$"",D19),Filmes_raw!C19))"),1.12E8)</f>
        <v>112000000</v>
      </c>
      <c r="F19" s="6">
        <f>IFERROR(__xludf.DUMMYFUNCTION("VALUE(REGEXEXTRACT(Filmes_raw!F19, ""[0-9]+""
))"),133.0)</f>
        <v>133</v>
      </c>
    </row>
    <row r="20">
      <c r="A20" s="1">
        <v>19.0</v>
      </c>
      <c r="B20" s="1" t="s">
        <v>160</v>
      </c>
      <c r="C20" s="13" t="b">
        <f>IFERROR(__xludf.DUMMYFUNCTION("IF(ISTEXT(Filmes_raw!C20), REGEXEXTRACT(Filmes_raw!C20,""[^,]+$""))"),FALSE)</f>
        <v>0</v>
      </c>
      <c r="D20" s="1" t="b">
        <f t="shared" si="1"/>
        <v>0</v>
      </c>
      <c r="E20" s="14">
        <f>IFERROR(__xludf.DUMMYFUNCTION("VALUE(IF(ISTEXT(D20), REGEXREPLACE(Filmes_raw!C20,""[^,]+$"",D20),Filmes_raw!C20))"),0.0)</f>
        <v>0</v>
      </c>
      <c r="F20" s="6">
        <f>IFERROR(__xludf.DUMMYFUNCTION("VALUE(REGEXEXTRACT(Filmes_raw!F20, ""[0-9]+""
))"),160.0)</f>
        <v>160</v>
      </c>
    </row>
    <row r="21">
      <c r="A21" s="1">
        <v>20.0</v>
      </c>
      <c r="B21" s="1" t="s">
        <v>169</v>
      </c>
      <c r="C21" s="13" t="b">
        <f>IFERROR(__xludf.DUMMYFUNCTION("IF(ISTEXT(Filmes_raw!C21), REGEXEXTRACT(Filmes_raw!C21,""[^,]+$""))"),FALSE)</f>
        <v>0</v>
      </c>
      <c r="D21" s="1" t="b">
        <f t="shared" si="1"/>
        <v>0</v>
      </c>
      <c r="E21" s="14">
        <f>IFERROR(__xludf.DUMMYFUNCTION("VALUE(IF(ISTEXT(D21), REGEXREPLACE(Filmes_raw!C21,""[^,]+$"",D21),Filmes_raw!C21))"),5.3367844E7)</f>
        <v>53367844</v>
      </c>
      <c r="F21" s="6">
        <f>IFERROR(__xludf.DUMMYFUNCTION("VALUE(REGEXEXTRACT(Filmes_raw!F21, ""[0-9]+""
))"),132.0)</f>
        <v>132</v>
      </c>
    </row>
    <row r="22">
      <c r="A22" s="1">
        <v>21.0</v>
      </c>
      <c r="B22" s="1" t="s">
        <v>178</v>
      </c>
      <c r="C22" s="13" t="b">
        <f>IFERROR(__xludf.DUMMYFUNCTION("IF(ISTEXT(Filmes_raw!C22), REGEXEXTRACT(Filmes_raw!C22,""[^,]+$""))"),FALSE)</f>
        <v>0</v>
      </c>
      <c r="D22" s="1" t="b">
        <f t="shared" si="1"/>
        <v>0</v>
      </c>
      <c r="E22" s="14">
        <f>IFERROR(__xludf.DUMMYFUNCTION("VALUE(IF(ISTEXT(D22), REGEXREPLACE(Filmes_raw!C22,""[^,]+$"",D22),Filmes_raw!C22))"),2024032.0)</f>
        <v>2024032</v>
      </c>
      <c r="F22" s="6">
        <f>IFERROR(__xludf.DUMMYFUNCTION("VALUE(REGEXEXTRACT(Filmes_raw!F22, ""[0-9]+""
))"),153.0)</f>
        <v>153</v>
      </c>
    </row>
    <row r="23">
      <c r="A23" s="1">
        <v>22.0</v>
      </c>
      <c r="B23" s="1" t="s">
        <v>186</v>
      </c>
      <c r="C23" s="13" t="b">
        <f>IFERROR(__xludf.DUMMYFUNCTION("IF(ISTEXT(Filmes_raw!C23), REGEXEXTRACT(Filmes_raw!C23,""[^,]+$""))"),FALSE)</f>
        <v>0</v>
      </c>
      <c r="D23" s="1" t="b">
        <f t="shared" si="1"/>
        <v>0</v>
      </c>
      <c r="E23" s="14">
        <f>IFERROR(__xludf.DUMMYFUNCTION("VALUE(IF(ISTEXT(D23), REGEXREPLACE(Filmes_raw!C23,""[^,]+$"",D23),Filmes_raw!C23))"),1.88020017E8)</f>
        <v>188020017</v>
      </c>
      <c r="F23" s="6">
        <f>IFERROR(__xludf.DUMMYFUNCTION("VALUE(REGEXEXTRACT(Filmes_raw!F23, ""[0-9]+""
))"),169.0)</f>
        <v>169</v>
      </c>
    </row>
    <row r="24">
      <c r="A24" s="1">
        <v>23.0</v>
      </c>
      <c r="B24" s="1" t="s">
        <v>194</v>
      </c>
      <c r="C24" s="13" t="b">
        <f>IFERROR(__xludf.DUMMYFUNCTION("IF(ISTEXT(Filmes_raw!C24), REGEXEXTRACT(Filmes_raw!C24,""[^,]+$""))"),FALSE)</f>
        <v>0</v>
      </c>
      <c r="D24" s="1" t="b">
        <f t="shared" si="1"/>
        <v>0</v>
      </c>
      <c r="E24" s="14">
        <f>IFERROR(__xludf.DUMMYFUNCTION("VALUE(IF(ISTEXT(D24), REGEXREPLACE(Filmes_raw!C24,""[^,]+$"",D24),Filmes_raw!C24))"),7563397.0)</f>
        <v>7563397</v>
      </c>
      <c r="F24" s="6">
        <f>IFERROR(__xludf.DUMMYFUNCTION("VALUE(REGEXEXTRACT(Filmes_raw!F24, ""[0-9]+""
))"),130.0)</f>
        <v>130</v>
      </c>
    </row>
    <row r="25">
      <c r="A25" s="1">
        <v>24.0</v>
      </c>
      <c r="B25" s="1" t="s">
        <v>202</v>
      </c>
      <c r="C25" s="13" t="b">
        <f>IFERROR(__xludf.DUMMYFUNCTION("IF(ISTEXT(Filmes_raw!C25), REGEXEXTRACT(Filmes_raw!C25,""[^,]+$""))"),FALSE)</f>
        <v>0</v>
      </c>
      <c r="D25" s="1" t="b">
        <f t="shared" si="1"/>
        <v>0</v>
      </c>
      <c r="E25" s="14">
        <f>IFERROR(__xludf.DUMMYFUNCTION("VALUE(IF(ISTEXT(D25), REGEXREPLACE(Filmes_raw!C25,""[^,]+$"",D25),Filmes_raw!C25))"),1.0055859E7)</f>
        <v>10055859</v>
      </c>
      <c r="F25" s="6">
        <f>IFERROR(__xludf.DUMMYFUNCTION("VALUE(REGEXEXTRACT(Filmes_raw!F25, ""[0-9]+""
))"),125.0)</f>
        <v>125</v>
      </c>
    </row>
    <row r="26">
      <c r="A26" s="1">
        <v>25.0</v>
      </c>
      <c r="B26" s="1" t="s">
        <v>211</v>
      </c>
      <c r="C26" s="13" t="b">
        <f>IFERROR(__xludf.DUMMYFUNCTION("IF(ISTEXT(Filmes_raw!C26), REGEXEXTRACT(Filmes_raw!C26,""[^,]+$""))"),FALSE)</f>
        <v>0</v>
      </c>
      <c r="D26" s="1" t="b">
        <f t="shared" si="1"/>
        <v>0</v>
      </c>
      <c r="E26" s="14">
        <f>IFERROR(__xludf.DUMMYFUNCTION("VALUE(IF(ISTEXT(D26), REGEXREPLACE(Filmes_raw!C26,""[^,]+$"",D26),Filmes_raw!C26))"),2.16540909E8)</f>
        <v>216540909</v>
      </c>
      <c r="F26" s="6">
        <f>IFERROR(__xludf.DUMMYFUNCTION("VALUE(REGEXEXTRACT(Filmes_raw!F26, ""[0-9]+""
))"),169.0)</f>
        <v>169</v>
      </c>
    </row>
    <row r="27">
      <c r="A27" s="1">
        <v>26.0</v>
      </c>
      <c r="B27" s="1" t="s">
        <v>218</v>
      </c>
      <c r="C27" s="13" t="b">
        <f>IFERROR(__xludf.DUMMYFUNCTION("IF(ISTEXT(Filmes_raw!C27), REGEXEXTRACT(Filmes_raw!C27,""[^,]+$""))"),FALSE)</f>
        <v>0</v>
      </c>
      <c r="D27" s="1" t="b">
        <f t="shared" si="1"/>
        <v>0</v>
      </c>
      <c r="E27" s="14">
        <f>IFERROR(__xludf.DUMMYFUNCTION("VALUE(IF(ISTEXT(D27), REGEXREPLACE(Filmes_raw!C27,""[^,]+$"",D27),Filmes_raw!C27))"),1.36801374E8)</f>
        <v>136801374</v>
      </c>
      <c r="F27" s="6">
        <f>IFERROR(__xludf.DUMMYFUNCTION("VALUE(REGEXEXTRACT(Filmes_raw!F27, ""[0-9]+""
))"),189.0)</f>
        <v>189</v>
      </c>
    </row>
    <row r="28">
      <c r="A28" s="1">
        <v>27.0</v>
      </c>
      <c r="B28" s="1" t="s">
        <v>225</v>
      </c>
      <c r="C28" s="13" t="b">
        <f>IFERROR(__xludf.DUMMYFUNCTION("IF(ISTEXT(Filmes_raw!C28), REGEXEXTRACT(Filmes_raw!C28,""[^,]+$""))"),FALSE)</f>
        <v>0</v>
      </c>
      <c r="D28" s="1" t="b">
        <f t="shared" si="1"/>
        <v>0</v>
      </c>
      <c r="E28" s="14">
        <f>IFERROR(__xludf.DUMMYFUNCTION("VALUE(IF(ISTEXT(D28), REGEXREPLACE(Filmes_raw!C28,""[^,]+$"",D28),Filmes_raw!C28))"),5.7598247E7)</f>
        <v>57598247</v>
      </c>
      <c r="F28" s="6">
        <f>IFERROR(__xludf.DUMMYFUNCTION("VALUE(REGEXEXTRACT(Filmes_raw!F28, ""[0-9]+""
))"),116.0)</f>
        <v>116</v>
      </c>
    </row>
    <row r="29">
      <c r="A29" s="1">
        <v>28.0</v>
      </c>
      <c r="B29" s="1" t="s">
        <v>233</v>
      </c>
      <c r="C29" s="13" t="b">
        <f>IFERROR(__xludf.DUMMYFUNCTION("IF(ISTEXT(Filmes_raw!C29), REGEXEXTRACT(Filmes_raw!C29,""[^,]+$""))"),FALSE)</f>
        <v>0</v>
      </c>
      <c r="D29" s="1" t="b">
        <f t="shared" si="1"/>
        <v>0</v>
      </c>
      <c r="E29" s="14">
        <f>IFERROR(__xludf.DUMMYFUNCTION("VALUE(IF(ISTEXT(D29), REGEXREPLACE(Filmes_raw!C29,""[^,]+$"",D29),Filmes_raw!C29))"),1.00125643E8)</f>
        <v>100125643</v>
      </c>
      <c r="F29" s="6">
        <f>IFERROR(__xludf.DUMMYFUNCTION("VALUE(REGEXEXTRACT(Filmes_raw!F29, ""[0-9]+""
))"),127.0)</f>
        <v>127</v>
      </c>
    </row>
    <row r="30">
      <c r="A30" s="1">
        <v>29.0</v>
      </c>
      <c r="B30" s="1" t="s">
        <v>239</v>
      </c>
      <c r="C30" s="13" t="b">
        <f>IFERROR(__xludf.DUMMYFUNCTION("IF(ISTEXT(Filmes_raw!C30), REGEXEXTRACT(Filmes_raw!C30,""[^,]+$""))"),FALSE)</f>
        <v>0</v>
      </c>
      <c r="D30" s="1" t="b">
        <f t="shared" si="1"/>
        <v>0</v>
      </c>
      <c r="E30" s="14">
        <f>IFERROR(__xludf.DUMMYFUNCTION("VALUE(IF(ISTEXT(D30), REGEXREPLACE(Filmes_raw!C30,""[^,]+$"",D30),Filmes_raw!C30))"),1.30742922E8)</f>
        <v>130742922</v>
      </c>
      <c r="F30" s="6">
        <f>IFERROR(__xludf.DUMMYFUNCTION("VALUE(REGEXEXTRACT(Filmes_raw!F30, ""[0-9]+""
))"),118.0)</f>
        <v>118</v>
      </c>
    </row>
    <row r="31">
      <c r="A31" s="1">
        <v>30.0</v>
      </c>
      <c r="B31" s="1" t="s">
        <v>248</v>
      </c>
      <c r="C31" s="13" t="b">
        <f>IFERROR(__xludf.DUMMYFUNCTION("IF(ISTEXT(Filmes_raw!C31), REGEXEXTRACT(Filmes_raw!C31,""[^,]+$""))"),FALSE)</f>
        <v>0</v>
      </c>
      <c r="D31" s="1" t="b">
        <f t="shared" si="1"/>
        <v>0</v>
      </c>
      <c r="E31" s="14">
        <f>IFERROR(__xludf.DUMMYFUNCTION("VALUE(IF(ISTEXT(D31), REGEXREPLACE(Filmes_raw!C31,""[^,]+$"",D31),Filmes_raw!C31))"),3.2274014E8)</f>
        <v>322740140</v>
      </c>
      <c r="F31" s="6">
        <f>IFERROR(__xludf.DUMMYFUNCTION("VALUE(REGEXEXTRACT(Filmes_raw!F31, ""[0-9]+""
))"),121.0)</f>
        <v>121</v>
      </c>
    </row>
    <row r="32">
      <c r="A32" s="1">
        <v>31.0</v>
      </c>
      <c r="B32" s="1" t="s">
        <v>253</v>
      </c>
      <c r="C32" s="13" t="b">
        <f>IFERROR(__xludf.DUMMYFUNCTION("IF(ISTEXT(Filmes_raw!C32), REGEXEXTRACT(Filmes_raw!C32,""[^,]+$""))"),FALSE)</f>
        <v>0</v>
      </c>
      <c r="D32" s="1" t="b">
        <f t="shared" si="1"/>
        <v>0</v>
      </c>
      <c r="E32" s="14">
        <f>IFERROR(__xludf.DUMMYFUNCTION("VALUE(IF(ISTEXT(D32), REGEXREPLACE(Filmes_raw!C32,""[^,]+$"",D32),Filmes_raw!C32))"),15222.0)</f>
        <v>15222</v>
      </c>
      <c r="F32" s="6">
        <f>IFERROR(__xludf.DUMMYFUNCTION("VALUE(REGEXEXTRACT(Filmes_raw!F32, ""[0-9]+""
))"),133.0)</f>
        <v>133</v>
      </c>
    </row>
    <row r="33">
      <c r="A33" s="1">
        <v>32.0</v>
      </c>
      <c r="B33" s="1" t="s">
        <v>261</v>
      </c>
      <c r="C33" s="13" t="b">
        <f>IFERROR(__xludf.DUMMYFUNCTION("IF(ISTEXT(Filmes_raw!C33), REGEXEXTRACT(Filmes_raw!C33,""[^,]+$""))"),FALSE)</f>
        <v>0</v>
      </c>
      <c r="D33" s="1" t="b">
        <f t="shared" si="1"/>
        <v>0</v>
      </c>
      <c r="E33" s="14">
        <f>IFERROR(__xludf.DUMMYFUNCTION("VALUE(IF(ISTEXT(D33), REGEXREPLACE(Filmes_raw!C33,""[^,]+$"",D33),Filmes_raw!C33))"),269061.0)</f>
        <v>269061</v>
      </c>
      <c r="F33" s="6">
        <f>IFERROR(__xludf.DUMMYFUNCTION("VALUE(REGEXEXTRACT(Filmes_raw!F33, ""[0-9]+""
))"),207.0)</f>
        <v>207</v>
      </c>
    </row>
    <row r="34">
      <c r="A34" s="1">
        <v>33.0</v>
      </c>
      <c r="B34" s="1" t="s">
        <v>269</v>
      </c>
      <c r="C34" s="13" t="b">
        <f>IFERROR(__xludf.DUMMYFUNCTION("IF(ISTEXT(Filmes_raw!C34), REGEXEXTRACT(Filmes_raw!C34,""[^,]+$""))"),FALSE)</f>
        <v>0</v>
      </c>
      <c r="D34" s="1" t="b">
        <f t="shared" si="1"/>
        <v>0</v>
      </c>
      <c r="E34" s="14">
        <f>IFERROR(__xludf.DUMMYFUNCTION("VALUE(IF(ISTEXT(D34), REGEXREPLACE(Filmes_raw!C34,""[^,]+$"",D34),Filmes_raw!C34))"),44000.0)</f>
        <v>44000</v>
      </c>
      <c r="F34" s="6">
        <f>IFERROR(__xludf.DUMMYFUNCTION("VALUE(REGEXEXTRACT(Filmes_raw!F34, ""[0-9]+""
))"),130.0)</f>
        <v>130</v>
      </c>
    </row>
    <row r="35">
      <c r="A35" s="1">
        <v>34.0</v>
      </c>
      <c r="B35" s="1" t="s">
        <v>278</v>
      </c>
      <c r="C35" s="13" t="b">
        <f>IFERROR(__xludf.DUMMYFUNCTION("IF(ISTEXT(Filmes_raw!C35), REGEXEXTRACT(Filmes_raw!C35,""[^,]+$""))"),FALSE)</f>
        <v>0</v>
      </c>
      <c r="D35" s="1" t="b">
        <f t="shared" si="1"/>
        <v>0</v>
      </c>
      <c r="E35" s="14">
        <f>IFERROR(__xludf.DUMMYFUNCTION("VALUE(IF(ISTEXT(D35), REGEXREPLACE(Filmes_raw!C35,""[^,]+$"",D35),Filmes_raw!C35))"),3.35451311E8)</f>
        <v>335451311</v>
      </c>
      <c r="F35" s="6">
        <f>IFERROR(__xludf.DUMMYFUNCTION("VALUE(REGEXEXTRACT(Filmes_raw!F35, ""[0-9]+""
))"),122.0)</f>
        <v>122</v>
      </c>
    </row>
    <row r="36">
      <c r="A36" s="1">
        <v>35.0</v>
      </c>
      <c r="B36" s="1" t="s">
        <v>285</v>
      </c>
      <c r="C36" s="13" t="b">
        <f>IFERROR(__xludf.DUMMYFUNCTION("IF(ISTEXT(Filmes_raw!C36), REGEXEXTRACT(Filmes_raw!C36,""[^,]+$""))"),FALSE)</f>
        <v>0</v>
      </c>
      <c r="D36" s="1" t="b">
        <f t="shared" si="1"/>
        <v>0</v>
      </c>
      <c r="E36" s="14">
        <f>IFERROR(__xludf.DUMMYFUNCTION("VALUE(IF(ISTEXT(D36), REGEXREPLACE(Filmes_raw!C36,""[^,]+$"",D36),Filmes_raw!C36))"),1.3092E7)</f>
        <v>13092000</v>
      </c>
      <c r="F36" s="6">
        <f>IFERROR(__xludf.DUMMYFUNCTION("VALUE(REGEXEXTRACT(Filmes_raw!F36, ""[0-9]+""
))"),106.0)</f>
        <v>106</v>
      </c>
    </row>
    <row r="37">
      <c r="A37" s="1">
        <v>36.0</v>
      </c>
      <c r="B37" s="1" t="s">
        <v>294</v>
      </c>
      <c r="C37" s="13" t="b">
        <f>IFERROR(__xludf.DUMMYFUNCTION("IF(ISTEXT(Filmes_raw!C37), REGEXEXTRACT(Filmes_raw!C37,""[^,]+$""))"),FALSE)</f>
        <v>0</v>
      </c>
      <c r="D37" s="1" t="b">
        <f t="shared" si="1"/>
        <v>0</v>
      </c>
      <c r="E37" s="14">
        <f>IFERROR(__xludf.DUMMYFUNCTION("VALUE(IF(ISTEXT(D37), REGEXREPLACE(Filmes_raw!C37,""[^,]+$"",D37),Filmes_raw!C37))"),1.3182281E7)</f>
        <v>13182281</v>
      </c>
      <c r="F37" s="6">
        <f>IFERROR(__xludf.DUMMYFUNCTION("VALUE(REGEXEXTRACT(Filmes_raw!F37, ""[0-9]+""
))"),112.0)</f>
        <v>112</v>
      </c>
    </row>
    <row r="38">
      <c r="A38" s="1">
        <v>37.0</v>
      </c>
      <c r="B38" s="1" t="s">
        <v>303</v>
      </c>
      <c r="C38" s="13" t="b">
        <f>IFERROR(__xludf.DUMMYFUNCTION("IF(ISTEXT(Filmes_raw!C38), REGEXEXTRACT(Filmes_raw!C38,""[^,]+$""))"),FALSE)</f>
        <v>0</v>
      </c>
      <c r="D38" s="1" t="b">
        <f t="shared" si="1"/>
        <v>0</v>
      </c>
      <c r="E38" s="14">
        <f>IFERROR(__xludf.DUMMYFUNCTION("VALUE(IF(ISTEXT(D38), REGEXREPLACE(Filmes_raw!C38,""[^,]+$"",D38),Filmes_raw!C38))"),5.3089891E7)</f>
        <v>53089891</v>
      </c>
      <c r="F38" s="6">
        <f>IFERROR(__xludf.DUMMYFUNCTION("VALUE(REGEXEXTRACT(Filmes_raw!F38, ""[0-9]+""
))"),130.0)</f>
        <v>130</v>
      </c>
    </row>
    <row r="39">
      <c r="A39" s="1">
        <v>38.0</v>
      </c>
      <c r="B39" s="1" t="s">
        <v>308</v>
      </c>
      <c r="C39" s="13" t="b">
        <f>IFERROR(__xludf.DUMMYFUNCTION("IF(ISTEXT(Filmes_raw!C39), REGEXEXTRACT(Filmes_raw!C39,""[^,]+$""))"),FALSE)</f>
        <v>0</v>
      </c>
      <c r="D39" s="1" t="b">
        <f t="shared" si="1"/>
        <v>0</v>
      </c>
      <c r="E39" s="14">
        <f>IFERROR(__xludf.DUMMYFUNCTION("VALUE(IF(ISTEXT(D39), REGEXREPLACE(Filmes_raw!C39,""[^,]+$"",D39),Filmes_raw!C39))"),1.32384315E8)</f>
        <v>132384315</v>
      </c>
      <c r="F39" s="6">
        <f>IFERROR(__xludf.DUMMYFUNCTION("VALUE(REGEXEXTRACT(Filmes_raw!F39, ""[0-9]+""
))"),151.0)</f>
        <v>151</v>
      </c>
    </row>
    <row r="40">
      <c r="A40" s="1">
        <v>39.0</v>
      </c>
      <c r="B40" s="1" t="s">
        <v>312</v>
      </c>
      <c r="C40" s="13" t="b">
        <f>IFERROR(__xludf.DUMMYFUNCTION("IF(ISTEXT(Filmes_raw!C40), REGEXEXTRACT(Filmes_raw!C40,""[^,]+$""))"),FALSE)</f>
        <v>0</v>
      </c>
      <c r="D40" s="1" t="b">
        <f t="shared" si="1"/>
        <v>0</v>
      </c>
      <c r="E40" s="14">
        <f>IFERROR(__xludf.DUMMYFUNCTION("VALUE(IF(ISTEXT(D40), REGEXREPLACE(Filmes_raw!C40,""[^,]+$"",D40),Filmes_raw!C40))"),3.2572577E7)</f>
        <v>32572577</v>
      </c>
      <c r="F40" s="6">
        <f>IFERROR(__xludf.DUMMYFUNCTION("VALUE(REGEXEXTRACT(Filmes_raw!F40, ""[0-9]+""
))"),150.0)</f>
        <v>150</v>
      </c>
    </row>
    <row r="41">
      <c r="A41" s="1">
        <v>40.0</v>
      </c>
      <c r="B41" s="1" t="s">
        <v>321</v>
      </c>
      <c r="C41" s="13" t="b">
        <f>IFERROR(__xludf.DUMMYFUNCTION("IF(ISTEXT(Filmes_raw!C41), REGEXEXTRACT(Filmes_raw!C41,""[^,]+$""))"),FALSE)</f>
        <v>0</v>
      </c>
      <c r="D41" s="1" t="b">
        <f t="shared" si="1"/>
        <v>0</v>
      </c>
      <c r="E41" s="14">
        <f>IFERROR(__xludf.DUMMYFUNCTION("VALUE(IF(ISTEXT(D41), REGEXREPLACE(Filmes_raw!C41,""[^,]+$"",D41),Filmes_raw!C41))"),1.87705427E8)</f>
        <v>187705427</v>
      </c>
      <c r="F41" s="6">
        <f>IFERROR(__xludf.DUMMYFUNCTION("VALUE(REGEXEXTRACT(Filmes_raw!F41, ""[0-9]+""
))"),155.0)</f>
        <v>155</v>
      </c>
    </row>
    <row r="42">
      <c r="A42" s="1">
        <v>41.0</v>
      </c>
      <c r="B42" s="1" t="s">
        <v>328</v>
      </c>
      <c r="C42" s="13" t="b">
        <f>IFERROR(__xludf.DUMMYFUNCTION("IF(ISTEXT(Filmes_raw!C42), REGEXEXTRACT(Filmes_raw!C42,""[^,]+$""))"),FALSE)</f>
        <v>0</v>
      </c>
      <c r="D42" s="1" t="b">
        <f t="shared" si="1"/>
        <v>0</v>
      </c>
      <c r="E42" s="14">
        <f>IFERROR(__xludf.DUMMYFUNCTION("VALUE(IF(ISTEXT(D42), REGEXREPLACE(Filmes_raw!C42,""[^,]+$"",D42),Filmes_raw!C42))"),6719864.0)</f>
        <v>6719864</v>
      </c>
      <c r="F42" s="6">
        <f>IFERROR(__xludf.DUMMYFUNCTION("VALUE(REGEXEXTRACT(Filmes_raw!F42, ""[0-9]+""
))"),119.0)</f>
        <v>119</v>
      </c>
    </row>
    <row r="43">
      <c r="A43" s="1">
        <v>42.0</v>
      </c>
      <c r="B43" s="1" t="s">
        <v>335</v>
      </c>
      <c r="C43" s="13" t="b">
        <f>IFERROR(__xludf.DUMMYFUNCTION("IF(ISTEXT(Filmes_raw!C43), REGEXEXTRACT(Filmes_raw!C43,""[^,]+$""))"),FALSE)</f>
        <v>0</v>
      </c>
      <c r="D43" s="1" t="b">
        <f t="shared" si="1"/>
        <v>0</v>
      </c>
      <c r="E43" s="14">
        <f>IFERROR(__xludf.DUMMYFUNCTION("VALUE(IF(ISTEXT(D43), REGEXREPLACE(Filmes_raw!C43,""[^,]+$"",D43),Filmes_raw!C43))"),2.3341568E7)</f>
        <v>23341568</v>
      </c>
      <c r="F43" s="6">
        <f>IFERROR(__xludf.DUMMYFUNCTION("VALUE(REGEXEXTRACT(Filmes_raw!F43, ""[0-9]+""
))"),106.0)</f>
        <v>106</v>
      </c>
    </row>
    <row r="44">
      <c r="A44" s="1">
        <v>43.0</v>
      </c>
      <c r="B44" s="1" t="s">
        <v>342</v>
      </c>
      <c r="C44" s="13" t="b">
        <f>IFERROR(__xludf.DUMMYFUNCTION("IF(ISTEXT(Filmes_raw!C44), REGEXEXTRACT(Filmes_raw!C44,""[^,]+$""))"),FALSE)</f>
        <v>0</v>
      </c>
      <c r="D44" s="1" t="b">
        <f t="shared" si="1"/>
        <v>0</v>
      </c>
      <c r="E44" s="14">
        <f>IFERROR(__xludf.DUMMYFUNCTION("VALUE(IF(ISTEXT(D44), REGEXREPLACE(Filmes_raw!C44,""[^,]+$"",D44),Filmes_raw!C44))"),1.9501238E7)</f>
        <v>19501238</v>
      </c>
      <c r="F44" s="6">
        <f>IFERROR(__xludf.DUMMYFUNCTION("VALUE(REGEXEXTRACT(Filmes_raw!F44, ""[0-9]+""
))"),110.0)</f>
        <v>110</v>
      </c>
    </row>
    <row r="45">
      <c r="A45" s="1">
        <v>44.0</v>
      </c>
      <c r="B45" s="1" t="s">
        <v>350</v>
      </c>
      <c r="C45" s="13" t="b">
        <f>IFERROR(__xludf.DUMMYFUNCTION("IF(ISTEXT(Filmes_raw!C45), REGEXEXTRACT(Filmes_raw!C45,""[^,]+$""))"),FALSE)</f>
        <v>0</v>
      </c>
      <c r="D45" s="1" t="b">
        <f t="shared" si="1"/>
        <v>0</v>
      </c>
      <c r="E45" s="14">
        <f>IFERROR(__xludf.DUMMYFUNCTION("VALUE(IF(ISTEXT(D45), REGEXREPLACE(Filmes_raw!C45,""[^,]+$"",D45),Filmes_raw!C45))"),4.22783777E8)</f>
        <v>422783777</v>
      </c>
      <c r="F45" s="6">
        <f>IFERROR(__xludf.DUMMYFUNCTION("VALUE(REGEXEXTRACT(Filmes_raw!F45, ""[0-9]+""
))"),88.0)</f>
        <v>88</v>
      </c>
    </row>
    <row r="46">
      <c r="A46" s="1">
        <v>45.0</v>
      </c>
      <c r="B46" s="1" t="s">
        <v>359</v>
      </c>
      <c r="C46" s="13" t="b">
        <f>IFERROR(__xludf.DUMMYFUNCTION("IF(ISTEXT(Filmes_raw!C46), REGEXEXTRACT(Filmes_raw!C46,""[^,]+$""))"),FALSE)</f>
        <v>0</v>
      </c>
      <c r="D46" s="1" t="b">
        <f t="shared" si="1"/>
        <v>0</v>
      </c>
      <c r="E46" s="14">
        <f>IFERROR(__xludf.DUMMYFUNCTION("VALUE(IF(ISTEXT(D46), REGEXREPLACE(Filmes_raw!C46,""[^,]+$"",D46),Filmes_raw!C46))"),2.0484335E8)</f>
        <v>204843350</v>
      </c>
      <c r="F46" s="6">
        <f>IFERROR(__xludf.DUMMYFUNCTION("VALUE(REGEXEXTRACT(Filmes_raw!F46, ""[0-9]+""
))"),137.0)</f>
        <v>137</v>
      </c>
    </row>
    <row r="47">
      <c r="A47" s="1">
        <v>46.0</v>
      </c>
      <c r="B47" s="1" t="s">
        <v>366</v>
      </c>
      <c r="C47" s="13" t="b">
        <f>IFERROR(__xludf.DUMMYFUNCTION("IF(ISTEXT(Filmes_raw!C47), REGEXEXTRACT(Filmes_raw!C47,""[^,]+$""))"),FALSE)</f>
        <v>0</v>
      </c>
      <c r="D47" s="1" t="b">
        <f t="shared" si="1"/>
        <v>0</v>
      </c>
      <c r="E47" s="14">
        <f>IFERROR(__xludf.DUMMYFUNCTION("VALUE(IF(ISTEXT(D47), REGEXREPLACE(Filmes_raw!C47,""[^,]+$"",D47),Filmes_raw!C47))"),1.1990401E7)</f>
        <v>11990401</v>
      </c>
      <c r="F47" s="6">
        <f>IFERROR(__xludf.DUMMYFUNCTION("VALUE(REGEXEXTRACT(Filmes_raw!F47, ""[0-9]+""
))"),155.0)</f>
        <v>155</v>
      </c>
    </row>
    <row r="48">
      <c r="A48" s="1">
        <v>47.0</v>
      </c>
      <c r="B48" s="1" t="s">
        <v>373</v>
      </c>
      <c r="C48" s="13" t="b">
        <f>IFERROR(__xludf.DUMMYFUNCTION("IF(ISTEXT(Filmes_raw!C48), REGEXEXTRACT(Filmes_raw!C48,""[^,]+$""))"),FALSE)</f>
        <v>0</v>
      </c>
      <c r="D48" s="1" t="b">
        <f t="shared" si="1"/>
        <v>0</v>
      </c>
      <c r="E48" s="14">
        <f>IFERROR(__xludf.DUMMYFUNCTION("VALUE(IF(ISTEXT(D48), REGEXREPLACE(Filmes_raw!C48,""[^,]+$"",D48),Filmes_raw!C48))"),516962.0)</f>
        <v>516962</v>
      </c>
      <c r="F48" s="6">
        <f>IFERROR(__xludf.DUMMYFUNCTION("VALUE(REGEXEXTRACT(Filmes_raw!F48, ""[0-9]+""
))"),89.0)</f>
        <v>89</v>
      </c>
    </row>
    <row r="49">
      <c r="A49" s="1">
        <v>48.0</v>
      </c>
      <c r="B49" s="1" t="s">
        <v>382</v>
      </c>
      <c r="C49" s="13" t="b">
        <f>IFERROR(__xludf.DUMMYFUNCTION("IF(ISTEXT(Filmes_raw!C49), REGEXEXTRACT(Filmes_raw!C49,""[^,]+$""))"),FALSE)</f>
        <v>0</v>
      </c>
      <c r="D49" s="1" t="b">
        <f t="shared" si="1"/>
        <v>0</v>
      </c>
      <c r="E49" s="14">
        <f>IFERROR(__xludf.DUMMYFUNCTION("VALUE(IF(ISTEXT(D49), REGEXREPLACE(Filmes_raw!C49,""[^,]+$"",D49),Filmes_raw!C49))"),2.10609762E8)</f>
        <v>210609762</v>
      </c>
      <c r="F49" s="6">
        <f>IFERROR(__xludf.DUMMYFUNCTION("VALUE(REGEXEXTRACT(Filmes_raw!F49, ""[0-9]+""
))"),116.0)</f>
        <v>116</v>
      </c>
    </row>
    <row r="50">
      <c r="A50" s="1">
        <v>49.0</v>
      </c>
      <c r="B50" s="1" t="s">
        <v>389</v>
      </c>
      <c r="C50" s="13" t="b">
        <f>IFERROR(__xludf.DUMMYFUNCTION("IF(ISTEXT(Filmes_raw!C50), REGEXEXTRACT(Filmes_raw!C50,""[^,]+$""))"),FALSE)</f>
        <v>0</v>
      </c>
      <c r="D50" s="1" t="b">
        <f t="shared" si="1"/>
        <v>0</v>
      </c>
      <c r="E50" s="14">
        <f>IFERROR(__xludf.DUMMYFUNCTION("VALUE(IF(ISTEXT(D50), REGEXREPLACE(Filmes_raw!C50,""[^,]+$"",D50),Filmes_raw!C50))"),5321508.0)</f>
        <v>5321508</v>
      </c>
      <c r="F50" s="6">
        <f>IFERROR(__xludf.DUMMYFUNCTION("VALUE(REGEXEXTRACT(Filmes_raw!F50, ""[0-9]+""
))"),165.0)</f>
        <v>165</v>
      </c>
    </row>
    <row r="51">
      <c r="A51" s="1">
        <v>50.0</v>
      </c>
      <c r="B51" s="1" t="s">
        <v>395</v>
      </c>
      <c r="C51" s="13" t="b">
        <f>IFERROR(__xludf.DUMMYFUNCTION("IF(ISTEXT(Filmes_raw!C51), REGEXEXTRACT(Filmes_raw!C51,""[^,]+$""))"),FALSE)</f>
        <v>0</v>
      </c>
      <c r="D51" s="1" t="b">
        <f t="shared" si="1"/>
        <v>0</v>
      </c>
      <c r="E51" s="14">
        <f>IFERROR(__xludf.DUMMYFUNCTION("VALUE(IF(ISTEXT(D51), REGEXREPLACE(Filmes_raw!C51,""[^,]+$"",D51),Filmes_raw!C51))"),3.2E7)</f>
        <v>32000000</v>
      </c>
      <c r="F51" s="6">
        <f>IFERROR(__xludf.DUMMYFUNCTION("VALUE(REGEXEXTRACT(Filmes_raw!F51, ""[0-9]+""
))"),109.0)</f>
        <v>109</v>
      </c>
    </row>
    <row r="52">
      <c r="A52" s="1">
        <v>51.0</v>
      </c>
      <c r="B52" s="1" t="s">
        <v>404</v>
      </c>
      <c r="C52" s="13" t="b">
        <f>IFERROR(__xludf.DUMMYFUNCTION("IF(ISTEXT(Filmes_raw!C52), REGEXEXTRACT(Filmes_raw!C52,""[^,]+$""))"),FALSE)</f>
        <v>0</v>
      </c>
      <c r="D52" s="1" t="b">
        <f t="shared" si="1"/>
        <v>0</v>
      </c>
      <c r="E52" s="14">
        <f>IFERROR(__xludf.DUMMYFUNCTION("VALUE(IF(ISTEXT(D52), REGEXREPLACE(Filmes_raw!C52,""[^,]+$"",D52),Filmes_raw!C52))"),1024560.0)</f>
        <v>1024560</v>
      </c>
      <c r="F52" s="6">
        <f>IFERROR(__xludf.DUMMYFUNCTION("VALUE(REGEXEXTRACT(Filmes_raw!F52, ""[0-9]+""
))"),102.0)</f>
        <v>102</v>
      </c>
    </row>
    <row r="53">
      <c r="A53" s="1">
        <v>52.0</v>
      </c>
      <c r="B53" s="1" t="s">
        <v>413</v>
      </c>
      <c r="C53" s="13" t="b">
        <f>IFERROR(__xludf.DUMMYFUNCTION("IF(ISTEXT(Filmes_raw!C53), REGEXEXTRACT(Filmes_raw!C53,""[^,]+$""))"),FALSE)</f>
        <v>0</v>
      </c>
      <c r="D53" s="1" t="b">
        <f t="shared" si="1"/>
        <v>0</v>
      </c>
      <c r="E53" s="14">
        <f>IFERROR(__xludf.DUMMYFUNCTION("VALUE(IF(ISTEXT(D53), REGEXREPLACE(Filmes_raw!C53,""[^,]+$"",D53),Filmes_raw!C53))"),163245.0)</f>
        <v>163245</v>
      </c>
      <c r="F53" s="6">
        <f>IFERROR(__xludf.DUMMYFUNCTION("VALUE(REGEXEXTRACT(Filmes_raw!F53, ""[0-9]+""
))"),87.0)</f>
        <v>87</v>
      </c>
    </row>
    <row r="54">
      <c r="A54" s="1">
        <v>53.0</v>
      </c>
      <c r="B54" s="1" t="s">
        <v>422</v>
      </c>
      <c r="C54" s="13" t="b">
        <f>IFERROR(__xludf.DUMMYFUNCTION("IF(ISTEXT(Filmes_raw!C54), REGEXEXTRACT(Filmes_raw!C54,""[^,]+$""))"),FALSE)</f>
        <v>0</v>
      </c>
      <c r="D54" s="1" t="b">
        <f t="shared" si="1"/>
        <v>0</v>
      </c>
      <c r="E54" s="14">
        <f>IFERROR(__xludf.DUMMYFUNCTION("VALUE(IF(ISTEXT(D54), REGEXREPLACE(Filmes_raw!C54,""[^,]+$"",D54),Filmes_raw!C54))"),47017.0)</f>
        <v>47017</v>
      </c>
      <c r="F54" s="6">
        <f>IFERROR(__xludf.DUMMYFUNCTION("VALUE(REGEXEXTRACT(Filmes_raw!F54, ""[0-9]+""
))"),87.0)</f>
        <v>87</v>
      </c>
    </row>
    <row r="55">
      <c r="A55" s="1">
        <v>54.0</v>
      </c>
      <c r="B55" s="1" t="s">
        <v>427</v>
      </c>
      <c r="C55" s="13" t="b">
        <f>IFERROR(__xludf.DUMMYFUNCTION("IF(ISTEXT(Filmes_raw!C55), REGEXEXTRACT(Filmes_raw!C55,""[^,]+$""))"),FALSE)</f>
        <v>0</v>
      </c>
      <c r="D55" s="1" t="b">
        <f t="shared" si="1"/>
        <v>0</v>
      </c>
      <c r="E55" s="14">
        <f>IFERROR(__xludf.DUMMYFUNCTION("VALUE(IF(ISTEXT(D55), REGEXREPLACE(Filmes_raw!C55,""[^,]+$"",D55),Filmes_raw!C55))"),1661096.0)</f>
        <v>1661096</v>
      </c>
      <c r="F55" s="6">
        <f>IFERROR(__xludf.DUMMYFUNCTION("VALUE(REGEXEXTRACT(Filmes_raw!F55, ""[0-9]+""
))"),126.0)</f>
        <v>126</v>
      </c>
    </row>
    <row r="56">
      <c r="A56" s="1">
        <v>55.0</v>
      </c>
      <c r="B56" s="1" t="s">
        <v>435</v>
      </c>
      <c r="C56" s="13" t="b">
        <f>IFERROR(__xludf.DUMMYFUNCTION("IF(ISTEXT(Filmes_raw!C56), REGEXEXTRACT(Filmes_raw!C56,""[^,]+$""))"),FALSE)</f>
        <v>0</v>
      </c>
      <c r="D56" s="1" t="b">
        <f t="shared" si="1"/>
        <v>0</v>
      </c>
      <c r="E56" s="14">
        <f>IFERROR(__xludf.DUMMYFUNCTION("VALUE(IF(ISTEXT(D56), REGEXREPLACE(Filmes_raw!C56,""[^,]+$"",D56),Filmes_raw!C56))"),946947.0)</f>
        <v>946947</v>
      </c>
      <c r="F56" s="6">
        <f>IFERROR(__xludf.DUMMYFUNCTION("VALUE(REGEXEXTRACT(Filmes_raw!F56, ""[0-9]+""
))"),125.0)</f>
        <v>125</v>
      </c>
    </row>
    <row r="57">
      <c r="A57" s="1">
        <v>56.0</v>
      </c>
      <c r="B57" s="1" t="s">
        <v>442</v>
      </c>
      <c r="C57" s="13" t="b">
        <f>IFERROR(__xludf.DUMMYFUNCTION("IF(ISTEXT(Filmes_raw!C57), REGEXEXTRACT(Filmes_raw!C57,""[^,]+$""))"),FALSE)</f>
        <v>0</v>
      </c>
      <c r="D57" s="1" t="b">
        <f t="shared" si="1"/>
        <v>0</v>
      </c>
      <c r="E57" s="14">
        <f>IFERROR(__xludf.DUMMYFUNCTION("VALUE(IF(ISTEXT(D57), REGEXREPLACE(Filmes_raw!C57,""[^,]+$"",D57),Filmes_raw!C57))"),546792.0)</f>
        <v>546792</v>
      </c>
      <c r="F57" s="6">
        <f>IFERROR(__xludf.DUMMYFUNCTION("VALUE(REGEXEXTRACT(Filmes_raw!F57, ""[0-9]+""
))"),147.0)</f>
        <v>147</v>
      </c>
    </row>
    <row r="58">
      <c r="A58" s="1">
        <v>57.0</v>
      </c>
      <c r="B58" s="1" t="s">
        <v>449</v>
      </c>
      <c r="C58" s="13" t="b">
        <f>IFERROR(__xludf.DUMMYFUNCTION("IF(ISTEXT(Filmes_raw!C58), REGEXEXTRACT(Filmes_raw!C58,""[^,]+$""))"),FALSE)</f>
        <v>0</v>
      </c>
      <c r="D58" s="1" t="b">
        <f t="shared" si="1"/>
        <v>0</v>
      </c>
      <c r="E58" s="14">
        <f>IFERROR(__xludf.DUMMYFUNCTION("VALUE(IF(ISTEXT(D58), REGEXREPLACE(Filmes_raw!C58,""[^,]+$"",D58),Filmes_raw!C58))"),5017246.0)</f>
        <v>5017246</v>
      </c>
      <c r="F58" s="6">
        <f>IFERROR(__xludf.DUMMYFUNCTION("VALUE(REGEXEXTRACT(Filmes_raw!F58, ""[0-9]+""
))"),106.0)</f>
        <v>106</v>
      </c>
    </row>
    <row r="59">
      <c r="A59" s="1">
        <v>58.0</v>
      </c>
      <c r="B59" s="1" t="s">
        <v>457</v>
      </c>
      <c r="C59" s="13" t="b">
        <f>IFERROR(__xludf.DUMMYFUNCTION("IF(ISTEXT(Filmes_raw!C59), REGEXEXTRACT(Filmes_raw!C59,""[^,]+$""))"),FALSE)</f>
        <v>0</v>
      </c>
      <c r="D59" s="1" t="b">
        <f t="shared" si="1"/>
        <v>0</v>
      </c>
      <c r="E59" s="14">
        <f>IFERROR(__xludf.DUMMYFUNCTION("VALUE(IF(ISTEXT(D59), REGEXREPLACE(Filmes_raw!C59,""[^,]+$"",D59),Filmes_raw!C59))"),1.2391761E7)</f>
        <v>12391761</v>
      </c>
      <c r="F59" s="6">
        <f>IFERROR(__xludf.DUMMYFUNCTION("VALUE(REGEXEXTRACT(Filmes_raw!F59, ""[0-9]+""
))"),161.0)</f>
        <v>161</v>
      </c>
    </row>
    <row r="60">
      <c r="A60" s="1">
        <v>59.0</v>
      </c>
      <c r="B60" s="1" t="s">
        <v>465</v>
      </c>
      <c r="C60" s="13" t="b">
        <f>IFERROR(__xludf.DUMMYFUNCTION("IF(ISTEXT(Filmes_raw!C60), REGEXEXTRACT(Filmes_raw!C60,""[^,]+$""))"),FALSE)</f>
        <v>0</v>
      </c>
      <c r="D60" s="1" t="b">
        <f t="shared" si="1"/>
        <v>0</v>
      </c>
      <c r="E60" s="14">
        <f>IFERROR(__xludf.DUMMYFUNCTION("VALUE(IF(ISTEXT(D60), REGEXREPLACE(Filmes_raw!C60,""[^,]+$"",D60),Filmes_raw!C60))"),1.9024131E8)</f>
        <v>190241310</v>
      </c>
      <c r="F60" s="6">
        <f>IFERROR(__xludf.DUMMYFUNCTION("VALUE(REGEXEXTRACT(Filmes_raw!F60, ""[0-9]+""
))"),117.0)</f>
        <v>117</v>
      </c>
    </row>
    <row r="61">
      <c r="A61" s="1">
        <v>60.0</v>
      </c>
      <c r="B61" s="1" t="s">
        <v>474</v>
      </c>
      <c r="C61" s="13" t="b">
        <f>IFERROR(__xludf.DUMMYFUNCTION("IF(ISTEXT(Filmes_raw!C61), REGEXEXTRACT(Filmes_raw!C61,""[^,]+$""))"),FALSE)</f>
        <v>0</v>
      </c>
      <c r="D61" s="1" t="b">
        <f t="shared" si="1"/>
        <v>0</v>
      </c>
      <c r="E61" s="14">
        <f>IFERROR(__xludf.DUMMYFUNCTION("VALUE(IF(ISTEXT(D61), REGEXREPLACE(Filmes_raw!C61,""[^,]+$"",D61),Filmes_raw!C61))"),8.58373E8)</f>
        <v>858373000</v>
      </c>
      <c r="F61" s="6">
        <f>IFERROR(__xludf.DUMMYFUNCTION("VALUE(REGEXEXTRACT(Filmes_raw!F61, ""[0-9]+""
))"),181.0)</f>
        <v>181</v>
      </c>
    </row>
    <row r="62">
      <c r="A62" s="1">
        <v>61.0</v>
      </c>
      <c r="B62" s="1" t="s">
        <v>482</v>
      </c>
      <c r="C62" s="13" t="b">
        <f>IFERROR(__xludf.DUMMYFUNCTION("IF(ISTEXT(Filmes_raw!C62), REGEXEXTRACT(Filmes_raw!C62,""[^,]+$""))"),FALSE)</f>
        <v>0</v>
      </c>
      <c r="D62" s="1" t="b">
        <f t="shared" si="1"/>
        <v>0</v>
      </c>
      <c r="E62" s="14">
        <f>IFERROR(__xludf.DUMMYFUNCTION("VALUE(IF(ISTEXT(D62), REGEXREPLACE(Filmes_raw!C62,""[^,]+$"",D62),Filmes_raw!C62))"),6.78815482E8)</f>
        <v>678815482</v>
      </c>
      <c r="F62" s="6">
        <f>IFERROR(__xludf.DUMMYFUNCTION("VALUE(REGEXEXTRACT(Filmes_raw!F62, ""[0-9]+""
))"),149.0)</f>
        <v>149</v>
      </c>
    </row>
    <row r="63">
      <c r="A63" s="1">
        <v>62.0</v>
      </c>
      <c r="B63" s="1" t="s">
        <v>486</v>
      </c>
      <c r="C63" s="13" t="b">
        <f>IFERROR(__xludf.DUMMYFUNCTION("IF(ISTEXT(Filmes_raw!C63), REGEXEXTRACT(Filmes_raw!C63,""[^,]+$""))"),FALSE)</f>
        <v>0</v>
      </c>
      <c r="D63" s="1" t="b">
        <f t="shared" si="1"/>
        <v>0</v>
      </c>
      <c r="E63" s="14">
        <f>IFERROR(__xludf.DUMMYFUNCTION("VALUE(IF(ISTEXT(D63), REGEXREPLACE(Filmes_raw!C63,""[^,]+$"",D63),Filmes_raw!C63))"),2.09726015E8)</f>
        <v>209726015</v>
      </c>
      <c r="F63" s="6">
        <f>IFERROR(__xludf.DUMMYFUNCTION("VALUE(REGEXEXTRACT(Filmes_raw!F63, ""[0-9]+""
))"),105.0)</f>
        <v>105</v>
      </c>
    </row>
    <row r="64">
      <c r="A64" s="1">
        <v>63.0</v>
      </c>
      <c r="B64" s="1" t="s">
        <v>494</v>
      </c>
      <c r="C64" s="13" t="b">
        <f>IFERROR(__xludf.DUMMYFUNCTION("IF(ISTEXT(Filmes_raw!C64), REGEXEXTRACT(Filmes_raw!C64,""[^,]+$""))"),FALSE)</f>
        <v>0</v>
      </c>
      <c r="D64" s="1" t="b">
        <f t="shared" si="1"/>
        <v>0</v>
      </c>
      <c r="E64" s="14">
        <f>IFERROR(__xludf.DUMMYFUNCTION("VALUE(IF(ISTEXT(D64), REGEXREPLACE(Filmes_raw!C64,""[^,]+$"",D64),Filmes_raw!C64))"),1.62805434E8)</f>
        <v>162805434</v>
      </c>
      <c r="F64" s="6">
        <f>IFERROR(__xludf.DUMMYFUNCTION("VALUE(REGEXEXTRACT(Filmes_raw!F64, ""[0-9]+""
))"),165.0)</f>
        <v>165</v>
      </c>
    </row>
    <row r="65">
      <c r="A65" s="1">
        <v>64.0</v>
      </c>
      <c r="B65" s="1" t="s">
        <v>500</v>
      </c>
      <c r="C65" s="13" t="b">
        <f>IFERROR(__xludf.DUMMYFUNCTION("IF(ISTEXT(Filmes_raw!C65), REGEXEXTRACT(Filmes_raw!C65,""[^,]+$""))"),FALSE)</f>
        <v>0</v>
      </c>
      <c r="D65" s="1" t="b">
        <f t="shared" si="1"/>
        <v>0</v>
      </c>
      <c r="E65" s="14">
        <f>IFERROR(__xludf.DUMMYFUNCTION("VALUE(IF(ISTEXT(D65), REGEXREPLACE(Filmes_raw!C65,""[^,]+$"",D65),Filmes_raw!C65))"),4.48139099E8)</f>
        <v>448139099</v>
      </c>
      <c r="F65" s="6">
        <f>IFERROR(__xludf.DUMMYFUNCTION("VALUE(REGEXEXTRACT(Filmes_raw!F65, ""[0-9]+""
))"),164.0)</f>
        <v>164</v>
      </c>
    </row>
    <row r="66">
      <c r="A66" s="1">
        <v>65.0</v>
      </c>
      <c r="B66" s="1" t="s">
        <v>505</v>
      </c>
      <c r="C66" s="13" t="b">
        <f>IFERROR(__xludf.DUMMYFUNCTION("IF(ISTEXT(Filmes_raw!C66), REGEXEXTRACT(Filmes_raw!C66,""[^,]+$""))"),FALSE)</f>
        <v>0</v>
      </c>
      <c r="D66" s="1" t="b">
        <f t="shared" si="1"/>
        <v>0</v>
      </c>
      <c r="E66" s="14">
        <f>IFERROR(__xludf.DUMMYFUNCTION("VALUE(IF(ISTEXT(D66), REGEXREPLACE(Filmes_raw!C66,""[^,]+$"",D66),Filmes_raw!C66))"),6532908.0)</f>
        <v>6532908</v>
      </c>
      <c r="F66" s="6">
        <f>IFERROR(__xludf.DUMMYFUNCTION("VALUE(REGEXEXTRACT(Filmes_raw!F66, ""[0-9]+""
))"),170.0)</f>
        <v>170</v>
      </c>
    </row>
    <row r="67">
      <c r="A67" s="1">
        <v>66.0</v>
      </c>
      <c r="B67" s="1" t="s">
        <v>512</v>
      </c>
      <c r="C67" s="13" t="b">
        <f>IFERROR(__xludf.DUMMYFUNCTION("IF(ISTEXT(Filmes_raw!C67), REGEXEXTRACT(Filmes_raw!C67,""[^,]+$""))"),FALSE)</f>
        <v>0</v>
      </c>
      <c r="D67" s="1" t="b">
        <f t="shared" si="1"/>
        <v>0</v>
      </c>
      <c r="E67" s="14">
        <f>IFERROR(__xludf.DUMMYFUNCTION("VALUE(IF(ISTEXT(D67), REGEXREPLACE(Filmes_raw!C67,""[^,]+$"",D67),Filmes_raw!C67))"),1223869.0)</f>
        <v>1223869</v>
      </c>
      <c r="F67" s="6">
        <f>IFERROR(__xludf.DUMMYFUNCTION("VALUE(REGEXEXTRACT(Filmes_raw!F67, ""[0-9]+""
))"),165.0)</f>
        <v>165</v>
      </c>
    </row>
    <row r="68">
      <c r="A68" s="1">
        <v>67.0</v>
      </c>
      <c r="B68" s="1" t="s">
        <v>518</v>
      </c>
      <c r="C68" s="13" t="b">
        <f>IFERROR(__xludf.DUMMYFUNCTION("IF(ISTEXT(Filmes_raw!C68), REGEXEXTRACT(Filmes_raw!C68,""[^,]+$""))"),FALSE)</f>
        <v>0</v>
      </c>
      <c r="D68" s="1" t="b">
        <f t="shared" si="1"/>
        <v>0</v>
      </c>
      <c r="E68" s="14">
        <f>IFERROR(__xludf.DUMMYFUNCTION("VALUE(IF(ISTEXT(D68), REGEXREPLACE(Filmes_raw!C68,""[^,]+$"",D68),Filmes_raw!C68))"),2.23808164E8)</f>
        <v>223808164</v>
      </c>
      <c r="F68" s="6">
        <f>IFERROR(__xludf.DUMMYFUNCTION("VALUE(REGEXEXTRACT(Filmes_raw!F68, ""[0-9]+""
))"),98.0)</f>
        <v>98</v>
      </c>
    </row>
    <row r="69">
      <c r="A69" s="1">
        <v>68.0</v>
      </c>
      <c r="B69" s="1" t="s">
        <v>526</v>
      </c>
      <c r="C69" s="13" t="b">
        <f>IFERROR(__xludf.DUMMYFUNCTION("IF(ISTEXT(Filmes_raw!C69), REGEXEXTRACT(Filmes_raw!C69,""[^,]+$""))"),FALSE)</f>
        <v>0</v>
      </c>
      <c r="D69" s="1" t="b">
        <f t="shared" si="1"/>
        <v>0</v>
      </c>
      <c r="E69" s="14">
        <f>IFERROR(__xludf.DUMMYFUNCTION("VALUE(IF(ISTEXT(D69), REGEXREPLACE(Filmes_raw!C69,""[^,]+$"",D69),Filmes_raw!C69))"),1.1286112E7)</f>
        <v>11286112</v>
      </c>
      <c r="F69" s="6">
        <f>IFERROR(__xludf.DUMMYFUNCTION("VALUE(REGEXEXTRACT(Filmes_raw!F69, ""[0-9]+""
))"),137.0)</f>
        <v>137</v>
      </c>
    </row>
    <row r="70">
      <c r="A70" s="1">
        <v>69.0</v>
      </c>
      <c r="B70" s="1" t="s">
        <v>534</v>
      </c>
      <c r="C70" s="13" t="b">
        <f>IFERROR(__xludf.DUMMYFUNCTION("IF(ISTEXT(Filmes_raw!C70), REGEXEXTRACT(Filmes_raw!C70,""[^,]+$""))"),FALSE)</f>
        <v>0</v>
      </c>
      <c r="D70" s="1" t="b">
        <f t="shared" si="1"/>
        <v>0</v>
      </c>
      <c r="E70" s="14">
        <f>IFERROR(__xludf.DUMMYFUNCTION("VALUE(IF(ISTEXT(D70), REGEXREPLACE(Filmes_raw!C70,""[^,]+$"",D70),Filmes_raw!C70))"),707481.0)</f>
        <v>707481</v>
      </c>
      <c r="F70" s="6">
        <f>IFERROR(__xludf.DUMMYFUNCTION("VALUE(REGEXEXTRACT(Filmes_raw!F70, ""[0-9]+""
))"),101.0)</f>
        <v>101</v>
      </c>
    </row>
    <row r="71">
      <c r="A71" s="1">
        <v>70.0</v>
      </c>
      <c r="B71" s="1" t="s">
        <v>542</v>
      </c>
      <c r="C71" s="13" t="b">
        <f>IFERROR(__xludf.DUMMYFUNCTION("IF(ISTEXT(Filmes_raw!C71), REGEXEXTRACT(Filmes_raw!C71,""[^,]+$""))"),FALSE)</f>
        <v>0</v>
      </c>
      <c r="D71" s="1" t="b">
        <f t="shared" si="1"/>
        <v>0</v>
      </c>
      <c r="E71" s="14">
        <f>IFERROR(__xludf.DUMMYFUNCTION("VALUE(IF(ISTEXT(D71), REGEXREPLACE(Filmes_raw!C71,""[^,]+$"",D71),Filmes_raw!C71))"),2.5544867E7)</f>
        <v>25544867</v>
      </c>
      <c r="F71" s="6">
        <f>IFERROR(__xludf.DUMMYFUNCTION("VALUE(REGEXEXTRACT(Filmes_raw!F71, ""[0-9]+""
))"),113.0)</f>
        <v>113</v>
      </c>
    </row>
    <row r="72">
      <c r="A72" s="1">
        <v>71.0</v>
      </c>
      <c r="B72" s="1" t="s">
        <v>549</v>
      </c>
      <c r="C72" s="13" t="b">
        <f>IFERROR(__xludf.DUMMYFUNCTION("IF(ISTEXT(Filmes_raw!C72), REGEXEXTRACT(Filmes_raw!C72,""[^,]+$""))"),FALSE)</f>
        <v>0</v>
      </c>
      <c r="D72" s="1" t="b">
        <f t="shared" si="1"/>
        <v>0</v>
      </c>
      <c r="E72" s="14">
        <f>IFERROR(__xludf.DUMMYFUNCTION("VALUE(IF(ISTEXT(D72), REGEXREPLACE(Filmes_raw!C72,""[^,]+$"",D72),Filmes_raw!C72))"),2375308.0)</f>
        <v>2375308</v>
      </c>
      <c r="F72" s="6">
        <f>IFERROR(__xludf.DUMMYFUNCTION("VALUE(REGEXEXTRACT(Filmes_raw!F72, ""[0-9]+""
))"),134.0)</f>
        <v>134</v>
      </c>
    </row>
    <row r="73">
      <c r="A73" s="1">
        <v>72.0</v>
      </c>
      <c r="B73" s="1" t="s">
        <v>556</v>
      </c>
      <c r="C73" s="13" t="b">
        <f>IFERROR(__xludf.DUMMYFUNCTION("IF(ISTEXT(Filmes_raw!C73), REGEXEXTRACT(Filmes_raw!C73,""[^,]+$""))"),FALSE)</f>
        <v>0</v>
      </c>
      <c r="D73" s="1" t="b">
        <f t="shared" si="1"/>
        <v>0</v>
      </c>
      <c r="E73" s="14">
        <f>IFERROR(__xludf.DUMMYFUNCTION("VALUE(IF(ISTEXT(D73), REGEXREPLACE(Filmes_raw!C73,""[^,]+$"",D73),Filmes_raw!C73))"),5321508.0)</f>
        <v>5321508</v>
      </c>
      <c r="F73" s="6">
        <f>IFERROR(__xludf.DUMMYFUNCTION("VALUE(REGEXEXTRACT(Filmes_raw!F73, ""[0-9]+""
))"),229.0)</f>
        <v>229</v>
      </c>
    </row>
    <row r="74">
      <c r="A74" s="1">
        <v>73.0</v>
      </c>
      <c r="B74" s="1" t="s">
        <v>562</v>
      </c>
      <c r="C74" s="13" t="b">
        <f>IFERROR(__xludf.DUMMYFUNCTION("IF(ISTEXT(Filmes_raw!C74), REGEXEXTRACT(Filmes_raw!C74,""[^,]+$""))"),FALSE)</f>
        <v>0</v>
      </c>
      <c r="D74" s="1" t="b">
        <f t="shared" si="1"/>
        <v>0</v>
      </c>
      <c r="E74" s="14">
        <f>IFERROR(__xludf.DUMMYFUNCTION("VALUE(IF(ISTEXT(D74), REGEXREPLACE(Filmes_raw!C74,""[^,]+$"",D74),Filmes_raw!C74))"),2.48159971E8)</f>
        <v>248159971</v>
      </c>
      <c r="F74" s="6">
        <f>IFERROR(__xludf.DUMMYFUNCTION("VALUE(REGEXEXTRACT(Filmes_raw!F74, ""[0-9]+""
))"),115.0)</f>
        <v>115</v>
      </c>
    </row>
    <row r="75">
      <c r="A75" s="1">
        <v>74.0</v>
      </c>
      <c r="B75" s="1" t="s">
        <v>568</v>
      </c>
      <c r="C75" s="13" t="b">
        <f>IFERROR(__xludf.DUMMYFUNCTION("IF(ISTEXT(Filmes_raw!C75), REGEXEXTRACT(Filmes_raw!C75,""[^,]+$""))"),FALSE)</f>
        <v>0</v>
      </c>
      <c r="D75" s="1" t="b">
        <f t="shared" si="1"/>
        <v>0</v>
      </c>
      <c r="E75" s="14">
        <f>IFERROR(__xludf.DUMMYFUNCTION("VALUE(IF(ISTEXT(D75), REGEXREPLACE(Filmes_raw!C75,""[^,]+$"",D75),Filmes_raw!C75))"),4.4017374E7)</f>
        <v>44017374</v>
      </c>
      <c r="F75" s="6">
        <f>IFERROR(__xludf.DUMMYFUNCTION("VALUE(REGEXEXTRACT(Filmes_raw!F75, ""[0-9]+""
))"),146.0)</f>
        <v>146</v>
      </c>
    </row>
    <row r="76">
      <c r="A76" s="1">
        <v>75.0</v>
      </c>
      <c r="B76" s="1" t="s">
        <v>575</v>
      </c>
      <c r="C76" s="13" t="b">
        <f>IFERROR(__xludf.DUMMYFUNCTION("IF(ISTEXT(Filmes_raw!C76), REGEXEXTRACT(Filmes_raw!C76,""[^,]+$""))"),FALSE)</f>
        <v>0</v>
      </c>
      <c r="D76" s="1" t="b">
        <f t="shared" si="1"/>
        <v>0</v>
      </c>
      <c r="E76" s="14">
        <f>IFERROR(__xludf.DUMMYFUNCTION("VALUE(IF(ISTEXT(D76), REGEXREPLACE(Filmes_raw!C76,""[^,]+$"",D76),Filmes_raw!C76))"),8.3471511E7)</f>
        <v>83471511</v>
      </c>
      <c r="F76" s="6">
        <f>IFERROR(__xludf.DUMMYFUNCTION("VALUE(REGEXEXTRACT(Filmes_raw!F76, ""[0-9]+""
))"),147.0)</f>
        <v>147</v>
      </c>
    </row>
    <row r="77">
      <c r="A77" s="1">
        <v>76.0</v>
      </c>
      <c r="B77" s="1" t="s">
        <v>580</v>
      </c>
      <c r="C77" s="13" t="b">
        <f>IFERROR(__xludf.DUMMYFUNCTION("IF(ISTEXT(Filmes_raw!C77), REGEXEXTRACT(Filmes_raw!C77,""[^,]+$""))"),FALSE)</f>
        <v>0</v>
      </c>
      <c r="D77" s="1" t="b">
        <f t="shared" si="1"/>
        <v>0</v>
      </c>
      <c r="E77" s="14">
        <f>IFERROR(__xludf.DUMMYFUNCTION("VALUE(IF(ISTEXT(D77), REGEXREPLACE(Filmes_raw!C77,""[^,]+$"",D77),Filmes_raw!C77))"),7.89E7)</f>
        <v>78900000</v>
      </c>
      <c r="F77" s="6">
        <f>IFERROR(__xludf.DUMMYFUNCTION("VALUE(REGEXEXTRACT(Filmes_raw!F77, ""[0-9]+""
))"),117.0)</f>
        <v>117</v>
      </c>
    </row>
    <row r="78">
      <c r="A78" s="1">
        <v>77.0</v>
      </c>
      <c r="B78" s="1" t="s">
        <v>587</v>
      </c>
      <c r="C78" s="13" t="b">
        <f>IFERROR(__xludf.DUMMYFUNCTION("IF(ISTEXT(Filmes_raw!C78), REGEXEXTRACT(Filmes_raw!C78,""[^,]+$""))"),FALSE)</f>
        <v>0</v>
      </c>
      <c r="D78" s="1" t="b">
        <f t="shared" si="1"/>
        <v>0</v>
      </c>
      <c r="E78" s="14">
        <f>IFERROR(__xludf.DUMMYFUNCTION("VALUE(IF(ISTEXT(D78), REGEXREPLACE(Filmes_raw!C78,""[^,]+$"",D78),Filmes_raw!C78))"),3000000.0)</f>
        <v>3000000</v>
      </c>
      <c r="F78" s="6">
        <f>IFERROR(__xludf.DUMMYFUNCTION("VALUE(REGEXEXTRACT(Filmes_raw!F78, ""[0-9]+""
))"),122.0)</f>
        <v>122</v>
      </c>
    </row>
    <row r="79">
      <c r="A79" s="1">
        <v>78.0</v>
      </c>
      <c r="B79" s="1" t="s">
        <v>595</v>
      </c>
      <c r="C79" s="13" t="b">
        <f>IFERROR(__xludf.DUMMYFUNCTION("IF(ISTEXT(Filmes_raw!C79), REGEXEXTRACT(Filmes_raw!C79,""[^,]+$""))"),FALSE)</f>
        <v>0</v>
      </c>
      <c r="D79" s="1" t="b">
        <f t="shared" si="1"/>
        <v>0</v>
      </c>
      <c r="E79" s="14">
        <f>IFERROR(__xludf.DUMMYFUNCTION("VALUE(IF(ISTEXT(D79), REGEXREPLACE(Filmes_raw!C79,""[^,]+$"",D79),Filmes_raw!C79))"),46808.0)</f>
        <v>46808</v>
      </c>
      <c r="F79" s="6">
        <f>IFERROR(__xludf.DUMMYFUNCTION("VALUE(REGEXEXTRACT(Filmes_raw!F79, ""[0-9]+""
))"),143.0)</f>
        <v>143</v>
      </c>
    </row>
    <row r="80">
      <c r="A80" s="1">
        <v>79.0</v>
      </c>
      <c r="B80" s="1" t="s">
        <v>600</v>
      </c>
      <c r="C80" s="13" t="b">
        <f>IFERROR(__xludf.DUMMYFUNCTION("IF(ISTEXT(Filmes_raw!C80), REGEXEXTRACT(Filmes_raw!C80,""[^,]+$""))"),FALSE)</f>
        <v>0</v>
      </c>
      <c r="D80" s="1" t="b">
        <f t="shared" si="1"/>
        <v>0</v>
      </c>
      <c r="E80" s="14">
        <f>IFERROR(__xludf.DUMMYFUNCTION("VALUE(IF(ISTEXT(D80), REGEXREPLACE(Filmes_raw!C80,""[^,]+$"",D80),Filmes_raw!C80))"),275902.0)</f>
        <v>275902</v>
      </c>
      <c r="F80" s="6">
        <f>IFERROR(__xludf.DUMMYFUNCTION("VALUE(REGEXEXTRACT(Filmes_raw!F80, ""[0-9]+""
))"),95.0)</f>
        <v>95</v>
      </c>
    </row>
    <row r="81">
      <c r="A81" s="1">
        <v>80.0</v>
      </c>
      <c r="B81" s="1" t="s">
        <v>608</v>
      </c>
      <c r="C81" s="13" t="b">
        <f>IFERROR(__xludf.DUMMYFUNCTION("IF(ISTEXT(Filmes_raw!C81), REGEXEXTRACT(Filmes_raw!C81,""[^,]+$""))"),FALSE)</f>
        <v>0</v>
      </c>
      <c r="D81" s="1" t="b">
        <f t="shared" si="1"/>
        <v>0</v>
      </c>
      <c r="E81" s="14">
        <f>IFERROR(__xludf.DUMMYFUNCTION("VALUE(IF(ISTEXT(D81), REGEXREPLACE(Filmes_raw!C81,""[^,]+$"",D81),Filmes_raw!C81))"),8175000.0)</f>
        <v>8175000</v>
      </c>
      <c r="F81" s="6">
        <f>IFERROR(__xludf.DUMMYFUNCTION("VALUE(REGEXEXTRACT(Filmes_raw!F81, ""[0-9]+""
))"),116.0)</f>
        <v>116</v>
      </c>
    </row>
    <row r="82">
      <c r="A82" s="1">
        <v>81.0</v>
      </c>
      <c r="B82" s="1" t="s">
        <v>615</v>
      </c>
      <c r="C82" s="13" t="b">
        <f>IFERROR(__xludf.DUMMYFUNCTION("IF(ISTEXT(Filmes_raw!C82), REGEXEXTRACT(Filmes_raw!C82,""[^,]+$""))"),FALSE)</f>
        <v>0</v>
      </c>
      <c r="D82" s="1" t="b">
        <f t="shared" si="1"/>
        <v>0</v>
      </c>
      <c r="E82" s="14">
        <f>IFERROR(__xludf.DUMMYFUNCTION("VALUE(IF(ISTEXT(D82), REGEXREPLACE(Filmes_raw!C82,""[^,]+$"",D82),Filmes_raw!C82))"),5252.0)</f>
        <v>5252</v>
      </c>
      <c r="F82" s="6">
        <f>IFERROR(__xludf.DUMMYFUNCTION("VALUE(REGEXEXTRACT(Filmes_raw!F82, ""[0-9]+""
))"),88.0)</f>
        <v>88</v>
      </c>
    </row>
    <row r="83">
      <c r="A83" s="1">
        <v>82.0</v>
      </c>
      <c r="B83" s="1" t="s">
        <v>621</v>
      </c>
      <c r="C83" s="13" t="b">
        <f>IFERROR(__xludf.DUMMYFUNCTION("IF(ISTEXT(Filmes_raw!C83), REGEXEXTRACT(Filmes_raw!C83,""[^,]+$""))"),FALSE)</f>
        <v>0</v>
      </c>
      <c r="D83" s="1" t="b">
        <f t="shared" si="1"/>
        <v>0</v>
      </c>
      <c r="E83" s="14">
        <f>IFERROR(__xludf.DUMMYFUNCTION("VALUE(IF(ISTEXT(D83), REGEXREPLACE(Filmes_raw!C83,""[^,]+$"",D83),Filmes_raw!C83))"),3.6764313E7)</f>
        <v>36764313</v>
      </c>
      <c r="F83" s="6">
        <f>IFERROR(__xludf.DUMMYFUNCTION("VALUE(REGEXEXTRACT(Filmes_raw!F83, ""[0-9]+""
))"),112.0)</f>
        <v>112</v>
      </c>
    </row>
    <row r="84">
      <c r="A84" s="1">
        <v>83.0</v>
      </c>
      <c r="B84" s="1" t="s">
        <v>626</v>
      </c>
      <c r="C84" s="13" t="b">
        <f>IFERROR(__xludf.DUMMYFUNCTION("IF(ISTEXT(Filmes_raw!C84), REGEXEXTRACT(Filmes_raw!C84,""[^,]+$""))"),FALSE)</f>
        <v>0</v>
      </c>
      <c r="D84" s="1" t="b">
        <f t="shared" si="1"/>
        <v>0</v>
      </c>
      <c r="E84" s="14">
        <f>IFERROR(__xludf.DUMMYFUNCTION("VALUE(IF(ISTEXT(D84), REGEXREPLACE(Filmes_raw!C84,""[^,]+$"",D84),Filmes_raw!C84))"),299645.0)</f>
        <v>299645</v>
      </c>
      <c r="F84" s="6">
        <f>IFERROR(__xludf.DUMMYFUNCTION("VALUE(REGEXEXTRACT(Filmes_raw!F84, ""[0-9]+""
))"),110.0)</f>
        <v>110</v>
      </c>
    </row>
    <row r="85">
      <c r="A85" s="1">
        <v>84.0</v>
      </c>
      <c r="B85" s="1" t="s">
        <v>634</v>
      </c>
      <c r="C85" s="13" t="b">
        <f>IFERROR(__xludf.DUMMYFUNCTION("IF(ISTEXT(Filmes_raw!C85), REGEXEXTRACT(Filmes_raw!C85,""[^,]+$""))"),FALSE)</f>
        <v>0</v>
      </c>
      <c r="D85" s="1" t="b">
        <f t="shared" si="1"/>
        <v>0</v>
      </c>
      <c r="E85" s="14">
        <f>IFERROR(__xludf.DUMMYFUNCTION("VALUE(IF(ISTEXT(D85), REGEXREPLACE(Filmes_raw!C85,""[^,]+$"",D85),Filmes_raw!C85))"),288475.0)</f>
        <v>288475</v>
      </c>
      <c r="F85" s="6">
        <f>IFERROR(__xludf.DUMMYFUNCTION("VALUE(REGEXEXTRACT(Filmes_raw!F85, ""[0-9]+""
))"),125.0)</f>
        <v>125</v>
      </c>
    </row>
    <row r="86">
      <c r="A86" s="1">
        <v>85.0</v>
      </c>
      <c r="B86" s="1">
        <v>1917.0</v>
      </c>
      <c r="C86" s="13" t="b">
        <f>IFERROR(__xludf.DUMMYFUNCTION("IF(ISTEXT(Filmes_raw!C86), REGEXEXTRACT(Filmes_raw!C86,""[^,]+$""))"),FALSE)</f>
        <v>0</v>
      </c>
      <c r="D86" s="1" t="b">
        <f t="shared" si="1"/>
        <v>0</v>
      </c>
      <c r="E86" s="14">
        <f>IFERROR(__xludf.DUMMYFUNCTION("VALUE(IF(ISTEXT(D86), REGEXREPLACE(Filmes_raw!C86,""[^,]+$"",D86),Filmes_raw!C86))"),1.59227644E8)</f>
        <v>159227644</v>
      </c>
      <c r="F86" s="6">
        <f>IFERROR(__xludf.DUMMYFUNCTION("VALUE(REGEXEXTRACT(Filmes_raw!F86, ""[0-9]+""
))"),119.0)</f>
        <v>119</v>
      </c>
    </row>
    <row r="87">
      <c r="A87" s="1">
        <v>86.0</v>
      </c>
      <c r="B87" s="1" t="s">
        <v>646</v>
      </c>
      <c r="C87" s="13" t="b">
        <f>IFERROR(__xludf.DUMMYFUNCTION("IF(ISTEXT(Filmes_raw!C87), REGEXEXTRACT(Filmes_raw!C87,""[^,]+$""))"),FALSE)</f>
        <v>0</v>
      </c>
      <c r="D87" s="1" t="b">
        <f t="shared" si="1"/>
        <v>0</v>
      </c>
      <c r="E87" s="14">
        <f>IFERROR(__xludf.DUMMYFUNCTION("VALUE(IF(ISTEXT(D87), REGEXREPLACE(Filmes_raw!C87,""[^,]+$"",D87),Filmes_raw!C87))"),1691980.0)</f>
        <v>1691980</v>
      </c>
      <c r="F87" s="6">
        <f>IFERROR(__xludf.DUMMYFUNCTION("VALUE(REGEXEXTRACT(Filmes_raw!F87, ""[0-9]+""
))"),104.0)</f>
        <v>104</v>
      </c>
    </row>
    <row r="88">
      <c r="A88" s="1">
        <v>87.0</v>
      </c>
      <c r="B88" s="1" t="s">
        <v>655</v>
      </c>
      <c r="C88" s="13" t="b">
        <f>IFERROR(__xludf.DUMMYFUNCTION("IF(ISTEXT(Filmes_raw!C88), REGEXEXTRACT(Filmes_raw!C88,""[^,]+$""))"),FALSE)</f>
        <v>0</v>
      </c>
      <c r="D88" s="1" t="b">
        <f t="shared" si="1"/>
        <v>0</v>
      </c>
      <c r="E88" s="14">
        <f>IFERROR(__xludf.DUMMYFUNCTION("VALUE(IF(ISTEXT(D88), REGEXREPLACE(Filmes_raw!C88,""[^,]+$"",D88),Filmes_raw!C88))"),1373943.0)</f>
        <v>1373943</v>
      </c>
      <c r="F88" s="6">
        <f>IFERROR(__xludf.DUMMYFUNCTION("VALUE(REGEXEXTRACT(Filmes_raw!F88, ""[0-9]+""
))"),139.0)</f>
        <v>139</v>
      </c>
    </row>
    <row r="89">
      <c r="A89" s="1">
        <v>88.0</v>
      </c>
      <c r="B89" s="1" t="s">
        <v>663</v>
      </c>
      <c r="C89" s="13" t="b">
        <f>IFERROR(__xludf.DUMMYFUNCTION("IF(ISTEXT(Filmes_raw!C89), REGEXEXTRACT(Filmes_raw!C89,""[^,]+$""))"),FALSE)</f>
        <v>0</v>
      </c>
      <c r="D89" s="1" t="b">
        <f t="shared" si="1"/>
        <v>0</v>
      </c>
      <c r="E89" s="14">
        <f>IFERROR(__xludf.DUMMYFUNCTION("VALUE(IF(ISTEXT(D89), REGEXREPLACE(Filmes_raw!C89,""[^,]+$"",D89),Filmes_raw!C89))"),3841.0)</f>
        <v>3841</v>
      </c>
      <c r="F89" s="6">
        <f>IFERROR(__xludf.DUMMYFUNCTION("VALUE(REGEXEXTRACT(Filmes_raw!F89, ""[0-9]+""
))"),160.0)</f>
        <v>160</v>
      </c>
    </row>
    <row r="90">
      <c r="A90" s="1">
        <v>89.0</v>
      </c>
      <c r="B90" s="1" t="s">
        <v>670</v>
      </c>
      <c r="C90" s="13" t="b">
        <f>IFERROR(__xludf.DUMMYFUNCTION("IF(ISTEXT(Filmes_raw!C90), REGEXEXTRACT(Filmes_raw!C90,""[^,]+$""))"),FALSE)</f>
        <v>0</v>
      </c>
      <c r="D90" s="1" t="b">
        <f t="shared" si="1"/>
        <v>0</v>
      </c>
      <c r="E90" s="14">
        <f>IFERROR(__xludf.DUMMYFUNCTION("VALUE(IF(ISTEXT(D90), REGEXREPLACE(Filmes_raw!C90,""[^,]+$"",D90),Filmes_raw!C90))"),687185.0)</f>
        <v>687185</v>
      </c>
      <c r="F90" s="6">
        <f>IFERROR(__xludf.DUMMYFUNCTION("VALUE(REGEXEXTRACT(Filmes_raw!F90, ""[0-9]+""
))"),115.0)</f>
        <v>115</v>
      </c>
    </row>
    <row r="91">
      <c r="A91" s="1">
        <v>90.0</v>
      </c>
      <c r="B91" s="1" t="s">
        <v>677</v>
      </c>
      <c r="C91" s="13" t="b">
        <f>IFERROR(__xludf.DUMMYFUNCTION("IF(ISTEXT(Filmes_raw!C91), REGEXEXTRACT(Filmes_raw!C91,""[^,]+$""))"),FALSE)</f>
        <v>0</v>
      </c>
      <c r="D91" s="1" t="b">
        <f t="shared" si="1"/>
        <v>0</v>
      </c>
      <c r="E91" s="14">
        <f>IFERROR(__xludf.DUMMYFUNCTION("VALUE(IF(ISTEXT(D91), REGEXREPLACE(Filmes_raw!C91,""[^,]+$"",D91),Filmes_raw!C91))"),7098492.0)</f>
        <v>7098492</v>
      </c>
      <c r="F91" s="6">
        <f>IFERROR(__xludf.DUMMYFUNCTION("VALUE(REGEXEXTRACT(Filmes_raw!F91, ""[0-9]+""
))"),123.0)</f>
        <v>123</v>
      </c>
    </row>
    <row r="92">
      <c r="A92" s="1">
        <v>91.0</v>
      </c>
      <c r="B92" s="1" t="s">
        <v>685</v>
      </c>
      <c r="C92" s="13" t="b">
        <f>IFERROR(__xludf.DUMMYFUNCTION("IF(ISTEXT(Filmes_raw!C92), REGEXEXTRACT(Filmes_raw!C92,""[^,]+$""))"),FALSE)</f>
        <v>0</v>
      </c>
      <c r="D92" s="1" t="b">
        <f t="shared" si="1"/>
        <v>0</v>
      </c>
      <c r="E92" s="14">
        <f>IFERROR(__xludf.DUMMYFUNCTION("VALUE(IF(ISTEXT(D92), REGEXREPLACE(Filmes_raw!C92,""[^,]+$"",D92),Filmes_raw!C92))"),6857096.0)</f>
        <v>6857096</v>
      </c>
      <c r="F92" s="6">
        <f>IFERROR(__xludf.DUMMYFUNCTION("VALUE(REGEXEXTRACT(Filmes_raw!F92, ""[0-9]+""
))"),131.0)</f>
        <v>131</v>
      </c>
    </row>
    <row r="93">
      <c r="A93" s="1">
        <v>92.0</v>
      </c>
      <c r="B93" s="1" t="s">
        <v>693</v>
      </c>
      <c r="C93" s="13" t="b">
        <f>IFERROR(__xludf.DUMMYFUNCTION("IF(ISTEXT(Filmes_raw!C93), REGEXEXTRACT(Filmes_raw!C93,""[^,]+$""))"),FALSE)</f>
        <v>0</v>
      </c>
      <c r="D93" s="1" t="b">
        <f t="shared" si="1"/>
        <v>0</v>
      </c>
      <c r="E93" s="14">
        <f>IFERROR(__xludf.DUMMYFUNCTION("VALUE(IF(ISTEXT(D93), REGEXREPLACE(Filmes_raw!C93,""[^,]+$"",D93),Filmes_raw!C93))"),1.716366E7)</f>
        <v>17163660</v>
      </c>
      <c r="F93" s="6">
        <f>IFERROR(__xludf.DUMMYFUNCTION("VALUE(REGEXEXTRACT(Filmes_raw!F93, ""[0-9]+""
))"),132.0)</f>
        <v>132</v>
      </c>
    </row>
    <row r="94">
      <c r="A94" s="1">
        <v>93.0</v>
      </c>
      <c r="B94" s="1" t="s">
        <v>701</v>
      </c>
      <c r="C94" s="13" t="b">
        <f>IFERROR(__xludf.DUMMYFUNCTION("IF(ISTEXT(Filmes_raw!C94), REGEXEXTRACT(Filmes_raw!C94,""[^,]+$""))"),FALSE)</f>
        <v>0</v>
      </c>
      <c r="D94" s="1" t="b">
        <f t="shared" si="1"/>
        <v>0</v>
      </c>
      <c r="E94" s="14">
        <f>IFERROR(__xludf.DUMMYFUNCTION("VALUE(IF(ISTEXT(D94), REGEXREPLACE(Filmes_raw!C94,""[^,]+$"",D94),Filmes_raw!C94))"),1.8612999E7)</f>
        <v>18612999</v>
      </c>
      <c r="F94" s="6">
        <f>IFERROR(__xludf.DUMMYFUNCTION("VALUE(REGEXEXTRACT(Filmes_raw!F94, ""[0-9]+""
))"),112.0)</f>
        <v>112</v>
      </c>
    </row>
    <row r="95">
      <c r="A95" s="1">
        <v>94.0</v>
      </c>
      <c r="B95" s="1" t="s">
        <v>707</v>
      </c>
      <c r="C95" s="13" t="b">
        <f>IFERROR(__xludf.DUMMYFUNCTION("IF(ISTEXT(Filmes_raw!C95), REGEXEXTRACT(Filmes_raw!C95,""[^,]+$""))"),FALSE)</f>
        <v>0</v>
      </c>
      <c r="D95" s="1" t="b">
        <f t="shared" si="1"/>
        <v>0</v>
      </c>
      <c r="E95" s="14">
        <f>IFERROR(__xludf.DUMMYFUNCTION("VALUE(IF(ISTEXT(D95), REGEXREPLACE(Filmes_raw!C95,""[^,]+$"",D95),Filmes_raw!C95))"),1.20540719E8)</f>
        <v>120540719</v>
      </c>
      <c r="F95" s="6">
        <f>IFERROR(__xludf.DUMMYFUNCTION("VALUE(REGEXEXTRACT(Filmes_raw!F95, ""[0-9]+""
))"),153.0)</f>
        <v>153</v>
      </c>
    </row>
    <row r="96">
      <c r="A96" s="1">
        <v>95.0</v>
      </c>
      <c r="B96" s="1" t="s">
        <v>713</v>
      </c>
      <c r="C96" s="13" t="b">
        <f>IFERROR(__xludf.DUMMYFUNCTION("IF(ISTEXT(Filmes_raw!C96), REGEXEXTRACT(Filmes_raw!C96,""[^,]+$""))"),FALSE)</f>
        <v>0</v>
      </c>
      <c r="D96" s="1" t="b">
        <f t="shared" si="1"/>
        <v>0</v>
      </c>
      <c r="E96" s="14">
        <f>IFERROR(__xludf.DUMMYFUNCTION("VALUE(IF(ISTEXT(D96), REGEXREPLACE(Filmes_raw!C96,""[^,]+$"",D96),Filmes_raw!C96))"),3.4400301E7)</f>
        <v>34400301</v>
      </c>
      <c r="F96" s="6">
        <f>IFERROR(__xludf.DUMMYFUNCTION("VALUE(REGEXEXTRACT(Filmes_raw!F96, ""[0-9]+""
))"),108.0)</f>
        <v>108</v>
      </c>
    </row>
    <row r="97">
      <c r="A97" s="1">
        <v>96.0</v>
      </c>
      <c r="B97" s="1" t="s">
        <v>722</v>
      </c>
      <c r="C97" s="13" t="b">
        <f>IFERROR(__xludf.DUMMYFUNCTION("IF(ISTEXT(Filmes_raw!C97), REGEXEXTRACT(Filmes_raw!C97,""[^,]+$""))"),FALSE)</f>
        <v>0</v>
      </c>
      <c r="D97" s="1" t="b">
        <f t="shared" si="1"/>
        <v>0</v>
      </c>
      <c r="E97" s="14">
        <f>IFERROR(__xludf.DUMMYFUNCTION("VALUE(IF(ISTEXT(D97), REGEXREPLACE(Filmes_raw!C97,""[^,]+$"",D97),Filmes_raw!C97))"),3.3225499E7)</f>
        <v>33225499</v>
      </c>
      <c r="F97" s="6">
        <f>IFERROR(__xludf.DUMMYFUNCTION("VALUE(REGEXEXTRACT(Filmes_raw!F97, ""[0-9]+""
))"),122.0)</f>
        <v>122</v>
      </c>
    </row>
    <row r="98">
      <c r="A98" s="1">
        <v>97.0</v>
      </c>
      <c r="B98" s="1" t="s">
        <v>730</v>
      </c>
      <c r="C98" s="13" t="b">
        <f>IFERROR(__xludf.DUMMYFUNCTION("IF(ISTEXT(Filmes_raw!C98), REGEXEXTRACT(Filmes_raw!C98,""[^,]+$""))"),FALSE)</f>
        <v>0</v>
      </c>
      <c r="D98" s="1" t="b">
        <f t="shared" si="1"/>
        <v>0</v>
      </c>
      <c r="E98" s="14">
        <f>IFERROR(__xludf.DUMMYFUNCTION("VALUE(IF(ISTEXT(D98), REGEXREPLACE(Filmes_raw!C98,""[^,]+$"",D98),Filmes_raw!C98))"),3.0328156E7)</f>
        <v>30328156</v>
      </c>
      <c r="F98" s="6">
        <f>IFERROR(__xludf.DUMMYFUNCTION("VALUE(REGEXEXTRACT(Filmes_raw!F98, ""[0-9]+""
))"),104.0)</f>
        <v>104</v>
      </c>
    </row>
    <row r="99">
      <c r="A99" s="1">
        <v>98.0</v>
      </c>
      <c r="B99" s="1" t="s">
        <v>737</v>
      </c>
      <c r="C99" s="13" t="b">
        <f>IFERROR(__xludf.DUMMYFUNCTION("IF(ISTEXT(Filmes_raw!C99), REGEXEXTRACT(Filmes_raw!C99,""[^,]+$""))"),FALSE)</f>
        <v>0</v>
      </c>
      <c r="D99" s="1" t="b">
        <f t="shared" si="1"/>
        <v>0</v>
      </c>
      <c r="E99" s="14">
        <f>IFERROR(__xludf.DUMMYFUNCTION("VALUE(IF(ISTEXT(D99), REGEXREPLACE(Filmes_raw!C99,""[^,]+$"",D99),Filmes_raw!C99))"),3635482.0)</f>
        <v>3635482</v>
      </c>
      <c r="F99" s="6">
        <f>IFERROR(__xludf.DUMMYFUNCTION("VALUE(REGEXEXTRACT(Filmes_raw!F99, ""[0-9]+""
))"),102.0)</f>
        <v>102</v>
      </c>
    </row>
    <row r="100">
      <c r="A100" s="1">
        <v>99.0</v>
      </c>
      <c r="B100" s="1" t="s">
        <v>744</v>
      </c>
      <c r="C100" s="13" t="b">
        <f>IFERROR(__xludf.DUMMYFUNCTION("IF(ISTEXT(Filmes_raw!C100), REGEXEXTRACT(Filmes_raw!C100,""[^,]+$""))"),FALSE)</f>
        <v>0</v>
      </c>
      <c r="D100" s="1" t="b">
        <f t="shared" si="1"/>
        <v>0</v>
      </c>
      <c r="E100" s="14">
        <f>IFERROR(__xludf.DUMMYFUNCTION("VALUE(IF(ISTEXT(D100), REGEXREPLACE(Filmes_raw!C100,""[^,]+$"",D100),Filmes_raw!C100))"),1.30096601E8)</f>
        <v>130096601</v>
      </c>
      <c r="F100" s="6">
        <f>IFERROR(__xludf.DUMMYFUNCTION("VALUE(REGEXEXTRACT(Filmes_raw!F100, ""[0-9]+""
))"),122.0)</f>
        <v>122</v>
      </c>
    </row>
    <row r="101">
      <c r="A101" s="1">
        <v>100.0</v>
      </c>
      <c r="B101" s="1" t="s">
        <v>749</v>
      </c>
      <c r="C101" s="13" t="b">
        <f>IFERROR(__xludf.DUMMYFUNCTION("IF(ISTEXT(Filmes_raw!C101), REGEXEXTRACT(Filmes_raw!C101,""[^,]+$""))"),FALSE)</f>
        <v>0</v>
      </c>
      <c r="D101" s="1" t="b">
        <f t="shared" si="1"/>
        <v>0</v>
      </c>
      <c r="E101" s="14">
        <f>IFERROR(__xludf.DUMMYFUNCTION("VALUE(IF(ISTEXT(D101), REGEXREPLACE(Filmes_raw!C101,""[^,]+$"",D101),Filmes_raw!C101))"),1.38433435E8)</f>
        <v>138433435</v>
      </c>
      <c r="F101" s="6">
        <f>IFERROR(__xludf.DUMMYFUNCTION("VALUE(REGEXEXTRACT(Filmes_raw!F101, ""[0-9]+""
))"),126.0)</f>
        <v>126</v>
      </c>
    </row>
    <row r="102">
      <c r="A102" s="1">
        <v>101.0</v>
      </c>
      <c r="B102" s="1" t="s">
        <v>755</v>
      </c>
      <c r="C102" s="13" t="b">
        <f>IFERROR(__xludf.DUMMYFUNCTION("IF(ISTEXT(Filmes_raw!C102), REGEXEXTRACT(Filmes_raw!C102,""[^,]+$""))"),FALSE)</f>
        <v>0</v>
      </c>
      <c r="D102" s="1" t="b">
        <f t="shared" si="1"/>
        <v>0</v>
      </c>
      <c r="E102" s="14">
        <f>IFERROR(__xludf.DUMMYFUNCTION("VALUE(IF(ISTEXT(D102), REGEXREPLACE(Filmes_raw!C102,""[^,]+$"",D102),Filmes_raw!C102))"),933933.0)</f>
        <v>933933</v>
      </c>
      <c r="F102" s="6">
        <f>IFERROR(__xludf.DUMMYFUNCTION("VALUE(REGEXEXTRACT(Filmes_raw!F102, ""[0-9]+""
))"),89.0)</f>
        <v>89</v>
      </c>
    </row>
    <row r="103">
      <c r="A103" s="1">
        <v>102.0</v>
      </c>
      <c r="B103" s="1" t="s">
        <v>763</v>
      </c>
      <c r="C103" s="13" t="b">
        <f>IFERROR(__xludf.DUMMYFUNCTION("IF(ISTEXT(Filmes_raw!C103), REGEXEXTRACT(Filmes_raw!C103,""[^,]+$""))"),FALSE)</f>
        <v>0</v>
      </c>
      <c r="D103" s="1" t="b">
        <f t="shared" si="1"/>
        <v>0</v>
      </c>
      <c r="E103" s="14">
        <f>IFERROR(__xludf.DUMMYFUNCTION("VALUE(IF(ISTEXT(D103), REGEXREPLACE(Filmes_raw!C103,""[^,]+$"",D103),Filmes_raw!C103))"),1.91796233E8)</f>
        <v>191796233</v>
      </c>
      <c r="F103" s="6">
        <f>IFERROR(__xludf.DUMMYFUNCTION("VALUE(REGEXEXTRACT(Filmes_raw!F103, ""[0-9]+""
))"),81.0)</f>
        <v>81</v>
      </c>
    </row>
    <row r="104">
      <c r="A104" s="1">
        <v>103.0</v>
      </c>
      <c r="B104" s="1" t="s">
        <v>771</v>
      </c>
      <c r="C104" s="13" t="b">
        <f>IFERROR(__xludf.DUMMYFUNCTION("IF(ISTEXT(Filmes_raw!C104), REGEXEXTRACT(Filmes_raw!C104,""[^,]+$""))"),FALSE)</f>
        <v>0</v>
      </c>
      <c r="D104" s="1" t="b">
        <f t="shared" si="1"/>
        <v>0</v>
      </c>
      <c r="E104" s="14">
        <f>IFERROR(__xludf.DUMMYFUNCTION("VALUE(IF(ISTEXT(D104), REGEXREPLACE(Filmes_raw!C104,""[^,]+$"",D104),Filmes_raw!C104))"),7.56E7)</f>
        <v>75600000</v>
      </c>
      <c r="F104" s="6">
        <f>IFERROR(__xludf.DUMMYFUNCTION("VALUE(REGEXEXTRACT(Filmes_raw!F104, ""[0-9]+""
))"),178.0)</f>
        <v>178</v>
      </c>
    </row>
    <row r="105">
      <c r="A105" s="1">
        <v>104.0</v>
      </c>
      <c r="B105" s="1" t="s">
        <v>777</v>
      </c>
      <c r="C105" s="13" t="b">
        <f>IFERROR(__xludf.DUMMYFUNCTION("IF(ISTEXT(Filmes_raw!C105), REGEXEXTRACT(Filmes_raw!C105,""[^,]+$""))"),FALSE)</f>
        <v>0</v>
      </c>
      <c r="D105" s="1" t="b">
        <f t="shared" si="1"/>
        <v>0</v>
      </c>
      <c r="E105" s="14">
        <f>IFERROR(__xludf.DUMMYFUNCTION("VALUE(IF(ISTEXT(D105), REGEXREPLACE(Filmes_raw!C105,""[^,]+$"",D105),Filmes_raw!C105))"),2832029.0)</f>
        <v>2832029</v>
      </c>
      <c r="F105" s="6">
        <f>IFERROR(__xludf.DUMMYFUNCTION("VALUE(REGEXEXTRACT(Filmes_raw!F105, ""[0-9]+""
))"),99.0)</f>
        <v>99</v>
      </c>
    </row>
    <row r="106">
      <c r="A106" s="1">
        <v>105.0</v>
      </c>
      <c r="B106" s="1" t="s">
        <v>784</v>
      </c>
      <c r="C106" s="13" t="b">
        <f>IFERROR(__xludf.DUMMYFUNCTION("IF(ISTEXT(Filmes_raw!C106), REGEXEXTRACT(Filmes_raw!C106,""[^,]+$""))"),FALSE)</f>
        <v>0</v>
      </c>
      <c r="D106" s="1" t="b">
        <f t="shared" si="1"/>
        <v>0</v>
      </c>
      <c r="E106" s="14">
        <f>IFERROR(__xludf.DUMMYFUNCTION("VALUE(IF(ISTEXT(D106), REGEXREPLACE(Filmes_raw!C106,""[^,]+$"",D106),Filmes_raw!C106))"),4.6357676E7)</f>
        <v>46357676</v>
      </c>
      <c r="F106" s="6">
        <f>IFERROR(__xludf.DUMMYFUNCTION("VALUE(REGEXEXTRACT(Filmes_raw!F106, ""[0-9]+""
))"),116.0)</f>
        <v>116</v>
      </c>
    </row>
    <row r="107">
      <c r="A107" s="1">
        <v>106.0</v>
      </c>
      <c r="B107" s="1" t="s">
        <v>790</v>
      </c>
      <c r="C107" s="13" t="b">
        <f>IFERROR(__xludf.DUMMYFUNCTION("IF(ISTEXT(Filmes_raw!C107), REGEXEXTRACT(Filmes_raw!C107,""[^,]+$""))"),FALSE)</f>
        <v>0</v>
      </c>
      <c r="D107" s="1" t="b">
        <f t="shared" si="1"/>
        <v>0</v>
      </c>
      <c r="E107" s="14">
        <f>IFERROR(__xludf.DUMMYFUNCTION("VALUE(IF(ISTEXT(D107), REGEXREPLACE(Filmes_raw!C107,""[^,]+$"",D107),Filmes_raw!C107))"),71909.0)</f>
        <v>71909</v>
      </c>
      <c r="F107" s="6">
        <f>IFERROR(__xludf.DUMMYFUNCTION("VALUE(REGEXEXTRACT(Filmes_raw!F107, ""[0-9]+""
))"),142.0)</f>
        <v>142</v>
      </c>
    </row>
    <row r="108">
      <c r="A108" s="1">
        <v>107.0</v>
      </c>
      <c r="B108" s="1" t="s">
        <v>797</v>
      </c>
      <c r="C108" s="13" t="b">
        <f>IFERROR(__xludf.DUMMYFUNCTION("IF(ISTEXT(Filmes_raw!C108), REGEXEXTRACT(Filmes_raw!C108,""[^,]+$""))"),FALSE)</f>
        <v>0</v>
      </c>
      <c r="D108" s="1" t="b">
        <f t="shared" si="1"/>
        <v>0</v>
      </c>
      <c r="E108" s="14">
        <f>IFERROR(__xludf.DUMMYFUNCTION("VALUE(IF(ISTEXT(D108), REGEXREPLACE(Filmes_raw!C108,""[^,]+$"",D108),Filmes_raw!C108))"),8.5160248E7)</f>
        <v>85160248</v>
      </c>
      <c r="F108" s="6">
        <f>IFERROR(__xludf.DUMMYFUNCTION("VALUE(REGEXEXTRACT(Filmes_raw!F108, ""[0-9]+""
))"),137.0)</f>
        <v>137</v>
      </c>
    </row>
    <row r="109">
      <c r="A109" s="1">
        <v>108.0</v>
      </c>
      <c r="B109" s="1" t="s">
        <v>801</v>
      </c>
      <c r="C109" s="13" t="b">
        <f>IFERROR(__xludf.DUMMYFUNCTION("IF(ISTEXT(Filmes_raw!C109), REGEXEXTRACT(Filmes_raw!C109,""[^,]+$""))"),FALSE)</f>
        <v>0</v>
      </c>
      <c r="D109" s="1" t="b">
        <f t="shared" si="1"/>
        <v>0</v>
      </c>
      <c r="E109" s="14">
        <f>IFERROR(__xludf.DUMMYFUNCTION("VALUE(IF(ISTEXT(D109), REGEXREPLACE(Filmes_raw!C109,""[^,]+$"",D109),Filmes_raw!C109))"),5.1973029E7)</f>
        <v>51973029</v>
      </c>
      <c r="F109" s="6">
        <f>IFERROR(__xludf.DUMMYFUNCTION("VALUE(REGEXEXTRACT(Filmes_raw!F109, ""[0-9]+""
))"),160.0)</f>
        <v>160</v>
      </c>
    </row>
    <row r="110">
      <c r="A110" s="1">
        <v>109.0</v>
      </c>
      <c r="B110" s="1" t="s">
        <v>807</v>
      </c>
      <c r="C110" s="13" t="b">
        <f>IFERROR(__xludf.DUMMYFUNCTION("IF(ISTEXT(Filmes_raw!C110), REGEXEXTRACT(Filmes_raw!C110,""[^,]+$""))"),FALSE)</f>
        <v>0</v>
      </c>
      <c r="D110" s="1" t="b">
        <f t="shared" si="1"/>
        <v>0</v>
      </c>
      <c r="E110" s="14">
        <f>IFERROR(__xludf.DUMMYFUNCTION("VALUE(IF(ISTEXT(D110), REGEXREPLACE(Filmes_raw!C110,""[^,]+$"",D110),Filmes_raw!C110))"),4.5598982E7)</f>
        <v>45598982</v>
      </c>
      <c r="F110" s="6">
        <f>IFERROR(__xludf.DUMMYFUNCTION("VALUE(REGEXEXTRACT(Filmes_raw!F110, ""[0-9]+""
))"),170.0)</f>
        <v>170</v>
      </c>
    </row>
    <row r="111">
      <c r="A111" s="1">
        <v>110.0</v>
      </c>
      <c r="B111" s="1" t="s">
        <v>813</v>
      </c>
      <c r="C111" s="13" t="b">
        <f>IFERROR(__xludf.DUMMYFUNCTION("IF(ISTEXT(Filmes_raw!C111), REGEXEXTRACT(Filmes_raw!C111,""[^,]+$""))"),FALSE)</f>
        <v>0</v>
      </c>
      <c r="D111" s="1" t="b">
        <f t="shared" si="1"/>
        <v>0</v>
      </c>
      <c r="E111" s="14">
        <f>IFERROR(__xludf.DUMMYFUNCTION("VALUE(IF(ISTEXT(D111), REGEXREPLACE(Filmes_raw!C111,""[^,]+$"",D111),Filmes_raw!C111))"),3.09125409E8)</f>
        <v>309125409</v>
      </c>
      <c r="F111" s="6">
        <f>IFERROR(__xludf.DUMMYFUNCTION("VALUE(REGEXEXTRACT(Filmes_raw!F111, ""[0-9]+""
))"),131.0)</f>
        <v>131</v>
      </c>
    </row>
    <row r="112">
      <c r="A112" s="1">
        <v>111.0</v>
      </c>
      <c r="B112" s="1" t="s">
        <v>816</v>
      </c>
      <c r="C112" s="13" t="b">
        <f>IFERROR(__xludf.DUMMYFUNCTION("IF(ISTEXT(Filmes_raw!C112), REGEXEXTRACT(Filmes_raw!C112,""[^,]+$""))"),FALSE)</f>
        <v>0</v>
      </c>
      <c r="D112" s="1" t="b">
        <f t="shared" si="1"/>
        <v>0</v>
      </c>
      <c r="E112" s="14">
        <f>IFERROR(__xludf.DUMMYFUNCTION("VALUE(IF(ISTEXT(D112), REGEXREPLACE(Filmes_raw!C112,""[^,]+$"",D112),Filmes_raw!C112))"),1.1487676E7)</f>
        <v>11487676</v>
      </c>
      <c r="F112" s="6">
        <f>IFERROR(__xludf.DUMMYFUNCTION("VALUE(REGEXEXTRACT(Filmes_raw!F112, ""[0-9]+""
))"),149.0)</f>
        <v>149</v>
      </c>
    </row>
    <row r="113">
      <c r="A113" s="1">
        <v>112.0</v>
      </c>
      <c r="B113" s="1" t="s">
        <v>824</v>
      </c>
      <c r="C113" s="13" t="b">
        <f>IFERROR(__xludf.DUMMYFUNCTION("IF(ISTEXT(Filmes_raw!C113), REGEXEXTRACT(Filmes_raw!C113,""[^,]+$""))"),FALSE)</f>
        <v>0</v>
      </c>
      <c r="D113" s="1" t="b">
        <f t="shared" si="1"/>
        <v>0</v>
      </c>
      <c r="E113" s="14">
        <f>IFERROR(__xludf.DUMMYFUNCTION("VALUE(IF(ISTEXT(D113), REGEXREPLACE(Filmes_raw!C113,""[^,]+$"",D113),Filmes_raw!C113))"),2.8262574E7)</f>
        <v>28262574</v>
      </c>
      <c r="F113" s="6">
        <f>IFERROR(__xludf.DUMMYFUNCTION("VALUE(REGEXEXTRACT(Filmes_raw!F113, ""[0-9]+""
))"),114.0)</f>
        <v>114</v>
      </c>
    </row>
    <row r="114">
      <c r="A114" s="1">
        <v>113.0</v>
      </c>
      <c r="B114" s="1" t="s">
        <v>829</v>
      </c>
      <c r="C114" s="13" t="b">
        <f>IFERROR(__xludf.DUMMYFUNCTION("IF(ISTEXT(Filmes_raw!C114), REGEXEXTRACT(Filmes_raw!C114,""[^,]+$""))"),FALSE)</f>
        <v>0</v>
      </c>
      <c r="D114" s="1" t="b">
        <f t="shared" si="1"/>
        <v>0</v>
      </c>
      <c r="E114" s="14">
        <f>IFERROR(__xludf.DUMMYFUNCTION("VALUE(IF(ISTEXT(D114), REGEXREPLACE(Filmes_raw!C114,""[^,]+$"",D114),Filmes_raw!C114))"),1.596E8)</f>
        <v>159600000</v>
      </c>
      <c r="F114" s="6">
        <f>IFERROR(__xludf.DUMMYFUNCTION("VALUE(REGEXEXTRACT(Filmes_raw!F114, ""[0-9]+""
))"),129.0)</f>
        <v>129</v>
      </c>
    </row>
    <row r="115">
      <c r="A115" s="1">
        <v>114.0</v>
      </c>
      <c r="B115" s="1" t="s">
        <v>838</v>
      </c>
      <c r="C115" s="13" t="b">
        <f>IFERROR(__xludf.DUMMYFUNCTION("IF(ISTEXT(Filmes_raw!C115), REGEXEXTRACT(Filmes_raw!C115,""[^,]+$""))"),FALSE)</f>
        <v>0</v>
      </c>
      <c r="D115" s="1" t="b">
        <f t="shared" si="1"/>
        <v>0</v>
      </c>
      <c r="E115" s="14">
        <f>IFERROR(__xludf.DUMMYFUNCTION("VALUE(IF(ISTEXT(D115), REGEXREPLACE(Filmes_raw!C115,""[^,]+$"",D115),Filmes_raw!C115))"),6207725.0)</f>
        <v>6207725</v>
      </c>
      <c r="F115" s="6">
        <f>IFERROR(__xludf.DUMMYFUNCTION("VALUE(REGEXEXTRACT(Filmes_raw!F115, ""[0-9]+""
))"),136.0)</f>
        <v>136</v>
      </c>
    </row>
    <row r="116">
      <c r="A116" s="1">
        <v>115.0</v>
      </c>
      <c r="B116" s="1" t="s">
        <v>845</v>
      </c>
      <c r="C116" s="13" t="b">
        <f>IFERROR(__xludf.DUMMYFUNCTION("IF(ISTEXT(Filmes_raw!C116), REGEXEXTRACT(Filmes_raw!C116,""[^,]+$""))"),FALSE)</f>
        <v>0</v>
      </c>
      <c r="D116" s="1" t="b">
        <f t="shared" si="1"/>
        <v>0</v>
      </c>
      <c r="E116" s="14">
        <f>IFERROR(__xludf.DUMMYFUNCTION("VALUE(IF(ISTEXT(D116), REGEXREPLACE(Filmes_raw!C116,""[^,]+$"",D116),Filmes_raw!C116))"),5.6954992E7)</f>
        <v>56954992</v>
      </c>
      <c r="F116" s="6">
        <f>IFERROR(__xludf.DUMMYFUNCTION("VALUE(REGEXEXTRACT(Filmes_raw!F116, ""[0-9]+""
))"),149.0)</f>
        <v>149</v>
      </c>
    </row>
    <row r="117">
      <c r="A117" s="1">
        <v>116.0</v>
      </c>
      <c r="B117" s="1" t="s">
        <v>852</v>
      </c>
      <c r="C117" s="13" t="b">
        <f>IFERROR(__xludf.DUMMYFUNCTION("IF(ISTEXT(Filmes_raw!C117), REGEXEXTRACT(Filmes_raw!C117,""[^,]+$""))"),FALSE)</f>
        <v>0</v>
      </c>
      <c r="D117" s="1" t="b">
        <f t="shared" si="1"/>
        <v>0</v>
      </c>
      <c r="E117" s="14">
        <f>IFERROR(__xludf.DUMMYFUNCTION("VALUE(IF(ISTEXT(D117), REGEXREPLACE(Filmes_raw!C117,""[^,]+$"",D117),Filmes_raw!C117))"),1.5E7)</f>
        <v>15000000</v>
      </c>
      <c r="F117" s="6">
        <f>IFERROR(__xludf.DUMMYFUNCTION("VALUE(REGEXEXTRACT(Filmes_raw!F117, ""[0-9]+""
))"),132.0)</f>
        <v>132</v>
      </c>
    </row>
    <row r="118">
      <c r="A118" s="1">
        <v>117.0</v>
      </c>
      <c r="B118" s="1" t="s">
        <v>856</v>
      </c>
      <c r="C118" s="13" t="b">
        <f>IFERROR(__xludf.DUMMYFUNCTION("IF(ISTEXT(Filmes_raw!C118), REGEXEXTRACT(Filmes_raw!C118,""[^,]+$""))"),FALSE)</f>
        <v>0</v>
      </c>
      <c r="D118" s="1" t="b">
        <f t="shared" si="1"/>
        <v>0</v>
      </c>
      <c r="E118" s="14">
        <f>IFERROR(__xludf.DUMMYFUNCTION("VALUE(IF(ISTEXT(D118), REGEXREPLACE(Filmes_raw!C118,""[^,]+$"",D118),Filmes_raw!C118))"),4.4824144E7)</f>
        <v>44824144</v>
      </c>
      <c r="F118" s="6">
        <f>IFERROR(__xludf.DUMMYFUNCTION("VALUE(REGEXEXTRACT(Filmes_raw!F118, ""[0-9]+""
))"),228.0)</f>
        <v>228</v>
      </c>
    </row>
    <row r="119">
      <c r="A119" s="1">
        <v>118.0</v>
      </c>
      <c r="B119" s="1" t="s">
        <v>864</v>
      </c>
      <c r="C119" s="13" t="b">
        <f>IFERROR(__xludf.DUMMYFUNCTION("IF(ISTEXT(Filmes_raw!C119), REGEXEXTRACT(Filmes_raw!C119,""[^,]+$""))"),FALSE)</f>
        <v>0</v>
      </c>
      <c r="D119" s="1" t="b">
        <f t="shared" si="1"/>
        <v>0</v>
      </c>
      <c r="E119" s="14">
        <f>IFERROR(__xludf.DUMMYFUNCTION("VALUE(IF(ISTEXT(D119), REGEXREPLACE(Filmes_raw!C119,""[^,]+$"",D119),Filmes_raw!C119))"),1.86E7)</f>
        <v>18600000</v>
      </c>
      <c r="F119" s="6">
        <f>IFERROR(__xludf.DUMMYFUNCTION("VALUE(REGEXEXTRACT(Filmes_raw!F119, ""[0-9]+""
))"),125.0)</f>
        <v>125</v>
      </c>
    </row>
    <row r="120">
      <c r="A120" s="1">
        <v>119.0</v>
      </c>
      <c r="B120" s="1" t="s">
        <v>870</v>
      </c>
      <c r="C120" s="13" t="b">
        <f>IFERROR(__xludf.DUMMYFUNCTION("IF(ISTEXT(Filmes_raw!C120), REGEXEXTRACT(Filmes_raw!C120,""[^,]+$""))"),FALSE)</f>
        <v>0</v>
      </c>
      <c r="D120" s="1" t="b">
        <f t="shared" si="1"/>
        <v>0</v>
      </c>
      <c r="E120" s="14">
        <f>IFERROR(__xludf.DUMMYFUNCTION("VALUE(IF(ISTEXT(D120), REGEXREPLACE(Filmes_raw!C120,""[^,]+$"",D120),Filmes_raw!C120))"),1.3275E7)</f>
        <v>13275000</v>
      </c>
      <c r="F120" s="6">
        <f>IFERROR(__xludf.DUMMYFUNCTION("VALUE(REGEXEXTRACT(Filmes_raw!F120, ""[0-9]+""
))"),136.0)</f>
        <v>136</v>
      </c>
    </row>
    <row r="121">
      <c r="A121" s="1">
        <v>120.0</v>
      </c>
      <c r="B121" s="1" t="s">
        <v>877</v>
      </c>
      <c r="C121" s="13" t="b">
        <f>IFERROR(__xludf.DUMMYFUNCTION("IF(ISTEXT(Filmes_raw!C121), REGEXEXTRACT(Filmes_raw!C121,""[^,]+$""))"),FALSE)</f>
        <v>0</v>
      </c>
      <c r="D121" s="1" t="b">
        <f t="shared" si="1"/>
        <v>0</v>
      </c>
      <c r="E121" s="14">
        <f>IFERROR(__xludf.DUMMYFUNCTION("VALUE(IF(ISTEXT(D121), REGEXREPLACE(Filmes_raw!C121,""[^,]+$"",D121),Filmes_raw!C121))"),3200000.0)</f>
        <v>3200000</v>
      </c>
      <c r="F121" s="6">
        <f>IFERROR(__xludf.DUMMYFUNCTION("VALUE(REGEXEXTRACT(Filmes_raw!F121, ""[0-9]+""
))"),128.0)</f>
        <v>128</v>
      </c>
    </row>
    <row r="122">
      <c r="A122" s="1">
        <v>121.0</v>
      </c>
      <c r="B122" s="1" t="s">
        <v>884</v>
      </c>
      <c r="C122" s="13" t="b">
        <f>IFERROR(__xludf.DUMMYFUNCTION("IF(ISTEXT(Filmes_raw!C122), REGEXEXTRACT(Filmes_raw!C122,""[^,]+$""))"),FALSE)</f>
        <v>0</v>
      </c>
      <c r="D122" s="1" t="b">
        <f t="shared" si="1"/>
        <v>0</v>
      </c>
      <c r="E122" s="14">
        <f>IFERROR(__xludf.DUMMYFUNCTION("VALUE(IF(ISTEXT(D122), REGEXREPLACE(Filmes_raw!C122,""[^,]+$"",D122),Filmes_raw!C122))"),8819028.0)</f>
        <v>8819028</v>
      </c>
      <c r="F122" s="6">
        <f>IFERROR(__xludf.DUMMYFUNCTION("VALUE(REGEXEXTRACT(Filmes_raw!F122, ""[0-9]+""
))"),103.0)</f>
        <v>103</v>
      </c>
    </row>
    <row r="123">
      <c r="A123" s="1">
        <v>122.0</v>
      </c>
      <c r="B123" s="1" t="s">
        <v>892</v>
      </c>
      <c r="C123" s="13" t="str">
        <f>IFERROR(__xludf.DUMMYFUNCTION("IF(ISTEXT(Filmes_raw!C123), REGEXEXTRACT(Filmes_raw!C123,""[^,]+$""))"),"24")</f>
        <v>24</v>
      </c>
      <c r="D123" s="1" t="str">
        <f t="shared" si="1"/>
        <v>240</v>
      </c>
      <c r="E123" s="14">
        <f>IFERROR(__xludf.DUMMYFUNCTION("VALUE(IF(ISTEXT(D123), REGEXREPLACE(Filmes_raw!C123,""[^,]+$"",D123),Filmes_raw!C123))"),55240.0)</f>
        <v>55240</v>
      </c>
      <c r="F123" s="6">
        <f>IFERROR(__xludf.DUMMYFUNCTION("VALUE(REGEXEXTRACT(Filmes_raw!F123, ""[0-9]+""
))"),143.0)</f>
        <v>143</v>
      </c>
    </row>
    <row r="124">
      <c r="A124" s="1">
        <v>123.0</v>
      </c>
      <c r="B124" s="1" t="s">
        <v>898</v>
      </c>
      <c r="C124" s="13" t="str">
        <f>IFERROR(__xludf.DUMMYFUNCTION("IF(ISTEXT(Filmes_raw!C124), REGEXEXTRACT(Filmes_raw!C124,""[^,]+$""))"),"93")</f>
        <v>93</v>
      </c>
      <c r="D124" s="1" t="str">
        <f t="shared" si="1"/>
        <v>930</v>
      </c>
      <c r="E124" s="14">
        <f>IFERROR(__xludf.DUMMYFUNCTION("VALUE(IF(ISTEXT(D124), REGEXREPLACE(Filmes_raw!C124,""[^,]+$"",D124),Filmes_raw!C124))"),332930.0)</f>
        <v>332930</v>
      </c>
      <c r="F124" s="6">
        <f>IFERROR(__xludf.DUMMYFUNCTION("VALUE(REGEXEXTRACT(Filmes_raw!F124, ""[0-9]+""
))"),89.0)</f>
        <v>89</v>
      </c>
    </row>
    <row r="125">
      <c r="A125" s="1">
        <v>124.0</v>
      </c>
      <c r="B125" s="1" t="s">
        <v>906</v>
      </c>
      <c r="C125" s="13" t="b">
        <f>IFERROR(__xludf.DUMMYFUNCTION("IF(ISTEXT(Filmes_raw!C125), REGEXEXTRACT(Filmes_raw!C125,""[^,]+$""))"),FALSE)</f>
        <v>0</v>
      </c>
      <c r="D125" s="1" t="b">
        <f t="shared" si="1"/>
        <v>0</v>
      </c>
      <c r="E125" s="14">
        <f>IFERROR(__xludf.DUMMYFUNCTION("VALUE(IF(ISTEXT(D125), REGEXREPLACE(Filmes_raw!C125,""[^,]+$"",D125),Filmes_raw!C125))"),5720000.0)</f>
        <v>5720000</v>
      </c>
      <c r="F125" s="6">
        <f>IFERROR(__xludf.DUMMYFUNCTION("VALUE(REGEXEXTRACT(Filmes_raw!F125, ""[0-9]+""
))"),107.0)</f>
        <v>107</v>
      </c>
    </row>
    <row r="126">
      <c r="A126" s="1">
        <v>125.0</v>
      </c>
      <c r="B126" s="1" t="s">
        <v>913</v>
      </c>
      <c r="C126" s="13" t="b">
        <f>IFERROR(__xludf.DUMMYFUNCTION("IF(ISTEXT(Filmes_raw!C126), REGEXEXTRACT(Filmes_raw!C126,""[^,]+$""))"),FALSE)</f>
        <v>0</v>
      </c>
      <c r="D126" s="1" t="b">
        <f t="shared" si="1"/>
        <v>0</v>
      </c>
      <c r="E126" s="14">
        <f>IFERROR(__xludf.DUMMYFUNCTION("VALUE(IF(ISTEXT(D126), REGEXREPLACE(Filmes_raw!C126,""[^,]+$"",D126),Filmes_raw!C126))"),1585634.0)</f>
        <v>1585634</v>
      </c>
      <c r="F126" s="6">
        <f>IFERROR(__xludf.DUMMYFUNCTION("VALUE(REGEXEXTRACT(Filmes_raw!F126, ""[0-9]+""
))"),119.0)</f>
        <v>119</v>
      </c>
    </row>
    <row r="127">
      <c r="A127" s="1">
        <v>126.0</v>
      </c>
      <c r="B127" s="1" t="s">
        <v>920</v>
      </c>
      <c r="C127" s="13" t="b">
        <f>IFERROR(__xludf.DUMMYFUNCTION("IF(ISTEXT(Filmes_raw!C127), REGEXEXTRACT(Filmes_raw!C127,""[^,]+$""))"),FALSE)</f>
        <v>0</v>
      </c>
      <c r="D127" s="1" t="b">
        <f t="shared" si="1"/>
        <v>0</v>
      </c>
      <c r="E127" s="14">
        <f>IFERROR(__xludf.DUMMYFUNCTION("VALUE(IF(ISTEXT(D127), REGEXREPLACE(Filmes_raw!C127,""[^,]+$"",D127),Filmes_raw!C127))"),28877.0)</f>
        <v>28877</v>
      </c>
      <c r="F127" s="6">
        <f>IFERROR(__xludf.DUMMYFUNCTION("VALUE(REGEXEXTRACT(Filmes_raw!F127, ""[0-9]+""
))"),117.0)</f>
        <v>117</v>
      </c>
    </row>
    <row r="128">
      <c r="A128" s="1">
        <v>127.0</v>
      </c>
      <c r="B128" s="1" t="s">
        <v>927</v>
      </c>
      <c r="C128" s="13" t="b">
        <f>IFERROR(__xludf.DUMMYFUNCTION("IF(ISTEXT(Filmes_raw!C128), REGEXEXTRACT(Filmes_raw!C128,""[^,]+$""))"),FALSE)</f>
        <v>0</v>
      </c>
      <c r="D128" s="1" t="b">
        <f t="shared" si="1"/>
        <v>0</v>
      </c>
      <c r="E128" s="14">
        <f>IFERROR(__xludf.DUMMYFUNCTION("VALUE(IF(ISTEXT(D128), REGEXREPLACE(Filmes_raw!C128,""[^,]+$"",D128),Filmes_raw!C128))"),1236166.0)</f>
        <v>1236166</v>
      </c>
      <c r="F128" s="6">
        <f>IFERROR(__xludf.DUMMYFUNCTION("VALUE(REGEXEXTRACT(Filmes_raw!F128, ""[0-9]+""
))"),153.0)</f>
        <v>153</v>
      </c>
    </row>
    <row r="129">
      <c r="A129" s="1">
        <v>128.0</v>
      </c>
      <c r="B129" s="1" t="s">
        <v>934</v>
      </c>
      <c r="C129" s="13" t="b">
        <f>IFERROR(__xludf.DUMMYFUNCTION("IF(ISTEXT(Filmes_raw!C129), REGEXEXTRACT(Filmes_raw!C129,""[^,]+$""))"),FALSE)</f>
        <v>0</v>
      </c>
      <c r="D129" s="1" t="b">
        <f t="shared" si="1"/>
        <v>0</v>
      </c>
      <c r="E129" s="14">
        <f>IFERROR(__xludf.DUMMYFUNCTION("VALUE(IF(ISTEXT(D129), REGEXREPLACE(Filmes_raw!C129,""[^,]+$"",D129),Filmes_raw!C129))"),5450000.0)</f>
        <v>5450000</v>
      </c>
      <c r="F129" s="6">
        <f>IFERROR(__xludf.DUMMYFUNCTION("VALUE(REGEXEXTRACT(Filmes_raw!F129, ""[0-9]+""
))"),68.0)</f>
        <v>68</v>
      </c>
    </row>
    <row r="130">
      <c r="A130" s="1">
        <v>129.0</v>
      </c>
      <c r="B130" s="1" t="s">
        <v>940</v>
      </c>
      <c r="C130" s="13" t="b">
        <f>IFERROR(__xludf.DUMMYFUNCTION("IF(ISTEXT(Filmes_raw!C130), REGEXEXTRACT(Filmes_raw!C130,""[^,]+$""))"),FALSE)</f>
        <v>0</v>
      </c>
      <c r="D130" s="1" t="b">
        <f t="shared" si="1"/>
        <v>0</v>
      </c>
      <c r="E130" s="14">
        <f>IFERROR(__xludf.DUMMYFUNCTION("VALUE(IF(ISTEXT(D130), REGEXREPLACE(Filmes_raw!C130,""[^,]+$"",D130),Filmes_raw!C130))"),898575.0)</f>
        <v>898575</v>
      </c>
      <c r="F130" s="6">
        <f>IFERROR(__xludf.DUMMYFUNCTION("VALUE(REGEXEXTRACT(Filmes_raw!F130, ""[0-9]+""
))"),143.0)</f>
        <v>143</v>
      </c>
    </row>
    <row r="131">
      <c r="A131" s="1">
        <v>130.0</v>
      </c>
      <c r="B131" s="1" t="s">
        <v>946</v>
      </c>
      <c r="C131" s="13" t="b">
        <f>IFERROR(__xludf.DUMMYFUNCTION("IF(ISTEXT(Filmes_raw!C131), REGEXEXTRACT(Filmes_raw!C131,""[^,]+$""))"),FALSE)</f>
        <v>0</v>
      </c>
      <c r="D131" s="1" t="b">
        <f t="shared" si="1"/>
        <v>0</v>
      </c>
      <c r="E131" s="14">
        <f>IFERROR(__xludf.DUMMYFUNCTION("VALUE(IF(ISTEXT(D131), REGEXREPLACE(Filmes_raw!C131,""[^,]+$"",D131),Filmes_raw!C131))"),4186168.0)</f>
        <v>4186168</v>
      </c>
      <c r="F131" s="6">
        <f>IFERROR(__xludf.DUMMYFUNCTION("VALUE(REGEXEXTRACT(Filmes_raw!F131, ""[0-9]+""
))"),138.0)</f>
        <v>138</v>
      </c>
    </row>
    <row r="132">
      <c r="A132" s="1">
        <v>131.0</v>
      </c>
      <c r="B132" s="1" t="s">
        <v>954</v>
      </c>
      <c r="C132" s="13" t="b">
        <f>IFERROR(__xludf.DUMMYFUNCTION("IF(ISTEXT(Filmes_raw!C132), REGEXEXTRACT(Filmes_raw!C132,""[^,]+$""))"),FALSE)</f>
        <v>0</v>
      </c>
      <c r="D132" s="1" t="b">
        <f t="shared" si="1"/>
        <v>0</v>
      </c>
      <c r="E132" s="14">
        <f>IFERROR(__xludf.DUMMYFUNCTION("VALUE(IF(ISTEXT(D132), REGEXREPLACE(Filmes_raw!C132,""[^,]+$"",D132),Filmes_raw!C132))"),6421597.0)</f>
        <v>6421597</v>
      </c>
      <c r="F132" s="6">
        <f>IFERROR(__xludf.DUMMYFUNCTION("VALUE(REGEXEXTRACT(Filmes_raw!F132, ""[0-9]+""
))"),156.0)</f>
        <v>156</v>
      </c>
    </row>
    <row r="133">
      <c r="A133" s="1">
        <v>132.0</v>
      </c>
      <c r="B133" s="1" t="s">
        <v>963</v>
      </c>
      <c r="C133" s="13" t="b">
        <f>IFERROR(__xludf.DUMMYFUNCTION("IF(ISTEXT(Filmes_raw!C133), REGEXEXTRACT(Filmes_raw!C133,""[^,]+$""))"),FALSE)</f>
        <v>0</v>
      </c>
      <c r="D133" s="1" t="b">
        <f t="shared" si="1"/>
        <v>0</v>
      </c>
      <c r="E133" s="14">
        <f>IFERROR(__xludf.DUMMYFUNCTION("VALUE(IF(ISTEXT(D133), REGEXREPLACE(Filmes_raw!C133,""[^,]+$"",D133),Filmes_raw!C133))"),8.5080171E7)</f>
        <v>85080171</v>
      </c>
      <c r="F133" s="6">
        <f>IFERROR(__xludf.DUMMYFUNCTION("VALUE(REGEXEXTRACT(Filmes_raw!F133, ""[0-9]+""
))"),130.0)</f>
        <v>130</v>
      </c>
    </row>
    <row r="134">
      <c r="A134" s="1">
        <v>133.0</v>
      </c>
      <c r="B134" s="1" t="s">
        <v>969</v>
      </c>
      <c r="C134" s="13" t="b">
        <f>IFERROR(__xludf.DUMMYFUNCTION("IF(ISTEXT(Filmes_raw!C134), REGEXEXTRACT(Filmes_raw!C134,""[^,]+$""))"),FALSE)</f>
        <v>0</v>
      </c>
      <c r="D134" s="1" t="b">
        <f t="shared" si="1"/>
        <v>0</v>
      </c>
      <c r="E134" s="14">
        <f>IFERROR(__xludf.DUMMYFUNCTION("VALUE(IF(ISTEXT(D134), REGEXREPLACE(Filmes_raw!C134,""[^,]+$"",D134),Filmes_raw!C134))"),5.451374E7)</f>
        <v>54513740</v>
      </c>
      <c r="F134" s="6">
        <f>IFERROR(__xludf.DUMMYFUNCTION("VALUE(REGEXEXTRACT(Filmes_raw!F134, ""[0-9]+""
))"),115.0)</f>
        <v>115</v>
      </c>
    </row>
    <row r="135">
      <c r="A135" s="1">
        <v>134.0</v>
      </c>
      <c r="B135" s="1" t="s">
        <v>976</v>
      </c>
      <c r="C135" s="13" t="str">
        <f>IFERROR(__xludf.DUMMYFUNCTION("IF(ISTEXT(Filmes_raw!C135), REGEXEXTRACT(Filmes_raw!C135,""[^,]+$""))"),"37")</f>
        <v>37</v>
      </c>
      <c r="D135" s="1" t="str">
        <f t="shared" si="1"/>
        <v>370</v>
      </c>
      <c r="E135" s="14">
        <f>IFERROR(__xludf.DUMMYFUNCTION("VALUE(IF(ISTEXT(D135), REGEXREPLACE(Filmes_raw!C135,""[^,]+$"",D135),Filmes_raw!C135))"),342370.0)</f>
        <v>342370</v>
      </c>
      <c r="F135" s="6">
        <f>IFERROR(__xludf.DUMMYFUNCTION("VALUE(REGEXEXTRACT(Filmes_raw!F135, ""[0-9]+""
))"),132.0)</f>
        <v>132</v>
      </c>
    </row>
    <row r="136">
      <c r="A136" s="1">
        <v>135.0</v>
      </c>
      <c r="B136" s="1" t="s">
        <v>983</v>
      </c>
      <c r="C136" s="13" t="b">
        <f>IFERROR(__xludf.DUMMYFUNCTION("IF(ISTEXT(Filmes_raw!C136), REGEXEXTRACT(Filmes_raw!C136,""[^,]+$""))"),FALSE)</f>
        <v>0</v>
      </c>
      <c r="D136" s="1" t="b">
        <f t="shared" si="1"/>
        <v>0</v>
      </c>
      <c r="E136" s="14">
        <f>IFERROR(__xludf.DUMMYFUNCTION("VALUE(IF(ISTEXT(D136), REGEXREPLACE(Filmes_raw!C136,""[^,]+$"",D136),Filmes_raw!C136))"),2.0186659E7)</f>
        <v>20186659</v>
      </c>
      <c r="F136" s="6">
        <f>IFERROR(__xludf.DUMMYFUNCTION("VALUE(REGEXEXTRACT(Filmes_raw!F136, ""[0-9]+""
))"),167.0)</f>
        <v>167</v>
      </c>
    </row>
    <row r="137">
      <c r="A137" s="1">
        <v>136.0</v>
      </c>
      <c r="B137" s="1" t="s">
        <v>991</v>
      </c>
      <c r="C137" s="13" t="b">
        <f>IFERROR(__xludf.DUMMYFUNCTION("IF(ISTEXT(Filmes_raw!C137), REGEXEXTRACT(Filmes_raw!C137,""[^,]+$""))"),FALSE)</f>
        <v>0</v>
      </c>
      <c r="D137" s="1" t="b">
        <f t="shared" si="1"/>
        <v>0</v>
      </c>
      <c r="E137" s="14">
        <f>IFERROR(__xludf.DUMMYFUNCTION("VALUE(IF(ISTEXT(D137), REGEXREPLACE(Filmes_raw!C137,""[^,]+$"",D137),Filmes_raw!C137))"),4.0E7)</f>
        <v>40000000</v>
      </c>
      <c r="F137" s="6">
        <f>IFERROR(__xludf.DUMMYFUNCTION("VALUE(REGEXEXTRACT(Filmes_raw!F137, ""[0-9]+""
))"),96.0)</f>
        <v>96</v>
      </c>
    </row>
    <row r="138">
      <c r="A138" s="1">
        <v>137.0</v>
      </c>
      <c r="B138" s="1" t="s">
        <v>663</v>
      </c>
      <c r="C138" s="13" t="b">
        <f>IFERROR(__xludf.DUMMYFUNCTION("IF(ISTEXT(Filmes_raw!C138), REGEXEXTRACT(Filmes_raw!C138,""[^,]+$""))"),FALSE)</f>
        <v>0</v>
      </c>
      <c r="D138" s="1" t="b">
        <f t="shared" si="1"/>
        <v>0</v>
      </c>
      <c r="E138" s="14">
        <f>IFERROR(__xludf.DUMMYFUNCTION("VALUE(IF(ISTEXT(D138), REGEXREPLACE(Filmes_raw!C138,""[^,]+$"",D138),Filmes_raw!C138))"),739478.0)</f>
        <v>739478</v>
      </c>
      <c r="F138" s="6">
        <f>IFERROR(__xludf.DUMMYFUNCTION("VALUE(REGEXEXTRACT(Filmes_raw!F138, ""[0-9]+""
))"),163.0)</f>
        <v>163</v>
      </c>
    </row>
    <row r="139">
      <c r="A139" s="1">
        <v>138.0</v>
      </c>
      <c r="B139" s="1" t="s">
        <v>1003</v>
      </c>
      <c r="C139" s="13" t="b">
        <f>IFERROR(__xludf.DUMMYFUNCTION("IF(ISTEXT(Filmes_raw!C139), REGEXEXTRACT(Filmes_raw!C139,""[^,]+$""))"),FALSE)</f>
        <v>0</v>
      </c>
      <c r="D139" s="1" t="b">
        <f t="shared" si="1"/>
        <v>0</v>
      </c>
      <c r="E139" s="14">
        <f>IFERROR(__xludf.DUMMYFUNCTION("VALUE(IF(ISTEXT(D139), REGEXREPLACE(Filmes_raw!C139,""[^,]+$"",D139),Filmes_raw!C139))"),1429534.0)</f>
        <v>1429534</v>
      </c>
      <c r="F139" s="6">
        <f>IFERROR(__xludf.DUMMYFUNCTION("VALUE(REGEXEXTRACT(Filmes_raw!F139, ""[0-9]+""
))"),146.0)</f>
        <v>146</v>
      </c>
    </row>
    <row r="140">
      <c r="A140" s="1">
        <v>139.0</v>
      </c>
      <c r="B140" s="1" t="s">
        <v>1011</v>
      </c>
      <c r="C140" s="13" t="b">
        <f>IFERROR(__xludf.DUMMYFUNCTION("IF(ISTEXT(Filmes_raw!C140), REGEXEXTRACT(Filmes_raw!C140,""[^,]+$""))"),FALSE)</f>
        <v>0</v>
      </c>
      <c r="D140" s="1" t="b">
        <f t="shared" si="1"/>
        <v>0</v>
      </c>
      <c r="E140" s="14">
        <f>IFERROR(__xludf.DUMMYFUNCTION("VALUE(IF(ISTEXT(D140), REGEXREPLACE(Filmes_raw!C140,""[^,]+$"",D140),Filmes_raw!C140))"),144501.0)</f>
        <v>144501</v>
      </c>
      <c r="F140" s="6">
        <f>IFERROR(__xludf.DUMMYFUNCTION("VALUE(REGEXEXTRACT(Filmes_raw!F140, ""[0-9]+""
))"),87.0)</f>
        <v>87</v>
      </c>
    </row>
    <row r="141">
      <c r="A141" s="1">
        <v>140.0</v>
      </c>
      <c r="B141" s="1" t="s">
        <v>1018</v>
      </c>
      <c r="C141" s="13" t="b">
        <f>IFERROR(__xludf.DUMMYFUNCTION("IF(ISTEXT(Filmes_raw!C141), REGEXEXTRACT(Filmes_raw!C141,""[^,]+$""))"),FALSE)</f>
        <v>0</v>
      </c>
      <c r="D141" s="1" t="b">
        <f t="shared" si="1"/>
        <v>0</v>
      </c>
      <c r="E141" s="14">
        <f>IFERROR(__xludf.DUMMYFUNCTION("VALUE(IF(ISTEXT(D141), REGEXREPLACE(Filmes_raw!C141,""[^,]+$"",D141),Filmes_raw!C141))"),1626289.0)</f>
        <v>1626289</v>
      </c>
      <c r="F141" s="6">
        <f>IFERROR(__xludf.DUMMYFUNCTION("VALUE(REGEXEXTRACT(Filmes_raw!F141, ""[0-9]+""
))"),186.0)</f>
        <v>186</v>
      </c>
    </row>
    <row r="142">
      <c r="A142" s="1">
        <v>141.0</v>
      </c>
      <c r="B142" s="1" t="s">
        <v>1027</v>
      </c>
      <c r="C142" s="13" t="b">
        <f>IFERROR(__xludf.DUMMYFUNCTION("IF(ISTEXT(Filmes_raw!C142), REGEXEXTRACT(Filmes_raw!C142,""[^,]+$""))"),FALSE)</f>
        <v>0</v>
      </c>
      <c r="D142" s="1" t="b">
        <f t="shared" si="1"/>
        <v>0</v>
      </c>
      <c r="E142" s="14">
        <f>IFERROR(__xludf.DUMMYFUNCTION("VALUE(IF(ISTEXT(D142), REGEXREPLACE(Filmes_raw!C142,""[^,]+$"",D142),Filmes_raw!C142))"),4384642.0)</f>
        <v>4384642</v>
      </c>
      <c r="F142" s="6">
        <f>IFERROR(__xludf.DUMMYFUNCTION("VALUE(REGEXEXTRACT(Filmes_raw!F142, ""[0-9]+""
))"),321.0)</f>
        <v>321</v>
      </c>
    </row>
    <row r="143">
      <c r="A143" s="1">
        <v>142.0</v>
      </c>
      <c r="B143" s="1" t="s">
        <v>1036</v>
      </c>
      <c r="C143" s="13" t="b">
        <f>IFERROR(__xludf.DUMMYFUNCTION("IF(ISTEXT(Filmes_raw!C143), REGEXEXTRACT(Filmes_raw!C143,""[^,]+$""))"),FALSE)</f>
        <v>0</v>
      </c>
      <c r="D143" s="1" t="b">
        <f t="shared" si="1"/>
        <v>0</v>
      </c>
      <c r="E143" s="14">
        <f>IFERROR(__xludf.DUMMYFUNCTION("VALUE(IF(ISTEXT(D143), REGEXREPLACE(Filmes_raw!C143,""[^,]+$"",D143),Filmes_raw!C143))"),7461.0)</f>
        <v>7461</v>
      </c>
      <c r="F143" s="6">
        <f>IFERROR(__xludf.DUMMYFUNCTION("VALUE(REGEXEXTRACT(Filmes_raw!F143, ""[0-9]+""
))"),134.0)</f>
        <v>134</v>
      </c>
    </row>
    <row r="144">
      <c r="A144" s="1">
        <v>143.0</v>
      </c>
      <c r="B144" s="1" t="s">
        <v>1043</v>
      </c>
      <c r="C144" s="13" t="b">
        <f>IFERROR(__xludf.DUMMYFUNCTION("IF(ISTEXT(Filmes_raw!C144), REGEXEXTRACT(Filmes_raw!C144,""[^,]+$""))"),FALSE)</f>
        <v>0</v>
      </c>
      <c r="D144" s="1" t="b">
        <f t="shared" si="1"/>
        <v>0</v>
      </c>
      <c r="E144" s="14">
        <f>IFERROR(__xludf.DUMMYFUNCTION("VALUE(IF(ISTEXT(D144), REGEXREPLACE(Filmes_raw!C144,""[^,]+$"",D144),Filmes_raw!C144))"),39567.0)</f>
        <v>39567</v>
      </c>
      <c r="F144" s="6">
        <f>IFERROR(__xludf.DUMMYFUNCTION("VALUE(REGEXEXTRACT(Filmes_raw!F144, ""[0-9]+""
))"),135.0)</f>
        <v>135</v>
      </c>
    </row>
    <row r="145">
      <c r="A145" s="1">
        <v>144.0</v>
      </c>
      <c r="B145" s="1" t="s">
        <v>1050</v>
      </c>
      <c r="C145" s="13" t="b">
        <f>IFERROR(__xludf.DUMMYFUNCTION("IF(ISTEXT(Filmes_raw!C145), REGEXEXTRACT(Filmes_raw!C145,""[^,]+$""))"),FALSE)</f>
        <v>0</v>
      </c>
      <c r="D145" s="1" t="b">
        <f t="shared" si="1"/>
        <v>0</v>
      </c>
      <c r="E145" s="14">
        <f>IFERROR(__xludf.DUMMYFUNCTION("VALUE(IF(ISTEXT(D145), REGEXREPLACE(Filmes_raw!C145,""[^,]+$"",D145),Filmes_raw!C145))"),6391436.0)</f>
        <v>6391436</v>
      </c>
      <c r="F145" s="6">
        <f>IFERROR(__xludf.DUMMYFUNCTION("VALUE(REGEXEXTRACT(Filmes_raw!F145, ""[0-9]+""
))"),129.0)</f>
        <v>129</v>
      </c>
    </row>
    <row r="146">
      <c r="A146" s="1">
        <v>145.0</v>
      </c>
      <c r="B146" s="1" t="s">
        <v>1058</v>
      </c>
      <c r="C146" s="13" t="b">
        <f>IFERROR(__xludf.DUMMYFUNCTION("IF(ISTEXT(Filmes_raw!C146), REGEXEXTRACT(Filmes_raw!C146,""[^,]+$""))"),FALSE)</f>
        <v>0</v>
      </c>
      <c r="D146" s="1" t="b">
        <f t="shared" si="1"/>
        <v>0</v>
      </c>
      <c r="E146" s="14">
        <f>IFERROR(__xludf.DUMMYFUNCTION("VALUE(IF(ISTEXT(D146), REGEXREPLACE(Filmes_raw!C146,""[^,]+$"",D146),Filmes_raw!C146))"),1.3657115E7)</f>
        <v>13657115</v>
      </c>
      <c r="F146" s="6">
        <f>IFERROR(__xludf.DUMMYFUNCTION("VALUE(REGEXEXTRACT(Filmes_raw!F146, ""[0-9]+""
))"),140.0)</f>
        <v>140</v>
      </c>
    </row>
    <row r="147">
      <c r="A147" s="1">
        <v>146.0</v>
      </c>
      <c r="B147" s="1" t="s">
        <v>1066</v>
      </c>
      <c r="C147" s="13" t="b">
        <f>IFERROR(__xludf.DUMMYFUNCTION("IF(ISTEXT(Filmes_raw!C147), REGEXEXTRACT(Filmes_raw!C147,""[^,]+$""))"),FALSE)</f>
        <v>0</v>
      </c>
      <c r="D147" s="1" t="b">
        <f t="shared" si="1"/>
        <v>0</v>
      </c>
      <c r="E147" s="14">
        <f>IFERROR(__xludf.DUMMYFUNCTION("VALUE(IF(ISTEXT(D147), REGEXREPLACE(Filmes_raw!C147,""[^,]+$"",D147),Filmes_raw!C147))"),1.28012934E8)</f>
        <v>128012934</v>
      </c>
      <c r="F147" s="6">
        <f>IFERROR(__xludf.DUMMYFUNCTION("VALUE(REGEXEXTRACT(Filmes_raw!F147, ""[0-9]+""
))"),138.0)</f>
        <v>138</v>
      </c>
    </row>
    <row r="148">
      <c r="A148" s="1">
        <v>147.0</v>
      </c>
      <c r="B148" s="1" t="s">
        <v>1069</v>
      </c>
      <c r="C148" s="13" t="b">
        <f>IFERROR(__xludf.DUMMYFUNCTION("IF(ISTEXT(Filmes_raw!C148), REGEXEXTRACT(Filmes_raw!C148,""[^,]+$""))"),FALSE)</f>
        <v>0</v>
      </c>
      <c r="D148" s="1" t="b">
        <f t="shared" si="1"/>
        <v>0</v>
      </c>
      <c r="E148" s="14">
        <f>IFERROR(__xludf.DUMMYFUNCTION("VALUE(IF(ISTEXT(D148), REGEXREPLACE(Filmes_raw!C148,""[^,]+$"",D148),Filmes_raw!C148))"),2.93004164E8)</f>
        <v>293004164</v>
      </c>
      <c r="F148" s="6">
        <f>IFERROR(__xludf.DUMMYFUNCTION("VALUE(REGEXEXTRACT(Filmes_raw!F148, ""[0-9]+""
))"),96.0)</f>
        <v>96</v>
      </c>
    </row>
    <row r="149">
      <c r="A149" s="1">
        <v>148.0</v>
      </c>
      <c r="B149" s="1" t="s">
        <v>1076</v>
      </c>
      <c r="C149" s="13" t="b">
        <f>IFERROR(__xludf.DUMMYFUNCTION("IF(ISTEXT(Filmes_raw!C149), REGEXEXTRACT(Filmes_raw!C149,""[^,]+$""))"),FALSE)</f>
        <v>0</v>
      </c>
      <c r="D149" s="1" t="b">
        <f t="shared" si="1"/>
        <v>0</v>
      </c>
      <c r="E149" s="14">
        <f>IFERROR(__xludf.DUMMYFUNCTION("VALUE(IF(ISTEXT(D149), REGEXREPLACE(Filmes_raw!C149,""[^,]+$"",D149),Filmes_raw!C149))"),1.16900694E8)</f>
        <v>116900694</v>
      </c>
      <c r="F149" s="6">
        <f>IFERROR(__xludf.DUMMYFUNCTION("VALUE(REGEXEXTRACT(Filmes_raw!F149, ""[0-9]+""
))"),180.0)</f>
        <v>180</v>
      </c>
    </row>
    <row r="150">
      <c r="A150" s="1">
        <v>149.0</v>
      </c>
      <c r="B150" s="1" t="s">
        <v>1081</v>
      </c>
      <c r="C150" s="13" t="b">
        <f>IFERROR(__xludf.DUMMYFUNCTION("IF(ISTEXT(Filmes_raw!C150), REGEXEXTRACT(Filmes_raw!C150,""[^,]+$""))"),FALSE)</f>
        <v>0</v>
      </c>
      <c r="D150" s="1" t="b">
        <f t="shared" si="1"/>
        <v>0</v>
      </c>
      <c r="E150" s="14">
        <f>IFERROR(__xludf.DUMMYFUNCTION("VALUE(IF(ISTEXT(D150), REGEXREPLACE(Filmes_raw!C150,""[^,]+$"",D150),Filmes_raw!C150))"),1113541.0)</f>
        <v>1113541</v>
      </c>
      <c r="F150" s="6">
        <f>IFERROR(__xludf.DUMMYFUNCTION("VALUE(REGEXEXTRACT(Filmes_raw!F150, ""[0-9]+""
))"),153.0)</f>
        <v>153</v>
      </c>
    </row>
    <row r="151">
      <c r="A151" s="1">
        <v>150.0</v>
      </c>
      <c r="B151" s="1" t="s">
        <v>1088</v>
      </c>
      <c r="C151" s="13" t="b">
        <f>IFERROR(__xludf.DUMMYFUNCTION("IF(ISTEXT(Filmes_raw!C151), REGEXEXTRACT(Filmes_raw!C151,""[^,]+$""))"),FALSE)</f>
        <v>0</v>
      </c>
      <c r="D151" s="1" t="b">
        <f t="shared" si="1"/>
        <v>0</v>
      </c>
      <c r="E151" s="14">
        <f>IFERROR(__xludf.DUMMYFUNCTION("VALUE(IF(ISTEXT(D151), REGEXREPLACE(Filmes_raw!C151,""[^,]+$"",D151),Filmes_raw!C151))"),4.0222514E7)</f>
        <v>40222514</v>
      </c>
      <c r="F151" s="6">
        <f>IFERROR(__xludf.DUMMYFUNCTION("VALUE(REGEXEXTRACT(Filmes_raw!F151, ""[0-9]+""
))"),158.0)</f>
        <v>158</v>
      </c>
    </row>
    <row r="152">
      <c r="A152" s="1">
        <v>151.0</v>
      </c>
      <c r="B152" s="1" t="s">
        <v>1096</v>
      </c>
      <c r="C152" s="13" t="b">
        <f>IFERROR(__xludf.DUMMYFUNCTION("IF(ISTEXT(Filmes_raw!C152), REGEXEXTRACT(Filmes_raw!C152,""[^,]+$""))"),FALSE)</f>
        <v>0</v>
      </c>
      <c r="D152" s="1" t="b">
        <f t="shared" si="1"/>
        <v>0</v>
      </c>
      <c r="E152" s="14">
        <f>IFERROR(__xludf.DUMMYFUNCTION("VALUE(IF(ISTEXT(D152), REGEXREPLACE(Filmes_raw!C152,""[^,]+$"",D152),Filmes_raw!C152))"),3.7634615E7)</f>
        <v>37634615</v>
      </c>
      <c r="F152" s="6">
        <f>IFERROR(__xludf.DUMMYFUNCTION("VALUE(REGEXEXTRACT(Filmes_raw!F152, ""[0-9]+""
))"),118.0)</f>
        <v>118</v>
      </c>
    </row>
    <row r="153">
      <c r="A153" s="1">
        <v>152.0</v>
      </c>
      <c r="B153" s="1" t="s">
        <v>1104</v>
      </c>
      <c r="C153" s="13" t="b">
        <f>IFERROR(__xludf.DUMMYFUNCTION("IF(ISTEXT(Filmes_raw!C153), REGEXEXTRACT(Filmes_raw!C153,""[^,]+$""))"),FALSE)</f>
        <v>0</v>
      </c>
      <c r="D153" s="1" t="b">
        <f t="shared" si="1"/>
        <v>0</v>
      </c>
      <c r="E153" s="14">
        <f>IFERROR(__xludf.DUMMYFUNCTION("VALUE(IF(ISTEXT(D153), REGEXREPLACE(Filmes_raw!C153,""[^,]+$"",D153),Filmes_raw!C153))"),4.1500488E8)</f>
        <v>415004880</v>
      </c>
      <c r="F153" s="6">
        <f>IFERROR(__xludf.DUMMYFUNCTION("VALUE(REGEXEXTRACT(Filmes_raw!F153, ""[0-9]+""
))"),103.0)</f>
        <v>103</v>
      </c>
    </row>
    <row r="154">
      <c r="A154" s="1">
        <v>153.0</v>
      </c>
      <c r="B154" s="1" t="s">
        <v>1108</v>
      </c>
      <c r="C154" s="13" t="b">
        <f>IFERROR(__xludf.DUMMYFUNCTION("IF(ISTEXT(Filmes_raw!C154), REGEXEXTRACT(Filmes_raw!C154,""[^,]+$""))"),FALSE)</f>
        <v>0</v>
      </c>
      <c r="D154" s="1" t="b">
        <f t="shared" si="1"/>
        <v>0</v>
      </c>
      <c r="E154" s="14">
        <f>IFERROR(__xludf.DUMMYFUNCTION("VALUE(IF(ISTEXT(D154), REGEXREPLACE(Filmes_raw!C154,""[^,]+$"",D154),Filmes_raw!C154))"),7.0511035E7)</f>
        <v>70511035</v>
      </c>
      <c r="F154" s="6">
        <f>IFERROR(__xludf.DUMMYFUNCTION("VALUE(REGEXEXTRACT(Filmes_raw!F154, ""[0-9]+""
))"),132.0)</f>
        <v>132</v>
      </c>
    </row>
    <row r="155">
      <c r="A155" s="1">
        <v>154.0</v>
      </c>
      <c r="B155" s="1" t="s">
        <v>1115</v>
      </c>
      <c r="C155" s="13" t="b">
        <f>IFERROR(__xludf.DUMMYFUNCTION("IF(ISTEXT(Filmes_raw!C155), REGEXEXTRACT(Filmes_raw!C155,""[^,]+$""))"),FALSE)</f>
        <v>0</v>
      </c>
      <c r="D155" s="1" t="b">
        <f t="shared" si="1"/>
        <v>0</v>
      </c>
      <c r="E155" s="14">
        <f>IFERROR(__xludf.DUMMYFUNCTION("VALUE(IF(ISTEXT(D155), REGEXREPLACE(Filmes_raw!C155,""[^,]+$"",D155),Filmes_raw!C155))"),2197331.0)</f>
        <v>2197331</v>
      </c>
      <c r="F155" s="6">
        <f>IFERROR(__xludf.DUMMYFUNCTION("VALUE(REGEXEXTRACT(Filmes_raw!F155, ""[0-9]+""
))"),167.0)</f>
        <v>167</v>
      </c>
    </row>
    <row r="156">
      <c r="A156" s="1">
        <v>155.0</v>
      </c>
      <c r="B156" s="1" t="s">
        <v>1119</v>
      </c>
      <c r="C156" s="13" t="b">
        <f>IFERROR(__xludf.DUMMYFUNCTION("IF(ISTEXT(Filmes_raw!C156), REGEXEXTRACT(Filmes_raw!C156,""[^,]+$""))"),FALSE)</f>
        <v>0</v>
      </c>
      <c r="D156" s="1" t="b">
        <f t="shared" si="1"/>
        <v>0</v>
      </c>
      <c r="E156" s="14">
        <f>IFERROR(__xludf.DUMMYFUNCTION("VALUE(IF(ISTEXT(D156), REGEXREPLACE(Filmes_raw!C156,""[^,]+$"",D156),Filmes_raw!C156))"),733094.0)</f>
        <v>733094</v>
      </c>
      <c r="F156" s="6">
        <f>IFERROR(__xludf.DUMMYFUNCTION("VALUE(REGEXEXTRACT(Filmes_raw!F156, ""[0-9]+""
))"),122.0)</f>
        <v>122</v>
      </c>
    </row>
    <row r="157">
      <c r="A157" s="1">
        <v>156.0</v>
      </c>
      <c r="B157" s="1" t="s">
        <v>1125</v>
      </c>
      <c r="C157" s="13" t="b">
        <f>IFERROR(__xludf.DUMMYFUNCTION("IF(ISTEXT(Filmes_raw!C157), REGEXEXTRACT(Filmes_raw!C157,""[^,]+$""))"),FALSE)</f>
        <v>0</v>
      </c>
      <c r="D157" s="1" t="b">
        <f t="shared" si="1"/>
        <v>0</v>
      </c>
      <c r="E157" s="14">
        <f>IFERROR(__xludf.DUMMYFUNCTION("VALUE(IF(ISTEXT(D157), REGEXREPLACE(Filmes_raw!C157,""[^,]+$"",D157),Filmes_raw!C157))"),2.06852432E8)</f>
        <v>206852432</v>
      </c>
      <c r="F157" s="6">
        <f>IFERROR(__xludf.DUMMYFUNCTION("VALUE(REGEXEXTRACT(Filmes_raw!F157, ""[0-9]+""
))"),140.0)</f>
        <v>140</v>
      </c>
    </row>
    <row r="158">
      <c r="A158" s="1">
        <v>157.0</v>
      </c>
      <c r="B158" s="1" t="s">
        <v>1127</v>
      </c>
      <c r="C158" s="13" t="b">
        <f>IFERROR(__xludf.DUMMYFUNCTION("IF(ISTEXT(Filmes_raw!C158), REGEXEXTRACT(Filmes_raw!C158,""[^,]+$""))"),FALSE)</f>
        <v>0</v>
      </c>
      <c r="D158" s="1" t="b">
        <f t="shared" si="1"/>
        <v>0</v>
      </c>
      <c r="E158" s="14">
        <f>IFERROR(__xludf.DUMMYFUNCTION("VALUE(IF(ISTEXT(D158), REGEXREPLACE(Filmes_raw!C158,""[^,]+$"",D158),Filmes_raw!C158))"),1223240.0)</f>
        <v>1223240</v>
      </c>
      <c r="F158" s="6">
        <f>IFERROR(__xludf.DUMMYFUNCTION("VALUE(REGEXEXTRACT(Filmes_raw!F158, ""[0-9]+""
))"),210.0)</f>
        <v>210</v>
      </c>
    </row>
    <row r="159">
      <c r="A159" s="1">
        <v>158.0</v>
      </c>
      <c r="B159" s="1" t="s">
        <v>1134</v>
      </c>
      <c r="C159" s="13" t="b">
        <f>IFERROR(__xludf.DUMMYFUNCTION("IF(ISTEXT(Filmes_raw!C159), REGEXEXTRACT(Filmes_raw!C159,""[^,]+$""))"),FALSE)</f>
        <v>0</v>
      </c>
      <c r="D159" s="1" t="b">
        <f t="shared" si="1"/>
        <v>0</v>
      </c>
      <c r="E159" s="14">
        <f>IFERROR(__xludf.DUMMYFUNCTION("VALUE(IF(ISTEXT(D159), REGEXREPLACE(Filmes_raw!C159,""[^,]+$"",D159),Filmes_raw!C159))"),5509040.0)</f>
        <v>5509040</v>
      </c>
      <c r="F159" s="6">
        <f>IFERROR(__xludf.DUMMYFUNCTION("VALUE(REGEXEXTRACT(Filmes_raw!F159, ""[0-9]+""
))"),156.0)</f>
        <v>156</v>
      </c>
    </row>
    <row r="160">
      <c r="A160" s="1">
        <v>159.0</v>
      </c>
      <c r="B160" s="1" t="s">
        <v>1141</v>
      </c>
      <c r="C160" s="13" t="b">
        <f>IFERROR(__xludf.DUMMYFUNCTION("IF(ISTEXT(Filmes_raw!C160), REGEXEXTRACT(Filmes_raw!C160,""[^,]+$""))"),FALSE)</f>
        <v>0</v>
      </c>
      <c r="D160" s="1" t="b">
        <f t="shared" si="1"/>
        <v>0</v>
      </c>
      <c r="E160" s="14">
        <f>IFERROR(__xludf.DUMMYFUNCTION("VALUE(IF(ISTEXT(D160), REGEXREPLACE(Filmes_raw!C160,""[^,]+$"",D160),Filmes_raw!C160))"),4711096.0)</f>
        <v>4711096</v>
      </c>
      <c r="F160" s="6">
        <f>IFERROR(__xludf.DUMMYFUNCTION("VALUE(REGEXEXTRACT(Filmes_raw!F160, ""[0-9]+""
))"),119.0)</f>
        <v>119</v>
      </c>
    </row>
    <row r="161">
      <c r="A161" s="1">
        <v>160.0</v>
      </c>
      <c r="B161" s="1" t="s">
        <v>1147</v>
      </c>
      <c r="C161" s="13" t="b">
        <f>IFERROR(__xludf.DUMMYFUNCTION("IF(ISTEXT(Filmes_raw!C161), REGEXEXTRACT(Filmes_raw!C161,""[^,]+$""))"),FALSE)</f>
        <v>0</v>
      </c>
      <c r="D161" s="1" t="b">
        <f t="shared" si="1"/>
        <v>0</v>
      </c>
      <c r="E161" s="14">
        <f>IFERROR(__xludf.DUMMYFUNCTION("VALUE(IF(ISTEXT(D161), REGEXREPLACE(Filmes_raw!C161,""[^,]+$"",D161),Filmes_raw!C161))"),1.70742341E8)</f>
        <v>170742341</v>
      </c>
      <c r="F161" s="6">
        <f>IFERROR(__xludf.DUMMYFUNCTION("VALUE(REGEXEXTRACT(Filmes_raw!F161, ""[0-9]+""
))"),135.0)</f>
        <v>135</v>
      </c>
    </row>
    <row r="162">
      <c r="A162" s="1">
        <v>161.0</v>
      </c>
      <c r="B162" s="1" t="s">
        <v>1153</v>
      </c>
      <c r="C162" s="13" t="b">
        <f>IFERROR(__xludf.DUMMYFUNCTION("IF(ISTEXT(Filmes_raw!C162), REGEXEXTRACT(Filmes_raw!C162,""[^,]+$""))"),FALSE)</f>
        <v>0</v>
      </c>
      <c r="D162" s="1" t="b">
        <f t="shared" si="1"/>
        <v>0</v>
      </c>
      <c r="E162" s="14">
        <f>IFERROR(__xludf.DUMMYFUNCTION("VALUE(IF(ISTEXT(D162), REGEXREPLACE(Filmes_raw!C162,""[^,]+$"",D162),Filmes_raw!C162))"),0.0)</f>
        <v>0</v>
      </c>
      <c r="F162" s="6">
        <f>IFERROR(__xludf.DUMMYFUNCTION("VALUE(REGEXEXTRACT(Filmes_raw!F162, ""[0-9]+""
))"),156.0)</f>
        <v>156</v>
      </c>
    </row>
    <row r="163">
      <c r="A163" s="1">
        <v>162.0</v>
      </c>
      <c r="B163" s="1" t="s">
        <v>1158</v>
      </c>
      <c r="C163" s="13" t="b">
        <f>IFERROR(__xludf.DUMMYFUNCTION("IF(ISTEXT(Filmes_raw!C163), REGEXEXTRACT(Filmes_raw!C163,""[^,]+$""))"),FALSE)</f>
        <v>0</v>
      </c>
      <c r="D163" s="1" t="b">
        <f t="shared" si="1"/>
        <v>0</v>
      </c>
      <c r="E163" s="14">
        <f>IFERROR(__xludf.DUMMYFUNCTION("VALUE(IF(ISTEXT(D163), REGEXREPLACE(Filmes_raw!C163,""[^,]+$"",D163),Filmes_raw!C163))"),3897569.0)</f>
        <v>3897569</v>
      </c>
      <c r="F163" s="6">
        <f>IFERROR(__xludf.DUMMYFUNCTION("VALUE(REGEXEXTRACT(Filmes_raw!F163, ""[0-9]+""
))"),107.0)</f>
        <v>107</v>
      </c>
    </row>
    <row r="164">
      <c r="A164" s="1">
        <v>163.0</v>
      </c>
      <c r="B164" s="1" t="s">
        <v>1163</v>
      </c>
      <c r="C164" s="13" t="b">
        <f>IFERROR(__xludf.DUMMYFUNCTION("IF(ISTEXT(Filmes_raw!C164), REGEXEXTRACT(Filmes_raw!C164,""[^,]+$""))"),FALSE)</f>
        <v>0</v>
      </c>
      <c r="D164" s="1" t="b">
        <f t="shared" si="1"/>
        <v>0</v>
      </c>
      <c r="E164" s="14">
        <f>IFERROR(__xludf.DUMMYFUNCTION("VALUE(IF(ISTEXT(D164), REGEXREPLACE(Filmes_raw!C164,""[^,]+$"",D164),Filmes_raw!C164))"),6.461694E7)</f>
        <v>64616940</v>
      </c>
      <c r="F164" s="6">
        <f>IFERROR(__xludf.DUMMYFUNCTION("VALUE(REGEXEXTRACT(Filmes_raw!F164, ""[0-9]+""
))"),138.0)</f>
        <v>138</v>
      </c>
    </row>
    <row r="165">
      <c r="A165" s="1">
        <v>164.0</v>
      </c>
      <c r="B165" s="1" t="s">
        <v>1167</v>
      </c>
      <c r="C165" s="13" t="b">
        <f>IFERROR(__xludf.DUMMYFUNCTION("IF(ISTEXT(Filmes_raw!C165), REGEXEXTRACT(Filmes_raw!C165,""[^,]+$""))"),FALSE)</f>
        <v>0</v>
      </c>
      <c r="D165" s="1" t="b">
        <f t="shared" si="1"/>
        <v>0</v>
      </c>
      <c r="E165" s="14">
        <f>IFERROR(__xludf.DUMMYFUNCTION("VALUE(IF(ISTEXT(D165), REGEXREPLACE(Filmes_raw!C165,""[^,]+$"",D165),Filmes_raw!C165))"),1200000.0)</f>
        <v>1200000</v>
      </c>
      <c r="F165" s="6">
        <f>IFERROR(__xludf.DUMMYFUNCTION("VALUE(REGEXEXTRACT(Filmes_raw!F165, ""[0-9]+""
))"),128.0)</f>
        <v>128</v>
      </c>
    </row>
    <row r="166">
      <c r="A166" s="1">
        <v>165.0</v>
      </c>
      <c r="B166" s="1" t="s">
        <v>1174</v>
      </c>
      <c r="C166" s="13" t="b">
        <f>IFERROR(__xludf.DUMMYFUNCTION("IF(ISTEXT(Filmes_raw!C166), REGEXEXTRACT(Filmes_raw!C166,""[^,]+$""))"),FALSE)</f>
        <v>0</v>
      </c>
      <c r="D166" s="1" t="b">
        <f t="shared" si="1"/>
        <v>0</v>
      </c>
      <c r="E166" s="14">
        <f>IFERROR(__xludf.DUMMYFUNCTION("VALUE(IF(ISTEXT(D166), REGEXREPLACE(Filmes_raw!C166,""[^,]+$"",D166),Filmes_raw!C166))"),6.7436818E7)</f>
        <v>67436818</v>
      </c>
      <c r="F166" s="6">
        <f>IFERROR(__xludf.DUMMYFUNCTION("VALUE(REGEXEXTRACT(Filmes_raw!F166, ""[0-9]+""
))"),170.0)</f>
        <v>170</v>
      </c>
    </row>
    <row r="167">
      <c r="A167" s="1">
        <v>166.0</v>
      </c>
      <c r="B167" s="1" t="s">
        <v>1179</v>
      </c>
      <c r="C167" s="13" t="b">
        <f>IFERROR(__xludf.DUMMYFUNCTION("IF(ISTEXT(Filmes_raw!C167), REGEXEXTRACT(Filmes_raw!C167,""[^,]+$""))"),FALSE)</f>
        <v>0</v>
      </c>
      <c r="D167" s="1" t="b">
        <f t="shared" si="1"/>
        <v>0</v>
      </c>
      <c r="E167" s="14">
        <f>IFERROR(__xludf.DUMMYFUNCTION("VALUE(IF(ISTEXT(D167), REGEXREPLACE(Filmes_raw!C167,""[^,]+$"",D167),Filmes_raw!C167))"),4.24383E7)</f>
        <v>42438300</v>
      </c>
      <c r="F167" s="6">
        <f>IFERROR(__xludf.DUMMYFUNCTION("VALUE(REGEXEXTRACT(Filmes_raw!F167, ""[0-9]+""
))"),178.0)</f>
        <v>178</v>
      </c>
    </row>
    <row r="168">
      <c r="A168" s="1">
        <v>167.0</v>
      </c>
      <c r="B168" s="1" t="s">
        <v>1182</v>
      </c>
      <c r="C168" s="13" t="b">
        <f>IFERROR(__xludf.DUMMYFUNCTION("IF(ISTEXT(Filmes_raw!C168), REGEXEXTRACT(Filmes_raw!C168,""[^,]+$""))"),FALSE)</f>
        <v>0</v>
      </c>
      <c r="D168" s="1" t="b">
        <f t="shared" si="1"/>
        <v>0</v>
      </c>
      <c r="E168" s="14">
        <f>IFERROR(__xludf.DUMMYFUNCTION("VALUE(IF(ISTEXT(D168), REGEXREPLACE(Filmes_raw!C168,""[^,]+$"",D168),Filmes_raw!C168))"),0.0)</f>
        <v>0</v>
      </c>
      <c r="F168" s="6">
        <f>IFERROR(__xludf.DUMMYFUNCTION("VALUE(REGEXEXTRACT(Filmes_raw!F168, ""[0-9]+""
))"),160.0)</f>
        <v>160</v>
      </c>
    </row>
    <row r="169">
      <c r="A169" s="1">
        <v>168.0</v>
      </c>
      <c r="B169" s="1" t="s">
        <v>1189</v>
      </c>
      <c r="C169" s="13" t="b">
        <f>IFERROR(__xludf.DUMMYFUNCTION("IF(ISTEXT(Filmes_raw!C169), REGEXEXTRACT(Filmes_raw!C169,""[^,]+$""))"),FALSE)</f>
        <v>0</v>
      </c>
      <c r="D169" s="1" t="b">
        <f t="shared" si="1"/>
        <v>0</v>
      </c>
      <c r="E169" s="14">
        <f>IFERROR(__xludf.DUMMYFUNCTION("VALUE(IF(ISTEXT(D169), REGEXREPLACE(Filmes_raw!C169,""[^,]+$"",D169),Filmes_raw!C169))"),1.01157447E8)</f>
        <v>101157447</v>
      </c>
      <c r="F169" s="6">
        <f>IFERROR(__xludf.DUMMYFUNCTION("VALUE(REGEXEXTRACT(Filmes_raw!F169, ""[0-9]+""
))"),130.0)</f>
        <v>130</v>
      </c>
    </row>
    <row r="170">
      <c r="A170" s="1">
        <v>169.0</v>
      </c>
      <c r="B170" s="1" t="s">
        <v>1193</v>
      </c>
      <c r="C170" s="13" t="b">
        <f>IFERROR(__xludf.DUMMYFUNCTION("IF(ISTEXT(Filmes_raw!C170), REGEXEXTRACT(Filmes_raw!C170,""[^,]+$""))"),FALSE)</f>
        <v>0</v>
      </c>
      <c r="D170" s="1" t="b">
        <f t="shared" si="1"/>
        <v>0</v>
      </c>
      <c r="E170" s="14">
        <f>IFERROR(__xludf.DUMMYFUNCTION("VALUE(IF(ISTEXT(D170), REGEXREPLACE(Filmes_raw!C170,""[^,]+$"",D170),Filmes_raw!C170))"),1.97171806E8)</f>
        <v>197171806</v>
      </c>
      <c r="F170" s="6">
        <f>IFERROR(__xludf.DUMMYFUNCTION("VALUE(REGEXEXTRACT(Filmes_raw!F170, ""[0-9]+""
))"),127.0)</f>
        <v>127</v>
      </c>
    </row>
    <row r="171">
      <c r="A171" s="1">
        <v>170.0</v>
      </c>
      <c r="B171" s="1" t="s">
        <v>1198</v>
      </c>
      <c r="C171" s="13" t="b">
        <f>IFERROR(__xludf.DUMMYFUNCTION("IF(ISTEXT(Filmes_raw!C171), REGEXEXTRACT(Filmes_raw!C171,""[^,]+$""))"),FALSE)</f>
        <v>0</v>
      </c>
      <c r="D171" s="1" t="b">
        <f t="shared" si="1"/>
        <v>0</v>
      </c>
      <c r="E171" s="14">
        <f>IFERROR(__xludf.DUMMYFUNCTION("VALUE(IF(ISTEXT(D171), REGEXREPLACE(Filmes_raw!C171,""[^,]+$"",D171),Filmes_raw!C171))"),280015.0)</f>
        <v>280015</v>
      </c>
      <c r="F171" s="6">
        <f>IFERROR(__xludf.DUMMYFUNCTION("VALUE(REGEXEXTRACT(Filmes_raw!F171, ""[0-9]+""
))"),142.0)</f>
        <v>142</v>
      </c>
    </row>
    <row r="172">
      <c r="A172" s="1">
        <v>171.0</v>
      </c>
      <c r="B172" s="1" t="s">
        <v>1205</v>
      </c>
      <c r="C172" s="13" t="b">
        <f>IFERROR(__xludf.DUMMYFUNCTION("IF(ISTEXT(Filmes_raw!C172), REGEXEXTRACT(Filmes_raw!C172,""[^,]+$""))"),FALSE)</f>
        <v>0</v>
      </c>
      <c r="D172" s="1" t="b">
        <f t="shared" si="1"/>
        <v>0</v>
      </c>
      <c r="E172" s="14">
        <f>IFERROR(__xludf.DUMMYFUNCTION("VALUE(IF(ISTEXT(D172), REGEXREPLACE(Filmes_raw!C172,""[^,]+$"",D172),Filmes_raw!C172))"),1105564.0)</f>
        <v>1105564</v>
      </c>
      <c r="F172" s="6">
        <f>IFERROR(__xludf.DUMMYFUNCTION("VALUE(REGEXEXTRACT(Filmes_raw!F172, ""[0-9]+""
))"),86.0)</f>
        <v>86</v>
      </c>
    </row>
    <row r="173">
      <c r="A173" s="1">
        <v>172.0</v>
      </c>
      <c r="B173" s="1" t="s">
        <v>1213</v>
      </c>
      <c r="C173" s="13" t="b">
        <f>IFERROR(__xludf.DUMMYFUNCTION("IF(ISTEXT(Filmes_raw!C173), REGEXEXTRACT(Filmes_raw!C173,""[^,]+$""))"),FALSE)</f>
        <v>0</v>
      </c>
      <c r="D173" s="1" t="b">
        <f t="shared" si="1"/>
        <v>0</v>
      </c>
      <c r="E173" s="14">
        <f>IFERROR(__xludf.DUMMYFUNCTION("VALUE(IF(ISTEXT(D173), REGEXREPLACE(Filmes_raw!C173,""[^,]+$"",D173),Filmes_raw!C173))"),8.3008852E7)</f>
        <v>83008852</v>
      </c>
      <c r="F173" s="6">
        <f>IFERROR(__xludf.DUMMYFUNCTION("VALUE(REGEXEXTRACT(Filmes_raw!F173, ""[0-9]+""
))"),132.0)</f>
        <v>132</v>
      </c>
    </row>
    <row r="174">
      <c r="A174" s="1">
        <v>173.0</v>
      </c>
      <c r="B174" s="1" t="s">
        <v>1220</v>
      </c>
      <c r="C174" s="13" t="b">
        <f>IFERROR(__xludf.DUMMYFUNCTION("IF(ISTEXT(Filmes_raw!C174), REGEXEXTRACT(Filmes_raw!C174,""[^,]+$""))"),FALSE)</f>
        <v>0</v>
      </c>
      <c r="D174" s="1" t="b">
        <f t="shared" si="1"/>
        <v>0</v>
      </c>
      <c r="E174" s="14">
        <f>IFERROR(__xludf.DUMMYFUNCTION("VALUE(IF(ISTEXT(D174), REGEXREPLACE(Filmes_raw!C174,""[^,]+$"",D174),Filmes_raw!C174))"),4135750.0)</f>
        <v>4135750</v>
      </c>
      <c r="F174" s="6">
        <f>IFERROR(__xludf.DUMMYFUNCTION("VALUE(REGEXEXTRACT(Filmes_raw!F174, ""[0-9]+""
))"),162.0)</f>
        <v>162</v>
      </c>
    </row>
    <row r="175">
      <c r="A175" s="1">
        <v>174.0</v>
      </c>
      <c r="B175" s="1" t="s">
        <v>1226</v>
      </c>
      <c r="C175" s="13" t="b">
        <f>IFERROR(__xludf.DUMMYFUNCTION("IF(ISTEXT(Filmes_raw!C175), REGEXEXTRACT(Filmes_raw!C175,""[^,]+$""))"),FALSE)</f>
        <v>0</v>
      </c>
      <c r="D175" s="1" t="b">
        <f t="shared" si="1"/>
        <v>0</v>
      </c>
      <c r="E175" s="14">
        <f>IFERROR(__xludf.DUMMYFUNCTION("VALUE(IF(ISTEXT(D175), REGEXREPLACE(Filmes_raw!C175,""[^,]+$"",D175),Filmes_raw!C175))"),2.3383987E7)</f>
        <v>23383987</v>
      </c>
      <c r="F175" s="6">
        <f>IFERROR(__xludf.DUMMYFUNCTION("VALUE(REGEXEXTRACT(Filmes_raw!F175, ""[0-9]+""
))"),129.0)</f>
        <v>129</v>
      </c>
    </row>
    <row r="176">
      <c r="A176" s="1">
        <v>175.0</v>
      </c>
      <c r="B176" s="1" t="s">
        <v>1230</v>
      </c>
      <c r="C176" s="13" t="b">
        <f>IFERROR(__xludf.DUMMYFUNCTION("IF(ISTEXT(Filmes_raw!C176), REGEXEXTRACT(Filmes_raw!C176,""[^,]+$""))"),FALSE)</f>
        <v>0</v>
      </c>
      <c r="D176" s="1" t="b">
        <f t="shared" si="1"/>
        <v>0</v>
      </c>
      <c r="E176" s="14">
        <f>IFERROR(__xludf.DUMMYFUNCTION("VALUE(IF(ISTEXT(D176), REGEXREPLACE(Filmes_raw!C176,""[^,]+$"",D176),Filmes_raw!C176))"),234723.0)</f>
        <v>234723</v>
      </c>
      <c r="F176" s="6">
        <f>IFERROR(__xludf.DUMMYFUNCTION("VALUE(REGEXEXTRACT(Filmes_raw!F176, ""[0-9]+""
))"),162.0)</f>
        <v>162</v>
      </c>
    </row>
    <row r="177">
      <c r="A177" s="1">
        <v>176.0</v>
      </c>
      <c r="B177" s="1" t="s">
        <v>1237</v>
      </c>
      <c r="C177" s="13" t="b">
        <f>IFERROR(__xludf.DUMMYFUNCTION("IF(ISTEXT(Filmes_raw!C177), REGEXEXTRACT(Filmes_raw!C177,""[^,]+$""))"),FALSE)</f>
        <v>0</v>
      </c>
      <c r="D177" s="1" t="b">
        <f t="shared" si="1"/>
        <v>0</v>
      </c>
      <c r="E177" s="14">
        <f>IFERROR(__xludf.DUMMYFUNCTION("VALUE(IF(ISTEXT(D177), REGEXREPLACE(Filmes_raw!C177,""[^,]+$"",D177),Filmes_raw!C177))"),14338.0)</f>
        <v>14338</v>
      </c>
      <c r="F177" s="6">
        <f>IFERROR(__xludf.DUMMYFUNCTION("VALUE(REGEXEXTRACT(Filmes_raw!F177, ""[0-9]+""
))"),99.0)</f>
        <v>99</v>
      </c>
    </row>
    <row r="178">
      <c r="A178" s="1">
        <v>177.0</v>
      </c>
      <c r="B178" s="1" t="s">
        <v>1243</v>
      </c>
      <c r="C178" s="13" t="b">
        <f>IFERROR(__xludf.DUMMYFUNCTION("IF(ISTEXT(Filmes_raw!C178), REGEXEXTRACT(Filmes_raw!C178,""[^,]+$""))"),FALSE)</f>
        <v>0</v>
      </c>
      <c r="D178" s="1" t="b">
        <f t="shared" si="1"/>
        <v>0</v>
      </c>
      <c r="E178" s="14">
        <f>IFERROR(__xludf.DUMMYFUNCTION("VALUE(IF(ISTEXT(D178), REGEXREPLACE(Filmes_raw!C178,""[^,]+$"",D178),Filmes_raw!C178))"),1.0E7)</f>
        <v>10000000</v>
      </c>
      <c r="F178" s="6">
        <f>IFERROR(__xludf.DUMMYFUNCTION("VALUE(REGEXEXTRACT(Filmes_raw!F178, ""[0-9]+""
))"),177.0)</f>
        <v>177</v>
      </c>
    </row>
    <row r="179">
      <c r="A179" s="1">
        <v>178.0</v>
      </c>
      <c r="B179" s="1" t="s">
        <v>1250</v>
      </c>
      <c r="C179" s="13" t="b">
        <f>IFERROR(__xludf.DUMMYFUNCTION("IF(ISTEXT(Filmes_raw!C179), REGEXEXTRACT(Filmes_raw!C179,""[^,]+$""))"),FALSE)</f>
        <v>0</v>
      </c>
      <c r="D179" s="1" t="b">
        <f t="shared" si="1"/>
        <v>0</v>
      </c>
      <c r="E179" s="14">
        <f>IFERROR(__xludf.DUMMYFUNCTION("VALUE(IF(ISTEXT(D179), REGEXREPLACE(Filmes_raw!C179,""[^,]+$"",D179),Filmes_raw!C179))"),0.0)</f>
        <v>0</v>
      </c>
      <c r="F179" s="6">
        <f>IFERROR(__xludf.DUMMYFUNCTION("VALUE(REGEXEXTRACT(Filmes_raw!F179, ""[0-9]+""
))"),204.0)</f>
        <v>204</v>
      </c>
    </row>
    <row r="180">
      <c r="A180" s="1">
        <v>179.0</v>
      </c>
      <c r="B180" s="1" t="s">
        <v>1258</v>
      </c>
      <c r="C180" s="13" t="b">
        <f>IFERROR(__xludf.DUMMYFUNCTION("IF(ISTEXT(Filmes_raw!C180), REGEXEXTRACT(Filmes_raw!C180,""[^,]+$""))"),FALSE)</f>
        <v>0</v>
      </c>
      <c r="D180" s="1" t="b">
        <f t="shared" si="1"/>
        <v>0</v>
      </c>
      <c r="E180" s="14">
        <f>IFERROR(__xludf.DUMMYFUNCTION("VALUE(IF(ISTEXT(D180), REGEXREPLACE(Filmes_raw!C180,""[^,]+$"",D180),Filmes_raw!C180))"),1229197.0)</f>
        <v>1229197</v>
      </c>
      <c r="F180" s="6">
        <f>IFERROR(__xludf.DUMMYFUNCTION("VALUE(REGEXEXTRACT(Filmes_raw!F180, ""[0-9]+""
))"),91.0)</f>
        <v>91</v>
      </c>
    </row>
    <row r="181">
      <c r="A181" s="1">
        <v>180.0</v>
      </c>
      <c r="B181" s="1" t="s">
        <v>1267</v>
      </c>
      <c r="C181" s="13" t="b">
        <f>IFERROR(__xludf.DUMMYFUNCTION("IF(ISTEXT(Filmes_raw!C181), REGEXEXTRACT(Filmes_raw!C181,""[^,]+$""))"),FALSE)</f>
        <v>0</v>
      </c>
      <c r="D181" s="1" t="b">
        <f t="shared" si="1"/>
        <v>0</v>
      </c>
      <c r="E181" s="14">
        <f>IFERROR(__xludf.DUMMYFUNCTION("VALUE(IF(ISTEXT(D181), REGEXREPLACE(Filmes_raw!C181,""[^,]+$"",D181),Filmes_raw!C181))"),1.21E7)</f>
        <v>12100000</v>
      </c>
      <c r="F181" s="6">
        <f>IFERROR(__xludf.DUMMYFUNCTION("VALUE(REGEXEXTRACT(Filmes_raw!F181, ""[0-9]+""
))"),172.0)</f>
        <v>172</v>
      </c>
    </row>
    <row r="182">
      <c r="A182" s="1">
        <v>181.0</v>
      </c>
      <c r="B182" s="1" t="s">
        <v>1275</v>
      </c>
      <c r="C182" s="13" t="b">
        <f>IFERROR(__xludf.DUMMYFUNCTION("IF(ISTEXT(Filmes_raw!C182), REGEXEXTRACT(Filmes_raw!C182,""[^,]+$""))"),FALSE)</f>
        <v>0</v>
      </c>
      <c r="D182" s="1" t="b">
        <f t="shared" si="1"/>
        <v>0</v>
      </c>
      <c r="E182" s="14">
        <f>IFERROR(__xludf.DUMMYFUNCTION("VALUE(IF(ISTEXT(D182), REGEXREPLACE(Filmes_raw!C182,""[^,]+$"",D182),Filmes_raw!C182))"),599146.0)</f>
        <v>599146</v>
      </c>
      <c r="F182" s="6">
        <f>IFERROR(__xludf.DUMMYFUNCTION("VALUE(REGEXEXTRACT(Filmes_raw!F182, ""[0-9]+""
))"),129.0)</f>
        <v>129</v>
      </c>
    </row>
    <row r="183">
      <c r="A183" s="1">
        <v>182.0</v>
      </c>
      <c r="B183" s="1" t="s">
        <v>1282</v>
      </c>
      <c r="C183" s="13" t="b">
        <f>IFERROR(__xludf.DUMMYFUNCTION("IF(ISTEXT(Filmes_raw!C183), REGEXEXTRACT(Filmes_raw!C183,""[^,]+$""))"),FALSE)</f>
        <v>0</v>
      </c>
      <c r="D183" s="1" t="b">
        <f t="shared" si="1"/>
        <v>0</v>
      </c>
      <c r="E183" s="14">
        <f>IFERROR(__xludf.DUMMYFUNCTION("VALUE(IF(ISTEXT(D183), REGEXREPLACE(Filmes_raw!C183,""[^,]+$"",D183),Filmes_raw!C183))"),46808.0)</f>
        <v>46808</v>
      </c>
      <c r="F183" s="6">
        <f>IFERROR(__xludf.DUMMYFUNCTION("VALUE(REGEXEXTRACT(Filmes_raw!F183, ""[0-9]+""
))"),110.0)</f>
        <v>110</v>
      </c>
    </row>
    <row r="184">
      <c r="A184" s="1">
        <v>183.0</v>
      </c>
      <c r="B184" s="1" t="s">
        <v>1287</v>
      </c>
      <c r="C184" s="13" t="str">
        <f>IFERROR(__xludf.DUMMYFUNCTION("IF(ISTEXT(Filmes_raw!C184), REGEXEXTRACT(Filmes_raw!C184,""[^,]+$""))"),"18")</f>
        <v>18</v>
      </c>
      <c r="D184" s="1" t="str">
        <f t="shared" si="1"/>
        <v>180</v>
      </c>
      <c r="E184" s="14">
        <f>IFERROR(__xludf.DUMMYFUNCTION("VALUE(IF(ISTEXT(D184), REGEXREPLACE(Filmes_raw!C184,""[^,]+$"",D184),Filmes_raw!C184))"),12180.0)</f>
        <v>12180</v>
      </c>
      <c r="F184" s="6">
        <f>IFERROR(__xludf.DUMMYFUNCTION("VALUE(REGEXEXTRACT(Filmes_raw!F184, ""[0-9]+""
))"),179.0)</f>
        <v>179</v>
      </c>
    </row>
    <row r="185">
      <c r="A185" s="1">
        <v>184.0</v>
      </c>
      <c r="B185" s="1" t="s">
        <v>1294</v>
      </c>
      <c r="C185" s="13" t="b">
        <f>IFERROR(__xludf.DUMMYFUNCTION("IF(ISTEXT(Filmes_raw!C185), REGEXEXTRACT(Filmes_raw!C185,""[^,]+$""))"),FALSE)</f>
        <v>0</v>
      </c>
      <c r="D185" s="1" t="b">
        <f t="shared" si="1"/>
        <v>0</v>
      </c>
      <c r="E185" s="14">
        <f>IFERROR(__xludf.DUMMYFUNCTION("VALUE(IF(ISTEXT(D185), REGEXREPLACE(Filmes_raw!C185,""[^,]+$"",D185),Filmes_raw!C185))"),2.5E7)</f>
        <v>25000000</v>
      </c>
      <c r="F185" s="6">
        <f>IFERROR(__xludf.DUMMYFUNCTION("VALUE(REGEXEXTRACT(Filmes_raw!F185, ""[0-9]+""
))"),121.0)</f>
        <v>121</v>
      </c>
    </row>
    <row r="186">
      <c r="A186" s="1">
        <v>185.0</v>
      </c>
      <c r="B186" s="1" t="s">
        <v>1300</v>
      </c>
      <c r="C186" s="13" t="b">
        <f>IFERROR(__xludf.DUMMYFUNCTION("IF(ISTEXT(Filmes_raw!C186), REGEXEXTRACT(Filmes_raw!C186,""[^,]+$""))"),FALSE)</f>
        <v>0</v>
      </c>
      <c r="D186" s="1" t="b">
        <f t="shared" si="1"/>
        <v>0</v>
      </c>
      <c r="E186" s="14">
        <f>IFERROR(__xludf.DUMMYFUNCTION("VALUE(IF(ISTEXT(D186), REGEXREPLACE(Filmes_raw!C186,""[^,]+$"",D186),Filmes_raw!C186))"),14524.0)</f>
        <v>14524</v>
      </c>
      <c r="F186" s="6">
        <f>IFERROR(__xludf.DUMMYFUNCTION("VALUE(REGEXEXTRACT(Filmes_raw!F186, ""[0-9]+""
))"),91.0)</f>
        <v>91</v>
      </c>
    </row>
    <row r="187">
      <c r="A187" s="1">
        <v>186.0</v>
      </c>
      <c r="B187" s="1" t="s">
        <v>1306</v>
      </c>
      <c r="C187" s="13" t="b">
        <f>IFERROR(__xludf.DUMMYFUNCTION("IF(ISTEXT(Filmes_raw!C187), REGEXEXTRACT(Filmes_raw!C187,""[^,]+$""))"),FALSE)</f>
        <v>0</v>
      </c>
      <c r="D187" s="1" t="b">
        <f t="shared" si="1"/>
        <v>0</v>
      </c>
      <c r="E187" s="14">
        <f>IFERROR(__xludf.DUMMYFUNCTION("VALUE(IF(ISTEXT(D187), REGEXREPLACE(Filmes_raw!C187,""[^,]+$"",D187),Filmes_raw!C187))"),230571.0)</f>
        <v>230571</v>
      </c>
      <c r="F187" s="6">
        <f>IFERROR(__xludf.DUMMYFUNCTION("VALUE(REGEXEXTRACT(Filmes_raw!F187, ""[0-9]+""
))"),96.0)</f>
        <v>96</v>
      </c>
    </row>
    <row r="188">
      <c r="A188" s="1">
        <v>187.0</v>
      </c>
      <c r="B188" s="1" t="s">
        <v>1312</v>
      </c>
      <c r="C188" s="13" t="b">
        <f>IFERROR(__xludf.DUMMYFUNCTION("IF(ISTEXT(Filmes_raw!C188), REGEXEXTRACT(Filmes_raw!C188,""[^,]+$""))"),FALSE)</f>
        <v>0</v>
      </c>
      <c r="D188" s="1" t="b">
        <f t="shared" si="1"/>
        <v>0</v>
      </c>
      <c r="E188" s="14">
        <f>IFERROR(__xludf.DUMMYFUNCTION("VALUE(IF(ISTEXT(D188), REGEXREPLACE(Filmes_raw!C188,""[^,]+$"",D188),Filmes_raw!C188))"),57226.0)</f>
        <v>57226</v>
      </c>
      <c r="F188" s="6">
        <f>IFERROR(__xludf.DUMMYFUNCTION("VALUE(REGEXEXTRACT(Filmes_raw!F188, ""[0-9]+""
))"),118.0)</f>
        <v>118</v>
      </c>
    </row>
    <row r="189">
      <c r="A189" s="1">
        <v>188.0</v>
      </c>
      <c r="B189" s="1" t="s">
        <v>1319</v>
      </c>
      <c r="C189" s="13" t="b">
        <f>IFERROR(__xludf.DUMMYFUNCTION("IF(ISTEXT(Filmes_raw!C189), REGEXEXTRACT(Filmes_raw!C189,""[^,]+$""))"),FALSE)</f>
        <v>0</v>
      </c>
      <c r="D189" s="1" t="b">
        <f t="shared" si="1"/>
        <v>0</v>
      </c>
      <c r="E189" s="14">
        <f>IFERROR(__xludf.DUMMYFUNCTION("VALUE(IF(ISTEXT(D189), REGEXREPLACE(Filmes_raw!C189,""[^,]+$"",D189),Filmes_raw!C189))"),12562.0)</f>
        <v>12562</v>
      </c>
      <c r="F189" s="6">
        <f>IFERROR(__xludf.DUMMYFUNCTION("VALUE(REGEXEXTRACT(Filmes_raw!F189, ""[0-9]+""
))"),105.0)</f>
        <v>105</v>
      </c>
    </row>
    <row r="190">
      <c r="A190" s="1">
        <v>189.0</v>
      </c>
      <c r="B190" s="1" t="s">
        <v>1325</v>
      </c>
      <c r="C190" s="13" t="b">
        <f>IFERROR(__xludf.DUMMYFUNCTION("IF(ISTEXT(Filmes_raw!C190), REGEXEXTRACT(Filmes_raw!C190,""[^,]+$""))"),FALSE)</f>
        <v>0</v>
      </c>
      <c r="D190" s="1" t="b">
        <f t="shared" si="1"/>
        <v>0</v>
      </c>
      <c r="E190" s="14">
        <f>IFERROR(__xludf.DUMMYFUNCTION("VALUE(IF(ISTEXT(D190), REGEXREPLACE(Filmes_raw!C190,""[^,]+$"",D190),Filmes_raw!C190))"),40468.0)</f>
        <v>40468</v>
      </c>
      <c r="F190" s="6">
        <f>IFERROR(__xludf.DUMMYFUNCTION("VALUE(REGEXEXTRACT(Filmes_raw!F190, ""[0-9]+""
))"),136.0)</f>
        <v>136</v>
      </c>
    </row>
    <row r="191">
      <c r="A191" s="1">
        <v>190.0</v>
      </c>
      <c r="B191" s="1" t="s">
        <v>1332</v>
      </c>
      <c r="C191" s="13" t="b">
        <f>IFERROR(__xludf.DUMMYFUNCTION("IF(ISTEXT(Filmes_raw!C191), REGEXEXTRACT(Filmes_raw!C191,""[^,]+$""))"),FALSE)</f>
        <v>0</v>
      </c>
      <c r="D191" s="1" t="b">
        <f t="shared" si="1"/>
        <v>0</v>
      </c>
      <c r="E191" s="14">
        <f>IFERROR(__xludf.DUMMYFUNCTION("VALUE(IF(ISTEXT(D191), REGEXREPLACE(Filmes_raw!C191,""[^,]+$"",D191),Filmes_raw!C191))"),96568.0)</f>
        <v>96568</v>
      </c>
      <c r="F191" s="6">
        <f>IFERROR(__xludf.DUMMYFUNCTION("VALUE(REGEXEXTRACT(Filmes_raw!F191, ""[0-9]+""
))"),88.0)</f>
        <v>88</v>
      </c>
    </row>
    <row r="192">
      <c r="A192" s="1">
        <v>191.0</v>
      </c>
      <c r="B192" s="1" t="s">
        <v>1336</v>
      </c>
      <c r="C192" s="13" t="b">
        <f>IFERROR(__xludf.DUMMYFUNCTION("IF(ISTEXT(Filmes_raw!C192), REGEXEXTRACT(Filmes_raw!C192,""[^,]+$""))"),FALSE)</f>
        <v>0</v>
      </c>
      <c r="D192" s="1" t="b">
        <f t="shared" si="1"/>
        <v>0</v>
      </c>
      <c r="E192" s="14">
        <f>IFERROR(__xludf.DUMMYFUNCTION("VALUE(IF(ISTEXT(D192), REGEXREPLACE(Filmes_raw!C192,""[^,]+$"",D192),Filmes_raw!C192))"),10177.0)</f>
        <v>10177</v>
      </c>
      <c r="F192" s="6">
        <f>IFERROR(__xludf.DUMMYFUNCTION("VALUE(REGEXEXTRACT(Filmes_raw!F192, ""[0-9]+""
))"),138.0)</f>
        <v>138</v>
      </c>
    </row>
    <row r="193">
      <c r="A193" s="1">
        <v>192.0</v>
      </c>
      <c r="B193" s="1" t="s">
        <v>1343</v>
      </c>
      <c r="C193" s="13" t="b">
        <f>IFERROR(__xludf.DUMMYFUNCTION("IF(ISTEXT(Filmes_raw!C193), REGEXEXTRACT(Filmes_raw!C193,""[^,]+$""))"),FALSE)</f>
        <v>0</v>
      </c>
      <c r="D193" s="1" t="b">
        <f t="shared" si="1"/>
        <v>0</v>
      </c>
      <c r="E193" s="14">
        <f>IFERROR(__xludf.DUMMYFUNCTION("VALUE(IF(ISTEXT(D193), REGEXREPLACE(Filmes_raw!C193,""[^,]+$"",D193),Filmes_raw!C193))"),5014000.0)</f>
        <v>5014000</v>
      </c>
      <c r="F193" s="6">
        <f>IFERROR(__xludf.DUMMYFUNCTION("VALUE(REGEXEXTRACT(Filmes_raw!F193, ""[0-9]+""
))"),126.0)</f>
        <v>126</v>
      </c>
    </row>
    <row r="194">
      <c r="A194" s="1">
        <v>193.0</v>
      </c>
      <c r="B194" s="1" t="s">
        <v>1350</v>
      </c>
      <c r="C194" s="13" t="b">
        <f>IFERROR(__xludf.DUMMYFUNCTION("IF(ISTEXT(Filmes_raw!C194), REGEXEXTRACT(Filmes_raw!C194,""[^,]+$""))"),FALSE)</f>
        <v>0</v>
      </c>
      <c r="D194" s="1" t="b">
        <f t="shared" si="1"/>
        <v>0</v>
      </c>
      <c r="E194" s="14">
        <f>IFERROR(__xludf.DUMMYFUNCTION("VALUE(IF(ISTEXT(D194), REGEXREPLACE(Filmes_raw!C194,""[^,]+$"",D194),Filmes_raw!C194))"),4578000.0)</f>
        <v>4578000</v>
      </c>
      <c r="F194" s="6">
        <f>IFERROR(__xludf.DUMMYFUNCTION("VALUE(REGEXEXTRACT(Filmes_raw!F194, ""[0-9]+""
))"),99.0)</f>
        <v>99</v>
      </c>
    </row>
    <row r="195">
      <c r="A195" s="1">
        <v>194.0</v>
      </c>
      <c r="B195" s="1" t="s">
        <v>1358</v>
      </c>
      <c r="C195" s="13" t="b">
        <f>IFERROR(__xludf.DUMMYFUNCTION("IF(ISTEXT(Filmes_raw!C195), REGEXEXTRACT(Filmes_raw!C195,""[^,]+$""))"),FALSE)</f>
        <v>0</v>
      </c>
      <c r="D195" s="1" t="b">
        <f t="shared" si="1"/>
        <v>0</v>
      </c>
      <c r="E195" s="14">
        <f>IFERROR(__xludf.DUMMYFUNCTION("VALUE(IF(ISTEXT(D195), REGEXREPLACE(Filmes_raw!C195,""[^,]+$"",D195),Filmes_raw!C195))"),5450000.0)</f>
        <v>5450000</v>
      </c>
      <c r="F195" s="6">
        <f>IFERROR(__xludf.DUMMYFUNCTION("VALUE(REGEXEXTRACT(Filmes_raw!F195, ""[0-9]+""
))"),95.0)</f>
        <v>95</v>
      </c>
    </row>
    <row r="196">
      <c r="A196" s="1">
        <v>195.0</v>
      </c>
      <c r="B196" s="1" t="s">
        <v>1362</v>
      </c>
      <c r="C196" s="13" t="b">
        <f>IFERROR(__xludf.DUMMYFUNCTION("IF(ISTEXT(Filmes_raw!C196), REGEXEXTRACT(Filmes_raw!C196,""[^,]+$""))"),FALSE)</f>
        <v>0</v>
      </c>
      <c r="D196" s="1" t="b">
        <f t="shared" si="1"/>
        <v>0</v>
      </c>
      <c r="E196" s="14">
        <f>IFERROR(__xludf.DUMMYFUNCTION("VALUE(IF(ISTEXT(D196), REGEXREPLACE(Filmes_raw!C196,""[^,]+$"",D196),Filmes_raw!C196))"),977375.0)</f>
        <v>977375</v>
      </c>
      <c r="F196" s="6">
        <f>IFERROR(__xludf.DUMMYFUNCTION("VALUE(REGEXEXTRACT(Filmes_raw!F196, ""[0-9]+""
))"),45.0)</f>
        <v>45</v>
      </c>
    </row>
    <row r="197">
      <c r="A197" s="1">
        <v>196.0</v>
      </c>
      <c r="B197" s="1" t="s">
        <v>1369</v>
      </c>
      <c r="C197" s="13" t="b">
        <f>IFERROR(__xludf.DUMMYFUNCTION("IF(ISTEXT(Filmes_raw!C197), REGEXEXTRACT(Filmes_raw!C197,""[^,]+$""))"),FALSE)</f>
        <v>0</v>
      </c>
      <c r="D197" s="1" t="b">
        <f t="shared" si="1"/>
        <v>0</v>
      </c>
      <c r="E197" s="14">
        <f>IFERROR(__xludf.DUMMYFUNCTION("VALUE(IF(ISTEXT(D197), REGEXREPLACE(Filmes_raw!C197,""[^,]+$"",D197),Filmes_raw!C197))"),3759854.0)</f>
        <v>3759854</v>
      </c>
      <c r="F197" s="6">
        <f>IFERROR(__xludf.DUMMYFUNCTION("VALUE(REGEXEXTRACT(Filmes_raw!F197, ""[0-9]+""
))"),122.0)</f>
        <v>122</v>
      </c>
    </row>
    <row r="198">
      <c r="A198" s="1">
        <v>197.0</v>
      </c>
      <c r="B198" s="1" t="s">
        <v>1376</v>
      </c>
      <c r="C198" s="13" t="b">
        <f>IFERROR(__xludf.DUMMYFUNCTION("IF(ISTEXT(Filmes_raw!C198), REGEXEXTRACT(Filmes_raw!C198,""[^,]+$""))"),FALSE)</f>
        <v>0</v>
      </c>
      <c r="D198" s="1" t="b">
        <f t="shared" si="1"/>
        <v>0</v>
      </c>
      <c r="E198" s="14">
        <f>IFERROR(__xludf.DUMMYFUNCTION("VALUE(IF(ISTEXT(D198), REGEXREPLACE(Filmes_raw!C198,""[^,]+$"",D198),Filmes_raw!C198))"),1241223.0)</f>
        <v>1241223</v>
      </c>
      <c r="F198" s="6">
        <f>IFERROR(__xludf.DUMMYFUNCTION("VALUE(REGEXEXTRACT(Filmes_raw!F198, ""[0-9]+""
))"),136.0)</f>
        <v>136</v>
      </c>
    </row>
    <row r="199">
      <c r="A199" s="1">
        <v>198.0</v>
      </c>
      <c r="B199" s="1" t="s">
        <v>1383</v>
      </c>
      <c r="C199" s="13" t="b">
        <f>IFERROR(__xludf.DUMMYFUNCTION("IF(ISTEXT(Filmes_raw!C199), REGEXEXTRACT(Filmes_raw!C199,""[^,]+$""))"),FALSE)</f>
        <v>0</v>
      </c>
      <c r="D199" s="1" t="b">
        <f t="shared" si="1"/>
        <v>0</v>
      </c>
      <c r="E199" s="14">
        <f>IFERROR(__xludf.DUMMYFUNCTION("VALUE(IF(ISTEXT(D199), REGEXREPLACE(Filmes_raw!C199,""[^,]+$"",D199),Filmes_raw!C199))"),3.0518948E7)</f>
        <v>30518948</v>
      </c>
      <c r="F199" s="6">
        <f>IFERROR(__xludf.DUMMYFUNCTION("VALUE(REGEXEXTRACT(Filmes_raw!F199, ""[0-9]+""
))"),130.0)</f>
        <v>130</v>
      </c>
    </row>
    <row r="200">
      <c r="A200" s="1">
        <v>199.0</v>
      </c>
      <c r="B200" s="1" t="s">
        <v>1389</v>
      </c>
      <c r="C200" s="13" t="b">
        <f>IFERROR(__xludf.DUMMYFUNCTION("IF(ISTEXT(Filmes_raw!C200), REGEXEXTRACT(Filmes_raw!C200,""[^,]+$""))"),FALSE)</f>
        <v>0</v>
      </c>
      <c r="D200" s="1" t="b">
        <f t="shared" si="1"/>
        <v>0</v>
      </c>
      <c r="E200" s="14">
        <f>IFERROR(__xludf.DUMMYFUNCTION("VALUE(IF(ISTEXT(D200), REGEXREPLACE(Filmes_raw!C200,""[^,]+$"",D200),Filmes_raw!C200))"),0.0)</f>
        <v>0</v>
      </c>
      <c r="F200" s="6">
        <f>IFERROR(__xludf.DUMMYFUNCTION("VALUE(REGEXEXTRACT(Filmes_raw!F200, ""[0-9]+""
))"),106.0)</f>
        <v>106</v>
      </c>
    </row>
    <row r="201">
      <c r="A201" s="1">
        <v>200.0</v>
      </c>
      <c r="B201" s="1" t="s">
        <v>1397</v>
      </c>
      <c r="C201" s="13" t="b">
        <f>IFERROR(__xludf.DUMMYFUNCTION("IF(ISTEXT(Filmes_raw!C201), REGEXEXTRACT(Filmes_raw!C201,""[^,]+$""))"),FALSE)</f>
        <v>0</v>
      </c>
      <c r="D201" s="1" t="b">
        <f t="shared" si="1"/>
        <v>0</v>
      </c>
      <c r="E201" s="14">
        <f>IFERROR(__xludf.DUMMYFUNCTION("VALUE(IF(ISTEXT(D201), REGEXREPLACE(Filmes_raw!C201,""[^,]+$"",D201),Filmes_raw!C201))"),2006788.0)</f>
        <v>2006788</v>
      </c>
      <c r="F201" s="6">
        <f>IFERROR(__xludf.DUMMYFUNCTION("VALUE(REGEXEXTRACT(Filmes_raw!F201, ""[0-9]+""
))"),145.0)</f>
        <v>145</v>
      </c>
    </row>
    <row r="202">
      <c r="A202" s="1">
        <v>201.0</v>
      </c>
      <c r="B202" s="1" t="s">
        <v>1405</v>
      </c>
      <c r="C202" s="13" t="b">
        <f>IFERROR(__xludf.DUMMYFUNCTION("IF(ISTEXT(Filmes_raw!C202), REGEXEXTRACT(Filmes_raw!C202,""[^,]+$""))"),FALSE)</f>
        <v>0</v>
      </c>
      <c r="D202" s="1" t="b">
        <f t="shared" si="1"/>
        <v>0</v>
      </c>
      <c r="E202" s="14">
        <f>IFERROR(__xludf.DUMMYFUNCTION("VALUE(IF(ISTEXT(D202), REGEXREPLACE(Filmes_raw!C202,""[^,]+$"",D202),Filmes_raw!C202))"),3492754.0)</f>
        <v>3492754</v>
      </c>
      <c r="F202" s="6">
        <f>IFERROR(__xludf.DUMMYFUNCTION("VALUE(REGEXEXTRACT(Filmes_raw!F202, ""[0-9]+""
))"),139.0)</f>
        <v>139</v>
      </c>
    </row>
    <row r="203">
      <c r="A203" s="1">
        <v>202.0</v>
      </c>
      <c r="B203" s="1" t="s">
        <v>1412</v>
      </c>
      <c r="C203" s="13" t="str">
        <f>IFERROR(__xludf.DUMMYFUNCTION("IF(ISTEXT(Filmes_raw!C203), REGEXEXTRACT(Filmes_raw!C203,""[^,]+$""))"),"61")</f>
        <v>61</v>
      </c>
      <c r="D203" s="1" t="str">
        <f t="shared" si="1"/>
        <v>610</v>
      </c>
      <c r="E203" s="14">
        <f>IFERROR(__xludf.DUMMYFUNCTION("VALUE(IF(ISTEXT(D203), REGEXREPLACE(Filmes_raw!C203,""[^,]+$"",D203),Filmes_raw!C203))"),901610.0)</f>
        <v>901610</v>
      </c>
      <c r="F203" s="6">
        <f>IFERROR(__xludf.DUMMYFUNCTION("VALUE(REGEXEXTRACT(Filmes_raw!F203, ""[0-9]+""
))"),160.0)</f>
        <v>160</v>
      </c>
    </row>
    <row r="204">
      <c r="A204" s="1">
        <v>203.0</v>
      </c>
      <c r="B204" s="1" t="s">
        <v>1418</v>
      </c>
      <c r="C204" s="13" t="b">
        <f>IFERROR(__xludf.DUMMYFUNCTION("IF(ISTEXT(Filmes_raw!C204), REGEXEXTRACT(Filmes_raw!C204,""[^,]+$""))"),FALSE)</f>
        <v>0</v>
      </c>
      <c r="D204" s="1" t="b">
        <f t="shared" si="1"/>
        <v>0</v>
      </c>
      <c r="E204" s="14">
        <f>IFERROR(__xludf.DUMMYFUNCTION("VALUE(IF(ISTEXT(D204), REGEXREPLACE(Filmes_raw!C204,""[^,]+$"",D204),Filmes_raw!C204))"),2.26277068E8)</f>
        <v>226277068</v>
      </c>
      <c r="F204" s="6">
        <f>IFERROR(__xludf.DUMMYFUNCTION("VALUE(REGEXEXTRACT(Filmes_raw!F204, ""[0-9]+""
))"),137.0)</f>
        <v>137</v>
      </c>
    </row>
    <row r="205">
      <c r="A205" s="1">
        <v>204.0</v>
      </c>
      <c r="B205" s="1" t="s">
        <v>1424</v>
      </c>
      <c r="C205" s="13" t="b">
        <f>IFERROR(__xludf.DUMMYFUNCTION("IF(ISTEXT(Filmes_raw!C205), REGEXEXTRACT(Filmes_raw!C205,""[^,]+$""))"),FALSE)</f>
        <v>0</v>
      </c>
      <c r="D205" s="1" t="b">
        <f t="shared" si="1"/>
        <v>0</v>
      </c>
      <c r="E205" s="14">
        <f>IFERROR(__xludf.DUMMYFUNCTION("VALUE(IF(ISTEXT(D205), REGEXREPLACE(Filmes_raw!C205,""[^,]+$"",D205),Filmes_raw!C205))"),1.4677674E7)</f>
        <v>14677674</v>
      </c>
      <c r="F205" s="6">
        <f>IFERROR(__xludf.DUMMYFUNCTION("VALUE(REGEXEXTRACT(Filmes_raw!F205, ""[0-9]+""
))"),118.0)</f>
        <v>118</v>
      </c>
    </row>
    <row r="206">
      <c r="A206" s="1">
        <v>205.0</v>
      </c>
      <c r="B206" s="1" t="s">
        <v>1431</v>
      </c>
      <c r="C206" s="13" t="b">
        <f>IFERROR(__xludf.DUMMYFUNCTION("IF(ISTEXT(Filmes_raw!C206), REGEXEXTRACT(Filmes_raw!C206,""[^,]+$""))"),FALSE)</f>
        <v>0</v>
      </c>
      <c r="D206" s="1" t="b">
        <f t="shared" si="1"/>
        <v>0</v>
      </c>
      <c r="E206" s="14">
        <f>IFERROR(__xludf.DUMMYFUNCTION("VALUE(IF(ISTEXT(D206), REGEXREPLACE(Filmes_raw!C206,""[^,]+$"",D206),Filmes_raw!C206))"),3107072.0)</f>
        <v>3107072</v>
      </c>
      <c r="F206" s="6">
        <f>IFERROR(__xludf.DUMMYFUNCTION("VALUE(REGEXEXTRACT(Filmes_raw!F206, ""[0-9]+""
))"),122.0)</f>
        <v>122</v>
      </c>
    </row>
    <row r="207">
      <c r="A207" s="1">
        <v>206.0</v>
      </c>
      <c r="B207" s="1" t="s">
        <v>1438</v>
      </c>
      <c r="C207" s="13" t="b">
        <f>IFERROR(__xludf.DUMMYFUNCTION("IF(ISTEXT(Filmes_raw!C207), REGEXEXTRACT(Filmes_raw!C207,""[^,]+$""))"),FALSE)</f>
        <v>0</v>
      </c>
      <c r="D207" s="1" t="b">
        <f t="shared" si="1"/>
        <v>0</v>
      </c>
      <c r="E207" s="14">
        <f>IFERROR(__xludf.DUMMYFUNCTION("VALUE(IF(ISTEXT(D207), REGEXREPLACE(Filmes_raw!C207,""[^,]+$"",D207),Filmes_raw!C207))"),1.20957731E8)</f>
        <v>120957731</v>
      </c>
      <c r="F207" s="6">
        <f>IFERROR(__xludf.DUMMYFUNCTION("VALUE(REGEXEXTRACT(Filmes_raw!F207, ""[0-9]+""
))"),100.0)</f>
        <v>100</v>
      </c>
    </row>
    <row r="208">
      <c r="A208" s="1">
        <v>207.0</v>
      </c>
      <c r="B208" s="1" t="s">
        <v>1444</v>
      </c>
      <c r="C208" s="13" t="str">
        <f>IFERROR(__xludf.DUMMYFUNCTION("IF(ISTEXT(Filmes_raw!C208), REGEXEXTRACT(Filmes_raw!C208,""[^,]+$""))"),"52")</f>
        <v>52</v>
      </c>
      <c r="D208" s="1" t="str">
        <f t="shared" si="1"/>
        <v>520</v>
      </c>
      <c r="E208" s="14">
        <f>IFERROR(__xludf.DUMMYFUNCTION("VALUE(IF(ISTEXT(D208), REGEXREPLACE(Filmes_raw!C208,""[^,]+$"",D208),Filmes_raw!C208))"),165520.0)</f>
        <v>165520</v>
      </c>
      <c r="F208" s="6">
        <f>IFERROR(__xludf.DUMMYFUNCTION("VALUE(REGEXEXTRACT(Filmes_raw!F208, ""[0-9]+""
))"),196.0)</f>
        <v>196</v>
      </c>
    </row>
    <row r="209">
      <c r="A209" s="1">
        <v>208.0</v>
      </c>
      <c r="B209" s="1" t="s">
        <v>1453</v>
      </c>
      <c r="C209" s="13" t="b">
        <f>IFERROR(__xludf.DUMMYFUNCTION("IF(ISTEXT(Filmes_raw!C209), REGEXEXTRACT(Filmes_raw!C209,""[^,]+$""))"),FALSE)</f>
        <v>0</v>
      </c>
      <c r="D209" s="1" t="b">
        <f t="shared" si="1"/>
        <v>0</v>
      </c>
      <c r="E209" s="14">
        <f>IFERROR(__xludf.DUMMYFUNCTION("VALUE(IF(ISTEXT(D209), REGEXREPLACE(Filmes_raw!C209,""[^,]+$"",D209),Filmes_raw!C209))"),1.0616104E7)</f>
        <v>10616104</v>
      </c>
      <c r="F209" s="6">
        <f>IFERROR(__xludf.DUMMYFUNCTION("VALUE(REGEXEXTRACT(Filmes_raw!F209, ""[0-9]+""
))"),153.0)</f>
        <v>153</v>
      </c>
    </row>
    <row r="210">
      <c r="A210" s="1">
        <v>209.0</v>
      </c>
      <c r="B210" s="1" t="s">
        <v>1459</v>
      </c>
      <c r="C210" s="13" t="b">
        <f>IFERROR(__xludf.DUMMYFUNCTION("IF(ISTEXT(Filmes_raw!C210), REGEXEXTRACT(Filmes_raw!C210,""[^,]+$""))"),FALSE)</f>
        <v>0</v>
      </c>
      <c r="D210" s="1" t="b">
        <f t="shared" si="1"/>
        <v>0</v>
      </c>
      <c r="E210" s="14">
        <f>IFERROR(__xludf.DUMMYFUNCTION("VALUE(IF(ISTEXT(D210), REGEXREPLACE(Filmes_raw!C210,""[^,]+$"",D210),Filmes_raw!C210))"),923221.0)</f>
        <v>923221</v>
      </c>
      <c r="F210" s="6">
        <f>IFERROR(__xludf.DUMMYFUNCTION("VALUE(REGEXEXTRACT(Filmes_raw!F210, ""[0-9]+""
))"),125.0)</f>
        <v>125</v>
      </c>
    </row>
    <row r="211">
      <c r="A211" s="1">
        <v>210.0</v>
      </c>
      <c r="B211" s="1" t="s">
        <v>1465</v>
      </c>
      <c r="C211" s="13" t="b">
        <f>IFERROR(__xludf.DUMMYFUNCTION("IF(ISTEXT(Filmes_raw!C211), REGEXEXTRACT(Filmes_raw!C211,""[^,]+$""))"),FALSE)</f>
        <v>0</v>
      </c>
      <c r="D211" s="1" t="b">
        <f t="shared" si="1"/>
        <v>0</v>
      </c>
      <c r="E211" s="14">
        <f>IFERROR(__xludf.DUMMYFUNCTION("VALUE(IF(ISTEXT(D211), REGEXREPLACE(Filmes_raw!C211,""[^,]+$"",D211),Filmes_raw!C211))"),5.9100318E7)</f>
        <v>59100318</v>
      </c>
      <c r="F211" s="6">
        <f>IFERROR(__xludf.DUMMYFUNCTION("VALUE(REGEXEXTRACT(Filmes_raw!F211, ""[0-9]+""
))"),99.0)</f>
        <v>99</v>
      </c>
    </row>
    <row r="212">
      <c r="A212" s="1">
        <v>211.0</v>
      </c>
      <c r="B212" s="1" t="s">
        <v>1470</v>
      </c>
      <c r="C212" s="13" t="b">
        <f>IFERROR(__xludf.DUMMYFUNCTION("IF(ISTEXT(Filmes_raw!C212), REGEXEXTRACT(Filmes_raw!C212,""[^,]+$""))"),FALSE)</f>
        <v>0</v>
      </c>
      <c r="D212" s="1" t="b">
        <f t="shared" si="1"/>
        <v>0</v>
      </c>
      <c r="E212" s="14">
        <f>IFERROR(__xludf.DUMMYFUNCTION("VALUE(IF(ISTEXT(D212), REGEXREPLACE(Filmes_raw!C212,""[^,]+$"",D212),Filmes_raw!C212))"),1.67767189E8)</f>
        <v>167767189</v>
      </c>
      <c r="F212" s="6">
        <f>IFERROR(__xludf.DUMMYFUNCTION("VALUE(REGEXEXTRACT(Filmes_raw!F212, ""[0-9]+""
))"),149.0)</f>
        <v>149</v>
      </c>
    </row>
    <row r="213">
      <c r="A213" s="1">
        <v>212.0</v>
      </c>
      <c r="B213" s="1" t="s">
        <v>1475</v>
      </c>
      <c r="C213" s="13" t="b">
        <f>IFERROR(__xludf.DUMMYFUNCTION("IF(ISTEXT(Filmes_raw!C213), REGEXEXTRACT(Filmes_raw!C213,""[^,]+$""))"),FALSE)</f>
        <v>0</v>
      </c>
      <c r="D213" s="1" t="b">
        <f t="shared" si="1"/>
        <v>0</v>
      </c>
      <c r="E213" s="14">
        <f>IFERROR(__xludf.DUMMYFUNCTION("VALUE(IF(ISTEXT(D213), REGEXREPLACE(Filmes_raw!C213,""[^,]+$"",D213),Filmes_raw!C213))"),5.5060661E7)</f>
        <v>55060661</v>
      </c>
      <c r="F213" s="6">
        <f>IFERROR(__xludf.DUMMYFUNCTION("VALUE(REGEXEXTRACT(Filmes_raw!F213, ""[0-9]+""
))"),117.0)</f>
        <v>117</v>
      </c>
    </row>
    <row r="214">
      <c r="A214" s="1">
        <v>213.0</v>
      </c>
      <c r="B214" s="1" t="s">
        <v>1482</v>
      </c>
      <c r="C214" s="13" t="b">
        <f>IFERROR(__xludf.DUMMYFUNCTION("IF(ISTEXT(Filmes_raw!C214), REGEXEXTRACT(Filmes_raw!C214,""[^,]+$""))"),FALSE)</f>
        <v>0</v>
      </c>
      <c r="D214" s="1" t="b">
        <f t="shared" si="1"/>
        <v>0</v>
      </c>
      <c r="E214" s="14">
        <f>IFERROR(__xludf.DUMMYFUNCTION("VALUE(IF(ISTEXT(D214), REGEXREPLACE(Filmes_raw!C214,""[^,]+$"",D214),Filmes_raw!C214))"),6.7209615E7)</f>
        <v>67209615</v>
      </c>
      <c r="F214" s="6">
        <f>IFERROR(__xludf.DUMMYFUNCTION("VALUE(REGEXEXTRACT(Filmes_raw!F214, ""[0-9]+""
))"),139.0)</f>
        <v>139</v>
      </c>
    </row>
    <row r="215">
      <c r="A215" s="1">
        <v>214.0</v>
      </c>
      <c r="B215" s="1" t="s">
        <v>1488</v>
      </c>
      <c r="C215" s="13" t="b">
        <f>IFERROR(__xludf.DUMMYFUNCTION("IF(ISTEXT(Filmes_raw!C215), REGEXEXTRACT(Filmes_raw!C215,""[^,]+$""))"),FALSE)</f>
        <v>0</v>
      </c>
      <c r="D215" s="1" t="b">
        <f t="shared" si="1"/>
        <v>0</v>
      </c>
      <c r="E215" s="14">
        <f>IFERROR(__xludf.DUMMYFUNCTION("VALUE(IF(ISTEXT(D215), REGEXREPLACE(Filmes_raw!C215,""[^,]+$"",D215),Filmes_raw!C215))"),3.56461711E8)</f>
        <v>356461711</v>
      </c>
      <c r="F215" s="6">
        <f>IFERROR(__xludf.DUMMYFUNCTION("VALUE(REGEXEXTRACT(Filmes_raw!F215, ""[0-9]+""
))"),95.0)</f>
        <v>95</v>
      </c>
    </row>
    <row r="216">
      <c r="A216" s="1">
        <v>215.0</v>
      </c>
      <c r="B216" s="1" t="s">
        <v>1494</v>
      </c>
      <c r="C216" s="13" t="b">
        <f>IFERROR(__xludf.DUMMYFUNCTION("IF(ISTEXT(Filmes_raw!C216), REGEXEXTRACT(Filmes_raw!C216,""[^,]+$""))"),FALSE)</f>
        <v>0</v>
      </c>
      <c r="D216" s="1" t="b">
        <f t="shared" si="1"/>
        <v>0</v>
      </c>
      <c r="E216" s="14">
        <f>IFERROR(__xludf.DUMMYFUNCTION("VALUE(IF(ISTEXT(D216), REGEXREPLACE(Filmes_raw!C216,""[^,]+$"",D216),Filmes_raw!C216))"),2804874.0)</f>
        <v>2804874</v>
      </c>
      <c r="F216" s="6">
        <f>IFERROR(__xludf.DUMMYFUNCTION("VALUE(REGEXEXTRACT(Filmes_raw!F216, ""[0-9]+""
))"),151.0)</f>
        <v>151</v>
      </c>
    </row>
    <row r="217">
      <c r="A217" s="1">
        <v>216.0</v>
      </c>
      <c r="B217" s="1" t="s">
        <v>1501</v>
      </c>
      <c r="C217" s="13" t="b">
        <f>IFERROR(__xludf.DUMMYFUNCTION("IF(ISTEXT(Filmes_raw!C217), REGEXEXTRACT(Filmes_raw!C217,""[^,]+$""))"),FALSE)</f>
        <v>0</v>
      </c>
      <c r="D217" s="1" t="b">
        <f t="shared" si="1"/>
        <v>0</v>
      </c>
      <c r="E217" s="14">
        <f>IFERROR(__xludf.DUMMYFUNCTION("VALUE(IF(ISTEXT(D217), REGEXREPLACE(Filmes_raw!C217,""[^,]+$"",D217),Filmes_raw!C217))"),5.6671993E7)</f>
        <v>56671993</v>
      </c>
      <c r="F217" s="6">
        <f>IFERROR(__xludf.DUMMYFUNCTION("VALUE(REGEXEXTRACT(Filmes_raw!F217, ""[0-9]+""
))"),134.0)</f>
        <v>134</v>
      </c>
    </row>
    <row r="218">
      <c r="A218" s="1">
        <v>217.0</v>
      </c>
      <c r="B218" s="1" t="s">
        <v>1506</v>
      </c>
      <c r="C218" s="13" t="b">
        <f>IFERROR(__xludf.DUMMYFUNCTION("IF(ISTEXT(Filmes_raw!C218), REGEXEXTRACT(Filmes_raw!C218,""[^,]+$""))"),FALSE)</f>
        <v>0</v>
      </c>
      <c r="D218" s="1" t="b">
        <f t="shared" si="1"/>
        <v>0</v>
      </c>
      <c r="E218" s="14">
        <f>IFERROR(__xludf.DUMMYFUNCTION("VALUE(IF(ISTEXT(D218), REGEXREPLACE(Filmes_raw!C218,""[^,]+$"",D218),Filmes_raw!C218))"),2.6947624E7)</f>
        <v>26947624</v>
      </c>
      <c r="F218" s="6">
        <f>IFERROR(__xludf.DUMMYFUNCTION("VALUE(REGEXEXTRACT(Filmes_raw!F218, ""[0-9]+""
))"),123.0)</f>
        <v>123</v>
      </c>
    </row>
    <row r="219">
      <c r="A219" s="1">
        <v>218.0</v>
      </c>
      <c r="B219" s="1" t="s">
        <v>1510</v>
      </c>
      <c r="C219" s="13" t="b">
        <f>IFERROR(__xludf.DUMMYFUNCTION("IF(ISTEXT(Filmes_raw!C219), REGEXEXTRACT(Filmes_raw!C219,""[^,]+$""))"),FALSE)</f>
        <v>0</v>
      </c>
      <c r="D219" s="1" t="b">
        <f t="shared" si="1"/>
        <v>0</v>
      </c>
      <c r="E219" s="14">
        <f>IFERROR(__xludf.DUMMYFUNCTION("VALUE(IF(ISTEXT(D219), REGEXREPLACE(Filmes_raw!C219,""[^,]+$"",D219),Filmes_raw!C219))"),1.17624028E8)</f>
        <v>117624028</v>
      </c>
      <c r="F219" s="6">
        <f>IFERROR(__xludf.DUMMYFUNCTION("VALUE(REGEXEXTRACT(Filmes_raw!F219, ""[0-9]+""
))"),152.0)</f>
        <v>152</v>
      </c>
    </row>
    <row r="220">
      <c r="A220" s="1">
        <v>219.0</v>
      </c>
      <c r="B220" s="1" t="s">
        <v>1514</v>
      </c>
      <c r="C220" s="13" t="b">
        <f>IFERROR(__xludf.DUMMYFUNCTION("IF(ISTEXT(Filmes_raw!C220), REGEXEXTRACT(Filmes_raw!C220,""[^,]+$""))"),FALSE)</f>
        <v>0</v>
      </c>
      <c r="D220" s="1" t="b">
        <f t="shared" si="1"/>
        <v>0</v>
      </c>
      <c r="E220" s="14">
        <f>IFERROR(__xludf.DUMMYFUNCTION("VALUE(IF(ISTEXT(D220), REGEXREPLACE(Filmes_raw!C220,""[^,]+$"",D220),Filmes_raw!C220))"),4.5055776E7)</f>
        <v>45055776</v>
      </c>
      <c r="F220" s="6">
        <f>IFERROR(__xludf.DUMMYFUNCTION("VALUE(REGEXEXTRACT(Filmes_raw!F220, ""[0-9]+""
))"),129.0)</f>
        <v>129</v>
      </c>
    </row>
    <row r="221">
      <c r="A221" s="1">
        <v>220.0</v>
      </c>
      <c r="B221" s="1" t="s">
        <v>1520</v>
      </c>
      <c r="C221" s="13" t="b">
        <f>IFERROR(__xludf.DUMMYFUNCTION("IF(ISTEXT(Filmes_raw!C221), REGEXEXTRACT(Filmes_raw!C221,""[^,]+$""))"),FALSE)</f>
        <v>0</v>
      </c>
      <c r="D221" s="1" t="b">
        <f t="shared" si="1"/>
        <v>0</v>
      </c>
      <c r="E221" s="14">
        <f>IFERROR(__xludf.DUMMYFUNCTION("VALUE(IF(ISTEXT(D221), REGEXREPLACE(Filmes_raw!C221,""[^,]+$"",D221),Filmes_raw!C221))"),857524.0)</f>
        <v>857524</v>
      </c>
      <c r="F221" s="6">
        <f>IFERROR(__xludf.DUMMYFUNCTION("VALUE(REGEXEXTRACT(Filmes_raw!F221, ""[0-9]+""
))"),93.0)</f>
        <v>93</v>
      </c>
    </row>
    <row r="222">
      <c r="A222" s="1">
        <v>221.0</v>
      </c>
      <c r="B222" s="1" t="s">
        <v>1528</v>
      </c>
      <c r="C222" s="13" t="b">
        <f>IFERROR(__xludf.DUMMYFUNCTION("IF(ISTEXT(Filmes_raw!C222), REGEXEXTRACT(Filmes_raw!C222,""[^,]+$""))"),FALSE)</f>
        <v>0</v>
      </c>
      <c r="D222" s="1" t="b">
        <f t="shared" si="1"/>
        <v>0</v>
      </c>
      <c r="E222" s="14">
        <f>IFERROR(__xludf.DUMMYFUNCTION("VALUE(IF(ISTEXT(D222), REGEXREPLACE(Filmes_raw!C222,""[^,]+$"",D222),Filmes_raw!C222))"),1035953.0)</f>
        <v>1035953</v>
      </c>
      <c r="F222" s="6">
        <f>IFERROR(__xludf.DUMMYFUNCTION("VALUE(REGEXEXTRACT(Filmes_raw!F222, ""[0-9]+""
))"),122.0)</f>
        <v>122</v>
      </c>
    </row>
    <row r="223">
      <c r="A223" s="1">
        <v>222.0</v>
      </c>
      <c r="B223" s="1" t="s">
        <v>1534</v>
      </c>
      <c r="C223" s="13" t="b">
        <f>IFERROR(__xludf.DUMMYFUNCTION("IF(ISTEXT(Filmes_raw!C223), REGEXEXTRACT(Filmes_raw!C223,""[^,]+$""))"),FALSE)</f>
        <v>0</v>
      </c>
      <c r="D223" s="1" t="b">
        <f t="shared" si="1"/>
        <v>0</v>
      </c>
      <c r="E223" s="14">
        <f>IFERROR(__xludf.DUMMYFUNCTION("VALUE(IF(ISTEXT(D223), REGEXREPLACE(Filmes_raw!C223,""[^,]+$"",D223),Filmes_raw!C223))"),3108485.0)</f>
        <v>3108485</v>
      </c>
      <c r="F223" s="6">
        <f>IFERROR(__xludf.DUMMYFUNCTION("VALUE(REGEXEXTRACT(Filmes_raw!F223, ""[0-9]+""
))"),155.0)</f>
        <v>155</v>
      </c>
    </row>
    <row r="224">
      <c r="A224" s="1">
        <v>223.0</v>
      </c>
      <c r="B224" s="1" t="s">
        <v>1540</v>
      </c>
      <c r="C224" s="13" t="b">
        <f>IFERROR(__xludf.DUMMYFUNCTION("IF(ISTEXT(Filmes_raw!C224), REGEXEXTRACT(Filmes_raw!C224,""[^,]+$""))"),FALSE)</f>
        <v>0</v>
      </c>
      <c r="D224" s="1" t="b">
        <f t="shared" si="1"/>
        <v>0</v>
      </c>
      <c r="E224" s="14">
        <f>IFERROR(__xludf.DUMMYFUNCTION("VALUE(IF(ISTEXT(D224), REGEXREPLACE(Filmes_raw!C224,""[^,]+$"",D224),Filmes_raw!C224))"),6.1002302E7)</f>
        <v>61002302</v>
      </c>
      <c r="F224" s="6">
        <f>IFERROR(__xludf.DUMMYFUNCTION("VALUE(REGEXEXTRACT(Filmes_raw!F224, ""[0-9]+""
))"),153.0)</f>
        <v>153</v>
      </c>
    </row>
    <row r="225">
      <c r="A225" s="1">
        <v>224.0</v>
      </c>
      <c r="B225" s="1" t="s">
        <v>1545</v>
      </c>
      <c r="C225" s="13" t="b">
        <f>IFERROR(__xludf.DUMMYFUNCTION("IF(ISTEXT(Filmes_raw!C225), REGEXEXTRACT(Filmes_raw!C225,""[^,]+$""))"),FALSE)</f>
        <v>0</v>
      </c>
      <c r="D225" s="1" t="b">
        <f t="shared" si="1"/>
        <v>0</v>
      </c>
      <c r="E225" s="14">
        <f>IFERROR(__xludf.DUMMYFUNCTION("VALUE(IF(ISTEXT(D225), REGEXREPLACE(Filmes_raw!C225,""[^,]+$"",D225),Filmes_raw!C225))"),1.5405834E8)</f>
        <v>154058340</v>
      </c>
      <c r="F225" s="6">
        <f>IFERROR(__xludf.DUMMYFUNCTION("VALUE(REGEXEXTRACT(Filmes_raw!F225, ""[0-9]+""
))"),120.0)</f>
        <v>120</v>
      </c>
    </row>
    <row r="226">
      <c r="A226" s="1">
        <v>225.0</v>
      </c>
      <c r="B226" s="1" t="s">
        <v>1552</v>
      </c>
      <c r="C226" s="13" t="b">
        <f>IFERROR(__xludf.DUMMYFUNCTION("IF(ISTEXT(Filmes_raw!C226), REGEXEXTRACT(Filmes_raw!C226,""[^,]+$""))"),FALSE)</f>
        <v>0</v>
      </c>
      <c r="D226" s="1" t="b">
        <f t="shared" si="1"/>
        <v>0</v>
      </c>
      <c r="E226" s="14">
        <f>IFERROR(__xludf.DUMMYFUNCTION("VALUE(IF(ISTEXT(D226), REGEXREPLACE(Filmes_raw!C226,""[^,]+$"",D226),Filmes_raw!C226))"),3256911.0)</f>
        <v>3256911</v>
      </c>
      <c r="F226" s="6">
        <f>IFERROR(__xludf.DUMMYFUNCTION("VALUE(REGEXEXTRACT(Filmes_raw!F226, ""[0-9]+""
))"),104.0)</f>
        <v>104</v>
      </c>
    </row>
    <row r="227">
      <c r="A227" s="1">
        <v>226.0</v>
      </c>
      <c r="B227" s="1" t="s">
        <v>1559</v>
      </c>
      <c r="C227" s="13" t="b">
        <f>IFERROR(__xludf.DUMMYFUNCTION("IF(ISTEXT(Filmes_raw!C227), REGEXEXTRACT(Filmes_raw!C227,""[^,]+$""))"),FALSE)</f>
        <v>0</v>
      </c>
      <c r="D227" s="1" t="b">
        <f t="shared" si="1"/>
        <v>0</v>
      </c>
      <c r="E227" s="14">
        <f>IFERROR(__xludf.DUMMYFUNCTION("VALUE(IF(ISTEXT(D227), REGEXREPLACE(Filmes_raw!C227,""[^,]+$"",D227),Filmes_raw!C227))"),1.48095302E8)</f>
        <v>148095302</v>
      </c>
      <c r="F227" s="6">
        <f>IFERROR(__xludf.DUMMYFUNCTION("VALUE(REGEXEXTRACT(Filmes_raw!F227, ""[0-9]+""
))"),116.0)</f>
        <v>116</v>
      </c>
    </row>
    <row r="228">
      <c r="A228" s="1">
        <v>227.0</v>
      </c>
      <c r="B228" s="1" t="s">
        <v>1564</v>
      </c>
      <c r="C228" s="13" t="b">
        <f>IFERROR(__xludf.DUMMYFUNCTION("IF(ISTEXT(Filmes_raw!C228), REGEXEXTRACT(Filmes_raw!C228,""[^,]+$""))"),FALSE)</f>
        <v>0</v>
      </c>
      <c r="D228" s="1" t="b">
        <f t="shared" si="1"/>
        <v>0</v>
      </c>
      <c r="E228" s="14">
        <f>IFERROR(__xludf.DUMMYFUNCTION("VALUE(IF(ISTEXT(D228), REGEXREPLACE(Filmes_raw!C228,""[^,]+$"",D228),Filmes_raw!C228))"),3.81011219E8)</f>
        <v>381011219</v>
      </c>
      <c r="F228" s="6">
        <f>IFERROR(__xludf.DUMMYFUNCTION("VALUE(REGEXEXTRACT(Filmes_raw!F228, ""[0-9]+""
))"),130.0)</f>
        <v>130</v>
      </c>
    </row>
    <row r="229">
      <c r="A229" s="1">
        <v>228.0</v>
      </c>
      <c r="B229" s="1" t="s">
        <v>1572</v>
      </c>
      <c r="C229" s="13" t="b">
        <f>IFERROR(__xludf.DUMMYFUNCTION("IF(ISTEXT(Filmes_raw!C229), REGEXEXTRACT(Filmes_raw!C229,""[^,]+$""))"),FALSE)</f>
        <v>0</v>
      </c>
      <c r="D229" s="1" t="b">
        <f t="shared" si="1"/>
        <v>0</v>
      </c>
      <c r="E229" s="14">
        <f>IFERROR(__xludf.DUMMYFUNCTION("VALUE(IF(ISTEXT(D229), REGEXREPLACE(Filmes_raw!C229,""[^,]+$"",D229),Filmes_raw!C229))"),1498210.0)</f>
        <v>1498210</v>
      </c>
      <c r="F229" s="6">
        <f>IFERROR(__xludf.DUMMYFUNCTION("VALUE(REGEXEXTRACT(Filmes_raw!F229, ""[0-9]+""
))"),130.0)</f>
        <v>130</v>
      </c>
    </row>
    <row r="230">
      <c r="A230" s="1">
        <v>229.0</v>
      </c>
      <c r="B230" s="1" t="s">
        <v>1579</v>
      </c>
      <c r="C230" s="13" t="b">
        <f>IFERROR(__xludf.DUMMYFUNCTION("IF(ISTEXT(Filmes_raw!C230), REGEXEXTRACT(Filmes_raw!C230,""[^,]+$""))"),FALSE)</f>
        <v>0</v>
      </c>
      <c r="D230" s="1" t="b">
        <f t="shared" si="1"/>
        <v>0</v>
      </c>
      <c r="E230" s="14">
        <f>IFERROR(__xludf.DUMMYFUNCTION("VALUE(IF(ISTEXT(D230), REGEXREPLACE(Filmes_raw!C230,""[^,]+$"",D230),Filmes_raw!C230))"),4.6749646E7)</f>
        <v>46749646</v>
      </c>
      <c r="F230" s="6">
        <f>IFERROR(__xludf.DUMMYFUNCTION("VALUE(REGEXEXTRACT(Filmes_raw!F230, ""[0-9]+""
))"),93.0)</f>
        <v>93</v>
      </c>
    </row>
    <row r="231">
      <c r="A231" s="1">
        <v>230.0</v>
      </c>
      <c r="B231" s="1" t="s">
        <v>1587</v>
      </c>
      <c r="C231" s="13" t="b">
        <f>IFERROR(__xludf.DUMMYFUNCTION("IF(ISTEXT(Filmes_raw!C231), REGEXEXTRACT(Filmes_raw!C231,""[^,]+$""))"),FALSE)</f>
        <v>0</v>
      </c>
      <c r="D231" s="1" t="b">
        <f t="shared" si="1"/>
        <v>0</v>
      </c>
      <c r="E231" s="14">
        <f>IFERROR(__xludf.DUMMYFUNCTION("VALUE(IF(ISTEXT(D231), REGEXREPLACE(Filmes_raw!C231,""[^,]+$"",D231),Filmes_raw!C231))"),1740429.0)</f>
        <v>1740429</v>
      </c>
      <c r="F231" s="6">
        <f>IFERROR(__xludf.DUMMYFUNCTION("VALUE(REGEXEXTRACT(Filmes_raw!F231, ""[0-9]+""
))"),92.0)</f>
        <v>92</v>
      </c>
    </row>
    <row r="232">
      <c r="A232" s="1">
        <v>231.0</v>
      </c>
      <c r="B232" s="1" t="s">
        <v>1596</v>
      </c>
      <c r="C232" s="13" t="b">
        <f>IFERROR(__xludf.DUMMYFUNCTION("IF(ISTEXT(Filmes_raw!C232), REGEXEXTRACT(Filmes_raw!C232,""[^,]+$""))"),FALSE)</f>
        <v>0</v>
      </c>
      <c r="D232" s="1" t="b">
        <f t="shared" si="1"/>
        <v>0</v>
      </c>
      <c r="E232" s="14">
        <f>IFERROR(__xludf.DUMMYFUNCTION("VALUE(IF(ISTEXT(D232), REGEXREPLACE(Filmes_raw!C232,""[^,]+$"",D232),Filmes_raw!C232))"),2.17581231E8)</f>
        <v>217581231</v>
      </c>
      <c r="F232" s="6">
        <f>IFERROR(__xludf.DUMMYFUNCTION("VALUE(REGEXEXTRACT(Filmes_raw!F232, ""[0-9]+""
))"),98.0)</f>
        <v>98</v>
      </c>
    </row>
    <row r="233">
      <c r="A233" s="1">
        <v>232.0</v>
      </c>
      <c r="B233" s="1" t="s">
        <v>1603</v>
      </c>
      <c r="C233" s="13" t="b">
        <f>IFERROR(__xludf.DUMMYFUNCTION("IF(ISTEXT(Filmes_raw!C233), REGEXEXTRACT(Filmes_raw!C233,""[^,]+$""))"),FALSE)</f>
        <v>0</v>
      </c>
      <c r="D233" s="1" t="b">
        <f t="shared" si="1"/>
        <v>0</v>
      </c>
      <c r="E233" s="14">
        <f>IFERROR(__xludf.DUMMYFUNCTION("VALUE(IF(ISTEXT(D233), REGEXREPLACE(Filmes_raw!C233,""[^,]+$"",D233),Filmes_raw!C233))"),1.8354356E7)</f>
        <v>18354356</v>
      </c>
      <c r="F233" s="6">
        <f>IFERROR(__xludf.DUMMYFUNCTION("VALUE(REGEXEXTRACT(Filmes_raw!F233, ""[0-9]+""
))"),148.0)</f>
        <v>148</v>
      </c>
    </row>
    <row r="234">
      <c r="A234" s="1">
        <v>233.0</v>
      </c>
      <c r="B234" s="1" t="s">
        <v>1610</v>
      </c>
      <c r="C234" s="13" t="b">
        <f>IFERROR(__xludf.DUMMYFUNCTION("IF(ISTEXT(Filmes_raw!C234), REGEXEXTRACT(Filmes_raw!C234,""[^,]+$""))"),FALSE)</f>
        <v>0</v>
      </c>
      <c r="D234" s="1" t="b">
        <f t="shared" si="1"/>
        <v>0</v>
      </c>
      <c r="E234" s="14">
        <f>IFERROR(__xludf.DUMMYFUNCTION("VALUE(IF(ISTEXT(D234), REGEXREPLACE(Filmes_raw!C234,""[^,]+$"",D234),Filmes_raw!C234))"),7.4283625E7)</f>
        <v>74283625</v>
      </c>
      <c r="F234" s="6">
        <f>IFERROR(__xludf.DUMMYFUNCTION("VALUE(REGEXEXTRACT(Filmes_raw!F234, ""[0-9]+""
))"),122.0)</f>
        <v>122</v>
      </c>
    </row>
    <row r="235">
      <c r="A235" s="1">
        <v>234.0</v>
      </c>
      <c r="B235" s="1" t="s">
        <v>1617</v>
      </c>
      <c r="C235" s="13" t="b">
        <f>IFERROR(__xludf.DUMMYFUNCTION("IF(ISTEXT(Filmes_raw!C235), REGEXEXTRACT(Filmes_raw!C235,""[^,]+$""))"),FALSE)</f>
        <v>0</v>
      </c>
      <c r="D235" s="1" t="b">
        <f t="shared" si="1"/>
        <v>0</v>
      </c>
      <c r="E235" s="14">
        <f>IFERROR(__xludf.DUMMYFUNCTION("VALUE(IF(ISTEXT(D235), REGEXREPLACE(Filmes_raw!C235,""[^,]+$"",D235),Filmes_raw!C235))"),2217561.0)</f>
        <v>2217561</v>
      </c>
      <c r="F235" s="6">
        <f>IFERROR(__xludf.DUMMYFUNCTION("VALUE(REGEXEXTRACT(Filmes_raw!F235, ""[0-9]+""
))"),144.0)</f>
        <v>144</v>
      </c>
    </row>
    <row r="236">
      <c r="A236" s="1">
        <v>235.0</v>
      </c>
      <c r="B236" s="1" t="s">
        <v>1621</v>
      </c>
      <c r="C236" s="13" t="b">
        <f>IFERROR(__xludf.DUMMYFUNCTION("IF(ISTEXT(Filmes_raw!C236), REGEXEXTRACT(Filmes_raw!C236,""[^,]+$""))"),FALSE)</f>
        <v>0</v>
      </c>
      <c r="D236" s="1" t="b">
        <f t="shared" si="1"/>
        <v>0</v>
      </c>
      <c r="E236" s="14">
        <f>IFERROR(__xludf.DUMMYFUNCTION("VALUE(IF(ISTEXT(D236), REGEXREPLACE(Filmes_raw!C236,""[^,]+$"",D236),Filmes_raw!C236))"),1.00492203E8)</f>
        <v>100492203</v>
      </c>
      <c r="F236" s="6">
        <f>IFERROR(__xludf.DUMMYFUNCTION("VALUE(REGEXEXTRACT(Filmes_raw!F236, ""[0-9]+""
))"),132.0)</f>
        <v>132</v>
      </c>
    </row>
    <row r="237">
      <c r="A237" s="1">
        <v>236.0</v>
      </c>
      <c r="B237" s="1" t="s">
        <v>1625</v>
      </c>
      <c r="C237" s="13" t="b">
        <f>IFERROR(__xludf.DUMMYFUNCTION("IF(ISTEXT(Filmes_raw!C237), REGEXEXTRACT(Filmes_raw!C237,""[^,]+$""))"),FALSE)</f>
        <v>0</v>
      </c>
      <c r="D237" s="1" t="b">
        <f t="shared" si="1"/>
        <v>0</v>
      </c>
      <c r="E237" s="14">
        <f>IFERROR(__xludf.DUMMYFUNCTION("VALUE(IF(ISTEXT(D237), REGEXREPLACE(Filmes_raw!C237,""[^,]+$"",D237),Filmes_raw!C237))"),2.3530892E7)</f>
        <v>23530892</v>
      </c>
      <c r="F237" s="6">
        <f>IFERROR(__xludf.DUMMYFUNCTION("VALUE(REGEXEXTRACT(Filmes_raw!F237, ""[0-9]+""
))"),121.0)</f>
        <v>121</v>
      </c>
    </row>
    <row r="238">
      <c r="A238" s="1">
        <v>237.0</v>
      </c>
      <c r="B238" s="1" t="s">
        <v>1631</v>
      </c>
      <c r="C238" s="13" t="b">
        <f>IFERROR(__xludf.DUMMYFUNCTION("IF(ISTEXT(Filmes_raw!C238), REGEXEXTRACT(Filmes_raw!C238,""[^,]+$""))"),FALSE)</f>
        <v>0</v>
      </c>
      <c r="D238" s="1" t="b">
        <f t="shared" si="1"/>
        <v>0</v>
      </c>
      <c r="E238" s="14">
        <f>IFERROR(__xludf.DUMMYFUNCTION("VALUE(IF(ISTEXT(D238), REGEXREPLACE(Filmes_raw!C238,""[^,]+$"",D238),Filmes_raw!C238))"),1111061.0)</f>
        <v>1111061</v>
      </c>
      <c r="F238" s="6">
        <f>IFERROR(__xludf.DUMMYFUNCTION("VALUE(REGEXEXTRACT(Filmes_raw!F238, ""[0-9]+""
))"),140.0)</f>
        <v>140</v>
      </c>
    </row>
    <row r="239">
      <c r="A239" s="1">
        <v>238.0</v>
      </c>
      <c r="B239" s="1" t="s">
        <v>1638</v>
      </c>
      <c r="C239" s="13" t="b">
        <f>IFERROR(__xludf.DUMMYFUNCTION("IF(ISTEXT(Filmes_raw!C239), REGEXEXTRACT(Filmes_raw!C239,""[^,]+$""))"),FALSE)</f>
        <v>0</v>
      </c>
      <c r="D239" s="1" t="b">
        <f t="shared" si="1"/>
        <v>0</v>
      </c>
      <c r="E239" s="14">
        <f>IFERROR(__xludf.DUMMYFUNCTION("VALUE(IF(ISTEXT(D239), REGEXREPLACE(Filmes_raw!C239,""[^,]+$"",D239),Filmes_raw!C239))"),5820649.0)</f>
        <v>5820649</v>
      </c>
      <c r="F239" s="6">
        <f>IFERROR(__xludf.DUMMYFUNCTION("VALUE(REGEXEXTRACT(Filmes_raw!F239, ""[0-9]+""
))"),80.0)</f>
        <v>80</v>
      </c>
    </row>
    <row r="240">
      <c r="A240" s="1">
        <v>239.0</v>
      </c>
      <c r="B240" s="1" t="s">
        <v>1646</v>
      </c>
      <c r="C240" s="13" t="b">
        <f>IFERROR(__xludf.DUMMYFUNCTION("IF(ISTEXT(Filmes_raw!C240), REGEXEXTRACT(Filmes_raw!C240,""[^,]+$""))"),FALSE)</f>
        <v>0</v>
      </c>
      <c r="D240" s="1" t="b">
        <f t="shared" si="1"/>
        <v>0</v>
      </c>
      <c r="E240" s="14">
        <f>IFERROR(__xludf.DUMMYFUNCTION("VALUE(IF(ISTEXT(D240), REGEXREPLACE(Filmes_raw!C240,""[^,]+$"",D240),Filmes_raw!C240))"),3137716.0)</f>
        <v>3137716</v>
      </c>
      <c r="F240" s="6">
        <f>IFERROR(__xludf.DUMMYFUNCTION("VALUE(REGEXEXTRACT(Filmes_raw!F240, ""[0-9]+""
))"),156.0)</f>
        <v>156</v>
      </c>
    </row>
    <row r="241">
      <c r="A241" s="1">
        <v>240.0</v>
      </c>
      <c r="B241" s="1" t="s">
        <v>1650</v>
      </c>
      <c r="C241" s="13" t="b">
        <f>IFERROR(__xludf.DUMMYFUNCTION("IF(ISTEXT(Filmes_raw!C241), REGEXEXTRACT(Filmes_raw!C241,""[^,]+$""))"),FALSE)</f>
        <v>0</v>
      </c>
      <c r="D241" s="1" t="b">
        <f t="shared" si="1"/>
        <v>0</v>
      </c>
      <c r="E241" s="14">
        <f>IFERROR(__xludf.DUMMYFUNCTION("VALUE(IF(ISTEXT(D241), REGEXREPLACE(Filmes_raw!C241,""[^,]+$"",D241),Filmes_raw!C241))"),14131.0)</f>
        <v>14131</v>
      </c>
      <c r="F241" s="6">
        <f>IFERROR(__xludf.DUMMYFUNCTION("VALUE(REGEXEXTRACT(Filmes_raw!F241, ""[0-9]+""
))"),131.0)</f>
        <v>131</v>
      </c>
    </row>
    <row r="242">
      <c r="A242" s="1">
        <v>241.0</v>
      </c>
      <c r="B242" s="1" t="s">
        <v>1655</v>
      </c>
      <c r="C242" s="13" t="b">
        <f>IFERROR(__xludf.DUMMYFUNCTION("IF(ISTEXT(Filmes_raw!C242), REGEXEXTRACT(Filmes_raw!C242,""[^,]+$""))"),FALSE)</f>
        <v>0</v>
      </c>
      <c r="D242" s="1" t="b">
        <f t="shared" si="1"/>
        <v>0</v>
      </c>
      <c r="E242" s="14">
        <f>IFERROR(__xludf.DUMMYFUNCTION("VALUE(IF(ISTEXT(D242), REGEXREPLACE(Filmes_raw!C242,""[^,]+$"",D242),Filmes_raw!C242))"),300.0)</f>
        <v>300</v>
      </c>
      <c r="F242" s="6">
        <f>IFERROR(__xludf.DUMMYFUNCTION("VALUE(REGEXEXTRACT(Filmes_raw!F242, ""[0-9]+""
))"),183.0)</f>
        <v>183</v>
      </c>
    </row>
    <row r="243">
      <c r="A243" s="1">
        <v>242.0</v>
      </c>
      <c r="B243" s="1" t="s">
        <v>1662</v>
      </c>
      <c r="C243" s="13" t="b">
        <f>IFERROR(__xludf.DUMMYFUNCTION("IF(ISTEXT(Filmes_raw!C243), REGEXEXTRACT(Filmes_raw!C243,""[^,]+$""))"),FALSE)</f>
        <v>0</v>
      </c>
      <c r="D243" s="1" t="b">
        <f t="shared" si="1"/>
        <v>0</v>
      </c>
      <c r="E243" s="14">
        <f>IFERROR(__xludf.DUMMYFUNCTION("VALUE(IF(ISTEXT(D243), REGEXREPLACE(Filmes_raw!C243,""[^,]+$"",D243),Filmes_raw!C243))"),7.0099045E7)</f>
        <v>70099045</v>
      </c>
      <c r="F243" s="6">
        <f>IFERROR(__xludf.DUMMYFUNCTION("VALUE(REGEXEXTRACT(Filmes_raw!F243, ""[0-9]+""
))"),111.0)</f>
        <v>111</v>
      </c>
    </row>
    <row r="244">
      <c r="A244" s="1">
        <v>243.0</v>
      </c>
      <c r="B244" s="1" t="s">
        <v>1667</v>
      </c>
      <c r="C244" s="13" t="b">
        <f>IFERROR(__xludf.DUMMYFUNCTION("IF(ISTEXT(Filmes_raw!C244), REGEXEXTRACT(Filmes_raw!C244,""[^,]+$""))"),FALSE)</f>
        <v>0</v>
      </c>
      <c r="D244" s="1" t="b">
        <f t="shared" si="1"/>
        <v>0</v>
      </c>
      <c r="E244" s="14">
        <f>IFERROR(__xludf.DUMMYFUNCTION("VALUE(IF(ISTEXT(D244), REGEXREPLACE(Filmes_raw!C244,""[^,]+$"",D244),Filmes_raw!C244))"),3.80843261E8)</f>
        <v>380843261</v>
      </c>
      <c r="F244" s="6">
        <f>IFERROR(__xludf.DUMMYFUNCTION("VALUE(REGEXEXTRACT(Filmes_raw!F244, ""[0-9]+""
))"),100.0)</f>
        <v>100</v>
      </c>
    </row>
    <row r="245">
      <c r="A245" s="1">
        <v>244.0</v>
      </c>
      <c r="B245" s="1" t="s">
        <v>1671</v>
      </c>
      <c r="C245" s="13" t="b">
        <f>IFERROR(__xludf.DUMMYFUNCTION("IF(ISTEXT(Filmes_raw!C245), REGEXEXTRACT(Filmes_raw!C245,""[^,]+$""))"),FALSE)</f>
        <v>0</v>
      </c>
      <c r="D245" s="1" t="b">
        <f t="shared" si="1"/>
        <v>0</v>
      </c>
      <c r="E245" s="14">
        <f>IFERROR(__xludf.DUMMYFUNCTION("VALUE(IF(ISTEXT(D245), REGEXREPLACE(Filmes_raw!C245,""[^,]+$"",D245),Filmes_raw!C245))"),1.64615351E8)</f>
        <v>164615351</v>
      </c>
      <c r="F245" s="6">
        <f>IFERROR(__xludf.DUMMYFUNCTION("VALUE(REGEXEXTRACT(Filmes_raw!F245, ""[0-9]+""
))"),141.0)</f>
        <v>141</v>
      </c>
    </row>
    <row r="246">
      <c r="A246" s="1">
        <v>245.0</v>
      </c>
      <c r="B246" s="1" t="s">
        <v>1675</v>
      </c>
      <c r="C246" s="13" t="b">
        <f>IFERROR(__xludf.DUMMYFUNCTION("IF(ISTEXT(Filmes_raw!C246), REGEXEXTRACT(Filmes_raw!C246,""[^,]+$""))"),FALSE)</f>
        <v>0</v>
      </c>
      <c r="D246" s="1" t="b">
        <f t="shared" si="1"/>
        <v>0</v>
      </c>
      <c r="E246" s="14">
        <f>IFERROR(__xludf.DUMMYFUNCTION("VALUE(IF(ISTEXT(D246), REGEXREPLACE(Filmes_raw!C246,""[^,]+$"",D246),Filmes_raw!C246))"),5383834.0)</f>
        <v>5383834</v>
      </c>
      <c r="F246" s="6">
        <f>IFERROR(__xludf.DUMMYFUNCTION("VALUE(REGEXEXTRACT(Filmes_raw!F246, ""[0-9]+""
))"),154.0)</f>
        <v>154</v>
      </c>
    </row>
    <row r="247">
      <c r="A247" s="1">
        <v>246.0</v>
      </c>
      <c r="B247" s="1" t="s">
        <v>1681</v>
      </c>
      <c r="C247" s="13" t="b">
        <f>IFERROR(__xludf.DUMMYFUNCTION("IF(ISTEXT(Filmes_raw!C247), REGEXEXTRACT(Filmes_raw!C247,""[^,]+$""))"),FALSE)</f>
        <v>0</v>
      </c>
      <c r="D247" s="1" t="b">
        <f t="shared" si="1"/>
        <v>0</v>
      </c>
      <c r="E247" s="14">
        <f>IFERROR(__xludf.DUMMYFUNCTION("VALUE(IF(ISTEXT(D247), REGEXREPLACE(Filmes_raw!C247,""[^,]+$"",D247),Filmes_raw!C247))"),2.89916256E8)</f>
        <v>289916256</v>
      </c>
      <c r="F247" s="6">
        <f>IFERROR(__xludf.DUMMYFUNCTION("VALUE(REGEXEXTRACT(Filmes_raw!F247, ""[0-9]+""
))"),92.0)</f>
        <v>92</v>
      </c>
    </row>
    <row r="248">
      <c r="A248" s="1">
        <v>247.0</v>
      </c>
      <c r="B248" s="1" t="s">
        <v>1686</v>
      </c>
      <c r="C248" s="13" t="b">
        <f>IFERROR(__xludf.DUMMYFUNCTION("IF(ISTEXT(Filmes_raw!C248), REGEXEXTRACT(Filmes_raw!C248,""[^,]+$""))"),FALSE)</f>
        <v>0</v>
      </c>
      <c r="D248" s="1" t="b">
        <f t="shared" si="1"/>
        <v>0</v>
      </c>
      <c r="E248" s="14">
        <f>IFERROR(__xludf.DUMMYFUNCTION("VALUE(IF(ISTEXT(D248), REGEXREPLACE(Filmes_raw!C248,""[^,]+$"",D248),Filmes_raw!C248))"),0.0)</f>
        <v>0</v>
      </c>
      <c r="F248" s="6">
        <f>IFERROR(__xludf.DUMMYFUNCTION("VALUE(REGEXEXTRACT(Filmes_raw!F248, ""[0-9]+""
))"),87.0)</f>
        <v>87</v>
      </c>
    </row>
    <row r="249">
      <c r="A249" s="1">
        <v>248.0</v>
      </c>
      <c r="B249" s="1" t="s">
        <v>1694</v>
      </c>
      <c r="C249" s="13" t="b">
        <f>IFERROR(__xludf.DUMMYFUNCTION("IF(ISTEXT(Filmes_raw!C249), REGEXEXTRACT(Filmes_raw!C249,""[^,]+$""))"),FALSE)</f>
        <v>0</v>
      </c>
      <c r="D249" s="1" t="b">
        <f t="shared" si="1"/>
        <v>0</v>
      </c>
      <c r="E249" s="14">
        <f>IFERROR(__xludf.DUMMYFUNCTION("VALUE(IF(ISTEXT(D249), REGEXREPLACE(Filmes_raw!C249,""[^,]+$"",D249),Filmes_raw!C249))"),70147.0)</f>
        <v>70147</v>
      </c>
      <c r="F249" s="6">
        <f>IFERROR(__xludf.DUMMYFUNCTION("VALUE(REGEXEXTRACT(Filmes_raw!F249, ""[0-9]+""
))"),224.0)</f>
        <v>224</v>
      </c>
    </row>
    <row r="250">
      <c r="A250" s="1">
        <v>249.0</v>
      </c>
      <c r="B250" s="1" t="s">
        <v>1700</v>
      </c>
      <c r="C250" s="13" t="b">
        <f>IFERROR(__xludf.DUMMYFUNCTION("IF(ISTEXT(Filmes_raw!C250), REGEXEXTRACT(Filmes_raw!C250,""[^,]+$""))"),FALSE)</f>
        <v>0</v>
      </c>
      <c r="D250" s="1" t="b">
        <f t="shared" si="1"/>
        <v>0</v>
      </c>
      <c r="E250" s="14">
        <f>IFERROR(__xludf.DUMMYFUNCTION("VALUE(IF(ISTEXT(D250), REGEXREPLACE(Filmes_raw!C250,""[^,]+$"",D250),Filmes_raw!C250))"),2.93506292E8)</f>
        <v>293506292</v>
      </c>
      <c r="F250" s="6">
        <f>IFERROR(__xludf.DUMMYFUNCTION("VALUE(REGEXEXTRACT(Filmes_raw!F250, ""[0-9]+""
))"),107.0)</f>
        <v>107</v>
      </c>
    </row>
    <row r="251">
      <c r="A251" s="1">
        <v>250.0</v>
      </c>
      <c r="B251" s="1" t="s">
        <v>1705</v>
      </c>
      <c r="C251" s="13" t="b">
        <f>IFERROR(__xludf.DUMMYFUNCTION("IF(ISTEXT(Filmes_raw!C251), REGEXEXTRACT(Filmes_raw!C251,""[^,]+$""))"),FALSE)</f>
        <v>0</v>
      </c>
      <c r="D251" s="1" t="b">
        <f t="shared" si="1"/>
        <v>0</v>
      </c>
      <c r="E251" s="14">
        <f>IFERROR(__xludf.DUMMYFUNCTION("VALUE(IF(ISTEXT(D251), REGEXREPLACE(Filmes_raw!C251,""[^,]+$"",D251),Filmes_raw!C251))"),259127.0)</f>
        <v>259127</v>
      </c>
      <c r="F251" s="6">
        <f>IFERROR(__xludf.DUMMYFUNCTION("VALUE(REGEXEXTRACT(Filmes_raw!F251, ""[0-9]+""
))"),169.0)</f>
        <v>169</v>
      </c>
    </row>
    <row r="252">
      <c r="A252" s="1">
        <v>251.0</v>
      </c>
      <c r="B252" s="1" t="s">
        <v>1711</v>
      </c>
      <c r="C252" s="13" t="b">
        <f>IFERROR(__xludf.DUMMYFUNCTION("IF(ISTEXT(Filmes_raw!C252), REGEXEXTRACT(Filmes_raw!C252,""[^,]+$""))"),FALSE)</f>
        <v>0</v>
      </c>
      <c r="D252" s="1" t="b">
        <f t="shared" si="1"/>
        <v>0</v>
      </c>
      <c r="E252" s="14">
        <f>IFERROR(__xludf.DUMMYFUNCTION("VALUE(IF(ISTEXT(D252), REGEXREPLACE(Filmes_raw!C252,""[^,]+$"",D252),Filmes_raw!C252))"),1.25618201E8)</f>
        <v>125618201</v>
      </c>
      <c r="F252" s="6">
        <f>IFERROR(__xludf.DUMMYFUNCTION("VALUE(REGEXEXTRACT(Filmes_raw!F252, ""[0-9]+""
))"),103.0)</f>
        <v>103</v>
      </c>
    </row>
    <row r="253">
      <c r="A253" s="1">
        <v>252.0</v>
      </c>
      <c r="B253" s="1" t="s">
        <v>1716</v>
      </c>
      <c r="C253" s="13" t="str">
        <f>IFERROR(__xludf.DUMMYFUNCTION("IF(ISTEXT(Filmes_raw!C253), REGEXEXTRACT(Filmes_raw!C253,""[^,]+$""))"),"66")</f>
        <v>66</v>
      </c>
      <c r="D253" s="1" t="str">
        <f t="shared" si="1"/>
        <v>660</v>
      </c>
      <c r="E253" s="14">
        <f>IFERROR(__xludf.DUMMYFUNCTION("VALUE(IF(ISTEXT(D253), REGEXREPLACE(Filmes_raw!C253,""[^,]+$"",D253),Filmes_raw!C253))"),348660.0)</f>
        <v>348660</v>
      </c>
      <c r="F253" s="6">
        <f>IFERROR(__xludf.DUMMYFUNCTION("VALUE(REGEXEXTRACT(Filmes_raw!F253, ""[0-9]+""
))"),127.0)</f>
        <v>127</v>
      </c>
    </row>
    <row r="254">
      <c r="A254" s="1">
        <v>253.0</v>
      </c>
      <c r="B254" s="1" t="s">
        <v>1724</v>
      </c>
      <c r="C254" s="13" t="b">
        <f>IFERROR(__xludf.DUMMYFUNCTION("IF(ISTEXT(Filmes_raw!C254), REGEXEXTRACT(Filmes_raw!C254,""[^,]+$""))"),FALSE)</f>
        <v>0</v>
      </c>
      <c r="D254" s="1" t="b">
        <f t="shared" si="1"/>
        <v>0</v>
      </c>
      <c r="E254" s="14">
        <f>IFERROR(__xludf.DUMMYFUNCTION("VALUE(IF(ISTEXT(D254), REGEXREPLACE(Filmes_raw!C254,""[^,]+$"",D254),Filmes_raw!C254))"),1.7498804E7)</f>
        <v>17498804</v>
      </c>
      <c r="F254" s="6">
        <f>IFERROR(__xludf.DUMMYFUNCTION("VALUE(REGEXEXTRACT(Filmes_raw!F254, ""[0-9]+""
))"),117.0)</f>
        <v>117</v>
      </c>
    </row>
    <row r="255">
      <c r="A255" s="1">
        <v>254.0</v>
      </c>
      <c r="B255" s="1" t="s">
        <v>1729</v>
      </c>
      <c r="C255" s="13" t="b">
        <f>IFERROR(__xludf.DUMMYFUNCTION("IF(ISTEXT(Filmes_raw!C255), REGEXEXTRACT(Filmes_raw!C255,""[^,]+$""))"),FALSE)</f>
        <v>0</v>
      </c>
      <c r="D255" s="1" t="b">
        <f t="shared" si="1"/>
        <v>0</v>
      </c>
      <c r="E255" s="14">
        <f>IFERROR(__xludf.DUMMYFUNCTION("VALUE(IF(ISTEXT(D255), REGEXREPLACE(Filmes_raw!C255,""[^,]+$"",D255),Filmes_raw!C255))"),2734044.0)</f>
        <v>2734044</v>
      </c>
      <c r="F255" s="6">
        <f>IFERROR(__xludf.DUMMYFUNCTION("VALUE(REGEXEXTRACT(Filmes_raw!F255, ""[0-9]+""
))"),98.0)</f>
        <v>98</v>
      </c>
    </row>
    <row r="256">
      <c r="A256" s="1">
        <v>255.0</v>
      </c>
      <c r="B256" s="1" t="s">
        <v>1736</v>
      </c>
      <c r="C256" s="13" t="b">
        <f>IFERROR(__xludf.DUMMYFUNCTION("IF(ISTEXT(Filmes_raw!C256), REGEXEXTRACT(Filmes_raw!C256,""[^,]+$""))"),FALSE)</f>
        <v>0</v>
      </c>
      <c r="D256" s="1" t="b">
        <f t="shared" si="1"/>
        <v>0</v>
      </c>
      <c r="E256" s="14">
        <f>IFERROR(__xludf.DUMMYFUNCTION("VALUE(IF(ISTEXT(D256), REGEXREPLACE(Filmes_raw!C256,""[^,]+$"",D256),Filmes_raw!C256))"),1.6501785E7)</f>
        <v>16501785</v>
      </c>
      <c r="F256" s="6">
        <f>IFERROR(__xludf.DUMMYFUNCTION("VALUE(REGEXEXTRACT(Filmes_raw!F256, ""[0-9]+""
))"),93.0)</f>
        <v>93</v>
      </c>
    </row>
    <row r="257">
      <c r="A257" s="1">
        <v>256.0</v>
      </c>
      <c r="B257" s="1" t="s">
        <v>1743</v>
      </c>
      <c r="C257" s="13" t="b">
        <f>IFERROR(__xludf.DUMMYFUNCTION("IF(ISTEXT(Filmes_raw!C257), REGEXEXTRACT(Filmes_raw!C257,""[^,]+$""))"),FALSE)</f>
        <v>0</v>
      </c>
      <c r="D257" s="1" t="b">
        <f t="shared" si="1"/>
        <v>0</v>
      </c>
      <c r="E257" s="14">
        <f>IFERROR(__xludf.DUMMYFUNCTION("VALUE(IF(ISTEXT(D257), REGEXREPLACE(Filmes_raw!C257,""[^,]+$"",D257),Filmes_raw!C257))"),2.4611975E7)</f>
        <v>24611975</v>
      </c>
      <c r="F257" s="6">
        <f>IFERROR(__xludf.DUMMYFUNCTION("VALUE(REGEXEXTRACT(Filmes_raw!F257, ""[0-9]+""
))"),98.0)</f>
        <v>98</v>
      </c>
    </row>
    <row r="258">
      <c r="A258" s="1">
        <v>257.0</v>
      </c>
      <c r="B258" s="1" t="s">
        <v>1747</v>
      </c>
      <c r="C258" s="13" t="b">
        <f>IFERROR(__xludf.DUMMYFUNCTION("IF(ISTEXT(Filmes_raw!C258), REGEXEXTRACT(Filmes_raw!C258,""[^,]+$""))"),FALSE)</f>
        <v>0</v>
      </c>
      <c r="D258" s="1" t="b">
        <f t="shared" si="1"/>
        <v>0</v>
      </c>
      <c r="E258" s="14">
        <f>IFERROR(__xludf.DUMMYFUNCTION("VALUE(IF(ISTEXT(D258), REGEXREPLACE(Filmes_raw!C258,""[^,]+$"",D258),Filmes_raw!C258))"),171082.0)</f>
        <v>171082</v>
      </c>
      <c r="F258" s="6">
        <f>IFERROR(__xludf.DUMMYFUNCTION("VALUE(REGEXEXTRACT(Filmes_raw!F258, ""[0-9]+""
))"),170.0)</f>
        <v>170</v>
      </c>
    </row>
    <row r="259">
      <c r="A259" s="1">
        <v>258.0</v>
      </c>
      <c r="B259" s="1" t="s">
        <v>1753</v>
      </c>
      <c r="C259" s="13" t="b">
        <f>IFERROR(__xludf.DUMMYFUNCTION("IF(ISTEXT(Filmes_raw!C259), REGEXEXTRACT(Filmes_raw!C259,""[^,]+$""))"),FALSE)</f>
        <v>0</v>
      </c>
      <c r="D259" s="1" t="b">
        <f t="shared" si="1"/>
        <v>0</v>
      </c>
      <c r="E259" s="14">
        <f>IFERROR(__xludf.DUMMYFUNCTION("VALUE(IF(ISTEXT(D259), REGEXREPLACE(Filmes_raw!C259,""[^,]+$"",D259),Filmes_raw!C259))"),309811.0)</f>
        <v>309811</v>
      </c>
      <c r="F259" s="6">
        <f>IFERROR(__xludf.DUMMYFUNCTION("VALUE(REGEXEXTRACT(Filmes_raw!F259, ""[0-9]+""
))"),98.0)</f>
        <v>98</v>
      </c>
    </row>
    <row r="260">
      <c r="A260" s="1">
        <v>259.0</v>
      </c>
      <c r="B260" s="1" t="s">
        <v>1759</v>
      </c>
      <c r="C260" s="13" t="b">
        <f>IFERROR(__xludf.DUMMYFUNCTION("IF(ISTEXT(Filmes_raw!C260), REGEXEXTRACT(Filmes_raw!C260,""[^,]+$""))"),FALSE)</f>
        <v>0</v>
      </c>
      <c r="D260" s="1" t="b">
        <f t="shared" si="1"/>
        <v>0</v>
      </c>
      <c r="E260" s="14">
        <f>IFERROR(__xludf.DUMMYFUNCTION("VALUE(IF(ISTEXT(D260), REGEXREPLACE(Filmes_raw!C260,""[^,]+$"",D260),Filmes_raw!C260))"),74965.0)</f>
        <v>74965</v>
      </c>
      <c r="F260" s="6">
        <f>IFERROR(__xludf.DUMMYFUNCTION("VALUE(REGEXEXTRACT(Filmes_raw!F260, ""[0-9]+""
))"),189.0)</f>
        <v>189</v>
      </c>
    </row>
    <row r="261">
      <c r="A261" s="1">
        <v>260.0</v>
      </c>
      <c r="B261" s="1" t="s">
        <v>1765</v>
      </c>
      <c r="C261" s="13" t="b">
        <f>IFERROR(__xludf.DUMMYFUNCTION("IF(ISTEXT(Filmes_raw!C261), REGEXEXTRACT(Filmes_raw!C261,""[^,]+$""))"),FALSE)</f>
        <v>0</v>
      </c>
      <c r="D261" s="1" t="b">
        <f t="shared" si="1"/>
        <v>0</v>
      </c>
      <c r="E261" s="14">
        <f>IFERROR(__xludf.DUMMYFUNCTION("VALUE(IF(ISTEXT(D261), REGEXREPLACE(Filmes_raw!C261,""[^,]+$"",D261),Filmes_raw!C261))"),5535405.0)</f>
        <v>5535405</v>
      </c>
      <c r="F261" s="6">
        <f>IFERROR(__xludf.DUMMYFUNCTION("VALUE(REGEXEXTRACT(Filmes_raw!F261, ""[0-9]+""
))"),101.0)</f>
        <v>101</v>
      </c>
    </row>
    <row r="262">
      <c r="A262" s="1">
        <v>261.0</v>
      </c>
      <c r="B262" s="1" t="s">
        <v>1769</v>
      </c>
      <c r="C262" s="13" t="b">
        <f>IFERROR(__xludf.DUMMYFUNCTION("IF(ISTEXT(Filmes_raw!C262), REGEXEXTRACT(Filmes_raw!C262,""[^,]+$""))"),FALSE)</f>
        <v>0</v>
      </c>
      <c r="D262" s="1" t="b">
        <f t="shared" si="1"/>
        <v>0</v>
      </c>
      <c r="E262" s="14">
        <f>IFERROR(__xludf.DUMMYFUNCTION("VALUE(IF(ISTEXT(D262), REGEXREPLACE(Filmes_raw!C262,""[^,]+$"",D262),Filmes_raw!C262))"),4043686.0)</f>
        <v>4043686</v>
      </c>
      <c r="F262" s="6">
        <f>IFERROR(__xludf.DUMMYFUNCTION("VALUE(REGEXEXTRACT(Filmes_raw!F262, ""[0-9]+""
))"),99.0)</f>
        <v>99</v>
      </c>
    </row>
    <row r="263">
      <c r="A263" s="1">
        <v>262.0</v>
      </c>
      <c r="B263" s="1" t="s">
        <v>1776</v>
      </c>
      <c r="C263" s="13" t="str">
        <f>IFERROR(__xludf.DUMMYFUNCTION("IF(ISTEXT(Filmes_raw!C263), REGEXEXTRACT(Filmes_raw!C263,""[^,]+$""))"),"2")</f>
        <v>2</v>
      </c>
      <c r="D263" s="1" t="str">
        <f t="shared" si="1"/>
        <v>200</v>
      </c>
      <c r="E263" s="14">
        <f>IFERROR(__xludf.DUMMYFUNCTION("VALUE(IF(ISTEXT(D263), REGEXREPLACE(Filmes_raw!C263,""[^,]+$"",D263),Filmes_raw!C263))"),600200.0)</f>
        <v>600200</v>
      </c>
      <c r="F263" s="6">
        <f>IFERROR(__xludf.DUMMYFUNCTION("VALUE(REGEXEXTRACT(Filmes_raw!F263, ""[0-9]+""
))"),102.0)</f>
        <v>102</v>
      </c>
    </row>
    <row r="264">
      <c r="A264" s="1">
        <v>263.0</v>
      </c>
      <c r="B264" s="1" t="s">
        <v>1782</v>
      </c>
      <c r="C264" s="13" t="b">
        <f>IFERROR(__xludf.DUMMYFUNCTION("IF(ISTEXT(Filmes_raw!C264), REGEXEXTRACT(Filmes_raw!C264,""[^,]+$""))"),FALSE)</f>
        <v>0</v>
      </c>
      <c r="D264" s="1" t="b">
        <f t="shared" si="1"/>
        <v>0</v>
      </c>
      <c r="E264" s="14">
        <f>IFERROR(__xludf.DUMMYFUNCTION("VALUE(IF(ISTEXT(D264), REGEXREPLACE(Filmes_raw!C264,""[^,]+$"",D264),Filmes_raw!C264))"),4.02453882E8)</f>
        <v>402453882</v>
      </c>
      <c r="F264" s="6">
        <f>IFERROR(__xludf.DUMMYFUNCTION("VALUE(REGEXEXTRACT(Filmes_raw!F264, ""[0-9]+""
))"),127.0)</f>
        <v>127</v>
      </c>
    </row>
    <row r="265">
      <c r="A265" s="1">
        <v>264.0</v>
      </c>
      <c r="B265" s="1" t="s">
        <v>1787</v>
      </c>
      <c r="C265" s="13" t="b">
        <f>IFERROR(__xludf.DUMMYFUNCTION("IF(ISTEXT(Filmes_raw!C265), REGEXEXTRACT(Filmes_raw!C265,""[^,]+$""))"),FALSE)</f>
        <v>0</v>
      </c>
      <c r="D265" s="1" t="b">
        <f t="shared" si="1"/>
        <v>0</v>
      </c>
      <c r="E265" s="14">
        <f>IFERROR(__xludf.DUMMYFUNCTION("VALUE(IF(ISTEXT(D265), REGEXREPLACE(Filmes_raw!C265,""[^,]+$"",D265),Filmes_raw!C265))"),2.501041E7)</f>
        <v>25010410</v>
      </c>
      <c r="F265" s="6">
        <f>IFERROR(__xludf.DUMMYFUNCTION("VALUE(REGEXEXTRACT(Filmes_raw!F265, ""[0-9]+""
))"),133.0)</f>
        <v>133</v>
      </c>
    </row>
    <row r="266">
      <c r="A266" s="1">
        <v>265.0</v>
      </c>
      <c r="B266" s="1" t="s">
        <v>1793</v>
      </c>
      <c r="C266" s="13" t="b">
        <f>IFERROR(__xludf.DUMMYFUNCTION("IF(ISTEXT(Filmes_raw!C266), REGEXEXTRACT(Filmes_raw!C266,""[^,]+$""))"),FALSE)</f>
        <v>0</v>
      </c>
      <c r="D266" s="1" t="b">
        <f t="shared" si="1"/>
        <v>0</v>
      </c>
      <c r="E266" s="14">
        <f>IFERROR(__xludf.DUMMYFUNCTION("VALUE(IF(ISTEXT(D266), REGEXREPLACE(Filmes_raw!C266,""[^,]+$"",D266),Filmes_raw!C266))"),5216888.0)</f>
        <v>5216888</v>
      </c>
      <c r="F266" s="6">
        <f>IFERROR(__xludf.DUMMYFUNCTION("VALUE(REGEXEXTRACT(Filmes_raw!F266, ""[0-9]+""
))"),171.0)</f>
        <v>171</v>
      </c>
    </row>
    <row r="267">
      <c r="A267" s="1">
        <v>266.0</v>
      </c>
      <c r="B267" s="1" t="s">
        <v>1801</v>
      </c>
      <c r="C267" s="13" t="b">
        <f>IFERROR(__xludf.DUMMYFUNCTION("IF(ISTEXT(Filmes_raw!C267), REGEXEXTRACT(Filmes_raw!C267,""[^,]+$""))"),FALSE)</f>
        <v>0</v>
      </c>
      <c r="D267" s="1" t="b">
        <f t="shared" si="1"/>
        <v>0</v>
      </c>
      <c r="E267" s="14">
        <f>IFERROR(__xludf.DUMMYFUNCTION("VALUE(IF(ISTEXT(D267), REGEXREPLACE(Filmes_raw!C267,""[^,]+$"",D267),Filmes_raw!C267))"),2603061.0)</f>
        <v>2603061</v>
      </c>
      <c r="F267" s="6">
        <f>IFERROR(__xludf.DUMMYFUNCTION("VALUE(REGEXEXTRACT(Filmes_raw!F267, ""[0-9]+""
))"),125.0)</f>
        <v>125</v>
      </c>
    </row>
    <row r="268">
      <c r="A268" s="1">
        <v>267.0</v>
      </c>
      <c r="B268" s="1" t="s">
        <v>1808</v>
      </c>
      <c r="C268" s="13" t="b">
        <f>IFERROR(__xludf.DUMMYFUNCTION("IF(ISTEXT(Filmes_raw!C268), REGEXEXTRACT(Filmes_raw!C268,""[^,]+$""))"),FALSE)</f>
        <v>0</v>
      </c>
      <c r="D268" s="1" t="b">
        <f t="shared" si="1"/>
        <v>0</v>
      </c>
      <c r="E268" s="14">
        <f>IFERROR(__xludf.DUMMYFUNCTION("VALUE(IF(ISTEXT(D268), REGEXREPLACE(Filmes_raw!C268,""[^,]+$"",D268),Filmes_raw!C268))"),9.5860116E7)</f>
        <v>95860116</v>
      </c>
      <c r="F268" s="6">
        <f>IFERROR(__xludf.DUMMYFUNCTION("VALUE(REGEXEXTRACT(Filmes_raw!F268, ""[0-9]+""
))"),128.0)</f>
        <v>128</v>
      </c>
    </row>
    <row r="269">
      <c r="A269" s="1">
        <v>268.0</v>
      </c>
      <c r="B269" s="1" t="s">
        <v>1812</v>
      </c>
      <c r="C269" s="13" t="b">
        <f>IFERROR(__xludf.DUMMYFUNCTION("IF(ISTEXT(Filmes_raw!C269), REGEXEXTRACT(Filmes_raw!C269,""[^,]+$""))"),FALSE)</f>
        <v>0</v>
      </c>
      <c r="D269" s="1" t="b">
        <f t="shared" si="1"/>
        <v>0</v>
      </c>
      <c r="E269" s="14">
        <f>IFERROR(__xludf.DUMMYFUNCTION("VALUE(IF(ISTEXT(D269), REGEXREPLACE(Filmes_raw!C269,""[^,]+$"",D269),Filmes_raw!C269))"),5.2287414E7)</f>
        <v>52287414</v>
      </c>
      <c r="F269" s="6">
        <f>IFERROR(__xludf.DUMMYFUNCTION("VALUE(REGEXEXTRACT(Filmes_raw!F269, ""[0-9]+""
))"),89.0)</f>
        <v>89</v>
      </c>
    </row>
    <row r="270">
      <c r="A270" s="1">
        <v>269.0</v>
      </c>
      <c r="B270" s="1" t="s">
        <v>1820</v>
      </c>
      <c r="C270" s="13" t="b">
        <f>IFERROR(__xludf.DUMMYFUNCTION("IF(ISTEXT(Filmes_raw!C270), REGEXEXTRACT(Filmes_raw!C270,""[^,]+$""))"),FALSE)</f>
        <v>0</v>
      </c>
      <c r="D270" s="1" t="b">
        <f t="shared" si="1"/>
        <v>0</v>
      </c>
      <c r="E270" s="14">
        <f>IFERROR(__xludf.DUMMYFUNCTION("VALUE(IF(ISTEXT(D270), REGEXREPLACE(Filmes_raw!C270,""[^,]+$"",D270),Filmes_raw!C270))"),1.38530565E8)</f>
        <v>138530565</v>
      </c>
      <c r="F270" s="6">
        <f>IFERROR(__xludf.DUMMYFUNCTION("VALUE(REGEXEXTRACT(Filmes_raw!F270, ""[0-9]+""
))"),120.0)</f>
        <v>120</v>
      </c>
    </row>
    <row r="271">
      <c r="A271" s="1">
        <v>270.0</v>
      </c>
      <c r="B271" s="1" t="s">
        <v>1827</v>
      </c>
      <c r="C271" s="13" t="b">
        <f>IFERROR(__xludf.DUMMYFUNCTION("IF(ISTEXT(Filmes_raw!C271), REGEXEXTRACT(Filmes_raw!C271,""[^,]+$""))"),FALSE)</f>
        <v>0</v>
      </c>
      <c r="D271" s="1" t="b">
        <f t="shared" si="1"/>
        <v>0</v>
      </c>
      <c r="E271" s="14">
        <f>IFERROR(__xludf.DUMMYFUNCTION("VALUE(IF(ISTEXT(D271), REGEXREPLACE(Filmes_raw!C271,""[^,]+$"",D271),Filmes_raw!C271))"),2181987.0)</f>
        <v>2181987</v>
      </c>
      <c r="F271" s="6">
        <f>IFERROR(__xludf.DUMMYFUNCTION("VALUE(REGEXEXTRACT(Filmes_raw!F271, ""[0-9]+""
))"),145.0)</f>
        <v>145</v>
      </c>
    </row>
    <row r="272">
      <c r="A272" s="1">
        <v>271.0</v>
      </c>
      <c r="B272" s="1" t="s">
        <v>1834</v>
      </c>
      <c r="C272" s="13" t="str">
        <f>IFERROR(__xludf.DUMMYFUNCTION("IF(ISTEXT(Filmes_raw!C272), REGEXEXTRACT(Filmes_raw!C272,""[^,]+$""))"),"77")</f>
        <v>77</v>
      </c>
      <c r="D272" s="1" t="str">
        <f t="shared" si="1"/>
        <v>770</v>
      </c>
      <c r="E272" s="14">
        <f>IFERROR(__xludf.DUMMYFUNCTION("VALUE(IF(ISTEXT(D272), REGEXREPLACE(Filmes_raw!C272,""[^,]+$"",D272),Filmes_raw!C272))"),495770.0)</f>
        <v>495770</v>
      </c>
      <c r="F272" s="6">
        <f>IFERROR(__xludf.DUMMYFUNCTION("VALUE(REGEXEXTRACT(Filmes_raw!F272, ""[0-9]+""
))"),117.0)</f>
        <v>117</v>
      </c>
    </row>
    <row r="273">
      <c r="A273" s="1">
        <v>272.0</v>
      </c>
      <c r="B273" s="1" t="s">
        <v>1842</v>
      </c>
      <c r="C273" s="13" t="b">
        <f>IFERROR(__xludf.DUMMYFUNCTION("IF(ISTEXT(Filmes_raw!C273), REGEXEXTRACT(Filmes_raw!C273,""[^,]+$""))"),FALSE)</f>
        <v>0</v>
      </c>
      <c r="D273" s="1" t="b">
        <f t="shared" si="1"/>
        <v>0</v>
      </c>
      <c r="E273" s="14">
        <f>IFERROR(__xludf.DUMMYFUNCTION("VALUE(IF(ISTEXT(D273), REGEXREPLACE(Filmes_raw!C273,""[^,]+$"",D273),Filmes_raw!C273))"),1.3782838E7)</f>
        <v>13782838</v>
      </c>
      <c r="F273" s="6">
        <f>IFERROR(__xludf.DUMMYFUNCTION("VALUE(REGEXEXTRACT(Filmes_raw!F273, ""[0-9]+""
))"),109.0)</f>
        <v>109</v>
      </c>
    </row>
    <row r="274">
      <c r="A274" s="1">
        <v>273.0</v>
      </c>
      <c r="B274" s="1" t="s">
        <v>1849</v>
      </c>
      <c r="C274" s="13" t="b">
        <f>IFERROR(__xludf.DUMMYFUNCTION("IF(ISTEXT(Filmes_raw!C274), REGEXEXTRACT(Filmes_raw!C274,""[^,]+$""))"),FALSE)</f>
        <v>0</v>
      </c>
      <c r="D274" s="1" t="b">
        <f t="shared" si="1"/>
        <v>0</v>
      </c>
      <c r="E274" s="14">
        <f>IFERROR(__xludf.DUMMYFUNCTION("VALUE(IF(ISTEXT(D274), REGEXREPLACE(Filmes_raw!C274,""[^,]+$"",D274),Filmes_raw!C274))"),2.2244207E7)</f>
        <v>22244207</v>
      </c>
      <c r="F274" s="6">
        <f>IFERROR(__xludf.DUMMYFUNCTION("VALUE(REGEXEXTRACT(Filmes_raw!F274, ""[0-9]+""
))"),95.0)</f>
        <v>95</v>
      </c>
    </row>
    <row r="275">
      <c r="A275" s="1">
        <v>274.0</v>
      </c>
      <c r="B275" s="1" t="s">
        <v>1857</v>
      </c>
      <c r="C275" s="13" t="b">
        <f>IFERROR(__xludf.DUMMYFUNCTION("IF(ISTEXT(Filmes_raw!C275), REGEXEXTRACT(Filmes_raw!C275,""[^,]+$""))"),FALSE)</f>
        <v>0</v>
      </c>
      <c r="D275" s="1" t="b">
        <f t="shared" si="1"/>
        <v>0</v>
      </c>
      <c r="E275" s="14">
        <f>IFERROR(__xludf.DUMMYFUNCTION("VALUE(IF(ISTEXT(D275), REGEXREPLACE(Filmes_raw!C275,""[^,]+$"",D275),Filmes_raw!C275))"),2874.0)</f>
        <v>2874</v>
      </c>
      <c r="F275" s="6">
        <f>IFERROR(__xludf.DUMMYFUNCTION("VALUE(REGEXEXTRACT(Filmes_raw!F275, ""[0-9]+""
))"),158.0)</f>
        <v>158</v>
      </c>
    </row>
    <row r="276">
      <c r="A276" s="1">
        <v>275.0</v>
      </c>
      <c r="B276" s="1" t="s">
        <v>1863</v>
      </c>
      <c r="C276" s="13" t="b">
        <f>IFERROR(__xludf.DUMMYFUNCTION("IF(ISTEXT(Filmes_raw!C276), REGEXEXTRACT(Filmes_raw!C276,""[^,]+$""))"),FALSE)</f>
        <v>0</v>
      </c>
      <c r="D276" s="1" t="b">
        <f t="shared" si="1"/>
        <v>0</v>
      </c>
      <c r="E276" s="14">
        <f>IFERROR(__xludf.DUMMYFUNCTION("VALUE(IF(ISTEXT(D276), REGEXREPLACE(Filmes_raw!C276,""[^,]+$"",D276),Filmes_raw!C276))"),4971340.0)</f>
        <v>4971340</v>
      </c>
      <c r="F276" s="6">
        <f>IFERROR(__xludf.DUMMYFUNCTION("VALUE(REGEXEXTRACT(Filmes_raw!F276, ""[0-9]+""
))"),188.0)</f>
        <v>188</v>
      </c>
    </row>
    <row r="277">
      <c r="A277" s="1">
        <v>276.0</v>
      </c>
      <c r="B277" s="1" t="s">
        <v>1870</v>
      </c>
      <c r="C277" s="13" t="b">
        <f>IFERROR(__xludf.DUMMYFUNCTION("IF(ISTEXT(Filmes_raw!C277), REGEXEXTRACT(Filmes_raw!C277,""[^,]+$""))"),FALSE)</f>
        <v>0</v>
      </c>
      <c r="D277" s="1" t="b">
        <f t="shared" si="1"/>
        <v>0</v>
      </c>
      <c r="E277" s="14">
        <f>IFERROR(__xludf.DUMMYFUNCTION("VALUE(IF(ISTEXT(D277), REGEXREPLACE(Filmes_raw!C277,""[^,]+$"",D277),Filmes_raw!C277))"),3.2868943E7)</f>
        <v>32868943</v>
      </c>
      <c r="F277" s="6">
        <f>IFERROR(__xludf.DUMMYFUNCTION("VALUE(REGEXEXTRACT(Filmes_raw!F277, ""[0-9]+""
))"),117.0)</f>
        <v>117</v>
      </c>
    </row>
    <row r="278">
      <c r="A278" s="1">
        <v>277.0</v>
      </c>
      <c r="B278" s="1" t="s">
        <v>1876</v>
      </c>
      <c r="C278" s="13" t="b">
        <f>IFERROR(__xludf.DUMMYFUNCTION("IF(ISTEXT(Filmes_raw!C278), REGEXEXTRACT(Filmes_raw!C278,""[^,]+$""))"),FALSE)</f>
        <v>0</v>
      </c>
      <c r="D278" s="1" t="b">
        <f t="shared" si="1"/>
        <v>0</v>
      </c>
      <c r="E278" s="14">
        <f>IFERROR(__xludf.DUMMYFUNCTION("VALUE(IF(ISTEXT(D278), REGEXREPLACE(Filmes_raw!C278,""[^,]+$"",D278),Filmes_raw!C278))"),2.6010864E7)</f>
        <v>26010864</v>
      </c>
      <c r="F278" s="6">
        <f>IFERROR(__xludf.DUMMYFUNCTION("VALUE(REGEXEXTRACT(Filmes_raw!F278, ""[0-9]+""
))"),124.0)</f>
        <v>124</v>
      </c>
    </row>
    <row r="279">
      <c r="A279" s="1">
        <v>278.0</v>
      </c>
      <c r="B279" s="1" t="s">
        <v>1881</v>
      </c>
      <c r="C279" s="13" t="b">
        <f>IFERROR(__xludf.DUMMYFUNCTION("IF(ISTEXT(Filmes_raw!C279), REGEXEXTRACT(Filmes_raw!C279,""[^,]+$""))"),FALSE)</f>
        <v>0</v>
      </c>
      <c r="D279" s="1" t="b">
        <f t="shared" si="1"/>
        <v>0</v>
      </c>
      <c r="E279" s="14">
        <f>IFERROR(__xludf.DUMMYFUNCTION("VALUE(IF(ISTEXT(D279), REGEXREPLACE(Filmes_raw!C279,""[^,]+$"",D279),Filmes_raw!C279))"),2.0045115E7)</f>
        <v>20045115</v>
      </c>
      <c r="F279" s="6">
        <f>IFERROR(__xludf.DUMMYFUNCTION("VALUE(REGEXEXTRACT(Filmes_raw!F279, ""[0-9]+""
))"),94.0)</f>
        <v>94</v>
      </c>
    </row>
    <row r="280">
      <c r="A280" s="1">
        <v>279.0</v>
      </c>
      <c r="B280" s="1" t="s">
        <v>1885</v>
      </c>
      <c r="C280" s="13" t="b">
        <f>IFERROR(__xludf.DUMMYFUNCTION("IF(ISTEXT(Filmes_raw!C280), REGEXEXTRACT(Filmes_raw!C280,""[^,]+$""))"),FALSE)</f>
        <v>0</v>
      </c>
      <c r="D280" s="1" t="b">
        <f t="shared" si="1"/>
        <v>0</v>
      </c>
      <c r="E280" s="14">
        <f>IFERROR(__xludf.DUMMYFUNCTION("VALUE(IF(ISTEXT(D280), REGEXREPLACE(Filmes_raw!C280,""[^,]+$"",D280),Filmes_raw!C280))"),4.8979328E7)</f>
        <v>48979328</v>
      </c>
      <c r="F280" s="6">
        <f>IFERROR(__xludf.DUMMYFUNCTION("VALUE(REGEXEXTRACT(Filmes_raw!F280, ""[0-9]+""
))"),183.0)</f>
        <v>183</v>
      </c>
    </row>
    <row r="281">
      <c r="A281" s="1">
        <v>280.0</v>
      </c>
      <c r="B281" s="1" t="s">
        <v>1890</v>
      </c>
      <c r="C281" s="13" t="b">
        <f>IFERROR(__xludf.DUMMYFUNCTION("IF(ISTEXT(Filmes_raw!C281), REGEXEXTRACT(Filmes_raw!C281,""[^,]+$""))"),FALSE)</f>
        <v>0</v>
      </c>
      <c r="D281" s="1" t="b">
        <f t="shared" si="1"/>
        <v>0</v>
      </c>
      <c r="E281" s="14">
        <f>IFERROR(__xludf.DUMMYFUNCTION("VALUE(IF(ISTEXT(D281), REGEXREPLACE(Filmes_raw!C281,""[^,]+$"",D281),Filmes_raw!C281))"),1.17235247E8)</f>
        <v>117235247</v>
      </c>
      <c r="F281" s="6">
        <f>IFERROR(__xludf.DUMMYFUNCTION("VALUE(REGEXEXTRACT(Filmes_raw!F281, ""[0-9]+""
))"),120.0)</f>
        <v>120</v>
      </c>
    </row>
    <row r="282">
      <c r="A282" s="1">
        <v>281.0</v>
      </c>
      <c r="B282" s="1" t="s">
        <v>1897</v>
      </c>
      <c r="C282" s="13" t="b">
        <f>IFERROR(__xludf.DUMMYFUNCTION("IF(ISTEXT(Filmes_raw!C282), REGEXEXTRACT(Filmes_raw!C282,""[^,]+$""))"),FALSE)</f>
        <v>0</v>
      </c>
      <c r="D282" s="1" t="b">
        <f t="shared" si="1"/>
        <v>0</v>
      </c>
      <c r="E282" s="14">
        <f>IFERROR(__xludf.DUMMYFUNCTION("VALUE(IF(ISTEXT(D282), REGEXREPLACE(Filmes_raw!C282,""[^,]+$"",D282),Filmes_raw!C282))"),2.3689877E7)</f>
        <v>23689877</v>
      </c>
      <c r="F282" s="6">
        <f>IFERROR(__xludf.DUMMYFUNCTION("VALUE(REGEXEXTRACT(Filmes_raw!F282, ""[0-9]+""
))"),121.0)</f>
        <v>121</v>
      </c>
    </row>
    <row r="283">
      <c r="A283" s="1">
        <v>282.0</v>
      </c>
      <c r="B283" s="1" t="s">
        <v>1901</v>
      </c>
      <c r="C283" s="13" t="b">
        <f>IFERROR(__xludf.DUMMYFUNCTION("IF(ISTEXT(Filmes_raw!C283), REGEXEXTRACT(Filmes_raw!C283,""[^,]+$""))"),FALSE)</f>
        <v>0</v>
      </c>
      <c r="D283" s="1" t="b">
        <f t="shared" si="1"/>
        <v>0</v>
      </c>
      <c r="E283" s="14">
        <f>IFERROR(__xludf.DUMMYFUNCTION("VALUE(IF(ISTEXT(D283), REGEXREPLACE(Filmes_raw!C283,""[^,]+$"",D283),Filmes_raw!C283))"),198992.0)</f>
        <v>198992</v>
      </c>
      <c r="F283" s="6">
        <f>IFERROR(__xludf.DUMMYFUNCTION("VALUE(REGEXEXTRACT(Filmes_raw!F283, ""[0-9]+""
))"),185.0)</f>
        <v>185</v>
      </c>
    </row>
    <row r="284">
      <c r="A284" s="1">
        <v>283.0</v>
      </c>
      <c r="B284" s="1" t="s">
        <v>1907</v>
      </c>
      <c r="C284" s="13" t="b">
        <f>IFERROR(__xludf.DUMMYFUNCTION("IF(ISTEXT(Filmes_raw!C284), REGEXEXTRACT(Filmes_raw!C284,""[^,]+$""))"),FALSE)</f>
        <v>0</v>
      </c>
      <c r="D284" s="1" t="b">
        <f t="shared" si="1"/>
        <v>0</v>
      </c>
      <c r="E284" s="14">
        <f>IFERROR(__xludf.DUMMYFUNCTION("VALUE(IF(ISTEXT(D284), REGEXREPLACE(Filmes_raw!C284,""[^,]+$"",D284),Filmes_raw!C284))"),177345.0)</f>
        <v>177345</v>
      </c>
      <c r="F284" s="6">
        <f>IFERROR(__xludf.DUMMYFUNCTION("VALUE(REGEXEXTRACT(Filmes_raw!F284, ""[0-9]+""
))"),107.0)</f>
        <v>107</v>
      </c>
    </row>
    <row r="285">
      <c r="A285" s="1">
        <v>284.0</v>
      </c>
      <c r="B285" s="1" t="s">
        <v>1913</v>
      </c>
      <c r="C285" s="13" t="b">
        <f>IFERROR(__xludf.DUMMYFUNCTION("IF(ISTEXT(Filmes_raw!C285), REGEXEXTRACT(Filmes_raw!C285,""[^,]+$""))"),FALSE)</f>
        <v>0</v>
      </c>
      <c r="D285" s="1" t="b">
        <f t="shared" si="1"/>
        <v>0</v>
      </c>
      <c r="E285" s="14">
        <f>IFERROR(__xludf.DUMMYFUNCTION("VALUE(IF(ISTEXT(D285), REGEXREPLACE(Filmes_raw!C285,""[^,]+$"",D285),Filmes_raw!C285))"),2.9E7)</f>
        <v>29000000</v>
      </c>
      <c r="F285" s="6">
        <f>IFERROR(__xludf.DUMMYFUNCTION("VALUE(REGEXEXTRACT(Filmes_raw!F285, ""[0-9]+""
))"),130.0)</f>
        <v>130</v>
      </c>
    </row>
    <row r="286">
      <c r="A286" s="1">
        <v>285.0</v>
      </c>
      <c r="B286" s="1" t="s">
        <v>1916</v>
      </c>
      <c r="C286" s="13" t="b">
        <f>IFERROR(__xludf.DUMMYFUNCTION("IF(ISTEXT(Filmes_raw!C286), REGEXEXTRACT(Filmes_raw!C286,""[^,]+$""))"),FALSE)</f>
        <v>0</v>
      </c>
      <c r="D286" s="1" t="b">
        <f t="shared" si="1"/>
        <v>0</v>
      </c>
      <c r="E286" s="14">
        <f>IFERROR(__xludf.DUMMYFUNCTION("VALUE(IF(ISTEXT(D286), REGEXREPLACE(Filmes_raw!C286,""[^,]+$"",D286),Filmes_raw!C286))"),3.0933743E7)</f>
        <v>30933743</v>
      </c>
      <c r="F286" s="6">
        <f>IFERROR(__xludf.DUMMYFUNCTION("VALUE(REGEXEXTRACT(Filmes_raw!F286, ""[0-9]+""
))"),102.0)</f>
        <v>102</v>
      </c>
    </row>
    <row r="287">
      <c r="A287" s="1">
        <v>286.0</v>
      </c>
      <c r="B287" s="1" t="s">
        <v>1922</v>
      </c>
      <c r="C287" s="13" t="b">
        <f>IFERROR(__xludf.DUMMYFUNCTION("IF(ISTEXT(Filmes_raw!C287), REGEXEXTRACT(Filmes_raw!C287,""[^,]+$""))"),FALSE)</f>
        <v>0</v>
      </c>
      <c r="D287" s="1" t="b">
        <f t="shared" si="1"/>
        <v>0</v>
      </c>
      <c r="E287" s="14">
        <f>IFERROR(__xludf.DUMMYFUNCTION("VALUE(IF(ISTEXT(D287), REGEXREPLACE(Filmes_raw!C287,""[^,]+$"",D287),Filmes_raw!C287))"),1742348.0)</f>
        <v>1742348</v>
      </c>
      <c r="F287" s="6">
        <f>IFERROR(__xludf.DUMMYFUNCTION("VALUE(REGEXEXTRACT(Filmes_raw!F287, ""[0-9]+""
))"),91.0)</f>
        <v>91</v>
      </c>
    </row>
    <row r="288">
      <c r="A288" s="1">
        <v>287.0</v>
      </c>
      <c r="B288" s="1" t="s">
        <v>1926</v>
      </c>
      <c r="C288" s="13" t="b">
        <f>IFERROR(__xludf.DUMMYFUNCTION("IF(ISTEXT(Filmes_raw!C288), REGEXEXTRACT(Filmes_raw!C288,""[^,]+$""))"),FALSE)</f>
        <v>0</v>
      </c>
      <c r="D288" s="1" t="b">
        <f t="shared" si="1"/>
        <v>0</v>
      </c>
      <c r="E288" s="14">
        <f>IFERROR(__xludf.DUMMYFUNCTION("VALUE(IF(ISTEXT(D288), REGEXREPLACE(Filmes_raw!C288,""[^,]+$"",D288),Filmes_raw!C288))"),135289.0)</f>
        <v>135289</v>
      </c>
      <c r="F288" s="6">
        <f>IFERROR(__xludf.DUMMYFUNCTION("VALUE(REGEXEXTRACT(Filmes_raw!F288, ""[0-9]+""
))"),167.0)</f>
        <v>167</v>
      </c>
    </row>
    <row r="289">
      <c r="A289" s="1">
        <v>288.0</v>
      </c>
      <c r="B289" s="1" t="s">
        <v>1932</v>
      </c>
      <c r="C289" s="13" t="b">
        <f>IFERROR(__xludf.DUMMYFUNCTION("IF(ISTEXT(Filmes_raw!C289), REGEXEXTRACT(Filmes_raw!C289,""[^,]+$""))"),FALSE)</f>
        <v>0</v>
      </c>
      <c r="D289" s="1" t="b">
        <f t="shared" si="1"/>
        <v>0</v>
      </c>
      <c r="E289" s="14">
        <f>IFERROR(__xludf.DUMMYFUNCTION("VALUE(IF(ISTEXT(D289), REGEXREPLACE(Filmes_raw!C289,""[^,]+$"",D289),Filmes_raw!C289))"),39481.0)</f>
        <v>39481</v>
      </c>
      <c r="F289" s="6">
        <f>IFERROR(__xludf.DUMMYFUNCTION("VALUE(REGEXEXTRACT(Filmes_raw!F289, ""[0-9]+""
))"),105.0)</f>
        <v>105</v>
      </c>
    </row>
    <row r="290">
      <c r="A290" s="1">
        <v>289.0</v>
      </c>
      <c r="B290" s="1" t="s">
        <v>1940</v>
      </c>
      <c r="C290" s="13" t="b">
        <f>IFERROR(__xludf.DUMMYFUNCTION("IF(ISTEXT(Filmes_raw!C290), REGEXEXTRACT(Filmes_raw!C290,""[^,]+$""))"),FALSE)</f>
        <v>0</v>
      </c>
      <c r="D290" s="1" t="b">
        <f t="shared" si="1"/>
        <v>0</v>
      </c>
      <c r="E290" s="14">
        <f>IFERROR(__xludf.DUMMYFUNCTION("VALUE(IF(ISTEXT(D290), REGEXREPLACE(Filmes_raw!C290,""[^,]+$"",D290),Filmes_raw!C290))"),1.6217773E7)</f>
        <v>16217773</v>
      </c>
      <c r="F290" s="6">
        <f>IFERROR(__xludf.DUMMYFUNCTION("VALUE(REGEXEXTRACT(Filmes_raw!F290, ""[0-9]+""
))"),127.0)</f>
        <v>127</v>
      </c>
    </row>
    <row r="291">
      <c r="A291" s="1">
        <v>290.0</v>
      </c>
      <c r="B291" s="1" t="s">
        <v>1946</v>
      </c>
      <c r="C291" s="13" t="b">
        <f>IFERROR(__xludf.DUMMYFUNCTION("IF(ISTEXT(Filmes_raw!C291), REGEXEXTRACT(Filmes_raw!C291,""[^,]+$""))"),FALSE)</f>
        <v>0</v>
      </c>
      <c r="D291" s="1" t="b">
        <f t="shared" si="1"/>
        <v>0</v>
      </c>
      <c r="E291" s="14">
        <f>IFERROR(__xludf.DUMMYFUNCTION("VALUE(IF(ISTEXT(D291), REGEXREPLACE(Filmes_raw!C291,""[^,]+$"",D291),Filmes_raw!C291))"),90556.0)</f>
        <v>90556</v>
      </c>
      <c r="F291" s="6">
        <f>IFERROR(__xludf.DUMMYFUNCTION("VALUE(REGEXEXTRACT(Filmes_raw!F291, ""[0-9]+""
))"),85.0)</f>
        <v>85</v>
      </c>
    </row>
    <row r="292">
      <c r="A292" s="1">
        <v>291.0</v>
      </c>
      <c r="B292" s="1" t="s">
        <v>1950</v>
      </c>
      <c r="C292" s="13" t="b">
        <f>IFERROR(__xludf.DUMMYFUNCTION("IF(ISTEXT(Filmes_raw!C292), REGEXEXTRACT(Filmes_raw!C292,""[^,]+$""))"),FALSE)</f>
        <v>0</v>
      </c>
      <c r="D292" s="1" t="b">
        <f t="shared" si="1"/>
        <v>0</v>
      </c>
      <c r="E292" s="14">
        <f>IFERROR(__xludf.DUMMYFUNCTION("VALUE(IF(ISTEXT(D292), REGEXREPLACE(Filmes_raw!C292,""[^,]+$"",D292),Filmes_raw!C292))"),102021.0)</f>
        <v>102021</v>
      </c>
      <c r="F292" s="6">
        <f>IFERROR(__xludf.DUMMYFUNCTION("VALUE(REGEXEXTRACT(Filmes_raw!F292, ""[0-9]+""
))"),205.0)</f>
        <v>205</v>
      </c>
    </row>
    <row r="293">
      <c r="A293" s="1">
        <v>292.0</v>
      </c>
      <c r="B293" s="1" t="s">
        <v>1955</v>
      </c>
      <c r="C293" s="13" t="b">
        <f>IFERROR(__xludf.DUMMYFUNCTION("IF(ISTEXT(Filmes_raw!C293), REGEXEXTRACT(Filmes_raw!C293,""[^,]+$""))"),FALSE)</f>
        <v>0</v>
      </c>
      <c r="D293" s="1" t="b">
        <f t="shared" si="1"/>
        <v>0</v>
      </c>
      <c r="E293" s="14">
        <f>IFERROR(__xludf.DUMMYFUNCTION("VALUE(IF(ISTEXT(D293), REGEXREPLACE(Filmes_raw!C293,""[^,]+$"",D293),Filmes_raw!C293))"),55908.0)</f>
        <v>55908</v>
      </c>
      <c r="F293" s="6">
        <f>IFERROR(__xludf.DUMMYFUNCTION("VALUE(REGEXEXTRACT(Filmes_raw!F293, ""[0-9]+""
))"),121.0)</f>
        <v>121</v>
      </c>
    </row>
    <row r="294">
      <c r="A294" s="1">
        <v>293.0</v>
      </c>
      <c r="B294" s="1" t="s">
        <v>1962</v>
      </c>
      <c r="C294" s="13" t="b">
        <f>IFERROR(__xludf.DUMMYFUNCTION("IF(ISTEXT(Filmes_raw!C294), REGEXEXTRACT(Filmes_raw!C294,""[^,]+$""))"),FALSE)</f>
        <v>0</v>
      </c>
      <c r="D294" s="1" t="b">
        <f t="shared" si="1"/>
        <v>0</v>
      </c>
      <c r="E294" s="14">
        <f>IFERROR(__xludf.DUMMYFUNCTION("VALUE(IF(ISTEXT(D294), REGEXREPLACE(Filmes_raw!C294,""[^,]+$"",D294),Filmes_raw!C294))"),1843.0)</f>
        <v>1843</v>
      </c>
      <c r="F294" s="6">
        <f>IFERROR(__xludf.DUMMYFUNCTION("VALUE(REGEXEXTRACT(Filmes_raw!F294, ""[0-9]+""
))"),95.0)</f>
        <v>95</v>
      </c>
    </row>
    <row r="295">
      <c r="A295" s="1">
        <v>294.0</v>
      </c>
      <c r="B295" s="1" t="s">
        <v>1971</v>
      </c>
      <c r="C295" s="13" t="b">
        <f>IFERROR(__xludf.DUMMYFUNCTION("IF(ISTEXT(Filmes_raw!C295), REGEXEXTRACT(Filmes_raw!C295,""[^,]+$""))"),FALSE)</f>
        <v>0</v>
      </c>
      <c r="D295" s="1" t="b">
        <f t="shared" si="1"/>
        <v>0</v>
      </c>
      <c r="E295" s="14">
        <f>IFERROR(__xludf.DUMMYFUNCTION("VALUE(IF(ISTEXT(D295), REGEXREPLACE(Filmes_raw!C295,""[^,]+$"",D295),Filmes_raw!C295))"),4050000.0)</f>
        <v>4050000</v>
      </c>
      <c r="F295" s="6">
        <f>IFERROR(__xludf.DUMMYFUNCTION("VALUE(REGEXEXTRACT(Filmes_raw!F295, ""[0-9]+""
))"),134.0)</f>
        <v>134</v>
      </c>
    </row>
    <row r="296">
      <c r="A296" s="1">
        <v>295.0</v>
      </c>
      <c r="B296" s="1" t="s">
        <v>1978</v>
      </c>
      <c r="C296" s="13" t="b">
        <f>IFERROR(__xludf.DUMMYFUNCTION("IF(ISTEXT(Filmes_raw!C296), REGEXEXTRACT(Filmes_raw!C296,""[^,]+$""))"),FALSE)</f>
        <v>0</v>
      </c>
      <c r="D296" s="1" t="b">
        <f t="shared" si="1"/>
        <v>0</v>
      </c>
      <c r="E296" s="14">
        <f>IFERROR(__xludf.DUMMYFUNCTION("VALUE(IF(ISTEXT(D296), REGEXREPLACE(Filmes_raw!C296,""[^,]+$"",D296),Filmes_raw!C296))"),55528.0)</f>
        <v>55528</v>
      </c>
      <c r="F296" s="6">
        <f>IFERROR(__xludf.DUMMYFUNCTION("VALUE(REGEXEXTRACT(Filmes_raw!F296, ""[0-9]+""
))"),96.0)</f>
        <v>96</v>
      </c>
    </row>
    <row r="297">
      <c r="A297" s="1">
        <v>296.0</v>
      </c>
      <c r="B297" s="1" t="s">
        <v>1982</v>
      </c>
      <c r="C297" s="13" t="b">
        <f>IFERROR(__xludf.DUMMYFUNCTION("IF(ISTEXT(Filmes_raw!C297), REGEXEXTRACT(Filmes_raw!C297,""[^,]+$""))"),FALSE)</f>
        <v>0</v>
      </c>
      <c r="D297" s="1" t="b">
        <f t="shared" si="1"/>
        <v>0</v>
      </c>
      <c r="E297" s="14">
        <f>IFERROR(__xludf.DUMMYFUNCTION("VALUE(IF(ISTEXT(D297), REGEXREPLACE(Filmes_raw!C297,""[^,]+$"",D297),Filmes_raw!C297))"),3200000.0)</f>
        <v>3200000</v>
      </c>
      <c r="F297" s="6">
        <f>IFERROR(__xludf.DUMMYFUNCTION("VALUE(REGEXEXTRACT(Filmes_raw!F297, ""[0-9]+""
))"),123.0)</f>
        <v>123</v>
      </c>
    </row>
    <row r="298">
      <c r="A298" s="1">
        <v>297.0</v>
      </c>
      <c r="B298" s="1" t="s">
        <v>1987</v>
      </c>
      <c r="C298" s="13" t="b">
        <f>IFERROR(__xludf.DUMMYFUNCTION("IF(ISTEXT(Filmes_raw!C298), REGEXEXTRACT(Filmes_raw!C298,""[^,]+$""))"),FALSE)</f>
        <v>0</v>
      </c>
      <c r="D298" s="1" t="b">
        <f t="shared" si="1"/>
        <v>0</v>
      </c>
      <c r="E298" s="14">
        <f>IFERROR(__xludf.DUMMYFUNCTION("VALUE(IF(ISTEXT(D298), REGEXREPLACE(Filmes_raw!C298,""[^,]+$"",D298),Filmes_raw!C298))"),22168.0)</f>
        <v>22168</v>
      </c>
      <c r="F298" s="6">
        <f>IFERROR(__xludf.DUMMYFUNCTION("VALUE(REGEXEXTRACT(Filmes_raw!F298, ""[0-9]+""
))"),95.0)</f>
        <v>95</v>
      </c>
    </row>
    <row r="299">
      <c r="A299" s="1">
        <v>298.0</v>
      </c>
      <c r="B299" s="1" t="s">
        <v>1993</v>
      </c>
      <c r="C299" s="13" t="b">
        <f>IFERROR(__xludf.DUMMYFUNCTION("IF(ISTEXT(Filmes_raw!C299), REGEXEXTRACT(Filmes_raw!C299,""[^,]+$""))"),FALSE)</f>
        <v>0</v>
      </c>
      <c r="D299" s="1" t="b">
        <f t="shared" si="1"/>
        <v>0</v>
      </c>
      <c r="E299" s="14">
        <f>IFERROR(__xludf.DUMMYFUNCTION("VALUE(IF(ISTEXT(D299), REGEXREPLACE(Filmes_raw!C299,""[^,]+$"",D299),Filmes_raw!C299))"),1526000.0)</f>
        <v>1526000</v>
      </c>
      <c r="F299" s="6">
        <f>IFERROR(__xludf.DUMMYFUNCTION("VALUE(REGEXEXTRACT(Filmes_raw!F299, ""[0-9]+""
))"),89.0)</f>
        <v>89</v>
      </c>
    </row>
    <row r="300">
      <c r="A300" s="1">
        <v>299.0</v>
      </c>
      <c r="B300" s="1" t="s">
        <v>1998</v>
      </c>
      <c r="C300" s="13" t="b">
        <f>IFERROR(__xludf.DUMMYFUNCTION("IF(ISTEXT(Filmes_raw!C300), REGEXEXTRACT(Filmes_raw!C300,""[^,]+$""))"),FALSE)</f>
        <v>0</v>
      </c>
      <c r="D300" s="1" t="b">
        <f t="shared" si="1"/>
        <v>0</v>
      </c>
      <c r="E300" s="14">
        <f>IFERROR(__xludf.DUMMYFUNCTION("VALUE(IF(ISTEXT(D300), REGEXREPLACE(Filmes_raw!C300,""[^,]+$"",D300),Filmes_raw!C300))"),2000000.0)</f>
        <v>2000000</v>
      </c>
      <c r="F300" s="6">
        <f>IFERROR(__xludf.DUMMYFUNCTION("VALUE(REGEXEXTRACT(Filmes_raw!F300, ""[0-9]+""
))"),128.0)</f>
        <v>128</v>
      </c>
    </row>
    <row r="301">
      <c r="A301" s="1">
        <v>300.0</v>
      </c>
      <c r="B301" s="1" t="s">
        <v>2002</v>
      </c>
      <c r="C301" s="13" t="b">
        <f>IFERROR(__xludf.DUMMYFUNCTION("IF(ISTEXT(Filmes_raw!C301), REGEXEXTRACT(Filmes_raw!C301,""[^,]+$""))"),FALSE)</f>
        <v>0</v>
      </c>
      <c r="D301" s="1" t="b">
        <f t="shared" si="1"/>
        <v>0</v>
      </c>
      <c r="E301" s="14">
        <f>IFERROR(__xludf.DUMMYFUNCTION("VALUE(IF(ISTEXT(D301), REGEXREPLACE(Filmes_raw!C301,""[^,]+$"",D301),Filmes_raw!C301))"),127244.0)</f>
        <v>127244</v>
      </c>
      <c r="F301" s="6">
        <f>IFERROR(__xludf.DUMMYFUNCTION("VALUE(REGEXEXTRACT(Filmes_raw!F301, ""[0-9]+""
))"),99.0)</f>
        <v>99</v>
      </c>
    </row>
    <row r="302">
      <c r="A302" s="1">
        <v>301.0</v>
      </c>
      <c r="B302" s="1" t="s">
        <v>2009</v>
      </c>
      <c r="C302" s="13" t="b">
        <f>IFERROR(__xludf.DUMMYFUNCTION("IF(ISTEXT(Filmes_raw!C302), REGEXEXTRACT(Filmes_raw!C302,""[^,]+$""))"),FALSE)</f>
        <v>0</v>
      </c>
      <c r="D302" s="1" t="b">
        <f t="shared" si="1"/>
        <v>0</v>
      </c>
      <c r="E302" s="14">
        <f>IFERROR(__xludf.DUMMYFUNCTION("VALUE(IF(ISTEXT(D302), REGEXREPLACE(Filmes_raw!C302,""[^,]+$"",D302),Filmes_raw!C302))"),7.47E7)</f>
        <v>74700000</v>
      </c>
      <c r="F302" s="6">
        <f>IFERROR(__xludf.DUMMYFUNCTION("VALUE(REGEXEXTRACT(Filmes_raw!F302, ""[0-9]+""
))"),212.0)</f>
        <v>212</v>
      </c>
    </row>
    <row r="303">
      <c r="A303" s="1">
        <v>302.0</v>
      </c>
      <c r="B303" s="1" t="s">
        <v>2016</v>
      </c>
      <c r="C303" s="13" t="b">
        <f>IFERROR(__xludf.DUMMYFUNCTION("IF(ISTEXT(Filmes_raw!C303), REGEXEXTRACT(Filmes_raw!C303,""[^,]+$""))"),FALSE)</f>
        <v>0</v>
      </c>
      <c r="D303" s="1" t="b">
        <f t="shared" si="1"/>
        <v>0</v>
      </c>
      <c r="E303" s="14">
        <f>IFERROR(__xludf.DUMMYFUNCTION("VALUE(IF(ISTEXT(D303), REGEXREPLACE(Filmes_raw!C303,""[^,]+$"",D303),Filmes_raw!C303))"),46808.0)</f>
        <v>46808</v>
      </c>
      <c r="F303" s="6">
        <f>IFERROR(__xludf.DUMMYFUNCTION("VALUE(REGEXEXTRACT(Filmes_raw!F303, ""[0-9]+""
))"),139.0)</f>
        <v>139</v>
      </c>
    </row>
    <row r="304">
      <c r="A304" s="1">
        <v>303.0</v>
      </c>
      <c r="B304" s="1" t="s">
        <v>2021</v>
      </c>
      <c r="C304" s="13" t="b">
        <f>IFERROR(__xludf.DUMMYFUNCTION("IF(ISTEXT(Filmes_raw!C304), REGEXEXTRACT(Filmes_raw!C304,""[^,]+$""))"),FALSE)</f>
        <v>0</v>
      </c>
      <c r="D304" s="1" t="b">
        <f t="shared" si="1"/>
        <v>0</v>
      </c>
      <c r="E304" s="14">
        <f>IFERROR(__xludf.DUMMYFUNCTION("VALUE(IF(ISTEXT(D304), REGEXREPLACE(Filmes_raw!C304,""[^,]+$"",D304),Filmes_raw!C304))"),752045.0)</f>
        <v>752045</v>
      </c>
      <c r="F304" s="6">
        <f>IFERROR(__xludf.DUMMYFUNCTION("VALUE(REGEXEXTRACT(Filmes_raw!F304, ""[0-9]+""
))"),110.0)</f>
        <v>110</v>
      </c>
    </row>
    <row r="305">
      <c r="A305" s="1">
        <v>304.0</v>
      </c>
      <c r="B305" s="1" t="s">
        <v>2027</v>
      </c>
      <c r="C305" s="13" t="b">
        <f>IFERROR(__xludf.DUMMYFUNCTION("IF(ISTEXT(Filmes_raw!C305), REGEXEXTRACT(Filmes_raw!C305,""[^,]+$""))"),FALSE)</f>
        <v>0</v>
      </c>
      <c r="D305" s="1" t="b">
        <f t="shared" si="1"/>
        <v>0</v>
      </c>
      <c r="E305" s="14">
        <f>IFERROR(__xludf.DUMMYFUNCTION("VALUE(IF(ISTEXT(D305), REGEXREPLACE(Filmes_raw!C305,""[^,]+$"",D305),Filmes_raw!C305))"),46808.0)</f>
        <v>46808</v>
      </c>
      <c r="F305" s="6">
        <f>IFERROR(__xludf.DUMMYFUNCTION("VALUE(REGEXEXTRACT(Filmes_raw!F305, ""[0-9]+""
))"),110.0)</f>
        <v>110</v>
      </c>
    </row>
    <row r="306">
      <c r="A306" s="1">
        <v>305.0</v>
      </c>
      <c r="B306" s="1" t="s">
        <v>2031</v>
      </c>
      <c r="C306" s="13" t="b">
        <f>IFERROR(__xludf.DUMMYFUNCTION("IF(ISTEXT(Filmes_raw!C306), REGEXEXTRACT(Filmes_raw!C306,""[^,]+$""))"),FALSE)</f>
        <v>0</v>
      </c>
      <c r="D306" s="1" t="b">
        <f t="shared" si="1"/>
        <v>0</v>
      </c>
      <c r="E306" s="14">
        <f>IFERROR(__xludf.DUMMYFUNCTION("VALUE(IF(ISTEXT(D306), REGEXREPLACE(Filmes_raw!C306,""[^,]+$"",D306),Filmes_raw!C306))"),4.4908E7)</f>
        <v>44908000</v>
      </c>
      <c r="F306" s="6">
        <f>IFERROR(__xludf.DUMMYFUNCTION("VALUE(REGEXEXTRACT(Filmes_raw!F306, ""[0-9]+""
))"),161.0)</f>
        <v>161</v>
      </c>
    </row>
    <row r="307">
      <c r="A307" s="1">
        <v>306.0</v>
      </c>
      <c r="B307" s="1" t="s">
        <v>2034</v>
      </c>
      <c r="C307" s="13" t="b">
        <f>IFERROR(__xludf.DUMMYFUNCTION("IF(ISTEXT(Filmes_raw!C307), REGEXEXTRACT(Filmes_raw!C307,""[^,]+$""))"),FALSE)</f>
        <v>0</v>
      </c>
      <c r="D307" s="1" t="b">
        <f t="shared" si="1"/>
        <v>0</v>
      </c>
      <c r="E307" s="14">
        <f>IFERROR(__xludf.DUMMYFUNCTION("VALUE(IF(ISTEXT(D307), REGEXREPLACE(Filmes_raw!C307,""[^,]+$"",D307),Filmes_raw!C307))"),9600000.0)</f>
        <v>9600000</v>
      </c>
      <c r="F307" s="6">
        <f>IFERROR(__xludf.DUMMYFUNCTION("VALUE(REGEXEXTRACT(Filmes_raw!F307, ""[0-9]+""
))"),108.0)</f>
        <v>108</v>
      </c>
    </row>
    <row r="308">
      <c r="A308" s="1">
        <v>307.0</v>
      </c>
      <c r="B308" s="1" t="s">
        <v>2039</v>
      </c>
      <c r="C308" s="13" t="b">
        <f>IFERROR(__xludf.DUMMYFUNCTION("IF(ISTEXT(Filmes_raw!C308), REGEXEXTRACT(Filmes_raw!C308,""[^,]+$""))"),FALSE)</f>
        <v>0</v>
      </c>
      <c r="D308" s="1" t="b">
        <f t="shared" si="1"/>
        <v>0</v>
      </c>
      <c r="E308" s="14">
        <f>IFERROR(__xludf.DUMMYFUNCTION("VALUE(IF(ISTEXT(D308), REGEXREPLACE(Filmes_raw!C308,""[^,]+$"",D308),Filmes_raw!C308))"),1098.0)</f>
        <v>1098</v>
      </c>
      <c r="F308" s="6">
        <f>IFERROR(__xludf.DUMMYFUNCTION("VALUE(REGEXEXTRACT(Filmes_raw!F308, ""[0-9]+""
))"),131.0)</f>
        <v>131</v>
      </c>
    </row>
    <row r="309">
      <c r="A309" s="1">
        <v>308.0</v>
      </c>
      <c r="B309" s="1" t="s">
        <v>2046</v>
      </c>
      <c r="C309" s="13" t="b">
        <f>IFERROR(__xludf.DUMMYFUNCTION("IF(ISTEXT(Filmes_raw!C309), REGEXEXTRACT(Filmes_raw!C309,""[^,]+$""))"),FALSE)</f>
        <v>0</v>
      </c>
      <c r="D309" s="1" t="b">
        <f t="shared" si="1"/>
        <v>0</v>
      </c>
      <c r="E309" s="14">
        <f>IFERROR(__xludf.DUMMYFUNCTION("VALUE(IF(ISTEXT(D309), REGEXREPLACE(Filmes_raw!C309,""[^,]+$"",D309),Filmes_raw!C309))"),3969893.0)</f>
        <v>3969893</v>
      </c>
      <c r="F309" s="6">
        <f>IFERROR(__xludf.DUMMYFUNCTION("VALUE(REGEXEXTRACT(Filmes_raw!F309, ""[0-9]+""
))"),111.0)</f>
        <v>111</v>
      </c>
    </row>
    <row r="310">
      <c r="A310" s="1">
        <v>309.0</v>
      </c>
      <c r="B310" s="1" t="s">
        <v>2052</v>
      </c>
      <c r="C310" s="13" t="b">
        <f>IFERROR(__xludf.DUMMYFUNCTION("IF(ISTEXT(Filmes_raw!C310), REGEXEXTRACT(Filmes_raw!C310,""[^,]+$""))"),FALSE)</f>
        <v>0</v>
      </c>
      <c r="D310" s="1" t="b">
        <f t="shared" si="1"/>
        <v>0</v>
      </c>
      <c r="E310" s="14">
        <f>IFERROR(__xludf.DUMMYFUNCTION("VALUE(IF(ISTEXT(D310), REGEXREPLACE(Filmes_raw!C310,""[^,]+$"",D310),Filmes_raw!C310))"),5534.0)</f>
        <v>5534</v>
      </c>
      <c r="F310" s="6">
        <f>IFERROR(__xludf.DUMMYFUNCTION("VALUE(REGEXEXTRACT(Filmes_raw!F310, ""[0-9]+""
))"),114.0)</f>
        <v>114</v>
      </c>
    </row>
    <row r="311">
      <c r="A311" s="1">
        <v>310.0</v>
      </c>
      <c r="B311" s="1" t="s">
        <v>2059</v>
      </c>
      <c r="C311" s="13" t="b">
        <f>IFERROR(__xludf.DUMMYFUNCTION("IF(ISTEXT(Filmes_raw!C311), REGEXEXTRACT(Filmes_raw!C311,""[^,]+$""))"),FALSE)</f>
        <v>0</v>
      </c>
      <c r="D311" s="1" t="b">
        <f t="shared" si="1"/>
        <v>0</v>
      </c>
      <c r="E311" s="14">
        <f>IFERROR(__xludf.DUMMYFUNCTION("VALUE(IF(ISTEXT(D311), REGEXREPLACE(Filmes_raw!C311,""[^,]+$"",D311),Filmes_raw!C311))"),449191.0)</f>
        <v>449191</v>
      </c>
      <c r="F311" s="6">
        <f>IFERROR(__xludf.DUMMYFUNCTION("VALUE(REGEXEXTRACT(Filmes_raw!F311, ""[0-9]+""
))"),104.0)</f>
        <v>104</v>
      </c>
    </row>
    <row r="312">
      <c r="A312" s="1">
        <v>311.0</v>
      </c>
      <c r="B312" s="1" t="s">
        <v>2065</v>
      </c>
      <c r="C312" s="13" t="b">
        <f>IFERROR(__xludf.DUMMYFUNCTION("IF(ISTEXT(Filmes_raw!C312), REGEXEXTRACT(Filmes_raw!C312,""[^,]+$""))"),FALSE)</f>
        <v>0</v>
      </c>
      <c r="D312" s="1" t="b">
        <f t="shared" si="1"/>
        <v>0</v>
      </c>
      <c r="E312" s="14">
        <f>IFERROR(__xludf.DUMMYFUNCTION("VALUE(IF(ISTEXT(D312), REGEXREPLACE(Filmes_raw!C312,""[^,]+$"",D312),Filmes_raw!C312))"),1.09E7)</f>
        <v>10900000</v>
      </c>
      <c r="F312" s="6">
        <f>IFERROR(__xludf.DUMMYFUNCTION("VALUE(REGEXEXTRACT(Filmes_raw!F312, ""[0-9]+""
))"),135.0)</f>
        <v>135</v>
      </c>
    </row>
    <row r="313">
      <c r="A313" s="1">
        <v>312.0</v>
      </c>
      <c r="B313" s="1" t="s">
        <v>2073</v>
      </c>
      <c r="C313" s="13" t="str">
        <f>IFERROR(__xludf.DUMMYFUNCTION("IF(ISTEXT(Filmes_raw!C313), REGEXEXTRACT(Filmes_raw!C313,""[^,]+$""))"),"3")</f>
        <v>3</v>
      </c>
      <c r="D313" s="1" t="str">
        <f t="shared" si="1"/>
        <v>300</v>
      </c>
      <c r="E313" s="14">
        <f>IFERROR(__xludf.DUMMYFUNCTION("VALUE(IF(ISTEXT(D313), REGEXREPLACE(Filmes_raw!C313,""[^,]+$"",D313),Filmes_raw!C313))"),203300.0)</f>
        <v>203300</v>
      </c>
      <c r="F313" s="6">
        <f>IFERROR(__xludf.DUMMYFUNCTION("VALUE(REGEXEXTRACT(Filmes_raw!F313, ""[0-9]+""
))"),99.0)</f>
        <v>99</v>
      </c>
    </row>
    <row r="314">
      <c r="A314" s="1">
        <v>313.0</v>
      </c>
      <c r="B314" s="1" t="s">
        <v>2079</v>
      </c>
      <c r="C314" s="13" t="b">
        <f>IFERROR(__xludf.DUMMYFUNCTION("IF(ISTEXT(Filmes_raw!C314), REGEXEXTRACT(Filmes_raw!C314,""[^,]+$""))"),FALSE)</f>
        <v>0</v>
      </c>
      <c r="D314" s="1" t="b">
        <f t="shared" si="1"/>
        <v>0</v>
      </c>
      <c r="E314" s="14">
        <f>IFERROR(__xludf.DUMMYFUNCTION("VALUE(IF(ISTEXT(D314), REGEXREPLACE(Filmes_raw!C314,""[^,]+$"",D314),Filmes_raw!C314))"),4360000.0)</f>
        <v>4360000</v>
      </c>
      <c r="F314" s="6">
        <f>IFERROR(__xludf.DUMMYFUNCTION("VALUE(REGEXEXTRACT(Filmes_raw!F314, ""[0-9]+""
))"),130.0)</f>
        <v>130</v>
      </c>
    </row>
    <row r="315">
      <c r="A315" s="1">
        <v>314.0</v>
      </c>
      <c r="B315" s="1" t="s">
        <v>2084</v>
      </c>
      <c r="C315" s="13" t="b">
        <f>IFERROR(__xludf.DUMMYFUNCTION("IF(ISTEXT(Filmes_raw!C315), REGEXEXTRACT(Filmes_raw!C315,""[^,]+$""))"),FALSE)</f>
        <v>0</v>
      </c>
      <c r="D315" s="1" t="b">
        <f t="shared" si="1"/>
        <v>0</v>
      </c>
      <c r="E315" s="14">
        <f>IFERROR(__xludf.DUMMYFUNCTION("VALUE(IF(ISTEXT(D315), REGEXREPLACE(Filmes_raw!C315,""[^,]+$"",D315),Filmes_raw!C315))"),9600000.0)</f>
        <v>9600000</v>
      </c>
      <c r="F315" s="6">
        <f>IFERROR(__xludf.DUMMYFUNCTION("VALUE(REGEXEXTRACT(Filmes_raw!F315, ""[0-9]+""
))"),129.0)</f>
        <v>129</v>
      </c>
    </row>
    <row r="316">
      <c r="A316" s="1">
        <v>315.0</v>
      </c>
      <c r="B316" s="1" t="s">
        <v>2088</v>
      </c>
      <c r="C316" s="13" t="b">
        <f>IFERROR(__xludf.DUMMYFUNCTION("IF(ISTEXT(Filmes_raw!C316), REGEXEXTRACT(Filmes_raw!C316,""[^,]+$""))"),FALSE)</f>
        <v>0</v>
      </c>
      <c r="D316" s="1" t="b">
        <f t="shared" si="1"/>
        <v>0</v>
      </c>
      <c r="E316" s="14">
        <f>IFERROR(__xludf.DUMMYFUNCTION("VALUE(IF(ISTEXT(D316), REGEXREPLACE(Filmes_raw!C316,""[^,]+$"",D316),Filmes_raw!C316))"),1.98676459E8)</f>
        <v>198676459</v>
      </c>
      <c r="F316" s="6">
        <f>IFERROR(__xludf.DUMMYFUNCTION("VALUE(REGEXEXTRACT(Filmes_raw!F316, ""[0-9]+""
))"),238.0)</f>
        <v>238</v>
      </c>
    </row>
    <row r="317">
      <c r="A317" s="1">
        <v>316.0</v>
      </c>
      <c r="B317" s="1" t="s">
        <v>2096</v>
      </c>
      <c r="C317" s="13" t="b">
        <f>IFERROR(__xludf.DUMMYFUNCTION("IF(ISTEXT(Filmes_raw!C317), REGEXEXTRACT(Filmes_raw!C317,""[^,]+$""))"),FALSE)</f>
        <v>0</v>
      </c>
      <c r="D317" s="1" t="b">
        <f t="shared" si="1"/>
        <v>0</v>
      </c>
      <c r="E317" s="14">
        <f>IFERROR(__xludf.DUMMYFUNCTION("VALUE(IF(ISTEXT(D317), REGEXREPLACE(Filmes_raw!C317,""[^,]+$"",D317),Filmes_raw!C317))"),172885.0)</f>
        <v>172885</v>
      </c>
      <c r="F317" s="6">
        <f>IFERROR(__xludf.DUMMYFUNCTION("VALUE(REGEXEXTRACT(Filmes_raw!F317, ""[0-9]+""
))"),113.0)</f>
        <v>113</v>
      </c>
    </row>
    <row r="318">
      <c r="A318" s="1">
        <v>317.0</v>
      </c>
      <c r="B318" s="1" t="s">
        <v>2103</v>
      </c>
      <c r="C318" s="13" t="b">
        <f>IFERROR(__xludf.DUMMYFUNCTION("IF(ISTEXT(Filmes_raw!C318), REGEXEXTRACT(Filmes_raw!C318,""[^,]+$""))"),FALSE)</f>
        <v>0</v>
      </c>
      <c r="D318" s="1" t="b">
        <f t="shared" si="1"/>
        <v>0</v>
      </c>
      <c r="E318" s="14">
        <f>IFERROR(__xludf.DUMMYFUNCTION("VALUE(IF(ISTEXT(D318), REGEXREPLACE(Filmes_raw!C318,""[^,]+$"",D318),Filmes_raw!C318))"),4360000.0)</f>
        <v>4360000</v>
      </c>
      <c r="F318" s="6">
        <f>IFERROR(__xludf.DUMMYFUNCTION("VALUE(REGEXEXTRACT(Filmes_raw!F318, ""[0-9]+""
))"),105.0)</f>
        <v>105</v>
      </c>
    </row>
    <row r="319">
      <c r="A319" s="1">
        <v>318.0</v>
      </c>
      <c r="B319" s="1" t="s">
        <v>2108</v>
      </c>
      <c r="C319" s="13" t="b">
        <f>IFERROR(__xludf.DUMMYFUNCTION("IF(ISTEXT(Filmes_raw!C319), REGEXEXTRACT(Filmes_raw!C319,""[^,]+$""))"),FALSE)</f>
        <v>0</v>
      </c>
      <c r="D319" s="1" t="b">
        <f t="shared" si="1"/>
        <v>0</v>
      </c>
      <c r="E319" s="14">
        <f>IFERROR(__xludf.DUMMYFUNCTION("VALUE(IF(ISTEXT(D319), REGEXREPLACE(Filmes_raw!C319,""[^,]+$"",D319),Filmes_raw!C319))"),21877.0)</f>
        <v>21877</v>
      </c>
      <c r="F319" s="6">
        <f>IFERROR(__xludf.DUMMYFUNCTION("VALUE(REGEXEXTRACT(Filmes_raw!F319, ""[0-9]+""
))"),110.0)</f>
        <v>110</v>
      </c>
    </row>
    <row r="320">
      <c r="A320" s="1">
        <v>319.0</v>
      </c>
      <c r="B320" s="1" t="s">
        <v>2115</v>
      </c>
      <c r="C320" s="13" t="str">
        <f>IFERROR(__xludf.DUMMYFUNCTION("IF(ISTEXT(Filmes_raw!C320), REGEXEXTRACT(Filmes_raw!C320,""[^,]+$""))"),"41")</f>
        <v>41</v>
      </c>
      <c r="D320" s="1" t="str">
        <f t="shared" si="1"/>
        <v>410</v>
      </c>
      <c r="E320" s="14">
        <f>IFERROR(__xludf.DUMMYFUNCTION("VALUE(IF(ISTEXT(D320), REGEXREPLACE(Filmes_raw!C320,""[^,]+$"",D320),Filmes_raw!C320))"),27410.0)</f>
        <v>27410</v>
      </c>
      <c r="F320" s="6">
        <f>IFERROR(__xludf.DUMMYFUNCTION("VALUE(REGEXEXTRACT(Filmes_raw!F320, ""[0-9]+""
))"),72.0)</f>
        <v>72</v>
      </c>
    </row>
    <row r="321">
      <c r="A321" s="1">
        <v>320.0</v>
      </c>
      <c r="B321" s="1" t="s">
        <v>2122</v>
      </c>
      <c r="C321" s="13" t="str">
        <f>IFERROR(__xludf.DUMMYFUNCTION("IF(ISTEXT(Filmes_raw!C321), REGEXEXTRACT(Filmes_raw!C321,""[^,]+$""))"),"54")</f>
        <v>54</v>
      </c>
      <c r="D321" s="1" t="str">
        <f t="shared" si="1"/>
        <v>540</v>
      </c>
      <c r="E321" s="14">
        <f>IFERROR(__xludf.DUMMYFUNCTION("VALUE(IF(ISTEXT(D321), REGEXREPLACE(Filmes_raw!C321,""[^,]+$"",D321),Filmes_raw!C321))"),539540.0)</f>
        <v>539540</v>
      </c>
      <c r="F321" s="6">
        <f>IFERROR(__xludf.DUMMYFUNCTION("VALUE(REGEXEXTRACT(Filmes_raw!F321, ""[0-9]+""
))"),94.0)</f>
        <v>94</v>
      </c>
    </row>
    <row r="322">
      <c r="A322" s="1">
        <v>321.0</v>
      </c>
      <c r="B322" s="1" t="s">
        <v>2130</v>
      </c>
      <c r="C322" s="13" t="b">
        <f>IFERROR(__xludf.DUMMYFUNCTION("IF(ISTEXT(Filmes_raw!C322), REGEXEXTRACT(Filmes_raw!C322,""[^,]+$""))"),FALSE)</f>
        <v>0</v>
      </c>
      <c r="D322" s="1" t="b">
        <f t="shared" si="1"/>
        <v>0</v>
      </c>
      <c r="E322" s="14">
        <f>IFERROR(__xludf.DUMMYFUNCTION("VALUE(IF(ISTEXT(D322), REGEXREPLACE(Filmes_raw!C322,""[^,]+$"",D322),Filmes_raw!C322))"),1033895.0)</f>
        <v>1033895</v>
      </c>
      <c r="F322" s="6">
        <f>IFERROR(__xludf.DUMMYFUNCTION("VALUE(REGEXEXTRACT(Filmes_raw!F322, ""[0-9]+""
))"),67.0)</f>
        <v>67</v>
      </c>
    </row>
    <row r="323">
      <c r="A323" s="1">
        <v>322.0</v>
      </c>
      <c r="B323" s="1" t="s">
        <v>2136</v>
      </c>
      <c r="C323" s="13" t="b">
        <f>IFERROR(__xludf.DUMMYFUNCTION("IF(ISTEXT(Filmes_raw!C323), REGEXEXTRACT(Filmes_raw!C323,""[^,]+$""))"),FALSE)</f>
        <v>0</v>
      </c>
      <c r="D323" s="1" t="b">
        <f t="shared" si="1"/>
        <v>0</v>
      </c>
      <c r="E323" s="14">
        <f>IFERROR(__xludf.DUMMYFUNCTION("VALUE(IF(ISTEXT(D323), REGEXREPLACE(Filmes_raw!C323,""[^,]+$"",D323),Filmes_raw!C323))"),8811.0)</f>
        <v>8811</v>
      </c>
      <c r="F323" s="6">
        <f>IFERROR(__xludf.DUMMYFUNCTION("VALUE(REGEXEXTRACT(Filmes_raw!F323, ""[0-9]+""
))"),76.0)</f>
        <v>76</v>
      </c>
    </row>
    <row r="324">
      <c r="A324" s="1">
        <v>323.0</v>
      </c>
      <c r="B324" s="1" t="s">
        <v>2145</v>
      </c>
      <c r="C324" s="13" t="b">
        <f>IFERROR(__xludf.DUMMYFUNCTION("IF(ISTEXT(Filmes_raw!C324), REGEXEXTRACT(Filmes_raw!C324,""[^,]+$""))"),FALSE)</f>
        <v>0</v>
      </c>
      <c r="D324" s="1" t="b">
        <f t="shared" si="1"/>
        <v>0</v>
      </c>
      <c r="E324" s="14">
        <f>IFERROR(__xludf.DUMMYFUNCTION("VALUE(IF(ISTEXT(D324), REGEXREPLACE(Filmes_raw!C324,""[^,]+$"",D324),Filmes_raw!C324))"),2.612561E7)</f>
        <v>26125610</v>
      </c>
      <c r="F324" s="6">
        <f>IFERROR(__xludf.DUMMYFUNCTION("VALUE(REGEXEXTRACT(Filmes_raw!F324, ""[0-9]+""
))"),124.0)</f>
        <v>124</v>
      </c>
    </row>
    <row r="325">
      <c r="A325" s="1">
        <v>324.0</v>
      </c>
      <c r="B325" s="1" t="s">
        <v>2150</v>
      </c>
      <c r="C325" s="13" t="b">
        <f>IFERROR(__xludf.DUMMYFUNCTION("IF(ISTEXT(Filmes_raw!C325), REGEXEXTRACT(Filmes_raw!C325,""[^,]+$""))"),FALSE)</f>
        <v>0</v>
      </c>
      <c r="D325" s="1" t="b">
        <f t="shared" si="1"/>
        <v>0</v>
      </c>
      <c r="E325" s="14">
        <f>IFERROR(__xludf.DUMMYFUNCTION("VALUE(IF(ISTEXT(D325), REGEXREPLACE(Filmes_raw!C325,""[^,]+$"",D325),Filmes_raw!C325))"),0.0)</f>
        <v>0</v>
      </c>
      <c r="F325" s="6">
        <f>IFERROR(__xludf.DUMMYFUNCTION("VALUE(REGEXEXTRACT(Filmes_raw!F325, ""[0-9]+""
))"),113.0)</f>
        <v>113</v>
      </c>
    </row>
    <row r="326">
      <c r="A326" s="1">
        <v>325.0</v>
      </c>
      <c r="B326" s="1" t="s">
        <v>2156</v>
      </c>
      <c r="C326" s="13" t="b">
        <f>IFERROR(__xludf.DUMMYFUNCTION("IF(ISTEXT(Filmes_raw!C326), REGEXEXTRACT(Filmes_raw!C326,""[^,]+$""))"),FALSE)</f>
        <v>0</v>
      </c>
      <c r="D326" s="1" t="b">
        <f t="shared" si="1"/>
        <v>0</v>
      </c>
      <c r="E326" s="14">
        <f>IFERROR(__xludf.DUMMYFUNCTION("VALUE(IF(ISTEXT(D326), REGEXREPLACE(Filmes_raw!C326,""[^,]+$"",D326),Filmes_raw!C326))"),9323484.0)</f>
        <v>9323484</v>
      </c>
      <c r="F326" s="6">
        <f>IFERROR(__xludf.DUMMYFUNCTION("VALUE(REGEXEXTRACT(Filmes_raw!F326, ""[0-9]+""
))"),130.0)</f>
        <v>130</v>
      </c>
    </row>
    <row r="327">
      <c r="A327" s="1">
        <v>326.0</v>
      </c>
      <c r="B327" s="1" t="s">
        <v>2162</v>
      </c>
      <c r="C327" s="13" t="b">
        <f>IFERROR(__xludf.DUMMYFUNCTION("IF(ISTEXT(Filmes_raw!C327), REGEXEXTRACT(Filmes_raw!C327,""[^,]+$""))"),FALSE)</f>
        <v>0</v>
      </c>
      <c r="D327" s="1" t="b">
        <f t="shared" si="1"/>
        <v>0</v>
      </c>
      <c r="E327" s="14">
        <f>IFERROR(__xludf.DUMMYFUNCTION("VALUE(IF(ISTEXT(D327), REGEXREPLACE(Filmes_raw!C327,""[^,]+$"",D327),Filmes_raw!C327))"),8178001.0)</f>
        <v>8178001</v>
      </c>
      <c r="F327" s="6">
        <f>IFERROR(__xludf.DUMMYFUNCTION("VALUE(REGEXEXTRACT(Filmes_raw!F327, ""[0-9]+""
))"),163.0)</f>
        <v>163</v>
      </c>
    </row>
    <row r="328">
      <c r="A328" s="1">
        <v>327.0</v>
      </c>
      <c r="B328" s="1" t="s">
        <v>2167</v>
      </c>
      <c r="C328" s="13" t="b">
        <f>IFERROR(__xludf.DUMMYFUNCTION("IF(ISTEXT(Filmes_raw!C328), REGEXEXTRACT(Filmes_raw!C328,""[^,]+$""))"),FALSE)</f>
        <v>0</v>
      </c>
      <c r="D328" s="1" t="b">
        <f t="shared" si="1"/>
        <v>0</v>
      </c>
      <c r="E328" s="14">
        <f>IFERROR(__xludf.DUMMYFUNCTION("VALUE(IF(ISTEXT(D328), REGEXREPLACE(Filmes_raw!C328,""[^,]+$"",D328),Filmes_raw!C328))"),1.1533057E7)</f>
        <v>11533057</v>
      </c>
      <c r="F328" s="6">
        <f>IFERROR(__xludf.DUMMYFUNCTION("VALUE(REGEXEXTRACT(Filmes_raw!F328, ""[0-9]+""
))"),159.0)</f>
        <v>159</v>
      </c>
    </row>
    <row r="329">
      <c r="A329" s="1">
        <v>328.0</v>
      </c>
      <c r="B329" s="1" t="s">
        <v>2172</v>
      </c>
      <c r="C329" s="13" t="b">
        <f>IFERROR(__xludf.DUMMYFUNCTION("IF(ISTEXT(Filmes_raw!C329), REGEXEXTRACT(Filmes_raw!C329,""[^,]+$""))"),FALSE)</f>
        <v>0</v>
      </c>
      <c r="D329" s="1" t="b">
        <f t="shared" si="1"/>
        <v>0</v>
      </c>
      <c r="E329" s="14">
        <f>IFERROR(__xludf.DUMMYFUNCTION("VALUE(IF(ISTEXT(D329), REGEXREPLACE(Filmes_raw!C329,""[^,]+$"",D329),Filmes_raw!C329))"),1.51101803E8)</f>
        <v>151101803</v>
      </c>
      <c r="F329" s="6">
        <f>IFERROR(__xludf.DUMMYFUNCTION("VALUE(REGEXEXTRACT(Filmes_raw!F329, ""[0-9]+""
))"),128.0)</f>
        <v>128</v>
      </c>
    </row>
    <row r="330">
      <c r="A330" s="1">
        <v>329.0</v>
      </c>
      <c r="B330" s="1" t="s">
        <v>2178</v>
      </c>
      <c r="C330" s="13" t="b">
        <f>IFERROR(__xludf.DUMMYFUNCTION("IF(ISTEXT(Filmes_raw!C330), REGEXEXTRACT(Filmes_raw!C330,""[^,]+$""))"),FALSE)</f>
        <v>0</v>
      </c>
      <c r="D330" s="1" t="b">
        <f t="shared" si="1"/>
        <v>0</v>
      </c>
      <c r="E330" s="14">
        <f>IFERROR(__xludf.DUMMYFUNCTION("VALUE(IF(ISTEXT(D330), REGEXREPLACE(Filmes_raw!C330,""[^,]+$"",D330),Filmes_raw!C330))"),5.1739495E7)</f>
        <v>51739495</v>
      </c>
      <c r="F330" s="6">
        <f>IFERROR(__xludf.DUMMYFUNCTION("VALUE(REGEXEXTRACT(Filmes_raw!F330, ""[0-9]+""
))"),118.0)</f>
        <v>118</v>
      </c>
    </row>
    <row r="331">
      <c r="A331" s="1">
        <v>330.0</v>
      </c>
      <c r="B331" s="1" t="s">
        <v>2185</v>
      </c>
      <c r="C331" s="13" t="b">
        <f>IFERROR(__xludf.DUMMYFUNCTION("IF(ISTEXT(Filmes_raw!C331), REGEXEXTRACT(Filmes_raw!C331,""[^,]+$""))"),FALSE)</f>
        <v>0</v>
      </c>
      <c r="D331" s="1" t="b">
        <f t="shared" si="1"/>
        <v>0</v>
      </c>
      <c r="E331" s="14">
        <f>IFERROR(__xludf.DUMMYFUNCTION("VALUE(IF(ISTEXT(D331), REGEXREPLACE(Filmes_raw!C331,""[^,]+$"",D331),Filmes_raw!C331))"),2.28433663E8)</f>
        <v>228433663</v>
      </c>
      <c r="F331" s="6">
        <f>IFERROR(__xludf.DUMMYFUNCTION("VALUE(REGEXEXTRACT(Filmes_raw!F331, ""[0-9]+""
))"),144.0)</f>
        <v>144</v>
      </c>
    </row>
    <row r="332">
      <c r="A332" s="1">
        <v>331.0</v>
      </c>
      <c r="B332" s="1" t="s">
        <v>2189</v>
      </c>
      <c r="C332" s="13" t="b">
        <f>IFERROR(__xludf.DUMMYFUNCTION("IF(ISTEXT(Filmes_raw!C332), REGEXEXTRACT(Filmes_raw!C332,""[^,]+$""))"),FALSE)</f>
        <v>0</v>
      </c>
      <c r="D332" s="1" t="b">
        <f t="shared" si="1"/>
        <v>0</v>
      </c>
      <c r="E332" s="14">
        <f>IFERROR(__xludf.DUMMYFUNCTION("VALUE(IF(ISTEXT(D332), REGEXREPLACE(Filmes_raw!C332,""[^,]+$"",D332),Filmes_raw!C332))"),3.41268248E8)</f>
        <v>341268248</v>
      </c>
      <c r="F332" s="6">
        <f>IFERROR(__xludf.DUMMYFUNCTION("VALUE(REGEXEXTRACT(Filmes_raw!F332, ""[0-9]+""
))"),108.0)</f>
        <v>108</v>
      </c>
    </row>
    <row r="333">
      <c r="A333" s="1">
        <v>332.0</v>
      </c>
      <c r="B333" s="1" t="s">
        <v>2196</v>
      </c>
      <c r="C333" s="13" t="b">
        <f>IFERROR(__xludf.DUMMYFUNCTION("IF(ISTEXT(Filmes_raw!C333), REGEXEXTRACT(Filmes_raw!C333,""[^,]+$""))"),FALSE)</f>
        <v>0</v>
      </c>
      <c r="D333" s="1" t="b">
        <f t="shared" si="1"/>
        <v>0</v>
      </c>
      <c r="E333" s="14">
        <f>IFERROR(__xludf.DUMMYFUNCTION("VALUE(IF(ISTEXT(D333), REGEXREPLACE(Filmes_raw!C333,""[^,]+$"",D333),Filmes_raw!C333))"),6738000.0)</f>
        <v>6738000</v>
      </c>
      <c r="F333" s="6">
        <f>IFERROR(__xludf.DUMMYFUNCTION("VALUE(REGEXEXTRACT(Filmes_raw!F333, ""[0-9]+""
))"),159.0)</f>
        <v>159</v>
      </c>
    </row>
    <row r="334">
      <c r="A334" s="1">
        <v>333.0</v>
      </c>
      <c r="B334" s="1" t="s">
        <v>2200</v>
      </c>
      <c r="C334" s="13" t="b">
        <f>IFERROR(__xludf.DUMMYFUNCTION("IF(ISTEXT(Filmes_raw!C334), REGEXEXTRACT(Filmes_raw!C334,""[^,]+$""))"),FALSE)</f>
        <v>0</v>
      </c>
      <c r="D334" s="1" t="b">
        <f t="shared" si="1"/>
        <v>0</v>
      </c>
      <c r="E334" s="14">
        <f>IFERROR(__xludf.DUMMYFUNCTION("VALUE(IF(ISTEXT(D334), REGEXREPLACE(Filmes_raw!C334,""[^,]+$"",D334),Filmes_raw!C334))"),1506975.0)</f>
        <v>1506975</v>
      </c>
      <c r="F334" s="6">
        <f>IFERROR(__xludf.DUMMYFUNCTION("VALUE(REGEXEXTRACT(Filmes_raw!F334, ""[0-9]+""
))"),137.0)</f>
        <v>137</v>
      </c>
    </row>
    <row r="335">
      <c r="A335" s="1">
        <v>334.0</v>
      </c>
      <c r="B335" s="1" t="s">
        <v>2205</v>
      </c>
      <c r="C335" s="13" t="b">
        <f>IFERROR(__xludf.DUMMYFUNCTION("IF(ISTEXT(Filmes_raw!C335), REGEXEXTRACT(Filmes_raw!C335,""[^,]+$""))"),FALSE)</f>
        <v>0</v>
      </c>
      <c r="D335" s="1" t="b">
        <f t="shared" si="1"/>
        <v>0</v>
      </c>
      <c r="E335" s="14">
        <f>IFERROR(__xludf.DUMMYFUNCTION("VALUE(IF(ISTEXT(D335), REGEXREPLACE(Filmes_raw!C335,""[^,]+$"",D335),Filmes_raw!C335))"),1.32422809E8)</f>
        <v>132422809</v>
      </c>
      <c r="F335" s="6">
        <f>IFERROR(__xludf.DUMMYFUNCTION("VALUE(REGEXEXTRACT(Filmes_raw!F335, ""[0-9]+""
))"),113.0)</f>
        <v>113</v>
      </c>
    </row>
    <row r="336">
      <c r="A336" s="1">
        <v>335.0</v>
      </c>
      <c r="B336" s="1" t="s">
        <v>2211</v>
      </c>
      <c r="C336" s="13" t="b">
        <f>IFERROR(__xludf.DUMMYFUNCTION("IF(ISTEXT(Filmes_raw!C336), REGEXEXTRACT(Filmes_raw!C336,""[^,]+$""))"),FALSE)</f>
        <v>0</v>
      </c>
      <c r="D336" s="1" t="b">
        <f t="shared" si="1"/>
        <v>0</v>
      </c>
      <c r="E336" s="14">
        <f>IFERROR(__xludf.DUMMYFUNCTION("VALUE(IF(ISTEXT(D336), REGEXREPLACE(Filmes_raw!C336,""[^,]+$"",D336),Filmes_raw!C336))"),5566534.0)</f>
        <v>5566534</v>
      </c>
      <c r="F336" s="6">
        <f>IFERROR(__xludf.DUMMYFUNCTION("VALUE(REGEXEXTRACT(Filmes_raw!F336, ""[0-9]+""
))"),154.0)</f>
        <v>154</v>
      </c>
    </row>
    <row r="337">
      <c r="A337" s="1">
        <v>336.0</v>
      </c>
      <c r="B337" s="1" t="s">
        <v>2217</v>
      </c>
      <c r="C337" s="13" t="b">
        <f>IFERROR(__xludf.DUMMYFUNCTION("IF(ISTEXT(Filmes_raw!C337), REGEXEXTRACT(Filmes_raw!C337,""[^,]+$""))"),FALSE)</f>
        <v>0</v>
      </c>
      <c r="D337" s="1" t="b">
        <f t="shared" si="1"/>
        <v>0</v>
      </c>
      <c r="E337" s="14">
        <f>IFERROR(__xludf.DUMMYFUNCTION("VALUE(IF(ISTEXT(D337), REGEXREPLACE(Filmes_raw!C337,""[^,]+$"",D337),Filmes_raw!C337))"),1079369.0)</f>
        <v>1079369</v>
      </c>
      <c r="F337" s="6">
        <f>IFERROR(__xludf.DUMMYFUNCTION("VALUE(REGEXEXTRACT(Filmes_raw!F337, ""[0-9]+""
))"),144.0)</f>
        <v>144</v>
      </c>
    </row>
    <row r="338">
      <c r="A338" s="1">
        <v>337.0</v>
      </c>
      <c r="B338" s="1" t="s">
        <v>2219</v>
      </c>
      <c r="C338" s="13" t="b">
        <f>IFERROR(__xludf.DUMMYFUNCTION("IF(ISTEXT(Filmes_raw!C338), REGEXEXTRACT(Filmes_raw!C338,""[^,]+$""))"),FALSE)</f>
        <v>0</v>
      </c>
      <c r="D338" s="1" t="b">
        <f t="shared" si="1"/>
        <v>0</v>
      </c>
      <c r="E338" s="14">
        <f>IFERROR(__xludf.DUMMYFUNCTION("VALUE(IF(ISTEXT(D338), REGEXREPLACE(Filmes_raw!C338,""[^,]+$"",D338),Filmes_raw!C338))"),1010414.0)</f>
        <v>1010414</v>
      </c>
      <c r="F338" s="6">
        <f>IFERROR(__xludf.DUMMYFUNCTION("VALUE(REGEXEXTRACT(Filmes_raw!F338, ""[0-9]+""
))"),96.0)</f>
        <v>96</v>
      </c>
    </row>
    <row r="339">
      <c r="A339" s="1">
        <v>338.0</v>
      </c>
      <c r="B339" s="1" t="s">
        <v>2225</v>
      </c>
      <c r="C339" s="13" t="b">
        <f>IFERROR(__xludf.DUMMYFUNCTION("IF(ISTEXT(Filmes_raw!C339), REGEXEXTRACT(Filmes_raw!C339,""[^,]+$""))"),FALSE)</f>
        <v>0</v>
      </c>
      <c r="D339" s="1" t="b">
        <f t="shared" si="1"/>
        <v>0</v>
      </c>
      <c r="E339" s="14">
        <f>IFERROR(__xludf.DUMMYFUNCTION("VALUE(IF(ISTEXT(D339), REGEXREPLACE(Filmes_raw!C339,""[^,]+$"",D339),Filmes_raw!C339))"),2625803.0)</f>
        <v>2625803</v>
      </c>
      <c r="F339" s="6">
        <f>IFERROR(__xludf.DUMMYFUNCTION("VALUE(REGEXEXTRACT(Filmes_raw!F339, ""[0-9]+""
))"),150.0)</f>
        <v>150</v>
      </c>
    </row>
    <row r="340">
      <c r="A340" s="1">
        <v>339.0</v>
      </c>
      <c r="B340" s="1" t="s">
        <v>2232</v>
      </c>
      <c r="C340" s="13" t="b">
        <f>IFERROR(__xludf.DUMMYFUNCTION("IF(ISTEXT(Filmes_raw!C340), REGEXEXTRACT(Filmes_raw!C340,""[^,]+$""))"),FALSE)</f>
        <v>0</v>
      </c>
      <c r="D340" s="1" t="b">
        <f t="shared" si="1"/>
        <v>0</v>
      </c>
      <c r="E340" s="14">
        <f>IFERROR(__xludf.DUMMYFUNCTION("VALUE(IF(ISTEXT(D340), REGEXREPLACE(Filmes_raw!C340,""[^,]+$"",D340),Filmes_raw!C340))"),9.1125683E7)</f>
        <v>91125683</v>
      </c>
      <c r="F340" s="6">
        <f>IFERROR(__xludf.DUMMYFUNCTION("VALUE(REGEXEXTRACT(Filmes_raw!F340, ""[0-9]+""
))"),114.0)</f>
        <v>114</v>
      </c>
    </row>
    <row r="341">
      <c r="A341" s="1">
        <v>340.0</v>
      </c>
      <c r="B341" s="1" t="s">
        <v>2240</v>
      </c>
      <c r="C341" s="13" t="b">
        <f>IFERROR(__xludf.DUMMYFUNCTION("IF(ISTEXT(Filmes_raw!C341), REGEXEXTRACT(Filmes_raw!C341,""[^,]+$""))"),FALSE)</f>
        <v>0</v>
      </c>
      <c r="D341" s="1" t="b">
        <f t="shared" si="1"/>
        <v>0</v>
      </c>
      <c r="E341" s="14">
        <f>IFERROR(__xludf.DUMMYFUNCTION("VALUE(IF(ISTEXT(D341), REGEXREPLACE(Filmes_raw!C341,""[^,]+$"",D341),Filmes_raw!C341))"),3.331766E8)</f>
        <v>333176600</v>
      </c>
      <c r="F341" s="6">
        <f>IFERROR(__xludf.DUMMYFUNCTION("VALUE(REGEXEXTRACT(Filmes_raw!F341, ""[0-9]+""
))"),121.0)</f>
        <v>121</v>
      </c>
    </row>
    <row r="342">
      <c r="A342" s="1">
        <v>341.0</v>
      </c>
      <c r="B342" s="1" t="s">
        <v>2247</v>
      </c>
      <c r="C342" s="13" t="b">
        <f>IFERROR(__xludf.DUMMYFUNCTION("IF(ISTEXT(Filmes_raw!C342), REGEXEXTRACT(Filmes_raw!C342,""[^,]+$""))"),FALSE)</f>
        <v>0</v>
      </c>
      <c r="D342" s="1" t="b">
        <f t="shared" si="1"/>
        <v>0</v>
      </c>
      <c r="E342" s="14">
        <f>IFERROR(__xludf.DUMMYFUNCTION("VALUE(IF(ISTEXT(D342), REGEXREPLACE(Filmes_raw!C342,""[^,]+$"",D342),Filmes_raw!C342))"),9.2054159E7)</f>
        <v>92054159</v>
      </c>
      <c r="F342" s="6">
        <f>IFERROR(__xludf.DUMMYFUNCTION("VALUE(REGEXEXTRACT(Filmes_raw!F342, ""[0-9]+""
))"),164.0)</f>
        <v>164</v>
      </c>
    </row>
    <row r="343">
      <c r="A343" s="1">
        <v>342.0</v>
      </c>
      <c r="B343" s="1" t="s">
        <v>2251</v>
      </c>
      <c r="C343" s="13" t="b">
        <f>IFERROR(__xludf.DUMMYFUNCTION("IF(ISTEXT(Filmes_raw!C343), REGEXEXTRACT(Filmes_raw!C343,""[^,]+$""))"),FALSE)</f>
        <v>0</v>
      </c>
      <c r="D343" s="1" t="b">
        <f t="shared" si="1"/>
        <v>0</v>
      </c>
      <c r="E343" s="14">
        <f>IFERROR(__xludf.DUMMYFUNCTION("VALUE(IF(ISTEXT(D343), REGEXREPLACE(Filmes_raw!C343,""[^,]+$"",D343),Filmes_raw!C343))"),2.5568251E7)</f>
        <v>25568251</v>
      </c>
      <c r="F343" s="6">
        <f>IFERROR(__xludf.DUMMYFUNCTION("VALUE(REGEXEXTRACT(Filmes_raw!F343, ""[0-9]+""
))"),126.0)</f>
        <v>126</v>
      </c>
    </row>
    <row r="344">
      <c r="A344" s="1">
        <v>343.0</v>
      </c>
      <c r="B344" s="1" t="s">
        <v>2255</v>
      </c>
      <c r="C344" s="13" t="b">
        <f>IFERROR(__xludf.DUMMYFUNCTION("IF(ISTEXT(Filmes_raw!C344), REGEXEXTRACT(Filmes_raw!C344,""[^,]+$""))"),FALSE)</f>
        <v>0</v>
      </c>
      <c r="D344" s="1" t="b">
        <f t="shared" si="1"/>
        <v>0</v>
      </c>
      <c r="E344" s="14">
        <f>IFERROR(__xludf.DUMMYFUNCTION("VALUE(IF(ISTEXT(D344), REGEXREPLACE(Filmes_raw!C344,""[^,]+$"",D344),Filmes_raw!C344))"),2.16428042E8)</f>
        <v>216428042</v>
      </c>
      <c r="F344" s="6">
        <f>IFERROR(__xludf.DUMMYFUNCTION("VALUE(REGEXEXTRACT(Filmes_raw!F344, ""[0-9]+""
))"),134.0)</f>
        <v>134</v>
      </c>
    </row>
    <row r="345">
      <c r="A345" s="1">
        <v>344.0</v>
      </c>
      <c r="B345" s="1" t="s">
        <v>2261</v>
      </c>
      <c r="C345" s="13" t="b">
        <f>IFERROR(__xludf.DUMMYFUNCTION("IF(ISTEXT(Filmes_raw!C345), REGEXEXTRACT(Filmes_raw!C345,""[^,]+$""))"),FALSE)</f>
        <v>0</v>
      </c>
      <c r="D345" s="1" t="b">
        <f t="shared" si="1"/>
        <v>0</v>
      </c>
      <c r="E345" s="14">
        <f>IFERROR(__xludf.DUMMYFUNCTION("VALUE(IF(ISTEXT(D345), REGEXREPLACE(Filmes_raw!C345,""[^,]+$"",D345),Filmes_raw!C345))"),1.83637894E8)</f>
        <v>183637894</v>
      </c>
      <c r="F345" s="6">
        <f>IFERROR(__xludf.DUMMYFUNCTION("VALUE(REGEXEXTRACT(Filmes_raw!F345, ""[0-9]+""
))"),156.0)</f>
        <v>156</v>
      </c>
    </row>
    <row r="346">
      <c r="A346" s="1">
        <v>345.0</v>
      </c>
      <c r="B346" s="1" t="s">
        <v>2265</v>
      </c>
      <c r="C346" s="13" t="b">
        <f>IFERROR(__xludf.DUMMYFUNCTION("IF(ISTEXT(Filmes_raw!C346), REGEXEXTRACT(Filmes_raw!C346,""[^,]+$""))"),FALSE)</f>
        <v>0</v>
      </c>
      <c r="D346" s="1" t="b">
        <f t="shared" si="1"/>
        <v>0</v>
      </c>
      <c r="E346" s="14">
        <f>IFERROR(__xludf.DUMMYFUNCTION("VALUE(IF(ISTEXT(D346), REGEXREPLACE(Filmes_raw!C346,""[^,]+$"",D346),Filmes_raw!C346))"),1.773857E7)</f>
        <v>17738570</v>
      </c>
      <c r="F346" s="6">
        <f>IFERROR(__xludf.DUMMYFUNCTION("VALUE(REGEXEXTRACT(Filmes_raw!F346, ""[0-9]+""
))"),103.0)</f>
        <v>103</v>
      </c>
    </row>
    <row r="347">
      <c r="A347" s="1">
        <v>346.0</v>
      </c>
      <c r="B347" s="1" t="s">
        <v>2270</v>
      </c>
      <c r="C347" s="13" t="b">
        <f>IFERROR(__xludf.DUMMYFUNCTION("IF(ISTEXT(Filmes_raw!C347), REGEXEXTRACT(Filmes_raw!C347,""[^,]+$""))"),FALSE)</f>
        <v>0</v>
      </c>
      <c r="D347" s="1" t="b">
        <f t="shared" si="1"/>
        <v>0</v>
      </c>
      <c r="E347" s="14">
        <f>IFERROR(__xludf.DUMMYFUNCTION("VALUE(IF(ISTEXT(D347), REGEXREPLACE(Filmes_raw!C347,""[^,]+$"",D347),Filmes_raw!C347))"),100119.0)</f>
        <v>100119</v>
      </c>
      <c r="F347" s="6">
        <f>IFERROR(__xludf.DUMMYFUNCTION("VALUE(REGEXEXTRACT(Filmes_raw!F347, ""[0-9]+""
))"),115.0)</f>
        <v>115</v>
      </c>
    </row>
    <row r="348">
      <c r="A348" s="1">
        <v>347.0</v>
      </c>
      <c r="B348" s="1" t="s">
        <v>2277</v>
      </c>
      <c r="C348" s="13" t="b">
        <f>IFERROR(__xludf.DUMMYFUNCTION("IF(ISTEXT(Filmes_raw!C348), REGEXEXTRACT(Filmes_raw!C348,""[^,]+$""))"),FALSE)</f>
        <v>0</v>
      </c>
      <c r="D348" s="1" t="b">
        <f t="shared" si="1"/>
        <v>0</v>
      </c>
      <c r="E348" s="14">
        <f>IFERROR(__xludf.DUMMYFUNCTION("VALUE(IF(ISTEXT(D348), REGEXREPLACE(Filmes_raw!C348,""[^,]+$"",D348),Filmes_raw!C348))"),1.38797449E8)</f>
        <v>138797449</v>
      </c>
      <c r="F348" s="6">
        <f>IFERROR(__xludf.DUMMYFUNCTION("VALUE(REGEXEXTRACT(Filmes_raw!F348, ""[0-9]+""
))"),118.0)</f>
        <v>118</v>
      </c>
    </row>
    <row r="349">
      <c r="A349" s="1">
        <v>348.0</v>
      </c>
      <c r="B349" s="1" t="s">
        <v>2283</v>
      </c>
      <c r="C349" s="13" t="b">
        <f>IFERROR(__xludf.DUMMYFUNCTION("IF(ISTEXT(Filmes_raw!C349), REGEXEXTRACT(Filmes_raw!C349,""[^,]+$""))"),FALSE)</f>
        <v>0</v>
      </c>
      <c r="D349" s="1" t="b">
        <f t="shared" si="1"/>
        <v>0</v>
      </c>
      <c r="E349" s="14">
        <f>IFERROR(__xludf.DUMMYFUNCTION("VALUE(IF(ISTEXT(D349), REGEXREPLACE(Filmes_raw!C349,""[^,]+$"",D349),Filmes_raw!C349))"),1.69708112E8)</f>
        <v>169708112</v>
      </c>
      <c r="F349" s="6">
        <f>IFERROR(__xludf.DUMMYFUNCTION("VALUE(REGEXEXTRACT(Filmes_raw!F349, ""[0-9]+""
))"),146.0)</f>
        <v>146</v>
      </c>
    </row>
    <row r="350">
      <c r="A350" s="1">
        <v>349.0</v>
      </c>
      <c r="B350" s="1" t="s">
        <v>2288</v>
      </c>
      <c r="C350" s="13" t="b">
        <f>IFERROR(__xludf.DUMMYFUNCTION("IF(ISTEXT(Filmes_raw!C350), REGEXEXTRACT(Filmes_raw!C350,""[^,]+$""))"),FALSE)</f>
        <v>0</v>
      </c>
      <c r="D350" s="1" t="b">
        <f t="shared" si="1"/>
        <v>0</v>
      </c>
      <c r="E350" s="14">
        <f>IFERROR(__xludf.DUMMYFUNCTION("VALUE(IF(ISTEXT(D350), REGEXREPLACE(Filmes_raw!C350,""[^,]+$"",D350),Filmes_raw!C350))"),3.63070709E8)</f>
        <v>363070709</v>
      </c>
      <c r="F350" s="6">
        <f>IFERROR(__xludf.DUMMYFUNCTION("VALUE(REGEXEXTRACT(Filmes_raw!F350, ""[0-9]+""
))"),108.0)</f>
        <v>108</v>
      </c>
    </row>
    <row r="351">
      <c r="A351" s="1">
        <v>350.0</v>
      </c>
      <c r="B351" s="1" t="s">
        <v>2295</v>
      </c>
      <c r="C351" s="13" t="b">
        <f>IFERROR(__xludf.DUMMYFUNCTION("IF(ISTEXT(Filmes_raw!C351), REGEXEXTRACT(Filmes_raw!C351,""[^,]+$""))"),FALSE)</f>
        <v>0</v>
      </c>
      <c r="D351" s="1" t="b">
        <f t="shared" si="1"/>
        <v>0</v>
      </c>
      <c r="E351" s="14">
        <f>IFERROR(__xludf.DUMMYFUNCTION("VALUE(IF(ISTEXT(D351), REGEXREPLACE(Filmes_raw!C351,""[^,]+$"",D351),Filmes_raw!C351))"),106662.0)</f>
        <v>106662</v>
      </c>
      <c r="F351" s="6">
        <f>IFERROR(__xludf.DUMMYFUNCTION("VALUE(REGEXEXTRACT(Filmes_raw!F351, ""[0-9]+""
))"),119.0)</f>
        <v>119</v>
      </c>
    </row>
    <row r="352">
      <c r="A352" s="1">
        <v>351.0</v>
      </c>
      <c r="B352" s="1" t="s">
        <v>2301</v>
      </c>
      <c r="C352" s="13" t="str">
        <f>IFERROR(__xludf.DUMMYFUNCTION("IF(ISTEXT(Filmes_raw!C352), REGEXEXTRACT(Filmes_raw!C352,""[^,]+$""))"),"95")</f>
        <v>95</v>
      </c>
      <c r="D352" s="1" t="str">
        <f t="shared" si="1"/>
        <v>950</v>
      </c>
      <c r="E352" s="14">
        <f>IFERROR(__xludf.DUMMYFUNCTION("VALUE(IF(ISTEXT(D352), REGEXREPLACE(Filmes_raw!C352,""[^,]+$"",D352),Filmes_raw!C352))"),10950.0)</f>
        <v>10950</v>
      </c>
      <c r="F352" s="6">
        <f>IFERROR(__xludf.DUMMYFUNCTION("VALUE(REGEXEXTRACT(Filmes_raw!F352, ""[0-9]+""
))"),144.0)</f>
        <v>144</v>
      </c>
    </row>
    <row r="353">
      <c r="A353" s="1">
        <v>352.0</v>
      </c>
      <c r="B353" s="1" t="s">
        <v>2306</v>
      </c>
      <c r="C353" s="13" t="b">
        <f>IFERROR(__xludf.DUMMYFUNCTION("IF(ISTEXT(Filmes_raw!C353), REGEXEXTRACT(Filmes_raw!C353,""[^,]+$""))"),FALSE)</f>
        <v>0</v>
      </c>
      <c r="D353" s="1" t="b">
        <f t="shared" si="1"/>
        <v>0</v>
      </c>
      <c r="E353" s="14">
        <f>IFERROR(__xludf.DUMMYFUNCTION("VALUE(IF(ISTEXT(D353), REGEXREPLACE(Filmes_raw!C353,""[^,]+$"",D353),Filmes_raw!C353))"),2.2108789E7)</f>
        <v>22108789</v>
      </c>
      <c r="F353" s="6">
        <f>IFERROR(__xludf.DUMMYFUNCTION("VALUE(REGEXEXTRACT(Filmes_raw!F353, ""[0-9]+""
))"),106.0)</f>
        <v>106</v>
      </c>
    </row>
    <row r="354">
      <c r="A354" s="1">
        <v>353.0</v>
      </c>
      <c r="B354" s="1" t="s">
        <v>2313</v>
      </c>
      <c r="C354" s="13" t="b">
        <f>IFERROR(__xludf.DUMMYFUNCTION("IF(ISTEXT(Filmes_raw!C354), REGEXEXTRACT(Filmes_raw!C354,""[^,]+$""))"),FALSE)</f>
        <v>0</v>
      </c>
      <c r="D354" s="1" t="b">
        <f t="shared" si="1"/>
        <v>0</v>
      </c>
      <c r="E354" s="14">
        <f>IFERROR(__xludf.DUMMYFUNCTION("VALUE(IF(ISTEXT(D354), REGEXREPLACE(Filmes_raw!C354,""[^,]+$"",D354),Filmes_raw!C354))"),4018695.0)</f>
        <v>4018695</v>
      </c>
      <c r="F354" s="6">
        <f>IFERROR(__xludf.DUMMYFUNCTION("VALUE(REGEXEXTRACT(Filmes_raw!F354, ""[0-9]+""
))"),165.0)</f>
        <v>165</v>
      </c>
    </row>
    <row r="355">
      <c r="A355" s="1">
        <v>354.0</v>
      </c>
      <c r="B355" s="1" t="s">
        <v>2318</v>
      </c>
      <c r="C355" s="13" t="b">
        <f>IFERROR(__xludf.DUMMYFUNCTION("IF(ISTEXT(Filmes_raw!C355), REGEXEXTRACT(Filmes_raw!C355,""[^,]+$""))"),FALSE)</f>
        <v>0</v>
      </c>
      <c r="D355" s="1" t="b">
        <f t="shared" si="1"/>
        <v>0</v>
      </c>
      <c r="E355" s="14">
        <f>IFERROR(__xludf.DUMMYFUNCTION("VALUE(IF(ISTEXT(D355), REGEXREPLACE(Filmes_raw!C355,""[^,]+$"",D355),Filmes_raw!C355))"),1.5291338E7)</f>
        <v>15291338</v>
      </c>
      <c r="F355" s="6">
        <f>IFERROR(__xludf.DUMMYFUNCTION("VALUE(REGEXEXTRACT(Filmes_raw!F355, ""[0-9]+""
))"),128.0)</f>
        <v>128</v>
      </c>
    </row>
    <row r="356">
      <c r="A356" s="1">
        <v>355.0</v>
      </c>
      <c r="B356" s="1" t="s">
        <v>2324</v>
      </c>
      <c r="C356" s="13" t="b">
        <f>IFERROR(__xludf.DUMMYFUNCTION("IF(ISTEXT(Filmes_raw!C356), REGEXEXTRACT(Filmes_raw!C356,""[^,]+$""))"),FALSE)</f>
        <v>0</v>
      </c>
      <c r="D356" s="1" t="b">
        <f t="shared" si="1"/>
        <v>0</v>
      </c>
      <c r="E356" s="14">
        <f>IFERROR(__xludf.DUMMYFUNCTION("VALUE(IF(ISTEXT(D356), REGEXREPLACE(Filmes_raw!C356,""[^,]+$"",D356),Filmes_raw!C356))"),1.41319928E8)</f>
        <v>141319928</v>
      </c>
      <c r="F356" s="6">
        <f>IFERROR(__xludf.DUMMYFUNCTION("VALUE(REGEXEXTRACT(Filmes_raw!F356, ""[0-9]+""
))"),120.0)</f>
        <v>120</v>
      </c>
    </row>
    <row r="357">
      <c r="A357" s="1">
        <v>356.0</v>
      </c>
      <c r="B357" s="1" t="s">
        <v>2328</v>
      </c>
      <c r="C357" s="13" t="b">
        <f>IFERROR(__xludf.DUMMYFUNCTION("IF(ISTEXT(Filmes_raw!C357), REGEXEXTRACT(Filmes_raw!C357,""[^,]+$""))"),FALSE)</f>
        <v>0</v>
      </c>
      <c r="D357" s="1" t="b">
        <f t="shared" si="1"/>
        <v>0</v>
      </c>
      <c r="E357" s="14">
        <f>IFERROR(__xludf.DUMMYFUNCTION("VALUE(IF(ISTEXT(D357), REGEXREPLACE(Filmes_raw!C357,""[^,]+$"",D357),Filmes_raw!C357))"),1.06954678E8)</f>
        <v>106954678</v>
      </c>
      <c r="F357" s="6">
        <f>IFERROR(__xludf.DUMMYFUNCTION("VALUE(REGEXEXTRACT(Filmes_raw!F357, ""[0-9]+""
))"),108.0)</f>
        <v>108</v>
      </c>
    </row>
    <row r="358">
      <c r="A358" s="1">
        <v>357.0</v>
      </c>
      <c r="B358" s="1" t="s">
        <v>2332</v>
      </c>
      <c r="C358" s="13" t="str">
        <f>IFERROR(__xludf.DUMMYFUNCTION("IF(ISTEXT(Filmes_raw!C358), REGEXEXTRACT(Filmes_raw!C358,""[^,]+$""))"),"06")</f>
        <v>06</v>
      </c>
      <c r="D358" s="1" t="str">
        <f t="shared" si="1"/>
        <v>060</v>
      </c>
      <c r="E358" s="14">
        <f>IFERROR(__xludf.DUMMYFUNCTION("VALUE(IF(ISTEXT(D358), REGEXREPLACE(Filmes_raw!C358,""[^,]+$"",D358),Filmes_raw!C358))"),8060.0)</f>
        <v>8060</v>
      </c>
      <c r="F358" s="6">
        <f>IFERROR(__xludf.DUMMYFUNCTION("VALUE(REGEXEXTRACT(Filmes_raw!F358, ""[0-9]+""
))"),115.0)</f>
        <v>115</v>
      </c>
    </row>
    <row r="359">
      <c r="A359" s="1">
        <v>358.0</v>
      </c>
      <c r="B359" s="1" t="s">
        <v>2336</v>
      </c>
      <c r="C359" s="13" t="b">
        <f>IFERROR(__xludf.DUMMYFUNCTION("IF(ISTEXT(Filmes_raw!C359), REGEXEXTRACT(Filmes_raw!C359,""[^,]+$""))"),FALSE)</f>
        <v>0</v>
      </c>
      <c r="D359" s="1" t="b">
        <f t="shared" si="1"/>
        <v>0</v>
      </c>
      <c r="E359" s="14">
        <f>IFERROR(__xludf.DUMMYFUNCTION("VALUE(IF(ISTEXT(D359), REGEXREPLACE(Filmes_raw!C359,""[^,]+$"",D359),Filmes_raw!C359))"),6.23279547E8)</f>
        <v>623279547</v>
      </c>
      <c r="F359" s="6">
        <f>IFERROR(__xludf.DUMMYFUNCTION("VALUE(REGEXEXTRACT(Filmes_raw!F359, ""[0-9]+""
))"),143.0)</f>
        <v>143</v>
      </c>
    </row>
    <row r="360">
      <c r="A360" s="1">
        <v>359.0</v>
      </c>
      <c r="B360" s="1" t="s">
        <v>2340</v>
      </c>
      <c r="C360" s="13" t="b">
        <f>IFERROR(__xludf.DUMMYFUNCTION("IF(ISTEXT(Filmes_raw!C360), REGEXEXTRACT(Filmes_raw!C360,""[^,]+$""))"),FALSE)</f>
        <v>0</v>
      </c>
      <c r="D360" s="1" t="b">
        <f t="shared" si="1"/>
        <v>0</v>
      </c>
      <c r="E360" s="14">
        <f>IFERROR(__xludf.DUMMYFUNCTION("VALUE(IF(ISTEXT(D360), REGEXREPLACE(Filmes_raw!C360,""[^,]+$"",D360),Filmes_raw!C360))"),4445756.0)</f>
        <v>4445756</v>
      </c>
      <c r="F360" s="6">
        <f>IFERROR(__xludf.DUMMYFUNCTION("VALUE(REGEXEXTRACT(Filmes_raw!F360, ""[0-9]+""
))"),96.0)</f>
        <v>96</v>
      </c>
    </row>
    <row r="361">
      <c r="A361" s="1">
        <v>360.0</v>
      </c>
      <c r="B361" s="1" t="s">
        <v>2348</v>
      </c>
      <c r="C361" s="13" t="b">
        <f>IFERROR(__xludf.DUMMYFUNCTION("IF(ISTEXT(Filmes_raw!C361), REGEXEXTRACT(Filmes_raw!C361,""[^,]+$""))"),FALSE)</f>
        <v>0</v>
      </c>
      <c r="D361" s="1" t="b">
        <f t="shared" si="1"/>
        <v>0</v>
      </c>
      <c r="E361" s="14">
        <f>IFERROR(__xludf.DUMMYFUNCTION("VALUE(IF(ISTEXT(D361), REGEXREPLACE(Filmes_raw!C361,""[^,]+$"",D361),Filmes_raw!C361))"),2.7298285E7)</f>
        <v>27298285</v>
      </c>
      <c r="F361" s="6">
        <f>IFERROR(__xludf.DUMMYFUNCTION("VALUE(REGEXEXTRACT(Filmes_raw!F361, ""[0-9]+""
))"),117.0)</f>
        <v>117</v>
      </c>
    </row>
    <row r="362">
      <c r="A362" s="1">
        <v>361.0</v>
      </c>
      <c r="B362" s="1" t="s">
        <v>2353</v>
      </c>
      <c r="C362" s="13" t="b">
        <f>IFERROR(__xludf.DUMMYFUNCTION("IF(ISTEXT(Filmes_raw!C362), REGEXEXTRACT(Filmes_raw!C362,""[^,]+$""))"),FALSE)</f>
        <v>0</v>
      </c>
      <c r="D362" s="1" t="b">
        <f t="shared" si="1"/>
        <v>0</v>
      </c>
      <c r="E362" s="14">
        <f>IFERROR(__xludf.DUMMYFUNCTION("VALUE(IF(ISTEXT(D362), REGEXREPLACE(Filmes_raw!C362,""[^,]+$"",D362),Filmes_raw!C362))"),1.63566459E8)</f>
        <v>163566459</v>
      </c>
      <c r="F362" s="6">
        <f>IFERROR(__xludf.DUMMYFUNCTION("VALUE(REGEXEXTRACT(Filmes_raw!F362, ""[0-9]+""
))"),117.0)</f>
        <v>117</v>
      </c>
    </row>
    <row r="363">
      <c r="A363" s="1">
        <v>362.0</v>
      </c>
      <c r="B363" s="1" t="s">
        <v>2360</v>
      </c>
      <c r="C363" s="13" t="b">
        <f>IFERROR(__xludf.DUMMYFUNCTION("IF(ISTEXT(Filmes_raw!C363), REGEXEXTRACT(Filmes_raw!C363,""[^,]+$""))"),FALSE)</f>
        <v>0</v>
      </c>
      <c r="D363" s="1" t="b">
        <f t="shared" si="1"/>
        <v>0</v>
      </c>
      <c r="E363" s="14">
        <f>IFERROR(__xludf.DUMMYFUNCTION("VALUE(IF(ISTEXT(D363), REGEXREPLACE(Filmes_raw!C363,""[^,]+$"",D363),Filmes_raw!C363))"),5.7366262E7)</f>
        <v>57366262</v>
      </c>
      <c r="F363" s="6">
        <f>IFERROR(__xludf.DUMMYFUNCTION("VALUE(REGEXEXTRACT(Filmes_raw!F363, ""[0-9]+""
))"),143.0)</f>
        <v>143</v>
      </c>
    </row>
    <row r="364">
      <c r="A364" s="1">
        <v>363.0</v>
      </c>
      <c r="B364" s="1" t="s">
        <v>2365</v>
      </c>
      <c r="C364" s="13" t="b">
        <f>IFERROR(__xludf.DUMMYFUNCTION("IF(ISTEXT(Filmes_raw!C364), REGEXEXTRACT(Filmes_raw!C364,""[^,]+$""))"),FALSE)</f>
        <v>0</v>
      </c>
      <c r="D364" s="1" t="b">
        <f t="shared" si="1"/>
        <v>0</v>
      </c>
      <c r="E364" s="14">
        <f>IFERROR(__xludf.DUMMYFUNCTION("VALUE(IF(ISTEXT(D364), REGEXREPLACE(Filmes_raw!C364,""[^,]+$"",D364),Filmes_raw!C364))"),2.2747107E8)</f>
        <v>227471070</v>
      </c>
      <c r="F364" s="6">
        <f>IFERROR(__xludf.DUMMYFUNCTION("VALUE(REGEXEXTRACT(Filmes_raw!F364, ""[0-9]+""
))"),115.0)</f>
        <v>115</v>
      </c>
    </row>
    <row r="365">
      <c r="A365" s="1">
        <v>364.0</v>
      </c>
      <c r="B365" s="1" t="s">
        <v>2371</v>
      </c>
      <c r="C365" s="13" t="b">
        <f>IFERROR(__xludf.DUMMYFUNCTION("IF(ISTEXT(Filmes_raw!C365), REGEXEXTRACT(Filmes_raw!C365,""[^,]+$""))"),FALSE)</f>
        <v>0</v>
      </c>
      <c r="D365" s="1" t="b">
        <f t="shared" si="1"/>
        <v>0</v>
      </c>
      <c r="E365" s="14">
        <f>IFERROR(__xludf.DUMMYFUNCTION("VALUE(IF(ISTEXT(D365), REGEXREPLACE(Filmes_raw!C365,""[^,]+$"",D365),Filmes_raw!C365))"),238507.0)</f>
        <v>238507</v>
      </c>
      <c r="F365" s="6">
        <f>IFERROR(__xludf.DUMMYFUNCTION("VALUE(REGEXEXTRACT(Filmes_raw!F365, ""[0-9]+""
))"),88.0)</f>
        <v>88</v>
      </c>
    </row>
    <row r="366">
      <c r="A366" s="1">
        <v>365.0</v>
      </c>
      <c r="B366" s="1" t="s">
        <v>2379</v>
      </c>
      <c r="C366" s="13" t="b">
        <f>IFERROR(__xludf.DUMMYFUNCTION("IF(ISTEXT(Filmes_raw!C366), REGEXEXTRACT(Filmes_raw!C366,""[^,]+$""))"),FALSE)</f>
        <v>0</v>
      </c>
      <c r="D366" s="1" t="b">
        <f t="shared" si="1"/>
        <v>0</v>
      </c>
      <c r="E366" s="14">
        <f>IFERROR(__xludf.DUMMYFUNCTION("VALUE(IF(ISTEXT(D366), REGEXREPLACE(Filmes_raw!C366,""[^,]+$"",D366),Filmes_raw!C366))"),7.410382E7)</f>
        <v>74103820</v>
      </c>
      <c r="F366" s="6">
        <f>IFERROR(__xludf.DUMMYFUNCTION("VALUE(REGEXEXTRACT(Filmes_raw!F366, ""[0-9]+""
))"),124.0)</f>
        <v>124</v>
      </c>
    </row>
    <row r="367">
      <c r="A367" s="1">
        <v>366.0</v>
      </c>
      <c r="B367" s="1" t="s">
        <v>2385</v>
      </c>
      <c r="C367" s="13" t="b">
        <f>IFERROR(__xludf.DUMMYFUNCTION("IF(ISTEXT(Filmes_raw!C367), REGEXEXTRACT(Filmes_raw!C367,""[^,]+$""))"),FALSE)</f>
        <v>0</v>
      </c>
      <c r="D367" s="1" t="b">
        <f t="shared" si="1"/>
        <v>0</v>
      </c>
      <c r="E367" s="14">
        <f>IFERROR(__xludf.DUMMYFUNCTION("VALUE(IF(ISTEXT(D367), REGEXREPLACE(Filmes_raw!C367,""[^,]+$"",D367),Filmes_raw!C367))"),5990075.0)</f>
        <v>5990075</v>
      </c>
      <c r="F367" s="6">
        <f>IFERROR(__xludf.DUMMYFUNCTION("VALUE(REGEXEXTRACT(Filmes_raw!F367, ""[0-9]+""
))"),112.0)</f>
        <v>112</v>
      </c>
    </row>
    <row r="368">
      <c r="A368" s="1">
        <v>367.0</v>
      </c>
      <c r="B368" s="1" t="s">
        <v>2391</v>
      </c>
      <c r="C368" s="13" t="b">
        <f>IFERROR(__xludf.DUMMYFUNCTION("IF(ISTEXT(Filmes_raw!C368), REGEXEXTRACT(Filmes_raw!C368,""[^,]+$""))"),FALSE)</f>
        <v>0</v>
      </c>
      <c r="D368" s="1" t="b">
        <f t="shared" si="1"/>
        <v>0</v>
      </c>
      <c r="E368" s="14">
        <f>IFERROR(__xludf.DUMMYFUNCTION("VALUE(IF(ISTEXT(D368), REGEXREPLACE(Filmes_raw!C368,""[^,]+$"",D368),Filmes_raw!C368))"),2.0839049E7)</f>
        <v>20839049</v>
      </c>
      <c r="F368" s="6">
        <f>IFERROR(__xludf.DUMMYFUNCTION("VALUE(REGEXEXTRACT(Filmes_raw!F368, ""[0-9]+""
))"),127.0)</f>
        <v>127</v>
      </c>
    </row>
    <row r="369">
      <c r="A369" s="1">
        <v>368.0</v>
      </c>
      <c r="B369" s="1" t="s">
        <v>2398</v>
      </c>
      <c r="C369" s="13" t="b">
        <f>IFERROR(__xludf.DUMMYFUNCTION("IF(ISTEXT(Filmes_raw!C369), REGEXEXTRACT(Filmes_raw!C369,""[^,]+$""))"),FALSE)</f>
        <v>0</v>
      </c>
      <c r="D369" s="1" t="b">
        <f t="shared" si="1"/>
        <v>0</v>
      </c>
      <c r="E369" s="14">
        <f>IFERROR(__xludf.DUMMYFUNCTION("VALUE(IF(ISTEXT(D369), REGEXREPLACE(Filmes_raw!C369,""[^,]+$"",D369),Filmes_raw!C369))"),2.06445654E8)</f>
        <v>206445654</v>
      </c>
      <c r="F369" s="6">
        <f>IFERROR(__xludf.DUMMYFUNCTION("VALUE(REGEXEXTRACT(Filmes_raw!F369, ""[0-9]+""
))"),111.0)</f>
        <v>111</v>
      </c>
    </row>
    <row r="370">
      <c r="A370" s="1">
        <v>369.0</v>
      </c>
      <c r="B370" s="1" t="s">
        <v>2405</v>
      </c>
      <c r="C370" s="13" t="b">
        <f>IFERROR(__xludf.DUMMYFUNCTION("IF(ISTEXT(Filmes_raw!C370), REGEXEXTRACT(Filmes_raw!C370,""[^,]+$""))"),FALSE)</f>
        <v>0</v>
      </c>
      <c r="D370" s="1" t="b">
        <f t="shared" si="1"/>
        <v>0</v>
      </c>
      <c r="E370" s="14">
        <f>IFERROR(__xludf.DUMMYFUNCTION("VALUE(IF(ISTEXT(D370), REGEXREPLACE(Filmes_raw!C370,""[^,]+$"",D370),Filmes_raw!C370))"),1.6744596E8)</f>
        <v>167445960</v>
      </c>
      <c r="F370" s="6">
        <f>IFERROR(__xludf.DUMMYFUNCTION("VALUE(REGEXEXTRACT(Filmes_raw!F370, ""[0-9]+""
))"),144.0)</f>
        <v>144</v>
      </c>
    </row>
    <row r="371">
      <c r="A371" s="1">
        <v>370.0</v>
      </c>
      <c r="B371" s="1" t="s">
        <v>2413</v>
      </c>
      <c r="C371" s="13" t="b">
        <f>IFERROR(__xludf.DUMMYFUNCTION("IF(ISTEXT(Filmes_raw!C371), REGEXEXTRACT(Filmes_raw!C371,""[^,]+$""))"),FALSE)</f>
        <v>0</v>
      </c>
      <c r="D371" s="1" t="b">
        <f t="shared" si="1"/>
        <v>0</v>
      </c>
      <c r="E371" s="14">
        <f>IFERROR(__xludf.DUMMYFUNCTION("VALUE(IF(ISTEXT(D371), REGEXREPLACE(Filmes_raw!C371,""[^,]+$"",D371),Filmes_raw!C371))"),6.6208183E7)</f>
        <v>66208183</v>
      </c>
      <c r="F371" s="6">
        <f>IFERROR(__xludf.DUMMYFUNCTION("VALUE(REGEXEXTRACT(Filmes_raw!F371, ""[0-9]+""
))"),137.0)</f>
        <v>137</v>
      </c>
    </row>
    <row r="372">
      <c r="A372" s="1">
        <v>371.0</v>
      </c>
      <c r="B372" s="1" t="s">
        <v>2415</v>
      </c>
      <c r="C372" s="13" t="b">
        <f>IFERROR(__xludf.DUMMYFUNCTION("IF(ISTEXT(Filmes_raw!C372), REGEXEXTRACT(Filmes_raw!C372,""[^,]+$""))"),FALSE)</f>
        <v>0</v>
      </c>
      <c r="D372" s="1" t="b">
        <f t="shared" si="1"/>
        <v>0</v>
      </c>
      <c r="E372" s="14">
        <f>IFERROR(__xludf.DUMMYFUNCTION("VALUE(IF(ISTEXT(D372), REGEXREPLACE(Filmes_raw!C372,""[^,]+$"",D372),Filmes_raw!C372))"),502028.0)</f>
        <v>502028</v>
      </c>
      <c r="F372" s="6">
        <f>IFERROR(__xludf.DUMMYFUNCTION("VALUE(REGEXEXTRACT(Filmes_raw!F372, ""[0-9]+""
))"),110.0)</f>
        <v>110</v>
      </c>
    </row>
    <row r="373">
      <c r="A373" s="1">
        <v>372.0</v>
      </c>
      <c r="B373" s="1" t="s">
        <v>2422</v>
      </c>
      <c r="C373" s="13" t="b">
        <f>IFERROR(__xludf.DUMMYFUNCTION("IF(ISTEXT(Filmes_raw!C373), REGEXEXTRACT(Filmes_raw!C373,""[^,]+$""))"),FALSE)</f>
        <v>0</v>
      </c>
      <c r="D373" s="1" t="b">
        <f t="shared" si="1"/>
        <v>0</v>
      </c>
      <c r="E373" s="14">
        <f>IFERROR(__xludf.DUMMYFUNCTION("VALUE(IF(ISTEXT(D373), REGEXREPLACE(Filmes_raw!C373,""[^,]+$"",D373),Filmes_raw!C373))"),2380788.0)</f>
        <v>2380788</v>
      </c>
      <c r="F373" s="6">
        <f>IFERROR(__xludf.DUMMYFUNCTION("VALUE(REGEXEXTRACT(Filmes_raw!F373, ""[0-9]+""
))"),103.0)</f>
        <v>103</v>
      </c>
    </row>
    <row r="374">
      <c r="A374" s="1">
        <v>373.0</v>
      </c>
      <c r="B374" s="1" t="s">
        <v>2427</v>
      </c>
      <c r="C374" s="13" t="b">
        <f>IFERROR(__xludf.DUMMYFUNCTION("IF(ISTEXT(Filmes_raw!C374), REGEXEXTRACT(Filmes_raw!C374,""[^,]+$""))"),FALSE)</f>
        <v>0</v>
      </c>
      <c r="D374" s="1" t="b">
        <f t="shared" si="1"/>
        <v>0</v>
      </c>
      <c r="E374" s="14">
        <f>IFERROR(__xludf.DUMMYFUNCTION("VALUE(IF(ISTEXT(D374), REGEXREPLACE(Filmes_raw!C374,""[^,]+$"",D374),Filmes_raw!C374))"),2086345.0)</f>
        <v>2086345</v>
      </c>
      <c r="F374" s="6">
        <f>IFERROR(__xludf.DUMMYFUNCTION("VALUE(REGEXEXTRACT(Filmes_raw!F374, ""[0-9]+""
))"),126.0)</f>
        <v>126</v>
      </c>
    </row>
    <row r="375">
      <c r="A375" s="1">
        <v>374.0</v>
      </c>
      <c r="B375" s="1" t="s">
        <v>2433</v>
      </c>
      <c r="C375" s="13" t="b">
        <f>IFERROR(__xludf.DUMMYFUNCTION("IF(ISTEXT(Filmes_raw!C375), REGEXEXTRACT(Filmes_raw!C375,""[^,]+$""))"),FALSE)</f>
        <v>0</v>
      </c>
      <c r="D375" s="1" t="b">
        <f t="shared" si="1"/>
        <v>0</v>
      </c>
      <c r="E375" s="14">
        <f>IFERROR(__xludf.DUMMYFUNCTION("VALUE(IF(ISTEXT(D375), REGEXREPLACE(Filmes_raw!C375,""[^,]+$"",D375),Filmes_raw!C375))"),6.1649911E7)</f>
        <v>61649911</v>
      </c>
      <c r="F375" s="6">
        <f>IFERROR(__xludf.DUMMYFUNCTION("VALUE(REGEXEXTRACT(Filmes_raw!F375, ""[0-9]+""
))"),144.0)</f>
        <v>144</v>
      </c>
    </row>
    <row r="376">
      <c r="A376" s="1">
        <v>375.0</v>
      </c>
      <c r="B376" s="1" t="s">
        <v>2438</v>
      </c>
      <c r="C376" s="13" t="b">
        <f>IFERROR(__xludf.DUMMYFUNCTION("IF(ISTEXT(Filmes_raw!C376), REGEXEXTRACT(Filmes_raw!C376,""[^,]+$""))"),FALSE)</f>
        <v>0</v>
      </c>
      <c r="D376" s="1" t="b">
        <f t="shared" si="1"/>
        <v>0</v>
      </c>
      <c r="E376" s="14">
        <f>IFERROR(__xludf.DUMMYFUNCTION("VALUE(IF(ISTEXT(D376), REGEXREPLACE(Filmes_raw!C376,""[^,]+$"",D376),Filmes_raw!C376))"),1787378.0)</f>
        <v>1787378</v>
      </c>
      <c r="F376" s="6">
        <f>IFERROR(__xludf.DUMMYFUNCTION("VALUE(REGEXEXTRACT(Filmes_raw!F376, ""[0-9]+""
))"),186.0)</f>
        <v>186</v>
      </c>
    </row>
    <row r="377">
      <c r="A377" s="1">
        <v>376.0</v>
      </c>
      <c r="B377" s="1" t="s">
        <v>2442</v>
      </c>
      <c r="C377" s="13" t="b">
        <f>IFERROR(__xludf.DUMMYFUNCTION("IF(ISTEXT(Filmes_raw!C377), REGEXEXTRACT(Filmes_raw!C377,""[^,]+$""))"),FALSE)</f>
        <v>0</v>
      </c>
      <c r="D377" s="1" t="b">
        <f t="shared" si="1"/>
        <v>0</v>
      </c>
      <c r="E377" s="14">
        <f>IFERROR(__xludf.DUMMYFUNCTION("VALUE(IF(ISTEXT(D377), REGEXREPLACE(Filmes_raw!C377,""[^,]+$"",D377),Filmes_raw!C377))"),169659.0)</f>
        <v>169659</v>
      </c>
      <c r="F377" s="6">
        <f>IFERROR(__xludf.DUMMYFUNCTION("VALUE(REGEXEXTRACT(Filmes_raw!F377, ""[0-9]+""
))"),101.0)</f>
        <v>101</v>
      </c>
    </row>
    <row r="378">
      <c r="A378" s="1">
        <v>377.0</v>
      </c>
      <c r="B378" s="1" t="s">
        <v>2448</v>
      </c>
      <c r="C378" s="13" t="b">
        <f>IFERROR(__xludf.DUMMYFUNCTION("IF(ISTEXT(Filmes_raw!C378), REGEXEXTRACT(Filmes_raw!C378,""[^,]+$""))"),FALSE)</f>
        <v>0</v>
      </c>
      <c r="D378" s="1" t="b">
        <f t="shared" si="1"/>
        <v>0</v>
      </c>
      <c r="E378" s="14">
        <f>IFERROR(__xludf.DUMMYFUNCTION("VALUE(IF(ISTEXT(D378), REGEXREPLACE(Filmes_raw!C378,""[^,]+$"",D378),Filmes_raw!C378))"),3.05413918E8)</f>
        <v>305413918</v>
      </c>
      <c r="F378" s="6">
        <f>IFERROR(__xludf.DUMMYFUNCTION("VALUE(REGEXEXTRACT(Filmes_raw!F378, ""[0-9]+""
))"),143.0)</f>
        <v>143</v>
      </c>
    </row>
    <row r="379">
      <c r="A379" s="1">
        <v>378.0</v>
      </c>
      <c r="B379" s="1" t="s">
        <v>2452</v>
      </c>
      <c r="C379" s="13" t="b">
        <f>IFERROR(__xludf.DUMMYFUNCTION("IF(ISTEXT(Filmes_raw!C379), REGEXEXTRACT(Filmes_raw!C379,""[^,]+$""))"),FALSE)</f>
        <v>0</v>
      </c>
      <c r="D379" s="1" t="b">
        <f t="shared" si="1"/>
        <v>0</v>
      </c>
      <c r="E379" s="14">
        <f>IFERROR(__xludf.DUMMYFUNCTION("VALUE(IF(ISTEXT(D379), REGEXREPLACE(Filmes_raw!C379,""[^,]+$"",D379),Filmes_raw!C379))"),6.6257002E7)</f>
        <v>66257002</v>
      </c>
      <c r="F379" s="6">
        <f>IFERROR(__xludf.DUMMYFUNCTION("VALUE(REGEXEXTRACT(Filmes_raw!F379, ""[0-9]+""
))"),125.0)</f>
        <v>125</v>
      </c>
    </row>
    <row r="380">
      <c r="A380" s="1">
        <v>379.0</v>
      </c>
      <c r="B380" s="1" t="s">
        <v>2457</v>
      </c>
      <c r="C380" s="13" t="b">
        <f>IFERROR(__xludf.DUMMYFUNCTION("IF(ISTEXT(Filmes_raw!C380), REGEXEXTRACT(Filmes_raw!C380,""[^,]+$""))"),FALSE)</f>
        <v>0</v>
      </c>
      <c r="D380" s="1" t="b">
        <f t="shared" si="1"/>
        <v>0</v>
      </c>
      <c r="E380" s="14">
        <f>IFERROR(__xludf.DUMMYFUNCTION("VALUE(IF(ISTEXT(D380), REGEXREPLACE(Filmes_raw!C380,""[^,]+$"",D380),Filmes_raw!C380))"),2.61441092E8)</f>
        <v>261441092</v>
      </c>
      <c r="F380" s="6">
        <f>IFERROR(__xludf.DUMMYFUNCTION("VALUE(REGEXEXTRACT(Filmes_raw!F380, ""[0-9]+""
))"),115.0)</f>
        <v>115</v>
      </c>
    </row>
    <row r="381">
      <c r="A381" s="1">
        <v>380.0</v>
      </c>
      <c r="B381" s="1" t="s">
        <v>2462</v>
      </c>
      <c r="C381" s="13" t="b">
        <f>IFERROR(__xludf.DUMMYFUNCTION("IF(ISTEXT(Filmes_raw!C381), REGEXEXTRACT(Filmes_raw!C381,""[^,]+$""))"),FALSE)</f>
        <v>0</v>
      </c>
      <c r="D381" s="1" t="b">
        <f t="shared" si="1"/>
        <v>0</v>
      </c>
      <c r="E381" s="14">
        <f>IFERROR(__xludf.DUMMYFUNCTION("VALUE(IF(ISTEXT(D381), REGEXREPLACE(Filmes_raw!C381,""[^,]+$"",D381),Filmes_raw!C381))"),365429.0)</f>
        <v>365429</v>
      </c>
      <c r="F381" s="6">
        <f>IFERROR(__xludf.DUMMYFUNCTION("VALUE(REGEXEXTRACT(Filmes_raw!F381, ""[0-9]+""
))"),137.0)</f>
        <v>137</v>
      </c>
    </row>
    <row r="382">
      <c r="A382" s="1">
        <v>381.0</v>
      </c>
      <c r="B382" s="1" t="s">
        <v>2469</v>
      </c>
      <c r="C382" s="13" t="b">
        <f>IFERROR(__xludf.DUMMYFUNCTION("IF(ISTEXT(Filmes_raw!C382), REGEXEXTRACT(Filmes_raw!C382,""[^,]+$""))"),FALSE)</f>
        <v>0</v>
      </c>
      <c r="D382" s="1" t="b">
        <f t="shared" si="1"/>
        <v>0</v>
      </c>
      <c r="E382" s="14">
        <f>IFERROR(__xludf.DUMMYFUNCTION("VALUE(IF(ISTEXT(D382), REGEXREPLACE(Filmes_raw!C382,""[^,]+$"",D382),Filmes_raw!C382))"),1530386.0)</f>
        <v>1530386</v>
      </c>
      <c r="F382" s="6">
        <f>IFERROR(__xludf.DUMMYFUNCTION("VALUE(REGEXEXTRACT(Filmes_raw!F382, ""[0-9]+""
))"),178.0)</f>
        <v>178</v>
      </c>
    </row>
    <row r="383">
      <c r="A383" s="1">
        <v>382.0</v>
      </c>
      <c r="B383" s="1" t="s">
        <v>2474</v>
      </c>
      <c r="C383" s="13" t="b">
        <f>IFERROR(__xludf.DUMMYFUNCTION("IF(ISTEXT(Filmes_raw!C383), REGEXEXTRACT(Filmes_raw!C383,""[^,]+$""))"),FALSE)</f>
        <v>0</v>
      </c>
      <c r="D383" s="1" t="b">
        <f t="shared" si="1"/>
        <v>0</v>
      </c>
      <c r="E383" s="14">
        <f>IFERROR(__xludf.DUMMYFUNCTION("VALUE(IF(ISTEXT(D383), REGEXREPLACE(Filmes_raw!C383,""[^,]+$"",D383),Filmes_raw!C383))"),968318.0)</f>
        <v>968318</v>
      </c>
      <c r="F383" s="6">
        <f>IFERROR(__xludf.DUMMYFUNCTION("VALUE(REGEXEXTRACT(Filmes_raw!F383, ""[0-9]+""
))"),110.0)</f>
        <v>110</v>
      </c>
    </row>
    <row r="384">
      <c r="A384" s="1">
        <v>383.0</v>
      </c>
      <c r="B384" s="1" t="s">
        <v>2478</v>
      </c>
      <c r="C384" s="13" t="b">
        <f>IFERROR(__xludf.DUMMYFUNCTION("IF(ISTEXT(Filmes_raw!C384), REGEXEXTRACT(Filmes_raw!C384,""[^,]+$""))"),FALSE)</f>
        <v>0</v>
      </c>
      <c r="D384" s="1" t="b">
        <f t="shared" si="1"/>
        <v>0</v>
      </c>
      <c r="E384" s="14">
        <f>IFERROR(__xludf.DUMMYFUNCTION("VALUE(IF(ISTEXT(D384), REGEXREPLACE(Filmes_raw!C384,""[^,]+$"",D384),Filmes_raw!C384))"),1480006.0)</f>
        <v>1480006</v>
      </c>
      <c r="F384" s="6">
        <f>IFERROR(__xludf.DUMMYFUNCTION("VALUE(REGEXEXTRACT(Filmes_raw!F384, ""[0-9]+""
))"),113.0)</f>
        <v>113</v>
      </c>
    </row>
    <row r="385">
      <c r="A385" s="1">
        <v>384.0</v>
      </c>
      <c r="B385" s="1" t="s">
        <v>2484</v>
      </c>
      <c r="C385" s="13" t="b">
        <f>IFERROR(__xludf.DUMMYFUNCTION("IF(ISTEXT(Filmes_raw!C385), REGEXEXTRACT(Filmes_raw!C385,""[^,]+$""))"),FALSE)</f>
        <v>0</v>
      </c>
      <c r="D385" s="1" t="b">
        <f t="shared" si="1"/>
        <v>0</v>
      </c>
      <c r="E385" s="14">
        <f>IFERROR(__xludf.DUMMYFUNCTION("VALUE(IF(ISTEXT(D385), REGEXREPLACE(Filmes_raw!C385,""[^,]+$"",D385),Filmes_raw!C385))"),2.2455976E7)</f>
        <v>22455976</v>
      </c>
      <c r="F385" s="6">
        <f>IFERROR(__xludf.DUMMYFUNCTION("VALUE(REGEXEXTRACT(Filmes_raw!F385, ""[0-9]+""
))"),188.0)</f>
        <v>188</v>
      </c>
    </row>
    <row r="386">
      <c r="A386" s="1">
        <v>385.0</v>
      </c>
      <c r="B386" s="1" t="s">
        <v>2487</v>
      </c>
      <c r="C386" s="13" t="b">
        <f>IFERROR(__xludf.DUMMYFUNCTION("IF(ISTEXT(Filmes_raw!C386), REGEXEXTRACT(Filmes_raw!C386,""[^,]+$""))"),FALSE)</f>
        <v>0</v>
      </c>
      <c r="D386" s="1" t="b">
        <f t="shared" si="1"/>
        <v>0</v>
      </c>
      <c r="E386" s="14">
        <f>IFERROR(__xludf.DUMMYFUNCTION("VALUE(IF(ISTEXT(D386), REGEXREPLACE(Filmes_raw!C386,""[^,]+$"",D386),Filmes_raw!C386))"),4184036.0)</f>
        <v>4184036</v>
      </c>
      <c r="F386" s="6">
        <f>IFERROR(__xludf.DUMMYFUNCTION("VALUE(REGEXEXTRACT(Filmes_raw!F386, ""[0-9]+""
))"),140.0)</f>
        <v>140</v>
      </c>
    </row>
    <row r="387">
      <c r="A387" s="1">
        <v>386.0</v>
      </c>
      <c r="B387" s="1" t="s">
        <v>2492</v>
      </c>
      <c r="C387" s="13" t="b">
        <f>IFERROR(__xludf.DUMMYFUNCTION("IF(ISTEXT(Filmes_raw!C387), REGEXEXTRACT(Filmes_raw!C387,""[^,]+$""))"),FALSE)</f>
        <v>0</v>
      </c>
      <c r="D387" s="1" t="b">
        <f t="shared" si="1"/>
        <v>0</v>
      </c>
      <c r="E387" s="14">
        <f>IFERROR(__xludf.DUMMYFUNCTION("VALUE(IF(ISTEXT(D387), REGEXREPLACE(Filmes_raw!C387,""[^,]+$"",D387),Filmes_raw!C387))"),6203044.0)</f>
        <v>6203044</v>
      </c>
      <c r="F387" s="6">
        <f>IFERROR(__xludf.DUMMYFUNCTION("VALUE(REGEXEXTRACT(Filmes_raw!F387, ""[0-9]+""
))"),112.0)</f>
        <v>112</v>
      </c>
    </row>
    <row r="388">
      <c r="A388" s="1">
        <v>387.0</v>
      </c>
      <c r="B388" s="1" t="s">
        <v>2498</v>
      </c>
      <c r="C388" s="13" t="b">
        <f>IFERROR(__xludf.DUMMYFUNCTION("IF(ISTEXT(Filmes_raw!C388), REGEXEXTRACT(Filmes_raw!C388,""[^,]+$""))"),FALSE)</f>
        <v>0</v>
      </c>
      <c r="D388" s="1" t="b">
        <f t="shared" si="1"/>
        <v>0</v>
      </c>
      <c r="E388" s="14">
        <f>IFERROR(__xludf.DUMMYFUNCTION("VALUE(IF(ISTEXT(D388), REGEXREPLACE(Filmes_raw!C388,""[^,]+$"",D388),Filmes_raw!C388))"),776665.0)</f>
        <v>776665</v>
      </c>
      <c r="F388" s="6">
        <f>IFERROR(__xludf.DUMMYFUNCTION("VALUE(REGEXEXTRACT(Filmes_raw!F388, ""[0-9]+""
))"),81.0)</f>
        <v>81</v>
      </c>
    </row>
    <row r="389">
      <c r="A389" s="1">
        <v>388.0</v>
      </c>
      <c r="B389" s="1" t="s">
        <v>2506</v>
      </c>
      <c r="C389" s="13" t="b">
        <f>IFERROR(__xludf.DUMMYFUNCTION("IF(ISTEXT(Filmes_raw!C389), REGEXEXTRACT(Filmes_raw!C389,""[^,]+$""))"),FALSE)</f>
        <v>0</v>
      </c>
      <c r="D389" s="1" t="b">
        <f t="shared" si="1"/>
        <v>0</v>
      </c>
      <c r="E389" s="14">
        <f>IFERROR(__xludf.DUMMYFUNCTION("VALUE(IF(ISTEXT(D389), REGEXREPLACE(Filmes_raw!C389,""[^,]+$"",D389),Filmes_raw!C389))"),1647780.0)</f>
        <v>1647780</v>
      </c>
      <c r="F389" s="6">
        <f>IFERROR(__xludf.DUMMYFUNCTION("VALUE(REGEXEXTRACT(Filmes_raw!F389, ""[0-9]+""
))"),105.0)</f>
        <v>105</v>
      </c>
    </row>
    <row r="390">
      <c r="A390" s="1">
        <v>389.0</v>
      </c>
      <c r="B390" s="1" t="s">
        <v>2511</v>
      </c>
      <c r="C390" s="13" t="b">
        <f>IFERROR(__xludf.DUMMYFUNCTION("IF(ISTEXT(Filmes_raw!C390), REGEXEXTRACT(Filmes_raw!C390,""[^,]+$""))"),FALSE)</f>
        <v>0</v>
      </c>
      <c r="D390" s="1" t="b">
        <f t="shared" si="1"/>
        <v>0</v>
      </c>
      <c r="E390" s="14">
        <f>IFERROR(__xludf.DUMMYFUNCTION("VALUE(IF(ISTEXT(D390), REGEXREPLACE(Filmes_raw!C390,""[^,]+$"",D390),Filmes_raw!C390))"),5595428.0)</f>
        <v>5595428</v>
      </c>
      <c r="F390" s="6">
        <f>IFERROR(__xludf.DUMMYFUNCTION("VALUE(REGEXEXTRACT(Filmes_raw!F390, ""[0-9]+""
))"),110.0)</f>
        <v>110</v>
      </c>
    </row>
    <row r="391">
      <c r="A391" s="1">
        <v>390.0</v>
      </c>
      <c r="B391" s="1" t="s">
        <v>2518</v>
      </c>
      <c r="C391" s="13" t="b">
        <f>IFERROR(__xludf.DUMMYFUNCTION("IF(ISTEXT(Filmes_raw!C391), REGEXEXTRACT(Filmes_raw!C391,""[^,]+$""))"),FALSE)</f>
        <v>0</v>
      </c>
      <c r="D391" s="1" t="b">
        <f t="shared" si="1"/>
        <v>0</v>
      </c>
      <c r="E391" s="14">
        <f>IFERROR(__xludf.DUMMYFUNCTION("VALUE(IF(ISTEXT(D391), REGEXREPLACE(Filmes_raw!C391,""[^,]+$"",D391),Filmes_raw!C391))"),2.3159305E7)</f>
        <v>23159305</v>
      </c>
      <c r="F391" s="6">
        <f>IFERROR(__xludf.DUMMYFUNCTION("VALUE(REGEXEXTRACT(Filmes_raw!F391, ""[0-9]+""
))"),86.0)</f>
        <v>86</v>
      </c>
    </row>
    <row r="392">
      <c r="A392" s="1">
        <v>391.0</v>
      </c>
      <c r="B392" s="1" t="s">
        <v>2523</v>
      </c>
      <c r="C392" s="13" t="b">
        <f>IFERROR(__xludf.DUMMYFUNCTION("IF(ISTEXT(Filmes_raw!C392), REGEXEXTRACT(Filmes_raw!C392,""[^,]+$""))"),FALSE)</f>
        <v>0</v>
      </c>
      <c r="D392" s="1" t="b">
        <f t="shared" si="1"/>
        <v>0</v>
      </c>
      <c r="E392" s="14">
        <f>IFERROR(__xludf.DUMMYFUNCTION("VALUE(IF(ISTEXT(D392), REGEXREPLACE(Filmes_raw!C392,""[^,]+$"",D392),Filmes_raw!C392))"),3296.0)</f>
        <v>3296</v>
      </c>
      <c r="F392" s="6">
        <f>IFERROR(__xludf.DUMMYFUNCTION("VALUE(REGEXEXTRACT(Filmes_raw!F392, ""[0-9]+""
))"),87.0)</f>
        <v>87</v>
      </c>
    </row>
    <row r="393">
      <c r="A393" s="1">
        <v>392.0</v>
      </c>
      <c r="B393" s="1" t="s">
        <v>2531</v>
      </c>
      <c r="C393" s="13" t="b">
        <f>IFERROR(__xludf.DUMMYFUNCTION("IF(ISTEXT(Filmes_raw!C393), REGEXEXTRACT(Filmes_raw!C393,""[^,]+$""))"),FALSE)</f>
        <v>0</v>
      </c>
      <c r="D393" s="1" t="b">
        <f t="shared" si="1"/>
        <v>0</v>
      </c>
      <c r="E393" s="14">
        <f>IFERROR(__xludf.DUMMYFUNCTION("VALUE(IF(ISTEXT(D393), REGEXREPLACE(Filmes_raw!C393,""[^,]+$"",D393),Filmes_raw!C393))"),2.4475416E7)</f>
        <v>24475416</v>
      </c>
      <c r="F393" s="6">
        <f>IFERROR(__xludf.DUMMYFUNCTION("VALUE(REGEXEXTRACT(Filmes_raw!F393, ""[0-9]+""
))"),135.0)</f>
        <v>135</v>
      </c>
    </row>
    <row r="394">
      <c r="A394" s="1">
        <v>393.0</v>
      </c>
      <c r="B394" s="1" t="s">
        <v>2537</v>
      </c>
      <c r="C394" s="13" t="b">
        <f>IFERROR(__xludf.DUMMYFUNCTION("IF(ISTEXT(Filmes_raw!C394), REGEXEXTRACT(Filmes_raw!C394,""[^,]+$""))"),FALSE)</f>
        <v>0</v>
      </c>
      <c r="D394" s="1" t="b">
        <f t="shared" si="1"/>
        <v>0</v>
      </c>
      <c r="E394" s="14">
        <f>IFERROR(__xludf.DUMMYFUNCTION("VALUE(IF(ISTEXT(D394), REGEXREPLACE(Filmes_raw!C394,""[^,]+$"",D394),Filmes_raw!C394))"),1.3417292E7)</f>
        <v>13417292</v>
      </c>
      <c r="F394" s="6">
        <f>IFERROR(__xludf.DUMMYFUNCTION("VALUE(REGEXEXTRACT(Filmes_raw!F394, ""[0-9]+""
))"),136.0)</f>
        <v>136</v>
      </c>
    </row>
    <row r="395">
      <c r="A395" s="1">
        <v>394.0</v>
      </c>
      <c r="B395" s="1" t="s">
        <v>2544</v>
      </c>
      <c r="C395" s="13" t="b">
        <f>IFERROR(__xludf.DUMMYFUNCTION("IF(ISTEXT(Filmes_raw!C395), REGEXEXTRACT(Filmes_raw!C395,""[^,]+$""))"),FALSE)</f>
        <v>0</v>
      </c>
      <c r="D395" s="1" t="b">
        <f t="shared" si="1"/>
        <v>0</v>
      </c>
      <c r="E395" s="14">
        <f>IFERROR(__xludf.DUMMYFUNCTION("VALUE(IF(ISTEXT(D395), REGEXREPLACE(Filmes_raw!C395,""[^,]+$"",D395),Filmes_raw!C395))"),5.7141459E7)</f>
        <v>57141459</v>
      </c>
      <c r="F395" s="6">
        <f>IFERROR(__xludf.DUMMYFUNCTION("VALUE(REGEXEXTRACT(Filmes_raw!F395, ""[0-9]+""
))"),129.0)</f>
        <v>129</v>
      </c>
    </row>
    <row r="396">
      <c r="A396" s="1">
        <v>395.0</v>
      </c>
      <c r="B396" s="1" t="s">
        <v>2549</v>
      </c>
      <c r="C396" s="13" t="b">
        <f>IFERROR(__xludf.DUMMYFUNCTION("IF(ISTEXT(Filmes_raw!C396), REGEXEXTRACT(Filmes_raw!C396,""[^,]+$""))"),FALSE)</f>
        <v>0</v>
      </c>
      <c r="D396" s="1" t="b">
        <f t="shared" si="1"/>
        <v>0</v>
      </c>
      <c r="E396" s="14">
        <f>IFERROR(__xludf.DUMMYFUNCTION("VALUE(IF(ISTEXT(D396), REGEXREPLACE(Filmes_raw!C396,""[^,]+$"",D396),Filmes_raw!C396))"),515905.0)</f>
        <v>515905</v>
      </c>
      <c r="F396" s="6">
        <f>IFERROR(__xludf.DUMMYFUNCTION("VALUE(REGEXEXTRACT(Filmes_raw!F396, ""[0-9]+""
))"),83.0)</f>
        <v>83</v>
      </c>
    </row>
    <row r="397">
      <c r="A397" s="1">
        <v>396.0</v>
      </c>
      <c r="B397" s="1" t="s">
        <v>2558</v>
      </c>
      <c r="C397" s="13" t="b">
        <f>IFERROR(__xludf.DUMMYFUNCTION("IF(ISTEXT(Filmes_raw!C397), REGEXEXTRACT(Filmes_raw!C397,""[^,]+$""))"),FALSE)</f>
        <v>0</v>
      </c>
      <c r="D397" s="1" t="b">
        <f t="shared" si="1"/>
        <v>0</v>
      </c>
      <c r="E397" s="14">
        <f>IFERROR(__xludf.DUMMYFUNCTION("VALUE(IF(ISTEXT(D397), REGEXREPLACE(Filmes_raw!C397,""[^,]+$"",D397),Filmes_raw!C397))"),7.5082668E7)</f>
        <v>75082668</v>
      </c>
      <c r="F397" s="6">
        <f>IFERROR(__xludf.DUMMYFUNCTION("VALUE(REGEXEXTRACT(Filmes_raw!F397, ""[0-9]+""
))"),76.0)</f>
        <v>76</v>
      </c>
    </row>
    <row r="398">
      <c r="A398" s="1">
        <v>397.0</v>
      </c>
      <c r="B398" s="1" t="s">
        <v>2565</v>
      </c>
      <c r="C398" s="13" t="b">
        <f>IFERROR(__xludf.DUMMYFUNCTION("IF(ISTEXT(Filmes_raw!C398), REGEXEXTRACT(Filmes_raw!C398,""[^,]+$""))"),FALSE)</f>
        <v>0</v>
      </c>
      <c r="D398" s="1" t="b">
        <f t="shared" si="1"/>
        <v>0</v>
      </c>
      <c r="E398" s="14">
        <f>IFERROR(__xludf.DUMMYFUNCTION("VALUE(IF(ISTEXT(D398), REGEXREPLACE(Filmes_raw!C398,""[^,]+$"",D398),Filmes_raw!C398))"),7.0906973E7)</f>
        <v>70906973</v>
      </c>
      <c r="F398" s="6">
        <f>IFERROR(__xludf.DUMMYFUNCTION("VALUE(REGEXEXTRACT(Filmes_raw!F398, ""[0-9]+""
))"),101.0)</f>
        <v>101</v>
      </c>
    </row>
    <row r="399">
      <c r="A399" s="1">
        <v>398.0</v>
      </c>
      <c r="B399" s="1" t="s">
        <v>2573</v>
      </c>
      <c r="C399" s="13" t="b">
        <f>IFERROR(__xludf.DUMMYFUNCTION("IF(ISTEXT(Filmes_raw!C399), REGEXEXTRACT(Filmes_raw!C399,""[^,]+$""))"),FALSE)</f>
        <v>0</v>
      </c>
      <c r="D399" s="1" t="b">
        <f t="shared" si="1"/>
        <v>0</v>
      </c>
      <c r="E399" s="14">
        <f>IFERROR(__xludf.DUMMYFUNCTION("VALUE(IF(ISTEXT(D399), REGEXREPLACE(Filmes_raw!C399,""[^,]+$"",D399),Filmes_raw!C399))"),4496583.0)</f>
        <v>4496583</v>
      </c>
      <c r="F399" s="6">
        <f>IFERROR(__xludf.DUMMYFUNCTION("VALUE(REGEXEXTRACT(Filmes_raw!F399, ""[0-9]+""
))"),180.0)</f>
        <v>180</v>
      </c>
    </row>
    <row r="400">
      <c r="A400" s="1">
        <v>399.0</v>
      </c>
      <c r="B400" s="1" t="s">
        <v>2579</v>
      </c>
      <c r="C400" s="13" t="b">
        <f>IFERROR(__xludf.DUMMYFUNCTION("IF(ISTEXT(Filmes_raw!C400), REGEXEXTRACT(Filmes_raw!C400,""[^,]+$""))"),FALSE)</f>
        <v>0</v>
      </c>
      <c r="D400" s="1" t="b">
        <f t="shared" si="1"/>
        <v>0</v>
      </c>
      <c r="E400" s="14">
        <f>IFERROR(__xludf.DUMMYFUNCTION("VALUE(IF(ISTEXT(D400), REGEXREPLACE(Filmes_raw!C400,""[^,]+$"",D400),Filmes_raw!C400))"),6.3895607E7)</f>
        <v>63895607</v>
      </c>
      <c r="F400" s="6">
        <f>IFERROR(__xludf.DUMMYFUNCTION("VALUE(REGEXEXTRACT(Filmes_raw!F400, ""[0-9]+""
))"),156.0)</f>
        <v>156</v>
      </c>
    </row>
    <row r="401">
      <c r="A401" s="1">
        <v>400.0</v>
      </c>
      <c r="B401" s="1" t="s">
        <v>2585</v>
      </c>
      <c r="C401" s="13" t="b">
        <f>IFERROR(__xludf.DUMMYFUNCTION("IF(ISTEXT(Filmes_raw!C401), REGEXEXTRACT(Filmes_raw!C401,""[^,]+$""))"),FALSE)</f>
        <v>0</v>
      </c>
      <c r="D401" s="1" t="b">
        <f t="shared" si="1"/>
        <v>0</v>
      </c>
      <c r="E401" s="14">
        <f>IFERROR(__xludf.DUMMYFUNCTION("VALUE(IF(ISTEXT(D401), REGEXREPLACE(Filmes_raw!C401,""[^,]+$"",D401),Filmes_raw!C401))"),2.17350219E8)</f>
        <v>217350219</v>
      </c>
      <c r="F401" s="6">
        <f>IFERROR(__xludf.DUMMYFUNCTION("VALUE(REGEXEXTRACT(Filmes_raw!F401, ""[0-9]+""
))"),90.0)</f>
        <v>90</v>
      </c>
    </row>
    <row r="402">
      <c r="A402" s="1">
        <v>401.0</v>
      </c>
      <c r="B402" s="1" t="s">
        <v>2592</v>
      </c>
      <c r="C402" s="13" t="b">
        <f>IFERROR(__xludf.DUMMYFUNCTION("IF(ISTEXT(Filmes_raw!C402), REGEXEXTRACT(Filmes_raw!C402,""[^,]+$""))"),FALSE)</f>
        <v>0</v>
      </c>
      <c r="D402" s="1" t="b">
        <f t="shared" si="1"/>
        <v>0</v>
      </c>
      <c r="E402" s="14">
        <f>IFERROR(__xludf.DUMMYFUNCTION("VALUE(IF(ISTEXT(D402), REGEXREPLACE(Filmes_raw!C402,""[^,]+$"",D402),Filmes_raw!C402))"),7.0405498E7)</f>
        <v>70405498</v>
      </c>
      <c r="F402" s="6">
        <f>IFERROR(__xludf.DUMMYFUNCTION("VALUE(REGEXEXTRACT(Filmes_raw!F402, ""[0-9]+""
))"),189.0)</f>
        <v>189</v>
      </c>
    </row>
    <row r="403">
      <c r="A403" s="1">
        <v>402.0</v>
      </c>
      <c r="B403" s="1" t="s">
        <v>2597</v>
      </c>
      <c r="C403" s="13" t="b">
        <f>IFERROR(__xludf.DUMMYFUNCTION("IF(ISTEXT(Filmes_raw!C403), REGEXEXTRACT(Filmes_raw!C403,""[^,]+$""))"),FALSE)</f>
        <v>0</v>
      </c>
      <c r="D403" s="1" t="b">
        <f t="shared" si="1"/>
        <v>0</v>
      </c>
      <c r="E403" s="14">
        <f>IFERROR(__xludf.DUMMYFUNCTION("VALUE(IF(ISTEXT(D403), REGEXREPLACE(Filmes_raw!C403,""[^,]+$"",D403),Filmes_raw!C403))"),2.1896762E8)</f>
        <v>218967620</v>
      </c>
      <c r="F403" s="6">
        <f>IFERROR(__xludf.DUMMYFUNCTION("VALUE(REGEXEXTRACT(Filmes_raw!F403, ""[0-9]+""
))"),84.0)</f>
        <v>84</v>
      </c>
    </row>
    <row r="404">
      <c r="A404" s="1">
        <v>403.0</v>
      </c>
      <c r="B404" s="1" t="s">
        <v>2605</v>
      </c>
      <c r="C404" s="13" t="b">
        <f>IFERROR(__xludf.DUMMYFUNCTION("IF(ISTEXT(Filmes_raw!C404), REGEXEXTRACT(Filmes_raw!C404,""[^,]+$""))"),FALSE)</f>
        <v>0</v>
      </c>
      <c r="D404" s="1" t="b">
        <f t="shared" si="1"/>
        <v>0</v>
      </c>
      <c r="E404" s="14">
        <f>IFERROR(__xludf.DUMMYFUNCTION("VALUE(IF(ISTEXT(D404), REGEXREPLACE(Filmes_raw!C404,""[^,]+$"",D404),Filmes_raw!C404))"),1.84208848E8)</f>
        <v>184208848</v>
      </c>
      <c r="F404" s="6">
        <f>IFERROR(__xludf.DUMMYFUNCTION("VALUE(REGEXEXTRACT(Filmes_raw!F404, ""[0-9]+""
))"),181.0)</f>
        <v>181</v>
      </c>
    </row>
    <row r="405">
      <c r="A405" s="1">
        <v>404.0</v>
      </c>
      <c r="B405" s="1" t="s">
        <v>2609</v>
      </c>
      <c r="C405" s="13" t="b">
        <f>IFERROR(__xludf.DUMMYFUNCTION("IF(ISTEXT(Filmes_raw!C405), REGEXEXTRACT(Filmes_raw!C405,""[^,]+$""))"),FALSE)</f>
        <v>0</v>
      </c>
      <c r="D405" s="1" t="b">
        <f t="shared" si="1"/>
        <v>0</v>
      </c>
      <c r="E405" s="14">
        <f>IFERROR(__xludf.DUMMYFUNCTION("VALUE(IF(ISTEXT(D405), REGEXREPLACE(Filmes_raw!C405,""[^,]+$"",D405),Filmes_raw!C405))"),2.7545445E7)</f>
        <v>27545445</v>
      </c>
      <c r="F405" s="6">
        <f>IFERROR(__xludf.DUMMYFUNCTION("VALUE(REGEXEXTRACT(Filmes_raw!F405, ""[0-9]+""
))"),120.0)</f>
        <v>120</v>
      </c>
    </row>
    <row r="406">
      <c r="A406" s="1">
        <v>405.0</v>
      </c>
      <c r="B406" s="1" t="s">
        <v>2615</v>
      </c>
      <c r="C406" s="13" t="b">
        <f>IFERROR(__xludf.DUMMYFUNCTION("IF(ISTEXT(Filmes_raw!C406), REGEXEXTRACT(Filmes_raw!C406,""[^,]+$""))"),FALSE)</f>
        <v>0</v>
      </c>
      <c r="D406" s="1" t="b">
        <f t="shared" si="1"/>
        <v>0</v>
      </c>
      <c r="E406" s="14">
        <f>IFERROR(__xludf.DUMMYFUNCTION("VALUE(IF(ISTEXT(D406), REGEXREPLACE(Filmes_raw!C406,""[^,]+$"",D406),Filmes_raw!C406))"),1.788E8)</f>
        <v>178800000</v>
      </c>
      <c r="F406" s="6">
        <f>IFERROR(__xludf.DUMMYFUNCTION("VALUE(REGEXEXTRACT(Filmes_raw!F406, ""[0-9]+""
))"),133.0)</f>
        <v>133</v>
      </c>
    </row>
    <row r="407">
      <c r="A407" s="1">
        <v>406.0</v>
      </c>
      <c r="B407" s="1" t="s">
        <v>2620</v>
      </c>
      <c r="C407" s="13" t="b">
        <f>IFERROR(__xludf.DUMMYFUNCTION("IF(ISTEXT(Filmes_raw!C407), REGEXEXTRACT(Filmes_raw!C407,""[^,]+$""))"),FALSE)</f>
        <v>0</v>
      </c>
      <c r="D407" s="1" t="b">
        <f t="shared" si="1"/>
        <v>0</v>
      </c>
      <c r="E407" s="14">
        <f>IFERROR(__xludf.DUMMYFUNCTION("VALUE(IF(ISTEXT(D407), REGEXREPLACE(Filmes_raw!C407,""[^,]+$"",D407),Filmes_raw!C407))"),553171.0)</f>
        <v>553171</v>
      </c>
      <c r="F407" s="6">
        <f>IFERROR(__xludf.DUMMYFUNCTION("VALUE(REGEXEXTRACT(Filmes_raw!F407, ""[0-9]+""
))"),124.0)</f>
        <v>124</v>
      </c>
    </row>
    <row r="408">
      <c r="A408" s="1">
        <v>407.0</v>
      </c>
      <c r="B408" s="1" t="s">
        <v>2628</v>
      </c>
      <c r="C408" s="13" t="b">
        <f>IFERROR(__xludf.DUMMYFUNCTION("IF(ISTEXT(Filmes_raw!C408), REGEXEXTRACT(Filmes_raw!C408,""[^,]+$""))"),FALSE)</f>
        <v>0</v>
      </c>
      <c r="D408" s="1" t="b">
        <f t="shared" si="1"/>
        <v>0</v>
      </c>
      <c r="E408" s="14">
        <f>IFERROR(__xludf.DUMMYFUNCTION("VALUE(IF(ISTEXT(D408), REGEXREPLACE(Filmes_raw!C408,""[^,]+$"",D408),Filmes_raw!C408))"),3.0857814E7)</f>
        <v>30857814</v>
      </c>
      <c r="F408" s="6">
        <f>IFERROR(__xludf.DUMMYFUNCTION("VALUE(REGEXEXTRACT(Filmes_raw!F408, ""[0-9]+""
))"),98.0)</f>
        <v>98</v>
      </c>
    </row>
    <row r="409">
      <c r="A409" s="1">
        <v>408.0</v>
      </c>
      <c r="B409" s="1" t="s">
        <v>2633</v>
      </c>
      <c r="C409" s="13" t="b">
        <f>IFERROR(__xludf.DUMMYFUNCTION("IF(ISTEXT(Filmes_raw!C409), REGEXEXTRACT(Filmes_raw!C409,""[^,]+$""))"),FALSE)</f>
        <v>0</v>
      </c>
      <c r="D409" s="1" t="b">
        <f t="shared" si="1"/>
        <v>0</v>
      </c>
      <c r="E409" s="14">
        <f>IFERROR(__xludf.DUMMYFUNCTION("VALUE(IF(ISTEXT(D409), REGEXREPLACE(Filmes_raw!C409,""[^,]+$"",D409),Filmes_raw!C409))"),3333969.0)</f>
        <v>3333969</v>
      </c>
      <c r="F409" s="6">
        <f>IFERROR(__xludf.DUMMYFUNCTION("VALUE(REGEXEXTRACT(Filmes_raw!F409, ""[0-9]+""
))"),128.0)</f>
        <v>128</v>
      </c>
    </row>
    <row r="410">
      <c r="A410" s="1">
        <v>409.0</v>
      </c>
      <c r="B410" s="1" t="s">
        <v>2639</v>
      </c>
      <c r="C410" s="13" t="b">
        <f>IFERROR(__xludf.DUMMYFUNCTION("IF(ISTEXT(Filmes_raw!C410), REGEXEXTRACT(Filmes_raw!C410,""[^,]+$""))"),FALSE)</f>
        <v>0</v>
      </c>
      <c r="D410" s="1" t="b">
        <f t="shared" si="1"/>
        <v>0</v>
      </c>
      <c r="E410" s="14">
        <f>IFERROR(__xludf.DUMMYFUNCTION("VALUE(IF(ISTEXT(D410), REGEXREPLACE(Filmes_raw!C410,""[^,]+$"",D410),Filmes_raw!C410))"),4542825.0)</f>
        <v>4542825</v>
      </c>
      <c r="F410" s="6">
        <f>IFERROR(__xludf.DUMMYFUNCTION("VALUE(REGEXEXTRACT(Filmes_raw!F410, ""[0-9]+""
))"),104.0)</f>
        <v>104</v>
      </c>
    </row>
    <row r="411">
      <c r="A411" s="1">
        <v>410.0</v>
      </c>
      <c r="B411" s="1" t="s">
        <v>2646</v>
      </c>
      <c r="C411" s="13" t="b">
        <f>IFERROR(__xludf.DUMMYFUNCTION("IF(ISTEXT(Filmes_raw!C411), REGEXEXTRACT(Filmes_raw!C411,""[^,]+$""))"),FALSE)</f>
        <v>0</v>
      </c>
      <c r="D411" s="1" t="b">
        <f t="shared" si="1"/>
        <v>0</v>
      </c>
      <c r="E411" s="14">
        <f>IFERROR(__xludf.DUMMYFUNCTION("VALUE(IF(ISTEXT(D411), REGEXREPLACE(Filmes_raw!C411,""[^,]+$"",D411),Filmes_raw!C411))"),523664.0)</f>
        <v>523664</v>
      </c>
      <c r="F411" s="6">
        <f>IFERROR(__xludf.DUMMYFUNCTION("VALUE(REGEXEXTRACT(Filmes_raw!F411, ""[0-9]+""
))"),125.0)</f>
        <v>125</v>
      </c>
    </row>
    <row r="412">
      <c r="A412" s="1">
        <v>411.0</v>
      </c>
      <c r="B412" s="1" t="s">
        <v>2652</v>
      </c>
      <c r="C412" s="13" t="b">
        <f>IFERROR(__xludf.DUMMYFUNCTION("IF(ISTEXT(Filmes_raw!C412), REGEXEXTRACT(Filmes_raw!C412,""[^,]+$""))"),FALSE)</f>
        <v>0</v>
      </c>
      <c r="D412" s="1" t="b">
        <f t="shared" si="1"/>
        <v>0</v>
      </c>
      <c r="E412" s="14">
        <f>IFERROR(__xludf.DUMMYFUNCTION("VALUE(IF(ISTEXT(D412), REGEXREPLACE(Filmes_raw!C412,""[^,]+$"",D412),Filmes_raw!C412))"),3.84E7)</f>
        <v>38400000</v>
      </c>
      <c r="F412" s="6">
        <f>IFERROR(__xludf.DUMMYFUNCTION("VALUE(REGEXEXTRACT(Filmes_raw!F412, ""[0-9]+""
))"),107.0)</f>
        <v>107</v>
      </c>
    </row>
    <row r="413">
      <c r="A413" s="1">
        <v>412.0</v>
      </c>
      <c r="B413" s="1" t="s">
        <v>2655</v>
      </c>
      <c r="C413" s="13" t="b">
        <f>IFERROR(__xludf.DUMMYFUNCTION("IF(ISTEXT(Filmes_raw!C413), REGEXEXTRACT(Filmes_raw!C413,""[^,]+$""))"),FALSE)</f>
        <v>0</v>
      </c>
      <c r="D413" s="1" t="b">
        <f t="shared" si="1"/>
        <v>0</v>
      </c>
      <c r="E413" s="14">
        <f>IFERROR(__xludf.DUMMYFUNCTION("VALUE(IF(ISTEXT(D413), REGEXREPLACE(Filmes_raw!C413,""[^,]+$"",D413),Filmes_raw!C413))"),5.2767889E7)</f>
        <v>52767889</v>
      </c>
      <c r="F413" s="6">
        <f>IFERROR(__xludf.DUMMYFUNCTION("VALUE(REGEXEXTRACT(Filmes_raw!F413, ""[0-9]+""
))"),191.0)</f>
        <v>191</v>
      </c>
    </row>
    <row r="414">
      <c r="A414" s="1">
        <v>413.0</v>
      </c>
      <c r="B414" s="1" t="s">
        <v>2660</v>
      </c>
      <c r="C414" s="13" t="b">
        <f>IFERROR(__xludf.DUMMYFUNCTION("IF(ISTEXT(Filmes_raw!C414), REGEXEXTRACT(Filmes_raw!C414,""[^,]+$""))"),FALSE)</f>
        <v>0</v>
      </c>
      <c r="D414" s="1" t="b">
        <f t="shared" si="1"/>
        <v>0</v>
      </c>
      <c r="E414" s="14">
        <f>IFERROR(__xludf.DUMMYFUNCTION("VALUE(IF(ISTEXT(D414), REGEXREPLACE(Filmes_raw!C414,""[^,]+$"",D414),Filmes_raw!C414))"),4000000.0)</f>
        <v>4000000</v>
      </c>
      <c r="F414" s="6">
        <f>IFERROR(__xludf.DUMMYFUNCTION("VALUE(REGEXEXTRACT(Filmes_raw!F414, ""[0-9]+""
))"),180.0)</f>
        <v>180</v>
      </c>
    </row>
    <row r="415">
      <c r="A415" s="1">
        <v>414.0</v>
      </c>
      <c r="B415" s="1" t="s">
        <v>2664</v>
      </c>
      <c r="C415" s="13" t="b">
        <f>IFERROR(__xludf.DUMMYFUNCTION("IF(ISTEXT(Filmes_raw!C415), REGEXEXTRACT(Filmes_raw!C415,""[^,]+$""))"),FALSE)</f>
        <v>0</v>
      </c>
      <c r="D415" s="1" t="b">
        <f t="shared" si="1"/>
        <v>0</v>
      </c>
      <c r="E415" s="14">
        <f>IFERROR(__xludf.DUMMYFUNCTION("VALUE(IF(ISTEXT(D415), REGEXREPLACE(Filmes_raw!C415,""[^,]+$"",D415),Filmes_raw!C415))"),3.0177511E7)</f>
        <v>30177511</v>
      </c>
      <c r="F415" s="6">
        <f>IFERROR(__xludf.DUMMYFUNCTION("VALUE(REGEXEXTRACT(Filmes_raw!F415, ""[0-9]+""
))"),130.0)</f>
        <v>130</v>
      </c>
    </row>
    <row r="416">
      <c r="A416" s="1">
        <v>415.0</v>
      </c>
      <c r="B416" s="1" t="s">
        <v>2669</v>
      </c>
      <c r="C416" s="13" t="b">
        <f>IFERROR(__xludf.DUMMYFUNCTION("IF(ISTEXT(Filmes_raw!C416), REGEXEXTRACT(Filmes_raw!C416,""[^,]+$""))"),FALSE)</f>
        <v>0</v>
      </c>
      <c r="D416" s="1" t="b">
        <f t="shared" si="1"/>
        <v>0</v>
      </c>
      <c r="E416" s="14">
        <f>IFERROR(__xludf.DUMMYFUNCTION("VALUE(IF(ISTEXT(D416), REGEXREPLACE(Filmes_raw!C416,""[^,]+$"",D416),Filmes_raw!C416))"),3.92E7)</f>
        <v>39200000</v>
      </c>
      <c r="F416" s="6">
        <f>IFERROR(__xludf.DUMMYFUNCTION("VALUE(REGEXEXTRACT(Filmes_raw!F416, ""[0-9]+""
))"),93.0)</f>
        <v>93</v>
      </c>
    </row>
    <row r="417">
      <c r="A417" s="1">
        <v>416.0</v>
      </c>
      <c r="B417" s="1" t="s">
        <v>2674</v>
      </c>
      <c r="C417" s="13" t="b">
        <f>IFERROR(__xludf.DUMMYFUNCTION("IF(ISTEXT(Filmes_raw!C417), REGEXEXTRACT(Filmes_raw!C417,""[^,]+$""))"),FALSE)</f>
        <v>0</v>
      </c>
      <c r="D417" s="1" t="b">
        <f t="shared" si="1"/>
        <v>0</v>
      </c>
      <c r="E417" s="14">
        <f>IFERROR(__xludf.DUMMYFUNCTION("VALUE(IF(ISTEXT(D417), REGEXREPLACE(Filmes_raw!C417,""[^,]+$"",D417),Filmes_raw!C417))"),2.6E8)</f>
        <v>260000000</v>
      </c>
      <c r="F417" s="6">
        <f>IFERROR(__xludf.DUMMYFUNCTION("VALUE(REGEXEXTRACT(Filmes_raw!F417, ""[0-9]+""
))"),124.0)</f>
        <v>124</v>
      </c>
    </row>
    <row r="418">
      <c r="A418" s="1">
        <v>417.0</v>
      </c>
      <c r="B418" s="1" t="s">
        <v>2680</v>
      </c>
      <c r="C418" s="13" t="b">
        <f>IFERROR(__xludf.DUMMYFUNCTION("IF(ISTEXT(Filmes_raw!C418), REGEXEXTRACT(Filmes_raw!C418,""[^,]+$""))"),FALSE)</f>
        <v>0</v>
      </c>
      <c r="D418" s="1" t="b">
        <f t="shared" si="1"/>
        <v>0</v>
      </c>
      <c r="E418" s="14">
        <f>IFERROR(__xludf.DUMMYFUNCTION("VALUE(IF(ISTEXT(D418), REGEXREPLACE(Filmes_raw!C418,""[^,]+$"",D418),Filmes_raw!C418))"),5.0E7)</f>
        <v>50000000</v>
      </c>
      <c r="F418" s="6">
        <f>IFERROR(__xludf.DUMMYFUNCTION("VALUE(REGEXEXTRACT(Filmes_raw!F418, ""[0-9]+""
))"),125.0)</f>
        <v>125</v>
      </c>
    </row>
    <row r="419">
      <c r="A419" s="1">
        <v>418.0</v>
      </c>
      <c r="B419" s="1" t="s">
        <v>2684</v>
      </c>
      <c r="C419" s="13" t="b">
        <f>IFERROR(__xludf.DUMMYFUNCTION("IF(ISTEXT(Filmes_raw!C419), REGEXEXTRACT(Filmes_raw!C419,""[^,]+$""))"),FALSE)</f>
        <v>0</v>
      </c>
      <c r="D419" s="1" t="b">
        <f t="shared" si="1"/>
        <v>0</v>
      </c>
      <c r="E419" s="14">
        <f>IFERROR(__xludf.DUMMYFUNCTION("VALUE(IF(ISTEXT(D419), REGEXREPLACE(Filmes_raw!C419,""[^,]+$"",D419),Filmes_raw!C419))"),8.63E7)</f>
        <v>86300000</v>
      </c>
      <c r="F419" s="6">
        <f>IFERROR(__xludf.DUMMYFUNCTION("VALUE(REGEXEXTRACT(Filmes_raw!F419, ""[0-9]+""
))"),106.0)</f>
        <v>106</v>
      </c>
    </row>
    <row r="420">
      <c r="A420" s="1">
        <v>419.0</v>
      </c>
      <c r="B420" s="1" t="s">
        <v>2690</v>
      </c>
      <c r="C420" s="13" t="b">
        <f>IFERROR(__xludf.DUMMYFUNCTION("IF(ISTEXT(Filmes_raw!C420), REGEXEXTRACT(Filmes_raw!C420,""[^,]+$""))"),FALSE)</f>
        <v>0</v>
      </c>
      <c r="D420" s="1" t="b">
        <f t="shared" si="1"/>
        <v>0</v>
      </c>
      <c r="E420" s="14">
        <f>IFERROR(__xludf.DUMMYFUNCTION("VALUE(IF(ISTEXT(D420), REGEXREPLACE(Filmes_raw!C420,""[^,]+$"",D420),Filmes_raw!C420))"),5.3267E7)</f>
        <v>53267000</v>
      </c>
      <c r="F420" s="6">
        <f>IFERROR(__xludf.DUMMYFUNCTION("VALUE(REGEXEXTRACT(Filmes_raw!F420, ""[0-9]+""
))"),151.0)</f>
        <v>151</v>
      </c>
    </row>
    <row r="421">
      <c r="A421" s="1">
        <v>420.0</v>
      </c>
      <c r="B421" s="1" t="s">
        <v>2695</v>
      </c>
      <c r="C421" s="13" t="b">
        <f>IFERROR(__xludf.DUMMYFUNCTION("IF(ISTEXT(Filmes_raw!C421), REGEXEXTRACT(Filmes_raw!C421,""[^,]+$""))"),FALSE)</f>
        <v>0</v>
      </c>
      <c r="D421" s="1" t="b">
        <f t="shared" si="1"/>
        <v>0</v>
      </c>
      <c r="E421" s="14">
        <f>IFERROR(__xludf.DUMMYFUNCTION("VALUE(IF(ISTEXT(D421), REGEXREPLACE(Filmes_raw!C421,""[^,]+$"",D421),Filmes_raw!C421))"),2.32906145E8)</f>
        <v>232906145</v>
      </c>
      <c r="F421" s="6">
        <f>IFERROR(__xludf.DUMMYFUNCTION("VALUE(REGEXEXTRACT(Filmes_raw!F421, ""[0-9]+""
))"),122.0)</f>
        <v>122</v>
      </c>
    </row>
    <row r="422">
      <c r="A422" s="1">
        <v>421.0</v>
      </c>
      <c r="B422" s="1" t="s">
        <v>2700</v>
      </c>
      <c r="C422" s="13" t="b">
        <f>IFERROR(__xludf.DUMMYFUNCTION("IF(ISTEXT(Filmes_raw!C422), REGEXEXTRACT(Filmes_raw!C422,""[^,]+$""))"),FALSE)</f>
        <v>0</v>
      </c>
      <c r="D422" s="1" t="b">
        <f t="shared" si="1"/>
        <v>0</v>
      </c>
      <c r="E422" s="14">
        <f>IFERROR(__xludf.DUMMYFUNCTION("VALUE(IF(ISTEXT(D422), REGEXREPLACE(Filmes_raw!C422,""[^,]+$"",D422),Filmes_raw!C422))"),4081254.0)</f>
        <v>4081254</v>
      </c>
      <c r="F422" s="6">
        <f>IFERROR(__xludf.DUMMYFUNCTION("VALUE(REGEXEXTRACT(Filmes_raw!F422, ""[0-9]+""
))"),138.0)</f>
        <v>138</v>
      </c>
    </row>
    <row r="423">
      <c r="A423" s="1">
        <v>422.0</v>
      </c>
      <c r="B423" s="1" t="s">
        <v>2704</v>
      </c>
      <c r="C423" s="13" t="b">
        <f>IFERROR(__xludf.DUMMYFUNCTION("IF(ISTEXT(Filmes_raw!C423), REGEXEXTRACT(Filmes_raw!C423,""[^,]+$""))"),FALSE)</f>
        <v>0</v>
      </c>
      <c r="D423" s="1" t="b">
        <f t="shared" si="1"/>
        <v>0</v>
      </c>
      <c r="E423" s="14">
        <f>IFERROR(__xludf.DUMMYFUNCTION("VALUE(IF(ISTEXT(D423), REGEXREPLACE(Filmes_raw!C423,""[^,]+$"",D423),Filmes_raw!C423))"),2.9133E7)</f>
        <v>29133000</v>
      </c>
      <c r="F423" s="6">
        <f>IFERROR(__xludf.DUMMYFUNCTION("VALUE(REGEXEXTRACT(Filmes_raw!F423, ""[0-9]+""
))"),118.0)</f>
        <v>118</v>
      </c>
    </row>
    <row r="424">
      <c r="A424" s="1">
        <v>423.0</v>
      </c>
      <c r="B424" s="1" t="s">
        <v>2708</v>
      </c>
      <c r="C424" s="13" t="b">
        <f>IFERROR(__xludf.DUMMYFUNCTION("IF(ISTEXT(Filmes_raw!C424), REGEXEXTRACT(Filmes_raw!C424,""[^,]+$""))"),FALSE)</f>
        <v>0</v>
      </c>
      <c r="D424" s="1" t="b">
        <f t="shared" si="1"/>
        <v>0</v>
      </c>
      <c r="E424" s="14">
        <f>IFERROR(__xludf.DUMMYFUNCTION("VALUE(IF(ISTEXT(D424), REGEXREPLACE(Filmes_raw!C424,""[^,]+$"",D424),Filmes_raw!C424))"),8.05E7)</f>
        <v>80500000</v>
      </c>
      <c r="F424" s="6">
        <f>IFERROR(__xludf.DUMMYFUNCTION("VALUE(REGEXEXTRACT(Filmes_raw!F424, ""[0-9]+""
))"),181.0)</f>
        <v>181</v>
      </c>
    </row>
    <row r="425">
      <c r="A425" s="1">
        <v>424.0</v>
      </c>
      <c r="B425" s="1" t="s">
        <v>2716</v>
      </c>
      <c r="C425" s="13" t="str">
        <f>IFERROR(__xludf.DUMMYFUNCTION("IF(ISTEXT(Filmes_raw!C425), REGEXEXTRACT(Filmes_raw!C425,""[^,]+$""))"),"94")</f>
        <v>94</v>
      </c>
      <c r="D425" s="1" t="str">
        <f t="shared" si="1"/>
        <v>940</v>
      </c>
      <c r="E425" s="14">
        <f>IFERROR(__xludf.DUMMYFUNCTION("VALUE(IF(ISTEXT(D425), REGEXREPLACE(Filmes_raw!C425,""[^,]+$"",D425),Filmes_raw!C425))"),541940.0)</f>
        <v>541940</v>
      </c>
      <c r="F425" s="6">
        <f>IFERROR(__xludf.DUMMYFUNCTION("VALUE(REGEXEXTRACT(Filmes_raw!F425, ""[0-9]+""
))"),113.0)</f>
        <v>113</v>
      </c>
    </row>
    <row r="426">
      <c r="A426" s="1">
        <v>425.0</v>
      </c>
      <c r="B426" s="1" t="s">
        <v>2723</v>
      </c>
      <c r="C426" s="13" t="b">
        <f>IFERROR(__xludf.DUMMYFUNCTION("IF(ISTEXT(Filmes_raw!C426), REGEXEXTRACT(Filmes_raw!C426,""[^,]+$""))"),FALSE)</f>
        <v>0</v>
      </c>
      <c r="D426" s="1" t="b">
        <f t="shared" si="1"/>
        <v>0</v>
      </c>
      <c r="E426" s="14">
        <f>IFERROR(__xludf.DUMMYFUNCTION("VALUE(IF(ISTEXT(D426), REGEXREPLACE(Filmes_raw!C426,""[^,]+$"",D426),Filmes_raw!C426))"),1.02308889E8)</f>
        <v>102308889</v>
      </c>
      <c r="F426" s="6">
        <f>IFERROR(__xludf.DUMMYFUNCTION("VALUE(REGEXEXTRACT(Filmes_raw!F426, ""[0-9]+""
))"),110.0)</f>
        <v>110</v>
      </c>
    </row>
    <row r="427">
      <c r="A427" s="1">
        <v>426.0</v>
      </c>
      <c r="B427" s="1" t="s">
        <v>2726</v>
      </c>
      <c r="C427" s="13" t="b">
        <f>IFERROR(__xludf.DUMMYFUNCTION("IF(ISTEXT(Filmes_raw!C427), REGEXEXTRACT(Filmes_raw!C427,""[^,]+$""))"),FALSE)</f>
        <v>0</v>
      </c>
      <c r="D427" s="1" t="b">
        <f t="shared" si="1"/>
        <v>0</v>
      </c>
      <c r="E427" s="14">
        <f>IFERROR(__xludf.DUMMYFUNCTION("VALUE(IF(ISTEXT(D427), REGEXREPLACE(Filmes_raw!C427,""[^,]+$"",D427),Filmes_raw!C427))"),2300000.0)</f>
        <v>2300000</v>
      </c>
      <c r="F427" s="6">
        <f>IFERROR(__xludf.DUMMYFUNCTION("VALUE(REGEXEXTRACT(Filmes_raw!F427, ""[0-9]+""
))"),137.0)</f>
        <v>137</v>
      </c>
    </row>
    <row r="428">
      <c r="A428" s="1">
        <v>427.0</v>
      </c>
      <c r="B428" s="1" t="s">
        <v>2732</v>
      </c>
      <c r="C428" s="13" t="b">
        <f>IFERROR(__xludf.DUMMYFUNCTION("IF(ISTEXT(Filmes_raw!C428), REGEXEXTRACT(Filmes_raw!C428,""[^,]+$""))"),FALSE)</f>
        <v>0</v>
      </c>
      <c r="D428" s="1" t="b">
        <f t="shared" si="1"/>
        <v>0</v>
      </c>
      <c r="E428" s="14">
        <f>IFERROR(__xludf.DUMMYFUNCTION("VALUE(IF(ISTEXT(D428), REGEXREPLACE(Filmes_raw!C428,""[^,]+$"",D428),Filmes_raw!C428))"),3.3395426E7)</f>
        <v>33395426</v>
      </c>
      <c r="F428" s="6">
        <f>IFERROR(__xludf.DUMMYFUNCTION("VALUE(REGEXEXTRACT(Filmes_raw!F428, ""[0-9]+""
))"),112.0)</f>
        <v>112</v>
      </c>
    </row>
    <row r="429">
      <c r="A429" s="1">
        <v>428.0</v>
      </c>
      <c r="B429" s="1" t="s">
        <v>2737</v>
      </c>
      <c r="C429" s="13" t="b">
        <f>IFERROR(__xludf.DUMMYFUNCTION("IF(ISTEXT(Filmes_raw!C429), REGEXEXTRACT(Filmes_raw!C429,""[^,]+$""))"),FALSE)</f>
        <v>0</v>
      </c>
      <c r="D429" s="1" t="b">
        <f t="shared" si="1"/>
        <v>0</v>
      </c>
      <c r="E429" s="14">
        <f>IFERROR(__xludf.DUMMYFUNCTION("VALUE(IF(ISTEXT(D429), REGEXREPLACE(Filmes_raw!C429,""[^,]+$"",D429),Filmes_raw!C429))"),1.04945305E8)</f>
        <v>104945305</v>
      </c>
      <c r="F429" s="6">
        <f>IFERROR(__xludf.DUMMYFUNCTION("VALUE(REGEXEXTRACT(Filmes_raw!F429, ""[0-9]+""
))"),106.0)</f>
        <v>106</v>
      </c>
    </row>
    <row r="430">
      <c r="A430" s="1">
        <v>429.0</v>
      </c>
      <c r="B430" s="1" t="s">
        <v>2741</v>
      </c>
      <c r="C430" s="13" t="b">
        <f>IFERROR(__xludf.DUMMYFUNCTION("IF(ISTEXT(Filmes_raw!C430), REGEXEXTRACT(Filmes_raw!C430,""[^,]+$""))"),FALSE)</f>
        <v>0</v>
      </c>
      <c r="D430" s="1" t="b">
        <f t="shared" si="1"/>
        <v>0</v>
      </c>
      <c r="E430" s="14">
        <f>IFERROR(__xludf.DUMMYFUNCTION("VALUE(IF(ISTEXT(D430), REGEXREPLACE(Filmes_raw!C430,""[^,]+$"",D430),Filmes_raw!C430))"),2.8E7)</f>
        <v>28000000</v>
      </c>
      <c r="F430" s="6">
        <f>IFERROR(__xludf.DUMMYFUNCTION("VALUE(REGEXEXTRACT(Filmes_raw!F430, ""[0-9]+""
))"),131.0)</f>
        <v>131</v>
      </c>
    </row>
    <row r="431">
      <c r="A431" s="1">
        <v>430.0</v>
      </c>
      <c r="B431" s="1" t="s">
        <v>2747</v>
      </c>
      <c r="C431" s="13" t="b">
        <f>IFERROR(__xludf.DUMMYFUNCTION("IF(ISTEXT(Filmes_raw!C431), REGEXEXTRACT(Filmes_raw!C431,""[^,]+$""))"),FALSE)</f>
        <v>0</v>
      </c>
      <c r="D431" s="1" t="b">
        <f t="shared" si="1"/>
        <v>0</v>
      </c>
      <c r="E431" s="14">
        <f>IFERROR(__xludf.DUMMYFUNCTION("VALUE(IF(ISTEXT(D431), REGEXREPLACE(Filmes_raw!C431,""[^,]+$"",D431),Filmes_raw!C431))"),1.63214286E8)</f>
        <v>163214286</v>
      </c>
      <c r="F431" s="6">
        <f>IFERROR(__xludf.DUMMYFUNCTION("VALUE(REGEXEXTRACT(Filmes_raw!F431, ""[0-9]+""
))"),172.0)</f>
        <v>172</v>
      </c>
    </row>
    <row r="432">
      <c r="A432" s="1">
        <v>431.0</v>
      </c>
      <c r="B432" s="1" t="s">
        <v>2753</v>
      </c>
      <c r="C432" s="13" t="b">
        <f>IFERROR(__xludf.DUMMYFUNCTION("IF(ISTEXT(Filmes_raw!C432), REGEXEXTRACT(Filmes_raw!C432,""[^,]+$""))"),FALSE)</f>
        <v>0</v>
      </c>
      <c r="D432" s="1" t="b">
        <f t="shared" si="1"/>
        <v>0</v>
      </c>
      <c r="E432" s="14">
        <f>IFERROR(__xludf.DUMMYFUNCTION("VALUE(IF(ISTEXT(D432), REGEXREPLACE(Filmes_raw!C432,""[^,]+$"",D432),Filmes_raw!C432))"),1.11722E8)</f>
        <v>111722000</v>
      </c>
      <c r="F432" s="6">
        <f>IFERROR(__xludf.DUMMYFUNCTION("VALUE(REGEXEXTRACT(Filmes_raw!F432, ""[0-9]+""
))"),197.0)</f>
        <v>197</v>
      </c>
    </row>
    <row r="433">
      <c r="A433" s="1">
        <v>432.0</v>
      </c>
      <c r="B433" s="1" t="s">
        <v>2759</v>
      </c>
      <c r="C433" s="13" t="b">
        <f>IFERROR(__xludf.DUMMYFUNCTION("IF(ISTEXT(Filmes_raw!C433), REGEXEXTRACT(Filmes_raw!C433,""[^,]+$""))"),FALSE)</f>
        <v>0</v>
      </c>
      <c r="D433" s="1" t="b">
        <f t="shared" si="1"/>
        <v>0</v>
      </c>
      <c r="E433" s="14">
        <f>IFERROR(__xludf.DUMMYFUNCTION("VALUE(IF(ISTEXT(D433), REGEXREPLACE(Filmes_raw!C433,""[^,]+$"",D433),Filmes_raw!C433))"),1.45E7)</f>
        <v>14500000</v>
      </c>
      <c r="F433" s="6">
        <f>IFERROR(__xludf.DUMMYFUNCTION("VALUE(REGEXEXTRACT(Filmes_raw!F433, ""[0-9]+""
))"),99.0)</f>
        <v>99</v>
      </c>
    </row>
    <row r="434">
      <c r="A434" s="1">
        <v>433.0</v>
      </c>
      <c r="B434" s="1" t="s">
        <v>2764</v>
      </c>
      <c r="C434" s="13" t="str">
        <f>IFERROR(__xludf.DUMMYFUNCTION("IF(ISTEXT(Filmes_raw!C434), REGEXEXTRACT(Filmes_raw!C434,""[^,]+$""))"),"69")</f>
        <v>69</v>
      </c>
      <c r="D434" s="1" t="str">
        <f t="shared" si="1"/>
        <v>690</v>
      </c>
      <c r="E434" s="14">
        <f>IFERROR(__xludf.DUMMYFUNCTION("VALUE(IF(ISTEXT(D434), REGEXREPLACE(Filmes_raw!C434,""[^,]+$"",D434),Filmes_raw!C434))"),50690.0)</f>
        <v>50690</v>
      </c>
      <c r="F434" s="6">
        <f>IFERROR(__xludf.DUMMYFUNCTION("VALUE(REGEXEXTRACT(Filmes_raw!F434, ""[0-9]+""
))"),138.0)</f>
        <v>138</v>
      </c>
    </row>
    <row r="435">
      <c r="A435" s="1">
        <v>434.0</v>
      </c>
      <c r="B435" s="1" t="s">
        <v>2770</v>
      </c>
      <c r="C435" s="13" t="b">
        <f>IFERROR(__xludf.DUMMYFUNCTION("IF(ISTEXT(Filmes_raw!C435), REGEXEXTRACT(Filmes_raw!C435,""[^,]+$""))"),FALSE)</f>
        <v>0</v>
      </c>
      <c r="D435" s="1" t="b">
        <f t="shared" si="1"/>
        <v>0</v>
      </c>
      <c r="E435" s="14">
        <f>IFERROR(__xludf.DUMMYFUNCTION("VALUE(IF(ISTEXT(D435), REGEXREPLACE(Filmes_raw!C435,""[^,]+$"",D435),Filmes_raw!C435))"),24517.0)</f>
        <v>24517</v>
      </c>
      <c r="F435" s="6">
        <f>IFERROR(__xludf.DUMMYFUNCTION("VALUE(REGEXEXTRACT(Filmes_raw!F435, ""[0-9]+""
))"),80.0)</f>
        <v>80</v>
      </c>
    </row>
    <row r="436">
      <c r="A436" s="1">
        <v>435.0</v>
      </c>
      <c r="B436" s="1" t="s">
        <v>2777</v>
      </c>
      <c r="C436" s="13" t="b">
        <f>IFERROR(__xludf.DUMMYFUNCTION("IF(ISTEXT(Filmes_raw!C436), REGEXEXTRACT(Filmes_raw!C436,""[^,]+$""))"),FALSE)</f>
        <v>0</v>
      </c>
      <c r="D436" s="1" t="b">
        <f t="shared" si="1"/>
        <v>0</v>
      </c>
      <c r="E436" s="14">
        <f>IFERROR(__xludf.DUMMYFUNCTION("VALUE(IF(ISTEXT(D436), REGEXREPLACE(Filmes_raw!C436,""[^,]+$"",D436),Filmes_raw!C436))"),8284000.0)</f>
        <v>8284000</v>
      </c>
      <c r="F436" s="6">
        <f>IFERROR(__xludf.DUMMYFUNCTION("VALUE(REGEXEXTRACT(Filmes_raw!F436, ""[0-9]+""
))"),134.0)</f>
        <v>134</v>
      </c>
    </row>
    <row r="437">
      <c r="A437" s="1">
        <v>436.0</v>
      </c>
      <c r="B437" s="1" t="s">
        <v>2782</v>
      </c>
      <c r="C437" s="13" t="b">
        <f>IFERROR(__xludf.DUMMYFUNCTION("IF(ISTEXT(Filmes_raw!C437), REGEXEXTRACT(Filmes_raw!C437,""[^,]+$""))"),FALSE)</f>
        <v>0</v>
      </c>
      <c r="D437" s="1" t="b">
        <f t="shared" si="1"/>
        <v>0</v>
      </c>
      <c r="E437" s="14">
        <f>IFERROR(__xludf.DUMMYFUNCTION("VALUE(IF(ISTEXT(D437), REGEXREPLACE(Filmes_raw!C437,""[^,]+$"",D437),Filmes_raw!C437))"),1.9516E7)</f>
        <v>19516000</v>
      </c>
      <c r="F437" s="6">
        <f>IFERROR(__xludf.DUMMYFUNCTION("VALUE(REGEXEXTRACT(Filmes_raw!F437, ""[0-9]+""
))"),174.0)</f>
        <v>174</v>
      </c>
    </row>
    <row r="438">
      <c r="A438" s="1">
        <v>437.0</v>
      </c>
      <c r="B438" s="1" t="s">
        <v>2787</v>
      </c>
      <c r="C438" s="13" t="b">
        <f>IFERROR(__xludf.DUMMYFUNCTION("IF(ISTEXT(Filmes_raw!C438), REGEXEXTRACT(Filmes_raw!C438,""[^,]+$""))"),FALSE)</f>
        <v>0</v>
      </c>
      <c r="D438" s="1" t="b">
        <f t="shared" si="1"/>
        <v>0</v>
      </c>
      <c r="E438" s="14">
        <f>IFERROR(__xludf.DUMMYFUNCTION("VALUE(IF(ISTEXT(D438), REGEXREPLACE(Filmes_raw!C438,""[^,]+$"",D438),Filmes_raw!C438))"),1.2535E7)</f>
        <v>12535000</v>
      </c>
      <c r="F438" s="6">
        <f>IFERROR(__xludf.DUMMYFUNCTION("VALUE(REGEXEXTRACT(Filmes_raw!F438, ""[0-9]+""
))"),141.0)</f>
        <v>141</v>
      </c>
    </row>
    <row r="439">
      <c r="A439" s="1">
        <v>438.0</v>
      </c>
      <c r="B439" s="1" t="s">
        <v>2793</v>
      </c>
      <c r="C439" s="13" t="b">
        <f>IFERROR(__xludf.DUMMYFUNCTION("IF(ISTEXT(Filmes_raw!C439), REGEXEXTRACT(Filmes_raw!C439,""[^,]+$""))"),FALSE)</f>
        <v>0</v>
      </c>
      <c r="D439" s="1" t="b">
        <f t="shared" si="1"/>
        <v>0</v>
      </c>
      <c r="E439" s="14">
        <f>IFERROR(__xludf.DUMMYFUNCTION("VALUE(IF(ISTEXT(D439), REGEXREPLACE(Filmes_raw!C439,""[^,]+$"",D439),Filmes_raw!C439))"),1.19E7)</f>
        <v>11900000</v>
      </c>
      <c r="F439" s="6">
        <f>IFERROR(__xludf.DUMMYFUNCTION("VALUE(REGEXEXTRACT(Filmes_raw!F439, ""[0-9]+""
))"),161.0)</f>
        <v>161</v>
      </c>
    </row>
    <row r="440">
      <c r="A440" s="1">
        <v>439.0</v>
      </c>
      <c r="B440" s="1" t="s">
        <v>2799</v>
      </c>
      <c r="C440" s="13" t="b">
        <f>IFERROR(__xludf.DUMMYFUNCTION("IF(ISTEXT(Filmes_raw!C440), REGEXEXTRACT(Filmes_raw!C440,""[^,]+$""))"),FALSE)</f>
        <v>0</v>
      </c>
      <c r="D440" s="1" t="b">
        <f t="shared" si="1"/>
        <v>0</v>
      </c>
      <c r="E440" s="14">
        <f>IFERROR(__xludf.DUMMYFUNCTION("VALUE(IF(ISTEXT(D440), REGEXREPLACE(Filmes_raw!C440,""[^,]+$"",D440),Filmes_raw!C440))"),2237659.0)</f>
        <v>2237659</v>
      </c>
      <c r="F440" s="6">
        <f>IFERROR(__xludf.DUMMYFUNCTION("VALUE(REGEXEXTRACT(Filmes_raw!F440, ""[0-9]+""
))"),95.0)</f>
        <v>95</v>
      </c>
    </row>
    <row r="441">
      <c r="A441" s="1">
        <v>440.0</v>
      </c>
      <c r="B441" s="1" t="s">
        <v>2802</v>
      </c>
      <c r="C441" s="13" t="b">
        <f>IFERROR(__xludf.DUMMYFUNCTION("IF(ISTEXT(Filmes_raw!C441), REGEXEXTRACT(Filmes_raw!C441,""[^,]+$""))"),FALSE)</f>
        <v>0</v>
      </c>
      <c r="D441" s="1" t="b">
        <f t="shared" si="1"/>
        <v>0</v>
      </c>
      <c r="E441" s="14">
        <f>IFERROR(__xludf.DUMMYFUNCTION("VALUE(IF(ISTEXT(D441), REGEXREPLACE(Filmes_raw!C441,""[^,]+$"",D441),Filmes_raw!C441))"),1.7570324E7)</f>
        <v>17570324</v>
      </c>
      <c r="F441" s="6">
        <f>IFERROR(__xludf.DUMMYFUNCTION("VALUE(REGEXEXTRACT(Filmes_raw!F441, ""[0-9]+""
))"),108.0)</f>
        <v>108</v>
      </c>
    </row>
    <row r="442">
      <c r="A442" s="1">
        <v>441.0</v>
      </c>
      <c r="B442" s="1" t="s">
        <v>2807</v>
      </c>
      <c r="C442" s="13" t="b">
        <f>IFERROR(__xludf.DUMMYFUNCTION("IF(ISTEXT(Filmes_raw!C442), REGEXEXTRACT(Filmes_raw!C442,""[^,]+$""))"),FALSE)</f>
        <v>0</v>
      </c>
      <c r="D442" s="1" t="b">
        <f t="shared" si="1"/>
        <v>0</v>
      </c>
      <c r="E442" s="14">
        <f>IFERROR(__xludf.DUMMYFUNCTION("VALUE(IF(ISTEXT(D442), REGEXREPLACE(Filmes_raw!C442,""[^,]+$"",D442),Filmes_raw!C442))"),7704.0)</f>
        <v>7704</v>
      </c>
      <c r="F442" s="6">
        <f>IFERROR(__xludf.DUMMYFUNCTION("VALUE(REGEXEXTRACT(Filmes_raw!F442, ""[0-9]+""
))"),96.0)</f>
        <v>96</v>
      </c>
    </row>
    <row r="443">
      <c r="A443" s="1">
        <v>442.0</v>
      </c>
      <c r="B443" s="1" t="s">
        <v>2812</v>
      </c>
      <c r="C443" s="13" t="b">
        <f>IFERROR(__xludf.DUMMYFUNCTION("IF(ISTEXT(Filmes_raw!C443), REGEXEXTRACT(Filmes_raw!C443,""[^,]+$""))"),FALSE)</f>
        <v>0</v>
      </c>
      <c r="D443" s="1" t="b">
        <f t="shared" si="1"/>
        <v>0</v>
      </c>
      <c r="E443" s="14">
        <f>IFERROR(__xludf.DUMMYFUNCTION("VALUE(IF(ISTEXT(D443), REGEXREPLACE(Filmes_raw!C443,""[^,]+$"",D443),Filmes_raw!C443))"),203.0)</f>
        <v>203</v>
      </c>
      <c r="F443" s="6">
        <f>IFERROR(__xludf.DUMMYFUNCTION("VALUE(REGEXEXTRACT(Filmes_raw!F443, ""[0-9]+""
))"),84.0)</f>
        <v>84</v>
      </c>
    </row>
    <row r="444">
      <c r="A444" s="1">
        <v>443.0</v>
      </c>
      <c r="B444" s="1" t="s">
        <v>2817</v>
      </c>
      <c r="C444" s="13" t="b">
        <f>IFERROR(__xludf.DUMMYFUNCTION("IF(ISTEXT(Filmes_raw!C444), REGEXEXTRACT(Filmes_raw!C444,""[^,]+$""))"),FALSE)</f>
        <v>0</v>
      </c>
      <c r="D444" s="1" t="b">
        <f t="shared" si="1"/>
        <v>0</v>
      </c>
      <c r="E444" s="14">
        <f>IFERROR(__xludf.DUMMYFUNCTION("VALUE(IF(ISTEXT(D444), REGEXREPLACE(Filmes_raw!C444,""[^,]+$"",D444),Filmes_raw!C444))"),654.0)</f>
        <v>654</v>
      </c>
      <c r="F444" s="6">
        <f>IFERROR(__xludf.DUMMYFUNCTION("VALUE(REGEXEXTRACT(Filmes_raw!F444, ""[0-9]+""
))"),92.0)</f>
        <v>92</v>
      </c>
    </row>
    <row r="445">
      <c r="A445" s="1">
        <v>444.0</v>
      </c>
      <c r="B445" s="1" t="s">
        <v>2823</v>
      </c>
      <c r="C445" s="13" t="b">
        <f>IFERROR(__xludf.DUMMYFUNCTION("IF(ISTEXT(Filmes_raw!C445), REGEXEXTRACT(Filmes_raw!C445,""[^,]+$""))"),FALSE)</f>
        <v>0</v>
      </c>
      <c r="D445" s="1" t="b">
        <f t="shared" si="1"/>
        <v>0</v>
      </c>
      <c r="E445" s="14">
        <f>IFERROR(__xludf.DUMMYFUNCTION("VALUE(IF(ISTEXT(D445), REGEXREPLACE(Filmes_raw!C445,""[^,]+$"",D445),Filmes_raw!C445))"),17923.0)</f>
        <v>17923</v>
      </c>
      <c r="F445" s="6">
        <f>IFERROR(__xludf.DUMMYFUNCTION("VALUE(REGEXEXTRACT(Filmes_raw!F445, ""[0-9]+""
))"),108.0)</f>
        <v>108</v>
      </c>
    </row>
    <row r="446">
      <c r="A446" s="1">
        <v>445.0</v>
      </c>
      <c r="B446" s="1" t="s">
        <v>2827</v>
      </c>
      <c r="C446" s="13" t="b">
        <f>IFERROR(__xludf.DUMMYFUNCTION("IF(ISTEXT(Filmes_raw!C446), REGEXEXTRACT(Filmes_raw!C446,""[^,]+$""))"),FALSE)</f>
        <v>0</v>
      </c>
      <c r="D446" s="1" t="b">
        <f t="shared" si="1"/>
        <v>0</v>
      </c>
      <c r="E446" s="14">
        <f>IFERROR(__xludf.DUMMYFUNCTION("VALUE(IF(ISTEXT(D446), REGEXREPLACE(Filmes_raw!C446,""[^,]+$"",D446),Filmes_raw!C446))"),12498.0)</f>
        <v>12498</v>
      </c>
      <c r="F446" s="6">
        <f>IFERROR(__xludf.DUMMYFUNCTION("VALUE(REGEXEXTRACT(Filmes_raw!F446, ""[0-9]+""
))"),117.0)</f>
        <v>117</v>
      </c>
    </row>
    <row r="447">
      <c r="A447" s="1">
        <v>446.0</v>
      </c>
      <c r="B447" s="1" t="s">
        <v>2833</v>
      </c>
      <c r="C447" s="13" t="b">
        <f>IFERROR(__xludf.DUMMYFUNCTION("IF(ISTEXT(Filmes_raw!C447), REGEXEXTRACT(Filmes_raw!C447,""[^,]+$""))"),FALSE)</f>
        <v>0</v>
      </c>
      <c r="D447" s="1" t="b">
        <f t="shared" si="1"/>
        <v>0</v>
      </c>
      <c r="E447" s="14">
        <f>IFERROR(__xludf.DUMMYFUNCTION("VALUE(IF(ISTEXT(D447), REGEXREPLACE(Filmes_raw!C447,""[^,]+$"",D447),Filmes_raw!C447))"),1661530.0)</f>
        <v>1661530</v>
      </c>
      <c r="F447" s="6">
        <f>IFERROR(__xludf.DUMMYFUNCTION("VALUE(REGEXEXTRACT(Filmes_raw!F447, ""[0-9]+""
))"),120.0)</f>
        <v>120</v>
      </c>
    </row>
    <row r="448">
      <c r="A448" s="1">
        <v>447.0</v>
      </c>
      <c r="B448" s="1" t="s">
        <v>2837</v>
      </c>
      <c r="C448" s="13" t="b">
        <f>IFERROR(__xludf.DUMMYFUNCTION("IF(ISTEXT(Filmes_raw!C448), REGEXEXTRACT(Filmes_raw!C448,""[^,]+$""))"),FALSE)</f>
        <v>0</v>
      </c>
      <c r="D448" s="1" t="b">
        <f t="shared" si="1"/>
        <v>0</v>
      </c>
      <c r="E448" s="14">
        <f>IFERROR(__xludf.DUMMYFUNCTION("VALUE(IF(ISTEXT(D448), REGEXREPLACE(Filmes_raw!C448,""[^,]+$"",D448),Filmes_raw!C448))"),1500000.0)</f>
        <v>1500000</v>
      </c>
      <c r="F448" s="6">
        <f>IFERROR(__xludf.DUMMYFUNCTION("VALUE(REGEXEXTRACT(Filmes_raw!F448, ""[0-9]+""
))"),118.0)</f>
        <v>118</v>
      </c>
    </row>
    <row r="449">
      <c r="A449" s="1">
        <v>448.0</v>
      </c>
      <c r="B449" s="1" t="s">
        <v>2842</v>
      </c>
      <c r="C449" s="13" t="b">
        <f>IFERROR(__xludf.DUMMYFUNCTION("IF(ISTEXT(Filmes_raw!C449), REGEXEXTRACT(Filmes_raw!C449,""[^,]+$""))"),FALSE)</f>
        <v>0</v>
      </c>
      <c r="D449" s="1" t="b">
        <f t="shared" si="1"/>
        <v>0</v>
      </c>
      <c r="E449" s="14">
        <f>IFERROR(__xludf.DUMMYFUNCTION("VALUE(IF(ISTEXT(D449), REGEXREPLACE(Filmes_raw!C449,""[^,]+$"",D449),Filmes_raw!C449))"),8000000.0)</f>
        <v>8000000</v>
      </c>
      <c r="F449" s="6">
        <f>IFERROR(__xludf.DUMMYFUNCTION("VALUE(REGEXEXTRACT(Filmes_raw!F449, ""[0-9]+""
))"),122.0)</f>
        <v>122</v>
      </c>
    </row>
    <row r="450">
      <c r="A450" s="1">
        <v>449.0</v>
      </c>
      <c r="B450" s="1" t="s">
        <v>2844</v>
      </c>
      <c r="C450" s="13" t="b">
        <f>IFERROR(__xludf.DUMMYFUNCTION("IF(ISTEXT(Filmes_raw!C450), REGEXEXTRACT(Filmes_raw!C450,""[^,]+$""))"),FALSE)</f>
        <v>0</v>
      </c>
      <c r="D450" s="1" t="b">
        <f t="shared" si="1"/>
        <v>0</v>
      </c>
      <c r="E450" s="14">
        <f>IFERROR(__xludf.DUMMYFUNCTION("VALUE(IF(ISTEXT(D450), REGEXREPLACE(Filmes_raw!C450,""[^,]+$"",D450),Filmes_raw!C450))"),21493.0)</f>
        <v>21493</v>
      </c>
      <c r="F450" s="6">
        <f>IFERROR(__xludf.DUMMYFUNCTION("VALUE(REGEXEXTRACT(Filmes_raw!F450, ""[0-9]+""
))"),94.0)</f>
        <v>94</v>
      </c>
    </row>
    <row r="451">
      <c r="A451" s="1">
        <v>450.0</v>
      </c>
      <c r="B451" s="1" t="s">
        <v>2851</v>
      </c>
      <c r="C451" s="13" t="b">
        <f>IFERROR(__xludf.DUMMYFUNCTION("IF(ISTEXT(Filmes_raw!C451), REGEXEXTRACT(Filmes_raw!C451,""[^,]+$""))"),FALSE)</f>
        <v>0</v>
      </c>
      <c r="D451" s="1" t="b">
        <f t="shared" si="1"/>
        <v>0</v>
      </c>
      <c r="E451" s="14">
        <f>IFERROR(__xludf.DUMMYFUNCTION("VALUE(IF(ISTEXT(D451), REGEXREPLACE(Filmes_raw!C451,""[^,]+$"",D451),Filmes_raw!C451))"),145583.0)</f>
        <v>145583</v>
      </c>
      <c r="F451" s="6">
        <f>IFERROR(__xludf.DUMMYFUNCTION("VALUE(REGEXEXTRACT(Filmes_raw!F451, ""[0-9]+""
))"),106.0)</f>
        <v>106</v>
      </c>
    </row>
    <row r="452">
      <c r="A452" s="1">
        <v>451.0</v>
      </c>
      <c r="B452" s="1" t="s">
        <v>2857</v>
      </c>
      <c r="C452" s="13" t="str">
        <f>IFERROR(__xludf.DUMMYFUNCTION("IF(ISTEXT(Filmes_raw!C452), REGEXEXTRACT(Filmes_raw!C452,""[^,]+$""))"),"59")</f>
        <v>59</v>
      </c>
      <c r="D452" s="1" t="str">
        <f t="shared" si="1"/>
        <v>590</v>
      </c>
      <c r="E452" s="14">
        <f>IFERROR(__xludf.DUMMYFUNCTION("VALUE(IF(ISTEXT(D452), REGEXREPLACE(Filmes_raw!C452,""[^,]+$"",D452),Filmes_raw!C452))"),10590.0)</f>
        <v>10590</v>
      </c>
      <c r="F452" s="6">
        <f>IFERROR(__xludf.DUMMYFUNCTION("VALUE(REGEXEXTRACT(Filmes_raw!F452, ""[0-9]+""
))"),80.0)</f>
        <v>80</v>
      </c>
    </row>
    <row r="453">
      <c r="A453" s="1">
        <v>452.0</v>
      </c>
      <c r="B453" s="1" t="s">
        <v>2863</v>
      </c>
      <c r="C453" s="13" t="b">
        <f>IFERROR(__xludf.DUMMYFUNCTION("IF(ISTEXT(Filmes_raw!C453), REGEXEXTRACT(Filmes_raw!C453,""[^,]+$""))"),FALSE)</f>
        <v>0</v>
      </c>
      <c r="D453" s="1" t="b">
        <f t="shared" si="1"/>
        <v>0</v>
      </c>
      <c r="E453" s="14">
        <f>IFERROR(__xludf.DUMMYFUNCTION("VALUE(IF(ISTEXT(D453), REGEXREPLACE(Filmes_raw!C453,""[^,]+$"",D453),Filmes_raw!C453))"),0.0)</f>
        <v>0</v>
      </c>
      <c r="F453" s="6">
        <f>IFERROR(__xludf.DUMMYFUNCTION("VALUE(REGEXEXTRACT(Filmes_raw!F453, ""[0-9]+""
))"),97.0)</f>
        <v>97</v>
      </c>
    </row>
    <row r="454">
      <c r="A454" s="1">
        <v>453.0</v>
      </c>
      <c r="B454" s="1" t="s">
        <v>2869</v>
      </c>
      <c r="C454" s="13" t="b">
        <f>IFERROR(__xludf.DUMMYFUNCTION("IF(ISTEXT(Filmes_raw!C454), REGEXEXTRACT(Filmes_raw!C454,""[^,]+$""))"),FALSE)</f>
        <v>0</v>
      </c>
      <c r="D454" s="1" t="b">
        <f t="shared" si="1"/>
        <v>0</v>
      </c>
      <c r="E454" s="14">
        <f>IFERROR(__xludf.DUMMYFUNCTION("VALUE(IF(ISTEXT(D454), REGEXREPLACE(Filmes_raw!C454,""[^,]+$"",D454),Filmes_raw!C454))"),107384.0)</f>
        <v>107384</v>
      </c>
      <c r="F454" s="6">
        <f>IFERROR(__xludf.DUMMYFUNCTION("VALUE(REGEXEXTRACT(Filmes_raw!F454, ""[0-9]+""
))"),86.0)</f>
        <v>86</v>
      </c>
    </row>
    <row r="455">
      <c r="A455" s="1">
        <v>454.0</v>
      </c>
      <c r="B455" s="1" t="s">
        <v>2874</v>
      </c>
      <c r="C455" s="13" t="b">
        <f>IFERROR(__xludf.DUMMYFUNCTION("IF(ISTEXT(Filmes_raw!C455), REGEXEXTRACT(Filmes_raw!C455,""[^,]+$""))"),FALSE)</f>
        <v>0</v>
      </c>
      <c r="D455" s="1" t="b">
        <f t="shared" si="1"/>
        <v>0</v>
      </c>
      <c r="E455" s="14">
        <f>IFERROR(__xludf.DUMMYFUNCTION("VALUE(IF(ISTEXT(D455), REGEXREPLACE(Filmes_raw!C455,""[^,]+$"",D455),Filmes_raw!C455))"),4360000.0)</f>
        <v>4360000</v>
      </c>
      <c r="F455" s="6">
        <f>IFERROR(__xludf.DUMMYFUNCTION("VALUE(REGEXEXTRACT(Filmes_raw!F455, ""[0-9]+""
))"),88.0)</f>
        <v>88</v>
      </c>
    </row>
    <row r="456">
      <c r="A456" s="1">
        <v>455.0</v>
      </c>
      <c r="B456" s="1" t="s">
        <v>2880</v>
      </c>
      <c r="C456" s="13" t="b">
        <f>IFERROR(__xludf.DUMMYFUNCTION("IF(ISTEXT(Filmes_raw!C456), REGEXEXTRACT(Filmes_raw!C456,""[^,]+$""))"),FALSE)</f>
        <v>0</v>
      </c>
      <c r="D456" s="1" t="b">
        <f t="shared" si="1"/>
        <v>0</v>
      </c>
      <c r="E456" s="14">
        <f>IFERROR(__xludf.DUMMYFUNCTION("VALUE(IF(ISTEXT(D456), REGEXREPLACE(Filmes_raw!C456,""[^,]+$"",D456),Filmes_raw!C456))"),2.365E7)</f>
        <v>23650000</v>
      </c>
      <c r="F456" s="6">
        <f>IFERROR(__xludf.DUMMYFUNCTION("VALUE(REGEXEXTRACT(Filmes_raw!F456, ""[0-9]+""
))"),170.0)</f>
        <v>170</v>
      </c>
    </row>
    <row r="457">
      <c r="A457" s="1">
        <v>456.0</v>
      </c>
      <c r="B457" s="1" t="s">
        <v>2884</v>
      </c>
      <c r="C457" s="13" t="b">
        <f>IFERROR(__xludf.DUMMYFUNCTION("IF(ISTEXT(Filmes_raw!C457), REGEXEXTRACT(Filmes_raw!C457,""[^,]+$""))"),FALSE)</f>
        <v>0</v>
      </c>
      <c r="D457" s="1" t="b">
        <f t="shared" si="1"/>
        <v>0</v>
      </c>
      <c r="E457" s="14">
        <f>IFERROR(__xludf.DUMMYFUNCTION("VALUE(IF(ISTEXT(D457), REGEXREPLACE(Filmes_raw!C457,""[^,]+$"",D457),Filmes_raw!C457))"),1164000.0)</f>
        <v>1164000</v>
      </c>
      <c r="F457" s="6">
        <f>IFERROR(__xludf.DUMMYFUNCTION("VALUE(REGEXEXTRACT(Filmes_raw!F457, ""[0-9]+""
))"),118.0)</f>
        <v>118</v>
      </c>
    </row>
    <row r="458">
      <c r="A458" s="1">
        <v>457.0</v>
      </c>
      <c r="B458" s="1" t="s">
        <v>2889</v>
      </c>
      <c r="C458" s="13" t="b">
        <f>IFERROR(__xludf.DUMMYFUNCTION("IF(ISTEXT(Filmes_raw!C458), REGEXEXTRACT(Filmes_raw!C458,""[^,]+$""))"),FALSE)</f>
        <v>0</v>
      </c>
      <c r="D458" s="1" t="b">
        <f t="shared" si="1"/>
        <v>0</v>
      </c>
      <c r="E458" s="14">
        <f>IFERROR(__xludf.DUMMYFUNCTION("VALUE(IF(ISTEXT(D458), REGEXREPLACE(Filmes_raw!C458,""[^,]+$"",D458),Filmes_raw!C458))"),2108060.0)</f>
        <v>2108060</v>
      </c>
      <c r="F458" s="6">
        <f>IFERROR(__xludf.DUMMYFUNCTION("VALUE(REGEXEXTRACT(Filmes_raw!F458, ""[0-9]+""
))"),100.0)</f>
        <v>100</v>
      </c>
    </row>
    <row r="459">
      <c r="A459" s="1">
        <v>458.0</v>
      </c>
      <c r="B459" s="1" t="s">
        <v>2895</v>
      </c>
      <c r="C459" s="13" t="b">
        <f>IFERROR(__xludf.DUMMYFUNCTION("IF(ISTEXT(Filmes_raw!C459), REGEXEXTRACT(Filmes_raw!C459,""[^,]+$""))"),FALSE)</f>
        <v>0</v>
      </c>
      <c r="D459" s="1" t="b">
        <f t="shared" si="1"/>
        <v>0</v>
      </c>
      <c r="E459" s="14">
        <f>IFERROR(__xludf.DUMMYFUNCTION("VALUE(IF(ISTEXT(D459), REGEXREPLACE(Filmes_raw!C459,""[^,]+$"",D459),Filmes_raw!C459))"),55.0)</f>
        <v>55</v>
      </c>
      <c r="F459" s="6">
        <f>IFERROR(__xludf.DUMMYFUNCTION("VALUE(REGEXEXTRACT(Filmes_raw!F459, ""[0-9]+""
))"),129.0)</f>
        <v>129</v>
      </c>
    </row>
    <row r="460">
      <c r="A460" s="1">
        <v>459.0</v>
      </c>
      <c r="B460" s="1" t="s">
        <v>2900</v>
      </c>
      <c r="C460" s="13" t="b">
        <f>IFERROR(__xludf.DUMMYFUNCTION("IF(ISTEXT(Filmes_raw!C460), REGEXEXTRACT(Filmes_raw!C460,""[^,]+$""))"),FALSE)</f>
        <v>0</v>
      </c>
      <c r="D460" s="1" t="b">
        <f t="shared" si="1"/>
        <v>0</v>
      </c>
      <c r="E460" s="14">
        <f>IFERROR(__xludf.DUMMYFUNCTION("VALUE(IF(ISTEXT(D460), REGEXREPLACE(Filmes_raw!C460,""[^,]+$"",D460),Filmes_raw!C460))"),2076020.0)</f>
        <v>2076020</v>
      </c>
      <c r="F460" s="6">
        <f>IFERROR(__xludf.DUMMYFUNCTION("VALUE(REGEXEXTRACT(Filmes_raw!F460, ""[0-9]+""
))"),102.0)</f>
        <v>102</v>
      </c>
    </row>
    <row r="461">
      <c r="A461" s="1">
        <v>460.0</v>
      </c>
      <c r="B461" s="1" t="s">
        <v>2905</v>
      </c>
      <c r="C461" s="13" t="b">
        <f>IFERROR(__xludf.DUMMYFUNCTION("IF(ISTEXT(Filmes_raw!C461), REGEXEXTRACT(Filmes_raw!C461,""[^,]+$""))"),FALSE)</f>
        <v>0</v>
      </c>
      <c r="D461" s="1" t="b">
        <f t="shared" si="1"/>
        <v>0</v>
      </c>
      <c r="E461" s="14">
        <f>IFERROR(__xludf.DUMMYFUNCTION("VALUE(IF(ISTEXT(D461), REGEXREPLACE(Filmes_raw!C461,""[^,]+$"",D461),Filmes_raw!C461))"),273641.0)</f>
        <v>273641</v>
      </c>
      <c r="F461" s="6">
        <f>IFERROR(__xludf.DUMMYFUNCTION("VALUE(REGEXEXTRACT(Filmes_raw!F461, ""[0-9]+""
))"),110.0)</f>
        <v>110</v>
      </c>
    </row>
    <row r="462">
      <c r="A462" s="1">
        <v>461.0</v>
      </c>
      <c r="B462" s="1" t="s">
        <v>2911</v>
      </c>
      <c r="C462" s="13" t="b">
        <f>IFERROR(__xludf.DUMMYFUNCTION("IF(ISTEXT(Filmes_raw!C462), REGEXEXTRACT(Filmes_raw!C462,""[^,]+$""))"),FALSE)</f>
        <v>0</v>
      </c>
      <c r="D462" s="1" t="b">
        <f t="shared" si="1"/>
        <v>0</v>
      </c>
      <c r="E462" s="14">
        <f>IFERROR(__xludf.DUMMYFUNCTION("VALUE(IF(ISTEXT(D462), REGEXREPLACE(Filmes_raw!C462,""[^,]+$"",D462),Filmes_raw!C462))"),226408.0)</f>
        <v>226408</v>
      </c>
      <c r="F462" s="6">
        <f>IFERROR(__xludf.DUMMYFUNCTION("VALUE(REGEXEXTRACT(Filmes_raw!F462, ""[0-9]+""
))"),91.0)</f>
        <v>91</v>
      </c>
    </row>
    <row r="463">
      <c r="A463" s="1">
        <v>462.0</v>
      </c>
      <c r="B463" s="1" t="s">
        <v>2918</v>
      </c>
      <c r="C463" s="13" t="b">
        <f>IFERROR(__xludf.DUMMYFUNCTION("IF(ISTEXT(Filmes_raw!C463), REGEXEXTRACT(Filmes_raw!C463,""[^,]+$""))"),FALSE)</f>
        <v>0</v>
      </c>
      <c r="D463" s="1" t="b">
        <f t="shared" si="1"/>
        <v>0</v>
      </c>
      <c r="E463" s="14">
        <f>IFERROR(__xludf.DUMMYFUNCTION("VALUE(IF(ISTEXT(D463), REGEXREPLACE(Filmes_raw!C463,""[^,]+$"",D463),Filmes_raw!C463))"),3270000.0)</f>
        <v>3270000</v>
      </c>
      <c r="F463" s="6">
        <f>IFERROR(__xludf.DUMMYFUNCTION("VALUE(REGEXEXTRACT(Filmes_raw!F463, ""[0-9]+""
))"),152.0)</f>
        <v>152</v>
      </c>
    </row>
    <row r="464">
      <c r="A464" s="1">
        <v>463.0</v>
      </c>
      <c r="B464" s="1" t="s">
        <v>2925</v>
      </c>
      <c r="C464" s="13" t="str">
        <f>IFERROR(__xludf.DUMMYFUNCTION("IF(ISTEXT(Filmes_raw!C464), REGEXEXTRACT(Filmes_raw!C464,""[^,]+$""))"),"97")</f>
        <v>97</v>
      </c>
      <c r="D464" s="1" t="str">
        <f t="shared" si="1"/>
        <v>970</v>
      </c>
      <c r="E464" s="14">
        <f>IFERROR(__xludf.DUMMYFUNCTION("VALUE(IF(ISTEXT(D464), REGEXREPLACE(Filmes_raw!C464,""[^,]+$"",D464),Filmes_raw!C464))"),50970.0)</f>
        <v>50970</v>
      </c>
      <c r="F464" s="6">
        <f>IFERROR(__xludf.DUMMYFUNCTION("VALUE(REGEXEXTRACT(Filmes_raw!F464, ""[0-9]+""
))"),75.0)</f>
        <v>75</v>
      </c>
    </row>
    <row r="465">
      <c r="A465" s="1">
        <v>464.0</v>
      </c>
      <c r="B465" s="1" t="s">
        <v>2934</v>
      </c>
      <c r="C465" s="13" t="b">
        <f>IFERROR(__xludf.DUMMYFUNCTION("IF(ISTEXT(Filmes_raw!C465), REGEXEXTRACT(Filmes_raw!C465,""[^,]+$""))"),FALSE)</f>
        <v>0</v>
      </c>
      <c r="D465" s="1" t="b">
        <f t="shared" si="1"/>
        <v>0</v>
      </c>
      <c r="E465" s="14">
        <f>IFERROR(__xludf.DUMMYFUNCTION("VALUE(IF(ISTEXT(D465), REGEXREPLACE(Filmes_raw!C465,""[^,]+$"",D465),Filmes_raw!C465))"),1.65359751E8)</f>
        <v>165359751</v>
      </c>
      <c r="F465" s="6">
        <f>IFERROR(__xludf.DUMMYFUNCTION("VALUE(REGEXEXTRACT(Filmes_raw!F465, ""[0-9]+""
))"),130.0)</f>
        <v>130</v>
      </c>
    </row>
    <row r="466">
      <c r="A466" s="1">
        <v>465.0</v>
      </c>
      <c r="B466" s="1" t="s">
        <v>2938</v>
      </c>
      <c r="C466" s="13" t="b">
        <f>IFERROR(__xludf.DUMMYFUNCTION("IF(ISTEXT(Filmes_raw!C466), REGEXEXTRACT(Filmes_raw!C466,""[^,]+$""))"),FALSE)</f>
        <v>0</v>
      </c>
      <c r="D466" s="1" t="b">
        <f t="shared" si="1"/>
        <v>0</v>
      </c>
      <c r="E466" s="14">
        <f>IFERROR(__xludf.DUMMYFUNCTION("VALUE(IF(ISTEXT(D466), REGEXREPLACE(Filmes_raw!C466,""[^,]+$"",D466),Filmes_raw!C466))"),45171.0)</f>
        <v>45171</v>
      </c>
      <c r="F466" s="6">
        <f>IFERROR(__xludf.DUMMYFUNCTION("VALUE(REGEXEXTRACT(Filmes_raw!F466, ""[0-9]+""
))"),101.0)</f>
        <v>101</v>
      </c>
    </row>
    <row r="467">
      <c r="A467" s="1">
        <v>466.0</v>
      </c>
      <c r="B467" s="1" t="s">
        <v>2944</v>
      </c>
      <c r="C467" s="13" t="b">
        <f>IFERROR(__xludf.DUMMYFUNCTION("IF(ISTEXT(Filmes_raw!C467), REGEXEXTRACT(Filmes_raw!C467,""[^,]+$""))"),FALSE)</f>
        <v>0</v>
      </c>
      <c r="D467" s="1" t="b">
        <f t="shared" si="1"/>
        <v>0</v>
      </c>
      <c r="E467" s="14">
        <f>IFERROR(__xludf.DUMMYFUNCTION("VALUE(IF(ISTEXT(D467), REGEXREPLACE(Filmes_raw!C467,""[^,]+$"",D467),Filmes_raw!C467))"),3313513.0)</f>
        <v>3313513</v>
      </c>
      <c r="F467" s="6">
        <f>IFERROR(__xludf.DUMMYFUNCTION("VALUE(REGEXEXTRACT(Filmes_raw!F467, ""[0-9]+""
))"),121.0)</f>
        <v>121</v>
      </c>
    </row>
    <row r="468">
      <c r="A468" s="1">
        <v>467.0</v>
      </c>
      <c r="B468" s="1" t="s">
        <v>2951</v>
      </c>
      <c r="C468" s="13" t="b">
        <f>IFERROR(__xludf.DUMMYFUNCTION("IF(ISTEXT(Filmes_raw!C468), REGEXEXTRACT(Filmes_raw!C468,""[^,]+$""))"),FALSE)</f>
        <v>0</v>
      </c>
      <c r="D468" s="1" t="b">
        <f t="shared" si="1"/>
        <v>0</v>
      </c>
      <c r="E468" s="14">
        <f>IFERROR(__xludf.DUMMYFUNCTION("VALUE(IF(ISTEXT(D468), REGEXREPLACE(Filmes_raw!C468,""[^,]+$"",D468),Filmes_raw!C468))"),2000000.0)</f>
        <v>2000000</v>
      </c>
      <c r="F468" s="6">
        <f>IFERROR(__xludf.DUMMYFUNCTION("VALUE(REGEXEXTRACT(Filmes_raw!F468, ""[0-9]+""
))"),137.0)</f>
        <v>137</v>
      </c>
    </row>
    <row r="469">
      <c r="A469" s="1">
        <v>468.0</v>
      </c>
      <c r="B469" s="1" t="s">
        <v>2957</v>
      </c>
      <c r="C469" s="13" t="b">
        <f>IFERROR(__xludf.DUMMYFUNCTION("IF(ISTEXT(Filmes_raw!C469), REGEXEXTRACT(Filmes_raw!C469,""[^,]+$""))"),FALSE)</f>
        <v>0</v>
      </c>
      <c r="D469" s="1" t="b">
        <f t="shared" si="1"/>
        <v>0</v>
      </c>
      <c r="E469" s="14">
        <f>IFERROR(__xludf.DUMMYFUNCTION("VALUE(IF(ISTEXT(D469), REGEXREPLACE(Filmes_raw!C469,""[^,]+$"",D469),Filmes_raw!C469))"),1.8095701E7)</f>
        <v>18095701</v>
      </c>
      <c r="F469" s="6">
        <f>IFERROR(__xludf.DUMMYFUNCTION("VALUE(REGEXEXTRACT(Filmes_raw!F469, ""[0-9]+""
))"),132.0)</f>
        <v>132</v>
      </c>
    </row>
    <row r="470">
      <c r="A470" s="1">
        <v>469.0</v>
      </c>
      <c r="B470" s="1" t="s">
        <v>2964</v>
      </c>
      <c r="C470" s="13" t="b">
        <f>IFERROR(__xludf.DUMMYFUNCTION("IF(ISTEXT(Filmes_raw!C470), REGEXEXTRACT(Filmes_raw!C470,""[^,]+$""))"),FALSE)</f>
        <v>0</v>
      </c>
      <c r="D470" s="1" t="b">
        <f t="shared" si="1"/>
        <v>0</v>
      </c>
      <c r="E470" s="14">
        <f>IFERROR(__xludf.DUMMYFUNCTION("VALUE(IF(ISTEXT(D470), REGEXREPLACE(Filmes_raw!C470,""[^,]+$"",D470),Filmes_raw!C470))"),258168.0)</f>
        <v>258168</v>
      </c>
      <c r="F470" s="6">
        <f>IFERROR(__xludf.DUMMYFUNCTION("VALUE(REGEXEXTRACT(Filmes_raw!F470, ""[0-9]+""
))"),100.0)</f>
        <v>100</v>
      </c>
    </row>
    <row r="471">
      <c r="A471" s="1">
        <v>470.0</v>
      </c>
      <c r="B471" s="1" t="s">
        <v>2970</v>
      </c>
      <c r="C471" s="13" t="b">
        <f>IFERROR(__xludf.DUMMYFUNCTION("IF(ISTEXT(Filmes_raw!C471), REGEXEXTRACT(Filmes_raw!C471,""[^,]+$""))"),FALSE)</f>
        <v>0</v>
      </c>
      <c r="D471" s="1" t="b">
        <f t="shared" si="1"/>
        <v>0</v>
      </c>
      <c r="E471" s="14">
        <f>IFERROR(__xludf.DUMMYFUNCTION("VALUE(IF(ISTEXT(D471), REGEXREPLACE(Filmes_raw!C471,""[^,]+$"",D471),Filmes_raw!C471))"),3.2015231E7)</f>
        <v>32015231</v>
      </c>
      <c r="F471" s="6">
        <f>IFERROR(__xludf.DUMMYFUNCTION("VALUE(REGEXEXTRACT(Filmes_raw!F471, ""[0-9]+""
))"),101.0)</f>
        <v>101</v>
      </c>
    </row>
    <row r="472">
      <c r="A472" s="1">
        <v>471.0</v>
      </c>
      <c r="B472" s="1" t="s">
        <v>2975</v>
      </c>
      <c r="C472" s="13" t="b">
        <f>IFERROR(__xludf.DUMMYFUNCTION("IF(ISTEXT(Filmes_raw!C472), REGEXEXTRACT(Filmes_raw!C472,""[^,]+$""))"),FALSE)</f>
        <v>0</v>
      </c>
      <c r="D472" s="1" t="b">
        <f t="shared" si="1"/>
        <v>0</v>
      </c>
      <c r="E472" s="14">
        <f>IFERROR(__xludf.DUMMYFUNCTION("VALUE(IF(ISTEXT(D472), REGEXREPLACE(Filmes_raw!C472,""[^,]+$"",D472),Filmes_raw!C472))"),5202582.0)</f>
        <v>5202582</v>
      </c>
      <c r="F472" s="6">
        <f>IFERROR(__xludf.DUMMYFUNCTION("VALUE(REGEXEXTRACT(Filmes_raw!F472, ""[0-9]+""
))"),101.0)</f>
        <v>101</v>
      </c>
    </row>
    <row r="473">
      <c r="A473" s="1">
        <v>472.0</v>
      </c>
      <c r="B473" s="1" t="s">
        <v>2981</v>
      </c>
      <c r="C473" s="13" t="b">
        <f>IFERROR(__xludf.DUMMYFUNCTION("IF(ISTEXT(Filmes_raw!C473), REGEXEXTRACT(Filmes_raw!C473,""[^,]+$""))"),FALSE)</f>
        <v>0</v>
      </c>
      <c r="D473" s="1" t="b">
        <f t="shared" si="1"/>
        <v>0</v>
      </c>
      <c r="E473" s="14">
        <f>IFERROR(__xludf.DUMMYFUNCTION("VALUE(IF(ISTEXT(D473), REGEXREPLACE(Filmes_raw!C473,""[^,]+$"",D473),Filmes_raw!C473))"),5875006.0)</f>
        <v>5875006</v>
      </c>
      <c r="F473" s="6">
        <f>IFERROR(__xludf.DUMMYFUNCTION("VALUE(REGEXEXTRACT(Filmes_raw!F473, ""[0-9]+""
))"),118.0)</f>
        <v>118</v>
      </c>
    </row>
    <row r="474">
      <c r="A474" s="1">
        <v>473.0</v>
      </c>
      <c r="B474" s="1" t="s">
        <v>2986</v>
      </c>
      <c r="C474" s="13" t="b">
        <f>IFERROR(__xludf.DUMMYFUNCTION("IF(ISTEXT(Filmes_raw!C474), REGEXEXTRACT(Filmes_raw!C474,""[^,]+$""))"),FALSE)</f>
        <v>0</v>
      </c>
      <c r="D474" s="1" t="b">
        <f t="shared" si="1"/>
        <v>0</v>
      </c>
      <c r="E474" s="14">
        <f>IFERROR(__xludf.DUMMYFUNCTION("VALUE(IF(ISTEXT(D474), REGEXREPLACE(Filmes_raw!C474,""[^,]+$"",D474),Filmes_raw!C474))"),3237118.0)</f>
        <v>3237118</v>
      </c>
      <c r="F474" s="6">
        <f>IFERROR(__xludf.DUMMYFUNCTION("VALUE(REGEXEXTRACT(Filmes_raw!F474, ""[0-9]+""
))"),106.0)</f>
        <v>106</v>
      </c>
    </row>
    <row r="475">
      <c r="A475" s="1">
        <v>474.0</v>
      </c>
      <c r="B475" s="1" t="s">
        <v>2993</v>
      </c>
      <c r="C475" s="13" t="b">
        <f>IFERROR(__xludf.DUMMYFUNCTION("IF(ISTEXT(Filmes_raw!C475), REGEXEXTRACT(Filmes_raw!C475,""[^,]+$""))"),FALSE)</f>
        <v>0</v>
      </c>
      <c r="D475" s="1" t="b">
        <f t="shared" si="1"/>
        <v>0</v>
      </c>
      <c r="E475" s="14">
        <f>IFERROR(__xludf.DUMMYFUNCTION("VALUE(IF(ISTEXT(D475), REGEXREPLACE(Filmes_raw!C475,""[^,]+$"",D475),Filmes_raw!C475))"),3.15058289E8)</f>
        <v>315058289</v>
      </c>
      <c r="F475" s="6">
        <f>IFERROR(__xludf.DUMMYFUNCTION("VALUE(REGEXEXTRACT(Filmes_raw!F475, ""[0-9]+""
))"),130.0)</f>
        <v>130</v>
      </c>
    </row>
    <row r="476">
      <c r="A476" s="1">
        <v>475.0</v>
      </c>
      <c r="B476" s="1" t="s">
        <v>2997</v>
      </c>
      <c r="C476" s="13" t="b">
        <f>IFERROR(__xludf.DUMMYFUNCTION("IF(ISTEXT(Filmes_raw!C476), REGEXEXTRACT(Filmes_raw!C476,""[^,]+$""))"),FALSE)</f>
        <v>0</v>
      </c>
      <c r="D476" s="1" t="b">
        <f t="shared" si="1"/>
        <v>0</v>
      </c>
      <c r="E476" s="14">
        <f>IFERROR(__xludf.DUMMYFUNCTION("VALUE(IF(ISTEXT(D476), REGEXREPLACE(Filmes_raw!C476,""[^,]+$"",D476),Filmes_raw!C476))"),3.2381218E7)</f>
        <v>32381218</v>
      </c>
      <c r="F476" s="6">
        <f>IFERROR(__xludf.DUMMYFUNCTION("VALUE(REGEXEXTRACT(Filmes_raw!F476, ""[0-9]+""
))"),117.0)</f>
        <v>117</v>
      </c>
    </row>
    <row r="477">
      <c r="A477" s="1">
        <v>476.0</v>
      </c>
      <c r="B477" s="1" t="s">
        <v>3003</v>
      </c>
      <c r="C477" s="13" t="b">
        <f>IFERROR(__xludf.DUMMYFUNCTION("IF(ISTEXT(Filmes_raw!C477), REGEXEXTRACT(Filmes_raw!C477,""[^,]+$""))"),FALSE)</f>
        <v>0</v>
      </c>
      <c r="D477" s="1" t="b">
        <f t="shared" si="1"/>
        <v>0</v>
      </c>
      <c r="E477" s="14">
        <f>IFERROR(__xludf.DUMMYFUNCTION("VALUE(IF(ISTEXT(D477), REGEXREPLACE(Filmes_raw!C477,""[^,]+$"",D477),Filmes_raw!C477))"),349555.0)</f>
        <v>349555</v>
      </c>
      <c r="F477" s="6">
        <f>IFERROR(__xludf.DUMMYFUNCTION("VALUE(REGEXEXTRACT(Filmes_raw!F477, ""[0-9]+""
))"),108.0)</f>
        <v>108</v>
      </c>
    </row>
    <row r="478">
      <c r="A478" s="1">
        <v>477.0</v>
      </c>
      <c r="B478" s="1" t="s">
        <v>3007</v>
      </c>
      <c r="C478" s="13" t="b">
        <f>IFERROR(__xludf.DUMMYFUNCTION("IF(ISTEXT(Filmes_raw!C478), REGEXEXTRACT(Filmes_raw!C478,""[^,]+$""))"),FALSE)</f>
        <v>0</v>
      </c>
      <c r="D478" s="1" t="b">
        <f t="shared" si="1"/>
        <v>0</v>
      </c>
      <c r="E478" s="14">
        <f>IFERROR(__xludf.DUMMYFUNCTION("VALUE(IF(ISTEXT(D478), REGEXREPLACE(Filmes_raw!C478,""[^,]+$"",D478),Filmes_raw!C478))"),1.00546139E8)</f>
        <v>100546139</v>
      </c>
      <c r="F478" s="6">
        <f>IFERROR(__xludf.DUMMYFUNCTION("VALUE(REGEXEXTRACT(Filmes_raw!F478, ""[0-9]+""
))"),116.0)</f>
        <v>116</v>
      </c>
    </row>
    <row r="479">
      <c r="A479" s="1">
        <v>478.0</v>
      </c>
      <c r="B479" s="1" t="s">
        <v>3010</v>
      </c>
      <c r="C479" s="13" t="b">
        <f>IFERROR(__xludf.DUMMYFUNCTION("IF(ISTEXT(Filmes_raw!C479), REGEXEXTRACT(Filmes_raw!C479,""[^,]+$""))"),FALSE)</f>
        <v>0</v>
      </c>
      <c r="D479" s="1" t="b">
        <f t="shared" si="1"/>
        <v>0</v>
      </c>
      <c r="E479" s="14">
        <f>IFERROR(__xludf.DUMMYFUNCTION("VALUE(IF(ISTEXT(D479), REGEXREPLACE(Filmes_raw!C479,""[^,]+$"",D479),Filmes_raw!C479))"),9.36662225E8)</f>
        <v>936662225</v>
      </c>
      <c r="F479" s="6">
        <f>IFERROR(__xludf.DUMMYFUNCTION("VALUE(REGEXEXTRACT(Filmes_raw!F479, ""[0-9]+""
))"),138.0)</f>
        <v>138</v>
      </c>
    </row>
    <row r="480">
      <c r="A480" s="1">
        <v>479.0</v>
      </c>
      <c r="B480" s="1" t="s">
        <v>3016</v>
      </c>
      <c r="C480" s="13" t="b">
        <f>IFERROR(__xludf.DUMMYFUNCTION("IF(ISTEXT(Filmes_raw!C480), REGEXEXTRACT(Filmes_raw!C480,""[^,]+$""))"),FALSE)</f>
        <v>0</v>
      </c>
      <c r="D480" s="1" t="b">
        <f t="shared" si="1"/>
        <v>0</v>
      </c>
      <c r="E480" s="14">
        <f>IFERROR(__xludf.DUMMYFUNCTION("VALUE(IF(ISTEXT(D480), REGEXREPLACE(Filmes_raw!C480,""[^,]+$"",D480),Filmes_raw!C480))"),8114627.0)</f>
        <v>8114627</v>
      </c>
      <c r="F480" s="6">
        <f>IFERROR(__xludf.DUMMYFUNCTION("VALUE(REGEXEXTRACT(Filmes_raw!F480, ""[0-9]+""
))"),109.0)</f>
        <v>109</v>
      </c>
    </row>
    <row r="481">
      <c r="A481" s="1">
        <v>480.0</v>
      </c>
      <c r="B481" s="1" t="s">
        <v>3020</v>
      </c>
      <c r="C481" s="13" t="b">
        <f>IFERROR(__xludf.DUMMYFUNCTION("IF(ISTEXT(Filmes_raw!C481), REGEXEXTRACT(Filmes_raw!C481,""[^,]+$""))"),FALSE)</f>
        <v>0</v>
      </c>
      <c r="D481" s="1" t="b">
        <f t="shared" si="1"/>
        <v>0</v>
      </c>
      <c r="E481" s="14">
        <f>IFERROR(__xludf.DUMMYFUNCTION("VALUE(IF(ISTEXT(D481), REGEXREPLACE(Filmes_raw!C481,""[^,]+$"",D481),Filmes_raw!C481))"),2.33921534E8)</f>
        <v>233921534</v>
      </c>
      <c r="F481" s="6">
        <f>IFERROR(__xludf.DUMMYFUNCTION("VALUE(REGEXEXTRACT(Filmes_raw!F481, ""[0-9]+""
))"),132.0)</f>
        <v>132</v>
      </c>
    </row>
    <row r="482">
      <c r="A482" s="1">
        <v>481.0</v>
      </c>
      <c r="B482" s="1" t="s">
        <v>3023</v>
      </c>
      <c r="C482" s="13" t="str">
        <f>IFERROR(__xludf.DUMMYFUNCTION("IF(ISTEXT(Filmes_raw!C482), REGEXEXTRACT(Filmes_raw!C482,""[^,]+$""))"),"73")</f>
        <v>73</v>
      </c>
      <c r="D482" s="1" t="str">
        <f t="shared" si="1"/>
        <v>730</v>
      </c>
      <c r="E482" s="14">
        <f>IFERROR(__xludf.DUMMYFUNCTION("VALUE(IF(ISTEXT(D482), REGEXREPLACE(Filmes_raw!C482,""[^,]+$"",D482),Filmes_raw!C482))"),138730.0)</f>
        <v>138730</v>
      </c>
      <c r="F482" s="6">
        <f>IFERROR(__xludf.DUMMYFUNCTION("VALUE(REGEXEXTRACT(Filmes_raw!F482, ""[0-9]+""
))"),157.0)</f>
        <v>157</v>
      </c>
    </row>
    <row r="483">
      <c r="A483" s="1">
        <v>482.0</v>
      </c>
      <c r="B483" s="1" t="s">
        <v>3030</v>
      </c>
      <c r="C483" s="13" t="b">
        <f>IFERROR(__xludf.DUMMYFUNCTION("IF(ISTEXT(Filmes_raw!C483), REGEXEXTRACT(Filmes_raw!C483,""[^,]+$""))"),FALSE)</f>
        <v>0</v>
      </c>
      <c r="D483" s="1" t="b">
        <f t="shared" si="1"/>
        <v>0</v>
      </c>
      <c r="E483" s="14">
        <f>IFERROR(__xludf.DUMMYFUNCTION("VALUE(IF(ISTEXT(D483), REGEXREPLACE(Filmes_raw!C483,""[^,]+$"",D483),Filmes_raw!C483))"),4.4671682E7)</f>
        <v>44671682</v>
      </c>
      <c r="F483" s="6">
        <f>IFERROR(__xludf.DUMMYFUNCTION("VALUE(REGEXEXTRACT(Filmes_raw!F483, ""[0-9]+""
))"),100.0)</f>
        <v>100</v>
      </c>
    </row>
    <row r="484">
      <c r="A484" s="1">
        <v>483.0</v>
      </c>
      <c r="B484" s="1" t="s">
        <v>3036</v>
      </c>
      <c r="C484" s="13" t="b">
        <f>IFERROR(__xludf.DUMMYFUNCTION("IF(ISTEXT(Filmes_raw!C484), REGEXEXTRACT(Filmes_raw!C484,""[^,]+$""))"),FALSE)</f>
        <v>0</v>
      </c>
      <c r="D484" s="1" t="b">
        <f t="shared" si="1"/>
        <v>0</v>
      </c>
      <c r="E484" s="14">
        <f>IFERROR(__xludf.DUMMYFUNCTION("VALUE(IF(ISTEXT(D484), REGEXREPLACE(Filmes_raw!C484,""[^,]+$"",D484),Filmes_raw!C484))"),1.00206256E8)</f>
        <v>100206256</v>
      </c>
      <c r="F484" s="6">
        <f>IFERROR(__xludf.DUMMYFUNCTION("VALUE(REGEXEXTRACT(Filmes_raw!F484, ""[0-9]+""
))"),113.0)</f>
        <v>113</v>
      </c>
    </row>
    <row r="485">
      <c r="A485" s="1">
        <v>484.0</v>
      </c>
      <c r="B485" s="1" t="s">
        <v>3040</v>
      </c>
      <c r="C485" s="13" t="b">
        <f>IFERROR(__xludf.DUMMYFUNCTION("IF(ISTEXT(Filmes_raw!C485), REGEXEXTRACT(Filmes_raw!C485,""[^,]+$""))"),FALSE)</f>
        <v>0</v>
      </c>
      <c r="D485" s="1" t="b">
        <f t="shared" si="1"/>
        <v>0</v>
      </c>
      <c r="E485" s="14">
        <f>IFERROR(__xludf.DUMMYFUNCTION("VALUE(IF(ISTEXT(D485), REGEXREPLACE(Filmes_raw!C485,""[^,]+$"",D485),Filmes_raw!C485))"),6739492.0)</f>
        <v>6739492</v>
      </c>
      <c r="F485" s="6">
        <f>IFERROR(__xludf.DUMMYFUNCTION("VALUE(REGEXEXTRACT(Filmes_raw!F485, ""[0-9]+""
))"),127.0)</f>
        <v>127</v>
      </c>
    </row>
    <row r="486">
      <c r="A486" s="1">
        <v>485.0</v>
      </c>
      <c r="B486" s="1" t="s">
        <v>3046</v>
      </c>
      <c r="C486" s="13" t="b">
        <f>IFERROR(__xludf.DUMMYFUNCTION("IF(ISTEXT(Filmes_raw!C486), REGEXEXTRACT(Filmes_raw!C486,""[^,]+$""))"),FALSE)</f>
        <v>0</v>
      </c>
      <c r="D486" s="1" t="b">
        <f t="shared" si="1"/>
        <v>0</v>
      </c>
      <c r="E486" s="14">
        <f>IFERROR(__xludf.DUMMYFUNCTION("VALUE(IF(ISTEXT(D486), REGEXREPLACE(Filmes_raw!C486,""[^,]+$"",D486),Filmes_raw!C486))"),7000000.0)</f>
        <v>7000000</v>
      </c>
      <c r="F486" s="6">
        <f>IFERROR(__xludf.DUMMYFUNCTION("VALUE(REGEXEXTRACT(Filmes_raw!F486, ""[0-9]+""
))"),209.0)</f>
        <v>209</v>
      </c>
    </row>
    <row r="487">
      <c r="A487" s="1">
        <v>486.0</v>
      </c>
      <c r="B487" s="1" t="s">
        <v>3049</v>
      </c>
      <c r="C487" s="13" t="b">
        <f>IFERROR(__xludf.DUMMYFUNCTION("IF(ISTEXT(Filmes_raw!C487), REGEXEXTRACT(Filmes_raw!C487,""[^,]+$""))"),FALSE)</f>
        <v>0</v>
      </c>
      <c r="D487" s="1" t="b">
        <f t="shared" si="1"/>
        <v>0</v>
      </c>
      <c r="E487" s="14">
        <f>IFERROR(__xludf.DUMMYFUNCTION("VALUE(IF(ISTEXT(D487), REGEXREPLACE(Filmes_raw!C487,""[^,]+$"",D487),Filmes_raw!C487))"),2084637.0)</f>
        <v>2084637</v>
      </c>
      <c r="F487" s="6">
        <f>IFERROR(__xludf.DUMMYFUNCTION("VALUE(REGEXEXTRACT(Filmes_raw!F487, ""[0-9]+""
))"),155.0)</f>
        <v>155</v>
      </c>
    </row>
    <row r="488">
      <c r="A488" s="1">
        <v>487.0</v>
      </c>
      <c r="B488" s="1" t="s">
        <v>3056</v>
      </c>
      <c r="C488" s="13" t="b">
        <f>IFERROR(__xludf.DUMMYFUNCTION("IF(ISTEXT(Filmes_raw!C488), REGEXEXTRACT(Filmes_raw!C488,""[^,]+$""))"),FALSE)</f>
        <v>0</v>
      </c>
      <c r="D488" s="1" t="b">
        <f t="shared" si="1"/>
        <v>0</v>
      </c>
      <c r="E488" s="14">
        <f>IFERROR(__xludf.DUMMYFUNCTION("VALUE(IF(ISTEXT(D488), REGEXREPLACE(Filmes_raw!C488,""[^,]+$"",D488),Filmes_raw!C488))"),5009677.0)</f>
        <v>5009677</v>
      </c>
      <c r="F488" s="6">
        <f>IFERROR(__xludf.DUMMYFUNCTION("VALUE(REGEXEXTRACT(Filmes_raw!F488, ""[0-9]+""
))"),97.0)</f>
        <v>97</v>
      </c>
    </row>
    <row r="489">
      <c r="A489" s="1">
        <v>488.0</v>
      </c>
      <c r="B489" s="1" t="s">
        <v>3061</v>
      </c>
      <c r="C489" s="13" t="b">
        <f>IFERROR(__xludf.DUMMYFUNCTION("IF(ISTEXT(Filmes_raw!C489), REGEXEXTRACT(Filmes_raw!C489,""[^,]+$""))"),FALSE)</f>
        <v>0</v>
      </c>
      <c r="D489" s="1" t="b">
        <f t="shared" si="1"/>
        <v>0</v>
      </c>
      <c r="E489" s="14">
        <f>IFERROR(__xludf.DUMMYFUNCTION("VALUE(IF(ISTEXT(D489), REGEXREPLACE(Filmes_raw!C489,""[^,]+$"",D489),Filmes_raw!C489))"),2122065.0)</f>
        <v>2122065</v>
      </c>
      <c r="F489" s="6">
        <f>IFERROR(__xludf.DUMMYFUNCTION("VALUE(REGEXEXTRACT(Filmes_raw!F489, ""[0-9]+""
))"),114.0)</f>
        <v>114</v>
      </c>
    </row>
    <row r="490">
      <c r="A490" s="1">
        <v>489.0</v>
      </c>
      <c r="B490" s="1" t="s">
        <v>3068</v>
      </c>
      <c r="C490" s="13" t="b">
        <f>IFERROR(__xludf.DUMMYFUNCTION("IF(ISTEXT(Filmes_raw!C490), REGEXEXTRACT(Filmes_raw!C490,""[^,]+$""))"),FALSE)</f>
        <v>0</v>
      </c>
      <c r="D490" s="1" t="b">
        <f t="shared" si="1"/>
        <v>0</v>
      </c>
      <c r="E490" s="14">
        <f>IFERROR(__xludf.DUMMYFUNCTION("VALUE(IF(ISTEXT(D490), REGEXREPLACE(Filmes_raw!C490,""[^,]+$"",D490),Filmes_raw!C490))"),1.15646235E8)</f>
        <v>115646235</v>
      </c>
      <c r="F490" s="6">
        <f>IFERROR(__xludf.DUMMYFUNCTION("VALUE(REGEXEXTRACT(Filmes_raw!F490, ""[0-9]+""
))"),112.0)</f>
        <v>112</v>
      </c>
    </row>
    <row r="491">
      <c r="A491" s="1">
        <v>490.0</v>
      </c>
      <c r="B491" s="1" t="s">
        <v>3075</v>
      </c>
      <c r="C491" s="13" t="b">
        <f>IFERROR(__xludf.DUMMYFUNCTION("IF(ISTEXT(Filmes_raw!C491), REGEXEXTRACT(Filmes_raw!C491,""[^,]+$""))"),FALSE)</f>
        <v>0</v>
      </c>
      <c r="D491" s="1" t="b">
        <f t="shared" si="1"/>
        <v>0</v>
      </c>
      <c r="E491" s="14">
        <f>IFERROR(__xludf.DUMMYFUNCTION("VALUE(IF(ISTEXT(D491), REGEXREPLACE(Filmes_raw!C491,""[^,]+$"",D491),Filmes_raw!C491))"),2.6236603E7)</f>
        <v>26236603</v>
      </c>
      <c r="F491" s="6">
        <f>IFERROR(__xludf.DUMMYFUNCTION("VALUE(REGEXEXTRACT(Filmes_raw!F491, ""[0-9]+""
))"),109.0)</f>
        <v>109</v>
      </c>
    </row>
    <row r="492">
      <c r="A492" s="1">
        <v>491.0</v>
      </c>
      <c r="B492" s="1" t="s">
        <v>3080</v>
      </c>
      <c r="C492" s="13" t="str">
        <f>IFERROR(__xludf.DUMMYFUNCTION("IF(ISTEXT(Filmes_raw!C492), REGEXEXTRACT(Filmes_raw!C492,""[^,]+$""))"),"8")</f>
        <v>8</v>
      </c>
      <c r="D492" s="1" t="str">
        <f t="shared" si="1"/>
        <v>800</v>
      </c>
      <c r="E492" s="14">
        <f>IFERROR(__xludf.DUMMYFUNCTION("VALUE(IF(ISTEXT(D492), REGEXREPLACE(Filmes_raw!C492,""[^,]+$"",D492),Filmes_raw!C492))"),410800.0)</f>
        <v>410800</v>
      </c>
      <c r="F492" s="6">
        <f>IFERROR(__xludf.DUMMYFUNCTION("VALUE(REGEXEXTRACT(Filmes_raw!F492, ""[0-9]+""
))"),138.0)</f>
        <v>138</v>
      </c>
    </row>
    <row r="493">
      <c r="A493" s="1">
        <v>492.0</v>
      </c>
      <c r="B493" s="1" t="s">
        <v>3086</v>
      </c>
      <c r="C493" s="13" t="b">
        <f>IFERROR(__xludf.DUMMYFUNCTION("IF(ISTEXT(Filmes_raw!C493), REGEXEXTRACT(Filmes_raw!C493,""[^,]+$""))"),FALSE)</f>
        <v>0</v>
      </c>
      <c r="D493" s="1" t="b">
        <f t="shared" si="1"/>
        <v>0</v>
      </c>
      <c r="E493" s="14">
        <f>IFERROR(__xludf.DUMMYFUNCTION("VALUE(IF(ISTEXT(D493), REGEXREPLACE(Filmes_raw!C493,""[^,]+$"",D493),Filmes_raw!C493))"),2.5379975E7)</f>
        <v>25379975</v>
      </c>
      <c r="F493" s="6">
        <f>IFERROR(__xludf.DUMMYFUNCTION("VALUE(REGEXEXTRACT(Filmes_raw!F493, ""[0-9]+""
))"),165.0)</f>
        <v>165</v>
      </c>
    </row>
    <row r="494">
      <c r="A494" s="1">
        <v>493.0</v>
      </c>
      <c r="B494" s="1" t="s">
        <v>3091</v>
      </c>
      <c r="C494" s="13" t="b">
        <f>IFERROR(__xludf.DUMMYFUNCTION("IF(ISTEXT(Filmes_raw!C494), REGEXEXTRACT(Filmes_raw!C494,""[^,]+$""))"),FALSE)</f>
        <v>0</v>
      </c>
      <c r="D494" s="1" t="b">
        <f t="shared" si="1"/>
        <v>0</v>
      </c>
      <c r="E494" s="14">
        <f>IFERROR(__xludf.DUMMYFUNCTION("VALUE(IF(ISTEXT(D494), REGEXREPLACE(Filmes_raw!C494,""[^,]+$"",D494),Filmes_raw!C494))"),1185783.0)</f>
        <v>1185783</v>
      </c>
      <c r="F494" s="6">
        <f>IFERROR(__xludf.DUMMYFUNCTION("VALUE(REGEXEXTRACT(Filmes_raw!F494, ""[0-9]+""
))"),113.0)</f>
        <v>113</v>
      </c>
    </row>
    <row r="495">
      <c r="A495" s="1">
        <v>494.0</v>
      </c>
      <c r="B495" s="1" t="s">
        <v>3098</v>
      </c>
      <c r="C495" s="13" t="b">
        <f>IFERROR(__xludf.DUMMYFUNCTION("IF(ISTEXT(Filmes_raw!C495), REGEXEXTRACT(Filmes_raw!C495,""[^,]+$""))"),FALSE)</f>
        <v>0</v>
      </c>
      <c r="D495" s="1" t="b">
        <f t="shared" si="1"/>
        <v>0</v>
      </c>
      <c r="E495" s="14">
        <f>IFERROR(__xludf.DUMMYFUNCTION("VALUE(IF(ISTEXT(D495), REGEXREPLACE(Filmes_raw!C495,""[^,]+$"",D495),Filmes_raw!C495))"),2.57730019E8)</f>
        <v>257730019</v>
      </c>
      <c r="F495" s="6">
        <f>IFERROR(__xludf.DUMMYFUNCTION("VALUE(REGEXEXTRACT(Filmes_raw!F495, ""[0-9]+""
))"),127.0)</f>
        <v>127</v>
      </c>
    </row>
    <row r="496">
      <c r="A496" s="1">
        <v>495.0</v>
      </c>
      <c r="B496" s="1" t="s">
        <v>3104</v>
      </c>
      <c r="C496" s="13" t="b">
        <f>IFERROR(__xludf.DUMMYFUNCTION("IF(ISTEXT(Filmes_raw!C496), REGEXEXTRACT(Filmes_raw!C496,""[^,]+$""))"),FALSE)</f>
        <v>0</v>
      </c>
      <c r="D496" s="1" t="b">
        <f t="shared" si="1"/>
        <v>0</v>
      </c>
      <c r="E496" s="14">
        <f>IFERROR(__xludf.DUMMYFUNCTION("VALUE(IF(ISTEXT(D496), REGEXREPLACE(Filmes_raw!C496,""[^,]+$"",D496),Filmes_raw!C496))"),7757130.0)</f>
        <v>7757130</v>
      </c>
      <c r="F496" s="6">
        <f>IFERROR(__xludf.DUMMYFUNCTION("VALUE(REGEXEXTRACT(Filmes_raw!F496, ""[0-9]+""
))"),107.0)</f>
        <v>107</v>
      </c>
    </row>
    <row r="497">
      <c r="A497" s="1">
        <v>496.0</v>
      </c>
      <c r="B497" s="1" t="s">
        <v>3108</v>
      </c>
      <c r="C497" s="13" t="b">
        <f>IFERROR(__xludf.DUMMYFUNCTION("IF(ISTEXT(Filmes_raw!C497), REGEXEXTRACT(Filmes_raw!C497,""[^,]+$""))"),FALSE)</f>
        <v>0</v>
      </c>
      <c r="D497" s="1" t="b">
        <f t="shared" si="1"/>
        <v>0</v>
      </c>
      <c r="E497" s="14">
        <f>IFERROR(__xludf.DUMMYFUNCTION("VALUE(IF(ISTEXT(D497), REGEXREPLACE(Filmes_raw!C497,""[^,]+$"",D497),Filmes_raw!C497))"),200.0)</f>
        <v>200</v>
      </c>
      <c r="F497" s="6">
        <f>IFERROR(__xludf.DUMMYFUNCTION("VALUE(REGEXEXTRACT(Filmes_raw!F497, ""[0-9]+""
))"),87.0)</f>
        <v>87</v>
      </c>
    </row>
    <row r="498">
      <c r="A498" s="1">
        <v>497.0</v>
      </c>
      <c r="B498" s="1" t="s">
        <v>3116</v>
      </c>
      <c r="C498" s="13" t="b">
        <f>IFERROR(__xludf.DUMMYFUNCTION("IF(ISTEXT(Filmes_raw!C498), REGEXEXTRACT(Filmes_raw!C498,""[^,]+$""))"),FALSE)</f>
        <v>0</v>
      </c>
      <c r="D498" s="1" t="b">
        <f t="shared" si="1"/>
        <v>0</v>
      </c>
      <c r="E498" s="14">
        <f>IFERROR(__xludf.DUMMYFUNCTION("VALUE(IF(ISTEXT(D498), REGEXREPLACE(Filmes_raw!C498,""[^,]+$"",D498),Filmes_raw!C498))"),1.3756082E7)</f>
        <v>13756082</v>
      </c>
      <c r="F498" s="6">
        <f>IFERROR(__xludf.DUMMYFUNCTION("VALUE(REGEXEXTRACT(Filmes_raw!F498, ""[0-9]+""
))"),141.0)</f>
        <v>141</v>
      </c>
    </row>
    <row r="499">
      <c r="A499" s="1">
        <v>498.0</v>
      </c>
      <c r="B499" s="1" t="s">
        <v>3121</v>
      </c>
      <c r="C499" s="13" t="b">
        <f>IFERROR(__xludf.DUMMYFUNCTION("IF(ISTEXT(Filmes_raw!C499), REGEXEXTRACT(Filmes_raw!C499,""[^,]+$""))"),FALSE)</f>
        <v>0</v>
      </c>
      <c r="D499" s="1" t="b">
        <f t="shared" si="1"/>
        <v>0</v>
      </c>
      <c r="E499" s="14">
        <f>IFERROR(__xludf.DUMMYFUNCTION("VALUE(IF(ISTEXT(D499), REGEXREPLACE(Filmes_raw!C499,""[^,]+$"",D499),Filmes_raw!C499))"),2280348.0)</f>
        <v>2280348</v>
      </c>
      <c r="F499" s="6">
        <f>IFERROR(__xludf.DUMMYFUNCTION("VALUE(REGEXEXTRACT(Filmes_raw!F499, ""[0-9]+""
))"),117.0)</f>
        <v>117</v>
      </c>
    </row>
    <row r="500">
      <c r="A500" s="1">
        <v>499.0</v>
      </c>
      <c r="B500" s="1" t="s">
        <v>3128</v>
      </c>
      <c r="C500" s="13" t="b">
        <f>IFERROR(__xludf.DUMMYFUNCTION("IF(ISTEXT(Filmes_raw!C500), REGEXEXTRACT(Filmes_raw!C500,""[^,]+$""))"),FALSE)</f>
        <v>0</v>
      </c>
      <c r="D500" s="1" t="b">
        <f t="shared" si="1"/>
        <v>0</v>
      </c>
      <c r="E500" s="14">
        <f>IFERROR(__xludf.DUMMYFUNCTION("VALUE(IF(ISTEXT(D500), REGEXREPLACE(Filmes_raw!C500,""[^,]+$"",D500),Filmes_raw!C500))"),1.24987023E8)</f>
        <v>124987023</v>
      </c>
      <c r="F500" s="6">
        <f>IFERROR(__xludf.DUMMYFUNCTION("VALUE(REGEXEXTRACT(Filmes_raw!F500, ""[0-9]+""
))"),127.0)</f>
        <v>127</v>
      </c>
    </row>
    <row r="501">
      <c r="A501" s="1">
        <v>500.0</v>
      </c>
      <c r="B501" s="1" t="s">
        <v>3133</v>
      </c>
      <c r="C501" s="13" t="b">
        <f>IFERROR(__xludf.DUMMYFUNCTION("IF(ISTEXT(Filmes_raw!C501), REGEXEXTRACT(Filmes_raw!C501,""[^,]+$""))"),FALSE)</f>
        <v>0</v>
      </c>
      <c r="D501" s="1" t="b">
        <f t="shared" si="1"/>
        <v>0</v>
      </c>
      <c r="E501" s="14">
        <f>IFERROR(__xludf.DUMMYFUNCTION("VALUE(IF(ISTEXT(D501), REGEXREPLACE(Filmes_raw!C501,""[^,]+$"",D501),Filmes_raw!C501))"),2.1002919E7)</f>
        <v>21002919</v>
      </c>
      <c r="F501" s="6">
        <f>IFERROR(__xludf.DUMMYFUNCTION("VALUE(REGEXEXTRACT(Filmes_raw!F501, ""[0-9]+""
))"),87.0)</f>
        <v>87</v>
      </c>
    </row>
    <row r="502">
      <c r="A502" s="1">
        <v>501.0</v>
      </c>
      <c r="B502" s="1" t="s">
        <v>3137</v>
      </c>
      <c r="C502" s="13" t="b">
        <f>IFERROR(__xludf.DUMMYFUNCTION("IF(ISTEXT(Filmes_raw!C502), REGEXEXTRACT(Filmes_raw!C502,""[^,]+$""))"),FALSE)</f>
        <v>0</v>
      </c>
      <c r="D502" s="1" t="b">
        <f t="shared" si="1"/>
        <v>0</v>
      </c>
      <c r="E502" s="14">
        <f>IFERROR(__xludf.DUMMYFUNCTION("VALUE(IF(ISTEXT(D502), REGEXREPLACE(Filmes_raw!C502,""[^,]+$"",D502),Filmes_raw!C502))"),3710169.0)</f>
        <v>3710169</v>
      </c>
      <c r="F502" s="6">
        <f>IFERROR(__xludf.DUMMYFUNCTION("VALUE(REGEXEXTRACT(Filmes_raw!F502, ""[0-9]+""
))"),129.0)</f>
        <v>129</v>
      </c>
    </row>
    <row r="503">
      <c r="A503" s="1">
        <v>502.0</v>
      </c>
      <c r="B503" s="1" t="s">
        <v>3143</v>
      </c>
      <c r="C503" s="13" t="b">
        <f>IFERROR(__xludf.DUMMYFUNCTION("IF(ISTEXT(Filmes_raw!C503), REGEXEXTRACT(Filmes_raw!C503,""[^,]+$""))"),FALSE)</f>
        <v>0</v>
      </c>
      <c r="D503" s="1" t="b">
        <f t="shared" si="1"/>
        <v>0</v>
      </c>
      <c r="E503" s="14">
        <f>IFERROR(__xludf.DUMMYFUNCTION("VALUE(IF(ISTEXT(D503), REGEXREPLACE(Filmes_raw!C503,""[^,]+$"",D503),Filmes_raw!C503))"),3635164.0)</f>
        <v>3635164</v>
      </c>
      <c r="F503" s="6">
        <f>IFERROR(__xludf.DUMMYFUNCTION("VALUE(REGEXEXTRACT(Filmes_raw!F503, ""[0-9]+""
))"),97.0)</f>
        <v>97</v>
      </c>
    </row>
    <row r="504">
      <c r="A504" s="1">
        <v>503.0</v>
      </c>
      <c r="B504" s="1" t="s">
        <v>3150</v>
      </c>
      <c r="C504" s="13" t="b">
        <f>IFERROR(__xludf.DUMMYFUNCTION("IF(ISTEXT(Filmes_raw!C504), REGEXEXTRACT(Filmes_raw!C504,""[^,]+$""))"),FALSE)</f>
        <v>0</v>
      </c>
      <c r="D504" s="1" t="b">
        <f t="shared" si="1"/>
        <v>0</v>
      </c>
      <c r="E504" s="14">
        <f>IFERROR(__xludf.DUMMYFUNCTION("VALUE(IF(ISTEXT(D504), REGEXREPLACE(Filmes_raw!C504,""[^,]+$"",D504),Filmes_raw!C504))"),3.18412101E8)</f>
        <v>318412101</v>
      </c>
      <c r="F504" s="6">
        <f>IFERROR(__xludf.DUMMYFUNCTION("VALUE(REGEXEXTRACT(Filmes_raw!F504, ""[0-9]+""
))"),126.0)</f>
        <v>126</v>
      </c>
    </row>
    <row r="505">
      <c r="A505" s="1">
        <v>504.0</v>
      </c>
      <c r="B505" s="1" t="s">
        <v>3155</v>
      </c>
      <c r="C505" s="13" t="b">
        <f>IFERROR(__xludf.DUMMYFUNCTION("IF(ISTEXT(Filmes_raw!C505), REGEXEXTRACT(Filmes_raw!C505,""[^,]+$""))"),FALSE)</f>
        <v>0</v>
      </c>
      <c r="D505" s="1" t="b">
        <f t="shared" si="1"/>
        <v>0</v>
      </c>
      <c r="E505" s="14">
        <f>IFERROR(__xludf.DUMMYFUNCTION("VALUE(IF(ISTEXT(D505), REGEXREPLACE(Filmes_raw!C505,""[^,]+$"",D505),Filmes_raw!C505))"),1.3542874E7)</f>
        <v>13542874</v>
      </c>
      <c r="F505" s="6">
        <f>IFERROR(__xludf.DUMMYFUNCTION("VALUE(REGEXEXTRACT(Filmes_raw!F505, ""[0-9]+""
))"),99.0)</f>
        <v>99</v>
      </c>
    </row>
    <row r="506">
      <c r="A506" s="1">
        <v>505.0</v>
      </c>
      <c r="B506" s="1" t="s">
        <v>3162</v>
      </c>
      <c r="C506" s="13" t="b">
        <f>IFERROR(__xludf.DUMMYFUNCTION("IF(ISTEXT(Filmes_raw!C506), REGEXEXTRACT(Filmes_raw!C506,""[^,]+$""))"),FALSE)</f>
        <v>0</v>
      </c>
      <c r="D506" s="1" t="b">
        <f t="shared" si="1"/>
        <v>0</v>
      </c>
      <c r="E506" s="14">
        <f>IFERROR(__xludf.DUMMYFUNCTION("VALUE(IF(ISTEXT(D506), REGEXREPLACE(Filmes_raw!C506,""[^,]+$"",D506),Filmes_raw!C506))"),1.1065801E7)</f>
        <v>11065801</v>
      </c>
      <c r="F506" s="6">
        <f>IFERROR(__xludf.DUMMYFUNCTION("VALUE(REGEXEXTRACT(Filmes_raw!F506, ""[0-9]+""
))"),121.0)</f>
        <v>121</v>
      </c>
    </row>
    <row r="507">
      <c r="A507" s="1">
        <v>506.0</v>
      </c>
      <c r="B507" s="1" t="s">
        <v>3169</v>
      </c>
      <c r="C507" s="13" t="b">
        <f>IFERROR(__xludf.DUMMYFUNCTION("IF(ISTEXT(Filmes_raw!C507), REGEXEXTRACT(Filmes_raw!C507,""[^,]+$""))"),FALSE)</f>
        <v>0</v>
      </c>
      <c r="D507" s="1" t="b">
        <f t="shared" si="1"/>
        <v>0</v>
      </c>
      <c r="E507" s="14">
        <f>IFERROR(__xludf.DUMMYFUNCTION("VALUE(IF(ISTEXT(D507), REGEXREPLACE(Filmes_raw!C507,""[^,]+$"",D507),Filmes_raw!C507))"),9.0135191E7)</f>
        <v>90135191</v>
      </c>
      <c r="F507" s="6">
        <f>IFERROR(__xludf.DUMMYFUNCTION("VALUE(REGEXEXTRACT(Filmes_raw!F507, ""[0-9]+""
))"),138.0)</f>
        <v>138</v>
      </c>
    </row>
    <row r="508">
      <c r="A508" s="1">
        <v>507.0</v>
      </c>
      <c r="B508" s="1" t="s">
        <v>3173</v>
      </c>
      <c r="C508" s="13" t="b">
        <f>IFERROR(__xludf.DUMMYFUNCTION("IF(ISTEXT(Filmes_raw!C508), REGEXEXTRACT(Filmes_raw!C508,""[^,]+$""))"),FALSE)</f>
        <v>0</v>
      </c>
      <c r="D508" s="1" t="b">
        <f t="shared" si="1"/>
        <v>0</v>
      </c>
      <c r="E508" s="14">
        <f>IFERROR(__xludf.DUMMYFUNCTION("VALUE(IF(ISTEXT(D508), REGEXREPLACE(Filmes_raw!C508,""[^,]+$"",D508),Filmes_raw!C508))"),2.49358727E8)</f>
        <v>249358727</v>
      </c>
      <c r="F508" s="6">
        <f>IFERROR(__xludf.DUMMYFUNCTION("VALUE(REGEXEXTRACT(Filmes_raw!F508, ""[0-9]+""
))"),142.0)</f>
        <v>142</v>
      </c>
    </row>
    <row r="509">
      <c r="A509" s="1">
        <v>508.0</v>
      </c>
      <c r="B509" s="1" t="s">
        <v>3177</v>
      </c>
      <c r="C509" s="13" t="b">
        <f>IFERROR(__xludf.DUMMYFUNCTION("IF(ISTEXT(Filmes_raw!C509), REGEXEXTRACT(Filmes_raw!C509,""[^,]+$""))"),FALSE)</f>
        <v>0</v>
      </c>
      <c r="D509" s="1" t="b">
        <f t="shared" si="1"/>
        <v>0</v>
      </c>
      <c r="E509" s="14">
        <f>IFERROR(__xludf.DUMMYFUNCTION("VALUE(IF(ISTEXT(D509), REGEXREPLACE(Filmes_raw!C509,""[^,]+$"",D509),Filmes_raw!C509))"),5.3710019E7)</f>
        <v>53710019</v>
      </c>
      <c r="F509" s="6">
        <f>IFERROR(__xludf.DUMMYFUNCTION("VALUE(REGEXEXTRACT(Filmes_raw!F509, ""[0-9]+""
))"),120.0)</f>
        <v>120</v>
      </c>
    </row>
    <row r="510">
      <c r="A510" s="1">
        <v>509.0</v>
      </c>
      <c r="B510" s="1" t="s">
        <v>3182</v>
      </c>
      <c r="C510" s="13" t="b">
        <f>IFERROR(__xludf.DUMMYFUNCTION("IF(ISTEXT(Filmes_raw!C510), REGEXEXTRACT(Filmes_raw!C510,""[^,]+$""))"),FALSE)</f>
        <v>0</v>
      </c>
      <c r="D510" s="1" t="b">
        <f t="shared" si="1"/>
        <v>0</v>
      </c>
      <c r="E510" s="14">
        <f>IFERROR(__xludf.DUMMYFUNCTION("VALUE(IF(ISTEXT(D510), REGEXREPLACE(Filmes_raw!C510,""[^,]+$"",D510),Filmes_raw!C510))"),9284265.0)</f>
        <v>9284265</v>
      </c>
      <c r="F510" s="6">
        <f>IFERROR(__xludf.DUMMYFUNCTION("VALUE(REGEXEXTRACT(Filmes_raw!F510, ""[0-9]+""
))"),112.0)</f>
        <v>112</v>
      </c>
    </row>
    <row r="511">
      <c r="A511" s="1">
        <v>510.0</v>
      </c>
      <c r="B511" s="1" t="s">
        <v>3188</v>
      </c>
      <c r="C511" s="13" t="b">
        <f>IFERROR(__xludf.DUMMYFUNCTION("IF(ISTEXT(Filmes_raw!C511), REGEXEXTRACT(Filmes_raw!C511,""[^,]+$""))"),FALSE)</f>
        <v>0</v>
      </c>
      <c r="D511" s="1" t="b">
        <f t="shared" si="1"/>
        <v>0</v>
      </c>
      <c r="E511" s="14">
        <f>IFERROR(__xludf.DUMMYFUNCTION("VALUE(IF(ISTEXT(D511), REGEXREPLACE(Filmes_raw!C511,""[^,]+$"",D511),Filmes_raw!C511))"),1059830.0)</f>
        <v>1059830</v>
      </c>
      <c r="F511" s="6">
        <f>IFERROR(__xludf.DUMMYFUNCTION("VALUE(REGEXEXTRACT(Filmes_raw!F511, ""[0-9]+""
))"),98.0)</f>
        <v>98</v>
      </c>
    </row>
    <row r="512">
      <c r="A512" s="1">
        <v>511.0</v>
      </c>
      <c r="B512" s="1" t="s">
        <v>3195</v>
      </c>
      <c r="C512" s="13" t="b">
        <f>IFERROR(__xludf.DUMMYFUNCTION("IF(ISTEXT(Filmes_raw!C512), REGEXEXTRACT(Filmes_raw!C512,""[^,]+$""))"),FALSE)</f>
        <v>0</v>
      </c>
      <c r="D512" s="1" t="b">
        <f t="shared" si="1"/>
        <v>0</v>
      </c>
      <c r="E512" s="14">
        <f>IFERROR(__xludf.DUMMYFUNCTION("VALUE(IF(ISTEXT(D512), REGEXREPLACE(Filmes_raw!C512,""[^,]+$"",D512),Filmes_raw!C512))"),1000045.0)</f>
        <v>1000045</v>
      </c>
      <c r="F512" s="6">
        <f>IFERROR(__xludf.DUMMYFUNCTION("VALUE(REGEXEXTRACT(Filmes_raw!F512, ""[0-9]+""
))"),115.0)</f>
        <v>115</v>
      </c>
    </row>
    <row r="513">
      <c r="A513" s="1">
        <v>512.0</v>
      </c>
      <c r="B513" s="1" t="s">
        <v>3202</v>
      </c>
      <c r="C513" s="13" t="b">
        <f>IFERROR(__xludf.DUMMYFUNCTION("IF(ISTEXT(Filmes_raw!C513), REGEXEXTRACT(Filmes_raw!C513,""[^,]+$""))"),FALSE)</f>
        <v>0</v>
      </c>
      <c r="D513" s="1" t="b">
        <f t="shared" si="1"/>
        <v>0</v>
      </c>
      <c r="E513" s="14">
        <f>IFERROR(__xludf.DUMMYFUNCTION("VALUE(IF(ISTEXT(D513), REGEXREPLACE(Filmes_raw!C513,""[^,]+$"",D513),Filmes_raw!C513))"),1.21661683E8)</f>
        <v>121661683</v>
      </c>
      <c r="F513" s="6">
        <f>IFERROR(__xludf.DUMMYFUNCTION("VALUE(REGEXEXTRACT(Filmes_raw!F513, ""[0-9]+""
))"),119.0)</f>
        <v>119</v>
      </c>
    </row>
    <row r="514">
      <c r="A514" s="1">
        <v>513.0</v>
      </c>
      <c r="B514" s="1" t="s">
        <v>3206</v>
      </c>
      <c r="C514" s="13" t="b">
        <f>IFERROR(__xludf.DUMMYFUNCTION("IF(ISTEXT(Filmes_raw!C514), REGEXEXTRACT(Filmes_raw!C514,""[^,]+$""))"),FALSE)</f>
        <v>0</v>
      </c>
      <c r="D514" s="1" t="b">
        <f t="shared" si="1"/>
        <v>0</v>
      </c>
      <c r="E514" s="14">
        <f>IFERROR(__xludf.DUMMYFUNCTION("VALUE(IF(ISTEXT(D514), REGEXREPLACE(Filmes_raw!C514,""[^,]+$"",D514),Filmes_raw!C514))"),1221261.0)</f>
        <v>1221261</v>
      </c>
      <c r="F514" s="6">
        <f>IFERROR(__xludf.DUMMYFUNCTION("VALUE(REGEXEXTRACT(Filmes_raw!F514, ""[0-9]+""
))"),114.0)</f>
        <v>114</v>
      </c>
    </row>
    <row r="515">
      <c r="A515" s="1">
        <v>514.0</v>
      </c>
      <c r="B515" s="1" t="s">
        <v>3212</v>
      </c>
      <c r="C515" s="13" t="b">
        <f>IFERROR(__xludf.DUMMYFUNCTION("IF(ISTEXT(Filmes_raw!C515), REGEXEXTRACT(Filmes_raw!C515,""[^,]+$""))"),FALSE)</f>
        <v>0</v>
      </c>
      <c r="D515" s="1" t="b">
        <f t="shared" si="1"/>
        <v>0</v>
      </c>
      <c r="E515" s="14">
        <f>IFERROR(__xludf.DUMMYFUNCTION("VALUE(IF(ISTEXT(D515), REGEXREPLACE(Filmes_raw!C515,""[^,]+$"",D515),Filmes_raw!C515))"),3.5552383E7)</f>
        <v>35552383</v>
      </c>
      <c r="F515" s="6">
        <f>IFERROR(__xludf.DUMMYFUNCTION("VALUE(REGEXEXTRACT(Filmes_raw!F515, ""[0-9]+""
))"),109.0)</f>
        <v>109</v>
      </c>
    </row>
    <row r="516">
      <c r="A516" s="1">
        <v>515.0</v>
      </c>
      <c r="B516" s="1" t="s">
        <v>3214</v>
      </c>
      <c r="C516" s="13" t="b">
        <f>IFERROR(__xludf.DUMMYFUNCTION("IF(ISTEXT(Filmes_raw!C516), REGEXEXTRACT(Filmes_raw!C516,""[^,]+$""))"),FALSE)</f>
        <v>0</v>
      </c>
      <c r="D516" s="1" t="b">
        <f t="shared" si="1"/>
        <v>0</v>
      </c>
      <c r="E516" s="14">
        <f>IFERROR(__xludf.DUMMYFUNCTION("VALUE(IF(ISTEXT(D516), REGEXREPLACE(Filmes_raw!C516,""[^,]+$"",D516),Filmes_raw!C516))"),3.253485E7)</f>
        <v>32534850</v>
      </c>
      <c r="F516" s="6">
        <f>IFERROR(__xludf.DUMMYFUNCTION("VALUE(REGEXEXTRACT(Filmes_raw!F516, ""[0-9]+""
))"),122.0)</f>
        <v>122</v>
      </c>
    </row>
    <row r="517">
      <c r="A517" s="1">
        <v>516.0</v>
      </c>
      <c r="B517" s="1" t="s">
        <v>3219</v>
      </c>
      <c r="C517" s="13" t="b">
        <f>IFERROR(__xludf.DUMMYFUNCTION("IF(ISTEXT(Filmes_raw!C517), REGEXEXTRACT(Filmes_raw!C517,""[^,]+$""))"),FALSE)</f>
        <v>0</v>
      </c>
      <c r="D517" s="1" t="b">
        <f t="shared" si="1"/>
        <v>0</v>
      </c>
      <c r="E517" s="14">
        <f>IFERROR(__xludf.DUMMYFUNCTION("VALUE(IF(ISTEXT(D517), REGEXREPLACE(Filmes_raw!C517,""[^,]+$"",D517),Filmes_raw!C517))"),7220243.0)</f>
        <v>7220243</v>
      </c>
      <c r="F517" s="6">
        <f>IFERROR(__xludf.DUMMYFUNCTION("VALUE(REGEXEXTRACT(Filmes_raw!F517, ""[0-9]+""
))"),147.0)</f>
        <v>147</v>
      </c>
    </row>
    <row r="518">
      <c r="A518" s="1">
        <v>517.0</v>
      </c>
      <c r="B518" s="1" t="s">
        <v>3225</v>
      </c>
      <c r="C518" s="13" t="b">
        <f>IFERROR(__xludf.DUMMYFUNCTION("IF(ISTEXT(Filmes_raw!C518), REGEXEXTRACT(Filmes_raw!C518,""[^,]+$""))"),FALSE)</f>
        <v>0</v>
      </c>
      <c r="D518" s="1" t="b">
        <f t="shared" si="1"/>
        <v>0</v>
      </c>
      <c r="E518" s="14">
        <f>IFERROR(__xludf.DUMMYFUNCTION("VALUE(IF(ISTEXT(D518), REGEXREPLACE(Filmes_raw!C518,""[^,]+$"",D518),Filmes_raw!C518))"),2.45852179E8)</f>
        <v>245852179</v>
      </c>
      <c r="F518" s="6">
        <f>IFERROR(__xludf.DUMMYFUNCTION("VALUE(REGEXEXTRACT(Filmes_raw!F518, ""[0-9]+""
))"),92.0)</f>
        <v>92</v>
      </c>
    </row>
    <row r="519">
      <c r="A519" s="1">
        <v>518.0</v>
      </c>
      <c r="B519" s="1" t="s">
        <v>3228</v>
      </c>
      <c r="C519" s="13" t="b">
        <f>IFERROR(__xludf.DUMMYFUNCTION("IF(ISTEXT(Filmes_raw!C519), REGEXEXTRACT(Filmes_raw!C519,""[^,]+$""))"),FALSE)</f>
        <v>0</v>
      </c>
      <c r="D519" s="1" t="b">
        <f t="shared" si="1"/>
        <v>0</v>
      </c>
      <c r="E519" s="14">
        <f>IFERROR(__xludf.DUMMYFUNCTION("VALUE(IF(ISTEXT(D519), REGEXREPLACE(Filmes_raw!C519,""[^,]+$"",D519),Filmes_raw!C519))"),2.640064E7)</f>
        <v>26400640</v>
      </c>
      <c r="F519" s="6">
        <f>IFERROR(__xludf.DUMMYFUNCTION("VALUE(REGEXEXTRACT(Filmes_raw!F519, ""[0-9]+""
))"),155.0)</f>
        <v>155</v>
      </c>
    </row>
    <row r="520">
      <c r="A520" s="1">
        <v>519.0</v>
      </c>
      <c r="B520" s="1" t="s">
        <v>3232</v>
      </c>
      <c r="C520" s="13" t="b">
        <f>IFERROR(__xludf.DUMMYFUNCTION("IF(ISTEXT(Filmes_raw!C520), REGEXEXTRACT(Filmes_raw!C520,""[^,]+$""))"),FALSE)</f>
        <v>0</v>
      </c>
      <c r="D520" s="1" t="b">
        <f t="shared" si="1"/>
        <v>0</v>
      </c>
      <c r="E520" s="14">
        <f>IFERROR(__xludf.DUMMYFUNCTION("VALUE(IF(ISTEXT(D520), REGEXREPLACE(Filmes_raw!C520,""[^,]+$"",D520),Filmes_raw!C520))"),585013.0)</f>
        <v>585013</v>
      </c>
      <c r="F520" s="6">
        <f>IFERROR(__xludf.DUMMYFUNCTION("VALUE(REGEXEXTRACT(Filmes_raw!F520, ""[0-9]+""
))"),111.0)</f>
        <v>111</v>
      </c>
    </row>
    <row r="521">
      <c r="A521" s="1">
        <v>520.0</v>
      </c>
      <c r="B521" s="1" t="s">
        <v>3239</v>
      </c>
      <c r="C521" s="13" t="b">
        <f>IFERROR(__xludf.DUMMYFUNCTION("IF(ISTEXT(Filmes_raw!C521), REGEXEXTRACT(Filmes_raw!C521,""[^,]+$""))"),FALSE)</f>
        <v>0</v>
      </c>
      <c r="D521" s="1" t="b">
        <f t="shared" si="1"/>
        <v>0</v>
      </c>
      <c r="E521" s="14">
        <f>IFERROR(__xludf.DUMMYFUNCTION("VALUE(IF(ISTEXT(D521), REGEXREPLACE(Filmes_raw!C521,""[^,]+$"",D521),Filmes_raw!C521))"),2201126.0)</f>
        <v>2201126</v>
      </c>
      <c r="F521" s="6">
        <f>IFERROR(__xludf.DUMMYFUNCTION("VALUE(REGEXEXTRACT(Filmes_raw!F521, ""[0-9]+""
))"),102.0)</f>
        <v>102</v>
      </c>
    </row>
    <row r="522">
      <c r="A522" s="1">
        <v>521.0</v>
      </c>
      <c r="B522" s="1" t="s">
        <v>3246</v>
      </c>
      <c r="C522" s="13" t="b">
        <f>IFERROR(__xludf.DUMMYFUNCTION("IF(ISTEXT(Filmes_raw!C522), REGEXEXTRACT(Filmes_raw!C522,""[^,]+$""))"),FALSE)</f>
        <v>0</v>
      </c>
      <c r="D522" s="1" t="b">
        <f t="shared" si="1"/>
        <v>0</v>
      </c>
      <c r="E522" s="14">
        <f>IFERROR(__xludf.DUMMYFUNCTION("VALUE(IF(ISTEXT(D522), REGEXREPLACE(Filmes_raw!C522,""[^,]+$"",D522),Filmes_raw!C522))"),1.22815E7)</f>
        <v>12281500</v>
      </c>
      <c r="F522" s="6">
        <f>IFERROR(__xludf.DUMMYFUNCTION("VALUE(REGEXEXTRACT(Filmes_raw!F522, ""[0-9]+""
))"),119.0)</f>
        <v>119</v>
      </c>
    </row>
    <row r="523">
      <c r="A523" s="1">
        <v>522.0</v>
      </c>
      <c r="B523" s="1" t="s">
        <v>3251</v>
      </c>
      <c r="C523" s="13" t="b">
        <f>IFERROR(__xludf.DUMMYFUNCTION("IF(ISTEXT(Filmes_raw!C523), REGEXEXTRACT(Filmes_raw!C523,""[^,]+$""))"),FALSE)</f>
        <v>0</v>
      </c>
      <c r="D523" s="1" t="b">
        <f t="shared" si="1"/>
        <v>0</v>
      </c>
      <c r="E523" s="14">
        <f>IFERROR(__xludf.DUMMYFUNCTION("VALUE(IF(ISTEXT(D523), REGEXREPLACE(Filmes_raw!C523,""[^,]+$"",D523),Filmes_raw!C523))"),1324974.0)</f>
        <v>1324974</v>
      </c>
      <c r="F523" s="6">
        <f>IFERROR(__xludf.DUMMYFUNCTION("VALUE(REGEXEXTRACT(Filmes_raw!F523, ""[0-9]+""
))"),94.0)</f>
        <v>94</v>
      </c>
    </row>
    <row r="524">
      <c r="A524" s="1">
        <v>523.0</v>
      </c>
      <c r="B524" s="1" t="s">
        <v>3257</v>
      </c>
      <c r="C524" s="13" t="b">
        <f>IFERROR(__xludf.DUMMYFUNCTION("IF(ISTEXT(Filmes_raw!C524), REGEXEXTRACT(Filmes_raw!C524,""[^,]+$""))"),FALSE)</f>
        <v>0</v>
      </c>
      <c r="D524" s="1" t="b">
        <f t="shared" si="1"/>
        <v>0</v>
      </c>
      <c r="E524" s="14">
        <f>IFERROR(__xludf.DUMMYFUNCTION("VALUE(IF(ISTEXT(D524), REGEXREPLACE(Filmes_raw!C524,""[^,]+$"",D524),Filmes_raw!C524))"),1073.0)</f>
        <v>1073</v>
      </c>
      <c r="F524" s="6">
        <f>IFERROR(__xludf.DUMMYFUNCTION("VALUE(REGEXEXTRACT(Filmes_raw!F524, ""[0-9]+""
))"),94.0)</f>
        <v>94</v>
      </c>
    </row>
    <row r="525">
      <c r="A525" s="1">
        <v>524.0</v>
      </c>
      <c r="B525" s="1" t="s">
        <v>3263</v>
      </c>
      <c r="C525" s="13" t="b">
        <f>IFERROR(__xludf.DUMMYFUNCTION("IF(ISTEXT(Filmes_raw!C525), REGEXEXTRACT(Filmes_raw!C525,""[^,]+$""))"),FALSE)</f>
        <v>0</v>
      </c>
      <c r="D525" s="1" t="b">
        <f t="shared" si="1"/>
        <v>0</v>
      </c>
      <c r="E525" s="14">
        <f>IFERROR(__xludf.DUMMYFUNCTION("VALUE(IF(ISTEXT(D525), REGEXREPLACE(Filmes_raw!C525,""[^,]+$"",D525),Filmes_raw!C525))"),3.6948322E7)</f>
        <v>36948322</v>
      </c>
      <c r="F525" s="6">
        <f>IFERROR(__xludf.DUMMYFUNCTION("VALUE(REGEXEXTRACT(Filmes_raw!F525, ""[0-9]+""
))"),144.0)</f>
        <v>144</v>
      </c>
    </row>
    <row r="526">
      <c r="A526" s="1">
        <v>525.0</v>
      </c>
      <c r="B526" s="1" t="s">
        <v>3267</v>
      </c>
      <c r="C526" s="13" t="b">
        <f>IFERROR(__xludf.DUMMYFUNCTION("IF(ISTEXT(Filmes_raw!C526), REGEXEXTRACT(Filmes_raw!C526,""[^,]+$""))"),FALSE)</f>
        <v>0</v>
      </c>
      <c r="D526" s="1" t="b">
        <f t="shared" si="1"/>
        <v>0</v>
      </c>
      <c r="E526" s="14">
        <f>IFERROR(__xludf.DUMMYFUNCTION("VALUE(IF(ISTEXT(D526), REGEXREPLACE(Filmes_raw!C526,""[^,]+$"",D526),Filmes_raw!C526))"),5.6362352E7)</f>
        <v>56362352</v>
      </c>
      <c r="F526" s="6">
        <f>IFERROR(__xludf.DUMMYFUNCTION("VALUE(REGEXEXTRACT(Filmes_raw!F526, ""[0-9]+""
))"),105.0)</f>
        <v>105</v>
      </c>
    </row>
    <row r="527">
      <c r="A527" s="1">
        <v>526.0</v>
      </c>
      <c r="B527" s="1" t="s">
        <v>3271</v>
      </c>
      <c r="C527" s="13" t="b">
        <f>IFERROR(__xludf.DUMMYFUNCTION("IF(ISTEXT(Filmes_raw!C527), REGEXEXTRACT(Filmes_raw!C527,""[^,]+$""))"),FALSE)</f>
        <v>0</v>
      </c>
      <c r="D527" s="1" t="b">
        <f t="shared" si="1"/>
        <v>0</v>
      </c>
      <c r="E527" s="14">
        <f>IFERROR(__xludf.DUMMYFUNCTION("VALUE(IF(ISTEXT(D527), REGEXREPLACE(Filmes_raw!C527,""[^,]+$"",D527),Filmes_raw!C527))"),1.4743391E7)</f>
        <v>14743391</v>
      </c>
      <c r="F527" s="6">
        <f>IFERROR(__xludf.DUMMYFUNCTION("VALUE(REGEXEXTRACT(Filmes_raw!F527, ""[0-9]+""
))"),103.0)</f>
        <v>103</v>
      </c>
    </row>
    <row r="528">
      <c r="A528" s="1">
        <v>527.0</v>
      </c>
      <c r="B528" s="1" t="s">
        <v>3276</v>
      </c>
      <c r="C528" s="13" t="b">
        <f>IFERROR(__xludf.DUMMYFUNCTION("IF(ISTEXT(Filmes_raw!C528), REGEXEXTRACT(Filmes_raw!C528,""[^,]+$""))"),FALSE)</f>
        <v>0</v>
      </c>
      <c r="D528" s="1" t="b">
        <f t="shared" si="1"/>
        <v>0</v>
      </c>
      <c r="E528" s="14">
        <f>IFERROR(__xludf.DUMMYFUNCTION("VALUE(IF(ISTEXT(D528), REGEXREPLACE(Filmes_raw!C528,""[^,]+$"",D528),Filmes_raw!C528))"),1.8254702E7)</f>
        <v>18254702</v>
      </c>
      <c r="F528" s="6">
        <f>IFERROR(__xludf.DUMMYFUNCTION("VALUE(REGEXEXTRACT(Filmes_raw!F528, ""[0-9]+""
))"),104.0)</f>
        <v>104</v>
      </c>
    </row>
    <row r="529">
      <c r="A529" s="1">
        <v>528.0</v>
      </c>
      <c r="B529" s="1" t="s">
        <v>3281</v>
      </c>
      <c r="C529" s="13" t="b">
        <f>IFERROR(__xludf.DUMMYFUNCTION("IF(ISTEXT(Filmes_raw!C529), REGEXEXTRACT(Filmes_raw!C529,""[^,]+$""))"),FALSE)</f>
        <v>0</v>
      </c>
      <c r="D529" s="1" t="b">
        <f t="shared" si="1"/>
        <v>0</v>
      </c>
      <c r="E529" s="14">
        <f>IFERROR(__xludf.DUMMYFUNCTION("VALUE(IF(ISTEXT(D529), REGEXREPLACE(Filmes_raw!C529,""[^,]+$"",D529),Filmes_raw!C529))"),7.6270454E7)</f>
        <v>76270454</v>
      </c>
      <c r="F529" s="6">
        <f>IFERROR(__xludf.DUMMYFUNCTION("VALUE(REGEXEXTRACT(Filmes_raw!F529, ""[0-9]+""
))"),119.0)</f>
        <v>119</v>
      </c>
    </row>
    <row r="530">
      <c r="A530" s="1">
        <v>529.0</v>
      </c>
      <c r="B530" s="1" t="s">
        <v>3284</v>
      </c>
      <c r="C530" s="13" t="b">
        <f>IFERROR(__xludf.DUMMYFUNCTION("IF(ISTEXT(Filmes_raw!C530), REGEXEXTRACT(Filmes_raw!C530,""[^,]+$""))"),FALSE)</f>
        <v>0</v>
      </c>
      <c r="D530" s="1" t="b">
        <f t="shared" si="1"/>
        <v>0</v>
      </c>
      <c r="E530" s="14">
        <f>IFERROR(__xludf.DUMMYFUNCTION("VALUE(IF(ISTEXT(D530), REGEXREPLACE(Filmes_raw!C530,""[^,]+$"",D530),Filmes_raw!C530))"),4.0084041E7)</f>
        <v>40084041</v>
      </c>
      <c r="F530" s="6">
        <f>IFERROR(__xludf.DUMMYFUNCTION("VALUE(REGEXEXTRACT(Filmes_raw!F530, ""[0-9]+""
))"),107.0)</f>
        <v>107</v>
      </c>
    </row>
    <row r="531">
      <c r="A531" s="1">
        <v>530.0</v>
      </c>
      <c r="B531" s="1" t="s">
        <v>3287</v>
      </c>
      <c r="C531" s="13" t="b">
        <f>IFERROR(__xludf.DUMMYFUNCTION("IF(ISTEXT(Filmes_raw!C531), REGEXEXTRACT(Filmes_raw!C531,""[^,]+$""))"),FALSE)</f>
        <v>0</v>
      </c>
      <c r="D531" s="1" t="b">
        <f t="shared" si="1"/>
        <v>0</v>
      </c>
      <c r="E531" s="14">
        <f>IFERROR(__xludf.DUMMYFUNCTION("VALUE(IF(ISTEXT(D531), REGEXREPLACE(Filmes_raw!C531,""[^,]+$"",D531),Filmes_raw!C531))"),9929135.0)</f>
        <v>9929135</v>
      </c>
      <c r="F531" s="6">
        <f>IFERROR(__xludf.DUMMYFUNCTION("VALUE(REGEXEXTRACT(Filmes_raw!F531, ""[0-9]+""
))"),132.0)</f>
        <v>132</v>
      </c>
    </row>
    <row r="532">
      <c r="A532" s="1">
        <v>531.0</v>
      </c>
      <c r="B532" s="1" t="s">
        <v>3292</v>
      </c>
      <c r="C532" s="13" t="b">
        <f>IFERROR(__xludf.DUMMYFUNCTION("IF(ISTEXT(Filmes_raw!C532), REGEXEXTRACT(Filmes_raw!C532,""[^,]+$""))"),FALSE)</f>
        <v>0</v>
      </c>
      <c r="D532" s="1" t="b">
        <f t="shared" si="1"/>
        <v>0</v>
      </c>
      <c r="E532" s="14">
        <f>IFERROR(__xludf.DUMMYFUNCTION("VALUE(IF(ISTEXT(D532), REGEXREPLACE(Filmes_raw!C532,""[^,]+$"",D532),Filmes_raw!C532))"),188751.0)</f>
        <v>188751</v>
      </c>
      <c r="F532" s="6">
        <f>IFERROR(__xludf.DUMMYFUNCTION("VALUE(REGEXEXTRACT(Filmes_raw!F532, ""[0-9]+""
))"),82.0)</f>
        <v>82</v>
      </c>
    </row>
    <row r="533">
      <c r="A533" s="1">
        <v>532.0</v>
      </c>
      <c r="B533" s="1" t="s">
        <v>3299</v>
      </c>
      <c r="C533" s="13" t="b">
        <f>IFERROR(__xludf.DUMMYFUNCTION("IF(ISTEXT(Filmes_raw!C533), REGEXEXTRACT(Filmes_raw!C533,""[^,]+$""))"),FALSE)</f>
        <v>0</v>
      </c>
      <c r="D533" s="1" t="b">
        <f t="shared" si="1"/>
        <v>0</v>
      </c>
      <c r="E533" s="14">
        <f>IFERROR(__xludf.DUMMYFUNCTION("VALUE(IF(ISTEXT(D533), REGEXREPLACE(Filmes_raw!C533,""[^,]+$"",D533),Filmes_raw!C533))"),2.0605209E7)</f>
        <v>20605209</v>
      </c>
      <c r="F533" s="6">
        <f>IFERROR(__xludf.DUMMYFUNCTION("VALUE(REGEXEXTRACT(Filmes_raw!F533, ""[0-9]+""
))"),93.0)</f>
        <v>93</v>
      </c>
    </row>
    <row r="534">
      <c r="A534" s="1">
        <v>533.0</v>
      </c>
      <c r="B534" s="1" t="s">
        <v>3307</v>
      </c>
      <c r="C534" s="13" t="b">
        <f>IFERROR(__xludf.DUMMYFUNCTION("IF(ISTEXT(Filmes_raw!C534), REGEXEXTRACT(Filmes_raw!C534,""[^,]+$""))"),FALSE)</f>
        <v>0</v>
      </c>
      <c r="D534" s="1" t="b">
        <f t="shared" si="1"/>
        <v>0</v>
      </c>
      <c r="E534" s="14">
        <f>IFERROR(__xludf.DUMMYFUNCTION("VALUE(IF(ISTEXT(D534), REGEXREPLACE(Filmes_raw!C534,""[^,]+$"",D534),Filmes_raw!C534))"),5.722989E7)</f>
        <v>57229890</v>
      </c>
      <c r="F534" s="6">
        <f>IFERROR(__xludf.DUMMYFUNCTION("VALUE(REGEXEXTRACT(Filmes_raw!F534, ""[0-9]+""
))"),133.0)</f>
        <v>133</v>
      </c>
    </row>
    <row r="535">
      <c r="A535" s="1">
        <v>534.0</v>
      </c>
      <c r="B535" s="1" t="s">
        <v>3314</v>
      </c>
      <c r="C535" s="13" t="b">
        <f>IFERROR(__xludf.DUMMYFUNCTION("IF(ISTEXT(Filmes_raw!C535), REGEXEXTRACT(Filmes_raw!C535,""[^,]+$""))"),FALSE)</f>
        <v>0</v>
      </c>
      <c r="D535" s="1" t="b">
        <f t="shared" si="1"/>
        <v>0</v>
      </c>
      <c r="E535" s="14">
        <f>IFERROR(__xludf.DUMMYFUNCTION("VALUE(IF(ISTEXT(D535), REGEXREPLACE(Filmes_raw!C535,""[^,]+$"",D535),Filmes_raw!C535))"),4.57E7)</f>
        <v>45700000</v>
      </c>
      <c r="F535" s="6">
        <f>IFERROR(__xludf.DUMMYFUNCTION("VALUE(REGEXEXTRACT(Filmes_raw!F535, ""[0-9]+""
))"),96.0)</f>
        <v>96</v>
      </c>
    </row>
    <row r="536">
      <c r="A536" s="1">
        <v>535.0</v>
      </c>
      <c r="B536" s="1" t="s">
        <v>3318</v>
      </c>
      <c r="C536" s="13" t="b">
        <f>IFERROR(__xludf.DUMMYFUNCTION("IF(ISTEXT(Filmes_raw!C536), REGEXEXTRACT(Filmes_raw!C536,""[^,]+$""))"),FALSE)</f>
        <v>0</v>
      </c>
      <c r="D536" s="1" t="b">
        <f t="shared" si="1"/>
        <v>0</v>
      </c>
      <c r="E536" s="14">
        <f>IFERROR(__xludf.DUMMYFUNCTION("VALUE(IF(ISTEXT(D536), REGEXREPLACE(Filmes_raw!C536,""[^,]+$"",D536),Filmes_raw!C536))"),3.7823676E7)</f>
        <v>37823676</v>
      </c>
      <c r="F536" s="6">
        <f>IFERROR(__xludf.DUMMYFUNCTION("VALUE(REGEXEXTRACT(Filmes_raw!F536, ""[0-9]+""
))"),123.0)</f>
        <v>123</v>
      </c>
    </row>
    <row r="537">
      <c r="A537" s="1">
        <v>536.0</v>
      </c>
      <c r="B537" s="1" t="s">
        <v>3324</v>
      </c>
      <c r="C537" s="13" t="b">
        <f>IFERROR(__xludf.DUMMYFUNCTION("IF(ISTEXT(Filmes_raw!C537), REGEXEXTRACT(Filmes_raw!C537,""[^,]+$""))"),FALSE)</f>
        <v>0</v>
      </c>
      <c r="D537" s="1" t="b">
        <f t="shared" si="1"/>
        <v>0</v>
      </c>
      <c r="E537" s="14">
        <f>IFERROR(__xludf.DUMMYFUNCTION("VALUE(IF(ISTEXT(D537), REGEXREPLACE(Filmes_raw!C537,""[^,]+$"",D537),Filmes_raw!C537))"),5100000.0)</f>
        <v>5100000</v>
      </c>
      <c r="F537" s="6">
        <f>IFERROR(__xludf.DUMMYFUNCTION("VALUE(REGEXEXTRACT(Filmes_raw!F537, ""[0-9]+""
))"),127.0)</f>
        <v>127</v>
      </c>
    </row>
    <row r="538">
      <c r="A538" s="1">
        <v>537.0</v>
      </c>
      <c r="B538" s="1" t="s">
        <v>3332</v>
      </c>
      <c r="C538" s="13" t="b">
        <f>IFERROR(__xludf.DUMMYFUNCTION("IF(ISTEXT(Filmes_raw!C538), REGEXEXTRACT(Filmes_raw!C538,""[^,]+$""))"),FALSE)</f>
        <v>0</v>
      </c>
      <c r="D538" s="1" t="b">
        <f t="shared" si="1"/>
        <v>0</v>
      </c>
      <c r="E538" s="14">
        <f>IFERROR(__xludf.DUMMYFUNCTION("VALUE(IF(ISTEXT(D538), REGEXREPLACE(Filmes_raw!C538,""[^,]+$"",D538),Filmes_raw!C538))"),7.06E7)</f>
        <v>70600000</v>
      </c>
      <c r="F538" s="6">
        <f>IFERROR(__xludf.DUMMYFUNCTION("VALUE(REGEXEXTRACT(Filmes_raw!F538, ""[0-9]+""
))"),138.0)</f>
        <v>138</v>
      </c>
    </row>
    <row r="539">
      <c r="A539" s="1">
        <v>538.0</v>
      </c>
      <c r="B539" s="1" t="s">
        <v>3335</v>
      </c>
      <c r="C539" s="13" t="b">
        <f>IFERROR(__xludf.DUMMYFUNCTION("IF(ISTEXT(Filmes_raw!C539), REGEXEXTRACT(Filmes_raw!C539,""[^,]+$""))"),FALSE)</f>
        <v>0</v>
      </c>
      <c r="D539" s="1" t="b">
        <f t="shared" si="1"/>
        <v>0</v>
      </c>
      <c r="E539" s="14">
        <f>IFERROR(__xludf.DUMMYFUNCTION("VALUE(IF(ISTEXT(D539), REGEXREPLACE(Filmes_raw!C539,""[^,]+$"",D539),Filmes_raw!C539))"),61001.0)</f>
        <v>61001</v>
      </c>
      <c r="F539" s="6">
        <f>IFERROR(__xludf.DUMMYFUNCTION("VALUE(REGEXEXTRACT(Filmes_raw!F539, ""[0-9]+""
))"),114.0)</f>
        <v>114</v>
      </c>
    </row>
    <row r="540">
      <c r="A540" s="1">
        <v>539.0</v>
      </c>
      <c r="B540" s="1" t="s">
        <v>3341</v>
      </c>
      <c r="C540" s="13" t="b">
        <f>IFERROR(__xludf.DUMMYFUNCTION("IF(ISTEXT(Filmes_raw!C540), REGEXEXTRACT(Filmes_raw!C540,""[^,]+$""))"),FALSE)</f>
        <v>0</v>
      </c>
      <c r="D540" s="1" t="b">
        <f t="shared" si="1"/>
        <v>0</v>
      </c>
      <c r="E540" s="14">
        <f>IFERROR(__xludf.DUMMYFUNCTION("VALUE(IF(ISTEXT(D540), REGEXREPLACE(Filmes_raw!C540,""[^,]+$"",D540),Filmes_raw!C540))"),196609.0)</f>
        <v>196609</v>
      </c>
      <c r="F540" s="6">
        <f>IFERROR(__xludf.DUMMYFUNCTION("VALUE(REGEXEXTRACT(Filmes_raw!F540, ""[0-9]+""
))"),123.0)</f>
        <v>123</v>
      </c>
    </row>
    <row r="541">
      <c r="A541" s="1">
        <v>540.0</v>
      </c>
      <c r="B541" s="1" t="s">
        <v>3347</v>
      </c>
      <c r="C541" s="13" t="b">
        <f>IFERROR(__xludf.DUMMYFUNCTION("IF(ISTEXT(Filmes_raw!C541), REGEXEXTRACT(Filmes_raw!C541,""[^,]+$""))"),FALSE)</f>
        <v>0</v>
      </c>
      <c r="D541" s="1" t="b">
        <f t="shared" si="1"/>
        <v>0</v>
      </c>
      <c r="E541" s="14">
        <f>IFERROR(__xludf.DUMMYFUNCTION("VALUE(IF(ISTEXT(D541), REGEXREPLACE(Filmes_raw!C541,""[^,]+$"",D541),Filmes_raw!C541))"),198809.0)</f>
        <v>198809</v>
      </c>
      <c r="F541" s="6">
        <f>IFERROR(__xludf.DUMMYFUNCTION("VALUE(REGEXEXTRACT(Filmes_raw!F541, ""[0-9]+""
))"),102.0)</f>
        <v>102</v>
      </c>
    </row>
    <row r="542">
      <c r="A542" s="1">
        <v>541.0</v>
      </c>
      <c r="B542" s="1" t="s">
        <v>3353</v>
      </c>
      <c r="C542" s="13" t="b">
        <f>IFERROR(__xludf.DUMMYFUNCTION("IF(ISTEXT(Filmes_raw!C542), REGEXEXTRACT(Filmes_raw!C542,""[^,]+$""))"),FALSE)</f>
        <v>0</v>
      </c>
      <c r="D542" s="1" t="b">
        <f t="shared" si="1"/>
        <v>0</v>
      </c>
      <c r="E542" s="14">
        <f>IFERROR(__xludf.DUMMYFUNCTION("VALUE(IF(ISTEXT(D542), REGEXREPLACE(Filmes_raw!C542,""[^,]+$"",D542),Filmes_raw!C542))"),37041.0)</f>
        <v>37041</v>
      </c>
      <c r="F542" s="6">
        <f>IFERROR(__xludf.DUMMYFUNCTION("VALUE(REGEXEXTRACT(Filmes_raw!F542, ""[0-9]+""
))"),95.0)</f>
        <v>95</v>
      </c>
    </row>
    <row r="543">
      <c r="A543" s="1">
        <v>542.0</v>
      </c>
      <c r="B543" s="1" t="s">
        <v>3359</v>
      </c>
      <c r="C543" s="13" t="b">
        <f>IFERROR(__xludf.DUMMYFUNCTION("IF(ISTEXT(Filmes_raw!C543), REGEXEXTRACT(Filmes_raw!C543,""[^,]+$""))"),FALSE)</f>
        <v>0</v>
      </c>
      <c r="D543" s="1" t="b">
        <f t="shared" si="1"/>
        <v>0</v>
      </c>
      <c r="E543" s="14">
        <f>IFERROR(__xludf.DUMMYFUNCTION("VALUE(IF(ISTEXT(D543), REGEXREPLACE(Filmes_raw!C543,""[^,]+$"",D543),Filmes_raw!C543))"),1546.0)</f>
        <v>1546</v>
      </c>
      <c r="F543" s="6">
        <f>IFERROR(__xludf.DUMMYFUNCTION("VALUE(REGEXEXTRACT(Filmes_raw!F543, ""[0-9]+""
))"),91.0)</f>
        <v>91</v>
      </c>
    </row>
    <row r="544">
      <c r="A544" s="1">
        <v>543.0</v>
      </c>
      <c r="B544" s="1" t="s">
        <v>3364</v>
      </c>
      <c r="C544" s="13" t="b">
        <f>IFERROR(__xludf.DUMMYFUNCTION("IF(ISTEXT(Filmes_raw!C544), REGEXEXTRACT(Filmes_raw!C544,""[^,]+$""))"),FALSE)</f>
        <v>0</v>
      </c>
      <c r="D544" s="1" t="b">
        <f t="shared" si="1"/>
        <v>0</v>
      </c>
      <c r="E544" s="14">
        <f>IFERROR(__xludf.DUMMYFUNCTION("VALUE(IF(ISTEXT(D544), REGEXREPLACE(Filmes_raw!C544,""[^,]+$"",D544),Filmes_raw!C544))"),6.17E7)</f>
        <v>61700000</v>
      </c>
      <c r="F544" s="6">
        <f>IFERROR(__xludf.DUMMYFUNCTION("VALUE(REGEXEXTRACT(Filmes_raw!F544, ""[0-9]+""
))"),172.0)</f>
        <v>172</v>
      </c>
    </row>
    <row r="545">
      <c r="A545" s="1">
        <v>544.0</v>
      </c>
      <c r="B545" s="1" t="s">
        <v>3369</v>
      </c>
      <c r="C545" s="13" t="b">
        <f>IFERROR(__xludf.DUMMYFUNCTION("IF(ISTEXT(Filmes_raw!C545), REGEXEXTRACT(Filmes_raw!C545,""[^,]+$""))"),FALSE)</f>
        <v>0</v>
      </c>
      <c r="D545" s="1" t="b">
        <f t="shared" si="1"/>
        <v>0</v>
      </c>
      <c r="E545" s="14">
        <f>IFERROR(__xludf.DUMMYFUNCTION("VALUE(IF(ISTEXT(D545), REGEXREPLACE(Filmes_raw!C545,""[^,]+$"",D545),Filmes_raw!C545))"),1.2064472E7)</f>
        <v>12064472</v>
      </c>
      <c r="F545" s="6">
        <f>IFERROR(__xludf.DUMMYFUNCTION("VALUE(REGEXEXTRACT(Filmes_raw!F545, ""[0-9]+""
))"),145.0)</f>
        <v>145</v>
      </c>
    </row>
    <row r="546">
      <c r="A546" s="1">
        <v>545.0</v>
      </c>
      <c r="B546" s="1" t="s">
        <v>3375</v>
      </c>
      <c r="C546" s="13" t="b">
        <f>IFERROR(__xludf.DUMMYFUNCTION("IF(ISTEXT(Filmes_raw!C546), REGEXEXTRACT(Filmes_raw!C546,""[^,]+$""))"),FALSE)</f>
        <v>0</v>
      </c>
      <c r="D546" s="1" t="b">
        <f t="shared" si="1"/>
        <v>0</v>
      </c>
      <c r="E546" s="14">
        <f>IFERROR(__xludf.DUMMYFUNCTION("VALUE(IF(ISTEXT(D546), REGEXREPLACE(Filmes_raw!C546,""[^,]+$"",D546),Filmes_raw!C546))"),89029.0)</f>
        <v>89029</v>
      </c>
      <c r="F546" s="6">
        <f>IFERROR(__xludf.DUMMYFUNCTION("VALUE(REGEXEXTRACT(Filmes_raw!F546, ""[0-9]+""
))"),96.0)</f>
        <v>96</v>
      </c>
    </row>
    <row r="547">
      <c r="A547" s="1">
        <v>546.0</v>
      </c>
      <c r="B547" s="1" t="s">
        <v>3382</v>
      </c>
      <c r="C547" s="13" t="b">
        <f>IFERROR(__xludf.DUMMYFUNCTION("IF(ISTEXT(Filmes_raw!C547), REGEXEXTRACT(Filmes_raw!C547,""[^,]+$""))"),FALSE)</f>
        <v>0</v>
      </c>
      <c r="D547" s="1" t="b">
        <f t="shared" si="1"/>
        <v>0</v>
      </c>
      <c r="E547" s="14">
        <f>IFERROR(__xludf.DUMMYFUNCTION("VALUE(IF(ISTEXT(D547), REGEXREPLACE(Filmes_raw!C547,""[^,]+$"",D547),Filmes_raw!C547))"),2.2276975E7)</f>
        <v>22276975</v>
      </c>
      <c r="F547" s="6">
        <f>IFERROR(__xludf.DUMMYFUNCTION("VALUE(REGEXEXTRACT(Filmes_raw!F547, ""[0-9]+""
))"),134.0)</f>
        <v>134</v>
      </c>
    </row>
    <row r="548">
      <c r="A548" s="1">
        <v>547.0</v>
      </c>
      <c r="B548" s="1" t="s">
        <v>3387</v>
      </c>
      <c r="C548" s="13" t="b">
        <f>IFERROR(__xludf.DUMMYFUNCTION("IF(ISTEXT(Filmes_raw!C548), REGEXEXTRACT(Filmes_raw!C548,""[^,]+$""))"),FALSE)</f>
        <v>0</v>
      </c>
      <c r="D548" s="1" t="b">
        <f t="shared" si="1"/>
        <v>0</v>
      </c>
      <c r="E548" s="14">
        <f>IFERROR(__xludf.DUMMYFUNCTION("VALUE(IF(ISTEXT(D548), REGEXREPLACE(Filmes_raw!C548,""[^,]+$"",D548),Filmes_raw!C548))"),2.4379978E7)</f>
        <v>24379978</v>
      </c>
      <c r="F548" s="6">
        <f>IFERROR(__xludf.DUMMYFUNCTION("VALUE(REGEXEXTRACT(Filmes_raw!F548, ""[0-9]+""
))"),110.0)</f>
        <v>110</v>
      </c>
    </row>
    <row r="549">
      <c r="A549" s="1">
        <v>548.0</v>
      </c>
      <c r="B549" s="1" t="s">
        <v>3392</v>
      </c>
      <c r="C549" s="13" t="b">
        <f>IFERROR(__xludf.DUMMYFUNCTION("IF(ISTEXT(Filmes_raw!C549), REGEXEXTRACT(Filmes_raw!C549,""[^,]+$""))"),FALSE)</f>
        <v>0</v>
      </c>
      <c r="D549" s="1" t="b">
        <f t="shared" si="1"/>
        <v>0</v>
      </c>
      <c r="E549" s="14">
        <f>IFERROR(__xludf.DUMMYFUNCTION("VALUE(IF(ISTEXT(D549), REGEXREPLACE(Filmes_raw!C549,""[^,]+$"",D549),Filmes_raw!C549))"),1.3474588E7)</f>
        <v>13474588</v>
      </c>
      <c r="F549" s="6">
        <f>IFERROR(__xludf.DUMMYFUNCTION("VALUE(REGEXEXTRACT(Filmes_raw!F549, ""[0-9]+""
))"),113.0)</f>
        <v>113</v>
      </c>
    </row>
    <row r="550">
      <c r="A550" s="1">
        <v>549.0</v>
      </c>
      <c r="B550" s="1" t="s">
        <v>3396</v>
      </c>
      <c r="C550" s="13" t="b">
        <f>IFERROR(__xludf.DUMMYFUNCTION("IF(ISTEXT(Filmes_raw!C550), REGEXEXTRACT(Filmes_raw!C550,""[^,]+$""))"),FALSE)</f>
        <v>0</v>
      </c>
      <c r="D550" s="1" t="b">
        <f t="shared" si="1"/>
        <v>0</v>
      </c>
      <c r="E550" s="14">
        <f>IFERROR(__xludf.DUMMYFUNCTION("VALUE(IF(ISTEXT(D550), REGEXREPLACE(Filmes_raw!C550,""[^,]+$"",D550),Filmes_raw!C550))"),6.595563E7)</f>
        <v>65955630</v>
      </c>
      <c r="F550" s="6">
        <f>IFERROR(__xludf.DUMMYFUNCTION("VALUE(REGEXEXTRACT(Filmes_raw!F550, ""[0-9]+""
))"),126.0)</f>
        <v>126</v>
      </c>
    </row>
    <row r="551">
      <c r="A551" s="1">
        <v>550.0</v>
      </c>
      <c r="B551" s="1" t="s">
        <v>3402</v>
      </c>
      <c r="C551" s="13" t="b">
        <f>IFERROR(__xludf.DUMMYFUNCTION("IF(ISTEXT(Filmes_raw!C551), REGEXEXTRACT(Filmes_raw!C551,""[^,]+$""))"),FALSE)</f>
        <v>0</v>
      </c>
      <c r="D551" s="1" t="b">
        <f t="shared" si="1"/>
        <v>0</v>
      </c>
      <c r="E551" s="14">
        <f>IFERROR(__xludf.DUMMYFUNCTION("VALUE(IF(ISTEXT(D551), REGEXREPLACE(Filmes_raw!C551,""[^,]+$"",D551),Filmes_raw!C551))"),3.0E7)</f>
        <v>30000000</v>
      </c>
      <c r="F551" s="6">
        <f>IFERROR(__xludf.DUMMYFUNCTION("VALUE(REGEXEXTRACT(Filmes_raw!F551, ""[0-9]+""
))"),197.0)</f>
        <v>197</v>
      </c>
    </row>
    <row r="552">
      <c r="A552" s="1">
        <v>551.0</v>
      </c>
      <c r="B552" s="1" t="s">
        <v>3405</v>
      </c>
      <c r="C552" s="13" t="b">
        <f>IFERROR(__xludf.DUMMYFUNCTION("IF(ISTEXT(Filmes_raw!C552), REGEXEXTRACT(Filmes_raw!C552,""[^,]+$""))"),FALSE)</f>
        <v>0</v>
      </c>
      <c r="D552" s="1" t="b">
        <f t="shared" si="1"/>
        <v>0</v>
      </c>
      <c r="E552" s="14">
        <f>IFERROR(__xludf.DUMMYFUNCTION("VALUE(IF(ISTEXT(D552), REGEXREPLACE(Filmes_raw!C552,""[^,]+$"",D552),Filmes_raw!C552))"),2606.0)</f>
        <v>2606</v>
      </c>
      <c r="F552" s="6">
        <f>IFERROR(__xludf.DUMMYFUNCTION("VALUE(REGEXEXTRACT(Filmes_raw!F552, ""[0-9]+""
))"),144.0)</f>
        <v>144</v>
      </c>
    </row>
    <row r="553">
      <c r="A553" s="1">
        <v>552.0</v>
      </c>
      <c r="B553" s="1" t="s">
        <v>3412</v>
      </c>
      <c r="C553" s="13" t="str">
        <f>IFERROR(__xludf.DUMMYFUNCTION("IF(ISTEXT(Filmes_raw!C553), REGEXEXTRACT(Filmes_raw!C553,""[^,]+$""))"),"3")</f>
        <v>3</v>
      </c>
      <c r="D553" s="1" t="str">
        <f t="shared" si="1"/>
        <v>300</v>
      </c>
      <c r="E553" s="14">
        <f>IFERROR(__xludf.DUMMYFUNCTION("VALUE(IF(ISTEXT(D553), REGEXREPLACE(Filmes_raw!C553,""[^,]+$"",D553),Filmes_raw!C553))"),88300.0)</f>
        <v>88300</v>
      </c>
      <c r="F553" s="6">
        <f>IFERROR(__xludf.DUMMYFUNCTION("VALUE(REGEXEXTRACT(Filmes_raw!F553, ""[0-9]+""
))"),90.0)</f>
        <v>90</v>
      </c>
    </row>
    <row r="554">
      <c r="A554" s="1">
        <v>553.0</v>
      </c>
      <c r="B554" s="1" t="s">
        <v>3419</v>
      </c>
      <c r="C554" s="13" t="b">
        <f>IFERROR(__xludf.DUMMYFUNCTION("IF(ISTEXT(Filmes_raw!C554), REGEXEXTRACT(Filmes_raw!C554,""[^,]+$""))"),FALSE)</f>
        <v>0</v>
      </c>
      <c r="D554" s="1" t="b">
        <f t="shared" si="1"/>
        <v>0</v>
      </c>
      <c r="E554" s="14">
        <f>IFERROR(__xludf.DUMMYFUNCTION("VALUE(IF(ISTEXT(D554), REGEXREPLACE(Filmes_raw!C554,""[^,]+$"",D554),Filmes_raw!C554))"),9.374E7)</f>
        <v>93740000</v>
      </c>
      <c r="F554" s="6">
        <f>IFERROR(__xludf.DUMMYFUNCTION("VALUE(REGEXEXTRACT(Filmes_raw!F554, ""[0-9]+""
))"),220.0)</f>
        <v>220</v>
      </c>
    </row>
    <row r="555">
      <c r="A555" s="1">
        <v>554.0</v>
      </c>
      <c r="B555" s="1" t="s">
        <v>3424</v>
      </c>
      <c r="C555" s="13" t="b">
        <f>IFERROR(__xludf.DUMMYFUNCTION("IF(ISTEXT(Filmes_raw!C555), REGEXEXTRACT(Filmes_raw!C555,""[^,]+$""))"),FALSE)</f>
        <v>0</v>
      </c>
      <c r="D555" s="1" t="b">
        <f t="shared" si="1"/>
        <v>0</v>
      </c>
      <c r="E555" s="14">
        <f>IFERROR(__xludf.DUMMYFUNCTION("VALUE(IF(ISTEXT(D555), REGEXREPLACE(Filmes_raw!C555,""[^,]+$"",D555),Filmes_raw!C555))"),3750000.0)</f>
        <v>3750000</v>
      </c>
      <c r="F555" s="6">
        <f>IFERROR(__xludf.DUMMYFUNCTION("VALUE(REGEXEXTRACT(Filmes_raw!F555, ""[0-9]+""
))"),119.0)</f>
        <v>119</v>
      </c>
    </row>
    <row r="556">
      <c r="A556" s="1">
        <v>555.0</v>
      </c>
      <c r="B556" s="1" t="s">
        <v>3428</v>
      </c>
      <c r="C556" s="13" t="b">
        <f>IFERROR(__xludf.DUMMYFUNCTION("IF(ISTEXT(Filmes_raw!C556), REGEXEXTRACT(Filmes_raw!C556,""[^,]+$""))"),FALSE)</f>
        <v>0</v>
      </c>
      <c r="D556" s="1" t="b">
        <f t="shared" si="1"/>
        <v>0</v>
      </c>
      <c r="E556" s="14">
        <f>IFERROR(__xludf.DUMMYFUNCTION("VALUE(IF(ISTEXT(D556), REGEXREPLACE(Filmes_raw!C556,""[^,]+$"",D556),Filmes_raw!C556))"),24079.0)</f>
        <v>24079</v>
      </c>
      <c r="F556" s="6">
        <f>IFERROR(__xludf.DUMMYFUNCTION("VALUE(REGEXEXTRACT(Filmes_raw!F556, ""[0-9]+""
))"),118.0)</f>
        <v>118</v>
      </c>
    </row>
    <row r="557">
      <c r="A557" s="1">
        <v>556.0</v>
      </c>
      <c r="B557" s="1" t="s">
        <v>3432</v>
      </c>
      <c r="C557" s="13" t="b">
        <f>IFERROR(__xludf.DUMMYFUNCTION("IF(ISTEXT(Filmes_raw!C557), REGEXEXTRACT(Filmes_raw!C557,""[^,]+$""))"),FALSE)</f>
        <v>0</v>
      </c>
      <c r="D557" s="1" t="b">
        <f t="shared" si="1"/>
        <v>0</v>
      </c>
      <c r="E557" s="14">
        <f>IFERROR(__xludf.DUMMYFUNCTION("VALUE(IF(ISTEXT(D557), REGEXREPLACE(Filmes_raw!C557,""[^,]+$"",D557),Filmes_raw!C557))"),9450000.0)</f>
        <v>9450000</v>
      </c>
      <c r="F557" s="6">
        <f>IFERROR(__xludf.DUMMYFUNCTION("VALUE(REGEXEXTRACT(Filmes_raw!F557, ""[0-9]+""
))"),85.0)</f>
        <v>85</v>
      </c>
    </row>
    <row r="558">
      <c r="A558" s="1">
        <v>557.0</v>
      </c>
      <c r="B558" s="1" t="s">
        <v>3438</v>
      </c>
      <c r="C558" s="13" t="b">
        <f>IFERROR(__xludf.DUMMYFUNCTION("IF(ISTEXT(Filmes_raw!C558), REGEXEXTRACT(Filmes_raw!C558,""[^,]+$""))"),FALSE)</f>
        <v>0</v>
      </c>
      <c r="D558" s="1" t="b">
        <f t="shared" si="1"/>
        <v>0</v>
      </c>
      <c r="E558" s="14">
        <f>IFERROR(__xludf.DUMMYFUNCTION("VALUE(IF(ISTEXT(D558), REGEXREPLACE(Filmes_raw!C558,""[^,]+$"",D558),Filmes_raw!C558))"),7630000.0)</f>
        <v>7630000</v>
      </c>
      <c r="F558" s="6">
        <f>IFERROR(__xludf.DUMMYFUNCTION("VALUE(REGEXEXTRACT(Filmes_raw!F558, ""[0-9]+""
))"),101.0)</f>
        <v>101</v>
      </c>
    </row>
    <row r="559">
      <c r="A559" s="1">
        <v>558.0</v>
      </c>
      <c r="B559" s="1" t="s">
        <v>3444</v>
      </c>
      <c r="C559" s="13" t="b">
        <f>IFERROR(__xludf.DUMMYFUNCTION("IF(ISTEXT(Filmes_raw!C559), REGEXEXTRACT(Filmes_raw!C559,""[^,]+$""))"),FALSE)</f>
        <v>0</v>
      </c>
      <c r="D559" s="1" t="b">
        <f t="shared" si="1"/>
        <v>0</v>
      </c>
      <c r="E559" s="14">
        <f>IFERROR(__xludf.DUMMYFUNCTION("VALUE(IF(ISTEXT(D559), REGEXREPLACE(Filmes_raw!C559,""[^,]+$"",D559),Filmes_raw!C559))"),0.0)</f>
        <v>0</v>
      </c>
      <c r="F559" s="6">
        <f>IFERROR(__xludf.DUMMYFUNCTION("VALUE(REGEXEXTRACT(Filmes_raw!F559, ""[0-9]+""
))"),104.0)</f>
        <v>104</v>
      </c>
    </row>
    <row r="560">
      <c r="A560" s="1">
        <v>559.0</v>
      </c>
      <c r="B560" s="1" t="s">
        <v>3450</v>
      </c>
      <c r="C560" s="13" t="b">
        <f>IFERROR(__xludf.DUMMYFUNCTION("IF(ISTEXT(Filmes_raw!C560), REGEXEXTRACT(Filmes_raw!C560,""[^,]+$""))"),FALSE)</f>
        <v>0</v>
      </c>
      <c r="D560" s="1" t="b">
        <f t="shared" si="1"/>
        <v>0</v>
      </c>
      <c r="E560" s="14">
        <f>IFERROR(__xludf.DUMMYFUNCTION("VALUE(IF(ISTEXT(D560), REGEXREPLACE(Filmes_raw!C560,""[^,]+$"",D560),Filmes_raw!C560))"),2650000.0)</f>
        <v>2650000</v>
      </c>
      <c r="F560" s="6">
        <f>IFERROR(__xludf.DUMMYFUNCTION("VALUE(REGEXEXTRACT(Filmes_raw!F560, ""[0-9]+""
))"),96.0)</f>
        <v>96</v>
      </c>
    </row>
    <row r="561">
      <c r="A561" s="1">
        <v>560.0</v>
      </c>
      <c r="B561" s="1" t="s">
        <v>3457</v>
      </c>
      <c r="C561" s="13" t="b">
        <f>IFERROR(__xludf.DUMMYFUNCTION("IF(ISTEXT(Filmes_raw!C561), REGEXEXTRACT(Filmes_raw!C561,""[^,]+$""))"),FALSE)</f>
        <v>0</v>
      </c>
      <c r="D561" s="1" t="b">
        <f t="shared" si="1"/>
        <v>0</v>
      </c>
      <c r="E561" s="14">
        <f>IFERROR(__xludf.DUMMYFUNCTION("VALUE(IF(ISTEXT(D561), REGEXREPLACE(Filmes_raw!C561,""[^,]+$"",D561),Filmes_raw!C561))"),1.0464E7)</f>
        <v>10464000</v>
      </c>
      <c r="F561" s="6">
        <f>IFERROR(__xludf.DUMMYFUNCTION("VALUE(REGEXEXTRACT(Filmes_raw!F561, ""[0-9]+""
))"),102.0)</f>
        <v>102</v>
      </c>
    </row>
    <row r="562">
      <c r="A562" s="1">
        <v>561.0</v>
      </c>
      <c r="B562" s="1" t="s">
        <v>3461</v>
      </c>
      <c r="C562" s="13" t="b">
        <f>IFERROR(__xludf.DUMMYFUNCTION("IF(ISTEXT(Filmes_raw!C562), REGEXEXTRACT(Filmes_raw!C562,""[^,]+$""))"),FALSE)</f>
        <v>0</v>
      </c>
      <c r="D562" s="1" t="b">
        <f t="shared" si="1"/>
        <v>0</v>
      </c>
      <c r="E562" s="14">
        <f>IFERROR(__xludf.DUMMYFUNCTION("VALUE(IF(ISTEXT(D562), REGEXREPLACE(Filmes_raw!C562,""[^,]+$"",D562),Filmes_raw!C562))"),6540000.0)</f>
        <v>6540000</v>
      </c>
      <c r="F562" s="6">
        <f>IFERROR(__xludf.DUMMYFUNCTION("VALUE(REGEXEXTRACT(Filmes_raw!F562, ""[0-9]+""
))"),114.0)</f>
        <v>114</v>
      </c>
    </row>
    <row r="563">
      <c r="A563" s="1">
        <v>562.0</v>
      </c>
      <c r="B563" s="1" t="s">
        <v>3466</v>
      </c>
      <c r="C563" s="13" t="b">
        <f>IFERROR(__xludf.DUMMYFUNCTION("IF(ISTEXT(Filmes_raw!C563), REGEXEXTRACT(Filmes_raw!C563,""[^,]+$""))"),FALSE)</f>
        <v>0</v>
      </c>
      <c r="D563" s="1" t="b">
        <f t="shared" si="1"/>
        <v>0</v>
      </c>
      <c r="E563" s="14">
        <f>IFERROR(__xludf.DUMMYFUNCTION("VALUE(IF(ISTEXT(D563), REGEXREPLACE(Filmes_raw!C563,""[^,]+$"",D563),Filmes_raw!C563))"),9460000.0)</f>
        <v>9460000</v>
      </c>
      <c r="F563" s="6">
        <f>IFERROR(__xludf.DUMMYFUNCTION("VALUE(REGEXEXTRACT(Filmes_raw!F563, ""[0-9]+""
))"),101.0)</f>
        <v>101</v>
      </c>
    </row>
    <row r="564">
      <c r="A564" s="1">
        <v>563.0</v>
      </c>
      <c r="B564" s="1" t="s">
        <v>3471</v>
      </c>
      <c r="C564" s="13" t="b">
        <f>IFERROR(__xludf.DUMMYFUNCTION("IF(ISTEXT(Filmes_raw!C564), REGEXEXTRACT(Filmes_raw!C564,""[^,]+$""))"),FALSE)</f>
        <v>0</v>
      </c>
      <c r="D564" s="1" t="b">
        <f t="shared" si="1"/>
        <v>0</v>
      </c>
      <c r="E564" s="14">
        <f>IFERROR(__xludf.DUMMYFUNCTION("VALUE(IF(ISTEXT(D564), REGEXREPLACE(Filmes_raw!C564,""[^,]+$"",D564),Filmes_raw!C564))"),411663.0)</f>
        <v>411663</v>
      </c>
      <c r="F564" s="6">
        <f>IFERROR(__xludf.DUMMYFUNCTION("VALUE(REGEXEXTRACT(Filmes_raw!F564, ""[0-9]+""
))"),112.0)</f>
        <v>112</v>
      </c>
    </row>
    <row r="565">
      <c r="A565" s="1">
        <v>564.0</v>
      </c>
      <c r="B565" s="1" t="s">
        <v>3474</v>
      </c>
      <c r="C565" s="13" t="b">
        <f>IFERROR(__xludf.DUMMYFUNCTION("IF(ISTEXT(Filmes_raw!C565), REGEXEXTRACT(Filmes_raw!C565,""[^,]+$""))"),FALSE)</f>
        <v>0</v>
      </c>
      <c r="D565" s="1" t="b">
        <f t="shared" si="1"/>
        <v>0</v>
      </c>
      <c r="E565" s="14">
        <f>IFERROR(__xludf.DUMMYFUNCTION("VALUE(IF(ISTEXT(D565), REGEXREPLACE(Filmes_raw!C565,""[^,]+$"",D565),Filmes_raw!C565))"),296.0)</f>
        <v>296</v>
      </c>
      <c r="F565" s="6">
        <f>IFERROR(__xludf.DUMMYFUNCTION("VALUE(REGEXEXTRACT(Filmes_raw!F565, ""[0-9]+""
))"),92.0)</f>
        <v>92</v>
      </c>
    </row>
    <row r="566">
      <c r="A566" s="1">
        <v>565.0</v>
      </c>
      <c r="B566" s="1" t="s">
        <v>3478</v>
      </c>
      <c r="C566" s="13" t="b">
        <f>IFERROR(__xludf.DUMMYFUNCTION("IF(ISTEXT(Filmes_raw!C566), REGEXEXTRACT(Filmes_raw!C566,""[^,]+$""))"),FALSE)</f>
        <v>0</v>
      </c>
      <c r="D566" s="1" t="b">
        <f t="shared" si="1"/>
        <v>0</v>
      </c>
      <c r="E566" s="14">
        <f>IFERROR(__xludf.DUMMYFUNCTION("VALUE(IF(ISTEXT(D566), REGEXREPLACE(Filmes_raw!C566,""[^,]+$"",D566),Filmes_raw!C566))"),3981000.0)</f>
        <v>3981000</v>
      </c>
      <c r="F566" s="6">
        <f>IFERROR(__xludf.DUMMYFUNCTION("VALUE(REGEXEXTRACT(Filmes_raw!F566, ""[0-9]+""
))"),102.0)</f>
        <v>102</v>
      </c>
    </row>
    <row r="567">
      <c r="A567" s="1">
        <v>566.0</v>
      </c>
      <c r="B567" s="1" t="s">
        <v>3485</v>
      </c>
      <c r="C567" s="13" t="b">
        <f>IFERROR(__xludf.DUMMYFUNCTION("IF(ISTEXT(Filmes_raw!C567), REGEXEXTRACT(Filmes_raw!C567,""[^,]+$""))"),FALSE)</f>
        <v>0</v>
      </c>
      <c r="D567" s="1" t="b">
        <f t="shared" si="1"/>
        <v>0</v>
      </c>
      <c r="E567" s="14">
        <f>IFERROR(__xludf.DUMMYFUNCTION("VALUE(IF(ISTEXT(D567), REGEXREPLACE(Filmes_raw!C567,""[^,]+$"",D567),Filmes_raw!C567))"),2537520.0)</f>
        <v>2537520</v>
      </c>
      <c r="F567" s="6">
        <f>IFERROR(__xludf.DUMMYFUNCTION("VALUE(REGEXEXTRACT(Filmes_raw!F567, ""[0-9]+""
))"),96.0)</f>
        <v>96</v>
      </c>
    </row>
    <row r="568">
      <c r="A568" s="1">
        <v>567.0</v>
      </c>
      <c r="B568" s="1" t="s">
        <v>3492</v>
      </c>
      <c r="C568" s="13" t="b">
        <f>IFERROR(__xludf.DUMMYFUNCTION("IF(ISTEXT(Filmes_raw!C568), REGEXEXTRACT(Filmes_raw!C568,""[^,]+$""))"),FALSE)</f>
        <v>0</v>
      </c>
      <c r="D568" s="1" t="b">
        <f t="shared" si="1"/>
        <v>0</v>
      </c>
      <c r="E568" s="14">
        <f>IFERROR(__xludf.DUMMYFUNCTION("VALUE(IF(ISTEXT(D568), REGEXREPLACE(Filmes_raw!C568,""[^,]+$"",D568),Filmes_raw!C568))"),1.0E7)</f>
        <v>10000000</v>
      </c>
      <c r="F568" s="6">
        <f>IFERROR(__xludf.DUMMYFUNCTION("VALUE(REGEXEXTRACT(Filmes_raw!F568, ""[0-9]+""
))"),100.0)</f>
        <v>100</v>
      </c>
    </row>
    <row r="569">
      <c r="A569" s="1">
        <v>568.0</v>
      </c>
      <c r="B569" s="1" t="s">
        <v>3500</v>
      </c>
      <c r="C569" s="13" t="b">
        <f>IFERROR(__xludf.DUMMYFUNCTION("IF(ISTEXT(Filmes_raw!C569), REGEXEXTRACT(Filmes_raw!C569,""[^,]+$""))"),FALSE)</f>
        <v>0</v>
      </c>
      <c r="D569" s="1" t="b">
        <f t="shared" si="1"/>
        <v>0</v>
      </c>
      <c r="E569" s="14">
        <f>IFERROR(__xludf.DUMMYFUNCTION("VALUE(IF(ISTEXT(D569), REGEXREPLACE(Filmes_raw!C569,""[^,]+$"",D569),Filmes_raw!C569))"),4072.0)</f>
        <v>4072</v>
      </c>
      <c r="F569" s="6">
        <f>IFERROR(__xludf.DUMMYFUNCTION("VALUE(REGEXEXTRACT(Filmes_raw!F569, ""[0-9]+""
))"),64.0)</f>
        <v>64</v>
      </c>
    </row>
    <row r="570">
      <c r="A570" s="1">
        <v>569.0</v>
      </c>
      <c r="B570" s="1" t="s">
        <v>3507</v>
      </c>
      <c r="C570" s="13" t="b">
        <f>IFERROR(__xludf.DUMMYFUNCTION("IF(ISTEXT(Filmes_raw!C570), REGEXEXTRACT(Filmes_raw!C570,""[^,]+$""))"),FALSE)</f>
        <v>0</v>
      </c>
      <c r="D570" s="1" t="b">
        <f t="shared" si="1"/>
        <v>0</v>
      </c>
      <c r="E570" s="14">
        <f>IFERROR(__xludf.DUMMYFUNCTION("VALUE(IF(ISTEXT(D570), REGEXREPLACE(Filmes_raw!C570,""[^,]+$"",D570),Filmes_raw!C570))"),19054.0)</f>
        <v>19054</v>
      </c>
      <c r="F570" s="6">
        <f>IFERROR(__xludf.DUMMYFUNCTION("VALUE(REGEXEXTRACT(Filmes_raw!F570, ""[0-9]+""
))"),94.0)</f>
        <v>94</v>
      </c>
    </row>
    <row r="571">
      <c r="A571" s="1">
        <v>570.0</v>
      </c>
      <c r="B571" s="1" t="s">
        <v>3514</v>
      </c>
      <c r="C571" s="13" t="b">
        <f>IFERROR(__xludf.DUMMYFUNCTION("IF(ISTEXT(Filmes_raw!C571), REGEXEXTRACT(Filmes_raw!C571,""[^,]+$""))"),FALSE)</f>
        <v>0</v>
      </c>
      <c r="D571" s="1" t="b">
        <f t="shared" si="1"/>
        <v>0</v>
      </c>
      <c r="E571" s="14">
        <f>IFERROR(__xludf.DUMMYFUNCTION("VALUE(IF(ISTEXT(D571), REGEXREPLACE(Filmes_raw!C571,""[^,]+$"",D571),Filmes_raw!C571))"),3.6471795E7)</f>
        <v>36471795</v>
      </c>
      <c r="F571" s="6">
        <f>IFERROR(__xludf.DUMMYFUNCTION("VALUE(REGEXEXTRACT(Filmes_raw!F571, ""[0-9]+""
))"),113.0)</f>
        <v>113</v>
      </c>
    </row>
    <row r="572">
      <c r="A572" s="1">
        <v>571.0</v>
      </c>
      <c r="B572" s="1" t="s">
        <v>3519</v>
      </c>
      <c r="C572" s="13" t="b">
        <f>IFERROR(__xludf.DUMMYFUNCTION("IF(ISTEXT(Filmes_raw!C572), REGEXEXTRACT(Filmes_raw!C572,""[^,]+$""))"),FALSE)</f>
        <v>0</v>
      </c>
      <c r="D572" s="1" t="b">
        <f t="shared" si="1"/>
        <v>0</v>
      </c>
      <c r="E572" s="14">
        <f>IFERROR(__xludf.DUMMYFUNCTION("VALUE(IF(ISTEXT(D572), REGEXREPLACE(Filmes_raw!C572,""[^,]+$"",D572),Filmes_raw!C572))"),1812763.0)</f>
        <v>1812763</v>
      </c>
      <c r="F572" s="6">
        <f>IFERROR(__xludf.DUMMYFUNCTION("VALUE(REGEXEXTRACT(Filmes_raw!F572, ""[0-9]+""
))"),138.0)</f>
        <v>138</v>
      </c>
    </row>
    <row r="573">
      <c r="A573" s="1">
        <v>572.0</v>
      </c>
      <c r="B573" s="1" t="s">
        <v>3524</v>
      </c>
      <c r="C573" s="13" t="str">
        <f>IFERROR(__xludf.DUMMYFUNCTION("IF(ISTEXT(Filmes_raw!C573), REGEXEXTRACT(Filmes_raw!C573,""[^,]+$""))"),"52")</f>
        <v>52</v>
      </c>
      <c r="D573" s="1" t="str">
        <f t="shared" si="1"/>
        <v>520</v>
      </c>
      <c r="E573" s="14">
        <f>IFERROR(__xludf.DUMMYFUNCTION("VALUE(IF(ISTEXT(D573), REGEXREPLACE(Filmes_raw!C573,""[^,]+$"",D573),Filmes_raw!C573))"),516520.0)</f>
        <v>516520</v>
      </c>
      <c r="F573" s="6">
        <f>IFERROR(__xludf.DUMMYFUNCTION("VALUE(REGEXEXTRACT(Filmes_raw!F573, ""[0-9]+""
))"),120.0)</f>
        <v>120</v>
      </c>
    </row>
    <row r="574">
      <c r="A574" s="1">
        <v>573.0</v>
      </c>
      <c r="B574" s="1" t="s">
        <v>3531</v>
      </c>
      <c r="C574" s="13" t="b">
        <f>IFERROR(__xludf.DUMMYFUNCTION("IF(ISTEXT(Filmes_raw!C574), REGEXEXTRACT(Filmes_raw!C574,""[^,]+$""))"),FALSE)</f>
        <v>0</v>
      </c>
      <c r="D574" s="1" t="b">
        <f t="shared" si="1"/>
        <v>0</v>
      </c>
      <c r="E574" s="14">
        <f>IFERROR(__xludf.DUMMYFUNCTION("VALUE(IF(ISTEXT(D574), REGEXREPLACE(Filmes_raw!C574,""[^,]+$"",D574),Filmes_raw!C574))"),2402067.0)</f>
        <v>2402067</v>
      </c>
      <c r="F574" s="6">
        <f>IFERROR(__xludf.DUMMYFUNCTION("VALUE(REGEXEXTRACT(Filmes_raw!F574, ""[0-9]+""
))"),124.0)</f>
        <v>124</v>
      </c>
    </row>
    <row r="575">
      <c r="A575" s="1">
        <v>574.0</v>
      </c>
      <c r="B575" s="1" t="s">
        <v>3535</v>
      </c>
      <c r="C575" s="13" t="b">
        <f>IFERROR(__xludf.DUMMYFUNCTION("IF(ISTEXT(Filmes_raw!C575), REGEXEXTRACT(Filmes_raw!C575,""[^,]+$""))"),FALSE)</f>
        <v>0</v>
      </c>
      <c r="D575" s="1" t="b">
        <f t="shared" si="1"/>
        <v>0</v>
      </c>
      <c r="E575" s="14">
        <f>IFERROR(__xludf.DUMMYFUNCTION("VALUE(IF(ISTEXT(D575), REGEXREPLACE(Filmes_raw!C575,""[^,]+$"",D575),Filmes_raw!C575))"),1.88373161E8)</f>
        <v>188373161</v>
      </c>
      <c r="F575" s="6">
        <f>IFERROR(__xludf.DUMMYFUNCTION("VALUE(REGEXEXTRACT(Filmes_raw!F575, ""[0-9]+""
))"),106.0)</f>
        <v>106</v>
      </c>
    </row>
    <row r="576">
      <c r="A576" s="1">
        <v>575.0</v>
      </c>
      <c r="B576" s="1" t="s">
        <v>3541</v>
      </c>
      <c r="C576" s="13" t="b">
        <f>IFERROR(__xludf.DUMMYFUNCTION("IF(ISTEXT(Filmes_raw!C576), REGEXEXTRACT(Filmes_raw!C576,""[^,]+$""))"),FALSE)</f>
        <v>0</v>
      </c>
      <c r="D576" s="1" t="b">
        <f t="shared" si="1"/>
        <v>0</v>
      </c>
      <c r="E576" s="14">
        <f>IFERROR(__xludf.DUMMYFUNCTION("VALUE(IF(ISTEXT(D576), REGEXREPLACE(Filmes_raw!C576,""[^,]+$"",D576),Filmes_raw!C576))"),3.1640626E7)</f>
        <v>31640626</v>
      </c>
      <c r="F576" s="6">
        <f>IFERROR(__xludf.DUMMYFUNCTION("VALUE(REGEXEXTRACT(Filmes_raw!F576, ""[0-9]+""
))"),96.0)</f>
        <v>96</v>
      </c>
    </row>
    <row r="577">
      <c r="A577" s="1">
        <v>576.0</v>
      </c>
      <c r="B577" s="1" t="s">
        <v>3549</v>
      </c>
      <c r="C577" s="13" t="b">
        <f>IFERROR(__xludf.DUMMYFUNCTION("IF(ISTEXT(Filmes_raw!C577), REGEXEXTRACT(Filmes_raw!C577,""[^,]+$""))"),FALSE)</f>
        <v>0</v>
      </c>
      <c r="D577" s="1" t="b">
        <f t="shared" si="1"/>
        <v>0</v>
      </c>
      <c r="E577" s="14">
        <f>IFERROR(__xludf.DUMMYFUNCTION("VALUE(IF(ISTEXT(D577), REGEXREPLACE(Filmes_raw!C577,""[^,]+$"",D577),Filmes_raw!C577))"),1.69607287E8)</f>
        <v>169607287</v>
      </c>
      <c r="F577" s="6">
        <f>IFERROR(__xludf.DUMMYFUNCTION("VALUE(REGEXEXTRACT(Filmes_raw!F577, ""[0-9]+""
))"),127.0)</f>
        <v>127</v>
      </c>
    </row>
    <row r="578">
      <c r="A578" s="1">
        <v>577.0</v>
      </c>
      <c r="B578" s="1" t="s">
        <v>3554</v>
      </c>
      <c r="C578" s="13" t="b">
        <f>IFERROR(__xludf.DUMMYFUNCTION("IF(ISTEXT(Filmes_raw!C578), REGEXEXTRACT(Filmes_raw!C578,""[^,]+$""))"),FALSE)</f>
        <v>0</v>
      </c>
      <c r="D578" s="1" t="b">
        <f t="shared" si="1"/>
        <v>0</v>
      </c>
      <c r="E578" s="14">
        <f>IFERROR(__xludf.DUMMYFUNCTION("VALUE(IF(ISTEXT(D578), REGEXREPLACE(Filmes_raw!C578,""[^,]+$"",D578),Filmes_raw!C578))"),4.0442052E7)</f>
        <v>40442052</v>
      </c>
      <c r="F578" s="6">
        <f>IFERROR(__xludf.DUMMYFUNCTION("VALUE(REGEXEXTRACT(Filmes_raw!F578, ""[0-9]+""
))"),103.0)</f>
        <v>103</v>
      </c>
    </row>
    <row r="579">
      <c r="A579" s="1">
        <v>578.0</v>
      </c>
      <c r="B579" s="1" t="s">
        <v>3562</v>
      </c>
      <c r="C579" s="13" t="b">
        <f>IFERROR(__xludf.DUMMYFUNCTION("IF(ISTEXT(Filmes_raw!C579), REGEXEXTRACT(Filmes_raw!C579,""[^,]+$""))"),FALSE)</f>
        <v>0</v>
      </c>
      <c r="D579" s="1" t="b">
        <f t="shared" si="1"/>
        <v>0</v>
      </c>
      <c r="E579" s="14">
        <f>IFERROR(__xludf.DUMMYFUNCTION("VALUE(IF(ISTEXT(D579), REGEXREPLACE(Filmes_raw!C579,""[^,]+$"",D579),Filmes_raw!C579))"),359891.0)</f>
        <v>359891</v>
      </c>
      <c r="F579" s="6">
        <f>IFERROR(__xludf.DUMMYFUNCTION("VALUE(REGEXEXTRACT(Filmes_raw!F579, ""[0-9]+""
))"),148.0)</f>
        <v>148</v>
      </c>
    </row>
    <row r="580">
      <c r="A580" s="1">
        <v>579.0</v>
      </c>
      <c r="B580" s="1" t="s">
        <v>3566</v>
      </c>
      <c r="C580" s="13" t="b">
        <f>IFERROR(__xludf.DUMMYFUNCTION("IF(ISTEXT(Filmes_raw!C580), REGEXEXTRACT(Filmes_raw!C580,""[^,]+$""))"),FALSE)</f>
        <v>0</v>
      </c>
      <c r="D580" s="1" t="b">
        <f t="shared" si="1"/>
        <v>0</v>
      </c>
      <c r="E580" s="14">
        <f>IFERROR(__xludf.DUMMYFUNCTION("VALUE(IF(ISTEXT(D580), REGEXREPLACE(Filmes_raw!C580,""[^,]+$"",D580),Filmes_raw!C580))"),4.8023088E7)</f>
        <v>48023088</v>
      </c>
      <c r="F580" s="6">
        <f>IFERROR(__xludf.DUMMYFUNCTION("VALUE(REGEXEXTRACT(Filmes_raw!F580, ""[0-9]+""
))"),101.0)</f>
        <v>101</v>
      </c>
    </row>
    <row r="581">
      <c r="A581" s="1">
        <v>580.0</v>
      </c>
      <c r="B581" s="1" t="s">
        <v>3570</v>
      </c>
      <c r="C581" s="13" t="b">
        <f>IFERROR(__xludf.DUMMYFUNCTION("IF(ISTEXT(Filmes_raw!C581), REGEXEXTRACT(Filmes_raw!C581,""[^,]+$""))"),FALSE)</f>
        <v>0</v>
      </c>
      <c r="D581" s="1" t="b">
        <f t="shared" si="1"/>
        <v>0</v>
      </c>
      <c r="E581" s="14">
        <f>IFERROR(__xludf.DUMMYFUNCTION("VALUE(IF(ISTEXT(D581), REGEXREPLACE(Filmes_raw!C581,""[^,]+$"",D581),Filmes_raw!C581))"),1782795.0)</f>
        <v>1782795</v>
      </c>
      <c r="F581" s="6">
        <f>IFERROR(__xludf.DUMMYFUNCTION("VALUE(REGEXEXTRACT(Filmes_raw!F581, ""[0-9]+""
))"),184.0)</f>
        <v>184</v>
      </c>
    </row>
    <row r="582">
      <c r="A582" s="1">
        <v>581.0</v>
      </c>
      <c r="B582" s="1" t="s">
        <v>3575</v>
      </c>
      <c r="C582" s="13" t="b">
        <f>IFERROR(__xludf.DUMMYFUNCTION("IF(ISTEXT(Filmes_raw!C582), REGEXEXTRACT(Filmes_raw!C582,""[^,]+$""))"),FALSE)</f>
        <v>0</v>
      </c>
      <c r="D582" s="1" t="b">
        <f t="shared" si="1"/>
        <v>0</v>
      </c>
      <c r="E582" s="14">
        <f>IFERROR(__xludf.DUMMYFUNCTION("VALUE(IF(ISTEXT(D582), REGEXREPLACE(Filmes_raw!C582,""[^,]+$"",D582),Filmes_raw!C582))"),4.769512E7)</f>
        <v>47695120</v>
      </c>
      <c r="F582" s="6">
        <f>IFERROR(__xludf.DUMMYFUNCTION("VALUE(REGEXEXTRACT(Filmes_raw!F582, ""[0-9]+""
))"),137.0)</f>
        <v>137</v>
      </c>
    </row>
    <row r="583">
      <c r="A583" s="1">
        <v>582.0</v>
      </c>
      <c r="B583" s="1" t="s">
        <v>3582</v>
      </c>
      <c r="C583" s="13" t="b">
        <f>IFERROR(__xludf.DUMMYFUNCTION("IF(ISTEXT(Filmes_raw!C583), REGEXEXTRACT(Filmes_raw!C583,""[^,]+$""))"),FALSE)</f>
        <v>0</v>
      </c>
      <c r="D583" s="1" t="b">
        <f t="shared" si="1"/>
        <v>0</v>
      </c>
      <c r="E583" s="14">
        <f>IFERROR(__xludf.DUMMYFUNCTION("VALUE(IF(ISTEXT(D583), REGEXREPLACE(Filmes_raw!C583,""[^,]+$"",D583),Filmes_raw!C583))"),435266.0)</f>
        <v>435266</v>
      </c>
      <c r="F583" s="6">
        <f>IFERROR(__xludf.DUMMYFUNCTION("VALUE(REGEXEXTRACT(Filmes_raw!F583, ""[0-9]+""
))"),100.0)</f>
        <v>100</v>
      </c>
    </row>
    <row r="584">
      <c r="A584" s="1">
        <v>583.0</v>
      </c>
      <c r="B584" s="1" t="s">
        <v>3589</v>
      </c>
      <c r="C584" s="13" t="b">
        <f>IFERROR(__xludf.DUMMYFUNCTION("IF(ISTEXT(Filmes_raw!C584), REGEXEXTRACT(Filmes_raw!C584,""[^,]+$""))"),FALSE)</f>
        <v>0</v>
      </c>
      <c r="D584" s="1" t="b">
        <f t="shared" si="1"/>
        <v>0</v>
      </c>
      <c r="E584" s="14">
        <f>IFERROR(__xludf.DUMMYFUNCTION("VALUE(IF(ISTEXT(D584), REGEXREPLACE(Filmes_raw!C584,""[^,]+$"",D584),Filmes_raw!C584))"),5.32177324E8)</f>
        <v>532177324</v>
      </c>
      <c r="F584" s="6">
        <f>IFERROR(__xludf.DUMMYFUNCTION("VALUE(REGEXEXTRACT(Filmes_raw!F584, ""[0-9]+""
))"),133.0)</f>
        <v>133</v>
      </c>
    </row>
    <row r="585">
      <c r="A585" s="1">
        <v>584.0</v>
      </c>
      <c r="B585" s="1" t="s">
        <v>3595</v>
      </c>
      <c r="C585" s="13" t="b">
        <f>IFERROR(__xludf.DUMMYFUNCTION("IF(ISTEXT(Filmes_raw!C585), REGEXEXTRACT(Filmes_raw!C585,""[^,]+$""))"),FALSE)</f>
        <v>0</v>
      </c>
      <c r="D585" s="1" t="b">
        <f t="shared" si="1"/>
        <v>0</v>
      </c>
      <c r="E585" s="14">
        <f>IFERROR(__xludf.DUMMYFUNCTION("VALUE(IF(ISTEXT(D585), REGEXREPLACE(Filmes_raw!C585,""[^,]+$"",D585),Filmes_raw!C585))"),4.08084349E8)</f>
        <v>408084349</v>
      </c>
      <c r="F585" s="6">
        <f>IFERROR(__xludf.DUMMYFUNCTION("VALUE(REGEXEXTRACT(Filmes_raw!F585, ""[0-9]+""
))"),147.0)</f>
        <v>147</v>
      </c>
    </row>
    <row r="586">
      <c r="A586" s="1">
        <v>585.0</v>
      </c>
      <c r="B586" s="1" t="s">
        <v>3597</v>
      </c>
      <c r="C586" s="13" t="b">
        <f>IFERROR(__xludf.DUMMYFUNCTION("IF(ISTEXT(Filmes_raw!C586), REGEXEXTRACT(Filmes_raw!C586,""[^,]+$""))"),FALSE)</f>
        <v>0</v>
      </c>
      <c r="D586" s="1" t="b">
        <f t="shared" si="1"/>
        <v>0</v>
      </c>
      <c r="E586" s="14">
        <f>IFERROR(__xludf.DUMMYFUNCTION("VALUE(IF(ISTEXT(D586), REGEXREPLACE(Filmes_raw!C586,""[^,]+$"",D586),Filmes_raw!C586))"),5.4117416E7)</f>
        <v>54117416</v>
      </c>
      <c r="F586" s="6">
        <f>IFERROR(__xludf.DUMMYFUNCTION("VALUE(REGEXEXTRACT(Filmes_raw!F586, ""[0-9]+""
))"),168.0)</f>
        <v>168</v>
      </c>
    </row>
    <row r="587">
      <c r="A587" s="1">
        <v>586.0</v>
      </c>
      <c r="B587" s="1" t="s">
        <v>3602</v>
      </c>
      <c r="C587" s="13" t="b">
        <f>IFERROR(__xludf.DUMMYFUNCTION("IF(ISTEXT(Filmes_raw!C587), REGEXEXTRACT(Filmes_raw!C587,""[^,]+$""))"),FALSE)</f>
        <v>0</v>
      </c>
      <c r="D587" s="1" t="b">
        <f t="shared" si="1"/>
        <v>0</v>
      </c>
      <c r="E587" s="14">
        <f>IFERROR(__xludf.DUMMYFUNCTION("VALUE(IF(ISTEXT(D587), REGEXREPLACE(Filmes_raw!C587,""[^,]+$"",D587),Filmes_raw!C587))"),1.08101214E8)</f>
        <v>108101214</v>
      </c>
      <c r="F587" s="6">
        <f>IFERROR(__xludf.DUMMYFUNCTION("VALUE(REGEXEXTRACT(Filmes_raw!F587, ""[0-9]+""
))"),135.0)</f>
        <v>135</v>
      </c>
    </row>
    <row r="588">
      <c r="A588" s="1">
        <v>587.0</v>
      </c>
      <c r="B588" s="1" t="s">
        <v>3608</v>
      </c>
      <c r="C588" s="13" t="b">
        <f>IFERROR(__xludf.DUMMYFUNCTION("IF(ISTEXT(Filmes_raw!C588), REGEXEXTRACT(Filmes_raw!C588,""[^,]+$""))"),FALSE)</f>
        <v>0</v>
      </c>
      <c r="D588" s="1" t="b">
        <f t="shared" si="1"/>
        <v>0</v>
      </c>
      <c r="E588" s="14">
        <f>IFERROR(__xludf.DUMMYFUNCTION("VALUE(IF(ISTEXT(D588), REGEXREPLACE(Filmes_raw!C588,""[^,]+$"",D588),Filmes_raw!C588))"),6735118.0)</f>
        <v>6735118</v>
      </c>
      <c r="F588" s="6">
        <f>IFERROR(__xludf.DUMMYFUNCTION("VALUE(REGEXEXTRACT(Filmes_raw!F588, ""[0-9]+""
))"),94.0)</f>
        <v>94</v>
      </c>
    </row>
    <row r="589">
      <c r="A589" s="1">
        <v>588.0</v>
      </c>
      <c r="B589" s="1" t="s">
        <v>3616</v>
      </c>
      <c r="C589" s="13" t="b">
        <f>IFERROR(__xludf.DUMMYFUNCTION("IF(ISTEXT(Filmes_raw!C589), REGEXEXTRACT(Filmes_raw!C589,""[^,]+$""))"),FALSE)</f>
        <v>0</v>
      </c>
      <c r="D589" s="1" t="b">
        <f t="shared" si="1"/>
        <v>0</v>
      </c>
      <c r="E589" s="14">
        <f>IFERROR(__xludf.DUMMYFUNCTION("VALUE(IF(ISTEXT(D589), REGEXREPLACE(Filmes_raw!C589,""[^,]+$"",D589),Filmes_raw!C589))"),1.6775629E7)</f>
        <v>16775629</v>
      </c>
      <c r="F589" s="6">
        <f>IFERROR(__xludf.DUMMYFUNCTION("VALUE(REGEXEXTRACT(Filmes_raw!F589, ""[0-9]+""
))"),119.0)</f>
        <v>119</v>
      </c>
    </row>
    <row r="590">
      <c r="A590" s="1">
        <v>589.0</v>
      </c>
      <c r="B590" s="1" t="s">
        <v>3623</v>
      </c>
      <c r="C590" s="13" t="b">
        <f>IFERROR(__xludf.DUMMYFUNCTION("IF(ISTEXT(Filmes_raw!C590), REGEXEXTRACT(Filmes_raw!C590,""[^,]+$""))"),FALSE)</f>
        <v>0</v>
      </c>
      <c r="D590" s="1" t="b">
        <f t="shared" si="1"/>
        <v>0</v>
      </c>
      <c r="E590" s="14">
        <f>IFERROR(__xludf.DUMMYFUNCTION("VALUE(IF(ISTEXT(D590), REGEXREPLACE(Filmes_raw!C590,""[^,]+$"",D590),Filmes_raw!C590))"),1330596.0)</f>
        <v>1330596</v>
      </c>
      <c r="F590" s="6">
        <f>IFERROR(__xludf.DUMMYFUNCTION("VALUE(REGEXEXTRACT(Filmes_raw!F590, ""[0-9]+""
))"),130.0)</f>
        <v>130</v>
      </c>
    </row>
    <row r="591">
      <c r="A591" s="1">
        <v>590.0</v>
      </c>
      <c r="B591" s="1" t="s">
        <v>3627</v>
      </c>
      <c r="C591" s="13" t="b">
        <f>IFERROR(__xludf.DUMMYFUNCTION("IF(ISTEXT(Filmes_raw!C591), REGEXEXTRACT(Filmes_raw!C591,""[^,]+$""))"),FALSE)</f>
        <v>0</v>
      </c>
      <c r="D591" s="1" t="b">
        <f t="shared" si="1"/>
        <v>0</v>
      </c>
      <c r="E591" s="14">
        <f>IFERROR(__xludf.DUMMYFUNCTION("VALUE(IF(ISTEXT(D591), REGEXREPLACE(Filmes_raw!C591,""[^,]+$"",D591),Filmes_raw!C591))"),2852400.0)</f>
        <v>2852400</v>
      </c>
      <c r="F591" s="6">
        <f>IFERROR(__xludf.DUMMYFUNCTION("VALUE(REGEXEXTRACT(Filmes_raw!F591, ""[0-9]+""
))"),141.0)</f>
        <v>141</v>
      </c>
    </row>
    <row r="592">
      <c r="A592" s="1">
        <v>591.0</v>
      </c>
      <c r="B592" s="1" t="s">
        <v>3634</v>
      </c>
      <c r="C592" s="13" t="b">
        <f>IFERROR(__xludf.DUMMYFUNCTION("IF(ISTEXT(Filmes_raw!C592), REGEXEXTRACT(Filmes_raw!C592,""[^,]+$""))"),FALSE)</f>
        <v>0</v>
      </c>
      <c r="D592" s="1" t="b">
        <f t="shared" si="1"/>
        <v>0</v>
      </c>
      <c r="E592" s="14">
        <f>IFERROR(__xludf.DUMMYFUNCTION("VALUE(IF(ISTEXT(D592), REGEXREPLACE(Filmes_raw!C592,""[^,]+$"",D592),Filmes_raw!C592))"),4231500.0)</f>
        <v>4231500</v>
      </c>
      <c r="F592" s="6">
        <f>IFERROR(__xludf.DUMMYFUNCTION("VALUE(REGEXEXTRACT(Filmes_raw!F592, ""[0-9]+""
))"),104.0)</f>
        <v>104</v>
      </c>
    </row>
    <row r="593">
      <c r="A593" s="1">
        <v>592.0</v>
      </c>
      <c r="B593" s="1" t="s">
        <v>3638</v>
      </c>
      <c r="C593" s="13" t="b">
        <f>IFERROR(__xludf.DUMMYFUNCTION("IF(ISTEXT(Filmes_raw!C593), REGEXEXTRACT(Filmes_raw!C593,""[^,]+$""))"),FALSE)</f>
        <v>0</v>
      </c>
      <c r="D593" s="1" t="b">
        <f t="shared" si="1"/>
        <v>0</v>
      </c>
      <c r="E593" s="14">
        <f>IFERROR(__xludf.DUMMYFUNCTION("VALUE(IF(ISTEXT(D593), REGEXREPLACE(Filmes_raw!C593,""[^,]+$"",D593),Filmes_raw!C593))"),169209.0)</f>
        <v>169209</v>
      </c>
      <c r="F593" s="6">
        <f>IFERROR(__xludf.DUMMYFUNCTION("VALUE(REGEXEXTRACT(Filmes_raw!F593, ""[0-9]+""
))"),126.0)</f>
        <v>126</v>
      </c>
    </row>
    <row r="594">
      <c r="A594" s="1">
        <v>593.0</v>
      </c>
      <c r="B594" s="1" t="s">
        <v>3643</v>
      </c>
      <c r="C594" s="13" t="b">
        <f>IFERROR(__xludf.DUMMYFUNCTION("IF(ISTEXT(Filmes_raw!C594), REGEXEXTRACT(Filmes_raw!C594,""[^,]+$""))"),FALSE)</f>
        <v>0</v>
      </c>
      <c r="D594" s="1" t="b">
        <f t="shared" si="1"/>
        <v>0</v>
      </c>
      <c r="E594" s="14">
        <f>IFERROR(__xludf.DUMMYFUNCTION("VALUE(IF(ISTEXT(D594), REGEXREPLACE(Filmes_raw!C594,""[^,]+$"",D594),Filmes_raw!C594))"),2.22527828E8)</f>
        <v>222527828</v>
      </c>
      <c r="F594" s="6">
        <f>IFERROR(__xludf.DUMMYFUNCTION("VALUE(REGEXEXTRACT(Filmes_raw!F594, ""[0-9]+""
))"),102.0)</f>
        <v>102</v>
      </c>
    </row>
    <row r="595">
      <c r="A595" s="1">
        <v>594.0</v>
      </c>
      <c r="B595" s="1" t="s">
        <v>3650</v>
      </c>
      <c r="C595" s="13" t="b">
        <f>IFERROR(__xludf.DUMMYFUNCTION("IF(ISTEXT(Filmes_raw!C595), REGEXEXTRACT(Filmes_raw!C595,""[^,]+$""))"),FALSE)</f>
        <v>0</v>
      </c>
      <c r="D595" s="1" t="b">
        <f t="shared" si="1"/>
        <v>0</v>
      </c>
      <c r="E595" s="14">
        <f>IFERROR(__xludf.DUMMYFUNCTION("VALUE(IF(ISTEXT(D595), REGEXREPLACE(Filmes_raw!C595,""[^,]+$"",D595),Filmes_raw!C595))"),1.5322921E7)</f>
        <v>15322921</v>
      </c>
      <c r="F595" s="6">
        <f>IFERROR(__xludf.DUMMYFUNCTION("VALUE(REGEXEXTRACT(Filmes_raw!F595, ""[0-9]+""
))"),123.0)</f>
        <v>123</v>
      </c>
    </row>
    <row r="596">
      <c r="A596" s="1">
        <v>595.0</v>
      </c>
      <c r="B596" s="1" t="s">
        <v>3654</v>
      </c>
      <c r="C596" s="13" t="b">
        <f>IFERROR(__xludf.DUMMYFUNCTION("IF(ISTEXT(Filmes_raw!C596), REGEXEXTRACT(Filmes_raw!C596,""[^,]+$""))"),FALSE)</f>
        <v>0</v>
      </c>
      <c r="D596" s="1" t="b">
        <f t="shared" si="1"/>
        <v>0</v>
      </c>
      <c r="E596" s="14">
        <f>IFERROR(__xludf.DUMMYFUNCTION("VALUE(IF(ISTEXT(D596), REGEXREPLACE(Filmes_raw!C596,""[^,]+$"",D596),Filmes_raw!C596))"),1670773.0)</f>
        <v>1670773</v>
      </c>
      <c r="F596" s="6">
        <f>IFERROR(__xludf.DUMMYFUNCTION("VALUE(REGEXEXTRACT(Filmes_raw!F596, ""[0-9]+""
))"),134.0)</f>
        <v>134</v>
      </c>
    </row>
    <row r="597">
      <c r="A597" s="1">
        <v>596.0</v>
      </c>
      <c r="B597" s="1" t="s">
        <v>3660</v>
      </c>
      <c r="C597" s="13" t="b">
        <f>IFERROR(__xludf.DUMMYFUNCTION("IF(ISTEXT(Filmes_raw!C597), REGEXEXTRACT(Filmes_raw!C597,""[^,]+$""))"),FALSE)</f>
        <v>0</v>
      </c>
      <c r="D597" s="1" t="b">
        <f t="shared" si="1"/>
        <v>0</v>
      </c>
      <c r="E597" s="14">
        <f>IFERROR(__xludf.DUMMYFUNCTION("VALUE(IF(ISTEXT(D597), REGEXREPLACE(Filmes_raw!C597,""[^,]+$"",D597),Filmes_raw!C597))"),5209580.0)</f>
        <v>5209580</v>
      </c>
      <c r="F597" s="6">
        <f>IFERROR(__xludf.DUMMYFUNCTION("VALUE(REGEXEXTRACT(Filmes_raw!F597, ""[0-9]+""
))"),126.0)</f>
        <v>126</v>
      </c>
    </row>
    <row r="598">
      <c r="A598" s="1">
        <v>597.0</v>
      </c>
      <c r="B598" s="1" t="s">
        <v>3665</v>
      </c>
      <c r="C598" s="13" t="b">
        <f>IFERROR(__xludf.DUMMYFUNCTION("IF(ISTEXT(Filmes_raw!C598), REGEXEXTRACT(Filmes_raw!C598,""[^,]+$""))"),FALSE)</f>
        <v>0</v>
      </c>
      <c r="D598" s="1" t="b">
        <f t="shared" si="1"/>
        <v>0</v>
      </c>
      <c r="E598" s="14">
        <f>IFERROR(__xludf.DUMMYFUNCTION("VALUE(IF(ISTEXT(D598), REGEXREPLACE(Filmes_raw!C598,""[^,]+$"",D598),Filmes_raw!C598))"),4.34038008E8)</f>
        <v>434038008</v>
      </c>
      <c r="F598" s="6">
        <f>IFERROR(__xludf.DUMMYFUNCTION("VALUE(REGEXEXTRACT(Filmes_raw!F598, ""[0-9]+""
))"),100.0)</f>
        <v>100</v>
      </c>
    </row>
    <row r="599">
      <c r="A599" s="1">
        <v>598.0</v>
      </c>
      <c r="B599" s="1" t="s">
        <v>3670</v>
      </c>
      <c r="C599" s="13" t="b">
        <f>IFERROR(__xludf.DUMMYFUNCTION("IF(ISTEXT(Filmes_raw!C599), REGEXEXTRACT(Filmes_raw!C599,""[^,]+$""))"),FALSE)</f>
        <v>0</v>
      </c>
      <c r="D599" s="1" t="b">
        <f t="shared" si="1"/>
        <v>0</v>
      </c>
      <c r="E599" s="14">
        <f>IFERROR(__xludf.DUMMYFUNCTION("VALUE(IF(ISTEXT(D599), REGEXREPLACE(Filmes_raw!C599,""[^,]+$"",D599),Filmes_raw!C599))"),85433.0)</f>
        <v>85433</v>
      </c>
      <c r="F599" s="6">
        <f>IFERROR(__xludf.DUMMYFUNCTION("VALUE(REGEXEXTRACT(Filmes_raw!F599, ""[0-9]+""
))"),131.0)</f>
        <v>131</v>
      </c>
    </row>
    <row r="600">
      <c r="A600" s="1">
        <v>599.0</v>
      </c>
      <c r="B600" s="1" t="s">
        <v>3675</v>
      </c>
      <c r="C600" s="13" t="b">
        <f>IFERROR(__xludf.DUMMYFUNCTION("IF(ISTEXT(Filmes_raw!C600), REGEXEXTRACT(Filmes_raw!C600,""[^,]+$""))"),FALSE)</f>
        <v>0</v>
      </c>
      <c r="D600" s="1" t="b">
        <f t="shared" si="1"/>
        <v>0</v>
      </c>
      <c r="E600" s="14">
        <f>IFERROR(__xludf.DUMMYFUNCTION("VALUE(IF(ISTEXT(D600), REGEXREPLACE(Filmes_raw!C600,""[^,]+$"",D600),Filmes_raw!C600))"),4.5512466E7)</f>
        <v>45512466</v>
      </c>
      <c r="F600" s="6">
        <f>IFERROR(__xludf.DUMMYFUNCTION("VALUE(REGEXEXTRACT(Filmes_raw!F600, ""[0-9]+""
))"),94.0)</f>
        <v>94</v>
      </c>
    </row>
    <row r="601">
      <c r="A601" s="1">
        <v>600.0</v>
      </c>
      <c r="B601" s="1" t="s">
        <v>3679</v>
      </c>
      <c r="C601" s="13" t="b">
        <f>IFERROR(__xludf.DUMMYFUNCTION("IF(ISTEXT(Filmes_raw!C601), REGEXEXTRACT(Filmes_raw!C601,""[^,]+$""))"),FALSE)</f>
        <v>0</v>
      </c>
      <c r="D601" s="1" t="b">
        <f t="shared" si="1"/>
        <v>0</v>
      </c>
      <c r="E601" s="14">
        <f>IFERROR(__xludf.DUMMYFUNCTION("VALUE(IF(ISTEXT(D601), REGEXREPLACE(Filmes_raw!C601,""[^,]+$"",D601),Filmes_raw!C601))"),1.77002924E8)</f>
        <v>177002924</v>
      </c>
      <c r="F601" s="6">
        <f>IFERROR(__xludf.DUMMYFUNCTION("VALUE(REGEXEXTRACT(Filmes_raw!F601, ""[0-9]+""
))"),102.0)</f>
        <v>102</v>
      </c>
    </row>
    <row r="602">
      <c r="A602" s="1">
        <v>601.0</v>
      </c>
      <c r="B602" s="1" t="s">
        <v>3682</v>
      </c>
      <c r="C602" s="13" t="b">
        <f>IFERROR(__xludf.DUMMYFUNCTION("IF(ISTEXT(Filmes_raw!C602), REGEXEXTRACT(Filmes_raw!C602,""[^,]+$""))"),FALSE)</f>
        <v>0</v>
      </c>
      <c r="D602" s="1" t="b">
        <f t="shared" si="1"/>
        <v>0</v>
      </c>
      <c r="E602" s="14">
        <f>IFERROR(__xludf.DUMMYFUNCTION("VALUE(IF(ISTEXT(D602), REGEXREPLACE(Filmes_raw!C602,""[^,]+$"",D602),Filmes_raw!C602))"),7.025987E7)</f>
        <v>70259870</v>
      </c>
      <c r="F602" s="6">
        <f>IFERROR(__xludf.DUMMYFUNCTION("VALUE(REGEXEXTRACT(Filmes_raw!F602, ""[0-9]+""
))"),130.0)</f>
        <v>130</v>
      </c>
    </row>
    <row r="603">
      <c r="A603" s="1">
        <v>602.0</v>
      </c>
      <c r="B603" s="1" t="s">
        <v>3686</v>
      </c>
      <c r="C603" s="13" t="b">
        <f>IFERROR(__xludf.DUMMYFUNCTION("IF(ISTEXT(Filmes_raw!C603), REGEXEXTRACT(Filmes_raw!C603,""[^,]+$""))"),FALSE)</f>
        <v>0</v>
      </c>
      <c r="D603" s="1" t="b">
        <f t="shared" si="1"/>
        <v>0</v>
      </c>
      <c r="E603" s="14">
        <f>IFERROR(__xludf.DUMMYFUNCTION("VALUE(IF(ISTEXT(D603), REGEXREPLACE(Filmes_raw!C603,""[^,]+$"",D603),Filmes_raw!C603))"),4.5203103E7)</f>
        <v>45203103</v>
      </c>
      <c r="F603" s="6">
        <f>IFERROR(__xludf.DUMMYFUNCTION("VALUE(REGEXEXTRACT(Filmes_raw!F603, ""[0-9]+""
))"),106.0)</f>
        <v>106</v>
      </c>
    </row>
    <row r="604">
      <c r="A604" s="1">
        <v>603.0</v>
      </c>
      <c r="B604" s="1" t="s">
        <v>3692</v>
      </c>
      <c r="C604" s="13" t="b">
        <f>IFERROR(__xludf.DUMMYFUNCTION("IF(ISTEXT(Filmes_raw!C604), REGEXEXTRACT(Filmes_raw!C604,""[^,]+$""))"),FALSE)</f>
        <v>0</v>
      </c>
      <c r="D604" s="1" t="b">
        <f t="shared" si="1"/>
        <v>0</v>
      </c>
      <c r="E604" s="14">
        <f>IFERROR(__xludf.DUMMYFUNCTION("VALUE(IF(ISTEXT(D604), REGEXREPLACE(Filmes_raw!C604,""[^,]+$"",D604),Filmes_raw!C604))"),128392.0)</f>
        <v>128392</v>
      </c>
      <c r="F604" s="6">
        <f>IFERROR(__xludf.DUMMYFUNCTION("VALUE(REGEXEXTRACT(Filmes_raw!F604, ""[0-9]+""
))"),144.0)</f>
        <v>144</v>
      </c>
    </row>
    <row r="605">
      <c r="A605" s="1">
        <v>604.0</v>
      </c>
      <c r="B605" s="1" t="s">
        <v>3698</v>
      </c>
      <c r="C605" s="13" t="b">
        <f>IFERROR(__xludf.DUMMYFUNCTION("IF(ISTEXT(Filmes_raw!C605), REGEXEXTRACT(Filmes_raw!C605,""[^,]+$""))"),FALSE)</f>
        <v>0</v>
      </c>
      <c r="D605" s="1" t="b">
        <f t="shared" si="1"/>
        <v>0</v>
      </c>
      <c r="E605" s="14">
        <f>IFERROR(__xludf.DUMMYFUNCTION("VALUE(IF(ISTEXT(D605), REGEXREPLACE(Filmes_raw!C605,""[^,]+$"",D605),Filmes_raw!C605))"),1.02515793E8)</f>
        <v>102515793</v>
      </c>
      <c r="F605" s="6">
        <f>IFERROR(__xludf.DUMMYFUNCTION("VALUE(REGEXEXTRACT(Filmes_raw!F605, ""[0-9]+""
))"),158.0)</f>
        <v>158</v>
      </c>
    </row>
    <row r="606">
      <c r="A606" s="1">
        <v>605.0</v>
      </c>
      <c r="B606" s="1" t="s">
        <v>3700</v>
      </c>
      <c r="C606" s="13" t="b">
        <f>IFERROR(__xludf.DUMMYFUNCTION("IF(ISTEXT(Filmes_raw!C606), REGEXEXTRACT(Filmes_raw!C606,""[^,]+$""))"),FALSE)</f>
        <v>0</v>
      </c>
      <c r="D606" s="1" t="b">
        <f t="shared" si="1"/>
        <v>0</v>
      </c>
      <c r="E606" s="14">
        <f>IFERROR(__xludf.DUMMYFUNCTION("VALUE(IF(ISTEXT(D606), REGEXREPLACE(Filmes_raw!C606,""[^,]+$"",D606),Filmes_raw!C606))"),1.07100855E8)</f>
        <v>107100855</v>
      </c>
      <c r="F606" s="6">
        <f>IFERROR(__xludf.DUMMYFUNCTION("VALUE(REGEXEXTRACT(Filmes_raw!F606, ""[0-9]+""
))"),134.0)</f>
        <v>134</v>
      </c>
    </row>
    <row r="607">
      <c r="A607" s="1">
        <v>606.0</v>
      </c>
      <c r="B607" s="1" t="s">
        <v>3705</v>
      </c>
      <c r="C607" s="13" t="str">
        <f>IFERROR(__xludf.DUMMYFUNCTION("IF(ISTEXT(Filmes_raw!C607), REGEXEXTRACT(Filmes_raw!C607,""[^,]+$""))"),"46")</f>
        <v>46</v>
      </c>
      <c r="D607" s="1" t="str">
        <f t="shared" si="1"/>
        <v>460</v>
      </c>
      <c r="E607" s="14">
        <f>IFERROR(__xludf.DUMMYFUNCTION("VALUE(IF(ISTEXT(D607), REGEXREPLACE(Filmes_raw!C607,""[^,]+$"",D607),Filmes_raw!C607))"),6460.0)</f>
        <v>6460</v>
      </c>
      <c r="F607" s="6">
        <f>IFERROR(__xludf.DUMMYFUNCTION("VALUE(REGEXEXTRACT(Filmes_raw!F607, ""[0-9]+""
))"),119.0)</f>
        <v>119</v>
      </c>
    </row>
    <row r="608">
      <c r="A608" s="1">
        <v>607.0</v>
      </c>
      <c r="B608" s="1" t="s">
        <v>3712</v>
      </c>
      <c r="C608" s="13" t="b">
        <f>IFERROR(__xludf.DUMMYFUNCTION("IF(ISTEXT(Filmes_raw!C608), REGEXEXTRACT(Filmes_raw!C608,""[^,]+$""))"),FALSE)</f>
        <v>0</v>
      </c>
      <c r="D608" s="1" t="b">
        <f t="shared" si="1"/>
        <v>0</v>
      </c>
      <c r="E608" s="14">
        <f>IFERROR(__xludf.DUMMYFUNCTION("VALUE(IF(ISTEXT(D608), REGEXREPLACE(Filmes_raw!C608,""[^,]+$"",D608),Filmes_raw!C608))"),1.61197785E8)</f>
        <v>161197785</v>
      </c>
      <c r="F608" s="6">
        <f>IFERROR(__xludf.DUMMYFUNCTION("VALUE(REGEXEXTRACT(Filmes_raw!F608, ""[0-9]+""
))"),147.0)</f>
        <v>147</v>
      </c>
    </row>
    <row r="609">
      <c r="A609" s="1">
        <v>608.0</v>
      </c>
      <c r="B609" s="1" t="s">
        <v>3719</v>
      </c>
      <c r="C609" s="13" t="b">
        <f>IFERROR(__xludf.DUMMYFUNCTION("IF(ISTEXT(Filmes_raw!C609), REGEXEXTRACT(Filmes_raw!C609,""[^,]+$""))"),FALSE)</f>
        <v>0</v>
      </c>
      <c r="D609" s="1" t="b">
        <f t="shared" si="1"/>
        <v>0</v>
      </c>
      <c r="E609" s="14">
        <f>IFERROR(__xludf.DUMMYFUNCTION("VALUE(IF(ISTEXT(D609), REGEXREPLACE(Filmes_raw!C609,""[^,]+$"",D609),Filmes_raw!C609))"),547292.0)</f>
        <v>547292</v>
      </c>
      <c r="F609" s="6">
        <f>IFERROR(__xludf.DUMMYFUNCTION("VALUE(REGEXEXTRACT(Filmes_raw!F609, ""[0-9]+""
))"),129.0)</f>
        <v>129</v>
      </c>
    </row>
    <row r="610">
      <c r="A610" s="1">
        <v>609.0</v>
      </c>
      <c r="B610" s="1" t="s">
        <v>3724</v>
      </c>
      <c r="C610" s="13" t="b">
        <f>IFERROR(__xludf.DUMMYFUNCTION("IF(ISTEXT(Filmes_raw!C610), REGEXEXTRACT(Filmes_raw!C610,""[^,]+$""))"),FALSE)</f>
        <v>0</v>
      </c>
      <c r="D610" s="1" t="b">
        <f t="shared" si="1"/>
        <v>0</v>
      </c>
      <c r="E610" s="14">
        <f>IFERROR(__xludf.DUMMYFUNCTION("VALUE(IF(ISTEXT(D610), REGEXREPLACE(Filmes_raw!C610,""[^,]+$"",D610),Filmes_raw!C610))"),3.6495748E7)</f>
        <v>36495748</v>
      </c>
      <c r="F610" s="6">
        <f>IFERROR(__xludf.DUMMYFUNCTION("VALUE(REGEXEXTRACT(Filmes_raw!F610, ""[0-9]+""
))"),125.0)</f>
        <v>125</v>
      </c>
    </row>
    <row r="611">
      <c r="A611" s="1">
        <v>610.0</v>
      </c>
      <c r="B611" s="1" t="s">
        <v>3730</v>
      </c>
      <c r="C611" s="13" t="b">
        <f>IFERROR(__xludf.DUMMYFUNCTION("IF(ISTEXT(Filmes_raw!C611), REGEXEXTRACT(Filmes_raw!C611,""[^,]+$""))"),FALSE)</f>
        <v>0</v>
      </c>
      <c r="D611" s="1" t="b">
        <f t="shared" si="1"/>
        <v>0</v>
      </c>
      <c r="E611" s="14">
        <f>IFERROR(__xludf.DUMMYFUNCTION("VALUE(IF(ISTEXT(D611), REGEXREPLACE(Filmes_raw!C611,""[^,]+$"",D611),Filmes_raw!C611))"),2.58366855E8)</f>
        <v>258366855</v>
      </c>
      <c r="F611" s="6">
        <f>IFERROR(__xludf.DUMMYFUNCTION("VALUE(REGEXEXTRACT(Filmes_raw!F611, ""[0-9]+""
))"),161.0)</f>
        <v>161</v>
      </c>
    </row>
    <row r="612">
      <c r="A612" s="1">
        <v>611.0</v>
      </c>
      <c r="B612" s="1" t="s">
        <v>3736</v>
      </c>
      <c r="C612" s="13" t="b">
        <f>IFERROR(__xludf.DUMMYFUNCTION("IF(ISTEXT(Filmes_raw!C612), REGEXEXTRACT(Filmes_raw!C612,""[^,]+$""))"),FALSE)</f>
        <v>0</v>
      </c>
      <c r="D612" s="1" t="b">
        <f t="shared" si="1"/>
        <v>0</v>
      </c>
      <c r="E612" s="14">
        <f>IFERROR(__xludf.DUMMYFUNCTION("VALUE(IF(ISTEXT(D612), REGEXREPLACE(Filmes_raw!C612,""[^,]+$"",D612),Filmes_raw!C612))"),2222647.0)</f>
        <v>2222647</v>
      </c>
      <c r="F612" s="6">
        <f>IFERROR(__xludf.DUMMYFUNCTION("VALUE(REGEXEXTRACT(Filmes_raw!F612, ""[0-9]+""
))"),144.0)</f>
        <v>144</v>
      </c>
    </row>
    <row r="613">
      <c r="A613" s="1">
        <v>612.0</v>
      </c>
      <c r="B613" s="1" t="s">
        <v>3742</v>
      </c>
      <c r="C613" s="13" t="b">
        <f>IFERROR(__xludf.DUMMYFUNCTION("IF(ISTEXT(Filmes_raw!C613), REGEXEXTRACT(Filmes_raw!C613,""[^,]+$""))"),FALSE)</f>
        <v>0</v>
      </c>
      <c r="D613" s="1" t="b">
        <f t="shared" si="1"/>
        <v>0</v>
      </c>
      <c r="E613" s="14">
        <f>IFERROR(__xludf.DUMMYFUNCTION("VALUE(IF(ISTEXT(D613), REGEXREPLACE(Filmes_raw!C613,""[^,]+$"",D613),Filmes_raw!C613))"),1.009517E7)</f>
        <v>10095170</v>
      </c>
      <c r="F613" s="6">
        <f>IFERROR(__xludf.DUMMYFUNCTION("VALUE(REGEXEXTRACT(Filmes_raw!F613, ""[0-9]+""
))"),152.0)</f>
        <v>152</v>
      </c>
    </row>
    <row r="614">
      <c r="A614" s="1">
        <v>613.0</v>
      </c>
      <c r="B614" s="1" t="s">
        <v>3749</v>
      </c>
      <c r="C614" s="13" t="b">
        <f>IFERROR(__xludf.DUMMYFUNCTION("IF(ISTEXT(Filmes_raw!C614), REGEXEXTRACT(Filmes_raw!C614,""[^,]+$""))"),FALSE)</f>
        <v>0</v>
      </c>
      <c r="D614" s="1" t="b">
        <f t="shared" si="1"/>
        <v>0</v>
      </c>
      <c r="E614" s="14">
        <f>IFERROR(__xludf.DUMMYFUNCTION("VALUE(IF(ISTEXT(D614), REGEXREPLACE(Filmes_raw!C614,""[^,]+$"",D614),Filmes_raw!C614))"),3.5E7)</f>
        <v>35000000</v>
      </c>
      <c r="F614" s="6">
        <f>IFERROR(__xludf.DUMMYFUNCTION("VALUE(REGEXEXTRACT(Filmes_raw!F614, ""[0-9]+""
))"),129.0)</f>
        <v>129</v>
      </c>
    </row>
    <row r="615">
      <c r="A615" s="1">
        <v>614.0</v>
      </c>
      <c r="B615" s="1" t="s">
        <v>3755</v>
      </c>
      <c r="C615" s="13" t="b">
        <f>IFERROR(__xludf.DUMMYFUNCTION("IF(ISTEXT(Filmes_raw!C615), REGEXEXTRACT(Filmes_raw!C615,""[^,]+$""))"),FALSE)</f>
        <v>0</v>
      </c>
      <c r="D615" s="1" t="b">
        <f t="shared" si="1"/>
        <v>0</v>
      </c>
      <c r="E615" s="14">
        <f>IFERROR(__xludf.DUMMYFUNCTION("VALUE(IF(ISTEXT(D615), REGEXREPLACE(Filmes_raw!C615,""[^,]+$"",D615),Filmes_raw!C615))"),1.2467792E7)</f>
        <v>12467792</v>
      </c>
      <c r="F615" s="6">
        <f>IFERROR(__xludf.DUMMYFUNCTION("VALUE(REGEXEXTRACT(Filmes_raw!F615, ""[0-9]+""
))"),117.0)</f>
        <v>117</v>
      </c>
    </row>
    <row r="616">
      <c r="A616" s="1">
        <v>615.0</v>
      </c>
      <c r="B616" s="1" t="s">
        <v>3759</v>
      </c>
      <c r="C616" s="13" t="b">
        <f>IFERROR(__xludf.DUMMYFUNCTION("IF(ISTEXT(Filmes_raw!C616), REGEXEXTRACT(Filmes_raw!C616,""[^,]+$""))"),FALSE)</f>
        <v>0</v>
      </c>
      <c r="D616" s="1" t="b">
        <f t="shared" si="1"/>
        <v>0</v>
      </c>
      <c r="E616" s="14">
        <f>IFERROR(__xludf.DUMMYFUNCTION("VALUE(IF(ISTEXT(D616), REGEXREPLACE(Filmes_raw!C616,""[^,]+$"",D616),Filmes_raw!C616))"),9.3617009E7)</f>
        <v>93617009</v>
      </c>
      <c r="F616" s="6">
        <f>IFERROR(__xludf.DUMMYFUNCTION("VALUE(REGEXEXTRACT(Filmes_raw!F616, ""[0-9]+""
))"),116.0)</f>
        <v>116</v>
      </c>
    </row>
    <row r="617">
      <c r="A617" s="1">
        <v>616.0</v>
      </c>
      <c r="B617" s="1" t="s">
        <v>3762</v>
      </c>
      <c r="C617" s="13" t="b">
        <f>IFERROR(__xludf.DUMMYFUNCTION("IF(ISTEXT(Filmes_raw!C617), REGEXEXTRACT(Filmes_raw!C617,""[^,]+$""))"),FALSE)</f>
        <v>0</v>
      </c>
      <c r="D617" s="1" t="b">
        <f t="shared" si="1"/>
        <v>0</v>
      </c>
      <c r="E617" s="14">
        <f>IFERROR(__xludf.DUMMYFUNCTION("VALUE(IF(ISTEXT(D617), REGEXREPLACE(Filmes_raw!C617,""[^,]+$"",D617),Filmes_raw!C617))"),1.45000989E8)</f>
        <v>145000989</v>
      </c>
      <c r="F617" s="6">
        <f>IFERROR(__xludf.DUMMYFUNCTION("VALUE(REGEXEXTRACT(Filmes_raw!F617, ""[0-9]+""
))"),90.0)</f>
        <v>90</v>
      </c>
    </row>
    <row r="618">
      <c r="A618" s="1">
        <v>617.0</v>
      </c>
      <c r="B618" s="1" t="s">
        <v>3768</v>
      </c>
      <c r="C618" s="13" t="b">
        <f>IFERROR(__xludf.DUMMYFUNCTION("IF(ISTEXT(Filmes_raw!C618), REGEXEXTRACT(Filmes_raw!C618,""[^,]+$""))"),FALSE)</f>
        <v>0</v>
      </c>
      <c r="D618" s="1" t="b">
        <f t="shared" si="1"/>
        <v>0</v>
      </c>
      <c r="E618" s="14">
        <f>IFERROR(__xludf.DUMMYFUNCTION("VALUE(IF(ISTEXT(D618), REGEXREPLACE(Filmes_raw!C618,""[^,]+$"",D618),Filmes_raw!C618))"),9030581.0)</f>
        <v>9030581</v>
      </c>
      <c r="F618" s="6">
        <f>IFERROR(__xludf.DUMMYFUNCTION("VALUE(REGEXEXTRACT(Filmes_raw!F618, ""[0-9]+""
))"),94.0)</f>
        <v>94</v>
      </c>
    </row>
    <row r="619">
      <c r="A619" s="1">
        <v>618.0</v>
      </c>
      <c r="B619" s="1" t="s">
        <v>3775</v>
      </c>
      <c r="C619" s="13" t="b">
        <f>IFERROR(__xludf.DUMMYFUNCTION("IF(ISTEXT(Filmes_raw!C619), REGEXEXTRACT(Filmes_raw!C619,""[^,]+$""))"),FALSE)</f>
        <v>0</v>
      </c>
      <c r="D619" s="1" t="b">
        <f t="shared" si="1"/>
        <v>0</v>
      </c>
      <c r="E619" s="14">
        <f>IFERROR(__xludf.DUMMYFUNCTION("VALUE(IF(ISTEXT(D619), REGEXREPLACE(Filmes_raw!C619,""[^,]+$"",D619),Filmes_raw!C619))"),9439923.0)</f>
        <v>9439923</v>
      </c>
      <c r="F619" s="6">
        <f>IFERROR(__xludf.DUMMYFUNCTION("VALUE(REGEXEXTRACT(Filmes_raw!F619, ""[0-9]+""
))"),86.0)</f>
        <v>86</v>
      </c>
    </row>
    <row r="620">
      <c r="A620" s="1">
        <v>619.0</v>
      </c>
      <c r="B620" s="1" t="s">
        <v>3781</v>
      </c>
      <c r="C620" s="13" t="b">
        <f>IFERROR(__xludf.DUMMYFUNCTION("IF(ISTEXT(Filmes_raw!C620), REGEXEXTRACT(Filmes_raw!C620,""[^,]+$""))"),FALSE)</f>
        <v>0</v>
      </c>
      <c r="D620" s="1" t="b">
        <f t="shared" si="1"/>
        <v>0</v>
      </c>
      <c r="E620" s="14">
        <f>IFERROR(__xludf.DUMMYFUNCTION("VALUE(IF(ISTEXT(D620), REGEXREPLACE(Filmes_raw!C620,""[^,]+$"",D620),Filmes_raw!C620))"),3.03003568E8)</f>
        <v>303003568</v>
      </c>
      <c r="F620" s="6">
        <f>IFERROR(__xludf.DUMMYFUNCTION("VALUE(REGEXEXTRACT(Filmes_raw!F620, ""[0-9]+""
))"),169.0)</f>
        <v>169</v>
      </c>
    </row>
    <row r="621">
      <c r="A621" s="1">
        <v>620.0</v>
      </c>
      <c r="B621" s="1" t="s">
        <v>3784</v>
      </c>
      <c r="C621" s="13" t="b">
        <f>IFERROR(__xludf.DUMMYFUNCTION("IF(ISTEXT(Filmes_raw!C621), REGEXEXTRACT(Filmes_raw!C621,""[^,]+$""))"),FALSE)</f>
        <v>0</v>
      </c>
      <c r="D621" s="1" t="b">
        <f t="shared" si="1"/>
        <v>0</v>
      </c>
      <c r="E621" s="14">
        <f>IFERROR(__xludf.DUMMYFUNCTION("VALUE(IF(ISTEXT(D621), REGEXREPLACE(Filmes_raw!C621,""[^,]+$"",D621),Filmes_raw!C621))"),741283.0)</f>
        <v>741283</v>
      </c>
      <c r="F621" s="6">
        <f>IFERROR(__xludf.DUMMYFUNCTION("VALUE(REGEXEXTRACT(Filmes_raw!F621, ""[0-9]+""
))"),122.0)</f>
        <v>122</v>
      </c>
    </row>
    <row r="622">
      <c r="A622" s="1">
        <v>621.0</v>
      </c>
      <c r="B622" s="1" t="s">
        <v>3790</v>
      </c>
      <c r="C622" s="13" t="b">
        <f>IFERROR(__xludf.DUMMYFUNCTION("IF(ISTEXT(Filmes_raw!C622), REGEXEXTRACT(Filmes_raw!C622,""[^,]+$""))"),FALSE)</f>
        <v>0</v>
      </c>
      <c r="D622" s="1" t="b">
        <f t="shared" si="1"/>
        <v>0</v>
      </c>
      <c r="E622" s="14">
        <f>IFERROR(__xludf.DUMMYFUNCTION("VALUE(IF(ISTEXT(D622), REGEXREPLACE(Filmes_raw!C622,""[^,]+$"",D622),Filmes_raw!C622))"),5.0927067E7)</f>
        <v>50927067</v>
      </c>
      <c r="F622" s="6">
        <f>IFERROR(__xludf.DUMMYFUNCTION("VALUE(REGEXEXTRACT(Filmes_raw!F622, ""[0-9]+""
))"),123.0)</f>
        <v>123</v>
      </c>
    </row>
    <row r="623">
      <c r="A623" s="1">
        <v>622.0</v>
      </c>
      <c r="B623" s="1" t="s">
        <v>3793</v>
      </c>
      <c r="C623" s="13" t="b">
        <f>IFERROR(__xludf.DUMMYFUNCTION("IF(ISTEXT(Filmes_raw!C623), REGEXEXTRACT(Filmes_raw!C623,""[^,]+$""))"),FALSE)</f>
        <v>0</v>
      </c>
      <c r="D623" s="1" t="b">
        <f t="shared" si="1"/>
        <v>0</v>
      </c>
      <c r="E623" s="14">
        <f>IFERROR(__xludf.DUMMYFUNCTION("VALUE(IF(ISTEXT(D623), REGEXREPLACE(Filmes_raw!C623,""[^,]+$"",D623),Filmes_raw!C623))"),3.5061555E7)</f>
        <v>35061555</v>
      </c>
      <c r="F623" s="6">
        <f>IFERROR(__xludf.DUMMYFUNCTION("VALUE(REGEXEXTRACT(Filmes_raw!F623, ""[0-9]+""
))"),100.0)</f>
        <v>100</v>
      </c>
    </row>
    <row r="624">
      <c r="A624" s="1">
        <v>623.0</v>
      </c>
      <c r="B624" s="1" t="s">
        <v>3797</v>
      </c>
      <c r="C624" s="13" t="b">
        <f>IFERROR(__xludf.DUMMYFUNCTION("IF(ISTEXT(Filmes_raw!C624), REGEXEXTRACT(Filmes_raw!C624,""[^,]+$""))"),FALSE)</f>
        <v>0</v>
      </c>
      <c r="D624" s="1" t="b">
        <f t="shared" si="1"/>
        <v>0</v>
      </c>
      <c r="E624" s="14">
        <f>IFERROR(__xludf.DUMMYFUNCTION("VALUE(IF(ISTEXT(D624), REGEXREPLACE(Filmes_raw!C624,""[^,]+$"",D624),Filmes_raw!C624))"),1.30164645E8)</f>
        <v>130164645</v>
      </c>
      <c r="F624" s="6">
        <f>IFERROR(__xludf.DUMMYFUNCTION("VALUE(REGEXEXTRACT(Filmes_raw!F624, ""[0-9]+""
))"),157.0)</f>
        <v>157</v>
      </c>
    </row>
    <row r="625">
      <c r="A625" s="1">
        <v>624.0</v>
      </c>
      <c r="B625" s="1" t="s">
        <v>3800</v>
      </c>
      <c r="C625" s="13" t="b">
        <f>IFERROR(__xludf.DUMMYFUNCTION("IF(ISTEXT(Filmes_raw!C625), REGEXEXTRACT(Filmes_raw!C625,""[^,]+$""))"),FALSE)</f>
        <v>0</v>
      </c>
      <c r="D625" s="1" t="b">
        <f t="shared" si="1"/>
        <v>0</v>
      </c>
      <c r="E625" s="14">
        <f>IFERROR(__xludf.DUMMYFUNCTION("VALUE(IF(ISTEXT(D625), REGEXREPLACE(Filmes_raw!C625,""[^,]+$"",D625),Filmes_raw!C625))"),7.60507625E8)</f>
        <v>760507625</v>
      </c>
      <c r="F625" s="6">
        <f>IFERROR(__xludf.DUMMYFUNCTION("VALUE(REGEXEXTRACT(Filmes_raw!F625, ""[0-9]+""
))"),162.0)</f>
        <v>162</v>
      </c>
    </row>
    <row r="626">
      <c r="A626" s="1">
        <v>625.0</v>
      </c>
      <c r="B626" s="1" t="s">
        <v>3803</v>
      </c>
      <c r="C626" s="13" t="str">
        <f>IFERROR(__xludf.DUMMYFUNCTION("IF(ISTEXT(Filmes_raw!C626), REGEXEXTRACT(Filmes_raw!C626,""[^,]+$""))"),"6")</f>
        <v>6</v>
      </c>
      <c r="D626" s="1" t="str">
        <f t="shared" si="1"/>
        <v>600</v>
      </c>
      <c r="E626" s="14">
        <f>IFERROR(__xludf.DUMMYFUNCTION("VALUE(IF(ISTEXT(D626), REGEXREPLACE(Filmes_raw!C626,""[^,]+$"",D626),Filmes_raw!C626))"),3600.0)</f>
        <v>3600</v>
      </c>
      <c r="F626" s="6">
        <f>IFERROR(__xludf.DUMMYFUNCTION("VALUE(REGEXEXTRACT(Filmes_raw!F626, ""[0-9]+""
))"),141.0)</f>
        <v>141</v>
      </c>
    </row>
    <row r="627">
      <c r="A627" s="1">
        <v>626.0</v>
      </c>
      <c r="B627" s="1" t="s">
        <v>3809</v>
      </c>
      <c r="C627" s="13" t="b">
        <f>IFERROR(__xludf.DUMMYFUNCTION("IF(ISTEXT(Filmes_raw!C627), REGEXEXTRACT(Filmes_raw!C627,""[^,]+$""))"),FALSE)</f>
        <v>0</v>
      </c>
      <c r="D627" s="1" t="b">
        <f t="shared" si="1"/>
        <v>0</v>
      </c>
      <c r="E627" s="14">
        <f>IFERROR(__xludf.DUMMYFUNCTION("VALUE(IF(ISTEXT(D627), REGEXREPLACE(Filmes_raw!C627,""[^,]+$"",D627),Filmes_raw!C627))"),5.0866635E7)</f>
        <v>50866635</v>
      </c>
      <c r="F627" s="6">
        <f>IFERROR(__xludf.DUMMYFUNCTION("VALUE(REGEXEXTRACT(Filmes_raw!F627, ""[0-9]+""
))"),139.0)</f>
        <v>139</v>
      </c>
    </row>
    <row r="628">
      <c r="A628" s="1">
        <v>627.0</v>
      </c>
      <c r="B628" s="1" t="s">
        <v>3815</v>
      </c>
      <c r="C628" s="13" t="b">
        <f>IFERROR(__xludf.DUMMYFUNCTION("IF(ISTEXT(Filmes_raw!C628), REGEXEXTRACT(Filmes_raw!C628,""[^,]+$""))"),FALSE)</f>
        <v>0</v>
      </c>
      <c r="D628" s="1" t="b">
        <f t="shared" si="1"/>
        <v>0</v>
      </c>
      <c r="E628" s="14">
        <f>IFERROR(__xludf.DUMMYFUNCTION("VALUE(IF(ISTEXT(D628), REGEXREPLACE(Filmes_raw!C628,""[^,]+$"",D628),Filmes_raw!C628))"),5.9891098E7)</f>
        <v>59891098</v>
      </c>
      <c r="F628" s="6">
        <f>IFERROR(__xludf.DUMMYFUNCTION("VALUE(REGEXEXTRACT(Filmes_raw!F628, ""[0-9]+""
))"),101.0)</f>
        <v>101</v>
      </c>
    </row>
    <row r="629">
      <c r="A629" s="1">
        <v>628.0</v>
      </c>
      <c r="B629" s="1" t="s">
        <v>3820</v>
      </c>
      <c r="C629" s="13" t="b">
        <f>IFERROR(__xludf.DUMMYFUNCTION("IF(ISTEXT(Filmes_raw!C629), REGEXEXTRACT(Filmes_raw!C629,""[^,]+$""))"),FALSE)</f>
        <v>0</v>
      </c>
      <c r="D629" s="1" t="b">
        <f t="shared" si="1"/>
        <v>0</v>
      </c>
      <c r="E629" s="14">
        <f>IFERROR(__xludf.DUMMYFUNCTION("VALUE(IF(ISTEXT(D629), REGEXREPLACE(Filmes_raw!C629,""[^,]+$"",D629),Filmes_raw!C629))"),2.3637265E7)</f>
        <v>23637265</v>
      </c>
      <c r="F629" s="6">
        <f>IFERROR(__xludf.DUMMYFUNCTION("VALUE(REGEXEXTRACT(Filmes_raw!F629, ""[0-9]+""
))"),121.0)</f>
        <v>121</v>
      </c>
    </row>
    <row r="630">
      <c r="A630" s="1">
        <v>629.0</v>
      </c>
      <c r="B630" s="1" t="s">
        <v>3823</v>
      </c>
      <c r="C630" s="13" t="b">
        <f>IFERROR(__xludf.DUMMYFUNCTION("IF(ISTEXT(Filmes_raw!C630), REGEXEXTRACT(Filmes_raw!C630,""[^,]+$""))"),FALSE)</f>
        <v>0</v>
      </c>
      <c r="D630" s="1" t="b">
        <f t="shared" si="1"/>
        <v>0</v>
      </c>
      <c r="E630" s="14">
        <f>IFERROR(__xludf.DUMMYFUNCTION("VALUE(IF(ISTEXT(D630), REGEXREPLACE(Filmes_raw!C630,""[^,]+$"",D630),Filmes_raw!C630))"),1.27509326E8)</f>
        <v>127509326</v>
      </c>
      <c r="F630" s="6">
        <f>IFERROR(__xludf.DUMMYFUNCTION("VALUE(REGEXEXTRACT(Filmes_raw!F630, ""[0-9]+""
))"),166.0)</f>
        <v>166</v>
      </c>
    </row>
    <row r="631">
      <c r="A631" s="1">
        <v>630.0</v>
      </c>
      <c r="B631" s="1" t="s">
        <v>3828</v>
      </c>
      <c r="C631" s="13" t="b">
        <f>IFERROR(__xludf.DUMMYFUNCTION("IF(ISTEXT(Filmes_raw!C631), REGEXEXTRACT(Filmes_raw!C631,""[^,]+$""))"),FALSE)</f>
        <v>0</v>
      </c>
      <c r="D631" s="1" t="b">
        <f t="shared" si="1"/>
        <v>0</v>
      </c>
      <c r="E631" s="14">
        <f>IFERROR(__xludf.DUMMYFUNCTION("VALUE(IF(ISTEXT(D631), REGEXREPLACE(Filmes_raw!C631,""[^,]+$"",D631),Filmes_raw!C631))"),2921738.0)</f>
        <v>2921738</v>
      </c>
      <c r="F631" s="6">
        <f>IFERROR(__xludf.DUMMYFUNCTION("VALUE(REGEXEXTRACT(Filmes_raw!F631, ""[0-9]+""
))"),192.0)</f>
        <v>192</v>
      </c>
    </row>
    <row r="632">
      <c r="A632" s="1">
        <v>631.0</v>
      </c>
      <c r="B632" s="1" t="s">
        <v>3833</v>
      </c>
      <c r="C632" s="13" t="b">
        <f>IFERROR(__xludf.DUMMYFUNCTION("IF(ISTEXT(Filmes_raw!C632), REGEXEXTRACT(Filmes_raw!C632,""[^,]+$""))"),FALSE)</f>
        <v>0</v>
      </c>
      <c r="D632" s="1" t="b">
        <f t="shared" si="1"/>
        <v>0</v>
      </c>
      <c r="E632" s="14">
        <f>IFERROR(__xludf.DUMMYFUNCTION("VALUE(IF(ISTEXT(D632), REGEXREPLACE(Filmes_raw!C632,""[^,]+$"",D632),Filmes_raw!C632))"),1305.0)</f>
        <v>1305</v>
      </c>
      <c r="F632" s="6">
        <f>IFERROR(__xludf.DUMMYFUNCTION("VALUE(REGEXEXTRACT(Filmes_raw!F632, ""[0-9]+""
))"),94.0)</f>
        <v>94</v>
      </c>
    </row>
    <row r="633">
      <c r="A633" s="1">
        <v>632.0</v>
      </c>
      <c r="B633" s="1" t="s">
        <v>3837</v>
      </c>
      <c r="C633" s="13" t="b">
        <f>IFERROR(__xludf.DUMMYFUNCTION("IF(ISTEXT(Filmes_raw!C633), REGEXEXTRACT(Filmes_raw!C633,""[^,]+$""))"),FALSE)</f>
        <v>0</v>
      </c>
      <c r="D633" s="1" t="b">
        <f t="shared" si="1"/>
        <v>0</v>
      </c>
      <c r="E633" s="14">
        <f>IFERROR(__xludf.DUMMYFUNCTION("VALUE(IF(ISTEXT(D633), REGEXREPLACE(Filmes_raw!C633,""[^,]+$"",D633),Filmes_raw!C633))"),3.8405088E7)</f>
        <v>38405088</v>
      </c>
      <c r="F633" s="6">
        <f>IFERROR(__xludf.DUMMYFUNCTION("VALUE(REGEXEXTRACT(Filmes_raw!F633, ""[0-9]+""
))"),129.0)</f>
        <v>129</v>
      </c>
    </row>
    <row r="634">
      <c r="A634" s="1">
        <v>633.0</v>
      </c>
      <c r="B634" s="1" t="s">
        <v>3840</v>
      </c>
      <c r="C634" s="13" t="b">
        <f>IFERROR(__xludf.DUMMYFUNCTION("IF(ISTEXT(Filmes_raw!C634), REGEXEXTRACT(Filmes_raw!C634,""[^,]+$""))"),FALSE)</f>
        <v>0</v>
      </c>
      <c r="D634" s="1" t="b">
        <f t="shared" si="1"/>
        <v>0</v>
      </c>
      <c r="E634" s="14">
        <f>IFERROR(__xludf.DUMMYFUNCTION("VALUE(IF(ISTEXT(D634), REGEXREPLACE(Filmes_raw!C634,""[^,]+$"",D634),Filmes_raw!C634))"),5128124.0)</f>
        <v>5128124</v>
      </c>
      <c r="F634" s="6">
        <f>IFERROR(__xludf.DUMMYFUNCTION("VALUE(REGEXEXTRACT(Filmes_raw!F634, ""[0-9]+""
))"),127.0)</f>
        <v>127</v>
      </c>
    </row>
    <row r="635">
      <c r="A635" s="1">
        <v>634.0</v>
      </c>
      <c r="B635" s="1" t="s">
        <v>3846</v>
      </c>
      <c r="C635" s="13" t="b">
        <f>IFERROR(__xludf.DUMMYFUNCTION("IF(ISTEXT(Filmes_raw!C635), REGEXEXTRACT(Filmes_raw!C635,""[^,]+$""))"),FALSE)</f>
        <v>0</v>
      </c>
      <c r="D635" s="1" t="b">
        <f t="shared" si="1"/>
        <v>0</v>
      </c>
      <c r="E635" s="14">
        <f>IFERROR(__xludf.DUMMYFUNCTION("VALUE(IF(ISTEXT(D635), REGEXREPLACE(Filmes_raw!C635,""[^,]+$"",D635),Filmes_raw!C635))"),128985.0)</f>
        <v>128985</v>
      </c>
      <c r="F635" s="6">
        <f>IFERROR(__xludf.DUMMYFUNCTION("VALUE(REGEXEXTRACT(Filmes_raw!F635, ""[0-9]+""
))"),90.0)</f>
        <v>90</v>
      </c>
    </row>
    <row r="636">
      <c r="A636" s="1">
        <v>635.0</v>
      </c>
      <c r="B636" s="1" t="s">
        <v>3852</v>
      </c>
      <c r="C636" s="13" t="b">
        <f>IFERROR(__xludf.DUMMYFUNCTION("IF(ISTEXT(Filmes_raw!C636), REGEXEXTRACT(Filmes_raw!C636,""[^,]+$""))"),FALSE)</f>
        <v>0</v>
      </c>
      <c r="D636" s="1" t="b">
        <f t="shared" si="1"/>
        <v>0</v>
      </c>
      <c r="E636" s="14">
        <f>IFERROR(__xludf.DUMMYFUNCTION("VALUE(IF(ISTEXT(D636), REGEXREPLACE(Filmes_raw!C636,""[^,]+$"",D636),Filmes_raw!C636))"),2.5514517E7)</f>
        <v>25514517</v>
      </c>
      <c r="F636" s="6">
        <f>IFERROR(__xludf.DUMMYFUNCTION("VALUE(REGEXEXTRACT(Filmes_raw!F636, ""[0-9]+""
))"),119.0)</f>
        <v>119</v>
      </c>
    </row>
    <row r="637">
      <c r="A637" s="1">
        <v>636.0</v>
      </c>
      <c r="B637" s="1" t="s">
        <v>3856</v>
      </c>
      <c r="C637" s="13" t="b">
        <f>IFERROR(__xludf.DUMMYFUNCTION("IF(ISTEXT(Filmes_raw!C637), REGEXEXTRACT(Filmes_raw!C637,""[^,]+$""))"),FALSE)</f>
        <v>0</v>
      </c>
      <c r="D637" s="1" t="b">
        <f t="shared" si="1"/>
        <v>0</v>
      </c>
      <c r="E637" s="14">
        <f>IFERROR(__xludf.DUMMYFUNCTION("VALUE(IF(ISTEXT(D637), REGEXREPLACE(Filmes_raw!C637,""[^,]+$"",D637),Filmes_raw!C637))"),1.19519402E8)</f>
        <v>119519402</v>
      </c>
      <c r="F637" s="6">
        <f>IFERROR(__xludf.DUMMYFUNCTION("VALUE(REGEXEXTRACT(Filmes_raw!F637, ""[0-9]+""
))"),136.0)</f>
        <v>136</v>
      </c>
    </row>
    <row r="638">
      <c r="A638" s="1">
        <v>637.0</v>
      </c>
      <c r="B638" s="1" t="s">
        <v>3859</v>
      </c>
      <c r="C638" s="13" t="str">
        <f>IFERROR(__xludf.DUMMYFUNCTION("IF(ISTEXT(Filmes_raw!C638), REGEXEXTRACT(Filmes_raw!C638,""[^,]+$""))"),"28")</f>
        <v>28</v>
      </c>
      <c r="D638" s="1" t="str">
        <f t="shared" si="1"/>
        <v>280</v>
      </c>
      <c r="E638" s="14">
        <f>IFERROR(__xludf.DUMMYFUNCTION("VALUE(IF(ISTEXT(D638), REGEXREPLACE(Filmes_raw!C638,""[^,]+$"",D638),Filmes_raw!C638))"),15280.0)</f>
        <v>15280</v>
      </c>
      <c r="F638" s="6">
        <f>IFERROR(__xludf.DUMMYFUNCTION("VALUE(REGEXEXTRACT(Filmes_raw!F638, ""[0-9]+""
))"),113.0)</f>
        <v>113</v>
      </c>
    </row>
    <row r="639">
      <c r="A639" s="1">
        <v>638.0</v>
      </c>
      <c r="B639" s="1" t="s">
        <v>3867</v>
      </c>
      <c r="C639" s="13" t="b">
        <f>IFERROR(__xludf.DUMMYFUNCTION("IF(ISTEXT(Filmes_raw!C639), REGEXEXTRACT(Filmes_raw!C639,""[^,]+$""))"),FALSE)</f>
        <v>0</v>
      </c>
      <c r="D639" s="1" t="b">
        <f t="shared" si="1"/>
        <v>0</v>
      </c>
      <c r="E639" s="14">
        <f>IFERROR(__xludf.DUMMYFUNCTION("VALUE(IF(ISTEXT(D639), REGEXREPLACE(Filmes_raw!C639,""[^,]+$"",D639),Filmes_raw!C639))"),8.1001787E7)</f>
        <v>81001787</v>
      </c>
      <c r="F639" s="6">
        <f>IFERROR(__xludf.DUMMYFUNCTION("VALUE(REGEXEXTRACT(Filmes_raw!F639, ""[0-9]+""
))"),123.0)</f>
        <v>123</v>
      </c>
    </row>
    <row r="640">
      <c r="A640" s="1">
        <v>639.0</v>
      </c>
      <c r="B640" s="1" t="s">
        <v>3870</v>
      </c>
      <c r="C640" s="13" t="b">
        <f>IFERROR(__xludf.DUMMYFUNCTION("IF(ISTEXT(Filmes_raw!C640), REGEXEXTRACT(Filmes_raw!C640,""[^,]+$""))"),FALSE)</f>
        <v>0</v>
      </c>
      <c r="D640" s="1" t="b">
        <f t="shared" si="1"/>
        <v>0</v>
      </c>
      <c r="E640" s="14">
        <f>IFERROR(__xludf.DUMMYFUNCTION("VALUE(IF(ISTEXT(D640), REGEXREPLACE(Filmes_raw!C640,""[^,]+$"",D640),Filmes_raw!C640))"),1.6756372E7)</f>
        <v>16756372</v>
      </c>
      <c r="F640" s="6">
        <f>IFERROR(__xludf.DUMMYFUNCTION("VALUE(REGEXEXTRACT(Filmes_raw!F640, ""[0-9]+""
))"),126.0)</f>
        <v>126</v>
      </c>
    </row>
    <row r="641">
      <c r="A641" s="1">
        <v>640.0</v>
      </c>
      <c r="B641" s="1" t="s">
        <v>3875</v>
      </c>
      <c r="C641" s="13" t="b">
        <f>IFERROR(__xludf.DUMMYFUNCTION("IF(ISTEXT(Filmes_raw!C641), REGEXEXTRACT(Filmes_raw!C641,""[^,]+$""))"),FALSE)</f>
        <v>0</v>
      </c>
      <c r="D641" s="1" t="b">
        <f t="shared" si="1"/>
        <v>0</v>
      </c>
      <c r="E641" s="14">
        <f>IFERROR(__xludf.DUMMYFUNCTION("VALUE(IF(ISTEXT(D641), REGEXREPLACE(Filmes_raw!C641,""[^,]+$"",D641),Filmes_raw!C641))"),181655.0)</f>
        <v>181655</v>
      </c>
      <c r="F641" s="6">
        <f>IFERROR(__xludf.DUMMYFUNCTION("VALUE(REGEXEXTRACT(Filmes_raw!F641, ""[0-9]+""
))"),109.0)</f>
        <v>109</v>
      </c>
    </row>
    <row r="642">
      <c r="A642" s="1">
        <v>641.0</v>
      </c>
      <c r="B642" s="1" t="s">
        <v>3882</v>
      </c>
      <c r="C642" s="13" t="b">
        <f>IFERROR(__xludf.DUMMYFUNCTION("IF(ISTEXT(Filmes_raw!C642), REGEXEXTRACT(Filmes_raw!C642,""[^,]+$""))"),FALSE)</f>
        <v>0</v>
      </c>
      <c r="D642" s="1" t="b">
        <f t="shared" si="1"/>
        <v>0</v>
      </c>
      <c r="E642" s="14">
        <f>IFERROR(__xludf.DUMMYFUNCTION("VALUE(IF(ISTEXT(D642), REGEXREPLACE(Filmes_raw!C642,""[^,]+$"",D642),Filmes_raw!C642))"),7002255.0)</f>
        <v>7002255</v>
      </c>
      <c r="F642" s="6">
        <f>IFERROR(__xludf.DUMMYFUNCTION("VALUE(REGEXEXTRACT(Filmes_raw!F642, ""[0-9]+""
))"),80.0)</f>
        <v>80</v>
      </c>
    </row>
    <row r="643">
      <c r="A643" s="1">
        <v>642.0</v>
      </c>
      <c r="B643" s="1" t="s">
        <v>3889</v>
      </c>
      <c r="C643" s="13" t="b">
        <f>IFERROR(__xludf.DUMMYFUNCTION("IF(ISTEXT(Filmes_raw!C643), REGEXEXTRACT(Filmes_raw!C643,""[^,]+$""))"),FALSE)</f>
        <v>0</v>
      </c>
      <c r="D643" s="1" t="b">
        <f t="shared" si="1"/>
        <v>0</v>
      </c>
      <c r="E643" s="14">
        <f>IFERROR(__xludf.DUMMYFUNCTION("VALUE(IF(ISTEXT(D643), REGEXREPLACE(Filmes_raw!C643,""[^,]+$"",D643),Filmes_raw!C643))"),124071.0)</f>
        <v>124071</v>
      </c>
      <c r="F643" s="6">
        <f>IFERROR(__xludf.DUMMYFUNCTION("VALUE(REGEXEXTRACT(Filmes_raw!F643, ""[0-9]+""
))"),110.0)</f>
        <v>110</v>
      </c>
    </row>
    <row r="644">
      <c r="A644" s="1">
        <v>643.0</v>
      </c>
      <c r="B644" s="1" t="s">
        <v>3893</v>
      </c>
      <c r="C644" s="13" t="b">
        <f>IFERROR(__xludf.DUMMYFUNCTION("IF(ISTEXT(Filmes_raw!C644), REGEXEXTRACT(Filmes_raw!C644,""[^,]+$""))"),FALSE)</f>
        <v>0</v>
      </c>
      <c r="D644" s="1" t="b">
        <f t="shared" si="1"/>
        <v>0</v>
      </c>
      <c r="E644" s="14">
        <f>IFERROR(__xludf.DUMMYFUNCTION("VALUE(IF(ISTEXT(D644), REGEXREPLACE(Filmes_raw!C644,""[^,]+$"",D644),Filmes_raw!C644))"),5.4234062E7)</f>
        <v>54234062</v>
      </c>
      <c r="F644" s="6">
        <f>IFERROR(__xludf.DUMMYFUNCTION("VALUE(REGEXEXTRACT(Filmes_raw!F644, ""[0-9]+""
))"),131.0)</f>
        <v>131</v>
      </c>
    </row>
    <row r="645">
      <c r="A645" s="1">
        <v>644.0</v>
      </c>
      <c r="B645" s="1" t="s">
        <v>3899</v>
      </c>
      <c r="C645" s="13" t="b">
        <f>IFERROR(__xludf.DUMMYFUNCTION("IF(ISTEXT(Filmes_raw!C645), REGEXEXTRACT(Filmes_raw!C645,""[^,]+$""))"),FALSE)</f>
        <v>0</v>
      </c>
      <c r="D645" s="1" t="b">
        <f t="shared" si="1"/>
        <v>0</v>
      </c>
      <c r="E645" s="14">
        <f>IFERROR(__xludf.DUMMYFUNCTION("VALUE(IF(ISTEXT(D645), REGEXREPLACE(Filmes_raw!C645,""[^,]+$"",D645),Filmes_raw!C645))"),2892011.0)</f>
        <v>2892011</v>
      </c>
      <c r="F645" s="6">
        <f>IFERROR(__xludf.DUMMYFUNCTION("VALUE(REGEXEXTRACT(Filmes_raw!F645, ""[0-9]+""
))"),99.0)</f>
        <v>99</v>
      </c>
    </row>
    <row r="646">
      <c r="A646" s="1">
        <v>645.0</v>
      </c>
      <c r="B646" s="1" t="s">
        <v>3904</v>
      </c>
      <c r="C646" s="13" t="b">
        <f>IFERROR(__xludf.DUMMYFUNCTION("IF(ISTEXT(Filmes_raw!C646), REGEXEXTRACT(Filmes_raw!C646,""[^,]+$""))"),FALSE)</f>
        <v>0</v>
      </c>
      <c r="D646" s="1" t="b">
        <f t="shared" si="1"/>
        <v>0</v>
      </c>
      <c r="E646" s="14">
        <f>IFERROR(__xludf.DUMMYFUNCTION("VALUE(IF(ISTEXT(D646), REGEXREPLACE(Filmes_raw!C646,""[^,]+$"",D646),Filmes_raw!C646))"),1.15654751E8)</f>
        <v>115654751</v>
      </c>
      <c r="F646" s="6">
        <f>IFERROR(__xludf.DUMMYFUNCTION("VALUE(REGEXEXTRACT(Filmes_raw!F646, ""[0-9]+""
))"),113.0)</f>
        <v>113</v>
      </c>
    </row>
    <row r="647">
      <c r="A647" s="1">
        <v>646.0</v>
      </c>
      <c r="B647" s="1" t="s">
        <v>3910</v>
      </c>
      <c r="C647" s="13" t="b">
        <f>IFERROR(__xludf.DUMMYFUNCTION("IF(ISTEXT(Filmes_raw!C647), REGEXEXTRACT(Filmes_raw!C647,""[^,]+$""))"),FALSE)</f>
        <v>0</v>
      </c>
      <c r="D647" s="1" t="b">
        <f t="shared" si="1"/>
        <v>0</v>
      </c>
      <c r="E647" s="14">
        <f>IFERROR(__xludf.DUMMYFUNCTION("VALUE(IF(ISTEXT(D647), REGEXREPLACE(Filmes_raw!C647,""[^,]+$"",D647),Filmes_raw!C647))"),1.28078872E8)</f>
        <v>128078872</v>
      </c>
      <c r="F647" s="6">
        <f>IFERROR(__xludf.DUMMYFUNCTION("VALUE(REGEXEXTRACT(Filmes_raw!F647, ""[0-9]+""
))"),120.0)</f>
        <v>120</v>
      </c>
    </row>
    <row r="648">
      <c r="A648" s="1">
        <v>647.0</v>
      </c>
      <c r="B648" s="1" t="s">
        <v>3915</v>
      </c>
      <c r="C648" s="13" t="b">
        <f>IFERROR(__xludf.DUMMYFUNCTION("IF(ISTEXT(Filmes_raw!C648), REGEXEXTRACT(Filmes_raw!C648,""[^,]+$""))"),FALSE)</f>
        <v>0</v>
      </c>
      <c r="D648" s="1" t="b">
        <f t="shared" si="1"/>
        <v>0</v>
      </c>
      <c r="E648" s="14">
        <f>IFERROR(__xludf.DUMMYFUNCTION("VALUE(IF(ISTEXT(D648), REGEXREPLACE(Filmes_raw!C648,""[^,]+$"",D648),Filmes_raw!C648))"),8264530.0)</f>
        <v>8264530</v>
      </c>
      <c r="F648" s="6">
        <f>IFERROR(__xludf.DUMMYFUNCTION("VALUE(REGEXEXTRACT(Filmes_raw!F648, ""[0-9]+""
))"),101.0)</f>
        <v>101</v>
      </c>
    </row>
    <row r="649">
      <c r="A649" s="1">
        <v>648.0</v>
      </c>
      <c r="B649" s="1" t="s">
        <v>3921</v>
      </c>
      <c r="C649" s="13" t="b">
        <f>IFERROR(__xludf.DUMMYFUNCTION("IF(ISTEXT(Filmes_raw!C649), REGEXEXTRACT(Filmes_raw!C649,""[^,]+$""))"),FALSE)</f>
        <v>0</v>
      </c>
      <c r="D649" s="1" t="b">
        <f t="shared" si="1"/>
        <v>0</v>
      </c>
      <c r="E649" s="14">
        <f>IFERROR(__xludf.DUMMYFUNCTION("VALUE(IF(ISTEXT(D649), REGEXREPLACE(Filmes_raw!C649,""[^,]+$"",D649),Filmes_raw!C649))"),2.33632142E8)</f>
        <v>233632142</v>
      </c>
      <c r="F649" s="6">
        <f>IFERROR(__xludf.DUMMYFUNCTION("VALUE(REGEXEXTRACT(Filmes_raw!F649, ""[0-9]+""
))"),143.0)</f>
        <v>143</v>
      </c>
    </row>
    <row r="650">
      <c r="A650" s="1">
        <v>649.0</v>
      </c>
      <c r="B650" s="1" t="s">
        <v>3927</v>
      </c>
      <c r="C650" s="13" t="b">
        <f>IFERROR(__xludf.DUMMYFUNCTION("IF(ISTEXT(Filmes_raw!C650), REGEXEXTRACT(Filmes_raw!C650,""[^,]+$""))"),FALSE)</f>
        <v>0</v>
      </c>
      <c r="D650" s="1" t="b">
        <f t="shared" si="1"/>
        <v>0</v>
      </c>
      <c r="E650" s="14">
        <f>IFERROR(__xludf.DUMMYFUNCTION("VALUE(IF(ISTEXT(D650), REGEXREPLACE(Filmes_raw!C650,""[^,]+$"",D650),Filmes_raw!C650))"),25812.0)</f>
        <v>25812</v>
      </c>
      <c r="F650" s="6">
        <f>IFERROR(__xludf.DUMMYFUNCTION("VALUE(REGEXEXTRACT(Filmes_raw!F650, ""[0-9]+""
))"),108.0)</f>
        <v>108</v>
      </c>
    </row>
    <row r="651">
      <c r="A651" s="1">
        <v>650.0</v>
      </c>
      <c r="B651" s="1" t="s">
        <v>3933</v>
      </c>
      <c r="C651" s="13" t="b">
        <f>IFERROR(__xludf.DUMMYFUNCTION("IF(ISTEXT(Filmes_raw!C651), REGEXEXTRACT(Filmes_raw!C651,""[^,]+$""))"),FALSE)</f>
        <v>0</v>
      </c>
      <c r="D651" s="1" t="b">
        <f t="shared" si="1"/>
        <v>0</v>
      </c>
      <c r="E651" s="14">
        <f>IFERROR(__xludf.DUMMYFUNCTION("VALUE(IF(ISTEXT(D651), REGEXREPLACE(Filmes_raw!C651,""[^,]+$"",D651),Filmes_raw!C651))"),2.8965197E7)</f>
        <v>28965197</v>
      </c>
      <c r="F651" s="6">
        <f>IFERROR(__xludf.DUMMYFUNCTION("VALUE(REGEXEXTRACT(Filmes_raw!F651, ""[0-9]+""
))"),157.0)</f>
        <v>157</v>
      </c>
    </row>
    <row r="652">
      <c r="A652" s="1">
        <v>651.0</v>
      </c>
      <c r="B652" s="1" t="s">
        <v>3936</v>
      </c>
      <c r="C652" s="13" t="b">
        <f>IFERROR(__xludf.DUMMYFUNCTION("IF(ISTEXT(Filmes_raw!C652), REGEXEXTRACT(Filmes_raw!C652,""[^,]+$""))"),FALSE)</f>
        <v>0</v>
      </c>
      <c r="D652" s="1" t="b">
        <f t="shared" si="1"/>
        <v>0</v>
      </c>
      <c r="E652" s="14">
        <f>IFERROR(__xludf.DUMMYFUNCTION("VALUE(IF(ISTEXT(D652), REGEXREPLACE(Filmes_raw!C652,""[^,]+$"",D652),Filmes_raw!C652))"),3.2481825E7)</f>
        <v>32481825</v>
      </c>
      <c r="F652" s="6">
        <f>IFERROR(__xludf.DUMMYFUNCTION("VALUE(REGEXEXTRACT(Filmes_raw!F652, ""[0-9]+""
))"),108.0)</f>
        <v>108</v>
      </c>
    </row>
    <row r="653">
      <c r="A653" s="1">
        <v>652.0</v>
      </c>
      <c r="B653" s="1" t="s">
        <v>3940</v>
      </c>
      <c r="C653" s="13" t="b">
        <f>IFERROR(__xludf.DUMMYFUNCTION("IF(ISTEXT(Filmes_raw!C653), REGEXEXTRACT(Filmes_raw!C653,""[^,]+$""))"),FALSE)</f>
        <v>0</v>
      </c>
      <c r="D653" s="1" t="b">
        <f t="shared" si="1"/>
        <v>0</v>
      </c>
      <c r="E653" s="14">
        <f>IFERROR(__xludf.DUMMYFUNCTION("VALUE(IF(ISTEXT(D653), REGEXREPLACE(Filmes_raw!C653,""[^,]+$"",D653),Filmes_raw!C653))"),2.67665011E8)</f>
        <v>267665011</v>
      </c>
      <c r="F653" s="6">
        <f>IFERROR(__xludf.DUMMYFUNCTION("VALUE(REGEXEXTRACT(Filmes_raw!F653, ""[0-9]+""
))"),90.0)</f>
        <v>90</v>
      </c>
    </row>
    <row r="654">
      <c r="A654" s="1">
        <v>653.0</v>
      </c>
      <c r="B654" s="1" t="s">
        <v>3947</v>
      </c>
      <c r="C654" s="13" t="b">
        <f>IFERROR(__xludf.DUMMYFUNCTION("IF(ISTEXT(Filmes_raw!C654), REGEXEXTRACT(Filmes_raw!C654,""[^,]+$""))"),FALSE)</f>
        <v>0</v>
      </c>
      <c r="D654" s="1" t="b">
        <f t="shared" si="1"/>
        <v>0</v>
      </c>
      <c r="E654" s="14">
        <f>IFERROR(__xludf.DUMMYFUNCTION("VALUE(IF(ISTEXT(D654), REGEXREPLACE(Filmes_raw!C654,""[^,]+$"",D654),Filmes_raw!C654))"),6.59325379E8)</f>
        <v>659325379</v>
      </c>
      <c r="F654" s="6">
        <f>IFERROR(__xludf.DUMMYFUNCTION("VALUE(REGEXEXTRACT(Filmes_raw!F654, ""[0-9]+""
))"),194.0)</f>
        <v>194</v>
      </c>
    </row>
    <row r="655">
      <c r="A655" s="1">
        <v>654.0</v>
      </c>
      <c r="B655" s="1" t="s">
        <v>3952</v>
      </c>
      <c r="C655" s="13" t="b">
        <f>IFERROR(__xludf.DUMMYFUNCTION("IF(ISTEXT(Filmes_raw!C655), REGEXEXTRACT(Filmes_raw!C655,""[^,]+$""))"),FALSE)</f>
        <v>0</v>
      </c>
      <c r="D655" s="1" t="b">
        <f t="shared" si="1"/>
        <v>0</v>
      </c>
      <c r="E655" s="14">
        <f>IFERROR(__xludf.DUMMYFUNCTION("VALUE(IF(ISTEXT(D655), REGEXREPLACE(Filmes_raw!C655,""[^,]+$"",D655),Filmes_raw!C655))"),233986.0)</f>
        <v>233986</v>
      </c>
      <c r="F655" s="6">
        <f>IFERROR(__xludf.DUMMYFUNCTION("VALUE(REGEXEXTRACT(Filmes_raw!F655, ""[0-9]+""
))"),103.0)</f>
        <v>103</v>
      </c>
    </row>
    <row r="656">
      <c r="A656" s="1">
        <v>655.0</v>
      </c>
      <c r="B656" s="1" t="s">
        <v>3958</v>
      </c>
      <c r="C656" s="13" t="b">
        <f>IFERROR(__xludf.DUMMYFUNCTION("IF(ISTEXT(Filmes_raw!C656), REGEXEXTRACT(Filmes_raw!C656,""[^,]+$""))"),FALSE)</f>
        <v>0</v>
      </c>
      <c r="D656" s="1" t="b">
        <f t="shared" si="1"/>
        <v>0</v>
      </c>
      <c r="E656" s="14">
        <f>IFERROR(__xludf.DUMMYFUNCTION("VALUE(IF(ISTEXT(D656), REGEXREPLACE(Filmes_raw!C656,""[^,]+$"",D656),Filmes_raw!C656))"),1.2339633E7)</f>
        <v>12339633</v>
      </c>
      <c r="F656" s="6">
        <f>IFERROR(__xludf.DUMMYFUNCTION("VALUE(REGEXEXTRACT(Filmes_raw!F656, ""[0-9]+""
))"),106.0)</f>
        <v>106</v>
      </c>
    </row>
    <row r="657">
      <c r="A657" s="1">
        <v>656.0</v>
      </c>
      <c r="B657" s="1" t="s">
        <v>3964</v>
      </c>
      <c r="C657" s="13" t="b">
        <f>IFERROR(__xludf.DUMMYFUNCTION("IF(ISTEXT(Filmes_raw!C657), REGEXEXTRACT(Filmes_raw!C657,""[^,]+$""))"),FALSE)</f>
        <v>0</v>
      </c>
      <c r="D657" s="1" t="b">
        <f t="shared" si="1"/>
        <v>0</v>
      </c>
      <c r="E657" s="14">
        <f>IFERROR(__xludf.DUMMYFUNCTION("VALUE(IF(ISTEXT(D657), REGEXREPLACE(Filmes_raw!C657,""[^,]+$"",D657),Filmes_raw!C657))"),4.8323648E7)</f>
        <v>48323648</v>
      </c>
      <c r="F657" s="6">
        <f>IFERROR(__xludf.DUMMYFUNCTION("VALUE(REGEXEXTRACT(Filmes_raw!F657, ""[0-9]+""
))"),129.0)</f>
        <v>129</v>
      </c>
    </row>
    <row r="658">
      <c r="A658" s="1">
        <v>657.0</v>
      </c>
      <c r="B658" s="1" t="s">
        <v>3968</v>
      </c>
      <c r="C658" s="13" t="b">
        <f>IFERROR(__xludf.DUMMYFUNCTION("IF(ISTEXT(Filmes_raw!C658), REGEXEXTRACT(Filmes_raw!C658,""[^,]+$""))"),FALSE)</f>
        <v>0</v>
      </c>
      <c r="D658" s="1" t="b">
        <f t="shared" si="1"/>
        <v>0</v>
      </c>
      <c r="E658" s="14">
        <f>IFERROR(__xludf.DUMMYFUNCTION("VALUE(IF(ISTEXT(D658), REGEXREPLACE(Filmes_raw!C658,""[^,]+$"",D658),Filmes_raw!C658))"),4040691.0)</f>
        <v>4040691</v>
      </c>
      <c r="F658" s="6">
        <f>IFERROR(__xludf.DUMMYFUNCTION("VALUE(REGEXEXTRACT(Filmes_raw!F658, ""[0-9]+""
))"),159.0)</f>
        <v>159</v>
      </c>
    </row>
    <row r="659">
      <c r="A659" s="1">
        <v>658.0</v>
      </c>
      <c r="B659" s="1" t="s">
        <v>3973</v>
      </c>
      <c r="C659" s="13" t="b">
        <f>IFERROR(__xludf.DUMMYFUNCTION("IF(ISTEXT(Filmes_raw!C659), REGEXEXTRACT(Filmes_raw!C659,""[^,]+$""))"),FALSE)</f>
        <v>0</v>
      </c>
      <c r="D659" s="1" t="b">
        <f t="shared" si="1"/>
        <v>0</v>
      </c>
      <c r="E659" s="14">
        <f>IFERROR(__xludf.DUMMYFUNCTION("VALUE(IF(ISTEXT(D659), REGEXREPLACE(Filmes_raw!C659,""[^,]+$"",D659),Filmes_raw!C659))"),5887457.0)</f>
        <v>5887457</v>
      </c>
      <c r="F659" s="6">
        <f>IFERROR(__xludf.DUMMYFUNCTION("VALUE(REGEXEXTRACT(Filmes_raw!F659, ""[0-9]+""
))"),127.0)</f>
        <v>127</v>
      </c>
    </row>
    <row r="660">
      <c r="A660" s="1">
        <v>659.0</v>
      </c>
      <c r="B660" s="1" t="s">
        <v>3976</v>
      </c>
      <c r="C660" s="13" t="b">
        <f>IFERROR(__xludf.DUMMYFUNCTION("IF(ISTEXT(Filmes_raw!C660), REGEXEXTRACT(Filmes_raw!C660,""[^,]+$""))"),FALSE)</f>
        <v>0</v>
      </c>
      <c r="D660" s="1" t="b">
        <f t="shared" si="1"/>
        <v>0</v>
      </c>
      <c r="E660" s="14">
        <f>IFERROR(__xludf.DUMMYFUNCTION("VALUE(IF(ISTEXT(D660), REGEXREPLACE(Filmes_raw!C660,""[^,]+$"",D660),Filmes_raw!C660))"),9170214.0)</f>
        <v>9170214</v>
      </c>
      <c r="F660" s="6">
        <f>IFERROR(__xludf.DUMMYFUNCTION("VALUE(REGEXEXTRACT(Filmes_raw!F660, ""[0-9]+""
))"),118.0)</f>
        <v>118</v>
      </c>
    </row>
    <row r="661">
      <c r="A661" s="1">
        <v>660.0</v>
      </c>
      <c r="B661" s="1" t="s">
        <v>3979</v>
      </c>
      <c r="C661" s="13" t="b">
        <f>IFERROR(__xludf.DUMMYFUNCTION("IF(ISTEXT(Filmes_raw!C661), REGEXEXTRACT(Filmes_raw!C661,""[^,]+$""))"),FALSE)</f>
        <v>0</v>
      </c>
      <c r="D661" s="1" t="b">
        <f t="shared" si="1"/>
        <v>0</v>
      </c>
      <c r="E661" s="14">
        <f>IFERROR(__xludf.DUMMYFUNCTION("VALUE(IF(ISTEXT(D661), REGEXREPLACE(Filmes_raw!C661,""[^,]+$"",D661),Filmes_raw!C661))"),5.6505065E7)</f>
        <v>56505065</v>
      </c>
      <c r="F661" s="6">
        <f>IFERROR(__xludf.DUMMYFUNCTION("VALUE(REGEXEXTRACT(Filmes_raw!F661, ""[0-9]+""
))"),130.0)</f>
        <v>130</v>
      </c>
    </row>
    <row r="662">
      <c r="A662" s="1">
        <v>661.0</v>
      </c>
      <c r="B662" s="1" t="s">
        <v>3984</v>
      </c>
      <c r="C662" s="13" t="b">
        <f>IFERROR(__xludf.DUMMYFUNCTION("IF(ISTEXT(Filmes_raw!C662), REGEXEXTRACT(Filmes_raw!C662,""[^,]+$""))"),FALSE)</f>
        <v>0</v>
      </c>
      <c r="D662" s="1" t="b">
        <f t="shared" si="1"/>
        <v>0</v>
      </c>
      <c r="E662" s="14">
        <f>IFERROR(__xludf.DUMMYFUNCTION("VALUE(IF(ISTEXT(D662), REGEXREPLACE(Filmes_raw!C662,""[^,]+$"",D662),Filmes_raw!C662))"),3.2416586E7)</f>
        <v>32416586</v>
      </c>
      <c r="F662" s="6">
        <f>IFERROR(__xludf.DUMMYFUNCTION("VALUE(REGEXEXTRACT(Filmes_raw!F662, ""[0-9]+""
))"),101.0)</f>
        <v>101</v>
      </c>
    </row>
    <row r="663">
      <c r="A663" s="1">
        <v>662.0</v>
      </c>
      <c r="B663" s="1" t="s">
        <v>3991</v>
      </c>
      <c r="C663" s="13" t="b">
        <f>IFERROR(__xludf.DUMMYFUNCTION("IF(ISTEXT(Filmes_raw!C663), REGEXEXTRACT(Filmes_raw!C663,""[^,]+$""))"),FALSE)</f>
        <v>0</v>
      </c>
      <c r="D663" s="1" t="b">
        <f t="shared" si="1"/>
        <v>0</v>
      </c>
      <c r="E663" s="14">
        <f>IFERROR(__xludf.DUMMYFUNCTION("VALUE(IF(ISTEXT(D663), REGEXREPLACE(Filmes_raw!C663,""[^,]+$"",D663),Filmes_raw!C663))"),2.2954968E7)</f>
        <v>22954968</v>
      </c>
      <c r="F663" s="6">
        <f>IFERROR(__xludf.DUMMYFUNCTION("VALUE(REGEXEXTRACT(Filmes_raw!F663, ""[0-9]+""
))"),134.0)</f>
        <v>134</v>
      </c>
    </row>
    <row r="664">
      <c r="A664" s="1">
        <v>663.0</v>
      </c>
      <c r="B664" s="1" t="s">
        <v>3997</v>
      </c>
      <c r="C664" s="13" t="b">
        <f>IFERROR(__xludf.DUMMYFUNCTION("IF(ISTEXT(Filmes_raw!C664), REGEXEXTRACT(Filmes_raw!C664,""[^,]+$""))"),FALSE)</f>
        <v>0</v>
      </c>
      <c r="D664" s="1" t="b">
        <f t="shared" si="1"/>
        <v>0</v>
      </c>
      <c r="E664" s="14">
        <f>IFERROR(__xludf.DUMMYFUNCTION("VALUE(IF(ISTEXT(D664), REGEXREPLACE(Filmes_raw!C664,""[^,]+$"",D664),Filmes_raw!C664))"),1769305.0)</f>
        <v>1769305</v>
      </c>
      <c r="F664" s="6">
        <f>IFERROR(__xludf.DUMMYFUNCTION("VALUE(REGEXEXTRACT(Filmes_raw!F664, ""[0-9]+""
))"),132.0)</f>
        <v>132</v>
      </c>
    </row>
    <row r="665">
      <c r="A665" s="1">
        <v>664.0</v>
      </c>
      <c r="B665" s="1" t="s">
        <v>4001</v>
      </c>
      <c r="C665" s="13" t="b">
        <f>IFERROR(__xludf.DUMMYFUNCTION("IF(ISTEXT(Filmes_raw!C665), REGEXEXTRACT(Filmes_raw!C665,""[^,]+$""))"),FALSE)</f>
        <v>0</v>
      </c>
      <c r="D665" s="1" t="b">
        <f t="shared" si="1"/>
        <v>0</v>
      </c>
      <c r="E665" s="14">
        <f>IFERROR(__xludf.DUMMYFUNCTION("VALUE(IF(ISTEXT(D665), REGEXREPLACE(Filmes_raw!C665,""[^,]+$"",D665),Filmes_raw!C665))"),1.8387576E8)</f>
        <v>183875760</v>
      </c>
      <c r="F665" s="6">
        <f>IFERROR(__xludf.DUMMYFUNCTION("VALUE(REGEXEXTRACT(Filmes_raw!F665, ""[0-9]+""
))"),130.0)</f>
        <v>130</v>
      </c>
    </row>
    <row r="666">
      <c r="A666" s="1">
        <v>665.0</v>
      </c>
      <c r="B666" s="1" t="s">
        <v>4005</v>
      </c>
      <c r="C666" s="13" t="b">
        <f>IFERROR(__xludf.DUMMYFUNCTION("IF(ISTEXT(Filmes_raw!C666), REGEXEXTRACT(Filmes_raw!C666,""[^,]+$""))"),FALSE)</f>
        <v>0</v>
      </c>
      <c r="D666" s="1" t="b">
        <f t="shared" si="1"/>
        <v>0</v>
      </c>
      <c r="E666" s="14">
        <f>IFERROR(__xludf.DUMMYFUNCTION("VALUE(IF(ISTEXT(D666), REGEXREPLACE(Filmes_raw!C666,""[^,]+$"",D666),Filmes_raw!C666))"),1.7266971E7)</f>
        <v>17266971</v>
      </c>
      <c r="F666" s="6">
        <f>IFERROR(__xludf.DUMMYFUNCTION("VALUE(REGEXEXTRACT(Filmes_raw!F666, ""[0-9]+""
))"),121.0)</f>
        <v>121</v>
      </c>
    </row>
    <row r="667">
      <c r="A667" s="1">
        <v>666.0</v>
      </c>
      <c r="B667" s="1" t="s">
        <v>4009</v>
      </c>
      <c r="C667" s="13" t="b">
        <f>IFERROR(__xludf.DUMMYFUNCTION("IF(ISTEXT(Filmes_raw!C667), REGEXEXTRACT(Filmes_raw!C667,""[^,]+$""))"),FALSE)</f>
        <v>0</v>
      </c>
      <c r="D667" s="1" t="b">
        <f t="shared" si="1"/>
        <v>0</v>
      </c>
      <c r="E667" s="14">
        <f>IFERROR(__xludf.DUMMYFUNCTION("VALUE(IF(ISTEXT(D667), REGEXREPLACE(Filmes_raw!C667,""[^,]+$"",D667),Filmes_raw!C667))"),5617391.0)</f>
        <v>5617391</v>
      </c>
      <c r="F667" s="6">
        <f>IFERROR(__xludf.DUMMYFUNCTION("VALUE(REGEXEXTRACT(Filmes_raw!F667, ""[0-9]+""
))"),76.0)</f>
        <v>76</v>
      </c>
    </row>
    <row r="668">
      <c r="A668" s="1">
        <v>667.0</v>
      </c>
      <c r="B668" s="1" t="s">
        <v>4016</v>
      </c>
      <c r="C668" s="13" t="b">
        <f>IFERROR(__xludf.DUMMYFUNCTION("IF(ISTEXT(Filmes_raw!C668), REGEXEXTRACT(Filmes_raw!C668,""[^,]+$""))"),FALSE)</f>
        <v>0</v>
      </c>
      <c r="D668" s="1" t="b">
        <f t="shared" si="1"/>
        <v>0</v>
      </c>
      <c r="E668" s="14">
        <f>IFERROR(__xludf.DUMMYFUNCTION("VALUE(IF(ISTEXT(D668), REGEXREPLACE(Filmes_raw!C668,""[^,]+$"",D668),Filmes_raw!C668))"),4500000.0)</f>
        <v>4500000</v>
      </c>
      <c r="F668" s="6">
        <f>IFERROR(__xludf.DUMMYFUNCTION("VALUE(REGEXEXTRACT(Filmes_raw!F668, ""[0-9]+""
))"),128.0)</f>
        <v>128</v>
      </c>
    </row>
    <row r="669">
      <c r="A669" s="1">
        <v>668.0</v>
      </c>
      <c r="B669" s="1" t="s">
        <v>4021</v>
      </c>
      <c r="C669" s="13" t="b">
        <f>IFERROR(__xludf.DUMMYFUNCTION("IF(ISTEXT(Filmes_raw!C669), REGEXEXTRACT(Filmes_raw!C669,""[^,]+$""))"),FALSE)</f>
        <v>0</v>
      </c>
      <c r="D669" s="1" t="b">
        <f t="shared" si="1"/>
        <v>0</v>
      </c>
      <c r="E669" s="14">
        <f>IFERROR(__xludf.DUMMYFUNCTION("VALUE(IF(ISTEXT(D669), REGEXREPLACE(Filmes_raw!C669,""[^,]+$"",D669),Filmes_raw!C669))"),2015810.0)</f>
        <v>2015810</v>
      </c>
      <c r="F669" s="6">
        <f>IFERROR(__xludf.DUMMYFUNCTION("VALUE(REGEXEXTRACT(Filmes_raw!F669, ""[0-9]+""
))"),129.0)</f>
        <v>129</v>
      </c>
    </row>
    <row r="670">
      <c r="A670" s="1">
        <v>669.0</v>
      </c>
      <c r="B670" s="1" t="s">
        <v>4026</v>
      </c>
      <c r="C670" s="13" t="b">
        <f>IFERROR(__xludf.DUMMYFUNCTION("IF(ISTEXT(Filmes_raw!C670), REGEXEXTRACT(Filmes_raw!C670,""[^,]+$""))"),FALSE)</f>
        <v>0</v>
      </c>
      <c r="D670" s="1" t="b">
        <f t="shared" si="1"/>
        <v>0</v>
      </c>
      <c r="E670" s="14">
        <f>IFERROR(__xludf.DUMMYFUNCTION("VALUE(IF(ISTEXT(D670), REGEXREPLACE(Filmes_raw!C670,""[^,]+$"",D670),Filmes_raw!C670))"),1999955.0)</f>
        <v>1999955</v>
      </c>
      <c r="F670" s="6">
        <f>IFERROR(__xludf.DUMMYFUNCTION("VALUE(REGEXEXTRACT(Filmes_raw!F670, ""[0-9]+""
))"),98.0)</f>
        <v>98</v>
      </c>
    </row>
    <row r="671">
      <c r="A671" s="1">
        <v>670.0</v>
      </c>
      <c r="B671" s="1" t="s">
        <v>4031</v>
      </c>
      <c r="C671" s="13" t="b">
        <f>IFERROR(__xludf.DUMMYFUNCTION("IF(ISTEXT(Filmes_raw!C671), REGEXEXTRACT(Filmes_raw!C671,""[^,]+$""))"),FALSE)</f>
        <v>0</v>
      </c>
      <c r="D671" s="1" t="b">
        <f t="shared" si="1"/>
        <v>0</v>
      </c>
      <c r="E671" s="14">
        <f>IFERROR(__xludf.DUMMYFUNCTION("VALUE(IF(ISTEXT(D671), REGEXREPLACE(Filmes_raw!C671,""[^,]+$"",D671),Filmes_raw!C671))"),5.7504069E7)</f>
        <v>57504069</v>
      </c>
      <c r="F671" s="6">
        <f>IFERROR(__xludf.DUMMYFUNCTION("VALUE(REGEXEXTRACT(Filmes_raw!F671, ""[0-9]+""
))"),112.0)</f>
        <v>112</v>
      </c>
    </row>
    <row r="672">
      <c r="A672" s="1">
        <v>671.0</v>
      </c>
      <c r="B672" s="1" t="s">
        <v>4037</v>
      </c>
      <c r="C672" s="13" t="b">
        <f>IFERROR(__xludf.DUMMYFUNCTION("IF(ISTEXT(Filmes_raw!C672), REGEXEXTRACT(Filmes_raw!C672,""[^,]+$""))"),FALSE)</f>
        <v>0</v>
      </c>
      <c r="D672" s="1" t="b">
        <f t="shared" si="1"/>
        <v>0</v>
      </c>
      <c r="E672" s="14">
        <f>IFERROR(__xludf.DUMMYFUNCTION("VALUE(IF(ISTEXT(D672), REGEXREPLACE(Filmes_raw!C672,""[^,]+$"",D672),Filmes_raw!C672))"),6.1276872E7)</f>
        <v>61276872</v>
      </c>
      <c r="F672" s="6">
        <f>IFERROR(__xludf.DUMMYFUNCTION("VALUE(REGEXEXTRACT(Filmes_raw!F672, ""[0-9]+""
))"),107.0)</f>
        <v>107</v>
      </c>
    </row>
    <row r="673">
      <c r="A673" s="1">
        <v>672.0</v>
      </c>
      <c r="B673" s="1" t="s">
        <v>4040</v>
      </c>
      <c r="C673" s="13" t="b">
        <f>IFERROR(__xludf.DUMMYFUNCTION("IF(ISTEXT(Filmes_raw!C673), REGEXEXTRACT(Filmes_raw!C673,""[^,]+$""))"),FALSE)</f>
        <v>0</v>
      </c>
      <c r="D673" s="1" t="b">
        <f t="shared" si="1"/>
        <v>0</v>
      </c>
      <c r="E673" s="14">
        <f>IFERROR(__xludf.DUMMYFUNCTION("VALUE(IF(ISTEXT(D673), REGEXREPLACE(Filmes_raw!C673,""[^,]+$"",D673),Filmes_raw!C673))"),5.2096475E7)</f>
        <v>52096475</v>
      </c>
      <c r="F673" s="6">
        <f>IFERROR(__xludf.DUMMYFUNCTION("VALUE(REGEXEXTRACT(Filmes_raw!F673, ""[0-9]+""
))"),121.0)</f>
        <v>121</v>
      </c>
    </row>
    <row r="674">
      <c r="A674" s="1">
        <v>673.0</v>
      </c>
      <c r="B674" s="1" t="s">
        <v>4045</v>
      </c>
      <c r="C674" s="13" t="b">
        <f>IFERROR(__xludf.DUMMYFUNCTION("IF(ISTEXT(Filmes_raw!C674), REGEXEXTRACT(Filmes_raw!C674,""[^,]+$""))"),FALSE)</f>
        <v>0</v>
      </c>
      <c r="D674" s="1" t="b">
        <f t="shared" si="1"/>
        <v>0</v>
      </c>
      <c r="E674" s="14">
        <f>IFERROR(__xludf.DUMMYFUNCTION("VALUE(IF(ISTEXT(D674), REGEXREPLACE(Filmes_raw!C674,""[^,]+$"",D674),Filmes_raw!C674))"),1.0151019E7)</f>
        <v>10151019</v>
      </c>
      <c r="F674" s="6">
        <f>IFERROR(__xludf.DUMMYFUNCTION("VALUE(REGEXEXTRACT(Filmes_raw!F674, ""[0-9]+""
))"),103.0)</f>
        <v>103</v>
      </c>
    </row>
    <row r="675">
      <c r="A675" s="1">
        <v>674.0</v>
      </c>
      <c r="B675" s="1" t="s">
        <v>4051</v>
      </c>
      <c r="C675" s="13" t="b">
        <f>IFERROR(__xludf.DUMMYFUNCTION("IF(ISTEXT(Filmes_raw!C675), REGEXEXTRACT(Filmes_raw!C675,""[^,]+$""))"),FALSE)</f>
        <v>0</v>
      </c>
      <c r="D675" s="1" t="b">
        <f t="shared" si="1"/>
        <v>0</v>
      </c>
      <c r="E675" s="14">
        <f>IFERROR(__xludf.DUMMYFUNCTION("VALUE(IF(ISTEXT(D675), REGEXREPLACE(Filmes_raw!C675,""[^,]+$"",D675),Filmes_raw!C675))"),2.683E7)</f>
        <v>26830000</v>
      </c>
      <c r="F675" s="6">
        <f>IFERROR(__xludf.DUMMYFUNCTION("VALUE(REGEXEXTRACT(Filmes_raw!F675, ""[0-9]+""
))"),122.0)</f>
        <v>122</v>
      </c>
    </row>
    <row r="676">
      <c r="A676" s="1">
        <v>675.0</v>
      </c>
      <c r="B676" s="1" t="s">
        <v>4053</v>
      </c>
      <c r="C676" s="13" t="b">
        <f>IFERROR(__xludf.DUMMYFUNCTION("IF(ISTEXT(Filmes_raw!C676), REGEXEXTRACT(Filmes_raw!C676,""[^,]+$""))"),FALSE)</f>
        <v>0</v>
      </c>
      <c r="D676" s="1" t="b">
        <f t="shared" si="1"/>
        <v>0</v>
      </c>
      <c r="E676" s="14">
        <f>IFERROR(__xludf.DUMMYFUNCTION("VALUE(IF(ISTEXT(D676), REGEXREPLACE(Filmes_raw!C676,""[^,]+$"",D676),Filmes_raw!C676))"),2340425.0)</f>
        <v>2340425</v>
      </c>
      <c r="F676" s="6">
        <f>IFERROR(__xludf.DUMMYFUNCTION("VALUE(REGEXEXTRACT(Filmes_raw!F676, ""[0-9]+""
))"),111.0)</f>
        <v>111</v>
      </c>
    </row>
    <row r="677">
      <c r="A677" s="1">
        <v>676.0</v>
      </c>
      <c r="B677" s="1" t="s">
        <v>4058</v>
      </c>
      <c r="C677" s="13" t="b">
        <f>IFERROR(__xludf.DUMMYFUNCTION("IF(ISTEXT(Filmes_raw!C677), REGEXEXTRACT(Filmes_raw!C677,""[^,]+$""))"),FALSE)</f>
        <v>0</v>
      </c>
      <c r="D677" s="1" t="b">
        <f t="shared" si="1"/>
        <v>0</v>
      </c>
      <c r="E677" s="14">
        <f>IFERROR(__xludf.DUMMYFUNCTION("VALUE(IF(ISTEXT(D677), REGEXREPLACE(Filmes_raw!C677,""[^,]+$"",D677),Filmes_raw!C677))"),1.185E8)</f>
        <v>118500000</v>
      </c>
      <c r="F677" s="6">
        <f>IFERROR(__xludf.DUMMYFUNCTION("VALUE(REGEXEXTRACT(Filmes_raw!F677, ""[0-9]+""
))"),108.0)</f>
        <v>108</v>
      </c>
    </row>
    <row r="678">
      <c r="A678" s="1">
        <v>677.0</v>
      </c>
      <c r="B678" s="1" t="s">
        <v>4061</v>
      </c>
      <c r="C678" s="13" t="b">
        <f>IFERROR(__xludf.DUMMYFUNCTION("IF(ISTEXT(Filmes_raw!C678), REGEXEXTRACT(Filmes_raw!C678,""[^,]+$""))"),FALSE)</f>
        <v>0</v>
      </c>
      <c r="D678" s="1" t="b">
        <f t="shared" si="1"/>
        <v>0</v>
      </c>
      <c r="E678" s="14">
        <f>IFERROR(__xludf.DUMMYFUNCTION("VALUE(IF(ISTEXT(D678), REGEXREPLACE(Filmes_raw!C678,""[^,]+$"",D678),Filmes_raw!C678))"),3.4603943E7)</f>
        <v>34603943</v>
      </c>
      <c r="F678" s="6">
        <f>IFERROR(__xludf.DUMMYFUNCTION("VALUE(REGEXEXTRACT(Filmes_raw!F678, ""[0-9]+""
))"),128.0)</f>
        <v>128</v>
      </c>
    </row>
    <row r="679">
      <c r="A679" s="1">
        <v>678.0</v>
      </c>
      <c r="B679" s="1" t="s">
        <v>4065</v>
      </c>
      <c r="C679" s="13" t="b">
        <f>IFERROR(__xludf.DUMMYFUNCTION("IF(ISTEXT(Filmes_raw!C679), REGEXEXTRACT(Filmes_raw!C679,""[^,]+$""))"),FALSE)</f>
        <v>0</v>
      </c>
      <c r="D679" s="1" t="b">
        <f t="shared" si="1"/>
        <v>0</v>
      </c>
      <c r="E679" s="14">
        <f>IFERROR(__xludf.DUMMYFUNCTION("VALUE(IF(ISTEXT(D679), REGEXREPLACE(Filmes_raw!C679,""[^,]+$"",D679),Filmes_raw!C679))"),5.9735548E7)</f>
        <v>59735548</v>
      </c>
      <c r="F679" s="6">
        <f>IFERROR(__xludf.DUMMYFUNCTION("VALUE(REGEXEXTRACT(Filmes_raw!F679, ""[0-9]+""
))"),107.0)</f>
        <v>107</v>
      </c>
    </row>
    <row r="680">
      <c r="A680" s="1">
        <v>679.0</v>
      </c>
      <c r="B680" s="1" t="s">
        <v>4069</v>
      </c>
      <c r="C680" s="13" t="b">
        <f>IFERROR(__xludf.DUMMYFUNCTION("IF(ISTEXT(Filmes_raw!C680), REGEXEXTRACT(Filmes_raw!C680,""[^,]+$""))"),FALSE)</f>
        <v>0</v>
      </c>
      <c r="D680" s="1" t="b">
        <f t="shared" si="1"/>
        <v>0</v>
      </c>
      <c r="E680" s="14">
        <f>IFERROR(__xludf.DUMMYFUNCTION("VALUE(IF(ISTEXT(D680), REGEXREPLACE(Filmes_raw!C680,""[^,]+$"",D680),Filmes_raw!C680))"),5923044.0)</f>
        <v>5923044</v>
      </c>
      <c r="F680" s="6">
        <f>IFERROR(__xludf.DUMMYFUNCTION("VALUE(REGEXEXTRACT(Filmes_raw!F680, ""[0-9]+""
))"),84.0)</f>
        <v>84</v>
      </c>
    </row>
    <row r="681">
      <c r="A681" s="1">
        <v>680.0</v>
      </c>
      <c r="B681" s="1" t="s">
        <v>4077</v>
      </c>
      <c r="C681" s="13" t="b">
        <f>IFERROR(__xludf.DUMMYFUNCTION("IF(ISTEXT(Filmes_raw!C681), REGEXEXTRACT(Filmes_raw!C681,""[^,]+$""))"),FALSE)</f>
        <v>0</v>
      </c>
      <c r="D681" s="1" t="b">
        <f t="shared" si="1"/>
        <v>0</v>
      </c>
      <c r="E681" s="14">
        <f>IFERROR(__xludf.DUMMYFUNCTION("VALUE(IF(ISTEXT(D681), REGEXREPLACE(Filmes_raw!C681,""[^,]+$"",D681),Filmes_raw!C681))"),7.0136369E7)</f>
        <v>70136369</v>
      </c>
      <c r="F681" s="6">
        <f>IFERROR(__xludf.DUMMYFUNCTION("VALUE(REGEXEXTRACT(Filmes_raw!F681, ""[0-9]+""
))"),103.0)</f>
        <v>103</v>
      </c>
    </row>
    <row r="682">
      <c r="A682" s="1">
        <v>681.0</v>
      </c>
      <c r="B682" s="1" t="s">
        <v>4083</v>
      </c>
      <c r="C682" s="13" t="b">
        <f>IFERROR(__xludf.DUMMYFUNCTION("IF(ISTEXT(Filmes_raw!C682), REGEXEXTRACT(Filmes_raw!C682,""[^,]+$""))"),FALSE)</f>
        <v>0</v>
      </c>
      <c r="D682" s="1" t="b">
        <f t="shared" si="1"/>
        <v>0</v>
      </c>
      <c r="E682" s="14">
        <f>IFERROR(__xludf.DUMMYFUNCTION("VALUE(IF(ISTEXT(D682), REGEXREPLACE(Filmes_raw!C682,""[^,]+$"",D682),Filmes_raw!C682))"),1436000.0)</f>
        <v>1436000</v>
      </c>
      <c r="F682" s="6">
        <f>IFERROR(__xludf.DUMMYFUNCTION("VALUE(REGEXEXTRACT(Filmes_raw!F682, ""[0-9]+""
))"),107.0)</f>
        <v>107</v>
      </c>
    </row>
    <row r="683">
      <c r="A683" s="1">
        <v>682.0</v>
      </c>
      <c r="B683" s="1" t="s">
        <v>4087</v>
      </c>
      <c r="C683" s="13" t="b">
        <f>IFERROR(__xludf.DUMMYFUNCTION("IF(ISTEXT(Filmes_raw!C683), REGEXEXTRACT(Filmes_raw!C683,""[^,]+$""))"),FALSE)</f>
        <v>0</v>
      </c>
      <c r="D683" s="1" t="b">
        <f t="shared" si="1"/>
        <v>0</v>
      </c>
      <c r="E683" s="14">
        <f>IFERROR(__xludf.DUMMYFUNCTION("VALUE(IF(ISTEXT(D683), REGEXREPLACE(Filmes_raw!C683,""[^,]+$"",D683),Filmes_raw!C683))"),6.1503218E7)</f>
        <v>61503218</v>
      </c>
      <c r="F683" s="6">
        <f>IFERROR(__xludf.DUMMYFUNCTION("VALUE(REGEXEXTRACT(Filmes_raw!F683, ""[0-9]+""
))"),114.0)</f>
        <v>114</v>
      </c>
    </row>
    <row r="684">
      <c r="A684" s="1">
        <v>683.0</v>
      </c>
      <c r="B684" s="1" t="s">
        <v>4092</v>
      </c>
      <c r="C684" s="13" t="b">
        <f>IFERROR(__xludf.DUMMYFUNCTION("IF(ISTEXT(Filmes_raw!C684), REGEXEXTRACT(Filmes_raw!C684,""[^,]+$""))"),FALSE)</f>
        <v>0</v>
      </c>
      <c r="D684" s="1" t="b">
        <f t="shared" si="1"/>
        <v>0</v>
      </c>
      <c r="E684" s="14">
        <f>IFERROR(__xludf.DUMMYFUNCTION("VALUE(IF(ISTEXT(D684), REGEXREPLACE(Filmes_raw!C684,""[^,]+$"",D684),Filmes_raw!C684))"),9.8467863E7)</f>
        <v>98467863</v>
      </c>
      <c r="F684" s="6">
        <f>IFERROR(__xludf.DUMMYFUNCTION("VALUE(REGEXEXTRACT(Filmes_raw!F684, ""[0-9]+""
))"),154.0)</f>
        <v>154</v>
      </c>
    </row>
    <row r="685">
      <c r="A685" s="1">
        <v>684.0</v>
      </c>
      <c r="B685" s="1" t="s">
        <v>4098</v>
      </c>
      <c r="C685" s="13" t="b">
        <f>IFERROR(__xludf.DUMMYFUNCTION("IF(ISTEXT(Filmes_raw!C685), REGEXEXTRACT(Filmes_raw!C685,""[^,]+$""))"),FALSE)</f>
        <v>0</v>
      </c>
      <c r="D685" s="1" t="b">
        <f t="shared" si="1"/>
        <v>0</v>
      </c>
      <c r="E685" s="14">
        <f>IFERROR(__xludf.DUMMYFUNCTION("VALUE(IF(ISTEXT(D685), REGEXREPLACE(Filmes_raw!C685,""[^,]+$"",D685),Filmes_raw!C685))"),4.5875171E7)</f>
        <v>45875171</v>
      </c>
      <c r="F685" s="6">
        <f>IFERROR(__xludf.DUMMYFUNCTION("VALUE(REGEXEXTRACT(Filmes_raw!F685, ""[0-9]+""
))"),97.0)</f>
        <v>97</v>
      </c>
    </row>
    <row r="686">
      <c r="A686" s="1">
        <v>685.0</v>
      </c>
      <c r="B686" s="1" t="s">
        <v>4104</v>
      </c>
      <c r="C686" s="13" t="b">
        <f>IFERROR(__xludf.DUMMYFUNCTION("IF(ISTEXT(Filmes_raw!C686), REGEXEXTRACT(Filmes_raw!C686,""[^,]+$""))"),FALSE)</f>
        <v>0</v>
      </c>
      <c r="D686" s="1" t="b">
        <f t="shared" si="1"/>
        <v>0</v>
      </c>
      <c r="E686" s="14">
        <f>IFERROR(__xludf.DUMMYFUNCTION("VALUE(IF(ISTEXT(D686), REGEXREPLACE(Filmes_raw!C686,""[^,]+$"",D686),Filmes_raw!C686))"),3.4700291E7)</f>
        <v>34700291</v>
      </c>
      <c r="F686" s="6">
        <f>IFERROR(__xludf.DUMMYFUNCTION("VALUE(REGEXEXTRACT(Filmes_raw!F686, ""[0-9]+""
))"),141.0)</f>
        <v>141</v>
      </c>
    </row>
    <row r="687">
      <c r="A687" s="1">
        <v>686.0</v>
      </c>
      <c r="B687" s="1" t="s">
        <v>4111</v>
      </c>
      <c r="C687" s="13" t="b">
        <f>IFERROR(__xludf.DUMMYFUNCTION("IF(ISTEXT(Filmes_raw!C687), REGEXEXTRACT(Filmes_raw!C687,""[^,]+$""))"),FALSE)</f>
        <v>0</v>
      </c>
      <c r="D687" s="1" t="b">
        <f t="shared" si="1"/>
        <v>0</v>
      </c>
      <c r="E687" s="14">
        <f>IFERROR(__xludf.DUMMYFUNCTION("VALUE(IF(ISTEXT(D687), REGEXREPLACE(Filmes_raw!C687,""[^,]+$"",D687),Filmes_raw!C687))"),2.38632124E8)</f>
        <v>238632124</v>
      </c>
      <c r="F687" s="6">
        <f>IFERROR(__xludf.DUMMYFUNCTION("VALUE(REGEXEXTRACT(Filmes_raw!F687, ""[0-9]+""
))"),105.0)</f>
        <v>105</v>
      </c>
    </row>
    <row r="688">
      <c r="A688" s="1">
        <v>687.0</v>
      </c>
      <c r="B688" s="1" t="s">
        <v>4114</v>
      </c>
      <c r="C688" s="13" t="b">
        <f>IFERROR(__xludf.DUMMYFUNCTION("IF(ISTEXT(Filmes_raw!C688), REGEXEXTRACT(Filmes_raw!C688,""[^,]+$""))"),FALSE)</f>
        <v>0</v>
      </c>
      <c r="D688" s="1" t="b">
        <f t="shared" si="1"/>
        <v>0</v>
      </c>
      <c r="E688" s="14">
        <f>IFERROR(__xludf.DUMMYFUNCTION("VALUE(IF(ISTEXT(D688), REGEXREPLACE(Filmes_raw!C688,""[^,]+$"",D688),Filmes_raw!C688))"),2.15E7)</f>
        <v>21500000</v>
      </c>
      <c r="F688" s="6">
        <f>IFERROR(__xludf.DUMMYFUNCTION("VALUE(REGEXEXTRACT(Filmes_raw!F688, ""[0-9]+""
))"),193.0)</f>
        <v>193</v>
      </c>
    </row>
    <row r="689">
      <c r="A689" s="1">
        <v>688.0</v>
      </c>
      <c r="B689" s="1" t="s">
        <v>4121</v>
      </c>
      <c r="C689" s="13" t="b">
        <f>IFERROR(__xludf.DUMMYFUNCTION("IF(ISTEXT(Filmes_raw!C689), REGEXEXTRACT(Filmes_raw!C689,""[^,]+$""))"),FALSE)</f>
        <v>0</v>
      </c>
      <c r="D689" s="1" t="b">
        <f t="shared" si="1"/>
        <v>0</v>
      </c>
      <c r="E689" s="14">
        <f>IFERROR(__xludf.DUMMYFUNCTION("VALUE(IF(ISTEXT(D689), REGEXREPLACE(Filmes_raw!C689,""[^,]+$"",D689),Filmes_raw!C689))"),2500000.0)</f>
        <v>2500000</v>
      </c>
      <c r="F689" s="6">
        <f>IFERROR(__xludf.DUMMYFUNCTION("VALUE(REGEXEXTRACT(Filmes_raw!F689, ""[0-9]+""
))"),109.0)</f>
        <v>109</v>
      </c>
    </row>
    <row r="690">
      <c r="A690" s="1">
        <v>689.0</v>
      </c>
      <c r="B690" s="1" t="s">
        <v>4126</v>
      </c>
      <c r="C690" s="13" t="b">
        <f>IFERROR(__xludf.DUMMYFUNCTION("IF(ISTEXT(Filmes_raw!C690), REGEXEXTRACT(Filmes_raw!C690,""[^,]+$""))"),FALSE)</f>
        <v>0</v>
      </c>
      <c r="D690" s="1" t="b">
        <f t="shared" si="1"/>
        <v>0</v>
      </c>
      <c r="E690" s="14">
        <f>IFERROR(__xludf.DUMMYFUNCTION("VALUE(IF(ISTEXT(D690), REGEXREPLACE(Filmes_raw!C690,""[^,]+$"",D690),Filmes_raw!C690))"),4.35110554E8)</f>
        <v>435110554</v>
      </c>
      <c r="F690" s="6">
        <f>IFERROR(__xludf.DUMMYFUNCTION("VALUE(REGEXEXTRACT(Filmes_raw!F690, ""[0-9]+""
))"),115.0)</f>
        <v>115</v>
      </c>
    </row>
    <row r="691">
      <c r="A691" s="1">
        <v>690.0</v>
      </c>
      <c r="B691" s="1" t="s">
        <v>4133</v>
      </c>
      <c r="C691" s="13" t="b">
        <f>IFERROR(__xludf.DUMMYFUNCTION("IF(ISTEXT(Filmes_raw!C691), REGEXEXTRACT(Filmes_raw!C691,""[^,]+$""))"),FALSE)</f>
        <v>0</v>
      </c>
      <c r="D691" s="1" t="b">
        <f t="shared" si="1"/>
        <v>0</v>
      </c>
      <c r="E691" s="14">
        <f>IFERROR(__xludf.DUMMYFUNCTION("VALUE(IF(ISTEXT(D691), REGEXREPLACE(Filmes_raw!C691,""[^,]+$"",D691),Filmes_raw!C691))"),1.0626E8)</f>
        <v>106260000</v>
      </c>
      <c r="F691" s="6">
        <f>IFERROR(__xludf.DUMMYFUNCTION("VALUE(REGEXEXTRACT(Filmes_raw!F691, ""[0-9]+""
))"),105.0)</f>
        <v>105</v>
      </c>
    </row>
    <row r="692">
      <c r="A692" s="1">
        <v>691.0</v>
      </c>
      <c r="B692" s="1" t="s">
        <v>4138</v>
      </c>
      <c r="C692" s="13" t="b">
        <f>IFERROR(__xludf.DUMMYFUNCTION("IF(ISTEXT(Filmes_raw!C692), REGEXEXTRACT(Filmes_raw!C692,""[^,]+$""))"),FALSE)</f>
        <v>0</v>
      </c>
      <c r="D692" s="1" t="b">
        <f t="shared" si="1"/>
        <v>0</v>
      </c>
      <c r="E692" s="14">
        <f>IFERROR(__xludf.DUMMYFUNCTION("VALUE(IF(ISTEXT(D692), REGEXREPLACE(Filmes_raw!C692,""[^,]+$"",D692),Filmes_raw!C692))"),3446749.0)</f>
        <v>3446749</v>
      </c>
      <c r="F692" s="6">
        <f>IFERROR(__xludf.DUMMYFUNCTION("VALUE(REGEXEXTRACT(Filmes_raw!F692, ""[0-9]+""
))"),94.0)</f>
        <v>94</v>
      </c>
    </row>
    <row r="693">
      <c r="A693" s="1">
        <v>692.0</v>
      </c>
      <c r="B693" s="1" t="s">
        <v>4143</v>
      </c>
      <c r="C693" s="13" t="b">
        <f>IFERROR(__xludf.DUMMYFUNCTION("IF(ISTEXT(Filmes_raw!C693), REGEXEXTRACT(Filmes_raw!C693,""[^,]+$""))"),FALSE)</f>
        <v>0</v>
      </c>
      <c r="D693" s="1" t="b">
        <f t="shared" si="1"/>
        <v>0</v>
      </c>
      <c r="E693" s="14">
        <f>IFERROR(__xludf.DUMMYFUNCTION("VALUE(IF(ISTEXT(D693), REGEXREPLACE(Filmes_raw!C693,""[^,]+$"",D693),Filmes_raw!C693))"),3.18E7)</f>
        <v>31800000</v>
      </c>
      <c r="F693" s="6">
        <f>IFERROR(__xludf.DUMMYFUNCTION("VALUE(REGEXEXTRACT(Filmes_raw!F693, ""[0-9]+""
))"),135.0)</f>
        <v>135</v>
      </c>
    </row>
    <row r="694">
      <c r="A694" s="1">
        <v>693.0</v>
      </c>
      <c r="B694" s="1" t="s">
        <v>4148</v>
      </c>
      <c r="C694" s="13" t="b">
        <f>IFERROR(__xludf.DUMMYFUNCTION("IF(ISTEXT(Filmes_raw!C694), REGEXEXTRACT(Filmes_raw!C694,""[^,]+$""))"),FALSE)</f>
        <v>0</v>
      </c>
      <c r="D694" s="1" t="b">
        <f t="shared" si="1"/>
        <v>0</v>
      </c>
      <c r="E694" s="14">
        <f>IFERROR(__xludf.DUMMYFUNCTION("VALUE(IF(ISTEXT(D694), REGEXREPLACE(Filmes_raw!C694,""[^,]+$"",D694),Filmes_raw!C694))"),12678.0)</f>
        <v>12678</v>
      </c>
      <c r="F694" s="6">
        <f>IFERROR(__xludf.DUMMYFUNCTION("VALUE(REGEXEXTRACT(Filmes_raw!F694, ""[0-9]+""
))"),129.0)</f>
        <v>129</v>
      </c>
    </row>
    <row r="695">
      <c r="A695" s="1">
        <v>694.0</v>
      </c>
      <c r="B695" s="1" t="s">
        <v>4152</v>
      </c>
      <c r="C695" s="13" t="b">
        <f>IFERROR(__xludf.DUMMYFUNCTION("IF(ISTEXT(Filmes_raw!C695), REGEXEXTRACT(Filmes_raw!C695,""[^,]+$""))"),FALSE)</f>
        <v>0</v>
      </c>
      <c r="D695" s="1" t="b">
        <f t="shared" si="1"/>
        <v>0</v>
      </c>
      <c r="E695" s="14">
        <f>IFERROR(__xludf.DUMMYFUNCTION("VALUE(IF(ISTEXT(D695), REGEXREPLACE(Filmes_raw!C695,""[^,]+$"",D695),Filmes_raw!C695))"),4420000.0)</f>
        <v>4420000</v>
      </c>
      <c r="F695" s="6">
        <f>IFERROR(__xludf.DUMMYFUNCTION("VALUE(REGEXEXTRACT(Filmes_raw!F695, ""[0-9]+""
))"),113.0)</f>
        <v>113</v>
      </c>
    </row>
    <row r="696">
      <c r="A696" s="1">
        <v>695.0</v>
      </c>
      <c r="B696" s="1" t="s">
        <v>4155</v>
      </c>
      <c r="C696" s="13" t="b">
        <f>IFERROR(__xludf.DUMMYFUNCTION("IF(ISTEXT(Filmes_raw!C696), REGEXEXTRACT(Filmes_raw!C696,""[^,]+$""))"),FALSE)</f>
        <v>0</v>
      </c>
      <c r="D696" s="1" t="b">
        <f t="shared" si="1"/>
        <v>0</v>
      </c>
      <c r="E696" s="14">
        <f>IFERROR(__xludf.DUMMYFUNCTION("VALUE(IF(ISTEXT(D696), REGEXREPLACE(Filmes_raw!C696,""[^,]+$"",D696),Filmes_raw!C696))"),193817.0)</f>
        <v>193817</v>
      </c>
      <c r="F696" s="6">
        <f>IFERROR(__xludf.DUMMYFUNCTION("VALUE(REGEXEXTRACT(Filmes_raw!F696, ""[0-9]+""
))"),72.0)</f>
        <v>72</v>
      </c>
    </row>
    <row r="697">
      <c r="A697" s="1">
        <v>696.0</v>
      </c>
      <c r="B697" s="1" t="s">
        <v>4163</v>
      </c>
      <c r="C697" s="13" t="b">
        <f>IFERROR(__xludf.DUMMYFUNCTION("IF(ISTEXT(Filmes_raw!C697), REGEXEXTRACT(Filmes_raw!C697,""[^,]+$""))"),FALSE)</f>
        <v>0</v>
      </c>
      <c r="D697" s="1" t="b">
        <f t="shared" si="1"/>
        <v>0</v>
      </c>
      <c r="E697" s="14">
        <f>IFERROR(__xludf.DUMMYFUNCTION("VALUE(IF(ISTEXT(D697), REGEXREPLACE(Filmes_raw!C697,""[^,]+$"",D697),Filmes_raw!C697))"),1.6056255E7)</f>
        <v>16056255</v>
      </c>
      <c r="F697" s="6">
        <f>IFERROR(__xludf.DUMMYFUNCTION("VALUE(REGEXEXTRACT(Filmes_raw!F697, ""[0-9]+""
))"),143.0)</f>
        <v>143</v>
      </c>
    </row>
    <row r="698">
      <c r="A698" s="1">
        <v>697.0</v>
      </c>
      <c r="B698" s="1" t="s">
        <v>4169</v>
      </c>
      <c r="C698" s="13" t="b">
        <f>IFERROR(__xludf.DUMMYFUNCTION("IF(ISTEXT(Filmes_raw!C698), REGEXEXTRACT(Filmes_raw!C698,""[^,]+$""))"),FALSE)</f>
        <v>0</v>
      </c>
      <c r="D698" s="1" t="b">
        <f t="shared" si="1"/>
        <v>0</v>
      </c>
      <c r="E698" s="14">
        <f>IFERROR(__xludf.DUMMYFUNCTION("VALUE(IF(ISTEXT(D698), REGEXREPLACE(Filmes_raw!C698,""[^,]+$"",D698),Filmes_raw!C698))"),0.0)</f>
        <v>0</v>
      </c>
      <c r="F698" s="6">
        <f>IFERROR(__xludf.DUMMYFUNCTION("VALUE(REGEXEXTRACT(Filmes_raw!F698, ""[0-9]+""
))"),94.0)</f>
        <v>94</v>
      </c>
    </row>
    <row r="699">
      <c r="A699" s="1">
        <v>698.0</v>
      </c>
      <c r="B699" s="1" t="s">
        <v>4172</v>
      </c>
      <c r="C699" s="13" t="b">
        <f>IFERROR(__xludf.DUMMYFUNCTION("IF(ISTEXT(Filmes_raw!C699), REGEXEXTRACT(Filmes_raw!C699,""[^,]+$""))"),FALSE)</f>
        <v>0</v>
      </c>
      <c r="D699" s="1" t="b">
        <f t="shared" si="1"/>
        <v>0</v>
      </c>
      <c r="E699" s="14">
        <f>IFERROR(__xludf.DUMMYFUNCTION("VALUE(IF(ISTEXT(D699), REGEXREPLACE(Filmes_raw!C699,""[^,]+$"",D699),Filmes_raw!C699))"),4.2765E7)</f>
        <v>42765000</v>
      </c>
      <c r="F699" s="6">
        <f>IFERROR(__xludf.DUMMYFUNCTION("VALUE(REGEXEXTRACT(Filmes_raw!F699, ""[0-9]+""
))"),124.0)</f>
        <v>124</v>
      </c>
    </row>
    <row r="700">
      <c r="A700" s="1">
        <v>699.0</v>
      </c>
      <c r="B700" s="1" t="s">
        <v>4178</v>
      </c>
      <c r="C700" s="13" t="b">
        <f>IFERROR(__xludf.DUMMYFUNCTION("IF(ISTEXT(Filmes_raw!C700), REGEXEXTRACT(Filmes_raw!C700,""[^,]+$""))"),FALSE)</f>
        <v>0</v>
      </c>
      <c r="D700" s="1" t="b">
        <f t="shared" si="1"/>
        <v>0</v>
      </c>
      <c r="E700" s="14">
        <f>IFERROR(__xludf.DUMMYFUNCTION("VALUE(IF(ISTEXT(D700), REGEXREPLACE(Filmes_raw!C700,""[^,]+$"",D700),Filmes_raw!C700))"),4000000.0)</f>
        <v>4000000</v>
      </c>
      <c r="F700" s="6">
        <f>IFERROR(__xludf.DUMMYFUNCTION("VALUE(REGEXEXTRACT(Filmes_raw!F700, ""[0-9]+""
))"),100.0)</f>
        <v>100</v>
      </c>
    </row>
    <row r="701">
      <c r="A701" s="1">
        <v>700.0</v>
      </c>
      <c r="B701" s="1" t="s">
        <v>4185</v>
      </c>
      <c r="C701" s="13" t="b">
        <f>IFERROR(__xludf.DUMMYFUNCTION("IF(ISTEXT(Filmes_raw!C701), REGEXEXTRACT(Filmes_raw!C701,""[^,]+$""))"),FALSE)</f>
        <v>0</v>
      </c>
      <c r="D701" s="1" t="b">
        <f t="shared" si="1"/>
        <v>0</v>
      </c>
      <c r="E701" s="14">
        <f>IFERROR(__xludf.DUMMYFUNCTION("VALUE(IF(ISTEXT(D701), REGEXREPLACE(Filmes_raw!C701,""[^,]+$"",D701),Filmes_raw!C701))"),4.4785053E7)</f>
        <v>44785053</v>
      </c>
      <c r="F701" s="6">
        <f>IFERROR(__xludf.DUMMYFUNCTION("VALUE(REGEXEXTRACT(Filmes_raw!F701, ""[0-9]+""
))"),113.0)</f>
        <v>113</v>
      </c>
    </row>
    <row r="702">
      <c r="A702" s="1">
        <v>701.0</v>
      </c>
      <c r="B702" s="1" t="s">
        <v>4190</v>
      </c>
      <c r="C702" s="13" t="b">
        <f>IFERROR(__xludf.DUMMYFUNCTION("IF(ISTEXT(Filmes_raw!C702), REGEXEXTRACT(Filmes_raw!C702,""[^,]+$""))"),FALSE)</f>
        <v>0</v>
      </c>
      <c r="D702" s="1" t="b">
        <f t="shared" si="1"/>
        <v>0</v>
      </c>
      <c r="E702" s="14">
        <f>IFERROR(__xludf.DUMMYFUNCTION("VALUE(IF(ISTEXT(D702), REGEXREPLACE(Filmes_raw!C702,""[^,]+$"",D702),Filmes_raw!C702))"),1.7550741E7)</f>
        <v>17550741</v>
      </c>
      <c r="F702" s="6">
        <f>IFERROR(__xludf.DUMMYFUNCTION("VALUE(REGEXEXTRACT(Filmes_raw!F702, ""[0-9]+""
))"),108.0)</f>
        <v>108</v>
      </c>
    </row>
    <row r="703">
      <c r="A703" s="1">
        <v>702.0</v>
      </c>
      <c r="B703" s="1" t="s">
        <v>4197</v>
      </c>
      <c r="C703" s="13" t="b">
        <f>IFERROR(__xludf.DUMMYFUNCTION("IF(ISTEXT(Filmes_raw!C703), REGEXEXTRACT(Filmes_raw!C703,""[^,]+$""))"),FALSE)</f>
        <v>0</v>
      </c>
      <c r="D703" s="1" t="b">
        <f t="shared" si="1"/>
        <v>0</v>
      </c>
      <c r="E703" s="14">
        <f>IFERROR(__xludf.DUMMYFUNCTION("VALUE(IF(ISTEXT(D703), REGEXREPLACE(Filmes_raw!C703,""[^,]+$"",D703),Filmes_raw!C703))"),5.67E7)</f>
        <v>56700000</v>
      </c>
      <c r="F703" s="6">
        <f>IFERROR(__xludf.DUMMYFUNCTION("VALUE(REGEXEXTRACT(Filmes_raw!F703, ""[0-9]+""
))"),108.0)</f>
        <v>108</v>
      </c>
    </row>
    <row r="704">
      <c r="A704" s="1">
        <v>703.0</v>
      </c>
      <c r="B704" s="1" t="s">
        <v>4200</v>
      </c>
      <c r="C704" s="13" t="b">
        <f>IFERROR(__xludf.DUMMYFUNCTION("IF(ISTEXT(Filmes_raw!C704), REGEXEXTRACT(Filmes_raw!C704,""[^,]+$""))"),FALSE)</f>
        <v>0</v>
      </c>
      <c r="D704" s="1" t="b">
        <f t="shared" si="1"/>
        <v>0</v>
      </c>
      <c r="E704" s="14">
        <f>IFERROR(__xludf.DUMMYFUNCTION("VALUE(IF(ISTEXT(D704), REGEXREPLACE(Filmes_raw!C704,""[^,]+$"",D704),Filmes_raw!C704))"),2500000.0)</f>
        <v>2500000</v>
      </c>
      <c r="F704" s="6">
        <f>IFERROR(__xludf.DUMMYFUNCTION("VALUE(REGEXEXTRACT(Filmes_raw!F704, ""[0-9]+""
))"),111.0)</f>
        <v>111</v>
      </c>
    </row>
    <row r="705">
      <c r="A705" s="1">
        <v>704.0</v>
      </c>
      <c r="B705" s="1" t="s">
        <v>4205</v>
      </c>
      <c r="C705" s="13" t="b">
        <f>IFERROR(__xludf.DUMMYFUNCTION("IF(ISTEXT(Filmes_raw!C705), REGEXEXTRACT(Filmes_raw!C705,""[^,]+$""))"),FALSE)</f>
        <v>0</v>
      </c>
      <c r="D705" s="1" t="b">
        <f t="shared" si="1"/>
        <v>0</v>
      </c>
      <c r="E705" s="14">
        <f>IFERROR(__xludf.DUMMYFUNCTION("VALUE(IF(ISTEXT(D705), REGEXREPLACE(Filmes_raw!C705,""[^,]+$"",D705),Filmes_raw!C705))"),7.2E7)</f>
        <v>72000000</v>
      </c>
      <c r="F705" s="6">
        <f>IFERROR(__xludf.DUMMYFUNCTION("VALUE(REGEXEXTRACT(Filmes_raw!F705, ""[0-9]+""
))"),170.0)</f>
        <v>170</v>
      </c>
    </row>
    <row r="706">
      <c r="A706" s="1">
        <v>705.0</v>
      </c>
      <c r="B706" s="1" t="s">
        <v>4209</v>
      </c>
      <c r="C706" s="13" t="b">
        <f>IFERROR(__xludf.DUMMYFUNCTION("IF(ISTEXT(Filmes_raw!C706), REGEXEXTRACT(Filmes_raw!C706,""[^,]+$""))"),FALSE)</f>
        <v>0</v>
      </c>
      <c r="D706" s="1" t="b">
        <f t="shared" si="1"/>
        <v>0</v>
      </c>
      <c r="E706" s="14">
        <f>IFERROR(__xludf.DUMMYFUNCTION("VALUE(IF(ISTEXT(D706), REGEXREPLACE(Filmes_raw!C706,""[^,]+$"",D706),Filmes_raw!C706))"),1.02272727E8)</f>
        <v>102272727</v>
      </c>
      <c r="F706" s="6">
        <f>IFERROR(__xludf.DUMMYFUNCTION("VALUE(REGEXEXTRACT(Filmes_raw!F706, ""[0-9]+""
))"),139.0)</f>
        <v>139</v>
      </c>
    </row>
    <row r="707">
      <c r="A707" s="1">
        <v>706.0</v>
      </c>
      <c r="B707" s="1" t="s">
        <v>4216</v>
      </c>
      <c r="C707" s="13" t="b">
        <f>IFERROR(__xludf.DUMMYFUNCTION("IF(ISTEXT(Filmes_raw!C707), REGEXEXTRACT(Filmes_raw!C707,""[^,]+$""))"),FALSE)</f>
        <v>0</v>
      </c>
      <c r="D707" s="1" t="b">
        <f t="shared" si="1"/>
        <v>0</v>
      </c>
      <c r="E707" s="14">
        <f>IFERROR(__xludf.DUMMYFUNCTION("VALUE(IF(ISTEXT(D707), REGEXREPLACE(Filmes_raw!C707,""[^,]+$"",D707),Filmes_raw!C707))"),3.91E7)</f>
        <v>39100000</v>
      </c>
      <c r="F707" s="6">
        <f>IFERROR(__xludf.DUMMYFUNCTION("VALUE(REGEXEXTRACT(Filmes_raw!F707, ""[0-9]+""
))"),178.0)</f>
        <v>178</v>
      </c>
    </row>
    <row r="708">
      <c r="A708" s="1">
        <v>707.0</v>
      </c>
      <c r="B708" s="1" t="s">
        <v>4223</v>
      </c>
      <c r="C708" s="13" t="b">
        <f>IFERROR(__xludf.DUMMYFUNCTION("IF(ISTEXT(Filmes_raw!C708), REGEXEXTRACT(Filmes_raw!C708,""[^,]+$""))"),FALSE)</f>
        <v>0</v>
      </c>
      <c r="D708" s="1" t="b">
        <f t="shared" si="1"/>
        <v>0</v>
      </c>
      <c r="E708" s="14">
        <f>IFERROR(__xludf.DUMMYFUNCTION("VALUE(IF(ISTEXT(D708), REGEXREPLACE(Filmes_raw!C708,""[^,]+$"",D708),Filmes_raw!C708))"),446908.0)</f>
        <v>446908</v>
      </c>
      <c r="F708" s="6">
        <f>IFERROR(__xludf.DUMMYFUNCTION("VALUE(REGEXEXTRACT(Filmes_raw!F708, ""[0-9]+""
))"),105.0)</f>
        <v>105</v>
      </c>
    </row>
    <row r="709">
      <c r="A709" s="1">
        <v>708.0</v>
      </c>
      <c r="B709" s="1" t="s">
        <v>4229</v>
      </c>
      <c r="C709" s="13" t="b">
        <f>IFERROR(__xludf.DUMMYFUNCTION("IF(ISTEXT(Filmes_raw!C709), REGEXEXTRACT(Filmes_raw!C709,""[^,]+$""))"),FALSE)</f>
        <v>0</v>
      </c>
      <c r="D709" s="1" t="b">
        <f t="shared" si="1"/>
        <v>0</v>
      </c>
      <c r="E709" s="14">
        <f>IFERROR(__xludf.DUMMYFUNCTION("VALUE(IF(ISTEXT(D709), REGEXREPLACE(Filmes_raw!C709,""[^,]+$"",D709),Filmes_raw!C709))"),2616000.0)</f>
        <v>2616000</v>
      </c>
      <c r="F709" s="6">
        <f>IFERROR(__xludf.DUMMYFUNCTION("VALUE(REGEXEXTRACT(Filmes_raw!F709, ""[0-9]+""
))"),100.0)</f>
        <v>100</v>
      </c>
    </row>
    <row r="710">
      <c r="A710" s="1">
        <v>709.0</v>
      </c>
      <c r="B710" s="1" t="s">
        <v>4236</v>
      </c>
      <c r="C710" s="13" t="b">
        <f>IFERROR(__xludf.DUMMYFUNCTION("IF(ISTEXT(Filmes_raw!C710), REGEXEXTRACT(Filmes_raw!C710,""[^,]+$""))"),FALSE)</f>
        <v>0</v>
      </c>
      <c r="D710" s="1" t="b">
        <f t="shared" si="1"/>
        <v>0</v>
      </c>
      <c r="E710" s="14">
        <f>IFERROR(__xludf.DUMMYFUNCTION("VALUE(IF(ISTEXT(D710), REGEXREPLACE(Filmes_raw!C710,""[^,]+$"",D710),Filmes_raw!C710))"),336705.0)</f>
        <v>336705</v>
      </c>
      <c r="F710" s="6">
        <f>IFERROR(__xludf.DUMMYFUNCTION("VALUE(REGEXEXTRACT(Filmes_raw!F710, ""[0-9]+""
))"),90.0)</f>
        <v>90</v>
      </c>
    </row>
    <row r="711">
      <c r="A711" s="1">
        <v>710.0</v>
      </c>
      <c r="B711" s="1" t="s">
        <v>4242</v>
      </c>
      <c r="C711" s="13" t="b">
        <f>IFERROR(__xludf.DUMMYFUNCTION("IF(ISTEXT(Filmes_raw!C711), REGEXEXTRACT(Filmes_raw!C711,""[^,]+$""))"),FALSE)</f>
        <v>0</v>
      </c>
      <c r="D711" s="1" t="b">
        <f t="shared" si="1"/>
        <v>0</v>
      </c>
      <c r="E711" s="14">
        <f>IFERROR(__xludf.DUMMYFUNCTION("VALUE(IF(ISTEXT(D711), REGEXREPLACE(Filmes_raw!C711,""[^,]+$"",D711),Filmes_raw!C711))"),3000000.0)</f>
        <v>3000000</v>
      </c>
      <c r="F711" s="6">
        <f>IFERROR(__xludf.DUMMYFUNCTION("VALUE(REGEXEXTRACT(Filmes_raw!F711, ""[0-9]+""
))"),133.0)</f>
        <v>133</v>
      </c>
    </row>
    <row r="712">
      <c r="A712" s="1">
        <v>711.0</v>
      </c>
      <c r="B712" s="1" t="s">
        <v>4247</v>
      </c>
      <c r="C712" s="13" t="b">
        <f>IFERROR(__xludf.DUMMYFUNCTION("IF(ISTEXT(Filmes_raw!C712), REGEXEXTRACT(Filmes_raw!C712,""[^,]+$""))"),FALSE)</f>
        <v>0</v>
      </c>
      <c r="D712" s="1" t="b">
        <f t="shared" si="1"/>
        <v>0</v>
      </c>
      <c r="E712" s="14">
        <f>IFERROR(__xludf.DUMMYFUNCTION("VALUE(IF(ISTEXT(D712), REGEXREPLACE(Filmes_raw!C712,""[^,]+$"",D712),Filmes_raw!C712))"),9524420.0)</f>
        <v>9524420</v>
      </c>
      <c r="F712" s="6">
        <f>IFERROR(__xludf.DUMMYFUNCTION("VALUE(REGEXEXTRACT(Filmes_raw!F712, ""[0-9]+""
))"),100.0)</f>
        <v>100</v>
      </c>
    </row>
    <row r="713">
      <c r="A713" s="1">
        <v>712.0</v>
      </c>
      <c r="B713" s="1" t="s">
        <v>4249</v>
      </c>
      <c r="C713" s="13" t="b">
        <f>IFERROR(__xludf.DUMMYFUNCTION("IF(ISTEXT(Filmes_raw!C713), REGEXEXTRACT(Filmes_raw!C713,""[^,]+$""))"),FALSE)</f>
        <v>0</v>
      </c>
      <c r="D713" s="1" t="b">
        <f t="shared" si="1"/>
        <v>0</v>
      </c>
      <c r="E713" s="14">
        <f>IFERROR(__xludf.DUMMYFUNCTION("VALUE(IF(ISTEXT(D713), REGEXREPLACE(Filmes_raw!C713,""[^,]+$"",D713),Filmes_raw!C713))"),12459.0)</f>
        <v>12459</v>
      </c>
      <c r="F713" s="6">
        <f>IFERROR(__xludf.DUMMYFUNCTION("VALUE(REGEXEXTRACT(Filmes_raw!F713, ""[0-9]+""
))"),100.0)</f>
        <v>100</v>
      </c>
    </row>
    <row r="714">
      <c r="A714" s="1">
        <v>713.0</v>
      </c>
      <c r="B714" s="1" t="s">
        <v>4254</v>
      </c>
      <c r="C714" s="13" t="b">
        <f>IFERROR(__xludf.DUMMYFUNCTION("IF(ISTEXT(Filmes_raw!C714), REGEXEXTRACT(Filmes_raw!C714,""[^,]+$""))"),FALSE)</f>
        <v>0</v>
      </c>
      <c r="D714" s="1" t="b">
        <f t="shared" si="1"/>
        <v>0</v>
      </c>
      <c r="E714" s="14">
        <f>IFERROR(__xludf.DUMMYFUNCTION("VALUE(IF(ISTEXT(D714), REGEXREPLACE(Filmes_raw!C714,""[^,]+$"",D714),Filmes_raw!C714))"),714.0)</f>
        <v>714</v>
      </c>
      <c r="F714" s="6">
        <f>IFERROR(__xludf.DUMMYFUNCTION("VALUE(REGEXEXTRACT(Filmes_raw!F714, ""[0-9]+""
))"),108.0)</f>
        <v>108</v>
      </c>
    </row>
    <row r="715">
      <c r="A715" s="1">
        <v>714.0</v>
      </c>
      <c r="B715" s="1" t="s">
        <v>4259</v>
      </c>
      <c r="C715" s="13" t="b">
        <f>IFERROR(__xludf.DUMMYFUNCTION("IF(ISTEXT(Filmes_raw!C715), REGEXEXTRACT(Filmes_raw!C715,""[^,]+$""))"),FALSE)</f>
        <v>0</v>
      </c>
      <c r="D715" s="1" t="b">
        <f t="shared" si="1"/>
        <v>0</v>
      </c>
      <c r="E715" s="14">
        <f>IFERROR(__xludf.DUMMYFUNCTION("VALUE(IF(ISTEXT(D715), REGEXREPLACE(Filmes_raw!C715,""[^,]+$"",D715),Filmes_raw!C715))"),392.0)</f>
        <v>392</v>
      </c>
      <c r="F715" s="6">
        <f>IFERROR(__xludf.DUMMYFUNCTION("VALUE(REGEXEXTRACT(Filmes_raw!F715, ""[0-9]+""
))"),96.0)</f>
        <v>96</v>
      </c>
    </row>
    <row r="716">
      <c r="A716" s="1">
        <v>715.0</v>
      </c>
      <c r="B716" s="1" t="s">
        <v>4263</v>
      </c>
      <c r="C716" s="13" t="b">
        <f>IFERROR(__xludf.DUMMYFUNCTION("IF(ISTEXT(Filmes_raw!C716), REGEXEXTRACT(Filmes_raw!C716,""[^,]+$""))"),FALSE)</f>
        <v>0</v>
      </c>
      <c r="D716" s="1" t="b">
        <f t="shared" si="1"/>
        <v>0</v>
      </c>
      <c r="E716" s="14">
        <f>IFERROR(__xludf.DUMMYFUNCTION("VALUE(IF(ISTEXT(D716), REGEXREPLACE(Filmes_raw!C716,""[^,]+$"",D716),Filmes_raw!C716))"),39776.0)</f>
        <v>39776</v>
      </c>
      <c r="F716" s="6">
        <f>IFERROR(__xludf.DUMMYFUNCTION("VALUE(REGEXEXTRACT(Filmes_raw!F716, ""[0-9]+""
))"),96.0)</f>
        <v>96</v>
      </c>
    </row>
    <row r="717">
      <c r="A717" s="1">
        <v>716.0</v>
      </c>
      <c r="B717" s="1" t="s">
        <v>4268</v>
      </c>
      <c r="C717" s="13" t="str">
        <f>IFERROR(__xludf.DUMMYFUNCTION("IF(ISTEXT(Filmes_raw!C717), REGEXEXTRACT(Filmes_raw!C717,""[^,]+$""))"),"18")</f>
        <v>18</v>
      </c>
      <c r="D717" s="1" t="str">
        <f t="shared" si="1"/>
        <v>180</v>
      </c>
      <c r="E717" s="14">
        <f>IFERROR(__xludf.DUMMYFUNCTION("VALUE(IF(ISTEXT(D717), REGEXREPLACE(Filmes_raw!C717,""[^,]+$"",D717),Filmes_raw!C717))"),11180.0)</f>
        <v>11180</v>
      </c>
      <c r="F717" s="6">
        <f>IFERROR(__xludf.DUMMYFUNCTION("VALUE(REGEXEXTRACT(Filmes_raw!F717, ""[0-9]+""
))"),102.0)</f>
        <v>102</v>
      </c>
    </row>
    <row r="718">
      <c r="A718" s="1">
        <v>717.0</v>
      </c>
      <c r="B718" s="1" t="s">
        <v>4274</v>
      </c>
      <c r="C718" s="13" t="b">
        <f>IFERROR(__xludf.DUMMYFUNCTION("IF(ISTEXT(Filmes_raw!C718), REGEXEXTRACT(Filmes_raw!C718,""[^,]+$""))"),FALSE)</f>
        <v>0</v>
      </c>
      <c r="D718" s="1" t="b">
        <f t="shared" si="1"/>
        <v>0</v>
      </c>
      <c r="E718" s="14">
        <f>IFERROR(__xludf.DUMMYFUNCTION("VALUE(IF(ISTEXT(D718), REGEXREPLACE(Filmes_raw!C718,""[^,]+$"",D718),Filmes_raw!C718))"),4360000.0)</f>
        <v>4360000</v>
      </c>
      <c r="F718" s="6">
        <f>IFERROR(__xludf.DUMMYFUNCTION("VALUE(REGEXEXTRACT(Filmes_raw!F718, ""[0-9]+""
))"),75.0)</f>
        <v>75</v>
      </c>
    </row>
    <row r="719">
      <c r="A719" s="1">
        <v>718.0</v>
      </c>
      <c r="B719" s="1" t="s">
        <v>4280</v>
      </c>
      <c r="C719" s="13" t="str">
        <f>IFERROR(__xludf.DUMMYFUNCTION("IF(ISTEXT(Filmes_raw!C719), REGEXEXTRACT(Filmes_raw!C719,""[^,]+$""))"),"8")</f>
        <v>8</v>
      </c>
      <c r="D719" s="1" t="str">
        <f t="shared" si="1"/>
        <v>800</v>
      </c>
      <c r="E719" s="14">
        <f>IFERROR(__xludf.DUMMYFUNCTION("VALUE(IF(ISTEXT(D719), REGEXREPLACE(Filmes_raw!C719,""[^,]+$"",D719),Filmes_raw!C719))"),103800.0)</f>
        <v>103800</v>
      </c>
      <c r="F719" s="6">
        <f>IFERROR(__xludf.DUMMYFUNCTION("VALUE(REGEXEXTRACT(Filmes_raw!F719, ""[0-9]+""
))"),69.0)</f>
        <v>69</v>
      </c>
    </row>
    <row r="720">
      <c r="A720" s="1">
        <v>719.0</v>
      </c>
      <c r="B720" s="1" t="s">
        <v>4287</v>
      </c>
      <c r="C720" s="13" t="b">
        <f>IFERROR(__xludf.DUMMYFUNCTION("IF(ISTEXT(Filmes_raw!C720), REGEXEXTRACT(Filmes_raw!C720,""[^,]+$""))"),FALSE)</f>
        <v>0</v>
      </c>
      <c r="D720" s="1" t="b">
        <f t="shared" si="1"/>
        <v>0</v>
      </c>
      <c r="E720" s="14">
        <f>IFERROR(__xludf.DUMMYFUNCTION("VALUE(IF(ISTEXT(D720), REGEXREPLACE(Filmes_raw!C720,""[^,]+$"",D720),Filmes_raw!C720))"),1308000.0)</f>
        <v>1308000</v>
      </c>
      <c r="F720" s="6">
        <f>IFERROR(__xludf.DUMMYFUNCTION("VALUE(REGEXEXTRACT(Filmes_raw!F720, ""[0-9]+""
))"),93.0)</f>
        <v>93</v>
      </c>
    </row>
    <row r="721">
      <c r="A721" s="1">
        <v>720.0</v>
      </c>
      <c r="B721" s="1" t="s">
        <v>4293</v>
      </c>
      <c r="C721" s="13" t="b">
        <f>IFERROR(__xludf.DUMMYFUNCTION("IF(ISTEXT(Filmes_raw!C721), REGEXEXTRACT(Filmes_raw!C721,""[^,]+$""))"),FALSE)</f>
        <v>0</v>
      </c>
      <c r="D721" s="1" t="b">
        <f t="shared" si="1"/>
        <v>0</v>
      </c>
      <c r="E721" s="14">
        <f>IFERROR(__xludf.DUMMYFUNCTION("VALUE(IF(ISTEXT(D721), REGEXREPLACE(Filmes_raw!C721,""[^,]+$"",D721),Filmes_raw!C721))"),1626.0)</f>
        <v>1626</v>
      </c>
      <c r="F721" s="6">
        <f>IFERROR(__xludf.DUMMYFUNCTION("VALUE(REGEXEXTRACT(Filmes_raw!F721, ""[0-9]+""
))"),70.0)</f>
        <v>70</v>
      </c>
    </row>
    <row r="722">
      <c r="A722" s="1">
        <v>721.0</v>
      </c>
      <c r="B722" s="1" t="s">
        <v>4298</v>
      </c>
      <c r="C722" s="13" t="b">
        <f>IFERROR(__xludf.DUMMYFUNCTION("IF(ISTEXT(Filmes_raw!C722), REGEXEXTRACT(Filmes_raw!C722,""[^,]+$""))"),FALSE)</f>
        <v>0</v>
      </c>
      <c r="D722" s="1" t="b">
        <f t="shared" si="1"/>
        <v>0</v>
      </c>
      <c r="E722" s="14">
        <f>IFERROR(__xludf.DUMMYFUNCTION("VALUE(IF(ISTEXT(D722), REGEXREPLACE(Filmes_raw!C722,""[^,]+$"",D722),Filmes_raw!C722))"),1140769.0)</f>
        <v>1140769</v>
      </c>
      <c r="F722" s="6">
        <f>IFERROR(__xludf.DUMMYFUNCTION("VALUE(REGEXEXTRACT(Filmes_raw!F722, ""[0-9]+""
))"),135.0)</f>
        <v>135</v>
      </c>
    </row>
    <row r="723">
      <c r="A723" s="1">
        <v>722.0</v>
      </c>
      <c r="B723" s="1" t="s">
        <v>4304</v>
      </c>
      <c r="C723" s="13" t="b">
        <f>IFERROR(__xludf.DUMMYFUNCTION("IF(ISTEXT(Filmes_raw!C723), REGEXEXTRACT(Filmes_raw!C723,""[^,]+$""))"),FALSE)</f>
        <v>0</v>
      </c>
      <c r="D723" s="1" t="b">
        <f t="shared" si="1"/>
        <v>0</v>
      </c>
      <c r="E723" s="14">
        <f>IFERROR(__xludf.DUMMYFUNCTION("VALUE(IF(ISTEXT(D723), REGEXREPLACE(Filmes_raw!C723,""[^,]+$"",D723),Filmes_raw!C723))"),335609.0)</f>
        <v>335609</v>
      </c>
      <c r="F723" s="6">
        <f>IFERROR(__xludf.DUMMYFUNCTION("VALUE(REGEXEXTRACT(Filmes_raw!F723, ""[0-9]+""
))"),104.0)</f>
        <v>104</v>
      </c>
    </row>
    <row r="724">
      <c r="A724" s="1">
        <v>723.0</v>
      </c>
      <c r="B724" s="1" t="s">
        <v>4311</v>
      </c>
      <c r="C724" s="13" t="b">
        <f>IFERROR(__xludf.DUMMYFUNCTION("IF(ISTEXT(Filmes_raw!C724), REGEXEXTRACT(Filmes_raw!C724,""[^,]+$""))"),FALSE)</f>
        <v>0</v>
      </c>
      <c r="D724" s="1" t="b">
        <f t="shared" si="1"/>
        <v>0</v>
      </c>
      <c r="E724" s="14">
        <f>IFERROR(__xludf.DUMMYFUNCTION("VALUE(IF(ISTEXT(D724), REGEXREPLACE(Filmes_raw!C724,""[^,]+$"",D724),Filmes_raw!C724))"),3.24591735E8)</f>
        <v>324591735</v>
      </c>
      <c r="F724" s="6">
        <f>IFERROR(__xludf.DUMMYFUNCTION("VALUE(REGEXEXTRACT(Filmes_raw!F724, ""[0-9]+""
))"),119.0)</f>
        <v>119</v>
      </c>
    </row>
    <row r="725">
      <c r="A725" s="1">
        <v>724.0</v>
      </c>
      <c r="B725" s="1" t="s">
        <v>4314</v>
      </c>
      <c r="C725" s="13" t="b">
        <f>IFERROR(__xludf.DUMMYFUNCTION("IF(ISTEXT(Filmes_raw!C725), REGEXEXTRACT(Filmes_raw!C725,""[^,]+$""))"),FALSE)</f>
        <v>0</v>
      </c>
      <c r="D725" s="1" t="b">
        <f t="shared" si="1"/>
        <v>0</v>
      </c>
      <c r="E725" s="14">
        <f>IFERROR(__xludf.DUMMYFUNCTION("VALUE(IF(ISTEXT(D725), REGEXREPLACE(Filmes_raw!C725,""[^,]+$"",D725),Filmes_raw!C725))"),3.3800859E7)</f>
        <v>33800859</v>
      </c>
      <c r="F725" s="6">
        <f>IFERROR(__xludf.DUMMYFUNCTION("VALUE(REGEXEXTRACT(Filmes_raw!F725, ""[0-9]+""
))"),107.0)</f>
        <v>107</v>
      </c>
    </row>
    <row r="726">
      <c r="A726" s="1">
        <v>725.0</v>
      </c>
      <c r="B726" s="1" t="s">
        <v>4320</v>
      </c>
      <c r="C726" s="13" t="b">
        <f>IFERROR(__xludf.DUMMYFUNCTION("IF(ISTEXT(Filmes_raw!C726), REGEXEXTRACT(Filmes_raw!C726,""[^,]+$""))"),FALSE)</f>
        <v>0</v>
      </c>
      <c r="D726" s="1" t="b">
        <f t="shared" si="1"/>
        <v>0</v>
      </c>
      <c r="E726" s="14">
        <f>IFERROR(__xludf.DUMMYFUNCTION("VALUE(IF(ISTEXT(D726), REGEXREPLACE(Filmes_raw!C726,""[^,]+$"",D726),Filmes_raw!C726))"),1.76040665E8)</f>
        <v>176040665</v>
      </c>
      <c r="F726" s="6">
        <f>IFERROR(__xludf.DUMMYFUNCTION("VALUE(REGEXEXTRACT(Filmes_raw!F726, ""[0-9]+""
))"),104.0)</f>
        <v>104</v>
      </c>
    </row>
    <row r="727">
      <c r="A727" s="1">
        <v>726.0</v>
      </c>
      <c r="B727" s="1" t="s">
        <v>4326</v>
      </c>
      <c r="C727" s="13" t="b">
        <f>IFERROR(__xludf.DUMMYFUNCTION("IF(ISTEXT(Filmes_raw!C727), REGEXEXTRACT(Filmes_raw!C727,""[^,]+$""))"),FALSE)</f>
        <v>0</v>
      </c>
      <c r="D727" s="1" t="b">
        <f t="shared" si="1"/>
        <v>0</v>
      </c>
      <c r="E727" s="14">
        <f>IFERROR(__xludf.DUMMYFUNCTION("VALUE(IF(ISTEXT(D727), REGEXREPLACE(Filmes_raw!C727,""[^,]+$"",D727),Filmes_raw!C727))"),2.20159104E8)</f>
        <v>220159104</v>
      </c>
      <c r="F727" s="6">
        <f>IFERROR(__xludf.DUMMYFUNCTION("VALUE(REGEXEXTRACT(Filmes_raw!F727, ""[0-9]+""
))"),147.0)</f>
        <v>147</v>
      </c>
    </row>
    <row r="728">
      <c r="A728" s="1">
        <v>727.0</v>
      </c>
      <c r="B728" s="1" t="s">
        <v>4331</v>
      </c>
      <c r="C728" s="13" t="b">
        <f>IFERROR(__xludf.DUMMYFUNCTION("IF(ISTEXT(Filmes_raw!C728), REGEXEXTRACT(Filmes_raw!C728,""[^,]+$""))"),FALSE)</f>
        <v>0</v>
      </c>
      <c r="D728" s="1" t="b">
        <f t="shared" si="1"/>
        <v>0</v>
      </c>
      <c r="E728" s="14">
        <f>IFERROR(__xludf.DUMMYFUNCTION("VALUE(IF(ISTEXT(D728), REGEXREPLACE(Filmes_raw!C728,""[^,]+$"",D728),Filmes_raw!C728))"),3358518.0)</f>
        <v>3358518</v>
      </c>
      <c r="F728" s="6">
        <f>IFERROR(__xludf.DUMMYFUNCTION("VALUE(REGEXEXTRACT(Filmes_raw!F728, ""[0-9]+""
))"),116.0)</f>
        <v>116</v>
      </c>
    </row>
    <row r="729">
      <c r="A729" s="1">
        <v>728.0</v>
      </c>
      <c r="B729" s="1" t="s">
        <v>4338</v>
      </c>
      <c r="C729" s="13" t="b">
        <f>IFERROR(__xludf.DUMMYFUNCTION("IF(ISTEXT(Filmes_raw!C729), REGEXEXTRACT(Filmes_raw!C729,""[^,]+$""))"),FALSE)</f>
        <v>0</v>
      </c>
      <c r="D729" s="1" t="b">
        <f t="shared" si="1"/>
        <v>0</v>
      </c>
      <c r="E729" s="14">
        <f>IFERROR(__xludf.DUMMYFUNCTION("VALUE(IF(ISTEXT(D729), REGEXREPLACE(Filmes_raw!C729,""[^,]+$"",D729),Filmes_raw!C729))"),3333000.0)</f>
        <v>3333000</v>
      </c>
      <c r="F729" s="6">
        <f>IFERROR(__xludf.DUMMYFUNCTION("VALUE(REGEXEXTRACT(Filmes_raw!F729, ""[0-9]+""
))"),86.0)</f>
        <v>86</v>
      </c>
    </row>
    <row r="730">
      <c r="A730" s="1">
        <v>729.0</v>
      </c>
      <c r="B730" s="1" t="s">
        <v>4342</v>
      </c>
      <c r="C730" s="13" t="b">
        <f>IFERROR(__xludf.DUMMYFUNCTION("IF(ISTEXT(Filmes_raw!C730), REGEXEXTRACT(Filmes_raw!C730,""[^,]+$""))"),FALSE)</f>
        <v>0</v>
      </c>
      <c r="D730" s="1" t="b">
        <f t="shared" si="1"/>
        <v>0</v>
      </c>
      <c r="E730" s="14">
        <f>IFERROR(__xludf.DUMMYFUNCTION("VALUE(IF(ISTEXT(D730), REGEXREPLACE(Filmes_raw!C730,""[^,]+$"",D730),Filmes_raw!C730))"),765127.0)</f>
        <v>765127</v>
      </c>
      <c r="F730" s="6">
        <f>IFERROR(__xludf.DUMMYFUNCTION("VALUE(REGEXEXTRACT(Filmes_raw!F730, ""[0-9]+""
))"),103.0)</f>
        <v>103</v>
      </c>
    </row>
    <row r="731">
      <c r="A731" s="1">
        <v>730.0</v>
      </c>
      <c r="B731" s="1" t="s">
        <v>4349</v>
      </c>
      <c r="C731" s="13" t="b">
        <f>IFERROR(__xludf.DUMMYFUNCTION("IF(ISTEXT(Filmes_raw!C731), REGEXEXTRACT(Filmes_raw!C731,""[^,]+$""))"),FALSE)</f>
        <v>0</v>
      </c>
      <c r="D731" s="1" t="b">
        <f t="shared" si="1"/>
        <v>0</v>
      </c>
      <c r="E731" s="14">
        <f>IFERROR(__xludf.DUMMYFUNCTION("VALUE(IF(ISTEXT(D731), REGEXREPLACE(Filmes_raw!C731,""[^,]+$"",D731),Filmes_raw!C731))"),3.5893537E7)</f>
        <v>35893537</v>
      </c>
      <c r="F731" s="6">
        <f>IFERROR(__xludf.DUMMYFUNCTION("VALUE(REGEXEXTRACT(Filmes_raw!F731, ""[0-9]+""
))"),123.0)</f>
        <v>123</v>
      </c>
    </row>
    <row r="732">
      <c r="A732" s="1">
        <v>731.0</v>
      </c>
      <c r="B732" s="1" t="s">
        <v>4355</v>
      </c>
      <c r="C732" s="13" t="b">
        <f>IFERROR(__xludf.DUMMYFUNCTION("IF(ISTEXT(Filmes_raw!C732), REGEXEXTRACT(Filmes_raw!C732,""[^,]+$""))"),FALSE)</f>
        <v>0</v>
      </c>
      <c r="D732" s="1" t="b">
        <f t="shared" si="1"/>
        <v>0</v>
      </c>
      <c r="E732" s="14">
        <f>IFERROR(__xludf.DUMMYFUNCTION("VALUE(IF(ISTEXT(D732), REGEXREPLACE(Filmes_raw!C732,""[^,]+$"",D732),Filmes_raw!C732))"),1.28261724E8)</f>
        <v>128261724</v>
      </c>
      <c r="F732" s="6">
        <f>IFERROR(__xludf.DUMMYFUNCTION("VALUE(REGEXEXTRACT(Filmes_raw!F732, ""[0-9]+""
))"),129.0)</f>
        <v>129</v>
      </c>
    </row>
    <row r="733">
      <c r="A733" s="1">
        <v>732.0</v>
      </c>
      <c r="B733" s="1" t="s">
        <v>4359</v>
      </c>
      <c r="C733" s="13" t="b">
        <f>IFERROR(__xludf.DUMMYFUNCTION("IF(ISTEXT(Filmes_raw!C733), REGEXEXTRACT(Filmes_raw!C733,""[^,]+$""))"),FALSE)</f>
        <v>0</v>
      </c>
      <c r="D733" s="1" t="b">
        <f t="shared" si="1"/>
        <v>0</v>
      </c>
      <c r="E733" s="14">
        <f>IFERROR(__xludf.DUMMYFUNCTION("VALUE(IF(ISTEXT(D733), REGEXREPLACE(Filmes_raw!C733,""[^,]+$"",D733),Filmes_raw!C733))"),1.2487235E8)</f>
        <v>124872350</v>
      </c>
      <c r="F733" s="6">
        <f>IFERROR(__xludf.DUMMYFUNCTION("VALUE(REGEXEXTRACT(Filmes_raw!F733, ""[0-9]+""
))"),126.0)</f>
        <v>126</v>
      </c>
    </row>
    <row r="734">
      <c r="A734" s="1">
        <v>733.0</v>
      </c>
      <c r="B734" s="1" t="s">
        <v>4365</v>
      </c>
      <c r="C734" s="13" t="b">
        <f>IFERROR(__xludf.DUMMYFUNCTION("IF(ISTEXT(Filmes_raw!C734), REGEXEXTRACT(Filmes_raw!C734,""[^,]+$""))"),FALSE)</f>
        <v>0</v>
      </c>
      <c r="D734" s="1" t="b">
        <f t="shared" si="1"/>
        <v>0</v>
      </c>
      <c r="E734" s="14">
        <f>IFERROR(__xludf.DUMMYFUNCTION("VALUE(IF(ISTEXT(D734), REGEXREPLACE(Filmes_raw!C734,""[^,]+$"",D734),Filmes_raw!C734))"),6743776.0)</f>
        <v>6743776</v>
      </c>
      <c r="F734" s="6">
        <f>IFERROR(__xludf.DUMMYFUNCTION("VALUE(REGEXEXTRACT(Filmes_raw!F734, ""[0-9]+""
))"),105.0)</f>
        <v>105</v>
      </c>
    </row>
    <row r="735">
      <c r="A735" s="1">
        <v>734.0</v>
      </c>
      <c r="B735" s="1" t="s">
        <v>4371</v>
      </c>
      <c r="C735" s="13" t="b">
        <f>IFERROR(__xludf.DUMMYFUNCTION("IF(ISTEXT(Filmes_raw!C735), REGEXEXTRACT(Filmes_raw!C735,""[^,]+$""))"),FALSE)</f>
        <v>0</v>
      </c>
      <c r="D735" s="1" t="b">
        <f t="shared" si="1"/>
        <v>0</v>
      </c>
      <c r="E735" s="14">
        <f>IFERROR(__xludf.DUMMYFUNCTION("VALUE(IF(ISTEXT(D735), REGEXREPLACE(Filmes_raw!C735,""[^,]+$"",D735),Filmes_raw!C735))"),4.2340598E7)</f>
        <v>42340598</v>
      </c>
      <c r="F735" s="6">
        <f>IFERROR(__xludf.DUMMYFUNCTION("VALUE(REGEXEXTRACT(Filmes_raw!F735, ""[0-9]+""
))"),119.0)</f>
        <v>119</v>
      </c>
    </row>
    <row r="736">
      <c r="A736" s="1">
        <v>735.0</v>
      </c>
      <c r="B736" s="1" t="s">
        <v>4375</v>
      </c>
      <c r="C736" s="13" t="b">
        <f>IFERROR(__xludf.DUMMYFUNCTION("IF(ISTEXT(Filmes_raw!C736), REGEXEXTRACT(Filmes_raw!C736,""[^,]+$""))"),FALSE)</f>
        <v>0</v>
      </c>
      <c r="D736" s="1" t="b">
        <f t="shared" si="1"/>
        <v>0</v>
      </c>
      <c r="E736" s="14">
        <f>IFERROR(__xludf.DUMMYFUNCTION("VALUE(IF(ISTEXT(D736), REGEXREPLACE(Filmes_raw!C736,""[^,]+$"",D736),Filmes_raw!C736))"),2199675.0)</f>
        <v>2199675</v>
      </c>
      <c r="F736" s="6">
        <f>IFERROR(__xludf.DUMMYFUNCTION("VALUE(REGEXEXTRACT(Filmes_raw!F736, ""[0-9]+""
))"),180.0)</f>
        <v>180</v>
      </c>
    </row>
    <row r="737">
      <c r="A737" s="1">
        <v>736.0</v>
      </c>
      <c r="B737" s="1" t="s">
        <v>4382</v>
      </c>
      <c r="C737" s="13" t="b">
        <f>IFERROR(__xludf.DUMMYFUNCTION("IF(ISTEXT(Filmes_raw!C737), REGEXEXTRACT(Filmes_raw!C737,""[^,]+$""))"),FALSE)</f>
        <v>0</v>
      </c>
      <c r="D737" s="1" t="b">
        <f t="shared" si="1"/>
        <v>0</v>
      </c>
      <c r="E737" s="14">
        <f>IFERROR(__xludf.DUMMYFUNCTION("VALUE(IF(ISTEXT(D737), REGEXREPLACE(Filmes_raw!C737,""[^,]+$"",D737),Filmes_raw!C737))"),1122527.0)</f>
        <v>1122527</v>
      </c>
      <c r="F737" s="6">
        <f>IFERROR(__xludf.DUMMYFUNCTION("VALUE(REGEXEXTRACT(Filmes_raw!F737, ""[0-9]+""
))"),130.0)</f>
        <v>130</v>
      </c>
    </row>
    <row r="738">
      <c r="A738" s="1">
        <v>737.0</v>
      </c>
      <c r="B738" s="1" t="s">
        <v>4387</v>
      </c>
      <c r="C738" s="13" t="b">
        <f>IFERROR(__xludf.DUMMYFUNCTION("IF(ISTEXT(Filmes_raw!C738), REGEXEXTRACT(Filmes_raw!C738,""[^,]+$""))"),FALSE)</f>
        <v>0</v>
      </c>
      <c r="D738" s="1" t="b">
        <f t="shared" si="1"/>
        <v>0</v>
      </c>
      <c r="E738" s="14">
        <f>IFERROR(__xludf.DUMMYFUNCTION("VALUE(IF(ISTEXT(D738), REGEXREPLACE(Filmes_raw!C738,""[^,]+$"",D738),Filmes_raw!C738))"),175058.0)</f>
        <v>175058</v>
      </c>
      <c r="F738" s="6">
        <f>IFERROR(__xludf.DUMMYFUNCTION("VALUE(REGEXEXTRACT(Filmes_raw!F738, ""[0-9]+""
))"),111.0)</f>
        <v>111</v>
      </c>
    </row>
    <row r="739">
      <c r="A739" s="1">
        <v>738.0</v>
      </c>
      <c r="B739" s="1" t="s">
        <v>4394</v>
      </c>
      <c r="C739" s="13" t="b">
        <f>IFERROR(__xludf.DUMMYFUNCTION("IF(ISTEXT(Filmes_raw!C739), REGEXEXTRACT(Filmes_raw!C739,""[^,]+$""))"),FALSE)</f>
        <v>0</v>
      </c>
      <c r="D739" s="1" t="b">
        <f t="shared" si="1"/>
        <v>0</v>
      </c>
      <c r="E739" s="14">
        <f>IFERROR(__xludf.DUMMYFUNCTION("VALUE(IF(ISTEXT(D739), REGEXREPLACE(Filmes_raw!C739,""[^,]+$"",D739),Filmes_raw!C739))"),2.59766572E8)</f>
        <v>259766572</v>
      </c>
      <c r="F739" s="6">
        <f>IFERROR(__xludf.DUMMYFUNCTION("VALUE(REGEXEXTRACT(Filmes_raw!F739, ""[0-9]+""
))"),136.0)</f>
        <v>136</v>
      </c>
    </row>
    <row r="740">
      <c r="A740" s="1">
        <v>739.0</v>
      </c>
      <c r="B740" s="1" t="s">
        <v>4396</v>
      </c>
      <c r="C740" s="13" t="b">
        <f>IFERROR(__xludf.DUMMYFUNCTION("IF(ISTEXT(Filmes_raw!C740), REGEXEXTRACT(Filmes_raw!C740,""[^,]+$""))"),FALSE)</f>
        <v>0</v>
      </c>
      <c r="D740" s="1" t="b">
        <f t="shared" si="1"/>
        <v>0</v>
      </c>
      <c r="E740" s="14">
        <f>IFERROR(__xludf.DUMMYFUNCTION("VALUE(IF(ISTEXT(D740), REGEXREPLACE(Filmes_raw!C740,""[^,]+$"",D740),Filmes_raw!C740))"),985912.0)</f>
        <v>985912</v>
      </c>
      <c r="F740" s="6">
        <f>IFERROR(__xludf.DUMMYFUNCTION("VALUE(REGEXEXTRACT(Filmes_raw!F740, ""[0-9]+""
))"),159.0)</f>
        <v>159</v>
      </c>
    </row>
    <row r="741">
      <c r="A741" s="1">
        <v>740.0</v>
      </c>
      <c r="B741" s="1" t="s">
        <v>4400</v>
      </c>
      <c r="C741" s="13" t="b">
        <f>IFERROR(__xludf.DUMMYFUNCTION("IF(ISTEXT(Filmes_raw!C741), REGEXEXTRACT(Filmes_raw!C741,""[^,]+$""))"),FALSE)</f>
        <v>0</v>
      </c>
      <c r="D741" s="1" t="b">
        <f t="shared" si="1"/>
        <v>0</v>
      </c>
      <c r="E741" s="14">
        <f>IFERROR(__xludf.DUMMYFUNCTION("VALUE(IF(ISTEXT(D741), REGEXREPLACE(Filmes_raw!C741,""[^,]+$"",D741),Filmes_raw!C741))"),1.7654912E7)</f>
        <v>17654912</v>
      </c>
      <c r="F741" s="6">
        <f>IFERROR(__xludf.DUMMYFUNCTION("VALUE(REGEXEXTRACT(Filmes_raw!F741, ""[0-9]+""
))"),115.0)</f>
        <v>115</v>
      </c>
    </row>
    <row r="742">
      <c r="A742" s="1">
        <v>741.0</v>
      </c>
      <c r="B742" s="1" t="s">
        <v>4407</v>
      </c>
      <c r="C742" s="13" t="b">
        <f>IFERROR(__xludf.DUMMYFUNCTION("IF(ISTEXT(Filmes_raw!C742), REGEXEXTRACT(Filmes_raw!C742,""[^,]+$""))"),FALSE)</f>
        <v>0</v>
      </c>
      <c r="D742" s="1" t="b">
        <f t="shared" si="1"/>
        <v>0</v>
      </c>
      <c r="E742" s="14">
        <f>IFERROR(__xludf.DUMMYFUNCTION("VALUE(IF(ISTEXT(D742), REGEXREPLACE(Filmes_raw!C742,""[^,]+$"",D742),Filmes_raw!C742))"),1.89422889E8)</f>
        <v>189422889</v>
      </c>
      <c r="F742" s="6">
        <f>IFERROR(__xludf.DUMMYFUNCTION("VALUE(REGEXEXTRACT(Filmes_raw!F742, ""[0-9]+""
))"),101.0)</f>
        <v>101</v>
      </c>
    </row>
    <row r="743">
      <c r="A743" s="1">
        <v>742.0</v>
      </c>
      <c r="B743" s="1" t="s">
        <v>4413</v>
      </c>
      <c r="C743" s="13" t="b">
        <f>IFERROR(__xludf.DUMMYFUNCTION("IF(ISTEXT(Filmes_raw!C743), REGEXEXTRACT(Filmes_raw!C743,""[^,]+$""))"),FALSE)</f>
        <v>0</v>
      </c>
      <c r="D743" s="1" t="b">
        <f t="shared" si="1"/>
        <v>0</v>
      </c>
      <c r="E743" s="14">
        <f>IFERROR(__xludf.DUMMYFUNCTION("VALUE(IF(ISTEXT(D743), REGEXREPLACE(Filmes_raw!C743,""[^,]+$"",D743),Filmes_raw!C743))"),1339152.0)</f>
        <v>1339152</v>
      </c>
      <c r="F743" s="6">
        <f>IFERROR(__xludf.DUMMYFUNCTION("VALUE(REGEXEXTRACT(Filmes_raw!F743, ""[0-9]+""
))"),108.0)</f>
        <v>108</v>
      </c>
    </row>
    <row r="744">
      <c r="A744" s="1">
        <v>743.0</v>
      </c>
      <c r="B744" s="1" t="s">
        <v>4417</v>
      </c>
      <c r="C744" s="13" t="b">
        <f>IFERROR(__xludf.DUMMYFUNCTION("IF(ISTEXT(Filmes_raw!C744), REGEXEXTRACT(Filmes_raw!C744,""[^,]+$""))"),FALSE)</f>
        <v>0</v>
      </c>
      <c r="D744" s="1" t="b">
        <f t="shared" si="1"/>
        <v>0</v>
      </c>
      <c r="E744" s="14">
        <f>IFERROR(__xludf.DUMMYFUNCTION("VALUE(IF(ISTEXT(D744), REGEXREPLACE(Filmes_raw!C744,""[^,]+$"",D744),Filmes_raw!C744))"),71177.0)</f>
        <v>71177</v>
      </c>
      <c r="F744" s="6">
        <f>IFERROR(__xludf.DUMMYFUNCTION("VALUE(REGEXEXTRACT(Filmes_raw!F744, ""[0-9]+""
))"),98.0)</f>
        <v>98</v>
      </c>
    </row>
    <row r="745">
      <c r="A745" s="1">
        <v>744.0</v>
      </c>
      <c r="B745" s="1" t="s">
        <v>4422</v>
      </c>
      <c r="C745" s="13" t="b">
        <f>IFERROR(__xludf.DUMMYFUNCTION("IF(ISTEXT(Filmes_raw!C745), REGEXEXTRACT(Filmes_raw!C745,""[^,]+$""))"),FALSE)</f>
        <v>0</v>
      </c>
      <c r="D745" s="1" t="b">
        <f t="shared" si="1"/>
        <v>0</v>
      </c>
      <c r="E745" s="14">
        <f>IFERROR(__xludf.DUMMYFUNCTION("VALUE(IF(ISTEXT(D745), REGEXREPLACE(Filmes_raw!C745,""[^,]+$"",D745),Filmes_raw!C745))"),5.6816662E7)</f>
        <v>56816662</v>
      </c>
      <c r="F745" s="6">
        <f>IFERROR(__xludf.DUMMYFUNCTION("VALUE(REGEXEXTRACT(Filmes_raw!F745, ""[0-9]+""
))"),96.0)</f>
        <v>96</v>
      </c>
    </row>
    <row r="746">
      <c r="A746" s="1">
        <v>745.0</v>
      </c>
      <c r="B746" s="1" t="s">
        <v>4425</v>
      </c>
      <c r="C746" s="13" t="b">
        <f>IFERROR(__xludf.DUMMYFUNCTION("IF(ISTEXT(Filmes_raw!C746), REGEXEXTRACT(Filmes_raw!C746,""[^,]+$""))"),FALSE)</f>
        <v>0</v>
      </c>
      <c r="D746" s="1" t="b">
        <f t="shared" si="1"/>
        <v>0</v>
      </c>
      <c r="E746" s="14">
        <f>IFERROR(__xludf.DUMMYFUNCTION("VALUE(IF(ISTEXT(D746), REGEXREPLACE(Filmes_raw!C746,""[^,]+$"",D746),Filmes_raw!C746))"),2.57760692E8)</f>
        <v>257760692</v>
      </c>
      <c r="F746" s="6">
        <f>IFERROR(__xludf.DUMMYFUNCTION("VALUE(REGEXEXTRACT(Filmes_raw!F746, ""[0-9]+""
))"),100.0)</f>
        <v>100</v>
      </c>
    </row>
    <row r="747">
      <c r="A747" s="1">
        <v>746.0</v>
      </c>
      <c r="B747" s="1" t="s">
        <v>4431</v>
      </c>
      <c r="C747" s="13" t="b">
        <f>IFERROR(__xludf.DUMMYFUNCTION("IF(ISTEXT(Filmes_raw!C747), REGEXEXTRACT(Filmes_raw!C747,""[^,]+$""))"),FALSE)</f>
        <v>0</v>
      </c>
      <c r="D747" s="1" t="b">
        <f t="shared" si="1"/>
        <v>0</v>
      </c>
      <c r="E747" s="14">
        <f>IFERROR(__xludf.DUMMYFUNCTION("VALUE(IF(ISTEXT(D747), REGEXREPLACE(Filmes_raw!C747,""[^,]+$"",D747),Filmes_raw!C747))"),2.74092705E8)</f>
        <v>274092705</v>
      </c>
      <c r="F747" s="6">
        <f>IFERROR(__xludf.DUMMYFUNCTION("VALUE(REGEXEXTRACT(Filmes_raw!F747, ""[0-9]+""
))"),91.0)</f>
        <v>91</v>
      </c>
    </row>
    <row r="748">
      <c r="A748" s="1">
        <v>747.0</v>
      </c>
      <c r="B748" s="1" t="s">
        <v>4435</v>
      </c>
      <c r="C748" s="13" t="b">
        <f>IFERROR(__xludf.DUMMYFUNCTION("IF(ISTEXT(Filmes_raw!C748), REGEXEXTRACT(Filmes_raw!C748,""[^,]+$""))"),FALSE)</f>
        <v>0</v>
      </c>
      <c r="D748" s="1" t="b">
        <f t="shared" si="1"/>
        <v>0</v>
      </c>
      <c r="E748" s="14">
        <f>IFERROR(__xludf.DUMMYFUNCTION("VALUE(IF(ISTEXT(D748), REGEXREPLACE(Filmes_raw!C748,""[^,]+$"",D748),Filmes_raw!C748))"),2.28778661E8)</f>
        <v>228778661</v>
      </c>
      <c r="F748" s="6">
        <f>IFERROR(__xludf.DUMMYFUNCTION("VALUE(REGEXEXTRACT(Filmes_raw!F748, ""[0-9]+""
))"),132.0)</f>
        <v>132</v>
      </c>
    </row>
    <row r="749">
      <c r="A749" s="1">
        <v>748.0</v>
      </c>
      <c r="B749" s="1" t="s">
        <v>4437</v>
      </c>
      <c r="C749" s="13" t="b">
        <f>IFERROR(__xludf.DUMMYFUNCTION("IF(ISTEXT(Filmes_raw!C749), REGEXEXTRACT(Filmes_raw!C749,""[^,]+$""))"),FALSE)</f>
        <v>0</v>
      </c>
      <c r="D749" s="1" t="b">
        <f t="shared" si="1"/>
        <v>0</v>
      </c>
      <c r="E749" s="14">
        <f>IFERROR(__xludf.DUMMYFUNCTION("VALUE(IF(ISTEXT(D749), REGEXREPLACE(Filmes_raw!C749,""[^,]+$"",D749),Filmes_raw!C749))"),83861.0)</f>
        <v>83861</v>
      </c>
      <c r="F749" s="6">
        <f>IFERROR(__xludf.DUMMYFUNCTION("VALUE(REGEXEXTRACT(Filmes_raw!F749, ""[0-9]+""
))"),137.0)</f>
        <v>137</v>
      </c>
    </row>
    <row r="750">
      <c r="A750" s="1">
        <v>749.0</v>
      </c>
      <c r="B750" s="1" t="s">
        <v>4444</v>
      </c>
      <c r="C750" s="13" t="b">
        <f>IFERROR(__xludf.DUMMYFUNCTION("IF(ISTEXT(Filmes_raw!C750), REGEXEXTRACT(Filmes_raw!C750,""[^,]+$""))"),FALSE)</f>
        <v>0</v>
      </c>
      <c r="D750" s="1" t="b">
        <f t="shared" si="1"/>
        <v>0</v>
      </c>
      <c r="E750" s="14">
        <f>IFERROR(__xludf.DUMMYFUNCTION("VALUE(IF(ISTEXT(D750), REGEXREPLACE(Filmes_raw!C750,""[^,]+$"",D750),Filmes_raw!C750))"),9.6962694E7)</f>
        <v>96962694</v>
      </c>
      <c r="F750" s="6">
        <f>IFERROR(__xludf.DUMMYFUNCTION("VALUE(REGEXEXTRACT(Filmes_raw!F750, ""[0-9]+""
))"),120.0)</f>
        <v>120</v>
      </c>
    </row>
    <row r="751">
      <c r="A751" s="1">
        <v>750.0</v>
      </c>
      <c r="B751" s="1" t="s">
        <v>4448</v>
      </c>
      <c r="C751" s="13" t="b">
        <f>IFERROR(__xludf.DUMMYFUNCTION("IF(ISTEXT(Filmes_raw!C751), REGEXEXTRACT(Filmes_raw!C751,""[^,]+$""))"),FALSE)</f>
        <v>0</v>
      </c>
      <c r="D751" s="1" t="b">
        <f t="shared" si="1"/>
        <v>0</v>
      </c>
      <c r="E751" s="14">
        <f>IFERROR(__xludf.DUMMYFUNCTION("VALUE(IF(ISTEXT(D751), REGEXREPLACE(Filmes_raw!C751,""[^,]+$"",D751),Filmes_raw!C751))"),1.46408305E8)</f>
        <v>146408305</v>
      </c>
      <c r="F751" s="6">
        <f>IFERROR(__xludf.DUMMYFUNCTION("VALUE(REGEXEXTRACT(Filmes_raw!F751, ""[0-9]+""
))"),131.0)</f>
        <v>131</v>
      </c>
    </row>
    <row r="752">
      <c r="A752" s="1">
        <v>751.0</v>
      </c>
      <c r="B752" s="1" t="s">
        <v>4451</v>
      </c>
      <c r="C752" s="13" t="b">
        <f>IFERROR(__xludf.DUMMYFUNCTION("IF(ISTEXT(Filmes_raw!C752), REGEXEXTRACT(Filmes_raw!C752,""[^,]+$""))"),FALSE)</f>
        <v>0</v>
      </c>
      <c r="D752" s="1" t="b">
        <f t="shared" si="1"/>
        <v>0</v>
      </c>
      <c r="E752" s="14">
        <f>IFERROR(__xludf.DUMMYFUNCTION("VALUE(IF(ISTEXT(D752), REGEXREPLACE(Filmes_raw!C752,""[^,]+$"",D752),Filmes_raw!C752))"),2.77322503E8)</f>
        <v>277322503</v>
      </c>
      <c r="F752" s="6">
        <f>IFERROR(__xludf.DUMMYFUNCTION("VALUE(REGEXEXTRACT(Filmes_raw!F752, ""[0-9]+""
))"),100.0)</f>
        <v>100</v>
      </c>
    </row>
    <row r="753">
      <c r="A753" s="1">
        <v>752.0</v>
      </c>
      <c r="B753" s="1" t="s">
        <v>4455</v>
      </c>
      <c r="C753" s="13" t="b">
        <f>IFERROR(__xludf.DUMMYFUNCTION("IF(ISTEXT(Filmes_raw!C753), REGEXEXTRACT(Filmes_raw!C753,""[^,]+$""))"),FALSE)</f>
        <v>0</v>
      </c>
      <c r="D753" s="1" t="b">
        <f t="shared" si="1"/>
        <v>0</v>
      </c>
      <c r="E753" s="14">
        <f>IFERROR(__xludf.DUMMYFUNCTION("VALUE(IF(ISTEXT(D753), REGEXREPLACE(Filmes_raw!C753,""[^,]+$"",D753),Filmes_raw!C753))"),3.04360277E8)</f>
        <v>304360277</v>
      </c>
      <c r="F753" s="6">
        <f>IFERROR(__xludf.DUMMYFUNCTION("VALUE(REGEXEXTRACT(Filmes_raw!F753, ""[0-9]+""
))"),143.0)</f>
        <v>143</v>
      </c>
    </row>
    <row r="754">
      <c r="A754" s="1">
        <v>753.0</v>
      </c>
      <c r="B754" s="1" t="s">
        <v>4458</v>
      </c>
      <c r="C754" s="13" t="b">
        <f>IFERROR(__xludf.DUMMYFUNCTION("IF(ISTEXT(Filmes_raw!C754), REGEXEXTRACT(Filmes_raw!C754,""[^,]+$""))"),FALSE)</f>
        <v>0</v>
      </c>
      <c r="D754" s="1" t="b">
        <f t="shared" si="1"/>
        <v>0</v>
      </c>
      <c r="E754" s="14">
        <f>IFERROR(__xludf.DUMMYFUNCTION("VALUE(IF(ISTEXT(D754), REGEXREPLACE(Filmes_raw!C754,""[^,]+$"",D754),Filmes_raw!C754))"),1.32092958E8)</f>
        <v>132092958</v>
      </c>
      <c r="F754" s="6">
        <f>IFERROR(__xludf.DUMMYFUNCTION("VALUE(REGEXEXTRACT(Filmes_raw!F754, ""[0-9]+""
))"),122.0)</f>
        <v>122</v>
      </c>
    </row>
    <row r="755">
      <c r="A755" s="1">
        <v>754.0</v>
      </c>
      <c r="B755" s="1" t="s">
        <v>4461</v>
      </c>
      <c r="C755" s="13" t="b">
        <f>IFERROR(__xludf.DUMMYFUNCTION("IF(ISTEXT(Filmes_raw!C755), REGEXEXTRACT(Filmes_raw!C755,""[^,]+$""))"),FALSE)</f>
        <v>0</v>
      </c>
      <c r="D755" s="1" t="b">
        <f t="shared" si="1"/>
        <v>0</v>
      </c>
      <c r="E755" s="14">
        <f>IFERROR(__xludf.DUMMYFUNCTION("VALUE(IF(ISTEXT(D755), REGEXREPLACE(Filmes_raw!C755,""[^,]+$"",D755),Filmes_raw!C755))"),1.36025503E8)</f>
        <v>136025503</v>
      </c>
      <c r="F755" s="6">
        <f>IFERROR(__xludf.DUMMYFUNCTION("VALUE(REGEXEXTRACT(Filmes_raw!F755, ""[0-9]+""
))"),120.0)</f>
        <v>120</v>
      </c>
    </row>
    <row r="756">
      <c r="A756" s="1">
        <v>755.0</v>
      </c>
      <c r="B756" s="1" t="s">
        <v>4463</v>
      </c>
      <c r="C756" s="13" t="b">
        <f>IFERROR(__xludf.DUMMYFUNCTION("IF(ISTEXT(Filmes_raw!C756), REGEXEXTRACT(Filmes_raw!C756,""[^,]+$""))"),FALSE)</f>
        <v>0</v>
      </c>
      <c r="D756" s="1" t="b">
        <f t="shared" si="1"/>
        <v>0</v>
      </c>
      <c r="E756" s="14">
        <f>IFERROR(__xludf.DUMMYFUNCTION("VALUE(IF(ISTEXT(D756), REGEXREPLACE(Filmes_raw!C756,""[^,]+$"",D756),Filmes_raw!C756))"),3.2391374E7)</f>
        <v>32391374</v>
      </c>
      <c r="F756" s="6">
        <f>IFERROR(__xludf.DUMMYFUNCTION("VALUE(REGEXEXTRACT(Filmes_raw!F756, ""[0-9]+""
))"),95.0)</f>
        <v>95</v>
      </c>
    </row>
    <row r="757">
      <c r="A757" s="1">
        <v>756.0</v>
      </c>
      <c r="B757" s="1" t="s">
        <v>4468</v>
      </c>
      <c r="C757" s="13" t="b">
        <f>IFERROR(__xludf.DUMMYFUNCTION("IF(ISTEXT(Filmes_raw!C757), REGEXEXTRACT(Filmes_raw!C757,""[^,]+$""))"),FALSE)</f>
        <v>0</v>
      </c>
      <c r="D757" s="1" t="b">
        <f t="shared" si="1"/>
        <v>0</v>
      </c>
      <c r="E757" s="14">
        <f>IFERROR(__xludf.DUMMYFUNCTION("VALUE(IF(ISTEXT(D757), REGEXREPLACE(Filmes_raw!C757,""[^,]+$"",D757),Filmes_raw!C757))"),2.95983305E8)</f>
        <v>295983305</v>
      </c>
      <c r="F757" s="6">
        <f>IFERROR(__xludf.DUMMYFUNCTION("VALUE(REGEXEXTRACT(Filmes_raw!F757, ""[0-9]+""
))"),146.0)</f>
        <v>146</v>
      </c>
    </row>
    <row r="758">
      <c r="A758" s="1">
        <v>757.0</v>
      </c>
      <c r="B758" s="1" t="s">
        <v>4470</v>
      </c>
      <c r="C758" s="13" t="b">
        <f>IFERROR(__xludf.DUMMYFUNCTION("IF(ISTEXT(Filmes_raw!C758), REGEXEXTRACT(Filmes_raw!C758,""[^,]+$""))"),FALSE)</f>
        <v>0</v>
      </c>
      <c r="D758" s="1" t="b">
        <f t="shared" si="1"/>
        <v>0</v>
      </c>
      <c r="E758" s="14">
        <f>IFERROR(__xludf.DUMMYFUNCTION("VALUE(IF(ISTEXT(D758), REGEXREPLACE(Filmes_raw!C758,""[^,]+$"",D758),Filmes_raw!C758))"),1.50904E7)</f>
        <v>15090400</v>
      </c>
      <c r="F758" s="6">
        <f>IFERROR(__xludf.DUMMYFUNCTION("VALUE(REGEXEXTRACT(Filmes_raw!F758, ""[0-9]+""
))"),101.0)</f>
        <v>101</v>
      </c>
    </row>
    <row r="759">
      <c r="A759" s="1">
        <v>758.0</v>
      </c>
      <c r="B759" s="1" t="s">
        <v>4473</v>
      </c>
      <c r="C759" s="13" t="b">
        <f>IFERROR(__xludf.DUMMYFUNCTION("IF(ISTEXT(Filmes_raw!C759), REGEXEXTRACT(Filmes_raw!C759,""[^,]+$""))"),FALSE)</f>
        <v>0</v>
      </c>
      <c r="D759" s="1" t="b">
        <f t="shared" si="1"/>
        <v>0</v>
      </c>
      <c r="E759" s="14">
        <f>IFERROR(__xludf.DUMMYFUNCTION("VALUE(IF(ISTEXT(D759), REGEXREPLACE(Filmes_raw!C759,""[^,]+$"",D759),Filmes_raw!C759))"),1.8593156E7)</f>
        <v>18593156</v>
      </c>
      <c r="F759" s="6">
        <f>IFERROR(__xludf.DUMMYFUNCTION("VALUE(REGEXEXTRACT(Filmes_raw!F759, ""[0-9]+""
))"),122.0)</f>
        <v>122</v>
      </c>
    </row>
    <row r="760">
      <c r="A760" s="1">
        <v>759.0</v>
      </c>
      <c r="B760" s="1" t="s">
        <v>4477</v>
      </c>
      <c r="C760" s="13" t="b">
        <f>IFERROR(__xludf.DUMMYFUNCTION("IF(ISTEXT(Filmes_raw!C760), REGEXEXTRACT(Filmes_raw!C760,""[^,]+$""))"),FALSE)</f>
        <v>0</v>
      </c>
      <c r="D760" s="1" t="b">
        <f t="shared" si="1"/>
        <v>0</v>
      </c>
      <c r="E760" s="14">
        <f>IFERROR(__xludf.DUMMYFUNCTION("VALUE(IF(ISTEXT(D760), REGEXREPLACE(Filmes_raw!C760,""[^,]+$"",D760),Filmes_raw!C760))"),881302.0)</f>
        <v>881302</v>
      </c>
      <c r="F760" s="6">
        <f>IFERROR(__xludf.DUMMYFUNCTION("VALUE(REGEXEXTRACT(Filmes_raw!F760, ""[0-9]+""
))"),90.0)</f>
        <v>90</v>
      </c>
    </row>
    <row r="761">
      <c r="A761" s="1">
        <v>760.0</v>
      </c>
      <c r="B761" s="1" t="s">
        <v>4481</v>
      </c>
      <c r="C761" s="13" t="b">
        <f>IFERROR(__xludf.DUMMYFUNCTION("IF(ISTEXT(Filmes_raw!C761), REGEXEXTRACT(Filmes_raw!C761,""[^,]+$""))"),FALSE)</f>
        <v>0</v>
      </c>
      <c r="D761" s="1" t="b">
        <f t="shared" si="1"/>
        <v>0</v>
      </c>
      <c r="E761" s="14">
        <f>IFERROR(__xludf.DUMMYFUNCTION("VALUE(IF(ISTEXT(D761), REGEXREPLACE(Filmes_raw!C761,""[^,]+$"",D761),Filmes_raw!C761))"),3.5739802E7)</f>
        <v>35739802</v>
      </c>
      <c r="F761" s="6">
        <f>IFERROR(__xludf.DUMMYFUNCTION("VALUE(REGEXEXTRACT(Filmes_raw!F761, ""[0-9]+""
))"),141.0)</f>
        <v>141</v>
      </c>
    </row>
    <row r="762">
      <c r="A762" s="1">
        <v>761.0</v>
      </c>
      <c r="B762" s="1" t="s">
        <v>4487</v>
      </c>
      <c r="C762" s="13" t="b">
        <f>IFERROR(__xludf.DUMMYFUNCTION("IF(ISTEXT(Filmes_raw!C762), REGEXEXTRACT(Filmes_raw!C762,""[^,]+$""))"),FALSE)</f>
        <v>0</v>
      </c>
      <c r="D762" s="1" t="b">
        <f t="shared" si="1"/>
        <v>0</v>
      </c>
      <c r="E762" s="14">
        <f>IFERROR(__xludf.DUMMYFUNCTION("VALUE(IF(ISTEXT(D762), REGEXREPLACE(Filmes_raw!C762,""[^,]+$"",D762),Filmes_raw!C762))"),1752214.0)</f>
        <v>1752214</v>
      </c>
      <c r="F762" s="6">
        <f>IFERROR(__xludf.DUMMYFUNCTION("VALUE(REGEXEXTRACT(Filmes_raw!F762, ""[0-9]+""
))"),90.0)</f>
        <v>90</v>
      </c>
    </row>
    <row r="763">
      <c r="A763" s="1">
        <v>762.0</v>
      </c>
      <c r="B763" s="1" t="s">
        <v>4493</v>
      </c>
      <c r="C763" s="13" t="b">
        <f>IFERROR(__xludf.DUMMYFUNCTION("IF(ISTEXT(Filmes_raw!C763), REGEXEXTRACT(Filmes_raw!C763,""[^,]+$""))"),FALSE)</f>
        <v>0</v>
      </c>
      <c r="D763" s="1" t="b">
        <f t="shared" si="1"/>
        <v>0</v>
      </c>
      <c r="E763" s="14">
        <f>IFERROR(__xludf.DUMMYFUNCTION("VALUE(IF(ISTEXT(D763), REGEXREPLACE(Filmes_raw!C763,""[^,]+$"",D763),Filmes_raw!C763))"),873435.0)</f>
        <v>873435</v>
      </c>
      <c r="F763" s="6">
        <f>IFERROR(__xludf.DUMMYFUNCTION("VALUE(REGEXEXTRACT(Filmes_raw!F763, ""[0-9]+""
))"),98.0)</f>
        <v>98</v>
      </c>
    </row>
    <row r="764">
      <c r="A764" s="1">
        <v>763.0</v>
      </c>
      <c r="B764" s="1" t="s">
        <v>4499</v>
      </c>
      <c r="C764" s="13" t="b">
        <f>IFERROR(__xludf.DUMMYFUNCTION("IF(ISTEXT(Filmes_raw!C764), REGEXEXTRACT(Filmes_raw!C764,""[^,]+$""))"),FALSE)</f>
        <v>0</v>
      </c>
      <c r="D764" s="1" t="b">
        <f t="shared" si="1"/>
        <v>0</v>
      </c>
      <c r="E764" s="14">
        <f>IFERROR(__xludf.DUMMYFUNCTION("VALUE(IF(ISTEXT(D764), REGEXREPLACE(Filmes_raw!C764,""[^,]+$"",D764),Filmes_raw!C764))"),2.9667169E7)</f>
        <v>29667169</v>
      </c>
      <c r="F764" s="6">
        <f>IFERROR(__xludf.DUMMYFUNCTION("VALUE(REGEXEXTRACT(Filmes_raw!F764, ""[0-9]+""
))"),126.0)</f>
        <v>126</v>
      </c>
    </row>
    <row r="765">
      <c r="A765" s="1">
        <v>764.0</v>
      </c>
      <c r="B765" s="1" t="s">
        <v>4506</v>
      </c>
      <c r="C765" s="13" t="b">
        <f>IFERROR(__xludf.DUMMYFUNCTION("IF(ISTEXT(Filmes_raw!C765), REGEXEXTRACT(Filmes_raw!C765,""[^,]+$""))"),FALSE)</f>
        <v>0</v>
      </c>
      <c r="D765" s="1" t="b">
        <f t="shared" si="1"/>
        <v>0</v>
      </c>
      <c r="E765" s="14">
        <f>IFERROR(__xludf.DUMMYFUNCTION("VALUE(IF(ISTEXT(D765), REGEXREPLACE(Filmes_raw!C765,""[^,]+$"",D765),Filmes_raw!C765))"),327919.0)</f>
        <v>327919</v>
      </c>
      <c r="F765" s="6">
        <f>IFERROR(__xludf.DUMMYFUNCTION("VALUE(REGEXEXTRACT(Filmes_raw!F765, ""[0-9]+""
))"),101.0)</f>
        <v>101</v>
      </c>
    </row>
    <row r="766">
      <c r="A766" s="1">
        <v>765.0</v>
      </c>
      <c r="B766" s="1" t="s">
        <v>4513</v>
      </c>
      <c r="C766" s="13" t="b">
        <f>IFERROR(__xludf.DUMMYFUNCTION("IF(ISTEXT(Filmes_raw!C766), REGEXEXTRACT(Filmes_raw!C766,""[^,]+$""))"),FALSE)</f>
        <v>0</v>
      </c>
      <c r="D766" s="1" t="b">
        <f t="shared" si="1"/>
        <v>0</v>
      </c>
      <c r="E766" s="14">
        <f>IFERROR(__xludf.DUMMYFUNCTION("VALUE(IF(ISTEXT(D766), REGEXREPLACE(Filmes_raw!C766,""[^,]+$"",D766),Filmes_raw!C766))"),2.5442958E7)</f>
        <v>25442958</v>
      </c>
      <c r="F766" s="6">
        <f>IFERROR(__xludf.DUMMYFUNCTION("VALUE(REGEXEXTRACT(Filmes_raw!F766, ""[0-9]+""
))"),108.0)</f>
        <v>108</v>
      </c>
    </row>
    <row r="767">
      <c r="A767" s="1">
        <v>766.0</v>
      </c>
      <c r="B767" s="1" t="s">
        <v>4518</v>
      </c>
      <c r="C767" s="13" t="b">
        <f>IFERROR(__xludf.DUMMYFUNCTION("IF(ISTEXT(Filmes_raw!C767), REGEXEXTRACT(Filmes_raw!C767,""[^,]+$""))"),FALSE)</f>
        <v>0</v>
      </c>
      <c r="D767" s="1" t="b">
        <f t="shared" si="1"/>
        <v>0</v>
      </c>
      <c r="E767" s="14">
        <f>IFERROR(__xludf.DUMMYFUNCTION("VALUE(IF(ISTEXT(D767), REGEXREPLACE(Filmes_raw!C767,""[^,]+$"",D767),Filmes_raw!C767))"),412544.0)</f>
        <v>412544</v>
      </c>
      <c r="F767" s="6">
        <f>IFERROR(__xludf.DUMMYFUNCTION("VALUE(REGEXEXTRACT(Filmes_raw!F767, ""[0-9]+""
))"),120.0)</f>
        <v>120</v>
      </c>
    </row>
    <row r="768">
      <c r="A768" s="1">
        <v>767.0</v>
      </c>
      <c r="B768" s="1" t="s">
        <v>4523</v>
      </c>
      <c r="C768" s="13" t="b">
        <f>IFERROR(__xludf.DUMMYFUNCTION("IF(ISTEXT(Filmes_raw!C768), REGEXEXTRACT(Filmes_raw!C768,""[^,]+$""))"),FALSE)</f>
        <v>0</v>
      </c>
      <c r="D768" s="1" t="b">
        <f t="shared" si="1"/>
        <v>0</v>
      </c>
      <c r="E768" s="14">
        <f>IFERROR(__xludf.DUMMYFUNCTION("VALUE(IF(ISTEXT(D768), REGEXREPLACE(Filmes_raw!C768,""[^,]+$"",D768),Filmes_raw!C768))"),1.7605861E7)</f>
        <v>17605861</v>
      </c>
      <c r="F768" s="6">
        <f>IFERROR(__xludf.DUMMYFUNCTION("VALUE(REGEXEXTRACT(Filmes_raw!F768, ""[0-9]+""
))"),123.0)</f>
        <v>123</v>
      </c>
    </row>
    <row r="769">
      <c r="A769" s="1">
        <v>768.0</v>
      </c>
      <c r="B769" s="1" t="s">
        <v>4527</v>
      </c>
      <c r="C769" s="13" t="b">
        <f>IFERROR(__xludf.DUMMYFUNCTION("IF(ISTEXT(Filmes_raw!C769), REGEXEXTRACT(Filmes_raw!C769,""[^,]+$""))"),FALSE)</f>
        <v>0</v>
      </c>
      <c r="D769" s="1" t="b">
        <f t="shared" si="1"/>
        <v>0</v>
      </c>
      <c r="E769" s="14">
        <f>IFERROR(__xludf.DUMMYFUNCTION("VALUE(IF(ISTEXT(D769), REGEXREPLACE(Filmes_raw!C769,""[^,]+$"",D769),Filmes_raw!C769))"),3.3080084E7)</f>
        <v>33080084</v>
      </c>
      <c r="F769" s="6">
        <f>IFERROR(__xludf.DUMMYFUNCTION("VALUE(REGEXEXTRACT(Filmes_raw!F769, ""[0-9]+""
))"),157.0)</f>
        <v>157</v>
      </c>
    </row>
    <row r="770">
      <c r="A770" s="1">
        <v>769.0</v>
      </c>
      <c r="B770" s="1" t="s">
        <v>4529</v>
      </c>
      <c r="C770" s="13" t="b">
        <f>IFERROR(__xludf.DUMMYFUNCTION("IF(ISTEXT(Filmes_raw!C770), REGEXEXTRACT(Filmes_raw!C770,""[^,]+$""))"),FALSE)</f>
        <v>0</v>
      </c>
      <c r="D770" s="1" t="b">
        <f t="shared" si="1"/>
        <v>0</v>
      </c>
      <c r="E770" s="14">
        <f>IFERROR(__xludf.DUMMYFUNCTION("VALUE(IF(ISTEXT(D770), REGEXREPLACE(Filmes_raw!C770,""[^,]+$"",D770),Filmes_raw!C770))"),2.2494487E7)</f>
        <v>22494487</v>
      </c>
      <c r="F770" s="6">
        <f>IFERROR(__xludf.DUMMYFUNCTION("VALUE(REGEXEXTRACT(Filmes_raw!F770, ""[0-9]+""
))"),110.0)</f>
        <v>110</v>
      </c>
    </row>
    <row r="771">
      <c r="A771" s="1">
        <v>770.0</v>
      </c>
      <c r="B771" s="1" t="s">
        <v>4533</v>
      </c>
      <c r="C771" s="13" t="b">
        <f>IFERROR(__xludf.DUMMYFUNCTION("IF(ISTEXT(Filmes_raw!C771), REGEXEXTRACT(Filmes_raw!C771,""[^,]+$""))"),FALSE)</f>
        <v>0</v>
      </c>
      <c r="D771" s="1" t="b">
        <f t="shared" si="1"/>
        <v>0</v>
      </c>
      <c r="E771" s="14">
        <f>IFERROR(__xludf.DUMMYFUNCTION("VALUE(IF(ISTEXT(D771), REGEXREPLACE(Filmes_raw!C771,""[^,]+$"",D771),Filmes_raw!C771))"),1054361.0)</f>
        <v>1054361</v>
      </c>
      <c r="F771" s="6">
        <f>IFERROR(__xludf.DUMMYFUNCTION("VALUE(REGEXEXTRACT(Filmes_raw!F771, ""[0-9]+""
))"),116.0)</f>
        <v>116</v>
      </c>
    </row>
    <row r="772">
      <c r="A772" s="1">
        <v>771.0</v>
      </c>
      <c r="B772" s="1" t="s">
        <v>4540</v>
      </c>
      <c r="C772" s="13" t="b">
        <f>IFERROR(__xludf.DUMMYFUNCTION("IF(ISTEXT(Filmes_raw!C772), REGEXEXTRACT(Filmes_raw!C772,""[^,]+$""))"),FALSE)</f>
        <v>0</v>
      </c>
      <c r="D772" s="1" t="b">
        <f t="shared" si="1"/>
        <v>0</v>
      </c>
      <c r="E772" s="14">
        <f>IFERROR(__xludf.DUMMYFUNCTION("VALUE(IF(ISTEXT(D772), REGEXREPLACE(Filmes_raw!C772,""[^,]+$"",D772),Filmes_raw!C772))"),871577.0)</f>
        <v>871577</v>
      </c>
      <c r="F772" s="6">
        <f>IFERROR(__xludf.DUMMYFUNCTION("VALUE(REGEXEXTRACT(Filmes_raw!F772, ""[0-9]+""
))"),122.0)</f>
        <v>122</v>
      </c>
    </row>
    <row r="773">
      <c r="A773" s="1">
        <v>772.0</v>
      </c>
      <c r="B773" s="1" t="s">
        <v>4546</v>
      </c>
      <c r="C773" s="13" t="b">
        <f>IFERROR(__xludf.DUMMYFUNCTION("IF(ISTEXT(Filmes_raw!C773), REGEXEXTRACT(Filmes_raw!C773,""[^,]+$""))"),FALSE)</f>
        <v>0</v>
      </c>
      <c r="D773" s="1" t="b">
        <f t="shared" si="1"/>
        <v>0</v>
      </c>
      <c r="E773" s="14">
        <f>IFERROR(__xludf.DUMMYFUNCTION("VALUE(IF(ISTEXT(D773), REGEXREPLACE(Filmes_raw!C773,""[^,]+$"",D773),Filmes_raw!C773))"),2.00821936E8)</f>
        <v>200821936</v>
      </c>
      <c r="F773" s="6">
        <f>IFERROR(__xludf.DUMMYFUNCTION("VALUE(REGEXEXTRACT(Filmes_raw!F773, ""[0-9]+""
))"),100.0)</f>
        <v>100</v>
      </c>
    </row>
    <row r="774">
      <c r="A774" s="1">
        <v>773.0</v>
      </c>
      <c r="B774" s="1" t="s">
        <v>4552</v>
      </c>
      <c r="C774" s="13" t="b">
        <f>IFERROR(__xludf.DUMMYFUNCTION("IF(ISTEXT(Filmes_raw!C774), REGEXEXTRACT(Filmes_raw!C774,""[^,]+$""))"),FALSE)</f>
        <v>0</v>
      </c>
      <c r="D774" s="1" t="b">
        <f t="shared" si="1"/>
        <v>0</v>
      </c>
      <c r="E774" s="14">
        <f>IFERROR(__xludf.DUMMYFUNCTION("VALUE(IF(ISTEXT(D774), REGEXREPLACE(Filmes_raw!C774,""[^,]+$"",D774),Filmes_raw!C774))"),4398392.0)</f>
        <v>4398392</v>
      </c>
      <c r="F774" s="6">
        <f>IFERROR(__xludf.DUMMYFUNCTION("VALUE(REGEXEXTRACT(Filmes_raw!F774, ""[0-9]+""
))"),145.0)</f>
        <v>145</v>
      </c>
    </row>
    <row r="775">
      <c r="A775" s="1">
        <v>774.0</v>
      </c>
      <c r="B775" s="1" t="s">
        <v>4558</v>
      </c>
      <c r="C775" s="13" t="b">
        <f>IFERROR(__xludf.DUMMYFUNCTION("IF(ISTEXT(Filmes_raw!C775), REGEXEXTRACT(Filmes_raw!C775,""[^,]+$""))"),FALSE)</f>
        <v>0</v>
      </c>
      <c r="D775" s="1" t="b">
        <f t="shared" si="1"/>
        <v>0</v>
      </c>
      <c r="E775" s="14">
        <f>IFERROR(__xludf.DUMMYFUNCTION("VALUE(IF(ISTEXT(D775), REGEXREPLACE(Filmes_raw!C775,""[^,]+$"",D775),Filmes_raw!C775))"),8.3043761E7)</f>
        <v>83043761</v>
      </c>
      <c r="F775" s="6">
        <f>IFERROR(__xludf.DUMMYFUNCTION("VALUE(REGEXEXTRACT(Filmes_raw!F775, ""[0-9]+""
))"),134.0)</f>
        <v>134</v>
      </c>
    </row>
    <row r="776">
      <c r="A776" s="1">
        <v>775.0</v>
      </c>
      <c r="B776" s="1" t="s">
        <v>4561</v>
      </c>
      <c r="C776" s="13" t="b">
        <f>IFERROR(__xludf.DUMMYFUNCTION("IF(ISTEXT(Filmes_raw!C776), REGEXEXTRACT(Filmes_raw!C776,""[^,]+$""))"),FALSE)</f>
        <v>0</v>
      </c>
      <c r="D776" s="1" t="b">
        <f t="shared" si="1"/>
        <v>0</v>
      </c>
      <c r="E776" s="14">
        <f>IFERROR(__xludf.DUMMYFUNCTION("VALUE(IF(ISTEXT(D776), REGEXREPLACE(Filmes_raw!C776,""[^,]+$"",D776),Filmes_raw!C776))"),5.3606916E7)</f>
        <v>53606916</v>
      </c>
      <c r="F776" s="6">
        <f>IFERROR(__xludf.DUMMYFUNCTION("VALUE(REGEXEXTRACT(Filmes_raw!F776, ""[0-9]+""
))"),122.0)</f>
        <v>122</v>
      </c>
    </row>
    <row r="777">
      <c r="A777" s="1">
        <v>776.0</v>
      </c>
      <c r="B777" s="1" t="s">
        <v>4564</v>
      </c>
      <c r="C777" s="13" t="b">
        <f>IFERROR(__xludf.DUMMYFUNCTION("IF(ISTEXT(Filmes_raw!C777), REGEXEXTRACT(Filmes_raw!C777,""[^,]+$""))"),FALSE)</f>
        <v>0</v>
      </c>
      <c r="D777" s="1" t="b">
        <f t="shared" si="1"/>
        <v>0</v>
      </c>
      <c r="E777" s="14">
        <f>IFERROR(__xludf.DUMMYFUNCTION("VALUE(IF(ISTEXT(D777), REGEXREPLACE(Filmes_raw!C777,""[^,]+$"",D777),Filmes_raw!C777))"),5.45803E7)</f>
        <v>54580300</v>
      </c>
      <c r="F777" s="6">
        <f>IFERROR(__xludf.DUMMYFUNCTION("VALUE(REGEXEXTRACT(Filmes_raw!F777, ""[0-9]+""
))"),112.0)</f>
        <v>112</v>
      </c>
    </row>
    <row r="778">
      <c r="A778" s="1">
        <v>777.0</v>
      </c>
      <c r="B778" s="1" t="s">
        <v>4568</v>
      </c>
      <c r="C778" s="13" t="b">
        <f>IFERROR(__xludf.DUMMYFUNCTION("IF(ISTEXT(Filmes_raw!C778), REGEXEXTRACT(Filmes_raw!C778,""[^,]+$""))"),FALSE)</f>
        <v>0</v>
      </c>
      <c r="D778" s="1" t="b">
        <f t="shared" si="1"/>
        <v>0</v>
      </c>
      <c r="E778" s="14">
        <f>IFERROR(__xludf.DUMMYFUNCTION("VALUE(IF(ISTEXT(D778), REGEXREPLACE(Filmes_raw!C778,""[^,]+$"",D778),Filmes_raw!C778))"),1.7108591E7)</f>
        <v>17108591</v>
      </c>
      <c r="F778" s="6">
        <f>IFERROR(__xludf.DUMMYFUNCTION("VALUE(REGEXEXTRACT(Filmes_raw!F778, ""[0-9]+""
))"),99.0)</f>
        <v>99</v>
      </c>
    </row>
    <row r="779">
      <c r="A779" s="1">
        <v>778.0</v>
      </c>
      <c r="B779" s="1" t="s">
        <v>4574</v>
      </c>
      <c r="C779" s="13" t="b">
        <f>IFERROR(__xludf.DUMMYFUNCTION("IF(ISTEXT(Filmes_raw!C779), REGEXEXTRACT(Filmes_raw!C779,""[^,]+$""))"),FALSE)</f>
        <v>0</v>
      </c>
      <c r="D779" s="1" t="b">
        <f t="shared" si="1"/>
        <v>0</v>
      </c>
      <c r="E779" s="14">
        <f>IFERROR(__xludf.DUMMYFUNCTION("VALUE(IF(ISTEXT(D779), REGEXREPLACE(Filmes_raw!C779,""[^,]+$"",D779),Filmes_raw!C779))"),1.76241941E8)</f>
        <v>176241941</v>
      </c>
      <c r="F779" s="6">
        <f>IFERROR(__xludf.DUMMYFUNCTION("VALUE(REGEXEXTRACT(Filmes_raw!F779, ""[0-9]+""
))"),108.0)</f>
        <v>108</v>
      </c>
    </row>
    <row r="780">
      <c r="A780" s="1">
        <v>779.0</v>
      </c>
      <c r="B780" s="1" t="s">
        <v>4577</v>
      </c>
      <c r="C780" s="13" t="b">
        <f>IFERROR(__xludf.DUMMYFUNCTION("IF(ISTEXT(Filmes_raw!C780), REGEXEXTRACT(Filmes_raw!C780,""[^,]+$""))"),FALSE)</f>
        <v>0</v>
      </c>
      <c r="D780" s="1" t="b">
        <f t="shared" si="1"/>
        <v>0</v>
      </c>
      <c r="E780" s="14">
        <f>IFERROR(__xludf.DUMMYFUNCTION("VALUE(IF(ISTEXT(D780), REGEXREPLACE(Filmes_raw!C780,""[^,]+$"",D780),Filmes_raw!C780))"),1082715.0)</f>
        <v>1082715</v>
      </c>
      <c r="F780" s="6">
        <f>IFERROR(__xludf.DUMMYFUNCTION("VALUE(REGEXEXTRACT(Filmes_raw!F780, ""[0-9]+""
))"),101.0)</f>
        <v>101</v>
      </c>
    </row>
    <row r="781">
      <c r="A781" s="1">
        <v>780.0</v>
      </c>
      <c r="B781" s="1" t="s">
        <v>4582</v>
      </c>
      <c r="C781" s="13" t="b">
        <f>IFERROR(__xludf.DUMMYFUNCTION("IF(ISTEXT(Filmes_raw!C781), REGEXEXTRACT(Filmes_raw!C781,""[^,]+$""))"),FALSE)</f>
        <v>0</v>
      </c>
      <c r="D781" s="1" t="b">
        <f t="shared" si="1"/>
        <v>0</v>
      </c>
      <c r="E781" s="14">
        <f>IFERROR(__xludf.DUMMYFUNCTION("VALUE(IF(ISTEXT(D781), REGEXREPLACE(Filmes_raw!C781,""[^,]+$"",D781),Filmes_raw!C781))"),7.53316E7)</f>
        <v>75331600</v>
      </c>
      <c r="F781" s="6">
        <f>IFERROR(__xludf.DUMMYFUNCTION("VALUE(REGEXEXTRACT(Filmes_raw!F781, ""[0-9]+""
))"),152.0)</f>
        <v>152</v>
      </c>
    </row>
    <row r="782">
      <c r="A782" s="1">
        <v>781.0</v>
      </c>
      <c r="B782" s="1" t="s">
        <v>4586</v>
      </c>
      <c r="C782" s="13" t="b">
        <f>IFERROR(__xludf.DUMMYFUNCTION("IF(ISTEXT(Filmes_raw!C782), REGEXEXTRACT(Filmes_raw!C782,""[^,]+$""))"),FALSE)</f>
        <v>0</v>
      </c>
      <c r="D782" s="1" t="b">
        <f t="shared" si="1"/>
        <v>0</v>
      </c>
      <c r="E782" s="14">
        <f>IFERROR(__xludf.DUMMYFUNCTION("VALUE(IF(ISTEXT(D782), REGEXREPLACE(Filmes_raw!C782,""[^,]+$"",D782),Filmes_raw!C782))"),4.4585453E7)</f>
        <v>44585453</v>
      </c>
      <c r="F782" s="6">
        <f>IFERROR(__xludf.DUMMYFUNCTION("VALUE(REGEXEXTRACT(Filmes_raw!F782, ""[0-9]+""
))"),102.0)</f>
        <v>102</v>
      </c>
    </row>
    <row r="783">
      <c r="A783" s="1">
        <v>782.0</v>
      </c>
      <c r="B783" s="1" t="s">
        <v>4591</v>
      </c>
      <c r="C783" s="13" t="b">
        <f>IFERROR(__xludf.DUMMYFUNCTION("IF(ISTEXT(Filmes_raw!C783), REGEXEXTRACT(Filmes_raw!C783,""[^,]+$""))"),FALSE)</f>
        <v>0</v>
      </c>
      <c r="D783" s="1" t="b">
        <f t="shared" si="1"/>
        <v>0</v>
      </c>
      <c r="E783" s="14">
        <f>IFERROR(__xludf.DUMMYFUNCTION("VALUE(IF(ISTEXT(D783), REGEXREPLACE(Filmes_raw!C783,""[^,]+$"",D783),Filmes_raw!C783))"),2.90013036E8)</f>
        <v>290013036</v>
      </c>
      <c r="F783" s="6">
        <f>IFERROR(__xludf.DUMMYFUNCTION("VALUE(REGEXEXTRACT(Filmes_raw!F783, ""[0-9]+""
))"),157.0)</f>
        <v>157</v>
      </c>
    </row>
    <row r="784">
      <c r="A784" s="1">
        <v>783.0</v>
      </c>
      <c r="B784" s="1" t="s">
        <v>4595</v>
      </c>
      <c r="C784" s="13" t="b">
        <f>IFERROR(__xludf.DUMMYFUNCTION("IF(ISTEXT(Filmes_raw!C784), REGEXEXTRACT(Filmes_raw!C784,""[^,]+$""))"),FALSE)</f>
        <v>0</v>
      </c>
      <c r="D784" s="1" t="b">
        <f t="shared" si="1"/>
        <v>0</v>
      </c>
      <c r="E784" s="14">
        <f>IFERROR(__xludf.DUMMYFUNCTION("VALUE(IF(ISTEXT(D784), REGEXREPLACE(Filmes_raw!C784,""[^,]+$"",D784),Filmes_raw!C784))"),7.7911774E7)</f>
        <v>77911774</v>
      </c>
      <c r="F784" s="6">
        <f>IFERROR(__xludf.DUMMYFUNCTION("VALUE(REGEXEXTRACT(Filmes_raw!F784, ""[0-9]+""
))"),146.0)</f>
        <v>146</v>
      </c>
    </row>
    <row r="785">
      <c r="A785" s="1">
        <v>784.0</v>
      </c>
      <c r="B785" s="1" t="s">
        <v>4599</v>
      </c>
      <c r="C785" s="13" t="b">
        <f>IFERROR(__xludf.DUMMYFUNCTION("IF(ISTEXT(Filmes_raw!C785), REGEXEXTRACT(Filmes_raw!C785,""[^,]+$""))"),FALSE)</f>
        <v>0</v>
      </c>
      <c r="D785" s="1" t="b">
        <f t="shared" si="1"/>
        <v>0</v>
      </c>
      <c r="E785" s="14">
        <f>IFERROR(__xludf.DUMMYFUNCTION("VALUE(IF(ISTEXT(D785), REGEXREPLACE(Filmes_raw!C785,""[^,]+$"",D785),Filmes_raw!C785))"),7.5286229E7)</f>
        <v>75286229</v>
      </c>
      <c r="F785" s="6">
        <f>IFERROR(__xludf.DUMMYFUNCTION("VALUE(REGEXEXTRACT(Filmes_raw!F785, ""[0-9]+""
))"),100.0)</f>
        <v>100</v>
      </c>
    </row>
    <row r="786">
      <c r="A786" s="1">
        <v>785.0</v>
      </c>
      <c r="B786" s="1" t="s">
        <v>4604</v>
      </c>
      <c r="C786" s="13" t="b">
        <f>IFERROR(__xludf.DUMMYFUNCTION("IF(ISTEXT(Filmes_raw!C786), REGEXEXTRACT(Filmes_raw!C786,""[^,]+$""))"),FALSE)</f>
        <v>0</v>
      </c>
      <c r="D786" s="1" t="b">
        <f t="shared" si="1"/>
        <v>0</v>
      </c>
      <c r="E786" s="14">
        <f>IFERROR(__xludf.DUMMYFUNCTION("VALUE(IF(ISTEXT(D786), REGEXREPLACE(Filmes_raw!C786,""[^,]+$"",D786),Filmes_raw!C786))"),1.11110575E8)</f>
        <v>111110575</v>
      </c>
      <c r="F786" s="6">
        <f>IFERROR(__xludf.DUMMYFUNCTION("VALUE(REGEXEXTRACT(Filmes_raw!F786, ""[0-9]+""
))"),154.0)</f>
        <v>154</v>
      </c>
    </row>
    <row r="787">
      <c r="A787" s="1">
        <v>786.0</v>
      </c>
      <c r="B787" s="1" t="s">
        <v>4608</v>
      </c>
      <c r="C787" s="13" t="b">
        <f>IFERROR(__xludf.DUMMYFUNCTION("IF(ISTEXT(Filmes_raw!C787), REGEXEXTRACT(Filmes_raw!C787,""[^,]+$""))"),FALSE)</f>
        <v>0</v>
      </c>
      <c r="D787" s="1" t="b">
        <f t="shared" si="1"/>
        <v>0</v>
      </c>
      <c r="E787" s="14">
        <f>IFERROR(__xludf.DUMMYFUNCTION("VALUE(IF(ISTEXT(D787), REGEXREPLACE(Filmes_raw!C787,""[^,]+$"",D787),Filmes_raw!C787))"),4890878.0)</f>
        <v>4890878</v>
      </c>
      <c r="F787" s="6">
        <f>IFERROR(__xludf.DUMMYFUNCTION("VALUE(REGEXEXTRACT(Filmes_raw!F787, ""[0-9]+""
))"),114.0)</f>
        <v>114</v>
      </c>
    </row>
    <row r="788">
      <c r="A788" s="1">
        <v>787.0</v>
      </c>
      <c r="B788" s="1" t="s">
        <v>4615</v>
      </c>
      <c r="C788" s="13" t="b">
        <f>IFERROR(__xludf.DUMMYFUNCTION("IF(ISTEXT(Filmes_raw!C788), REGEXEXTRACT(Filmes_raw!C788,""[^,]+$""))"),FALSE)</f>
        <v>0</v>
      </c>
      <c r="D788" s="1" t="b">
        <f t="shared" si="1"/>
        <v>0</v>
      </c>
      <c r="E788" s="14">
        <f>IFERROR(__xludf.DUMMYFUNCTION("VALUE(IF(ISTEXT(D788), REGEXREPLACE(Filmes_raw!C788,""[^,]+$"",D788),Filmes_raw!C788))"),4064200.0)</f>
        <v>4064200</v>
      </c>
      <c r="F788" s="6">
        <f>IFERROR(__xludf.DUMMYFUNCTION("VALUE(REGEXEXTRACT(Filmes_raw!F788, ""[0-9]+""
))"),121.0)</f>
        <v>121</v>
      </c>
    </row>
    <row r="789">
      <c r="A789" s="1">
        <v>788.0</v>
      </c>
      <c r="B789" s="1" t="s">
        <v>4621</v>
      </c>
      <c r="C789" s="13" t="b">
        <f>IFERROR(__xludf.DUMMYFUNCTION("IF(ISTEXT(Filmes_raw!C789), REGEXEXTRACT(Filmes_raw!C789,""[^,]+$""))"),FALSE)</f>
        <v>0</v>
      </c>
      <c r="D789" s="1" t="b">
        <f t="shared" si="1"/>
        <v>0</v>
      </c>
      <c r="E789" s="14">
        <f>IFERROR(__xludf.DUMMYFUNCTION("VALUE(IF(ISTEXT(D789), REGEXREPLACE(Filmes_raw!C789,""[^,]+$"",D789),Filmes_raw!C789))"),1.5539266E7)</f>
        <v>15539266</v>
      </c>
      <c r="F789" s="6">
        <f>IFERROR(__xludf.DUMMYFUNCTION("VALUE(REGEXEXTRACT(Filmes_raw!F789, ""[0-9]+""
))"),105.0)</f>
        <v>105</v>
      </c>
    </row>
    <row r="790">
      <c r="A790" s="1">
        <v>789.0</v>
      </c>
      <c r="B790" s="1" t="s">
        <v>4624</v>
      </c>
      <c r="C790" s="13" t="b">
        <f>IFERROR(__xludf.DUMMYFUNCTION("IF(ISTEXT(Filmes_raw!C790), REGEXEXTRACT(Filmes_raw!C790,""[^,]+$""))"),FALSE)</f>
        <v>0</v>
      </c>
      <c r="D790" s="1" t="b">
        <f t="shared" si="1"/>
        <v>0</v>
      </c>
      <c r="E790" s="14">
        <f>IFERROR(__xludf.DUMMYFUNCTION("VALUE(IF(ISTEXT(D790), REGEXREPLACE(Filmes_raw!C790,""[^,]+$"",D790),Filmes_raw!C790))"),4.0311852E7)</f>
        <v>40311852</v>
      </c>
      <c r="F790" s="6">
        <f>IFERROR(__xludf.DUMMYFUNCTION("VALUE(REGEXEXTRACT(Filmes_raw!F790, ""[0-9]+""
))"),132.0)</f>
        <v>132</v>
      </c>
    </row>
    <row r="791">
      <c r="A791" s="1">
        <v>790.0</v>
      </c>
      <c r="B791" s="1" t="s">
        <v>4627</v>
      </c>
      <c r="C791" s="13" t="b">
        <f>IFERROR(__xludf.DUMMYFUNCTION("IF(ISTEXT(Filmes_raw!C791), REGEXEXTRACT(Filmes_raw!C791,""[^,]+$""))"),FALSE)</f>
        <v>0</v>
      </c>
      <c r="D791" s="1" t="b">
        <f t="shared" si="1"/>
        <v>0</v>
      </c>
      <c r="E791" s="14">
        <f>IFERROR(__xludf.DUMMYFUNCTION("VALUE(IF(ISTEXT(D791), REGEXREPLACE(Filmes_raw!C791,""[^,]+$"",D791),Filmes_raw!C791))"),2.2245861E7)</f>
        <v>22245861</v>
      </c>
      <c r="F791" s="6">
        <f>IFERROR(__xludf.DUMMYFUNCTION("VALUE(REGEXEXTRACT(Filmes_raw!F791, ""[0-9]+""
))"),115.0)</f>
        <v>115</v>
      </c>
    </row>
    <row r="792">
      <c r="A792" s="1">
        <v>791.0</v>
      </c>
      <c r="B792" s="1" t="s">
        <v>4630</v>
      </c>
      <c r="C792" s="13" t="b">
        <f>IFERROR(__xludf.DUMMYFUNCTION("IF(ISTEXT(Filmes_raw!C792), REGEXEXTRACT(Filmes_raw!C792,""[^,]+$""))"),FALSE)</f>
        <v>0</v>
      </c>
      <c r="D792" s="1" t="b">
        <f t="shared" si="1"/>
        <v>0</v>
      </c>
      <c r="E792" s="14">
        <f>IFERROR(__xludf.DUMMYFUNCTION("VALUE(IF(ISTEXT(D792), REGEXREPLACE(Filmes_raw!C792,""[^,]+$"",D792),Filmes_raw!C792))"),1.08638745E8)</f>
        <v>108638745</v>
      </c>
      <c r="F792" s="6">
        <f>IFERROR(__xludf.DUMMYFUNCTION("VALUE(REGEXEXTRACT(Filmes_raw!F792, ""[0-9]+""
))"),144.0)</f>
        <v>144</v>
      </c>
    </row>
    <row r="793">
      <c r="A793" s="1">
        <v>792.0</v>
      </c>
      <c r="B793" s="1" t="s">
        <v>4632</v>
      </c>
      <c r="C793" s="13" t="b">
        <f>IFERROR(__xludf.DUMMYFUNCTION("IF(ISTEXT(Filmes_raw!C793), REGEXEXTRACT(Filmes_raw!C793,""[^,]+$""))"),FALSE)</f>
        <v>0</v>
      </c>
      <c r="D793" s="1" t="b">
        <f t="shared" si="1"/>
        <v>0</v>
      </c>
      <c r="E793" s="14">
        <f>IFERROR(__xludf.DUMMYFUNCTION("VALUE(IF(ISTEXT(D793), REGEXREPLACE(Filmes_raw!C793,""[^,]+$"",D793),Filmes_raw!C793))"),1.04454762E8)</f>
        <v>104454762</v>
      </c>
      <c r="F793" s="6">
        <f>IFERROR(__xludf.DUMMYFUNCTION("VALUE(REGEXEXTRACT(Filmes_raw!F793, ""[0-9]+""
))"),117.0)</f>
        <v>117</v>
      </c>
    </row>
    <row r="794">
      <c r="A794" s="1">
        <v>793.0</v>
      </c>
      <c r="B794" s="1" t="s">
        <v>4637</v>
      </c>
      <c r="C794" s="13" t="b">
        <f>IFERROR(__xludf.DUMMYFUNCTION("IF(ISTEXT(Filmes_raw!C794), REGEXEXTRACT(Filmes_raw!C794,""[^,]+$""))"),FALSE)</f>
        <v>0</v>
      </c>
      <c r="D794" s="1" t="b">
        <f t="shared" si="1"/>
        <v>0</v>
      </c>
      <c r="E794" s="14">
        <f>IFERROR(__xludf.DUMMYFUNCTION("VALUE(IF(ISTEXT(D794), REGEXREPLACE(Filmes_raw!C794,""[^,]+$"",D794),Filmes_raw!C794))"),141072.0)</f>
        <v>141072</v>
      </c>
      <c r="F794" s="6">
        <f>IFERROR(__xludf.DUMMYFUNCTION("VALUE(REGEXEXTRACT(Filmes_raw!F794, ""[0-9]+""
))"),120.0)</f>
        <v>120</v>
      </c>
    </row>
    <row r="795">
      <c r="A795" s="1">
        <v>794.0</v>
      </c>
      <c r="B795" s="1" t="s">
        <v>4642</v>
      </c>
      <c r="C795" s="13" t="b">
        <f>IFERROR(__xludf.DUMMYFUNCTION("IF(ISTEXT(Filmes_raw!C795), REGEXEXTRACT(Filmes_raw!C795,""[^,]+$""))"),FALSE)</f>
        <v>0</v>
      </c>
      <c r="D795" s="1" t="b">
        <f t="shared" si="1"/>
        <v>0</v>
      </c>
      <c r="E795" s="14">
        <f>IFERROR(__xludf.DUMMYFUNCTION("VALUE(IF(ISTEXT(D795), REGEXREPLACE(Filmes_raw!C795,""[^,]+$"",D795),Filmes_raw!C795))"),2.1995263E7)</f>
        <v>21995263</v>
      </c>
      <c r="F795" s="6">
        <f>IFERROR(__xludf.DUMMYFUNCTION("VALUE(REGEXEXTRACT(Filmes_raw!F795, ""[0-9]+""
))"),110.0)</f>
        <v>110</v>
      </c>
    </row>
    <row r="796">
      <c r="A796" s="1">
        <v>795.0</v>
      </c>
      <c r="B796" s="1" t="s">
        <v>4649</v>
      </c>
      <c r="C796" s="13" t="b">
        <f>IFERROR(__xludf.DUMMYFUNCTION("IF(ISTEXT(Filmes_raw!C796), REGEXEXTRACT(Filmes_raw!C796,""[^,]+$""))"),FALSE)</f>
        <v>0</v>
      </c>
      <c r="D796" s="1" t="b">
        <f t="shared" si="1"/>
        <v>0</v>
      </c>
      <c r="E796" s="14">
        <f>IFERROR(__xludf.DUMMYFUNCTION("VALUE(IF(ISTEXT(D796), REGEXREPLACE(Filmes_raw!C796,""[^,]+$"",D796),Filmes_raw!C796))"),3029081.0)</f>
        <v>3029081</v>
      </c>
      <c r="F796" s="6">
        <f>IFERROR(__xludf.DUMMYFUNCTION("VALUE(REGEXEXTRACT(Filmes_raw!F796, ""[0-9]+""
))"),95.0)</f>
        <v>95</v>
      </c>
    </row>
    <row r="797">
      <c r="A797" s="1">
        <v>796.0</v>
      </c>
      <c r="B797" s="1" t="s">
        <v>4655</v>
      </c>
      <c r="C797" s="13" t="b">
        <f>IFERROR(__xludf.DUMMYFUNCTION("IF(ISTEXT(Filmes_raw!C797), REGEXEXTRACT(Filmes_raw!C797,""[^,]+$""))"),FALSE)</f>
        <v>0</v>
      </c>
      <c r="D797" s="1" t="b">
        <f t="shared" si="1"/>
        <v>0</v>
      </c>
      <c r="E797" s="14">
        <f>IFERROR(__xludf.DUMMYFUNCTION("VALUE(IF(ISTEXT(D797), REGEXREPLACE(Filmes_raw!C797,""[^,]+$"",D797),Filmes_raw!C797))"),1.8341715E8)</f>
        <v>183417150</v>
      </c>
      <c r="F797" s="6">
        <f>IFERROR(__xludf.DUMMYFUNCTION("VALUE(REGEXEXTRACT(Filmes_raw!F797, ""[0-9]+""
))"),116.0)</f>
        <v>116</v>
      </c>
    </row>
    <row r="798">
      <c r="A798" s="1">
        <v>797.0</v>
      </c>
      <c r="B798" s="1" t="s">
        <v>4658</v>
      </c>
      <c r="C798" s="13" t="b">
        <f>IFERROR(__xludf.DUMMYFUNCTION("IF(ISTEXT(Filmes_raw!C798), REGEXEXTRACT(Filmes_raw!C798,""[^,]+$""))"),FALSE)</f>
        <v>0</v>
      </c>
      <c r="D798" s="1" t="b">
        <f t="shared" si="1"/>
        <v>0</v>
      </c>
      <c r="E798" s="14">
        <f>IFERROR(__xludf.DUMMYFUNCTION("VALUE(IF(ISTEXT(D798), REGEXREPLACE(Filmes_raw!C798,""[^,]+$"",D798),Filmes_raw!C798))"),151086.0)</f>
        <v>151086</v>
      </c>
      <c r="F798" s="6">
        <f>IFERROR(__xludf.DUMMYFUNCTION("VALUE(REGEXEXTRACT(Filmes_raw!F798, ""[0-9]+""
))"),103.0)</f>
        <v>103</v>
      </c>
    </row>
    <row r="799">
      <c r="A799" s="1">
        <v>798.0</v>
      </c>
      <c r="B799" s="1" t="s">
        <v>4665</v>
      </c>
      <c r="C799" s="13" t="b">
        <f>IFERROR(__xludf.DUMMYFUNCTION("IF(ISTEXT(Filmes_raw!C799), REGEXEXTRACT(Filmes_raw!C799,""[^,]+$""))"),FALSE)</f>
        <v>0</v>
      </c>
      <c r="D799" s="1" t="b">
        <f t="shared" si="1"/>
        <v>0</v>
      </c>
      <c r="E799" s="14">
        <f>IFERROR(__xludf.DUMMYFUNCTION("VALUE(IF(ISTEXT(D799), REGEXREPLACE(Filmes_raw!C799,""[^,]+$"",D799),Filmes_raw!C799))"),4.5512588E7)</f>
        <v>45512588</v>
      </c>
      <c r="F799" s="6">
        <f>IFERROR(__xludf.DUMMYFUNCTION("VALUE(REGEXEXTRACT(Filmes_raw!F799, ""[0-9]+""
))"),107.0)</f>
        <v>107</v>
      </c>
    </row>
    <row r="800">
      <c r="A800" s="1">
        <v>799.0</v>
      </c>
      <c r="B800" s="1" t="s">
        <v>4669</v>
      </c>
      <c r="C800" s="13" t="b">
        <f>IFERROR(__xludf.DUMMYFUNCTION("IF(ISTEXT(Filmes_raw!C800), REGEXEXTRACT(Filmes_raw!C800,""[^,]+$""))"),FALSE)</f>
        <v>0</v>
      </c>
      <c r="D800" s="1" t="b">
        <f t="shared" si="1"/>
        <v>0</v>
      </c>
      <c r="E800" s="14">
        <f>IFERROR(__xludf.DUMMYFUNCTION("VALUE(IF(ISTEXT(D800), REGEXREPLACE(Filmes_raw!C800,""[^,]+$"",D800),Filmes_raw!C800))"),8449.0)</f>
        <v>8449</v>
      </c>
      <c r="F800" s="6">
        <f>IFERROR(__xludf.DUMMYFUNCTION("VALUE(REGEXEXTRACT(Filmes_raw!F800, ""[0-9]+""
))"),116.0)</f>
        <v>116</v>
      </c>
    </row>
    <row r="801">
      <c r="A801" s="1">
        <v>800.0</v>
      </c>
      <c r="B801" s="1" t="s">
        <v>4673</v>
      </c>
      <c r="C801" s="13" t="b">
        <f>IFERROR(__xludf.DUMMYFUNCTION("IF(ISTEXT(Filmes_raw!C801), REGEXEXTRACT(Filmes_raw!C801,""[^,]+$""))"),FALSE)</f>
        <v>0</v>
      </c>
      <c r="D801" s="1" t="b">
        <f t="shared" si="1"/>
        <v>0</v>
      </c>
      <c r="E801" s="14">
        <f>IFERROR(__xludf.DUMMYFUNCTION("VALUE(IF(ISTEXT(D801), REGEXREPLACE(Filmes_raw!C801,""[^,]+$"",D801),Filmes_raw!C801))"),5.2037603E7)</f>
        <v>52037603</v>
      </c>
      <c r="F801" s="6">
        <f>IFERROR(__xludf.DUMMYFUNCTION("VALUE(REGEXEXTRACT(Filmes_raw!F801, ""[0-9]+""
))"),81.0)</f>
        <v>81</v>
      </c>
    </row>
    <row r="802">
      <c r="A802" s="1">
        <v>801.0</v>
      </c>
      <c r="B802" s="1" t="s">
        <v>4680</v>
      </c>
      <c r="C802" s="13" t="b">
        <f>IFERROR(__xludf.DUMMYFUNCTION("IF(ISTEXT(Filmes_raw!C802), REGEXEXTRACT(Filmes_raw!C802,""[^,]+$""))"),FALSE)</f>
        <v>0</v>
      </c>
      <c r="D802" s="1" t="b">
        <f t="shared" si="1"/>
        <v>0</v>
      </c>
      <c r="E802" s="14">
        <f>IFERROR(__xludf.DUMMYFUNCTION("VALUE(IF(ISTEXT(D802), REGEXREPLACE(Filmes_raw!C802,""[^,]+$"",D802),Filmes_raw!C802))"),1.0824921E7)</f>
        <v>10824921</v>
      </c>
      <c r="F802" s="6">
        <f>IFERROR(__xludf.DUMMYFUNCTION("VALUE(REGEXEXTRACT(Filmes_raw!F802, ""[0-9]+""
))"),89.0)</f>
        <v>89</v>
      </c>
    </row>
    <row r="803">
      <c r="A803" s="1">
        <v>802.0</v>
      </c>
      <c r="B803" s="1" t="s">
        <v>4686</v>
      </c>
      <c r="C803" s="13" t="b">
        <f>IFERROR(__xludf.DUMMYFUNCTION("IF(ISTEXT(Filmes_raw!C803), REGEXEXTRACT(Filmes_raw!C803,""[^,]+$""))"),FALSE)</f>
        <v>0</v>
      </c>
      <c r="D803" s="1" t="b">
        <f t="shared" si="1"/>
        <v>0</v>
      </c>
      <c r="E803" s="14">
        <f>IFERROR(__xludf.DUMMYFUNCTION("VALUE(IF(ISTEXT(D803), REGEXREPLACE(Filmes_raw!C803,""[^,]+$"",D803),Filmes_raw!C803))"),2807390.0)</f>
        <v>2807390</v>
      </c>
      <c r="F803" s="6">
        <f>IFERROR(__xludf.DUMMYFUNCTION("VALUE(REGEXEXTRACT(Filmes_raw!F803, ""[0-9]+""
))"),134.0)</f>
        <v>134</v>
      </c>
    </row>
    <row r="804">
      <c r="A804" s="1">
        <v>803.0</v>
      </c>
      <c r="B804" s="1" t="s">
        <v>4692</v>
      </c>
      <c r="C804" s="13" t="b">
        <f>IFERROR(__xludf.DUMMYFUNCTION("IF(ISTEXT(Filmes_raw!C804), REGEXEXTRACT(Filmes_raw!C804,""[^,]+$""))"),FALSE)</f>
        <v>0</v>
      </c>
      <c r="D804" s="1" t="b">
        <f t="shared" si="1"/>
        <v>0</v>
      </c>
      <c r="E804" s="14">
        <f>IFERROR(__xludf.DUMMYFUNCTION("VALUE(IF(ISTEXT(D804), REGEXREPLACE(Filmes_raw!C804,""[^,]+$"",D804),Filmes_raw!C804))"),7.6631907E7)</f>
        <v>76631907</v>
      </c>
      <c r="F804" s="6">
        <f>IFERROR(__xludf.DUMMYFUNCTION("VALUE(REGEXEXTRACT(Filmes_raw!F804, ""[0-9]+""
))"),122.0)</f>
        <v>122</v>
      </c>
    </row>
    <row r="805">
      <c r="A805" s="1">
        <v>804.0</v>
      </c>
      <c r="B805" s="1" t="s">
        <v>4695</v>
      </c>
      <c r="C805" s="13" t="b">
        <f>IFERROR(__xludf.DUMMYFUNCTION("IF(ISTEXT(Filmes_raw!C805), REGEXEXTRACT(Filmes_raw!C805,""[^,]+$""))"),FALSE)</f>
        <v>0</v>
      </c>
      <c r="D805" s="1" t="b">
        <f t="shared" si="1"/>
        <v>0</v>
      </c>
      <c r="E805" s="14">
        <f>IFERROR(__xludf.DUMMYFUNCTION("VALUE(IF(ISTEXT(D805), REGEXREPLACE(Filmes_raw!C805,""[^,]+$"",D805),Filmes_raw!C805))"),1.7105219E7)</f>
        <v>17105219</v>
      </c>
      <c r="F805" s="6">
        <f>IFERROR(__xludf.DUMMYFUNCTION("VALUE(REGEXEXTRACT(Filmes_raw!F805, ""[0-9]+""
))"),93.0)</f>
        <v>93</v>
      </c>
    </row>
    <row r="806">
      <c r="A806" s="1">
        <v>805.0</v>
      </c>
      <c r="B806" s="1" t="s">
        <v>4698</v>
      </c>
      <c r="C806" s="13" t="b">
        <f>IFERROR(__xludf.DUMMYFUNCTION("IF(ISTEXT(Filmes_raw!C806), REGEXEXTRACT(Filmes_raw!C806,""[^,]+$""))"),FALSE)</f>
        <v>0</v>
      </c>
      <c r="D806" s="1" t="b">
        <f t="shared" si="1"/>
        <v>0</v>
      </c>
      <c r="E806" s="14">
        <f>IFERROR(__xludf.DUMMYFUNCTION("VALUE(IF(ISTEXT(D806), REGEXREPLACE(Filmes_raw!C806,""[^,]+$"",D806),Filmes_raw!C806))"),368234.0)</f>
        <v>368234</v>
      </c>
      <c r="F806" s="6">
        <f>IFERROR(__xludf.DUMMYFUNCTION("VALUE(REGEXEXTRACT(Filmes_raw!F806, ""[0-9]+""
))"),119.0)</f>
        <v>119</v>
      </c>
    </row>
    <row r="807">
      <c r="A807" s="1">
        <v>806.0</v>
      </c>
      <c r="B807" s="1" t="s">
        <v>4704</v>
      </c>
      <c r="C807" s="13" t="b">
        <f>IFERROR(__xludf.DUMMYFUNCTION("IF(ISTEXT(Filmes_raw!C807), REGEXEXTRACT(Filmes_raw!C807,""[^,]+$""))"),FALSE)</f>
        <v>0</v>
      </c>
      <c r="D807" s="1" t="b">
        <f t="shared" si="1"/>
        <v>0</v>
      </c>
      <c r="E807" s="14">
        <f>IFERROR(__xludf.DUMMYFUNCTION("VALUE(IF(ISTEXT(D807), REGEXREPLACE(Filmes_raw!C807,""[^,]+$"",D807),Filmes_raw!C807))"),2.2858926E7)</f>
        <v>22858926</v>
      </c>
      <c r="F807" s="6">
        <f>IFERROR(__xludf.DUMMYFUNCTION("VALUE(REGEXEXTRACT(Filmes_raw!F807, ""[0-9]+""
))"),113.0)</f>
        <v>113</v>
      </c>
    </row>
    <row r="808">
      <c r="A808" s="1">
        <v>807.0</v>
      </c>
      <c r="B808" s="1" t="s">
        <v>4707</v>
      </c>
      <c r="C808" s="13" t="b">
        <f>IFERROR(__xludf.DUMMYFUNCTION("IF(ISTEXT(Filmes_raw!C808), REGEXEXTRACT(Filmes_raw!C808,""[^,]+$""))"),FALSE)</f>
        <v>0</v>
      </c>
      <c r="D808" s="1" t="b">
        <f t="shared" si="1"/>
        <v>0</v>
      </c>
      <c r="E808" s="14">
        <f>IFERROR(__xludf.DUMMYFUNCTION("VALUE(IF(ISTEXT(D808), REGEXREPLACE(Filmes_raw!C808,""[^,]+$"",D808),Filmes_raw!C808))"),1.48478011E8)</f>
        <v>148478011</v>
      </c>
      <c r="F808" s="6">
        <f>IFERROR(__xludf.DUMMYFUNCTION("VALUE(REGEXEXTRACT(Filmes_raw!F808, ""[0-9]+""
))"),139.0)</f>
        <v>139</v>
      </c>
    </row>
    <row r="809">
      <c r="A809" s="1">
        <v>808.0</v>
      </c>
      <c r="B809" s="1" t="s">
        <v>4710</v>
      </c>
      <c r="C809" s="13" t="b">
        <f>IFERROR(__xludf.DUMMYFUNCTION("IF(ISTEXT(Filmes_raw!C809), REGEXEXTRACT(Filmes_raw!C809,""[^,]+$""))"),FALSE)</f>
        <v>0</v>
      </c>
      <c r="D809" s="1" t="b">
        <f t="shared" si="1"/>
        <v>0</v>
      </c>
      <c r="E809" s="14">
        <f>IFERROR(__xludf.DUMMYFUNCTION("VALUE(IF(ISTEXT(D809), REGEXREPLACE(Filmes_raw!C809,""[^,]+$"",D809),Filmes_raw!C809))"),6.354002E7)</f>
        <v>63540020</v>
      </c>
      <c r="F809" s="6">
        <f>IFERROR(__xludf.DUMMYFUNCTION("VALUE(REGEXEXTRACT(Filmes_raw!F809, ""[0-9]+""
))"),126.0)</f>
        <v>126</v>
      </c>
    </row>
    <row r="810">
      <c r="A810" s="1">
        <v>809.0</v>
      </c>
      <c r="B810" s="1" t="s">
        <v>4714</v>
      </c>
      <c r="C810" s="13" t="b">
        <f>IFERROR(__xludf.DUMMYFUNCTION("IF(ISTEXT(Filmes_raw!C810), REGEXEXTRACT(Filmes_raw!C810,""[^,]+$""))"),FALSE)</f>
        <v>0</v>
      </c>
      <c r="D810" s="1" t="b">
        <f t="shared" si="1"/>
        <v>0</v>
      </c>
      <c r="E810" s="14">
        <f>IFERROR(__xludf.DUMMYFUNCTION("VALUE(IF(ISTEXT(D810), REGEXREPLACE(Filmes_raw!C810,""[^,]+$"",D810),Filmes_raw!C810))"),4065116.0)</f>
        <v>4065116</v>
      </c>
      <c r="F810" s="6">
        <f>IFERROR(__xludf.DUMMYFUNCTION("VALUE(REGEXEXTRACT(Filmes_raw!F810, ""[0-9]+""
))"),80.0)</f>
        <v>80</v>
      </c>
    </row>
    <row r="811">
      <c r="A811" s="1">
        <v>810.0</v>
      </c>
      <c r="B811" s="1" t="s">
        <v>4721</v>
      </c>
      <c r="C811" s="13" t="b">
        <f>IFERROR(__xludf.DUMMYFUNCTION("IF(ISTEXT(Filmes_raw!C811), REGEXEXTRACT(Filmes_raw!C811,""[^,]+$""))"),FALSE)</f>
        <v>0</v>
      </c>
      <c r="D811" s="1" t="b">
        <f t="shared" si="1"/>
        <v>0</v>
      </c>
      <c r="E811" s="14">
        <f>IFERROR(__xludf.DUMMYFUNCTION("VALUE(IF(ISTEXT(D811), REGEXREPLACE(Filmes_raw!C811,""[^,]+$"",D811),Filmes_raw!C811))"),4.1909762E7)</f>
        <v>41909762</v>
      </c>
      <c r="F811" s="6">
        <f>IFERROR(__xludf.DUMMYFUNCTION("VALUE(REGEXEXTRACT(Filmes_raw!F811, ""[0-9]+""
))"),127.0)</f>
        <v>127</v>
      </c>
    </row>
    <row r="812">
      <c r="A812" s="1">
        <v>811.0</v>
      </c>
      <c r="B812" s="1" t="s">
        <v>4724</v>
      </c>
      <c r="C812" s="13" t="b">
        <f>IFERROR(__xludf.DUMMYFUNCTION("IF(ISTEXT(Filmes_raw!C812), REGEXEXTRACT(Filmes_raw!C812,""[^,]+$""))"),FALSE)</f>
        <v>0</v>
      </c>
      <c r="D812" s="1" t="b">
        <f t="shared" si="1"/>
        <v>0</v>
      </c>
      <c r="E812" s="14">
        <f>IFERROR(__xludf.DUMMYFUNCTION("VALUE(IF(ISTEXT(D812), REGEXREPLACE(Filmes_raw!C812,""[^,]+$"",D812),Filmes_raw!C812))"),3.5811509E7)</f>
        <v>35811509</v>
      </c>
      <c r="F812" s="6">
        <f>IFERROR(__xludf.DUMMYFUNCTION("VALUE(REGEXEXTRACT(Filmes_raw!F812, ""[0-9]+""
))"),105.0)</f>
        <v>105</v>
      </c>
    </row>
    <row r="813">
      <c r="A813" s="1">
        <v>812.0</v>
      </c>
      <c r="B813" s="1" t="s">
        <v>4730</v>
      </c>
      <c r="C813" s="13" t="b">
        <f>IFERROR(__xludf.DUMMYFUNCTION("IF(ISTEXT(Filmes_raw!C813), REGEXEXTRACT(Filmes_raw!C813,""[^,]+$""))"),FALSE)</f>
        <v>0</v>
      </c>
      <c r="D813" s="1" t="b">
        <f t="shared" si="1"/>
        <v>0</v>
      </c>
      <c r="E813" s="14">
        <f>IFERROR(__xludf.DUMMYFUNCTION("VALUE(IF(ISTEXT(D813), REGEXREPLACE(Filmes_raw!C813,""[^,]+$"",D813),Filmes_raw!C813))"),5.6116183E7)</f>
        <v>56116183</v>
      </c>
      <c r="F813" s="6">
        <f>IFERROR(__xludf.DUMMYFUNCTION("VALUE(REGEXEXTRACT(Filmes_raw!F813, ""[0-9]+""
))"),129.0)</f>
        <v>129</v>
      </c>
    </row>
    <row r="814">
      <c r="A814" s="1">
        <v>813.0</v>
      </c>
      <c r="B814" s="1" t="s">
        <v>4734</v>
      </c>
      <c r="C814" s="13" t="b">
        <f>IFERROR(__xludf.DUMMYFUNCTION("IF(ISTEXT(Filmes_raw!C814), REGEXEXTRACT(Filmes_raw!C814,""[^,]+$""))"),FALSE)</f>
        <v>0</v>
      </c>
      <c r="D814" s="1" t="b">
        <f t="shared" si="1"/>
        <v>0</v>
      </c>
      <c r="E814" s="14">
        <f>IFERROR(__xludf.DUMMYFUNCTION("VALUE(IF(ISTEXT(D814), REGEXREPLACE(Filmes_raw!C814,""[^,]+$"",D814),Filmes_raw!C814))"),4414535.0)</f>
        <v>4414535</v>
      </c>
      <c r="F814" s="6">
        <f>IFERROR(__xludf.DUMMYFUNCTION("VALUE(REGEXEXTRACT(Filmes_raw!F814, ""[0-9]+""
))"),242.0)</f>
        <v>242</v>
      </c>
    </row>
    <row r="815">
      <c r="A815" s="1">
        <v>814.0</v>
      </c>
      <c r="B815" s="1" t="s">
        <v>4738</v>
      </c>
      <c r="C815" s="13" t="b">
        <f>IFERROR(__xludf.DUMMYFUNCTION("IF(ISTEXT(Filmes_raw!C815), REGEXEXTRACT(Filmes_raw!C815,""[^,]+$""))"),FALSE)</f>
        <v>0</v>
      </c>
      <c r="D815" s="1" t="b">
        <f t="shared" si="1"/>
        <v>0</v>
      </c>
      <c r="E815" s="14">
        <f>IFERROR(__xludf.DUMMYFUNCTION("VALUE(IF(ISTEXT(D815), REGEXREPLACE(Filmes_raw!C815,""[^,]+$"",D815),Filmes_raw!C815))"),1.0019307E7)</f>
        <v>10019307</v>
      </c>
      <c r="F815" s="6">
        <f>IFERROR(__xludf.DUMMYFUNCTION("VALUE(REGEXEXTRACT(Filmes_raw!F815, ""[0-9]+""
))"),97.0)</f>
        <v>97</v>
      </c>
    </row>
    <row r="816">
      <c r="A816" s="1">
        <v>815.0</v>
      </c>
      <c r="B816" s="1" t="s">
        <v>4744</v>
      </c>
      <c r="C816" s="13" t="b">
        <f>IFERROR(__xludf.DUMMYFUNCTION("IF(ISTEXT(Filmes_raw!C816), REGEXEXTRACT(Filmes_raw!C816,""[^,]+$""))"),FALSE)</f>
        <v>0</v>
      </c>
      <c r="D816" s="1" t="b">
        <f t="shared" si="1"/>
        <v>0</v>
      </c>
      <c r="E816" s="14">
        <f>IFERROR(__xludf.DUMMYFUNCTION("VALUE(IF(ISTEXT(D816), REGEXREPLACE(Filmes_raw!C816,""[^,]+$"",D816),Filmes_raw!C816))"),251164.0)</f>
        <v>251164</v>
      </c>
      <c r="F816" s="6">
        <f>IFERROR(__xludf.DUMMYFUNCTION("VALUE(REGEXEXTRACT(Filmes_raw!F816, ""[0-9]+""
))"),99.0)</f>
        <v>99</v>
      </c>
    </row>
    <row r="817">
      <c r="A817" s="1">
        <v>816.0</v>
      </c>
      <c r="B817" s="1" t="s">
        <v>4749</v>
      </c>
      <c r="C817" s="13" t="b">
        <f>IFERROR(__xludf.DUMMYFUNCTION("IF(ISTEXT(Filmes_raw!C817), REGEXEXTRACT(Filmes_raw!C817,""[^,]+$""))"),FALSE)</f>
        <v>0</v>
      </c>
      <c r="D817" s="1" t="b">
        <f t="shared" si="1"/>
        <v>0</v>
      </c>
      <c r="E817" s="14">
        <f>IFERROR(__xludf.DUMMYFUNCTION("VALUE(IF(ISTEXT(D817), REGEXREPLACE(Filmes_raw!C817,""[^,]+$"",D817),Filmes_raw!C817))"),2.1848932E7)</f>
        <v>21848932</v>
      </c>
      <c r="F817" s="6">
        <f>IFERROR(__xludf.DUMMYFUNCTION("VALUE(REGEXEXTRACT(Filmes_raw!F817, ""[0-9]+""
))"),108.0)</f>
        <v>108</v>
      </c>
    </row>
    <row r="818">
      <c r="A818" s="1">
        <v>817.0</v>
      </c>
      <c r="B818" s="1" t="s">
        <v>4754</v>
      </c>
      <c r="C818" s="13" t="b">
        <f>IFERROR(__xludf.DUMMYFUNCTION("IF(ISTEXT(Filmes_raw!C818), REGEXEXTRACT(Filmes_raw!C818,""[^,]+$""))"),FALSE)</f>
        <v>0</v>
      </c>
      <c r="D818" s="1" t="b">
        <f t="shared" si="1"/>
        <v>0</v>
      </c>
      <c r="E818" s="14">
        <f>IFERROR(__xludf.DUMMYFUNCTION("VALUE(IF(ISTEXT(D818), REGEXREPLACE(Filmes_raw!C818,""[^,]+$"",D818),Filmes_raw!C818))"),3151130.0)</f>
        <v>3151130</v>
      </c>
      <c r="F818" s="6">
        <f>IFERROR(__xludf.DUMMYFUNCTION("VALUE(REGEXEXTRACT(Filmes_raw!F818, ""[0-9]+""
))"),92.0)</f>
        <v>92</v>
      </c>
    </row>
    <row r="819">
      <c r="A819" s="1">
        <v>818.0</v>
      </c>
      <c r="B819" s="1" t="s">
        <v>4761</v>
      </c>
      <c r="C819" s="13" t="b">
        <f>IFERROR(__xludf.DUMMYFUNCTION("IF(ISTEXT(Filmes_raw!C819), REGEXEXTRACT(Filmes_raw!C819,""[^,]+$""))"),FALSE)</f>
        <v>0</v>
      </c>
      <c r="D819" s="1" t="b">
        <f t="shared" si="1"/>
        <v>0</v>
      </c>
      <c r="E819" s="14">
        <f>IFERROR(__xludf.DUMMYFUNCTION("VALUE(IF(ISTEXT(D819), REGEXREPLACE(Filmes_raw!C819,""[^,]+$"",D819),Filmes_raw!C819))"),6110979.0)</f>
        <v>6110979</v>
      </c>
      <c r="F819" s="6">
        <f>IFERROR(__xludf.DUMMYFUNCTION("VALUE(REGEXEXTRACT(Filmes_raw!F819, ""[0-9]+""
))"),188.0)</f>
        <v>188</v>
      </c>
    </row>
    <row r="820">
      <c r="A820" s="1">
        <v>819.0</v>
      </c>
      <c r="B820" s="1" t="s">
        <v>4765</v>
      </c>
      <c r="C820" s="13" t="b">
        <f>IFERROR(__xludf.DUMMYFUNCTION("IF(ISTEXT(Filmes_raw!C820), REGEXEXTRACT(Filmes_raw!C820,""[^,]+$""))"),FALSE)</f>
        <v>0</v>
      </c>
      <c r="D820" s="1" t="b">
        <f t="shared" si="1"/>
        <v>0</v>
      </c>
      <c r="E820" s="14">
        <f>IFERROR(__xludf.DUMMYFUNCTION("VALUE(IF(ISTEXT(D820), REGEXREPLACE(Filmes_raw!C820,""[^,]+$"",D820),Filmes_raw!C820))"),7.7324422E7)</f>
        <v>77324422</v>
      </c>
      <c r="F820" s="6">
        <f>IFERROR(__xludf.DUMMYFUNCTION("VALUE(REGEXEXTRACT(Filmes_raw!F820, ""[0-9]+""
))"),125.0)</f>
        <v>125</v>
      </c>
    </row>
    <row r="821">
      <c r="A821" s="1">
        <v>820.0</v>
      </c>
      <c r="B821" s="1" t="s">
        <v>4769</v>
      </c>
      <c r="C821" s="13" t="b">
        <f>IFERROR(__xludf.DUMMYFUNCTION("IF(ISTEXT(Filmes_raw!C821), REGEXEXTRACT(Filmes_raw!C821,""[^,]+$""))"),FALSE)</f>
        <v>0</v>
      </c>
      <c r="D821" s="1" t="b">
        <f t="shared" si="1"/>
        <v>0</v>
      </c>
      <c r="E821" s="14">
        <f>IFERROR(__xludf.DUMMYFUNCTION("VALUE(IF(ISTEXT(D821), REGEXREPLACE(Filmes_raw!C821,""[^,]+$"",D821),Filmes_raw!C821))"),2.7281507E7)</f>
        <v>27281507</v>
      </c>
      <c r="F821" s="6">
        <f>IFERROR(__xludf.DUMMYFUNCTION("VALUE(REGEXEXTRACT(Filmes_raw!F821, ""[0-9]+""
))"),85.0)</f>
        <v>85</v>
      </c>
    </row>
    <row r="822">
      <c r="A822" s="1">
        <v>821.0</v>
      </c>
      <c r="B822" s="1" t="s">
        <v>4775</v>
      </c>
      <c r="C822" s="13" t="b">
        <f>IFERROR(__xludf.DUMMYFUNCTION("IF(ISTEXT(Filmes_raw!C822), REGEXEXTRACT(Filmes_raw!C822,""[^,]+$""))"),FALSE)</f>
        <v>0</v>
      </c>
      <c r="D822" s="1" t="b">
        <f t="shared" si="1"/>
        <v>0</v>
      </c>
      <c r="E822" s="14">
        <f>IFERROR(__xludf.DUMMYFUNCTION("VALUE(IF(ISTEXT(D822), REGEXREPLACE(Filmes_raw!C822,""[^,]+$"",D822),Filmes_raw!C822))"),4.8169908E7)</f>
        <v>48169908</v>
      </c>
      <c r="F822" s="6">
        <f>IFERROR(__xludf.DUMMYFUNCTION("VALUE(REGEXEXTRACT(Filmes_raw!F822, ""[0-9]+""
))"),202.0)</f>
        <v>202</v>
      </c>
    </row>
    <row r="823">
      <c r="A823" s="1">
        <v>822.0</v>
      </c>
      <c r="B823" s="1" t="s">
        <v>4779</v>
      </c>
      <c r="C823" s="13" t="b">
        <f>IFERROR(__xludf.DUMMYFUNCTION("IF(ISTEXT(Filmes_raw!C823), REGEXEXTRACT(Filmes_raw!C823,""[^,]+$""))"),FALSE)</f>
        <v>0</v>
      </c>
      <c r="D823" s="1" t="b">
        <f t="shared" si="1"/>
        <v>0</v>
      </c>
      <c r="E823" s="14">
        <f>IFERROR(__xludf.DUMMYFUNCTION("VALUE(IF(ISTEXT(D823), REGEXREPLACE(Filmes_raw!C823,""[^,]+$"",D823),Filmes_raw!C823))"),7.5505856E7)</f>
        <v>75505856</v>
      </c>
      <c r="F823" s="6">
        <f>IFERROR(__xludf.DUMMYFUNCTION("VALUE(REGEXEXTRACT(Filmes_raw!F823, ""[0-9]+""
))"),112.0)</f>
        <v>112</v>
      </c>
    </row>
    <row r="824">
      <c r="A824" s="1">
        <v>823.0</v>
      </c>
      <c r="B824" s="1" t="s">
        <v>4783</v>
      </c>
      <c r="C824" s="13" t="b">
        <f>IFERROR(__xludf.DUMMYFUNCTION("IF(ISTEXT(Filmes_raw!C824), REGEXEXTRACT(Filmes_raw!C824,""[^,]+$""))"),FALSE)</f>
        <v>0</v>
      </c>
      <c r="D824" s="1" t="b">
        <f t="shared" si="1"/>
        <v>0</v>
      </c>
      <c r="E824" s="14">
        <f>IFERROR(__xludf.DUMMYFUNCTION("VALUE(IF(ISTEXT(D824), REGEXREPLACE(Filmes_raw!C824,""[^,]+$"",D824),Filmes_raw!C824))"),1354960.0)</f>
        <v>1354960</v>
      </c>
      <c r="F824" s="6">
        <f>IFERROR(__xludf.DUMMYFUNCTION("VALUE(REGEXEXTRACT(Filmes_raw!F824, ""[0-9]+""
))"),94.0)</f>
        <v>94</v>
      </c>
    </row>
    <row r="825">
      <c r="A825" s="1">
        <v>824.0</v>
      </c>
      <c r="B825" s="1" t="s">
        <v>4789</v>
      </c>
      <c r="C825" s="13" t="b">
        <f>IFERROR(__xludf.DUMMYFUNCTION("IF(ISTEXT(Filmes_raw!C825), REGEXEXTRACT(Filmes_raw!C825,""[^,]+$""))"),FALSE)</f>
        <v>0</v>
      </c>
      <c r="D825" s="1" t="b">
        <f t="shared" si="1"/>
        <v>0</v>
      </c>
      <c r="E825" s="14">
        <f>IFERROR(__xludf.DUMMYFUNCTION("VALUE(IF(ISTEXT(D825), REGEXREPLACE(Filmes_raw!C825,""[^,]+$"",D825),Filmes_raw!C825))"),1.0725228E7)</f>
        <v>10725228</v>
      </c>
      <c r="F825" s="6">
        <f>IFERROR(__xludf.DUMMYFUNCTION("VALUE(REGEXEXTRACT(Filmes_raw!F825, ""[0-9]+""
))"),100.0)</f>
        <v>100</v>
      </c>
    </row>
    <row r="826">
      <c r="A826" s="1">
        <v>825.0</v>
      </c>
      <c r="B826" s="1" t="s">
        <v>4793</v>
      </c>
      <c r="C826" s="13" t="b">
        <f>IFERROR(__xludf.DUMMYFUNCTION("IF(ISTEXT(Filmes_raw!C826), REGEXEXTRACT(Filmes_raw!C826,""[^,]+$""))"),FALSE)</f>
        <v>0</v>
      </c>
      <c r="D826" s="1" t="b">
        <f t="shared" si="1"/>
        <v>0</v>
      </c>
      <c r="E826" s="14">
        <f>IFERROR(__xludf.DUMMYFUNCTION("VALUE(IF(ISTEXT(D826), REGEXREPLACE(Filmes_raw!C826,""[^,]+$"",D826),Filmes_raw!C826))"),1.41340178E8)</f>
        <v>141340178</v>
      </c>
      <c r="F826" s="6">
        <f>IFERROR(__xludf.DUMMYFUNCTION("VALUE(REGEXEXTRACT(Filmes_raw!F826, ""[0-9]+""
))"),138.0)</f>
        <v>138</v>
      </c>
    </row>
    <row r="827">
      <c r="A827" s="1">
        <v>826.0</v>
      </c>
      <c r="B827" s="1" t="s">
        <v>4796</v>
      </c>
      <c r="C827" s="13" t="b">
        <f>IFERROR(__xludf.DUMMYFUNCTION("IF(ISTEXT(Filmes_raw!C827), REGEXEXTRACT(Filmes_raw!C827,""[^,]+$""))"),FALSE)</f>
        <v>0</v>
      </c>
      <c r="D827" s="1" t="b">
        <f t="shared" si="1"/>
        <v>0</v>
      </c>
      <c r="E827" s="14">
        <f>IFERROR(__xludf.DUMMYFUNCTION("VALUE(IF(ISTEXT(D827), REGEXREPLACE(Filmes_raw!C827,""[^,]+$"",D827),Filmes_raw!C827))"),8.2418501E7)</f>
        <v>82418501</v>
      </c>
      <c r="F827" s="6">
        <f>IFERROR(__xludf.DUMMYFUNCTION("VALUE(REGEXEXTRACT(Filmes_raw!F827, ""[0-9]+""
))"),130.0)</f>
        <v>130</v>
      </c>
    </row>
    <row r="828">
      <c r="A828" s="1">
        <v>827.0</v>
      </c>
      <c r="B828" s="1" t="s">
        <v>4802</v>
      </c>
      <c r="C828" s="13" t="b">
        <f>IFERROR(__xludf.DUMMYFUNCTION("IF(ISTEXT(Filmes_raw!C828), REGEXEXTRACT(Filmes_raw!C828,""[^,]+$""))"),FALSE)</f>
        <v>0</v>
      </c>
      <c r="D828" s="1" t="b">
        <f t="shared" si="1"/>
        <v>0</v>
      </c>
      <c r="E828" s="14">
        <f>IFERROR(__xludf.DUMMYFUNCTION("VALUE(IF(ISTEXT(D828), REGEXREPLACE(Filmes_raw!C828,""[^,]+$"",D828),Filmes_raw!C828))"),6153939.0)</f>
        <v>6153939</v>
      </c>
      <c r="F828" s="6">
        <f>IFERROR(__xludf.DUMMYFUNCTION("VALUE(REGEXEXTRACT(Filmes_raw!F828, ""[0-9]+""
))"),116.0)</f>
        <v>116</v>
      </c>
    </row>
    <row r="829">
      <c r="A829" s="1">
        <v>828.0</v>
      </c>
      <c r="B829" s="1" t="s">
        <v>4805</v>
      </c>
      <c r="C829" s="13" t="b">
        <f>IFERROR(__xludf.DUMMYFUNCTION("IF(ISTEXT(Filmes_raw!C829), REGEXEXTRACT(Filmes_raw!C829,""[^,]+$""))"),FALSE)</f>
        <v>0</v>
      </c>
      <c r="D829" s="1" t="b">
        <f t="shared" si="1"/>
        <v>0</v>
      </c>
      <c r="E829" s="14">
        <f>IFERROR(__xludf.DUMMYFUNCTION("VALUE(IF(ISTEXT(D829), REGEXREPLACE(Filmes_raw!C829,""[^,]+$"",D829),Filmes_raw!C829))"),5080409.0)</f>
        <v>5080409</v>
      </c>
      <c r="F829" s="6">
        <f>IFERROR(__xludf.DUMMYFUNCTION("VALUE(REGEXEXTRACT(Filmes_raw!F829, ""[0-9]+""
))"),115.0)</f>
        <v>115</v>
      </c>
    </row>
    <row r="830">
      <c r="A830" s="1">
        <v>829.0</v>
      </c>
      <c r="B830" s="1" t="s">
        <v>4807</v>
      </c>
      <c r="C830" s="13" t="b">
        <f>IFERROR(__xludf.DUMMYFUNCTION("IF(ISTEXT(Filmes_raw!C830), REGEXEXTRACT(Filmes_raw!C830,""[^,]+$""))"),FALSE)</f>
        <v>0</v>
      </c>
      <c r="D830" s="1" t="b">
        <f t="shared" si="1"/>
        <v>0</v>
      </c>
      <c r="E830" s="14">
        <f>IFERROR(__xludf.DUMMYFUNCTION("VALUE(IF(ISTEXT(D830), REGEXREPLACE(Filmes_raw!C830,""[^,]+$"",D830),Filmes_raw!C830))"),1.5645237E8)</f>
        <v>156452370</v>
      </c>
      <c r="F830" s="6">
        <f>IFERROR(__xludf.DUMMYFUNCTION("VALUE(REGEXEXTRACT(Filmes_raw!F830, ""[0-9]+""
))"),104.0)</f>
        <v>104</v>
      </c>
    </row>
    <row r="831">
      <c r="A831" s="1">
        <v>830.0</v>
      </c>
      <c r="B831" s="1" t="s">
        <v>4812</v>
      </c>
      <c r="C831" s="13" t="b">
        <f>IFERROR(__xludf.DUMMYFUNCTION("IF(ISTEXT(Filmes_raw!C831), REGEXEXTRACT(Filmes_raw!C831,""[^,]+$""))"),FALSE)</f>
        <v>0</v>
      </c>
      <c r="D831" s="1" t="b">
        <f t="shared" si="1"/>
        <v>0</v>
      </c>
      <c r="E831" s="14">
        <f>IFERROR(__xludf.DUMMYFUNCTION("VALUE(IF(ISTEXT(D831), REGEXREPLACE(Filmes_raw!C831,""[^,]+$"",D831),Filmes_raw!C831))"),0.0)</f>
        <v>0</v>
      </c>
      <c r="F831" s="6">
        <f>IFERROR(__xludf.DUMMYFUNCTION("VALUE(REGEXEXTRACT(Filmes_raw!F831, ""[0-9]+""
))"),107.0)</f>
        <v>107</v>
      </c>
    </row>
    <row r="832">
      <c r="A832" s="1">
        <v>831.0</v>
      </c>
      <c r="B832" s="1" t="s">
        <v>4819</v>
      </c>
      <c r="C832" s="13" t="b">
        <f>IFERROR(__xludf.DUMMYFUNCTION("IF(ISTEXT(Filmes_raw!C832), REGEXEXTRACT(Filmes_raw!C832,""[^,]+$""))"),FALSE)</f>
        <v>0</v>
      </c>
      <c r="D832" s="1" t="b">
        <f t="shared" si="1"/>
        <v>0</v>
      </c>
      <c r="E832" s="14">
        <f>IFERROR(__xludf.DUMMYFUNCTION("VALUE(IF(ISTEXT(D832), REGEXREPLACE(Filmes_raw!C832,""[^,]+$"",D832),Filmes_raw!C832))"),1544889.0)</f>
        <v>1544889</v>
      </c>
      <c r="F832" s="6">
        <f>IFERROR(__xludf.DUMMYFUNCTION("VALUE(REGEXEXTRACT(Filmes_raw!F832, ""[0-9]+""
))"),107.0)</f>
        <v>107</v>
      </c>
    </row>
    <row r="833">
      <c r="A833" s="1">
        <v>832.0</v>
      </c>
      <c r="B833" s="1" t="s">
        <v>4825</v>
      </c>
      <c r="C833" s="13" t="b">
        <f>IFERROR(__xludf.DUMMYFUNCTION("IF(ISTEXT(Filmes_raw!C833), REGEXEXTRACT(Filmes_raw!C833,""[^,]+$""))"),FALSE)</f>
        <v>0</v>
      </c>
      <c r="D833" s="1" t="b">
        <f t="shared" si="1"/>
        <v>0</v>
      </c>
      <c r="E833" s="14">
        <f>IFERROR(__xludf.DUMMYFUNCTION("VALUE(IF(ISTEXT(D833), REGEXREPLACE(Filmes_raw!C833,""[^,]+$"",D833),Filmes_raw!C833))"),4.398423E7)</f>
        <v>43984230</v>
      </c>
      <c r="F833" s="6">
        <f>IFERROR(__xludf.DUMMYFUNCTION("VALUE(REGEXEXTRACT(Filmes_raw!F833, ""[0-9]+""
))"),163.0)</f>
        <v>163</v>
      </c>
    </row>
    <row r="834">
      <c r="A834" s="1">
        <v>833.0</v>
      </c>
      <c r="B834" s="1" t="s">
        <v>4830</v>
      </c>
      <c r="C834" s="13" t="b">
        <f>IFERROR(__xludf.DUMMYFUNCTION("IF(ISTEXT(Filmes_raw!C834), REGEXEXTRACT(Filmes_raw!C834,""[^,]+$""))"),FALSE)</f>
        <v>0</v>
      </c>
      <c r="D834" s="1" t="b">
        <f t="shared" si="1"/>
        <v>0</v>
      </c>
      <c r="E834" s="14">
        <f>IFERROR(__xludf.DUMMYFUNCTION("VALUE(IF(ISTEXT(D834), REGEXREPLACE(Filmes_raw!C834,""[^,]+$"",D834),Filmes_raw!C834))"),2.2238696E7)</f>
        <v>22238696</v>
      </c>
      <c r="F834" s="6">
        <f>IFERROR(__xludf.DUMMYFUNCTION("VALUE(REGEXEXTRACT(Filmes_raw!F834, ""[0-9]+""
))"),153.0)</f>
        <v>153</v>
      </c>
    </row>
    <row r="835">
      <c r="A835" s="1">
        <v>834.0</v>
      </c>
      <c r="B835" s="1" t="s">
        <v>4834</v>
      </c>
      <c r="C835" s="13" t="b">
        <f>IFERROR(__xludf.DUMMYFUNCTION("IF(ISTEXT(Filmes_raw!C835), REGEXEXTRACT(Filmes_raw!C835,""[^,]+$""))"),FALSE)</f>
        <v>0</v>
      </c>
      <c r="D835" s="1" t="b">
        <f t="shared" si="1"/>
        <v>0</v>
      </c>
      <c r="E835" s="14">
        <f>IFERROR(__xludf.DUMMYFUNCTION("VALUE(IF(ISTEXT(D835), REGEXREPLACE(Filmes_raw!C835,""[^,]+$"",D835),Filmes_raw!C835))"),7153487.0)</f>
        <v>7153487</v>
      </c>
      <c r="F835" s="6">
        <f>IFERROR(__xludf.DUMMYFUNCTION("VALUE(REGEXEXTRACT(Filmes_raw!F835, ""[0-9]+""
))"),130.0)</f>
        <v>130</v>
      </c>
    </row>
    <row r="836">
      <c r="A836" s="1">
        <v>835.0</v>
      </c>
      <c r="B836" s="1" t="s">
        <v>4839</v>
      </c>
      <c r="C836" s="13" t="b">
        <f>IFERROR(__xludf.DUMMYFUNCTION("IF(ISTEXT(Filmes_raw!C836), REGEXEXTRACT(Filmes_raw!C836,""[^,]+$""))"),FALSE)</f>
        <v>0</v>
      </c>
      <c r="D836" s="1" t="b">
        <f t="shared" si="1"/>
        <v>0</v>
      </c>
      <c r="E836" s="14">
        <f>IFERROR(__xludf.DUMMYFUNCTION("VALUE(IF(ISTEXT(D836), REGEXREPLACE(Filmes_raw!C836,""[^,]+$"",D836),Filmes_raw!C836))"),8551228.0)</f>
        <v>8551228</v>
      </c>
      <c r="F836" s="6">
        <f>IFERROR(__xludf.DUMMYFUNCTION("VALUE(REGEXEXTRACT(Filmes_raw!F836, ""[0-9]+""
))"),120.0)</f>
        <v>120</v>
      </c>
    </row>
    <row r="837">
      <c r="A837" s="1">
        <v>836.0</v>
      </c>
      <c r="B837" s="1" t="s">
        <v>4843</v>
      </c>
      <c r="C837" s="13" t="b">
        <f>IFERROR(__xludf.DUMMYFUNCTION("IF(ISTEXT(Filmes_raw!C837), REGEXEXTRACT(Filmes_raw!C837,""[^,]+$""))"),FALSE)</f>
        <v>0</v>
      </c>
      <c r="D837" s="1" t="b">
        <f t="shared" si="1"/>
        <v>0</v>
      </c>
      <c r="E837" s="14">
        <f>IFERROR(__xludf.DUMMYFUNCTION("VALUE(IF(ISTEXT(D837), REGEXREPLACE(Filmes_raw!C837,""[^,]+$"",D837),Filmes_raw!C837))"),1.0631333E7)</f>
        <v>10631333</v>
      </c>
      <c r="F837" s="6">
        <f>IFERROR(__xludf.DUMMYFUNCTION("VALUE(REGEXEXTRACT(Filmes_raw!F837, ""[0-9]+""
))"),82.0)</f>
        <v>82</v>
      </c>
    </row>
    <row r="838">
      <c r="A838" s="1">
        <v>837.0</v>
      </c>
      <c r="B838" s="1" t="s">
        <v>4847</v>
      </c>
      <c r="C838" s="13" t="b">
        <f>IFERROR(__xludf.DUMMYFUNCTION("IF(ISTEXT(Filmes_raw!C838), REGEXEXTRACT(Filmes_raw!C838,""[^,]+$""))"),FALSE)</f>
        <v>0</v>
      </c>
      <c r="D838" s="1" t="b">
        <f t="shared" si="1"/>
        <v>0</v>
      </c>
      <c r="E838" s="14">
        <f>IFERROR(__xludf.DUMMYFUNCTION("VALUE(IF(ISTEXT(D838), REGEXREPLACE(Filmes_raw!C838,""[^,]+$"",D838),Filmes_raw!C838))"),1.06E7)</f>
        <v>10600000</v>
      </c>
      <c r="F838" s="6">
        <f>IFERROR(__xludf.DUMMYFUNCTION("VALUE(REGEXEXTRACT(Filmes_raw!F838, ""[0-9]+""
))"),97.0)</f>
        <v>97</v>
      </c>
    </row>
    <row r="839">
      <c r="A839" s="1">
        <v>838.0</v>
      </c>
      <c r="B839" s="1" t="s">
        <v>4853</v>
      </c>
      <c r="C839" s="13" t="b">
        <f>IFERROR(__xludf.DUMMYFUNCTION("IF(ISTEXT(Filmes_raw!C839), REGEXEXTRACT(Filmes_raw!C839,""[^,]+$""))"),FALSE)</f>
        <v>0</v>
      </c>
      <c r="D839" s="1" t="b">
        <f t="shared" si="1"/>
        <v>0</v>
      </c>
      <c r="E839" s="14">
        <f>IFERROR(__xludf.DUMMYFUNCTION("VALUE(IF(ISTEXT(D839), REGEXREPLACE(Filmes_raw!C839,""[^,]+$"",D839),Filmes_raw!C839))"),1.1798616E7)</f>
        <v>11798616</v>
      </c>
      <c r="F839" s="6">
        <f>IFERROR(__xludf.DUMMYFUNCTION("VALUE(REGEXEXTRACT(Filmes_raw!F839, ""[0-9]+""
))"),79.0)</f>
        <v>79</v>
      </c>
    </row>
    <row r="840">
      <c r="A840" s="1">
        <v>839.0</v>
      </c>
      <c r="B840" s="1" t="s">
        <v>4858</v>
      </c>
      <c r="C840" s="13" t="b">
        <f>IFERROR(__xludf.DUMMYFUNCTION("IF(ISTEXT(Filmes_raw!C840), REGEXEXTRACT(Filmes_raw!C840,""[^,]+$""))"),FALSE)</f>
        <v>0</v>
      </c>
      <c r="D840" s="1" t="b">
        <f t="shared" si="1"/>
        <v>0</v>
      </c>
      <c r="E840" s="14">
        <f>IFERROR(__xludf.DUMMYFUNCTION("VALUE(IF(ISTEXT(D840), REGEXREPLACE(Filmes_raw!C840,""[^,]+$"",D840),Filmes_raw!C840))"),5.4E7)</f>
        <v>54000000</v>
      </c>
      <c r="F840" s="6">
        <f>IFERROR(__xludf.DUMMYFUNCTION("VALUE(REGEXEXTRACT(Filmes_raw!F840, ""[0-9]+""
))"),129.0)</f>
        <v>129</v>
      </c>
    </row>
    <row r="841">
      <c r="A841" s="1">
        <v>840.0</v>
      </c>
      <c r="B841" s="1" t="s">
        <v>4861</v>
      </c>
      <c r="C841" s="13" t="b">
        <f>IFERROR(__xludf.DUMMYFUNCTION("IF(ISTEXT(Filmes_raw!C841), REGEXEXTRACT(Filmes_raw!C841,""[^,]+$""))"),FALSE)</f>
        <v>0</v>
      </c>
      <c r="D841" s="1" t="b">
        <f t="shared" si="1"/>
        <v>0</v>
      </c>
      <c r="E841" s="14">
        <f>IFERROR(__xludf.DUMMYFUNCTION("VALUE(IF(ISTEXT(D841), REGEXREPLACE(Filmes_raw!C841,""[^,]+$"",D841),Filmes_raw!C841))"),7.8912963E7)</f>
        <v>78912963</v>
      </c>
      <c r="F841" s="6">
        <f>IFERROR(__xludf.DUMMYFUNCTION("VALUE(REGEXEXTRACT(Filmes_raw!F841, ""[0-9]+""
))"),113.0)</f>
        <v>113</v>
      </c>
    </row>
    <row r="842">
      <c r="A842" s="1">
        <v>841.0</v>
      </c>
      <c r="B842" s="1" t="s">
        <v>4867</v>
      </c>
      <c r="C842" s="13" t="b">
        <f>IFERROR(__xludf.DUMMYFUNCTION("IF(ISTEXT(Filmes_raw!C842), REGEXEXTRACT(Filmes_raw!C842,""[^,]+$""))"),FALSE)</f>
        <v>0</v>
      </c>
      <c r="D842" s="1" t="b">
        <f t="shared" si="1"/>
        <v>0</v>
      </c>
      <c r="E842" s="14">
        <f>IFERROR(__xludf.DUMMYFUNCTION("VALUE(IF(ISTEXT(D842), REGEXREPLACE(Filmes_raw!C842,""[^,]+$"",D842),Filmes_raw!C842))"),4.7212904E7)</f>
        <v>47212904</v>
      </c>
      <c r="F842" s="6">
        <f>IFERROR(__xludf.DUMMYFUNCTION("VALUE(REGEXEXTRACT(Filmes_raw!F842, ""[0-9]+""
))"),93.0)</f>
        <v>93</v>
      </c>
    </row>
    <row r="843">
      <c r="A843" s="1">
        <v>842.0</v>
      </c>
      <c r="B843" s="1" t="s">
        <v>4871</v>
      </c>
      <c r="C843" s="13" t="b">
        <f>IFERROR(__xludf.DUMMYFUNCTION("IF(ISTEXT(Filmes_raw!C843), REGEXEXTRACT(Filmes_raw!C843,""[^,]+$""))"),FALSE)</f>
        <v>0</v>
      </c>
      <c r="D843" s="1" t="b">
        <f t="shared" si="1"/>
        <v>0</v>
      </c>
      <c r="E843" s="14">
        <f>IFERROR(__xludf.DUMMYFUNCTION("VALUE(IF(ISTEXT(D843), REGEXREPLACE(Filmes_raw!C843,""[^,]+$"",D843),Filmes_raw!C843))"),5.48E7)</f>
        <v>54800000</v>
      </c>
      <c r="F843" s="6">
        <f>IFERROR(__xludf.DUMMYFUNCTION("VALUE(REGEXEXTRACT(Filmes_raw!F843, ""[0-9]+""
))"),124.0)</f>
        <v>124</v>
      </c>
    </row>
    <row r="844">
      <c r="A844" s="1">
        <v>843.0</v>
      </c>
      <c r="B844" s="1" t="s">
        <v>4876</v>
      </c>
      <c r="C844" s="13" t="b">
        <f>IFERROR(__xludf.DUMMYFUNCTION("IF(ISTEXT(Filmes_raw!C844), REGEXEXTRACT(Filmes_raw!C844,""[^,]+$""))"),FALSE)</f>
        <v>0</v>
      </c>
      <c r="D844" s="1" t="b">
        <f t="shared" si="1"/>
        <v>0</v>
      </c>
      <c r="E844" s="14">
        <f>IFERROR(__xludf.DUMMYFUNCTION("VALUE(IF(ISTEXT(D844), REGEXREPLACE(Filmes_raw!C844,""[^,]+$"",D844),Filmes_raw!C844))"),8.34E7)</f>
        <v>83400000</v>
      </c>
      <c r="F844" s="6">
        <f>IFERROR(__xludf.DUMMYFUNCTION("VALUE(REGEXEXTRACT(Filmes_raw!F844, ""[0-9]+""
))"),88.0)</f>
        <v>88</v>
      </c>
    </row>
    <row r="845">
      <c r="A845" s="1">
        <v>844.0</v>
      </c>
      <c r="B845" s="1" t="s">
        <v>4883</v>
      </c>
      <c r="C845" s="13" t="b">
        <f>IFERROR(__xludf.DUMMYFUNCTION("IF(ISTEXT(Filmes_raw!C845), REGEXEXTRACT(Filmes_raw!C845,""[^,]+$""))"),FALSE)</f>
        <v>0</v>
      </c>
      <c r="D845" s="1" t="b">
        <f t="shared" si="1"/>
        <v>0</v>
      </c>
      <c r="E845" s="14">
        <f>IFERROR(__xludf.DUMMYFUNCTION("VALUE(IF(ISTEXT(D845), REGEXREPLACE(Filmes_raw!C845,""[^,]+$"",D845),Filmes_raw!C845))"),523161.0)</f>
        <v>523161</v>
      </c>
      <c r="F845" s="6">
        <f>IFERROR(__xludf.DUMMYFUNCTION("VALUE(REGEXEXTRACT(Filmes_raw!F845, ""[0-9]+""
))"),100.0)</f>
        <v>100</v>
      </c>
    </row>
    <row r="846">
      <c r="A846" s="1">
        <v>845.0</v>
      </c>
      <c r="B846" s="1" t="s">
        <v>4889</v>
      </c>
      <c r="C846" s="13" t="b">
        <f>IFERROR(__xludf.DUMMYFUNCTION("IF(ISTEXT(Filmes_raw!C846), REGEXEXTRACT(Filmes_raw!C846,""[^,]+$""))"),FALSE)</f>
        <v>0</v>
      </c>
      <c r="D846" s="1" t="b">
        <f t="shared" si="1"/>
        <v>0</v>
      </c>
      <c r="E846" s="14">
        <f>IFERROR(__xludf.DUMMYFUNCTION("VALUE(IF(ISTEXT(D846), REGEXREPLACE(Filmes_raw!C846,""[^,]+$"",D846),Filmes_raw!C846))"),4.7E7)</f>
        <v>47000000</v>
      </c>
      <c r="F846" s="6">
        <f>IFERROR(__xludf.DUMMYFUNCTION("VALUE(REGEXEXTRACT(Filmes_raw!F846, ""[0-9]+""
))"),91.0)</f>
        <v>91</v>
      </c>
    </row>
    <row r="847">
      <c r="A847" s="1">
        <v>846.0</v>
      </c>
      <c r="B847" s="1" t="s">
        <v>4894</v>
      </c>
      <c r="C847" s="13" t="b">
        <f>IFERROR(__xludf.DUMMYFUNCTION("IF(ISTEXT(Filmes_raw!C847), REGEXEXTRACT(Filmes_raw!C847,""[^,]+$""))"),FALSE)</f>
        <v>0</v>
      </c>
      <c r="D847" s="1" t="b">
        <f t="shared" si="1"/>
        <v>0</v>
      </c>
      <c r="E847" s="14">
        <f>IFERROR(__xludf.DUMMYFUNCTION("VALUE(IF(ISTEXT(D847), REGEXREPLACE(Filmes_raw!C847,""[^,]+$"",D847),Filmes_raw!C847))"),1924733.0)</f>
        <v>1924733</v>
      </c>
      <c r="F847" s="6">
        <f>IFERROR(__xludf.DUMMYFUNCTION("VALUE(REGEXEXTRACT(Filmes_raw!F847, ""[0-9]+""
))"),126.0)</f>
        <v>126</v>
      </c>
    </row>
    <row r="848">
      <c r="A848" s="1">
        <v>847.0</v>
      </c>
      <c r="B848" s="1" t="s">
        <v>4898</v>
      </c>
      <c r="C848" s="13" t="b">
        <f>IFERROR(__xludf.DUMMYFUNCTION("IF(ISTEXT(Filmes_raw!C848), REGEXEXTRACT(Filmes_raw!C848,""[^,]+$""))"),FALSE)</f>
        <v>0</v>
      </c>
      <c r="D848" s="1" t="b">
        <f t="shared" si="1"/>
        <v>0</v>
      </c>
      <c r="E848" s="14">
        <f>IFERROR(__xludf.DUMMYFUNCTION("VALUE(IF(ISTEXT(D848), REGEXREPLACE(Filmes_raw!C848,""[^,]+$"",D848),Filmes_raw!C848))"),2.0123742E7)</f>
        <v>20123742</v>
      </c>
      <c r="F848" s="6">
        <f>IFERROR(__xludf.DUMMYFUNCTION("VALUE(REGEXEXTRACT(Filmes_raw!F848, ""[0-9]+""
))"),85.0)</f>
        <v>85</v>
      </c>
    </row>
    <row r="849">
      <c r="A849" s="1">
        <v>848.0</v>
      </c>
      <c r="B849" s="1" t="s">
        <v>4902</v>
      </c>
      <c r="C849" s="13" t="b">
        <f>IFERROR(__xludf.DUMMYFUNCTION("IF(ISTEXT(Filmes_raw!C849), REGEXEXTRACT(Filmes_raw!C849,""[^,]+$""))"),FALSE)</f>
        <v>0</v>
      </c>
      <c r="D849" s="1" t="b">
        <f t="shared" si="1"/>
        <v>0</v>
      </c>
      <c r="E849" s="14">
        <f>IFERROR(__xludf.DUMMYFUNCTION("VALUE(IF(ISTEXT(D849), REGEXREPLACE(Filmes_raw!C849,""[^,]+$"",D849),Filmes_raw!C849))"),5000000.0)</f>
        <v>5000000</v>
      </c>
      <c r="F849" s="6">
        <f>IFERROR(__xludf.DUMMYFUNCTION("VALUE(REGEXEXTRACT(Filmes_raw!F849, ""[0-9]+""
))"),104.0)</f>
        <v>104</v>
      </c>
    </row>
    <row r="850">
      <c r="A850" s="1">
        <v>849.0</v>
      </c>
      <c r="B850" s="1" t="s">
        <v>4906</v>
      </c>
      <c r="C850" s="13" t="b">
        <f>IFERROR(__xludf.DUMMYFUNCTION("IF(ISTEXT(Filmes_raw!C850), REGEXEXTRACT(Filmes_raw!C850,""[^,]+$""))"),FALSE)</f>
        <v>0</v>
      </c>
      <c r="D850" s="1" t="b">
        <f t="shared" si="1"/>
        <v>0</v>
      </c>
      <c r="E850" s="14">
        <f>IFERROR(__xludf.DUMMYFUNCTION("VALUE(IF(ISTEXT(D850), REGEXREPLACE(Filmes_raw!C850,""[^,]+$"",D850),Filmes_raw!C850))"),1.195E8)</f>
        <v>119500000</v>
      </c>
      <c r="F850" s="6">
        <f>IFERROR(__xludf.DUMMYFUNCTION("VALUE(REGEXEXTRACT(Filmes_raw!F850, ""[0-9]+""
))"),93.0)</f>
        <v>93</v>
      </c>
    </row>
    <row r="851">
      <c r="A851" s="1">
        <v>850.0</v>
      </c>
      <c r="B851" s="1" t="s">
        <v>4912</v>
      </c>
      <c r="C851" s="13" t="b">
        <f>IFERROR(__xludf.DUMMYFUNCTION("IF(ISTEXT(Filmes_raw!C851), REGEXEXTRACT(Filmes_raw!C851,""[^,]+$""))"),FALSE)</f>
        <v>0</v>
      </c>
      <c r="D851" s="1" t="b">
        <f t="shared" si="1"/>
        <v>0</v>
      </c>
      <c r="E851" s="14">
        <f>IFERROR(__xludf.DUMMYFUNCTION("VALUE(IF(ISTEXT(D851), REGEXREPLACE(Filmes_raw!C851,""[^,]+$"",D851),Filmes_raw!C851))"),2.98E7)</f>
        <v>29800000</v>
      </c>
      <c r="F851" s="6">
        <f>IFERROR(__xludf.DUMMYFUNCTION("VALUE(REGEXEXTRACT(Filmes_raw!F851, ""[0-9]+""
))"),130.0)</f>
        <v>130</v>
      </c>
    </row>
    <row r="852">
      <c r="A852" s="1">
        <v>851.0</v>
      </c>
      <c r="B852" s="1" t="s">
        <v>4917</v>
      </c>
      <c r="C852" s="13" t="b">
        <f>IFERROR(__xludf.DUMMYFUNCTION("IF(ISTEXT(Filmes_raw!C852), REGEXEXTRACT(Filmes_raw!C852,""[^,]+$""))"),FALSE)</f>
        <v>0</v>
      </c>
      <c r="D852" s="1" t="b">
        <f t="shared" si="1"/>
        <v>0</v>
      </c>
      <c r="E852" s="14">
        <f>IFERROR(__xludf.DUMMYFUNCTION("VALUE(IF(ISTEXT(D852), REGEXREPLACE(Filmes_raw!C852,""[^,]+$"",D852),Filmes_raw!C852))"),2.5E7)</f>
        <v>25000000</v>
      </c>
      <c r="F852" s="6">
        <f>IFERROR(__xludf.DUMMYFUNCTION("VALUE(REGEXEXTRACT(Filmes_raw!F852, ""[0-9]+""
))"),102.0)</f>
        <v>102</v>
      </c>
    </row>
    <row r="853">
      <c r="A853" s="1">
        <v>852.0</v>
      </c>
      <c r="B853" s="1" t="s">
        <v>4924</v>
      </c>
      <c r="C853" s="13" t="b">
        <f>IFERROR(__xludf.DUMMYFUNCTION("IF(ISTEXT(Filmes_raw!C853), REGEXEXTRACT(Filmes_raw!C853,""[^,]+$""))"),FALSE)</f>
        <v>0</v>
      </c>
      <c r="D853" s="1" t="b">
        <f t="shared" si="1"/>
        <v>0</v>
      </c>
      <c r="E853" s="14">
        <f>IFERROR(__xludf.DUMMYFUNCTION("VALUE(IF(ISTEXT(D853), REGEXREPLACE(Filmes_raw!C853,""[^,]+$"",D853),Filmes_raw!C853))"),7056013.0)</f>
        <v>7056013</v>
      </c>
      <c r="F853" s="6">
        <f>IFERROR(__xludf.DUMMYFUNCTION("VALUE(REGEXEXTRACT(Filmes_raw!F853, ""[0-9]+""
))"),109.0)</f>
        <v>109</v>
      </c>
    </row>
    <row r="854">
      <c r="A854" s="1">
        <v>853.0</v>
      </c>
      <c r="B854" s="1" t="s">
        <v>4928</v>
      </c>
      <c r="C854" s="13" t="b">
        <f>IFERROR(__xludf.DUMMYFUNCTION("IF(ISTEXT(Filmes_raw!C854), REGEXEXTRACT(Filmes_raw!C854,""[^,]+$""))"),FALSE)</f>
        <v>0</v>
      </c>
      <c r="D854" s="1" t="b">
        <f t="shared" si="1"/>
        <v>0</v>
      </c>
      <c r="E854" s="14">
        <f>IFERROR(__xludf.DUMMYFUNCTION("VALUE(IF(ISTEXT(D854), REGEXREPLACE(Filmes_raw!C854,""[^,]+$"",D854),Filmes_raw!C854))"),1.563071E7)</f>
        <v>15630710</v>
      </c>
      <c r="F854" s="6">
        <f>IFERROR(__xludf.DUMMYFUNCTION("VALUE(REGEXEXTRACT(Filmes_raw!F854, ""[0-9]+""
))"),104.0)</f>
        <v>104</v>
      </c>
    </row>
    <row r="855">
      <c r="A855" s="1">
        <v>854.0</v>
      </c>
      <c r="B855" s="1" t="s">
        <v>4931</v>
      </c>
      <c r="C855" s="13" t="b">
        <f>IFERROR(__xludf.DUMMYFUNCTION("IF(ISTEXT(Filmes_raw!C855), REGEXEXTRACT(Filmes_raw!C855,""[^,]+$""))"),FALSE)</f>
        <v>0</v>
      </c>
      <c r="D855" s="1" t="b">
        <f t="shared" si="1"/>
        <v>0</v>
      </c>
      <c r="E855" s="14">
        <f>IFERROR(__xludf.DUMMYFUNCTION("VALUE(IF(ISTEXT(D855), REGEXREPLACE(Filmes_raw!C855,""[^,]+$"",D855),Filmes_raw!C855))"),3.59E7)</f>
        <v>35900000</v>
      </c>
      <c r="F855" s="6">
        <f>IFERROR(__xludf.DUMMYFUNCTION("VALUE(REGEXEXTRACT(Filmes_raw!F855, ""[0-9]+""
))"),102.0)</f>
        <v>102</v>
      </c>
    </row>
    <row r="856">
      <c r="A856" s="1">
        <v>855.0</v>
      </c>
      <c r="B856" s="1" t="s">
        <v>4937</v>
      </c>
      <c r="C856" s="13" t="b">
        <f>IFERROR(__xludf.DUMMYFUNCTION("IF(ISTEXT(Filmes_raw!C856), REGEXEXTRACT(Filmes_raw!C856,""[^,]+$""))"),FALSE)</f>
        <v>0</v>
      </c>
      <c r="D856" s="1" t="b">
        <f t="shared" si="1"/>
        <v>0</v>
      </c>
      <c r="E856" s="14">
        <f>IFERROR(__xludf.DUMMYFUNCTION("VALUE(IF(ISTEXT(D856), REGEXREPLACE(Filmes_raw!C856,""[^,]+$"",D856),Filmes_raw!C856))"),7100000.0)</f>
        <v>7100000</v>
      </c>
      <c r="F856" s="6">
        <f>IFERROR(__xludf.DUMMYFUNCTION("VALUE(REGEXEXTRACT(Filmes_raw!F856, ""[0-9]+""
))"),158.0)</f>
        <v>158</v>
      </c>
    </row>
    <row r="857">
      <c r="A857" s="1">
        <v>856.0</v>
      </c>
      <c r="B857" s="1" t="s">
        <v>4943</v>
      </c>
      <c r="C857" s="13" t="b">
        <f>IFERROR(__xludf.DUMMYFUNCTION("IF(ISTEXT(Filmes_raw!C857), REGEXEXTRACT(Filmes_raw!C857,""[^,]+$""))"),FALSE)</f>
        <v>0</v>
      </c>
      <c r="D857" s="1" t="b">
        <f t="shared" si="1"/>
        <v>0</v>
      </c>
      <c r="E857" s="14">
        <f>IFERROR(__xludf.DUMMYFUNCTION("VALUE(IF(ISTEXT(D857), REGEXREPLACE(Filmes_raw!C857,""[^,]+$"",D857),Filmes_raw!C857))"),4.4527234E7)</f>
        <v>44527234</v>
      </c>
      <c r="F857" s="6">
        <f>IFERROR(__xludf.DUMMYFUNCTION("VALUE(REGEXEXTRACT(Filmes_raw!F857, ""[0-9]+""
))"),105.0)</f>
        <v>105</v>
      </c>
    </row>
    <row r="858">
      <c r="A858" s="1">
        <v>857.0</v>
      </c>
      <c r="B858" s="1" t="s">
        <v>4947</v>
      </c>
      <c r="C858" s="13" t="b">
        <f>IFERROR(__xludf.DUMMYFUNCTION("IF(ISTEXT(Filmes_raw!C858), REGEXEXTRACT(Filmes_raw!C858,""[^,]+$""))"),FALSE)</f>
        <v>0</v>
      </c>
      <c r="D858" s="1" t="b">
        <f t="shared" si="1"/>
        <v>0</v>
      </c>
      <c r="E858" s="14">
        <f>IFERROR(__xludf.DUMMYFUNCTION("VALUE(IF(ISTEXT(D858), REGEXREPLACE(Filmes_raw!C858,""[^,]+$"",D858),Filmes_raw!C858))"),4.53E7)</f>
        <v>45300000</v>
      </c>
      <c r="F858" s="6">
        <f>IFERROR(__xludf.DUMMYFUNCTION("VALUE(REGEXEXTRACT(Filmes_raw!F858, ""[0-9]+""
))"),150.0)</f>
        <v>150</v>
      </c>
    </row>
    <row r="859">
      <c r="A859" s="1">
        <v>858.0</v>
      </c>
      <c r="B859" s="1" t="s">
        <v>4949</v>
      </c>
      <c r="C859" s="13" t="b">
        <f>IFERROR(__xludf.DUMMYFUNCTION("IF(ISTEXT(Filmes_raw!C859), REGEXEXTRACT(Filmes_raw!C859,""[^,]+$""))"),FALSE)</f>
        <v>0</v>
      </c>
      <c r="D859" s="1" t="b">
        <f t="shared" si="1"/>
        <v>0</v>
      </c>
      <c r="E859" s="14">
        <f>IFERROR(__xludf.DUMMYFUNCTION("VALUE(IF(ISTEXT(D859), REGEXREPLACE(Filmes_raw!C859,""[^,]+$"",D859),Filmes_raw!C859))"),26331.0)</f>
        <v>26331</v>
      </c>
      <c r="F859" s="6">
        <f>IFERROR(__xludf.DUMMYFUNCTION("VALUE(REGEXEXTRACT(Filmes_raw!F859, ""[0-9]+""
))"),100.0)</f>
        <v>100</v>
      </c>
    </row>
    <row r="860">
      <c r="A860" s="1">
        <v>859.0</v>
      </c>
      <c r="B860" s="1" t="s">
        <v>4954</v>
      </c>
      <c r="C860" s="13" t="b">
        <f>IFERROR(__xludf.DUMMYFUNCTION("IF(ISTEXT(Filmes_raw!C860), REGEXEXTRACT(Filmes_raw!C860,""[^,]+$""))"),FALSE)</f>
        <v>0</v>
      </c>
      <c r="D860" s="1" t="b">
        <f t="shared" si="1"/>
        <v>0</v>
      </c>
      <c r="E860" s="14">
        <f>IFERROR(__xludf.DUMMYFUNCTION("VALUE(IF(ISTEXT(D860), REGEXREPLACE(Filmes_raw!C860,""[^,]+$"",D860),Filmes_raw!C860))"),2.835E7)</f>
        <v>28350000</v>
      </c>
      <c r="F860" s="6">
        <f>IFERROR(__xludf.DUMMYFUNCTION("VALUE(REGEXEXTRACT(Filmes_raw!F860, ""[0-9]+""
))"),120.0)</f>
        <v>120</v>
      </c>
    </row>
    <row r="861">
      <c r="A861" s="1">
        <v>860.0</v>
      </c>
      <c r="B861" s="1" t="s">
        <v>4959</v>
      </c>
      <c r="C861" s="13" t="b">
        <f>IFERROR(__xludf.DUMMYFUNCTION("IF(ISTEXT(Filmes_raw!C861), REGEXEXTRACT(Filmes_raw!C861,""[^,]+$""))"),FALSE)</f>
        <v>0</v>
      </c>
      <c r="D861" s="1" t="b">
        <f t="shared" si="1"/>
        <v>0</v>
      </c>
      <c r="E861" s="14">
        <f>IFERROR(__xludf.DUMMYFUNCTION("VALUE(IF(ISTEXT(D861), REGEXREPLACE(Filmes_raw!C861,""[^,]+$"",D861),Filmes_raw!C861))"),33174.0)</f>
        <v>33174</v>
      </c>
      <c r="F861" s="6">
        <f>IFERROR(__xludf.DUMMYFUNCTION("VALUE(REGEXEXTRACT(Filmes_raw!F861, ""[0-9]+""
))"),105.0)</f>
        <v>105</v>
      </c>
    </row>
    <row r="862">
      <c r="A862" s="1">
        <v>861.0</v>
      </c>
      <c r="B862" s="1" t="s">
        <v>4963</v>
      </c>
      <c r="C862" s="13" t="b">
        <f>IFERROR(__xludf.DUMMYFUNCTION("IF(ISTEXT(Filmes_raw!C862), REGEXEXTRACT(Filmes_raw!C862,""[^,]+$""))"),FALSE)</f>
        <v>0</v>
      </c>
      <c r="D862" s="1" t="b">
        <f t="shared" si="1"/>
        <v>0</v>
      </c>
      <c r="E862" s="14">
        <f>IFERROR(__xludf.DUMMYFUNCTION("VALUE(IF(ISTEXT(D862), REGEXREPLACE(Filmes_raw!C862,""[^,]+$"",D862),Filmes_raw!C862))"),1720000.0)</f>
        <v>1720000</v>
      </c>
      <c r="F862" s="6">
        <f>IFERROR(__xludf.DUMMYFUNCTION("VALUE(REGEXEXTRACT(Filmes_raw!F862, ""[0-9]+""
))"),138.0)</f>
        <v>138</v>
      </c>
    </row>
    <row r="863">
      <c r="A863" s="1">
        <v>862.0</v>
      </c>
      <c r="B863" s="1" t="s">
        <v>4969</v>
      </c>
      <c r="C863" s="13" t="b">
        <f>IFERROR(__xludf.DUMMYFUNCTION("IF(ISTEXT(Filmes_raw!C863), REGEXEXTRACT(Filmes_raw!C863,""[^,]+$""))"),FALSE)</f>
        <v>0</v>
      </c>
      <c r="D863" s="1" t="b">
        <f t="shared" si="1"/>
        <v>0</v>
      </c>
      <c r="E863" s="14">
        <f>IFERROR(__xludf.DUMMYFUNCTION("VALUE(IF(ISTEXT(D863), REGEXREPLACE(Filmes_raw!C863,""[^,]+$"",D863),Filmes_raw!C863))"),5.1081062E7)</f>
        <v>51081062</v>
      </c>
      <c r="F863" s="6">
        <f>IFERROR(__xludf.DUMMYFUNCTION("VALUE(REGEXEXTRACT(Filmes_raw!F863, ""[0-9]+""
))"),110.0)</f>
        <v>110</v>
      </c>
    </row>
    <row r="864">
      <c r="A864" s="1">
        <v>863.0</v>
      </c>
      <c r="B864" s="1" t="s">
        <v>4975</v>
      </c>
      <c r="C864" s="13" t="b">
        <f>IFERROR(__xludf.DUMMYFUNCTION("IF(ISTEXT(Filmes_raw!C864), REGEXEXTRACT(Filmes_raw!C864,""[^,]+$""))"),FALSE)</f>
        <v>0</v>
      </c>
      <c r="D864" s="1" t="b">
        <f t="shared" si="1"/>
        <v>0</v>
      </c>
      <c r="E864" s="14">
        <f>IFERROR(__xludf.DUMMYFUNCTION("VALUE(IF(ISTEXT(D864), REGEXREPLACE(Filmes_raw!C864,""[^,]+$"",D864),Filmes_raw!C864))"),1.1403529E7)</f>
        <v>11403529</v>
      </c>
      <c r="F864" s="6">
        <f>IFERROR(__xludf.DUMMYFUNCTION("VALUE(REGEXEXTRACT(Filmes_raw!F864, ""[0-9]+""
))"),119.0)</f>
        <v>119</v>
      </c>
    </row>
    <row r="865">
      <c r="A865" s="1">
        <v>864.0</v>
      </c>
      <c r="B865" s="1" t="s">
        <v>4980</v>
      </c>
      <c r="C865" s="13" t="b">
        <f>IFERROR(__xludf.DUMMYFUNCTION("IF(ISTEXT(Filmes_raw!C865), REGEXEXTRACT(Filmes_raw!C865,""[^,]+$""))"),FALSE)</f>
        <v>0</v>
      </c>
      <c r="D865" s="1" t="b">
        <f t="shared" si="1"/>
        <v>0</v>
      </c>
      <c r="E865" s="14">
        <f>IFERROR(__xludf.DUMMYFUNCTION("VALUE(IF(ISTEXT(D865), REGEXREPLACE(Filmes_raw!C865,""[^,]+$"",D865),Filmes_raw!C865))"),3000000.0)</f>
        <v>3000000</v>
      </c>
      <c r="F865" s="6">
        <f>IFERROR(__xludf.DUMMYFUNCTION("VALUE(REGEXEXTRACT(Filmes_raw!F865, ""[0-9]+""
))"),106.0)</f>
        <v>106</v>
      </c>
    </row>
    <row r="866">
      <c r="A866" s="1">
        <v>865.0</v>
      </c>
      <c r="B866" s="1" t="s">
        <v>4985</v>
      </c>
      <c r="C866" s="13" t="b">
        <f>IFERROR(__xludf.DUMMYFUNCTION("IF(ISTEXT(Filmes_raw!C866), REGEXEXTRACT(Filmes_raw!C866,""[^,]+$""))"),FALSE)</f>
        <v>0</v>
      </c>
      <c r="D866" s="1" t="b">
        <f t="shared" si="1"/>
        <v>0</v>
      </c>
      <c r="E866" s="14">
        <f>IFERROR(__xludf.DUMMYFUNCTION("VALUE(IF(ISTEXT(D866), REGEXREPLACE(Filmes_raw!C866,""[^,]+$"",D866),Filmes_raw!C866))"),83957.0)</f>
        <v>83957</v>
      </c>
      <c r="F866" s="6">
        <f>IFERROR(__xludf.DUMMYFUNCTION("VALUE(REGEXEXTRACT(Filmes_raw!F866, ""[0-9]+""
))"),101.0)</f>
        <v>101</v>
      </c>
    </row>
    <row r="867">
      <c r="A867" s="1">
        <v>866.0</v>
      </c>
      <c r="B867" s="1" t="s">
        <v>4990</v>
      </c>
      <c r="C867" s="13" t="b">
        <f>IFERROR(__xludf.DUMMYFUNCTION("IF(ISTEXT(Filmes_raw!C867), REGEXEXTRACT(Filmes_raw!C867,""[^,]+$""))"),FALSE)</f>
        <v>0</v>
      </c>
      <c r="D867" s="1" t="b">
        <f t="shared" si="1"/>
        <v>0</v>
      </c>
      <c r="E867" s="14">
        <f>IFERROR(__xludf.DUMMYFUNCTION("VALUE(IF(ISTEXT(D867), REGEXREPLACE(Filmes_raw!C867,""[^,]+$"",D867),Filmes_raw!C867))"),4905000.0)</f>
        <v>4905000</v>
      </c>
      <c r="F867" s="6">
        <f>IFERROR(__xludf.DUMMYFUNCTION("VALUE(REGEXEXTRACT(Filmes_raw!F867, ""[0-9]+""
))"),128.0)</f>
        <v>128</v>
      </c>
    </row>
    <row r="868">
      <c r="A868" s="1">
        <v>867.0</v>
      </c>
      <c r="B868" s="1" t="s">
        <v>4992</v>
      </c>
      <c r="C868" s="13" t="b">
        <f>IFERROR(__xludf.DUMMYFUNCTION("IF(ISTEXT(Filmes_raw!C868), REGEXEXTRACT(Filmes_raw!C868,""[^,]+$""))"),FALSE)</f>
        <v>0</v>
      </c>
      <c r="D868" s="1" t="b">
        <f t="shared" si="1"/>
        <v>0</v>
      </c>
      <c r="E868" s="14">
        <f>IFERROR(__xludf.DUMMYFUNCTION("VALUE(IF(ISTEXT(D868), REGEXREPLACE(Filmes_raw!C868,""[^,]+$"",D868),Filmes_raw!C868))"),52709.0)</f>
        <v>52709</v>
      </c>
      <c r="F868" s="6">
        <f>IFERROR(__xludf.DUMMYFUNCTION("VALUE(REGEXEXTRACT(Filmes_raw!F868, ""[0-9]+""
))"),90.0)</f>
        <v>90</v>
      </c>
    </row>
    <row r="869">
      <c r="A869" s="1">
        <v>868.0</v>
      </c>
      <c r="B869" s="1" t="s">
        <v>4998</v>
      </c>
      <c r="C869" s="13" t="b">
        <f>IFERROR(__xludf.DUMMYFUNCTION("IF(ISTEXT(Filmes_raw!C869), REGEXEXTRACT(Filmes_raw!C869,""[^,]+$""))"),FALSE)</f>
        <v>0</v>
      </c>
      <c r="D869" s="1" t="b">
        <f t="shared" si="1"/>
        <v>0</v>
      </c>
      <c r="E869" s="14">
        <f>IFERROR(__xludf.DUMMYFUNCTION("VALUE(IF(ISTEXT(D869), REGEXREPLACE(Filmes_raw!C869,""[^,]+$"",D869),Filmes_raw!C869))"),1861.0)</f>
        <v>1861</v>
      </c>
      <c r="F869" s="6">
        <f>IFERROR(__xludf.DUMMYFUNCTION("VALUE(REGEXEXTRACT(Filmes_raw!F869, ""[0-9]+""
))"),80.0)</f>
        <v>80</v>
      </c>
    </row>
    <row r="870">
      <c r="A870" s="1">
        <v>869.0</v>
      </c>
      <c r="B870" s="1" t="s">
        <v>5004</v>
      </c>
      <c r="C870" s="13" t="b">
        <f>IFERROR(__xludf.DUMMYFUNCTION("IF(ISTEXT(Filmes_raw!C870), REGEXEXTRACT(Filmes_raw!C870,""[^,]+$""))"),FALSE)</f>
        <v>0</v>
      </c>
      <c r="D870" s="1" t="b">
        <f t="shared" si="1"/>
        <v>0</v>
      </c>
      <c r="E870" s="14">
        <f>IFERROR(__xludf.DUMMYFUNCTION("VALUE(IF(ISTEXT(D870), REGEXREPLACE(Filmes_raw!C870,""[^,]+$"",D870),Filmes_raw!C870))"),199963.0)</f>
        <v>199963</v>
      </c>
      <c r="F870" s="6">
        <f>IFERROR(__xludf.DUMMYFUNCTION("VALUE(REGEXEXTRACT(Filmes_raw!F870, ""[0-9]+""
))"),111.0)</f>
        <v>111</v>
      </c>
    </row>
    <row r="871">
      <c r="A871" s="1">
        <v>870.0</v>
      </c>
      <c r="B871" s="1" t="s">
        <v>5009</v>
      </c>
      <c r="C871" s="13" t="b">
        <f>IFERROR(__xludf.DUMMYFUNCTION("IF(ISTEXT(Filmes_raw!C871), REGEXEXTRACT(Filmes_raw!C871,""[^,]+$""))"),FALSE)</f>
        <v>0</v>
      </c>
      <c r="D871" s="1" t="b">
        <f t="shared" si="1"/>
        <v>0</v>
      </c>
      <c r="E871" s="14">
        <f>IFERROR(__xludf.DUMMYFUNCTION("VALUE(IF(ISTEXT(D871), REGEXREPLACE(Filmes_raw!C871,""[^,]+$"",D871),Filmes_raw!C871))"),23213.0)</f>
        <v>23213</v>
      </c>
      <c r="F871" s="6">
        <f>IFERROR(__xludf.DUMMYFUNCTION("VALUE(REGEXEXTRACT(Filmes_raw!F871, ""[0-9]+""
))"),91.0)</f>
        <v>91</v>
      </c>
    </row>
    <row r="872">
      <c r="A872" s="1">
        <v>871.0</v>
      </c>
      <c r="B872" s="1" t="s">
        <v>5013</v>
      </c>
      <c r="C872" s="13" t="b">
        <f>IFERROR(__xludf.DUMMYFUNCTION("IF(ISTEXT(Filmes_raw!C872), REGEXEXTRACT(Filmes_raw!C872,""[^,]+$""))"),FALSE)</f>
        <v>0</v>
      </c>
      <c r="D872" s="1" t="b">
        <f t="shared" si="1"/>
        <v>0</v>
      </c>
      <c r="E872" s="14">
        <f>IFERROR(__xludf.DUMMYFUNCTION("VALUE(IF(ISTEXT(D872), REGEXREPLACE(Filmes_raw!C872,""[^,]+$"",D872),Filmes_raw!C872))"),2238813.0)</f>
        <v>2238813</v>
      </c>
      <c r="F872" s="6">
        <f>IFERROR(__xludf.DUMMYFUNCTION("VALUE(REGEXEXTRACT(Filmes_raw!F872, ""[0-9]+""
))"),113.0)</f>
        <v>113</v>
      </c>
    </row>
    <row r="873">
      <c r="A873" s="1">
        <v>872.0</v>
      </c>
      <c r="B873" s="1" t="s">
        <v>5016</v>
      </c>
      <c r="C873" s="13" t="b">
        <f>IFERROR(__xludf.DUMMYFUNCTION("IF(ISTEXT(Filmes_raw!C873), REGEXEXTRACT(Filmes_raw!C873,""[^,]+$""))"),FALSE)</f>
        <v>0</v>
      </c>
      <c r="D873" s="1" t="b">
        <f t="shared" si="1"/>
        <v>0</v>
      </c>
      <c r="E873" s="14">
        <f>IFERROR(__xludf.DUMMYFUNCTION("VALUE(IF(ISTEXT(D873), REGEXREPLACE(Filmes_raw!C873,""[^,]+$"",D873),Filmes_raw!C873))"),1.055E7)</f>
        <v>10550000</v>
      </c>
      <c r="F873" s="6">
        <f>IFERROR(__xludf.DUMMYFUNCTION("VALUE(REGEXEXTRACT(Filmes_raw!F873, ""[0-9]+""
))"),129.0)</f>
        <v>129</v>
      </c>
    </row>
    <row r="874">
      <c r="A874" s="1">
        <v>873.0</v>
      </c>
      <c r="B874" s="1" t="s">
        <v>5019</v>
      </c>
      <c r="C874" s="13" t="b">
        <f>IFERROR(__xludf.DUMMYFUNCTION("IF(ISTEXT(Filmes_raw!C874), REGEXEXTRACT(Filmes_raw!C874,""[^,]+$""))"),FALSE)</f>
        <v>0</v>
      </c>
      <c r="D874" s="1" t="b">
        <f t="shared" si="1"/>
        <v>0</v>
      </c>
      <c r="E874" s="14">
        <f>IFERROR(__xludf.DUMMYFUNCTION("VALUE(IF(ISTEXT(D874), REGEXREPLACE(Filmes_raw!C874,""[^,]+$"",D874),Filmes_raw!C874))"),1200000.0)</f>
        <v>1200000</v>
      </c>
      <c r="F874" s="6">
        <f>IFERROR(__xludf.DUMMYFUNCTION("VALUE(REGEXEXTRACT(Filmes_raw!F874, ""[0-9]+""
))"),92.0)</f>
        <v>92</v>
      </c>
    </row>
    <row r="875">
      <c r="A875" s="1">
        <v>874.0</v>
      </c>
      <c r="B875" s="1" t="s">
        <v>5025</v>
      </c>
      <c r="C875" s="13" t="b">
        <f>IFERROR(__xludf.DUMMYFUNCTION("IF(ISTEXT(Filmes_raw!C875), REGEXEXTRACT(Filmes_raw!C875,""[^,]+$""))"),FALSE)</f>
        <v>0</v>
      </c>
      <c r="D875" s="1" t="b">
        <f t="shared" si="1"/>
        <v>0</v>
      </c>
      <c r="E875" s="14">
        <f>IFERROR(__xludf.DUMMYFUNCTION("VALUE(IF(ISTEXT(D875), REGEXREPLACE(Filmes_raw!C875,""[^,]+$"",D875),Filmes_raw!C875))"),536118.0)</f>
        <v>536118</v>
      </c>
      <c r="F875" s="6">
        <f>IFERROR(__xludf.DUMMYFUNCTION("VALUE(REGEXEXTRACT(Filmes_raw!F875, ""[0-9]+""
))"),105.0)</f>
        <v>105</v>
      </c>
    </row>
    <row r="876">
      <c r="A876" s="1">
        <v>875.0</v>
      </c>
      <c r="B876" s="1" t="s">
        <v>5029</v>
      </c>
      <c r="C876" s="13" t="b">
        <f>IFERROR(__xludf.DUMMYFUNCTION("IF(ISTEXT(Filmes_raw!C876), REGEXEXTRACT(Filmes_raw!C876,""[^,]+$""))"),FALSE)</f>
        <v>0</v>
      </c>
      <c r="D876" s="1" t="b">
        <f t="shared" si="1"/>
        <v>0</v>
      </c>
      <c r="E876" s="14">
        <f>IFERROR(__xludf.DUMMYFUNCTION("VALUE(IF(ISTEXT(D876), REGEXREPLACE(Filmes_raw!C876,""[^,]+$"",D876),Filmes_raw!C876))"),1.0E7)</f>
        <v>10000000</v>
      </c>
      <c r="F876" s="6">
        <f>IFERROR(__xludf.DUMMYFUNCTION("VALUE(REGEXEXTRACT(Filmes_raw!F876, ""[0-9]+""
))"),110.0)</f>
        <v>110</v>
      </c>
    </row>
    <row r="877">
      <c r="A877" s="1">
        <v>876.0</v>
      </c>
      <c r="B877" s="1" t="s">
        <v>5034</v>
      </c>
      <c r="C877" s="13" t="b">
        <f>IFERROR(__xludf.DUMMYFUNCTION("IF(ISTEXT(Filmes_raw!C877), REGEXEXTRACT(Filmes_raw!C877,""[^,]+$""))"),FALSE)</f>
        <v>0</v>
      </c>
      <c r="D877" s="1" t="b">
        <f t="shared" si="1"/>
        <v>0</v>
      </c>
      <c r="E877" s="14">
        <f>IFERROR(__xludf.DUMMYFUNCTION("VALUE(IF(ISTEXT(D877), REGEXREPLACE(Filmes_raw!C877,""[^,]+$"",D877),Filmes_raw!C877))"),7.6408097E7)</f>
        <v>76408097</v>
      </c>
      <c r="F877" s="6">
        <f>IFERROR(__xludf.DUMMYFUNCTION("VALUE(REGEXEXTRACT(Filmes_raw!F877, ""[0-9]+""
))"),125.0)</f>
        <v>125</v>
      </c>
    </row>
    <row r="878">
      <c r="A878" s="1">
        <v>877.0</v>
      </c>
      <c r="B878" s="1" t="s">
        <v>5041</v>
      </c>
      <c r="C878" s="13" t="b">
        <f>IFERROR(__xludf.DUMMYFUNCTION("IF(ISTEXT(Filmes_raw!C878), REGEXEXTRACT(Filmes_raw!C878,""[^,]+$""))"),FALSE)</f>
        <v>0</v>
      </c>
      <c r="D878" s="1" t="b">
        <f t="shared" si="1"/>
        <v>0</v>
      </c>
      <c r="E878" s="14">
        <f>IFERROR(__xludf.DUMMYFUNCTION("VALUE(IF(ISTEXT(D878), REGEXREPLACE(Filmes_raw!C878,""[^,]+$"",D878),Filmes_raw!C878))"),27105.0)</f>
        <v>27105</v>
      </c>
      <c r="F878" s="6">
        <f>IFERROR(__xludf.DUMMYFUNCTION("VALUE(REGEXEXTRACT(Filmes_raw!F878, ""[0-9]+""
))"),71.0)</f>
        <v>71</v>
      </c>
    </row>
    <row r="879">
      <c r="A879" s="1">
        <v>878.0</v>
      </c>
      <c r="B879" s="1" t="s">
        <v>5046</v>
      </c>
      <c r="C879" s="13" t="b">
        <f>IFERROR(__xludf.DUMMYFUNCTION("IF(ISTEXT(Filmes_raw!C879), REGEXEXTRACT(Filmes_raw!C879,""[^,]+$""))"),FALSE)</f>
        <v>0</v>
      </c>
      <c r="D879" s="1" t="b">
        <f t="shared" si="1"/>
        <v>0</v>
      </c>
      <c r="E879" s="14">
        <f>IFERROR(__xludf.DUMMYFUNCTION("VALUE(IF(ISTEXT(D879), REGEXREPLACE(Filmes_raw!C879,""[^,]+$"",D879),Filmes_raw!C879))"),1.1136084E7)</f>
        <v>11136084</v>
      </c>
      <c r="F879" s="6">
        <f>IFERROR(__xludf.DUMMYFUNCTION("VALUE(REGEXEXTRACT(Filmes_raw!F879, ""[0-9]+""
))"),126.0)</f>
        <v>126</v>
      </c>
    </row>
    <row r="880">
      <c r="A880" s="1">
        <v>879.0</v>
      </c>
      <c r="B880" s="1" t="s">
        <v>5050</v>
      </c>
      <c r="C880" s="13" t="b">
        <f>IFERROR(__xludf.DUMMYFUNCTION("IF(ISTEXT(Filmes_raw!C880), REGEXEXTRACT(Filmes_raw!C880,""[^,]+$""))"),FALSE)</f>
        <v>0</v>
      </c>
      <c r="D880" s="1" t="b">
        <f t="shared" si="1"/>
        <v>0</v>
      </c>
      <c r="E880" s="14">
        <f>IFERROR(__xludf.DUMMYFUNCTION("VALUE(IF(ISTEXT(D880), REGEXREPLACE(Filmes_raw!C880,""[^,]+$"",D880),Filmes_raw!C880))"),2.6020957E7)</f>
        <v>26020957</v>
      </c>
      <c r="F880" s="6">
        <f>IFERROR(__xludf.DUMMYFUNCTION("VALUE(REGEXEXTRACT(Filmes_raw!F880, ""[0-9]+""
))"),102.0)</f>
        <v>102</v>
      </c>
    </row>
    <row r="881">
      <c r="A881" s="1">
        <v>880.0</v>
      </c>
      <c r="B881" s="1" t="s">
        <v>5058</v>
      </c>
      <c r="C881" s="13" t="b">
        <f>IFERROR(__xludf.DUMMYFUNCTION("IF(ISTEXT(Filmes_raw!C881), REGEXEXTRACT(Filmes_raw!C881,""[^,]+$""))"),FALSE)</f>
        <v>0</v>
      </c>
      <c r="D881" s="1" t="b">
        <f t="shared" si="1"/>
        <v>0</v>
      </c>
      <c r="E881" s="14">
        <f>IFERROR(__xludf.DUMMYFUNCTION("VALUE(IF(ISTEXT(D881), REGEXREPLACE(Filmes_raw!C881,""[^,]+$"",D881),Filmes_raw!C881))"),1.42502728E8)</f>
        <v>142502728</v>
      </c>
      <c r="F881" s="6">
        <f>IFERROR(__xludf.DUMMYFUNCTION("VALUE(REGEXEXTRACT(Filmes_raw!F881, ""[0-9]+""
))"),161.0)</f>
        <v>161</v>
      </c>
    </row>
    <row r="882">
      <c r="A882" s="1">
        <v>881.0</v>
      </c>
      <c r="B882" s="1" t="s">
        <v>5060</v>
      </c>
      <c r="C882" s="13" t="b">
        <f>IFERROR(__xludf.DUMMYFUNCTION("IF(ISTEXT(Filmes_raw!C882), REGEXEXTRACT(Filmes_raw!C882,""[^,]+$""))"),FALSE)</f>
        <v>0</v>
      </c>
      <c r="D882" s="1" t="b">
        <f t="shared" si="1"/>
        <v>0</v>
      </c>
      <c r="E882" s="14">
        <f>IFERROR(__xludf.DUMMYFUNCTION("VALUE(IF(ISTEXT(D882), REGEXREPLACE(Filmes_raw!C882,""[^,]+$"",D882),Filmes_raw!C882))"),566356.0)</f>
        <v>566356</v>
      </c>
      <c r="F882" s="6">
        <f>IFERROR(__xludf.DUMMYFUNCTION("VALUE(REGEXEXTRACT(Filmes_raw!F882, ""[0-9]+""
))"),127.0)</f>
        <v>127</v>
      </c>
    </row>
    <row r="883">
      <c r="A883" s="1">
        <v>882.0</v>
      </c>
      <c r="B883" s="1" t="s">
        <v>5066</v>
      </c>
      <c r="C883" s="13" t="b">
        <f>IFERROR(__xludf.DUMMYFUNCTION("IF(ISTEXT(Filmes_raw!C883), REGEXEXTRACT(Filmes_raw!C883,""[^,]+$""))"),FALSE)</f>
        <v>0</v>
      </c>
      <c r="D883" s="1" t="b">
        <f t="shared" si="1"/>
        <v>0</v>
      </c>
      <c r="E883" s="14">
        <f>IFERROR(__xludf.DUMMYFUNCTION("VALUE(IF(ISTEXT(D883), REGEXREPLACE(Filmes_raw!C883,""[^,]+$"",D883),Filmes_raw!C883))"),5904366.0)</f>
        <v>5904366</v>
      </c>
      <c r="F883" s="6">
        <f>IFERROR(__xludf.DUMMYFUNCTION("VALUE(REGEXEXTRACT(Filmes_raw!F883, ""[0-9]+""
))"),111.0)</f>
        <v>111</v>
      </c>
    </row>
    <row r="884">
      <c r="A884" s="1">
        <v>883.0</v>
      </c>
      <c r="B884" s="1" t="s">
        <v>5072</v>
      </c>
      <c r="C884" s="13" t="b">
        <f>IFERROR(__xludf.DUMMYFUNCTION("IF(ISTEXT(Filmes_raw!C884), REGEXEXTRACT(Filmes_raw!C884,""[^,]+$""))"),FALSE)</f>
        <v>0</v>
      </c>
      <c r="D884" s="1" t="b">
        <f t="shared" si="1"/>
        <v>0</v>
      </c>
      <c r="E884" s="14">
        <f>IFERROR(__xludf.DUMMYFUNCTION("VALUE(IF(ISTEXT(D884), REGEXREPLACE(Filmes_raw!C884,""[^,]+$"",D884),Filmes_raw!C884))"),3.6001502E7)</f>
        <v>36001502</v>
      </c>
      <c r="F884" s="6">
        <f>IFERROR(__xludf.DUMMYFUNCTION("VALUE(REGEXEXTRACT(Filmes_raw!F884, ""[0-9]+""
))"),137.0)</f>
        <v>137</v>
      </c>
    </row>
    <row r="885">
      <c r="A885" s="1">
        <v>884.0</v>
      </c>
      <c r="B885" s="1" t="s">
        <v>5076</v>
      </c>
      <c r="C885" s="13" t="b">
        <f>IFERROR(__xludf.DUMMYFUNCTION("IF(ISTEXT(Filmes_raw!C885), REGEXEXTRACT(Filmes_raw!C885,""[^,]+$""))"),FALSE)</f>
        <v>0</v>
      </c>
      <c r="D885" s="1" t="b">
        <f t="shared" si="1"/>
        <v>0</v>
      </c>
      <c r="E885" s="14">
        <f>IFERROR(__xludf.DUMMYFUNCTION("VALUE(IF(ISTEXT(D885), REGEXREPLACE(Filmes_raw!C885,""[^,]+$"",D885),Filmes_raw!C885))"),2.4801212E7)</f>
        <v>24801212</v>
      </c>
      <c r="F885" s="6">
        <f>IFERROR(__xludf.DUMMYFUNCTION("VALUE(REGEXEXTRACT(Filmes_raw!F885, ""[0-9]+""
))"),101.0)</f>
        <v>101</v>
      </c>
    </row>
    <row r="886">
      <c r="A886" s="1">
        <v>885.0</v>
      </c>
      <c r="B886" s="1" t="s">
        <v>5080</v>
      </c>
      <c r="C886" s="13" t="b">
        <f>IFERROR(__xludf.DUMMYFUNCTION("IF(ISTEXT(Filmes_raw!C886), REGEXEXTRACT(Filmes_raw!C886,""[^,]+$""))"),FALSE)</f>
        <v>0</v>
      </c>
      <c r="D886" s="1" t="b">
        <f t="shared" si="1"/>
        <v>0</v>
      </c>
      <c r="E886" s="14">
        <f>IFERROR(__xludf.DUMMYFUNCTION("VALUE(IF(ISTEXT(D886), REGEXREPLACE(Filmes_raw!C886,""[^,]+$"",D886),Filmes_raw!C886))"),1.3122642E7)</f>
        <v>13122642</v>
      </c>
      <c r="F886" s="6">
        <f>IFERROR(__xludf.DUMMYFUNCTION("VALUE(REGEXEXTRACT(Filmes_raw!F886, ""[0-9]+""
))"),97.0)</f>
        <v>97</v>
      </c>
    </row>
    <row r="887">
      <c r="A887" s="1">
        <v>886.0</v>
      </c>
      <c r="B887" s="1" t="s">
        <v>5087</v>
      </c>
      <c r="C887" s="13" t="b">
        <f>IFERROR(__xludf.DUMMYFUNCTION("IF(ISTEXT(Filmes_raw!C887), REGEXEXTRACT(Filmes_raw!C887,""[^,]+$""))"),FALSE)</f>
        <v>0</v>
      </c>
      <c r="D887" s="1" t="b">
        <f t="shared" si="1"/>
        <v>0</v>
      </c>
      <c r="E887" s="14">
        <f>IFERROR(__xludf.DUMMYFUNCTION("VALUE(IF(ISTEXT(D887), REGEXREPLACE(Filmes_raw!C887,""[^,]+$"",D887),Filmes_raw!C887))"),3192275.0)</f>
        <v>3192275</v>
      </c>
      <c r="F887" s="6">
        <f>IFERROR(__xludf.DUMMYFUNCTION("VALUE(REGEXEXTRACT(Filmes_raw!F887, ""[0-9]+""
))"),138.0)</f>
        <v>138</v>
      </c>
    </row>
    <row r="888">
      <c r="A888" s="1">
        <v>887.0</v>
      </c>
      <c r="B888" s="1" t="s">
        <v>5094</v>
      </c>
      <c r="C888" s="13" t="b">
        <f>IFERROR(__xludf.DUMMYFUNCTION("IF(ISTEXT(Filmes_raw!C888), REGEXEXTRACT(Filmes_raw!C888,""[^,]+$""))"),FALSE)</f>
        <v>0</v>
      </c>
      <c r="D888" s="1" t="b">
        <f t="shared" si="1"/>
        <v>0</v>
      </c>
      <c r="E888" s="14">
        <f>IFERROR(__xludf.DUMMYFUNCTION("VALUE(IF(ISTEXT(D888), REGEXREPLACE(Filmes_raw!C888,""[^,]+$"",D888),Filmes_raw!C888))"),845464.0)</f>
        <v>845464</v>
      </c>
      <c r="F888" s="6">
        <f>IFERROR(__xludf.DUMMYFUNCTION("VALUE(REGEXEXTRACT(Filmes_raw!F888, ""[0-9]+""
))"),97.0)</f>
        <v>97</v>
      </c>
    </row>
    <row r="889">
      <c r="A889" s="1">
        <v>888.0</v>
      </c>
      <c r="B889" s="1" t="s">
        <v>5101</v>
      </c>
      <c r="C889" s="13" t="b">
        <f>IFERROR(__xludf.DUMMYFUNCTION("IF(ISTEXT(Filmes_raw!C889), REGEXEXTRACT(Filmes_raw!C889,""[^,]+$""))"),FALSE)</f>
        <v>0</v>
      </c>
      <c r="D889" s="1" t="b">
        <f t="shared" si="1"/>
        <v>0</v>
      </c>
      <c r="E889" s="14">
        <f>IFERROR(__xludf.DUMMYFUNCTION("VALUE(IF(ISTEXT(D889), REGEXREPLACE(Filmes_raw!C889,""[^,]+$"",D889),Filmes_raw!C889))"),3.89813101E8)</f>
        <v>389813101</v>
      </c>
      <c r="F889" s="6">
        <f>IFERROR(__xludf.DUMMYFUNCTION("VALUE(REGEXEXTRACT(Filmes_raw!F889, ""[0-9]+""
))"),136.0)</f>
        <v>136</v>
      </c>
    </row>
    <row r="890">
      <c r="A890" s="1">
        <v>889.0</v>
      </c>
      <c r="B890" s="1" t="s">
        <v>5103</v>
      </c>
      <c r="C890" s="13" t="b">
        <f>IFERROR(__xludf.DUMMYFUNCTION("IF(ISTEXT(Filmes_raw!C890), REGEXEXTRACT(Filmes_raw!C890,""[^,]+$""))"),FALSE)</f>
        <v>0</v>
      </c>
      <c r="D890" s="1" t="b">
        <f t="shared" si="1"/>
        <v>0</v>
      </c>
      <c r="E890" s="14">
        <f>IFERROR(__xludf.DUMMYFUNCTION("VALUE(IF(ISTEXT(D890), REGEXREPLACE(Filmes_raw!C890,""[^,]+$"",D890),Filmes_raw!C890))"),1.07825862E8)</f>
        <v>107825862</v>
      </c>
      <c r="F890" s="6">
        <f>IFERROR(__xludf.DUMMYFUNCTION("VALUE(REGEXEXTRACT(Filmes_raw!F890, ""[0-9]+""
))"),113.0)</f>
        <v>113</v>
      </c>
    </row>
    <row r="891">
      <c r="A891" s="1">
        <v>890.0</v>
      </c>
      <c r="B891" s="1" t="s">
        <v>5107</v>
      </c>
      <c r="C891" s="13" t="b">
        <f>IFERROR(__xludf.DUMMYFUNCTION("IF(ISTEXT(Filmes_raw!C891), REGEXEXTRACT(Filmes_raw!C891,""[^,]+$""))"),FALSE)</f>
        <v>0</v>
      </c>
      <c r="D891" s="1" t="b">
        <f t="shared" si="1"/>
        <v>0</v>
      </c>
      <c r="E891" s="14">
        <f>IFERROR(__xludf.DUMMYFUNCTION("VALUE(IF(ISTEXT(D891), REGEXREPLACE(Filmes_raw!C891,""[^,]+$"",D891),Filmes_raw!C891))"),1.8340051E7)</f>
        <v>18340051</v>
      </c>
      <c r="F891" s="6">
        <f>IFERROR(__xludf.DUMMYFUNCTION("VALUE(REGEXEXTRACT(Filmes_raw!F891, ""[0-9]+""
))"),134.0)</f>
        <v>134</v>
      </c>
    </row>
    <row r="892">
      <c r="A892" s="1">
        <v>891.0</v>
      </c>
      <c r="B892" s="1" t="s">
        <v>5110</v>
      </c>
      <c r="C892" s="13" t="b">
        <f>IFERROR(__xludf.DUMMYFUNCTION("IF(ISTEXT(Filmes_raw!C892), REGEXEXTRACT(Filmes_raw!C892,""[^,]+$""))"),FALSE)</f>
        <v>0</v>
      </c>
      <c r="D892" s="1" t="b">
        <f t="shared" si="1"/>
        <v>0</v>
      </c>
      <c r="E892" s="14">
        <f>IFERROR(__xludf.DUMMYFUNCTION("VALUE(IF(ISTEXT(D892), REGEXREPLACE(Filmes_raw!C892,""[^,]+$"",D892),Filmes_raw!C892))"),7.2313754E7)</f>
        <v>72313754</v>
      </c>
      <c r="F892" s="6">
        <f>IFERROR(__xludf.DUMMYFUNCTION("VALUE(REGEXEXTRACT(Filmes_raw!F892, ""[0-9]+""
))"),142.0)</f>
        <v>142</v>
      </c>
    </row>
    <row r="893">
      <c r="A893" s="1">
        <v>892.0</v>
      </c>
      <c r="B893" s="1" t="s">
        <v>5113</v>
      </c>
      <c r="C893" s="13" t="b">
        <f>IFERROR(__xludf.DUMMYFUNCTION("IF(ISTEXT(Filmes_raw!C893), REGEXEXTRACT(Filmes_raw!C893,""[^,]+$""))"),FALSE)</f>
        <v>0</v>
      </c>
      <c r="D893" s="1" t="b">
        <f t="shared" si="1"/>
        <v>0</v>
      </c>
      <c r="E893" s="14">
        <f>IFERROR(__xludf.DUMMYFUNCTION("VALUE(IF(ISTEXT(D893), REGEXREPLACE(Filmes_raw!C893,""[^,]+$"",D893),Filmes_raw!C893))"),6.08581744E8)</f>
        <v>608581744</v>
      </c>
      <c r="F893" s="6">
        <f>IFERROR(__xludf.DUMMYFUNCTION("VALUE(REGEXEXTRACT(Filmes_raw!F893, ""[0-9]+""
))"),118.0)</f>
        <v>118</v>
      </c>
    </row>
    <row r="894">
      <c r="A894" s="1">
        <v>893.0</v>
      </c>
      <c r="B894" s="1" t="s">
        <v>5117</v>
      </c>
      <c r="C894" s="13" t="b">
        <f>IFERROR(__xludf.DUMMYFUNCTION("IF(ISTEXT(Filmes_raw!C894), REGEXEXTRACT(Filmes_raw!C894,""[^,]+$""))"),FALSE)</f>
        <v>0</v>
      </c>
      <c r="D894" s="1" t="b">
        <f t="shared" si="1"/>
        <v>0</v>
      </c>
      <c r="E894" s="14">
        <f>IFERROR(__xludf.DUMMYFUNCTION("VALUE(IF(ISTEXT(D894), REGEXREPLACE(Filmes_raw!C894,""[^,]+$"",D894),Filmes_raw!C894))"),2.48757044E8)</f>
        <v>248757044</v>
      </c>
      <c r="F894" s="6">
        <f>IFERROR(__xludf.DUMMYFUNCTION("VALUE(REGEXEXTRACT(Filmes_raw!F894, ""[0-9]+""
))"),107.0)</f>
        <v>107</v>
      </c>
    </row>
    <row r="895">
      <c r="A895" s="1">
        <v>894.0</v>
      </c>
      <c r="B895" s="1" t="s">
        <v>5120</v>
      </c>
      <c r="C895" s="13" t="b">
        <f>IFERROR(__xludf.DUMMYFUNCTION("IF(ISTEXT(Filmes_raw!C895), REGEXEXTRACT(Filmes_raw!C895,""[^,]+$""))"),FALSE)</f>
        <v>0</v>
      </c>
      <c r="D895" s="1" t="b">
        <f t="shared" si="1"/>
        <v>0</v>
      </c>
      <c r="E895" s="14">
        <f>IFERROR(__xludf.DUMMYFUNCTION("VALUE(IF(ISTEXT(D895), REGEXREPLACE(Filmes_raw!C895,""[^,]+$"",D895),Filmes_raw!C895))"),4.6889293E7)</f>
        <v>46889293</v>
      </c>
      <c r="F895" s="6">
        <f>IFERROR(__xludf.DUMMYFUNCTION("VALUE(REGEXEXTRACT(Filmes_raw!F895, ""[0-9]+""
))"),121.0)</f>
        <v>121</v>
      </c>
    </row>
    <row r="896">
      <c r="A896" s="1">
        <v>895.0</v>
      </c>
      <c r="B896" s="1" t="s">
        <v>5122</v>
      </c>
      <c r="C896" s="13" t="b">
        <f>IFERROR(__xludf.DUMMYFUNCTION("IF(ISTEXT(Filmes_raw!C896), REGEXEXTRACT(Filmes_raw!C896,""[^,]+$""))"),FALSE)</f>
        <v>0</v>
      </c>
      <c r="D896" s="1" t="b">
        <f t="shared" si="1"/>
        <v>0</v>
      </c>
      <c r="E896" s="14">
        <f>IFERROR(__xludf.DUMMYFUNCTION("VALUE(IF(ISTEXT(D896), REGEXREPLACE(Filmes_raw!C896,""[^,]+$"",D896),Filmes_raw!C896))"),1.09767581E8)</f>
        <v>109767581</v>
      </c>
      <c r="F896" s="6">
        <f>IFERROR(__xludf.DUMMYFUNCTION("VALUE(REGEXEXTRACT(Filmes_raw!F896, ""[0-9]+""
))"),133.0)</f>
        <v>133</v>
      </c>
    </row>
    <row r="897">
      <c r="A897" s="1">
        <v>896.0</v>
      </c>
      <c r="B897" s="1" t="s">
        <v>5127</v>
      </c>
      <c r="C897" s="13" t="b">
        <f>IFERROR(__xludf.DUMMYFUNCTION("IF(ISTEXT(Filmes_raw!C897), REGEXEXTRACT(Filmes_raw!C897,""[^,]+$""))"),FALSE)</f>
        <v>0</v>
      </c>
      <c r="D897" s="1" t="b">
        <f t="shared" si="1"/>
        <v>0</v>
      </c>
      <c r="E897" s="14">
        <f>IFERROR(__xludf.DUMMYFUNCTION("VALUE(IF(ISTEXT(D897), REGEXREPLACE(Filmes_raw!C897,""[^,]+$"",D897),Filmes_raw!C897))"),1092800.0)</f>
        <v>1092800</v>
      </c>
      <c r="F897" s="6">
        <f>IFERROR(__xludf.DUMMYFUNCTION("VALUE(REGEXEXTRACT(Filmes_raw!F897, ""[0-9]+""
))"),140.0)</f>
        <v>140</v>
      </c>
    </row>
    <row r="898">
      <c r="A898" s="1">
        <v>897.0</v>
      </c>
      <c r="B898" s="1" t="s">
        <v>5133</v>
      </c>
      <c r="C898" s="13" t="b">
        <f>IFERROR(__xludf.DUMMYFUNCTION("IF(ISTEXT(Filmes_raw!C898), REGEXEXTRACT(Filmes_raw!C898,""[^,]+$""))"),FALSE)</f>
        <v>0</v>
      </c>
      <c r="D898" s="1" t="b">
        <f t="shared" si="1"/>
        <v>0</v>
      </c>
      <c r="E898" s="14">
        <f>IFERROR(__xludf.DUMMYFUNCTION("VALUE(IF(ISTEXT(D898), REGEXREPLACE(Filmes_raw!C898,""[^,]+$"",D898),Filmes_raw!C898))"),2.686245E7)</f>
        <v>26862450</v>
      </c>
      <c r="F898" s="6">
        <f>IFERROR(__xludf.DUMMYFUNCTION("VALUE(REGEXEXTRACT(Filmes_raw!F898, ""[0-9]+""
))"),102.0)</f>
        <v>102</v>
      </c>
    </row>
    <row r="899">
      <c r="A899" s="1">
        <v>898.0</v>
      </c>
      <c r="B899" s="1" t="s">
        <v>5137</v>
      </c>
      <c r="C899" s="13" t="b">
        <f>IFERROR(__xludf.DUMMYFUNCTION("IF(ISTEXT(Filmes_raw!C899), REGEXEXTRACT(Filmes_raw!C899,""[^,]+$""))"),FALSE)</f>
        <v>0</v>
      </c>
      <c r="D899" s="1" t="b">
        <f t="shared" si="1"/>
        <v>0</v>
      </c>
      <c r="E899" s="14">
        <f>IFERROR(__xludf.DUMMYFUNCTION("VALUE(IF(ISTEXT(D899), REGEXREPLACE(Filmes_raw!C899,""[^,]+$"",D899),Filmes_raw!C899))"),3.7707719E7)</f>
        <v>37707719</v>
      </c>
      <c r="F899" s="6">
        <f>IFERROR(__xludf.DUMMYFUNCTION("VALUE(REGEXEXTRACT(Filmes_raw!F899, ""[0-9]+""
))"),98.0)</f>
        <v>98</v>
      </c>
    </row>
    <row r="900">
      <c r="A900" s="1">
        <v>899.0</v>
      </c>
      <c r="B900" s="1" t="s">
        <v>5143</v>
      </c>
      <c r="C900" s="13" t="b">
        <f>IFERROR(__xludf.DUMMYFUNCTION("IF(ISTEXT(Filmes_raw!C900), REGEXEXTRACT(Filmes_raw!C900,""[^,]+$""))"),FALSE)</f>
        <v>0</v>
      </c>
      <c r="D900" s="1" t="b">
        <f t="shared" si="1"/>
        <v>0</v>
      </c>
      <c r="E900" s="14">
        <f>IFERROR(__xludf.DUMMYFUNCTION("VALUE(IF(ISTEXT(D900), REGEXREPLACE(Filmes_raw!C900,""[^,]+$"",D900),Filmes_raw!C900))"),2.08545589E8)</f>
        <v>208545589</v>
      </c>
      <c r="F900" s="6">
        <f>IFERROR(__xludf.DUMMYFUNCTION("VALUE(REGEXEXTRACT(Filmes_raw!F900, ""[0-9]+""
))"),130.0)</f>
        <v>130</v>
      </c>
    </row>
    <row r="901">
      <c r="A901" s="1">
        <v>900.0</v>
      </c>
      <c r="B901" s="1" t="s">
        <v>5148</v>
      </c>
      <c r="C901" s="13" t="b">
        <f>IFERROR(__xludf.DUMMYFUNCTION("IF(ISTEXT(Filmes_raw!C901), REGEXEXTRACT(Filmes_raw!C901,""[^,]+$""))"),FALSE)</f>
        <v>0</v>
      </c>
      <c r="D901" s="1" t="b">
        <f t="shared" si="1"/>
        <v>0</v>
      </c>
      <c r="E901" s="14">
        <f>IFERROR(__xludf.DUMMYFUNCTION("VALUE(IF(ISTEXT(D901), REGEXREPLACE(Filmes_raw!C901,""[^,]+$"",D901),Filmes_raw!C901))"),8779609.0)</f>
        <v>8779609</v>
      </c>
      <c r="F901" s="6">
        <f>IFERROR(__xludf.DUMMYFUNCTION("VALUE(REGEXEXTRACT(Filmes_raw!F901, ""[0-9]+""
))"),112.0)</f>
        <v>112</v>
      </c>
    </row>
    <row r="902">
      <c r="A902" s="1">
        <v>901.0</v>
      </c>
      <c r="B902" s="1" t="s">
        <v>5152</v>
      </c>
      <c r="C902" s="13" t="b">
        <f>IFERROR(__xludf.DUMMYFUNCTION("IF(ISTEXT(Filmes_raw!C902), REGEXEXTRACT(Filmes_raw!C902,""[^,]+$""))"),FALSE)</f>
        <v>0</v>
      </c>
      <c r="D902" s="1" t="b">
        <f t="shared" si="1"/>
        <v>0</v>
      </c>
      <c r="E902" s="14">
        <f>IFERROR(__xludf.DUMMYFUNCTION("VALUE(IF(ISTEXT(D902), REGEXREPLACE(Filmes_raw!C902,""[^,]+$"",D902),Filmes_raw!C902))"),4105123.0)</f>
        <v>4105123</v>
      </c>
      <c r="F902" s="6">
        <f>IFERROR(__xludf.DUMMYFUNCTION("VALUE(REGEXEXTRACT(Filmes_raw!F902, ""[0-9]+""
))"),101.0)</f>
        <v>101</v>
      </c>
    </row>
    <row r="903">
      <c r="A903" s="1">
        <v>902.0</v>
      </c>
      <c r="B903" s="1" t="s">
        <v>5157</v>
      </c>
      <c r="C903" s="13" t="b">
        <f>IFERROR(__xludf.DUMMYFUNCTION("IF(ISTEXT(Filmes_raw!C903), REGEXEXTRACT(Filmes_raw!C903,""[^,]+$""))"),FALSE)</f>
        <v>0</v>
      </c>
      <c r="D903" s="1" t="b">
        <f t="shared" si="1"/>
        <v>0</v>
      </c>
      <c r="E903" s="14">
        <f>IFERROR(__xludf.DUMMYFUNCTION("VALUE(IF(ISTEXT(D903), REGEXREPLACE(Filmes_raw!C903,""[^,]+$"",D903),Filmes_raw!C903))"),4.1003371E7)</f>
        <v>41003371</v>
      </c>
      <c r="F903" s="6">
        <f>IFERROR(__xludf.DUMMYFUNCTION("VALUE(REGEXEXTRACT(Filmes_raw!F903, ""[0-9]+""
))"),109.0)</f>
        <v>109</v>
      </c>
    </row>
    <row r="904">
      <c r="A904" s="1">
        <v>903.0</v>
      </c>
      <c r="B904" s="1" t="s">
        <v>5163</v>
      </c>
      <c r="C904" s="13" t="b">
        <f>IFERROR(__xludf.DUMMYFUNCTION("IF(ISTEXT(Filmes_raw!C904), REGEXEXTRACT(Filmes_raw!C904,""[^,]+$""))"),FALSE)</f>
        <v>0</v>
      </c>
      <c r="D904" s="1" t="b">
        <f t="shared" si="1"/>
        <v>0</v>
      </c>
      <c r="E904" s="14">
        <f>IFERROR(__xludf.DUMMYFUNCTION("VALUE(IF(ISTEXT(D904), REGEXREPLACE(Filmes_raw!C904,""[^,]+$"",D904),Filmes_raw!C904))"),1.9202743E7)</f>
        <v>19202743</v>
      </c>
      <c r="F904" s="6">
        <f>IFERROR(__xludf.DUMMYFUNCTION("VALUE(REGEXEXTRACT(Filmes_raw!F904, ""[0-9]+""
))"),94.0)</f>
        <v>94</v>
      </c>
    </row>
    <row r="905">
      <c r="A905" s="1">
        <v>904.0</v>
      </c>
      <c r="B905" s="1" t="s">
        <v>5166</v>
      </c>
      <c r="C905" s="13" t="b">
        <f>IFERROR(__xludf.DUMMYFUNCTION("IF(ISTEXT(Filmes_raw!C905), REGEXEXTRACT(Filmes_raw!C905,""[^,]+$""))"),FALSE)</f>
        <v>0</v>
      </c>
      <c r="D905" s="1" t="b">
        <f t="shared" si="1"/>
        <v>0</v>
      </c>
      <c r="E905" s="14">
        <f>IFERROR(__xludf.DUMMYFUNCTION("VALUE(IF(ISTEXT(D905), REGEXREPLACE(Filmes_raw!C905,""[^,]+$"",D905),Filmes_raw!C905))"),2.15288866E8)</f>
        <v>215288866</v>
      </c>
      <c r="F905" s="6">
        <f>IFERROR(__xludf.DUMMYFUNCTION("VALUE(REGEXEXTRACT(Filmes_raw!F905, ""[0-9]+""
))"),136.0)</f>
        <v>136</v>
      </c>
    </row>
    <row r="906">
      <c r="A906" s="1">
        <v>905.0</v>
      </c>
      <c r="B906" s="1" t="s">
        <v>5170</v>
      </c>
      <c r="C906" s="13" t="b">
        <f>IFERROR(__xludf.DUMMYFUNCTION("IF(ISTEXT(Filmes_raw!C906), REGEXEXTRACT(Filmes_raw!C906,""[^,]+$""))"),FALSE)</f>
        <v>0</v>
      </c>
      <c r="D906" s="1" t="b">
        <f t="shared" si="1"/>
        <v>0</v>
      </c>
      <c r="E906" s="14">
        <f>IFERROR(__xludf.DUMMYFUNCTION("VALUE(IF(ISTEXT(D906), REGEXREPLACE(Filmes_raw!C906,""[^,]+$"",D906),Filmes_raw!C906))"),1.71243005E8)</f>
        <v>171243005</v>
      </c>
      <c r="F906" s="6">
        <f>IFERROR(__xludf.DUMMYFUNCTION("VALUE(REGEXEXTRACT(Filmes_raw!F906, ""[0-9]+""
))"),110.0)</f>
        <v>110</v>
      </c>
    </row>
    <row r="907">
      <c r="A907" s="1">
        <v>906.0</v>
      </c>
      <c r="B907" s="1" t="s">
        <v>5173</v>
      </c>
      <c r="C907" s="13" t="b">
        <f>IFERROR(__xludf.DUMMYFUNCTION("IF(ISTEXT(Filmes_raw!C907), REGEXEXTRACT(Filmes_raw!C907,""[^,]+$""))"),FALSE)</f>
        <v>0</v>
      </c>
      <c r="D907" s="1" t="b">
        <f t="shared" si="1"/>
        <v>0</v>
      </c>
      <c r="E907" s="14">
        <f>IFERROR(__xludf.DUMMYFUNCTION("VALUE(IF(ISTEXT(D907), REGEXREPLACE(Filmes_raw!C907,""[^,]+$"",D907),Filmes_raw!C907))"),1008098.0)</f>
        <v>1008098</v>
      </c>
      <c r="F907" s="6">
        <f>IFERROR(__xludf.DUMMYFUNCTION("VALUE(REGEXEXTRACT(Filmes_raw!F907, ""[0-9]+""
))"),118.0)</f>
        <v>118</v>
      </c>
    </row>
    <row r="908">
      <c r="A908" s="1">
        <v>907.0</v>
      </c>
      <c r="B908" s="1" t="s">
        <v>5179</v>
      </c>
      <c r="C908" s="13" t="b">
        <f>IFERROR(__xludf.DUMMYFUNCTION("IF(ISTEXT(Filmes_raw!C908), REGEXEXTRACT(Filmes_raw!C908,""[^,]+$""))"),FALSE)</f>
        <v>0</v>
      </c>
      <c r="D908" s="1" t="b">
        <f t="shared" si="1"/>
        <v>0</v>
      </c>
      <c r="E908" s="14">
        <f>IFERROR(__xludf.DUMMYFUNCTION("VALUE(IF(ISTEXT(D908), REGEXREPLACE(Filmes_raw!C908,""[^,]+$"",D908),Filmes_raw!C908))"),2.51513985E8)</f>
        <v>251513985</v>
      </c>
      <c r="F908" s="6">
        <f>IFERROR(__xludf.DUMMYFUNCTION("VALUE(REGEXEXTRACT(Filmes_raw!F908, ""[0-9]+""
))"),95.0)</f>
        <v>95</v>
      </c>
    </row>
    <row r="909">
      <c r="A909" s="1">
        <v>908.0</v>
      </c>
      <c r="B909" s="1" t="s">
        <v>5186</v>
      </c>
      <c r="C909" s="13" t="b">
        <f>IFERROR(__xludf.DUMMYFUNCTION("IF(ISTEXT(Filmes_raw!C909), REGEXEXTRACT(Filmes_raw!C909,""[^,]+$""))"),FALSE)</f>
        <v>0</v>
      </c>
      <c r="D909" s="1" t="b">
        <f t="shared" si="1"/>
        <v>0</v>
      </c>
      <c r="E909" s="14">
        <f>IFERROR(__xludf.DUMMYFUNCTION("VALUE(IF(ISTEXT(D909), REGEXREPLACE(Filmes_raw!C909,""[^,]+$"",D909),Filmes_raw!C909))"),3.5014192E7)</f>
        <v>35014192</v>
      </c>
      <c r="F909" s="6">
        <f>IFERROR(__xludf.DUMMYFUNCTION("VALUE(REGEXEXTRACT(Filmes_raw!F909, ""[0-9]+""
))"),100.0)</f>
        <v>100</v>
      </c>
    </row>
    <row r="910">
      <c r="A910" s="1">
        <v>909.0</v>
      </c>
      <c r="B910" s="1" t="s">
        <v>5190</v>
      </c>
      <c r="C910" s="13" t="b">
        <f>IFERROR(__xludf.DUMMYFUNCTION("IF(ISTEXT(Filmes_raw!C910), REGEXEXTRACT(Filmes_raw!C910,""[^,]+$""))"),FALSE)</f>
        <v>0</v>
      </c>
      <c r="D910" s="1" t="b">
        <f t="shared" si="1"/>
        <v>0</v>
      </c>
      <c r="E910" s="14">
        <f>IFERROR(__xludf.DUMMYFUNCTION("VALUE(IF(ISTEXT(D910), REGEXREPLACE(Filmes_raw!C910,""[^,]+$"",D910),Filmes_raw!C910))"),4.8071303E7)</f>
        <v>48071303</v>
      </c>
      <c r="F910" s="6">
        <f>IFERROR(__xludf.DUMMYFUNCTION("VALUE(REGEXEXTRACT(Filmes_raw!F910, ""[0-9]+""
))"),117.0)</f>
        <v>117</v>
      </c>
    </row>
    <row r="911">
      <c r="A911" s="1">
        <v>910.0</v>
      </c>
      <c r="B911" s="1" t="s">
        <v>5194</v>
      </c>
      <c r="C911" s="13" t="b">
        <f>IFERROR(__xludf.DUMMYFUNCTION("IF(ISTEXT(Filmes_raw!C911), REGEXEXTRACT(Filmes_raw!C911,""[^,]+$""))"),FALSE)</f>
        <v>0</v>
      </c>
      <c r="D911" s="1" t="b">
        <f t="shared" si="1"/>
        <v>0</v>
      </c>
      <c r="E911" s="14">
        <f>IFERROR(__xludf.DUMMYFUNCTION("VALUE(IF(ISTEXT(D911), REGEXREPLACE(Filmes_raw!C911,""[^,]+$"",D911),Filmes_raw!C911))"),1.9305314E7)</f>
        <v>19305314</v>
      </c>
      <c r="F911" s="6">
        <f>IFERROR(__xludf.DUMMYFUNCTION("VALUE(REGEXEXTRACT(Filmes_raw!F911, ""[0-9]+""
))"),113.0)</f>
        <v>113</v>
      </c>
    </row>
    <row r="912">
      <c r="A912" s="1">
        <v>911.0</v>
      </c>
      <c r="B912" s="1" t="s">
        <v>5202</v>
      </c>
      <c r="C912" s="13" t="b">
        <f>IFERROR(__xludf.DUMMYFUNCTION("IF(ISTEXT(Filmes_raw!C912), REGEXEXTRACT(Filmes_raw!C912,""[^,]+$""))"),FALSE)</f>
        <v>0</v>
      </c>
      <c r="D912" s="1" t="b">
        <f t="shared" si="1"/>
        <v>0</v>
      </c>
      <c r="E912" s="14">
        <f>IFERROR(__xludf.DUMMYFUNCTION("VALUE(IF(ISTEXT(D912), REGEXREPLACE(Filmes_raw!C912,""[^,]+$"",D912),Filmes_raw!C912))"),7.5605492E7)</f>
        <v>75605492</v>
      </c>
      <c r="F912" s="6">
        <f>IFERROR(__xludf.DUMMYFUNCTION("VALUE(REGEXEXTRACT(Filmes_raw!F912, ""[0-9]+""
))"),133.0)</f>
        <v>133</v>
      </c>
    </row>
    <row r="913">
      <c r="A913" s="1">
        <v>912.0</v>
      </c>
      <c r="B913" s="1" t="s">
        <v>5205</v>
      </c>
      <c r="C913" s="13" t="b">
        <f>IFERROR(__xludf.DUMMYFUNCTION("IF(ISTEXT(Filmes_raw!C913), REGEXEXTRACT(Filmes_raw!C913,""[^,]+$""))"),FALSE)</f>
        <v>0</v>
      </c>
      <c r="D913" s="1" t="b">
        <f t="shared" si="1"/>
        <v>0</v>
      </c>
      <c r="E913" s="14">
        <f>IFERROR(__xludf.DUMMYFUNCTION("VALUE(IF(ISTEXT(D913), REGEXREPLACE(Filmes_raw!C913,""[^,]+$"",D913),Filmes_raw!C913))"),3185812.0)</f>
        <v>3185812</v>
      </c>
      <c r="F913" s="6">
        <f>IFERROR(__xludf.DUMMYFUNCTION("VALUE(REGEXEXTRACT(Filmes_raw!F913, ""[0-9]+""
))"),120.0)</f>
        <v>120</v>
      </c>
    </row>
    <row r="914">
      <c r="A914" s="1">
        <v>913.0</v>
      </c>
      <c r="B914" s="1" t="s">
        <v>5210</v>
      </c>
      <c r="C914" s="13" t="b">
        <f>IFERROR(__xludf.DUMMYFUNCTION("IF(ISTEXT(Filmes_raw!C914), REGEXEXTRACT(Filmes_raw!C914,""[^,]+$""))"),FALSE)</f>
        <v>0</v>
      </c>
      <c r="D914" s="1" t="b">
        <f t="shared" si="1"/>
        <v>0</v>
      </c>
      <c r="E914" s="14">
        <f>IFERROR(__xludf.DUMMYFUNCTION("VALUE(IF(ISTEXT(D914), REGEXREPLACE(Filmes_raw!C914,""[^,]+$"",D914),Filmes_raw!C914))"),7.5590286E7)</f>
        <v>75590286</v>
      </c>
      <c r="F914" s="6">
        <f>IFERROR(__xludf.DUMMYFUNCTION("VALUE(REGEXEXTRACT(Filmes_raw!F914, ""[0-9]+""
))"),88.0)</f>
        <v>88</v>
      </c>
    </row>
    <row r="915">
      <c r="A915" s="1">
        <v>914.0</v>
      </c>
      <c r="B915" s="1" t="s">
        <v>5214</v>
      </c>
      <c r="C915" s="13" t="b">
        <f>IFERROR(__xludf.DUMMYFUNCTION("IF(ISTEXT(Filmes_raw!C915), REGEXEXTRACT(Filmes_raw!C915,""[^,]+$""))"),FALSE)</f>
        <v>0</v>
      </c>
      <c r="D915" s="1" t="b">
        <f t="shared" si="1"/>
        <v>0</v>
      </c>
      <c r="E915" s="14">
        <f>IFERROR(__xludf.DUMMYFUNCTION("VALUE(IF(ISTEXT(D915), REGEXREPLACE(Filmes_raw!C915,""[^,]+$"",D915),Filmes_raw!C915))"),3.2350637E7)</f>
        <v>32350637</v>
      </c>
      <c r="F915" s="6">
        <f>IFERROR(__xludf.DUMMYFUNCTION("VALUE(REGEXEXTRACT(Filmes_raw!F915, ""[0-9]+""
))"),107.0)</f>
        <v>107</v>
      </c>
    </row>
    <row r="916">
      <c r="A916" s="1">
        <v>915.0</v>
      </c>
      <c r="B916" s="1" t="s">
        <v>5220</v>
      </c>
      <c r="C916" s="13" t="b">
        <f>IFERROR(__xludf.DUMMYFUNCTION("IF(ISTEXT(Filmes_raw!C916), REGEXEXTRACT(Filmes_raw!C916,""[^,]+$""))"),FALSE)</f>
        <v>0</v>
      </c>
      <c r="D916" s="1" t="b">
        <f t="shared" si="1"/>
        <v>0</v>
      </c>
      <c r="E916" s="14">
        <f>IFERROR(__xludf.DUMMYFUNCTION("VALUE(IF(ISTEXT(D916), REGEXREPLACE(Filmes_raw!C916,""[^,]+$"",D916),Filmes_raw!C916))"),2.09028679E8)</f>
        <v>209028679</v>
      </c>
      <c r="F916" s="6">
        <f>IFERROR(__xludf.DUMMYFUNCTION("VALUE(REGEXEXTRACT(Filmes_raw!F916, ""[0-9]+""
))"),128.0)</f>
        <v>128</v>
      </c>
    </row>
    <row r="917">
      <c r="A917" s="1">
        <v>916.0</v>
      </c>
      <c r="B917" s="1" t="s">
        <v>5224</v>
      </c>
      <c r="C917" s="13" t="b">
        <f>IFERROR(__xludf.DUMMYFUNCTION("IF(ISTEXT(Filmes_raw!C917), REGEXEXTRACT(Filmes_raw!C917,""[^,]+$""))"),FALSE)</f>
        <v>0</v>
      </c>
      <c r="D917" s="1" t="b">
        <f t="shared" si="1"/>
        <v>0</v>
      </c>
      <c r="E917" s="14">
        <f>IFERROR(__xludf.DUMMYFUNCTION("VALUE(IF(ISTEXT(D917), REGEXREPLACE(Filmes_raw!C917,""[^,]+$"",D917),Filmes_raw!C917))"),2.55959475E8)</f>
        <v>255959475</v>
      </c>
      <c r="F917" s="6">
        <f>IFERROR(__xludf.DUMMYFUNCTION("VALUE(REGEXEXTRACT(Filmes_raw!F917, ""[0-9]+""
))"),129.0)</f>
        <v>129</v>
      </c>
    </row>
    <row r="918">
      <c r="A918" s="1">
        <v>917.0</v>
      </c>
      <c r="B918" s="1" t="s">
        <v>5230</v>
      </c>
      <c r="C918" s="13" t="b">
        <f>IFERROR(__xludf.DUMMYFUNCTION("IF(ISTEXT(Filmes_raw!C918), REGEXEXTRACT(Filmes_raw!C918,""[^,]+$""))"),FALSE)</f>
        <v>0</v>
      </c>
      <c r="D918" s="1" t="b">
        <f t="shared" si="1"/>
        <v>0</v>
      </c>
      <c r="E918" s="14">
        <f>IFERROR(__xludf.DUMMYFUNCTION("VALUE(IF(ISTEXT(D918), REGEXREPLACE(Filmes_raw!C918,""[^,]+$"",D918),Filmes_raw!C918))"),9422422.0)</f>
        <v>9422422</v>
      </c>
      <c r="F918" s="6">
        <f>IFERROR(__xludf.DUMMYFUNCTION("VALUE(REGEXEXTRACT(Filmes_raw!F918, ""[0-9]+""
))"),104.0)</f>
        <v>104</v>
      </c>
    </row>
    <row r="919">
      <c r="A919" s="1">
        <v>918.0</v>
      </c>
      <c r="B919" s="1" t="s">
        <v>5236</v>
      </c>
      <c r="C919" s="13" t="b">
        <f>IFERROR(__xludf.DUMMYFUNCTION("IF(ISTEXT(Filmes_raw!C919), REGEXEXTRACT(Filmes_raw!C919,""[^,]+$""))"),FALSE)</f>
        <v>0</v>
      </c>
      <c r="D919" s="1" t="b">
        <f t="shared" si="1"/>
        <v>0</v>
      </c>
      <c r="E919" s="14">
        <f>IFERROR(__xludf.DUMMYFUNCTION("VALUE(IF(ISTEXT(D919), REGEXREPLACE(Filmes_raw!C919,""[^,]+$"",D919),Filmes_raw!C919))"),6.9951824E7)</f>
        <v>69951824</v>
      </c>
      <c r="F919" s="6">
        <f>IFERROR(__xludf.DUMMYFUNCTION("VALUE(REGEXEXTRACT(Filmes_raw!F919, ""[0-9]+""
))"),123.0)</f>
        <v>123</v>
      </c>
    </row>
    <row r="920">
      <c r="A920" s="1">
        <v>919.0</v>
      </c>
      <c r="B920" s="1" t="s">
        <v>5240</v>
      </c>
      <c r="C920" s="13" t="b">
        <f>IFERROR(__xludf.DUMMYFUNCTION("IF(ISTEXT(Filmes_raw!C920), REGEXEXTRACT(Filmes_raw!C920,""[^,]+$""))"),FALSE)</f>
        <v>0</v>
      </c>
      <c r="D920" s="1" t="b">
        <f t="shared" si="1"/>
        <v>0</v>
      </c>
      <c r="E920" s="14">
        <f>IFERROR(__xludf.DUMMYFUNCTION("VALUE(IF(ISTEXT(D920), REGEXREPLACE(Filmes_raw!C920,""[^,]+$"",D920),Filmes_raw!C920))"),1.7114882E7)</f>
        <v>17114882</v>
      </c>
      <c r="F920" s="6">
        <f>IFERROR(__xludf.DUMMYFUNCTION("VALUE(REGEXEXTRACT(Filmes_raw!F920, ""[0-9]+""
))"),100.0)</f>
        <v>100</v>
      </c>
    </row>
    <row r="921">
      <c r="A921" s="1">
        <v>920.0</v>
      </c>
      <c r="B921" s="1" t="s">
        <v>5244</v>
      </c>
      <c r="C921" s="13" t="b">
        <f>IFERROR(__xludf.DUMMYFUNCTION("IF(ISTEXT(Filmes_raw!C921), REGEXEXTRACT(Filmes_raw!C921,""[^,]+$""))"),FALSE)</f>
        <v>0</v>
      </c>
      <c r="D921" s="1" t="b">
        <f t="shared" si="1"/>
        <v>0</v>
      </c>
      <c r="E921" s="14">
        <f>IFERROR(__xludf.DUMMYFUNCTION("VALUE(IF(ISTEXT(D921), REGEXREPLACE(Filmes_raw!C921,""[^,]+$"",D921),Filmes_raw!C921))"),3.8634938E7)</f>
        <v>38634938</v>
      </c>
      <c r="F921" s="6">
        <f>IFERROR(__xludf.DUMMYFUNCTION("VALUE(REGEXEXTRACT(Filmes_raw!F921, ""[0-9]+""
))"),127.0)</f>
        <v>127</v>
      </c>
    </row>
    <row r="922">
      <c r="A922" s="1">
        <v>921.0</v>
      </c>
      <c r="B922" s="1" t="s">
        <v>5249</v>
      </c>
      <c r="C922" s="13" t="b">
        <f>IFERROR(__xludf.DUMMYFUNCTION("IF(ISTEXT(Filmes_raw!C922), REGEXEXTRACT(Filmes_raw!C922,""[^,]+$""))"),FALSE)</f>
        <v>0</v>
      </c>
      <c r="D922" s="1" t="b">
        <f t="shared" si="1"/>
        <v>0</v>
      </c>
      <c r="E922" s="14">
        <f>IFERROR(__xludf.DUMMYFUNCTION("VALUE(IF(ISTEXT(D922), REGEXREPLACE(Filmes_raw!C922,""[^,]+$"",D922),Filmes_raw!C922))"),686383.0)</f>
        <v>686383</v>
      </c>
      <c r="F922" s="6">
        <f>IFERROR(__xludf.DUMMYFUNCTION("VALUE(REGEXEXTRACT(Filmes_raw!F922, ""[0-9]+""
))"),71.0)</f>
        <v>71</v>
      </c>
    </row>
    <row r="923">
      <c r="A923" s="1">
        <v>922.0</v>
      </c>
      <c r="B923" s="1" t="s">
        <v>5254</v>
      </c>
      <c r="C923" s="13" t="b">
        <f>IFERROR(__xludf.DUMMYFUNCTION("IF(ISTEXT(Filmes_raw!C923), REGEXEXTRACT(Filmes_raw!C923,""[^,]+$""))"),FALSE)</f>
        <v>0</v>
      </c>
      <c r="D923" s="1" t="b">
        <f t="shared" si="1"/>
        <v>0</v>
      </c>
      <c r="E923" s="14">
        <f>IFERROR(__xludf.DUMMYFUNCTION("VALUE(IF(ISTEXT(D923), REGEXREPLACE(Filmes_raw!C923,""[^,]+$"",D923),Filmes_raw!C923))"),8.8513495E7)</f>
        <v>88513495</v>
      </c>
      <c r="F923" s="6">
        <f>IFERROR(__xludf.DUMMYFUNCTION("VALUE(REGEXEXTRACT(Filmes_raw!F923, ""[0-9]+""
))"),129.0)</f>
        <v>129</v>
      </c>
    </row>
    <row r="924">
      <c r="A924" s="1">
        <v>923.0</v>
      </c>
      <c r="B924" s="1" t="s">
        <v>5256</v>
      </c>
      <c r="C924" s="13" t="b">
        <f>IFERROR(__xludf.DUMMYFUNCTION("IF(ISTEXT(Filmes_raw!C924), REGEXEXTRACT(Filmes_raw!C924,""[^,]+$""))"),FALSE)</f>
        <v>0</v>
      </c>
      <c r="D924" s="1" t="b">
        <f t="shared" si="1"/>
        <v>0</v>
      </c>
      <c r="E924" s="14">
        <f>IFERROR(__xludf.DUMMYFUNCTION("VALUE(IF(ISTEXT(D924), REGEXREPLACE(Filmes_raw!C924,""[^,]+$"",D924),Filmes_raw!C924))"),2.0300218E7)</f>
        <v>20300218</v>
      </c>
      <c r="F924" s="6">
        <f>IFERROR(__xludf.DUMMYFUNCTION("VALUE(REGEXEXTRACT(Filmes_raw!F924, ""[0-9]+""
))"),114.0)</f>
        <v>114</v>
      </c>
    </row>
    <row r="925">
      <c r="A925" s="1">
        <v>924.0</v>
      </c>
      <c r="B925" s="1" t="s">
        <v>5259</v>
      </c>
      <c r="C925" s="13" t="b">
        <f>IFERROR(__xludf.DUMMYFUNCTION("IF(ISTEXT(Filmes_raw!C925), REGEXEXTRACT(Filmes_raw!C925,""[^,]+$""))"),FALSE)</f>
        <v>0</v>
      </c>
      <c r="D925" s="1" t="b">
        <f t="shared" si="1"/>
        <v>0</v>
      </c>
      <c r="E925" s="14">
        <f>IFERROR(__xludf.DUMMYFUNCTION("VALUE(IF(ISTEXT(D925), REGEXREPLACE(Filmes_raw!C925,""[^,]+$"",D925),Filmes_raw!C925))"),1.0301706E7)</f>
        <v>10301706</v>
      </c>
      <c r="F925" s="6">
        <f>IFERROR(__xludf.DUMMYFUNCTION("VALUE(REGEXEXTRACT(Filmes_raw!F925, ""[0-9]+""
))"),140.0)</f>
        <v>140</v>
      </c>
    </row>
    <row r="926">
      <c r="A926" s="1">
        <v>925.0</v>
      </c>
      <c r="B926" s="1" t="s">
        <v>5264</v>
      </c>
      <c r="C926" s="13" t="b">
        <f>IFERROR(__xludf.DUMMYFUNCTION("IF(ISTEXT(Filmes_raw!C926), REGEXEXTRACT(Filmes_raw!C926,""[^,]+$""))"),FALSE)</f>
        <v>0</v>
      </c>
      <c r="D926" s="1" t="b">
        <f t="shared" si="1"/>
        <v>0</v>
      </c>
      <c r="E926" s="14">
        <f>IFERROR(__xludf.DUMMYFUNCTION("VALUE(IF(ISTEXT(D926), REGEXREPLACE(Filmes_raw!C926,""[^,]+$"",D926),Filmes_raw!C926))"),2.463373E7)</f>
        <v>24633730</v>
      </c>
      <c r="F926" s="6">
        <f>IFERROR(__xludf.DUMMYFUNCTION("VALUE(REGEXEXTRACT(Filmes_raw!F926, ""[0-9]+""
))"),104.0)</f>
        <v>104</v>
      </c>
    </row>
    <row r="927">
      <c r="A927" s="1">
        <v>926.0</v>
      </c>
      <c r="B927" s="1" t="s">
        <v>5270</v>
      </c>
      <c r="C927" s="13" t="b">
        <f>IFERROR(__xludf.DUMMYFUNCTION("IF(ISTEXT(Filmes_raw!C927), REGEXEXTRACT(Filmes_raw!C927,""[^,]+$""))"),FALSE)</f>
        <v>0</v>
      </c>
      <c r="D927" s="1" t="b">
        <f t="shared" si="1"/>
        <v>0</v>
      </c>
      <c r="E927" s="14">
        <f>IFERROR(__xludf.DUMMYFUNCTION("VALUE(IF(ISTEXT(D927), REGEXREPLACE(Filmes_raw!C927,""[^,]+$"",D927),Filmes_raw!C927))"),3.9868642E7)</f>
        <v>39868642</v>
      </c>
      <c r="F927" s="6">
        <f>IFERROR(__xludf.DUMMYFUNCTION("VALUE(REGEXEXTRACT(Filmes_raw!F927, ""[0-9]+""
))"),110.0)</f>
        <v>110</v>
      </c>
    </row>
    <row r="928">
      <c r="A928" s="1">
        <v>927.0</v>
      </c>
      <c r="B928" s="1" t="s">
        <v>5275</v>
      </c>
      <c r="C928" s="13" t="b">
        <f>IFERROR(__xludf.DUMMYFUNCTION("IF(ISTEXT(Filmes_raw!C928), REGEXEXTRACT(Filmes_raw!C928,""[^,]+$""))"),FALSE)</f>
        <v>0</v>
      </c>
      <c r="D928" s="1" t="b">
        <f t="shared" si="1"/>
        <v>0</v>
      </c>
      <c r="E928" s="14">
        <f>IFERROR(__xludf.DUMMYFUNCTION("VALUE(IF(ISTEXT(D928), REGEXREPLACE(Filmes_raw!C928,""[^,]+$"",D928),Filmes_raw!C928))"),6013.0)</f>
        <v>6013</v>
      </c>
      <c r="F928" s="6">
        <f>IFERROR(__xludf.DUMMYFUNCTION("VALUE(REGEXEXTRACT(Filmes_raw!F928, ""[0-9]+""
))"),90.0)</f>
        <v>90</v>
      </c>
    </row>
    <row r="929">
      <c r="A929" s="1">
        <v>928.0</v>
      </c>
      <c r="B929" s="1" t="s">
        <v>5280</v>
      </c>
      <c r="C929" s="13" t="b">
        <f>IFERROR(__xludf.DUMMYFUNCTION("IF(ISTEXT(Filmes_raw!C929), REGEXEXTRACT(Filmes_raw!C929,""[^,]+$""))"),FALSE)</f>
        <v>0</v>
      </c>
      <c r="D929" s="1" t="b">
        <f t="shared" si="1"/>
        <v>0</v>
      </c>
      <c r="E929" s="14">
        <f>IFERROR(__xludf.DUMMYFUNCTION("VALUE(IF(ISTEXT(D929), REGEXREPLACE(Filmes_raw!C929,""[^,]+$"",D929),Filmes_raw!C929))"),3.01959197E8)</f>
        <v>301959197</v>
      </c>
      <c r="F929" s="6">
        <f>IFERROR(__xludf.DUMMYFUNCTION("VALUE(REGEXEXTRACT(Filmes_raw!F929, ""[0-9]+""
))"),153.0)</f>
        <v>153</v>
      </c>
    </row>
    <row r="930">
      <c r="A930" s="1">
        <v>929.0</v>
      </c>
      <c r="B930" s="1">
        <v>300.0</v>
      </c>
      <c r="C930" s="13" t="b">
        <f>IFERROR(__xludf.DUMMYFUNCTION("IF(ISTEXT(Filmes_raw!C930), REGEXEXTRACT(Filmes_raw!C930,""[^,]+$""))"),FALSE)</f>
        <v>0</v>
      </c>
      <c r="D930" s="1" t="b">
        <f t="shared" si="1"/>
        <v>0</v>
      </c>
      <c r="E930" s="14">
        <f>IFERROR(__xludf.DUMMYFUNCTION("VALUE(IF(ISTEXT(D930), REGEXREPLACE(Filmes_raw!C930,""[^,]+$"",D930),Filmes_raw!C930))"),2.10614939E8)</f>
        <v>210614939</v>
      </c>
      <c r="F930" s="6">
        <f>IFERROR(__xludf.DUMMYFUNCTION("VALUE(REGEXEXTRACT(Filmes_raw!F930, ""[0-9]+""
))"),117.0)</f>
        <v>117</v>
      </c>
    </row>
    <row r="931">
      <c r="A931" s="1">
        <v>930.0</v>
      </c>
      <c r="B931" s="1" t="s">
        <v>5287</v>
      </c>
      <c r="C931" s="13" t="b">
        <f>IFERROR(__xludf.DUMMYFUNCTION("IF(ISTEXT(Filmes_raw!C931), REGEXEXTRACT(Filmes_raw!C931,""[^,]+$""))"),FALSE)</f>
        <v>0</v>
      </c>
      <c r="D931" s="1" t="b">
        <f t="shared" si="1"/>
        <v>0</v>
      </c>
      <c r="E931" s="14">
        <f>IFERROR(__xludf.DUMMYFUNCTION("VALUE(IF(ISTEXT(D931), REGEXREPLACE(Filmes_raw!C931,""[^,]+$"",D931),Filmes_raw!C931))"),2.3089926E7)</f>
        <v>23089926</v>
      </c>
      <c r="F931" s="6">
        <f>IFERROR(__xludf.DUMMYFUNCTION("VALUE(REGEXEXTRACT(Filmes_raw!F931, ""[0-9]+""
))"),124.0)</f>
        <v>124</v>
      </c>
    </row>
    <row r="932">
      <c r="A932" s="1">
        <v>931.0</v>
      </c>
      <c r="B932" s="1" t="s">
        <v>5290</v>
      </c>
      <c r="C932" s="13" t="b">
        <f>IFERROR(__xludf.DUMMYFUNCTION("IF(ISTEXT(Filmes_raw!C932), REGEXEXTRACT(Filmes_raw!C932,""[^,]+$""))"),FALSE)</f>
        <v>0</v>
      </c>
      <c r="D932" s="1" t="b">
        <f t="shared" si="1"/>
        <v>0</v>
      </c>
      <c r="E932" s="14">
        <f>IFERROR(__xludf.DUMMYFUNCTION("VALUE(IF(ISTEXT(D932), REGEXREPLACE(Filmes_raw!C932,""[^,]+$"",D932),Filmes_raw!C932))"),1.07509799E8)</f>
        <v>107509799</v>
      </c>
      <c r="F932" s="6">
        <f>IFERROR(__xludf.DUMMYFUNCTION("VALUE(REGEXEXTRACT(Filmes_raw!F932, ""[0-9]+""
))"),162.0)</f>
        <v>162</v>
      </c>
    </row>
    <row r="933">
      <c r="A933" s="1">
        <v>932.0</v>
      </c>
      <c r="B933" s="1" t="s">
        <v>5296</v>
      </c>
      <c r="C933" s="13" t="b">
        <f>IFERROR(__xludf.DUMMYFUNCTION("IF(ISTEXT(Filmes_raw!C933), REGEXEXTRACT(Filmes_raw!C933,""[^,]+$""))"),FALSE)</f>
        <v>0</v>
      </c>
      <c r="D933" s="1" t="b">
        <f t="shared" si="1"/>
        <v>0</v>
      </c>
      <c r="E933" s="14">
        <f>IFERROR(__xludf.DUMMYFUNCTION("VALUE(IF(ISTEXT(D933), REGEXREPLACE(Filmes_raw!C933,""[^,]+$"",D933),Filmes_raw!C933))"),2.4149632E7)</f>
        <v>24149632</v>
      </c>
      <c r="F933" s="6">
        <f>IFERROR(__xludf.DUMMYFUNCTION("VALUE(REGEXEXTRACT(Filmes_raw!F933, ""[0-9]+""
))"),122.0)</f>
        <v>122</v>
      </c>
    </row>
    <row r="934">
      <c r="A934" s="1">
        <v>933.0</v>
      </c>
      <c r="B934" s="1" t="s">
        <v>5299</v>
      </c>
      <c r="C934" s="13" t="b">
        <f>IFERROR(__xludf.DUMMYFUNCTION("IF(ISTEXT(Filmes_raw!C934), REGEXEXTRACT(Filmes_raw!C934,""[^,]+$""))"),FALSE)</f>
        <v>0</v>
      </c>
      <c r="D934" s="1" t="b">
        <f t="shared" si="1"/>
        <v>0</v>
      </c>
      <c r="E934" s="14">
        <f>IFERROR(__xludf.DUMMYFUNCTION("VALUE(IF(ISTEXT(D934), REGEXREPLACE(Filmes_raw!C934,""[^,]+$"",D934),Filmes_raw!C934))"),5.6000369E7)</f>
        <v>56000369</v>
      </c>
      <c r="F934" s="6">
        <f>IFERROR(__xludf.DUMMYFUNCTION("VALUE(REGEXEXTRACT(Filmes_raw!F934, ""[0-9]+""
))"),103.0)</f>
        <v>103</v>
      </c>
    </row>
    <row r="935">
      <c r="A935" s="1">
        <v>934.0</v>
      </c>
      <c r="B935" s="1" t="s">
        <v>5304</v>
      </c>
      <c r="C935" s="13" t="b">
        <f>IFERROR(__xludf.DUMMYFUNCTION("IF(ISTEXT(Filmes_raw!C935), REGEXEXTRACT(Filmes_raw!C935,""[^,]+$""))"),FALSE)</f>
        <v>0</v>
      </c>
      <c r="D935" s="1" t="b">
        <f t="shared" si="1"/>
        <v>0</v>
      </c>
      <c r="E935" s="14">
        <f>IFERROR(__xludf.DUMMYFUNCTION("VALUE(IF(ISTEXT(D935), REGEXREPLACE(Filmes_raw!C935,""[^,]+$"",D935),Filmes_raw!C935))"),3081925.0)</f>
        <v>3081925</v>
      </c>
      <c r="F935" s="6">
        <f>IFERROR(__xludf.DUMMYFUNCTION("VALUE(REGEXEXTRACT(Filmes_raw!F935, ""[0-9]+""
))"),124.0)</f>
        <v>124</v>
      </c>
    </row>
    <row r="936">
      <c r="A936" s="1">
        <v>935.0</v>
      </c>
      <c r="B936" s="1" t="s">
        <v>5307</v>
      </c>
      <c r="C936" s="13" t="b">
        <f>IFERROR(__xludf.DUMMYFUNCTION("IF(ISTEXT(Filmes_raw!C936), REGEXEXTRACT(Filmes_raw!C936,""[^,]+$""))"),FALSE)</f>
        <v>0</v>
      </c>
      <c r="D936" s="1" t="b">
        <f t="shared" si="1"/>
        <v>0</v>
      </c>
      <c r="E936" s="14">
        <f>IFERROR(__xludf.DUMMYFUNCTION("VALUE(IF(ISTEXT(D936), REGEXREPLACE(Filmes_raw!C936,""[^,]+$"",D936),Filmes_raw!C936))"),697181.0)</f>
        <v>697181</v>
      </c>
      <c r="F936" s="6">
        <f>IFERROR(__xludf.DUMMYFUNCTION("VALUE(REGEXEXTRACT(Filmes_raw!F936, ""[0-9]+""
))"),105.0)</f>
        <v>105</v>
      </c>
    </row>
    <row r="937">
      <c r="A937" s="1">
        <v>936.0</v>
      </c>
      <c r="B937" s="1" t="s">
        <v>5313</v>
      </c>
      <c r="C937" s="13" t="b">
        <f>IFERROR(__xludf.DUMMYFUNCTION("IF(ISTEXT(Filmes_raw!C937), REGEXEXTRACT(Filmes_raw!C937,""[^,]+$""))"),FALSE)</f>
        <v>0</v>
      </c>
      <c r="D937" s="1" t="b">
        <f t="shared" si="1"/>
        <v>0</v>
      </c>
      <c r="E937" s="14">
        <f>IFERROR(__xludf.DUMMYFUNCTION("VALUE(IF(ISTEXT(D937), REGEXREPLACE(Filmes_raw!C937,""[^,]+$"",D937),Filmes_raw!C937))"),548707.0)</f>
        <v>548707</v>
      </c>
      <c r="F937" s="6">
        <f>IFERROR(__xludf.DUMMYFUNCTION("VALUE(REGEXEXTRACT(Filmes_raw!F937, ""[0-9]+""
))"),93.0)</f>
        <v>93</v>
      </c>
    </row>
    <row r="938">
      <c r="A938" s="1">
        <v>937.0</v>
      </c>
      <c r="B938" s="1" t="s">
        <v>5318</v>
      </c>
      <c r="C938" s="13" t="b">
        <f>IFERROR(__xludf.DUMMYFUNCTION("IF(ISTEXT(Filmes_raw!C938), REGEXEXTRACT(Filmes_raw!C938,""[^,]+$""))"),FALSE)</f>
        <v>0</v>
      </c>
      <c r="D938" s="1" t="b">
        <f t="shared" si="1"/>
        <v>0</v>
      </c>
      <c r="E938" s="14">
        <f>IFERROR(__xludf.DUMMYFUNCTION("VALUE(IF(ISTEXT(D938), REGEXREPLACE(Filmes_raw!C938,""[^,]+$"",D938),Filmes_raw!C938))"),6167817.0)</f>
        <v>6167817</v>
      </c>
      <c r="F938" s="6">
        <f>IFERROR(__xludf.DUMMYFUNCTION("VALUE(REGEXEXTRACT(Filmes_raw!F938, ""[0-9]+""
))"),133.0)</f>
        <v>133</v>
      </c>
    </row>
    <row r="939">
      <c r="A939" s="1">
        <v>938.0</v>
      </c>
      <c r="B939" s="1" t="s">
        <v>5322</v>
      </c>
      <c r="C939" s="13" t="b">
        <f>IFERROR(__xludf.DUMMYFUNCTION("IF(ISTEXT(Filmes_raw!C939), REGEXEXTRACT(Filmes_raw!C939,""[^,]+$""))"),FALSE)</f>
        <v>0</v>
      </c>
      <c r="D939" s="1" t="b">
        <f t="shared" si="1"/>
        <v>0</v>
      </c>
      <c r="E939" s="14">
        <f>IFERROR(__xludf.DUMMYFUNCTION("VALUE(IF(ISTEXT(D939), REGEXREPLACE(Filmes_raw!C939,""[^,]+$"",D939),Filmes_raw!C939))"),5739376.0)</f>
        <v>5739376</v>
      </c>
      <c r="F939" s="6">
        <f>IFERROR(__xludf.DUMMYFUNCTION("VALUE(REGEXEXTRACT(Filmes_raw!F939, ""[0-9]+""
))"),89.0)</f>
        <v>89</v>
      </c>
    </row>
    <row r="940">
      <c r="A940" s="1">
        <v>939.0</v>
      </c>
      <c r="B940" s="1" t="s">
        <v>5328</v>
      </c>
      <c r="C940" s="13" t="b">
        <f>IFERROR(__xludf.DUMMYFUNCTION("IF(ISTEXT(Filmes_raw!C940), REGEXEXTRACT(Filmes_raw!C940,""[^,]+$""))"),FALSE)</f>
        <v>0</v>
      </c>
      <c r="D940" s="1" t="b">
        <f t="shared" si="1"/>
        <v>0</v>
      </c>
      <c r="E940" s="14">
        <f>IFERROR(__xludf.DUMMYFUNCTION("VALUE(IF(ISTEXT(D940), REGEXREPLACE(Filmes_raw!C940,""[^,]+$"",D940),Filmes_raw!C940))"),1.6290476E7)</f>
        <v>16290476</v>
      </c>
      <c r="F940" s="6">
        <f>IFERROR(__xludf.DUMMYFUNCTION("VALUE(REGEXEXTRACT(Filmes_raw!F940, ""[0-9]+""
))"),124.0)</f>
        <v>124</v>
      </c>
    </row>
    <row r="941">
      <c r="A941" s="1">
        <v>940.0</v>
      </c>
      <c r="B941" s="1" t="s">
        <v>5331</v>
      </c>
      <c r="C941" s="13" t="b">
        <f>IFERROR(__xludf.DUMMYFUNCTION("IF(ISTEXT(Filmes_raw!C941), REGEXEXTRACT(Filmes_raw!C941,""[^,]+$""))"),FALSE)</f>
        <v>0</v>
      </c>
      <c r="D941" s="1" t="b">
        <f t="shared" si="1"/>
        <v>0</v>
      </c>
      <c r="E941" s="14">
        <f>IFERROR(__xludf.DUMMYFUNCTION("VALUE(IF(ISTEXT(D941), REGEXREPLACE(Filmes_raw!C941,""[^,]+$"",D941),Filmes_raw!C941))"),45289.0)</f>
        <v>45289</v>
      </c>
      <c r="F941" s="6">
        <f>IFERROR(__xludf.DUMMYFUNCTION("VALUE(REGEXEXTRACT(Filmes_raw!F941, ""[0-9]+""
))"),129.0)</f>
        <v>129</v>
      </c>
    </row>
    <row r="942">
      <c r="A942" s="1">
        <v>941.0</v>
      </c>
      <c r="B942" s="1" t="s">
        <v>5336</v>
      </c>
      <c r="C942" s="13" t="b">
        <f>IFERROR(__xludf.DUMMYFUNCTION("IF(ISTEXT(Filmes_raw!C942), REGEXEXTRACT(Filmes_raw!C942,""[^,]+$""))"),FALSE)</f>
        <v>0</v>
      </c>
      <c r="D942" s="1" t="b">
        <f t="shared" si="1"/>
        <v>0</v>
      </c>
      <c r="E942" s="14">
        <f>IFERROR(__xludf.DUMMYFUNCTION("VALUE(IF(ISTEXT(D942), REGEXREPLACE(Filmes_raw!C942,""[^,]+$"",D942),Filmes_raw!C942))"),5.1680613E7)</f>
        <v>51680613</v>
      </c>
      <c r="F942" s="6">
        <f>IFERROR(__xludf.DUMMYFUNCTION("VALUE(REGEXEXTRACT(Filmes_raw!F942, ""[0-9]+""
))"),106.0)</f>
        <v>106</v>
      </c>
    </row>
    <row r="943">
      <c r="A943" s="1">
        <v>942.0</v>
      </c>
      <c r="B943" s="1" t="s">
        <v>5339</v>
      </c>
      <c r="C943" s="13" t="b">
        <f>IFERROR(__xludf.DUMMYFUNCTION("IF(ISTEXT(Filmes_raw!C943), REGEXEXTRACT(Filmes_raw!C943,""[^,]+$""))"),FALSE)</f>
        <v>0</v>
      </c>
      <c r="D943" s="1" t="b">
        <f t="shared" si="1"/>
        <v>0</v>
      </c>
      <c r="E943" s="14">
        <f>IFERROR(__xludf.DUMMYFUNCTION("VALUE(IF(ISTEXT(D943), REGEXREPLACE(Filmes_raw!C943,""[^,]+$"",D943),Filmes_raw!C943))"),1.3060843E7)</f>
        <v>13060843</v>
      </c>
      <c r="F943" s="6">
        <f>IFERROR(__xludf.DUMMYFUNCTION("VALUE(REGEXEXTRACT(Filmes_raw!F943, ""[0-9]+""
))"),135.0)</f>
        <v>135</v>
      </c>
    </row>
    <row r="944">
      <c r="A944" s="1">
        <v>943.0</v>
      </c>
      <c r="B944" s="1" t="s">
        <v>5342</v>
      </c>
      <c r="C944" s="13" t="b">
        <f>IFERROR(__xludf.DUMMYFUNCTION("IF(ISTEXT(Filmes_raw!C944), REGEXEXTRACT(Filmes_raw!C944,""[^,]+$""))"),FALSE)</f>
        <v>0</v>
      </c>
      <c r="D944" s="1" t="b">
        <f t="shared" si="1"/>
        <v>0</v>
      </c>
      <c r="E944" s="14">
        <f>IFERROR(__xludf.DUMMYFUNCTION("VALUE(IF(ISTEXT(D944), REGEXREPLACE(Filmes_raw!C944,""[^,]+$"",D944),Filmes_raw!C944))"),5.7938693E7)</f>
        <v>57938693</v>
      </c>
      <c r="F944" s="6">
        <f>IFERROR(__xludf.DUMMYFUNCTION("VALUE(REGEXEXTRACT(Filmes_raw!F944, ""[0-9]+""
))"),113.0)</f>
        <v>113</v>
      </c>
    </row>
    <row r="945">
      <c r="A945" s="1">
        <v>944.0</v>
      </c>
      <c r="B945" s="1" t="s">
        <v>5349</v>
      </c>
      <c r="C945" s="13" t="b">
        <f>IFERROR(__xludf.DUMMYFUNCTION("IF(ISTEXT(Filmes_raw!C945), REGEXEXTRACT(Filmes_raw!C945,""[^,]+$""))"),FALSE)</f>
        <v>0</v>
      </c>
      <c r="D945" s="1" t="b">
        <f t="shared" si="1"/>
        <v>0</v>
      </c>
      <c r="E945" s="14">
        <f>IFERROR(__xludf.DUMMYFUNCTION("VALUE(IF(ISTEXT(D945), REGEXREPLACE(Filmes_raw!C945,""[^,]+$"",D945),Filmes_raw!C945))"),4.5064915E7)</f>
        <v>45064915</v>
      </c>
      <c r="F945" s="6">
        <f>IFERROR(__xludf.DUMMYFUNCTION("VALUE(REGEXEXTRACT(Filmes_raw!F945, ""[0-9]+""
))"),113.0)</f>
        <v>113</v>
      </c>
    </row>
    <row r="946">
      <c r="A946" s="1">
        <v>945.0</v>
      </c>
      <c r="B946" s="1" t="s">
        <v>5354</v>
      </c>
      <c r="C946" s="13" t="b">
        <f>IFERROR(__xludf.DUMMYFUNCTION("IF(ISTEXT(Filmes_raw!C946), REGEXEXTRACT(Filmes_raw!C946,""[^,]+$""))"),FALSE)</f>
        <v>0</v>
      </c>
      <c r="D946" s="1" t="b">
        <f t="shared" si="1"/>
        <v>0</v>
      </c>
      <c r="E946" s="14">
        <f>IFERROR(__xludf.DUMMYFUNCTION("VALUE(IF(ISTEXT(D946), REGEXREPLACE(Filmes_raw!C946,""[^,]+$"",D946),Filmes_raw!C946))"),958989.0)</f>
        <v>958989</v>
      </c>
      <c r="F946" s="6">
        <f>IFERROR(__xludf.DUMMYFUNCTION("VALUE(REGEXEXTRACT(Filmes_raw!F946, ""[0-9]+""
))"),114.0)</f>
        <v>114</v>
      </c>
    </row>
    <row r="947">
      <c r="A947" s="1">
        <v>946.0</v>
      </c>
      <c r="B947" s="1" t="s">
        <v>5359</v>
      </c>
      <c r="C947" s="13" t="b">
        <f>IFERROR(__xludf.DUMMYFUNCTION("IF(ISTEXT(Filmes_raw!C947), REGEXEXTRACT(Filmes_raw!C947,""[^,]+$""))"),FALSE)</f>
        <v>0</v>
      </c>
      <c r="D947" s="1" t="b">
        <f t="shared" si="1"/>
        <v>0</v>
      </c>
      <c r="E947" s="14">
        <f>IFERROR(__xludf.DUMMYFUNCTION("VALUE(IF(ISTEXT(D947), REGEXREPLACE(Filmes_raw!C947,""[^,]+$"",D947),Filmes_raw!C947))"),5.236401E7)</f>
        <v>52364010</v>
      </c>
      <c r="F947" s="6">
        <f>IFERROR(__xludf.DUMMYFUNCTION("VALUE(REGEXEXTRACT(Filmes_raw!F947, ""[0-9]+""
))"),110.0)</f>
        <v>110</v>
      </c>
    </row>
    <row r="948">
      <c r="A948" s="1">
        <v>947.0</v>
      </c>
      <c r="B948" s="1" t="s">
        <v>5363</v>
      </c>
      <c r="C948" s="13" t="b">
        <f>IFERROR(__xludf.DUMMYFUNCTION("IF(ISTEXT(Filmes_raw!C948), REGEXEXTRACT(Filmes_raw!C948,""[^,]+$""))"),FALSE)</f>
        <v>0</v>
      </c>
      <c r="D948" s="1" t="b">
        <f t="shared" si="1"/>
        <v>0</v>
      </c>
      <c r="E948" s="14">
        <f>IFERROR(__xludf.DUMMYFUNCTION("VALUE(IF(ISTEXT(D948), REGEXREPLACE(Filmes_raw!C948,""[^,]+$"",D948),Filmes_raw!C948))"),1.3622333E7)</f>
        <v>13622333</v>
      </c>
      <c r="F948" s="6">
        <f>IFERROR(__xludf.DUMMYFUNCTION("VALUE(REGEXEXTRACT(Filmes_raw!F948, ""[0-9]+""
))"),106.0)</f>
        <v>106</v>
      </c>
    </row>
    <row r="949">
      <c r="A949" s="1">
        <v>948.0</v>
      </c>
      <c r="B949" s="1" t="s">
        <v>5367</v>
      </c>
      <c r="C949" s="13" t="b">
        <f>IFERROR(__xludf.DUMMYFUNCTION("IF(ISTEXT(Filmes_raw!C949), REGEXEXTRACT(Filmes_raw!C949,""[^,]+$""))"),FALSE)</f>
        <v>0</v>
      </c>
      <c r="D949" s="1" t="b">
        <f t="shared" si="1"/>
        <v>0</v>
      </c>
      <c r="E949" s="14">
        <f>IFERROR(__xludf.DUMMYFUNCTION("VALUE(IF(ISTEXT(D949), REGEXREPLACE(Filmes_raw!C949,""[^,]+$"",D949),Filmes_raw!C949))"),3.1757555E8)</f>
        <v>317575550</v>
      </c>
      <c r="F949" s="6">
        <f>IFERROR(__xludf.DUMMYFUNCTION("VALUE(REGEXEXTRACT(Filmes_raw!F949, ""[0-9]+""
))"),152.0)</f>
        <v>152</v>
      </c>
    </row>
    <row r="950">
      <c r="A950" s="1">
        <v>949.0</v>
      </c>
      <c r="B950" s="1" t="s">
        <v>5371</v>
      </c>
      <c r="C950" s="13" t="b">
        <f>IFERROR(__xludf.DUMMYFUNCTION("IF(ISTEXT(Filmes_raw!C950), REGEXEXTRACT(Filmes_raw!C950,""[^,]+$""))"),FALSE)</f>
        <v>0</v>
      </c>
      <c r="D950" s="1" t="b">
        <f t="shared" si="1"/>
        <v>0</v>
      </c>
      <c r="E950" s="14">
        <f>IFERROR(__xludf.DUMMYFUNCTION("VALUE(IF(ISTEXT(D950), REGEXREPLACE(Filmes_raw!C950,""[^,]+$"",D950),Filmes_raw!C950))"),9.6522687E7)</f>
        <v>96522687</v>
      </c>
      <c r="F950" s="6">
        <f>IFERROR(__xludf.DUMMYFUNCTION("VALUE(REGEXEXTRACT(Filmes_raw!F950, ""[0-9]+""
))"),101.0)</f>
        <v>101</v>
      </c>
    </row>
    <row r="951">
      <c r="A951" s="1">
        <v>950.0</v>
      </c>
      <c r="B951" s="1" t="s">
        <v>5374</v>
      </c>
      <c r="C951" s="13" t="b">
        <f>IFERROR(__xludf.DUMMYFUNCTION("IF(ISTEXT(Filmes_raw!C951), REGEXEXTRACT(Filmes_raw!C951,""[^,]+$""))"),FALSE)</f>
        <v>0</v>
      </c>
      <c r="D951" s="1" t="b">
        <f t="shared" si="1"/>
        <v>0</v>
      </c>
      <c r="E951" s="14">
        <f>IFERROR(__xludf.DUMMYFUNCTION("VALUE(IF(ISTEXT(D951), REGEXREPLACE(Filmes_raw!C951,""[^,]+$"",D951),Filmes_raw!C951))"),5.2990775E7)</f>
        <v>52990775</v>
      </c>
      <c r="F951" s="6">
        <f>IFERROR(__xludf.DUMMYFUNCTION("VALUE(REGEXEXTRACT(Filmes_raw!F951, ""[0-9]+""
))"),124.0)</f>
        <v>124</v>
      </c>
    </row>
    <row r="952">
      <c r="A952" s="1">
        <v>951.0</v>
      </c>
      <c r="B952" s="1" t="s">
        <v>5378</v>
      </c>
      <c r="C952" s="13" t="b">
        <f>IFERROR(__xludf.DUMMYFUNCTION("IF(ISTEXT(Filmes_raw!C952), REGEXEXTRACT(Filmes_raw!C952,""[^,]+$""))"),FALSE)</f>
        <v>0</v>
      </c>
      <c r="D952" s="1" t="b">
        <f t="shared" si="1"/>
        <v>0</v>
      </c>
      <c r="E952" s="14">
        <f>IFERROR(__xludf.DUMMYFUNCTION("VALUE(IF(ISTEXT(D952), REGEXREPLACE(Filmes_raw!C952,""[^,]+$"",D952),Filmes_raw!C952))"),5.1401758E7)</f>
        <v>51401758</v>
      </c>
      <c r="F952" s="6">
        <f>IFERROR(__xludf.DUMMYFUNCTION("VALUE(REGEXEXTRACT(Filmes_raw!F952, ""[0-9]+""
))"),131.0)</f>
        <v>131</v>
      </c>
    </row>
    <row r="953">
      <c r="A953" s="1">
        <v>952.0</v>
      </c>
      <c r="B953" s="1" t="s">
        <v>5382</v>
      </c>
      <c r="C953" s="13" t="b">
        <f>IFERROR(__xludf.DUMMYFUNCTION("IF(ISTEXT(Filmes_raw!C953), REGEXEXTRACT(Filmes_raw!C953,""[^,]+$""))"),FALSE)</f>
        <v>0</v>
      </c>
      <c r="D953" s="1" t="b">
        <f t="shared" si="1"/>
        <v>0</v>
      </c>
      <c r="E953" s="14">
        <f>IFERROR(__xludf.DUMMYFUNCTION("VALUE(IF(ISTEXT(D953), REGEXREPLACE(Filmes_raw!C953,""[^,]+$"",D953),Filmes_raw!C953))"),1.32072926E8)</f>
        <v>132072926</v>
      </c>
      <c r="F953" s="6">
        <f>IFERROR(__xludf.DUMMYFUNCTION("VALUE(REGEXEXTRACT(Filmes_raw!F953, ""[0-9]+""
))"),145.0)</f>
        <v>145</v>
      </c>
    </row>
    <row r="954">
      <c r="A954" s="1">
        <v>953.0</v>
      </c>
      <c r="B954" s="1" t="s">
        <v>5385</v>
      </c>
      <c r="C954" s="13" t="b">
        <f>IFERROR(__xludf.DUMMYFUNCTION("IF(ISTEXT(Filmes_raw!C954), REGEXEXTRACT(Filmes_raw!C954,""[^,]+$""))"),FALSE)</f>
        <v>0</v>
      </c>
      <c r="D954" s="1" t="b">
        <f t="shared" si="1"/>
        <v>0</v>
      </c>
      <c r="E954" s="14">
        <f>IFERROR(__xludf.DUMMYFUNCTION("VALUE(IF(ISTEXT(D954), REGEXREPLACE(Filmes_raw!C954,""[^,]+$"",D954),Filmes_raw!C954))"),5.0668906E7)</f>
        <v>50668906</v>
      </c>
      <c r="F954" s="6">
        <f>IFERROR(__xludf.DUMMYFUNCTION("VALUE(REGEXEXTRACT(Filmes_raw!F954, ""[0-9]+""
))"),146.0)</f>
        <v>146</v>
      </c>
    </row>
    <row r="955">
      <c r="A955" s="1">
        <v>954.0</v>
      </c>
      <c r="B955" s="1" t="s">
        <v>5388</v>
      </c>
      <c r="C955" s="13" t="b">
        <f>IFERROR(__xludf.DUMMYFUNCTION("IF(ISTEXT(Filmes_raw!C955), REGEXEXTRACT(Filmes_raw!C955,""[^,]+$""))"),FALSE)</f>
        <v>0</v>
      </c>
      <c r="D955" s="1" t="b">
        <f t="shared" si="1"/>
        <v>0</v>
      </c>
      <c r="E955" s="14">
        <f>IFERROR(__xludf.DUMMYFUNCTION("VALUE(IF(ISTEXT(D955), REGEXREPLACE(Filmes_raw!C955,""[^,]+$"",D955),Filmes_raw!C955))"),1.5070285E7)</f>
        <v>15070285</v>
      </c>
      <c r="F955" s="6">
        <f>IFERROR(__xludf.DUMMYFUNCTION("VALUE(REGEXEXTRACT(Filmes_raw!F955, ""[0-9]+""
))"),101.0)</f>
        <v>101</v>
      </c>
    </row>
    <row r="956">
      <c r="A956" s="1">
        <v>955.0</v>
      </c>
      <c r="B956" s="1" t="s">
        <v>5393</v>
      </c>
      <c r="C956" s="13" t="b">
        <f>IFERROR(__xludf.DUMMYFUNCTION("IF(ISTEXT(Filmes_raw!C956), REGEXEXTRACT(Filmes_raw!C956,""[^,]+$""))"),FALSE)</f>
        <v>0</v>
      </c>
      <c r="D956" s="1" t="b">
        <f t="shared" si="1"/>
        <v>0</v>
      </c>
      <c r="E956" s="14">
        <f>IFERROR(__xludf.DUMMYFUNCTION("VALUE(IF(ISTEXT(D956), REGEXREPLACE(Filmes_raw!C956,""[^,]+$"",D956),Filmes_raw!C956))"),7267585.0)</f>
        <v>7267585</v>
      </c>
      <c r="F956" s="6">
        <f>IFERROR(__xludf.DUMMYFUNCTION("VALUE(REGEXEXTRACT(Filmes_raw!F956, ""[0-9]+""
))"),81.0)</f>
        <v>81</v>
      </c>
    </row>
    <row r="957">
      <c r="A957" s="1">
        <v>956.0</v>
      </c>
      <c r="B957" s="1" t="s">
        <v>5398</v>
      </c>
      <c r="C957" s="13" t="b">
        <f>IFERROR(__xludf.DUMMYFUNCTION("IF(ISTEXT(Filmes_raw!C957), REGEXEXTRACT(Filmes_raw!C957,""[^,]+$""))"),FALSE)</f>
        <v>0</v>
      </c>
      <c r="D957" s="1" t="b">
        <f t="shared" si="1"/>
        <v>0</v>
      </c>
      <c r="E957" s="14">
        <f>IFERROR(__xludf.DUMMYFUNCTION("VALUE(IF(ISTEXT(D957), REGEXREPLACE(Filmes_raw!C957,""[^,]+$"",D957),Filmes_raw!C957))"),3.6400491E7)</f>
        <v>36400491</v>
      </c>
      <c r="F957" s="6">
        <f>IFERROR(__xludf.DUMMYFUNCTION("VALUE(REGEXEXTRACT(Filmes_raw!F957, ""[0-9]+""
))"),170.0)</f>
        <v>170</v>
      </c>
    </row>
    <row r="958">
      <c r="A958" s="1">
        <v>957.0</v>
      </c>
      <c r="B958" s="1" t="s">
        <v>5401</v>
      </c>
      <c r="C958" s="13" t="b">
        <f>IFERROR(__xludf.DUMMYFUNCTION("IF(ISTEXT(Filmes_raw!C958), REGEXEXTRACT(Filmes_raw!C958,""[^,]+$""))"),FALSE)</f>
        <v>0</v>
      </c>
      <c r="D958" s="1" t="b">
        <f t="shared" si="1"/>
        <v>0</v>
      </c>
      <c r="E958" s="14">
        <f>IFERROR(__xludf.DUMMYFUNCTION("VALUE(IF(ISTEXT(D958), REGEXREPLACE(Filmes_raw!C958,""[^,]+$"",D958),Filmes_raw!C958))"),1.20620254E8)</f>
        <v>120620254</v>
      </c>
      <c r="F958" s="6">
        <f>IFERROR(__xludf.DUMMYFUNCTION("VALUE(REGEXEXTRACT(Filmes_raw!F958, ""[0-9]+""
))"),88.0)</f>
        <v>88</v>
      </c>
    </row>
    <row r="959">
      <c r="A959" s="1">
        <v>958.0</v>
      </c>
      <c r="B959" s="1" t="s">
        <v>5407</v>
      </c>
      <c r="C959" s="13" t="b">
        <f>IFERROR(__xludf.DUMMYFUNCTION("IF(ISTEXT(Filmes_raw!C959), REGEXEXTRACT(Filmes_raw!C959,""[^,]+$""))"),FALSE)</f>
        <v>0</v>
      </c>
      <c r="D959" s="1" t="b">
        <f t="shared" si="1"/>
        <v>0</v>
      </c>
      <c r="E959" s="14">
        <f>IFERROR(__xludf.DUMMYFUNCTION("VALUE(IF(ISTEXT(D959), REGEXREPLACE(Filmes_raw!C959,""[^,]+$"",D959),Filmes_raw!C959))"),1.0680275E7)</f>
        <v>10680275</v>
      </c>
      <c r="F959" s="6">
        <f>IFERROR(__xludf.DUMMYFUNCTION("VALUE(REGEXEXTRACT(Filmes_raw!F959, ""[0-9]+""
))"),118.0)</f>
        <v>118</v>
      </c>
    </row>
    <row r="960">
      <c r="A960" s="1">
        <v>959.0</v>
      </c>
      <c r="B960" s="1" t="s">
        <v>5411</v>
      </c>
      <c r="C960" s="13" t="b">
        <f>IFERROR(__xludf.DUMMYFUNCTION("IF(ISTEXT(Filmes_raw!C960), REGEXEXTRACT(Filmes_raw!C960,""[^,]+$""))"),FALSE)</f>
        <v>0</v>
      </c>
      <c r="D960" s="1" t="b">
        <f t="shared" si="1"/>
        <v>0</v>
      </c>
      <c r="E960" s="14">
        <f>IFERROR(__xludf.DUMMYFUNCTION("VALUE(IF(ISTEXT(D960), REGEXREPLACE(Filmes_raw!C960,""[^,]+$"",D960),Filmes_raw!C960))"),1294919.0)</f>
        <v>1294919</v>
      </c>
      <c r="F960" s="6">
        <f>IFERROR(__xludf.DUMMYFUNCTION("VALUE(REGEXEXTRACT(Filmes_raw!F960, ""[0-9]+""
))"),108.0)</f>
        <v>108</v>
      </c>
    </row>
    <row r="961">
      <c r="A961" s="1">
        <v>960.0</v>
      </c>
      <c r="B961" s="1" t="s">
        <v>5416</v>
      </c>
      <c r="C961" s="13" t="b">
        <f>IFERROR(__xludf.DUMMYFUNCTION("IF(ISTEXT(Filmes_raw!C961), REGEXEXTRACT(Filmes_raw!C961,""[^,]+$""))"),FALSE)</f>
        <v>0</v>
      </c>
      <c r="D961" s="1" t="b">
        <f t="shared" si="1"/>
        <v>0</v>
      </c>
      <c r="E961" s="14">
        <f>IFERROR(__xludf.DUMMYFUNCTION("VALUE(IF(ISTEXT(D961), REGEXREPLACE(Filmes_raw!C961,""[^,]+$"",D961),Filmes_raw!C961))"),1.4378331E7)</f>
        <v>14378331</v>
      </c>
      <c r="F961" s="6">
        <f>IFERROR(__xludf.DUMMYFUNCTION("VALUE(REGEXEXTRACT(Filmes_raw!F961, ""[0-9]+""
))"),100.0)</f>
        <v>100</v>
      </c>
    </row>
    <row r="962">
      <c r="A962" s="1">
        <v>961.0</v>
      </c>
      <c r="B962" s="1" t="s">
        <v>5421</v>
      </c>
      <c r="C962" s="13" t="b">
        <f>IFERROR(__xludf.DUMMYFUNCTION("IF(ISTEXT(Filmes_raw!C962), REGEXEXTRACT(Filmes_raw!C962,""[^,]+$""))"),FALSE)</f>
        <v>0</v>
      </c>
      <c r="D962" s="1" t="b">
        <f t="shared" si="1"/>
        <v>0</v>
      </c>
      <c r="E962" s="14">
        <f>IFERROR(__xludf.DUMMYFUNCTION("VALUE(IF(ISTEXT(D962), REGEXREPLACE(Filmes_raw!C962,""[^,]+$"",D962),Filmes_raw!C962))"),4.91E7)</f>
        <v>49100000</v>
      </c>
      <c r="F962" s="6">
        <f>IFERROR(__xludf.DUMMYFUNCTION("VALUE(REGEXEXTRACT(Filmes_raw!F962, ""[0-9]+""
))"),147.0)</f>
        <v>147</v>
      </c>
    </row>
    <row r="963">
      <c r="A963" s="1">
        <v>962.0</v>
      </c>
      <c r="B963" s="1" t="s">
        <v>5424</v>
      </c>
      <c r="C963" s="13" t="b">
        <f>IFERROR(__xludf.DUMMYFUNCTION("IF(ISTEXT(Filmes_raw!C963), REGEXEXTRACT(Filmes_raw!C963,""[^,]+$""))"),FALSE)</f>
        <v>0</v>
      </c>
      <c r="D963" s="1" t="b">
        <f t="shared" si="1"/>
        <v>0</v>
      </c>
      <c r="E963" s="14">
        <f>IFERROR(__xludf.DUMMYFUNCTION("VALUE(IF(ISTEXT(D963), REGEXREPLACE(Filmes_raw!C963,""[^,]+$"",D963),Filmes_raw!C963))"),3796699.0)</f>
        <v>3796699</v>
      </c>
      <c r="F963" s="6">
        <f>IFERROR(__xludf.DUMMYFUNCTION("VALUE(REGEXEXTRACT(Filmes_raw!F963, ""[0-9]+""
))"),134.0)</f>
        <v>134</v>
      </c>
    </row>
    <row r="964">
      <c r="A964" s="1">
        <v>963.0</v>
      </c>
      <c r="B964" s="1" t="s">
        <v>5428</v>
      </c>
      <c r="C964" s="13" t="b">
        <f>IFERROR(__xludf.DUMMYFUNCTION("IF(ISTEXT(Filmes_raw!C964), REGEXEXTRACT(Filmes_raw!C964,""[^,]+$""))"),FALSE)</f>
        <v>0</v>
      </c>
      <c r="D964" s="1" t="b">
        <f t="shared" si="1"/>
        <v>0</v>
      </c>
      <c r="E964" s="14">
        <f>IFERROR(__xludf.DUMMYFUNCTION("VALUE(IF(ISTEXT(D964), REGEXREPLACE(Filmes_raw!C964,""[^,]+$"",D964),Filmes_raw!C964))"),4.3182776E7)</f>
        <v>43182776</v>
      </c>
      <c r="F964" s="6">
        <f>IFERROR(__xludf.DUMMYFUNCTION("VALUE(REGEXEXTRACT(Filmes_raw!F964, ""[0-9]+""
))"),136.0)</f>
        <v>136</v>
      </c>
    </row>
    <row r="965">
      <c r="A965" s="1">
        <v>964.0</v>
      </c>
      <c r="B965" s="1" t="s">
        <v>5431</v>
      </c>
      <c r="C965" s="13" t="b">
        <f>IFERROR(__xludf.DUMMYFUNCTION("IF(ISTEXT(Filmes_raw!C965), REGEXEXTRACT(Filmes_raw!C965,""[^,]+$""))"),FALSE)</f>
        <v>0</v>
      </c>
      <c r="D965" s="1" t="b">
        <f t="shared" si="1"/>
        <v>0</v>
      </c>
      <c r="E965" s="14">
        <f>IFERROR(__xludf.DUMMYFUNCTION("VALUE(IF(ISTEXT(D965), REGEXREPLACE(Filmes_raw!C965,""[^,]+$"",D965),Filmes_raw!C965))"),1.00012499E8)</f>
        <v>100012499</v>
      </c>
      <c r="F965" s="6">
        <f>IFERROR(__xludf.DUMMYFUNCTION("VALUE(REGEXEXTRACT(Filmes_raw!F965, ""[0-9]+""
))"),128.0)</f>
        <v>128</v>
      </c>
    </row>
    <row r="966">
      <c r="A966" s="1">
        <v>965.0</v>
      </c>
      <c r="B966" s="1" t="s">
        <v>5433</v>
      </c>
      <c r="C966" s="13" t="b">
        <f>IFERROR(__xludf.DUMMYFUNCTION("IF(ISTEXT(Filmes_raw!C966), REGEXEXTRACT(Filmes_raw!C966,""[^,]+$""))"),FALSE)</f>
        <v>0</v>
      </c>
      <c r="D966" s="1" t="b">
        <f t="shared" si="1"/>
        <v>0</v>
      </c>
      <c r="E966" s="14">
        <f>IFERROR(__xludf.DUMMYFUNCTION("VALUE(IF(ISTEXT(D966), REGEXREPLACE(Filmes_raw!C966,""[^,]+$"",D966),Filmes_raw!C966))"),1037847.0)</f>
        <v>1037847</v>
      </c>
      <c r="F966" s="6">
        <f>IFERROR(__xludf.DUMMYFUNCTION("VALUE(REGEXEXTRACT(Filmes_raw!F966, ""[0-9]+""
))"),121.0)</f>
        <v>121</v>
      </c>
    </row>
    <row r="967">
      <c r="A967" s="1">
        <v>966.0</v>
      </c>
      <c r="B967" s="1" t="s">
        <v>5437</v>
      </c>
      <c r="C967" s="13" t="b">
        <f>IFERROR(__xludf.DUMMYFUNCTION("IF(ISTEXT(Filmes_raw!C967), REGEXEXTRACT(Filmes_raw!C967,""[^,]+$""))"),FALSE)</f>
        <v>0</v>
      </c>
      <c r="D967" s="1" t="b">
        <f t="shared" si="1"/>
        <v>0</v>
      </c>
      <c r="E967" s="14">
        <f>IFERROR(__xludf.DUMMYFUNCTION("VALUE(IF(ISTEXT(D967), REGEXREPLACE(Filmes_raw!C967,""[^,]+$"",D967),Filmes_raw!C967))"),7.1516617E7)</f>
        <v>71516617</v>
      </c>
      <c r="F967" s="6">
        <f>IFERROR(__xludf.DUMMYFUNCTION("VALUE(REGEXEXTRACT(Filmes_raw!F967, ""[0-9]+""
))"),135.0)</f>
        <v>135</v>
      </c>
    </row>
    <row r="968">
      <c r="A968" s="1">
        <v>967.0</v>
      </c>
      <c r="B968" s="1" t="s">
        <v>5441</v>
      </c>
      <c r="C968" s="13" t="b">
        <f>IFERROR(__xludf.DUMMYFUNCTION("IF(ISTEXT(Filmes_raw!C968), REGEXEXTRACT(Filmes_raw!C968,""[^,]+$""))"),FALSE)</f>
        <v>0</v>
      </c>
      <c r="D968" s="1" t="b">
        <f t="shared" si="1"/>
        <v>0</v>
      </c>
      <c r="E968" s="14">
        <f>IFERROR(__xludf.DUMMYFUNCTION("VALUE(IF(ISTEXT(D968), REGEXREPLACE(Filmes_raw!C968,""[^,]+$"",D968),Filmes_raw!C968))"),1.73837933E8)</f>
        <v>173837933</v>
      </c>
      <c r="F968" s="6">
        <f>IFERROR(__xludf.DUMMYFUNCTION("VALUE(REGEXEXTRACT(Filmes_raw!F968, ""[0-9]+""
))"),140.0)</f>
        <v>140</v>
      </c>
    </row>
    <row r="969">
      <c r="A969" s="1">
        <v>968.0</v>
      </c>
      <c r="B969" s="1" t="s">
        <v>5443</v>
      </c>
      <c r="C969" s="13" t="b">
        <f>IFERROR(__xludf.DUMMYFUNCTION("IF(ISTEXT(Filmes_raw!C969), REGEXEXTRACT(Filmes_raw!C969,""[^,]+$""))"),FALSE)</f>
        <v>0</v>
      </c>
      <c r="D969" s="1" t="b">
        <f t="shared" si="1"/>
        <v>0</v>
      </c>
      <c r="E969" s="14">
        <f>IFERROR(__xludf.DUMMYFUNCTION("VALUE(IF(ISTEXT(D969), REGEXREPLACE(Filmes_raw!C969,""[^,]+$"",D969),Filmes_raw!C969))"),1464625.0)</f>
        <v>1464625</v>
      </c>
      <c r="F969" s="6">
        <f>IFERROR(__xludf.DUMMYFUNCTION("VALUE(REGEXEXTRACT(Filmes_raw!F969, ""[0-9]+""
))"),92.0)</f>
        <v>92</v>
      </c>
    </row>
    <row r="970">
      <c r="A970" s="1">
        <v>969.0</v>
      </c>
      <c r="B970" s="1" t="s">
        <v>5447</v>
      </c>
      <c r="C970" s="13" t="b">
        <f>IFERROR(__xludf.DUMMYFUNCTION("IF(ISTEXT(Filmes_raw!C970), REGEXEXTRACT(Filmes_raw!C970,""[^,]+$""))"),FALSE)</f>
        <v>0</v>
      </c>
      <c r="D970" s="1" t="b">
        <f t="shared" si="1"/>
        <v>0</v>
      </c>
      <c r="E970" s="14">
        <f>IFERROR(__xludf.DUMMYFUNCTION("VALUE(IF(ISTEXT(D970), REGEXREPLACE(Filmes_raw!C970,""[^,]+$"",D970),Filmes_raw!C970))"),4.0903593E7)</f>
        <v>40903593</v>
      </c>
      <c r="F970" s="6">
        <f>IFERROR(__xludf.DUMMYFUNCTION("VALUE(REGEXEXTRACT(Filmes_raw!F970, ""[0-9]+""
))"),113.0)</f>
        <v>113</v>
      </c>
    </row>
    <row r="971">
      <c r="A971" s="1">
        <v>970.0</v>
      </c>
      <c r="B971" s="1" t="s">
        <v>5451</v>
      </c>
      <c r="C971" s="13" t="b">
        <f>IFERROR(__xludf.DUMMYFUNCTION("IF(ISTEXT(Filmes_raw!C971), REGEXEXTRACT(Filmes_raw!C971,""[^,]+$""))"),FALSE)</f>
        <v>0</v>
      </c>
      <c r="D971" s="1" t="b">
        <f t="shared" si="1"/>
        <v>0</v>
      </c>
      <c r="E971" s="14">
        <f>IFERROR(__xludf.DUMMYFUNCTION("VALUE(IF(ISTEXT(D971), REGEXREPLACE(Filmes_raw!C971,""[^,]+$"",D971),Filmes_raw!C971))"),7993039.0)</f>
        <v>7993039</v>
      </c>
      <c r="F971" s="6">
        <f>IFERROR(__xludf.DUMMYFUNCTION("VALUE(REGEXEXTRACT(Filmes_raw!F971, ""[0-9]+""
))"),102.0)</f>
        <v>102</v>
      </c>
    </row>
    <row r="972">
      <c r="A972" s="1">
        <v>971.0</v>
      </c>
      <c r="B972" s="1" t="s">
        <v>5455</v>
      </c>
      <c r="C972" s="13" t="b">
        <f>IFERROR(__xludf.DUMMYFUNCTION("IF(ISTEXT(Filmes_raw!C972), REGEXEXTRACT(Filmes_raw!C972,""[^,]+$""))"),FALSE)</f>
        <v>0</v>
      </c>
      <c r="D972" s="1" t="b">
        <f t="shared" si="1"/>
        <v>0</v>
      </c>
      <c r="E972" s="14">
        <f>IFERROR(__xludf.DUMMYFUNCTION("VALUE(IF(ISTEXT(D972), REGEXREPLACE(Filmes_raw!C972,""[^,]+$"",D972),Filmes_raw!C972))"),5.2929168E7)</f>
        <v>52929168</v>
      </c>
      <c r="F972" s="6">
        <f>IFERROR(__xludf.DUMMYFUNCTION("VALUE(REGEXEXTRACT(Filmes_raw!F972, ""[0-9]+""
))"),120.0)</f>
        <v>120</v>
      </c>
    </row>
    <row r="973">
      <c r="A973" s="1">
        <v>972.0</v>
      </c>
      <c r="B973" s="1" t="s">
        <v>5460</v>
      </c>
      <c r="C973" s="13" t="b">
        <f>IFERROR(__xludf.DUMMYFUNCTION("IF(ISTEXT(Filmes_raw!C973), REGEXEXTRACT(Filmes_raw!C973,""[^,]+$""))"),FALSE)</f>
        <v>0</v>
      </c>
      <c r="D973" s="1" t="b">
        <f t="shared" si="1"/>
        <v>0</v>
      </c>
      <c r="E973" s="14">
        <f>IFERROR(__xludf.DUMMYFUNCTION("VALUE(IF(ISTEXT(D973), REGEXREPLACE(Filmes_raw!C973,""[^,]+$"",D973),Filmes_raw!C973))"),453243.0)</f>
        <v>453243</v>
      </c>
      <c r="F973" s="6">
        <f>IFERROR(__xludf.DUMMYFUNCTION("VALUE(REGEXEXTRACT(Filmes_raw!F973, ""[0-9]+""
))"),118.0)</f>
        <v>118</v>
      </c>
    </row>
    <row r="974">
      <c r="A974" s="1">
        <v>973.0</v>
      </c>
      <c r="B974" s="1" t="s">
        <v>5466</v>
      </c>
      <c r="C974" s="13" t="b">
        <f>IFERROR(__xludf.DUMMYFUNCTION("IF(ISTEXT(Filmes_raw!C974), REGEXEXTRACT(Filmes_raw!C974,""[^,]+$""))"),FALSE)</f>
        <v>0</v>
      </c>
      <c r="D974" s="1" t="b">
        <f t="shared" si="1"/>
        <v>0</v>
      </c>
      <c r="E974" s="14">
        <f>IFERROR(__xludf.DUMMYFUNCTION("VALUE(IF(ISTEXT(D974), REGEXREPLACE(Filmes_raw!C974,""[^,]+$"",D974),Filmes_raw!C974))"),1794187.0)</f>
        <v>1794187</v>
      </c>
      <c r="F974" s="6">
        <f>IFERROR(__xludf.DUMMYFUNCTION("VALUE(REGEXEXTRACT(Filmes_raw!F974, ""[0-9]+""
))"),99.0)</f>
        <v>99</v>
      </c>
    </row>
    <row r="975">
      <c r="A975" s="1">
        <v>974.0</v>
      </c>
      <c r="B975" s="1" t="s">
        <v>5471</v>
      </c>
      <c r="C975" s="13" t="b">
        <f>IFERROR(__xludf.DUMMYFUNCTION("IF(ISTEXT(Filmes_raw!C975), REGEXEXTRACT(Filmes_raw!C975,""[^,]+$""))"),FALSE)</f>
        <v>0</v>
      </c>
      <c r="D975" s="1" t="b">
        <f t="shared" si="1"/>
        <v>0</v>
      </c>
      <c r="E975" s="14">
        <f>IFERROR(__xludf.DUMMYFUNCTION("VALUE(IF(ISTEXT(D975), REGEXREPLACE(Filmes_raw!C975,""[^,]+$"",D975),Filmes_raw!C975))"),2.85761243E8)</f>
        <v>285761243</v>
      </c>
      <c r="F975" s="6">
        <f>IFERROR(__xludf.DUMMYFUNCTION("VALUE(REGEXEXTRACT(Filmes_raw!F975, ""[0-9]+""
))"),103.0)</f>
        <v>103</v>
      </c>
    </row>
    <row r="976">
      <c r="A976" s="1">
        <v>975.0</v>
      </c>
      <c r="B976" s="1" t="s">
        <v>5476</v>
      </c>
      <c r="C976" s="13" t="b">
        <f>IFERROR(__xludf.DUMMYFUNCTION("IF(ISTEXT(Filmes_raw!C976), REGEXEXTRACT(Filmes_raw!C976,""[^,]+$""))"),FALSE)</f>
        <v>0</v>
      </c>
      <c r="D976" s="1" t="b">
        <f t="shared" si="1"/>
        <v>0</v>
      </c>
      <c r="E976" s="14">
        <f>IFERROR(__xludf.DUMMYFUNCTION("VALUE(IF(ISTEXT(D976), REGEXREPLACE(Filmes_raw!C976,""[^,]+$"",D976),Filmes_raw!C976))"),6.6666062E7)</f>
        <v>66666062</v>
      </c>
      <c r="F976" s="6">
        <f>IFERROR(__xludf.DUMMYFUNCTION("VALUE(REGEXEXTRACT(Filmes_raw!F976, ""[0-9]+""
))"),162.0)</f>
        <v>162</v>
      </c>
    </row>
    <row r="977">
      <c r="A977" s="1">
        <v>976.0</v>
      </c>
      <c r="B977" s="1" t="s">
        <v>5479</v>
      </c>
      <c r="C977" s="13" t="b">
        <f>IFERROR(__xludf.DUMMYFUNCTION("IF(ISTEXT(Filmes_raw!C977), REGEXEXTRACT(Filmes_raw!C977,""[^,]+$""))"),FALSE)</f>
        <v>0</v>
      </c>
      <c r="D977" s="1" t="b">
        <f t="shared" si="1"/>
        <v>0</v>
      </c>
      <c r="E977" s="14">
        <f>IFERROR(__xludf.DUMMYFUNCTION("VALUE(IF(ISTEXT(D977), REGEXREPLACE(Filmes_raw!C977,""[^,]+$"",D977),Filmes_raw!C977))"),9.28236E7)</f>
        <v>92823600</v>
      </c>
      <c r="F977" s="6">
        <f>IFERROR(__xludf.DUMMYFUNCTION("VALUE(REGEXEXTRACT(Filmes_raw!F977, ""[0-9]+""
))"),95.0)</f>
        <v>95</v>
      </c>
    </row>
    <row r="978">
      <c r="A978" s="1">
        <v>977.0</v>
      </c>
      <c r="B978" s="1" t="s">
        <v>5482</v>
      </c>
      <c r="C978" s="13" t="b">
        <f>IFERROR(__xludf.DUMMYFUNCTION("IF(ISTEXT(Filmes_raw!C978), REGEXEXTRACT(Filmes_raw!C978,""[^,]+$""))"),FALSE)</f>
        <v>0</v>
      </c>
      <c r="D978" s="1" t="b">
        <f t="shared" si="1"/>
        <v>0</v>
      </c>
      <c r="E978" s="14">
        <f>IFERROR(__xludf.DUMMYFUNCTION("VALUE(IF(ISTEXT(D978), REGEXREPLACE(Filmes_raw!C978,""[^,]+$"",D978),Filmes_raw!C978))"),1.11543479E8)</f>
        <v>111543479</v>
      </c>
      <c r="F978" s="6">
        <f>IFERROR(__xludf.DUMMYFUNCTION("VALUE(REGEXEXTRACT(Filmes_raw!F978, ""[0-9]+""
))"),83.0)</f>
        <v>83</v>
      </c>
    </row>
    <row r="979">
      <c r="A979" s="1">
        <v>978.0</v>
      </c>
      <c r="B979" s="1" t="s">
        <v>5487</v>
      </c>
      <c r="C979" s="13" t="b">
        <f>IFERROR(__xludf.DUMMYFUNCTION("IF(ISTEXT(Filmes_raw!C979), REGEXEXTRACT(Filmes_raw!C979,""[^,]+$""))"),FALSE)</f>
        <v>0</v>
      </c>
      <c r="D979" s="1" t="b">
        <f t="shared" si="1"/>
        <v>0</v>
      </c>
      <c r="E979" s="14">
        <f>IFERROR(__xludf.DUMMYFUNCTION("VALUE(IF(ISTEXT(D979), REGEXREPLACE(Filmes_raw!C979,""[^,]+$"",D979),Filmes_raw!C979))"),7.8756177E7)</f>
        <v>78756177</v>
      </c>
      <c r="F979" s="6">
        <f>IFERROR(__xludf.DUMMYFUNCTION("VALUE(REGEXEXTRACT(Filmes_raw!F979, ""[0-9]+""
))"),85.0)</f>
        <v>85</v>
      </c>
    </row>
    <row r="980">
      <c r="A980" s="1">
        <v>979.0</v>
      </c>
      <c r="B980" s="1" t="s">
        <v>5493</v>
      </c>
      <c r="C980" s="13" t="b">
        <f>IFERROR(__xludf.DUMMYFUNCTION("IF(ISTEXT(Filmes_raw!C980), REGEXEXTRACT(Filmes_raw!C980,""[^,]+$""))"),FALSE)</f>
        <v>0</v>
      </c>
      <c r="D980" s="1" t="b">
        <f t="shared" si="1"/>
        <v>0</v>
      </c>
      <c r="E980" s="14">
        <f>IFERROR(__xludf.DUMMYFUNCTION("VALUE(IF(ISTEXT(D980), REGEXREPLACE(Filmes_raw!C980,""[^,]+$"",D980),Filmes_raw!C980))"),4.953028E7)</f>
        <v>49530280</v>
      </c>
      <c r="F980" s="6">
        <f>IFERROR(__xludf.DUMMYFUNCTION("VALUE(REGEXEXTRACT(Filmes_raw!F980, ""[0-9]+""
))"),93.0)</f>
        <v>93</v>
      </c>
    </row>
    <row r="981">
      <c r="A981" s="1">
        <v>980.0</v>
      </c>
      <c r="B981" s="1" t="s">
        <v>5497</v>
      </c>
      <c r="C981" s="13" t="b">
        <f>IFERROR(__xludf.DUMMYFUNCTION("IF(ISTEXT(Filmes_raw!C981), REGEXEXTRACT(Filmes_raw!C981,""[^,]+$""))"),FALSE)</f>
        <v>0</v>
      </c>
      <c r="D981" s="1" t="b">
        <f t="shared" si="1"/>
        <v>0</v>
      </c>
      <c r="E981" s="14">
        <f>IFERROR(__xludf.DUMMYFUNCTION("VALUE(IF(ISTEXT(D981), REGEXREPLACE(Filmes_raw!C981,""[^,]+$"",D981),Filmes_raw!C981))"),6.5207127E7)</f>
        <v>65207127</v>
      </c>
      <c r="F981" s="6">
        <f>IFERROR(__xludf.DUMMYFUNCTION("VALUE(REGEXEXTRACT(Filmes_raw!F981, ""[0-9]+""
))"),109.0)</f>
        <v>109</v>
      </c>
    </row>
    <row r="982">
      <c r="A982" s="1">
        <v>981.0</v>
      </c>
      <c r="B982" s="1" t="s">
        <v>5501</v>
      </c>
      <c r="C982" s="13" t="b">
        <f>IFERROR(__xludf.DUMMYFUNCTION("IF(ISTEXT(Filmes_raw!C982), REGEXEXTRACT(Filmes_raw!C982,""[^,]+$""))"),FALSE)</f>
        <v>0</v>
      </c>
      <c r="D982" s="1" t="b">
        <f t="shared" si="1"/>
        <v>0</v>
      </c>
      <c r="E982" s="14">
        <f>IFERROR(__xludf.DUMMYFUNCTION("VALUE(IF(ISTEXT(D982), REGEXREPLACE(Filmes_raw!C982,""[^,]+$"",D982),Filmes_raw!C982))"),2150000.0)</f>
        <v>2150000</v>
      </c>
      <c r="F982" s="6">
        <f>IFERROR(__xludf.DUMMYFUNCTION("VALUE(REGEXEXTRACT(Filmes_raw!F982, ""[0-9]+""
))"),99.0)</f>
        <v>99</v>
      </c>
    </row>
    <row r="983">
      <c r="A983" s="1">
        <v>982.0</v>
      </c>
      <c r="B983" s="1" t="s">
        <v>5505</v>
      </c>
      <c r="C983" s="13" t="b">
        <f>IFERROR(__xludf.DUMMYFUNCTION("IF(ISTEXT(Filmes_raw!C983), REGEXEXTRACT(Filmes_raw!C983,""[^,]+$""))"),FALSE)</f>
        <v>0</v>
      </c>
      <c r="D983" s="1" t="b">
        <f t="shared" si="1"/>
        <v>0</v>
      </c>
      <c r="E983" s="14">
        <f>IFERROR(__xludf.DUMMYFUNCTION("VALUE(IF(ISTEXT(D983), REGEXREPLACE(Filmes_raw!C983,""[^,]+$"",D983),Filmes_raw!C983))"),1.19285432E8)</f>
        <v>119285432</v>
      </c>
      <c r="F983" s="6">
        <f>IFERROR(__xludf.DUMMYFUNCTION("VALUE(REGEXEXTRACT(Filmes_raw!F983, ""[0-9]+""
))"),109.0)</f>
        <v>109</v>
      </c>
    </row>
    <row r="984">
      <c r="A984" s="1">
        <v>983.0</v>
      </c>
      <c r="B984" s="1" t="s">
        <v>5510</v>
      </c>
      <c r="C984" s="13" t="b">
        <f>IFERROR(__xludf.DUMMYFUNCTION("IF(ISTEXT(Filmes_raw!C984), REGEXEXTRACT(Filmes_raw!C984,""[^,]+$""))"),FALSE)</f>
        <v>0</v>
      </c>
      <c r="D984" s="1" t="b">
        <f t="shared" si="1"/>
        <v>0</v>
      </c>
      <c r="E984" s="14">
        <f>IFERROR(__xludf.DUMMYFUNCTION("VALUE(IF(ISTEXT(D984), REGEXREPLACE(Filmes_raw!C984,""[^,]+$"",D984),Filmes_raw!C984))"),1.2465371E7)</f>
        <v>12465371</v>
      </c>
      <c r="F984" s="6">
        <f>IFERROR(__xludf.DUMMYFUNCTION("VALUE(REGEXEXTRACT(Filmes_raw!F984, ""[0-9]+""
))"),96.0)</f>
        <v>96</v>
      </c>
    </row>
    <row r="985">
      <c r="A985" s="1">
        <v>984.0</v>
      </c>
      <c r="B985" s="1" t="s">
        <v>5515</v>
      </c>
      <c r="C985" s="13" t="b">
        <f>IFERROR(__xludf.DUMMYFUNCTION("IF(ISTEXT(Filmes_raw!C985), REGEXEXTRACT(Filmes_raw!C985,""[^,]+$""))"),FALSE)</f>
        <v>0</v>
      </c>
      <c r="D985" s="1" t="b">
        <f t="shared" si="1"/>
        <v>0</v>
      </c>
      <c r="E985" s="14">
        <f>IFERROR(__xludf.DUMMYFUNCTION("VALUE(IF(ISTEXT(D985), REGEXREPLACE(Filmes_raw!C985,""[^,]+$"",D985),Filmes_raw!C985))"),2.2490039E7)</f>
        <v>22490039</v>
      </c>
      <c r="F985" s="6">
        <f>IFERROR(__xludf.DUMMYFUNCTION("VALUE(REGEXEXTRACT(Filmes_raw!F985, ""[0-9]+""
))"),92.0)</f>
        <v>92</v>
      </c>
    </row>
    <row r="986">
      <c r="A986" s="1">
        <v>985.0</v>
      </c>
      <c r="B986" s="1" t="s">
        <v>5522</v>
      </c>
      <c r="C986" s="13" t="b">
        <f>IFERROR(__xludf.DUMMYFUNCTION("IF(ISTEXT(Filmes_raw!C986), REGEXEXTRACT(Filmes_raw!C986,""[^,]+$""))"),FALSE)</f>
        <v>0</v>
      </c>
      <c r="D986" s="1" t="b">
        <f t="shared" si="1"/>
        <v>0</v>
      </c>
      <c r="E986" s="14">
        <f>IFERROR(__xludf.DUMMYFUNCTION("VALUE(IF(ISTEXT(D986), REGEXREPLACE(Filmes_raw!C986,""[^,]+$"",D986),Filmes_raw!C986))"),7.6657E7)</f>
        <v>76657000</v>
      </c>
      <c r="F986" s="6">
        <f>IFERROR(__xludf.DUMMYFUNCTION("VALUE(REGEXEXTRACT(Filmes_raw!F986, ""[0-9]+""
))"),95.0)</f>
        <v>95</v>
      </c>
    </row>
    <row r="987">
      <c r="A987" s="1">
        <v>986.0</v>
      </c>
      <c r="B987" s="1" t="s">
        <v>5529</v>
      </c>
      <c r="C987" s="13" t="b">
        <f>IFERROR(__xludf.DUMMYFUNCTION("IF(ISTEXT(Filmes_raw!C987), REGEXEXTRACT(Filmes_raw!C987,""[^,]+$""))"),FALSE)</f>
        <v>0</v>
      </c>
      <c r="D987" s="1" t="b">
        <f t="shared" si="1"/>
        <v>0</v>
      </c>
      <c r="E987" s="14">
        <f>IFERROR(__xludf.DUMMYFUNCTION("VALUE(IF(ISTEXT(D987), REGEXREPLACE(Filmes_raw!C987,""[^,]+$"",D987),Filmes_raw!C987))"),4.3E7)</f>
        <v>43000000</v>
      </c>
      <c r="F987" s="6">
        <f>IFERROR(__xludf.DUMMYFUNCTION("VALUE(REGEXEXTRACT(Filmes_raw!F987, ""[0-9]+""
))"),112.0)</f>
        <v>112</v>
      </c>
    </row>
    <row r="988">
      <c r="A988" s="1">
        <v>987.0</v>
      </c>
      <c r="B988" s="1" t="s">
        <v>5533</v>
      </c>
      <c r="C988" s="13" t="b">
        <f>IFERROR(__xludf.DUMMYFUNCTION("IF(ISTEXT(Filmes_raw!C988), REGEXEXTRACT(Filmes_raw!C988,""[^,]+$""))"),FALSE)</f>
        <v>0</v>
      </c>
      <c r="D988" s="1" t="b">
        <f t="shared" si="1"/>
        <v>0</v>
      </c>
      <c r="E988" s="14">
        <f>IFERROR(__xludf.DUMMYFUNCTION("VALUE(IF(ISTEXT(D988), REGEXREPLACE(Filmes_raw!C988,""[^,]+$"",D988),Filmes_raw!C988))"),718597.0)</f>
        <v>718597</v>
      </c>
      <c r="F988" s="6">
        <f>IFERROR(__xludf.DUMMYFUNCTION("VALUE(REGEXEXTRACT(Filmes_raw!F988, ""[0-9]+""
))"),91.0)</f>
        <v>91</v>
      </c>
    </row>
    <row r="989">
      <c r="A989" s="1">
        <v>988.0</v>
      </c>
      <c r="B989" s="1" t="s">
        <v>5539</v>
      </c>
      <c r="C989" s="13" t="b">
        <f>IFERROR(__xludf.DUMMYFUNCTION("IF(ISTEXT(Filmes_raw!C989), REGEXEXTRACT(Filmes_raw!C989,""[^,]+$""))"),FALSE)</f>
        <v>0</v>
      </c>
      <c r="D989" s="1" t="b">
        <f t="shared" si="1"/>
        <v>0</v>
      </c>
      <c r="E989" s="14">
        <f>IFERROR(__xludf.DUMMYFUNCTION("VALUE(IF(ISTEXT(D989), REGEXREPLACE(Filmes_raw!C989,""[^,]+$"",D989),Filmes_raw!C989))"),3.5E7)</f>
        <v>35000000</v>
      </c>
      <c r="F989" s="6">
        <f>IFERROR(__xludf.DUMMYFUNCTION("VALUE(REGEXEXTRACT(Filmes_raw!F989, ""[0-9]+""
))"),121.0)</f>
        <v>121</v>
      </c>
    </row>
    <row r="990">
      <c r="A990" s="1">
        <v>989.0</v>
      </c>
      <c r="B990" s="1" t="s">
        <v>5545</v>
      </c>
      <c r="C990" s="13" t="b">
        <f>IFERROR(__xludf.DUMMYFUNCTION("IF(ISTEXT(Filmes_raw!C990), REGEXEXTRACT(Filmes_raw!C990,""[^,]+$""))"),FALSE)</f>
        <v>0</v>
      </c>
      <c r="D990" s="1" t="b">
        <f t="shared" si="1"/>
        <v>0</v>
      </c>
      <c r="E990" s="14">
        <f>IFERROR(__xludf.DUMMYFUNCTION("VALUE(IF(ISTEXT(D990), REGEXREPLACE(Filmes_raw!C990,""[^,]+$"",D990),Filmes_raw!C990))"),1.32088635E8)</f>
        <v>132088635</v>
      </c>
      <c r="F990" s="6">
        <f>IFERROR(__xludf.DUMMYFUNCTION("VALUE(REGEXEXTRACT(Filmes_raw!F990, ""[0-9]+""
))"),138.0)</f>
        <v>138</v>
      </c>
    </row>
    <row r="991">
      <c r="A991" s="1">
        <v>990.0</v>
      </c>
      <c r="B991" s="1" t="s">
        <v>5548</v>
      </c>
      <c r="C991" s="13" t="b">
        <f>IFERROR(__xludf.DUMMYFUNCTION("IF(ISTEXT(Filmes_raw!C991), REGEXEXTRACT(Filmes_raw!C991,""[^,]+$""))"),FALSE)</f>
        <v>0</v>
      </c>
      <c r="D991" s="1" t="b">
        <f t="shared" si="1"/>
        <v>0</v>
      </c>
      <c r="E991" s="14">
        <f>IFERROR(__xludf.DUMMYFUNCTION("VALUE(IF(ISTEXT(D991), REGEXREPLACE(Filmes_raw!C991,""[^,]+$"",D991),Filmes_raw!C991))"),959.0)</f>
        <v>959</v>
      </c>
      <c r="F991" s="6">
        <f>IFERROR(__xludf.DUMMYFUNCTION("VALUE(REGEXEXTRACT(Filmes_raw!F991, ""[0-9]+""
))"),112.0)</f>
        <v>112</v>
      </c>
    </row>
    <row r="992">
      <c r="A992" s="1">
        <v>991.0</v>
      </c>
      <c r="B992" s="1" t="s">
        <v>5552</v>
      </c>
      <c r="C992" s="13" t="str">
        <f>IFERROR(__xludf.DUMMYFUNCTION("IF(ISTEXT(Filmes_raw!C992), REGEXEXTRACT(Filmes_raw!C992,""[^,]+$""))"),"69")</f>
        <v>69</v>
      </c>
      <c r="D992" s="1" t="str">
        <f t="shared" si="1"/>
        <v>690</v>
      </c>
      <c r="E992" s="14">
        <f>IFERROR(__xludf.DUMMYFUNCTION("VALUE(IF(ISTEXT(D992), REGEXREPLACE(Filmes_raw!C992,""[^,]+$"",D992),Filmes_raw!C992))"),696690.0)</f>
        <v>696690</v>
      </c>
      <c r="F992" s="6">
        <f>IFERROR(__xludf.DUMMYFUNCTION("VALUE(REGEXEXTRACT(Filmes_raw!F992, ""[0-9]+""
))"),157.0)</f>
        <v>157</v>
      </c>
    </row>
    <row r="993">
      <c r="A993" s="1">
        <v>992.0</v>
      </c>
      <c r="B993" s="1" t="s">
        <v>5558</v>
      </c>
      <c r="C993" s="13" t="b">
        <f>IFERROR(__xludf.DUMMYFUNCTION("IF(ISTEXT(Filmes_raw!C993), REGEXEXTRACT(Filmes_raw!C993,""[^,]+$""))"),FALSE)</f>
        <v>0</v>
      </c>
      <c r="D993" s="1" t="b">
        <f t="shared" si="1"/>
        <v>0</v>
      </c>
      <c r="E993" s="14">
        <f>IFERROR(__xludf.DUMMYFUNCTION("VALUE(IF(ISTEXT(D993), REGEXREPLACE(Filmes_raw!C993,""[^,]+$"",D993),Filmes_raw!C993))"),1378435.0)</f>
        <v>1378435</v>
      </c>
      <c r="F993" s="6">
        <f>IFERROR(__xludf.DUMMYFUNCTION("VALUE(REGEXEXTRACT(Filmes_raw!F993, ""[0-9]+""
))"),144.0)</f>
        <v>144</v>
      </c>
    </row>
    <row r="994">
      <c r="A994" s="1">
        <v>993.0</v>
      </c>
      <c r="B994" s="1" t="s">
        <v>5563</v>
      </c>
      <c r="C994" s="13" t="b">
        <f>IFERROR(__xludf.DUMMYFUNCTION("IF(ISTEXT(Filmes_raw!C994), REGEXEXTRACT(Filmes_raw!C994,""[^,]+$""))"),FALSE)</f>
        <v>0</v>
      </c>
      <c r="D994" s="1" t="b">
        <f t="shared" si="1"/>
        <v>0</v>
      </c>
      <c r="E994" s="14">
        <f>IFERROR(__xludf.DUMMYFUNCTION("VALUE(IF(ISTEXT(D994), REGEXREPLACE(Filmes_raw!C994,""[^,]+$"",D994),Filmes_raw!C994))"),1.41843612E8)</f>
        <v>141843612</v>
      </c>
      <c r="F994" s="6">
        <f>IFERROR(__xludf.DUMMYFUNCTION("VALUE(REGEXEXTRACT(Filmes_raw!F994, ""[0-9]+""
))"),78.0)</f>
        <v>78</v>
      </c>
    </row>
    <row r="995">
      <c r="A995" s="1">
        <v>994.0</v>
      </c>
      <c r="B995" s="1" t="s">
        <v>5571</v>
      </c>
      <c r="C995" s="13" t="b">
        <f>IFERROR(__xludf.DUMMYFUNCTION("IF(ISTEXT(Filmes_raw!C995), REGEXEXTRACT(Filmes_raw!C995,""[^,]+$""))"),FALSE)</f>
        <v>0</v>
      </c>
      <c r="D995" s="1" t="b">
        <f t="shared" si="1"/>
        <v>0</v>
      </c>
      <c r="E995" s="14">
        <f>IFERROR(__xludf.DUMMYFUNCTION("VALUE(IF(ISTEXT(D995), REGEXREPLACE(Filmes_raw!C995,""[^,]+$"",D995),Filmes_raw!C995))"),6066.0)</f>
        <v>6066</v>
      </c>
      <c r="F995" s="6">
        <f>IFERROR(__xludf.DUMMYFUNCTION("VALUE(REGEXEXTRACT(Filmes_raw!F995, ""[0-9]+""
))"),111.0)</f>
        <v>111</v>
      </c>
    </row>
    <row r="996">
      <c r="A996" s="1">
        <v>995.0</v>
      </c>
      <c r="B996" s="1" t="s">
        <v>5576</v>
      </c>
      <c r="C996" s="13" t="b">
        <f>IFERROR(__xludf.DUMMYFUNCTION("IF(ISTEXT(Filmes_raw!C996), REGEXEXTRACT(Filmes_raw!C996,""[^,]+$""))"),FALSE)</f>
        <v>0</v>
      </c>
      <c r="D996" s="1" t="b">
        <f t="shared" si="1"/>
        <v>0</v>
      </c>
      <c r="E996" s="14">
        <f>IFERROR(__xludf.DUMMYFUNCTION("VALUE(IF(ISTEXT(D996), REGEXREPLACE(Filmes_raw!C996,""[^,]+$"",D996),Filmes_raw!C996))"),1.3780024E7)</f>
        <v>13780024</v>
      </c>
      <c r="F996" s="6">
        <f>IFERROR(__xludf.DUMMYFUNCTION("VALUE(REGEXEXTRACT(Filmes_raw!F996, ""[0-9]+""
))"),87.0)</f>
        <v>87</v>
      </c>
    </row>
    <row r="997">
      <c r="A997" s="1">
        <v>996.0</v>
      </c>
      <c r="B997" s="1" t="s">
        <v>5583</v>
      </c>
      <c r="C997" s="13" t="b">
        <f>IFERROR(__xludf.DUMMYFUNCTION("IF(ISTEXT(Filmes_raw!C997), REGEXEXTRACT(Filmes_raw!C997,""[^,]+$""))"),FALSE)</f>
        <v>0</v>
      </c>
      <c r="D997" s="1" t="b">
        <f t="shared" si="1"/>
        <v>0</v>
      </c>
      <c r="E997" s="14">
        <f>IFERROR(__xludf.DUMMYFUNCTION("VALUE(IF(ISTEXT(D997), REGEXREPLACE(Filmes_raw!C997,""[^,]+$"",D997),Filmes_raw!C997))"),508012.0)</f>
        <v>508012</v>
      </c>
      <c r="F997" s="6">
        <f>IFERROR(__xludf.DUMMYFUNCTION("VALUE(REGEXEXTRACT(Filmes_raw!F997, ""[0-9]+""
))"),115.0)</f>
        <v>115</v>
      </c>
    </row>
    <row r="998">
      <c r="A998" s="1">
        <v>997.0</v>
      </c>
      <c r="B998" s="1" t="s">
        <v>5588</v>
      </c>
      <c r="C998" s="13" t="str">
        <f>IFERROR(__xludf.DUMMYFUNCTION("IF(ISTEXT(Filmes_raw!C998), REGEXEXTRACT(Filmes_raw!C998,""[^,]+$""))"),"00")</f>
        <v>00</v>
      </c>
      <c r="D998" s="1" t="str">
        <f t="shared" si="1"/>
        <v>000</v>
      </c>
      <c r="E998" s="14">
        <f>IFERROR(__xludf.DUMMYFUNCTION("VALUE(IF(ISTEXT(D998), REGEXREPLACE(Filmes_raw!C998,""[^,]+$"",D998),Filmes_raw!C998))"),5400000.0)</f>
        <v>5400000</v>
      </c>
      <c r="F998" s="6">
        <f>IFERROR(__xludf.DUMMYFUNCTION("VALUE(REGEXEXTRACT(Filmes_raw!F998, ""[0-9]+""
))"),201.0)</f>
        <v>201</v>
      </c>
    </row>
    <row r="999">
      <c r="A999" s="1">
        <v>998.0</v>
      </c>
      <c r="B999" s="1" t="s">
        <v>5594</v>
      </c>
      <c r="C999" s="13" t="b">
        <f>IFERROR(__xludf.DUMMYFUNCTION("IF(ISTEXT(Filmes_raw!C999), REGEXEXTRACT(Filmes_raw!C999,""[^,]+$""))"),FALSE)</f>
        <v>0</v>
      </c>
      <c r="D999" s="1" t="b">
        <f t="shared" si="1"/>
        <v>0</v>
      </c>
      <c r="E999" s="14">
        <f>IFERROR(__xludf.DUMMYFUNCTION("VALUE(IF(ISTEXT(D999), REGEXREPLACE(Filmes_raw!C999,""[^,]+$"",D999),Filmes_raw!C999))"),3.05E7)</f>
        <v>30500000</v>
      </c>
      <c r="F999" s="6">
        <f>IFERROR(__xludf.DUMMYFUNCTION("VALUE(REGEXEXTRACT(Filmes_raw!F999, ""[0-9]+""
))"),118.0)</f>
        <v>118</v>
      </c>
    </row>
    <row r="1000">
      <c r="A1000" s="1">
        <v>999.0</v>
      </c>
      <c r="B1000" s="1" t="s">
        <v>5596</v>
      </c>
      <c r="C1000" s="13" t="b">
        <f>IFERROR(__xludf.DUMMYFUNCTION("IF(ISTEXT(Filmes_raw!C1000), REGEXEXTRACT(Filmes_raw!C1000,""[^,]+$""))"),FALSE)</f>
        <v>0</v>
      </c>
      <c r="D1000" s="1" t="b">
        <f t="shared" si="1"/>
        <v>0</v>
      </c>
      <c r="E1000" s="14">
        <f>IFERROR(__xludf.DUMMYFUNCTION("VALUE(IF(ISTEXT(D1000), REGEXREPLACE(Filmes_raw!C1000,""[^,]+$"",D1000),Filmes_raw!C1000))"),1590000.0)</f>
        <v>1590000</v>
      </c>
      <c r="F1000" s="6">
        <f>IFERROR(__xludf.DUMMYFUNCTION("VALUE(REGEXEXTRACT(Filmes_raw!F1000, ""[0-9]+""
))"),97.0)</f>
        <v>97</v>
      </c>
    </row>
    <row r="1001">
      <c r="A1001" s="1">
        <v>1000.0</v>
      </c>
      <c r="B1001" s="1" t="s">
        <v>5602</v>
      </c>
      <c r="C1001" s="13" t="b">
        <f>IFERROR(__xludf.DUMMYFUNCTION("IF(ISTEXT(Filmes_raw!C1001), REGEXEXTRACT(Filmes_raw!C1001,""[^,]+$""))"),FALSE)</f>
        <v>0</v>
      </c>
      <c r="D1001" s="1" t="b">
        <f t="shared" si="1"/>
        <v>0</v>
      </c>
      <c r="E1001" s="14">
        <f>IFERROR(__xludf.DUMMYFUNCTION("VALUE(IF(ISTEXT(D1001), REGEXREPLACE(Filmes_raw!C1001,""[^,]+$"",D1001),Filmes_raw!C1001))"),51711.0)</f>
        <v>51711</v>
      </c>
      <c r="F1001" s="6">
        <f>IFERROR(__xludf.DUMMYFUNCTION("VALUE(REGEXEXTRACT(Filmes_raw!F1001, ""[0-9]+""
))"),86.0)</f>
        <v>86</v>
      </c>
    </row>
    <row r="1002">
      <c r="F1002" s="15"/>
    </row>
    <row r="1003">
      <c r="F1003" s="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0.63"/>
    <col customWidth="1" min="10" max="10" width="49.38"/>
  </cols>
  <sheetData>
    <row r="1">
      <c r="A1" s="10" t="s">
        <v>0</v>
      </c>
      <c r="B1" s="10" t="s">
        <v>1</v>
      </c>
      <c r="C1" s="10" t="s">
        <v>6</v>
      </c>
      <c r="D1" s="1"/>
      <c r="E1" s="1" t="s">
        <v>0</v>
      </c>
      <c r="F1" s="1" t="s">
        <v>1</v>
      </c>
      <c r="G1" s="1">
        <v>1.0</v>
      </c>
      <c r="H1" s="1">
        <v>2.0</v>
      </c>
      <c r="I1" s="1">
        <v>3.0</v>
      </c>
      <c r="K1" s="1" t="s">
        <v>0</v>
      </c>
      <c r="L1" s="1" t="s">
        <v>1</v>
      </c>
      <c r="M1" s="1" t="s">
        <v>6</v>
      </c>
      <c r="S1" s="10" t="s">
        <v>0</v>
      </c>
      <c r="T1" s="10" t="s">
        <v>1</v>
      </c>
      <c r="U1" s="10" t="s">
        <v>6</v>
      </c>
      <c r="V1" s="10" t="s">
        <v>6614</v>
      </c>
    </row>
    <row r="2">
      <c r="A2" s="1">
        <v>1.0</v>
      </c>
      <c r="B2" s="1" t="s">
        <v>17</v>
      </c>
      <c r="C2" s="1" t="s">
        <v>20</v>
      </c>
      <c r="D2" s="1"/>
      <c r="E2" s="1">
        <v>1.0</v>
      </c>
      <c r="F2" s="1" t="s">
        <v>17</v>
      </c>
      <c r="G2" s="1" t="str">
        <f>IFERROR(__xludf.DUMMYFUNCTION("SPLIT(C2, "", "")"),"Drama")</f>
        <v>Drama</v>
      </c>
      <c r="J2" s="5" t="str">
        <f>IFERROR(__xludf.DUMMYFUNCTION("ARRAYFORMULA(FLATTEN(E2:E1001&amp;""🤙🏼""&amp;F2:F1001&amp;""🤙🏼""&amp;G2:I1001&amp;""🤙🏼""&amp;G1:I1))"),"1🤙🏼The Shawshank Redemption🤙🏼Drama🤙🏼1")</f>
        <v>1🤙🏼The Shawshank Redemption🤙🏼Drama🤙🏼1</v>
      </c>
      <c r="K2" s="5">
        <f>IFERROR(__xludf.DUMMYFUNCTION("SPLiT(J2, ""🤙🏼"",FALSE,FALSE)"),1.0)</f>
        <v>1</v>
      </c>
      <c r="L2" s="5" t="str">
        <f>IFERROR(__xludf.DUMMYFUNCTION("""COMPUTED_VALUE"""),"The Shawshank Redemption")</f>
        <v>The Shawshank Redemption</v>
      </c>
      <c r="M2" s="5" t="str">
        <f>IFERROR(__xludf.DUMMYFUNCTION("""COMPUTED_VALUE"""),"Drama")</f>
        <v>Drama</v>
      </c>
      <c r="N2" s="5">
        <f>IFERROR(__xludf.DUMMYFUNCTION("""COMPUTED_VALUE"""),1.0)</f>
        <v>1</v>
      </c>
      <c r="S2" s="5">
        <f>IFERROR(__xludf.DUMMYFUNCTION("FILTER(K2:N3001,NOT(ISBLANK(M2:M3001)))"),1.0)</f>
        <v>1</v>
      </c>
      <c r="T2" s="5" t="str">
        <f>IFERROR(__xludf.DUMMYFUNCTION("""COMPUTED_VALUE"""),"The Shawshank Redemption")</f>
        <v>The Shawshank Redemption</v>
      </c>
      <c r="U2" s="5" t="str">
        <f>IFERROR(__xludf.DUMMYFUNCTION("""COMPUTED_VALUE"""),"Drama")</f>
        <v>Drama</v>
      </c>
      <c r="V2" s="5">
        <f>IFERROR(__xludf.DUMMYFUNCTION("""COMPUTED_VALUE"""),1.0)</f>
        <v>1</v>
      </c>
    </row>
    <row r="3">
      <c r="A3" s="1">
        <v>2.0</v>
      </c>
      <c r="B3" s="1" t="s">
        <v>27</v>
      </c>
      <c r="C3" s="1" t="s">
        <v>29</v>
      </c>
      <c r="D3" s="1"/>
      <c r="E3" s="1">
        <v>2.0</v>
      </c>
      <c r="F3" s="1" t="s">
        <v>27</v>
      </c>
      <c r="G3" s="1" t="str">
        <f>IFERROR(__xludf.DUMMYFUNCTION("SPLIT(C3, "", "")"),"Crime")</f>
        <v>Crime</v>
      </c>
      <c r="H3" s="5" t="str">
        <f>IFERROR(__xludf.DUMMYFUNCTION("""COMPUTED_VALUE"""),"Drama")</f>
        <v>Drama</v>
      </c>
      <c r="J3" s="5" t="str">
        <f>IFERROR(__xludf.DUMMYFUNCTION("""COMPUTED_VALUE"""),"1🤙🏼The Shawshank Redemption🤙🏼🤙🏼2")</f>
        <v>1🤙🏼The Shawshank Redemption🤙🏼🤙🏼2</v>
      </c>
      <c r="K3" s="5">
        <f>IFERROR(__xludf.DUMMYFUNCTION("SPLiT(J3, ""🤙🏼"",FALSE,FALSE)"),1.0)</f>
        <v>1</v>
      </c>
      <c r="L3" s="5" t="str">
        <f>IFERROR(__xludf.DUMMYFUNCTION("""COMPUTED_VALUE"""),"The Shawshank Redemption")</f>
        <v>The Shawshank Redemption</v>
      </c>
      <c r="M3" s="5"/>
      <c r="N3" s="5">
        <f>IFERROR(__xludf.DUMMYFUNCTION("""COMPUTED_VALUE"""),2.0)</f>
        <v>2</v>
      </c>
      <c r="S3" s="5">
        <f>IFERROR(__xludf.DUMMYFUNCTION("""COMPUTED_VALUE"""),2.0)</f>
        <v>2</v>
      </c>
      <c r="T3" s="5" t="str">
        <f>IFERROR(__xludf.DUMMYFUNCTION("""COMPUTED_VALUE"""),"The Godfather")</f>
        <v>The Godfather</v>
      </c>
      <c r="U3" s="5" t="str">
        <f>IFERROR(__xludf.DUMMYFUNCTION("""COMPUTED_VALUE"""),"Crime")</f>
        <v>Crime</v>
      </c>
      <c r="V3" s="5">
        <f>IFERROR(__xludf.DUMMYFUNCTION("""COMPUTED_VALUE"""),1.0)</f>
        <v>1</v>
      </c>
    </row>
    <row r="4">
      <c r="A4" s="1">
        <v>3.0</v>
      </c>
      <c r="B4" s="1" t="s">
        <v>36</v>
      </c>
      <c r="C4" s="1" t="s">
        <v>39</v>
      </c>
      <c r="D4" s="1"/>
      <c r="E4" s="1">
        <v>3.0</v>
      </c>
      <c r="F4" s="1" t="s">
        <v>36</v>
      </c>
      <c r="G4" s="1" t="str">
        <f>IFERROR(__xludf.DUMMYFUNCTION("SPLIT(C4, "", "")"),"Action")</f>
        <v>Action</v>
      </c>
      <c r="H4" s="5" t="str">
        <f>IFERROR(__xludf.DUMMYFUNCTION("""COMPUTED_VALUE"""),"Crime")</f>
        <v>Crime</v>
      </c>
      <c r="I4" s="5" t="str">
        <f>IFERROR(__xludf.DUMMYFUNCTION("""COMPUTED_VALUE"""),"Drama")</f>
        <v>Drama</v>
      </c>
      <c r="J4" s="5" t="str">
        <f>IFERROR(__xludf.DUMMYFUNCTION("""COMPUTED_VALUE"""),"1🤙🏼The Shawshank Redemption🤙🏼🤙🏼3")</f>
        <v>1🤙🏼The Shawshank Redemption🤙🏼🤙🏼3</v>
      </c>
      <c r="K4" s="5">
        <f>IFERROR(__xludf.DUMMYFUNCTION("SPLiT(J4, ""🤙🏼"",FALSE,FALSE)"),1.0)</f>
        <v>1</v>
      </c>
      <c r="L4" s="5" t="str">
        <f>IFERROR(__xludf.DUMMYFUNCTION("""COMPUTED_VALUE"""),"The Shawshank Redemption")</f>
        <v>The Shawshank Redemption</v>
      </c>
      <c r="M4" s="5"/>
      <c r="N4" s="5">
        <f>IFERROR(__xludf.DUMMYFUNCTION("""COMPUTED_VALUE"""),3.0)</f>
        <v>3</v>
      </c>
      <c r="S4" s="5">
        <f>IFERROR(__xludf.DUMMYFUNCTION("""COMPUTED_VALUE"""),2.0)</f>
        <v>2</v>
      </c>
      <c r="T4" s="5" t="str">
        <f>IFERROR(__xludf.DUMMYFUNCTION("""COMPUTED_VALUE"""),"The Godfather")</f>
        <v>The Godfather</v>
      </c>
      <c r="U4" s="5" t="str">
        <f>IFERROR(__xludf.DUMMYFUNCTION("""COMPUTED_VALUE"""),"Drama")</f>
        <v>Drama</v>
      </c>
      <c r="V4" s="5">
        <f>IFERROR(__xludf.DUMMYFUNCTION("""COMPUTED_VALUE"""),2.0)</f>
        <v>2</v>
      </c>
    </row>
    <row r="5">
      <c r="A5" s="1">
        <v>4.0</v>
      </c>
      <c r="B5" s="1" t="s">
        <v>46</v>
      </c>
      <c r="C5" s="1" t="s">
        <v>29</v>
      </c>
      <c r="D5" s="1"/>
      <c r="E5" s="1">
        <v>4.0</v>
      </c>
      <c r="F5" s="1" t="s">
        <v>46</v>
      </c>
      <c r="G5" s="1" t="str">
        <f>IFERROR(__xludf.DUMMYFUNCTION("SPLIT(C5, "", "")"),"Crime")</f>
        <v>Crime</v>
      </c>
      <c r="H5" s="5" t="str">
        <f>IFERROR(__xludf.DUMMYFUNCTION("""COMPUTED_VALUE"""),"Drama")</f>
        <v>Drama</v>
      </c>
      <c r="J5" s="5" t="str">
        <f>IFERROR(__xludf.DUMMYFUNCTION("""COMPUTED_VALUE"""),"2🤙🏼The Godfather🤙🏼Crime🤙🏼1")</f>
        <v>2🤙🏼The Godfather🤙🏼Crime🤙🏼1</v>
      </c>
      <c r="K5" s="5">
        <f>IFERROR(__xludf.DUMMYFUNCTION("SPLiT(J5, ""🤙🏼"",FALSE,FALSE)"),2.0)</f>
        <v>2</v>
      </c>
      <c r="L5" s="5" t="str">
        <f>IFERROR(__xludf.DUMMYFUNCTION("""COMPUTED_VALUE"""),"The Godfather")</f>
        <v>The Godfather</v>
      </c>
      <c r="M5" s="5" t="str">
        <f>IFERROR(__xludf.DUMMYFUNCTION("""COMPUTED_VALUE"""),"Crime")</f>
        <v>Crime</v>
      </c>
      <c r="N5" s="5">
        <f>IFERROR(__xludf.DUMMYFUNCTION("""COMPUTED_VALUE"""),1.0)</f>
        <v>1</v>
      </c>
      <c r="S5" s="5">
        <f>IFERROR(__xludf.DUMMYFUNCTION("""COMPUTED_VALUE"""),3.0)</f>
        <v>3</v>
      </c>
      <c r="T5" s="5" t="str">
        <f>IFERROR(__xludf.DUMMYFUNCTION("""COMPUTED_VALUE"""),"The Dark Knight")</f>
        <v>The Dark Knight</v>
      </c>
      <c r="U5" s="5" t="str">
        <f>IFERROR(__xludf.DUMMYFUNCTION("""COMPUTED_VALUE"""),"Action")</f>
        <v>Action</v>
      </c>
      <c r="V5" s="5">
        <f>IFERROR(__xludf.DUMMYFUNCTION("""COMPUTED_VALUE"""),1.0)</f>
        <v>1</v>
      </c>
    </row>
    <row r="6">
      <c r="A6" s="1">
        <v>5.0</v>
      </c>
      <c r="B6" s="1" t="s">
        <v>51</v>
      </c>
      <c r="C6" s="1" t="s">
        <v>29</v>
      </c>
      <c r="D6" s="1"/>
      <c r="E6" s="1">
        <v>5.0</v>
      </c>
      <c r="F6" s="1" t="s">
        <v>51</v>
      </c>
      <c r="G6" s="1" t="str">
        <f>IFERROR(__xludf.DUMMYFUNCTION("SPLIT(C6, "", "")"),"Crime")</f>
        <v>Crime</v>
      </c>
      <c r="H6" s="5" t="str">
        <f>IFERROR(__xludf.DUMMYFUNCTION("""COMPUTED_VALUE"""),"Drama")</f>
        <v>Drama</v>
      </c>
      <c r="J6" s="5" t="str">
        <f>IFERROR(__xludf.DUMMYFUNCTION("""COMPUTED_VALUE"""),"2🤙🏼The Godfather🤙🏼Drama🤙🏼2")</f>
        <v>2🤙🏼The Godfather🤙🏼Drama🤙🏼2</v>
      </c>
      <c r="K6" s="5">
        <f>IFERROR(__xludf.DUMMYFUNCTION("SPLiT(J6, ""🤙🏼"",FALSE,FALSE)"),2.0)</f>
        <v>2</v>
      </c>
      <c r="L6" s="5" t="str">
        <f>IFERROR(__xludf.DUMMYFUNCTION("""COMPUTED_VALUE"""),"The Godfather")</f>
        <v>The Godfather</v>
      </c>
      <c r="M6" s="5" t="str">
        <f>IFERROR(__xludf.DUMMYFUNCTION("""COMPUTED_VALUE"""),"Drama")</f>
        <v>Drama</v>
      </c>
      <c r="N6" s="5">
        <f>IFERROR(__xludf.DUMMYFUNCTION("""COMPUTED_VALUE"""),2.0)</f>
        <v>2</v>
      </c>
      <c r="S6" s="5">
        <f>IFERROR(__xludf.DUMMYFUNCTION("""COMPUTED_VALUE"""),3.0)</f>
        <v>3</v>
      </c>
      <c r="T6" s="5" t="str">
        <f>IFERROR(__xludf.DUMMYFUNCTION("""COMPUTED_VALUE"""),"The Dark Knight")</f>
        <v>The Dark Knight</v>
      </c>
      <c r="U6" s="5" t="str">
        <f>IFERROR(__xludf.DUMMYFUNCTION("""COMPUTED_VALUE"""),"Crime")</f>
        <v>Crime</v>
      </c>
      <c r="V6" s="5">
        <f>IFERROR(__xludf.DUMMYFUNCTION("""COMPUTED_VALUE"""),2.0)</f>
        <v>2</v>
      </c>
    </row>
    <row r="7">
      <c r="A7" s="1">
        <v>6.0</v>
      </c>
      <c r="B7" s="1" t="s">
        <v>60</v>
      </c>
      <c r="C7" s="1" t="s">
        <v>62</v>
      </c>
      <c r="D7" s="1"/>
      <c r="E7" s="1">
        <v>6.0</v>
      </c>
      <c r="F7" s="1" t="s">
        <v>60</v>
      </c>
      <c r="G7" s="1" t="str">
        <f>IFERROR(__xludf.DUMMYFUNCTION("SPLIT(C7, "", "")"),"Action")</f>
        <v>Action</v>
      </c>
      <c r="H7" s="5" t="str">
        <f>IFERROR(__xludf.DUMMYFUNCTION("""COMPUTED_VALUE"""),"Adventure")</f>
        <v>Adventure</v>
      </c>
      <c r="I7" s="5" t="str">
        <f>IFERROR(__xludf.DUMMYFUNCTION("""COMPUTED_VALUE"""),"Drama")</f>
        <v>Drama</v>
      </c>
      <c r="J7" s="5" t="str">
        <f>IFERROR(__xludf.DUMMYFUNCTION("""COMPUTED_VALUE"""),"2🤙🏼The Godfather🤙🏼🤙🏼3")</f>
        <v>2🤙🏼The Godfather🤙🏼🤙🏼3</v>
      </c>
      <c r="K7" s="5">
        <f>IFERROR(__xludf.DUMMYFUNCTION("SPLiT(J7, ""🤙🏼"",FALSE,FALSE)"),2.0)</f>
        <v>2</v>
      </c>
      <c r="L7" s="5" t="str">
        <f>IFERROR(__xludf.DUMMYFUNCTION("""COMPUTED_VALUE"""),"The Godfather")</f>
        <v>The Godfather</v>
      </c>
      <c r="M7" s="5"/>
      <c r="N7" s="5">
        <f>IFERROR(__xludf.DUMMYFUNCTION("""COMPUTED_VALUE"""),3.0)</f>
        <v>3</v>
      </c>
      <c r="S7" s="5">
        <f>IFERROR(__xludf.DUMMYFUNCTION("""COMPUTED_VALUE"""),3.0)</f>
        <v>3</v>
      </c>
      <c r="T7" s="5" t="str">
        <f>IFERROR(__xludf.DUMMYFUNCTION("""COMPUTED_VALUE"""),"The Dark Knight")</f>
        <v>The Dark Knight</v>
      </c>
      <c r="U7" s="5" t="str">
        <f>IFERROR(__xludf.DUMMYFUNCTION("""COMPUTED_VALUE"""),"Drama")</f>
        <v>Drama</v>
      </c>
      <c r="V7" s="5">
        <f>IFERROR(__xludf.DUMMYFUNCTION("""COMPUTED_VALUE"""),3.0)</f>
        <v>3</v>
      </c>
    </row>
    <row r="8">
      <c r="A8" s="1">
        <v>7.0</v>
      </c>
      <c r="B8" s="1" t="s">
        <v>69</v>
      </c>
      <c r="C8" s="1" t="s">
        <v>29</v>
      </c>
      <c r="D8" s="1"/>
      <c r="E8" s="1">
        <v>7.0</v>
      </c>
      <c r="F8" s="1" t="s">
        <v>69</v>
      </c>
      <c r="G8" s="1" t="str">
        <f>IFERROR(__xludf.DUMMYFUNCTION("SPLIT(C8, "", "")"),"Crime")</f>
        <v>Crime</v>
      </c>
      <c r="H8" s="5" t="str">
        <f>IFERROR(__xludf.DUMMYFUNCTION("""COMPUTED_VALUE"""),"Drama")</f>
        <v>Drama</v>
      </c>
      <c r="J8" s="5" t="str">
        <f>IFERROR(__xludf.DUMMYFUNCTION("""COMPUTED_VALUE"""),"3🤙🏼The Dark Knight🤙🏼Action🤙🏼1")</f>
        <v>3🤙🏼The Dark Knight🤙🏼Action🤙🏼1</v>
      </c>
      <c r="K8" s="5">
        <f>IFERROR(__xludf.DUMMYFUNCTION("SPLiT(J8, ""🤙🏼"",FALSE,FALSE)"),3.0)</f>
        <v>3</v>
      </c>
      <c r="L8" s="5" t="str">
        <f>IFERROR(__xludf.DUMMYFUNCTION("""COMPUTED_VALUE"""),"The Dark Knight")</f>
        <v>The Dark Knight</v>
      </c>
      <c r="M8" s="5" t="str">
        <f>IFERROR(__xludf.DUMMYFUNCTION("""COMPUTED_VALUE"""),"Action")</f>
        <v>Action</v>
      </c>
      <c r="N8" s="5">
        <f>IFERROR(__xludf.DUMMYFUNCTION("""COMPUTED_VALUE"""),1.0)</f>
        <v>1</v>
      </c>
      <c r="S8" s="5">
        <f>IFERROR(__xludf.DUMMYFUNCTION("""COMPUTED_VALUE"""),4.0)</f>
        <v>4</v>
      </c>
      <c r="T8" s="5" t="str">
        <f>IFERROR(__xludf.DUMMYFUNCTION("""COMPUTED_VALUE"""),"The Godfather: Part II")</f>
        <v>The Godfather: Part II</v>
      </c>
      <c r="U8" s="5" t="str">
        <f>IFERROR(__xludf.DUMMYFUNCTION("""COMPUTED_VALUE"""),"Crime")</f>
        <v>Crime</v>
      </c>
      <c r="V8" s="5">
        <f>IFERROR(__xludf.DUMMYFUNCTION("""COMPUTED_VALUE"""),1.0)</f>
        <v>1</v>
      </c>
    </row>
    <row r="9">
      <c r="A9" s="1">
        <v>8.0</v>
      </c>
      <c r="B9" s="1" t="s">
        <v>77</v>
      </c>
      <c r="C9" s="1" t="s">
        <v>79</v>
      </c>
      <c r="D9" s="1"/>
      <c r="E9" s="1">
        <v>8.0</v>
      </c>
      <c r="F9" s="1" t="s">
        <v>77</v>
      </c>
      <c r="G9" s="1" t="str">
        <f>IFERROR(__xludf.DUMMYFUNCTION("SPLIT(C9, "", "")"),"Biography")</f>
        <v>Biography</v>
      </c>
      <c r="H9" s="5" t="str">
        <f>IFERROR(__xludf.DUMMYFUNCTION("""COMPUTED_VALUE"""),"Drama")</f>
        <v>Drama</v>
      </c>
      <c r="I9" s="5" t="str">
        <f>IFERROR(__xludf.DUMMYFUNCTION("""COMPUTED_VALUE"""),"History")</f>
        <v>History</v>
      </c>
      <c r="J9" s="5" t="str">
        <f>IFERROR(__xludf.DUMMYFUNCTION("""COMPUTED_VALUE"""),"3🤙🏼The Dark Knight🤙🏼Crime🤙🏼2")</f>
        <v>3🤙🏼The Dark Knight🤙🏼Crime🤙🏼2</v>
      </c>
      <c r="K9" s="5">
        <f>IFERROR(__xludf.DUMMYFUNCTION("SPLiT(J9, ""🤙🏼"",FALSE,FALSE)"),3.0)</f>
        <v>3</v>
      </c>
      <c r="L9" s="5" t="str">
        <f>IFERROR(__xludf.DUMMYFUNCTION("""COMPUTED_VALUE"""),"The Dark Knight")</f>
        <v>The Dark Knight</v>
      </c>
      <c r="M9" s="5" t="str">
        <f>IFERROR(__xludf.DUMMYFUNCTION("""COMPUTED_VALUE"""),"Crime")</f>
        <v>Crime</v>
      </c>
      <c r="N9" s="5">
        <f>IFERROR(__xludf.DUMMYFUNCTION("""COMPUTED_VALUE"""),2.0)</f>
        <v>2</v>
      </c>
      <c r="S9" s="5">
        <f>IFERROR(__xludf.DUMMYFUNCTION("""COMPUTED_VALUE"""),4.0)</f>
        <v>4</v>
      </c>
      <c r="T9" s="5" t="str">
        <f>IFERROR(__xludf.DUMMYFUNCTION("""COMPUTED_VALUE"""),"The Godfather: Part II")</f>
        <v>The Godfather: Part II</v>
      </c>
      <c r="U9" s="5" t="str">
        <f>IFERROR(__xludf.DUMMYFUNCTION("""COMPUTED_VALUE"""),"Drama")</f>
        <v>Drama</v>
      </c>
      <c r="V9" s="5">
        <f>IFERROR(__xludf.DUMMYFUNCTION("""COMPUTED_VALUE"""),2.0)</f>
        <v>2</v>
      </c>
    </row>
    <row r="10">
      <c r="A10" s="1">
        <v>9.0</v>
      </c>
      <c r="B10" s="1" t="s">
        <v>86</v>
      </c>
      <c r="C10" s="1" t="s">
        <v>88</v>
      </c>
      <c r="D10" s="1"/>
      <c r="E10" s="1">
        <v>9.0</v>
      </c>
      <c r="F10" s="1" t="s">
        <v>86</v>
      </c>
      <c r="G10" s="1" t="str">
        <f>IFERROR(__xludf.DUMMYFUNCTION("SPLIT(C10, "", "")"),"Action")</f>
        <v>Action</v>
      </c>
      <c r="H10" s="5" t="str">
        <f>IFERROR(__xludf.DUMMYFUNCTION("""COMPUTED_VALUE"""),"Adventure")</f>
        <v>Adventure</v>
      </c>
      <c r="I10" s="5" t="str">
        <f>IFERROR(__xludf.DUMMYFUNCTION("""COMPUTED_VALUE"""),"Sci-Fi")</f>
        <v>Sci-Fi</v>
      </c>
      <c r="J10" s="5" t="str">
        <f>IFERROR(__xludf.DUMMYFUNCTION("""COMPUTED_VALUE"""),"3🤙🏼The Dark Knight🤙🏼Drama🤙🏼3")</f>
        <v>3🤙🏼The Dark Knight🤙🏼Drama🤙🏼3</v>
      </c>
      <c r="K10" s="5">
        <f>IFERROR(__xludf.DUMMYFUNCTION("SPLiT(J10, ""🤙🏼"",FALSE,FALSE)"),3.0)</f>
        <v>3</v>
      </c>
      <c r="L10" s="5" t="str">
        <f>IFERROR(__xludf.DUMMYFUNCTION("""COMPUTED_VALUE"""),"The Dark Knight")</f>
        <v>The Dark Knight</v>
      </c>
      <c r="M10" s="5" t="str">
        <f>IFERROR(__xludf.DUMMYFUNCTION("""COMPUTED_VALUE"""),"Drama")</f>
        <v>Drama</v>
      </c>
      <c r="N10" s="5">
        <f>IFERROR(__xludf.DUMMYFUNCTION("""COMPUTED_VALUE"""),3.0)</f>
        <v>3</v>
      </c>
      <c r="S10" s="5">
        <f>IFERROR(__xludf.DUMMYFUNCTION("""COMPUTED_VALUE"""),5.0)</f>
        <v>5</v>
      </c>
      <c r="T10" s="5" t="str">
        <f>IFERROR(__xludf.DUMMYFUNCTION("""COMPUTED_VALUE"""),"12 Angry Men")</f>
        <v>12 Angry Men</v>
      </c>
      <c r="U10" s="5" t="str">
        <f>IFERROR(__xludf.DUMMYFUNCTION("""COMPUTED_VALUE"""),"Crime")</f>
        <v>Crime</v>
      </c>
      <c r="V10" s="5">
        <f>IFERROR(__xludf.DUMMYFUNCTION("""COMPUTED_VALUE"""),1.0)</f>
        <v>1</v>
      </c>
    </row>
    <row r="11">
      <c r="A11" s="1">
        <v>10.0</v>
      </c>
      <c r="B11" s="1" t="s">
        <v>94</v>
      </c>
      <c r="C11" s="1" t="s">
        <v>20</v>
      </c>
      <c r="D11" s="1"/>
      <c r="E11" s="1">
        <v>10.0</v>
      </c>
      <c r="F11" s="1" t="s">
        <v>94</v>
      </c>
      <c r="G11" s="1" t="str">
        <f>IFERROR(__xludf.DUMMYFUNCTION("SPLIT(C11, "", "")"),"Drama")</f>
        <v>Drama</v>
      </c>
      <c r="J11" s="5" t="str">
        <f>IFERROR(__xludf.DUMMYFUNCTION("""COMPUTED_VALUE"""),"4🤙🏼The Godfather: Part II🤙🏼Crime🤙🏼1")</f>
        <v>4🤙🏼The Godfather: Part II🤙🏼Crime🤙🏼1</v>
      </c>
      <c r="K11" s="5">
        <f>IFERROR(__xludf.DUMMYFUNCTION("SPLiT(J11, ""🤙🏼"",FALSE,FALSE)"),4.0)</f>
        <v>4</v>
      </c>
      <c r="L11" s="5" t="str">
        <f>IFERROR(__xludf.DUMMYFUNCTION("""COMPUTED_VALUE"""),"The Godfather: Part II")</f>
        <v>The Godfather: Part II</v>
      </c>
      <c r="M11" s="5" t="str">
        <f>IFERROR(__xludf.DUMMYFUNCTION("""COMPUTED_VALUE"""),"Crime")</f>
        <v>Crime</v>
      </c>
      <c r="N11" s="5">
        <f>IFERROR(__xludf.DUMMYFUNCTION("""COMPUTED_VALUE"""),1.0)</f>
        <v>1</v>
      </c>
      <c r="S11" s="5">
        <f>IFERROR(__xludf.DUMMYFUNCTION("""COMPUTED_VALUE"""),5.0)</f>
        <v>5</v>
      </c>
      <c r="T11" s="5" t="str">
        <f>IFERROR(__xludf.DUMMYFUNCTION("""COMPUTED_VALUE"""),"12 Angry Men")</f>
        <v>12 Angry Men</v>
      </c>
      <c r="U11" s="5" t="str">
        <f>IFERROR(__xludf.DUMMYFUNCTION("""COMPUTED_VALUE"""),"Drama")</f>
        <v>Drama</v>
      </c>
      <c r="V11" s="5">
        <f>IFERROR(__xludf.DUMMYFUNCTION("""COMPUTED_VALUE"""),2.0)</f>
        <v>2</v>
      </c>
    </row>
    <row r="12">
      <c r="A12" s="1">
        <v>11.0</v>
      </c>
      <c r="B12" s="1" t="s">
        <v>102</v>
      </c>
      <c r="C12" s="1" t="s">
        <v>62</v>
      </c>
      <c r="D12" s="1"/>
      <c r="E12" s="1">
        <v>11.0</v>
      </c>
      <c r="F12" s="1" t="s">
        <v>102</v>
      </c>
      <c r="G12" s="1" t="str">
        <f>IFERROR(__xludf.DUMMYFUNCTION("SPLIT(C12, "", "")"),"Action")</f>
        <v>Action</v>
      </c>
      <c r="H12" s="5" t="str">
        <f>IFERROR(__xludf.DUMMYFUNCTION("""COMPUTED_VALUE"""),"Adventure")</f>
        <v>Adventure</v>
      </c>
      <c r="I12" s="5" t="str">
        <f>IFERROR(__xludf.DUMMYFUNCTION("""COMPUTED_VALUE"""),"Drama")</f>
        <v>Drama</v>
      </c>
      <c r="J12" s="5" t="str">
        <f>IFERROR(__xludf.DUMMYFUNCTION("""COMPUTED_VALUE"""),"4🤙🏼The Godfather: Part II🤙🏼Drama🤙🏼2")</f>
        <v>4🤙🏼The Godfather: Part II🤙🏼Drama🤙🏼2</v>
      </c>
      <c r="K12" s="5">
        <f>IFERROR(__xludf.DUMMYFUNCTION("SPLiT(J12, ""🤙🏼"",FALSE,FALSE)"),4.0)</f>
        <v>4</v>
      </c>
      <c r="L12" s="5" t="str">
        <f>IFERROR(__xludf.DUMMYFUNCTION("""COMPUTED_VALUE"""),"The Godfather: Part II")</f>
        <v>The Godfather: Part II</v>
      </c>
      <c r="M12" s="5" t="str">
        <f>IFERROR(__xludf.DUMMYFUNCTION("""COMPUTED_VALUE"""),"Drama")</f>
        <v>Drama</v>
      </c>
      <c r="N12" s="5">
        <f>IFERROR(__xludf.DUMMYFUNCTION("""COMPUTED_VALUE"""),2.0)</f>
        <v>2</v>
      </c>
      <c r="S12" s="5">
        <f>IFERROR(__xludf.DUMMYFUNCTION("""COMPUTED_VALUE"""),6.0)</f>
        <v>6</v>
      </c>
      <c r="T12" s="5" t="str">
        <f>IFERROR(__xludf.DUMMYFUNCTION("""COMPUTED_VALUE"""),"The Lord of the Rings: The Return of the King")</f>
        <v>The Lord of the Rings: The Return of the King</v>
      </c>
      <c r="U12" s="5" t="str">
        <f>IFERROR(__xludf.DUMMYFUNCTION("""COMPUTED_VALUE"""),"Action")</f>
        <v>Action</v>
      </c>
      <c r="V12" s="5">
        <f>IFERROR(__xludf.DUMMYFUNCTION("""COMPUTED_VALUE"""),1.0)</f>
        <v>1</v>
      </c>
    </row>
    <row r="13">
      <c r="A13" s="1">
        <v>12.0</v>
      </c>
      <c r="B13" s="1" t="s">
        <v>106</v>
      </c>
      <c r="C13" s="1" t="s">
        <v>107</v>
      </c>
      <c r="D13" s="1"/>
      <c r="E13" s="1">
        <v>12.0</v>
      </c>
      <c r="F13" s="1" t="s">
        <v>106</v>
      </c>
      <c r="G13" s="1" t="str">
        <f>IFERROR(__xludf.DUMMYFUNCTION("SPLIT(C13, "", "")"),"Drama")</f>
        <v>Drama</v>
      </c>
      <c r="H13" s="5" t="str">
        <f>IFERROR(__xludf.DUMMYFUNCTION("""COMPUTED_VALUE"""),"Romance")</f>
        <v>Romance</v>
      </c>
      <c r="J13" s="5" t="str">
        <f>IFERROR(__xludf.DUMMYFUNCTION("""COMPUTED_VALUE"""),"4🤙🏼The Godfather: Part II🤙🏼🤙🏼3")</f>
        <v>4🤙🏼The Godfather: Part II🤙🏼🤙🏼3</v>
      </c>
      <c r="K13" s="5">
        <f>IFERROR(__xludf.DUMMYFUNCTION("SPLiT(J13, ""🤙🏼"",FALSE,FALSE)"),4.0)</f>
        <v>4</v>
      </c>
      <c r="L13" s="5" t="str">
        <f>IFERROR(__xludf.DUMMYFUNCTION("""COMPUTED_VALUE"""),"The Godfather: Part II")</f>
        <v>The Godfather: Part II</v>
      </c>
      <c r="M13" s="5"/>
      <c r="N13" s="5">
        <f>IFERROR(__xludf.DUMMYFUNCTION("""COMPUTED_VALUE"""),3.0)</f>
        <v>3</v>
      </c>
      <c r="S13" s="5">
        <f>IFERROR(__xludf.DUMMYFUNCTION("""COMPUTED_VALUE"""),6.0)</f>
        <v>6</v>
      </c>
      <c r="T13" s="5" t="str">
        <f>IFERROR(__xludf.DUMMYFUNCTION("""COMPUTED_VALUE"""),"The Lord of the Rings: The Return of the King")</f>
        <v>The Lord of the Rings: The Return of the King</v>
      </c>
      <c r="U13" s="5" t="str">
        <f>IFERROR(__xludf.DUMMYFUNCTION("""COMPUTED_VALUE"""),"Adventure")</f>
        <v>Adventure</v>
      </c>
      <c r="V13" s="5">
        <f>IFERROR(__xludf.DUMMYFUNCTION("""COMPUTED_VALUE"""),2.0)</f>
        <v>2</v>
      </c>
    </row>
    <row r="14">
      <c r="A14" s="1">
        <v>13.0</v>
      </c>
      <c r="B14" s="1" t="s">
        <v>114</v>
      </c>
      <c r="C14" s="1" t="s">
        <v>116</v>
      </c>
      <c r="D14" s="1"/>
      <c r="E14" s="1">
        <v>13.0</v>
      </c>
      <c r="F14" s="1" t="s">
        <v>114</v>
      </c>
      <c r="G14" s="1" t="str">
        <f>IFERROR(__xludf.DUMMYFUNCTION("SPLIT(C14, "", "")"),"Western")</f>
        <v>Western</v>
      </c>
      <c r="J14" s="5" t="str">
        <f>IFERROR(__xludf.DUMMYFUNCTION("""COMPUTED_VALUE"""),"5🤙🏼12 Angry Men🤙🏼Crime🤙🏼1")</f>
        <v>5🤙🏼12 Angry Men🤙🏼Crime🤙🏼1</v>
      </c>
      <c r="K14" s="5">
        <f>IFERROR(__xludf.DUMMYFUNCTION("SPLiT(J14, ""🤙🏼"",FALSE,FALSE)"),5.0)</f>
        <v>5</v>
      </c>
      <c r="L14" s="5" t="str">
        <f>IFERROR(__xludf.DUMMYFUNCTION("""COMPUTED_VALUE"""),"12 Angry Men")</f>
        <v>12 Angry Men</v>
      </c>
      <c r="M14" s="5" t="str">
        <f>IFERROR(__xludf.DUMMYFUNCTION("""COMPUTED_VALUE"""),"Crime")</f>
        <v>Crime</v>
      </c>
      <c r="N14" s="5">
        <f>IFERROR(__xludf.DUMMYFUNCTION("""COMPUTED_VALUE"""),1.0)</f>
        <v>1</v>
      </c>
      <c r="S14" s="5">
        <f>IFERROR(__xludf.DUMMYFUNCTION("""COMPUTED_VALUE"""),6.0)</f>
        <v>6</v>
      </c>
      <c r="T14" s="5" t="str">
        <f>IFERROR(__xludf.DUMMYFUNCTION("""COMPUTED_VALUE"""),"The Lord of the Rings: The Return of the King")</f>
        <v>The Lord of the Rings: The Return of the King</v>
      </c>
      <c r="U14" s="5" t="str">
        <f>IFERROR(__xludf.DUMMYFUNCTION("""COMPUTED_VALUE"""),"Drama")</f>
        <v>Drama</v>
      </c>
      <c r="V14" s="5">
        <f>IFERROR(__xludf.DUMMYFUNCTION("""COMPUTED_VALUE"""),3.0)</f>
        <v>3</v>
      </c>
    </row>
    <row r="15">
      <c r="A15" s="1">
        <v>14.0</v>
      </c>
      <c r="B15" s="1" t="s">
        <v>123</v>
      </c>
      <c r="C15" s="1" t="s">
        <v>62</v>
      </c>
      <c r="D15" s="1"/>
      <c r="E15" s="1">
        <v>14.0</v>
      </c>
      <c r="F15" s="1" t="s">
        <v>123</v>
      </c>
      <c r="G15" s="1" t="str">
        <f>IFERROR(__xludf.DUMMYFUNCTION("SPLIT(C15, "", "")"),"Action")</f>
        <v>Action</v>
      </c>
      <c r="H15" s="5" t="str">
        <f>IFERROR(__xludf.DUMMYFUNCTION("""COMPUTED_VALUE"""),"Adventure")</f>
        <v>Adventure</v>
      </c>
      <c r="I15" s="5" t="str">
        <f>IFERROR(__xludf.DUMMYFUNCTION("""COMPUTED_VALUE"""),"Drama")</f>
        <v>Drama</v>
      </c>
      <c r="J15" s="5" t="str">
        <f>IFERROR(__xludf.DUMMYFUNCTION("""COMPUTED_VALUE"""),"5🤙🏼12 Angry Men🤙🏼Drama🤙🏼2")</f>
        <v>5🤙🏼12 Angry Men🤙🏼Drama🤙🏼2</v>
      </c>
      <c r="K15" s="5">
        <f>IFERROR(__xludf.DUMMYFUNCTION("SPLiT(J15, ""🤙🏼"",FALSE,FALSE)"),5.0)</f>
        <v>5</v>
      </c>
      <c r="L15" s="5" t="str">
        <f>IFERROR(__xludf.DUMMYFUNCTION("""COMPUTED_VALUE"""),"12 Angry Men")</f>
        <v>12 Angry Men</v>
      </c>
      <c r="M15" s="5" t="str">
        <f>IFERROR(__xludf.DUMMYFUNCTION("""COMPUTED_VALUE"""),"Drama")</f>
        <v>Drama</v>
      </c>
      <c r="N15" s="5">
        <f>IFERROR(__xludf.DUMMYFUNCTION("""COMPUTED_VALUE"""),2.0)</f>
        <v>2</v>
      </c>
      <c r="S15" s="5">
        <f>IFERROR(__xludf.DUMMYFUNCTION("""COMPUTED_VALUE"""),7.0)</f>
        <v>7</v>
      </c>
      <c r="T15" s="5" t="str">
        <f>IFERROR(__xludf.DUMMYFUNCTION("""COMPUTED_VALUE"""),"Pulp Fiction")</f>
        <v>Pulp Fiction</v>
      </c>
      <c r="U15" s="5" t="str">
        <f>IFERROR(__xludf.DUMMYFUNCTION("""COMPUTED_VALUE"""),"Crime")</f>
        <v>Crime</v>
      </c>
      <c r="V15" s="5">
        <f>IFERROR(__xludf.DUMMYFUNCTION("""COMPUTED_VALUE"""),1.0)</f>
        <v>1</v>
      </c>
    </row>
    <row r="16">
      <c r="A16" s="1">
        <v>15.0</v>
      </c>
      <c r="B16" s="1" t="s">
        <v>126</v>
      </c>
      <c r="C16" s="1" t="s">
        <v>128</v>
      </c>
      <c r="D16" s="1"/>
      <c r="E16" s="1">
        <v>15.0</v>
      </c>
      <c r="F16" s="1" t="s">
        <v>126</v>
      </c>
      <c r="G16" s="1" t="str">
        <f>IFERROR(__xludf.DUMMYFUNCTION("SPLIT(C16, "", "")"),"Action")</f>
        <v>Action</v>
      </c>
      <c r="H16" s="5" t="str">
        <f>IFERROR(__xludf.DUMMYFUNCTION("""COMPUTED_VALUE"""),"Sci-Fi")</f>
        <v>Sci-Fi</v>
      </c>
      <c r="J16" s="5" t="str">
        <f>IFERROR(__xludf.DUMMYFUNCTION("""COMPUTED_VALUE"""),"5🤙🏼12 Angry Men🤙🏼🤙🏼3")</f>
        <v>5🤙🏼12 Angry Men🤙🏼🤙🏼3</v>
      </c>
      <c r="K16" s="5">
        <f>IFERROR(__xludf.DUMMYFUNCTION("SPLiT(J16, ""🤙🏼"",FALSE,FALSE)"),5.0)</f>
        <v>5</v>
      </c>
      <c r="L16" s="5" t="str">
        <f>IFERROR(__xludf.DUMMYFUNCTION("""COMPUTED_VALUE"""),"12 Angry Men")</f>
        <v>12 Angry Men</v>
      </c>
      <c r="M16" s="5"/>
      <c r="N16" s="5">
        <f>IFERROR(__xludf.DUMMYFUNCTION("""COMPUTED_VALUE"""),3.0)</f>
        <v>3</v>
      </c>
      <c r="S16" s="5">
        <f>IFERROR(__xludf.DUMMYFUNCTION("""COMPUTED_VALUE"""),7.0)</f>
        <v>7</v>
      </c>
      <c r="T16" s="5" t="str">
        <f>IFERROR(__xludf.DUMMYFUNCTION("""COMPUTED_VALUE"""),"Pulp Fiction")</f>
        <v>Pulp Fiction</v>
      </c>
      <c r="U16" s="5" t="str">
        <f>IFERROR(__xludf.DUMMYFUNCTION("""COMPUTED_VALUE"""),"Drama")</f>
        <v>Drama</v>
      </c>
      <c r="V16" s="5">
        <f>IFERROR(__xludf.DUMMYFUNCTION("""COMPUTED_VALUE"""),2.0)</f>
        <v>2</v>
      </c>
    </row>
    <row r="17">
      <c r="A17" s="1">
        <v>16.0</v>
      </c>
      <c r="B17" s="1" t="s">
        <v>135</v>
      </c>
      <c r="C17" s="1" t="s">
        <v>137</v>
      </c>
      <c r="D17" s="1"/>
      <c r="E17" s="1">
        <v>16.0</v>
      </c>
      <c r="F17" s="1" t="s">
        <v>135</v>
      </c>
      <c r="G17" s="1" t="str">
        <f>IFERROR(__xludf.DUMMYFUNCTION("SPLIT(C17, "", "")"),"Biography")</f>
        <v>Biography</v>
      </c>
      <c r="H17" s="5" t="str">
        <f>IFERROR(__xludf.DUMMYFUNCTION("""COMPUTED_VALUE"""),"Crime")</f>
        <v>Crime</v>
      </c>
      <c r="I17" s="5" t="str">
        <f>IFERROR(__xludf.DUMMYFUNCTION("""COMPUTED_VALUE"""),"Drama")</f>
        <v>Drama</v>
      </c>
      <c r="J17" s="5" t="str">
        <f>IFERROR(__xludf.DUMMYFUNCTION("""COMPUTED_VALUE"""),"6🤙🏼The Lord of the Rings: The Return of the King🤙🏼Action🤙🏼1")</f>
        <v>6🤙🏼The Lord of the Rings: The Return of the King🤙🏼Action🤙🏼1</v>
      </c>
      <c r="K17" s="5">
        <f>IFERROR(__xludf.DUMMYFUNCTION("SPLiT(J17, ""🤙🏼"",FALSE,FALSE)"),6.0)</f>
        <v>6</v>
      </c>
      <c r="L17" s="5" t="str">
        <f>IFERROR(__xludf.DUMMYFUNCTION("""COMPUTED_VALUE"""),"The Lord of the Rings: The Return of the King")</f>
        <v>The Lord of the Rings: The Return of the King</v>
      </c>
      <c r="M17" s="5" t="str">
        <f>IFERROR(__xludf.DUMMYFUNCTION("""COMPUTED_VALUE"""),"Action")</f>
        <v>Action</v>
      </c>
      <c r="N17" s="5">
        <f>IFERROR(__xludf.DUMMYFUNCTION("""COMPUTED_VALUE"""),1.0)</f>
        <v>1</v>
      </c>
      <c r="S17" s="5">
        <f>IFERROR(__xludf.DUMMYFUNCTION("""COMPUTED_VALUE"""),8.0)</f>
        <v>8</v>
      </c>
      <c r="T17" s="5" t="str">
        <f>IFERROR(__xludf.DUMMYFUNCTION("""COMPUTED_VALUE"""),"Schindler's List")</f>
        <v>Schindler's List</v>
      </c>
      <c r="U17" s="5" t="str">
        <f>IFERROR(__xludf.DUMMYFUNCTION("""COMPUTED_VALUE"""),"Biography")</f>
        <v>Biography</v>
      </c>
      <c r="V17" s="5">
        <f>IFERROR(__xludf.DUMMYFUNCTION("""COMPUTED_VALUE"""),1.0)</f>
        <v>1</v>
      </c>
    </row>
    <row r="18">
      <c r="A18" s="1">
        <v>17.0</v>
      </c>
      <c r="B18" s="1" t="s">
        <v>143</v>
      </c>
      <c r="C18" s="1" t="s">
        <v>145</v>
      </c>
      <c r="D18" s="1"/>
      <c r="E18" s="1">
        <v>17.0</v>
      </c>
      <c r="F18" s="1" t="s">
        <v>143</v>
      </c>
      <c r="G18" s="1" t="str">
        <f>IFERROR(__xludf.DUMMYFUNCTION("SPLIT(C18, "", "")"),"Action")</f>
        <v>Action</v>
      </c>
      <c r="H18" s="5" t="str">
        <f>IFERROR(__xludf.DUMMYFUNCTION("""COMPUTED_VALUE"""),"Adventure")</f>
        <v>Adventure</v>
      </c>
      <c r="I18" s="5" t="str">
        <f>IFERROR(__xludf.DUMMYFUNCTION("""COMPUTED_VALUE"""),"Fantasy")</f>
        <v>Fantasy</v>
      </c>
      <c r="J18" s="5" t="str">
        <f>IFERROR(__xludf.DUMMYFUNCTION("""COMPUTED_VALUE"""),"6🤙🏼The Lord of the Rings: The Return of the King🤙🏼Adventure🤙🏼2")</f>
        <v>6🤙🏼The Lord of the Rings: The Return of the King🤙🏼Adventure🤙🏼2</v>
      </c>
      <c r="K18" s="5">
        <f>IFERROR(__xludf.DUMMYFUNCTION("SPLiT(J18, ""🤙🏼"",FALSE,FALSE)"),6.0)</f>
        <v>6</v>
      </c>
      <c r="L18" s="5" t="str">
        <f>IFERROR(__xludf.DUMMYFUNCTION("""COMPUTED_VALUE"""),"The Lord of the Rings: The Return of the King")</f>
        <v>The Lord of the Rings: The Return of the King</v>
      </c>
      <c r="M18" s="5" t="str">
        <f>IFERROR(__xludf.DUMMYFUNCTION("""COMPUTED_VALUE"""),"Adventure")</f>
        <v>Adventure</v>
      </c>
      <c r="N18" s="5">
        <f>IFERROR(__xludf.DUMMYFUNCTION("""COMPUTED_VALUE"""),2.0)</f>
        <v>2</v>
      </c>
      <c r="S18" s="5">
        <f>IFERROR(__xludf.DUMMYFUNCTION("""COMPUTED_VALUE"""),8.0)</f>
        <v>8</v>
      </c>
      <c r="T18" s="5" t="str">
        <f>IFERROR(__xludf.DUMMYFUNCTION("""COMPUTED_VALUE"""),"Schindler's List")</f>
        <v>Schindler's List</v>
      </c>
      <c r="U18" s="5" t="str">
        <f>IFERROR(__xludf.DUMMYFUNCTION("""COMPUTED_VALUE"""),"Drama")</f>
        <v>Drama</v>
      </c>
      <c r="V18" s="5">
        <f>IFERROR(__xludf.DUMMYFUNCTION("""COMPUTED_VALUE"""),2.0)</f>
        <v>2</v>
      </c>
    </row>
    <row r="19">
      <c r="A19" s="1">
        <v>18.0</v>
      </c>
      <c r="B19" s="1" t="s">
        <v>152</v>
      </c>
      <c r="C19" s="1" t="s">
        <v>20</v>
      </c>
      <c r="D19" s="1"/>
      <c r="E19" s="1">
        <v>18.0</v>
      </c>
      <c r="F19" s="1" t="s">
        <v>152</v>
      </c>
      <c r="G19" s="1" t="str">
        <f>IFERROR(__xludf.DUMMYFUNCTION("SPLIT(C19, "", "")"),"Drama")</f>
        <v>Drama</v>
      </c>
      <c r="J19" s="5" t="str">
        <f>IFERROR(__xludf.DUMMYFUNCTION("""COMPUTED_VALUE"""),"6🤙🏼The Lord of the Rings: The Return of the King🤙🏼Drama🤙🏼3")</f>
        <v>6🤙🏼The Lord of the Rings: The Return of the King🤙🏼Drama🤙🏼3</v>
      </c>
      <c r="K19" s="5">
        <f>IFERROR(__xludf.DUMMYFUNCTION("SPLiT(J19, ""🤙🏼"",FALSE,FALSE)"),6.0)</f>
        <v>6</v>
      </c>
      <c r="L19" s="5" t="str">
        <f>IFERROR(__xludf.DUMMYFUNCTION("""COMPUTED_VALUE"""),"The Lord of the Rings: The Return of the King")</f>
        <v>The Lord of the Rings: The Return of the King</v>
      </c>
      <c r="M19" s="5" t="str">
        <f>IFERROR(__xludf.DUMMYFUNCTION("""COMPUTED_VALUE"""),"Drama")</f>
        <v>Drama</v>
      </c>
      <c r="N19" s="5">
        <f>IFERROR(__xludf.DUMMYFUNCTION("""COMPUTED_VALUE"""),3.0)</f>
        <v>3</v>
      </c>
      <c r="S19" s="5">
        <f>IFERROR(__xludf.DUMMYFUNCTION("""COMPUTED_VALUE"""),8.0)</f>
        <v>8</v>
      </c>
      <c r="T19" s="5" t="str">
        <f>IFERROR(__xludf.DUMMYFUNCTION("""COMPUTED_VALUE"""),"Schindler's List")</f>
        <v>Schindler's List</v>
      </c>
      <c r="U19" s="5" t="str">
        <f>IFERROR(__xludf.DUMMYFUNCTION("""COMPUTED_VALUE"""),"History")</f>
        <v>History</v>
      </c>
      <c r="V19" s="5">
        <f>IFERROR(__xludf.DUMMYFUNCTION("""COMPUTED_VALUE"""),3.0)</f>
        <v>3</v>
      </c>
    </row>
    <row r="20">
      <c r="A20" s="1">
        <v>19.0</v>
      </c>
      <c r="B20" s="1" t="s">
        <v>160</v>
      </c>
      <c r="C20" s="1" t="s">
        <v>79</v>
      </c>
      <c r="D20" s="1"/>
      <c r="E20" s="1">
        <v>19.0</v>
      </c>
      <c r="F20" s="1" t="s">
        <v>160</v>
      </c>
      <c r="G20" s="1" t="str">
        <f>IFERROR(__xludf.DUMMYFUNCTION("SPLIT(C20, "", "")"),"Biography")</f>
        <v>Biography</v>
      </c>
      <c r="H20" s="5" t="str">
        <f>IFERROR(__xludf.DUMMYFUNCTION("""COMPUTED_VALUE"""),"Drama")</f>
        <v>Drama</v>
      </c>
      <c r="I20" s="5" t="str">
        <f>IFERROR(__xludf.DUMMYFUNCTION("""COMPUTED_VALUE"""),"History")</f>
        <v>History</v>
      </c>
      <c r="J20" s="5" t="str">
        <f>IFERROR(__xludf.DUMMYFUNCTION("""COMPUTED_VALUE"""),"7🤙🏼Pulp Fiction🤙🏼Crime🤙🏼1")</f>
        <v>7🤙🏼Pulp Fiction🤙🏼Crime🤙🏼1</v>
      </c>
      <c r="K20" s="5">
        <f>IFERROR(__xludf.DUMMYFUNCTION("SPLiT(J20, ""🤙🏼"",FALSE,FALSE)"),7.0)</f>
        <v>7</v>
      </c>
      <c r="L20" s="5" t="str">
        <f>IFERROR(__xludf.DUMMYFUNCTION("""COMPUTED_VALUE"""),"Pulp Fiction")</f>
        <v>Pulp Fiction</v>
      </c>
      <c r="M20" s="5" t="str">
        <f>IFERROR(__xludf.DUMMYFUNCTION("""COMPUTED_VALUE"""),"Crime")</f>
        <v>Crime</v>
      </c>
      <c r="N20" s="5">
        <f>IFERROR(__xludf.DUMMYFUNCTION("""COMPUTED_VALUE"""),1.0)</f>
        <v>1</v>
      </c>
      <c r="S20" s="5">
        <f>IFERROR(__xludf.DUMMYFUNCTION("""COMPUTED_VALUE"""),9.0)</f>
        <v>9</v>
      </c>
      <c r="T20" s="5" t="str">
        <f>IFERROR(__xludf.DUMMYFUNCTION("""COMPUTED_VALUE"""),"Inception")</f>
        <v>Inception</v>
      </c>
      <c r="U20" s="5" t="str">
        <f>IFERROR(__xludf.DUMMYFUNCTION("""COMPUTED_VALUE"""),"Action")</f>
        <v>Action</v>
      </c>
      <c r="V20" s="5">
        <f>IFERROR(__xludf.DUMMYFUNCTION("""COMPUTED_VALUE"""),1.0)</f>
        <v>1</v>
      </c>
    </row>
    <row r="21">
      <c r="A21" s="1">
        <v>20.0</v>
      </c>
      <c r="B21" s="1" t="s">
        <v>169</v>
      </c>
      <c r="C21" s="1" t="s">
        <v>171</v>
      </c>
      <c r="D21" s="1"/>
      <c r="E21" s="1">
        <v>20.0</v>
      </c>
      <c r="F21" s="1" t="s">
        <v>169</v>
      </c>
      <c r="G21" s="1" t="str">
        <f>IFERROR(__xludf.DUMMYFUNCTION("SPLIT(C21, "", "")"),"Comedy")</f>
        <v>Comedy</v>
      </c>
      <c r="H21" s="5" t="str">
        <f>IFERROR(__xludf.DUMMYFUNCTION("""COMPUTED_VALUE"""),"Drama")</f>
        <v>Drama</v>
      </c>
      <c r="I21" s="5" t="str">
        <f>IFERROR(__xludf.DUMMYFUNCTION("""COMPUTED_VALUE"""),"Thriller")</f>
        <v>Thriller</v>
      </c>
      <c r="J21" s="5" t="str">
        <f>IFERROR(__xludf.DUMMYFUNCTION("""COMPUTED_VALUE"""),"7🤙🏼Pulp Fiction🤙🏼Drama🤙🏼2")</f>
        <v>7🤙🏼Pulp Fiction🤙🏼Drama🤙🏼2</v>
      </c>
      <c r="K21" s="5">
        <f>IFERROR(__xludf.DUMMYFUNCTION("SPLiT(J21, ""🤙🏼"",FALSE,FALSE)"),7.0)</f>
        <v>7</v>
      </c>
      <c r="L21" s="5" t="str">
        <f>IFERROR(__xludf.DUMMYFUNCTION("""COMPUTED_VALUE"""),"Pulp Fiction")</f>
        <v>Pulp Fiction</v>
      </c>
      <c r="M21" s="5" t="str">
        <f>IFERROR(__xludf.DUMMYFUNCTION("""COMPUTED_VALUE"""),"Drama")</f>
        <v>Drama</v>
      </c>
      <c r="N21" s="5">
        <f>IFERROR(__xludf.DUMMYFUNCTION("""COMPUTED_VALUE"""),2.0)</f>
        <v>2</v>
      </c>
      <c r="S21" s="5">
        <f>IFERROR(__xludf.DUMMYFUNCTION("""COMPUTED_VALUE"""),9.0)</f>
        <v>9</v>
      </c>
      <c r="T21" s="5" t="str">
        <f>IFERROR(__xludf.DUMMYFUNCTION("""COMPUTED_VALUE"""),"Inception")</f>
        <v>Inception</v>
      </c>
      <c r="U21" s="5" t="str">
        <f>IFERROR(__xludf.DUMMYFUNCTION("""COMPUTED_VALUE"""),"Adventure")</f>
        <v>Adventure</v>
      </c>
      <c r="V21" s="5">
        <f>IFERROR(__xludf.DUMMYFUNCTION("""COMPUTED_VALUE"""),2.0)</f>
        <v>2</v>
      </c>
    </row>
    <row r="22">
      <c r="A22" s="1">
        <v>21.0</v>
      </c>
      <c r="B22" s="1" t="s">
        <v>178</v>
      </c>
      <c r="C22" s="1" t="s">
        <v>20</v>
      </c>
      <c r="D22" s="1"/>
      <c r="E22" s="1">
        <v>21.0</v>
      </c>
      <c r="F22" s="1" t="s">
        <v>178</v>
      </c>
      <c r="G22" s="1" t="str">
        <f>IFERROR(__xludf.DUMMYFUNCTION("SPLIT(C22, "", "")"),"Drama")</f>
        <v>Drama</v>
      </c>
      <c r="J22" s="5" t="str">
        <f>IFERROR(__xludf.DUMMYFUNCTION("""COMPUTED_VALUE"""),"7🤙🏼Pulp Fiction🤙🏼🤙🏼3")</f>
        <v>7🤙🏼Pulp Fiction🤙🏼🤙🏼3</v>
      </c>
      <c r="K22" s="5">
        <f>IFERROR(__xludf.DUMMYFUNCTION("SPLiT(J22, ""🤙🏼"",FALSE,FALSE)"),7.0)</f>
        <v>7</v>
      </c>
      <c r="L22" s="5" t="str">
        <f>IFERROR(__xludf.DUMMYFUNCTION("""COMPUTED_VALUE"""),"Pulp Fiction")</f>
        <v>Pulp Fiction</v>
      </c>
      <c r="M22" s="5"/>
      <c r="N22" s="5">
        <f>IFERROR(__xludf.DUMMYFUNCTION("""COMPUTED_VALUE"""),3.0)</f>
        <v>3</v>
      </c>
      <c r="S22" s="5">
        <f>IFERROR(__xludf.DUMMYFUNCTION("""COMPUTED_VALUE"""),9.0)</f>
        <v>9</v>
      </c>
      <c r="T22" s="5" t="str">
        <f>IFERROR(__xludf.DUMMYFUNCTION("""COMPUTED_VALUE"""),"Inception")</f>
        <v>Inception</v>
      </c>
      <c r="U22" s="5" t="str">
        <f>IFERROR(__xludf.DUMMYFUNCTION("""COMPUTED_VALUE"""),"Sci-Fi")</f>
        <v>Sci-Fi</v>
      </c>
      <c r="V22" s="5">
        <f>IFERROR(__xludf.DUMMYFUNCTION("""COMPUTED_VALUE"""),3.0)</f>
        <v>3</v>
      </c>
    </row>
    <row r="23">
      <c r="A23" s="1">
        <v>22.0</v>
      </c>
      <c r="B23" s="1" t="s">
        <v>186</v>
      </c>
      <c r="C23" s="1" t="s">
        <v>188</v>
      </c>
      <c r="D23" s="1"/>
      <c r="E23" s="1">
        <v>22.0</v>
      </c>
      <c r="F23" s="1" t="s">
        <v>186</v>
      </c>
      <c r="G23" s="1" t="str">
        <f>IFERROR(__xludf.DUMMYFUNCTION("SPLIT(C23, "", "")"),"Adventure")</f>
        <v>Adventure</v>
      </c>
      <c r="H23" s="5" t="str">
        <f>IFERROR(__xludf.DUMMYFUNCTION("""COMPUTED_VALUE"""),"Drama")</f>
        <v>Drama</v>
      </c>
      <c r="I23" s="5" t="str">
        <f>IFERROR(__xludf.DUMMYFUNCTION("""COMPUTED_VALUE"""),"Sci-Fi")</f>
        <v>Sci-Fi</v>
      </c>
      <c r="J23" s="5" t="str">
        <f>IFERROR(__xludf.DUMMYFUNCTION("""COMPUTED_VALUE"""),"8🤙🏼Schindler's List🤙🏼Biography🤙🏼1")</f>
        <v>8🤙🏼Schindler's List🤙🏼Biography🤙🏼1</v>
      </c>
      <c r="K23" s="5">
        <f>IFERROR(__xludf.DUMMYFUNCTION("SPLiT(J23, ""🤙🏼"",FALSE,FALSE)"),8.0)</f>
        <v>8</v>
      </c>
      <c r="L23" s="5" t="str">
        <f>IFERROR(__xludf.DUMMYFUNCTION("""COMPUTED_VALUE"""),"Schindler's List")</f>
        <v>Schindler's List</v>
      </c>
      <c r="M23" s="5" t="str">
        <f>IFERROR(__xludf.DUMMYFUNCTION("""COMPUTED_VALUE"""),"Biography")</f>
        <v>Biography</v>
      </c>
      <c r="N23" s="5">
        <f>IFERROR(__xludf.DUMMYFUNCTION("""COMPUTED_VALUE"""),1.0)</f>
        <v>1</v>
      </c>
      <c r="S23" s="5">
        <f>IFERROR(__xludf.DUMMYFUNCTION("""COMPUTED_VALUE"""),10.0)</f>
        <v>10</v>
      </c>
      <c r="T23" s="5" t="str">
        <f>IFERROR(__xludf.DUMMYFUNCTION("""COMPUTED_VALUE"""),"Fight Club")</f>
        <v>Fight Club</v>
      </c>
      <c r="U23" s="5" t="str">
        <f>IFERROR(__xludf.DUMMYFUNCTION("""COMPUTED_VALUE"""),"Drama")</f>
        <v>Drama</v>
      </c>
      <c r="V23" s="5">
        <f>IFERROR(__xludf.DUMMYFUNCTION("""COMPUTED_VALUE"""),1.0)</f>
        <v>1</v>
      </c>
    </row>
    <row r="24">
      <c r="A24" s="1">
        <v>23.0</v>
      </c>
      <c r="B24" s="1" t="s">
        <v>194</v>
      </c>
      <c r="C24" s="1" t="s">
        <v>29</v>
      </c>
      <c r="D24" s="1"/>
      <c r="E24" s="1">
        <v>23.0</v>
      </c>
      <c r="F24" s="1" t="s">
        <v>194</v>
      </c>
      <c r="G24" s="1" t="str">
        <f>IFERROR(__xludf.DUMMYFUNCTION("SPLIT(C24, "", "")"),"Crime")</f>
        <v>Crime</v>
      </c>
      <c r="H24" s="5" t="str">
        <f>IFERROR(__xludf.DUMMYFUNCTION("""COMPUTED_VALUE"""),"Drama")</f>
        <v>Drama</v>
      </c>
      <c r="J24" s="5" t="str">
        <f>IFERROR(__xludf.DUMMYFUNCTION("""COMPUTED_VALUE"""),"8🤙🏼Schindler's List🤙🏼Drama🤙🏼2")</f>
        <v>8🤙🏼Schindler's List🤙🏼Drama🤙🏼2</v>
      </c>
      <c r="K24" s="5">
        <f>IFERROR(__xludf.DUMMYFUNCTION("SPLiT(J24, ""🤙🏼"",FALSE,FALSE)"),8.0)</f>
        <v>8</v>
      </c>
      <c r="L24" s="5" t="str">
        <f>IFERROR(__xludf.DUMMYFUNCTION("""COMPUTED_VALUE"""),"Schindler's List")</f>
        <v>Schindler's List</v>
      </c>
      <c r="M24" s="5" t="str">
        <f>IFERROR(__xludf.DUMMYFUNCTION("""COMPUTED_VALUE"""),"Drama")</f>
        <v>Drama</v>
      </c>
      <c r="N24" s="5">
        <f>IFERROR(__xludf.DUMMYFUNCTION("""COMPUTED_VALUE"""),2.0)</f>
        <v>2</v>
      </c>
      <c r="S24" s="5">
        <f>IFERROR(__xludf.DUMMYFUNCTION("""COMPUTED_VALUE"""),11.0)</f>
        <v>11</v>
      </c>
      <c r="T24" s="5" t="str">
        <f>IFERROR(__xludf.DUMMYFUNCTION("""COMPUTED_VALUE"""),"The Lord of the Rings: The Fellowship of the Ring")</f>
        <v>The Lord of the Rings: The Fellowship of the Ring</v>
      </c>
      <c r="U24" s="5" t="str">
        <f>IFERROR(__xludf.DUMMYFUNCTION("""COMPUTED_VALUE"""),"Action")</f>
        <v>Action</v>
      </c>
      <c r="V24" s="5">
        <f>IFERROR(__xludf.DUMMYFUNCTION("""COMPUTED_VALUE"""),1.0)</f>
        <v>1</v>
      </c>
    </row>
    <row r="25">
      <c r="A25" s="1">
        <v>24.0</v>
      </c>
      <c r="B25" s="1" t="s">
        <v>202</v>
      </c>
      <c r="C25" s="1" t="s">
        <v>204</v>
      </c>
      <c r="D25" s="1"/>
      <c r="E25" s="1">
        <v>24.0</v>
      </c>
      <c r="F25" s="1" t="s">
        <v>202</v>
      </c>
      <c r="G25" s="1" t="str">
        <f>IFERROR(__xludf.DUMMYFUNCTION("SPLIT(C25, "", "")"),"Animation")</f>
        <v>Animation</v>
      </c>
      <c r="H25" s="5" t="str">
        <f>IFERROR(__xludf.DUMMYFUNCTION("""COMPUTED_VALUE"""),"Adventure")</f>
        <v>Adventure</v>
      </c>
      <c r="I25" s="5" t="str">
        <f>IFERROR(__xludf.DUMMYFUNCTION("""COMPUTED_VALUE"""),"Family")</f>
        <v>Family</v>
      </c>
      <c r="J25" s="5" t="str">
        <f>IFERROR(__xludf.DUMMYFUNCTION("""COMPUTED_VALUE"""),"8🤙🏼Schindler's List🤙🏼History🤙🏼3")</f>
        <v>8🤙🏼Schindler's List🤙🏼History🤙🏼3</v>
      </c>
      <c r="K25" s="5">
        <f>IFERROR(__xludf.DUMMYFUNCTION("SPLiT(J25, ""🤙🏼"",FALSE,FALSE)"),8.0)</f>
        <v>8</v>
      </c>
      <c r="L25" s="5" t="str">
        <f>IFERROR(__xludf.DUMMYFUNCTION("""COMPUTED_VALUE"""),"Schindler's List")</f>
        <v>Schindler's List</v>
      </c>
      <c r="M25" s="5" t="str">
        <f>IFERROR(__xludf.DUMMYFUNCTION("""COMPUTED_VALUE"""),"History")</f>
        <v>History</v>
      </c>
      <c r="N25" s="5">
        <f>IFERROR(__xludf.DUMMYFUNCTION("""COMPUTED_VALUE"""),3.0)</f>
        <v>3</v>
      </c>
      <c r="S25" s="5">
        <f>IFERROR(__xludf.DUMMYFUNCTION("""COMPUTED_VALUE"""),11.0)</f>
        <v>11</v>
      </c>
      <c r="T25" s="5" t="str">
        <f>IFERROR(__xludf.DUMMYFUNCTION("""COMPUTED_VALUE"""),"The Lord of the Rings: The Fellowship of the Ring")</f>
        <v>The Lord of the Rings: The Fellowship of the Ring</v>
      </c>
      <c r="U25" s="5" t="str">
        <f>IFERROR(__xludf.DUMMYFUNCTION("""COMPUTED_VALUE"""),"Adventure")</f>
        <v>Adventure</v>
      </c>
      <c r="V25" s="5">
        <f>IFERROR(__xludf.DUMMYFUNCTION("""COMPUTED_VALUE"""),2.0)</f>
        <v>2</v>
      </c>
    </row>
    <row r="26">
      <c r="A26" s="1">
        <v>25.0</v>
      </c>
      <c r="B26" s="1" t="s">
        <v>211</v>
      </c>
      <c r="C26" s="1" t="s">
        <v>213</v>
      </c>
      <c r="D26" s="1"/>
      <c r="E26" s="1">
        <v>25.0</v>
      </c>
      <c r="F26" s="1" t="s">
        <v>211</v>
      </c>
      <c r="G26" s="1" t="str">
        <f>IFERROR(__xludf.DUMMYFUNCTION("SPLIT(C26, "", "")"),"Drama")</f>
        <v>Drama</v>
      </c>
      <c r="H26" s="5" t="str">
        <f>IFERROR(__xludf.DUMMYFUNCTION("""COMPUTED_VALUE"""),"War")</f>
        <v>War</v>
      </c>
      <c r="J26" s="5" t="str">
        <f>IFERROR(__xludf.DUMMYFUNCTION("""COMPUTED_VALUE"""),"9🤙🏼Inception🤙🏼Action🤙🏼1")</f>
        <v>9🤙🏼Inception🤙🏼Action🤙🏼1</v>
      </c>
      <c r="K26" s="5">
        <f>IFERROR(__xludf.DUMMYFUNCTION("SPLiT(J26, ""🤙🏼"",FALSE,FALSE)"),9.0)</f>
        <v>9</v>
      </c>
      <c r="L26" s="5" t="str">
        <f>IFERROR(__xludf.DUMMYFUNCTION("""COMPUTED_VALUE"""),"Inception")</f>
        <v>Inception</v>
      </c>
      <c r="M26" s="5" t="str">
        <f>IFERROR(__xludf.DUMMYFUNCTION("""COMPUTED_VALUE"""),"Action")</f>
        <v>Action</v>
      </c>
      <c r="N26" s="5">
        <f>IFERROR(__xludf.DUMMYFUNCTION("""COMPUTED_VALUE"""),1.0)</f>
        <v>1</v>
      </c>
      <c r="S26" s="5">
        <f>IFERROR(__xludf.DUMMYFUNCTION("""COMPUTED_VALUE"""),11.0)</f>
        <v>11</v>
      </c>
      <c r="T26" s="5" t="str">
        <f>IFERROR(__xludf.DUMMYFUNCTION("""COMPUTED_VALUE"""),"The Lord of the Rings: The Fellowship of the Ring")</f>
        <v>The Lord of the Rings: The Fellowship of the Ring</v>
      </c>
      <c r="U26" s="5" t="str">
        <f>IFERROR(__xludf.DUMMYFUNCTION("""COMPUTED_VALUE"""),"Drama")</f>
        <v>Drama</v>
      </c>
      <c r="V26" s="5">
        <f>IFERROR(__xludf.DUMMYFUNCTION("""COMPUTED_VALUE"""),3.0)</f>
        <v>3</v>
      </c>
    </row>
    <row r="27">
      <c r="A27" s="1">
        <v>26.0</v>
      </c>
      <c r="B27" s="1" t="s">
        <v>218</v>
      </c>
      <c r="C27" s="1" t="s">
        <v>220</v>
      </c>
      <c r="D27" s="1"/>
      <c r="E27" s="1">
        <v>26.0</v>
      </c>
      <c r="F27" s="1" t="s">
        <v>218</v>
      </c>
      <c r="G27" s="1" t="str">
        <f>IFERROR(__xludf.DUMMYFUNCTION("SPLIT(C27, "", "")"),"Crime")</f>
        <v>Crime</v>
      </c>
      <c r="H27" s="5" t="str">
        <f>IFERROR(__xludf.DUMMYFUNCTION("""COMPUTED_VALUE"""),"Drama")</f>
        <v>Drama</v>
      </c>
      <c r="I27" s="5" t="str">
        <f>IFERROR(__xludf.DUMMYFUNCTION("""COMPUTED_VALUE"""),"Fantasy")</f>
        <v>Fantasy</v>
      </c>
      <c r="J27" s="5" t="str">
        <f>IFERROR(__xludf.DUMMYFUNCTION("""COMPUTED_VALUE"""),"9🤙🏼Inception🤙🏼Adventure🤙🏼2")</f>
        <v>9🤙🏼Inception🤙🏼Adventure🤙🏼2</v>
      </c>
      <c r="K27" s="5">
        <f>IFERROR(__xludf.DUMMYFUNCTION("SPLiT(J27, ""🤙🏼"",FALSE,FALSE)"),9.0)</f>
        <v>9</v>
      </c>
      <c r="L27" s="5" t="str">
        <f>IFERROR(__xludf.DUMMYFUNCTION("""COMPUTED_VALUE"""),"Inception")</f>
        <v>Inception</v>
      </c>
      <c r="M27" s="5" t="str">
        <f>IFERROR(__xludf.DUMMYFUNCTION("""COMPUTED_VALUE"""),"Adventure")</f>
        <v>Adventure</v>
      </c>
      <c r="N27" s="5">
        <f>IFERROR(__xludf.DUMMYFUNCTION("""COMPUTED_VALUE"""),2.0)</f>
        <v>2</v>
      </c>
      <c r="S27" s="5">
        <f>IFERROR(__xludf.DUMMYFUNCTION("""COMPUTED_VALUE"""),12.0)</f>
        <v>12</v>
      </c>
      <c r="T27" s="5" t="str">
        <f>IFERROR(__xludf.DUMMYFUNCTION("""COMPUTED_VALUE"""),"Forrest Gump")</f>
        <v>Forrest Gump</v>
      </c>
      <c r="U27" s="5" t="str">
        <f>IFERROR(__xludf.DUMMYFUNCTION("""COMPUTED_VALUE"""),"Drama")</f>
        <v>Drama</v>
      </c>
      <c r="V27" s="5">
        <f>IFERROR(__xludf.DUMMYFUNCTION("""COMPUTED_VALUE"""),1.0)</f>
        <v>1</v>
      </c>
    </row>
    <row r="28">
      <c r="A28" s="1">
        <v>27.0</v>
      </c>
      <c r="B28" s="1" t="s">
        <v>225</v>
      </c>
      <c r="C28" s="1" t="s">
        <v>227</v>
      </c>
      <c r="D28" s="1"/>
      <c r="E28" s="1">
        <v>27.0</v>
      </c>
      <c r="F28" s="1" t="s">
        <v>225</v>
      </c>
      <c r="G28" s="1" t="str">
        <f>IFERROR(__xludf.DUMMYFUNCTION("SPLIT(C28, "", "")"),"Comedy")</f>
        <v>Comedy</v>
      </c>
      <c r="H28" s="5" t="str">
        <f>IFERROR(__xludf.DUMMYFUNCTION("""COMPUTED_VALUE"""),"Drama")</f>
        <v>Drama</v>
      </c>
      <c r="I28" s="5" t="str">
        <f>IFERROR(__xludf.DUMMYFUNCTION("""COMPUTED_VALUE"""),"Romance")</f>
        <v>Romance</v>
      </c>
      <c r="J28" s="5" t="str">
        <f>IFERROR(__xludf.DUMMYFUNCTION("""COMPUTED_VALUE"""),"9🤙🏼Inception🤙🏼Sci-Fi🤙🏼3")</f>
        <v>9🤙🏼Inception🤙🏼Sci-Fi🤙🏼3</v>
      </c>
      <c r="K28" s="5">
        <f>IFERROR(__xludf.DUMMYFUNCTION("SPLiT(J28, ""🤙🏼"",FALSE,FALSE)"),9.0)</f>
        <v>9</v>
      </c>
      <c r="L28" s="5" t="str">
        <f>IFERROR(__xludf.DUMMYFUNCTION("""COMPUTED_VALUE"""),"Inception")</f>
        <v>Inception</v>
      </c>
      <c r="M28" s="5" t="str">
        <f>IFERROR(__xludf.DUMMYFUNCTION("""COMPUTED_VALUE"""),"Sci-Fi")</f>
        <v>Sci-Fi</v>
      </c>
      <c r="N28" s="5">
        <f>IFERROR(__xludf.DUMMYFUNCTION("""COMPUTED_VALUE"""),3.0)</f>
        <v>3</v>
      </c>
      <c r="S28" s="5">
        <f>IFERROR(__xludf.DUMMYFUNCTION("""COMPUTED_VALUE"""),12.0)</f>
        <v>12</v>
      </c>
      <c r="T28" s="5" t="str">
        <f>IFERROR(__xludf.DUMMYFUNCTION("""COMPUTED_VALUE"""),"Forrest Gump")</f>
        <v>Forrest Gump</v>
      </c>
      <c r="U28" s="5" t="str">
        <f>IFERROR(__xludf.DUMMYFUNCTION("""COMPUTED_VALUE"""),"Romance")</f>
        <v>Romance</v>
      </c>
      <c r="V28" s="5">
        <f>IFERROR(__xludf.DUMMYFUNCTION("""COMPUTED_VALUE"""),2.0)</f>
        <v>2</v>
      </c>
    </row>
    <row r="29">
      <c r="A29" s="1">
        <v>28.0</v>
      </c>
      <c r="B29" s="1" t="s">
        <v>233</v>
      </c>
      <c r="C29" s="1" t="s">
        <v>235</v>
      </c>
      <c r="D29" s="1"/>
      <c r="E29" s="1">
        <v>28.0</v>
      </c>
      <c r="F29" s="1" t="s">
        <v>233</v>
      </c>
      <c r="G29" s="1" t="str">
        <f>IFERROR(__xludf.DUMMYFUNCTION("SPLIT(C29, "", "")"),"Crime")</f>
        <v>Crime</v>
      </c>
      <c r="H29" s="5" t="str">
        <f>IFERROR(__xludf.DUMMYFUNCTION("""COMPUTED_VALUE"""),"Drama")</f>
        <v>Drama</v>
      </c>
      <c r="I29" s="5" t="str">
        <f>IFERROR(__xludf.DUMMYFUNCTION("""COMPUTED_VALUE"""),"Mystery")</f>
        <v>Mystery</v>
      </c>
      <c r="J29" s="5" t="str">
        <f>IFERROR(__xludf.DUMMYFUNCTION("""COMPUTED_VALUE"""),"10🤙🏼Fight Club🤙🏼Drama🤙🏼1")</f>
        <v>10🤙🏼Fight Club🤙🏼Drama🤙🏼1</v>
      </c>
      <c r="K29" s="5">
        <f>IFERROR(__xludf.DUMMYFUNCTION("SPLiT(J29, ""🤙🏼"",FALSE,FALSE)"),10.0)</f>
        <v>10</v>
      </c>
      <c r="L29" s="5" t="str">
        <f>IFERROR(__xludf.DUMMYFUNCTION("""COMPUTED_VALUE"""),"Fight Club")</f>
        <v>Fight Club</v>
      </c>
      <c r="M29" s="5" t="str">
        <f>IFERROR(__xludf.DUMMYFUNCTION("""COMPUTED_VALUE"""),"Drama")</f>
        <v>Drama</v>
      </c>
      <c r="N29" s="5">
        <f>IFERROR(__xludf.DUMMYFUNCTION("""COMPUTED_VALUE"""),1.0)</f>
        <v>1</v>
      </c>
      <c r="S29" s="5">
        <f>IFERROR(__xludf.DUMMYFUNCTION("""COMPUTED_VALUE"""),13.0)</f>
        <v>13</v>
      </c>
      <c r="T29" s="5" t="str">
        <f>IFERROR(__xludf.DUMMYFUNCTION("""COMPUTED_VALUE"""),"Il buono, il brutto, il cattivo")</f>
        <v>Il buono, il brutto, il cattivo</v>
      </c>
      <c r="U29" s="5" t="str">
        <f>IFERROR(__xludf.DUMMYFUNCTION("""COMPUTED_VALUE"""),"Western")</f>
        <v>Western</v>
      </c>
      <c r="V29" s="5">
        <f>IFERROR(__xludf.DUMMYFUNCTION("""COMPUTED_VALUE"""),1.0)</f>
        <v>1</v>
      </c>
    </row>
    <row r="30">
      <c r="A30" s="1">
        <v>29.0</v>
      </c>
      <c r="B30" s="1" t="s">
        <v>239</v>
      </c>
      <c r="C30" s="1" t="s">
        <v>241</v>
      </c>
      <c r="D30" s="1"/>
      <c r="E30" s="1">
        <v>29.0</v>
      </c>
      <c r="F30" s="1" t="s">
        <v>239</v>
      </c>
      <c r="G30" s="1" t="str">
        <f>IFERROR(__xludf.DUMMYFUNCTION("SPLIT(C30, "", "")"),"Crime")</f>
        <v>Crime</v>
      </c>
      <c r="H30" s="5" t="str">
        <f>IFERROR(__xludf.DUMMYFUNCTION("""COMPUTED_VALUE"""),"Drama")</f>
        <v>Drama</v>
      </c>
      <c r="I30" s="5" t="str">
        <f>IFERROR(__xludf.DUMMYFUNCTION("""COMPUTED_VALUE"""),"Thriller")</f>
        <v>Thriller</v>
      </c>
      <c r="J30" s="5" t="str">
        <f>IFERROR(__xludf.DUMMYFUNCTION("""COMPUTED_VALUE"""),"10🤙🏼Fight Club🤙🏼🤙🏼2")</f>
        <v>10🤙🏼Fight Club🤙🏼🤙🏼2</v>
      </c>
      <c r="K30" s="5">
        <f>IFERROR(__xludf.DUMMYFUNCTION("SPLiT(J30, ""🤙🏼"",FALSE,FALSE)"),10.0)</f>
        <v>10</v>
      </c>
      <c r="L30" s="5" t="str">
        <f>IFERROR(__xludf.DUMMYFUNCTION("""COMPUTED_VALUE"""),"Fight Club")</f>
        <v>Fight Club</v>
      </c>
      <c r="M30" s="5"/>
      <c r="N30" s="5">
        <f>IFERROR(__xludf.DUMMYFUNCTION("""COMPUTED_VALUE"""),2.0)</f>
        <v>2</v>
      </c>
      <c r="S30" s="5">
        <f>IFERROR(__xludf.DUMMYFUNCTION("""COMPUTED_VALUE"""),14.0)</f>
        <v>14</v>
      </c>
      <c r="T30" s="5" t="str">
        <f>IFERROR(__xludf.DUMMYFUNCTION("""COMPUTED_VALUE"""),"The Lord of the Rings: The Two Towers")</f>
        <v>The Lord of the Rings: The Two Towers</v>
      </c>
      <c r="U30" s="5" t="str">
        <f>IFERROR(__xludf.DUMMYFUNCTION("""COMPUTED_VALUE"""),"Action")</f>
        <v>Action</v>
      </c>
      <c r="V30" s="5">
        <f>IFERROR(__xludf.DUMMYFUNCTION("""COMPUTED_VALUE"""),1.0)</f>
        <v>1</v>
      </c>
    </row>
    <row r="31">
      <c r="A31" s="1">
        <v>30.0</v>
      </c>
      <c r="B31" s="1" t="s">
        <v>248</v>
      </c>
      <c r="C31" s="1" t="s">
        <v>145</v>
      </c>
      <c r="D31" s="1"/>
      <c r="E31" s="1">
        <v>30.0</v>
      </c>
      <c r="F31" s="1" t="s">
        <v>248</v>
      </c>
      <c r="G31" s="1" t="str">
        <f>IFERROR(__xludf.DUMMYFUNCTION("SPLIT(C31, "", "")"),"Action")</f>
        <v>Action</v>
      </c>
      <c r="H31" s="5" t="str">
        <f>IFERROR(__xludf.DUMMYFUNCTION("""COMPUTED_VALUE"""),"Adventure")</f>
        <v>Adventure</v>
      </c>
      <c r="I31" s="5" t="str">
        <f>IFERROR(__xludf.DUMMYFUNCTION("""COMPUTED_VALUE"""),"Fantasy")</f>
        <v>Fantasy</v>
      </c>
      <c r="J31" s="5" t="str">
        <f>IFERROR(__xludf.DUMMYFUNCTION("""COMPUTED_VALUE"""),"10🤙🏼Fight Club🤙🏼🤙🏼3")</f>
        <v>10🤙🏼Fight Club🤙🏼🤙🏼3</v>
      </c>
      <c r="K31" s="5">
        <f>IFERROR(__xludf.DUMMYFUNCTION("SPLiT(J31, ""🤙🏼"",FALSE,FALSE)"),10.0)</f>
        <v>10</v>
      </c>
      <c r="L31" s="5" t="str">
        <f>IFERROR(__xludf.DUMMYFUNCTION("""COMPUTED_VALUE"""),"Fight Club")</f>
        <v>Fight Club</v>
      </c>
      <c r="M31" s="5"/>
      <c r="N31" s="5">
        <f>IFERROR(__xludf.DUMMYFUNCTION("""COMPUTED_VALUE"""),3.0)</f>
        <v>3</v>
      </c>
      <c r="S31" s="5">
        <f>IFERROR(__xludf.DUMMYFUNCTION("""COMPUTED_VALUE"""),14.0)</f>
        <v>14</v>
      </c>
      <c r="T31" s="5" t="str">
        <f>IFERROR(__xludf.DUMMYFUNCTION("""COMPUTED_VALUE"""),"The Lord of the Rings: The Two Towers")</f>
        <v>The Lord of the Rings: The Two Towers</v>
      </c>
      <c r="U31" s="5" t="str">
        <f>IFERROR(__xludf.DUMMYFUNCTION("""COMPUTED_VALUE"""),"Adventure")</f>
        <v>Adventure</v>
      </c>
      <c r="V31" s="5">
        <f>IFERROR(__xludf.DUMMYFUNCTION("""COMPUTED_VALUE"""),2.0)</f>
        <v>2</v>
      </c>
    </row>
    <row r="32">
      <c r="A32" s="1">
        <v>31.0</v>
      </c>
      <c r="B32" s="1" t="s">
        <v>253</v>
      </c>
      <c r="C32" s="1" t="s">
        <v>254</v>
      </c>
      <c r="D32" s="1"/>
      <c r="E32" s="1">
        <v>31.0</v>
      </c>
      <c r="F32" s="1" t="s">
        <v>253</v>
      </c>
      <c r="G32" s="1" t="str">
        <f>IFERROR(__xludf.DUMMYFUNCTION("SPLIT(C32, "", "")"),"Action")</f>
        <v>Action</v>
      </c>
      <c r="H32" s="5" t="str">
        <f>IFERROR(__xludf.DUMMYFUNCTION("""COMPUTED_VALUE"""),"Drama")</f>
        <v>Drama</v>
      </c>
      <c r="I32" s="5" t="str">
        <f>IFERROR(__xludf.DUMMYFUNCTION("""COMPUTED_VALUE"""),"Mystery")</f>
        <v>Mystery</v>
      </c>
      <c r="J32" s="5" t="str">
        <f>IFERROR(__xludf.DUMMYFUNCTION("""COMPUTED_VALUE"""),"11🤙🏼The Lord of the Rings: The Fellowship of the Ring🤙🏼Action🤙🏼1")</f>
        <v>11🤙🏼The Lord of the Rings: The Fellowship of the Ring🤙🏼Action🤙🏼1</v>
      </c>
      <c r="K32" s="5">
        <f>IFERROR(__xludf.DUMMYFUNCTION("SPLiT(J32, ""🤙🏼"",FALSE,FALSE)"),11.0)</f>
        <v>11</v>
      </c>
      <c r="L32" s="5" t="str">
        <f>IFERROR(__xludf.DUMMYFUNCTION("""COMPUTED_VALUE"""),"The Lord of the Rings: The Fellowship of the Ring")</f>
        <v>The Lord of the Rings: The Fellowship of the Ring</v>
      </c>
      <c r="M32" s="5" t="str">
        <f>IFERROR(__xludf.DUMMYFUNCTION("""COMPUTED_VALUE"""),"Action")</f>
        <v>Action</v>
      </c>
      <c r="N32" s="5">
        <f>IFERROR(__xludf.DUMMYFUNCTION("""COMPUTED_VALUE"""),1.0)</f>
        <v>1</v>
      </c>
      <c r="S32" s="5">
        <f>IFERROR(__xludf.DUMMYFUNCTION("""COMPUTED_VALUE"""),14.0)</f>
        <v>14</v>
      </c>
      <c r="T32" s="5" t="str">
        <f>IFERROR(__xludf.DUMMYFUNCTION("""COMPUTED_VALUE"""),"The Lord of the Rings: The Two Towers")</f>
        <v>The Lord of the Rings: The Two Towers</v>
      </c>
      <c r="U32" s="5" t="str">
        <f>IFERROR(__xludf.DUMMYFUNCTION("""COMPUTED_VALUE"""),"Drama")</f>
        <v>Drama</v>
      </c>
      <c r="V32" s="5">
        <f>IFERROR(__xludf.DUMMYFUNCTION("""COMPUTED_VALUE"""),3.0)</f>
        <v>3</v>
      </c>
    </row>
    <row r="33">
      <c r="A33" s="1">
        <v>32.0</v>
      </c>
      <c r="B33" s="1" t="s">
        <v>261</v>
      </c>
      <c r="C33" s="1" t="s">
        <v>62</v>
      </c>
      <c r="D33" s="1"/>
      <c r="E33" s="1">
        <v>32.0</v>
      </c>
      <c r="F33" s="1" t="s">
        <v>261</v>
      </c>
      <c r="G33" s="1" t="str">
        <f>IFERROR(__xludf.DUMMYFUNCTION("SPLIT(C33, "", "")"),"Action")</f>
        <v>Action</v>
      </c>
      <c r="H33" s="5" t="str">
        <f>IFERROR(__xludf.DUMMYFUNCTION("""COMPUTED_VALUE"""),"Adventure")</f>
        <v>Adventure</v>
      </c>
      <c r="I33" s="5" t="str">
        <f>IFERROR(__xludf.DUMMYFUNCTION("""COMPUTED_VALUE"""),"Drama")</f>
        <v>Drama</v>
      </c>
      <c r="J33" s="5" t="str">
        <f>IFERROR(__xludf.DUMMYFUNCTION("""COMPUTED_VALUE"""),"11🤙🏼The Lord of the Rings: The Fellowship of the Ring🤙🏼Adventure🤙🏼2")</f>
        <v>11🤙🏼The Lord of the Rings: The Fellowship of the Ring🤙🏼Adventure🤙🏼2</v>
      </c>
      <c r="K33" s="5">
        <f>IFERROR(__xludf.DUMMYFUNCTION("SPLiT(J33, ""🤙🏼"",FALSE,FALSE)"),11.0)</f>
        <v>11</v>
      </c>
      <c r="L33" s="5" t="str">
        <f>IFERROR(__xludf.DUMMYFUNCTION("""COMPUTED_VALUE"""),"The Lord of the Rings: The Fellowship of the Ring")</f>
        <v>The Lord of the Rings: The Fellowship of the Ring</v>
      </c>
      <c r="M33" s="5" t="str">
        <f>IFERROR(__xludf.DUMMYFUNCTION("""COMPUTED_VALUE"""),"Adventure")</f>
        <v>Adventure</v>
      </c>
      <c r="N33" s="5">
        <f>IFERROR(__xludf.DUMMYFUNCTION("""COMPUTED_VALUE"""),2.0)</f>
        <v>2</v>
      </c>
      <c r="S33" s="5">
        <f>IFERROR(__xludf.DUMMYFUNCTION("""COMPUTED_VALUE"""),15.0)</f>
        <v>15</v>
      </c>
      <c r="T33" s="5" t="str">
        <f>IFERROR(__xludf.DUMMYFUNCTION("""COMPUTED_VALUE"""),"The Matrix")</f>
        <v>The Matrix</v>
      </c>
      <c r="U33" s="5" t="str">
        <f>IFERROR(__xludf.DUMMYFUNCTION("""COMPUTED_VALUE"""),"Action")</f>
        <v>Action</v>
      </c>
      <c r="V33" s="5">
        <f>IFERROR(__xludf.DUMMYFUNCTION("""COMPUTED_VALUE"""),1.0)</f>
        <v>1</v>
      </c>
    </row>
    <row r="34">
      <c r="A34" s="1">
        <v>33.0</v>
      </c>
      <c r="B34" s="1" t="s">
        <v>269</v>
      </c>
      <c r="C34" s="1" t="s">
        <v>271</v>
      </c>
      <c r="D34" s="1"/>
      <c r="E34" s="1">
        <v>33.0</v>
      </c>
      <c r="F34" s="1" t="s">
        <v>269</v>
      </c>
      <c r="G34" s="1" t="str">
        <f>IFERROR(__xludf.DUMMYFUNCTION("SPLIT(C34, "", "")"),"Drama")</f>
        <v>Drama</v>
      </c>
      <c r="H34" s="5" t="str">
        <f>IFERROR(__xludf.DUMMYFUNCTION("""COMPUTED_VALUE"""),"Family")</f>
        <v>Family</v>
      </c>
      <c r="I34" s="5" t="str">
        <f>IFERROR(__xludf.DUMMYFUNCTION("""COMPUTED_VALUE"""),"Fantasy")</f>
        <v>Fantasy</v>
      </c>
      <c r="J34" s="5" t="str">
        <f>IFERROR(__xludf.DUMMYFUNCTION("""COMPUTED_VALUE"""),"11🤙🏼The Lord of the Rings: The Fellowship of the Ring🤙🏼Drama🤙🏼3")</f>
        <v>11🤙🏼The Lord of the Rings: The Fellowship of the Ring🤙🏼Drama🤙🏼3</v>
      </c>
      <c r="K34" s="5">
        <f>IFERROR(__xludf.DUMMYFUNCTION("SPLiT(J34, ""🤙🏼"",FALSE,FALSE)"),11.0)</f>
        <v>11</v>
      </c>
      <c r="L34" s="5" t="str">
        <f>IFERROR(__xludf.DUMMYFUNCTION("""COMPUTED_VALUE"""),"The Lord of the Rings: The Fellowship of the Ring")</f>
        <v>The Lord of the Rings: The Fellowship of the Ring</v>
      </c>
      <c r="M34" s="5" t="str">
        <f>IFERROR(__xludf.DUMMYFUNCTION("""COMPUTED_VALUE"""),"Drama")</f>
        <v>Drama</v>
      </c>
      <c r="N34" s="5">
        <f>IFERROR(__xludf.DUMMYFUNCTION("""COMPUTED_VALUE"""),3.0)</f>
        <v>3</v>
      </c>
      <c r="S34" s="5">
        <f>IFERROR(__xludf.DUMMYFUNCTION("""COMPUTED_VALUE"""),15.0)</f>
        <v>15</v>
      </c>
      <c r="T34" s="5" t="str">
        <f>IFERROR(__xludf.DUMMYFUNCTION("""COMPUTED_VALUE"""),"The Matrix")</f>
        <v>The Matrix</v>
      </c>
      <c r="U34" s="5" t="str">
        <f>IFERROR(__xludf.DUMMYFUNCTION("""COMPUTED_VALUE"""),"Sci-Fi")</f>
        <v>Sci-Fi</v>
      </c>
      <c r="V34" s="5">
        <f>IFERROR(__xludf.DUMMYFUNCTION("""COMPUTED_VALUE"""),2.0)</f>
        <v>2</v>
      </c>
    </row>
    <row r="35">
      <c r="A35" s="1">
        <v>34.0</v>
      </c>
      <c r="B35" s="1" t="s">
        <v>278</v>
      </c>
      <c r="C35" s="1" t="s">
        <v>241</v>
      </c>
      <c r="D35" s="1"/>
      <c r="E35" s="1">
        <v>34.0</v>
      </c>
      <c r="F35" s="1" t="s">
        <v>278</v>
      </c>
      <c r="G35" s="1" t="str">
        <f>IFERROR(__xludf.DUMMYFUNCTION("SPLIT(C35, "", "")"),"Crime")</f>
        <v>Crime</v>
      </c>
      <c r="H35" s="5" t="str">
        <f>IFERROR(__xludf.DUMMYFUNCTION("""COMPUTED_VALUE"""),"Drama")</f>
        <v>Drama</v>
      </c>
      <c r="I35" s="5" t="str">
        <f>IFERROR(__xludf.DUMMYFUNCTION("""COMPUTED_VALUE"""),"Thriller")</f>
        <v>Thriller</v>
      </c>
      <c r="J35" s="5" t="str">
        <f>IFERROR(__xludf.DUMMYFUNCTION("""COMPUTED_VALUE"""),"12🤙🏼Forrest Gump🤙🏼Drama🤙🏼1")</f>
        <v>12🤙🏼Forrest Gump🤙🏼Drama🤙🏼1</v>
      </c>
      <c r="K35" s="5">
        <f>IFERROR(__xludf.DUMMYFUNCTION("SPLiT(J35, ""🤙🏼"",FALSE,FALSE)"),12.0)</f>
        <v>12</v>
      </c>
      <c r="L35" s="5" t="str">
        <f>IFERROR(__xludf.DUMMYFUNCTION("""COMPUTED_VALUE"""),"Forrest Gump")</f>
        <v>Forrest Gump</v>
      </c>
      <c r="M35" s="5" t="str">
        <f>IFERROR(__xludf.DUMMYFUNCTION("""COMPUTED_VALUE"""),"Drama")</f>
        <v>Drama</v>
      </c>
      <c r="N35" s="5">
        <f>IFERROR(__xludf.DUMMYFUNCTION("""COMPUTED_VALUE"""),1.0)</f>
        <v>1</v>
      </c>
      <c r="S35" s="5">
        <f>IFERROR(__xludf.DUMMYFUNCTION("""COMPUTED_VALUE"""),16.0)</f>
        <v>16</v>
      </c>
      <c r="T35" s="5" t="str">
        <f>IFERROR(__xludf.DUMMYFUNCTION("""COMPUTED_VALUE"""),"Goodfellas")</f>
        <v>Goodfellas</v>
      </c>
      <c r="U35" s="5" t="str">
        <f>IFERROR(__xludf.DUMMYFUNCTION("""COMPUTED_VALUE"""),"Biography")</f>
        <v>Biography</v>
      </c>
      <c r="V35" s="5">
        <f>IFERROR(__xludf.DUMMYFUNCTION("""COMPUTED_VALUE"""),1.0)</f>
        <v>1</v>
      </c>
    </row>
    <row r="36">
      <c r="A36" s="1">
        <v>35.0</v>
      </c>
      <c r="B36" s="1" t="s">
        <v>285</v>
      </c>
      <c r="C36" s="1" t="s">
        <v>287</v>
      </c>
      <c r="D36" s="1"/>
      <c r="E36" s="1">
        <v>35.0</v>
      </c>
      <c r="F36" s="1" t="s">
        <v>285</v>
      </c>
      <c r="G36" s="1" t="str">
        <f>IFERROR(__xludf.DUMMYFUNCTION("SPLIT(C36, "", "")"),"Drama")</f>
        <v>Drama</v>
      </c>
      <c r="H36" s="5" t="str">
        <f>IFERROR(__xludf.DUMMYFUNCTION("""COMPUTED_VALUE"""),"Music")</f>
        <v>Music</v>
      </c>
      <c r="J36" s="5" t="str">
        <f>IFERROR(__xludf.DUMMYFUNCTION("""COMPUTED_VALUE"""),"12🤙🏼Forrest Gump🤙🏼Romance🤙🏼2")</f>
        <v>12🤙🏼Forrest Gump🤙🏼Romance🤙🏼2</v>
      </c>
      <c r="K36" s="5">
        <f>IFERROR(__xludf.DUMMYFUNCTION("SPLiT(J36, ""🤙🏼"",FALSE,FALSE)"),12.0)</f>
        <v>12</v>
      </c>
      <c r="L36" s="5" t="str">
        <f>IFERROR(__xludf.DUMMYFUNCTION("""COMPUTED_VALUE"""),"Forrest Gump")</f>
        <v>Forrest Gump</v>
      </c>
      <c r="M36" s="5" t="str">
        <f>IFERROR(__xludf.DUMMYFUNCTION("""COMPUTED_VALUE"""),"Romance")</f>
        <v>Romance</v>
      </c>
      <c r="N36" s="5">
        <f>IFERROR(__xludf.DUMMYFUNCTION("""COMPUTED_VALUE"""),2.0)</f>
        <v>2</v>
      </c>
      <c r="S36" s="5">
        <f>IFERROR(__xludf.DUMMYFUNCTION("""COMPUTED_VALUE"""),16.0)</f>
        <v>16</v>
      </c>
      <c r="T36" s="5" t="str">
        <f>IFERROR(__xludf.DUMMYFUNCTION("""COMPUTED_VALUE"""),"Goodfellas")</f>
        <v>Goodfellas</v>
      </c>
      <c r="U36" s="5" t="str">
        <f>IFERROR(__xludf.DUMMYFUNCTION("""COMPUTED_VALUE"""),"Crime")</f>
        <v>Crime</v>
      </c>
      <c r="V36" s="5">
        <f>IFERROR(__xludf.DUMMYFUNCTION("""COMPUTED_VALUE"""),2.0)</f>
        <v>2</v>
      </c>
    </row>
    <row r="37">
      <c r="A37" s="1">
        <v>36.0</v>
      </c>
      <c r="B37" s="1" t="s">
        <v>294</v>
      </c>
      <c r="C37" s="1" t="s">
        <v>296</v>
      </c>
      <c r="D37" s="1"/>
      <c r="E37" s="1">
        <v>36.0</v>
      </c>
      <c r="F37" s="1" t="s">
        <v>294</v>
      </c>
      <c r="G37" s="1" t="str">
        <f>IFERROR(__xludf.DUMMYFUNCTION("SPLIT(C37, "", "")"),"Biography")</f>
        <v>Biography</v>
      </c>
      <c r="H37" s="5" t="str">
        <f>IFERROR(__xludf.DUMMYFUNCTION("""COMPUTED_VALUE"""),"Comedy")</f>
        <v>Comedy</v>
      </c>
      <c r="I37" s="5" t="str">
        <f>IFERROR(__xludf.DUMMYFUNCTION("""COMPUTED_VALUE"""),"Drama")</f>
        <v>Drama</v>
      </c>
      <c r="J37" s="5" t="str">
        <f>IFERROR(__xludf.DUMMYFUNCTION("""COMPUTED_VALUE"""),"12🤙🏼Forrest Gump🤙🏼🤙🏼3")</f>
        <v>12🤙🏼Forrest Gump🤙🏼🤙🏼3</v>
      </c>
      <c r="K37" s="5">
        <f>IFERROR(__xludf.DUMMYFUNCTION("SPLiT(J37, ""🤙🏼"",FALSE,FALSE)"),12.0)</f>
        <v>12</v>
      </c>
      <c r="L37" s="5" t="str">
        <f>IFERROR(__xludf.DUMMYFUNCTION("""COMPUTED_VALUE"""),"Forrest Gump")</f>
        <v>Forrest Gump</v>
      </c>
      <c r="M37" s="5"/>
      <c r="N37" s="5">
        <f>IFERROR(__xludf.DUMMYFUNCTION("""COMPUTED_VALUE"""),3.0)</f>
        <v>3</v>
      </c>
      <c r="S37" s="5">
        <f>IFERROR(__xludf.DUMMYFUNCTION("""COMPUTED_VALUE"""),16.0)</f>
        <v>16</v>
      </c>
      <c r="T37" s="5" t="str">
        <f>IFERROR(__xludf.DUMMYFUNCTION("""COMPUTED_VALUE"""),"Goodfellas")</f>
        <v>Goodfellas</v>
      </c>
      <c r="U37" s="5" t="str">
        <f>IFERROR(__xludf.DUMMYFUNCTION("""COMPUTED_VALUE"""),"Drama")</f>
        <v>Drama</v>
      </c>
      <c r="V37" s="5">
        <f>IFERROR(__xludf.DUMMYFUNCTION("""COMPUTED_VALUE"""),3.0)</f>
        <v>3</v>
      </c>
    </row>
    <row r="38">
      <c r="A38" s="1">
        <v>37.0</v>
      </c>
      <c r="B38" s="1" t="s">
        <v>303</v>
      </c>
      <c r="C38" s="1" t="s">
        <v>304</v>
      </c>
      <c r="D38" s="1"/>
      <c r="E38" s="1">
        <v>37.0</v>
      </c>
      <c r="F38" s="1" t="s">
        <v>303</v>
      </c>
      <c r="G38" s="1" t="str">
        <f>IFERROR(__xludf.DUMMYFUNCTION("SPLIT(C38, "", "")"),"Drama")</f>
        <v>Drama</v>
      </c>
      <c r="H38" s="5" t="str">
        <f>IFERROR(__xludf.DUMMYFUNCTION("""COMPUTED_VALUE"""),"Mystery")</f>
        <v>Mystery</v>
      </c>
      <c r="I38" s="5" t="str">
        <f>IFERROR(__xludf.DUMMYFUNCTION("""COMPUTED_VALUE"""),"Sci-Fi")</f>
        <v>Sci-Fi</v>
      </c>
      <c r="J38" s="5" t="str">
        <f>IFERROR(__xludf.DUMMYFUNCTION("""COMPUTED_VALUE"""),"13🤙🏼Il buono, il brutto, il cattivo🤙🏼Western🤙🏼1")</f>
        <v>13🤙🏼Il buono, il brutto, il cattivo🤙🏼Western🤙🏼1</v>
      </c>
      <c r="K38" s="5">
        <f>IFERROR(__xludf.DUMMYFUNCTION("SPLiT(J38, ""🤙🏼"",FALSE,FALSE)"),13.0)</f>
        <v>13</v>
      </c>
      <c r="L38" s="5" t="str">
        <f>IFERROR(__xludf.DUMMYFUNCTION("""COMPUTED_VALUE"""),"Il buono, il brutto, il cattivo")</f>
        <v>Il buono, il brutto, il cattivo</v>
      </c>
      <c r="M38" s="5" t="str">
        <f>IFERROR(__xludf.DUMMYFUNCTION("""COMPUTED_VALUE"""),"Western")</f>
        <v>Western</v>
      </c>
      <c r="N38" s="5">
        <f>IFERROR(__xludf.DUMMYFUNCTION("""COMPUTED_VALUE"""),1.0)</f>
        <v>1</v>
      </c>
      <c r="S38" s="5">
        <f>IFERROR(__xludf.DUMMYFUNCTION("""COMPUTED_VALUE"""),17.0)</f>
        <v>17</v>
      </c>
      <c r="T38" s="5" t="str">
        <f>IFERROR(__xludf.DUMMYFUNCTION("""COMPUTED_VALUE"""),"Star Wars: Episode V - The Empire Strikes Back")</f>
        <v>Star Wars: Episode V - The Empire Strikes Back</v>
      </c>
      <c r="U38" s="5" t="str">
        <f>IFERROR(__xludf.DUMMYFUNCTION("""COMPUTED_VALUE"""),"Action")</f>
        <v>Action</v>
      </c>
      <c r="V38" s="5">
        <f>IFERROR(__xludf.DUMMYFUNCTION("""COMPUTED_VALUE"""),1.0)</f>
        <v>1</v>
      </c>
    </row>
    <row r="39">
      <c r="A39" s="1">
        <v>38.0</v>
      </c>
      <c r="B39" s="1" t="s">
        <v>308</v>
      </c>
      <c r="C39" s="1" t="s">
        <v>241</v>
      </c>
      <c r="D39" s="1"/>
      <c r="E39" s="1">
        <v>38.0</v>
      </c>
      <c r="F39" s="1" t="s">
        <v>308</v>
      </c>
      <c r="G39" s="1" t="str">
        <f>IFERROR(__xludf.DUMMYFUNCTION("SPLIT(C39, "", "")"),"Crime")</f>
        <v>Crime</v>
      </c>
      <c r="H39" s="5" t="str">
        <f>IFERROR(__xludf.DUMMYFUNCTION("""COMPUTED_VALUE"""),"Drama")</f>
        <v>Drama</v>
      </c>
      <c r="I39" s="5" t="str">
        <f>IFERROR(__xludf.DUMMYFUNCTION("""COMPUTED_VALUE"""),"Thriller")</f>
        <v>Thriller</v>
      </c>
      <c r="J39" s="5" t="str">
        <f>IFERROR(__xludf.DUMMYFUNCTION("""COMPUTED_VALUE"""),"13🤙🏼Il buono, il brutto, il cattivo🤙🏼🤙🏼2")</f>
        <v>13🤙🏼Il buono, il brutto, il cattivo🤙🏼🤙🏼2</v>
      </c>
      <c r="K39" s="5">
        <f>IFERROR(__xludf.DUMMYFUNCTION("SPLiT(J39, ""🤙🏼"",FALSE,FALSE)"),13.0)</f>
        <v>13</v>
      </c>
      <c r="L39" s="5" t="str">
        <f>IFERROR(__xludf.DUMMYFUNCTION("""COMPUTED_VALUE"""),"Il buono, il brutto, il cattivo")</f>
        <v>Il buono, il brutto, il cattivo</v>
      </c>
      <c r="M39" s="5"/>
      <c r="N39" s="5">
        <f>IFERROR(__xludf.DUMMYFUNCTION("""COMPUTED_VALUE"""),2.0)</f>
        <v>2</v>
      </c>
      <c r="S39" s="5">
        <f>IFERROR(__xludf.DUMMYFUNCTION("""COMPUTED_VALUE"""),17.0)</f>
        <v>17</v>
      </c>
      <c r="T39" s="5" t="str">
        <f>IFERROR(__xludf.DUMMYFUNCTION("""COMPUTED_VALUE"""),"Star Wars: Episode V - The Empire Strikes Back")</f>
        <v>Star Wars: Episode V - The Empire Strikes Back</v>
      </c>
      <c r="U39" s="5" t="str">
        <f>IFERROR(__xludf.DUMMYFUNCTION("""COMPUTED_VALUE"""),"Adventure")</f>
        <v>Adventure</v>
      </c>
      <c r="V39" s="5">
        <f>IFERROR(__xludf.DUMMYFUNCTION("""COMPUTED_VALUE"""),2.0)</f>
        <v>2</v>
      </c>
    </row>
    <row r="40">
      <c r="A40" s="1">
        <v>39.0</v>
      </c>
      <c r="B40" s="1" t="s">
        <v>312</v>
      </c>
      <c r="C40" s="1" t="s">
        <v>314</v>
      </c>
      <c r="D40" s="1"/>
      <c r="E40" s="1">
        <v>39.0</v>
      </c>
      <c r="F40" s="1" t="s">
        <v>312</v>
      </c>
      <c r="G40" s="1" t="str">
        <f>IFERROR(__xludf.DUMMYFUNCTION("SPLIT(C40, "", "")"),"Biography")</f>
        <v>Biography</v>
      </c>
      <c r="H40" s="5" t="str">
        <f>IFERROR(__xludf.DUMMYFUNCTION("""COMPUTED_VALUE"""),"Drama")</f>
        <v>Drama</v>
      </c>
      <c r="I40" s="5" t="str">
        <f>IFERROR(__xludf.DUMMYFUNCTION("""COMPUTED_VALUE"""),"Music")</f>
        <v>Music</v>
      </c>
      <c r="J40" s="5" t="str">
        <f>IFERROR(__xludf.DUMMYFUNCTION("""COMPUTED_VALUE"""),"13🤙🏼Il buono, il brutto, il cattivo🤙🏼🤙🏼3")</f>
        <v>13🤙🏼Il buono, il brutto, il cattivo🤙🏼🤙🏼3</v>
      </c>
      <c r="K40" s="5">
        <f>IFERROR(__xludf.DUMMYFUNCTION("SPLiT(J40, ""🤙🏼"",FALSE,FALSE)"),13.0)</f>
        <v>13</v>
      </c>
      <c r="L40" s="5" t="str">
        <f>IFERROR(__xludf.DUMMYFUNCTION("""COMPUTED_VALUE"""),"Il buono, il brutto, il cattivo")</f>
        <v>Il buono, il brutto, il cattivo</v>
      </c>
      <c r="M40" s="5"/>
      <c r="N40" s="5">
        <f>IFERROR(__xludf.DUMMYFUNCTION("""COMPUTED_VALUE"""),3.0)</f>
        <v>3</v>
      </c>
      <c r="S40" s="5">
        <f>IFERROR(__xludf.DUMMYFUNCTION("""COMPUTED_VALUE"""),17.0)</f>
        <v>17</v>
      </c>
      <c r="T40" s="5" t="str">
        <f>IFERROR(__xludf.DUMMYFUNCTION("""COMPUTED_VALUE"""),"Star Wars: Episode V - The Empire Strikes Back")</f>
        <v>Star Wars: Episode V - The Empire Strikes Back</v>
      </c>
      <c r="U40" s="5" t="str">
        <f>IFERROR(__xludf.DUMMYFUNCTION("""COMPUTED_VALUE"""),"Fantasy")</f>
        <v>Fantasy</v>
      </c>
      <c r="V40" s="5">
        <f>IFERROR(__xludf.DUMMYFUNCTION("""COMPUTED_VALUE"""),3.0)</f>
        <v>3</v>
      </c>
    </row>
    <row r="41">
      <c r="A41" s="1">
        <v>40.0</v>
      </c>
      <c r="B41" s="1" t="s">
        <v>321</v>
      </c>
      <c r="C41" s="1" t="s">
        <v>62</v>
      </c>
      <c r="D41" s="1"/>
      <c r="E41" s="1">
        <v>40.0</v>
      </c>
      <c r="F41" s="1" t="s">
        <v>321</v>
      </c>
      <c r="G41" s="1" t="str">
        <f>IFERROR(__xludf.DUMMYFUNCTION("SPLIT(C41, "", "")"),"Action")</f>
        <v>Action</v>
      </c>
      <c r="H41" s="5" t="str">
        <f>IFERROR(__xludf.DUMMYFUNCTION("""COMPUTED_VALUE"""),"Adventure")</f>
        <v>Adventure</v>
      </c>
      <c r="I41" s="5" t="str">
        <f>IFERROR(__xludf.DUMMYFUNCTION("""COMPUTED_VALUE"""),"Drama")</f>
        <v>Drama</v>
      </c>
      <c r="J41" s="5" t="str">
        <f>IFERROR(__xludf.DUMMYFUNCTION("""COMPUTED_VALUE"""),"14🤙🏼The Lord of the Rings: The Two Towers🤙🏼Action🤙🏼1")</f>
        <v>14🤙🏼The Lord of the Rings: The Two Towers🤙🏼Action🤙🏼1</v>
      </c>
      <c r="K41" s="5">
        <f>IFERROR(__xludf.DUMMYFUNCTION("SPLiT(J41, ""🤙🏼"",FALSE,FALSE)"),14.0)</f>
        <v>14</v>
      </c>
      <c r="L41" s="5" t="str">
        <f>IFERROR(__xludf.DUMMYFUNCTION("""COMPUTED_VALUE"""),"The Lord of the Rings: The Two Towers")</f>
        <v>The Lord of the Rings: The Two Towers</v>
      </c>
      <c r="M41" s="5" t="str">
        <f>IFERROR(__xludf.DUMMYFUNCTION("""COMPUTED_VALUE"""),"Action")</f>
        <v>Action</v>
      </c>
      <c r="N41" s="5">
        <f>IFERROR(__xludf.DUMMYFUNCTION("""COMPUTED_VALUE"""),1.0)</f>
        <v>1</v>
      </c>
      <c r="S41" s="5">
        <f>IFERROR(__xludf.DUMMYFUNCTION("""COMPUTED_VALUE"""),18.0)</f>
        <v>18</v>
      </c>
      <c r="T41" s="5" t="str">
        <f>IFERROR(__xludf.DUMMYFUNCTION("""COMPUTED_VALUE"""),"One Flew Over the Cuckoo's Nest")</f>
        <v>One Flew Over the Cuckoo's Nest</v>
      </c>
      <c r="U41" s="5" t="str">
        <f>IFERROR(__xludf.DUMMYFUNCTION("""COMPUTED_VALUE"""),"Drama")</f>
        <v>Drama</v>
      </c>
      <c r="V41" s="5">
        <f>IFERROR(__xludf.DUMMYFUNCTION("""COMPUTED_VALUE"""),1.0)</f>
        <v>1</v>
      </c>
    </row>
    <row r="42">
      <c r="A42" s="1">
        <v>41.0</v>
      </c>
      <c r="B42" s="1" t="s">
        <v>328</v>
      </c>
      <c r="C42" s="1" t="s">
        <v>20</v>
      </c>
      <c r="D42" s="1"/>
      <c r="E42" s="1">
        <v>41.0</v>
      </c>
      <c r="F42" s="1" t="s">
        <v>328</v>
      </c>
      <c r="G42" s="1" t="str">
        <f>IFERROR(__xludf.DUMMYFUNCTION("SPLIT(C42, "", "")"),"Drama")</f>
        <v>Drama</v>
      </c>
      <c r="J42" s="5" t="str">
        <f>IFERROR(__xludf.DUMMYFUNCTION("""COMPUTED_VALUE"""),"14🤙🏼The Lord of the Rings: The Two Towers🤙🏼Adventure🤙🏼2")</f>
        <v>14🤙🏼The Lord of the Rings: The Two Towers🤙🏼Adventure🤙🏼2</v>
      </c>
      <c r="K42" s="5">
        <f>IFERROR(__xludf.DUMMYFUNCTION("SPLiT(J42, ""🤙🏼"",FALSE,FALSE)"),14.0)</f>
        <v>14</v>
      </c>
      <c r="L42" s="5" t="str">
        <f>IFERROR(__xludf.DUMMYFUNCTION("""COMPUTED_VALUE"""),"The Lord of the Rings: The Two Towers")</f>
        <v>The Lord of the Rings: The Two Towers</v>
      </c>
      <c r="M42" s="5" t="str">
        <f>IFERROR(__xludf.DUMMYFUNCTION("""COMPUTED_VALUE"""),"Adventure")</f>
        <v>Adventure</v>
      </c>
      <c r="N42" s="5">
        <f>IFERROR(__xludf.DUMMYFUNCTION("""COMPUTED_VALUE"""),2.0)</f>
        <v>2</v>
      </c>
      <c r="S42" s="5">
        <f>IFERROR(__xludf.DUMMYFUNCTION("""COMPUTED_VALUE"""),19.0)</f>
        <v>19</v>
      </c>
      <c r="T42" s="5" t="str">
        <f>IFERROR(__xludf.DUMMYFUNCTION("""COMPUTED_VALUE"""),"Hamilton")</f>
        <v>Hamilton</v>
      </c>
      <c r="U42" s="5" t="str">
        <f>IFERROR(__xludf.DUMMYFUNCTION("""COMPUTED_VALUE"""),"Biography")</f>
        <v>Biography</v>
      </c>
      <c r="V42" s="5">
        <f>IFERROR(__xludf.DUMMYFUNCTION("""COMPUTED_VALUE"""),1.0)</f>
        <v>1</v>
      </c>
    </row>
    <row r="43">
      <c r="A43" s="1">
        <v>42.0</v>
      </c>
      <c r="B43" s="1" t="s">
        <v>335</v>
      </c>
      <c r="C43" s="1" t="s">
        <v>336</v>
      </c>
      <c r="D43" s="1"/>
      <c r="E43" s="1">
        <v>42.0</v>
      </c>
      <c r="F43" s="1" t="s">
        <v>335</v>
      </c>
      <c r="G43" s="1" t="str">
        <f>IFERROR(__xludf.DUMMYFUNCTION("SPLIT(C43, "", "")"),"Crime")</f>
        <v>Crime</v>
      </c>
      <c r="H43" s="5" t="str">
        <f>IFERROR(__xludf.DUMMYFUNCTION("""COMPUTED_VALUE"""),"Mystery")</f>
        <v>Mystery</v>
      </c>
      <c r="I43" s="5" t="str">
        <f>IFERROR(__xludf.DUMMYFUNCTION("""COMPUTED_VALUE"""),"Thriller")</f>
        <v>Thriller</v>
      </c>
      <c r="J43" s="5" t="str">
        <f>IFERROR(__xludf.DUMMYFUNCTION("""COMPUTED_VALUE"""),"14🤙🏼The Lord of the Rings: The Two Towers🤙🏼Drama🤙🏼3")</f>
        <v>14🤙🏼The Lord of the Rings: The Two Towers🤙🏼Drama🤙🏼3</v>
      </c>
      <c r="K43" s="5">
        <f>IFERROR(__xludf.DUMMYFUNCTION("SPLiT(J43, ""🤙🏼"",FALSE,FALSE)"),14.0)</f>
        <v>14</v>
      </c>
      <c r="L43" s="5" t="str">
        <f>IFERROR(__xludf.DUMMYFUNCTION("""COMPUTED_VALUE"""),"The Lord of the Rings: The Two Towers")</f>
        <v>The Lord of the Rings: The Two Towers</v>
      </c>
      <c r="M43" s="5" t="str">
        <f>IFERROR(__xludf.DUMMYFUNCTION("""COMPUTED_VALUE"""),"Drama")</f>
        <v>Drama</v>
      </c>
      <c r="N43" s="5">
        <f>IFERROR(__xludf.DUMMYFUNCTION("""COMPUTED_VALUE"""),3.0)</f>
        <v>3</v>
      </c>
      <c r="S43" s="5">
        <f>IFERROR(__xludf.DUMMYFUNCTION("""COMPUTED_VALUE"""),19.0)</f>
        <v>19</v>
      </c>
      <c r="T43" s="5" t="str">
        <f>IFERROR(__xludf.DUMMYFUNCTION("""COMPUTED_VALUE"""),"Hamilton")</f>
        <v>Hamilton</v>
      </c>
      <c r="U43" s="5" t="str">
        <f>IFERROR(__xludf.DUMMYFUNCTION("""COMPUTED_VALUE"""),"Drama")</f>
        <v>Drama</v>
      </c>
      <c r="V43" s="5">
        <f>IFERROR(__xludf.DUMMYFUNCTION("""COMPUTED_VALUE"""),2.0)</f>
        <v>2</v>
      </c>
    </row>
    <row r="44">
      <c r="A44" s="1">
        <v>43.0</v>
      </c>
      <c r="B44" s="1" t="s">
        <v>342</v>
      </c>
      <c r="C44" s="1" t="s">
        <v>39</v>
      </c>
      <c r="D44" s="1"/>
      <c r="E44" s="1">
        <v>43.0</v>
      </c>
      <c r="F44" s="1" t="s">
        <v>342</v>
      </c>
      <c r="G44" s="1" t="str">
        <f>IFERROR(__xludf.DUMMYFUNCTION("SPLIT(C44, "", "")"),"Action")</f>
        <v>Action</v>
      </c>
      <c r="H44" s="5" t="str">
        <f>IFERROR(__xludf.DUMMYFUNCTION("""COMPUTED_VALUE"""),"Crime")</f>
        <v>Crime</v>
      </c>
      <c r="I44" s="5" t="str">
        <f>IFERROR(__xludf.DUMMYFUNCTION("""COMPUTED_VALUE"""),"Drama")</f>
        <v>Drama</v>
      </c>
      <c r="J44" s="5" t="str">
        <f>IFERROR(__xludf.DUMMYFUNCTION("""COMPUTED_VALUE"""),"15🤙🏼The Matrix🤙🏼Action🤙🏼1")</f>
        <v>15🤙🏼The Matrix🤙🏼Action🤙🏼1</v>
      </c>
      <c r="K44" s="5">
        <f>IFERROR(__xludf.DUMMYFUNCTION("SPLiT(J44, ""🤙🏼"",FALSE,FALSE)"),15.0)</f>
        <v>15</v>
      </c>
      <c r="L44" s="5" t="str">
        <f>IFERROR(__xludf.DUMMYFUNCTION("""COMPUTED_VALUE"""),"The Matrix")</f>
        <v>The Matrix</v>
      </c>
      <c r="M44" s="5" t="str">
        <f>IFERROR(__xludf.DUMMYFUNCTION("""COMPUTED_VALUE"""),"Action")</f>
        <v>Action</v>
      </c>
      <c r="N44" s="5">
        <f>IFERROR(__xludf.DUMMYFUNCTION("""COMPUTED_VALUE"""),1.0)</f>
        <v>1</v>
      </c>
      <c r="S44" s="5">
        <f>IFERROR(__xludf.DUMMYFUNCTION("""COMPUTED_VALUE"""),19.0)</f>
        <v>19</v>
      </c>
      <c r="T44" s="5" t="str">
        <f>IFERROR(__xludf.DUMMYFUNCTION("""COMPUTED_VALUE"""),"Hamilton")</f>
        <v>Hamilton</v>
      </c>
      <c r="U44" s="5" t="str">
        <f>IFERROR(__xludf.DUMMYFUNCTION("""COMPUTED_VALUE"""),"History")</f>
        <v>History</v>
      </c>
      <c r="V44" s="5">
        <f>IFERROR(__xludf.DUMMYFUNCTION("""COMPUTED_VALUE"""),3.0)</f>
        <v>3</v>
      </c>
    </row>
    <row r="45">
      <c r="A45" s="1">
        <v>44.0</v>
      </c>
      <c r="B45" s="1" t="s">
        <v>350</v>
      </c>
      <c r="C45" s="1" t="s">
        <v>352</v>
      </c>
      <c r="D45" s="1"/>
      <c r="E45" s="1">
        <v>44.0</v>
      </c>
      <c r="F45" s="1" t="s">
        <v>350</v>
      </c>
      <c r="G45" s="1" t="str">
        <f>IFERROR(__xludf.DUMMYFUNCTION("SPLIT(C45, "", "")"),"Animation")</f>
        <v>Animation</v>
      </c>
      <c r="H45" s="5" t="str">
        <f>IFERROR(__xludf.DUMMYFUNCTION("""COMPUTED_VALUE"""),"Adventure")</f>
        <v>Adventure</v>
      </c>
      <c r="I45" s="5" t="str">
        <f>IFERROR(__xludf.DUMMYFUNCTION("""COMPUTED_VALUE"""),"Drama")</f>
        <v>Drama</v>
      </c>
      <c r="J45" s="5" t="str">
        <f>IFERROR(__xludf.DUMMYFUNCTION("""COMPUTED_VALUE"""),"15🤙🏼The Matrix🤙🏼Sci-Fi🤙🏼2")</f>
        <v>15🤙🏼The Matrix🤙🏼Sci-Fi🤙🏼2</v>
      </c>
      <c r="K45" s="5">
        <f>IFERROR(__xludf.DUMMYFUNCTION("SPLiT(J45, ""🤙🏼"",FALSE,FALSE)"),15.0)</f>
        <v>15</v>
      </c>
      <c r="L45" s="5" t="str">
        <f>IFERROR(__xludf.DUMMYFUNCTION("""COMPUTED_VALUE"""),"The Matrix")</f>
        <v>The Matrix</v>
      </c>
      <c r="M45" s="5" t="str">
        <f>IFERROR(__xludf.DUMMYFUNCTION("""COMPUTED_VALUE"""),"Sci-Fi")</f>
        <v>Sci-Fi</v>
      </c>
      <c r="N45" s="5">
        <f>IFERROR(__xludf.DUMMYFUNCTION("""COMPUTED_VALUE"""),2.0)</f>
        <v>2</v>
      </c>
      <c r="S45" s="5">
        <f>IFERROR(__xludf.DUMMYFUNCTION("""COMPUTED_VALUE"""),20.0)</f>
        <v>20</v>
      </c>
      <c r="T45" s="5" t="str">
        <f>IFERROR(__xludf.DUMMYFUNCTION("""COMPUTED_VALUE"""),"Gisaengchung")</f>
        <v>Gisaengchung</v>
      </c>
      <c r="U45" s="5" t="str">
        <f>IFERROR(__xludf.DUMMYFUNCTION("""COMPUTED_VALUE"""),"Comedy")</f>
        <v>Comedy</v>
      </c>
      <c r="V45" s="5">
        <f>IFERROR(__xludf.DUMMYFUNCTION("""COMPUTED_VALUE"""),1.0)</f>
        <v>1</v>
      </c>
    </row>
    <row r="46">
      <c r="A46" s="1">
        <v>45.0</v>
      </c>
      <c r="B46" s="1" t="s">
        <v>359</v>
      </c>
      <c r="C46" s="1" t="s">
        <v>128</v>
      </c>
      <c r="D46" s="1"/>
      <c r="E46" s="1">
        <v>45.0</v>
      </c>
      <c r="F46" s="1" t="s">
        <v>359</v>
      </c>
      <c r="G46" s="1" t="str">
        <f>IFERROR(__xludf.DUMMYFUNCTION("SPLIT(C46, "", "")"),"Action")</f>
        <v>Action</v>
      </c>
      <c r="H46" s="5" t="str">
        <f>IFERROR(__xludf.DUMMYFUNCTION("""COMPUTED_VALUE"""),"Sci-Fi")</f>
        <v>Sci-Fi</v>
      </c>
      <c r="J46" s="5" t="str">
        <f>IFERROR(__xludf.DUMMYFUNCTION("""COMPUTED_VALUE"""),"15🤙🏼The Matrix🤙🏼🤙🏼3")</f>
        <v>15🤙🏼The Matrix🤙🏼🤙🏼3</v>
      </c>
      <c r="K46" s="5">
        <f>IFERROR(__xludf.DUMMYFUNCTION("SPLiT(J46, ""🤙🏼"",FALSE,FALSE)"),15.0)</f>
        <v>15</v>
      </c>
      <c r="L46" s="5" t="str">
        <f>IFERROR(__xludf.DUMMYFUNCTION("""COMPUTED_VALUE"""),"The Matrix")</f>
        <v>The Matrix</v>
      </c>
      <c r="M46" s="5"/>
      <c r="N46" s="5">
        <f>IFERROR(__xludf.DUMMYFUNCTION("""COMPUTED_VALUE"""),3.0)</f>
        <v>3</v>
      </c>
      <c r="S46" s="5">
        <f>IFERROR(__xludf.DUMMYFUNCTION("""COMPUTED_VALUE"""),20.0)</f>
        <v>20</v>
      </c>
      <c r="T46" s="5" t="str">
        <f>IFERROR(__xludf.DUMMYFUNCTION("""COMPUTED_VALUE"""),"Gisaengchung")</f>
        <v>Gisaengchung</v>
      </c>
      <c r="U46" s="5" t="str">
        <f>IFERROR(__xludf.DUMMYFUNCTION("""COMPUTED_VALUE"""),"Drama")</f>
        <v>Drama</v>
      </c>
      <c r="V46" s="5">
        <f>IFERROR(__xludf.DUMMYFUNCTION("""COMPUTED_VALUE"""),2.0)</f>
        <v>2</v>
      </c>
    </row>
    <row r="47">
      <c r="A47" s="1">
        <v>46.0</v>
      </c>
      <c r="B47" s="1" t="s">
        <v>366</v>
      </c>
      <c r="C47" s="1" t="s">
        <v>107</v>
      </c>
      <c r="D47" s="1"/>
      <c r="E47" s="1">
        <v>46.0</v>
      </c>
      <c r="F47" s="1" t="s">
        <v>366</v>
      </c>
      <c r="G47" s="1" t="str">
        <f>IFERROR(__xludf.DUMMYFUNCTION("SPLIT(C47, "", "")"),"Drama")</f>
        <v>Drama</v>
      </c>
      <c r="H47" s="5" t="str">
        <f>IFERROR(__xludf.DUMMYFUNCTION("""COMPUTED_VALUE"""),"Romance")</f>
        <v>Romance</v>
      </c>
      <c r="J47" s="5" t="str">
        <f>IFERROR(__xludf.DUMMYFUNCTION("""COMPUTED_VALUE"""),"16🤙🏼Goodfellas🤙🏼Biography🤙🏼1")</f>
        <v>16🤙🏼Goodfellas🤙🏼Biography🤙🏼1</v>
      </c>
      <c r="K47" s="5">
        <f>IFERROR(__xludf.DUMMYFUNCTION("SPLiT(J47, ""🤙🏼"",FALSE,FALSE)"),16.0)</f>
        <v>16</v>
      </c>
      <c r="L47" s="5" t="str">
        <f>IFERROR(__xludf.DUMMYFUNCTION("""COMPUTED_VALUE"""),"Goodfellas")</f>
        <v>Goodfellas</v>
      </c>
      <c r="M47" s="5" t="str">
        <f>IFERROR(__xludf.DUMMYFUNCTION("""COMPUTED_VALUE"""),"Biography")</f>
        <v>Biography</v>
      </c>
      <c r="N47" s="5">
        <f>IFERROR(__xludf.DUMMYFUNCTION("""COMPUTED_VALUE"""),1.0)</f>
        <v>1</v>
      </c>
      <c r="S47" s="5">
        <f>IFERROR(__xludf.DUMMYFUNCTION("""COMPUTED_VALUE"""),20.0)</f>
        <v>20</v>
      </c>
      <c r="T47" s="5" t="str">
        <f>IFERROR(__xludf.DUMMYFUNCTION("""COMPUTED_VALUE"""),"Gisaengchung")</f>
        <v>Gisaengchung</v>
      </c>
      <c r="U47" s="5" t="str">
        <f>IFERROR(__xludf.DUMMYFUNCTION("""COMPUTED_VALUE"""),"Thriller")</f>
        <v>Thriller</v>
      </c>
      <c r="V47" s="5">
        <f>IFERROR(__xludf.DUMMYFUNCTION("""COMPUTED_VALUE"""),3.0)</f>
        <v>3</v>
      </c>
    </row>
    <row r="48">
      <c r="A48" s="1">
        <v>47.0</v>
      </c>
      <c r="B48" s="1" t="s">
        <v>373</v>
      </c>
      <c r="C48" s="1" t="s">
        <v>375</v>
      </c>
      <c r="D48" s="1"/>
      <c r="E48" s="1">
        <v>47.0</v>
      </c>
      <c r="F48" s="1" t="s">
        <v>373</v>
      </c>
      <c r="G48" s="1" t="str">
        <f>IFERROR(__xludf.DUMMYFUNCTION("SPLIT(C48, "", "")"),"Animation")</f>
        <v>Animation</v>
      </c>
      <c r="H48" s="5" t="str">
        <f>IFERROR(__xludf.DUMMYFUNCTION("""COMPUTED_VALUE"""),"Drama")</f>
        <v>Drama</v>
      </c>
      <c r="I48" s="5" t="str">
        <f>IFERROR(__xludf.DUMMYFUNCTION("""COMPUTED_VALUE"""),"War")</f>
        <v>War</v>
      </c>
      <c r="J48" s="5" t="str">
        <f>IFERROR(__xludf.DUMMYFUNCTION("""COMPUTED_VALUE"""),"16🤙🏼Goodfellas🤙🏼Crime🤙🏼2")</f>
        <v>16🤙🏼Goodfellas🤙🏼Crime🤙🏼2</v>
      </c>
      <c r="K48" s="5">
        <f>IFERROR(__xludf.DUMMYFUNCTION("SPLiT(J48, ""🤙🏼"",FALSE,FALSE)"),16.0)</f>
        <v>16</v>
      </c>
      <c r="L48" s="5" t="str">
        <f>IFERROR(__xludf.DUMMYFUNCTION("""COMPUTED_VALUE"""),"Goodfellas")</f>
        <v>Goodfellas</v>
      </c>
      <c r="M48" s="5" t="str">
        <f>IFERROR(__xludf.DUMMYFUNCTION("""COMPUTED_VALUE"""),"Crime")</f>
        <v>Crime</v>
      </c>
      <c r="N48" s="5">
        <f>IFERROR(__xludf.DUMMYFUNCTION("""COMPUTED_VALUE"""),2.0)</f>
        <v>2</v>
      </c>
      <c r="S48" s="5">
        <f>IFERROR(__xludf.DUMMYFUNCTION("""COMPUTED_VALUE"""),21.0)</f>
        <v>21</v>
      </c>
      <c r="T48" s="5" t="str">
        <f>IFERROR(__xludf.DUMMYFUNCTION("""COMPUTED_VALUE"""),"Soorarai Pottru")</f>
        <v>Soorarai Pottru</v>
      </c>
      <c r="U48" s="5" t="str">
        <f>IFERROR(__xludf.DUMMYFUNCTION("""COMPUTED_VALUE"""),"Drama")</f>
        <v>Drama</v>
      </c>
      <c r="V48" s="5">
        <f>IFERROR(__xludf.DUMMYFUNCTION("""COMPUTED_VALUE"""),1.0)</f>
        <v>1</v>
      </c>
    </row>
    <row r="49">
      <c r="A49" s="1">
        <v>48.0</v>
      </c>
      <c r="B49" s="1" t="s">
        <v>382</v>
      </c>
      <c r="C49" s="1" t="s">
        <v>383</v>
      </c>
      <c r="D49" s="1"/>
      <c r="E49" s="1">
        <v>48.0</v>
      </c>
      <c r="F49" s="1" t="s">
        <v>382</v>
      </c>
      <c r="G49" s="1" t="str">
        <f>IFERROR(__xludf.DUMMYFUNCTION("SPLIT(C49, "", "")"),"Adventure")</f>
        <v>Adventure</v>
      </c>
      <c r="H49" s="5" t="str">
        <f>IFERROR(__xludf.DUMMYFUNCTION("""COMPUTED_VALUE"""),"Comedy")</f>
        <v>Comedy</v>
      </c>
      <c r="I49" s="5" t="str">
        <f>IFERROR(__xludf.DUMMYFUNCTION("""COMPUTED_VALUE"""),"Sci-Fi")</f>
        <v>Sci-Fi</v>
      </c>
      <c r="J49" s="5" t="str">
        <f>IFERROR(__xludf.DUMMYFUNCTION("""COMPUTED_VALUE"""),"16🤙🏼Goodfellas🤙🏼Drama🤙🏼3")</f>
        <v>16🤙🏼Goodfellas🤙🏼Drama🤙🏼3</v>
      </c>
      <c r="K49" s="5">
        <f>IFERROR(__xludf.DUMMYFUNCTION("SPLiT(J49, ""🤙🏼"",FALSE,FALSE)"),16.0)</f>
        <v>16</v>
      </c>
      <c r="L49" s="5" t="str">
        <f>IFERROR(__xludf.DUMMYFUNCTION("""COMPUTED_VALUE"""),"Goodfellas")</f>
        <v>Goodfellas</v>
      </c>
      <c r="M49" s="5" t="str">
        <f>IFERROR(__xludf.DUMMYFUNCTION("""COMPUTED_VALUE"""),"Drama")</f>
        <v>Drama</v>
      </c>
      <c r="N49" s="5">
        <f>IFERROR(__xludf.DUMMYFUNCTION("""COMPUTED_VALUE"""),3.0)</f>
        <v>3</v>
      </c>
      <c r="S49" s="5">
        <f>IFERROR(__xludf.DUMMYFUNCTION("""COMPUTED_VALUE"""),22.0)</f>
        <v>22</v>
      </c>
      <c r="T49" s="5" t="str">
        <f>IFERROR(__xludf.DUMMYFUNCTION("""COMPUTED_VALUE"""),"Interstellar")</f>
        <v>Interstellar</v>
      </c>
      <c r="U49" s="5" t="str">
        <f>IFERROR(__xludf.DUMMYFUNCTION("""COMPUTED_VALUE"""),"Adventure")</f>
        <v>Adventure</v>
      </c>
      <c r="V49" s="5">
        <f>IFERROR(__xludf.DUMMYFUNCTION("""COMPUTED_VALUE"""),1.0)</f>
        <v>1</v>
      </c>
    </row>
    <row r="50">
      <c r="A50" s="1">
        <v>49.0</v>
      </c>
      <c r="B50" s="1" t="s">
        <v>389</v>
      </c>
      <c r="C50" s="1" t="s">
        <v>116</v>
      </c>
      <c r="D50" s="1"/>
      <c r="E50" s="1">
        <v>49.0</v>
      </c>
      <c r="F50" s="1" t="s">
        <v>389</v>
      </c>
      <c r="G50" s="1" t="str">
        <f>IFERROR(__xludf.DUMMYFUNCTION("SPLIT(C50, "", "")"),"Western")</f>
        <v>Western</v>
      </c>
      <c r="J50" s="5" t="str">
        <f>IFERROR(__xludf.DUMMYFUNCTION("""COMPUTED_VALUE"""),"17🤙🏼Star Wars: Episode V - The Empire Strikes Back🤙🏼Action🤙🏼1")</f>
        <v>17🤙🏼Star Wars: Episode V - The Empire Strikes Back🤙🏼Action🤙🏼1</v>
      </c>
      <c r="K50" s="5">
        <f>IFERROR(__xludf.DUMMYFUNCTION("SPLiT(J50, ""🤙🏼"",FALSE,FALSE)"),17.0)</f>
        <v>17</v>
      </c>
      <c r="L50" s="5" t="str">
        <f>IFERROR(__xludf.DUMMYFUNCTION("""COMPUTED_VALUE"""),"Star Wars: Episode V - The Empire Strikes Back")</f>
        <v>Star Wars: Episode V - The Empire Strikes Back</v>
      </c>
      <c r="M50" s="5" t="str">
        <f>IFERROR(__xludf.DUMMYFUNCTION("""COMPUTED_VALUE"""),"Action")</f>
        <v>Action</v>
      </c>
      <c r="N50" s="5">
        <f>IFERROR(__xludf.DUMMYFUNCTION("""COMPUTED_VALUE"""),1.0)</f>
        <v>1</v>
      </c>
      <c r="S50" s="5">
        <f>IFERROR(__xludf.DUMMYFUNCTION("""COMPUTED_VALUE"""),22.0)</f>
        <v>22</v>
      </c>
      <c r="T50" s="5" t="str">
        <f>IFERROR(__xludf.DUMMYFUNCTION("""COMPUTED_VALUE"""),"Interstellar")</f>
        <v>Interstellar</v>
      </c>
      <c r="U50" s="5" t="str">
        <f>IFERROR(__xludf.DUMMYFUNCTION("""COMPUTED_VALUE"""),"Drama")</f>
        <v>Drama</v>
      </c>
      <c r="V50" s="5">
        <f>IFERROR(__xludf.DUMMYFUNCTION("""COMPUTED_VALUE"""),2.0)</f>
        <v>2</v>
      </c>
    </row>
    <row r="51">
      <c r="A51" s="1">
        <v>50.0</v>
      </c>
      <c r="B51" s="1" t="s">
        <v>395</v>
      </c>
      <c r="C51" s="1" t="s">
        <v>397</v>
      </c>
      <c r="D51" s="1"/>
      <c r="E51" s="1">
        <v>50.0</v>
      </c>
      <c r="F51" s="1" t="s">
        <v>395</v>
      </c>
      <c r="G51" s="1" t="str">
        <f>IFERROR(__xludf.DUMMYFUNCTION("SPLIT(C51, "", "")"),"Horror")</f>
        <v>Horror</v>
      </c>
      <c r="H51" s="5" t="str">
        <f>IFERROR(__xludf.DUMMYFUNCTION("""COMPUTED_VALUE"""),"Mystery")</f>
        <v>Mystery</v>
      </c>
      <c r="I51" s="5" t="str">
        <f>IFERROR(__xludf.DUMMYFUNCTION("""COMPUTED_VALUE"""),"Thriller")</f>
        <v>Thriller</v>
      </c>
      <c r="J51" s="5" t="str">
        <f>IFERROR(__xludf.DUMMYFUNCTION("""COMPUTED_VALUE"""),"17🤙🏼Star Wars: Episode V - The Empire Strikes Back🤙🏼Adventure🤙🏼2")</f>
        <v>17🤙🏼Star Wars: Episode V - The Empire Strikes Back🤙🏼Adventure🤙🏼2</v>
      </c>
      <c r="K51" s="5">
        <f>IFERROR(__xludf.DUMMYFUNCTION("SPLiT(J51, ""🤙🏼"",FALSE,FALSE)"),17.0)</f>
        <v>17</v>
      </c>
      <c r="L51" s="5" t="str">
        <f>IFERROR(__xludf.DUMMYFUNCTION("""COMPUTED_VALUE"""),"Star Wars: Episode V - The Empire Strikes Back")</f>
        <v>Star Wars: Episode V - The Empire Strikes Back</v>
      </c>
      <c r="M51" s="5" t="str">
        <f>IFERROR(__xludf.DUMMYFUNCTION("""COMPUTED_VALUE"""),"Adventure")</f>
        <v>Adventure</v>
      </c>
      <c r="N51" s="5">
        <f>IFERROR(__xludf.DUMMYFUNCTION("""COMPUTED_VALUE"""),2.0)</f>
        <v>2</v>
      </c>
      <c r="S51" s="5">
        <f>IFERROR(__xludf.DUMMYFUNCTION("""COMPUTED_VALUE"""),22.0)</f>
        <v>22</v>
      </c>
      <c r="T51" s="5" t="str">
        <f>IFERROR(__xludf.DUMMYFUNCTION("""COMPUTED_VALUE"""),"Interstellar")</f>
        <v>Interstellar</v>
      </c>
      <c r="U51" s="5" t="str">
        <f>IFERROR(__xludf.DUMMYFUNCTION("""COMPUTED_VALUE"""),"Sci-Fi")</f>
        <v>Sci-Fi</v>
      </c>
      <c r="V51" s="5">
        <f>IFERROR(__xludf.DUMMYFUNCTION("""COMPUTED_VALUE"""),3.0)</f>
        <v>3</v>
      </c>
    </row>
    <row r="52">
      <c r="A52" s="1">
        <v>51.0</v>
      </c>
      <c r="B52" s="1" t="s">
        <v>404</v>
      </c>
      <c r="C52" s="1" t="s">
        <v>406</v>
      </c>
      <c r="D52" s="1"/>
      <c r="E52" s="1">
        <v>51.0</v>
      </c>
      <c r="F52" s="1" t="s">
        <v>404</v>
      </c>
      <c r="G52" s="1" t="str">
        <f>IFERROR(__xludf.DUMMYFUNCTION("SPLIT(C52, "", "")"),"Drama")</f>
        <v>Drama</v>
      </c>
      <c r="H52" s="5" t="str">
        <f>IFERROR(__xludf.DUMMYFUNCTION("""COMPUTED_VALUE"""),"Romance")</f>
        <v>Romance</v>
      </c>
      <c r="I52" s="5" t="str">
        <f>IFERROR(__xludf.DUMMYFUNCTION("""COMPUTED_VALUE"""),"War")</f>
        <v>War</v>
      </c>
      <c r="J52" s="5" t="str">
        <f>IFERROR(__xludf.DUMMYFUNCTION("""COMPUTED_VALUE"""),"17🤙🏼Star Wars: Episode V - The Empire Strikes Back🤙🏼Fantasy🤙🏼3")</f>
        <v>17🤙🏼Star Wars: Episode V - The Empire Strikes Back🤙🏼Fantasy🤙🏼3</v>
      </c>
      <c r="K52" s="5">
        <f>IFERROR(__xludf.DUMMYFUNCTION("SPLiT(J52, ""🤙🏼"",FALSE,FALSE)"),17.0)</f>
        <v>17</v>
      </c>
      <c r="L52" s="5" t="str">
        <f>IFERROR(__xludf.DUMMYFUNCTION("""COMPUTED_VALUE"""),"Star Wars: Episode V - The Empire Strikes Back")</f>
        <v>Star Wars: Episode V - The Empire Strikes Back</v>
      </c>
      <c r="M52" s="5" t="str">
        <f>IFERROR(__xludf.DUMMYFUNCTION("""COMPUTED_VALUE"""),"Fantasy")</f>
        <v>Fantasy</v>
      </c>
      <c r="N52" s="5">
        <f>IFERROR(__xludf.DUMMYFUNCTION("""COMPUTED_VALUE"""),3.0)</f>
        <v>3</v>
      </c>
      <c r="S52" s="5">
        <f>IFERROR(__xludf.DUMMYFUNCTION("""COMPUTED_VALUE"""),23.0)</f>
        <v>23</v>
      </c>
      <c r="T52" s="5" t="str">
        <f>IFERROR(__xludf.DUMMYFUNCTION("""COMPUTED_VALUE"""),"Cidade de Deus")</f>
        <v>Cidade de Deus</v>
      </c>
      <c r="U52" s="5" t="str">
        <f>IFERROR(__xludf.DUMMYFUNCTION("""COMPUTED_VALUE"""),"Crime")</f>
        <v>Crime</v>
      </c>
      <c r="V52" s="5">
        <f>IFERROR(__xludf.DUMMYFUNCTION("""COMPUTED_VALUE"""),1.0)</f>
        <v>1</v>
      </c>
    </row>
    <row r="53">
      <c r="A53" s="1">
        <v>52.0</v>
      </c>
      <c r="B53" s="1" t="s">
        <v>413</v>
      </c>
      <c r="C53" s="1" t="s">
        <v>416</v>
      </c>
      <c r="D53" s="1"/>
      <c r="E53" s="1">
        <v>52.0</v>
      </c>
      <c r="F53" s="1" t="s">
        <v>413</v>
      </c>
      <c r="G53" s="1" t="str">
        <f>IFERROR(__xludf.DUMMYFUNCTION("SPLIT(C53, "", "")"),"Comedy")</f>
        <v>Comedy</v>
      </c>
      <c r="H53" s="5" t="str">
        <f>IFERROR(__xludf.DUMMYFUNCTION("""COMPUTED_VALUE"""),"Drama")</f>
        <v>Drama</v>
      </c>
      <c r="I53" s="5" t="str">
        <f>IFERROR(__xludf.DUMMYFUNCTION("""COMPUTED_VALUE"""),"Family")</f>
        <v>Family</v>
      </c>
      <c r="J53" s="5" t="str">
        <f>IFERROR(__xludf.DUMMYFUNCTION("""COMPUTED_VALUE"""),"18🤙🏼One Flew Over the Cuckoo's Nest🤙🏼Drama🤙🏼1")</f>
        <v>18🤙🏼One Flew Over the Cuckoo's Nest🤙🏼Drama🤙🏼1</v>
      </c>
      <c r="K53" s="5">
        <f>IFERROR(__xludf.DUMMYFUNCTION("SPLiT(J53, ""🤙🏼"",FALSE,FALSE)"),18.0)</f>
        <v>18</v>
      </c>
      <c r="L53" s="5" t="str">
        <f>IFERROR(__xludf.DUMMYFUNCTION("""COMPUTED_VALUE"""),"One Flew Over the Cuckoo's Nest")</f>
        <v>One Flew Over the Cuckoo's Nest</v>
      </c>
      <c r="M53" s="5" t="str">
        <f>IFERROR(__xludf.DUMMYFUNCTION("""COMPUTED_VALUE"""),"Drama")</f>
        <v>Drama</v>
      </c>
      <c r="N53" s="5">
        <f>IFERROR(__xludf.DUMMYFUNCTION("""COMPUTED_VALUE"""),1.0)</f>
        <v>1</v>
      </c>
      <c r="S53" s="5">
        <f>IFERROR(__xludf.DUMMYFUNCTION("""COMPUTED_VALUE"""),23.0)</f>
        <v>23</v>
      </c>
      <c r="T53" s="5" t="str">
        <f>IFERROR(__xludf.DUMMYFUNCTION("""COMPUTED_VALUE"""),"Cidade de Deus")</f>
        <v>Cidade de Deus</v>
      </c>
      <c r="U53" s="5" t="str">
        <f>IFERROR(__xludf.DUMMYFUNCTION("""COMPUTED_VALUE"""),"Drama")</f>
        <v>Drama</v>
      </c>
      <c r="V53" s="5">
        <f>IFERROR(__xludf.DUMMYFUNCTION("""COMPUTED_VALUE"""),2.0)</f>
        <v>2</v>
      </c>
    </row>
    <row r="54">
      <c r="A54" s="1">
        <v>53.0</v>
      </c>
      <c r="B54" s="1" t="s">
        <v>422</v>
      </c>
      <c r="C54" s="1" t="s">
        <v>227</v>
      </c>
      <c r="D54" s="1"/>
      <c r="E54" s="1">
        <v>53.0</v>
      </c>
      <c r="F54" s="1" t="s">
        <v>422</v>
      </c>
      <c r="G54" s="1" t="str">
        <f>IFERROR(__xludf.DUMMYFUNCTION("SPLIT(C54, "", "")"),"Comedy")</f>
        <v>Comedy</v>
      </c>
      <c r="H54" s="5" t="str">
        <f>IFERROR(__xludf.DUMMYFUNCTION("""COMPUTED_VALUE"""),"Drama")</f>
        <v>Drama</v>
      </c>
      <c r="I54" s="5" t="str">
        <f>IFERROR(__xludf.DUMMYFUNCTION("""COMPUTED_VALUE"""),"Romance")</f>
        <v>Romance</v>
      </c>
      <c r="J54" s="5" t="str">
        <f>IFERROR(__xludf.DUMMYFUNCTION("""COMPUTED_VALUE"""),"18🤙🏼One Flew Over the Cuckoo's Nest🤙🏼🤙🏼2")</f>
        <v>18🤙🏼One Flew Over the Cuckoo's Nest🤙🏼🤙🏼2</v>
      </c>
      <c r="K54" s="5">
        <f>IFERROR(__xludf.DUMMYFUNCTION("SPLiT(J54, ""🤙🏼"",FALSE,FALSE)"),18.0)</f>
        <v>18</v>
      </c>
      <c r="L54" s="5" t="str">
        <f>IFERROR(__xludf.DUMMYFUNCTION("""COMPUTED_VALUE"""),"One Flew Over the Cuckoo's Nest")</f>
        <v>One Flew Over the Cuckoo's Nest</v>
      </c>
      <c r="M54" s="5"/>
      <c r="N54" s="5">
        <f>IFERROR(__xludf.DUMMYFUNCTION("""COMPUTED_VALUE"""),2.0)</f>
        <v>2</v>
      </c>
      <c r="S54" s="5">
        <f>IFERROR(__xludf.DUMMYFUNCTION("""COMPUTED_VALUE"""),24.0)</f>
        <v>24</v>
      </c>
      <c r="T54" s="5" t="str">
        <f>IFERROR(__xludf.DUMMYFUNCTION("""COMPUTED_VALUE"""),"Sen to Chihiro no kamikakushi")</f>
        <v>Sen to Chihiro no kamikakushi</v>
      </c>
      <c r="U54" s="5" t="str">
        <f>IFERROR(__xludf.DUMMYFUNCTION("""COMPUTED_VALUE"""),"Animation")</f>
        <v>Animation</v>
      </c>
      <c r="V54" s="5">
        <f>IFERROR(__xludf.DUMMYFUNCTION("""COMPUTED_VALUE"""),1.0)</f>
        <v>1</v>
      </c>
    </row>
    <row r="55">
      <c r="A55" s="1">
        <v>54.0</v>
      </c>
      <c r="B55" s="1" t="s">
        <v>427</v>
      </c>
      <c r="C55" s="1" t="s">
        <v>20</v>
      </c>
      <c r="D55" s="1"/>
      <c r="E55" s="1">
        <v>54.0</v>
      </c>
      <c r="F55" s="1" t="s">
        <v>427</v>
      </c>
      <c r="G55" s="1" t="str">
        <f>IFERROR(__xludf.DUMMYFUNCTION("SPLIT(C55, "", "")"),"Drama")</f>
        <v>Drama</v>
      </c>
      <c r="J55" s="5" t="str">
        <f>IFERROR(__xludf.DUMMYFUNCTION("""COMPUTED_VALUE"""),"18🤙🏼One Flew Over the Cuckoo's Nest🤙🏼🤙🏼3")</f>
        <v>18🤙🏼One Flew Over the Cuckoo's Nest🤙🏼🤙🏼3</v>
      </c>
      <c r="K55" s="5">
        <f>IFERROR(__xludf.DUMMYFUNCTION("SPLiT(J55, ""🤙🏼"",FALSE,FALSE)"),18.0)</f>
        <v>18</v>
      </c>
      <c r="L55" s="5" t="str">
        <f>IFERROR(__xludf.DUMMYFUNCTION("""COMPUTED_VALUE"""),"One Flew Over the Cuckoo's Nest")</f>
        <v>One Flew Over the Cuckoo's Nest</v>
      </c>
      <c r="M55" s="5"/>
      <c r="N55" s="5">
        <f>IFERROR(__xludf.DUMMYFUNCTION("""COMPUTED_VALUE"""),3.0)</f>
        <v>3</v>
      </c>
      <c r="S55" s="5">
        <f>IFERROR(__xludf.DUMMYFUNCTION("""COMPUTED_VALUE"""),24.0)</f>
        <v>24</v>
      </c>
      <c r="T55" s="5" t="str">
        <f>IFERROR(__xludf.DUMMYFUNCTION("""COMPUTED_VALUE"""),"Sen to Chihiro no kamikakushi")</f>
        <v>Sen to Chihiro no kamikakushi</v>
      </c>
      <c r="U55" s="5" t="str">
        <f>IFERROR(__xludf.DUMMYFUNCTION("""COMPUTED_VALUE"""),"Adventure")</f>
        <v>Adventure</v>
      </c>
      <c r="V55" s="5">
        <f>IFERROR(__xludf.DUMMYFUNCTION("""COMPUTED_VALUE"""),2.0)</f>
        <v>2</v>
      </c>
    </row>
    <row r="56">
      <c r="A56" s="1">
        <v>55.0</v>
      </c>
      <c r="B56" s="1" t="s">
        <v>435</v>
      </c>
      <c r="C56" s="1" t="s">
        <v>79</v>
      </c>
      <c r="D56" s="1"/>
      <c r="E56" s="1">
        <v>55.0</v>
      </c>
      <c r="F56" s="1" t="s">
        <v>435</v>
      </c>
      <c r="G56" s="1" t="str">
        <f>IFERROR(__xludf.DUMMYFUNCTION("SPLIT(C56, "", "")"),"Biography")</f>
        <v>Biography</v>
      </c>
      <c r="H56" s="5" t="str">
        <f>IFERROR(__xludf.DUMMYFUNCTION("""COMPUTED_VALUE"""),"Drama")</f>
        <v>Drama</v>
      </c>
      <c r="I56" s="5" t="str">
        <f>IFERROR(__xludf.DUMMYFUNCTION("""COMPUTED_VALUE"""),"History")</f>
        <v>History</v>
      </c>
      <c r="J56" s="5" t="str">
        <f>IFERROR(__xludf.DUMMYFUNCTION("""COMPUTED_VALUE"""),"19🤙🏼Hamilton🤙🏼Biography🤙🏼1")</f>
        <v>19🤙🏼Hamilton🤙🏼Biography🤙🏼1</v>
      </c>
      <c r="K56" s="5">
        <f>IFERROR(__xludf.DUMMYFUNCTION("SPLiT(J56, ""🤙🏼"",FALSE,FALSE)"),19.0)</f>
        <v>19</v>
      </c>
      <c r="L56" s="5" t="str">
        <f>IFERROR(__xludf.DUMMYFUNCTION("""COMPUTED_VALUE"""),"Hamilton")</f>
        <v>Hamilton</v>
      </c>
      <c r="M56" s="5" t="str">
        <f>IFERROR(__xludf.DUMMYFUNCTION("""COMPUTED_VALUE"""),"Biography")</f>
        <v>Biography</v>
      </c>
      <c r="N56" s="5">
        <f>IFERROR(__xludf.DUMMYFUNCTION("""COMPUTED_VALUE"""),1.0)</f>
        <v>1</v>
      </c>
      <c r="S56" s="5">
        <f>IFERROR(__xludf.DUMMYFUNCTION("""COMPUTED_VALUE"""),24.0)</f>
        <v>24</v>
      </c>
      <c r="T56" s="5" t="str">
        <f>IFERROR(__xludf.DUMMYFUNCTION("""COMPUTED_VALUE"""),"Sen to Chihiro no kamikakushi")</f>
        <v>Sen to Chihiro no kamikakushi</v>
      </c>
      <c r="U56" s="5" t="str">
        <f>IFERROR(__xludf.DUMMYFUNCTION("""COMPUTED_VALUE"""),"Family")</f>
        <v>Family</v>
      </c>
      <c r="V56" s="5">
        <f>IFERROR(__xludf.DUMMYFUNCTION("""COMPUTED_VALUE"""),3.0)</f>
        <v>3</v>
      </c>
    </row>
    <row r="57">
      <c r="A57" s="1">
        <v>56.0</v>
      </c>
      <c r="B57" s="1" t="s">
        <v>442</v>
      </c>
      <c r="C57" s="1" t="s">
        <v>39</v>
      </c>
      <c r="D57" s="1"/>
      <c r="E57" s="1">
        <v>56.0</v>
      </c>
      <c r="F57" s="1" t="s">
        <v>442</v>
      </c>
      <c r="G57" s="1" t="str">
        <f>IFERROR(__xludf.DUMMYFUNCTION("SPLIT(C57, "", "")"),"Action")</f>
        <v>Action</v>
      </c>
      <c r="H57" s="5" t="str">
        <f>IFERROR(__xludf.DUMMYFUNCTION("""COMPUTED_VALUE"""),"Crime")</f>
        <v>Crime</v>
      </c>
      <c r="I57" s="5" t="str">
        <f>IFERROR(__xludf.DUMMYFUNCTION("""COMPUTED_VALUE"""),"Drama")</f>
        <v>Drama</v>
      </c>
      <c r="J57" s="5" t="str">
        <f>IFERROR(__xludf.DUMMYFUNCTION("""COMPUTED_VALUE"""),"19🤙🏼Hamilton🤙🏼Drama🤙🏼2")</f>
        <v>19🤙🏼Hamilton🤙🏼Drama🤙🏼2</v>
      </c>
      <c r="K57" s="5">
        <f>IFERROR(__xludf.DUMMYFUNCTION("SPLiT(J57, ""🤙🏼"",FALSE,FALSE)"),19.0)</f>
        <v>19</v>
      </c>
      <c r="L57" s="5" t="str">
        <f>IFERROR(__xludf.DUMMYFUNCTION("""COMPUTED_VALUE"""),"Hamilton")</f>
        <v>Hamilton</v>
      </c>
      <c r="M57" s="5" t="str">
        <f>IFERROR(__xludf.DUMMYFUNCTION("""COMPUTED_VALUE"""),"Drama")</f>
        <v>Drama</v>
      </c>
      <c r="N57" s="5">
        <f>IFERROR(__xludf.DUMMYFUNCTION("""COMPUTED_VALUE"""),2.0)</f>
        <v>2</v>
      </c>
      <c r="S57" s="5">
        <f>IFERROR(__xludf.DUMMYFUNCTION("""COMPUTED_VALUE"""),25.0)</f>
        <v>25</v>
      </c>
      <c r="T57" s="5" t="str">
        <f>IFERROR(__xludf.DUMMYFUNCTION("""COMPUTED_VALUE"""),"Saving Private Ryan")</f>
        <v>Saving Private Ryan</v>
      </c>
      <c r="U57" s="5" t="str">
        <f>IFERROR(__xludf.DUMMYFUNCTION("""COMPUTED_VALUE"""),"Drama")</f>
        <v>Drama</v>
      </c>
      <c r="V57" s="5">
        <f>IFERROR(__xludf.DUMMYFUNCTION("""COMPUTED_VALUE"""),1.0)</f>
        <v>1</v>
      </c>
    </row>
    <row r="58">
      <c r="A58" s="1">
        <v>57.0</v>
      </c>
      <c r="B58" s="1" t="s">
        <v>449</v>
      </c>
      <c r="C58" s="1" t="s">
        <v>450</v>
      </c>
      <c r="D58" s="1"/>
      <c r="E58" s="1">
        <v>57.0</v>
      </c>
      <c r="F58" s="1" t="s">
        <v>449</v>
      </c>
      <c r="G58" s="1" t="str">
        <f>IFERROR(__xludf.DUMMYFUNCTION("SPLIT(C58, "", "")"),"Animation")</f>
        <v>Animation</v>
      </c>
      <c r="H58" s="5" t="str">
        <f>IFERROR(__xludf.DUMMYFUNCTION("""COMPUTED_VALUE"""),"Drama")</f>
        <v>Drama</v>
      </c>
      <c r="I58" s="5" t="str">
        <f>IFERROR(__xludf.DUMMYFUNCTION("""COMPUTED_VALUE"""),"Fantasy")</f>
        <v>Fantasy</v>
      </c>
      <c r="J58" s="5" t="str">
        <f>IFERROR(__xludf.DUMMYFUNCTION("""COMPUTED_VALUE"""),"19🤙🏼Hamilton🤙🏼History🤙🏼3")</f>
        <v>19🤙🏼Hamilton🤙🏼History🤙🏼3</v>
      </c>
      <c r="K58" s="5">
        <f>IFERROR(__xludf.DUMMYFUNCTION("SPLiT(J58, ""🤙🏼"",FALSE,FALSE)"),19.0)</f>
        <v>19</v>
      </c>
      <c r="L58" s="5" t="str">
        <f>IFERROR(__xludf.DUMMYFUNCTION("""COMPUTED_VALUE"""),"Hamilton")</f>
        <v>Hamilton</v>
      </c>
      <c r="M58" s="5" t="str">
        <f>IFERROR(__xludf.DUMMYFUNCTION("""COMPUTED_VALUE"""),"History")</f>
        <v>History</v>
      </c>
      <c r="N58" s="5">
        <f>IFERROR(__xludf.DUMMYFUNCTION("""COMPUTED_VALUE"""),3.0)</f>
        <v>3</v>
      </c>
      <c r="S58" s="5">
        <f>IFERROR(__xludf.DUMMYFUNCTION("""COMPUTED_VALUE"""),25.0)</f>
        <v>25</v>
      </c>
      <c r="T58" s="5" t="str">
        <f>IFERROR(__xludf.DUMMYFUNCTION("""COMPUTED_VALUE"""),"Saving Private Ryan")</f>
        <v>Saving Private Ryan</v>
      </c>
      <c r="U58" s="5" t="str">
        <f>IFERROR(__xludf.DUMMYFUNCTION("""COMPUTED_VALUE"""),"War")</f>
        <v>War</v>
      </c>
      <c r="V58" s="5">
        <f>IFERROR(__xludf.DUMMYFUNCTION("""COMPUTED_VALUE"""),2.0)</f>
        <v>2</v>
      </c>
    </row>
    <row r="59">
      <c r="A59" s="1">
        <v>58.0</v>
      </c>
      <c r="B59" s="1" t="s">
        <v>457</v>
      </c>
      <c r="C59" s="1" t="s">
        <v>458</v>
      </c>
      <c r="D59" s="1"/>
      <c r="E59" s="1">
        <v>58.0</v>
      </c>
      <c r="F59" s="1" t="s">
        <v>457</v>
      </c>
      <c r="G59" s="1" t="str">
        <f>IFERROR(__xludf.DUMMYFUNCTION("SPLIT(C59, "", "")"),"Action")</f>
        <v>Action</v>
      </c>
      <c r="H59" s="5" t="str">
        <f>IFERROR(__xludf.DUMMYFUNCTION("""COMPUTED_VALUE"""),"Biography")</f>
        <v>Biography</v>
      </c>
      <c r="I59" s="5" t="str">
        <f>IFERROR(__xludf.DUMMYFUNCTION("""COMPUTED_VALUE"""),"Drama")</f>
        <v>Drama</v>
      </c>
      <c r="J59" s="5" t="str">
        <f>IFERROR(__xludf.DUMMYFUNCTION("""COMPUTED_VALUE"""),"20🤙🏼Gisaengchung🤙🏼Comedy🤙🏼1")</f>
        <v>20🤙🏼Gisaengchung🤙🏼Comedy🤙🏼1</v>
      </c>
      <c r="K59" s="5">
        <f>IFERROR(__xludf.DUMMYFUNCTION("SPLiT(J59, ""🤙🏼"",FALSE,FALSE)"),20.0)</f>
        <v>20</v>
      </c>
      <c r="L59" s="5" t="str">
        <f>IFERROR(__xludf.DUMMYFUNCTION("""COMPUTED_VALUE"""),"Gisaengchung")</f>
        <v>Gisaengchung</v>
      </c>
      <c r="M59" s="5" t="str">
        <f>IFERROR(__xludf.DUMMYFUNCTION("""COMPUTED_VALUE"""),"Comedy")</f>
        <v>Comedy</v>
      </c>
      <c r="N59" s="5">
        <f>IFERROR(__xludf.DUMMYFUNCTION("""COMPUTED_VALUE"""),1.0)</f>
        <v>1</v>
      </c>
      <c r="S59" s="5">
        <f>IFERROR(__xludf.DUMMYFUNCTION("""COMPUTED_VALUE"""),26.0)</f>
        <v>26</v>
      </c>
      <c r="T59" s="5" t="str">
        <f>IFERROR(__xludf.DUMMYFUNCTION("""COMPUTED_VALUE"""),"The Green Mile")</f>
        <v>The Green Mile</v>
      </c>
      <c r="U59" s="5" t="str">
        <f>IFERROR(__xludf.DUMMYFUNCTION("""COMPUTED_VALUE"""),"Crime")</f>
        <v>Crime</v>
      </c>
      <c r="V59" s="5">
        <f>IFERROR(__xludf.DUMMYFUNCTION("""COMPUTED_VALUE"""),1.0)</f>
        <v>1</v>
      </c>
    </row>
    <row r="60">
      <c r="A60" s="1">
        <v>59.0</v>
      </c>
      <c r="B60" s="1" t="s">
        <v>465</v>
      </c>
      <c r="C60" s="1" t="s">
        <v>467</v>
      </c>
      <c r="D60" s="1"/>
      <c r="E60" s="1">
        <v>59.0</v>
      </c>
      <c r="F60" s="1" t="s">
        <v>465</v>
      </c>
      <c r="G60" s="1" t="str">
        <f>IFERROR(__xludf.DUMMYFUNCTION("SPLIT(C60, "", "")"),"Animation")</f>
        <v>Animation</v>
      </c>
      <c r="H60" s="5" t="str">
        <f>IFERROR(__xludf.DUMMYFUNCTION("""COMPUTED_VALUE"""),"Action")</f>
        <v>Action</v>
      </c>
      <c r="I60" s="5" t="str">
        <f>IFERROR(__xludf.DUMMYFUNCTION("""COMPUTED_VALUE"""),"Adventure")</f>
        <v>Adventure</v>
      </c>
      <c r="J60" s="5" t="str">
        <f>IFERROR(__xludf.DUMMYFUNCTION("""COMPUTED_VALUE"""),"20🤙🏼Gisaengchung🤙🏼Drama🤙🏼2")</f>
        <v>20🤙🏼Gisaengchung🤙🏼Drama🤙🏼2</v>
      </c>
      <c r="K60" s="5">
        <f>IFERROR(__xludf.DUMMYFUNCTION("SPLiT(J60, ""🤙🏼"",FALSE,FALSE)"),20.0)</f>
        <v>20</v>
      </c>
      <c r="L60" s="5" t="str">
        <f>IFERROR(__xludf.DUMMYFUNCTION("""COMPUTED_VALUE"""),"Gisaengchung")</f>
        <v>Gisaengchung</v>
      </c>
      <c r="M60" s="5" t="str">
        <f>IFERROR(__xludf.DUMMYFUNCTION("""COMPUTED_VALUE"""),"Drama")</f>
        <v>Drama</v>
      </c>
      <c r="N60" s="5">
        <f>IFERROR(__xludf.DUMMYFUNCTION("""COMPUTED_VALUE"""),2.0)</f>
        <v>2</v>
      </c>
      <c r="S60" s="5">
        <f>IFERROR(__xludf.DUMMYFUNCTION("""COMPUTED_VALUE"""),26.0)</f>
        <v>26</v>
      </c>
      <c r="T60" s="5" t="str">
        <f>IFERROR(__xludf.DUMMYFUNCTION("""COMPUTED_VALUE"""),"The Green Mile")</f>
        <v>The Green Mile</v>
      </c>
      <c r="U60" s="5" t="str">
        <f>IFERROR(__xludf.DUMMYFUNCTION("""COMPUTED_VALUE"""),"Drama")</f>
        <v>Drama</v>
      </c>
      <c r="V60" s="5">
        <f>IFERROR(__xludf.DUMMYFUNCTION("""COMPUTED_VALUE"""),2.0)</f>
        <v>2</v>
      </c>
    </row>
    <row r="61">
      <c r="A61" s="1">
        <v>60.0</v>
      </c>
      <c r="B61" s="1" t="s">
        <v>474</v>
      </c>
      <c r="C61" s="1" t="s">
        <v>62</v>
      </c>
      <c r="D61" s="1"/>
      <c r="E61" s="1">
        <v>60.0</v>
      </c>
      <c r="F61" s="1" t="s">
        <v>474</v>
      </c>
      <c r="G61" s="1" t="str">
        <f>IFERROR(__xludf.DUMMYFUNCTION("SPLIT(C61, "", "")"),"Action")</f>
        <v>Action</v>
      </c>
      <c r="H61" s="5" t="str">
        <f>IFERROR(__xludf.DUMMYFUNCTION("""COMPUTED_VALUE"""),"Adventure")</f>
        <v>Adventure</v>
      </c>
      <c r="I61" s="5" t="str">
        <f>IFERROR(__xludf.DUMMYFUNCTION("""COMPUTED_VALUE"""),"Drama")</f>
        <v>Drama</v>
      </c>
      <c r="J61" s="5" t="str">
        <f>IFERROR(__xludf.DUMMYFUNCTION("""COMPUTED_VALUE"""),"20🤙🏼Gisaengchung🤙🏼Thriller🤙🏼3")</f>
        <v>20🤙🏼Gisaengchung🤙🏼Thriller🤙🏼3</v>
      </c>
      <c r="K61" s="5">
        <f>IFERROR(__xludf.DUMMYFUNCTION("SPLiT(J61, ""🤙🏼"",FALSE,FALSE)"),20.0)</f>
        <v>20</v>
      </c>
      <c r="L61" s="5" t="str">
        <f>IFERROR(__xludf.DUMMYFUNCTION("""COMPUTED_VALUE"""),"Gisaengchung")</f>
        <v>Gisaengchung</v>
      </c>
      <c r="M61" s="5" t="str">
        <f>IFERROR(__xludf.DUMMYFUNCTION("""COMPUTED_VALUE"""),"Thriller")</f>
        <v>Thriller</v>
      </c>
      <c r="N61" s="5">
        <f>IFERROR(__xludf.DUMMYFUNCTION("""COMPUTED_VALUE"""),3.0)</f>
        <v>3</v>
      </c>
      <c r="S61" s="5">
        <f>IFERROR(__xludf.DUMMYFUNCTION("""COMPUTED_VALUE"""),26.0)</f>
        <v>26</v>
      </c>
      <c r="T61" s="5" t="str">
        <f>IFERROR(__xludf.DUMMYFUNCTION("""COMPUTED_VALUE"""),"The Green Mile")</f>
        <v>The Green Mile</v>
      </c>
      <c r="U61" s="5" t="str">
        <f>IFERROR(__xludf.DUMMYFUNCTION("""COMPUTED_VALUE"""),"Fantasy")</f>
        <v>Fantasy</v>
      </c>
      <c r="V61" s="5">
        <f>IFERROR(__xludf.DUMMYFUNCTION("""COMPUTED_VALUE"""),3.0)</f>
        <v>3</v>
      </c>
    </row>
    <row r="62">
      <c r="A62" s="1">
        <v>61.0</v>
      </c>
      <c r="B62" s="1" t="s">
        <v>482</v>
      </c>
      <c r="C62" s="1" t="s">
        <v>88</v>
      </c>
      <c r="D62" s="1"/>
      <c r="E62" s="1">
        <v>61.0</v>
      </c>
      <c r="F62" s="1" t="s">
        <v>482</v>
      </c>
      <c r="G62" s="1" t="str">
        <f>IFERROR(__xludf.DUMMYFUNCTION("SPLIT(C62, "", "")"),"Action")</f>
        <v>Action</v>
      </c>
      <c r="H62" s="5" t="str">
        <f>IFERROR(__xludf.DUMMYFUNCTION("""COMPUTED_VALUE"""),"Adventure")</f>
        <v>Adventure</v>
      </c>
      <c r="I62" s="5" t="str">
        <f>IFERROR(__xludf.DUMMYFUNCTION("""COMPUTED_VALUE"""),"Sci-Fi")</f>
        <v>Sci-Fi</v>
      </c>
      <c r="J62" s="5" t="str">
        <f>IFERROR(__xludf.DUMMYFUNCTION("""COMPUTED_VALUE"""),"21🤙🏼Soorarai Pottru🤙🏼Drama🤙🏼1")</f>
        <v>21🤙🏼Soorarai Pottru🤙🏼Drama🤙🏼1</v>
      </c>
      <c r="K62" s="5">
        <f>IFERROR(__xludf.DUMMYFUNCTION("SPLiT(J62, ""🤙🏼"",FALSE,FALSE)"),21.0)</f>
        <v>21</v>
      </c>
      <c r="L62" s="5" t="str">
        <f>IFERROR(__xludf.DUMMYFUNCTION("""COMPUTED_VALUE"""),"Soorarai Pottru")</f>
        <v>Soorarai Pottru</v>
      </c>
      <c r="M62" s="5" t="str">
        <f>IFERROR(__xludf.DUMMYFUNCTION("""COMPUTED_VALUE"""),"Drama")</f>
        <v>Drama</v>
      </c>
      <c r="N62" s="5">
        <f>IFERROR(__xludf.DUMMYFUNCTION("""COMPUTED_VALUE"""),1.0)</f>
        <v>1</v>
      </c>
      <c r="S62" s="5">
        <f>IFERROR(__xludf.DUMMYFUNCTION("""COMPUTED_VALUE"""),27.0)</f>
        <v>27</v>
      </c>
      <c r="T62" s="5" t="str">
        <f>IFERROR(__xludf.DUMMYFUNCTION("""COMPUTED_VALUE"""),"La vita è bella")</f>
        <v>La vita è bella</v>
      </c>
      <c r="U62" s="5" t="str">
        <f>IFERROR(__xludf.DUMMYFUNCTION("""COMPUTED_VALUE"""),"Comedy")</f>
        <v>Comedy</v>
      </c>
      <c r="V62" s="5">
        <f>IFERROR(__xludf.DUMMYFUNCTION("""COMPUTED_VALUE"""),1.0)</f>
        <v>1</v>
      </c>
    </row>
    <row r="63">
      <c r="A63" s="1">
        <v>62.0</v>
      </c>
      <c r="B63" s="1" t="s">
        <v>486</v>
      </c>
      <c r="C63" s="1" t="s">
        <v>204</v>
      </c>
      <c r="D63" s="1"/>
      <c r="E63" s="1">
        <v>62.0</v>
      </c>
      <c r="F63" s="1" t="s">
        <v>486</v>
      </c>
      <c r="G63" s="1" t="str">
        <f>IFERROR(__xludf.DUMMYFUNCTION("SPLIT(C63, "", "")"),"Animation")</f>
        <v>Animation</v>
      </c>
      <c r="H63" s="5" t="str">
        <f>IFERROR(__xludf.DUMMYFUNCTION("""COMPUTED_VALUE"""),"Adventure")</f>
        <v>Adventure</v>
      </c>
      <c r="I63" s="5" t="str">
        <f>IFERROR(__xludf.DUMMYFUNCTION("""COMPUTED_VALUE"""),"Family")</f>
        <v>Family</v>
      </c>
      <c r="J63" s="5" t="str">
        <f>IFERROR(__xludf.DUMMYFUNCTION("""COMPUTED_VALUE"""),"21🤙🏼Soorarai Pottru🤙🏼🤙🏼2")</f>
        <v>21🤙🏼Soorarai Pottru🤙🏼🤙🏼2</v>
      </c>
      <c r="K63" s="5">
        <f>IFERROR(__xludf.DUMMYFUNCTION("SPLiT(J63, ""🤙🏼"",FALSE,FALSE)"),21.0)</f>
        <v>21</v>
      </c>
      <c r="L63" s="5" t="str">
        <f>IFERROR(__xludf.DUMMYFUNCTION("""COMPUTED_VALUE"""),"Soorarai Pottru")</f>
        <v>Soorarai Pottru</v>
      </c>
      <c r="M63" s="5"/>
      <c r="N63" s="5">
        <f>IFERROR(__xludf.DUMMYFUNCTION("""COMPUTED_VALUE"""),2.0)</f>
        <v>2</v>
      </c>
      <c r="S63" s="5">
        <f>IFERROR(__xludf.DUMMYFUNCTION("""COMPUTED_VALUE"""),27.0)</f>
        <v>27</v>
      </c>
      <c r="T63" s="5" t="str">
        <f>IFERROR(__xludf.DUMMYFUNCTION("""COMPUTED_VALUE"""),"La vita è bella")</f>
        <v>La vita è bella</v>
      </c>
      <c r="U63" s="5" t="str">
        <f>IFERROR(__xludf.DUMMYFUNCTION("""COMPUTED_VALUE"""),"Drama")</f>
        <v>Drama</v>
      </c>
      <c r="V63" s="5">
        <f>IFERROR(__xludf.DUMMYFUNCTION("""COMPUTED_VALUE"""),2.0)</f>
        <v>2</v>
      </c>
    </row>
    <row r="64">
      <c r="A64" s="1">
        <v>63.0</v>
      </c>
      <c r="B64" s="1" t="s">
        <v>494</v>
      </c>
      <c r="C64" s="1" t="s">
        <v>495</v>
      </c>
      <c r="D64" s="1"/>
      <c r="E64" s="1">
        <v>63.0</v>
      </c>
      <c r="F64" s="1" t="s">
        <v>494</v>
      </c>
      <c r="G64" s="1" t="str">
        <f>IFERROR(__xludf.DUMMYFUNCTION("SPLIT(C64, "", "")"),"Drama")</f>
        <v>Drama</v>
      </c>
      <c r="H64" s="5" t="str">
        <f>IFERROR(__xludf.DUMMYFUNCTION("""COMPUTED_VALUE"""),"Western")</f>
        <v>Western</v>
      </c>
      <c r="J64" s="5" t="str">
        <f>IFERROR(__xludf.DUMMYFUNCTION("""COMPUTED_VALUE"""),"21🤙🏼Soorarai Pottru🤙🏼🤙🏼3")</f>
        <v>21🤙🏼Soorarai Pottru🤙🏼🤙🏼3</v>
      </c>
      <c r="K64" s="5">
        <f>IFERROR(__xludf.DUMMYFUNCTION("SPLiT(J64, ""🤙🏼"",FALSE,FALSE)"),21.0)</f>
        <v>21</v>
      </c>
      <c r="L64" s="5" t="str">
        <f>IFERROR(__xludf.DUMMYFUNCTION("""COMPUTED_VALUE"""),"Soorarai Pottru")</f>
        <v>Soorarai Pottru</v>
      </c>
      <c r="M64" s="5"/>
      <c r="N64" s="5">
        <f>IFERROR(__xludf.DUMMYFUNCTION("""COMPUTED_VALUE"""),3.0)</f>
        <v>3</v>
      </c>
      <c r="S64" s="5">
        <f>IFERROR(__xludf.DUMMYFUNCTION("""COMPUTED_VALUE"""),27.0)</f>
        <v>27</v>
      </c>
      <c r="T64" s="5" t="str">
        <f>IFERROR(__xludf.DUMMYFUNCTION("""COMPUTED_VALUE"""),"La vita è bella")</f>
        <v>La vita è bella</v>
      </c>
      <c r="U64" s="5" t="str">
        <f>IFERROR(__xludf.DUMMYFUNCTION("""COMPUTED_VALUE"""),"Romance")</f>
        <v>Romance</v>
      </c>
      <c r="V64" s="5">
        <f>IFERROR(__xludf.DUMMYFUNCTION("""COMPUTED_VALUE"""),3.0)</f>
        <v>3</v>
      </c>
    </row>
    <row r="65">
      <c r="A65" s="1">
        <v>64.0</v>
      </c>
      <c r="B65" s="1" t="s">
        <v>500</v>
      </c>
      <c r="C65" s="1" t="s">
        <v>502</v>
      </c>
      <c r="D65" s="1"/>
      <c r="E65" s="1">
        <v>64.0</v>
      </c>
      <c r="F65" s="1" t="s">
        <v>500</v>
      </c>
      <c r="G65" s="1" t="str">
        <f>IFERROR(__xludf.DUMMYFUNCTION("SPLIT(C65, "", "")"),"Action")</f>
        <v>Action</v>
      </c>
      <c r="H65" s="5" t="str">
        <f>IFERROR(__xludf.DUMMYFUNCTION("""COMPUTED_VALUE"""),"Adventure")</f>
        <v>Adventure</v>
      </c>
      <c r="J65" s="5" t="str">
        <f>IFERROR(__xludf.DUMMYFUNCTION("""COMPUTED_VALUE"""),"22🤙🏼Interstellar🤙🏼Adventure🤙🏼1")</f>
        <v>22🤙🏼Interstellar🤙🏼Adventure🤙🏼1</v>
      </c>
      <c r="K65" s="5">
        <f>IFERROR(__xludf.DUMMYFUNCTION("SPLiT(J65, ""🤙🏼"",FALSE,FALSE)"),22.0)</f>
        <v>22</v>
      </c>
      <c r="L65" s="5" t="str">
        <f>IFERROR(__xludf.DUMMYFUNCTION("""COMPUTED_VALUE"""),"Interstellar")</f>
        <v>Interstellar</v>
      </c>
      <c r="M65" s="5" t="str">
        <f>IFERROR(__xludf.DUMMYFUNCTION("""COMPUTED_VALUE"""),"Adventure")</f>
        <v>Adventure</v>
      </c>
      <c r="N65" s="5">
        <f>IFERROR(__xludf.DUMMYFUNCTION("""COMPUTED_VALUE"""),1.0)</f>
        <v>1</v>
      </c>
      <c r="S65" s="5">
        <f>IFERROR(__xludf.DUMMYFUNCTION("""COMPUTED_VALUE"""),28.0)</f>
        <v>28</v>
      </c>
      <c r="T65" s="5" t="str">
        <f>IFERROR(__xludf.DUMMYFUNCTION("""COMPUTED_VALUE"""),"Se7en")</f>
        <v>Se7en</v>
      </c>
      <c r="U65" s="5" t="str">
        <f>IFERROR(__xludf.DUMMYFUNCTION("""COMPUTED_VALUE"""),"Crime")</f>
        <v>Crime</v>
      </c>
      <c r="V65" s="5">
        <f>IFERROR(__xludf.DUMMYFUNCTION("""COMPUTED_VALUE"""),1.0)</f>
        <v>1</v>
      </c>
    </row>
    <row r="66">
      <c r="A66" s="1">
        <v>65.0</v>
      </c>
      <c r="B66" s="1" t="s">
        <v>505</v>
      </c>
      <c r="C66" s="1" t="s">
        <v>507</v>
      </c>
      <c r="D66" s="1"/>
      <c r="E66" s="1">
        <v>65.0</v>
      </c>
      <c r="F66" s="1" t="s">
        <v>505</v>
      </c>
      <c r="G66" s="1" t="str">
        <f>IFERROR(__xludf.DUMMYFUNCTION("SPLIT(C66, "", "")"),"Comedy")</f>
        <v>Comedy</v>
      </c>
      <c r="H66" s="5" t="str">
        <f>IFERROR(__xludf.DUMMYFUNCTION("""COMPUTED_VALUE"""),"Drama")</f>
        <v>Drama</v>
      </c>
      <c r="J66" s="5" t="str">
        <f>IFERROR(__xludf.DUMMYFUNCTION("""COMPUTED_VALUE"""),"22🤙🏼Interstellar🤙🏼Drama🤙🏼2")</f>
        <v>22🤙🏼Interstellar🤙🏼Drama🤙🏼2</v>
      </c>
      <c r="K66" s="5">
        <f>IFERROR(__xludf.DUMMYFUNCTION("SPLiT(J66, ""🤙🏼"",FALSE,FALSE)"),22.0)</f>
        <v>22</v>
      </c>
      <c r="L66" s="5" t="str">
        <f>IFERROR(__xludf.DUMMYFUNCTION("""COMPUTED_VALUE"""),"Interstellar")</f>
        <v>Interstellar</v>
      </c>
      <c r="M66" s="5" t="str">
        <f>IFERROR(__xludf.DUMMYFUNCTION("""COMPUTED_VALUE"""),"Drama")</f>
        <v>Drama</v>
      </c>
      <c r="N66" s="5">
        <f>IFERROR(__xludf.DUMMYFUNCTION("""COMPUTED_VALUE"""),2.0)</f>
        <v>2</v>
      </c>
      <c r="S66" s="5">
        <f>IFERROR(__xludf.DUMMYFUNCTION("""COMPUTED_VALUE"""),28.0)</f>
        <v>28</v>
      </c>
      <c r="T66" s="5" t="str">
        <f>IFERROR(__xludf.DUMMYFUNCTION("""COMPUTED_VALUE"""),"Se7en")</f>
        <v>Se7en</v>
      </c>
      <c r="U66" s="5" t="str">
        <f>IFERROR(__xludf.DUMMYFUNCTION("""COMPUTED_VALUE"""),"Drama")</f>
        <v>Drama</v>
      </c>
      <c r="V66" s="5">
        <f>IFERROR(__xludf.DUMMYFUNCTION("""COMPUTED_VALUE"""),2.0)</f>
        <v>2</v>
      </c>
    </row>
    <row r="67">
      <c r="A67" s="1">
        <v>66.0</v>
      </c>
      <c r="B67" s="1" t="s">
        <v>512</v>
      </c>
      <c r="C67" s="1" t="s">
        <v>513</v>
      </c>
      <c r="D67" s="1"/>
      <c r="E67" s="1">
        <v>66.0</v>
      </c>
      <c r="F67" s="1" t="s">
        <v>512</v>
      </c>
      <c r="G67" s="1" t="str">
        <f>IFERROR(__xludf.DUMMYFUNCTION("SPLIT(C67, "", "")"),"Drama")</f>
        <v>Drama</v>
      </c>
      <c r="H67" s="5" t="str">
        <f>IFERROR(__xludf.DUMMYFUNCTION("""COMPUTED_VALUE"""),"Family")</f>
        <v>Family</v>
      </c>
      <c r="J67" s="5" t="str">
        <f>IFERROR(__xludf.DUMMYFUNCTION("""COMPUTED_VALUE"""),"22🤙🏼Interstellar🤙🏼Sci-Fi🤙🏼3")</f>
        <v>22🤙🏼Interstellar🤙🏼Sci-Fi🤙🏼3</v>
      </c>
      <c r="K67" s="5">
        <f>IFERROR(__xludf.DUMMYFUNCTION("SPLiT(J67, ""🤙🏼"",FALSE,FALSE)"),22.0)</f>
        <v>22</v>
      </c>
      <c r="L67" s="5" t="str">
        <f>IFERROR(__xludf.DUMMYFUNCTION("""COMPUTED_VALUE"""),"Interstellar")</f>
        <v>Interstellar</v>
      </c>
      <c r="M67" s="5" t="str">
        <f>IFERROR(__xludf.DUMMYFUNCTION("""COMPUTED_VALUE"""),"Sci-Fi")</f>
        <v>Sci-Fi</v>
      </c>
      <c r="N67" s="5">
        <f>IFERROR(__xludf.DUMMYFUNCTION("""COMPUTED_VALUE"""),3.0)</f>
        <v>3</v>
      </c>
      <c r="S67" s="5">
        <f>IFERROR(__xludf.DUMMYFUNCTION("""COMPUTED_VALUE"""),28.0)</f>
        <v>28</v>
      </c>
      <c r="T67" s="5" t="str">
        <f>IFERROR(__xludf.DUMMYFUNCTION("""COMPUTED_VALUE"""),"Se7en")</f>
        <v>Se7en</v>
      </c>
      <c r="U67" s="5" t="str">
        <f>IFERROR(__xludf.DUMMYFUNCTION("""COMPUTED_VALUE"""),"Mystery")</f>
        <v>Mystery</v>
      </c>
      <c r="V67" s="5">
        <f>IFERROR(__xludf.DUMMYFUNCTION("""COMPUTED_VALUE"""),3.0)</f>
        <v>3</v>
      </c>
    </row>
    <row r="68">
      <c r="A68" s="1">
        <v>67.0</v>
      </c>
      <c r="B68" s="1" t="s">
        <v>518</v>
      </c>
      <c r="C68" s="1" t="s">
        <v>204</v>
      </c>
      <c r="D68" s="1"/>
      <c r="E68" s="1">
        <v>67.0</v>
      </c>
      <c r="F68" s="1" t="s">
        <v>518</v>
      </c>
      <c r="G68" s="1" t="str">
        <f>IFERROR(__xludf.DUMMYFUNCTION("SPLIT(C68, "", "")"),"Animation")</f>
        <v>Animation</v>
      </c>
      <c r="H68" s="5" t="str">
        <f>IFERROR(__xludf.DUMMYFUNCTION("""COMPUTED_VALUE"""),"Adventure")</f>
        <v>Adventure</v>
      </c>
      <c r="I68" s="5" t="str">
        <f>IFERROR(__xludf.DUMMYFUNCTION("""COMPUTED_VALUE"""),"Family")</f>
        <v>Family</v>
      </c>
      <c r="J68" s="5" t="str">
        <f>IFERROR(__xludf.DUMMYFUNCTION("""COMPUTED_VALUE"""),"23🤙🏼Cidade de Deus🤙🏼Crime🤙🏼1")</f>
        <v>23🤙🏼Cidade de Deus🤙🏼Crime🤙🏼1</v>
      </c>
      <c r="K68" s="5">
        <f>IFERROR(__xludf.DUMMYFUNCTION("SPLiT(J68, ""🤙🏼"",FALSE,FALSE)"),23.0)</f>
        <v>23</v>
      </c>
      <c r="L68" s="5" t="str">
        <f>IFERROR(__xludf.DUMMYFUNCTION("""COMPUTED_VALUE"""),"Cidade de Deus")</f>
        <v>Cidade de Deus</v>
      </c>
      <c r="M68" s="5" t="str">
        <f>IFERROR(__xludf.DUMMYFUNCTION("""COMPUTED_VALUE"""),"Crime")</f>
        <v>Crime</v>
      </c>
      <c r="N68" s="5">
        <f>IFERROR(__xludf.DUMMYFUNCTION("""COMPUTED_VALUE"""),1.0)</f>
        <v>1</v>
      </c>
      <c r="S68" s="5">
        <f>IFERROR(__xludf.DUMMYFUNCTION("""COMPUTED_VALUE"""),29.0)</f>
        <v>29</v>
      </c>
      <c r="T68" s="5" t="str">
        <f>IFERROR(__xludf.DUMMYFUNCTION("""COMPUTED_VALUE"""),"The Silence of the Lambs")</f>
        <v>The Silence of the Lambs</v>
      </c>
      <c r="U68" s="5" t="str">
        <f>IFERROR(__xludf.DUMMYFUNCTION("""COMPUTED_VALUE"""),"Crime")</f>
        <v>Crime</v>
      </c>
      <c r="V68" s="5">
        <f>IFERROR(__xludf.DUMMYFUNCTION("""COMPUTED_VALUE"""),1.0)</f>
        <v>1</v>
      </c>
    </row>
    <row r="69">
      <c r="A69" s="1">
        <v>68.0</v>
      </c>
      <c r="B69" s="1" t="s">
        <v>526</v>
      </c>
      <c r="C69" s="1" t="s">
        <v>527</v>
      </c>
      <c r="D69" s="1"/>
      <c r="E69" s="1">
        <v>68.0</v>
      </c>
      <c r="F69" s="1" t="s">
        <v>526</v>
      </c>
      <c r="G69" s="1" t="str">
        <f>IFERROR(__xludf.DUMMYFUNCTION("SPLIT(C69, "", "")"),"Drama")</f>
        <v>Drama</v>
      </c>
      <c r="H69" s="5" t="str">
        <f>IFERROR(__xludf.DUMMYFUNCTION("""COMPUTED_VALUE"""),"Mystery")</f>
        <v>Mystery</v>
      </c>
      <c r="I69" s="5" t="str">
        <f>IFERROR(__xludf.DUMMYFUNCTION("""COMPUTED_VALUE"""),"Thriller")</f>
        <v>Thriller</v>
      </c>
      <c r="J69" s="5" t="str">
        <f>IFERROR(__xludf.DUMMYFUNCTION("""COMPUTED_VALUE"""),"23🤙🏼Cidade de Deus🤙🏼Drama🤙🏼2")</f>
        <v>23🤙🏼Cidade de Deus🤙🏼Drama🤙🏼2</v>
      </c>
      <c r="K69" s="5">
        <f>IFERROR(__xludf.DUMMYFUNCTION("SPLiT(J69, ""🤙🏼"",FALSE,FALSE)"),23.0)</f>
        <v>23</v>
      </c>
      <c r="L69" s="5" t="str">
        <f>IFERROR(__xludf.DUMMYFUNCTION("""COMPUTED_VALUE"""),"Cidade de Deus")</f>
        <v>Cidade de Deus</v>
      </c>
      <c r="M69" s="5" t="str">
        <f>IFERROR(__xludf.DUMMYFUNCTION("""COMPUTED_VALUE"""),"Drama")</f>
        <v>Drama</v>
      </c>
      <c r="N69" s="5">
        <f>IFERROR(__xludf.DUMMYFUNCTION("""COMPUTED_VALUE"""),2.0)</f>
        <v>2</v>
      </c>
      <c r="S69" s="5">
        <f>IFERROR(__xludf.DUMMYFUNCTION("""COMPUTED_VALUE"""),29.0)</f>
        <v>29</v>
      </c>
      <c r="T69" s="5" t="str">
        <f>IFERROR(__xludf.DUMMYFUNCTION("""COMPUTED_VALUE"""),"The Silence of the Lambs")</f>
        <v>The Silence of the Lambs</v>
      </c>
      <c r="U69" s="5" t="str">
        <f>IFERROR(__xludf.DUMMYFUNCTION("""COMPUTED_VALUE"""),"Drama")</f>
        <v>Drama</v>
      </c>
      <c r="V69" s="5">
        <f>IFERROR(__xludf.DUMMYFUNCTION("""COMPUTED_VALUE"""),2.0)</f>
        <v>2</v>
      </c>
    </row>
    <row r="70">
      <c r="A70" s="1">
        <v>69.0</v>
      </c>
      <c r="B70" s="1" t="s">
        <v>534</v>
      </c>
      <c r="C70" s="1" t="s">
        <v>254</v>
      </c>
      <c r="D70" s="1"/>
      <c r="E70" s="1">
        <v>69.0</v>
      </c>
      <c r="F70" s="1" t="s">
        <v>534</v>
      </c>
      <c r="G70" s="1" t="str">
        <f>IFERROR(__xludf.DUMMYFUNCTION("SPLIT(C70, "", "")"),"Action")</f>
        <v>Action</v>
      </c>
      <c r="H70" s="5" t="str">
        <f>IFERROR(__xludf.DUMMYFUNCTION("""COMPUTED_VALUE"""),"Drama")</f>
        <v>Drama</v>
      </c>
      <c r="I70" s="5" t="str">
        <f>IFERROR(__xludf.DUMMYFUNCTION("""COMPUTED_VALUE"""),"Mystery")</f>
        <v>Mystery</v>
      </c>
      <c r="J70" s="5" t="str">
        <f>IFERROR(__xludf.DUMMYFUNCTION("""COMPUTED_VALUE"""),"23🤙🏼Cidade de Deus🤙🏼🤙🏼3")</f>
        <v>23🤙🏼Cidade de Deus🤙🏼🤙🏼3</v>
      </c>
      <c r="K70" s="5">
        <f>IFERROR(__xludf.DUMMYFUNCTION("SPLiT(J70, ""🤙🏼"",FALSE,FALSE)"),23.0)</f>
        <v>23</v>
      </c>
      <c r="L70" s="5" t="str">
        <f>IFERROR(__xludf.DUMMYFUNCTION("""COMPUTED_VALUE"""),"Cidade de Deus")</f>
        <v>Cidade de Deus</v>
      </c>
      <c r="M70" s="5"/>
      <c r="N70" s="5">
        <f>IFERROR(__xludf.DUMMYFUNCTION("""COMPUTED_VALUE"""),3.0)</f>
        <v>3</v>
      </c>
      <c r="S70" s="5">
        <f>IFERROR(__xludf.DUMMYFUNCTION("""COMPUTED_VALUE"""),29.0)</f>
        <v>29</v>
      </c>
      <c r="T70" s="5" t="str">
        <f>IFERROR(__xludf.DUMMYFUNCTION("""COMPUTED_VALUE"""),"The Silence of the Lambs")</f>
        <v>The Silence of the Lambs</v>
      </c>
      <c r="U70" s="5" t="str">
        <f>IFERROR(__xludf.DUMMYFUNCTION("""COMPUTED_VALUE"""),"Thriller")</f>
        <v>Thriller</v>
      </c>
      <c r="V70" s="5">
        <f>IFERROR(__xludf.DUMMYFUNCTION("""COMPUTED_VALUE"""),3.0)</f>
        <v>3</v>
      </c>
    </row>
    <row r="71">
      <c r="A71" s="1">
        <v>70.0</v>
      </c>
      <c r="B71" s="1" t="s">
        <v>542</v>
      </c>
      <c r="C71" s="1" t="s">
        <v>544</v>
      </c>
      <c r="D71" s="1"/>
      <c r="E71" s="1">
        <v>70.0</v>
      </c>
      <c r="F71" s="1" t="s">
        <v>542</v>
      </c>
      <c r="G71" s="1" t="str">
        <f>IFERROR(__xludf.DUMMYFUNCTION("SPLIT(C71, "", "")"),"Mystery")</f>
        <v>Mystery</v>
      </c>
      <c r="H71" s="5" t="str">
        <f>IFERROR(__xludf.DUMMYFUNCTION("""COMPUTED_VALUE"""),"Thriller")</f>
        <v>Thriller</v>
      </c>
      <c r="J71" s="5" t="str">
        <f>IFERROR(__xludf.DUMMYFUNCTION("""COMPUTED_VALUE"""),"24🤙🏼Sen to Chihiro no kamikakushi🤙🏼Animation🤙🏼1")</f>
        <v>24🤙🏼Sen to Chihiro no kamikakushi🤙🏼Animation🤙🏼1</v>
      </c>
      <c r="K71" s="5">
        <f>IFERROR(__xludf.DUMMYFUNCTION("SPLiT(J71, ""🤙🏼"",FALSE,FALSE)"),24.0)</f>
        <v>24</v>
      </c>
      <c r="L71" s="5" t="str">
        <f>IFERROR(__xludf.DUMMYFUNCTION("""COMPUTED_VALUE"""),"Sen to Chihiro no kamikakushi")</f>
        <v>Sen to Chihiro no kamikakushi</v>
      </c>
      <c r="M71" s="5" t="str">
        <f>IFERROR(__xludf.DUMMYFUNCTION("""COMPUTED_VALUE"""),"Animation")</f>
        <v>Animation</v>
      </c>
      <c r="N71" s="5">
        <f>IFERROR(__xludf.DUMMYFUNCTION("""COMPUTED_VALUE"""),1.0)</f>
        <v>1</v>
      </c>
      <c r="S71" s="5">
        <f>IFERROR(__xludf.DUMMYFUNCTION("""COMPUTED_VALUE"""),30.0)</f>
        <v>30</v>
      </c>
      <c r="T71" s="5" t="str">
        <f>IFERROR(__xludf.DUMMYFUNCTION("""COMPUTED_VALUE"""),"Star Wars")</f>
        <v>Star Wars</v>
      </c>
      <c r="U71" s="5" t="str">
        <f>IFERROR(__xludf.DUMMYFUNCTION("""COMPUTED_VALUE"""),"Action")</f>
        <v>Action</v>
      </c>
      <c r="V71" s="5">
        <f>IFERROR(__xludf.DUMMYFUNCTION("""COMPUTED_VALUE"""),1.0)</f>
        <v>1</v>
      </c>
    </row>
    <row r="72">
      <c r="A72" s="1">
        <v>71.0</v>
      </c>
      <c r="B72" s="1" t="s">
        <v>549</v>
      </c>
      <c r="C72" s="1" t="s">
        <v>467</v>
      </c>
      <c r="D72" s="1"/>
      <c r="E72" s="1">
        <v>71.0</v>
      </c>
      <c r="F72" s="1" t="s">
        <v>549</v>
      </c>
      <c r="G72" s="1" t="str">
        <f>IFERROR(__xludf.DUMMYFUNCTION("SPLIT(C72, "", "")"),"Animation")</f>
        <v>Animation</v>
      </c>
      <c r="H72" s="5" t="str">
        <f>IFERROR(__xludf.DUMMYFUNCTION("""COMPUTED_VALUE"""),"Action")</f>
        <v>Action</v>
      </c>
      <c r="I72" s="5" t="str">
        <f>IFERROR(__xludf.DUMMYFUNCTION("""COMPUTED_VALUE"""),"Adventure")</f>
        <v>Adventure</v>
      </c>
      <c r="J72" s="5" t="str">
        <f>IFERROR(__xludf.DUMMYFUNCTION("""COMPUTED_VALUE"""),"24🤙🏼Sen to Chihiro no kamikakushi🤙🏼Adventure🤙🏼2")</f>
        <v>24🤙🏼Sen to Chihiro no kamikakushi🤙🏼Adventure🤙🏼2</v>
      </c>
      <c r="K72" s="5">
        <f>IFERROR(__xludf.DUMMYFUNCTION("SPLiT(J72, ""🤙🏼"",FALSE,FALSE)"),24.0)</f>
        <v>24</v>
      </c>
      <c r="L72" s="5" t="str">
        <f>IFERROR(__xludf.DUMMYFUNCTION("""COMPUTED_VALUE"""),"Sen to Chihiro no kamikakushi")</f>
        <v>Sen to Chihiro no kamikakushi</v>
      </c>
      <c r="M72" s="5" t="str">
        <f>IFERROR(__xludf.DUMMYFUNCTION("""COMPUTED_VALUE"""),"Adventure")</f>
        <v>Adventure</v>
      </c>
      <c r="N72" s="5">
        <f>IFERROR(__xludf.DUMMYFUNCTION("""COMPUTED_VALUE"""),2.0)</f>
        <v>2</v>
      </c>
      <c r="S72" s="5">
        <f>IFERROR(__xludf.DUMMYFUNCTION("""COMPUTED_VALUE"""),30.0)</f>
        <v>30</v>
      </c>
      <c r="T72" s="5" t="str">
        <f>IFERROR(__xludf.DUMMYFUNCTION("""COMPUTED_VALUE"""),"Star Wars")</f>
        <v>Star Wars</v>
      </c>
      <c r="U72" s="5" t="str">
        <f>IFERROR(__xludf.DUMMYFUNCTION("""COMPUTED_VALUE"""),"Adventure")</f>
        <v>Adventure</v>
      </c>
      <c r="V72" s="5">
        <f>IFERROR(__xludf.DUMMYFUNCTION("""COMPUTED_VALUE"""),2.0)</f>
        <v>2</v>
      </c>
    </row>
    <row r="73">
      <c r="A73" s="1">
        <v>72.0</v>
      </c>
      <c r="B73" s="1" t="s">
        <v>556</v>
      </c>
      <c r="C73" s="1" t="s">
        <v>29</v>
      </c>
      <c r="D73" s="1"/>
      <c r="E73" s="1">
        <v>72.0</v>
      </c>
      <c r="F73" s="1" t="s">
        <v>556</v>
      </c>
      <c r="G73" s="1" t="str">
        <f>IFERROR(__xludf.DUMMYFUNCTION("SPLIT(C73, "", "")"),"Crime")</f>
        <v>Crime</v>
      </c>
      <c r="H73" s="5" t="str">
        <f>IFERROR(__xludf.DUMMYFUNCTION("""COMPUTED_VALUE"""),"Drama")</f>
        <v>Drama</v>
      </c>
      <c r="J73" s="5" t="str">
        <f>IFERROR(__xludf.DUMMYFUNCTION("""COMPUTED_VALUE"""),"24🤙🏼Sen to Chihiro no kamikakushi🤙🏼Family🤙🏼3")</f>
        <v>24🤙🏼Sen to Chihiro no kamikakushi🤙🏼Family🤙🏼3</v>
      </c>
      <c r="K73" s="5">
        <f>IFERROR(__xludf.DUMMYFUNCTION("SPLiT(J73, ""🤙🏼"",FALSE,FALSE)"),24.0)</f>
        <v>24</v>
      </c>
      <c r="L73" s="5" t="str">
        <f>IFERROR(__xludf.DUMMYFUNCTION("""COMPUTED_VALUE"""),"Sen to Chihiro no kamikakushi")</f>
        <v>Sen to Chihiro no kamikakushi</v>
      </c>
      <c r="M73" s="5" t="str">
        <f>IFERROR(__xludf.DUMMYFUNCTION("""COMPUTED_VALUE"""),"Family")</f>
        <v>Family</v>
      </c>
      <c r="N73" s="5">
        <f>IFERROR(__xludf.DUMMYFUNCTION("""COMPUTED_VALUE"""),3.0)</f>
        <v>3</v>
      </c>
      <c r="S73" s="5">
        <f>IFERROR(__xludf.DUMMYFUNCTION("""COMPUTED_VALUE"""),30.0)</f>
        <v>30</v>
      </c>
      <c r="T73" s="5" t="str">
        <f>IFERROR(__xludf.DUMMYFUNCTION("""COMPUTED_VALUE"""),"Star Wars")</f>
        <v>Star Wars</v>
      </c>
      <c r="U73" s="5" t="str">
        <f>IFERROR(__xludf.DUMMYFUNCTION("""COMPUTED_VALUE"""),"Fantasy")</f>
        <v>Fantasy</v>
      </c>
      <c r="V73" s="5">
        <f>IFERROR(__xludf.DUMMYFUNCTION("""COMPUTED_VALUE"""),3.0)</f>
        <v>3</v>
      </c>
    </row>
    <row r="74">
      <c r="A74" s="1">
        <v>73.0</v>
      </c>
      <c r="B74" s="1" t="s">
        <v>562</v>
      </c>
      <c r="C74" s="1" t="s">
        <v>502</v>
      </c>
      <c r="D74" s="1"/>
      <c r="E74" s="1">
        <v>73.0</v>
      </c>
      <c r="F74" s="1" t="s">
        <v>562</v>
      </c>
      <c r="G74" s="1" t="str">
        <f>IFERROR(__xludf.DUMMYFUNCTION("SPLIT(C74, "", "")"),"Action")</f>
        <v>Action</v>
      </c>
      <c r="H74" s="5" t="str">
        <f>IFERROR(__xludf.DUMMYFUNCTION("""COMPUTED_VALUE"""),"Adventure")</f>
        <v>Adventure</v>
      </c>
      <c r="J74" s="5" t="str">
        <f>IFERROR(__xludf.DUMMYFUNCTION("""COMPUTED_VALUE"""),"25🤙🏼Saving Private Ryan🤙🏼Drama🤙🏼1")</f>
        <v>25🤙🏼Saving Private Ryan🤙🏼Drama🤙🏼1</v>
      </c>
      <c r="K74" s="5">
        <f>IFERROR(__xludf.DUMMYFUNCTION("SPLiT(J74, ""🤙🏼"",FALSE,FALSE)"),25.0)</f>
        <v>25</v>
      </c>
      <c r="L74" s="5" t="str">
        <f>IFERROR(__xludf.DUMMYFUNCTION("""COMPUTED_VALUE"""),"Saving Private Ryan")</f>
        <v>Saving Private Ryan</v>
      </c>
      <c r="M74" s="5" t="str">
        <f>IFERROR(__xludf.DUMMYFUNCTION("""COMPUTED_VALUE"""),"Drama")</f>
        <v>Drama</v>
      </c>
      <c r="N74" s="5">
        <f>IFERROR(__xludf.DUMMYFUNCTION("""COMPUTED_VALUE"""),1.0)</f>
        <v>1</v>
      </c>
      <c r="S74" s="5">
        <f>IFERROR(__xludf.DUMMYFUNCTION("""COMPUTED_VALUE"""),31.0)</f>
        <v>31</v>
      </c>
      <c r="T74" s="5" t="str">
        <f>IFERROR(__xludf.DUMMYFUNCTION("""COMPUTED_VALUE"""),"Seppuku")</f>
        <v>Seppuku</v>
      </c>
      <c r="U74" s="5" t="str">
        <f>IFERROR(__xludf.DUMMYFUNCTION("""COMPUTED_VALUE"""),"Action")</f>
        <v>Action</v>
      </c>
      <c r="V74" s="5">
        <f>IFERROR(__xludf.DUMMYFUNCTION("""COMPUTED_VALUE"""),1.0)</f>
        <v>1</v>
      </c>
    </row>
    <row r="75">
      <c r="A75" s="1">
        <v>74.0</v>
      </c>
      <c r="B75" s="1" t="s">
        <v>568</v>
      </c>
      <c r="C75" s="1" t="s">
        <v>569</v>
      </c>
      <c r="D75" s="1"/>
      <c r="E75" s="1">
        <v>74.0</v>
      </c>
      <c r="F75" s="1" t="s">
        <v>568</v>
      </c>
      <c r="G75" s="1" t="str">
        <f>IFERROR(__xludf.DUMMYFUNCTION("SPLIT(C75, "", "")"),"Drama")</f>
        <v>Drama</v>
      </c>
      <c r="H75" s="5" t="str">
        <f>IFERROR(__xludf.DUMMYFUNCTION("""COMPUTED_VALUE"""),"Horror")</f>
        <v>Horror</v>
      </c>
      <c r="J75" s="5" t="str">
        <f>IFERROR(__xludf.DUMMYFUNCTION("""COMPUTED_VALUE"""),"25🤙🏼Saving Private Ryan🤙🏼War🤙🏼2")</f>
        <v>25🤙🏼Saving Private Ryan🤙🏼War🤙🏼2</v>
      </c>
      <c r="K75" s="5">
        <f>IFERROR(__xludf.DUMMYFUNCTION("SPLiT(J75, ""🤙🏼"",FALSE,FALSE)"),25.0)</f>
        <v>25</v>
      </c>
      <c r="L75" s="5" t="str">
        <f>IFERROR(__xludf.DUMMYFUNCTION("""COMPUTED_VALUE"""),"Saving Private Ryan")</f>
        <v>Saving Private Ryan</v>
      </c>
      <c r="M75" s="5" t="str">
        <f>IFERROR(__xludf.DUMMYFUNCTION("""COMPUTED_VALUE"""),"War")</f>
        <v>War</v>
      </c>
      <c r="N75" s="5">
        <f>IFERROR(__xludf.DUMMYFUNCTION("""COMPUTED_VALUE"""),2.0)</f>
        <v>2</v>
      </c>
      <c r="S75" s="5">
        <f>IFERROR(__xludf.DUMMYFUNCTION("""COMPUTED_VALUE"""),31.0)</f>
        <v>31</v>
      </c>
      <c r="T75" s="5" t="str">
        <f>IFERROR(__xludf.DUMMYFUNCTION("""COMPUTED_VALUE"""),"Seppuku")</f>
        <v>Seppuku</v>
      </c>
      <c r="U75" s="5" t="str">
        <f>IFERROR(__xludf.DUMMYFUNCTION("""COMPUTED_VALUE"""),"Drama")</f>
        <v>Drama</v>
      </c>
      <c r="V75" s="5">
        <f>IFERROR(__xludf.DUMMYFUNCTION("""COMPUTED_VALUE"""),2.0)</f>
        <v>2</v>
      </c>
    </row>
    <row r="76">
      <c r="A76" s="1">
        <v>75.0</v>
      </c>
      <c r="B76" s="1" t="s">
        <v>575</v>
      </c>
      <c r="C76" s="1" t="s">
        <v>576</v>
      </c>
      <c r="D76" s="1"/>
      <c r="E76" s="1">
        <v>75.0</v>
      </c>
      <c r="F76" s="1" t="s">
        <v>575</v>
      </c>
      <c r="G76" s="1" t="str">
        <f>IFERROR(__xludf.DUMMYFUNCTION("SPLIT(C76, "", "")"),"Drama")</f>
        <v>Drama</v>
      </c>
      <c r="H76" s="5" t="str">
        <f>IFERROR(__xludf.DUMMYFUNCTION("""COMPUTED_VALUE"""),"Mystery")</f>
        <v>Mystery</v>
      </c>
      <c r="I76" s="5" t="str">
        <f>IFERROR(__xludf.DUMMYFUNCTION("""COMPUTED_VALUE"""),"War")</f>
        <v>War</v>
      </c>
      <c r="J76" s="5" t="str">
        <f>IFERROR(__xludf.DUMMYFUNCTION("""COMPUTED_VALUE"""),"25🤙🏼Saving Private Ryan🤙🏼🤙🏼3")</f>
        <v>25🤙🏼Saving Private Ryan🤙🏼🤙🏼3</v>
      </c>
      <c r="K76" s="5">
        <f>IFERROR(__xludf.DUMMYFUNCTION("SPLiT(J76, ""🤙🏼"",FALSE,FALSE)"),25.0)</f>
        <v>25</v>
      </c>
      <c r="L76" s="5" t="str">
        <f>IFERROR(__xludf.DUMMYFUNCTION("""COMPUTED_VALUE"""),"Saving Private Ryan")</f>
        <v>Saving Private Ryan</v>
      </c>
      <c r="M76" s="5"/>
      <c r="N76" s="5">
        <f>IFERROR(__xludf.DUMMYFUNCTION("""COMPUTED_VALUE"""),3.0)</f>
        <v>3</v>
      </c>
      <c r="S76" s="5">
        <f>IFERROR(__xludf.DUMMYFUNCTION("""COMPUTED_VALUE"""),31.0)</f>
        <v>31</v>
      </c>
      <c r="T76" s="5" t="str">
        <f>IFERROR(__xludf.DUMMYFUNCTION("""COMPUTED_VALUE"""),"Seppuku")</f>
        <v>Seppuku</v>
      </c>
      <c r="U76" s="5" t="str">
        <f>IFERROR(__xludf.DUMMYFUNCTION("""COMPUTED_VALUE"""),"Mystery")</f>
        <v>Mystery</v>
      </c>
      <c r="V76" s="5">
        <f>IFERROR(__xludf.DUMMYFUNCTION("""COMPUTED_VALUE"""),3.0)</f>
        <v>3</v>
      </c>
    </row>
    <row r="77">
      <c r="A77" s="1">
        <v>76.0</v>
      </c>
      <c r="B77" s="1" t="s">
        <v>580</v>
      </c>
      <c r="C77" s="1" t="s">
        <v>581</v>
      </c>
      <c r="D77" s="1"/>
      <c r="E77" s="1">
        <v>76.0</v>
      </c>
      <c r="F77" s="1" t="s">
        <v>580</v>
      </c>
      <c r="G77" s="1" t="str">
        <f>IFERROR(__xludf.DUMMYFUNCTION("SPLIT(C77, "", "")"),"Horror")</f>
        <v>Horror</v>
      </c>
      <c r="H77" s="5" t="str">
        <f>IFERROR(__xludf.DUMMYFUNCTION("""COMPUTED_VALUE"""),"Sci-Fi")</f>
        <v>Sci-Fi</v>
      </c>
      <c r="J77" s="5" t="str">
        <f>IFERROR(__xludf.DUMMYFUNCTION("""COMPUTED_VALUE"""),"26🤙🏼The Green Mile🤙🏼Crime🤙🏼1")</f>
        <v>26🤙🏼The Green Mile🤙🏼Crime🤙🏼1</v>
      </c>
      <c r="K77" s="5">
        <f>IFERROR(__xludf.DUMMYFUNCTION("SPLiT(J77, ""🤙🏼"",FALSE,FALSE)"),26.0)</f>
        <v>26</v>
      </c>
      <c r="L77" s="5" t="str">
        <f>IFERROR(__xludf.DUMMYFUNCTION("""COMPUTED_VALUE"""),"The Green Mile")</f>
        <v>The Green Mile</v>
      </c>
      <c r="M77" s="5" t="str">
        <f>IFERROR(__xludf.DUMMYFUNCTION("""COMPUTED_VALUE"""),"Crime")</f>
        <v>Crime</v>
      </c>
      <c r="N77" s="5">
        <f>IFERROR(__xludf.DUMMYFUNCTION("""COMPUTED_VALUE"""),1.0)</f>
        <v>1</v>
      </c>
      <c r="S77" s="5">
        <f>IFERROR(__xludf.DUMMYFUNCTION("""COMPUTED_VALUE"""),32.0)</f>
        <v>32</v>
      </c>
      <c r="T77" s="5" t="str">
        <f>IFERROR(__xludf.DUMMYFUNCTION("""COMPUTED_VALUE"""),"Shichinin no samurai")</f>
        <v>Shichinin no samurai</v>
      </c>
      <c r="U77" s="5" t="str">
        <f>IFERROR(__xludf.DUMMYFUNCTION("""COMPUTED_VALUE"""),"Action")</f>
        <v>Action</v>
      </c>
      <c r="V77" s="5">
        <f>IFERROR(__xludf.DUMMYFUNCTION("""COMPUTED_VALUE"""),1.0)</f>
        <v>1</v>
      </c>
    </row>
    <row r="78">
      <c r="A78" s="1">
        <v>77.0</v>
      </c>
      <c r="B78" s="1" t="s">
        <v>587</v>
      </c>
      <c r="C78" s="1" t="s">
        <v>588</v>
      </c>
      <c r="D78" s="1"/>
      <c r="E78" s="1">
        <v>77.0</v>
      </c>
      <c r="F78" s="1" t="s">
        <v>587</v>
      </c>
      <c r="G78" s="1" t="str">
        <f>IFERROR(__xludf.DUMMYFUNCTION("SPLIT(C78, "", "")"),"Drama")</f>
        <v>Drama</v>
      </c>
      <c r="H78" s="5" t="str">
        <f>IFERROR(__xludf.DUMMYFUNCTION("""COMPUTED_VALUE"""),"Musical")</f>
        <v>Musical</v>
      </c>
      <c r="J78" s="5" t="str">
        <f>IFERROR(__xludf.DUMMYFUNCTION("""COMPUTED_VALUE"""),"26🤙🏼The Green Mile🤙🏼Drama🤙🏼2")</f>
        <v>26🤙🏼The Green Mile🤙🏼Drama🤙🏼2</v>
      </c>
      <c r="K78" s="5">
        <f>IFERROR(__xludf.DUMMYFUNCTION("SPLiT(J78, ""🤙🏼"",FALSE,FALSE)"),26.0)</f>
        <v>26</v>
      </c>
      <c r="L78" s="5" t="str">
        <f>IFERROR(__xludf.DUMMYFUNCTION("""COMPUTED_VALUE"""),"The Green Mile")</f>
        <v>The Green Mile</v>
      </c>
      <c r="M78" s="5" t="str">
        <f>IFERROR(__xludf.DUMMYFUNCTION("""COMPUTED_VALUE"""),"Drama")</f>
        <v>Drama</v>
      </c>
      <c r="N78" s="5">
        <f>IFERROR(__xludf.DUMMYFUNCTION("""COMPUTED_VALUE"""),2.0)</f>
        <v>2</v>
      </c>
      <c r="S78" s="5">
        <f>IFERROR(__xludf.DUMMYFUNCTION("""COMPUTED_VALUE"""),32.0)</f>
        <v>32</v>
      </c>
      <c r="T78" s="5" t="str">
        <f>IFERROR(__xludf.DUMMYFUNCTION("""COMPUTED_VALUE"""),"Shichinin no samurai")</f>
        <v>Shichinin no samurai</v>
      </c>
      <c r="U78" s="5" t="str">
        <f>IFERROR(__xludf.DUMMYFUNCTION("""COMPUTED_VALUE"""),"Adventure")</f>
        <v>Adventure</v>
      </c>
      <c r="V78" s="5">
        <f>IFERROR(__xludf.DUMMYFUNCTION("""COMPUTED_VALUE"""),2.0)</f>
        <v>2</v>
      </c>
    </row>
    <row r="79">
      <c r="A79" s="1">
        <v>78.0</v>
      </c>
      <c r="B79" s="1" t="s">
        <v>595</v>
      </c>
      <c r="C79" s="1" t="s">
        <v>235</v>
      </c>
      <c r="D79" s="1"/>
      <c r="E79" s="1">
        <v>78.0</v>
      </c>
      <c r="F79" s="1" t="s">
        <v>595</v>
      </c>
      <c r="G79" s="1" t="str">
        <f>IFERROR(__xludf.DUMMYFUNCTION("SPLIT(C79, "", "")"),"Crime")</f>
        <v>Crime</v>
      </c>
      <c r="H79" s="5" t="str">
        <f>IFERROR(__xludf.DUMMYFUNCTION("""COMPUTED_VALUE"""),"Drama")</f>
        <v>Drama</v>
      </c>
      <c r="I79" s="5" t="str">
        <f>IFERROR(__xludf.DUMMYFUNCTION("""COMPUTED_VALUE"""),"Mystery")</f>
        <v>Mystery</v>
      </c>
      <c r="J79" s="5" t="str">
        <f>IFERROR(__xludf.DUMMYFUNCTION("""COMPUTED_VALUE"""),"26🤙🏼The Green Mile🤙🏼Fantasy🤙🏼3")</f>
        <v>26🤙🏼The Green Mile🤙🏼Fantasy🤙🏼3</v>
      </c>
      <c r="K79" s="5">
        <f>IFERROR(__xludf.DUMMYFUNCTION("SPLiT(J79, ""🤙🏼"",FALSE,FALSE)"),26.0)</f>
        <v>26</v>
      </c>
      <c r="L79" s="5" t="str">
        <f>IFERROR(__xludf.DUMMYFUNCTION("""COMPUTED_VALUE"""),"The Green Mile")</f>
        <v>The Green Mile</v>
      </c>
      <c r="M79" s="5" t="str">
        <f>IFERROR(__xludf.DUMMYFUNCTION("""COMPUTED_VALUE"""),"Fantasy")</f>
        <v>Fantasy</v>
      </c>
      <c r="N79" s="5">
        <f>IFERROR(__xludf.DUMMYFUNCTION("""COMPUTED_VALUE"""),3.0)</f>
        <v>3</v>
      </c>
      <c r="S79" s="5">
        <f>IFERROR(__xludf.DUMMYFUNCTION("""COMPUTED_VALUE"""),32.0)</f>
        <v>32</v>
      </c>
      <c r="T79" s="5" t="str">
        <f>IFERROR(__xludf.DUMMYFUNCTION("""COMPUTED_VALUE"""),"Shichinin no samurai")</f>
        <v>Shichinin no samurai</v>
      </c>
      <c r="U79" s="5" t="str">
        <f>IFERROR(__xludf.DUMMYFUNCTION("""COMPUTED_VALUE"""),"Drama")</f>
        <v>Drama</v>
      </c>
      <c r="V79" s="5">
        <f>IFERROR(__xludf.DUMMYFUNCTION("""COMPUTED_VALUE"""),3.0)</f>
        <v>3</v>
      </c>
    </row>
    <row r="80">
      <c r="A80" s="1">
        <v>79.0</v>
      </c>
      <c r="B80" s="1" t="s">
        <v>600</v>
      </c>
      <c r="C80" s="1" t="s">
        <v>602</v>
      </c>
      <c r="D80" s="1"/>
      <c r="E80" s="1">
        <v>79.0</v>
      </c>
      <c r="F80" s="1" t="s">
        <v>600</v>
      </c>
      <c r="G80" s="1" t="str">
        <f>IFERROR(__xludf.DUMMYFUNCTION("SPLIT(C80, "", "")"),"Comedy")</f>
        <v>Comedy</v>
      </c>
      <c r="J80" s="5" t="str">
        <f>IFERROR(__xludf.DUMMYFUNCTION("""COMPUTED_VALUE"""),"27🤙🏼La vita è bella🤙🏼Comedy🤙🏼1")</f>
        <v>27🤙🏼La vita è bella🤙🏼Comedy🤙🏼1</v>
      </c>
      <c r="K80" s="5">
        <f>IFERROR(__xludf.DUMMYFUNCTION("SPLiT(J80, ""🤙🏼"",FALSE,FALSE)"),27.0)</f>
        <v>27</v>
      </c>
      <c r="L80" s="5" t="str">
        <f>IFERROR(__xludf.DUMMYFUNCTION("""COMPUTED_VALUE"""),"La vita è bella")</f>
        <v>La vita è bella</v>
      </c>
      <c r="M80" s="5" t="str">
        <f>IFERROR(__xludf.DUMMYFUNCTION("""COMPUTED_VALUE"""),"Comedy")</f>
        <v>Comedy</v>
      </c>
      <c r="N80" s="5">
        <f>IFERROR(__xludf.DUMMYFUNCTION("""COMPUTED_VALUE"""),1.0)</f>
        <v>1</v>
      </c>
      <c r="S80" s="5">
        <f>IFERROR(__xludf.DUMMYFUNCTION("""COMPUTED_VALUE"""),33.0)</f>
        <v>33</v>
      </c>
      <c r="T80" s="5" t="str">
        <f>IFERROR(__xludf.DUMMYFUNCTION("""COMPUTED_VALUE"""),"It's a Wonderful Life")</f>
        <v>It's a Wonderful Life</v>
      </c>
      <c r="U80" s="5" t="str">
        <f>IFERROR(__xludf.DUMMYFUNCTION("""COMPUTED_VALUE"""),"Drama")</f>
        <v>Drama</v>
      </c>
      <c r="V80" s="5">
        <f>IFERROR(__xludf.DUMMYFUNCTION("""COMPUTED_VALUE"""),1.0)</f>
        <v>1</v>
      </c>
    </row>
    <row r="81">
      <c r="A81" s="1">
        <v>80.0</v>
      </c>
      <c r="B81" s="1" t="s">
        <v>608</v>
      </c>
      <c r="C81" s="1" t="s">
        <v>235</v>
      </c>
      <c r="D81" s="1"/>
      <c r="E81" s="1">
        <v>80.0</v>
      </c>
      <c r="F81" s="1" t="s">
        <v>608</v>
      </c>
      <c r="G81" s="1" t="str">
        <f>IFERROR(__xludf.DUMMYFUNCTION("SPLIT(C81, "", "")"),"Crime")</f>
        <v>Crime</v>
      </c>
      <c r="H81" s="5" t="str">
        <f>IFERROR(__xludf.DUMMYFUNCTION("""COMPUTED_VALUE"""),"Drama")</f>
        <v>Drama</v>
      </c>
      <c r="I81" s="5" t="str">
        <f>IFERROR(__xludf.DUMMYFUNCTION("""COMPUTED_VALUE"""),"Mystery")</f>
        <v>Mystery</v>
      </c>
      <c r="J81" s="5" t="str">
        <f>IFERROR(__xludf.DUMMYFUNCTION("""COMPUTED_VALUE"""),"27🤙🏼La vita è bella🤙🏼Drama🤙🏼2")</f>
        <v>27🤙🏼La vita è bella🤙🏼Drama🤙🏼2</v>
      </c>
      <c r="K81" s="5">
        <f>IFERROR(__xludf.DUMMYFUNCTION("SPLiT(J81, ""🤙🏼"",FALSE,FALSE)"),27.0)</f>
        <v>27</v>
      </c>
      <c r="L81" s="5" t="str">
        <f>IFERROR(__xludf.DUMMYFUNCTION("""COMPUTED_VALUE"""),"La vita è bella")</f>
        <v>La vita è bella</v>
      </c>
      <c r="M81" s="5" t="str">
        <f>IFERROR(__xludf.DUMMYFUNCTION("""COMPUTED_VALUE"""),"Drama")</f>
        <v>Drama</v>
      </c>
      <c r="N81" s="5">
        <f>IFERROR(__xludf.DUMMYFUNCTION("""COMPUTED_VALUE"""),2.0)</f>
        <v>2</v>
      </c>
      <c r="S81" s="5">
        <f>IFERROR(__xludf.DUMMYFUNCTION("""COMPUTED_VALUE"""),33.0)</f>
        <v>33</v>
      </c>
      <c r="T81" s="5" t="str">
        <f>IFERROR(__xludf.DUMMYFUNCTION("""COMPUTED_VALUE"""),"It's a Wonderful Life")</f>
        <v>It's a Wonderful Life</v>
      </c>
      <c r="U81" s="5" t="str">
        <f>IFERROR(__xludf.DUMMYFUNCTION("""COMPUTED_VALUE"""),"Family")</f>
        <v>Family</v>
      </c>
      <c r="V81" s="5">
        <f>IFERROR(__xludf.DUMMYFUNCTION("""COMPUTED_VALUE"""),2.0)</f>
        <v>2</v>
      </c>
    </row>
    <row r="82">
      <c r="A82" s="1">
        <v>81.0</v>
      </c>
      <c r="B82" s="1" t="s">
        <v>615</v>
      </c>
      <c r="C82" s="1" t="s">
        <v>213</v>
      </c>
      <c r="D82" s="1"/>
      <c r="E82" s="1">
        <v>81.0</v>
      </c>
      <c r="F82" s="1" t="s">
        <v>615</v>
      </c>
      <c r="G82" s="1" t="str">
        <f>IFERROR(__xludf.DUMMYFUNCTION("SPLIT(C82, "", "")"),"Drama")</f>
        <v>Drama</v>
      </c>
      <c r="H82" s="5" t="str">
        <f>IFERROR(__xludf.DUMMYFUNCTION("""COMPUTED_VALUE"""),"War")</f>
        <v>War</v>
      </c>
      <c r="J82" s="5" t="str">
        <f>IFERROR(__xludf.DUMMYFUNCTION("""COMPUTED_VALUE"""),"27🤙🏼La vita è bella🤙🏼Romance🤙🏼3")</f>
        <v>27🤙🏼La vita è bella🤙🏼Romance🤙🏼3</v>
      </c>
      <c r="K82" s="5">
        <f>IFERROR(__xludf.DUMMYFUNCTION("SPLiT(J82, ""🤙🏼"",FALSE,FALSE)"),27.0)</f>
        <v>27</v>
      </c>
      <c r="L82" s="5" t="str">
        <f>IFERROR(__xludf.DUMMYFUNCTION("""COMPUTED_VALUE"""),"La vita è bella")</f>
        <v>La vita è bella</v>
      </c>
      <c r="M82" s="5" t="str">
        <f>IFERROR(__xludf.DUMMYFUNCTION("""COMPUTED_VALUE"""),"Romance")</f>
        <v>Romance</v>
      </c>
      <c r="N82" s="5">
        <f>IFERROR(__xludf.DUMMYFUNCTION("""COMPUTED_VALUE"""),3.0)</f>
        <v>3</v>
      </c>
      <c r="S82" s="5">
        <f>IFERROR(__xludf.DUMMYFUNCTION("""COMPUTED_VALUE"""),33.0)</f>
        <v>33</v>
      </c>
      <c r="T82" s="5" t="str">
        <f>IFERROR(__xludf.DUMMYFUNCTION("""COMPUTED_VALUE"""),"It's a Wonderful Life")</f>
        <v>It's a Wonderful Life</v>
      </c>
      <c r="U82" s="5" t="str">
        <f>IFERROR(__xludf.DUMMYFUNCTION("""COMPUTED_VALUE"""),"Fantasy")</f>
        <v>Fantasy</v>
      </c>
      <c r="V82" s="5">
        <f>IFERROR(__xludf.DUMMYFUNCTION("""COMPUTED_VALUE"""),3.0)</f>
        <v>3</v>
      </c>
    </row>
    <row r="83">
      <c r="A83" s="1">
        <v>82.0</v>
      </c>
      <c r="B83" s="1" t="s">
        <v>621</v>
      </c>
      <c r="C83" s="1" t="s">
        <v>544</v>
      </c>
      <c r="D83" s="1"/>
      <c r="E83" s="1">
        <v>82.0</v>
      </c>
      <c r="F83" s="1" t="s">
        <v>621</v>
      </c>
      <c r="G83" s="1" t="str">
        <f>IFERROR(__xludf.DUMMYFUNCTION("SPLIT(C83, "", "")"),"Mystery")</f>
        <v>Mystery</v>
      </c>
      <c r="H83" s="5" t="str">
        <f>IFERROR(__xludf.DUMMYFUNCTION("""COMPUTED_VALUE"""),"Thriller")</f>
        <v>Thriller</v>
      </c>
      <c r="J83" s="5" t="str">
        <f>IFERROR(__xludf.DUMMYFUNCTION("""COMPUTED_VALUE"""),"28🤙🏼Se7en🤙🏼Crime🤙🏼1")</f>
        <v>28🤙🏼Se7en🤙🏼Crime🤙🏼1</v>
      </c>
      <c r="K83" s="5">
        <f>IFERROR(__xludf.DUMMYFUNCTION("SPLiT(J83, ""🤙🏼"",FALSE,FALSE)"),28.0)</f>
        <v>28</v>
      </c>
      <c r="L83" s="5" t="str">
        <f>IFERROR(__xludf.DUMMYFUNCTION("""COMPUTED_VALUE"""),"Se7en")</f>
        <v>Se7en</v>
      </c>
      <c r="M83" s="5" t="str">
        <f>IFERROR(__xludf.DUMMYFUNCTION("""COMPUTED_VALUE"""),"Crime")</f>
        <v>Crime</v>
      </c>
      <c r="N83" s="5">
        <f>IFERROR(__xludf.DUMMYFUNCTION("""COMPUTED_VALUE"""),1.0)</f>
        <v>1</v>
      </c>
      <c r="S83" s="5">
        <f>IFERROR(__xludf.DUMMYFUNCTION("""COMPUTED_VALUE"""),34.0)</f>
        <v>34</v>
      </c>
      <c r="T83" s="5" t="str">
        <f>IFERROR(__xludf.DUMMYFUNCTION("""COMPUTED_VALUE"""),"Joker")</f>
        <v>Joker</v>
      </c>
      <c r="U83" s="5" t="str">
        <f>IFERROR(__xludf.DUMMYFUNCTION("""COMPUTED_VALUE"""),"Crime")</f>
        <v>Crime</v>
      </c>
      <c r="V83" s="5">
        <f>IFERROR(__xludf.DUMMYFUNCTION("""COMPUTED_VALUE"""),1.0)</f>
        <v>1</v>
      </c>
    </row>
    <row r="84">
      <c r="A84" s="1">
        <v>83.0</v>
      </c>
      <c r="B84" s="1" t="s">
        <v>626</v>
      </c>
      <c r="C84" s="1" t="s">
        <v>628</v>
      </c>
      <c r="D84" s="1"/>
      <c r="E84" s="1">
        <v>83.0</v>
      </c>
      <c r="F84" s="1" t="s">
        <v>626</v>
      </c>
      <c r="G84" s="1" t="str">
        <f>IFERROR(__xludf.DUMMYFUNCTION("SPLIT(C84, "", "")"),"Drama")</f>
        <v>Drama</v>
      </c>
      <c r="H84" s="5" t="str">
        <f>IFERROR(__xludf.DUMMYFUNCTION("""COMPUTED_VALUE"""),"Film-Noir")</f>
        <v>Film-Noir</v>
      </c>
      <c r="J84" s="5" t="str">
        <f>IFERROR(__xludf.DUMMYFUNCTION("""COMPUTED_VALUE"""),"28🤙🏼Se7en🤙🏼Drama🤙🏼2")</f>
        <v>28🤙🏼Se7en🤙🏼Drama🤙🏼2</v>
      </c>
      <c r="K84" s="5">
        <f>IFERROR(__xludf.DUMMYFUNCTION("SPLiT(J84, ""🤙🏼"",FALSE,FALSE)"),28.0)</f>
        <v>28</v>
      </c>
      <c r="L84" s="5" t="str">
        <f>IFERROR(__xludf.DUMMYFUNCTION("""COMPUTED_VALUE"""),"Se7en")</f>
        <v>Se7en</v>
      </c>
      <c r="M84" s="5" t="str">
        <f>IFERROR(__xludf.DUMMYFUNCTION("""COMPUTED_VALUE"""),"Drama")</f>
        <v>Drama</v>
      </c>
      <c r="N84" s="5">
        <f>IFERROR(__xludf.DUMMYFUNCTION("""COMPUTED_VALUE"""),2.0)</f>
        <v>2</v>
      </c>
      <c r="S84" s="5">
        <f>IFERROR(__xludf.DUMMYFUNCTION("""COMPUTED_VALUE"""),34.0)</f>
        <v>34</v>
      </c>
      <c r="T84" s="5" t="str">
        <f>IFERROR(__xludf.DUMMYFUNCTION("""COMPUTED_VALUE"""),"Joker")</f>
        <v>Joker</v>
      </c>
      <c r="U84" s="5" t="str">
        <f>IFERROR(__xludf.DUMMYFUNCTION("""COMPUTED_VALUE"""),"Drama")</f>
        <v>Drama</v>
      </c>
      <c r="V84" s="5">
        <f>IFERROR(__xludf.DUMMYFUNCTION("""COMPUTED_VALUE"""),2.0)</f>
        <v>2</v>
      </c>
    </row>
    <row r="85">
      <c r="A85" s="1">
        <v>84.0</v>
      </c>
      <c r="B85" s="1" t="s">
        <v>634</v>
      </c>
      <c r="C85" s="1" t="s">
        <v>635</v>
      </c>
      <c r="D85" s="1"/>
      <c r="E85" s="1">
        <v>84.0</v>
      </c>
      <c r="F85" s="1" t="s">
        <v>634</v>
      </c>
      <c r="G85" s="1" t="str">
        <f>IFERROR(__xludf.DUMMYFUNCTION("SPLIT(C85, "", "")"),"Comedy")</f>
        <v>Comedy</v>
      </c>
      <c r="H85" s="5" t="str">
        <f>IFERROR(__xludf.DUMMYFUNCTION("""COMPUTED_VALUE"""),"Drama")</f>
        <v>Drama</v>
      </c>
      <c r="I85" s="5" t="str">
        <f>IFERROR(__xludf.DUMMYFUNCTION("""COMPUTED_VALUE"""),"War")</f>
        <v>War</v>
      </c>
      <c r="J85" s="5" t="str">
        <f>IFERROR(__xludf.DUMMYFUNCTION("""COMPUTED_VALUE"""),"28🤙🏼Se7en🤙🏼Mystery🤙🏼3")</f>
        <v>28🤙🏼Se7en🤙🏼Mystery🤙🏼3</v>
      </c>
      <c r="K85" s="5">
        <f>IFERROR(__xludf.DUMMYFUNCTION("SPLiT(J85, ""🤙🏼"",FALSE,FALSE)"),28.0)</f>
        <v>28</v>
      </c>
      <c r="L85" s="5" t="str">
        <f>IFERROR(__xludf.DUMMYFUNCTION("""COMPUTED_VALUE"""),"Se7en")</f>
        <v>Se7en</v>
      </c>
      <c r="M85" s="5" t="str">
        <f>IFERROR(__xludf.DUMMYFUNCTION("""COMPUTED_VALUE"""),"Mystery")</f>
        <v>Mystery</v>
      </c>
      <c r="N85" s="5">
        <f>IFERROR(__xludf.DUMMYFUNCTION("""COMPUTED_VALUE"""),3.0)</f>
        <v>3</v>
      </c>
      <c r="S85" s="5">
        <f>IFERROR(__xludf.DUMMYFUNCTION("""COMPUTED_VALUE"""),34.0)</f>
        <v>34</v>
      </c>
      <c r="T85" s="5" t="str">
        <f>IFERROR(__xludf.DUMMYFUNCTION("""COMPUTED_VALUE"""),"Joker")</f>
        <v>Joker</v>
      </c>
      <c r="U85" s="5" t="str">
        <f>IFERROR(__xludf.DUMMYFUNCTION("""COMPUTED_VALUE"""),"Thriller")</f>
        <v>Thriller</v>
      </c>
      <c r="V85" s="5">
        <f>IFERROR(__xludf.DUMMYFUNCTION("""COMPUTED_VALUE"""),3.0)</f>
        <v>3</v>
      </c>
    </row>
    <row r="86">
      <c r="A86" s="1">
        <v>85.0</v>
      </c>
      <c r="B86" s="1">
        <v>1917.0</v>
      </c>
      <c r="C86" s="1" t="s">
        <v>639</v>
      </c>
      <c r="D86" s="1"/>
      <c r="E86" s="1">
        <v>85.0</v>
      </c>
      <c r="F86" s="1">
        <v>1917.0</v>
      </c>
      <c r="G86" s="1" t="str">
        <f>IFERROR(__xludf.DUMMYFUNCTION("SPLIT(C86, "", "")"),"Drama")</f>
        <v>Drama</v>
      </c>
      <c r="H86" s="5" t="str">
        <f>IFERROR(__xludf.DUMMYFUNCTION("""COMPUTED_VALUE"""),"Thriller")</f>
        <v>Thriller</v>
      </c>
      <c r="I86" s="5" t="str">
        <f>IFERROR(__xludf.DUMMYFUNCTION("""COMPUTED_VALUE"""),"War")</f>
        <v>War</v>
      </c>
      <c r="J86" s="5" t="str">
        <f>IFERROR(__xludf.DUMMYFUNCTION("""COMPUTED_VALUE"""),"29🤙🏼The Silence of the Lambs🤙🏼Crime🤙🏼1")</f>
        <v>29🤙🏼The Silence of the Lambs🤙🏼Crime🤙🏼1</v>
      </c>
      <c r="K86" s="5">
        <f>IFERROR(__xludf.DUMMYFUNCTION("SPLiT(J86, ""🤙🏼"",FALSE,FALSE)"),29.0)</f>
        <v>29</v>
      </c>
      <c r="L86" s="5" t="str">
        <f>IFERROR(__xludf.DUMMYFUNCTION("""COMPUTED_VALUE"""),"The Silence of the Lambs")</f>
        <v>The Silence of the Lambs</v>
      </c>
      <c r="M86" s="5" t="str">
        <f>IFERROR(__xludf.DUMMYFUNCTION("""COMPUTED_VALUE"""),"Crime")</f>
        <v>Crime</v>
      </c>
      <c r="N86" s="5">
        <f>IFERROR(__xludf.DUMMYFUNCTION("""COMPUTED_VALUE"""),1.0)</f>
        <v>1</v>
      </c>
      <c r="S86" s="5">
        <f>IFERROR(__xludf.DUMMYFUNCTION("""COMPUTED_VALUE"""),35.0)</f>
        <v>35</v>
      </c>
      <c r="T86" s="5" t="str">
        <f>IFERROR(__xludf.DUMMYFUNCTION("""COMPUTED_VALUE"""),"Whiplash")</f>
        <v>Whiplash</v>
      </c>
      <c r="U86" s="5" t="str">
        <f>IFERROR(__xludf.DUMMYFUNCTION("""COMPUTED_VALUE"""),"Drama")</f>
        <v>Drama</v>
      </c>
      <c r="V86" s="5">
        <f>IFERROR(__xludf.DUMMYFUNCTION("""COMPUTED_VALUE"""),1.0)</f>
        <v>1</v>
      </c>
    </row>
    <row r="87">
      <c r="A87" s="1">
        <v>86.0</v>
      </c>
      <c r="B87" s="1" t="s">
        <v>646</v>
      </c>
      <c r="C87" s="1" t="s">
        <v>648</v>
      </c>
      <c r="D87" s="1"/>
      <c r="E87" s="1">
        <v>86.0</v>
      </c>
      <c r="F87" s="1" t="s">
        <v>646</v>
      </c>
      <c r="G87" s="1" t="str">
        <f>IFERROR(__xludf.DUMMYFUNCTION("SPLIT(C87, "", "")"),"Drama")</f>
        <v>Drama</v>
      </c>
      <c r="H87" s="5" t="str">
        <f>IFERROR(__xludf.DUMMYFUNCTION("""COMPUTED_VALUE"""),"Fantasy")</f>
        <v>Fantasy</v>
      </c>
      <c r="I87" s="5" t="str">
        <f>IFERROR(__xludf.DUMMYFUNCTION("""COMPUTED_VALUE"""),"Horror")</f>
        <v>Horror</v>
      </c>
      <c r="J87" s="5" t="str">
        <f>IFERROR(__xludf.DUMMYFUNCTION("""COMPUTED_VALUE"""),"29🤙🏼The Silence of the Lambs🤙🏼Drama🤙🏼2")</f>
        <v>29🤙🏼The Silence of the Lambs🤙🏼Drama🤙🏼2</v>
      </c>
      <c r="K87" s="5">
        <f>IFERROR(__xludf.DUMMYFUNCTION("SPLiT(J87, ""🤙🏼"",FALSE,FALSE)"),29.0)</f>
        <v>29</v>
      </c>
      <c r="L87" s="5" t="str">
        <f>IFERROR(__xludf.DUMMYFUNCTION("""COMPUTED_VALUE"""),"The Silence of the Lambs")</f>
        <v>The Silence of the Lambs</v>
      </c>
      <c r="M87" s="5" t="str">
        <f>IFERROR(__xludf.DUMMYFUNCTION("""COMPUTED_VALUE"""),"Drama")</f>
        <v>Drama</v>
      </c>
      <c r="N87" s="5">
        <f>IFERROR(__xludf.DUMMYFUNCTION("""COMPUTED_VALUE"""),2.0)</f>
        <v>2</v>
      </c>
      <c r="S87" s="5">
        <f>IFERROR(__xludf.DUMMYFUNCTION("""COMPUTED_VALUE"""),35.0)</f>
        <v>35</v>
      </c>
      <c r="T87" s="5" t="str">
        <f>IFERROR(__xludf.DUMMYFUNCTION("""COMPUTED_VALUE"""),"Whiplash")</f>
        <v>Whiplash</v>
      </c>
      <c r="U87" s="5" t="str">
        <f>IFERROR(__xludf.DUMMYFUNCTION("""COMPUTED_VALUE"""),"Music")</f>
        <v>Music</v>
      </c>
      <c r="V87" s="5">
        <f>IFERROR(__xludf.DUMMYFUNCTION("""COMPUTED_VALUE"""),2.0)</f>
        <v>2</v>
      </c>
    </row>
    <row r="88">
      <c r="A88" s="1">
        <v>87.0</v>
      </c>
      <c r="B88" s="1" t="s">
        <v>655</v>
      </c>
      <c r="C88" s="1" t="s">
        <v>656</v>
      </c>
      <c r="D88" s="1"/>
      <c r="E88" s="1">
        <v>87.0</v>
      </c>
      <c r="F88" s="1" t="s">
        <v>655</v>
      </c>
      <c r="G88" s="1" t="str">
        <f>IFERROR(__xludf.DUMMYFUNCTION("SPLIT(C88, "", "")"),"Crime")</f>
        <v>Crime</v>
      </c>
      <c r="H88" s="5" t="str">
        <f>IFERROR(__xludf.DUMMYFUNCTION("""COMPUTED_VALUE"""),"Drama")</f>
        <v>Drama</v>
      </c>
      <c r="I88" s="5" t="str">
        <f>IFERROR(__xludf.DUMMYFUNCTION("""COMPUTED_VALUE"""),"Music")</f>
        <v>Music</v>
      </c>
      <c r="J88" s="5" t="str">
        <f>IFERROR(__xludf.DUMMYFUNCTION("""COMPUTED_VALUE"""),"29🤙🏼The Silence of the Lambs🤙🏼Thriller🤙🏼3")</f>
        <v>29🤙🏼The Silence of the Lambs🤙🏼Thriller🤙🏼3</v>
      </c>
      <c r="K88" s="5">
        <f>IFERROR(__xludf.DUMMYFUNCTION("SPLiT(J88, ""🤙🏼"",FALSE,FALSE)"),29.0)</f>
        <v>29</v>
      </c>
      <c r="L88" s="5" t="str">
        <f>IFERROR(__xludf.DUMMYFUNCTION("""COMPUTED_VALUE"""),"The Silence of the Lambs")</f>
        <v>The Silence of the Lambs</v>
      </c>
      <c r="M88" s="5" t="str">
        <f>IFERROR(__xludf.DUMMYFUNCTION("""COMPUTED_VALUE"""),"Thriller")</f>
        <v>Thriller</v>
      </c>
      <c r="N88" s="5">
        <f>IFERROR(__xludf.DUMMYFUNCTION("""COMPUTED_VALUE"""),3.0)</f>
        <v>3</v>
      </c>
      <c r="S88" s="5">
        <f>IFERROR(__xludf.DUMMYFUNCTION("""COMPUTED_VALUE"""),36.0)</f>
        <v>36</v>
      </c>
      <c r="T88" s="5" t="str">
        <f>IFERROR(__xludf.DUMMYFUNCTION("""COMPUTED_VALUE"""),"The Intouchables")</f>
        <v>The Intouchables</v>
      </c>
      <c r="U88" s="5" t="str">
        <f>IFERROR(__xludf.DUMMYFUNCTION("""COMPUTED_VALUE"""),"Biography")</f>
        <v>Biography</v>
      </c>
      <c r="V88" s="5">
        <f>IFERROR(__xludf.DUMMYFUNCTION("""COMPUTED_VALUE"""),1.0)</f>
        <v>1</v>
      </c>
    </row>
    <row r="89">
      <c r="A89" s="1">
        <v>88.0</v>
      </c>
      <c r="B89" s="1" t="s">
        <v>663</v>
      </c>
      <c r="C89" s="1" t="s">
        <v>241</v>
      </c>
      <c r="D89" s="1"/>
      <c r="E89" s="1">
        <v>88.0</v>
      </c>
      <c r="F89" s="1" t="s">
        <v>663</v>
      </c>
      <c r="G89" s="1" t="str">
        <f>IFERROR(__xludf.DUMMYFUNCTION("SPLIT(C89, "", "")"),"Crime")</f>
        <v>Crime</v>
      </c>
      <c r="H89" s="5" t="str">
        <f>IFERROR(__xludf.DUMMYFUNCTION("""COMPUTED_VALUE"""),"Drama")</f>
        <v>Drama</v>
      </c>
      <c r="I89" s="5" t="str">
        <f>IFERROR(__xludf.DUMMYFUNCTION("""COMPUTED_VALUE"""),"Thriller")</f>
        <v>Thriller</v>
      </c>
      <c r="J89" s="5" t="str">
        <f>IFERROR(__xludf.DUMMYFUNCTION("""COMPUTED_VALUE"""),"30🤙🏼Star Wars🤙🏼Action🤙🏼1")</f>
        <v>30🤙🏼Star Wars🤙🏼Action🤙🏼1</v>
      </c>
      <c r="K89" s="5">
        <f>IFERROR(__xludf.DUMMYFUNCTION("SPLiT(J89, ""🤙🏼"",FALSE,FALSE)"),30.0)</f>
        <v>30</v>
      </c>
      <c r="L89" s="5" t="str">
        <f>IFERROR(__xludf.DUMMYFUNCTION("""COMPUTED_VALUE"""),"Star Wars")</f>
        <v>Star Wars</v>
      </c>
      <c r="M89" s="5" t="str">
        <f>IFERROR(__xludf.DUMMYFUNCTION("""COMPUTED_VALUE"""),"Action")</f>
        <v>Action</v>
      </c>
      <c r="N89" s="5">
        <f>IFERROR(__xludf.DUMMYFUNCTION("""COMPUTED_VALUE"""),1.0)</f>
        <v>1</v>
      </c>
      <c r="S89" s="5">
        <f>IFERROR(__xludf.DUMMYFUNCTION("""COMPUTED_VALUE"""),36.0)</f>
        <v>36</v>
      </c>
      <c r="T89" s="5" t="str">
        <f>IFERROR(__xludf.DUMMYFUNCTION("""COMPUTED_VALUE"""),"The Intouchables")</f>
        <v>The Intouchables</v>
      </c>
      <c r="U89" s="5" t="str">
        <f>IFERROR(__xludf.DUMMYFUNCTION("""COMPUTED_VALUE"""),"Comedy")</f>
        <v>Comedy</v>
      </c>
      <c r="V89" s="5">
        <f>IFERROR(__xludf.DUMMYFUNCTION("""COMPUTED_VALUE"""),2.0)</f>
        <v>2</v>
      </c>
    </row>
    <row r="90">
      <c r="A90" s="1">
        <v>89.0</v>
      </c>
      <c r="B90" s="1" t="s">
        <v>670</v>
      </c>
      <c r="C90" s="1" t="s">
        <v>20</v>
      </c>
      <c r="D90" s="1"/>
      <c r="E90" s="1">
        <v>89.0</v>
      </c>
      <c r="F90" s="1" t="s">
        <v>670</v>
      </c>
      <c r="G90" s="1" t="str">
        <f>IFERROR(__xludf.DUMMYFUNCTION("SPLIT(C90, "", "")"),"Drama")</f>
        <v>Drama</v>
      </c>
      <c r="J90" s="5" t="str">
        <f>IFERROR(__xludf.DUMMYFUNCTION("""COMPUTED_VALUE"""),"30🤙🏼Star Wars🤙🏼Adventure🤙🏼2")</f>
        <v>30🤙🏼Star Wars🤙🏼Adventure🤙🏼2</v>
      </c>
      <c r="K90" s="5">
        <f>IFERROR(__xludf.DUMMYFUNCTION("SPLiT(J90, ""🤙🏼"",FALSE,FALSE)"),30.0)</f>
        <v>30</v>
      </c>
      <c r="L90" s="5" t="str">
        <f>IFERROR(__xludf.DUMMYFUNCTION("""COMPUTED_VALUE"""),"Star Wars")</f>
        <v>Star Wars</v>
      </c>
      <c r="M90" s="5" t="str">
        <f>IFERROR(__xludf.DUMMYFUNCTION("""COMPUTED_VALUE"""),"Adventure")</f>
        <v>Adventure</v>
      </c>
      <c r="N90" s="5">
        <f>IFERROR(__xludf.DUMMYFUNCTION("""COMPUTED_VALUE"""),2.0)</f>
        <v>2</v>
      </c>
      <c r="S90" s="5">
        <f>IFERROR(__xludf.DUMMYFUNCTION("""COMPUTED_VALUE"""),36.0)</f>
        <v>36</v>
      </c>
      <c r="T90" s="5" t="str">
        <f>IFERROR(__xludf.DUMMYFUNCTION("""COMPUTED_VALUE"""),"The Intouchables")</f>
        <v>The Intouchables</v>
      </c>
      <c r="U90" s="5" t="str">
        <f>IFERROR(__xludf.DUMMYFUNCTION("""COMPUTED_VALUE"""),"Drama")</f>
        <v>Drama</v>
      </c>
      <c r="V90" s="5">
        <f>IFERROR(__xludf.DUMMYFUNCTION("""COMPUTED_VALUE"""),3.0)</f>
        <v>3</v>
      </c>
    </row>
    <row r="91">
      <c r="A91" s="1">
        <v>90.0</v>
      </c>
      <c r="B91" s="1" t="s">
        <v>677</v>
      </c>
      <c r="C91" s="1" t="s">
        <v>20</v>
      </c>
      <c r="D91" s="1"/>
      <c r="E91" s="1">
        <v>90.0</v>
      </c>
      <c r="F91" s="1" t="s">
        <v>677</v>
      </c>
      <c r="G91" s="1" t="str">
        <f>IFERROR(__xludf.DUMMYFUNCTION("SPLIT(C91, "", "")"),"Drama")</f>
        <v>Drama</v>
      </c>
      <c r="J91" s="5" t="str">
        <f>IFERROR(__xludf.DUMMYFUNCTION("""COMPUTED_VALUE"""),"30🤙🏼Star Wars🤙🏼Fantasy🤙🏼3")</f>
        <v>30🤙🏼Star Wars🤙🏼Fantasy🤙🏼3</v>
      </c>
      <c r="K91" s="5">
        <f>IFERROR(__xludf.DUMMYFUNCTION("SPLiT(J91, ""🤙🏼"",FALSE,FALSE)"),30.0)</f>
        <v>30</v>
      </c>
      <c r="L91" s="5" t="str">
        <f>IFERROR(__xludf.DUMMYFUNCTION("""COMPUTED_VALUE"""),"Star Wars")</f>
        <v>Star Wars</v>
      </c>
      <c r="M91" s="5" t="str">
        <f>IFERROR(__xludf.DUMMYFUNCTION("""COMPUTED_VALUE"""),"Fantasy")</f>
        <v>Fantasy</v>
      </c>
      <c r="N91" s="5">
        <f>IFERROR(__xludf.DUMMYFUNCTION("""COMPUTED_VALUE"""),3.0)</f>
        <v>3</v>
      </c>
      <c r="S91" s="5">
        <f>IFERROR(__xludf.DUMMYFUNCTION("""COMPUTED_VALUE"""),37.0)</f>
        <v>37</v>
      </c>
      <c r="T91" s="5" t="str">
        <f>IFERROR(__xludf.DUMMYFUNCTION("""COMPUTED_VALUE"""),"The Prestige")</f>
        <v>The Prestige</v>
      </c>
      <c r="U91" s="5" t="str">
        <f>IFERROR(__xludf.DUMMYFUNCTION("""COMPUTED_VALUE"""),"Drama")</f>
        <v>Drama</v>
      </c>
      <c r="V91" s="5">
        <f>IFERROR(__xludf.DUMMYFUNCTION("""COMPUTED_VALUE"""),1.0)</f>
        <v>1</v>
      </c>
    </row>
    <row r="92">
      <c r="A92" s="1">
        <v>91.0</v>
      </c>
      <c r="B92" s="1" t="s">
        <v>685</v>
      </c>
      <c r="C92" s="1" t="s">
        <v>576</v>
      </c>
      <c r="D92" s="1"/>
      <c r="E92" s="1">
        <v>91.0</v>
      </c>
      <c r="F92" s="1" t="s">
        <v>685</v>
      </c>
      <c r="G92" s="1" t="str">
        <f>IFERROR(__xludf.DUMMYFUNCTION("SPLIT(C92, "", "")"),"Drama")</f>
        <v>Drama</v>
      </c>
      <c r="H92" s="5" t="str">
        <f>IFERROR(__xludf.DUMMYFUNCTION("""COMPUTED_VALUE"""),"Mystery")</f>
        <v>Mystery</v>
      </c>
      <c r="I92" s="5" t="str">
        <f>IFERROR(__xludf.DUMMYFUNCTION("""COMPUTED_VALUE"""),"War")</f>
        <v>War</v>
      </c>
      <c r="J92" s="5" t="str">
        <f>IFERROR(__xludf.DUMMYFUNCTION("""COMPUTED_VALUE"""),"31🤙🏼Seppuku🤙🏼Action🤙🏼1")</f>
        <v>31🤙🏼Seppuku🤙🏼Action🤙🏼1</v>
      </c>
      <c r="K92" s="5">
        <f>IFERROR(__xludf.DUMMYFUNCTION("SPLiT(J92, ""🤙🏼"",FALSE,FALSE)"),31.0)</f>
        <v>31</v>
      </c>
      <c r="L92" s="5" t="str">
        <f>IFERROR(__xludf.DUMMYFUNCTION("""COMPUTED_VALUE"""),"Seppuku")</f>
        <v>Seppuku</v>
      </c>
      <c r="M92" s="5" t="str">
        <f>IFERROR(__xludf.DUMMYFUNCTION("""COMPUTED_VALUE"""),"Action")</f>
        <v>Action</v>
      </c>
      <c r="N92" s="5">
        <f>IFERROR(__xludf.DUMMYFUNCTION("""COMPUTED_VALUE"""),1.0)</f>
        <v>1</v>
      </c>
      <c r="S92" s="5">
        <f>IFERROR(__xludf.DUMMYFUNCTION("""COMPUTED_VALUE"""),37.0)</f>
        <v>37</v>
      </c>
      <c r="T92" s="5" t="str">
        <f>IFERROR(__xludf.DUMMYFUNCTION("""COMPUTED_VALUE"""),"The Prestige")</f>
        <v>The Prestige</v>
      </c>
      <c r="U92" s="5" t="str">
        <f>IFERROR(__xludf.DUMMYFUNCTION("""COMPUTED_VALUE"""),"Mystery")</f>
        <v>Mystery</v>
      </c>
      <c r="V92" s="5">
        <f>IFERROR(__xludf.DUMMYFUNCTION("""COMPUTED_VALUE"""),2.0)</f>
        <v>2</v>
      </c>
    </row>
    <row r="93">
      <c r="A93" s="1">
        <v>92.0</v>
      </c>
      <c r="B93" s="1" t="s">
        <v>693</v>
      </c>
      <c r="C93" s="1" t="s">
        <v>20</v>
      </c>
      <c r="D93" s="1"/>
      <c r="E93" s="1">
        <v>92.0</v>
      </c>
      <c r="F93" s="1" t="s">
        <v>693</v>
      </c>
      <c r="G93" s="1" t="str">
        <f>IFERROR(__xludf.DUMMYFUNCTION("SPLIT(C93, "", "")"),"Drama")</f>
        <v>Drama</v>
      </c>
      <c r="J93" s="5" t="str">
        <f>IFERROR(__xludf.DUMMYFUNCTION("""COMPUTED_VALUE"""),"31🤙🏼Seppuku🤙🏼Drama🤙🏼2")</f>
        <v>31🤙🏼Seppuku🤙🏼Drama🤙🏼2</v>
      </c>
      <c r="K93" s="5">
        <f>IFERROR(__xludf.DUMMYFUNCTION("SPLiT(J93, ""🤙🏼"",FALSE,FALSE)"),31.0)</f>
        <v>31</v>
      </c>
      <c r="L93" s="5" t="str">
        <f>IFERROR(__xludf.DUMMYFUNCTION("""COMPUTED_VALUE"""),"Seppuku")</f>
        <v>Seppuku</v>
      </c>
      <c r="M93" s="5" t="str">
        <f>IFERROR(__xludf.DUMMYFUNCTION("""COMPUTED_VALUE"""),"Drama")</f>
        <v>Drama</v>
      </c>
      <c r="N93" s="5">
        <f>IFERROR(__xludf.DUMMYFUNCTION("""COMPUTED_VALUE"""),2.0)</f>
        <v>2</v>
      </c>
      <c r="S93" s="5">
        <f>IFERROR(__xludf.DUMMYFUNCTION("""COMPUTED_VALUE"""),37.0)</f>
        <v>37</v>
      </c>
      <c r="T93" s="5" t="str">
        <f>IFERROR(__xludf.DUMMYFUNCTION("""COMPUTED_VALUE"""),"The Prestige")</f>
        <v>The Prestige</v>
      </c>
      <c r="U93" s="5" t="str">
        <f>IFERROR(__xludf.DUMMYFUNCTION("""COMPUTED_VALUE"""),"Sci-Fi")</f>
        <v>Sci-Fi</v>
      </c>
      <c r="V93" s="5">
        <f>IFERROR(__xludf.DUMMYFUNCTION("""COMPUTED_VALUE"""),3.0)</f>
        <v>3</v>
      </c>
    </row>
    <row r="94">
      <c r="A94" s="1">
        <v>93.0</v>
      </c>
      <c r="B94" s="1" t="s">
        <v>701</v>
      </c>
      <c r="C94" s="1" t="s">
        <v>513</v>
      </c>
      <c r="D94" s="1"/>
      <c r="E94" s="1">
        <v>93.0</v>
      </c>
      <c r="F94" s="1" t="s">
        <v>701</v>
      </c>
      <c r="G94" s="1" t="str">
        <f>IFERROR(__xludf.DUMMYFUNCTION("SPLIT(C94, "", "")"),"Drama")</f>
        <v>Drama</v>
      </c>
      <c r="H94" s="5" t="str">
        <f>IFERROR(__xludf.DUMMYFUNCTION("""COMPUTED_VALUE"""),"Family")</f>
        <v>Family</v>
      </c>
      <c r="J94" s="5" t="str">
        <f>IFERROR(__xludf.DUMMYFUNCTION("""COMPUTED_VALUE"""),"31🤙🏼Seppuku🤙🏼Mystery🤙🏼3")</f>
        <v>31🤙🏼Seppuku🤙🏼Mystery🤙🏼3</v>
      </c>
      <c r="K94" s="5">
        <f>IFERROR(__xludf.DUMMYFUNCTION("SPLiT(J94, ""🤙🏼"",FALSE,FALSE)"),31.0)</f>
        <v>31</v>
      </c>
      <c r="L94" s="5" t="str">
        <f>IFERROR(__xludf.DUMMYFUNCTION("""COMPUTED_VALUE"""),"Seppuku")</f>
        <v>Seppuku</v>
      </c>
      <c r="M94" s="5" t="str">
        <f>IFERROR(__xludf.DUMMYFUNCTION("""COMPUTED_VALUE"""),"Mystery")</f>
        <v>Mystery</v>
      </c>
      <c r="N94" s="5">
        <f>IFERROR(__xludf.DUMMYFUNCTION("""COMPUTED_VALUE"""),3.0)</f>
        <v>3</v>
      </c>
      <c r="S94" s="5">
        <f>IFERROR(__xludf.DUMMYFUNCTION("""COMPUTED_VALUE"""),38.0)</f>
        <v>38</v>
      </c>
      <c r="T94" s="5" t="str">
        <f>IFERROR(__xludf.DUMMYFUNCTION("""COMPUTED_VALUE"""),"The Departed")</f>
        <v>The Departed</v>
      </c>
      <c r="U94" s="5" t="str">
        <f>IFERROR(__xludf.DUMMYFUNCTION("""COMPUTED_VALUE"""),"Crime")</f>
        <v>Crime</v>
      </c>
      <c r="V94" s="5">
        <f>IFERROR(__xludf.DUMMYFUNCTION("""COMPUTED_VALUE"""),1.0)</f>
        <v>1</v>
      </c>
    </row>
    <row r="95">
      <c r="A95" s="1">
        <v>94.0</v>
      </c>
      <c r="B95" s="1" t="s">
        <v>707</v>
      </c>
      <c r="C95" s="1" t="s">
        <v>708</v>
      </c>
      <c r="D95" s="1"/>
      <c r="E95" s="1">
        <v>94.0</v>
      </c>
      <c r="F95" s="1" t="s">
        <v>707</v>
      </c>
      <c r="G95" s="1" t="str">
        <f>IFERROR(__xludf.DUMMYFUNCTION("SPLIT(C95, "", "")"),"Adventure")</f>
        <v>Adventure</v>
      </c>
      <c r="H95" s="5" t="str">
        <f>IFERROR(__xludf.DUMMYFUNCTION("""COMPUTED_VALUE"""),"Drama")</f>
        <v>Drama</v>
      </c>
      <c r="I95" s="5" t="str">
        <f>IFERROR(__xludf.DUMMYFUNCTION("""COMPUTED_VALUE"""),"War")</f>
        <v>War</v>
      </c>
      <c r="J95" s="5" t="str">
        <f>IFERROR(__xludf.DUMMYFUNCTION("""COMPUTED_VALUE"""),"32🤙🏼Shichinin no samurai🤙🏼Action🤙🏼1")</f>
        <v>32🤙🏼Shichinin no samurai🤙🏼Action🤙🏼1</v>
      </c>
      <c r="K95" s="5">
        <f>IFERROR(__xludf.DUMMYFUNCTION("SPLiT(J95, ""🤙🏼"",FALSE,FALSE)"),32.0)</f>
        <v>32</v>
      </c>
      <c r="L95" s="5" t="str">
        <f>IFERROR(__xludf.DUMMYFUNCTION("""COMPUTED_VALUE"""),"Shichinin no samurai")</f>
        <v>Shichinin no samurai</v>
      </c>
      <c r="M95" s="5" t="str">
        <f>IFERROR(__xludf.DUMMYFUNCTION("""COMPUTED_VALUE"""),"Action")</f>
        <v>Action</v>
      </c>
      <c r="N95" s="5">
        <f>IFERROR(__xludf.DUMMYFUNCTION("""COMPUTED_VALUE"""),1.0)</f>
        <v>1</v>
      </c>
      <c r="S95" s="5">
        <f>IFERROR(__xludf.DUMMYFUNCTION("""COMPUTED_VALUE"""),38.0)</f>
        <v>38</v>
      </c>
      <c r="T95" s="5" t="str">
        <f>IFERROR(__xludf.DUMMYFUNCTION("""COMPUTED_VALUE"""),"The Departed")</f>
        <v>The Departed</v>
      </c>
      <c r="U95" s="5" t="str">
        <f>IFERROR(__xludf.DUMMYFUNCTION("""COMPUTED_VALUE"""),"Drama")</f>
        <v>Drama</v>
      </c>
      <c r="V95" s="5">
        <f>IFERROR(__xludf.DUMMYFUNCTION("""COMPUTED_VALUE"""),2.0)</f>
        <v>2</v>
      </c>
    </row>
    <row r="96">
      <c r="A96" s="1">
        <v>95.0</v>
      </c>
      <c r="B96" s="1" t="s">
        <v>713</v>
      </c>
      <c r="C96" s="1" t="s">
        <v>715</v>
      </c>
      <c r="D96" s="1"/>
      <c r="E96" s="1">
        <v>95.0</v>
      </c>
      <c r="F96" s="1" t="s">
        <v>713</v>
      </c>
      <c r="G96" s="1" t="str">
        <f>IFERROR(__xludf.DUMMYFUNCTION("SPLIT(C96, "", "")"),"Drama")</f>
        <v>Drama</v>
      </c>
      <c r="H96" s="5" t="str">
        <f>IFERROR(__xludf.DUMMYFUNCTION("""COMPUTED_VALUE"""),"Romance")</f>
        <v>Romance</v>
      </c>
      <c r="I96" s="5" t="str">
        <f>IFERROR(__xludf.DUMMYFUNCTION("""COMPUTED_VALUE"""),"Sci-Fi")</f>
        <v>Sci-Fi</v>
      </c>
      <c r="J96" s="5" t="str">
        <f>IFERROR(__xludf.DUMMYFUNCTION("""COMPUTED_VALUE"""),"32🤙🏼Shichinin no samurai🤙🏼Adventure🤙🏼2")</f>
        <v>32🤙🏼Shichinin no samurai🤙🏼Adventure🤙🏼2</v>
      </c>
      <c r="K96" s="5">
        <f>IFERROR(__xludf.DUMMYFUNCTION("SPLiT(J96, ""🤙🏼"",FALSE,FALSE)"),32.0)</f>
        <v>32</v>
      </c>
      <c r="L96" s="5" t="str">
        <f>IFERROR(__xludf.DUMMYFUNCTION("""COMPUTED_VALUE"""),"Shichinin no samurai")</f>
        <v>Shichinin no samurai</v>
      </c>
      <c r="M96" s="5" t="str">
        <f>IFERROR(__xludf.DUMMYFUNCTION("""COMPUTED_VALUE"""),"Adventure")</f>
        <v>Adventure</v>
      </c>
      <c r="N96" s="5">
        <f>IFERROR(__xludf.DUMMYFUNCTION("""COMPUTED_VALUE"""),2.0)</f>
        <v>2</v>
      </c>
      <c r="S96" s="5">
        <f>IFERROR(__xludf.DUMMYFUNCTION("""COMPUTED_VALUE"""),38.0)</f>
        <v>38</v>
      </c>
      <c r="T96" s="5" t="str">
        <f>IFERROR(__xludf.DUMMYFUNCTION("""COMPUTED_VALUE"""),"The Departed")</f>
        <v>The Departed</v>
      </c>
      <c r="U96" s="5" t="str">
        <f>IFERROR(__xludf.DUMMYFUNCTION("""COMPUTED_VALUE"""),"Thriller")</f>
        <v>Thriller</v>
      </c>
      <c r="V96" s="5">
        <f>IFERROR(__xludf.DUMMYFUNCTION("""COMPUTED_VALUE"""),3.0)</f>
        <v>3</v>
      </c>
    </row>
    <row r="97">
      <c r="A97" s="1">
        <v>96.0</v>
      </c>
      <c r="B97" s="1" t="s">
        <v>722</v>
      </c>
      <c r="C97" s="1" t="s">
        <v>723</v>
      </c>
      <c r="D97" s="1"/>
      <c r="E97" s="1">
        <v>96.0</v>
      </c>
      <c r="F97" s="1" t="s">
        <v>722</v>
      </c>
      <c r="G97" s="1" t="str">
        <f>IFERROR(__xludf.DUMMYFUNCTION("SPLIT(C97, "", "")"),"Comedy")</f>
        <v>Comedy</v>
      </c>
      <c r="H97" s="5" t="str">
        <f>IFERROR(__xludf.DUMMYFUNCTION("""COMPUTED_VALUE"""),"Romance")</f>
        <v>Romance</v>
      </c>
      <c r="J97" s="5" t="str">
        <f>IFERROR(__xludf.DUMMYFUNCTION("""COMPUTED_VALUE"""),"32🤙🏼Shichinin no samurai🤙🏼Drama🤙🏼3")</f>
        <v>32🤙🏼Shichinin no samurai🤙🏼Drama🤙🏼3</v>
      </c>
      <c r="K97" s="5">
        <f>IFERROR(__xludf.DUMMYFUNCTION("SPLiT(J97, ""🤙🏼"",FALSE,FALSE)"),32.0)</f>
        <v>32</v>
      </c>
      <c r="L97" s="5" t="str">
        <f>IFERROR(__xludf.DUMMYFUNCTION("""COMPUTED_VALUE"""),"Shichinin no samurai")</f>
        <v>Shichinin no samurai</v>
      </c>
      <c r="M97" s="5" t="str">
        <f>IFERROR(__xludf.DUMMYFUNCTION("""COMPUTED_VALUE"""),"Drama")</f>
        <v>Drama</v>
      </c>
      <c r="N97" s="5">
        <f>IFERROR(__xludf.DUMMYFUNCTION("""COMPUTED_VALUE"""),3.0)</f>
        <v>3</v>
      </c>
      <c r="S97" s="5">
        <f>IFERROR(__xludf.DUMMYFUNCTION("""COMPUTED_VALUE"""),39.0)</f>
        <v>39</v>
      </c>
      <c r="T97" s="5" t="str">
        <f>IFERROR(__xludf.DUMMYFUNCTION("""COMPUTED_VALUE"""),"The Pianist")</f>
        <v>The Pianist</v>
      </c>
      <c r="U97" s="5" t="str">
        <f>IFERROR(__xludf.DUMMYFUNCTION("""COMPUTED_VALUE"""),"Biography")</f>
        <v>Biography</v>
      </c>
      <c r="V97" s="5">
        <f>IFERROR(__xludf.DUMMYFUNCTION("""COMPUTED_VALUE"""),1.0)</f>
        <v>1</v>
      </c>
    </row>
    <row r="98">
      <c r="A98" s="1">
        <v>97.0</v>
      </c>
      <c r="B98" s="1" t="s">
        <v>730</v>
      </c>
      <c r="C98" s="1" t="s">
        <v>731</v>
      </c>
      <c r="D98" s="1"/>
      <c r="E98" s="1">
        <v>97.0</v>
      </c>
      <c r="F98" s="1" t="s">
        <v>730</v>
      </c>
      <c r="G98" s="1" t="str">
        <f>IFERROR(__xludf.DUMMYFUNCTION("SPLIT(C98, "", "")"),"Comedy")</f>
        <v>Comedy</v>
      </c>
      <c r="H98" s="5" t="str">
        <f>IFERROR(__xludf.DUMMYFUNCTION("""COMPUTED_VALUE"""),"Crime")</f>
        <v>Crime</v>
      </c>
      <c r="J98" s="5" t="str">
        <f>IFERROR(__xludf.DUMMYFUNCTION("""COMPUTED_VALUE"""),"33🤙🏼It's a Wonderful Life🤙🏼Drama🤙🏼1")</f>
        <v>33🤙🏼It's a Wonderful Life🤙🏼Drama🤙🏼1</v>
      </c>
      <c r="K98" s="5">
        <f>IFERROR(__xludf.DUMMYFUNCTION("SPLiT(J98, ""🤙🏼"",FALSE,FALSE)"),33.0)</f>
        <v>33</v>
      </c>
      <c r="L98" s="5" t="str">
        <f>IFERROR(__xludf.DUMMYFUNCTION("""COMPUTED_VALUE"""),"It's a Wonderful Life")</f>
        <v>It's a Wonderful Life</v>
      </c>
      <c r="M98" s="5" t="str">
        <f>IFERROR(__xludf.DUMMYFUNCTION("""COMPUTED_VALUE"""),"Drama")</f>
        <v>Drama</v>
      </c>
      <c r="N98" s="5">
        <f>IFERROR(__xludf.DUMMYFUNCTION("""COMPUTED_VALUE"""),1.0)</f>
        <v>1</v>
      </c>
      <c r="S98" s="5">
        <f>IFERROR(__xludf.DUMMYFUNCTION("""COMPUTED_VALUE"""),39.0)</f>
        <v>39</v>
      </c>
      <c r="T98" s="5" t="str">
        <f>IFERROR(__xludf.DUMMYFUNCTION("""COMPUTED_VALUE"""),"The Pianist")</f>
        <v>The Pianist</v>
      </c>
      <c r="U98" s="5" t="str">
        <f>IFERROR(__xludf.DUMMYFUNCTION("""COMPUTED_VALUE"""),"Drama")</f>
        <v>Drama</v>
      </c>
      <c r="V98" s="5">
        <f>IFERROR(__xludf.DUMMYFUNCTION("""COMPUTED_VALUE"""),2.0)</f>
        <v>2</v>
      </c>
    </row>
    <row r="99">
      <c r="A99" s="1">
        <v>98.0</v>
      </c>
      <c r="B99" s="1" t="s">
        <v>737</v>
      </c>
      <c r="C99" s="1" t="s">
        <v>20</v>
      </c>
      <c r="D99" s="1"/>
      <c r="E99" s="1">
        <v>98.0</v>
      </c>
      <c r="F99" s="1" t="s">
        <v>737</v>
      </c>
      <c r="G99" s="1" t="str">
        <f>IFERROR(__xludf.DUMMYFUNCTION("SPLIT(C99, "", "")"),"Drama")</f>
        <v>Drama</v>
      </c>
      <c r="J99" s="5" t="str">
        <f>IFERROR(__xludf.DUMMYFUNCTION("""COMPUTED_VALUE"""),"33🤙🏼It's a Wonderful Life🤙🏼Family🤙🏼2")</f>
        <v>33🤙🏼It's a Wonderful Life🤙🏼Family🤙🏼2</v>
      </c>
      <c r="K99" s="5">
        <f>IFERROR(__xludf.DUMMYFUNCTION("SPLiT(J99, ""🤙🏼"",FALSE,FALSE)"),33.0)</f>
        <v>33</v>
      </c>
      <c r="L99" s="5" t="str">
        <f>IFERROR(__xludf.DUMMYFUNCTION("""COMPUTED_VALUE"""),"It's a Wonderful Life")</f>
        <v>It's a Wonderful Life</v>
      </c>
      <c r="M99" s="5" t="str">
        <f>IFERROR(__xludf.DUMMYFUNCTION("""COMPUTED_VALUE"""),"Family")</f>
        <v>Family</v>
      </c>
      <c r="N99" s="5">
        <f>IFERROR(__xludf.DUMMYFUNCTION("""COMPUTED_VALUE"""),2.0)</f>
        <v>2</v>
      </c>
      <c r="S99" s="5">
        <f>IFERROR(__xludf.DUMMYFUNCTION("""COMPUTED_VALUE"""),39.0)</f>
        <v>39</v>
      </c>
      <c r="T99" s="5" t="str">
        <f>IFERROR(__xludf.DUMMYFUNCTION("""COMPUTED_VALUE"""),"The Pianist")</f>
        <v>The Pianist</v>
      </c>
      <c r="U99" s="5" t="str">
        <f>IFERROR(__xludf.DUMMYFUNCTION("""COMPUTED_VALUE"""),"Music")</f>
        <v>Music</v>
      </c>
      <c r="V99" s="5">
        <f>IFERROR(__xludf.DUMMYFUNCTION("""COMPUTED_VALUE"""),3.0)</f>
        <v>3</v>
      </c>
    </row>
    <row r="100">
      <c r="A100" s="1">
        <v>99.0</v>
      </c>
      <c r="B100" s="1" t="s">
        <v>744</v>
      </c>
      <c r="C100" s="1" t="s">
        <v>20</v>
      </c>
      <c r="D100" s="1"/>
      <c r="E100" s="1">
        <v>99.0</v>
      </c>
      <c r="F100" s="1" t="s">
        <v>744</v>
      </c>
      <c r="G100" s="1" t="str">
        <f>IFERROR(__xludf.DUMMYFUNCTION("SPLIT(C100, "", "")"),"Drama")</f>
        <v>Drama</v>
      </c>
      <c r="J100" s="5" t="str">
        <f>IFERROR(__xludf.DUMMYFUNCTION("""COMPUTED_VALUE"""),"33🤙🏼It's a Wonderful Life🤙🏼Fantasy🤙🏼3")</f>
        <v>33🤙🏼It's a Wonderful Life🤙🏼Fantasy🤙🏼3</v>
      </c>
      <c r="K100" s="5">
        <f>IFERROR(__xludf.DUMMYFUNCTION("SPLiT(J100, ""🤙🏼"",FALSE,FALSE)"),33.0)</f>
        <v>33</v>
      </c>
      <c r="L100" s="5" t="str">
        <f>IFERROR(__xludf.DUMMYFUNCTION("""COMPUTED_VALUE"""),"It's a Wonderful Life")</f>
        <v>It's a Wonderful Life</v>
      </c>
      <c r="M100" s="5" t="str">
        <f>IFERROR(__xludf.DUMMYFUNCTION("""COMPUTED_VALUE"""),"Fantasy")</f>
        <v>Fantasy</v>
      </c>
      <c r="N100" s="5">
        <f>IFERROR(__xludf.DUMMYFUNCTION("""COMPUTED_VALUE"""),3.0)</f>
        <v>3</v>
      </c>
      <c r="S100" s="5">
        <f>IFERROR(__xludf.DUMMYFUNCTION("""COMPUTED_VALUE"""),40.0)</f>
        <v>40</v>
      </c>
      <c r="T100" s="5" t="str">
        <f>IFERROR(__xludf.DUMMYFUNCTION("""COMPUTED_VALUE"""),"Gladiator")</f>
        <v>Gladiator</v>
      </c>
      <c r="U100" s="5" t="str">
        <f>IFERROR(__xludf.DUMMYFUNCTION("""COMPUTED_VALUE"""),"Action")</f>
        <v>Action</v>
      </c>
      <c r="V100" s="5">
        <f>IFERROR(__xludf.DUMMYFUNCTION("""COMPUTED_VALUE"""),1.0)</f>
        <v>1</v>
      </c>
    </row>
    <row r="101">
      <c r="A101" s="1">
        <v>100.0</v>
      </c>
      <c r="B101" s="1" t="s">
        <v>749</v>
      </c>
      <c r="C101" s="1" t="s">
        <v>107</v>
      </c>
      <c r="D101" s="1"/>
      <c r="E101" s="1">
        <v>100.0</v>
      </c>
      <c r="F101" s="1" t="s">
        <v>749</v>
      </c>
      <c r="G101" s="1" t="str">
        <f>IFERROR(__xludf.DUMMYFUNCTION("SPLIT(C101, "", "")"),"Drama")</f>
        <v>Drama</v>
      </c>
      <c r="H101" s="5" t="str">
        <f>IFERROR(__xludf.DUMMYFUNCTION("""COMPUTED_VALUE"""),"Romance")</f>
        <v>Romance</v>
      </c>
      <c r="J101" s="5" t="str">
        <f>IFERROR(__xludf.DUMMYFUNCTION("""COMPUTED_VALUE"""),"34🤙🏼Joker🤙🏼Crime🤙🏼1")</f>
        <v>34🤙🏼Joker🤙🏼Crime🤙🏼1</v>
      </c>
      <c r="K101" s="5">
        <f>IFERROR(__xludf.DUMMYFUNCTION("SPLiT(J101, ""🤙🏼"",FALSE,FALSE)"),34.0)</f>
        <v>34</v>
      </c>
      <c r="L101" s="5" t="str">
        <f>IFERROR(__xludf.DUMMYFUNCTION("""COMPUTED_VALUE"""),"Joker")</f>
        <v>Joker</v>
      </c>
      <c r="M101" s="5" t="str">
        <f>IFERROR(__xludf.DUMMYFUNCTION("""COMPUTED_VALUE"""),"Crime")</f>
        <v>Crime</v>
      </c>
      <c r="N101" s="5">
        <f>IFERROR(__xludf.DUMMYFUNCTION("""COMPUTED_VALUE"""),1.0)</f>
        <v>1</v>
      </c>
      <c r="S101" s="5">
        <f>IFERROR(__xludf.DUMMYFUNCTION("""COMPUTED_VALUE"""),40.0)</f>
        <v>40</v>
      </c>
      <c r="T101" s="5" t="str">
        <f>IFERROR(__xludf.DUMMYFUNCTION("""COMPUTED_VALUE"""),"Gladiator")</f>
        <v>Gladiator</v>
      </c>
      <c r="U101" s="5" t="str">
        <f>IFERROR(__xludf.DUMMYFUNCTION("""COMPUTED_VALUE"""),"Adventure")</f>
        <v>Adventure</v>
      </c>
      <c r="V101" s="5">
        <f>IFERROR(__xludf.DUMMYFUNCTION("""COMPUTED_VALUE"""),2.0)</f>
        <v>2</v>
      </c>
    </row>
    <row r="102">
      <c r="A102" s="1">
        <v>101.0</v>
      </c>
      <c r="B102" s="1" t="s">
        <v>755</v>
      </c>
      <c r="C102" s="1" t="s">
        <v>756</v>
      </c>
      <c r="D102" s="1"/>
      <c r="E102" s="1">
        <v>101.0</v>
      </c>
      <c r="F102" s="1" t="s">
        <v>755</v>
      </c>
      <c r="G102" s="1" t="str">
        <f>IFERROR(__xludf.DUMMYFUNCTION("SPLIT(C102, "", "")"),"Drama")</f>
        <v>Drama</v>
      </c>
      <c r="H102" s="5" t="str">
        <f>IFERROR(__xludf.DUMMYFUNCTION("""COMPUTED_VALUE"""),"Family")</f>
        <v>Family</v>
      </c>
      <c r="I102" s="5" t="str">
        <f>IFERROR(__xludf.DUMMYFUNCTION("""COMPUTED_VALUE"""),"Sport")</f>
        <v>Sport</v>
      </c>
      <c r="J102" s="5" t="str">
        <f>IFERROR(__xludf.DUMMYFUNCTION("""COMPUTED_VALUE"""),"34🤙🏼Joker🤙🏼Drama🤙🏼2")</f>
        <v>34🤙🏼Joker🤙🏼Drama🤙🏼2</v>
      </c>
      <c r="K102" s="5">
        <f>IFERROR(__xludf.DUMMYFUNCTION("SPLiT(J102, ""🤙🏼"",FALSE,FALSE)"),34.0)</f>
        <v>34</v>
      </c>
      <c r="L102" s="5" t="str">
        <f>IFERROR(__xludf.DUMMYFUNCTION("""COMPUTED_VALUE"""),"Joker")</f>
        <v>Joker</v>
      </c>
      <c r="M102" s="5" t="str">
        <f>IFERROR(__xludf.DUMMYFUNCTION("""COMPUTED_VALUE"""),"Drama")</f>
        <v>Drama</v>
      </c>
      <c r="N102" s="5">
        <f>IFERROR(__xludf.DUMMYFUNCTION("""COMPUTED_VALUE"""),2.0)</f>
        <v>2</v>
      </c>
      <c r="S102" s="5">
        <f>IFERROR(__xludf.DUMMYFUNCTION("""COMPUTED_VALUE"""),40.0)</f>
        <v>40</v>
      </c>
      <c r="T102" s="5" t="str">
        <f>IFERROR(__xludf.DUMMYFUNCTION("""COMPUTED_VALUE"""),"Gladiator")</f>
        <v>Gladiator</v>
      </c>
      <c r="U102" s="5" t="str">
        <f>IFERROR(__xludf.DUMMYFUNCTION("""COMPUTED_VALUE"""),"Drama")</f>
        <v>Drama</v>
      </c>
      <c r="V102" s="5">
        <f>IFERROR(__xludf.DUMMYFUNCTION("""COMPUTED_VALUE"""),3.0)</f>
        <v>3</v>
      </c>
    </row>
    <row r="103">
      <c r="A103" s="1">
        <v>102.0</v>
      </c>
      <c r="B103" s="1" t="s">
        <v>763</v>
      </c>
      <c r="C103" s="1" t="s">
        <v>765</v>
      </c>
      <c r="D103" s="1"/>
      <c r="E103" s="1">
        <v>102.0</v>
      </c>
      <c r="F103" s="1" t="s">
        <v>763</v>
      </c>
      <c r="G103" s="1" t="str">
        <f>IFERROR(__xludf.DUMMYFUNCTION("SPLIT(C103, "", "")"),"Animation")</f>
        <v>Animation</v>
      </c>
      <c r="H103" s="5" t="str">
        <f>IFERROR(__xludf.DUMMYFUNCTION("""COMPUTED_VALUE"""),"Adventure")</f>
        <v>Adventure</v>
      </c>
      <c r="I103" s="5" t="str">
        <f>IFERROR(__xludf.DUMMYFUNCTION("""COMPUTED_VALUE"""),"Comedy")</f>
        <v>Comedy</v>
      </c>
      <c r="J103" s="5" t="str">
        <f>IFERROR(__xludf.DUMMYFUNCTION("""COMPUTED_VALUE"""),"34🤙🏼Joker🤙🏼Thriller🤙🏼3")</f>
        <v>34🤙🏼Joker🤙🏼Thriller🤙🏼3</v>
      </c>
      <c r="K103" s="5">
        <f>IFERROR(__xludf.DUMMYFUNCTION("SPLiT(J103, ""🤙🏼"",FALSE,FALSE)"),34.0)</f>
        <v>34</v>
      </c>
      <c r="L103" s="5" t="str">
        <f>IFERROR(__xludf.DUMMYFUNCTION("""COMPUTED_VALUE"""),"Joker")</f>
        <v>Joker</v>
      </c>
      <c r="M103" s="5" t="str">
        <f>IFERROR(__xludf.DUMMYFUNCTION("""COMPUTED_VALUE"""),"Thriller")</f>
        <v>Thriller</v>
      </c>
      <c r="N103" s="5">
        <f>IFERROR(__xludf.DUMMYFUNCTION("""COMPUTED_VALUE"""),3.0)</f>
        <v>3</v>
      </c>
      <c r="S103" s="5">
        <f>IFERROR(__xludf.DUMMYFUNCTION("""COMPUTED_VALUE"""),41.0)</f>
        <v>41</v>
      </c>
      <c r="T103" s="5" t="str">
        <f>IFERROR(__xludf.DUMMYFUNCTION("""COMPUTED_VALUE"""),"American History X")</f>
        <v>American History X</v>
      </c>
      <c r="U103" s="5" t="str">
        <f>IFERROR(__xludf.DUMMYFUNCTION("""COMPUTED_VALUE"""),"Drama")</f>
        <v>Drama</v>
      </c>
      <c r="V103" s="5">
        <f>IFERROR(__xludf.DUMMYFUNCTION("""COMPUTED_VALUE"""),1.0)</f>
        <v>1</v>
      </c>
    </row>
    <row r="104">
      <c r="A104" s="1">
        <v>103.0</v>
      </c>
      <c r="B104" s="1" t="s">
        <v>771</v>
      </c>
      <c r="C104" s="1" t="s">
        <v>79</v>
      </c>
      <c r="D104" s="1"/>
      <c r="E104" s="1">
        <v>103.0</v>
      </c>
      <c r="F104" s="1" t="s">
        <v>771</v>
      </c>
      <c r="G104" s="1" t="str">
        <f>IFERROR(__xludf.DUMMYFUNCTION("SPLIT(C104, "", "")"),"Biography")</f>
        <v>Biography</v>
      </c>
      <c r="H104" s="5" t="str">
        <f>IFERROR(__xludf.DUMMYFUNCTION("""COMPUTED_VALUE"""),"Drama")</f>
        <v>Drama</v>
      </c>
      <c r="I104" s="5" t="str">
        <f>IFERROR(__xludf.DUMMYFUNCTION("""COMPUTED_VALUE"""),"History")</f>
        <v>History</v>
      </c>
      <c r="J104" s="5" t="str">
        <f>IFERROR(__xludf.DUMMYFUNCTION("""COMPUTED_VALUE"""),"35🤙🏼Whiplash🤙🏼Drama🤙🏼1")</f>
        <v>35🤙🏼Whiplash🤙🏼Drama🤙🏼1</v>
      </c>
      <c r="K104" s="5">
        <f>IFERROR(__xludf.DUMMYFUNCTION("SPLiT(J104, ""🤙🏼"",FALSE,FALSE)"),35.0)</f>
        <v>35</v>
      </c>
      <c r="L104" s="5" t="str">
        <f>IFERROR(__xludf.DUMMYFUNCTION("""COMPUTED_VALUE"""),"Whiplash")</f>
        <v>Whiplash</v>
      </c>
      <c r="M104" s="5" t="str">
        <f>IFERROR(__xludf.DUMMYFUNCTION("""COMPUTED_VALUE"""),"Drama")</f>
        <v>Drama</v>
      </c>
      <c r="N104" s="5">
        <f>IFERROR(__xludf.DUMMYFUNCTION("""COMPUTED_VALUE"""),1.0)</f>
        <v>1</v>
      </c>
      <c r="S104" s="5">
        <f>IFERROR(__xludf.DUMMYFUNCTION("""COMPUTED_VALUE"""),42.0)</f>
        <v>42</v>
      </c>
      <c r="T104" s="5" t="str">
        <f>IFERROR(__xludf.DUMMYFUNCTION("""COMPUTED_VALUE"""),"The Usual Suspects")</f>
        <v>The Usual Suspects</v>
      </c>
      <c r="U104" s="5" t="str">
        <f>IFERROR(__xludf.DUMMYFUNCTION("""COMPUTED_VALUE"""),"Crime")</f>
        <v>Crime</v>
      </c>
      <c r="V104" s="5">
        <f>IFERROR(__xludf.DUMMYFUNCTION("""COMPUTED_VALUE"""),1.0)</f>
        <v>1</v>
      </c>
    </row>
    <row r="105">
      <c r="A105" s="1">
        <v>104.0</v>
      </c>
      <c r="B105" s="1" t="s">
        <v>777</v>
      </c>
      <c r="C105" s="1" t="s">
        <v>241</v>
      </c>
      <c r="D105" s="1"/>
      <c r="E105" s="1">
        <v>104.0</v>
      </c>
      <c r="F105" s="1" t="s">
        <v>777</v>
      </c>
      <c r="G105" s="1" t="str">
        <f>IFERROR(__xludf.DUMMYFUNCTION("SPLIT(C105, "", "")"),"Crime")</f>
        <v>Crime</v>
      </c>
      <c r="H105" s="5" t="str">
        <f>IFERROR(__xludf.DUMMYFUNCTION("""COMPUTED_VALUE"""),"Drama")</f>
        <v>Drama</v>
      </c>
      <c r="I105" s="5" t="str">
        <f>IFERROR(__xludf.DUMMYFUNCTION("""COMPUTED_VALUE"""),"Thriller")</f>
        <v>Thriller</v>
      </c>
      <c r="J105" s="5" t="str">
        <f>IFERROR(__xludf.DUMMYFUNCTION("""COMPUTED_VALUE"""),"35🤙🏼Whiplash🤙🏼Music🤙🏼2")</f>
        <v>35🤙🏼Whiplash🤙🏼Music🤙🏼2</v>
      </c>
      <c r="K105" s="5">
        <f>IFERROR(__xludf.DUMMYFUNCTION("SPLiT(J105, ""🤙🏼"",FALSE,FALSE)"),35.0)</f>
        <v>35</v>
      </c>
      <c r="L105" s="5" t="str">
        <f>IFERROR(__xludf.DUMMYFUNCTION("""COMPUTED_VALUE"""),"Whiplash")</f>
        <v>Whiplash</v>
      </c>
      <c r="M105" s="5" t="str">
        <f>IFERROR(__xludf.DUMMYFUNCTION("""COMPUTED_VALUE"""),"Music")</f>
        <v>Music</v>
      </c>
      <c r="N105" s="5">
        <f>IFERROR(__xludf.DUMMYFUNCTION("""COMPUTED_VALUE"""),2.0)</f>
        <v>2</v>
      </c>
      <c r="S105" s="5">
        <f>IFERROR(__xludf.DUMMYFUNCTION("""COMPUTED_VALUE"""),42.0)</f>
        <v>42</v>
      </c>
      <c r="T105" s="5" t="str">
        <f>IFERROR(__xludf.DUMMYFUNCTION("""COMPUTED_VALUE"""),"The Usual Suspects")</f>
        <v>The Usual Suspects</v>
      </c>
      <c r="U105" s="5" t="str">
        <f>IFERROR(__xludf.DUMMYFUNCTION("""COMPUTED_VALUE"""),"Mystery")</f>
        <v>Mystery</v>
      </c>
      <c r="V105" s="5">
        <f>IFERROR(__xludf.DUMMYFUNCTION("""COMPUTED_VALUE"""),2.0)</f>
        <v>2</v>
      </c>
    </row>
    <row r="106">
      <c r="A106" s="1">
        <v>105.0</v>
      </c>
      <c r="B106" s="1" t="s">
        <v>784</v>
      </c>
      <c r="C106" s="1" t="s">
        <v>213</v>
      </c>
      <c r="D106" s="1"/>
      <c r="E106" s="1">
        <v>105.0</v>
      </c>
      <c r="F106" s="1" t="s">
        <v>784</v>
      </c>
      <c r="G106" s="1" t="str">
        <f>IFERROR(__xludf.DUMMYFUNCTION("SPLIT(C106, "", "")"),"Drama")</f>
        <v>Drama</v>
      </c>
      <c r="H106" s="5" t="str">
        <f>IFERROR(__xludf.DUMMYFUNCTION("""COMPUTED_VALUE"""),"War")</f>
        <v>War</v>
      </c>
      <c r="J106" s="5" t="str">
        <f>IFERROR(__xludf.DUMMYFUNCTION("""COMPUTED_VALUE"""),"35🤙🏼Whiplash🤙🏼🤙🏼3")</f>
        <v>35🤙🏼Whiplash🤙🏼🤙🏼3</v>
      </c>
      <c r="K106" s="5">
        <f>IFERROR(__xludf.DUMMYFUNCTION("SPLiT(J106, ""🤙🏼"",FALSE,FALSE)"),35.0)</f>
        <v>35</v>
      </c>
      <c r="L106" s="5" t="str">
        <f>IFERROR(__xludf.DUMMYFUNCTION("""COMPUTED_VALUE"""),"Whiplash")</f>
        <v>Whiplash</v>
      </c>
      <c r="M106" s="5"/>
      <c r="N106" s="5">
        <f>IFERROR(__xludf.DUMMYFUNCTION("""COMPUTED_VALUE"""),3.0)</f>
        <v>3</v>
      </c>
      <c r="S106" s="5">
        <f>IFERROR(__xludf.DUMMYFUNCTION("""COMPUTED_VALUE"""),42.0)</f>
        <v>42</v>
      </c>
      <c r="T106" s="5" t="str">
        <f>IFERROR(__xludf.DUMMYFUNCTION("""COMPUTED_VALUE"""),"The Usual Suspects")</f>
        <v>The Usual Suspects</v>
      </c>
      <c r="U106" s="5" t="str">
        <f>IFERROR(__xludf.DUMMYFUNCTION("""COMPUTED_VALUE"""),"Thriller")</f>
        <v>Thriller</v>
      </c>
      <c r="V106" s="5">
        <f>IFERROR(__xludf.DUMMYFUNCTION("""COMPUTED_VALUE"""),3.0)</f>
        <v>3</v>
      </c>
    </row>
    <row r="107">
      <c r="A107" s="1">
        <v>106.0</v>
      </c>
      <c r="B107" s="1" t="s">
        <v>790</v>
      </c>
      <c r="C107" s="1" t="s">
        <v>639</v>
      </c>
      <c r="D107" s="1"/>
      <c r="E107" s="1">
        <v>106.0</v>
      </c>
      <c r="F107" s="1" t="s">
        <v>790</v>
      </c>
      <c r="G107" s="1" t="str">
        <f>IFERROR(__xludf.DUMMYFUNCTION("SPLIT(C107, "", "")"),"Drama")</f>
        <v>Drama</v>
      </c>
      <c r="H107" s="5" t="str">
        <f>IFERROR(__xludf.DUMMYFUNCTION("""COMPUTED_VALUE"""),"Thriller")</f>
        <v>Thriller</v>
      </c>
      <c r="I107" s="5" t="str">
        <f>IFERROR(__xludf.DUMMYFUNCTION("""COMPUTED_VALUE"""),"War")</f>
        <v>War</v>
      </c>
      <c r="J107" s="5" t="str">
        <f>IFERROR(__xludf.DUMMYFUNCTION("""COMPUTED_VALUE"""),"36🤙🏼The Intouchables🤙🏼Biography🤙🏼1")</f>
        <v>36🤙🏼The Intouchables🤙🏼Biography🤙🏼1</v>
      </c>
      <c r="K107" s="5">
        <f>IFERROR(__xludf.DUMMYFUNCTION("SPLiT(J107, ""🤙🏼"",FALSE,FALSE)"),36.0)</f>
        <v>36</v>
      </c>
      <c r="L107" s="5" t="str">
        <f>IFERROR(__xludf.DUMMYFUNCTION("""COMPUTED_VALUE"""),"The Intouchables")</f>
        <v>The Intouchables</v>
      </c>
      <c r="M107" s="5" t="str">
        <f>IFERROR(__xludf.DUMMYFUNCTION("""COMPUTED_VALUE"""),"Biography")</f>
        <v>Biography</v>
      </c>
      <c r="N107" s="5">
        <f>IFERROR(__xludf.DUMMYFUNCTION("""COMPUTED_VALUE"""),1.0)</f>
        <v>1</v>
      </c>
      <c r="S107" s="5">
        <f>IFERROR(__xludf.DUMMYFUNCTION("""COMPUTED_VALUE"""),43.0)</f>
        <v>43</v>
      </c>
      <c r="T107" s="5" t="str">
        <f>IFERROR(__xludf.DUMMYFUNCTION("""COMPUTED_VALUE"""),"Léon")</f>
        <v>Léon</v>
      </c>
      <c r="U107" s="5" t="str">
        <f>IFERROR(__xludf.DUMMYFUNCTION("""COMPUTED_VALUE"""),"Action")</f>
        <v>Action</v>
      </c>
      <c r="V107" s="5">
        <f>IFERROR(__xludf.DUMMYFUNCTION("""COMPUTED_VALUE"""),1.0)</f>
        <v>1</v>
      </c>
    </row>
    <row r="108">
      <c r="A108" s="1">
        <v>107.0</v>
      </c>
      <c r="B108" s="1" t="s">
        <v>797</v>
      </c>
      <c r="C108" s="1" t="s">
        <v>88</v>
      </c>
      <c r="D108" s="1"/>
      <c r="E108" s="1">
        <v>107.0</v>
      </c>
      <c r="F108" s="1" t="s">
        <v>797</v>
      </c>
      <c r="G108" s="1" t="str">
        <f>IFERROR(__xludf.DUMMYFUNCTION("SPLIT(C108, "", "")"),"Action")</f>
        <v>Action</v>
      </c>
      <c r="H108" s="5" t="str">
        <f>IFERROR(__xludf.DUMMYFUNCTION("""COMPUTED_VALUE"""),"Adventure")</f>
        <v>Adventure</v>
      </c>
      <c r="I108" s="5" t="str">
        <f>IFERROR(__xludf.DUMMYFUNCTION("""COMPUTED_VALUE"""),"Sci-Fi")</f>
        <v>Sci-Fi</v>
      </c>
      <c r="J108" s="5" t="str">
        <f>IFERROR(__xludf.DUMMYFUNCTION("""COMPUTED_VALUE"""),"36🤙🏼The Intouchables🤙🏼Comedy🤙🏼2")</f>
        <v>36🤙🏼The Intouchables🤙🏼Comedy🤙🏼2</v>
      </c>
      <c r="K108" s="5">
        <f>IFERROR(__xludf.DUMMYFUNCTION("SPLiT(J108, ""🤙🏼"",FALSE,FALSE)"),36.0)</f>
        <v>36</v>
      </c>
      <c r="L108" s="5" t="str">
        <f>IFERROR(__xludf.DUMMYFUNCTION("""COMPUTED_VALUE"""),"The Intouchables")</f>
        <v>The Intouchables</v>
      </c>
      <c r="M108" s="5" t="str">
        <f>IFERROR(__xludf.DUMMYFUNCTION("""COMPUTED_VALUE"""),"Comedy")</f>
        <v>Comedy</v>
      </c>
      <c r="N108" s="5">
        <f>IFERROR(__xludf.DUMMYFUNCTION("""COMPUTED_VALUE"""),2.0)</f>
        <v>2</v>
      </c>
      <c r="S108" s="5">
        <f>IFERROR(__xludf.DUMMYFUNCTION("""COMPUTED_VALUE"""),43.0)</f>
        <v>43</v>
      </c>
      <c r="T108" s="5" t="str">
        <f>IFERROR(__xludf.DUMMYFUNCTION("""COMPUTED_VALUE"""),"Léon")</f>
        <v>Léon</v>
      </c>
      <c r="U108" s="5" t="str">
        <f>IFERROR(__xludf.DUMMYFUNCTION("""COMPUTED_VALUE"""),"Crime")</f>
        <v>Crime</v>
      </c>
      <c r="V108" s="5">
        <f>IFERROR(__xludf.DUMMYFUNCTION("""COMPUTED_VALUE"""),2.0)</f>
        <v>2</v>
      </c>
    </row>
    <row r="109">
      <c r="A109" s="1">
        <v>108.0</v>
      </c>
      <c r="B109" s="1" t="s">
        <v>801</v>
      </c>
      <c r="C109" s="1" t="s">
        <v>79</v>
      </c>
      <c r="D109" s="1"/>
      <c r="E109" s="1">
        <v>108.0</v>
      </c>
      <c r="F109" s="1" t="s">
        <v>801</v>
      </c>
      <c r="G109" s="1" t="str">
        <f>IFERROR(__xludf.DUMMYFUNCTION("SPLIT(C109, "", "")"),"Biography")</f>
        <v>Biography</v>
      </c>
      <c r="H109" s="5" t="str">
        <f>IFERROR(__xludf.DUMMYFUNCTION("""COMPUTED_VALUE"""),"Drama")</f>
        <v>Drama</v>
      </c>
      <c r="I109" s="5" t="str">
        <f>IFERROR(__xludf.DUMMYFUNCTION("""COMPUTED_VALUE"""),"History")</f>
        <v>History</v>
      </c>
      <c r="J109" s="5" t="str">
        <f>IFERROR(__xludf.DUMMYFUNCTION("""COMPUTED_VALUE"""),"36🤙🏼The Intouchables🤙🏼Drama🤙🏼3")</f>
        <v>36🤙🏼The Intouchables🤙🏼Drama🤙🏼3</v>
      </c>
      <c r="K109" s="5">
        <f>IFERROR(__xludf.DUMMYFUNCTION("SPLiT(J109, ""🤙🏼"",FALSE,FALSE)"),36.0)</f>
        <v>36</v>
      </c>
      <c r="L109" s="5" t="str">
        <f>IFERROR(__xludf.DUMMYFUNCTION("""COMPUTED_VALUE"""),"The Intouchables")</f>
        <v>The Intouchables</v>
      </c>
      <c r="M109" s="5" t="str">
        <f>IFERROR(__xludf.DUMMYFUNCTION("""COMPUTED_VALUE"""),"Drama")</f>
        <v>Drama</v>
      </c>
      <c r="N109" s="5">
        <f>IFERROR(__xludf.DUMMYFUNCTION("""COMPUTED_VALUE"""),3.0)</f>
        <v>3</v>
      </c>
      <c r="S109" s="5">
        <f>IFERROR(__xludf.DUMMYFUNCTION("""COMPUTED_VALUE"""),43.0)</f>
        <v>43</v>
      </c>
      <c r="T109" s="5" t="str">
        <f>IFERROR(__xludf.DUMMYFUNCTION("""COMPUTED_VALUE"""),"Léon")</f>
        <v>Léon</v>
      </c>
      <c r="U109" s="5" t="str">
        <f>IFERROR(__xludf.DUMMYFUNCTION("""COMPUTED_VALUE"""),"Drama")</f>
        <v>Drama</v>
      </c>
      <c r="V109" s="5">
        <f>IFERROR(__xludf.DUMMYFUNCTION("""COMPUTED_VALUE"""),3.0)</f>
        <v>3</v>
      </c>
    </row>
    <row r="110">
      <c r="A110" s="1">
        <v>109.0</v>
      </c>
      <c r="B110" s="1" t="s">
        <v>807</v>
      </c>
      <c r="C110" s="1" t="s">
        <v>29</v>
      </c>
      <c r="D110" s="1"/>
      <c r="E110" s="1">
        <v>109.0</v>
      </c>
      <c r="F110" s="1" t="s">
        <v>807</v>
      </c>
      <c r="G110" s="1" t="str">
        <f>IFERROR(__xludf.DUMMYFUNCTION("SPLIT(C110, "", "")"),"Crime")</f>
        <v>Crime</v>
      </c>
      <c r="H110" s="5" t="str">
        <f>IFERROR(__xludf.DUMMYFUNCTION("""COMPUTED_VALUE"""),"Drama")</f>
        <v>Drama</v>
      </c>
      <c r="J110" s="5" t="str">
        <f>IFERROR(__xludf.DUMMYFUNCTION("""COMPUTED_VALUE"""),"37🤙🏼The Prestige🤙🏼Drama🤙🏼1")</f>
        <v>37🤙🏼The Prestige🤙🏼Drama🤙🏼1</v>
      </c>
      <c r="K110" s="5">
        <f>IFERROR(__xludf.DUMMYFUNCTION("SPLiT(J110, ""🤙🏼"",FALSE,FALSE)"),37.0)</f>
        <v>37</v>
      </c>
      <c r="L110" s="5" t="str">
        <f>IFERROR(__xludf.DUMMYFUNCTION("""COMPUTED_VALUE"""),"The Prestige")</f>
        <v>The Prestige</v>
      </c>
      <c r="M110" s="5" t="str">
        <f>IFERROR(__xludf.DUMMYFUNCTION("""COMPUTED_VALUE"""),"Drama")</f>
        <v>Drama</v>
      </c>
      <c r="N110" s="5">
        <f>IFERROR(__xludf.DUMMYFUNCTION("""COMPUTED_VALUE"""),1.0)</f>
        <v>1</v>
      </c>
      <c r="S110" s="5">
        <f>IFERROR(__xludf.DUMMYFUNCTION("""COMPUTED_VALUE"""),44.0)</f>
        <v>44</v>
      </c>
      <c r="T110" s="5" t="str">
        <f>IFERROR(__xludf.DUMMYFUNCTION("""COMPUTED_VALUE"""),"The Lion King")</f>
        <v>The Lion King</v>
      </c>
      <c r="U110" s="5" t="str">
        <f>IFERROR(__xludf.DUMMYFUNCTION("""COMPUTED_VALUE"""),"Animation")</f>
        <v>Animation</v>
      </c>
      <c r="V110" s="5">
        <f>IFERROR(__xludf.DUMMYFUNCTION("""COMPUTED_VALUE"""),1.0)</f>
        <v>1</v>
      </c>
    </row>
    <row r="111">
      <c r="A111" s="1">
        <v>110.0</v>
      </c>
      <c r="B111" s="1" t="s">
        <v>813</v>
      </c>
      <c r="C111" s="1" t="s">
        <v>145</v>
      </c>
      <c r="D111" s="1"/>
      <c r="E111" s="1">
        <v>110.0</v>
      </c>
      <c r="F111" s="1" t="s">
        <v>813</v>
      </c>
      <c r="G111" s="1" t="str">
        <f>IFERROR(__xludf.DUMMYFUNCTION("SPLIT(C111, "", "")"),"Action")</f>
        <v>Action</v>
      </c>
      <c r="H111" s="5" t="str">
        <f>IFERROR(__xludf.DUMMYFUNCTION("""COMPUTED_VALUE"""),"Adventure")</f>
        <v>Adventure</v>
      </c>
      <c r="I111" s="5" t="str">
        <f>IFERROR(__xludf.DUMMYFUNCTION("""COMPUTED_VALUE"""),"Fantasy")</f>
        <v>Fantasy</v>
      </c>
      <c r="J111" s="5" t="str">
        <f>IFERROR(__xludf.DUMMYFUNCTION("""COMPUTED_VALUE"""),"37🤙🏼The Prestige🤙🏼Mystery🤙🏼2")</f>
        <v>37🤙🏼The Prestige🤙🏼Mystery🤙🏼2</v>
      </c>
      <c r="K111" s="5">
        <f>IFERROR(__xludf.DUMMYFUNCTION("SPLiT(J111, ""🤙🏼"",FALSE,FALSE)"),37.0)</f>
        <v>37</v>
      </c>
      <c r="L111" s="5" t="str">
        <f>IFERROR(__xludf.DUMMYFUNCTION("""COMPUTED_VALUE"""),"The Prestige")</f>
        <v>The Prestige</v>
      </c>
      <c r="M111" s="5" t="str">
        <f>IFERROR(__xludf.DUMMYFUNCTION("""COMPUTED_VALUE"""),"Mystery")</f>
        <v>Mystery</v>
      </c>
      <c r="N111" s="5">
        <f>IFERROR(__xludf.DUMMYFUNCTION("""COMPUTED_VALUE"""),2.0)</f>
        <v>2</v>
      </c>
      <c r="S111" s="5">
        <f>IFERROR(__xludf.DUMMYFUNCTION("""COMPUTED_VALUE"""),44.0)</f>
        <v>44</v>
      </c>
      <c r="T111" s="5" t="str">
        <f>IFERROR(__xludf.DUMMYFUNCTION("""COMPUTED_VALUE"""),"The Lion King")</f>
        <v>The Lion King</v>
      </c>
      <c r="U111" s="5" t="str">
        <f>IFERROR(__xludf.DUMMYFUNCTION("""COMPUTED_VALUE"""),"Adventure")</f>
        <v>Adventure</v>
      </c>
      <c r="V111" s="5">
        <f>IFERROR(__xludf.DUMMYFUNCTION("""COMPUTED_VALUE"""),2.0)</f>
        <v>2</v>
      </c>
    </row>
    <row r="112">
      <c r="A112" s="1">
        <v>111.0</v>
      </c>
      <c r="B112" s="1" t="s">
        <v>816</v>
      </c>
      <c r="C112" s="1" t="s">
        <v>817</v>
      </c>
      <c r="D112" s="1"/>
      <c r="E112" s="1">
        <v>111.0</v>
      </c>
      <c r="F112" s="1" t="s">
        <v>816</v>
      </c>
      <c r="G112" s="1" t="str">
        <f>IFERROR(__xludf.DUMMYFUNCTION("SPLIT(C112, "", "")"),"Adventure")</f>
        <v>Adventure</v>
      </c>
      <c r="H112" s="5" t="str">
        <f>IFERROR(__xludf.DUMMYFUNCTION("""COMPUTED_VALUE"""),"Drama")</f>
        <v>Drama</v>
      </c>
      <c r="I112" s="5" t="str">
        <f>IFERROR(__xludf.DUMMYFUNCTION("""COMPUTED_VALUE"""),"Thriller")</f>
        <v>Thriller</v>
      </c>
      <c r="J112" s="5" t="str">
        <f>IFERROR(__xludf.DUMMYFUNCTION("""COMPUTED_VALUE"""),"37🤙🏼The Prestige🤙🏼Sci-Fi🤙🏼3")</f>
        <v>37🤙🏼The Prestige🤙🏼Sci-Fi🤙🏼3</v>
      </c>
      <c r="K112" s="5">
        <f>IFERROR(__xludf.DUMMYFUNCTION("SPLiT(J112, ""🤙🏼"",FALSE,FALSE)"),37.0)</f>
        <v>37</v>
      </c>
      <c r="L112" s="5" t="str">
        <f>IFERROR(__xludf.DUMMYFUNCTION("""COMPUTED_VALUE"""),"The Prestige")</f>
        <v>The Prestige</v>
      </c>
      <c r="M112" s="5" t="str">
        <f>IFERROR(__xludf.DUMMYFUNCTION("""COMPUTED_VALUE"""),"Sci-Fi")</f>
        <v>Sci-Fi</v>
      </c>
      <c r="N112" s="5">
        <f>IFERROR(__xludf.DUMMYFUNCTION("""COMPUTED_VALUE"""),3.0)</f>
        <v>3</v>
      </c>
      <c r="S112" s="5">
        <f>IFERROR(__xludf.DUMMYFUNCTION("""COMPUTED_VALUE"""),44.0)</f>
        <v>44</v>
      </c>
      <c r="T112" s="5" t="str">
        <f>IFERROR(__xludf.DUMMYFUNCTION("""COMPUTED_VALUE"""),"The Lion King")</f>
        <v>The Lion King</v>
      </c>
      <c r="U112" s="5" t="str">
        <f>IFERROR(__xludf.DUMMYFUNCTION("""COMPUTED_VALUE"""),"Drama")</f>
        <v>Drama</v>
      </c>
      <c r="V112" s="5">
        <f>IFERROR(__xludf.DUMMYFUNCTION("""COMPUTED_VALUE"""),3.0)</f>
        <v>3</v>
      </c>
    </row>
    <row r="113">
      <c r="A113" s="1">
        <v>112.0</v>
      </c>
      <c r="B113" s="1" t="s">
        <v>824</v>
      </c>
      <c r="C113" s="1" t="s">
        <v>29</v>
      </c>
      <c r="D113" s="1"/>
      <c r="E113" s="1">
        <v>112.0</v>
      </c>
      <c r="F113" s="1" t="s">
        <v>824</v>
      </c>
      <c r="G113" s="1" t="str">
        <f>IFERROR(__xludf.DUMMYFUNCTION("SPLIT(C113, "", "")"),"Crime")</f>
        <v>Crime</v>
      </c>
      <c r="H113" s="5" t="str">
        <f>IFERROR(__xludf.DUMMYFUNCTION("""COMPUTED_VALUE"""),"Drama")</f>
        <v>Drama</v>
      </c>
      <c r="J113" s="5" t="str">
        <f>IFERROR(__xludf.DUMMYFUNCTION("""COMPUTED_VALUE"""),"38🤙🏼The Departed🤙🏼Crime🤙🏼1")</f>
        <v>38🤙🏼The Departed🤙🏼Crime🤙🏼1</v>
      </c>
      <c r="K113" s="5">
        <f>IFERROR(__xludf.DUMMYFUNCTION("SPLiT(J113, ""🤙🏼"",FALSE,FALSE)"),38.0)</f>
        <v>38</v>
      </c>
      <c r="L113" s="5" t="str">
        <f>IFERROR(__xludf.DUMMYFUNCTION("""COMPUTED_VALUE"""),"The Departed")</f>
        <v>The Departed</v>
      </c>
      <c r="M113" s="5" t="str">
        <f>IFERROR(__xludf.DUMMYFUNCTION("""COMPUTED_VALUE"""),"Crime")</f>
        <v>Crime</v>
      </c>
      <c r="N113" s="5">
        <f>IFERROR(__xludf.DUMMYFUNCTION("""COMPUTED_VALUE"""),1.0)</f>
        <v>1</v>
      </c>
      <c r="S113" s="5">
        <f>IFERROR(__xludf.DUMMYFUNCTION("""COMPUTED_VALUE"""),45.0)</f>
        <v>45</v>
      </c>
      <c r="T113" s="5" t="str">
        <f>IFERROR(__xludf.DUMMYFUNCTION("""COMPUTED_VALUE"""),"Terminator 2: Judgment Day")</f>
        <v>Terminator 2: Judgment Day</v>
      </c>
      <c r="U113" s="5" t="str">
        <f>IFERROR(__xludf.DUMMYFUNCTION("""COMPUTED_VALUE"""),"Action")</f>
        <v>Action</v>
      </c>
      <c r="V113" s="5">
        <f>IFERROR(__xludf.DUMMYFUNCTION("""COMPUTED_VALUE"""),1.0)</f>
        <v>1</v>
      </c>
    </row>
    <row r="114">
      <c r="A114" s="1">
        <v>113.0</v>
      </c>
      <c r="B114" s="1" t="s">
        <v>829</v>
      </c>
      <c r="C114" s="1" t="s">
        <v>831</v>
      </c>
      <c r="D114" s="1"/>
      <c r="E114" s="1">
        <v>113.0</v>
      </c>
      <c r="F114" s="1" t="s">
        <v>829</v>
      </c>
      <c r="G114" s="1" t="str">
        <f>IFERROR(__xludf.DUMMYFUNCTION("SPLIT(C114, "", "")"),"Comedy")</f>
        <v>Comedy</v>
      </c>
      <c r="H114" s="5" t="str">
        <f>IFERROR(__xludf.DUMMYFUNCTION("""COMPUTED_VALUE"""),"Crime")</f>
        <v>Crime</v>
      </c>
      <c r="I114" s="5" t="str">
        <f>IFERROR(__xludf.DUMMYFUNCTION("""COMPUTED_VALUE"""),"Drama")</f>
        <v>Drama</v>
      </c>
      <c r="J114" s="5" t="str">
        <f>IFERROR(__xludf.DUMMYFUNCTION("""COMPUTED_VALUE"""),"38🤙🏼The Departed🤙🏼Drama🤙🏼2")</f>
        <v>38🤙🏼The Departed🤙🏼Drama🤙🏼2</v>
      </c>
      <c r="K114" s="5">
        <f>IFERROR(__xludf.DUMMYFUNCTION("SPLiT(J114, ""🤙🏼"",FALSE,FALSE)"),38.0)</f>
        <v>38</v>
      </c>
      <c r="L114" s="5" t="str">
        <f>IFERROR(__xludf.DUMMYFUNCTION("""COMPUTED_VALUE"""),"The Departed")</f>
        <v>The Departed</v>
      </c>
      <c r="M114" s="5" t="str">
        <f>IFERROR(__xludf.DUMMYFUNCTION("""COMPUTED_VALUE"""),"Drama")</f>
        <v>Drama</v>
      </c>
      <c r="N114" s="5">
        <f>IFERROR(__xludf.DUMMYFUNCTION("""COMPUTED_VALUE"""),2.0)</f>
        <v>2</v>
      </c>
      <c r="S114" s="5">
        <f>IFERROR(__xludf.DUMMYFUNCTION("""COMPUTED_VALUE"""),45.0)</f>
        <v>45</v>
      </c>
      <c r="T114" s="5" t="str">
        <f>IFERROR(__xludf.DUMMYFUNCTION("""COMPUTED_VALUE"""),"Terminator 2: Judgment Day")</f>
        <v>Terminator 2: Judgment Day</v>
      </c>
      <c r="U114" s="5" t="str">
        <f>IFERROR(__xludf.DUMMYFUNCTION("""COMPUTED_VALUE"""),"Sci-Fi")</f>
        <v>Sci-Fi</v>
      </c>
      <c r="V114" s="5">
        <f>IFERROR(__xludf.DUMMYFUNCTION("""COMPUTED_VALUE"""),2.0)</f>
        <v>2</v>
      </c>
    </row>
    <row r="115">
      <c r="A115" s="1">
        <v>114.0</v>
      </c>
      <c r="B115" s="1" t="s">
        <v>838</v>
      </c>
      <c r="C115" s="1" t="s">
        <v>839</v>
      </c>
      <c r="D115" s="1"/>
      <c r="E115" s="1">
        <v>114.0</v>
      </c>
      <c r="F115" s="1" t="s">
        <v>838</v>
      </c>
      <c r="G115" s="1" t="str">
        <f>IFERROR(__xludf.DUMMYFUNCTION("SPLIT(C115, "", "")"),"Crime")</f>
        <v>Crime</v>
      </c>
      <c r="H115" s="5" t="str">
        <f>IFERROR(__xludf.DUMMYFUNCTION("""COMPUTED_VALUE"""),"Drama")</f>
        <v>Drama</v>
      </c>
      <c r="I115" s="5" t="str">
        <f>IFERROR(__xludf.DUMMYFUNCTION("""COMPUTED_VALUE"""),"Sci-Fi")</f>
        <v>Sci-Fi</v>
      </c>
      <c r="J115" s="5" t="str">
        <f>IFERROR(__xludf.DUMMYFUNCTION("""COMPUTED_VALUE"""),"38🤙🏼The Departed🤙🏼Thriller🤙🏼3")</f>
        <v>38🤙🏼The Departed🤙🏼Thriller🤙🏼3</v>
      </c>
      <c r="K115" s="5">
        <f>IFERROR(__xludf.DUMMYFUNCTION("SPLiT(J115, ""🤙🏼"",FALSE,FALSE)"),38.0)</f>
        <v>38</v>
      </c>
      <c r="L115" s="5" t="str">
        <f>IFERROR(__xludf.DUMMYFUNCTION("""COMPUTED_VALUE"""),"The Departed")</f>
        <v>The Departed</v>
      </c>
      <c r="M115" s="5" t="str">
        <f>IFERROR(__xludf.DUMMYFUNCTION("""COMPUTED_VALUE"""),"Thriller")</f>
        <v>Thriller</v>
      </c>
      <c r="N115" s="5">
        <f>IFERROR(__xludf.DUMMYFUNCTION("""COMPUTED_VALUE"""),3.0)</f>
        <v>3</v>
      </c>
      <c r="S115" s="5">
        <f>IFERROR(__xludf.DUMMYFUNCTION("""COMPUTED_VALUE"""),46.0)</f>
        <v>46</v>
      </c>
      <c r="T115" s="5" t="str">
        <f>IFERROR(__xludf.DUMMYFUNCTION("""COMPUTED_VALUE"""),"Nuovo Cinema Paradiso")</f>
        <v>Nuovo Cinema Paradiso</v>
      </c>
      <c r="U115" s="5" t="str">
        <f>IFERROR(__xludf.DUMMYFUNCTION("""COMPUTED_VALUE"""),"Drama")</f>
        <v>Drama</v>
      </c>
      <c r="V115" s="5">
        <f>IFERROR(__xludf.DUMMYFUNCTION("""COMPUTED_VALUE"""),1.0)</f>
        <v>1</v>
      </c>
    </row>
    <row r="116">
      <c r="A116" s="1">
        <v>115.0</v>
      </c>
      <c r="B116" s="1" t="s">
        <v>845</v>
      </c>
      <c r="C116" s="1" t="s">
        <v>846</v>
      </c>
      <c r="D116" s="1"/>
      <c r="E116" s="1">
        <v>115.0</v>
      </c>
      <c r="F116" s="1" t="s">
        <v>845</v>
      </c>
      <c r="G116" s="1" t="str">
        <f>IFERROR(__xludf.DUMMYFUNCTION("SPLIT(C116, "", "")"),"Adventure")</f>
        <v>Adventure</v>
      </c>
      <c r="H116" s="5" t="str">
        <f>IFERROR(__xludf.DUMMYFUNCTION("""COMPUTED_VALUE"""),"Sci-Fi")</f>
        <v>Sci-Fi</v>
      </c>
      <c r="J116" s="5" t="str">
        <f>IFERROR(__xludf.DUMMYFUNCTION("""COMPUTED_VALUE"""),"39🤙🏼The Pianist🤙🏼Biography🤙🏼1")</f>
        <v>39🤙🏼The Pianist🤙🏼Biography🤙🏼1</v>
      </c>
      <c r="K116" s="5">
        <f>IFERROR(__xludf.DUMMYFUNCTION("SPLiT(J116, ""🤙🏼"",FALSE,FALSE)"),39.0)</f>
        <v>39</v>
      </c>
      <c r="L116" s="5" t="str">
        <f>IFERROR(__xludf.DUMMYFUNCTION("""COMPUTED_VALUE"""),"The Pianist")</f>
        <v>The Pianist</v>
      </c>
      <c r="M116" s="5" t="str">
        <f>IFERROR(__xludf.DUMMYFUNCTION("""COMPUTED_VALUE"""),"Biography")</f>
        <v>Biography</v>
      </c>
      <c r="N116" s="5">
        <f>IFERROR(__xludf.DUMMYFUNCTION("""COMPUTED_VALUE"""),1.0)</f>
        <v>1</v>
      </c>
      <c r="S116" s="5">
        <f>IFERROR(__xludf.DUMMYFUNCTION("""COMPUTED_VALUE"""),46.0)</f>
        <v>46</v>
      </c>
      <c r="T116" s="5" t="str">
        <f>IFERROR(__xludf.DUMMYFUNCTION("""COMPUTED_VALUE"""),"Nuovo Cinema Paradiso")</f>
        <v>Nuovo Cinema Paradiso</v>
      </c>
      <c r="U116" s="5" t="str">
        <f>IFERROR(__xludf.DUMMYFUNCTION("""COMPUTED_VALUE"""),"Romance")</f>
        <v>Romance</v>
      </c>
      <c r="V116" s="5">
        <f>IFERROR(__xludf.DUMMYFUNCTION("""COMPUTED_VALUE"""),2.0)</f>
        <v>2</v>
      </c>
    </row>
    <row r="117">
      <c r="A117" s="1">
        <v>116.0</v>
      </c>
      <c r="B117" s="1" t="s">
        <v>852</v>
      </c>
      <c r="C117" s="1" t="s">
        <v>116</v>
      </c>
      <c r="D117" s="1"/>
      <c r="E117" s="1">
        <v>116.0</v>
      </c>
      <c r="F117" s="1" t="s">
        <v>852</v>
      </c>
      <c r="G117" s="1" t="str">
        <f>IFERROR(__xludf.DUMMYFUNCTION("SPLIT(C117, "", "")"),"Western")</f>
        <v>Western</v>
      </c>
      <c r="J117" s="5" t="str">
        <f>IFERROR(__xludf.DUMMYFUNCTION("""COMPUTED_VALUE"""),"39🤙🏼The Pianist🤙🏼Drama🤙🏼2")</f>
        <v>39🤙🏼The Pianist🤙🏼Drama🤙🏼2</v>
      </c>
      <c r="K117" s="5">
        <f>IFERROR(__xludf.DUMMYFUNCTION("SPLiT(J117, ""🤙🏼"",FALSE,FALSE)"),39.0)</f>
        <v>39</v>
      </c>
      <c r="L117" s="5" t="str">
        <f>IFERROR(__xludf.DUMMYFUNCTION("""COMPUTED_VALUE"""),"The Pianist")</f>
        <v>The Pianist</v>
      </c>
      <c r="M117" s="5" t="str">
        <f>IFERROR(__xludf.DUMMYFUNCTION("""COMPUTED_VALUE"""),"Drama")</f>
        <v>Drama</v>
      </c>
      <c r="N117" s="5">
        <f>IFERROR(__xludf.DUMMYFUNCTION("""COMPUTED_VALUE"""),2.0)</f>
        <v>2</v>
      </c>
      <c r="S117" s="5">
        <f>IFERROR(__xludf.DUMMYFUNCTION("""COMPUTED_VALUE"""),47.0)</f>
        <v>47</v>
      </c>
      <c r="T117" s="5" t="str">
        <f>IFERROR(__xludf.DUMMYFUNCTION("""COMPUTED_VALUE"""),"Hotaru no haka")</f>
        <v>Hotaru no haka</v>
      </c>
      <c r="U117" s="5" t="str">
        <f>IFERROR(__xludf.DUMMYFUNCTION("""COMPUTED_VALUE"""),"Animation")</f>
        <v>Animation</v>
      </c>
      <c r="V117" s="5">
        <f>IFERROR(__xludf.DUMMYFUNCTION("""COMPUTED_VALUE"""),1.0)</f>
        <v>1</v>
      </c>
    </row>
    <row r="118">
      <c r="A118" s="1">
        <v>117.0</v>
      </c>
      <c r="B118" s="1" t="s">
        <v>856</v>
      </c>
      <c r="C118" s="1" t="s">
        <v>858</v>
      </c>
      <c r="D118" s="1"/>
      <c r="E118" s="1">
        <v>117.0</v>
      </c>
      <c r="F118" s="1" t="s">
        <v>856</v>
      </c>
      <c r="G118" s="1" t="str">
        <f>IFERROR(__xludf.DUMMYFUNCTION("SPLIT(C118, "", "")"),"Adventure")</f>
        <v>Adventure</v>
      </c>
      <c r="H118" s="5" t="str">
        <f>IFERROR(__xludf.DUMMYFUNCTION("""COMPUTED_VALUE"""),"Biography")</f>
        <v>Biography</v>
      </c>
      <c r="I118" s="5" t="str">
        <f>IFERROR(__xludf.DUMMYFUNCTION("""COMPUTED_VALUE"""),"Drama")</f>
        <v>Drama</v>
      </c>
      <c r="J118" s="5" t="str">
        <f>IFERROR(__xludf.DUMMYFUNCTION("""COMPUTED_VALUE"""),"39🤙🏼The Pianist🤙🏼Music🤙🏼3")</f>
        <v>39🤙🏼The Pianist🤙🏼Music🤙🏼3</v>
      </c>
      <c r="K118" s="5">
        <f>IFERROR(__xludf.DUMMYFUNCTION("SPLiT(J118, ""🤙🏼"",FALSE,FALSE)"),39.0)</f>
        <v>39</v>
      </c>
      <c r="L118" s="5" t="str">
        <f>IFERROR(__xludf.DUMMYFUNCTION("""COMPUTED_VALUE"""),"The Pianist")</f>
        <v>The Pianist</v>
      </c>
      <c r="M118" s="5" t="str">
        <f>IFERROR(__xludf.DUMMYFUNCTION("""COMPUTED_VALUE"""),"Music")</f>
        <v>Music</v>
      </c>
      <c r="N118" s="5">
        <f>IFERROR(__xludf.DUMMYFUNCTION("""COMPUTED_VALUE"""),3.0)</f>
        <v>3</v>
      </c>
      <c r="S118" s="5">
        <f>IFERROR(__xludf.DUMMYFUNCTION("""COMPUTED_VALUE"""),47.0)</f>
        <v>47</v>
      </c>
      <c r="T118" s="5" t="str">
        <f>IFERROR(__xludf.DUMMYFUNCTION("""COMPUTED_VALUE"""),"Hotaru no haka")</f>
        <v>Hotaru no haka</v>
      </c>
      <c r="U118" s="5" t="str">
        <f>IFERROR(__xludf.DUMMYFUNCTION("""COMPUTED_VALUE"""),"Drama")</f>
        <v>Drama</v>
      </c>
      <c r="V118" s="5">
        <f>IFERROR(__xludf.DUMMYFUNCTION("""COMPUTED_VALUE"""),2.0)</f>
        <v>2</v>
      </c>
    </row>
    <row r="119">
      <c r="A119" s="1">
        <v>118.0</v>
      </c>
      <c r="B119" s="1" t="s">
        <v>864</v>
      </c>
      <c r="C119" s="1" t="s">
        <v>227</v>
      </c>
      <c r="D119" s="1"/>
      <c r="E119" s="1">
        <v>118.0</v>
      </c>
      <c r="F119" s="1" t="s">
        <v>864</v>
      </c>
      <c r="G119" s="1" t="str">
        <f>IFERROR(__xludf.DUMMYFUNCTION("SPLIT(C119, "", "")"),"Comedy")</f>
        <v>Comedy</v>
      </c>
      <c r="H119" s="5" t="str">
        <f>IFERROR(__xludf.DUMMYFUNCTION("""COMPUTED_VALUE"""),"Drama")</f>
        <v>Drama</v>
      </c>
      <c r="I119" s="5" t="str">
        <f>IFERROR(__xludf.DUMMYFUNCTION("""COMPUTED_VALUE"""),"Romance")</f>
        <v>Romance</v>
      </c>
      <c r="J119" s="5" t="str">
        <f>IFERROR(__xludf.DUMMYFUNCTION("""COMPUTED_VALUE"""),"40🤙🏼Gladiator🤙🏼Action🤙🏼1")</f>
        <v>40🤙🏼Gladiator🤙🏼Action🤙🏼1</v>
      </c>
      <c r="K119" s="5">
        <f>IFERROR(__xludf.DUMMYFUNCTION("SPLiT(J119, ""🤙🏼"",FALSE,FALSE)"),40.0)</f>
        <v>40</v>
      </c>
      <c r="L119" s="5" t="str">
        <f>IFERROR(__xludf.DUMMYFUNCTION("""COMPUTED_VALUE"""),"Gladiator")</f>
        <v>Gladiator</v>
      </c>
      <c r="M119" s="5" t="str">
        <f>IFERROR(__xludf.DUMMYFUNCTION("""COMPUTED_VALUE"""),"Action")</f>
        <v>Action</v>
      </c>
      <c r="N119" s="5">
        <f>IFERROR(__xludf.DUMMYFUNCTION("""COMPUTED_VALUE"""),1.0)</f>
        <v>1</v>
      </c>
      <c r="S119" s="5">
        <f>IFERROR(__xludf.DUMMYFUNCTION("""COMPUTED_VALUE"""),47.0)</f>
        <v>47</v>
      </c>
      <c r="T119" s="5" t="str">
        <f>IFERROR(__xludf.DUMMYFUNCTION("""COMPUTED_VALUE"""),"Hotaru no haka")</f>
        <v>Hotaru no haka</v>
      </c>
      <c r="U119" s="5" t="str">
        <f>IFERROR(__xludf.DUMMYFUNCTION("""COMPUTED_VALUE"""),"War")</f>
        <v>War</v>
      </c>
      <c r="V119" s="5">
        <f>IFERROR(__xludf.DUMMYFUNCTION("""COMPUTED_VALUE"""),3.0)</f>
        <v>3</v>
      </c>
    </row>
    <row r="120">
      <c r="A120" s="1">
        <v>119.0</v>
      </c>
      <c r="B120" s="1" t="s">
        <v>870</v>
      </c>
      <c r="C120" s="1" t="s">
        <v>871</v>
      </c>
      <c r="D120" s="1"/>
      <c r="E120" s="1">
        <v>119.0</v>
      </c>
      <c r="F120" s="1" t="s">
        <v>870</v>
      </c>
      <c r="G120" s="1" t="str">
        <f>IFERROR(__xludf.DUMMYFUNCTION("SPLIT(C120, "", "")"),"Adventure")</f>
        <v>Adventure</v>
      </c>
      <c r="H120" s="5" t="str">
        <f>IFERROR(__xludf.DUMMYFUNCTION("""COMPUTED_VALUE"""),"Mystery")</f>
        <v>Mystery</v>
      </c>
      <c r="I120" s="5" t="str">
        <f>IFERROR(__xludf.DUMMYFUNCTION("""COMPUTED_VALUE"""),"Thriller")</f>
        <v>Thriller</v>
      </c>
      <c r="J120" s="5" t="str">
        <f>IFERROR(__xludf.DUMMYFUNCTION("""COMPUTED_VALUE"""),"40🤙🏼Gladiator🤙🏼Adventure🤙🏼2")</f>
        <v>40🤙🏼Gladiator🤙🏼Adventure🤙🏼2</v>
      </c>
      <c r="K120" s="5">
        <f>IFERROR(__xludf.DUMMYFUNCTION("SPLiT(J120, ""🤙🏼"",FALSE,FALSE)"),40.0)</f>
        <v>40</v>
      </c>
      <c r="L120" s="5" t="str">
        <f>IFERROR(__xludf.DUMMYFUNCTION("""COMPUTED_VALUE"""),"Gladiator")</f>
        <v>Gladiator</v>
      </c>
      <c r="M120" s="5" t="str">
        <f>IFERROR(__xludf.DUMMYFUNCTION("""COMPUTED_VALUE"""),"Adventure")</f>
        <v>Adventure</v>
      </c>
      <c r="N120" s="5">
        <f>IFERROR(__xludf.DUMMYFUNCTION("""COMPUTED_VALUE"""),2.0)</f>
        <v>2</v>
      </c>
      <c r="S120" s="5">
        <f>IFERROR(__xludf.DUMMYFUNCTION("""COMPUTED_VALUE"""),48.0)</f>
        <v>48</v>
      </c>
      <c r="T120" s="5" t="str">
        <f>IFERROR(__xludf.DUMMYFUNCTION("""COMPUTED_VALUE"""),"Back to the Future")</f>
        <v>Back to the Future</v>
      </c>
      <c r="U120" s="5" t="str">
        <f>IFERROR(__xludf.DUMMYFUNCTION("""COMPUTED_VALUE"""),"Adventure")</f>
        <v>Adventure</v>
      </c>
      <c r="V120" s="5">
        <f>IFERROR(__xludf.DUMMYFUNCTION("""COMPUTED_VALUE"""),1.0)</f>
        <v>1</v>
      </c>
    </row>
    <row r="121">
      <c r="A121" s="1">
        <v>120.0</v>
      </c>
      <c r="B121" s="1" t="s">
        <v>877</v>
      </c>
      <c r="C121" s="1" t="s">
        <v>879</v>
      </c>
      <c r="D121" s="1"/>
      <c r="E121" s="1">
        <v>120.0</v>
      </c>
      <c r="F121" s="1" t="s">
        <v>877</v>
      </c>
      <c r="G121" s="1" t="str">
        <f>IFERROR(__xludf.DUMMYFUNCTION("SPLIT(C121, "", "")"),"Mystery")</f>
        <v>Mystery</v>
      </c>
      <c r="H121" s="5" t="str">
        <f>IFERROR(__xludf.DUMMYFUNCTION("""COMPUTED_VALUE"""),"Romance")</f>
        <v>Romance</v>
      </c>
      <c r="I121" s="5" t="str">
        <f>IFERROR(__xludf.DUMMYFUNCTION("""COMPUTED_VALUE"""),"Thriller")</f>
        <v>Thriller</v>
      </c>
      <c r="J121" s="5" t="str">
        <f>IFERROR(__xludf.DUMMYFUNCTION("""COMPUTED_VALUE"""),"40🤙🏼Gladiator🤙🏼Drama🤙🏼3")</f>
        <v>40🤙🏼Gladiator🤙🏼Drama🤙🏼3</v>
      </c>
      <c r="K121" s="5">
        <f>IFERROR(__xludf.DUMMYFUNCTION("SPLiT(J121, ""🤙🏼"",FALSE,FALSE)"),40.0)</f>
        <v>40</v>
      </c>
      <c r="L121" s="5" t="str">
        <f>IFERROR(__xludf.DUMMYFUNCTION("""COMPUTED_VALUE"""),"Gladiator")</f>
        <v>Gladiator</v>
      </c>
      <c r="M121" s="5" t="str">
        <f>IFERROR(__xludf.DUMMYFUNCTION("""COMPUTED_VALUE"""),"Drama")</f>
        <v>Drama</v>
      </c>
      <c r="N121" s="5">
        <f>IFERROR(__xludf.DUMMYFUNCTION("""COMPUTED_VALUE"""),3.0)</f>
        <v>3</v>
      </c>
      <c r="S121" s="5">
        <f>IFERROR(__xludf.DUMMYFUNCTION("""COMPUTED_VALUE"""),48.0)</f>
        <v>48</v>
      </c>
      <c r="T121" s="5" t="str">
        <f>IFERROR(__xludf.DUMMYFUNCTION("""COMPUTED_VALUE"""),"Back to the Future")</f>
        <v>Back to the Future</v>
      </c>
      <c r="U121" s="5" t="str">
        <f>IFERROR(__xludf.DUMMYFUNCTION("""COMPUTED_VALUE"""),"Comedy")</f>
        <v>Comedy</v>
      </c>
      <c r="V121" s="5">
        <f>IFERROR(__xludf.DUMMYFUNCTION("""COMPUTED_VALUE"""),2.0)</f>
        <v>2</v>
      </c>
    </row>
    <row r="122">
      <c r="A122" s="1">
        <v>121.0</v>
      </c>
      <c r="B122" s="1" t="s">
        <v>884</v>
      </c>
      <c r="C122" s="1" t="s">
        <v>886</v>
      </c>
      <c r="D122" s="1"/>
      <c r="E122" s="1">
        <v>121.0</v>
      </c>
      <c r="F122" s="1" t="s">
        <v>884</v>
      </c>
      <c r="G122" s="1" t="str">
        <f>IFERROR(__xludf.DUMMYFUNCTION("SPLIT(C122, "", "")"),"Comedy")</f>
        <v>Comedy</v>
      </c>
      <c r="H122" s="5" t="str">
        <f>IFERROR(__xludf.DUMMYFUNCTION("""COMPUTED_VALUE"""),"Musical")</f>
        <v>Musical</v>
      </c>
      <c r="I122" s="5" t="str">
        <f>IFERROR(__xludf.DUMMYFUNCTION("""COMPUTED_VALUE"""),"Romance")</f>
        <v>Romance</v>
      </c>
      <c r="J122" s="5" t="str">
        <f>IFERROR(__xludf.DUMMYFUNCTION("""COMPUTED_VALUE"""),"41🤙🏼American History X🤙🏼Drama🤙🏼1")</f>
        <v>41🤙🏼American History X🤙🏼Drama🤙🏼1</v>
      </c>
      <c r="K122" s="5">
        <f>IFERROR(__xludf.DUMMYFUNCTION("SPLiT(J122, ""🤙🏼"",FALSE,FALSE)"),41.0)</f>
        <v>41</v>
      </c>
      <c r="L122" s="5" t="str">
        <f>IFERROR(__xludf.DUMMYFUNCTION("""COMPUTED_VALUE"""),"American History X")</f>
        <v>American History X</v>
      </c>
      <c r="M122" s="5" t="str">
        <f>IFERROR(__xludf.DUMMYFUNCTION("""COMPUTED_VALUE"""),"Drama")</f>
        <v>Drama</v>
      </c>
      <c r="N122" s="5">
        <f>IFERROR(__xludf.DUMMYFUNCTION("""COMPUTED_VALUE"""),1.0)</f>
        <v>1</v>
      </c>
      <c r="S122" s="5">
        <f>IFERROR(__xludf.DUMMYFUNCTION("""COMPUTED_VALUE"""),48.0)</f>
        <v>48</v>
      </c>
      <c r="T122" s="5" t="str">
        <f>IFERROR(__xludf.DUMMYFUNCTION("""COMPUTED_VALUE"""),"Back to the Future")</f>
        <v>Back to the Future</v>
      </c>
      <c r="U122" s="5" t="str">
        <f>IFERROR(__xludf.DUMMYFUNCTION("""COMPUTED_VALUE"""),"Sci-Fi")</f>
        <v>Sci-Fi</v>
      </c>
      <c r="V122" s="5">
        <f>IFERROR(__xludf.DUMMYFUNCTION("""COMPUTED_VALUE"""),3.0)</f>
        <v>3</v>
      </c>
    </row>
    <row r="123">
      <c r="A123" s="1">
        <v>122.0</v>
      </c>
      <c r="B123" s="1" t="s">
        <v>892</v>
      </c>
      <c r="C123" s="1" t="s">
        <v>20</v>
      </c>
      <c r="D123" s="1"/>
      <c r="E123" s="1">
        <v>122.0</v>
      </c>
      <c r="F123" s="1" t="s">
        <v>892</v>
      </c>
      <c r="G123" s="1" t="str">
        <f>IFERROR(__xludf.DUMMYFUNCTION("SPLIT(C123, "", "")"),"Drama")</f>
        <v>Drama</v>
      </c>
      <c r="J123" s="5" t="str">
        <f>IFERROR(__xludf.DUMMYFUNCTION("""COMPUTED_VALUE"""),"41🤙🏼American History X🤙🏼🤙🏼2")</f>
        <v>41🤙🏼American History X🤙🏼🤙🏼2</v>
      </c>
      <c r="K123" s="5">
        <f>IFERROR(__xludf.DUMMYFUNCTION("SPLiT(J123, ""🤙🏼"",FALSE,FALSE)"),41.0)</f>
        <v>41</v>
      </c>
      <c r="L123" s="5" t="str">
        <f>IFERROR(__xludf.DUMMYFUNCTION("""COMPUTED_VALUE"""),"American History X")</f>
        <v>American History X</v>
      </c>
      <c r="M123" s="5"/>
      <c r="N123" s="5">
        <f>IFERROR(__xludf.DUMMYFUNCTION("""COMPUTED_VALUE"""),2.0)</f>
        <v>2</v>
      </c>
      <c r="S123" s="5">
        <f>IFERROR(__xludf.DUMMYFUNCTION("""COMPUTED_VALUE"""),49.0)</f>
        <v>49</v>
      </c>
      <c r="T123" s="5" t="str">
        <f>IFERROR(__xludf.DUMMYFUNCTION("""COMPUTED_VALUE"""),"Once Upon a Time in the West")</f>
        <v>Once Upon a Time in the West</v>
      </c>
      <c r="U123" s="5" t="str">
        <f>IFERROR(__xludf.DUMMYFUNCTION("""COMPUTED_VALUE"""),"Western")</f>
        <v>Western</v>
      </c>
      <c r="V123" s="5">
        <f>IFERROR(__xludf.DUMMYFUNCTION("""COMPUTED_VALUE"""),1.0)</f>
        <v>1</v>
      </c>
    </row>
    <row r="124">
      <c r="A124" s="1">
        <v>123.0</v>
      </c>
      <c r="B124" s="1" t="s">
        <v>898</v>
      </c>
      <c r="C124" s="1" t="s">
        <v>20</v>
      </c>
      <c r="D124" s="1"/>
      <c r="E124" s="1">
        <v>123.0</v>
      </c>
      <c r="F124" s="1" t="s">
        <v>898</v>
      </c>
      <c r="G124" s="1" t="str">
        <f>IFERROR(__xludf.DUMMYFUNCTION("SPLIT(C124, "", "")"),"Drama")</f>
        <v>Drama</v>
      </c>
      <c r="J124" s="5" t="str">
        <f>IFERROR(__xludf.DUMMYFUNCTION("""COMPUTED_VALUE"""),"41🤙🏼American History X🤙🏼🤙🏼3")</f>
        <v>41🤙🏼American History X🤙🏼🤙🏼3</v>
      </c>
      <c r="K124" s="5">
        <f>IFERROR(__xludf.DUMMYFUNCTION("SPLiT(J124, ""🤙🏼"",FALSE,FALSE)"),41.0)</f>
        <v>41</v>
      </c>
      <c r="L124" s="5" t="str">
        <f>IFERROR(__xludf.DUMMYFUNCTION("""COMPUTED_VALUE"""),"American History X")</f>
        <v>American History X</v>
      </c>
      <c r="M124" s="5"/>
      <c r="N124" s="5">
        <f>IFERROR(__xludf.DUMMYFUNCTION("""COMPUTED_VALUE"""),3.0)</f>
        <v>3</v>
      </c>
      <c r="S124" s="5">
        <f>IFERROR(__xludf.DUMMYFUNCTION("""COMPUTED_VALUE"""),50.0)</f>
        <v>50</v>
      </c>
      <c r="T124" s="5" t="str">
        <f>IFERROR(__xludf.DUMMYFUNCTION("""COMPUTED_VALUE"""),"Psycho")</f>
        <v>Psycho</v>
      </c>
      <c r="U124" s="5" t="str">
        <f>IFERROR(__xludf.DUMMYFUNCTION("""COMPUTED_VALUE"""),"Horror")</f>
        <v>Horror</v>
      </c>
      <c r="V124" s="5">
        <f>IFERROR(__xludf.DUMMYFUNCTION("""COMPUTED_VALUE"""),1.0)</f>
        <v>1</v>
      </c>
    </row>
    <row r="125">
      <c r="A125" s="1">
        <v>124.0</v>
      </c>
      <c r="B125" s="1" t="s">
        <v>906</v>
      </c>
      <c r="C125" s="1" t="s">
        <v>908</v>
      </c>
      <c r="D125" s="1"/>
      <c r="E125" s="1">
        <v>124.0</v>
      </c>
      <c r="F125" s="1" t="s">
        <v>906</v>
      </c>
      <c r="G125" s="1" t="str">
        <f>IFERROR(__xludf.DUMMYFUNCTION("SPLIT(C125, "", "")"),"Crime")</f>
        <v>Crime</v>
      </c>
      <c r="H125" s="5" t="str">
        <f>IFERROR(__xludf.DUMMYFUNCTION("""COMPUTED_VALUE"""),"Drama")</f>
        <v>Drama</v>
      </c>
      <c r="I125" s="5" t="str">
        <f>IFERROR(__xludf.DUMMYFUNCTION("""COMPUTED_VALUE"""),"Film-Noir")</f>
        <v>Film-Noir</v>
      </c>
      <c r="J125" s="5" t="str">
        <f>IFERROR(__xludf.DUMMYFUNCTION("""COMPUTED_VALUE"""),"42🤙🏼The Usual Suspects🤙🏼Crime🤙🏼1")</f>
        <v>42🤙🏼The Usual Suspects🤙🏼Crime🤙🏼1</v>
      </c>
      <c r="K125" s="5">
        <f>IFERROR(__xludf.DUMMYFUNCTION("SPLiT(J125, ""🤙🏼"",FALSE,FALSE)"),42.0)</f>
        <v>42</v>
      </c>
      <c r="L125" s="5" t="str">
        <f>IFERROR(__xludf.DUMMYFUNCTION("""COMPUTED_VALUE"""),"The Usual Suspects")</f>
        <v>The Usual Suspects</v>
      </c>
      <c r="M125" s="5" t="str">
        <f>IFERROR(__xludf.DUMMYFUNCTION("""COMPUTED_VALUE"""),"Crime")</f>
        <v>Crime</v>
      </c>
      <c r="N125" s="5">
        <f>IFERROR(__xludf.DUMMYFUNCTION("""COMPUTED_VALUE"""),1.0)</f>
        <v>1</v>
      </c>
      <c r="S125" s="5">
        <f>IFERROR(__xludf.DUMMYFUNCTION("""COMPUTED_VALUE"""),50.0)</f>
        <v>50</v>
      </c>
      <c r="T125" s="5" t="str">
        <f>IFERROR(__xludf.DUMMYFUNCTION("""COMPUTED_VALUE"""),"Psycho")</f>
        <v>Psycho</v>
      </c>
      <c r="U125" s="5" t="str">
        <f>IFERROR(__xludf.DUMMYFUNCTION("""COMPUTED_VALUE"""),"Mystery")</f>
        <v>Mystery</v>
      </c>
      <c r="V125" s="5">
        <f>IFERROR(__xludf.DUMMYFUNCTION("""COMPUTED_VALUE"""),2.0)</f>
        <v>2</v>
      </c>
    </row>
    <row r="126">
      <c r="A126" s="1">
        <v>125.0</v>
      </c>
      <c r="B126" s="1" t="s">
        <v>913</v>
      </c>
      <c r="C126" s="1" t="s">
        <v>914</v>
      </c>
      <c r="D126" s="1"/>
      <c r="E126" s="1">
        <v>125.0</v>
      </c>
      <c r="F126" s="1" t="s">
        <v>913</v>
      </c>
      <c r="G126" s="1" t="str">
        <f>IFERROR(__xludf.DUMMYFUNCTION("SPLIT(C126, "", "")"),"Drama")</f>
        <v>Drama</v>
      </c>
      <c r="H126" s="5" t="str">
        <f>IFERROR(__xludf.DUMMYFUNCTION("""COMPUTED_VALUE"""),"Mystery")</f>
        <v>Mystery</v>
      </c>
      <c r="J126" s="5" t="str">
        <f>IFERROR(__xludf.DUMMYFUNCTION("""COMPUTED_VALUE"""),"42🤙🏼The Usual Suspects🤙🏼Mystery🤙🏼2")</f>
        <v>42🤙🏼The Usual Suspects🤙🏼Mystery🤙🏼2</v>
      </c>
      <c r="K126" s="5">
        <f>IFERROR(__xludf.DUMMYFUNCTION("SPLiT(J126, ""🤙🏼"",FALSE,FALSE)"),42.0)</f>
        <v>42</v>
      </c>
      <c r="L126" s="5" t="str">
        <f>IFERROR(__xludf.DUMMYFUNCTION("""COMPUTED_VALUE"""),"The Usual Suspects")</f>
        <v>The Usual Suspects</v>
      </c>
      <c r="M126" s="5" t="str">
        <f>IFERROR(__xludf.DUMMYFUNCTION("""COMPUTED_VALUE"""),"Mystery")</f>
        <v>Mystery</v>
      </c>
      <c r="N126" s="5">
        <f>IFERROR(__xludf.DUMMYFUNCTION("""COMPUTED_VALUE"""),2.0)</f>
        <v>2</v>
      </c>
      <c r="S126" s="5">
        <f>IFERROR(__xludf.DUMMYFUNCTION("""COMPUTED_VALUE"""),50.0)</f>
        <v>50</v>
      </c>
      <c r="T126" s="5" t="str">
        <f>IFERROR(__xludf.DUMMYFUNCTION("""COMPUTED_VALUE"""),"Psycho")</f>
        <v>Psycho</v>
      </c>
      <c r="U126" s="5" t="str">
        <f>IFERROR(__xludf.DUMMYFUNCTION("""COMPUTED_VALUE"""),"Thriller")</f>
        <v>Thriller</v>
      </c>
      <c r="V126" s="5">
        <f>IFERROR(__xludf.DUMMYFUNCTION("""COMPUTED_VALUE"""),3.0)</f>
        <v>3</v>
      </c>
    </row>
    <row r="127">
      <c r="A127" s="1">
        <v>126.0</v>
      </c>
      <c r="B127" s="1" t="s">
        <v>920</v>
      </c>
      <c r="C127" s="1" t="s">
        <v>336</v>
      </c>
      <c r="D127" s="1"/>
      <c r="E127" s="1">
        <v>126.0</v>
      </c>
      <c r="F127" s="1" t="s">
        <v>920</v>
      </c>
      <c r="G127" s="1" t="str">
        <f>IFERROR(__xludf.DUMMYFUNCTION("SPLIT(C127, "", "")"),"Crime")</f>
        <v>Crime</v>
      </c>
      <c r="H127" s="5" t="str">
        <f>IFERROR(__xludf.DUMMYFUNCTION("""COMPUTED_VALUE"""),"Mystery")</f>
        <v>Mystery</v>
      </c>
      <c r="I127" s="5" t="str">
        <f>IFERROR(__xludf.DUMMYFUNCTION("""COMPUTED_VALUE"""),"Thriller")</f>
        <v>Thriller</v>
      </c>
      <c r="J127" s="5" t="str">
        <f>IFERROR(__xludf.DUMMYFUNCTION("""COMPUTED_VALUE"""),"42🤙🏼The Usual Suspects🤙🏼Thriller🤙🏼3")</f>
        <v>42🤙🏼The Usual Suspects🤙🏼Thriller🤙🏼3</v>
      </c>
      <c r="K127" s="5">
        <f>IFERROR(__xludf.DUMMYFUNCTION("SPLiT(J127, ""🤙🏼"",FALSE,FALSE)"),42.0)</f>
        <v>42</v>
      </c>
      <c r="L127" s="5" t="str">
        <f>IFERROR(__xludf.DUMMYFUNCTION("""COMPUTED_VALUE"""),"The Usual Suspects")</f>
        <v>The Usual Suspects</v>
      </c>
      <c r="M127" s="5" t="str">
        <f>IFERROR(__xludf.DUMMYFUNCTION("""COMPUTED_VALUE"""),"Thriller")</f>
        <v>Thriller</v>
      </c>
      <c r="N127" s="5">
        <f>IFERROR(__xludf.DUMMYFUNCTION("""COMPUTED_VALUE"""),3.0)</f>
        <v>3</v>
      </c>
      <c r="S127" s="5">
        <f>IFERROR(__xludf.DUMMYFUNCTION("""COMPUTED_VALUE"""),51.0)</f>
        <v>51</v>
      </c>
      <c r="T127" s="5" t="str">
        <f>IFERROR(__xludf.DUMMYFUNCTION("""COMPUTED_VALUE"""),"Casablanca")</f>
        <v>Casablanca</v>
      </c>
      <c r="U127" s="5" t="str">
        <f>IFERROR(__xludf.DUMMYFUNCTION("""COMPUTED_VALUE"""),"Drama")</f>
        <v>Drama</v>
      </c>
      <c r="V127" s="5">
        <f>IFERROR(__xludf.DUMMYFUNCTION("""COMPUTED_VALUE"""),1.0)</f>
        <v>1</v>
      </c>
    </row>
    <row r="128">
      <c r="A128" s="1">
        <v>127.0</v>
      </c>
      <c r="B128" s="1" t="s">
        <v>927</v>
      </c>
      <c r="C128" s="1" t="s">
        <v>928</v>
      </c>
      <c r="D128" s="1"/>
      <c r="E128" s="1">
        <v>127.0</v>
      </c>
      <c r="F128" s="1" t="s">
        <v>927</v>
      </c>
      <c r="G128" s="1" t="str">
        <f>IFERROR(__xludf.DUMMYFUNCTION("SPLIT(C128, "", "")"),"Drama")</f>
        <v>Drama</v>
      </c>
      <c r="H128" s="5" t="str">
        <f>IFERROR(__xludf.DUMMYFUNCTION("""COMPUTED_VALUE"""),"Sci-Fi")</f>
        <v>Sci-Fi</v>
      </c>
      <c r="J128" s="5" t="str">
        <f>IFERROR(__xludf.DUMMYFUNCTION("""COMPUTED_VALUE"""),"43🤙🏼Léon🤙🏼Action🤙🏼1")</f>
        <v>43🤙🏼Léon🤙🏼Action🤙🏼1</v>
      </c>
      <c r="K128" s="5">
        <f>IFERROR(__xludf.DUMMYFUNCTION("SPLiT(J128, ""🤙🏼"",FALSE,FALSE)"),43.0)</f>
        <v>43</v>
      </c>
      <c r="L128" s="5" t="str">
        <f>IFERROR(__xludf.DUMMYFUNCTION("""COMPUTED_VALUE"""),"Léon")</f>
        <v>Léon</v>
      </c>
      <c r="M128" s="5" t="str">
        <f>IFERROR(__xludf.DUMMYFUNCTION("""COMPUTED_VALUE"""),"Action")</f>
        <v>Action</v>
      </c>
      <c r="N128" s="5">
        <f>IFERROR(__xludf.DUMMYFUNCTION("""COMPUTED_VALUE"""),1.0)</f>
        <v>1</v>
      </c>
      <c r="S128" s="5">
        <f>IFERROR(__xludf.DUMMYFUNCTION("""COMPUTED_VALUE"""),51.0)</f>
        <v>51</v>
      </c>
      <c r="T128" s="5" t="str">
        <f>IFERROR(__xludf.DUMMYFUNCTION("""COMPUTED_VALUE"""),"Casablanca")</f>
        <v>Casablanca</v>
      </c>
      <c r="U128" s="5" t="str">
        <f>IFERROR(__xludf.DUMMYFUNCTION("""COMPUTED_VALUE"""),"Romance")</f>
        <v>Romance</v>
      </c>
      <c r="V128" s="5">
        <f>IFERROR(__xludf.DUMMYFUNCTION("""COMPUTED_VALUE"""),2.0)</f>
        <v>2</v>
      </c>
    </row>
    <row r="129">
      <c r="A129" s="1">
        <v>128.0</v>
      </c>
      <c r="B129" s="1" t="s">
        <v>934</v>
      </c>
      <c r="C129" s="1" t="s">
        <v>416</v>
      </c>
      <c r="D129" s="1"/>
      <c r="E129" s="1">
        <v>128.0</v>
      </c>
      <c r="F129" s="1" t="s">
        <v>934</v>
      </c>
      <c r="G129" s="1" t="str">
        <f>IFERROR(__xludf.DUMMYFUNCTION("SPLIT(C129, "", "")"),"Comedy")</f>
        <v>Comedy</v>
      </c>
      <c r="H129" s="5" t="str">
        <f>IFERROR(__xludf.DUMMYFUNCTION("""COMPUTED_VALUE"""),"Drama")</f>
        <v>Drama</v>
      </c>
      <c r="I129" s="5" t="str">
        <f>IFERROR(__xludf.DUMMYFUNCTION("""COMPUTED_VALUE"""),"Family")</f>
        <v>Family</v>
      </c>
      <c r="J129" s="5" t="str">
        <f>IFERROR(__xludf.DUMMYFUNCTION("""COMPUTED_VALUE"""),"43🤙🏼Léon🤙🏼Crime🤙🏼2")</f>
        <v>43🤙🏼Léon🤙🏼Crime🤙🏼2</v>
      </c>
      <c r="K129" s="5">
        <f>IFERROR(__xludf.DUMMYFUNCTION("SPLiT(J129, ""🤙🏼"",FALSE,FALSE)"),43.0)</f>
        <v>43</v>
      </c>
      <c r="L129" s="5" t="str">
        <f>IFERROR(__xludf.DUMMYFUNCTION("""COMPUTED_VALUE"""),"Léon")</f>
        <v>Léon</v>
      </c>
      <c r="M129" s="5" t="str">
        <f>IFERROR(__xludf.DUMMYFUNCTION("""COMPUTED_VALUE"""),"Crime")</f>
        <v>Crime</v>
      </c>
      <c r="N129" s="5">
        <f>IFERROR(__xludf.DUMMYFUNCTION("""COMPUTED_VALUE"""),2.0)</f>
        <v>2</v>
      </c>
      <c r="S129" s="5">
        <f>IFERROR(__xludf.DUMMYFUNCTION("""COMPUTED_VALUE"""),51.0)</f>
        <v>51</v>
      </c>
      <c r="T129" s="5" t="str">
        <f>IFERROR(__xludf.DUMMYFUNCTION("""COMPUTED_VALUE"""),"Casablanca")</f>
        <v>Casablanca</v>
      </c>
      <c r="U129" s="5" t="str">
        <f>IFERROR(__xludf.DUMMYFUNCTION("""COMPUTED_VALUE"""),"War")</f>
        <v>War</v>
      </c>
      <c r="V129" s="5">
        <f>IFERROR(__xludf.DUMMYFUNCTION("""COMPUTED_VALUE"""),3.0)</f>
        <v>3</v>
      </c>
    </row>
    <row r="130">
      <c r="A130" s="1">
        <v>129.0</v>
      </c>
      <c r="B130" s="1" t="s">
        <v>940</v>
      </c>
      <c r="C130" s="1" t="s">
        <v>507</v>
      </c>
      <c r="D130" s="1"/>
      <c r="E130" s="1">
        <v>129.0</v>
      </c>
      <c r="F130" s="1" t="s">
        <v>940</v>
      </c>
      <c r="G130" s="1" t="str">
        <f>IFERROR(__xludf.DUMMYFUNCTION("SPLIT(C130, "", "")"),"Comedy")</f>
        <v>Comedy</v>
      </c>
      <c r="H130" s="5" t="str">
        <f>IFERROR(__xludf.DUMMYFUNCTION("""COMPUTED_VALUE"""),"Drama")</f>
        <v>Drama</v>
      </c>
      <c r="J130" s="5" t="str">
        <f>IFERROR(__xludf.DUMMYFUNCTION("""COMPUTED_VALUE"""),"43🤙🏼Léon🤙🏼Drama🤙🏼3")</f>
        <v>43🤙🏼Léon🤙🏼Drama🤙🏼3</v>
      </c>
      <c r="K130" s="5">
        <f>IFERROR(__xludf.DUMMYFUNCTION("SPLiT(J130, ""🤙🏼"",FALSE,FALSE)"),43.0)</f>
        <v>43</v>
      </c>
      <c r="L130" s="5" t="str">
        <f>IFERROR(__xludf.DUMMYFUNCTION("""COMPUTED_VALUE"""),"Léon")</f>
        <v>Léon</v>
      </c>
      <c r="M130" s="5" t="str">
        <f>IFERROR(__xludf.DUMMYFUNCTION("""COMPUTED_VALUE"""),"Drama")</f>
        <v>Drama</v>
      </c>
      <c r="N130" s="5">
        <f>IFERROR(__xludf.DUMMYFUNCTION("""COMPUTED_VALUE"""),3.0)</f>
        <v>3</v>
      </c>
      <c r="S130" s="5">
        <f>IFERROR(__xludf.DUMMYFUNCTION("""COMPUTED_VALUE"""),52.0)</f>
        <v>52</v>
      </c>
      <c r="T130" s="5" t="str">
        <f>IFERROR(__xludf.DUMMYFUNCTION("""COMPUTED_VALUE"""),"Modern Times")</f>
        <v>Modern Times</v>
      </c>
      <c r="U130" s="5" t="str">
        <f>IFERROR(__xludf.DUMMYFUNCTION("""COMPUTED_VALUE"""),"Comedy")</f>
        <v>Comedy</v>
      </c>
      <c r="V130" s="5">
        <f>IFERROR(__xludf.DUMMYFUNCTION("""COMPUTED_VALUE"""),1.0)</f>
        <v>1</v>
      </c>
    </row>
    <row r="131">
      <c r="A131" s="1">
        <v>130.0</v>
      </c>
      <c r="B131" s="1" t="s">
        <v>946</v>
      </c>
      <c r="C131" s="1" t="s">
        <v>948</v>
      </c>
      <c r="D131" s="1"/>
      <c r="E131" s="1">
        <v>130.0</v>
      </c>
      <c r="F131" s="1" t="s">
        <v>946</v>
      </c>
      <c r="G131" s="1" t="str">
        <f>IFERROR(__xludf.DUMMYFUNCTION("SPLIT(C131, "", "")"),"Action")</f>
        <v>Action</v>
      </c>
      <c r="H131" s="5" t="str">
        <f>IFERROR(__xludf.DUMMYFUNCTION("""COMPUTED_VALUE"""),"Drama")</f>
        <v>Drama</v>
      </c>
      <c r="I131" s="5" t="str">
        <f>IFERROR(__xludf.DUMMYFUNCTION("""COMPUTED_VALUE"""),"War")</f>
        <v>War</v>
      </c>
      <c r="J131" s="5" t="str">
        <f>IFERROR(__xludf.DUMMYFUNCTION("""COMPUTED_VALUE"""),"44🤙🏼The Lion King🤙🏼Animation🤙🏼1")</f>
        <v>44🤙🏼The Lion King🤙🏼Animation🤙🏼1</v>
      </c>
      <c r="K131" s="5">
        <f>IFERROR(__xludf.DUMMYFUNCTION("SPLiT(J131, ""🤙🏼"",FALSE,FALSE)"),44.0)</f>
        <v>44</v>
      </c>
      <c r="L131" s="5" t="str">
        <f>IFERROR(__xludf.DUMMYFUNCTION("""COMPUTED_VALUE"""),"The Lion King")</f>
        <v>The Lion King</v>
      </c>
      <c r="M131" s="5" t="str">
        <f>IFERROR(__xludf.DUMMYFUNCTION("""COMPUTED_VALUE"""),"Animation")</f>
        <v>Animation</v>
      </c>
      <c r="N131" s="5">
        <f>IFERROR(__xludf.DUMMYFUNCTION("""COMPUTED_VALUE"""),1.0)</f>
        <v>1</v>
      </c>
      <c r="S131" s="5">
        <f>IFERROR(__xludf.DUMMYFUNCTION("""COMPUTED_VALUE"""),52.0)</f>
        <v>52</v>
      </c>
      <c r="T131" s="5" t="str">
        <f>IFERROR(__xludf.DUMMYFUNCTION("""COMPUTED_VALUE"""),"Modern Times")</f>
        <v>Modern Times</v>
      </c>
      <c r="U131" s="5" t="str">
        <f>IFERROR(__xludf.DUMMYFUNCTION("""COMPUTED_VALUE"""),"Drama")</f>
        <v>Drama</v>
      </c>
      <c r="V131" s="5">
        <f>IFERROR(__xludf.DUMMYFUNCTION("""COMPUTED_VALUE"""),2.0)</f>
        <v>2</v>
      </c>
    </row>
    <row r="132">
      <c r="A132" s="1">
        <v>131.0</v>
      </c>
      <c r="B132" s="1" t="s">
        <v>954</v>
      </c>
      <c r="C132" s="1" t="s">
        <v>956</v>
      </c>
      <c r="D132" s="1"/>
      <c r="E132" s="1">
        <v>131.0</v>
      </c>
      <c r="F132" s="1" t="s">
        <v>954</v>
      </c>
      <c r="G132" s="1" t="str">
        <f>IFERROR(__xludf.DUMMYFUNCTION("SPLIT(C132, "", "")"),"Action")</f>
        <v>Action</v>
      </c>
      <c r="H132" s="5" t="str">
        <f>IFERROR(__xludf.DUMMYFUNCTION("""COMPUTED_VALUE"""),"Drama")</f>
        <v>Drama</v>
      </c>
      <c r="J132" s="5" t="str">
        <f>IFERROR(__xludf.DUMMYFUNCTION("""COMPUTED_VALUE"""),"44🤙🏼The Lion King🤙🏼Adventure🤙🏼2")</f>
        <v>44🤙🏼The Lion King🤙🏼Adventure🤙🏼2</v>
      </c>
      <c r="K132" s="5">
        <f>IFERROR(__xludf.DUMMYFUNCTION("SPLiT(J132, ""🤙🏼"",FALSE,FALSE)"),44.0)</f>
        <v>44</v>
      </c>
      <c r="L132" s="5" t="str">
        <f>IFERROR(__xludf.DUMMYFUNCTION("""COMPUTED_VALUE"""),"The Lion King")</f>
        <v>The Lion King</v>
      </c>
      <c r="M132" s="5" t="str">
        <f>IFERROR(__xludf.DUMMYFUNCTION("""COMPUTED_VALUE"""),"Adventure")</f>
        <v>Adventure</v>
      </c>
      <c r="N132" s="5">
        <f>IFERROR(__xludf.DUMMYFUNCTION("""COMPUTED_VALUE"""),2.0)</f>
        <v>2</v>
      </c>
      <c r="S132" s="5">
        <f>IFERROR(__xludf.DUMMYFUNCTION("""COMPUTED_VALUE"""),52.0)</f>
        <v>52</v>
      </c>
      <c r="T132" s="5" t="str">
        <f>IFERROR(__xludf.DUMMYFUNCTION("""COMPUTED_VALUE"""),"Modern Times")</f>
        <v>Modern Times</v>
      </c>
      <c r="U132" s="5" t="str">
        <f>IFERROR(__xludf.DUMMYFUNCTION("""COMPUTED_VALUE"""),"Family")</f>
        <v>Family</v>
      </c>
      <c r="V132" s="5">
        <f>IFERROR(__xludf.DUMMYFUNCTION("""COMPUTED_VALUE"""),3.0)</f>
        <v>3</v>
      </c>
    </row>
    <row r="133">
      <c r="A133" s="1">
        <v>132.0</v>
      </c>
      <c r="B133" s="1" t="s">
        <v>963</v>
      </c>
      <c r="C133" s="1" t="s">
        <v>296</v>
      </c>
      <c r="D133" s="1"/>
      <c r="E133" s="1">
        <v>132.0</v>
      </c>
      <c r="F133" s="1" t="s">
        <v>963</v>
      </c>
      <c r="G133" s="1" t="str">
        <f>IFERROR(__xludf.DUMMYFUNCTION("SPLIT(C133, "", "")"),"Biography")</f>
        <v>Biography</v>
      </c>
      <c r="H133" s="5" t="str">
        <f>IFERROR(__xludf.DUMMYFUNCTION("""COMPUTED_VALUE"""),"Comedy")</f>
        <v>Comedy</v>
      </c>
      <c r="I133" s="5" t="str">
        <f>IFERROR(__xludf.DUMMYFUNCTION("""COMPUTED_VALUE"""),"Drama")</f>
        <v>Drama</v>
      </c>
      <c r="J133" s="5" t="str">
        <f>IFERROR(__xludf.DUMMYFUNCTION("""COMPUTED_VALUE"""),"44🤙🏼The Lion King🤙🏼Drama🤙🏼3")</f>
        <v>44🤙🏼The Lion King🤙🏼Drama🤙🏼3</v>
      </c>
      <c r="K133" s="5">
        <f>IFERROR(__xludf.DUMMYFUNCTION("SPLiT(J133, ""🤙🏼"",FALSE,FALSE)"),44.0)</f>
        <v>44</v>
      </c>
      <c r="L133" s="5" t="str">
        <f>IFERROR(__xludf.DUMMYFUNCTION("""COMPUTED_VALUE"""),"The Lion King")</f>
        <v>The Lion King</v>
      </c>
      <c r="M133" s="5" t="str">
        <f>IFERROR(__xludf.DUMMYFUNCTION("""COMPUTED_VALUE"""),"Drama")</f>
        <v>Drama</v>
      </c>
      <c r="N133" s="5">
        <f>IFERROR(__xludf.DUMMYFUNCTION("""COMPUTED_VALUE"""),3.0)</f>
        <v>3</v>
      </c>
      <c r="S133" s="5">
        <f>IFERROR(__xludf.DUMMYFUNCTION("""COMPUTED_VALUE"""),53.0)</f>
        <v>53</v>
      </c>
      <c r="T133" s="5" t="str">
        <f>IFERROR(__xludf.DUMMYFUNCTION("""COMPUTED_VALUE"""),"City Lights")</f>
        <v>City Lights</v>
      </c>
      <c r="U133" s="5" t="str">
        <f>IFERROR(__xludf.DUMMYFUNCTION("""COMPUTED_VALUE"""),"Comedy")</f>
        <v>Comedy</v>
      </c>
      <c r="V133" s="5">
        <f>IFERROR(__xludf.DUMMYFUNCTION("""COMPUTED_VALUE"""),1.0)</f>
        <v>1</v>
      </c>
    </row>
    <row r="134">
      <c r="A134" s="1">
        <v>133.0</v>
      </c>
      <c r="B134" s="1" t="s">
        <v>969</v>
      </c>
      <c r="C134" s="1" t="s">
        <v>831</v>
      </c>
      <c r="D134" s="1"/>
      <c r="E134" s="1">
        <v>133.0</v>
      </c>
      <c r="F134" s="1" t="s">
        <v>969</v>
      </c>
      <c r="G134" s="1" t="str">
        <f>IFERROR(__xludf.DUMMYFUNCTION("SPLIT(C134, "", "")"),"Comedy")</f>
        <v>Comedy</v>
      </c>
      <c r="H134" s="5" t="str">
        <f>IFERROR(__xludf.DUMMYFUNCTION("""COMPUTED_VALUE"""),"Crime")</f>
        <v>Crime</v>
      </c>
      <c r="I134" s="5" t="str">
        <f>IFERROR(__xludf.DUMMYFUNCTION("""COMPUTED_VALUE"""),"Drama")</f>
        <v>Drama</v>
      </c>
      <c r="J134" s="5" t="str">
        <f>IFERROR(__xludf.DUMMYFUNCTION("""COMPUTED_VALUE"""),"45🤙🏼Terminator 2: Judgment Day🤙🏼Action🤙🏼1")</f>
        <v>45🤙🏼Terminator 2: Judgment Day🤙🏼Action🤙🏼1</v>
      </c>
      <c r="K134" s="5">
        <f>IFERROR(__xludf.DUMMYFUNCTION("SPLiT(J134, ""🤙🏼"",FALSE,FALSE)"),45.0)</f>
        <v>45</v>
      </c>
      <c r="L134" s="5" t="str">
        <f>IFERROR(__xludf.DUMMYFUNCTION("""COMPUTED_VALUE"""),"Terminator 2: Judgment Day")</f>
        <v>Terminator 2: Judgment Day</v>
      </c>
      <c r="M134" s="5" t="str">
        <f>IFERROR(__xludf.DUMMYFUNCTION("""COMPUTED_VALUE"""),"Action")</f>
        <v>Action</v>
      </c>
      <c r="N134" s="5">
        <f>IFERROR(__xludf.DUMMYFUNCTION("""COMPUTED_VALUE"""),1.0)</f>
        <v>1</v>
      </c>
      <c r="S134" s="5">
        <f>IFERROR(__xludf.DUMMYFUNCTION("""COMPUTED_VALUE"""),53.0)</f>
        <v>53</v>
      </c>
      <c r="T134" s="5" t="str">
        <f>IFERROR(__xludf.DUMMYFUNCTION("""COMPUTED_VALUE"""),"City Lights")</f>
        <v>City Lights</v>
      </c>
      <c r="U134" s="5" t="str">
        <f>IFERROR(__xludf.DUMMYFUNCTION("""COMPUTED_VALUE"""),"Drama")</f>
        <v>Drama</v>
      </c>
      <c r="V134" s="5">
        <f>IFERROR(__xludf.DUMMYFUNCTION("""COMPUTED_VALUE"""),2.0)</f>
        <v>2</v>
      </c>
    </row>
    <row r="135">
      <c r="A135" s="1">
        <v>134.0</v>
      </c>
      <c r="B135" s="1" t="s">
        <v>976</v>
      </c>
      <c r="C135" s="1" t="s">
        <v>235</v>
      </c>
      <c r="D135" s="1"/>
      <c r="E135" s="1">
        <v>134.0</v>
      </c>
      <c r="F135" s="1" t="s">
        <v>976</v>
      </c>
      <c r="G135" s="1" t="str">
        <f>IFERROR(__xludf.DUMMYFUNCTION("SPLIT(C135, "", "")"),"Crime")</f>
        <v>Crime</v>
      </c>
      <c r="H135" s="5" t="str">
        <f>IFERROR(__xludf.DUMMYFUNCTION("""COMPUTED_VALUE"""),"Drama")</f>
        <v>Drama</v>
      </c>
      <c r="I135" s="5" t="str">
        <f>IFERROR(__xludf.DUMMYFUNCTION("""COMPUTED_VALUE"""),"Mystery")</f>
        <v>Mystery</v>
      </c>
      <c r="J135" s="5" t="str">
        <f>IFERROR(__xludf.DUMMYFUNCTION("""COMPUTED_VALUE"""),"45🤙🏼Terminator 2: Judgment Day🤙🏼Sci-Fi🤙🏼2")</f>
        <v>45🤙🏼Terminator 2: Judgment Day🤙🏼Sci-Fi🤙🏼2</v>
      </c>
      <c r="K135" s="5">
        <f>IFERROR(__xludf.DUMMYFUNCTION("SPLiT(J135, ""🤙🏼"",FALSE,FALSE)"),45.0)</f>
        <v>45</v>
      </c>
      <c r="L135" s="5" t="str">
        <f>IFERROR(__xludf.DUMMYFUNCTION("""COMPUTED_VALUE"""),"Terminator 2: Judgment Day")</f>
        <v>Terminator 2: Judgment Day</v>
      </c>
      <c r="M135" s="5" t="str">
        <f>IFERROR(__xludf.DUMMYFUNCTION("""COMPUTED_VALUE"""),"Sci-Fi")</f>
        <v>Sci-Fi</v>
      </c>
      <c r="N135" s="5">
        <f>IFERROR(__xludf.DUMMYFUNCTION("""COMPUTED_VALUE"""),2.0)</f>
        <v>2</v>
      </c>
      <c r="S135" s="5">
        <f>IFERROR(__xludf.DUMMYFUNCTION("""COMPUTED_VALUE"""),53.0)</f>
        <v>53</v>
      </c>
      <c r="T135" s="5" t="str">
        <f>IFERROR(__xludf.DUMMYFUNCTION("""COMPUTED_VALUE"""),"City Lights")</f>
        <v>City Lights</v>
      </c>
      <c r="U135" s="5" t="str">
        <f>IFERROR(__xludf.DUMMYFUNCTION("""COMPUTED_VALUE"""),"Romance")</f>
        <v>Romance</v>
      </c>
      <c r="V135" s="5">
        <f>IFERROR(__xludf.DUMMYFUNCTION("""COMPUTED_VALUE"""),3.0)</f>
        <v>3</v>
      </c>
    </row>
    <row r="136">
      <c r="A136" s="1">
        <v>135.0</v>
      </c>
      <c r="B136" s="1" t="s">
        <v>983</v>
      </c>
      <c r="C136" s="1" t="s">
        <v>956</v>
      </c>
      <c r="D136" s="1"/>
      <c r="E136" s="1">
        <v>135.0</v>
      </c>
      <c r="F136" s="1" t="s">
        <v>983</v>
      </c>
      <c r="G136" s="1" t="str">
        <f>IFERROR(__xludf.DUMMYFUNCTION("SPLIT(C136, "", "")"),"Action")</f>
        <v>Action</v>
      </c>
      <c r="H136" s="5" t="str">
        <f>IFERROR(__xludf.DUMMYFUNCTION("""COMPUTED_VALUE"""),"Drama")</f>
        <v>Drama</v>
      </c>
      <c r="J136" s="5" t="str">
        <f>IFERROR(__xludf.DUMMYFUNCTION("""COMPUTED_VALUE"""),"45🤙🏼Terminator 2: Judgment Day🤙🏼🤙🏼3")</f>
        <v>45🤙🏼Terminator 2: Judgment Day🤙🏼🤙🏼3</v>
      </c>
      <c r="K136" s="5">
        <f>IFERROR(__xludf.DUMMYFUNCTION("SPLiT(J136, ""🤙🏼"",FALSE,FALSE)"),45.0)</f>
        <v>45</v>
      </c>
      <c r="L136" s="5" t="str">
        <f>IFERROR(__xludf.DUMMYFUNCTION("""COMPUTED_VALUE"""),"Terminator 2: Judgment Day")</f>
        <v>Terminator 2: Judgment Day</v>
      </c>
      <c r="M136" s="5"/>
      <c r="N136" s="5">
        <f>IFERROR(__xludf.DUMMYFUNCTION("""COMPUTED_VALUE"""),3.0)</f>
        <v>3</v>
      </c>
      <c r="S136" s="5">
        <f>IFERROR(__xludf.DUMMYFUNCTION("""COMPUTED_VALUE"""),54.0)</f>
        <v>54</v>
      </c>
      <c r="T136" s="5" t="str">
        <f>IFERROR(__xludf.DUMMYFUNCTION("""COMPUTED_VALUE"""),"Capharnaüm")</f>
        <v>Capharnaüm</v>
      </c>
      <c r="U136" s="5" t="str">
        <f>IFERROR(__xludf.DUMMYFUNCTION("""COMPUTED_VALUE"""),"Drama")</f>
        <v>Drama</v>
      </c>
      <c r="V136" s="5">
        <f>IFERROR(__xludf.DUMMYFUNCTION("""COMPUTED_VALUE"""),1.0)</f>
        <v>1</v>
      </c>
    </row>
    <row r="137">
      <c r="A137" s="1">
        <v>136.0</v>
      </c>
      <c r="B137" s="1" t="s">
        <v>991</v>
      </c>
      <c r="C137" s="1" t="s">
        <v>765</v>
      </c>
      <c r="D137" s="1"/>
      <c r="E137" s="1">
        <v>136.0</v>
      </c>
      <c r="F137" s="1" t="s">
        <v>991</v>
      </c>
      <c r="G137" s="1" t="str">
        <f>IFERROR(__xludf.DUMMYFUNCTION("SPLIT(C137, "", "")"),"Animation")</f>
        <v>Animation</v>
      </c>
      <c r="H137" s="5" t="str">
        <f>IFERROR(__xludf.DUMMYFUNCTION("""COMPUTED_VALUE"""),"Adventure")</f>
        <v>Adventure</v>
      </c>
      <c r="I137" s="5" t="str">
        <f>IFERROR(__xludf.DUMMYFUNCTION("""COMPUTED_VALUE"""),"Comedy")</f>
        <v>Comedy</v>
      </c>
      <c r="J137" s="5" t="str">
        <f>IFERROR(__xludf.DUMMYFUNCTION("""COMPUTED_VALUE"""),"46🤙🏼Nuovo Cinema Paradiso🤙🏼Drama🤙🏼1")</f>
        <v>46🤙🏼Nuovo Cinema Paradiso🤙🏼Drama🤙🏼1</v>
      </c>
      <c r="K137" s="5">
        <f>IFERROR(__xludf.DUMMYFUNCTION("SPLiT(J137, ""🤙🏼"",FALSE,FALSE)"),46.0)</f>
        <v>46</v>
      </c>
      <c r="L137" s="5" t="str">
        <f>IFERROR(__xludf.DUMMYFUNCTION("""COMPUTED_VALUE"""),"Nuovo Cinema Paradiso")</f>
        <v>Nuovo Cinema Paradiso</v>
      </c>
      <c r="M137" s="5" t="str">
        <f>IFERROR(__xludf.DUMMYFUNCTION("""COMPUTED_VALUE"""),"Drama")</f>
        <v>Drama</v>
      </c>
      <c r="N137" s="5">
        <f>IFERROR(__xludf.DUMMYFUNCTION("""COMPUTED_VALUE"""),1.0)</f>
        <v>1</v>
      </c>
      <c r="S137" s="5">
        <f>IFERROR(__xludf.DUMMYFUNCTION("""COMPUTED_VALUE"""),55.0)</f>
        <v>55</v>
      </c>
      <c r="T137" s="5" t="str">
        <f>IFERROR(__xludf.DUMMYFUNCTION("""COMPUTED_VALUE"""),"Ayla: The Daughter of War")</f>
        <v>Ayla: The Daughter of War</v>
      </c>
      <c r="U137" s="5" t="str">
        <f>IFERROR(__xludf.DUMMYFUNCTION("""COMPUTED_VALUE"""),"Biography")</f>
        <v>Biography</v>
      </c>
      <c r="V137" s="5">
        <f>IFERROR(__xludf.DUMMYFUNCTION("""COMPUTED_VALUE"""),1.0)</f>
        <v>1</v>
      </c>
    </row>
    <row r="138">
      <c r="A138" s="1">
        <v>137.0</v>
      </c>
      <c r="B138" s="1" t="s">
        <v>663</v>
      </c>
      <c r="C138" s="1" t="s">
        <v>235</v>
      </c>
      <c r="D138" s="1"/>
      <c r="E138" s="1">
        <v>137.0</v>
      </c>
      <c r="F138" s="1" t="s">
        <v>663</v>
      </c>
      <c r="G138" s="1" t="str">
        <f>IFERROR(__xludf.DUMMYFUNCTION("SPLIT(C138, "", "")"),"Crime")</f>
        <v>Crime</v>
      </c>
      <c r="H138" s="5" t="str">
        <f>IFERROR(__xludf.DUMMYFUNCTION("""COMPUTED_VALUE"""),"Drama")</f>
        <v>Drama</v>
      </c>
      <c r="I138" s="5" t="str">
        <f>IFERROR(__xludf.DUMMYFUNCTION("""COMPUTED_VALUE"""),"Mystery")</f>
        <v>Mystery</v>
      </c>
      <c r="J138" s="5" t="str">
        <f>IFERROR(__xludf.DUMMYFUNCTION("""COMPUTED_VALUE"""),"46🤙🏼Nuovo Cinema Paradiso🤙🏼Romance🤙🏼2")</f>
        <v>46🤙🏼Nuovo Cinema Paradiso🤙🏼Romance🤙🏼2</v>
      </c>
      <c r="K138" s="5">
        <f>IFERROR(__xludf.DUMMYFUNCTION("SPLiT(J138, ""🤙🏼"",FALSE,FALSE)"),46.0)</f>
        <v>46</v>
      </c>
      <c r="L138" s="5" t="str">
        <f>IFERROR(__xludf.DUMMYFUNCTION("""COMPUTED_VALUE"""),"Nuovo Cinema Paradiso")</f>
        <v>Nuovo Cinema Paradiso</v>
      </c>
      <c r="M138" s="5" t="str">
        <f>IFERROR(__xludf.DUMMYFUNCTION("""COMPUTED_VALUE"""),"Romance")</f>
        <v>Romance</v>
      </c>
      <c r="N138" s="5">
        <f>IFERROR(__xludf.DUMMYFUNCTION("""COMPUTED_VALUE"""),2.0)</f>
        <v>2</v>
      </c>
      <c r="S138" s="5">
        <f>IFERROR(__xludf.DUMMYFUNCTION("""COMPUTED_VALUE"""),55.0)</f>
        <v>55</v>
      </c>
      <c r="T138" s="5" t="str">
        <f>IFERROR(__xludf.DUMMYFUNCTION("""COMPUTED_VALUE"""),"Ayla: The Daughter of War")</f>
        <v>Ayla: The Daughter of War</v>
      </c>
      <c r="U138" s="5" t="str">
        <f>IFERROR(__xludf.DUMMYFUNCTION("""COMPUTED_VALUE"""),"Drama")</f>
        <v>Drama</v>
      </c>
      <c r="V138" s="5">
        <f>IFERROR(__xludf.DUMMYFUNCTION("""COMPUTED_VALUE"""),2.0)</f>
        <v>2</v>
      </c>
    </row>
    <row r="139">
      <c r="A139" s="1">
        <v>138.0</v>
      </c>
      <c r="B139" s="1" t="s">
        <v>1003</v>
      </c>
      <c r="C139" s="1" t="s">
        <v>1004</v>
      </c>
      <c r="D139" s="1"/>
      <c r="E139" s="1">
        <v>138.0</v>
      </c>
      <c r="F139" s="1" t="s">
        <v>1003</v>
      </c>
      <c r="G139" s="1" t="str">
        <f>IFERROR(__xludf.DUMMYFUNCTION("SPLIT(C139, "", "")"),"Adventure")</f>
        <v>Adventure</v>
      </c>
      <c r="H139" s="5" t="str">
        <f>IFERROR(__xludf.DUMMYFUNCTION("""COMPUTED_VALUE"""),"Comedy")</f>
        <v>Comedy</v>
      </c>
      <c r="I139" s="5" t="str">
        <f>IFERROR(__xludf.DUMMYFUNCTION("""COMPUTED_VALUE"""),"Drama")</f>
        <v>Drama</v>
      </c>
      <c r="J139" s="5" t="str">
        <f>IFERROR(__xludf.DUMMYFUNCTION("""COMPUTED_VALUE"""),"46🤙🏼Nuovo Cinema Paradiso🤙🏼🤙🏼3")</f>
        <v>46🤙🏼Nuovo Cinema Paradiso🤙🏼🤙🏼3</v>
      </c>
      <c r="K139" s="5">
        <f>IFERROR(__xludf.DUMMYFUNCTION("SPLiT(J139, ""🤙🏼"",FALSE,FALSE)"),46.0)</f>
        <v>46</v>
      </c>
      <c r="L139" s="5" t="str">
        <f>IFERROR(__xludf.DUMMYFUNCTION("""COMPUTED_VALUE"""),"Nuovo Cinema Paradiso")</f>
        <v>Nuovo Cinema Paradiso</v>
      </c>
      <c r="M139" s="5"/>
      <c r="N139" s="5">
        <f>IFERROR(__xludf.DUMMYFUNCTION("""COMPUTED_VALUE"""),3.0)</f>
        <v>3</v>
      </c>
      <c r="S139" s="5">
        <f>IFERROR(__xludf.DUMMYFUNCTION("""COMPUTED_VALUE"""),55.0)</f>
        <v>55</v>
      </c>
      <c r="T139" s="5" t="str">
        <f>IFERROR(__xludf.DUMMYFUNCTION("""COMPUTED_VALUE"""),"Ayla: The Daughter of War")</f>
        <v>Ayla: The Daughter of War</v>
      </c>
      <c r="U139" s="5" t="str">
        <f>IFERROR(__xludf.DUMMYFUNCTION("""COMPUTED_VALUE"""),"History")</f>
        <v>History</v>
      </c>
      <c r="V139" s="5">
        <f>IFERROR(__xludf.DUMMYFUNCTION("""COMPUTED_VALUE"""),3.0)</f>
        <v>3</v>
      </c>
    </row>
    <row r="140">
      <c r="A140" s="1">
        <v>139.0</v>
      </c>
      <c r="B140" s="1" t="s">
        <v>1011</v>
      </c>
      <c r="C140" s="1" t="s">
        <v>213</v>
      </c>
      <c r="D140" s="1"/>
      <c r="E140" s="1">
        <v>139.0</v>
      </c>
      <c r="F140" s="1" t="s">
        <v>1011</v>
      </c>
      <c r="G140" s="1" t="str">
        <f>IFERROR(__xludf.DUMMYFUNCTION("SPLIT(C140, "", "")"),"Drama")</f>
        <v>Drama</v>
      </c>
      <c r="H140" s="5" t="str">
        <f>IFERROR(__xludf.DUMMYFUNCTION("""COMPUTED_VALUE"""),"War")</f>
        <v>War</v>
      </c>
      <c r="J140" s="5" t="str">
        <f>IFERROR(__xludf.DUMMYFUNCTION("""COMPUTED_VALUE"""),"47🤙🏼Hotaru no haka🤙🏼Animation🤙🏼1")</f>
        <v>47🤙🏼Hotaru no haka🤙🏼Animation🤙🏼1</v>
      </c>
      <c r="K140" s="5">
        <f>IFERROR(__xludf.DUMMYFUNCTION("SPLiT(J140, ""🤙🏼"",FALSE,FALSE)"),47.0)</f>
        <v>47</v>
      </c>
      <c r="L140" s="5" t="str">
        <f>IFERROR(__xludf.DUMMYFUNCTION("""COMPUTED_VALUE"""),"Hotaru no haka")</f>
        <v>Hotaru no haka</v>
      </c>
      <c r="M140" s="5" t="str">
        <f>IFERROR(__xludf.DUMMYFUNCTION("""COMPUTED_VALUE"""),"Animation")</f>
        <v>Animation</v>
      </c>
      <c r="N140" s="5">
        <f>IFERROR(__xludf.DUMMYFUNCTION("""COMPUTED_VALUE"""),1.0)</f>
        <v>1</v>
      </c>
      <c r="S140" s="5">
        <f>IFERROR(__xludf.DUMMYFUNCTION("""COMPUTED_VALUE"""),56.0)</f>
        <v>56</v>
      </c>
      <c r="T140" s="5" t="str">
        <f>IFERROR(__xludf.DUMMYFUNCTION("""COMPUTED_VALUE"""),"Vikram Vedha")</f>
        <v>Vikram Vedha</v>
      </c>
      <c r="U140" s="5" t="str">
        <f>IFERROR(__xludf.DUMMYFUNCTION("""COMPUTED_VALUE"""),"Action")</f>
        <v>Action</v>
      </c>
      <c r="V140" s="5">
        <f>IFERROR(__xludf.DUMMYFUNCTION("""COMPUTED_VALUE"""),1.0)</f>
        <v>1</v>
      </c>
    </row>
    <row r="141">
      <c r="A141" s="1">
        <v>140.0</v>
      </c>
      <c r="B141" s="1" t="s">
        <v>1018</v>
      </c>
      <c r="C141" s="1" t="s">
        <v>1020</v>
      </c>
      <c r="D141" s="1"/>
      <c r="E141" s="1">
        <v>140.0</v>
      </c>
      <c r="F141" s="1" t="s">
        <v>1018</v>
      </c>
      <c r="G141" s="1" t="str">
        <f>IFERROR(__xludf.DUMMYFUNCTION("SPLIT(C141, "", "")"),"Biography")</f>
        <v>Biography</v>
      </c>
      <c r="H141" s="5" t="str">
        <f>IFERROR(__xludf.DUMMYFUNCTION("""COMPUTED_VALUE"""),"Drama")</f>
        <v>Drama</v>
      </c>
      <c r="I141" s="5" t="str">
        <f>IFERROR(__xludf.DUMMYFUNCTION("""COMPUTED_VALUE"""),"Sport")</f>
        <v>Sport</v>
      </c>
      <c r="J141" s="5" t="str">
        <f>IFERROR(__xludf.DUMMYFUNCTION("""COMPUTED_VALUE"""),"47🤙🏼Hotaru no haka🤙🏼Drama🤙🏼2")</f>
        <v>47🤙🏼Hotaru no haka🤙🏼Drama🤙🏼2</v>
      </c>
      <c r="K141" s="5">
        <f>IFERROR(__xludf.DUMMYFUNCTION("SPLiT(J141, ""🤙🏼"",FALSE,FALSE)"),47.0)</f>
        <v>47</v>
      </c>
      <c r="L141" s="5" t="str">
        <f>IFERROR(__xludf.DUMMYFUNCTION("""COMPUTED_VALUE"""),"Hotaru no haka")</f>
        <v>Hotaru no haka</v>
      </c>
      <c r="M141" s="5" t="str">
        <f>IFERROR(__xludf.DUMMYFUNCTION("""COMPUTED_VALUE"""),"Drama")</f>
        <v>Drama</v>
      </c>
      <c r="N141" s="5">
        <f>IFERROR(__xludf.DUMMYFUNCTION("""COMPUTED_VALUE"""),2.0)</f>
        <v>2</v>
      </c>
      <c r="S141" s="5">
        <f>IFERROR(__xludf.DUMMYFUNCTION("""COMPUTED_VALUE"""),56.0)</f>
        <v>56</v>
      </c>
      <c r="T141" s="5" t="str">
        <f>IFERROR(__xludf.DUMMYFUNCTION("""COMPUTED_VALUE"""),"Vikram Vedha")</f>
        <v>Vikram Vedha</v>
      </c>
      <c r="U141" s="5" t="str">
        <f>IFERROR(__xludf.DUMMYFUNCTION("""COMPUTED_VALUE"""),"Crime")</f>
        <v>Crime</v>
      </c>
      <c r="V141" s="5">
        <f>IFERROR(__xludf.DUMMYFUNCTION("""COMPUTED_VALUE"""),2.0)</f>
        <v>2</v>
      </c>
    </row>
    <row r="142">
      <c r="A142" s="1">
        <v>141.0</v>
      </c>
      <c r="B142" s="1" t="s">
        <v>1027</v>
      </c>
      <c r="C142" s="1" t="s">
        <v>1029</v>
      </c>
      <c r="D142" s="1"/>
      <c r="E142" s="1">
        <v>141.0</v>
      </c>
      <c r="F142" s="1" t="s">
        <v>1027</v>
      </c>
      <c r="G142" s="1" t="str">
        <f>IFERROR(__xludf.DUMMYFUNCTION("SPLIT(C142, "", "")"),"Action")</f>
        <v>Action</v>
      </c>
      <c r="H142" s="5" t="str">
        <f>IFERROR(__xludf.DUMMYFUNCTION("""COMPUTED_VALUE"""),"Comedy")</f>
        <v>Comedy</v>
      </c>
      <c r="I142" s="5" t="str">
        <f>IFERROR(__xludf.DUMMYFUNCTION("""COMPUTED_VALUE"""),"Crime")</f>
        <v>Crime</v>
      </c>
      <c r="J142" s="5" t="str">
        <f>IFERROR(__xludf.DUMMYFUNCTION("""COMPUTED_VALUE"""),"47🤙🏼Hotaru no haka🤙🏼War🤙🏼3")</f>
        <v>47🤙🏼Hotaru no haka🤙🏼War🤙🏼3</v>
      </c>
      <c r="K142" s="5">
        <f>IFERROR(__xludf.DUMMYFUNCTION("SPLiT(J142, ""🤙🏼"",FALSE,FALSE)"),47.0)</f>
        <v>47</v>
      </c>
      <c r="L142" s="5" t="str">
        <f>IFERROR(__xludf.DUMMYFUNCTION("""COMPUTED_VALUE"""),"Hotaru no haka")</f>
        <v>Hotaru no haka</v>
      </c>
      <c r="M142" s="5" t="str">
        <f>IFERROR(__xludf.DUMMYFUNCTION("""COMPUTED_VALUE"""),"War")</f>
        <v>War</v>
      </c>
      <c r="N142" s="5">
        <f>IFERROR(__xludf.DUMMYFUNCTION("""COMPUTED_VALUE"""),3.0)</f>
        <v>3</v>
      </c>
      <c r="S142" s="5">
        <f>IFERROR(__xludf.DUMMYFUNCTION("""COMPUTED_VALUE"""),56.0)</f>
        <v>56</v>
      </c>
      <c r="T142" s="5" t="str">
        <f>IFERROR(__xludf.DUMMYFUNCTION("""COMPUTED_VALUE"""),"Vikram Vedha")</f>
        <v>Vikram Vedha</v>
      </c>
      <c r="U142" s="5" t="str">
        <f>IFERROR(__xludf.DUMMYFUNCTION("""COMPUTED_VALUE"""),"Drama")</f>
        <v>Drama</v>
      </c>
      <c r="V142" s="5">
        <f>IFERROR(__xludf.DUMMYFUNCTION("""COMPUTED_VALUE"""),3.0)</f>
        <v>3</v>
      </c>
    </row>
    <row r="143">
      <c r="A143" s="1">
        <v>142.0</v>
      </c>
      <c r="B143" s="1" t="s">
        <v>1036</v>
      </c>
      <c r="C143" s="1" t="s">
        <v>20</v>
      </c>
      <c r="D143" s="1"/>
      <c r="E143" s="1">
        <v>142.0</v>
      </c>
      <c r="F143" s="1" t="s">
        <v>1036</v>
      </c>
      <c r="G143" s="1" t="str">
        <f>IFERROR(__xludf.DUMMYFUNCTION("SPLIT(C143, "", "")"),"Drama")</f>
        <v>Drama</v>
      </c>
      <c r="J143" s="5" t="str">
        <f>IFERROR(__xludf.DUMMYFUNCTION("""COMPUTED_VALUE"""),"48🤙🏼Back to the Future🤙🏼Adventure🤙🏼1")</f>
        <v>48🤙🏼Back to the Future🤙🏼Adventure🤙🏼1</v>
      </c>
      <c r="K143" s="5">
        <f>IFERROR(__xludf.DUMMYFUNCTION("SPLiT(J143, ""🤙🏼"",FALSE,FALSE)"),48.0)</f>
        <v>48</v>
      </c>
      <c r="L143" s="5" t="str">
        <f>IFERROR(__xludf.DUMMYFUNCTION("""COMPUTED_VALUE"""),"Back to the Future")</f>
        <v>Back to the Future</v>
      </c>
      <c r="M143" s="5" t="str">
        <f>IFERROR(__xludf.DUMMYFUNCTION("""COMPUTED_VALUE"""),"Adventure")</f>
        <v>Adventure</v>
      </c>
      <c r="N143" s="5">
        <f>IFERROR(__xludf.DUMMYFUNCTION("""COMPUTED_VALUE"""),1.0)</f>
        <v>1</v>
      </c>
      <c r="S143" s="5">
        <f>IFERROR(__xludf.DUMMYFUNCTION("""COMPUTED_VALUE"""),57.0)</f>
        <v>57</v>
      </c>
      <c r="T143" s="5" t="str">
        <f>IFERROR(__xludf.DUMMYFUNCTION("""COMPUTED_VALUE"""),"Kimi no na wa.")</f>
        <v>Kimi no na wa.</v>
      </c>
      <c r="U143" s="5" t="str">
        <f>IFERROR(__xludf.DUMMYFUNCTION("""COMPUTED_VALUE"""),"Animation")</f>
        <v>Animation</v>
      </c>
      <c r="V143" s="5">
        <f>IFERROR(__xludf.DUMMYFUNCTION("""COMPUTED_VALUE"""),1.0)</f>
        <v>1</v>
      </c>
    </row>
    <row r="144">
      <c r="A144" s="1">
        <v>143.0</v>
      </c>
      <c r="B144" s="1" t="s">
        <v>1043</v>
      </c>
      <c r="C144" s="1" t="s">
        <v>1045</v>
      </c>
      <c r="D144" s="1"/>
      <c r="E144" s="1">
        <v>143.0</v>
      </c>
      <c r="F144" s="1" t="s">
        <v>1043</v>
      </c>
      <c r="G144" s="1" t="str">
        <f>IFERROR(__xludf.DUMMYFUNCTION("SPLIT(C144, "", "")"),"Action")</f>
        <v>Action</v>
      </c>
      <c r="H144" s="5" t="str">
        <f>IFERROR(__xludf.DUMMYFUNCTION("""COMPUTED_VALUE"""),"Biography")</f>
        <v>Biography</v>
      </c>
      <c r="I144" s="5" t="str">
        <f>IFERROR(__xludf.DUMMYFUNCTION("""COMPUTED_VALUE"""),"Crime")</f>
        <v>Crime</v>
      </c>
      <c r="J144" s="5" t="str">
        <f>IFERROR(__xludf.DUMMYFUNCTION("""COMPUTED_VALUE"""),"48🤙🏼Back to the Future🤙🏼Comedy🤙🏼2")</f>
        <v>48🤙🏼Back to the Future🤙🏼Comedy🤙🏼2</v>
      </c>
      <c r="K144" s="5">
        <f>IFERROR(__xludf.DUMMYFUNCTION("SPLiT(J144, ""🤙🏼"",FALSE,FALSE)"),48.0)</f>
        <v>48</v>
      </c>
      <c r="L144" s="5" t="str">
        <f>IFERROR(__xludf.DUMMYFUNCTION("""COMPUTED_VALUE"""),"Back to the Future")</f>
        <v>Back to the Future</v>
      </c>
      <c r="M144" s="5" t="str">
        <f>IFERROR(__xludf.DUMMYFUNCTION("""COMPUTED_VALUE"""),"Comedy")</f>
        <v>Comedy</v>
      </c>
      <c r="N144" s="5">
        <f>IFERROR(__xludf.DUMMYFUNCTION("""COMPUTED_VALUE"""),2.0)</f>
        <v>2</v>
      </c>
      <c r="S144" s="5">
        <f>IFERROR(__xludf.DUMMYFUNCTION("""COMPUTED_VALUE"""),57.0)</f>
        <v>57</v>
      </c>
      <c r="T144" s="5" t="str">
        <f>IFERROR(__xludf.DUMMYFUNCTION("""COMPUTED_VALUE"""),"Kimi no na wa.")</f>
        <v>Kimi no na wa.</v>
      </c>
      <c r="U144" s="5" t="str">
        <f>IFERROR(__xludf.DUMMYFUNCTION("""COMPUTED_VALUE"""),"Drama")</f>
        <v>Drama</v>
      </c>
      <c r="V144" s="5">
        <f>IFERROR(__xludf.DUMMYFUNCTION("""COMPUTED_VALUE"""),2.0)</f>
        <v>2</v>
      </c>
    </row>
    <row r="145">
      <c r="A145" s="1">
        <v>144.0</v>
      </c>
      <c r="B145" s="1" t="s">
        <v>1050</v>
      </c>
      <c r="C145" s="1" t="s">
        <v>1051</v>
      </c>
      <c r="D145" s="1"/>
      <c r="E145" s="1">
        <v>144.0</v>
      </c>
      <c r="F145" s="1" t="s">
        <v>1050</v>
      </c>
      <c r="G145" s="1" t="str">
        <f>IFERROR(__xludf.DUMMYFUNCTION("SPLIT(C145, "", "")"),"Drama")</f>
        <v>Drama</v>
      </c>
      <c r="H145" s="5" t="str">
        <f>IFERROR(__xludf.DUMMYFUNCTION("""COMPUTED_VALUE"""),"Mystery")</f>
        <v>Mystery</v>
      </c>
      <c r="I145" s="5" t="str">
        <f>IFERROR(__xludf.DUMMYFUNCTION("""COMPUTED_VALUE"""),"Romance")</f>
        <v>Romance</v>
      </c>
      <c r="J145" s="5" t="str">
        <f>IFERROR(__xludf.DUMMYFUNCTION("""COMPUTED_VALUE"""),"48🤙🏼Back to the Future🤙🏼Sci-Fi🤙🏼3")</f>
        <v>48🤙🏼Back to the Future🤙🏼Sci-Fi🤙🏼3</v>
      </c>
      <c r="K145" s="5">
        <f>IFERROR(__xludf.DUMMYFUNCTION("SPLiT(J145, ""🤙🏼"",FALSE,FALSE)"),48.0)</f>
        <v>48</v>
      </c>
      <c r="L145" s="5" t="str">
        <f>IFERROR(__xludf.DUMMYFUNCTION("""COMPUTED_VALUE"""),"Back to the Future")</f>
        <v>Back to the Future</v>
      </c>
      <c r="M145" s="5" t="str">
        <f>IFERROR(__xludf.DUMMYFUNCTION("""COMPUTED_VALUE"""),"Sci-Fi")</f>
        <v>Sci-Fi</v>
      </c>
      <c r="N145" s="5">
        <f>IFERROR(__xludf.DUMMYFUNCTION("""COMPUTED_VALUE"""),3.0)</f>
        <v>3</v>
      </c>
      <c r="S145" s="5">
        <f>IFERROR(__xludf.DUMMYFUNCTION("""COMPUTED_VALUE"""),57.0)</f>
        <v>57</v>
      </c>
      <c r="T145" s="5" t="str">
        <f>IFERROR(__xludf.DUMMYFUNCTION("""COMPUTED_VALUE"""),"Kimi no na wa.")</f>
        <v>Kimi no na wa.</v>
      </c>
      <c r="U145" s="5" t="str">
        <f>IFERROR(__xludf.DUMMYFUNCTION("""COMPUTED_VALUE"""),"Fantasy")</f>
        <v>Fantasy</v>
      </c>
      <c r="V145" s="5">
        <f>IFERROR(__xludf.DUMMYFUNCTION("""COMPUTED_VALUE"""),3.0)</f>
        <v>3</v>
      </c>
    </row>
    <row r="146">
      <c r="A146" s="1">
        <v>145.0</v>
      </c>
      <c r="B146" s="1" t="s">
        <v>1058</v>
      </c>
      <c r="C146" s="1" t="s">
        <v>1060</v>
      </c>
      <c r="D146" s="1"/>
      <c r="E146" s="1">
        <v>145.0</v>
      </c>
      <c r="F146" s="1" t="s">
        <v>1058</v>
      </c>
      <c r="G146" s="1" t="str">
        <f>IFERROR(__xludf.DUMMYFUNCTION("SPLIT(C146, "", "")"),"Action")</f>
        <v>Action</v>
      </c>
      <c r="H146" s="5" t="str">
        <f>IFERROR(__xludf.DUMMYFUNCTION("""COMPUTED_VALUE"""),"Drama")</f>
        <v>Drama</v>
      </c>
      <c r="I146" s="5" t="str">
        <f>IFERROR(__xludf.DUMMYFUNCTION("""COMPUTED_VALUE"""),"Sport")</f>
        <v>Sport</v>
      </c>
      <c r="J146" s="5" t="str">
        <f>IFERROR(__xludf.DUMMYFUNCTION("""COMPUTED_VALUE"""),"49🤙🏼Once Upon a Time in the West🤙🏼Western🤙🏼1")</f>
        <v>49🤙🏼Once Upon a Time in the West🤙🏼Western🤙🏼1</v>
      </c>
      <c r="K146" s="5">
        <f>IFERROR(__xludf.DUMMYFUNCTION("SPLiT(J146, ""🤙🏼"",FALSE,FALSE)"),49.0)</f>
        <v>49</v>
      </c>
      <c r="L146" s="5" t="str">
        <f>IFERROR(__xludf.DUMMYFUNCTION("""COMPUTED_VALUE"""),"Once Upon a Time in the West")</f>
        <v>Once Upon a Time in the West</v>
      </c>
      <c r="M146" s="5" t="str">
        <f>IFERROR(__xludf.DUMMYFUNCTION("""COMPUTED_VALUE"""),"Western")</f>
        <v>Western</v>
      </c>
      <c r="N146" s="5">
        <f>IFERROR(__xludf.DUMMYFUNCTION("""COMPUTED_VALUE"""),1.0)</f>
        <v>1</v>
      </c>
      <c r="S146" s="5">
        <f>IFERROR(__xludf.DUMMYFUNCTION("""COMPUTED_VALUE"""),58.0)</f>
        <v>58</v>
      </c>
      <c r="T146" s="5" t="str">
        <f>IFERROR(__xludf.DUMMYFUNCTION("""COMPUTED_VALUE"""),"Dangal")</f>
        <v>Dangal</v>
      </c>
      <c r="U146" s="5" t="str">
        <f>IFERROR(__xludf.DUMMYFUNCTION("""COMPUTED_VALUE"""),"Action")</f>
        <v>Action</v>
      </c>
      <c r="V146" s="5">
        <f>IFERROR(__xludf.DUMMYFUNCTION("""COMPUTED_VALUE"""),1.0)</f>
        <v>1</v>
      </c>
    </row>
    <row r="147">
      <c r="A147" s="1">
        <v>146.0</v>
      </c>
      <c r="B147" s="1" t="s">
        <v>1066</v>
      </c>
      <c r="C147" s="1" t="s">
        <v>544</v>
      </c>
      <c r="D147" s="1"/>
      <c r="E147" s="1">
        <v>146.0</v>
      </c>
      <c r="F147" s="1" t="s">
        <v>1066</v>
      </c>
      <c r="G147" s="1" t="str">
        <f>IFERROR(__xludf.DUMMYFUNCTION("SPLIT(C147, "", "")"),"Mystery")</f>
        <v>Mystery</v>
      </c>
      <c r="H147" s="5" t="str">
        <f>IFERROR(__xludf.DUMMYFUNCTION("""COMPUTED_VALUE"""),"Thriller")</f>
        <v>Thriller</v>
      </c>
      <c r="J147" s="5" t="str">
        <f>IFERROR(__xludf.DUMMYFUNCTION("""COMPUTED_VALUE"""),"49🤙🏼Once Upon a Time in the West🤙🏼🤙🏼2")</f>
        <v>49🤙🏼Once Upon a Time in the West🤙🏼🤙🏼2</v>
      </c>
      <c r="K147" s="5">
        <f>IFERROR(__xludf.DUMMYFUNCTION("SPLiT(J147, ""🤙🏼"",FALSE,FALSE)"),49.0)</f>
        <v>49</v>
      </c>
      <c r="L147" s="5" t="str">
        <f>IFERROR(__xludf.DUMMYFUNCTION("""COMPUTED_VALUE"""),"Once Upon a Time in the West")</f>
        <v>Once Upon a Time in the West</v>
      </c>
      <c r="M147" s="5"/>
      <c r="N147" s="5">
        <f>IFERROR(__xludf.DUMMYFUNCTION("""COMPUTED_VALUE"""),2.0)</f>
        <v>2</v>
      </c>
      <c r="S147" s="5">
        <f>IFERROR(__xludf.DUMMYFUNCTION("""COMPUTED_VALUE"""),58.0)</f>
        <v>58</v>
      </c>
      <c r="T147" s="5" t="str">
        <f>IFERROR(__xludf.DUMMYFUNCTION("""COMPUTED_VALUE"""),"Dangal")</f>
        <v>Dangal</v>
      </c>
      <c r="U147" s="5" t="str">
        <f>IFERROR(__xludf.DUMMYFUNCTION("""COMPUTED_VALUE"""),"Biography")</f>
        <v>Biography</v>
      </c>
      <c r="V147" s="5">
        <f>IFERROR(__xludf.DUMMYFUNCTION("""COMPUTED_VALUE"""),2.0)</f>
        <v>2</v>
      </c>
    </row>
    <row r="148">
      <c r="A148" s="1">
        <v>147.0</v>
      </c>
      <c r="B148" s="1" t="s">
        <v>1069</v>
      </c>
      <c r="C148" s="1" t="s">
        <v>765</v>
      </c>
      <c r="D148" s="1"/>
      <c r="E148" s="1">
        <v>147.0</v>
      </c>
      <c r="F148" s="1" t="s">
        <v>1069</v>
      </c>
      <c r="G148" s="1" t="str">
        <f>IFERROR(__xludf.DUMMYFUNCTION("SPLIT(C148, "", "")"),"Animation")</f>
        <v>Animation</v>
      </c>
      <c r="H148" s="5" t="str">
        <f>IFERROR(__xludf.DUMMYFUNCTION("""COMPUTED_VALUE"""),"Adventure")</f>
        <v>Adventure</v>
      </c>
      <c r="I148" s="5" t="str">
        <f>IFERROR(__xludf.DUMMYFUNCTION("""COMPUTED_VALUE"""),"Comedy")</f>
        <v>Comedy</v>
      </c>
      <c r="J148" s="5" t="str">
        <f>IFERROR(__xludf.DUMMYFUNCTION("""COMPUTED_VALUE"""),"49🤙🏼Once Upon a Time in the West🤙🏼🤙🏼3")</f>
        <v>49🤙🏼Once Upon a Time in the West🤙🏼🤙🏼3</v>
      </c>
      <c r="K148" s="5">
        <f>IFERROR(__xludf.DUMMYFUNCTION("SPLiT(J148, ""🤙🏼"",FALSE,FALSE)"),49.0)</f>
        <v>49</v>
      </c>
      <c r="L148" s="5" t="str">
        <f>IFERROR(__xludf.DUMMYFUNCTION("""COMPUTED_VALUE"""),"Once Upon a Time in the West")</f>
        <v>Once Upon a Time in the West</v>
      </c>
      <c r="M148" s="5"/>
      <c r="N148" s="5">
        <f>IFERROR(__xludf.DUMMYFUNCTION("""COMPUTED_VALUE"""),3.0)</f>
        <v>3</v>
      </c>
      <c r="S148" s="5">
        <f>IFERROR(__xludf.DUMMYFUNCTION("""COMPUTED_VALUE"""),58.0)</f>
        <v>58</v>
      </c>
      <c r="T148" s="5" t="str">
        <f>IFERROR(__xludf.DUMMYFUNCTION("""COMPUTED_VALUE"""),"Dangal")</f>
        <v>Dangal</v>
      </c>
      <c r="U148" s="5" t="str">
        <f>IFERROR(__xludf.DUMMYFUNCTION("""COMPUTED_VALUE"""),"Drama")</f>
        <v>Drama</v>
      </c>
      <c r="V148" s="5">
        <f>IFERROR(__xludf.DUMMYFUNCTION("""COMPUTED_VALUE"""),3.0)</f>
        <v>3</v>
      </c>
    </row>
    <row r="149">
      <c r="A149" s="1">
        <v>148.0</v>
      </c>
      <c r="B149" s="1" t="s">
        <v>1076</v>
      </c>
      <c r="C149" s="1" t="s">
        <v>137</v>
      </c>
      <c r="D149" s="1"/>
      <c r="E149" s="1">
        <v>148.0</v>
      </c>
      <c r="F149" s="1" t="s">
        <v>1076</v>
      </c>
      <c r="G149" s="1" t="str">
        <f>IFERROR(__xludf.DUMMYFUNCTION("SPLIT(C149, "", "")"),"Biography")</f>
        <v>Biography</v>
      </c>
      <c r="H149" s="5" t="str">
        <f>IFERROR(__xludf.DUMMYFUNCTION("""COMPUTED_VALUE"""),"Crime")</f>
        <v>Crime</v>
      </c>
      <c r="I149" s="5" t="str">
        <f>IFERROR(__xludf.DUMMYFUNCTION("""COMPUTED_VALUE"""),"Drama")</f>
        <v>Drama</v>
      </c>
      <c r="J149" s="5" t="str">
        <f>IFERROR(__xludf.DUMMYFUNCTION("""COMPUTED_VALUE"""),"50🤙🏼Psycho🤙🏼Horror🤙🏼1")</f>
        <v>50🤙🏼Psycho🤙🏼Horror🤙🏼1</v>
      </c>
      <c r="K149" s="5">
        <f>IFERROR(__xludf.DUMMYFUNCTION("SPLiT(J149, ""🤙🏼"",FALSE,FALSE)"),50.0)</f>
        <v>50</v>
      </c>
      <c r="L149" s="5" t="str">
        <f>IFERROR(__xludf.DUMMYFUNCTION("""COMPUTED_VALUE"""),"Psycho")</f>
        <v>Psycho</v>
      </c>
      <c r="M149" s="5" t="str">
        <f>IFERROR(__xludf.DUMMYFUNCTION("""COMPUTED_VALUE"""),"Horror")</f>
        <v>Horror</v>
      </c>
      <c r="N149" s="5">
        <f>IFERROR(__xludf.DUMMYFUNCTION("""COMPUTED_VALUE"""),1.0)</f>
        <v>1</v>
      </c>
      <c r="S149" s="5">
        <f>IFERROR(__xludf.DUMMYFUNCTION("""COMPUTED_VALUE"""),59.0)</f>
        <v>59</v>
      </c>
      <c r="T149" s="5" t="str">
        <f>IFERROR(__xludf.DUMMYFUNCTION("""COMPUTED_VALUE"""),"Spider-Man: Into the Spider-Verse")</f>
        <v>Spider-Man: Into the Spider-Verse</v>
      </c>
      <c r="U149" s="5" t="str">
        <f>IFERROR(__xludf.DUMMYFUNCTION("""COMPUTED_VALUE"""),"Animation")</f>
        <v>Animation</v>
      </c>
      <c r="V149" s="5">
        <f>IFERROR(__xludf.DUMMYFUNCTION("""COMPUTED_VALUE"""),1.0)</f>
        <v>1</v>
      </c>
    </row>
    <row r="150">
      <c r="A150" s="1">
        <v>149.0</v>
      </c>
      <c r="B150" s="1" t="s">
        <v>1081</v>
      </c>
      <c r="C150" s="1" t="s">
        <v>756</v>
      </c>
      <c r="D150" s="1"/>
      <c r="E150" s="1">
        <v>149.0</v>
      </c>
      <c r="F150" s="1" t="s">
        <v>1081</v>
      </c>
      <c r="G150" s="1" t="str">
        <f>IFERROR(__xludf.DUMMYFUNCTION("SPLIT(C150, "", "")"),"Drama")</f>
        <v>Drama</v>
      </c>
      <c r="H150" s="5" t="str">
        <f>IFERROR(__xludf.DUMMYFUNCTION("""COMPUTED_VALUE"""),"Family")</f>
        <v>Family</v>
      </c>
      <c r="I150" s="5" t="str">
        <f>IFERROR(__xludf.DUMMYFUNCTION("""COMPUTED_VALUE"""),"Sport")</f>
        <v>Sport</v>
      </c>
      <c r="J150" s="5" t="str">
        <f>IFERROR(__xludf.DUMMYFUNCTION("""COMPUTED_VALUE"""),"50🤙🏼Psycho🤙🏼Mystery🤙🏼2")</f>
        <v>50🤙🏼Psycho🤙🏼Mystery🤙🏼2</v>
      </c>
      <c r="K150" s="5">
        <f>IFERROR(__xludf.DUMMYFUNCTION("SPLiT(J150, ""🤙🏼"",FALSE,FALSE)"),50.0)</f>
        <v>50</v>
      </c>
      <c r="L150" s="5" t="str">
        <f>IFERROR(__xludf.DUMMYFUNCTION("""COMPUTED_VALUE"""),"Psycho")</f>
        <v>Psycho</v>
      </c>
      <c r="M150" s="5" t="str">
        <f>IFERROR(__xludf.DUMMYFUNCTION("""COMPUTED_VALUE"""),"Mystery")</f>
        <v>Mystery</v>
      </c>
      <c r="N150" s="5">
        <f>IFERROR(__xludf.DUMMYFUNCTION("""COMPUTED_VALUE"""),2.0)</f>
        <v>2</v>
      </c>
      <c r="S150" s="5">
        <f>IFERROR(__xludf.DUMMYFUNCTION("""COMPUTED_VALUE"""),59.0)</f>
        <v>59</v>
      </c>
      <c r="T150" s="5" t="str">
        <f>IFERROR(__xludf.DUMMYFUNCTION("""COMPUTED_VALUE"""),"Spider-Man: Into the Spider-Verse")</f>
        <v>Spider-Man: Into the Spider-Verse</v>
      </c>
      <c r="U150" s="5" t="str">
        <f>IFERROR(__xludf.DUMMYFUNCTION("""COMPUTED_VALUE"""),"Action")</f>
        <v>Action</v>
      </c>
      <c r="V150" s="5">
        <f>IFERROR(__xludf.DUMMYFUNCTION("""COMPUTED_VALUE"""),2.0)</f>
        <v>2</v>
      </c>
    </row>
    <row r="151">
      <c r="A151" s="1">
        <v>150.0</v>
      </c>
      <c r="B151" s="1" t="s">
        <v>1088</v>
      </c>
      <c r="C151" s="1" t="s">
        <v>20</v>
      </c>
      <c r="D151" s="1"/>
      <c r="E151" s="1">
        <v>150.0</v>
      </c>
      <c r="F151" s="1" t="s">
        <v>1088</v>
      </c>
      <c r="G151" s="1" t="str">
        <f>IFERROR(__xludf.DUMMYFUNCTION("SPLIT(C151, "", "")"),"Drama")</f>
        <v>Drama</v>
      </c>
      <c r="J151" s="5" t="str">
        <f>IFERROR(__xludf.DUMMYFUNCTION("""COMPUTED_VALUE"""),"50🤙🏼Psycho🤙🏼Thriller🤙🏼3")</f>
        <v>50🤙🏼Psycho🤙🏼Thriller🤙🏼3</v>
      </c>
      <c r="K151" s="5">
        <f>IFERROR(__xludf.DUMMYFUNCTION("SPLiT(J151, ""🤙🏼"",FALSE,FALSE)"),50.0)</f>
        <v>50</v>
      </c>
      <c r="L151" s="5" t="str">
        <f>IFERROR(__xludf.DUMMYFUNCTION("""COMPUTED_VALUE"""),"Psycho")</f>
        <v>Psycho</v>
      </c>
      <c r="M151" s="5" t="str">
        <f>IFERROR(__xludf.DUMMYFUNCTION("""COMPUTED_VALUE"""),"Thriller")</f>
        <v>Thriller</v>
      </c>
      <c r="N151" s="5">
        <f>IFERROR(__xludf.DUMMYFUNCTION("""COMPUTED_VALUE"""),3.0)</f>
        <v>3</v>
      </c>
      <c r="S151" s="5">
        <f>IFERROR(__xludf.DUMMYFUNCTION("""COMPUTED_VALUE"""),59.0)</f>
        <v>59</v>
      </c>
      <c r="T151" s="5" t="str">
        <f>IFERROR(__xludf.DUMMYFUNCTION("""COMPUTED_VALUE"""),"Spider-Man: Into the Spider-Verse")</f>
        <v>Spider-Man: Into the Spider-Verse</v>
      </c>
      <c r="U151" s="5" t="str">
        <f>IFERROR(__xludf.DUMMYFUNCTION("""COMPUTED_VALUE"""),"Adventure")</f>
        <v>Adventure</v>
      </c>
      <c r="V151" s="5">
        <f>IFERROR(__xludf.DUMMYFUNCTION("""COMPUTED_VALUE"""),3.0)</f>
        <v>3</v>
      </c>
    </row>
    <row r="152">
      <c r="A152" s="1">
        <v>151.0</v>
      </c>
      <c r="B152" s="1" t="s">
        <v>1096</v>
      </c>
      <c r="C152" s="1" t="s">
        <v>1097</v>
      </c>
      <c r="D152" s="1"/>
      <c r="E152" s="1">
        <v>151.0</v>
      </c>
      <c r="F152" s="1" t="s">
        <v>1096</v>
      </c>
      <c r="G152" s="1" t="str">
        <f>IFERROR(__xludf.DUMMYFUNCTION("SPLIT(C152, "", "")"),"Drama")</f>
        <v>Drama</v>
      </c>
      <c r="H152" s="5" t="str">
        <f>IFERROR(__xludf.DUMMYFUNCTION("""COMPUTED_VALUE"""),"Fantasy")</f>
        <v>Fantasy</v>
      </c>
      <c r="I152" s="5" t="str">
        <f>IFERROR(__xludf.DUMMYFUNCTION("""COMPUTED_VALUE"""),"War")</f>
        <v>War</v>
      </c>
      <c r="J152" s="5" t="str">
        <f>IFERROR(__xludf.DUMMYFUNCTION("""COMPUTED_VALUE"""),"51🤙🏼Casablanca🤙🏼Drama🤙🏼1")</f>
        <v>51🤙🏼Casablanca🤙🏼Drama🤙🏼1</v>
      </c>
      <c r="K152" s="5">
        <f>IFERROR(__xludf.DUMMYFUNCTION("SPLiT(J152, ""🤙🏼"",FALSE,FALSE)"),51.0)</f>
        <v>51</v>
      </c>
      <c r="L152" s="5" t="str">
        <f>IFERROR(__xludf.DUMMYFUNCTION("""COMPUTED_VALUE"""),"Casablanca")</f>
        <v>Casablanca</v>
      </c>
      <c r="M152" s="5" t="str">
        <f>IFERROR(__xludf.DUMMYFUNCTION("""COMPUTED_VALUE"""),"Drama")</f>
        <v>Drama</v>
      </c>
      <c r="N152" s="5">
        <f>IFERROR(__xludf.DUMMYFUNCTION("""COMPUTED_VALUE"""),1.0)</f>
        <v>1</v>
      </c>
      <c r="S152" s="5">
        <f>IFERROR(__xludf.DUMMYFUNCTION("""COMPUTED_VALUE"""),60.0)</f>
        <v>60</v>
      </c>
      <c r="T152" s="5" t="str">
        <f>IFERROR(__xludf.DUMMYFUNCTION("""COMPUTED_VALUE"""),"Avengers: Endgame")</f>
        <v>Avengers: Endgame</v>
      </c>
      <c r="U152" s="5" t="str">
        <f>IFERROR(__xludf.DUMMYFUNCTION("""COMPUTED_VALUE"""),"Action")</f>
        <v>Action</v>
      </c>
      <c r="V152" s="5">
        <f>IFERROR(__xludf.DUMMYFUNCTION("""COMPUTED_VALUE"""),1.0)</f>
        <v>1</v>
      </c>
    </row>
    <row r="153">
      <c r="A153" s="1">
        <v>152.0</v>
      </c>
      <c r="B153" s="1" t="s">
        <v>1104</v>
      </c>
      <c r="C153" s="1" t="s">
        <v>765</v>
      </c>
      <c r="D153" s="1"/>
      <c r="E153" s="1">
        <v>152.0</v>
      </c>
      <c r="F153" s="1" t="s">
        <v>1104</v>
      </c>
      <c r="G153" s="1" t="str">
        <f>IFERROR(__xludf.DUMMYFUNCTION("SPLIT(C153, "", "")"),"Animation")</f>
        <v>Animation</v>
      </c>
      <c r="H153" s="5" t="str">
        <f>IFERROR(__xludf.DUMMYFUNCTION("""COMPUTED_VALUE"""),"Adventure")</f>
        <v>Adventure</v>
      </c>
      <c r="I153" s="5" t="str">
        <f>IFERROR(__xludf.DUMMYFUNCTION("""COMPUTED_VALUE"""),"Comedy")</f>
        <v>Comedy</v>
      </c>
      <c r="J153" s="5" t="str">
        <f>IFERROR(__xludf.DUMMYFUNCTION("""COMPUTED_VALUE"""),"51🤙🏼Casablanca🤙🏼Romance🤙🏼2")</f>
        <v>51🤙🏼Casablanca🤙🏼Romance🤙🏼2</v>
      </c>
      <c r="K153" s="5">
        <f>IFERROR(__xludf.DUMMYFUNCTION("SPLiT(J153, ""🤙🏼"",FALSE,FALSE)"),51.0)</f>
        <v>51</v>
      </c>
      <c r="L153" s="5" t="str">
        <f>IFERROR(__xludf.DUMMYFUNCTION("""COMPUTED_VALUE"""),"Casablanca")</f>
        <v>Casablanca</v>
      </c>
      <c r="M153" s="5" t="str">
        <f>IFERROR(__xludf.DUMMYFUNCTION("""COMPUTED_VALUE"""),"Romance")</f>
        <v>Romance</v>
      </c>
      <c r="N153" s="5">
        <f>IFERROR(__xludf.DUMMYFUNCTION("""COMPUTED_VALUE"""),2.0)</f>
        <v>2</v>
      </c>
      <c r="S153" s="5">
        <f>IFERROR(__xludf.DUMMYFUNCTION("""COMPUTED_VALUE"""),60.0)</f>
        <v>60</v>
      </c>
      <c r="T153" s="5" t="str">
        <f>IFERROR(__xludf.DUMMYFUNCTION("""COMPUTED_VALUE"""),"Avengers: Endgame")</f>
        <v>Avengers: Endgame</v>
      </c>
      <c r="U153" s="5" t="str">
        <f>IFERROR(__xludf.DUMMYFUNCTION("""COMPUTED_VALUE"""),"Adventure")</f>
        <v>Adventure</v>
      </c>
      <c r="V153" s="5">
        <f>IFERROR(__xludf.DUMMYFUNCTION("""COMPUTED_VALUE"""),2.0)</f>
        <v>2</v>
      </c>
    </row>
    <row r="154">
      <c r="A154" s="1">
        <v>153.0</v>
      </c>
      <c r="B154" s="1" t="s">
        <v>1108</v>
      </c>
      <c r="C154" s="1" t="s">
        <v>1109</v>
      </c>
      <c r="D154" s="1"/>
      <c r="E154" s="1">
        <v>153.0</v>
      </c>
      <c r="F154" s="1" t="s">
        <v>1108</v>
      </c>
      <c r="G154" s="1" t="str">
        <f>IFERROR(__xludf.DUMMYFUNCTION("SPLIT(C154, "", "")"),"Action")</f>
        <v>Action</v>
      </c>
      <c r="H154" s="5" t="str">
        <f>IFERROR(__xludf.DUMMYFUNCTION("""COMPUTED_VALUE"""),"Drama")</f>
        <v>Drama</v>
      </c>
      <c r="I154" s="5" t="str">
        <f>IFERROR(__xludf.DUMMYFUNCTION("""COMPUTED_VALUE"""),"Sci-Fi")</f>
        <v>Sci-Fi</v>
      </c>
      <c r="J154" s="5" t="str">
        <f>IFERROR(__xludf.DUMMYFUNCTION("""COMPUTED_VALUE"""),"51🤙🏼Casablanca🤙🏼War🤙🏼3")</f>
        <v>51🤙🏼Casablanca🤙🏼War🤙🏼3</v>
      </c>
      <c r="K154" s="5">
        <f>IFERROR(__xludf.DUMMYFUNCTION("SPLiT(J154, ""🤙🏼"",FALSE,FALSE)"),51.0)</f>
        <v>51</v>
      </c>
      <c r="L154" s="5" t="str">
        <f>IFERROR(__xludf.DUMMYFUNCTION("""COMPUTED_VALUE"""),"Casablanca")</f>
        <v>Casablanca</v>
      </c>
      <c r="M154" s="5" t="str">
        <f>IFERROR(__xludf.DUMMYFUNCTION("""COMPUTED_VALUE"""),"War")</f>
        <v>War</v>
      </c>
      <c r="N154" s="5">
        <f>IFERROR(__xludf.DUMMYFUNCTION("""COMPUTED_VALUE"""),3.0)</f>
        <v>3</v>
      </c>
      <c r="S154" s="5">
        <f>IFERROR(__xludf.DUMMYFUNCTION("""COMPUTED_VALUE"""),60.0)</f>
        <v>60</v>
      </c>
      <c r="T154" s="5" t="str">
        <f>IFERROR(__xludf.DUMMYFUNCTION("""COMPUTED_VALUE"""),"Avengers: Endgame")</f>
        <v>Avengers: Endgame</v>
      </c>
      <c r="U154" s="5" t="str">
        <f>IFERROR(__xludf.DUMMYFUNCTION("""COMPUTED_VALUE"""),"Drama")</f>
        <v>Drama</v>
      </c>
      <c r="V154" s="5">
        <f>IFERROR(__xludf.DUMMYFUNCTION("""COMPUTED_VALUE"""),3.0)</f>
        <v>3</v>
      </c>
    </row>
    <row r="155">
      <c r="A155" s="1">
        <v>154.0</v>
      </c>
      <c r="B155" s="1" t="s">
        <v>1115</v>
      </c>
      <c r="C155" s="1" t="s">
        <v>831</v>
      </c>
      <c r="D155" s="1"/>
      <c r="E155" s="1">
        <v>154.0</v>
      </c>
      <c r="F155" s="1" t="s">
        <v>1115</v>
      </c>
      <c r="G155" s="1" t="str">
        <f>IFERROR(__xludf.DUMMYFUNCTION("SPLIT(C155, "", "")"),"Comedy")</f>
        <v>Comedy</v>
      </c>
      <c r="H155" s="5" t="str">
        <f>IFERROR(__xludf.DUMMYFUNCTION("""COMPUTED_VALUE"""),"Crime")</f>
        <v>Crime</v>
      </c>
      <c r="I155" s="5" t="str">
        <f>IFERROR(__xludf.DUMMYFUNCTION("""COMPUTED_VALUE"""),"Drama")</f>
        <v>Drama</v>
      </c>
      <c r="J155" s="5" t="str">
        <f>IFERROR(__xludf.DUMMYFUNCTION("""COMPUTED_VALUE"""),"52🤙🏼Modern Times🤙🏼Comedy🤙🏼1")</f>
        <v>52🤙🏼Modern Times🤙🏼Comedy🤙🏼1</v>
      </c>
      <c r="K155" s="5">
        <f>IFERROR(__xludf.DUMMYFUNCTION("SPLiT(J155, ""🤙🏼"",FALSE,FALSE)"),52.0)</f>
        <v>52</v>
      </c>
      <c r="L155" s="5" t="str">
        <f>IFERROR(__xludf.DUMMYFUNCTION("""COMPUTED_VALUE"""),"Modern Times")</f>
        <v>Modern Times</v>
      </c>
      <c r="M155" s="5" t="str">
        <f>IFERROR(__xludf.DUMMYFUNCTION("""COMPUTED_VALUE"""),"Comedy")</f>
        <v>Comedy</v>
      </c>
      <c r="N155" s="5">
        <f>IFERROR(__xludf.DUMMYFUNCTION("""COMPUTED_VALUE"""),1.0)</f>
        <v>1</v>
      </c>
      <c r="S155" s="5">
        <f>IFERROR(__xludf.DUMMYFUNCTION("""COMPUTED_VALUE"""),61.0)</f>
        <v>61</v>
      </c>
      <c r="T155" s="5" t="str">
        <f>IFERROR(__xludf.DUMMYFUNCTION("""COMPUTED_VALUE"""),"Avengers: Infinity War")</f>
        <v>Avengers: Infinity War</v>
      </c>
      <c r="U155" s="5" t="str">
        <f>IFERROR(__xludf.DUMMYFUNCTION("""COMPUTED_VALUE"""),"Action")</f>
        <v>Action</v>
      </c>
      <c r="V155" s="5">
        <f>IFERROR(__xludf.DUMMYFUNCTION("""COMPUTED_VALUE"""),1.0)</f>
        <v>1</v>
      </c>
    </row>
    <row r="156">
      <c r="A156" s="1">
        <v>155.0</v>
      </c>
      <c r="B156" s="1" t="s">
        <v>1119</v>
      </c>
      <c r="C156" s="1" t="s">
        <v>20</v>
      </c>
      <c r="D156" s="1"/>
      <c r="E156" s="1">
        <v>155.0</v>
      </c>
      <c r="F156" s="1" t="s">
        <v>1119</v>
      </c>
      <c r="G156" s="1" t="str">
        <f>IFERROR(__xludf.DUMMYFUNCTION("SPLIT(C156, "", "")"),"Drama")</f>
        <v>Drama</v>
      </c>
      <c r="J156" s="5" t="str">
        <f>IFERROR(__xludf.DUMMYFUNCTION("""COMPUTED_VALUE"""),"52🤙🏼Modern Times🤙🏼Drama🤙🏼2")</f>
        <v>52🤙🏼Modern Times🤙🏼Drama🤙🏼2</v>
      </c>
      <c r="K156" s="5">
        <f>IFERROR(__xludf.DUMMYFUNCTION("SPLiT(J156, ""🤙🏼"",FALSE,FALSE)"),52.0)</f>
        <v>52</v>
      </c>
      <c r="L156" s="5" t="str">
        <f>IFERROR(__xludf.DUMMYFUNCTION("""COMPUTED_VALUE"""),"Modern Times")</f>
        <v>Modern Times</v>
      </c>
      <c r="M156" s="5" t="str">
        <f>IFERROR(__xludf.DUMMYFUNCTION("""COMPUTED_VALUE"""),"Drama")</f>
        <v>Drama</v>
      </c>
      <c r="N156" s="5">
        <f>IFERROR(__xludf.DUMMYFUNCTION("""COMPUTED_VALUE"""),2.0)</f>
        <v>2</v>
      </c>
      <c r="S156" s="5">
        <f>IFERROR(__xludf.DUMMYFUNCTION("""COMPUTED_VALUE"""),61.0)</f>
        <v>61</v>
      </c>
      <c r="T156" s="5" t="str">
        <f>IFERROR(__xludf.DUMMYFUNCTION("""COMPUTED_VALUE"""),"Avengers: Infinity War")</f>
        <v>Avengers: Infinity War</v>
      </c>
      <c r="U156" s="5" t="str">
        <f>IFERROR(__xludf.DUMMYFUNCTION("""COMPUTED_VALUE"""),"Adventure")</f>
        <v>Adventure</v>
      </c>
      <c r="V156" s="5">
        <f>IFERROR(__xludf.DUMMYFUNCTION("""COMPUTED_VALUE"""),2.0)</f>
        <v>2</v>
      </c>
    </row>
    <row r="157">
      <c r="A157" s="1">
        <v>156.0</v>
      </c>
      <c r="B157" s="1" t="s">
        <v>1125</v>
      </c>
      <c r="C157" s="1" t="s">
        <v>502</v>
      </c>
      <c r="D157" s="1"/>
      <c r="E157" s="1">
        <v>156.0</v>
      </c>
      <c r="F157" s="1" t="s">
        <v>1125</v>
      </c>
      <c r="G157" s="1" t="str">
        <f>IFERROR(__xludf.DUMMYFUNCTION("SPLIT(C157, "", "")"),"Action")</f>
        <v>Action</v>
      </c>
      <c r="H157" s="5" t="str">
        <f>IFERROR(__xludf.DUMMYFUNCTION("""COMPUTED_VALUE"""),"Adventure")</f>
        <v>Adventure</v>
      </c>
      <c r="J157" s="5" t="str">
        <f>IFERROR(__xludf.DUMMYFUNCTION("""COMPUTED_VALUE"""),"52🤙🏼Modern Times🤙🏼Family🤙🏼3")</f>
        <v>52🤙🏼Modern Times🤙🏼Family🤙🏼3</v>
      </c>
      <c r="K157" s="5">
        <f>IFERROR(__xludf.DUMMYFUNCTION("SPLiT(J157, ""🤙🏼"",FALSE,FALSE)"),52.0)</f>
        <v>52</v>
      </c>
      <c r="L157" s="5" t="str">
        <f>IFERROR(__xludf.DUMMYFUNCTION("""COMPUTED_VALUE"""),"Modern Times")</f>
        <v>Modern Times</v>
      </c>
      <c r="M157" s="5" t="str">
        <f>IFERROR(__xludf.DUMMYFUNCTION("""COMPUTED_VALUE"""),"Family")</f>
        <v>Family</v>
      </c>
      <c r="N157" s="5">
        <f>IFERROR(__xludf.DUMMYFUNCTION("""COMPUTED_VALUE"""),3.0)</f>
        <v>3</v>
      </c>
      <c r="S157" s="5">
        <f>IFERROR(__xludf.DUMMYFUNCTION("""COMPUTED_VALUE"""),61.0)</f>
        <v>61</v>
      </c>
      <c r="T157" s="5" t="str">
        <f>IFERROR(__xludf.DUMMYFUNCTION("""COMPUTED_VALUE"""),"Avengers: Infinity War")</f>
        <v>Avengers: Infinity War</v>
      </c>
      <c r="U157" s="5" t="str">
        <f>IFERROR(__xludf.DUMMYFUNCTION("""COMPUTED_VALUE"""),"Sci-Fi")</f>
        <v>Sci-Fi</v>
      </c>
      <c r="V157" s="5">
        <f>IFERROR(__xludf.DUMMYFUNCTION("""COMPUTED_VALUE"""),3.0)</f>
        <v>3</v>
      </c>
    </row>
    <row r="158">
      <c r="A158" s="1">
        <v>157.0</v>
      </c>
      <c r="B158" s="1" t="s">
        <v>1127</v>
      </c>
      <c r="C158" s="1" t="s">
        <v>20</v>
      </c>
      <c r="D158" s="1"/>
      <c r="E158" s="1">
        <v>157.0</v>
      </c>
      <c r="F158" s="1" t="s">
        <v>1127</v>
      </c>
      <c r="G158" s="1" t="str">
        <f>IFERROR(__xludf.DUMMYFUNCTION("SPLIT(C158, "", "")"),"Drama")</f>
        <v>Drama</v>
      </c>
      <c r="J158" s="5" t="str">
        <f>IFERROR(__xludf.DUMMYFUNCTION("""COMPUTED_VALUE"""),"53🤙🏼City Lights🤙🏼Comedy🤙🏼1")</f>
        <v>53🤙🏼City Lights🤙🏼Comedy🤙🏼1</v>
      </c>
      <c r="K158" s="5">
        <f>IFERROR(__xludf.DUMMYFUNCTION("SPLiT(J158, ""🤙🏼"",FALSE,FALSE)"),53.0)</f>
        <v>53</v>
      </c>
      <c r="L158" s="5" t="str">
        <f>IFERROR(__xludf.DUMMYFUNCTION("""COMPUTED_VALUE"""),"City Lights")</f>
        <v>City Lights</v>
      </c>
      <c r="M158" s="5" t="str">
        <f>IFERROR(__xludf.DUMMYFUNCTION("""COMPUTED_VALUE"""),"Comedy")</f>
        <v>Comedy</v>
      </c>
      <c r="N158" s="5">
        <f>IFERROR(__xludf.DUMMYFUNCTION("""COMPUTED_VALUE"""),1.0)</f>
        <v>1</v>
      </c>
      <c r="S158" s="5">
        <f>IFERROR(__xludf.DUMMYFUNCTION("""COMPUTED_VALUE"""),62.0)</f>
        <v>62</v>
      </c>
      <c r="T158" s="5" t="str">
        <f>IFERROR(__xludf.DUMMYFUNCTION("""COMPUTED_VALUE"""),"Coco")</f>
        <v>Coco</v>
      </c>
      <c r="U158" s="5" t="str">
        <f>IFERROR(__xludf.DUMMYFUNCTION("""COMPUTED_VALUE"""),"Animation")</f>
        <v>Animation</v>
      </c>
      <c r="V158" s="5">
        <f>IFERROR(__xludf.DUMMYFUNCTION("""COMPUTED_VALUE"""),1.0)</f>
        <v>1</v>
      </c>
    </row>
    <row r="159">
      <c r="A159" s="1">
        <v>158.0</v>
      </c>
      <c r="B159" s="1" t="s">
        <v>1134</v>
      </c>
      <c r="C159" s="1" t="s">
        <v>79</v>
      </c>
      <c r="D159" s="1"/>
      <c r="E159" s="1">
        <v>158.0</v>
      </c>
      <c r="F159" s="1" t="s">
        <v>1134</v>
      </c>
      <c r="G159" s="1" t="str">
        <f>IFERROR(__xludf.DUMMYFUNCTION("SPLIT(C159, "", "")"),"Biography")</f>
        <v>Biography</v>
      </c>
      <c r="H159" s="5" t="str">
        <f>IFERROR(__xludf.DUMMYFUNCTION("""COMPUTED_VALUE"""),"Drama")</f>
        <v>Drama</v>
      </c>
      <c r="I159" s="5" t="str">
        <f>IFERROR(__xludf.DUMMYFUNCTION("""COMPUTED_VALUE"""),"History")</f>
        <v>History</v>
      </c>
      <c r="J159" s="5" t="str">
        <f>IFERROR(__xludf.DUMMYFUNCTION("""COMPUTED_VALUE"""),"53🤙🏼City Lights🤙🏼Drama🤙🏼2")</f>
        <v>53🤙🏼City Lights🤙🏼Drama🤙🏼2</v>
      </c>
      <c r="K159" s="5">
        <f>IFERROR(__xludf.DUMMYFUNCTION("SPLiT(J159, ""🤙🏼"",FALSE,FALSE)"),53.0)</f>
        <v>53</v>
      </c>
      <c r="L159" s="5" t="str">
        <f>IFERROR(__xludf.DUMMYFUNCTION("""COMPUTED_VALUE"""),"City Lights")</f>
        <v>City Lights</v>
      </c>
      <c r="M159" s="5" t="str">
        <f>IFERROR(__xludf.DUMMYFUNCTION("""COMPUTED_VALUE"""),"Drama")</f>
        <v>Drama</v>
      </c>
      <c r="N159" s="5">
        <f>IFERROR(__xludf.DUMMYFUNCTION("""COMPUTED_VALUE"""),2.0)</f>
        <v>2</v>
      </c>
      <c r="S159" s="5">
        <f>IFERROR(__xludf.DUMMYFUNCTION("""COMPUTED_VALUE"""),62.0)</f>
        <v>62</v>
      </c>
      <c r="T159" s="5" t="str">
        <f>IFERROR(__xludf.DUMMYFUNCTION("""COMPUTED_VALUE"""),"Coco")</f>
        <v>Coco</v>
      </c>
      <c r="U159" s="5" t="str">
        <f>IFERROR(__xludf.DUMMYFUNCTION("""COMPUTED_VALUE"""),"Adventure")</f>
        <v>Adventure</v>
      </c>
      <c r="V159" s="5">
        <f>IFERROR(__xludf.DUMMYFUNCTION("""COMPUTED_VALUE"""),2.0)</f>
        <v>2</v>
      </c>
    </row>
    <row r="160">
      <c r="A160" s="1">
        <v>159.0</v>
      </c>
      <c r="B160" s="1" t="s">
        <v>1141</v>
      </c>
      <c r="C160" s="1" t="s">
        <v>204</v>
      </c>
      <c r="D160" s="1"/>
      <c r="E160" s="1">
        <v>159.0</v>
      </c>
      <c r="F160" s="1" t="s">
        <v>1141</v>
      </c>
      <c r="G160" s="1" t="str">
        <f>IFERROR(__xludf.DUMMYFUNCTION("SPLIT(C160, "", "")"),"Animation")</f>
        <v>Animation</v>
      </c>
      <c r="H160" s="5" t="str">
        <f>IFERROR(__xludf.DUMMYFUNCTION("""COMPUTED_VALUE"""),"Adventure")</f>
        <v>Adventure</v>
      </c>
      <c r="I160" s="5" t="str">
        <f>IFERROR(__xludf.DUMMYFUNCTION("""COMPUTED_VALUE"""),"Family")</f>
        <v>Family</v>
      </c>
      <c r="J160" s="5" t="str">
        <f>IFERROR(__xludf.DUMMYFUNCTION("""COMPUTED_VALUE"""),"53🤙🏼City Lights🤙🏼Romance🤙🏼3")</f>
        <v>53🤙🏼City Lights🤙🏼Romance🤙🏼3</v>
      </c>
      <c r="K160" s="5">
        <f>IFERROR(__xludf.DUMMYFUNCTION("SPLiT(J160, ""🤙🏼"",FALSE,FALSE)"),53.0)</f>
        <v>53</v>
      </c>
      <c r="L160" s="5" t="str">
        <f>IFERROR(__xludf.DUMMYFUNCTION("""COMPUTED_VALUE"""),"City Lights")</f>
        <v>City Lights</v>
      </c>
      <c r="M160" s="5" t="str">
        <f>IFERROR(__xludf.DUMMYFUNCTION("""COMPUTED_VALUE"""),"Romance")</f>
        <v>Romance</v>
      </c>
      <c r="N160" s="5">
        <f>IFERROR(__xludf.DUMMYFUNCTION("""COMPUTED_VALUE"""),3.0)</f>
        <v>3</v>
      </c>
      <c r="S160" s="5">
        <f>IFERROR(__xludf.DUMMYFUNCTION("""COMPUTED_VALUE"""),62.0)</f>
        <v>62</v>
      </c>
      <c r="T160" s="5" t="str">
        <f>IFERROR(__xludf.DUMMYFUNCTION("""COMPUTED_VALUE"""),"Coco")</f>
        <v>Coco</v>
      </c>
      <c r="U160" s="5" t="str">
        <f>IFERROR(__xludf.DUMMYFUNCTION("""COMPUTED_VALUE"""),"Family")</f>
        <v>Family</v>
      </c>
      <c r="V160" s="5">
        <f>IFERROR(__xludf.DUMMYFUNCTION("""COMPUTED_VALUE"""),3.0)</f>
        <v>3</v>
      </c>
    </row>
    <row r="161">
      <c r="A161" s="1">
        <v>160.0</v>
      </c>
      <c r="B161" s="1" t="s">
        <v>1147</v>
      </c>
      <c r="C161" s="1" t="s">
        <v>1148</v>
      </c>
      <c r="D161" s="1"/>
      <c r="E161" s="1">
        <v>160.0</v>
      </c>
      <c r="F161" s="1" t="s">
        <v>1147</v>
      </c>
      <c r="G161" s="1" t="str">
        <f>IFERROR(__xludf.DUMMYFUNCTION("SPLIT(C161, "", "")"),"Biography")</f>
        <v>Biography</v>
      </c>
      <c r="H161" s="5" t="str">
        <f>IFERROR(__xludf.DUMMYFUNCTION("""COMPUTED_VALUE"""),"Drama")</f>
        <v>Drama</v>
      </c>
      <c r="J161" s="5" t="str">
        <f>IFERROR(__xludf.DUMMYFUNCTION("""COMPUTED_VALUE"""),"54🤙🏼Capharnaüm🤙🏼Drama🤙🏼1")</f>
        <v>54🤙🏼Capharnaüm🤙🏼Drama🤙🏼1</v>
      </c>
      <c r="K161" s="5">
        <f>IFERROR(__xludf.DUMMYFUNCTION("SPLiT(J161, ""🤙🏼"",FALSE,FALSE)"),54.0)</f>
        <v>54</v>
      </c>
      <c r="L161" s="5" t="str">
        <f>IFERROR(__xludf.DUMMYFUNCTION("""COMPUTED_VALUE"""),"Capharnaüm")</f>
        <v>Capharnaüm</v>
      </c>
      <c r="M161" s="5" t="str">
        <f>IFERROR(__xludf.DUMMYFUNCTION("""COMPUTED_VALUE"""),"Drama")</f>
        <v>Drama</v>
      </c>
      <c r="N161" s="5">
        <f>IFERROR(__xludf.DUMMYFUNCTION("""COMPUTED_VALUE"""),1.0)</f>
        <v>1</v>
      </c>
      <c r="S161" s="5">
        <f>IFERROR(__xludf.DUMMYFUNCTION("""COMPUTED_VALUE"""),63.0)</f>
        <v>63</v>
      </c>
      <c r="T161" s="5" t="str">
        <f>IFERROR(__xludf.DUMMYFUNCTION("""COMPUTED_VALUE"""),"Django Unchained")</f>
        <v>Django Unchained</v>
      </c>
      <c r="U161" s="5" t="str">
        <f>IFERROR(__xludf.DUMMYFUNCTION("""COMPUTED_VALUE"""),"Drama")</f>
        <v>Drama</v>
      </c>
      <c r="V161" s="5">
        <f>IFERROR(__xludf.DUMMYFUNCTION("""COMPUTED_VALUE"""),1.0)</f>
        <v>1</v>
      </c>
    </row>
    <row r="162">
      <c r="A162" s="1">
        <v>161.0</v>
      </c>
      <c r="B162" s="1" t="s">
        <v>1153</v>
      </c>
      <c r="C162" s="1" t="s">
        <v>1029</v>
      </c>
      <c r="D162" s="1"/>
      <c r="E162" s="1">
        <v>161.0</v>
      </c>
      <c r="F162" s="1" t="s">
        <v>1153</v>
      </c>
      <c r="G162" s="1" t="str">
        <f>IFERROR(__xludf.DUMMYFUNCTION("SPLIT(C162, "", "")"),"Action")</f>
        <v>Action</v>
      </c>
      <c r="H162" s="5" t="str">
        <f>IFERROR(__xludf.DUMMYFUNCTION("""COMPUTED_VALUE"""),"Comedy")</f>
        <v>Comedy</v>
      </c>
      <c r="I162" s="5" t="str">
        <f>IFERROR(__xludf.DUMMYFUNCTION("""COMPUTED_VALUE"""),"Crime")</f>
        <v>Crime</v>
      </c>
      <c r="J162" s="5" t="str">
        <f>IFERROR(__xludf.DUMMYFUNCTION("""COMPUTED_VALUE"""),"54🤙🏼Capharnaüm🤙🏼🤙🏼2")</f>
        <v>54🤙🏼Capharnaüm🤙🏼🤙🏼2</v>
      </c>
      <c r="K162" s="5">
        <f>IFERROR(__xludf.DUMMYFUNCTION("SPLiT(J162, ""🤙🏼"",FALSE,FALSE)"),54.0)</f>
        <v>54</v>
      </c>
      <c r="L162" s="5" t="str">
        <f>IFERROR(__xludf.DUMMYFUNCTION("""COMPUTED_VALUE"""),"Capharnaüm")</f>
        <v>Capharnaüm</v>
      </c>
      <c r="M162" s="5"/>
      <c r="N162" s="5">
        <f>IFERROR(__xludf.DUMMYFUNCTION("""COMPUTED_VALUE"""),2.0)</f>
        <v>2</v>
      </c>
      <c r="S162" s="5">
        <f>IFERROR(__xludf.DUMMYFUNCTION("""COMPUTED_VALUE"""),63.0)</f>
        <v>63</v>
      </c>
      <c r="T162" s="5" t="str">
        <f>IFERROR(__xludf.DUMMYFUNCTION("""COMPUTED_VALUE"""),"Django Unchained")</f>
        <v>Django Unchained</v>
      </c>
      <c r="U162" s="5" t="str">
        <f>IFERROR(__xludf.DUMMYFUNCTION("""COMPUTED_VALUE"""),"Western")</f>
        <v>Western</v>
      </c>
      <c r="V162" s="5">
        <f>IFERROR(__xludf.DUMMYFUNCTION("""COMPUTED_VALUE"""),2.0)</f>
        <v>2</v>
      </c>
    </row>
    <row r="163">
      <c r="A163" s="1">
        <v>162.0</v>
      </c>
      <c r="B163" s="1" t="s">
        <v>1158</v>
      </c>
      <c r="C163" s="1" t="s">
        <v>1029</v>
      </c>
      <c r="D163" s="1"/>
      <c r="E163" s="1">
        <v>162.0</v>
      </c>
      <c r="F163" s="1" t="s">
        <v>1158</v>
      </c>
      <c r="G163" s="1" t="str">
        <f>IFERROR(__xludf.DUMMYFUNCTION("SPLIT(C163, "", "")"),"Action")</f>
        <v>Action</v>
      </c>
      <c r="H163" s="5" t="str">
        <f>IFERROR(__xludf.DUMMYFUNCTION("""COMPUTED_VALUE"""),"Comedy")</f>
        <v>Comedy</v>
      </c>
      <c r="I163" s="5" t="str">
        <f>IFERROR(__xludf.DUMMYFUNCTION("""COMPUTED_VALUE"""),"Crime")</f>
        <v>Crime</v>
      </c>
      <c r="J163" s="5" t="str">
        <f>IFERROR(__xludf.DUMMYFUNCTION("""COMPUTED_VALUE"""),"54🤙🏼Capharnaüm🤙🏼🤙🏼3")</f>
        <v>54🤙🏼Capharnaüm🤙🏼🤙🏼3</v>
      </c>
      <c r="K163" s="5">
        <f>IFERROR(__xludf.DUMMYFUNCTION("SPLiT(J163, ""🤙🏼"",FALSE,FALSE)"),54.0)</f>
        <v>54</v>
      </c>
      <c r="L163" s="5" t="str">
        <f>IFERROR(__xludf.DUMMYFUNCTION("""COMPUTED_VALUE"""),"Capharnaüm")</f>
        <v>Capharnaüm</v>
      </c>
      <c r="M163" s="5"/>
      <c r="N163" s="5">
        <f>IFERROR(__xludf.DUMMYFUNCTION("""COMPUTED_VALUE"""),3.0)</f>
        <v>3</v>
      </c>
      <c r="S163" s="5">
        <f>IFERROR(__xludf.DUMMYFUNCTION("""COMPUTED_VALUE"""),64.0)</f>
        <v>64</v>
      </c>
      <c r="T163" s="5" t="str">
        <f>IFERROR(__xludf.DUMMYFUNCTION("""COMPUTED_VALUE"""),"The Dark Knight Rises")</f>
        <v>The Dark Knight Rises</v>
      </c>
      <c r="U163" s="5" t="str">
        <f>IFERROR(__xludf.DUMMYFUNCTION("""COMPUTED_VALUE"""),"Action")</f>
        <v>Action</v>
      </c>
      <c r="V163" s="5">
        <f>IFERROR(__xludf.DUMMYFUNCTION("""COMPUTED_VALUE"""),1.0)</f>
        <v>1</v>
      </c>
    </row>
    <row r="164">
      <c r="A164" s="1">
        <v>163.0</v>
      </c>
      <c r="B164" s="1" t="s">
        <v>1163</v>
      </c>
      <c r="C164" s="1" t="s">
        <v>235</v>
      </c>
      <c r="D164" s="1"/>
      <c r="E164" s="1">
        <v>163.0</v>
      </c>
      <c r="F164" s="1" t="s">
        <v>1163</v>
      </c>
      <c r="G164" s="1" t="str">
        <f>IFERROR(__xludf.DUMMYFUNCTION("SPLIT(C164, "", "")"),"Crime")</f>
        <v>Crime</v>
      </c>
      <c r="H164" s="5" t="str">
        <f>IFERROR(__xludf.DUMMYFUNCTION("""COMPUTED_VALUE"""),"Drama")</f>
        <v>Drama</v>
      </c>
      <c r="I164" s="5" t="str">
        <f>IFERROR(__xludf.DUMMYFUNCTION("""COMPUTED_VALUE"""),"Mystery")</f>
        <v>Mystery</v>
      </c>
      <c r="J164" s="5" t="str">
        <f>IFERROR(__xludf.DUMMYFUNCTION("""COMPUTED_VALUE"""),"55🤙🏼Ayla: The Daughter of War🤙🏼Biography🤙🏼1")</f>
        <v>55🤙🏼Ayla: The Daughter of War🤙🏼Biography🤙🏼1</v>
      </c>
      <c r="K164" s="5">
        <f>IFERROR(__xludf.DUMMYFUNCTION("SPLiT(J164, ""🤙🏼"",FALSE,FALSE)"),55.0)</f>
        <v>55</v>
      </c>
      <c r="L164" s="5" t="str">
        <f>IFERROR(__xludf.DUMMYFUNCTION("""COMPUTED_VALUE"""),"Ayla: The Daughter of War")</f>
        <v>Ayla: The Daughter of War</v>
      </c>
      <c r="M164" s="5" t="str">
        <f>IFERROR(__xludf.DUMMYFUNCTION("""COMPUTED_VALUE"""),"Biography")</f>
        <v>Biography</v>
      </c>
      <c r="N164" s="5">
        <f>IFERROR(__xludf.DUMMYFUNCTION("""COMPUTED_VALUE"""),1.0)</f>
        <v>1</v>
      </c>
      <c r="S164" s="5">
        <f>IFERROR(__xludf.DUMMYFUNCTION("""COMPUTED_VALUE"""),64.0)</f>
        <v>64</v>
      </c>
      <c r="T164" s="5" t="str">
        <f>IFERROR(__xludf.DUMMYFUNCTION("""COMPUTED_VALUE"""),"The Dark Knight Rises")</f>
        <v>The Dark Knight Rises</v>
      </c>
      <c r="U164" s="5" t="str">
        <f>IFERROR(__xludf.DUMMYFUNCTION("""COMPUTED_VALUE"""),"Adventure")</f>
        <v>Adventure</v>
      </c>
      <c r="V164" s="5">
        <f>IFERROR(__xludf.DUMMYFUNCTION("""COMPUTED_VALUE"""),2.0)</f>
        <v>2</v>
      </c>
    </row>
    <row r="165">
      <c r="A165" s="1">
        <v>164.0</v>
      </c>
      <c r="B165" s="1" t="s">
        <v>1167</v>
      </c>
      <c r="C165" s="1" t="s">
        <v>241</v>
      </c>
      <c r="D165" s="1"/>
      <c r="E165" s="1">
        <v>164.0</v>
      </c>
      <c r="F165" s="1" t="s">
        <v>1167</v>
      </c>
      <c r="G165" s="1" t="str">
        <f>IFERROR(__xludf.DUMMYFUNCTION("SPLIT(C165, "", "")"),"Crime")</f>
        <v>Crime</v>
      </c>
      <c r="H165" s="5" t="str">
        <f>IFERROR(__xludf.DUMMYFUNCTION("""COMPUTED_VALUE"""),"Drama")</f>
        <v>Drama</v>
      </c>
      <c r="I165" s="5" t="str">
        <f>IFERROR(__xludf.DUMMYFUNCTION("""COMPUTED_VALUE"""),"Thriller")</f>
        <v>Thriller</v>
      </c>
      <c r="J165" s="5" t="str">
        <f>IFERROR(__xludf.DUMMYFUNCTION("""COMPUTED_VALUE"""),"55🤙🏼Ayla: The Daughter of War🤙🏼Drama🤙🏼2")</f>
        <v>55🤙🏼Ayla: The Daughter of War🤙🏼Drama🤙🏼2</v>
      </c>
      <c r="K165" s="5">
        <f>IFERROR(__xludf.DUMMYFUNCTION("SPLiT(J165, ""🤙🏼"",FALSE,FALSE)"),55.0)</f>
        <v>55</v>
      </c>
      <c r="L165" s="5" t="str">
        <f>IFERROR(__xludf.DUMMYFUNCTION("""COMPUTED_VALUE"""),"Ayla: The Daughter of War")</f>
        <v>Ayla: The Daughter of War</v>
      </c>
      <c r="M165" s="5" t="str">
        <f>IFERROR(__xludf.DUMMYFUNCTION("""COMPUTED_VALUE"""),"Drama")</f>
        <v>Drama</v>
      </c>
      <c r="N165" s="5">
        <f>IFERROR(__xludf.DUMMYFUNCTION("""COMPUTED_VALUE"""),2.0)</f>
        <v>2</v>
      </c>
      <c r="S165" s="5">
        <f>IFERROR(__xludf.DUMMYFUNCTION("""COMPUTED_VALUE"""),65.0)</f>
        <v>65</v>
      </c>
      <c r="T165" s="5" t="str">
        <f>IFERROR(__xludf.DUMMYFUNCTION("""COMPUTED_VALUE"""),"3 Idiots")</f>
        <v>3 Idiots</v>
      </c>
      <c r="U165" s="5" t="str">
        <f>IFERROR(__xludf.DUMMYFUNCTION("""COMPUTED_VALUE"""),"Comedy")</f>
        <v>Comedy</v>
      </c>
      <c r="V165" s="5">
        <f>IFERROR(__xludf.DUMMYFUNCTION("""COMPUTED_VALUE"""),1.0)</f>
        <v>1</v>
      </c>
    </row>
    <row r="166">
      <c r="A166" s="1">
        <v>165.0</v>
      </c>
      <c r="B166" s="1" t="s">
        <v>1174</v>
      </c>
      <c r="C166" s="1" t="s">
        <v>241</v>
      </c>
      <c r="D166" s="1"/>
      <c r="E166" s="1">
        <v>165.0</v>
      </c>
      <c r="F166" s="1" t="s">
        <v>1174</v>
      </c>
      <c r="G166" s="1" t="str">
        <f>IFERROR(__xludf.DUMMYFUNCTION("SPLIT(C166, "", "")"),"Crime")</f>
        <v>Crime</v>
      </c>
      <c r="H166" s="5" t="str">
        <f>IFERROR(__xludf.DUMMYFUNCTION("""COMPUTED_VALUE"""),"Drama")</f>
        <v>Drama</v>
      </c>
      <c r="I166" s="5" t="str">
        <f>IFERROR(__xludf.DUMMYFUNCTION("""COMPUTED_VALUE"""),"Thriller")</f>
        <v>Thriller</v>
      </c>
      <c r="J166" s="5" t="str">
        <f>IFERROR(__xludf.DUMMYFUNCTION("""COMPUTED_VALUE"""),"55🤙🏼Ayla: The Daughter of War🤙🏼History🤙🏼3")</f>
        <v>55🤙🏼Ayla: The Daughter of War🤙🏼History🤙🏼3</v>
      </c>
      <c r="K166" s="5">
        <f>IFERROR(__xludf.DUMMYFUNCTION("SPLiT(J166, ""🤙🏼"",FALSE,FALSE)"),55.0)</f>
        <v>55</v>
      </c>
      <c r="L166" s="5" t="str">
        <f>IFERROR(__xludf.DUMMYFUNCTION("""COMPUTED_VALUE"""),"Ayla: The Daughter of War")</f>
        <v>Ayla: The Daughter of War</v>
      </c>
      <c r="M166" s="5" t="str">
        <f>IFERROR(__xludf.DUMMYFUNCTION("""COMPUTED_VALUE"""),"History")</f>
        <v>History</v>
      </c>
      <c r="N166" s="5">
        <f>IFERROR(__xludf.DUMMYFUNCTION("""COMPUTED_VALUE"""),3.0)</f>
        <v>3</v>
      </c>
      <c r="S166" s="5">
        <f>IFERROR(__xludf.DUMMYFUNCTION("""COMPUTED_VALUE"""),65.0)</f>
        <v>65</v>
      </c>
      <c r="T166" s="5" t="str">
        <f>IFERROR(__xludf.DUMMYFUNCTION("""COMPUTED_VALUE"""),"3 Idiots")</f>
        <v>3 Idiots</v>
      </c>
      <c r="U166" s="5" t="str">
        <f>IFERROR(__xludf.DUMMYFUNCTION("""COMPUTED_VALUE"""),"Drama")</f>
        <v>Drama</v>
      </c>
      <c r="V166" s="5">
        <f>IFERROR(__xludf.DUMMYFUNCTION("""COMPUTED_VALUE"""),2.0)</f>
        <v>2</v>
      </c>
    </row>
    <row r="167">
      <c r="A167" s="1">
        <v>166.0</v>
      </c>
      <c r="B167" s="1" t="s">
        <v>1179</v>
      </c>
      <c r="C167" s="1" t="s">
        <v>29</v>
      </c>
      <c r="D167" s="1"/>
      <c r="E167" s="1">
        <v>166.0</v>
      </c>
      <c r="F167" s="1" t="s">
        <v>1179</v>
      </c>
      <c r="G167" s="1" t="str">
        <f>IFERROR(__xludf.DUMMYFUNCTION("SPLIT(C167, "", "")"),"Crime")</f>
        <v>Crime</v>
      </c>
      <c r="H167" s="5" t="str">
        <f>IFERROR(__xludf.DUMMYFUNCTION("""COMPUTED_VALUE"""),"Drama")</f>
        <v>Drama</v>
      </c>
      <c r="J167" s="5" t="str">
        <f>IFERROR(__xludf.DUMMYFUNCTION("""COMPUTED_VALUE"""),"56🤙🏼Vikram Vedha🤙🏼Action🤙🏼1")</f>
        <v>56🤙🏼Vikram Vedha🤙🏼Action🤙🏼1</v>
      </c>
      <c r="K167" s="5">
        <f>IFERROR(__xludf.DUMMYFUNCTION("SPLiT(J167, ""🤙🏼"",FALSE,FALSE)"),56.0)</f>
        <v>56</v>
      </c>
      <c r="L167" s="5" t="str">
        <f>IFERROR(__xludf.DUMMYFUNCTION("""COMPUTED_VALUE"""),"Vikram Vedha")</f>
        <v>Vikram Vedha</v>
      </c>
      <c r="M167" s="5" t="str">
        <f>IFERROR(__xludf.DUMMYFUNCTION("""COMPUTED_VALUE"""),"Action")</f>
        <v>Action</v>
      </c>
      <c r="N167" s="5">
        <f>IFERROR(__xludf.DUMMYFUNCTION("""COMPUTED_VALUE"""),1.0)</f>
        <v>1</v>
      </c>
      <c r="S167" s="5">
        <f>IFERROR(__xludf.DUMMYFUNCTION("""COMPUTED_VALUE"""),66.0)</f>
        <v>66</v>
      </c>
      <c r="T167" s="5" t="str">
        <f>IFERROR(__xludf.DUMMYFUNCTION("""COMPUTED_VALUE"""),"Taare Zameen Par")</f>
        <v>Taare Zameen Par</v>
      </c>
      <c r="U167" s="5" t="str">
        <f>IFERROR(__xludf.DUMMYFUNCTION("""COMPUTED_VALUE"""),"Drama")</f>
        <v>Drama</v>
      </c>
      <c r="V167" s="5">
        <f>IFERROR(__xludf.DUMMYFUNCTION("""COMPUTED_VALUE"""),1.0)</f>
        <v>1</v>
      </c>
    </row>
    <row r="168">
      <c r="A168" s="1">
        <v>167.0</v>
      </c>
      <c r="B168" s="1" t="s">
        <v>1182</v>
      </c>
      <c r="C168" s="1" t="s">
        <v>1183</v>
      </c>
      <c r="D168" s="1"/>
      <c r="E168" s="1">
        <v>167.0</v>
      </c>
      <c r="F168" s="1" t="s">
        <v>1182</v>
      </c>
      <c r="G168" s="1" t="str">
        <f>IFERROR(__xludf.DUMMYFUNCTION("SPLIT(C168, "", "")"),"Action")</f>
        <v>Action</v>
      </c>
      <c r="H168" s="5" t="str">
        <f>IFERROR(__xludf.DUMMYFUNCTION("""COMPUTED_VALUE"""),"Comedy")</f>
        <v>Comedy</v>
      </c>
      <c r="I168" s="5" t="str">
        <f>IFERROR(__xludf.DUMMYFUNCTION("""COMPUTED_VALUE"""),"Romance")</f>
        <v>Romance</v>
      </c>
      <c r="J168" s="5" t="str">
        <f>IFERROR(__xludf.DUMMYFUNCTION("""COMPUTED_VALUE"""),"56🤙🏼Vikram Vedha🤙🏼Crime🤙🏼2")</f>
        <v>56🤙🏼Vikram Vedha🤙🏼Crime🤙🏼2</v>
      </c>
      <c r="K168" s="5">
        <f>IFERROR(__xludf.DUMMYFUNCTION("SPLiT(J168, ""🤙🏼"",FALSE,FALSE)"),56.0)</f>
        <v>56</v>
      </c>
      <c r="L168" s="5" t="str">
        <f>IFERROR(__xludf.DUMMYFUNCTION("""COMPUTED_VALUE"""),"Vikram Vedha")</f>
        <v>Vikram Vedha</v>
      </c>
      <c r="M168" s="5" t="str">
        <f>IFERROR(__xludf.DUMMYFUNCTION("""COMPUTED_VALUE"""),"Crime")</f>
        <v>Crime</v>
      </c>
      <c r="N168" s="5">
        <f>IFERROR(__xludf.DUMMYFUNCTION("""COMPUTED_VALUE"""),2.0)</f>
        <v>2</v>
      </c>
      <c r="S168" s="5">
        <f>IFERROR(__xludf.DUMMYFUNCTION("""COMPUTED_VALUE"""),66.0)</f>
        <v>66</v>
      </c>
      <c r="T168" s="5" t="str">
        <f>IFERROR(__xludf.DUMMYFUNCTION("""COMPUTED_VALUE"""),"Taare Zameen Par")</f>
        <v>Taare Zameen Par</v>
      </c>
      <c r="U168" s="5" t="str">
        <f>IFERROR(__xludf.DUMMYFUNCTION("""COMPUTED_VALUE"""),"Family")</f>
        <v>Family</v>
      </c>
      <c r="V168" s="5">
        <f>IFERROR(__xludf.DUMMYFUNCTION("""COMPUTED_VALUE"""),2.0)</f>
        <v>2</v>
      </c>
    </row>
    <row r="169">
      <c r="A169" s="1">
        <v>168.0</v>
      </c>
      <c r="B169" s="1" t="s">
        <v>1189</v>
      </c>
      <c r="C169" s="1" t="s">
        <v>495</v>
      </c>
      <c r="D169" s="1"/>
      <c r="E169" s="1">
        <v>168.0</v>
      </c>
      <c r="F169" s="1" t="s">
        <v>1189</v>
      </c>
      <c r="G169" s="1" t="str">
        <f>IFERROR(__xludf.DUMMYFUNCTION("SPLIT(C169, "", "")"),"Drama")</f>
        <v>Drama</v>
      </c>
      <c r="H169" s="5" t="str">
        <f>IFERROR(__xludf.DUMMYFUNCTION("""COMPUTED_VALUE"""),"Western")</f>
        <v>Western</v>
      </c>
      <c r="J169" s="5" t="str">
        <f>IFERROR(__xludf.DUMMYFUNCTION("""COMPUTED_VALUE"""),"56🤙🏼Vikram Vedha🤙🏼Drama🤙🏼3")</f>
        <v>56🤙🏼Vikram Vedha🤙🏼Drama🤙🏼3</v>
      </c>
      <c r="K169" s="5">
        <f>IFERROR(__xludf.DUMMYFUNCTION("SPLiT(J169, ""🤙🏼"",FALSE,FALSE)"),56.0)</f>
        <v>56</v>
      </c>
      <c r="L169" s="5" t="str">
        <f>IFERROR(__xludf.DUMMYFUNCTION("""COMPUTED_VALUE"""),"Vikram Vedha")</f>
        <v>Vikram Vedha</v>
      </c>
      <c r="M169" s="5" t="str">
        <f>IFERROR(__xludf.DUMMYFUNCTION("""COMPUTED_VALUE"""),"Drama")</f>
        <v>Drama</v>
      </c>
      <c r="N169" s="5">
        <f>IFERROR(__xludf.DUMMYFUNCTION("""COMPUTED_VALUE"""),3.0)</f>
        <v>3</v>
      </c>
      <c r="S169" s="5">
        <f>IFERROR(__xludf.DUMMYFUNCTION("""COMPUTED_VALUE"""),67.0)</f>
        <v>67</v>
      </c>
      <c r="T169" s="5" t="str">
        <f>IFERROR(__xludf.DUMMYFUNCTION("""COMPUTED_VALUE"""),"WALL·E")</f>
        <v>WALL·E</v>
      </c>
      <c r="U169" s="5" t="str">
        <f>IFERROR(__xludf.DUMMYFUNCTION("""COMPUTED_VALUE"""),"Animation")</f>
        <v>Animation</v>
      </c>
      <c r="V169" s="5">
        <f>IFERROR(__xludf.DUMMYFUNCTION("""COMPUTED_VALUE"""),1.0)</f>
        <v>1</v>
      </c>
    </row>
    <row r="170">
      <c r="A170" s="1">
        <v>169.0</v>
      </c>
      <c r="B170" s="1" t="s">
        <v>1193</v>
      </c>
      <c r="C170" s="1" t="s">
        <v>502</v>
      </c>
      <c r="D170" s="1"/>
      <c r="E170" s="1">
        <v>169.0</v>
      </c>
      <c r="F170" s="1" t="s">
        <v>1193</v>
      </c>
      <c r="G170" s="1" t="str">
        <f>IFERROR(__xludf.DUMMYFUNCTION("SPLIT(C170, "", "")"),"Action")</f>
        <v>Action</v>
      </c>
      <c r="H170" s="5" t="str">
        <f>IFERROR(__xludf.DUMMYFUNCTION("""COMPUTED_VALUE"""),"Adventure")</f>
        <v>Adventure</v>
      </c>
      <c r="J170" s="5" t="str">
        <f>IFERROR(__xludf.DUMMYFUNCTION("""COMPUTED_VALUE"""),"57🤙🏼Kimi no na wa.🤙🏼Animation🤙🏼1")</f>
        <v>57🤙🏼Kimi no na wa.🤙🏼Animation🤙🏼1</v>
      </c>
      <c r="K170" s="5">
        <f>IFERROR(__xludf.DUMMYFUNCTION("SPLiT(J170, ""🤙🏼"",FALSE,FALSE)"),57.0)</f>
        <v>57</v>
      </c>
      <c r="L170" s="5" t="str">
        <f>IFERROR(__xludf.DUMMYFUNCTION("""COMPUTED_VALUE"""),"Kimi no na wa.")</f>
        <v>Kimi no na wa.</v>
      </c>
      <c r="M170" s="5" t="str">
        <f>IFERROR(__xludf.DUMMYFUNCTION("""COMPUTED_VALUE"""),"Animation")</f>
        <v>Animation</v>
      </c>
      <c r="N170" s="5">
        <f>IFERROR(__xludf.DUMMYFUNCTION("""COMPUTED_VALUE"""),1.0)</f>
        <v>1</v>
      </c>
      <c r="S170" s="5">
        <f>IFERROR(__xludf.DUMMYFUNCTION("""COMPUTED_VALUE"""),67.0)</f>
        <v>67</v>
      </c>
      <c r="T170" s="5" t="str">
        <f>IFERROR(__xludf.DUMMYFUNCTION("""COMPUTED_VALUE"""),"WALL·E")</f>
        <v>WALL·E</v>
      </c>
      <c r="U170" s="5" t="str">
        <f>IFERROR(__xludf.DUMMYFUNCTION("""COMPUTED_VALUE"""),"Adventure")</f>
        <v>Adventure</v>
      </c>
      <c r="V170" s="5">
        <f>IFERROR(__xludf.DUMMYFUNCTION("""COMPUTED_VALUE"""),2.0)</f>
        <v>2</v>
      </c>
    </row>
    <row r="171">
      <c r="A171" s="1">
        <v>170.0</v>
      </c>
      <c r="B171" s="1" t="s">
        <v>1198</v>
      </c>
      <c r="C171" s="1" t="s">
        <v>831</v>
      </c>
      <c r="D171" s="1"/>
      <c r="E171" s="1">
        <v>170.0</v>
      </c>
      <c r="F171" s="1" t="s">
        <v>1198</v>
      </c>
      <c r="G171" s="1" t="str">
        <f>IFERROR(__xludf.DUMMYFUNCTION("SPLIT(C171, "", "")"),"Comedy")</f>
        <v>Comedy</v>
      </c>
      <c r="H171" s="5" t="str">
        <f>IFERROR(__xludf.DUMMYFUNCTION("""COMPUTED_VALUE"""),"Crime")</f>
        <v>Crime</v>
      </c>
      <c r="I171" s="5" t="str">
        <f>IFERROR(__xludf.DUMMYFUNCTION("""COMPUTED_VALUE"""),"Drama")</f>
        <v>Drama</v>
      </c>
      <c r="J171" s="5" t="str">
        <f>IFERROR(__xludf.DUMMYFUNCTION("""COMPUTED_VALUE"""),"57🤙🏼Kimi no na wa.🤙🏼Drama🤙🏼2")</f>
        <v>57🤙🏼Kimi no na wa.🤙🏼Drama🤙🏼2</v>
      </c>
      <c r="K171" s="5">
        <f>IFERROR(__xludf.DUMMYFUNCTION("SPLiT(J171, ""🤙🏼"",FALSE,FALSE)"),57.0)</f>
        <v>57</v>
      </c>
      <c r="L171" s="5" t="str">
        <f>IFERROR(__xludf.DUMMYFUNCTION("""COMPUTED_VALUE"""),"Kimi no na wa.")</f>
        <v>Kimi no na wa.</v>
      </c>
      <c r="M171" s="5" t="str">
        <f>IFERROR(__xludf.DUMMYFUNCTION("""COMPUTED_VALUE"""),"Drama")</f>
        <v>Drama</v>
      </c>
      <c r="N171" s="5">
        <f>IFERROR(__xludf.DUMMYFUNCTION("""COMPUTED_VALUE"""),2.0)</f>
        <v>2</v>
      </c>
      <c r="S171" s="5">
        <f>IFERROR(__xludf.DUMMYFUNCTION("""COMPUTED_VALUE"""),67.0)</f>
        <v>67</v>
      </c>
      <c r="T171" s="5" t="str">
        <f>IFERROR(__xludf.DUMMYFUNCTION("""COMPUTED_VALUE"""),"WALL·E")</f>
        <v>WALL·E</v>
      </c>
      <c r="U171" s="5" t="str">
        <f>IFERROR(__xludf.DUMMYFUNCTION("""COMPUTED_VALUE"""),"Family")</f>
        <v>Family</v>
      </c>
      <c r="V171" s="5">
        <f>IFERROR(__xludf.DUMMYFUNCTION("""COMPUTED_VALUE"""),3.0)</f>
        <v>3</v>
      </c>
    </row>
    <row r="172">
      <c r="A172" s="1">
        <v>171.0</v>
      </c>
      <c r="B172" s="1" t="s">
        <v>1205</v>
      </c>
      <c r="C172" s="1" t="s">
        <v>1207</v>
      </c>
      <c r="D172" s="1"/>
      <c r="E172" s="1">
        <v>171.0</v>
      </c>
      <c r="F172" s="1" t="s">
        <v>1205</v>
      </c>
      <c r="G172" s="1" t="str">
        <f>IFERROR(__xludf.DUMMYFUNCTION("SPLIT(C172, "", "")"),"Animation")</f>
        <v>Animation</v>
      </c>
      <c r="H172" s="5" t="str">
        <f>IFERROR(__xludf.DUMMYFUNCTION("""COMPUTED_VALUE"""),"Family")</f>
        <v>Family</v>
      </c>
      <c r="I172" s="5" t="str">
        <f>IFERROR(__xludf.DUMMYFUNCTION("""COMPUTED_VALUE"""),"Fantasy")</f>
        <v>Fantasy</v>
      </c>
      <c r="J172" s="5" t="str">
        <f>IFERROR(__xludf.DUMMYFUNCTION("""COMPUTED_VALUE"""),"57🤙🏼Kimi no na wa.🤙🏼Fantasy🤙🏼3")</f>
        <v>57🤙🏼Kimi no na wa.🤙🏼Fantasy🤙🏼3</v>
      </c>
      <c r="K172" s="5">
        <f>IFERROR(__xludf.DUMMYFUNCTION("SPLiT(J172, ""🤙🏼"",FALSE,FALSE)"),57.0)</f>
        <v>57</v>
      </c>
      <c r="L172" s="5" t="str">
        <f>IFERROR(__xludf.DUMMYFUNCTION("""COMPUTED_VALUE"""),"Kimi no na wa.")</f>
        <v>Kimi no na wa.</v>
      </c>
      <c r="M172" s="5" t="str">
        <f>IFERROR(__xludf.DUMMYFUNCTION("""COMPUTED_VALUE"""),"Fantasy")</f>
        <v>Fantasy</v>
      </c>
      <c r="N172" s="5">
        <f>IFERROR(__xludf.DUMMYFUNCTION("""COMPUTED_VALUE"""),3.0)</f>
        <v>3</v>
      </c>
      <c r="S172" s="5">
        <f>IFERROR(__xludf.DUMMYFUNCTION("""COMPUTED_VALUE"""),68.0)</f>
        <v>68</v>
      </c>
      <c r="T172" s="5" t="str">
        <f>IFERROR(__xludf.DUMMYFUNCTION("""COMPUTED_VALUE"""),"The Lives of Others")</f>
        <v>The Lives of Others</v>
      </c>
      <c r="U172" s="5" t="str">
        <f>IFERROR(__xludf.DUMMYFUNCTION("""COMPUTED_VALUE"""),"Drama")</f>
        <v>Drama</v>
      </c>
      <c r="V172" s="5">
        <f>IFERROR(__xludf.DUMMYFUNCTION("""COMPUTED_VALUE"""),1.0)</f>
        <v>1</v>
      </c>
    </row>
    <row r="173">
      <c r="A173" s="1">
        <v>172.0</v>
      </c>
      <c r="B173" s="1" t="s">
        <v>1213</v>
      </c>
      <c r="C173" s="1" t="s">
        <v>1214</v>
      </c>
      <c r="D173" s="1"/>
      <c r="E173" s="1">
        <v>172.0</v>
      </c>
      <c r="F173" s="1" t="s">
        <v>1213</v>
      </c>
      <c r="G173" s="1" t="str">
        <f>IFERROR(__xludf.DUMMYFUNCTION("SPLIT(C173, "", "")"),"Action")</f>
        <v>Action</v>
      </c>
      <c r="H173" s="5" t="str">
        <f>IFERROR(__xludf.DUMMYFUNCTION("""COMPUTED_VALUE"""),"Thriller")</f>
        <v>Thriller</v>
      </c>
      <c r="J173" s="5" t="str">
        <f>IFERROR(__xludf.DUMMYFUNCTION("""COMPUTED_VALUE"""),"58🤙🏼Dangal🤙🏼Action🤙🏼1")</f>
        <v>58🤙🏼Dangal🤙🏼Action🤙🏼1</v>
      </c>
      <c r="K173" s="5">
        <f>IFERROR(__xludf.DUMMYFUNCTION("SPLiT(J173, ""🤙🏼"",FALSE,FALSE)"),58.0)</f>
        <v>58</v>
      </c>
      <c r="L173" s="5" t="str">
        <f>IFERROR(__xludf.DUMMYFUNCTION("""COMPUTED_VALUE"""),"Dangal")</f>
        <v>Dangal</v>
      </c>
      <c r="M173" s="5" t="str">
        <f>IFERROR(__xludf.DUMMYFUNCTION("""COMPUTED_VALUE"""),"Action")</f>
        <v>Action</v>
      </c>
      <c r="N173" s="5">
        <f>IFERROR(__xludf.DUMMYFUNCTION("""COMPUTED_VALUE"""),1.0)</f>
        <v>1</v>
      </c>
      <c r="S173" s="5">
        <f>IFERROR(__xludf.DUMMYFUNCTION("""COMPUTED_VALUE"""),68.0)</f>
        <v>68</v>
      </c>
      <c r="T173" s="5" t="str">
        <f>IFERROR(__xludf.DUMMYFUNCTION("""COMPUTED_VALUE"""),"The Lives of Others")</f>
        <v>The Lives of Others</v>
      </c>
      <c r="U173" s="5" t="str">
        <f>IFERROR(__xludf.DUMMYFUNCTION("""COMPUTED_VALUE"""),"Mystery")</f>
        <v>Mystery</v>
      </c>
      <c r="V173" s="5">
        <f>IFERROR(__xludf.DUMMYFUNCTION("""COMPUTED_VALUE"""),2.0)</f>
        <v>2</v>
      </c>
    </row>
    <row r="174">
      <c r="A174" s="1">
        <v>173.0</v>
      </c>
      <c r="B174" s="1" t="s">
        <v>1220</v>
      </c>
      <c r="C174" s="1" t="s">
        <v>948</v>
      </c>
      <c r="D174" s="1"/>
      <c r="E174" s="1">
        <v>173.0</v>
      </c>
      <c r="F174" s="1" t="s">
        <v>1220</v>
      </c>
      <c r="G174" s="1" t="str">
        <f>IFERROR(__xludf.DUMMYFUNCTION("SPLIT(C174, "", "")"),"Action")</f>
        <v>Action</v>
      </c>
      <c r="H174" s="5" t="str">
        <f>IFERROR(__xludf.DUMMYFUNCTION("""COMPUTED_VALUE"""),"Drama")</f>
        <v>Drama</v>
      </c>
      <c r="I174" s="5" t="str">
        <f>IFERROR(__xludf.DUMMYFUNCTION("""COMPUTED_VALUE"""),"War")</f>
        <v>War</v>
      </c>
      <c r="J174" s="5" t="str">
        <f>IFERROR(__xludf.DUMMYFUNCTION("""COMPUTED_VALUE"""),"58🤙🏼Dangal🤙🏼Biography🤙🏼2")</f>
        <v>58🤙🏼Dangal🤙🏼Biography🤙🏼2</v>
      </c>
      <c r="K174" s="5">
        <f>IFERROR(__xludf.DUMMYFUNCTION("SPLiT(J174, ""🤙🏼"",FALSE,FALSE)"),58.0)</f>
        <v>58</v>
      </c>
      <c r="L174" s="5" t="str">
        <f>IFERROR(__xludf.DUMMYFUNCTION("""COMPUTED_VALUE"""),"Dangal")</f>
        <v>Dangal</v>
      </c>
      <c r="M174" s="5" t="str">
        <f>IFERROR(__xludf.DUMMYFUNCTION("""COMPUTED_VALUE"""),"Biography")</f>
        <v>Biography</v>
      </c>
      <c r="N174" s="5">
        <f>IFERROR(__xludf.DUMMYFUNCTION("""COMPUTED_VALUE"""),2.0)</f>
        <v>2</v>
      </c>
      <c r="S174" s="5">
        <f>IFERROR(__xludf.DUMMYFUNCTION("""COMPUTED_VALUE"""),68.0)</f>
        <v>68</v>
      </c>
      <c r="T174" s="5" t="str">
        <f>IFERROR(__xludf.DUMMYFUNCTION("""COMPUTED_VALUE"""),"The Lives of Others")</f>
        <v>The Lives of Others</v>
      </c>
      <c r="U174" s="5" t="str">
        <f>IFERROR(__xludf.DUMMYFUNCTION("""COMPUTED_VALUE"""),"Thriller")</f>
        <v>Thriller</v>
      </c>
      <c r="V174" s="5">
        <f>IFERROR(__xludf.DUMMYFUNCTION("""COMPUTED_VALUE"""),3.0)</f>
        <v>3</v>
      </c>
    </row>
    <row r="175">
      <c r="A175" s="1">
        <v>174.0</v>
      </c>
      <c r="B175" s="1" t="s">
        <v>1226</v>
      </c>
      <c r="C175" s="1" t="s">
        <v>1020</v>
      </c>
      <c r="D175" s="1"/>
      <c r="E175" s="1">
        <v>174.0</v>
      </c>
      <c r="F175" s="1" t="s">
        <v>1226</v>
      </c>
      <c r="G175" s="1" t="str">
        <f>IFERROR(__xludf.DUMMYFUNCTION("SPLIT(C175, "", "")"),"Biography")</f>
        <v>Biography</v>
      </c>
      <c r="H175" s="5" t="str">
        <f>IFERROR(__xludf.DUMMYFUNCTION("""COMPUTED_VALUE"""),"Drama")</f>
        <v>Drama</v>
      </c>
      <c r="I175" s="5" t="str">
        <f>IFERROR(__xludf.DUMMYFUNCTION("""COMPUTED_VALUE"""),"Sport")</f>
        <v>Sport</v>
      </c>
      <c r="J175" s="5" t="str">
        <f>IFERROR(__xludf.DUMMYFUNCTION("""COMPUTED_VALUE"""),"58🤙🏼Dangal🤙🏼Drama🤙🏼3")</f>
        <v>58🤙🏼Dangal🤙🏼Drama🤙🏼3</v>
      </c>
      <c r="K175" s="5">
        <f>IFERROR(__xludf.DUMMYFUNCTION("SPLiT(J175, ""🤙🏼"",FALSE,FALSE)"),58.0)</f>
        <v>58</v>
      </c>
      <c r="L175" s="5" t="str">
        <f>IFERROR(__xludf.DUMMYFUNCTION("""COMPUTED_VALUE"""),"Dangal")</f>
        <v>Dangal</v>
      </c>
      <c r="M175" s="5" t="str">
        <f>IFERROR(__xludf.DUMMYFUNCTION("""COMPUTED_VALUE"""),"Drama")</f>
        <v>Drama</v>
      </c>
      <c r="N175" s="5">
        <f>IFERROR(__xludf.DUMMYFUNCTION("""COMPUTED_VALUE"""),3.0)</f>
        <v>3</v>
      </c>
      <c r="S175" s="5">
        <f>IFERROR(__xludf.DUMMYFUNCTION("""COMPUTED_VALUE"""),69.0)</f>
        <v>69</v>
      </c>
      <c r="T175" s="5" t="str">
        <f>IFERROR(__xludf.DUMMYFUNCTION("""COMPUTED_VALUE"""),"Oldeuboi")</f>
        <v>Oldeuboi</v>
      </c>
      <c r="U175" s="5" t="str">
        <f>IFERROR(__xludf.DUMMYFUNCTION("""COMPUTED_VALUE"""),"Action")</f>
        <v>Action</v>
      </c>
      <c r="V175" s="5">
        <f>IFERROR(__xludf.DUMMYFUNCTION("""COMPUTED_VALUE"""),1.0)</f>
        <v>1</v>
      </c>
    </row>
    <row r="176">
      <c r="A176" s="1">
        <v>175.0</v>
      </c>
      <c r="B176" s="1" t="s">
        <v>1230</v>
      </c>
      <c r="C176" s="1" t="s">
        <v>928</v>
      </c>
      <c r="D176" s="1"/>
      <c r="E176" s="1">
        <v>175.0</v>
      </c>
      <c r="F176" s="1" t="s">
        <v>1230</v>
      </c>
      <c r="G176" s="1" t="str">
        <f>IFERROR(__xludf.DUMMYFUNCTION("SPLIT(C176, "", "")"),"Drama")</f>
        <v>Drama</v>
      </c>
      <c r="H176" s="5" t="str">
        <f>IFERROR(__xludf.DUMMYFUNCTION("""COMPUTED_VALUE"""),"Sci-Fi")</f>
        <v>Sci-Fi</v>
      </c>
      <c r="J176" s="5" t="str">
        <f>IFERROR(__xludf.DUMMYFUNCTION("""COMPUTED_VALUE"""),"59🤙🏼Spider-Man: Into the Spider-Verse🤙🏼Animation🤙🏼1")</f>
        <v>59🤙🏼Spider-Man: Into the Spider-Verse🤙🏼Animation🤙🏼1</v>
      </c>
      <c r="K176" s="5">
        <f>IFERROR(__xludf.DUMMYFUNCTION("SPLiT(J176, ""🤙🏼"",FALSE,FALSE)"),59.0)</f>
        <v>59</v>
      </c>
      <c r="L176" s="5" t="str">
        <f>IFERROR(__xludf.DUMMYFUNCTION("""COMPUTED_VALUE"""),"Spider-Man: Into the Spider-Verse")</f>
        <v>Spider-Man: Into the Spider-Verse</v>
      </c>
      <c r="M176" s="5" t="str">
        <f>IFERROR(__xludf.DUMMYFUNCTION("""COMPUTED_VALUE"""),"Animation")</f>
        <v>Animation</v>
      </c>
      <c r="N176" s="5">
        <f>IFERROR(__xludf.DUMMYFUNCTION("""COMPUTED_VALUE"""),1.0)</f>
        <v>1</v>
      </c>
      <c r="S176" s="5">
        <f>IFERROR(__xludf.DUMMYFUNCTION("""COMPUTED_VALUE"""),69.0)</f>
        <v>69</v>
      </c>
      <c r="T176" s="5" t="str">
        <f>IFERROR(__xludf.DUMMYFUNCTION("""COMPUTED_VALUE"""),"Oldeuboi")</f>
        <v>Oldeuboi</v>
      </c>
      <c r="U176" s="5" t="str">
        <f>IFERROR(__xludf.DUMMYFUNCTION("""COMPUTED_VALUE"""),"Drama")</f>
        <v>Drama</v>
      </c>
      <c r="V176" s="5">
        <f>IFERROR(__xludf.DUMMYFUNCTION("""COMPUTED_VALUE"""),2.0)</f>
        <v>2</v>
      </c>
    </row>
    <row r="177">
      <c r="A177" s="1">
        <v>176.0</v>
      </c>
      <c r="B177" s="1" t="s">
        <v>1237</v>
      </c>
      <c r="C177" s="1" t="s">
        <v>287</v>
      </c>
      <c r="D177" s="1"/>
      <c r="E177" s="1">
        <v>176.0</v>
      </c>
      <c r="F177" s="1" t="s">
        <v>1237</v>
      </c>
      <c r="G177" s="1" t="str">
        <f>IFERROR(__xludf.DUMMYFUNCTION("SPLIT(C177, "", "")"),"Drama")</f>
        <v>Drama</v>
      </c>
      <c r="H177" s="5" t="str">
        <f>IFERROR(__xludf.DUMMYFUNCTION("""COMPUTED_VALUE"""),"Music")</f>
        <v>Music</v>
      </c>
      <c r="J177" s="5" t="str">
        <f>IFERROR(__xludf.DUMMYFUNCTION("""COMPUTED_VALUE"""),"59🤙🏼Spider-Man: Into the Spider-Verse🤙🏼Action🤙🏼2")</f>
        <v>59🤙🏼Spider-Man: Into the Spider-Verse🤙🏼Action🤙🏼2</v>
      </c>
      <c r="K177" s="5">
        <f>IFERROR(__xludf.DUMMYFUNCTION("SPLiT(J177, ""🤙🏼"",FALSE,FALSE)"),59.0)</f>
        <v>59</v>
      </c>
      <c r="L177" s="5" t="str">
        <f>IFERROR(__xludf.DUMMYFUNCTION("""COMPUTED_VALUE"""),"Spider-Man: Into the Spider-Verse")</f>
        <v>Spider-Man: Into the Spider-Verse</v>
      </c>
      <c r="M177" s="5" t="str">
        <f>IFERROR(__xludf.DUMMYFUNCTION("""COMPUTED_VALUE"""),"Action")</f>
        <v>Action</v>
      </c>
      <c r="N177" s="5">
        <f>IFERROR(__xludf.DUMMYFUNCTION("""COMPUTED_VALUE"""),2.0)</f>
        <v>2</v>
      </c>
      <c r="S177" s="5">
        <f>IFERROR(__xludf.DUMMYFUNCTION("""COMPUTED_VALUE"""),69.0)</f>
        <v>69</v>
      </c>
      <c r="T177" s="5" t="str">
        <f>IFERROR(__xludf.DUMMYFUNCTION("""COMPUTED_VALUE"""),"Oldeuboi")</f>
        <v>Oldeuboi</v>
      </c>
      <c r="U177" s="5" t="str">
        <f>IFERROR(__xludf.DUMMYFUNCTION("""COMPUTED_VALUE"""),"Mystery")</f>
        <v>Mystery</v>
      </c>
      <c r="V177" s="5">
        <f>IFERROR(__xludf.DUMMYFUNCTION("""COMPUTED_VALUE"""),3.0)</f>
        <v>3</v>
      </c>
    </row>
    <row r="178">
      <c r="A178" s="1">
        <v>177.0</v>
      </c>
      <c r="B178" s="1" t="s">
        <v>1243</v>
      </c>
      <c r="C178" s="1" t="s">
        <v>79</v>
      </c>
      <c r="D178" s="1"/>
      <c r="E178" s="1">
        <v>177.0</v>
      </c>
      <c r="F178" s="1" t="s">
        <v>1243</v>
      </c>
      <c r="G178" s="1" t="str">
        <f>IFERROR(__xludf.DUMMYFUNCTION("SPLIT(C178, "", "")"),"Biography")</f>
        <v>Biography</v>
      </c>
      <c r="H178" s="5" t="str">
        <f>IFERROR(__xludf.DUMMYFUNCTION("""COMPUTED_VALUE"""),"Drama")</f>
        <v>Drama</v>
      </c>
      <c r="I178" s="5" t="str">
        <f>IFERROR(__xludf.DUMMYFUNCTION("""COMPUTED_VALUE"""),"History")</f>
        <v>History</v>
      </c>
      <c r="J178" s="5" t="str">
        <f>IFERROR(__xludf.DUMMYFUNCTION("""COMPUTED_VALUE"""),"59🤙🏼Spider-Man: Into the Spider-Verse🤙🏼Adventure🤙🏼3")</f>
        <v>59🤙🏼Spider-Man: Into the Spider-Verse🤙🏼Adventure🤙🏼3</v>
      </c>
      <c r="K178" s="5">
        <f>IFERROR(__xludf.DUMMYFUNCTION("SPLiT(J178, ""🤙🏼"",FALSE,FALSE)"),59.0)</f>
        <v>59</v>
      </c>
      <c r="L178" s="5" t="str">
        <f>IFERROR(__xludf.DUMMYFUNCTION("""COMPUTED_VALUE"""),"Spider-Man: Into the Spider-Verse")</f>
        <v>Spider-Man: Into the Spider-Verse</v>
      </c>
      <c r="M178" s="5" t="str">
        <f>IFERROR(__xludf.DUMMYFUNCTION("""COMPUTED_VALUE"""),"Adventure")</f>
        <v>Adventure</v>
      </c>
      <c r="N178" s="5">
        <f>IFERROR(__xludf.DUMMYFUNCTION("""COMPUTED_VALUE"""),3.0)</f>
        <v>3</v>
      </c>
      <c r="S178" s="5">
        <f>IFERROR(__xludf.DUMMYFUNCTION("""COMPUTED_VALUE"""),70.0)</f>
        <v>70</v>
      </c>
      <c r="T178" s="5" t="str">
        <f>IFERROR(__xludf.DUMMYFUNCTION("""COMPUTED_VALUE"""),"Memento")</f>
        <v>Memento</v>
      </c>
      <c r="U178" s="5" t="str">
        <f>IFERROR(__xludf.DUMMYFUNCTION("""COMPUTED_VALUE"""),"Mystery")</f>
        <v>Mystery</v>
      </c>
      <c r="V178" s="5">
        <f>IFERROR(__xludf.DUMMYFUNCTION("""COMPUTED_VALUE"""),1.0)</f>
        <v>1</v>
      </c>
    </row>
    <row r="179">
      <c r="A179" s="1">
        <v>178.0</v>
      </c>
      <c r="B179" s="1" t="s">
        <v>1250</v>
      </c>
      <c r="C179" s="1" t="s">
        <v>1252</v>
      </c>
      <c r="D179" s="1"/>
      <c r="E179" s="1">
        <v>178.0</v>
      </c>
      <c r="F179" s="1" t="s">
        <v>1250</v>
      </c>
      <c r="G179" s="1" t="str">
        <f>IFERROR(__xludf.DUMMYFUNCTION("SPLIT(C179, "", "")"),"Action")</f>
        <v>Action</v>
      </c>
      <c r="H179" s="5" t="str">
        <f>IFERROR(__xludf.DUMMYFUNCTION("""COMPUTED_VALUE"""),"Adventure")</f>
        <v>Adventure</v>
      </c>
      <c r="I179" s="5" t="str">
        <f>IFERROR(__xludf.DUMMYFUNCTION("""COMPUTED_VALUE"""),"Comedy")</f>
        <v>Comedy</v>
      </c>
      <c r="J179" s="5" t="str">
        <f>IFERROR(__xludf.DUMMYFUNCTION("""COMPUTED_VALUE"""),"60🤙🏼Avengers: Endgame🤙🏼Action🤙🏼1")</f>
        <v>60🤙🏼Avengers: Endgame🤙🏼Action🤙🏼1</v>
      </c>
      <c r="K179" s="5">
        <f>IFERROR(__xludf.DUMMYFUNCTION("SPLiT(J179, ""🤙🏼"",FALSE,FALSE)"),60.0)</f>
        <v>60</v>
      </c>
      <c r="L179" s="5" t="str">
        <f>IFERROR(__xludf.DUMMYFUNCTION("""COMPUTED_VALUE"""),"Avengers: Endgame")</f>
        <v>Avengers: Endgame</v>
      </c>
      <c r="M179" s="5" t="str">
        <f>IFERROR(__xludf.DUMMYFUNCTION("""COMPUTED_VALUE"""),"Action")</f>
        <v>Action</v>
      </c>
      <c r="N179" s="5">
        <f>IFERROR(__xludf.DUMMYFUNCTION("""COMPUTED_VALUE"""),1.0)</f>
        <v>1</v>
      </c>
      <c r="S179" s="5">
        <f>IFERROR(__xludf.DUMMYFUNCTION("""COMPUTED_VALUE"""),70.0)</f>
        <v>70</v>
      </c>
      <c r="T179" s="5" t="str">
        <f>IFERROR(__xludf.DUMMYFUNCTION("""COMPUTED_VALUE"""),"Memento")</f>
        <v>Memento</v>
      </c>
      <c r="U179" s="5" t="str">
        <f>IFERROR(__xludf.DUMMYFUNCTION("""COMPUTED_VALUE"""),"Thriller")</f>
        <v>Thriller</v>
      </c>
      <c r="V179" s="5">
        <f>IFERROR(__xludf.DUMMYFUNCTION("""COMPUTED_VALUE"""),2.0)</f>
        <v>2</v>
      </c>
    </row>
    <row r="180">
      <c r="A180" s="1">
        <v>179.0</v>
      </c>
      <c r="B180" s="1" t="s">
        <v>1258</v>
      </c>
      <c r="C180" s="1" t="s">
        <v>1260</v>
      </c>
      <c r="D180" s="1"/>
      <c r="E180" s="1">
        <v>179.0</v>
      </c>
      <c r="F180" s="1" t="s">
        <v>1258</v>
      </c>
      <c r="G180" s="1" t="str">
        <f>IFERROR(__xludf.DUMMYFUNCTION("SPLIT(C180, "", "")"),"Adventure")</f>
        <v>Adventure</v>
      </c>
      <c r="H180" s="5" t="str">
        <f>IFERROR(__xludf.DUMMYFUNCTION("""COMPUTED_VALUE"""),"Comedy")</f>
        <v>Comedy</v>
      </c>
      <c r="I180" s="5" t="str">
        <f>IFERROR(__xludf.DUMMYFUNCTION("""COMPUTED_VALUE"""),"Fantasy")</f>
        <v>Fantasy</v>
      </c>
      <c r="J180" s="5" t="str">
        <f>IFERROR(__xludf.DUMMYFUNCTION("""COMPUTED_VALUE"""),"60🤙🏼Avengers: Endgame🤙🏼Adventure🤙🏼2")</f>
        <v>60🤙🏼Avengers: Endgame🤙🏼Adventure🤙🏼2</v>
      </c>
      <c r="K180" s="5">
        <f>IFERROR(__xludf.DUMMYFUNCTION("SPLiT(J180, ""🤙🏼"",FALSE,FALSE)"),60.0)</f>
        <v>60</v>
      </c>
      <c r="L180" s="5" t="str">
        <f>IFERROR(__xludf.DUMMYFUNCTION("""COMPUTED_VALUE"""),"Avengers: Endgame")</f>
        <v>Avengers: Endgame</v>
      </c>
      <c r="M180" s="5" t="str">
        <f>IFERROR(__xludf.DUMMYFUNCTION("""COMPUTED_VALUE"""),"Adventure")</f>
        <v>Adventure</v>
      </c>
      <c r="N180" s="5">
        <f>IFERROR(__xludf.DUMMYFUNCTION("""COMPUTED_VALUE"""),2.0)</f>
        <v>2</v>
      </c>
      <c r="S180" s="5">
        <f>IFERROR(__xludf.DUMMYFUNCTION("""COMPUTED_VALUE"""),71.0)</f>
        <v>71</v>
      </c>
      <c r="T180" s="5" t="str">
        <f>IFERROR(__xludf.DUMMYFUNCTION("""COMPUTED_VALUE"""),"Mononoke-hime")</f>
        <v>Mononoke-hime</v>
      </c>
      <c r="U180" s="5" t="str">
        <f>IFERROR(__xludf.DUMMYFUNCTION("""COMPUTED_VALUE"""),"Animation")</f>
        <v>Animation</v>
      </c>
      <c r="V180" s="5">
        <f>IFERROR(__xludf.DUMMYFUNCTION("""COMPUTED_VALUE"""),1.0)</f>
        <v>1</v>
      </c>
    </row>
    <row r="181">
      <c r="A181" s="1">
        <v>180.0</v>
      </c>
      <c r="B181" s="1" t="s">
        <v>1267</v>
      </c>
      <c r="C181" s="1" t="s">
        <v>1269</v>
      </c>
      <c r="D181" s="1"/>
      <c r="E181" s="1">
        <v>180.0</v>
      </c>
      <c r="F181" s="1" t="s">
        <v>1267</v>
      </c>
      <c r="G181" s="1" t="str">
        <f>IFERROR(__xludf.DUMMYFUNCTION("SPLIT(C181, "", "")"),"Adventure")</f>
        <v>Adventure</v>
      </c>
      <c r="H181" s="5" t="str">
        <f>IFERROR(__xludf.DUMMYFUNCTION("""COMPUTED_VALUE"""),"Drama")</f>
        <v>Drama</v>
      </c>
      <c r="I181" s="5" t="str">
        <f>IFERROR(__xludf.DUMMYFUNCTION("""COMPUTED_VALUE"""),"History")</f>
        <v>History</v>
      </c>
      <c r="J181" s="5" t="str">
        <f>IFERROR(__xludf.DUMMYFUNCTION("""COMPUTED_VALUE"""),"60🤙🏼Avengers: Endgame🤙🏼Drama🤙🏼3")</f>
        <v>60🤙🏼Avengers: Endgame🤙🏼Drama🤙🏼3</v>
      </c>
      <c r="K181" s="5">
        <f>IFERROR(__xludf.DUMMYFUNCTION("SPLiT(J181, ""🤙🏼"",FALSE,FALSE)"),60.0)</f>
        <v>60</v>
      </c>
      <c r="L181" s="5" t="str">
        <f>IFERROR(__xludf.DUMMYFUNCTION("""COMPUTED_VALUE"""),"Avengers: Endgame")</f>
        <v>Avengers: Endgame</v>
      </c>
      <c r="M181" s="5" t="str">
        <f>IFERROR(__xludf.DUMMYFUNCTION("""COMPUTED_VALUE"""),"Drama")</f>
        <v>Drama</v>
      </c>
      <c r="N181" s="5">
        <f>IFERROR(__xludf.DUMMYFUNCTION("""COMPUTED_VALUE"""),3.0)</f>
        <v>3</v>
      </c>
      <c r="S181" s="5">
        <f>IFERROR(__xludf.DUMMYFUNCTION("""COMPUTED_VALUE"""),71.0)</f>
        <v>71</v>
      </c>
      <c r="T181" s="5" t="str">
        <f>IFERROR(__xludf.DUMMYFUNCTION("""COMPUTED_VALUE"""),"Mononoke-hime")</f>
        <v>Mononoke-hime</v>
      </c>
      <c r="U181" s="5" t="str">
        <f>IFERROR(__xludf.DUMMYFUNCTION("""COMPUTED_VALUE"""),"Action")</f>
        <v>Action</v>
      </c>
      <c r="V181" s="5">
        <f>IFERROR(__xludf.DUMMYFUNCTION("""COMPUTED_VALUE"""),2.0)</f>
        <v>2</v>
      </c>
    </row>
    <row r="182">
      <c r="A182" s="1">
        <v>181.0</v>
      </c>
      <c r="B182" s="1" t="s">
        <v>1275</v>
      </c>
      <c r="C182" s="1" t="s">
        <v>29</v>
      </c>
      <c r="D182" s="1"/>
      <c r="E182" s="1">
        <v>181.0</v>
      </c>
      <c r="F182" s="1" t="s">
        <v>1275</v>
      </c>
      <c r="G182" s="1" t="str">
        <f>IFERROR(__xludf.DUMMYFUNCTION("SPLIT(C182, "", "")"),"Crime")</f>
        <v>Crime</v>
      </c>
      <c r="H182" s="5" t="str">
        <f>IFERROR(__xludf.DUMMYFUNCTION("""COMPUTED_VALUE"""),"Drama")</f>
        <v>Drama</v>
      </c>
      <c r="J182" s="5" t="str">
        <f>IFERROR(__xludf.DUMMYFUNCTION("""COMPUTED_VALUE"""),"61🤙🏼Avengers: Infinity War🤙🏼Action🤙🏼1")</f>
        <v>61🤙🏼Avengers: Infinity War🤙🏼Action🤙🏼1</v>
      </c>
      <c r="K182" s="5">
        <f>IFERROR(__xludf.DUMMYFUNCTION("SPLiT(J182, ""🤙🏼"",FALSE,FALSE)"),61.0)</f>
        <v>61</v>
      </c>
      <c r="L182" s="5" t="str">
        <f>IFERROR(__xludf.DUMMYFUNCTION("""COMPUTED_VALUE"""),"Avengers: Infinity War")</f>
        <v>Avengers: Infinity War</v>
      </c>
      <c r="M182" s="5" t="str">
        <f>IFERROR(__xludf.DUMMYFUNCTION("""COMPUTED_VALUE"""),"Action")</f>
        <v>Action</v>
      </c>
      <c r="N182" s="5">
        <f>IFERROR(__xludf.DUMMYFUNCTION("""COMPUTED_VALUE"""),1.0)</f>
        <v>1</v>
      </c>
      <c r="S182" s="5">
        <f>IFERROR(__xludf.DUMMYFUNCTION("""COMPUTED_VALUE"""),71.0)</f>
        <v>71</v>
      </c>
      <c r="T182" s="5" t="str">
        <f>IFERROR(__xludf.DUMMYFUNCTION("""COMPUTED_VALUE"""),"Mononoke-hime")</f>
        <v>Mononoke-hime</v>
      </c>
      <c r="U182" s="5" t="str">
        <f>IFERROR(__xludf.DUMMYFUNCTION("""COMPUTED_VALUE"""),"Adventure")</f>
        <v>Adventure</v>
      </c>
      <c r="V182" s="5">
        <f>IFERROR(__xludf.DUMMYFUNCTION("""COMPUTED_VALUE"""),3.0)</f>
        <v>3</v>
      </c>
    </row>
    <row r="183">
      <c r="A183" s="1">
        <v>182.0</v>
      </c>
      <c r="B183" s="1" t="s">
        <v>1282</v>
      </c>
      <c r="C183" s="1" t="s">
        <v>1283</v>
      </c>
      <c r="D183" s="1"/>
      <c r="E183" s="1">
        <v>182.0</v>
      </c>
      <c r="F183" s="1" t="s">
        <v>1282</v>
      </c>
      <c r="G183" s="1" t="str">
        <f>IFERROR(__xludf.DUMMYFUNCTION("SPLIT(C183, "", "")"),"Action")</f>
        <v>Action</v>
      </c>
      <c r="H183" s="5" t="str">
        <f>IFERROR(__xludf.DUMMYFUNCTION("""COMPUTED_VALUE"""),"Drama")</f>
        <v>Drama</v>
      </c>
      <c r="I183" s="5" t="str">
        <f>IFERROR(__xludf.DUMMYFUNCTION("""COMPUTED_VALUE"""),"Thriller")</f>
        <v>Thriller</v>
      </c>
      <c r="J183" s="5" t="str">
        <f>IFERROR(__xludf.DUMMYFUNCTION("""COMPUTED_VALUE"""),"61🤙🏼Avengers: Infinity War🤙🏼Adventure🤙🏼2")</f>
        <v>61🤙🏼Avengers: Infinity War🤙🏼Adventure🤙🏼2</v>
      </c>
      <c r="K183" s="5">
        <f>IFERROR(__xludf.DUMMYFUNCTION("SPLiT(J183, ""🤙🏼"",FALSE,FALSE)"),61.0)</f>
        <v>61</v>
      </c>
      <c r="L183" s="5" t="str">
        <f>IFERROR(__xludf.DUMMYFUNCTION("""COMPUTED_VALUE"""),"Avengers: Infinity War")</f>
        <v>Avengers: Infinity War</v>
      </c>
      <c r="M183" s="5" t="str">
        <f>IFERROR(__xludf.DUMMYFUNCTION("""COMPUTED_VALUE"""),"Adventure")</f>
        <v>Adventure</v>
      </c>
      <c r="N183" s="5">
        <f>IFERROR(__xludf.DUMMYFUNCTION("""COMPUTED_VALUE"""),2.0)</f>
        <v>2</v>
      </c>
      <c r="S183" s="5">
        <f>IFERROR(__xludf.DUMMYFUNCTION("""COMPUTED_VALUE"""),72.0)</f>
        <v>72</v>
      </c>
      <c r="T183" s="5" t="str">
        <f>IFERROR(__xludf.DUMMYFUNCTION("""COMPUTED_VALUE"""),"Once Upon a Time in America")</f>
        <v>Once Upon a Time in America</v>
      </c>
      <c r="U183" s="5" t="str">
        <f>IFERROR(__xludf.DUMMYFUNCTION("""COMPUTED_VALUE"""),"Crime")</f>
        <v>Crime</v>
      </c>
      <c r="V183" s="5">
        <f>IFERROR(__xludf.DUMMYFUNCTION("""COMPUTED_VALUE"""),1.0)</f>
        <v>1</v>
      </c>
    </row>
    <row r="184">
      <c r="A184" s="1">
        <v>183.0</v>
      </c>
      <c r="B184" s="1" t="s">
        <v>1287</v>
      </c>
      <c r="C184" s="1" t="s">
        <v>213</v>
      </c>
      <c r="D184" s="1"/>
      <c r="E184" s="1">
        <v>183.0</v>
      </c>
      <c r="F184" s="1" t="s">
        <v>1287</v>
      </c>
      <c r="G184" s="1" t="str">
        <f>IFERROR(__xludf.DUMMYFUNCTION("SPLIT(C184, "", "")"),"Drama")</f>
        <v>Drama</v>
      </c>
      <c r="H184" s="5" t="str">
        <f>IFERROR(__xludf.DUMMYFUNCTION("""COMPUTED_VALUE"""),"War")</f>
        <v>War</v>
      </c>
      <c r="J184" s="5" t="str">
        <f>IFERROR(__xludf.DUMMYFUNCTION("""COMPUTED_VALUE"""),"61🤙🏼Avengers: Infinity War🤙🏼Sci-Fi🤙🏼3")</f>
        <v>61🤙🏼Avengers: Infinity War🤙🏼Sci-Fi🤙🏼3</v>
      </c>
      <c r="K184" s="5">
        <f>IFERROR(__xludf.DUMMYFUNCTION("SPLiT(J184, ""🤙🏼"",FALSE,FALSE)"),61.0)</f>
        <v>61</v>
      </c>
      <c r="L184" s="5" t="str">
        <f>IFERROR(__xludf.DUMMYFUNCTION("""COMPUTED_VALUE"""),"Avengers: Infinity War")</f>
        <v>Avengers: Infinity War</v>
      </c>
      <c r="M184" s="5" t="str">
        <f>IFERROR(__xludf.DUMMYFUNCTION("""COMPUTED_VALUE"""),"Sci-Fi")</f>
        <v>Sci-Fi</v>
      </c>
      <c r="N184" s="5">
        <f>IFERROR(__xludf.DUMMYFUNCTION("""COMPUTED_VALUE"""),3.0)</f>
        <v>3</v>
      </c>
      <c r="S184" s="5">
        <f>IFERROR(__xludf.DUMMYFUNCTION("""COMPUTED_VALUE"""),72.0)</f>
        <v>72</v>
      </c>
      <c r="T184" s="5" t="str">
        <f>IFERROR(__xludf.DUMMYFUNCTION("""COMPUTED_VALUE"""),"Once Upon a Time in America")</f>
        <v>Once Upon a Time in America</v>
      </c>
      <c r="U184" s="5" t="str">
        <f>IFERROR(__xludf.DUMMYFUNCTION("""COMPUTED_VALUE"""),"Drama")</f>
        <v>Drama</v>
      </c>
      <c r="V184" s="5">
        <f>IFERROR(__xludf.DUMMYFUNCTION("""COMPUTED_VALUE"""),2.0)</f>
        <v>2</v>
      </c>
    </row>
    <row r="185">
      <c r="A185" s="1">
        <v>184.0</v>
      </c>
      <c r="B185" s="1" t="s">
        <v>1294</v>
      </c>
      <c r="C185" s="1" t="s">
        <v>1295</v>
      </c>
      <c r="D185" s="1"/>
      <c r="E185" s="1">
        <v>184.0</v>
      </c>
      <c r="F185" s="1" t="s">
        <v>1294</v>
      </c>
      <c r="G185" s="1" t="str">
        <f>IFERROR(__xludf.DUMMYFUNCTION("SPLIT(C185, "", "")"),"Comedy")</f>
        <v>Comedy</v>
      </c>
      <c r="H185" s="5" t="str">
        <f>IFERROR(__xludf.DUMMYFUNCTION("""COMPUTED_VALUE"""),"Music")</f>
        <v>Music</v>
      </c>
      <c r="I185" s="5" t="str">
        <f>IFERROR(__xludf.DUMMYFUNCTION("""COMPUTED_VALUE"""),"Romance")</f>
        <v>Romance</v>
      </c>
      <c r="J185" s="5" t="str">
        <f>IFERROR(__xludf.DUMMYFUNCTION("""COMPUTED_VALUE"""),"62🤙🏼Coco🤙🏼Animation🤙🏼1")</f>
        <v>62🤙🏼Coco🤙🏼Animation🤙🏼1</v>
      </c>
      <c r="K185" s="5">
        <f>IFERROR(__xludf.DUMMYFUNCTION("SPLiT(J185, ""🤙🏼"",FALSE,FALSE)"),62.0)</f>
        <v>62</v>
      </c>
      <c r="L185" s="5" t="str">
        <f>IFERROR(__xludf.DUMMYFUNCTION("""COMPUTED_VALUE"""),"Coco")</f>
        <v>Coco</v>
      </c>
      <c r="M185" s="5" t="str">
        <f>IFERROR(__xludf.DUMMYFUNCTION("""COMPUTED_VALUE"""),"Animation")</f>
        <v>Animation</v>
      </c>
      <c r="N185" s="5">
        <f>IFERROR(__xludf.DUMMYFUNCTION("""COMPUTED_VALUE"""),1.0)</f>
        <v>1</v>
      </c>
      <c r="S185" s="5">
        <f>IFERROR(__xludf.DUMMYFUNCTION("""COMPUTED_VALUE"""),73.0)</f>
        <v>73</v>
      </c>
      <c r="T185" s="5" t="str">
        <f>IFERROR(__xludf.DUMMYFUNCTION("""COMPUTED_VALUE"""),"Raiders of the Lost Ark")</f>
        <v>Raiders of the Lost Ark</v>
      </c>
      <c r="U185" s="5" t="str">
        <f>IFERROR(__xludf.DUMMYFUNCTION("""COMPUTED_VALUE"""),"Action")</f>
        <v>Action</v>
      </c>
      <c r="V185" s="5">
        <f>IFERROR(__xludf.DUMMYFUNCTION("""COMPUTED_VALUE"""),1.0)</f>
        <v>1</v>
      </c>
    </row>
    <row r="186">
      <c r="A186" s="1">
        <v>185.0</v>
      </c>
      <c r="B186" s="1" t="s">
        <v>1300</v>
      </c>
      <c r="C186" s="1" t="s">
        <v>107</v>
      </c>
      <c r="D186" s="1"/>
      <c r="E186" s="1">
        <v>185.0</v>
      </c>
      <c r="F186" s="1" t="s">
        <v>1300</v>
      </c>
      <c r="G186" s="1" t="str">
        <f>IFERROR(__xludf.DUMMYFUNCTION("SPLIT(C186, "", "")"),"Drama")</f>
        <v>Drama</v>
      </c>
      <c r="H186" s="5" t="str">
        <f>IFERROR(__xludf.DUMMYFUNCTION("""COMPUTED_VALUE"""),"Romance")</f>
        <v>Romance</v>
      </c>
      <c r="J186" s="5" t="str">
        <f>IFERROR(__xludf.DUMMYFUNCTION("""COMPUTED_VALUE"""),"62🤙🏼Coco🤙🏼Adventure🤙🏼2")</f>
        <v>62🤙🏼Coco🤙🏼Adventure🤙🏼2</v>
      </c>
      <c r="K186" s="5">
        <f>IFERROR(__xludf.DUMMYFUNCTION("SPLiT(J186, ""🤙🏼"",FALSE,FALSE)"),62.0)</f>
        <v>62</v>
      </c>
      <c r="L186" s="5" t="str">
        <f>IFERROR(__xludf.DUMMYFUNCTION("""COMPUTED_VALUE"""),"Coco")</f>
        <v>Coco</v>
      </c>
      <c r="M186" s="5" t="str">
        <f>IFERROR(__xludf.DUMMYFUNCTION("""COMPUTED_VALUE"""),"Adventure")</f>
        <v>Adventure</v>
      </c>
      <c r="N186" s="5">
        <f>IFERROR(__xludf.DUMMYFUNCTION("""COMPUTED_VALUE"""),2.0)</f>
        <v>2</v>
      </c>
      <c r="S186" s="5">
        <f>IFERROR(__xludf.DUMMYFUNCTION("""COMPUTED_VALUE"""),73.0)</f>
        <v>73</v>
      </c>
      <c r="T186" s="5" t="str">
        <f>IFERROR(__xludf.DUMMYFUNCTION("""COMPUTED_VALUE"""),"Raiders of the Lost Ark")</f>
        <v>Raiders of the Lost Ark</v>
      </c>
      <c r="U186" s="5" t="str">
        <f>IFERROR(__xludf.DUMMYFUNCTION("""COMPUTED_VALUE"""),"Adventure")</f>
        <v>Adventure</v>
      </c>
      <c r="V186" s="5">
        <f>IFERROR(__xludf.DUMMYFUNCTION("""COMPUTED_VALUE"""),2.0)</f>
        <v>2</v>
      </c>
    </row>
    <row r="187">
      <c r="A187" s="1">
        <v>186.0</v>
      </c>
      <c r="B187" s="1" t="s">
        <v>1306</v>
      </c>
      <c r="C187" s="1" t="s">
        <v>1307</v>
      </c>
      <c r="D187" s="1"/>
      <c r="E187" s="1">
        <v>186.0</v>
      </c>
      <c r="F187" s="1" t="s">
        <v>1306</v>
      </c>
      <c r="G187" s="1" t="str">
        <f>IFERROR(__xludf.DUMMYFUNCTION("SPLIT(C187, "", "")"),"Drama")</f>
        <v>Drama</v>
      </c>
      <c r="H187" s="5" t="str">
        <f>IFERROR(__xludf.DUMMYFUNCTION("""COMPUTED_VALUE"""),"Fantasy")</f>
        <v>Fantasy</v>
      </c>
      <c r="I187" s="5" t="str">
        <f>IFERROR(__xludf.DUMMYFUNCTION("""COMPUTED_VALUE"""),"History")</f>
        <v>History</v>
      </c>
      <c r="J187" s="5" t="str">
        <f>IFERROR(__xludf.DUMMYFUNCTION("""COMPUTED_VALUE"""),"62🤙🏼Coco🤙🏼Family🤙🏼3")</f>
        <v>62🤙🏼Coco🤙🏼Family🤙🏼3</v>
      </c>
      <c r="K187" s="5">
        <f>IFERROR(__xludf.DUMMYFUNCTION("SPLiT(J187, ""🤙🏼"",FALSE,FALSE)"),62.0)</f>
        <v>62</v>
      </c>
      <c r="L187" s="5" t="str">
        <f>IFERROR(__xludf.DUMMYFUNCTION("""COMPUTED_VALUE"""),"Coco")</f>
        <v>Coco</v>
      </c>
      <c r="M187" s="5" t="str">
        <f>IFERROR(__xludf.DUMMYFUNCTION("""COMPUTED_VALUE"""),"Family")</f>
        <v>Family</v>
      </c>
      <c r="N187" s="5">
        <f>IFERROR(__xludf.DUMMYFUNCTION("""COMPUTED_VALUE"""),3.0)</f>
        <v>3</v>
      </c>
      <c r="S187" s="5">
        <f>IFERROR(__xludf.DUMMYFUNCTION("""COMPUTED_VALUE"""),74.0)</f>
        <v>74</v>
      </c>
      <c r="T187" s="5" t="str">
        <f>IFERROR(__xludf.DUMMYFUNCTION("""COMPUTED_VALUE"""),"The Shining")</f>
        <v>The Shining</v>
      </c>
      <c r="U187" s="5" t="str">
        <f>IFERROR(__xludf.DUMMYFUNCTION("""COMPUTED_VALUE"""),"Drama")</f>
        <v>Drama</v>
      </c>
      <c r="V187" s="5">
        <f>IFERROR(__xludf.DUMMYFUNCTION("""COMPUTED_VALUE"""),1.0)</f>
        <v>1</v>
      </c>
    </row>
    <row r="188">
      <c r="A188" s="1">
        <v>187.0</v>
      </c>
      <c r="B188" s="1" t="s">
        <v>1312</v>
      </c>
      <c r="C188" s="1" t="s">
        <v>241</v>
      </c>
      <c r="D188" s="1"/>
      <c r="E188" s="1">
        <v>187.0</v>
      </c>
      <c r="F188" s="1" t="s">
        <v>1312</v>
      </c>
      <c r="G188" s="1" t="str">
        <f>IFERROR(__xludf.DUMMYFUNCTION("SPLIT(C188, "", "")"),"Crime")</f>
        <v>Crime</v>
      </c>
      <c r="H188" s="5" t="str">
        <f>IFERROR(__xludf.DUMMYFUNCTION("""COMPUTED_VALUE"""),"Drama")</f>
        <v>Drama</v>
      </c>
      <c r="I188" s="5" t="str">
        <f>IFERROR(__xludf.DUMMYFUNCTION("""COMPUTED_VALUE"""),"Thriller")</f>
        <v>Thriller</v>
      </c>
      <c r="J188" s="5" t="str">
        <f>IFERROR(__xludf.DUMMYFUNCTION("""COMPUTED_VALUE"""),"63🤙🏼Django Unchained🤙🏼Drama🤙🏼1")</f>
        <v>63🤙🏼Django Unchained🤙🏼Drama🤙🏼1</v>
      </c>
      <c r="K188" s="5">
        <f>IFERROR(__xludf.DUMMYFUNCTION("SPLiT(J188, ""🤙🏼"",FALSE,FALSE)"),63.0)</f>
        <v>63</v>
      </c>
      <c r="L188" s="5" t="str">
        <f>IFERROR(__xludf.DUMMYFUNCTION("""COMPUTED_VALUE"""),"Django Unchained")</f>
        <v>Django Unchained</v>
      </c>
      <c r="M188" s="5" t="str">
        <f>IFERROR(__xludf.DUMMYFUNCTION("""COMPUTED_VALUE"""),"Drama")</f>
        <v>Drama</v>
      </c>
      <c r="N188" s="5">
        <f>IFERROR(__xludf.DUMMYFUNCTION("""COMPUTED_VALUE"""),1.0)</f>
        <v>1</v>
      </c>
      <c r="S188" s="5">
        <f>IFERROR(__xludf.DUMMYFUNCTION("""COMPUTED_VALUE"""),74.0)</f>
        <v>74</v>
      </c>
      <c r="T188" s="5" t="str">
        <f>IFERROR(__xludf.DUMMYFUNCTION("""COMPUTED_VALUE"""),"The Shining")</f>
        <v>The Shining</v>
      </c>
      <c r="U188" s="5" t="str">
        <f>IFERROR(__xludf.DUMMYFUNCTION("""COMPUTED_VALUE"""),"Horror")</f>
        <v>Horror</v>
      </c>
      <c r="V188" s="5">
        <f>IFERROR(__xludf.DUMMYFUNCTION("""COMPUTED_VALUE"""),2.0)</f>
        <v>2</v>
      </c>
    </row>
    <row r="189">
      <c r="A189" s="1">
        <v>188.0</v>
      </c>
      <c r="B189" s="1" t="s">
        <v>1319</v>
      </c>
      <c r="C189" s="1" t="s">
        <v>1320</v>
      </c>
      <c r="D189" s="1"/>
      <c r="E189" s="1">
        <v>188.0</v>
      </c>
      <c r="F189" s="1" t="s">
        <v>1319</v>
      </c>
      <c r="G189" s="1" t="str">
        <f>IFERROR(__xludf.DUMMYFUNCTION("SPLIT(C189, "", "")"),"Crime")</f>
        <v>Crime</v>
      </c>
      <c r="H189" s="5" t="str">
        <f>IFERROR(__xludf.DUMMYFUNCTION("""COMPUTED_VALUE"""),"Thriller")</f>
        <v>Thriller</v>
      </c>
      <c r="J189" s="5" t="str">
        <f>IFERROR(__xludf.DUMMYFUNCTION("""COMPUTED_VALUE"""),"63🤙🏼Django Unchained🤙🏼Western🤙🏼2")</f>
        <v>63🤙🏼Django Unchained🤙🏼Western🤙🏼2</v>
      </c>
      <c r="K189" s="5">
        <f>IFERROR(__xludf.DUMMYFUNCTION("SPLiT(J189, ""🤙🏼"",FALSE,FALSE)"),63.0)</f>
        <v>63</v>
      </c>
      <c r="L189" s="5" t="str">
        <f>IFERROR(__xludf.DUMMYFUNCTION("""COMPUTED_VALUE"""),"Django Unchained")</f>
        <v>Django Unchained</v>
      </c>
      <c r="M189" s="5" t="str">
        <f>IFERROR(__xludf.DUMMYFUNCTION("""COMPUTED_VALUE"""),"Western")</f>
        <v>Western</v>
      </c>
      <c r="N189" s="5">
        <f>IFERROR(__xludf.DUMMYFUNCTION("""COMPUTED_VALUE"""),2.0)</f>
        <v>2</v>
      </c>
      <c r="S189" s="5">
        <f>IFERROR(__xludf.DUMMYFUNCTION("""COMPUTED_VALUE"""),75.0)</f>
        <v>75</v>
      </c>
      <c r="T189" s="5" t="str">
        <f>IFERROR(__xludf.DUMMYFUNCTION("""COMPUTED_VALUE"""),"Apocalypse Now")</f>
        <v>Apocalypse Now</v>
      </c>
      <c r="U189" s="5" t="str">
        <f>IFERROR(__xludf.DUMMYFUNCTION("""COMPUTED_VALUE"""),"Drama")</f>
        <v>Drama</v>
      </c>
      <c r="V189" s="5">
        <f>IFERROR(__xludf.DUMMYFUNCTION("""COMPUTED_VALUE"""),1.0)</f>
        <v>1</v>
      </c>
    </row>
    <row r="190">
      <c r="A190" s="1">
        <v>189.0</v>
      </c>
      <c r="B190" s="1" t="s">
        <v>1325</v>
      </c>
      <c r="C190" s="1" t="s">
        <v>20</v>
      </c>
      <c r="D190" s="1"/>
      <c r="E190" s="1">
        <v>189.0</v>
      </c>
      <c r="F190" s="1" t="s">
        <v>1325</v>
      </c>
      <c r="G190" s="1" t="str">
        <f>IFERROR(__xludf.DUMMYFUNCTION("SPLIT(C190, "", "")"),"Drama")</f>
        <v>Drama</v>
      </c>
      <c r="J190" s="5" t="str">
        <f>IFERROR(__xludf.DUMMYFUNCTION("""COMPUTED_VALUE"""),"63🤙🏼Django Unchained🤙🏼🤙🏼3")</f>
        <v>63🤙🏼Django Unchained🤙🏼🤙🏼3</v>
      </c>
      <c r="K190" s="5">
        <f>IFERROR(__xludf.DUMMYFUNCTION("SPLiT(J190, ""🤙🏼"",FALSE,FALSE)"),63.0)</f>
        <v>63</v>
      </c>
      <c r="L190" s="5" t="str">
        <f>IFERROR(__xludf.DUMMYFUNCTION("""COMPUTED_VALUE"""),"Django Unchained")</f>
        <v>Django Unchained</v>
      </c>
      <c r="M190" s="5"/>
      <c r="N190" s="5">
        <f>IFERROR(__xludf.DUMMYFUNCTION("""COMPUTED_VALUE"""),3.0)</f>
        <v>3</v>
      </c>
      <c r="S190" s="5">
        <f>IFERROR(__xludf.DUMMYFUNCTION("""COMPUTED_VALUE"""),75.0)</f>
        <v>75</v>
      </c>
      <c r="T190" s="5" t="str">
        <f>IFERROR(__xludf.DUMMYFUNCTION("""COMPUTED_VALUE"""),"Apocalypse Now")</f>
        <v>Apocalypse Now</v>
      </c>
      <c r="U190" s="5" t="str">
        <f>IFERROR(__xludf.DUMMYFUNCTION("""COMPUTED_VALUE"""),"Mystery")</f>
        <v>Mystery</v>
      </c>
      <c r="V190" s="5">
        <f>IFERROR(__xludf.DUMMYFUNCTION("""COMPUTED_VALUE"""),2.0)</f>
        <v>2</v>
      </c>
    </row>
    <row r="191">
      <c r="A191" s="1">
        <v>190.0</v>
      </c>
      <c r="B191" s="1" t="s">
        <v>1332</v>
      </c>
      <c r="C191" s="1" t="s">
        <v>235</v>
      </c>
      <c r="D191" s="1"/>
      <c r="E191" s="1">
        <v>190.0</v>
      </c>
      <c r="F191" s="1" t="s">
        <v>1332</v>
      </c>
      <c r="G191" s="1" t="str">
        <f>IFERROR(__xludf.DUMMYFUNCTION("SPLIT(C191, "", "")"),"Crime")</f>
        <v>Crime</v>
      </c>
      <c r="H191" s="5" t="str">
        <f>IFERROR(__xludf.DUMMYFUNCTION("""COMPUTED_VALUE"""),"Drama")</f>
        <v>Drama</v>
      </c>
      <c r="I191" s="5" t="str">
        <f>IFERROR(__xludf.DUMMYFUNCTION("""COMPUTED_VALUE"""),"Mystery")</f>
        <v>Mystery</v>
      </c>
      <c r="J191" s="5" t="str">
        <f>IFERROR(__xludf.DUMMYFUNCTION("""COMPUTED_VALUE"""),"64🤙🏼The Dark Knight Rises🤙🏼Action🤙🏼1")</f>
        <v>64🤙🏼The Dark Knight Rises🤙🏼Action🤙🏼1</v>
      </c>
      <c r="K191" s="5">
        <f>IFERROR(__xludf.DUMMYFUNCTION("SPLiT(J191, ""🤙🏼"",FALSE,FALSE)"),64.0)</f>
        <v>64</v>
      </c>
      <c r="L191" s="5" t="str">
        <f>IFERROR(__xludf.DUMMYFUNCTION("""COMPUTED_VALUE"""),"The Dark Knight Rises")</f>
        <v>The Dark Knight Rises</v>
      </c>
      <c r="M191" s="5" t="str">
        <f>IFERROR(__xludf.DUMMYFUNCTION("""COMPUTED_VALUE"""),"Action")</f>
        <v>Action</v>
      </c>
      <c r="N191" s="5">
        <f>IFERROR(__xludf.DUMMYFUNCTION("""COMPUTED_VALUE"""),1.0)</f>
        <v>1</v>
      </c>
      <c r="S191" s="5">
        <f>IFERROR(__xludf.DUMMYFUNCTION("""COMPUTED_VALUE"""),75.0)</f>
        <v>75</v>
      </c>
      <c r="T191" s="5" t="str">
        <f>IFERROR(__xludf.DUMMYFUNCTION("""COMPUTED_VALUE"""),"Apocalypse Now")</f>
        <v>Apocalypse Now</v>
      </c>
      <c r="U191" s="5" t="str">
        <f>IFERROR(__xludf.DUMMYFUNCTION("""COMPUTED_VALUE"""),"War")</f>
        <v>War</v>
      </c>
      <c r="V191" s="5">
        <f>IFERROR(__xludf.DUMMYFUNCTION("""COMPUTED_VALUE"""),3.0)</f>
        <v>3</v>
      </c>
    </row>
    <row r="192">
      <c r="A192" s="1">
        <v>191.0</v>
      </c>
      <c r="B192" s="1" t="s">
        <v>1336</v>
      </c>
      <c r="C192" s="1" t="s">
        <v>20</v>
      </c>
      <c r="D192" s="1"/>
      <c r="E192" s="1">
        <v>191.0</v>
      </c>
      <c r="F192" s="1" t="s">
        <v>1336</v>
      </c>
      <c r="G192" s="1" t="str">
        <f>IFERROR(__xludf.DUMMYFUNCTION("SPLIT(C192, "", "")"),"Drama")</f>
        <v>Drama</v>
      </c>
      <c r="J192" s="5" t="str">
        <f>IFERROR(__xludf.DUMMYFUNCTION("""COMPUTED_VALUE"""),"64🤙🏼The Dark Knight Rises🤙🏼Adventure🤙🏼2")</f>
        <v>64🤙🏼The Dark Knight Rises🤙🏼Adventure🤙🏼2</v>
      </c>
      <c r="K192" s="5">
        <f>IFERROR(__xludf.DUMMYFUNCTION("SPLiT(J192, ""🤙🏼"",FALSE,FALSE)"),64.0)</f>
        <v>64</v>
      </c>
      <c r="L192" s="5" t="str">
        <f>IFERROR(__xludf.DUMMYFUNCTION("""COMPUTED_VALUE"""),"The Dark Knight Rises")</f>
        <v>The Dark Knight Rises</v>
      </c>
      <c r="M192" s="5" t="str">
        <f>IFERROR(__xludf.DUMMYFUNCTION("""COMPUTED_VALUE"""),"Adventure")</f>
        <v>Adventure</v>
      </c>
      <c r="N192" s="5">
        <f>IFERROR(__xludf.DUMMYFUNCTION("""COMPUTED_VALUE"""),2.0)</f>
        <v>2</v>
      </c>
      <c r="S192" s="5">
        <f>IFERROR(__xludf.DUMMYFUNCTION("""COMPUTED_VALUE"""),76.0)</f>
        <v>76</v>
      </c>
      <c r="T192" s="5" t="str">
        <f>IFERROR(__xludf.DUMMYFUNCTION("""COMPUTED_VALUE"""),"Alien")</f>
        <v>Alien</v>
      </c>
      <c r="U192" s="5" t="str">
        <f>IFERROR(__xludf.DUMMYFUNCTION("""COMPUTED_VALUE"""),"Horror")</f>
        <v>Horror</v>
      </c>
      <c r="V192" s="5">
        <f>IFERROR(__xludf.DUMMYFUNCTION("""COMPUTED_VALUE"""),1.0)</f>
        <v>1</v>
      </c>
    </row>
    <row r="193">
      <c r="A193" s="1">
        <v>192.0</v>
      </c>
      <c r="B193" s="1" t="s">
        <v>1343</v>
      </c>
      <c r="C193" s="1" t="s">
        <v>1344</v>
      </c>
      <c r="D193" s="1"/>
      <c r="E193" s="1">
        <v>192.0</v>
      </c>
      <c r="F193" s="1" t="s">
        <v>1343</v>
      </c>
      <c r="G193" s="1" t="str">
        <f>IFERROR(__xludf.DUMMYFUNCTION("SPLIT(C193, "", "")"),"Adventure")</f>
        <v>Adventure</v>
      </c>
      <c r="H193" s="5" t="str">
        <f>IFERROR(__xludf.DUMMYFUNCTION("""COMPUTED_VALUE"""),"Drama")</f>
        <v>Drama</v>
      </c>
      <c r="I193" s="5" t="str">
        <f>IFERROR(__xludf.DUMMYFUNCTION("""COMPUTED_VALUE"""),"Western")</f>
        <v>Western</v>
      </c>
      <c r="J193" s="5" t="str">
        <f>IFERROR(__xludf.DUMMYFUNCTION("""COMPUTED_VALUE"""),"64🤙🏼The Dark Knight Rises🤙🏼🤙🏼3")</f>
        <v>64🤙🏼The Dark Knight Rises🤙🏼🤙🏼3</v>
      </c>
      <c r="K193" s="5">
        <f>IFERROR(__xludf.DUMMYFUNCTION("SPLiT(J193, ""🤙🏼"",FALSE,FALSE)"),64.0)</f>
        <v>64</v>
      </c>
      <c r="L193" s="5" t="str">
        <f>IFERROR(__xludf.DUMMYFUNCTION("""COMPUTED_VALUE"""),"The Dark Knight Rises")</f>
        <v>The Dark Knight Rises</v>
      </c>
      <c r="M193" s="5"/>
      <c r="N193" s="5">
        <f>IFERROR(__xludf.DUMMYFUNCTION("""COMPUTED_VALUE"""),3.0)</f>
        <v>3</v>
      </c>
      <c r="S193" s="5">
        <f>IFERROR(__xludf.DUMMYFUNCTION("""COMPUTED_VALUE"""),76.0)</f>
        <v>76</v>
      </c>
      <c r="T193" s="5" t="str">
        <f>IFERROR(__xludf.DUMMYFUNCTION("""COMPUTED_VALUE"""),"Alien")</f>
        <v>Alien</v>
      </c>
      <c r="U193" s="5" t="str">
        <f>IFERROR(__xludf.DUMMYFUNCTION("""COMPUTED_VALUE"""),"Sci-Fi")</f>
        <v>Sci-Fi</v>
      </c>
      <c r="V193" s="5">
        <f>IFERROR(__xludf.DUMMYFUNCTION("""COMPUTED_VALUE"""),2.0)</f>
        <v>2</v>
      </c>
    </row>
    <row r="194">
      <c r="A194" s="1">
        <v>193.0</v>
      </c>
      <c r="B194" s="1" t="s">
        <v>1350</v>
      </c>
      <c r="C194" s="1" t="s">
        <v>1351</v>
      </c>
      <c r="D194" s="1"/>
      <c r="E194" s="1">
        <v>193.0</v>
      </c>
      <c r="F194" s="1" t="s">
        <v>1350</v>
      </c>
      <c r="G194" s="1" t="str">
        <f>IFERROR(__xludf.DUMMYFUNCTION("SPLIT(C194, "", "")"),"Comedy")</f>
        <v>Comedy</v>
      </c>
      <c r="H194" s="5" t="str">
        <f>IFERROR(__xludf.DUMMYFUNCTION("""COMPUTED_VALUE"""),"War")</f>
        <v>War</v>
      </c>
      <c r="J194" s="5" t="str">
        <f>IFERROR(__xludf.DUMMYFUNCTION("""COMPUTED_VALUE"""),"65🤙🏼3 Idiots🤙🏼Comedy🤙🏼1")</f>
        <v>65🤙🏼3 Idiots🤙🏼Comedy🤙🏼1</v>
      </c>
      <c r="K194" s="5">
        <f>IFERROR(__xludf.DUMMYFUNCTION("SPLiT(J194, ""🤙🏼"",FALSE,FALSE)"),65.0)</f>
        <v>65</v>
      </c>
      <c r="L194" s="5" t="str">
        <f>IFERROR(__xludf.DUMMYFUNCTION("""COMPUTED_VALUE"""),"3 Idiots")</f>
        <v>3 Idiots</v>
      </c>
      <c r="M194" s="5" t="str">
        <f>IFERROR(__xludf.DUMMYFUNCTION("""COMPUTED_VALUE"""),"Comedy")</f>
        <v>Comedy</v>
      </c>
      <c r="N194" s="5">
        <f>IFERROR(__xludf.DUMMYFUNCTION("""COMPUTED_VALUE"""),1.0)</f>
        <v>1</v>
      </c>
      <c r="S194" s="5">
        <f>IFERROR(__xludf.DUMMYFUNCTION("""COMPUTED_VALUE"""),77.0)</f>
        <v>77</v>
      </c>
      <c r="T194" s="5" t="str">
        <f>IFERROR(__xludf.DUMMYFUNCTION("""COMPUTED_VALUE"""),"Anand")</f>
        <v>Anand</v>
      </c>
      <c r="U194" s="5" t="str">
        <f>IFERROR(__xludf.DUMMYFUNCTION("""COMPUTED_VALUE"""),"Drama")</f>
        <v>Drama</v>
      </c>
      <c r="V194" s="5">
        <f>IFERROR(__xludf.DUMMYFUNCTION("""COMPUTED_VALUE"""),1.0)</f>
        <v>1</v>
      </c>
    </row>
    <row r="195">
      <c r="A195" s="1">
        <v>194.0</v>
      </c>
      <c r="B195" s="1" t="s">
        <v>1358</v>
      </c>
      <c r="C195" s="1" t="s">
        <v>1004</v>
      </c>
      <c r="D195" s="1"/>
      <c r="E195" s="1">
        <v>194.0</v>
      </c>
      <c r="F195" s="1" t="s">
        <v>1358</v>
      </c>
      <c r="G195" s="1" t="str">
        <f>IFERROR(__xludf.DUMMYFUNCTION("SPLIT(C195, "", "")"),"Adventure")</f>
        <v>Adventure</v>
      </c>
      <c r="H195" s="5" t="str">
        <f>IFERROR(__xludf.DUMMYFUNCTION("""COMPUTED_VALUE"""),"Comedy")</f>
        <v>Comedy</v>
      </c>
      <c r="I195" s="5" t="str">
        <f>IFERROR(__xludf.DUMMYFUNCTION("""COMPUTED_VALUE"""),"Drama")</f>
        <v>Drama</v>
      </c>
      <c r="J195" s="5" t="str">
        <f>IFERROR(__xludf.DUMMYFUNCTION("""COMPUTED_VALUE"""),"65🤙🏼3 Idiots🤙🏼Drama🤙🏼2")</f>
        <v>65🤙🏼3 Idiots🤙🏼Drama🤙🏼2</v>
      </c>
      <c r="K195" s="5">
        <f>IFERROR(__xludf.DUMMYFUNCTION("SPLiT(J195, ""🤙🏼"",FALSE,FALSE)"),65.0)</f>
        <v>65</v>
      </c>
      <c r="L195" s="5" t="str">
        <f>IFERROR(__xludf.DUMMYFUNCTION("""COMPUTED_VALUE"""),"3 Idiots")</f>
        <v>3 Idiots</v>
      </c>
      <c r="M195" s="5" t="str">
        <f>IFERROR(__xludf.DUMMYFUNCTION("""COMPUTED_VALUE"""),"Drama")</f>
        <v>Drama</v>
      </c>
      <c r="N195" s="5">
        <f>IFERROR(__xludf.DUMMYFUNCTION("""COMPUTED_VALUE"""),2.0)</f>
        <v>2</v>
      </c>
      <c r="S195" s="5">
        <f>IFERROR(__xludf.DUMMYFUNCTION("""COMPUTED_VALUE"""),77.0)</f>
        <v>77</v>
      </c>
      <c r="T195" s="5" t="str">
        <f>IFERROR(__xludf.DUMMYFUNCTION("""COMPUTED_VALUE"""),"Anand")</f>
        <v>Anand</v>
      </c>
      <c r="U195" s="5" t="str">
        <f>IFERROR(__xludf.DUMMYFUNCTION("""COMPUTED_VALUE"""),"Musical")</f>
        <v>Musical</v>
      </c>
      <c r="V195" s="5">
        <f>IFERROR(__xludf.DUMMYFUNCTION("""COMPUTED_VALUE"""),2.0)</f>
        <v>2</v>
      </c>
    </row>
    <row r="196">
      <c r="A196" s="1">
        <v>195.0</v>
      </c>
      <c r="B196" s="1" t="s">
        <v>1362</v>
      </c>
      <c r="C196" s="1" t="s">
        <v>1183</v>
      </c>
      <c r="D196" s="1"/>
      <c r="E196" s="1">
        <v>195.0</v>
      </c>
      <c r="F196" s="1" t="s">
        <v>1362</v>
      </c>
      <c r="G196" s="1" t="str">
        <f>IFERROR(__xludf.DUMMYFUNCTION("SPLIT(C196, "", "")"),"Action")</f>
        <v>Action</v>
      </c>
      <c r="H196" s="5" t="str">
        <f>IFERROR(__xludf.DUMMYFUNCTION("""COMPUTED_VALUE"""),"Comedy")</f>
        <v>Comedy</v>
      </c>
      <c r="I196" s="5" t="str">
        <f>IFERROR(__xludf.DUMMYFUNCTION("""COMPUTED_VALUE"""),"Romance")</f>
        <v>Romance</v>
      </c>
      <c r="J196" s="5" t="str">
        <f>IFERROR(__xludf.DUMMYFUNCTION("""COMPUTED_VALUE"""),"65🤙🏼3 Idiots🤙🏼🤙🏼3")</f>
        <v>65🤙🏼3 Idiots🤙🏼🤙🏼3</v>
      </c>
      <c r="K196" s="5">
        <f>IFERROR(__xludf.DUMMYFUNCTION("SPLiT(J196, ""🤙🏼"",FALSE,FALSE)"),65.0)</f>
        <v>65</v>
      </c>
      <c r="L196" s="5" t="str">
        <f>IFERROR(__xludf.DUMMYFUNCTION("""COMPUTED_VALUE"""),"3 Idiots")</f>
        <v>3 Idiots</v>
      </c>
      <c r="M196" s="5"/>
      <c r="N196" s="5">
        <f>IFERROR(__xludf.DUMMYFUNCTION("""COMPUTED_VALUE"""),3.0)</f>
        <v>3</v>
      </c>
      <c r="S196" s="5">
        <f>IFERROR(__xludf.DUMMYFUNCTION("""COMPUTED_VALUE"""),78.0)</f>
        <v>78</v>
      </c>
      <c r="T196" s="5" t="str">
        <f>IFERROR(__xludf.DUMMYFUNCTION("""COMPUTED_VALUE"""),"Tengoku to jigoku")</f>
        <v>Tengoku to jigoku</v>
      </c>
      <c r="U196" s="5" t="str">
        <f>IFERROR(__xludf.DUMMYFUNCTION("""COMPUTED_VALUE"""),"Crime")</f>
        <v>Crime</v>
      </c>
      <c r="V196" s="5">
        <f>IFERROR(__xludf.DUMMYFUNCTION("""COMPUTED_VALUE"""),1.0)</f>
        <v>1</v>
      </c>
    </row>
    <row r="197">
      <c r="A197" s="1">
        <v>196.0</v>
      </c>
      <c r="B197" s="1" t="s">
        <v>1369</v>
      </c>
      <c r="C197" s="1" t="s">
        <v>107</v>
      </c>
      <c r="D197" s="1"/>
      <c r="E197" s="1">
        <v>196.0</v>
      </c>
      <c r="F197" s="1" t="s">
        <v>1369</v>
      </c>
      <c r="G197" s="1" t="str">
        <f>IFERROR(__xludf.DUMMYFUNCTION("SPLIT(C197, "", "")"),"Drama")</f>
        <v>Drama</v>
      </c>
      <c r="H197" s="5" t="str">
        <f>IFERROR(__xludf.DUMMYFUNCTION("""COMPUTED_VALUE"""),"Romance")</f>
        <v>Romance</v>
      </c>
      <c r="J197" s="5" t="str">
        <f>IFERROR(__xludf.DUMMYFUNCTION("""COMPUTED_VALUE"""),"66🤙🏼Taare Zameen Par🤙🏼Drama🤙🏼1")</f>
        <v>66🤙🏼Taare Zameen Par🤙🏼Drama🤙🏼1</v>
      </c>
      <c r="K197" s="5">
        <f>IFERROR(__xludf.DUMMYFUNCTION("SPLiT(J197, ""🤙🏼"",FALSE,FALSE)"),66.0)</f>
        <v>66</v>
      </c>
      <c r="L197" s="5" t="str">
        <f>IFERROR(__xludf.DUMMYFUNCTION("""COMPUTED_VALUE"""),"Taare Zameen Par")</f>
        <v>Taare Zameen Par</v>
      </c>
      <c r="M197" s="5" t="str">
        <f>IFERROR(__xludf.DUMMYFUNCTION("""COMPUTED_VALUE"""),"Drama")</f>
        <v>Drama</v>
      </c>
      <c r="N197" s="5">
        <f>IFERROR(__xludf.DUMMYFUNCTION("""COMPUTED_VALUE"""),1.0)</f>
        <v>1</v>
      </c>
      <c r="S197" s="5">
        <f>IFERROR(__xludf.DUMMYFUNCTION("""COMPUTED_VALUE"""),78.0)</f>
        <v>78</v>
      </c>
      <c r="T197" s="5" t="str">
        <f>IFERROR(__xludf.DUMMYFUNCTION("""COMPUTED_VALUE"""),"Tengoku to jigoku")</f>
        <v>Tengoku to jigoku</v>
      </c>
      <c r="U197" s="5" t="str">
        <f>IFERROR(__xludf.DUMMYFUNCTION("""COMPUTED_VALUE"""),"Drama")</f>
        <v>Drama</v>
      </c>
      <c r="V197" s="5">
        <f>IFERROR(__xludf.DUMMYFUNCTION("""COMPUTED_VALUE"""),2.0)</f>
        <v>2</v>
      </c>
    </row>
    <row r="198">
      <c r="A198" s="1">
        <v>197.0</v>
      </c>
      <c r="B198" s="1" t="s">
        <v>1376</v>
      </c>
      <c r="C198" s="1" t="s">
        <v>1377</v>
      </c>
      <c r="D198" s="1"/>
      <c r="E198" s="1">
        <v>197.0</v>
      </c>
      <c r="F198" s="1" t="s">
        <v>1376</v>
      </c>
      <c r="G198" s="1" t="str">
        <f>IFERROR(__xludf.DUMMYFUNCTION("SPLIT(C198, "", "")"),"Drama")</f>
        <v>Drama</v>
      </c>
      <c r="H198" s="5" t="str">
        <f>IFERROR(__xludf.DUMMYFUNCTION("""COMPUTED_VALUE"""),"Thriller")</f>
        <v>Thriller</v>
      </c>
      <c r="J198" s="5" t="str">
        <f>IFERROR(__xludf.DUMMYFUNCTION("""COMPUTED_VALUE"""),"66🤙🏼Taare Zameen Par🤙🏼Family🤙🏼2")</f>
        <v>66🤙🏼Taare Zameen Par🤙🏼Family🤙🏼2</v>
      </c>
      <c r="K198" s="5">
        <f>IFERROR(__xludf.DUMMYFUNCTION("SPLiT(J198, ""🤙🏼"",FALSE,FALSE)"),66.0)</f>
        <v>66</v>
      </c>
      <c r="L198" s="5" t="str">
        <f>IFERROR(__xludf.DUMMYFUNCTION("""COMPUTED_VALUE"""),"Taare Zameen Par")</f>
        <v>Taare Zameen Par</v>
      </c>
      <c r="M198" s="5" t="str">
        <f>IFERROR(__xludf.DUMMYFUNCTION("""COMPUTED_VALUE"""),"Family")</f>
        <v>Family</v>
      </c>
      <c r="N198" s="5">
        <f>IFERROR(__xludf.DUMMYFUNCTION("""COMPUTED_VALUE"""),2.0)</f>
        <v>2</v>
      </c>
      <c r="S198" s="5">
        <f>IFERROR(__xludf.DUMMYFUNCTION("""COMPUTED_VALUE"""),78.0)</f>
        <v>78</v>
      </c>
      <c r="T198" s="5" t="str">
        <f>IFERROR(__xludf.DUMMYFUNCTION("""COMPUTED_VALUE"""),"Tengoku to jigoku")</f>
        <v>Tengoku to jigoku</v>
      </c>
      <c r="U198" s="5" t="str">
        <f>IFERROR(__xludf.DUMMYFUNCTION("""COMPUTED_VALUE"""),"Mystery")</f>
        <v>Mystery</v>
      </c>
      <c r="V198" s="5">
        <f>IFERROR(__xludf.DUMMYFUNCTION("""COMPUTED_VALUE"""),3.0)</f>
        <v>3</v>
      </c>
    </row>
    <row r="199">
      <c r="A199" s="1">
        <v>198.0</v>
      </c>
      <c r="B199" s="1" t="s">
        <v>1383</v>
      </c>
      <c r="C199" s="1" t="s">
        <v>1384</v>
      </c>
      <c r="D199" s="1"/>
      <c r="E199" s="1">
        <v>198.0</v>
      </c>
      <c r="F199" s="1" t="s">
        <v>1383</v>
      </c>
      <c r="G199" s="1" t="str">
        <f>IFERROR(__xludf.DUMMYFUNCTION("SPLIT(C199, "", "")"),"Animation")</f>
        <v>Animation</v>
      </c>
      <c r="H199" s="5" t="str">
        <f>IFERROR(__xludf.DUMMYFUNCTION("""COMPUTED_VALUE"""),"Drama")</f>
        <v>Drama</v>
      </c>
      <c r="I199" s="5" t="str">
        <f>IFERROR(__xludf.DUMMYFUNCTION("""COMPUTED_VALUE"""),"Family")</f>
        <v>Family</v>
      </c>
      <c r="J199" s="5" t="str">
        <f>IFERROR(__xludf.DUMMYFUNCTION("""COMPUTED_VALUE"""),"66🤙🏼Taare Zameen Par🤙🏼🤙🏼3")</f>
        <v>66🤙🏼Taare Zameen Par🤙🏼🤙🏼3</v>
      </c>
      <c r="K199" s="5">
        <f>IFERROR(__xludf.DUMMYFUNCTION("SPLiT(J199, ""🤙🏼"",FALSE,FALSE)"),66.0)</f>
        <v>66</v>
      </c>
      <c r="L199" s="5" t="str">
        <f>IFERROR(__xludf.DUMMYFUNCTION("""COMPUTED_VALUE"""),"Taare Zameen Par")</f>
        <v>Taare Zameen Par</v>
      </c>
      <c r="M199" s="5"/>
      <c r="N199" s="5">
        <f>IFERROR(__xludf.DUMMYFUNCTION("""COMPUTED_VALUE"""),3.0)</f>
        <v>3</v>
      </c>
      <c r="S199" s="5">
        <f>IFERROR(__xludf.DUMMYFUNCTION("""COMPUTED_VALUE"""),79.0)</f>
        <v>79</v>
      </c>
      <c r="T199" s="5" t="str">
        <f>IFERROR(__xludf.DUMMYFUNCTION("""COMPUTED_VALUE"""),"Dr. Strangelove or: How I Learned to Stop Worrying and Love the Bomb")</f>
        <v>Dr. Strangelove or: How I Learned to Stop Worrying and Love the Bomb</v>
      </c>
      <c r="U199" s="5" t="str">
        <f>IFERROR(__xludf.DUMMYFUNCTION("""COMPUTED_VALUE"""),"Comedy")</f>
        <v>Comedy</v>
      </c>
      <c r="V199" s="5">
        <f>IFERROR(__xludf.DUMMYFUNCTION("""COMPUTED_VALUE"""),1.0)</f>
        <v>1</v>
      </c>
    </row>
    <row r="200">
      <c r="A200" s="1">
        <v>199.0</v>
      </c>
      <c r="B200" s="1" t="s">
        <v>1389</v>
      </c>
      <c r="C200" s="1" t="s">
        <v>235</v>
      </c>
      <c r="D200" s="1"/>
      <c r="E200" s="1">
        <v>199.0</v>
      </c>
      <c r="F200" s="1" t="s">
        <v>1389</v>
      </c>
      <c r="G200" s="1" t="str">
        <f>IFERROR(__xludf.DUMMYFUNCTION("SPLIT(C200, "", "")"),"Crime")</f>
        <v>Crime</v>
      </c>
      <c r="H200" s="5" t="str">
        <f>IFERROR(__xludf.DUMMYFUNCTION("""COMPUTED_VALUE"""),"Drama")</f>
        <v>Drama</v>
      </c>
      <c r="I200" s="5" t="str">
        <f>IFERROR(__xludf.DUMMYFUNCTION("""COMPUTED_VALUE"""),"Mystery")</f>
        <v>Mystery</v>
      </c>
      <c r="J200" s="5" t="str">
        <f>IFERROR(__xludf.DUMMYFUNCTION("""COMPUTED_VALUE"""),"67🤙🏼WALL·E🤙🏼Animation🤙🏼1")</f>
        <v>67🤙🏼WALL·E🤙🏼Animation🤙🏼1</v>
      </c>
      <c r="K200" s="5">
        <f>IFERROR(__xludf.DUMMYFUNCTION("SPLiT(J200, ""🤙🏼"",FALSE,FALSE)"),67.0)</f>
        <v>67</v>
      </c>
      <c r="L200" s="5" t="str">
        <f>IFERROR(__xludf.DUMMYFUNCTION("""COMPUTED_VALUE"""),"WALL·E")</f>
        <v>WALL·E</v>
      </c>
      <c r="M200" s="5" t="str">
        <f>IFERROR(__xludf.DUMMYFUNCTION("""COMPUTED_VALUE"""),"Animation")</f>
        <v>Animation</v>
      </c>
      <c r="N200" s="5">
        <f>IFERROR(__xludf.DUMMYFUNCTION("""COMPUTED_VALUE"""),1.0)</f>
        <v>1</v>
      </c>
      <c r="S200" s="5">
        <f>IFERROR(__xludf.DUMMYFUNCTION("""COMPUTED_VALUE"""),80.0)</f>
        <v>80</v>
      </c>
      <c r="T200" s="5" t="str">
        <f>IFERROR(__xludf.DUMMYFUNCTION("""COMPUTED_VALUE"""),"Witness for the Prosecution")</f>
        <v>Witness for the Prosecution</v>
      </c>
      <c r="U200" s="5" t="str">
        <f>IFERROR(__xludf.DUMMYFUNCTION("""COMPUTED_VALUE"""),"Crime")</f>
        <v>Crime</v>
      </c>
      <c r="V200" s="5">
        <f>IFERROR(__xludf.DUMMYFUNCTION("""COMPUTED_VALUE"""),1.0)</f>
        <v>1</v>
      </c>
    </row>
    <row r="201">
      <c r="A201" s="1">
        <v>200.0</v>
      </c>
      <c r="B201" s="1" t="s">
        <v>1397</v>
      </c>
      <c r="C201" s="1" t="s">
        <v>1399</v>
      </c>
      <c r="D201" s="1"/>
      <c r="E201" s="1">
        <v>200.0</v>
      </c>
      <c r="F201" s="1" t="s">
        <v>1397</v>
      </c>
      <c r="G201" s="1" t="str">
        <f>IFERROR(__xludf.DUMMYFUNCTION("SPLIT(C201, "", "")"),"Drama")</f>
        <v>Drama</v>
      </c>
      <c r="H201" s="5" t="str">
        <f>IFERROR(__xludf.DUMMYFUNCTION("""COMPUTED_VALUE"""),"Romance")</f>
        <v>Romance</v>
      </c>
      <c r="I201" s="5" t="str">
        <f>IFERROR(__xludf.DUMMYFUNCTION("""COMPUTED_VALUE"""),"Thriller")</f>
        <v>Thriller</v>
      </c>
      <c r="J201" s="5" t="str">
        <f>IFERROR(__xludf.DUMMYFUNCTION("""COMPUTED_VALUE"""),"67🤙🏼WALL·E🤙🏼Adventure🤙🏼2")</f>
        <v>67🤙🏼WALL·E🤙🏼Adventure🤙🏼2</v>
      </c>
      <c r="K201" s="5">
        <f>IFERROR(__xludf.DUMMYFUNCTION("SPLiT(J201, ""🤙🏼"",FALSE,FALSE)"),67.0)</f>
        <v>67</v>
      </c>
      <c r="L201" s="5" t="str">
        <f>IFERROR(__xludf.DUMMYFUNCTION("""COMPUTED_VALUE"""),"WALL·E")</f>
        <v>WALL·E</v>
      </c>
      <c r="M201" s="5" t="str">
        <f>IFERROR(__xludf.DUMMYFUNCTION("""COMPUTED_VALUE"""),"Adventure")</f>
        <v>Adventure</v>
      </c>
      <c r="N201" s="5">
        <f>IFERROR(__xludf.DUMMYFUNCTION("""COMPUTED_VALUE"""),2.0)</f>
        <v>2</v>
      </c>
      <c r="S201" s="5">
        <f>IFERROR(__xludf.DUMMYFUNCTION("""COMPUTED_VALUE"""),80.0)</f>
        <v>80</v>
      </c>
      <c r="T201" s="5" t="str">
        <f>IFERROR(__xludf.DUMMYFUNCTION("""COMPUTED_VALUE"""),"Witness for the Prosecution")</f>
        <v>Witness for the Prosecution</v>
      </c>
      <c r="U201" s="5" t="str">
        <f>IFERROR(__xludf.DUMMYFUNCTION("""COMPUTED_VALUE"""),"Drama")</f>
        <v>Drama</v>
      </c>
      <c r="V201" s="5">
        <f>IFERROR(__xludf.DUMMYFUNCTION("""COMPUTED_VALUE"""),2.0)</f>
        <v>2</v>
      </c>
    </row>
    <row r="202">
      <c r="A202" s="1">
        <v>201.0</v>
      </c>
      <c r="B202" s="1" t="s">
        <v>1405</v>
      </c>
      <c r="C202" s="1" t="s">
        <v>20</v>
      </c>
      <c r="D202" s="1"/>
      <c r="E202" s="1">
        <v>201.0</v>
      </c>
      <c r="F202" s="1" t="s">
        <v>1405</v>
      </c>
      <c r="G202" s="1" t="str">
        <f>IFERROR(__xludf.DUMMYFUNCTION("SPLIT(C202, "", "")"),"Drama")</f>
        <v>Drama</v>
      </c>
      <c r="J202" s="5" t="str">
        <f>IFERROR(__xludf.DUMMYFUNCTION("""COMPUTED_VALUE"""),"67🤙🏼WALL·E🤙🏼Family🤙🏼3")</f>
        <v>67🤙🏼WALL·E🤙🏼Family🤙🏼3</v>
      </c>
      <c r="K202" s="5">
        <f>IFERROR(__xludf.DUMMYFUNCTION("SPLiT(J202, ""🤙🏼"",FALSE,FALSE)"),67.0)</f>
        <v>67</v>
      </c>
      <c r="L202" s="5" t="str">
        <f>IFERROR(__xludf.DUMMYFUNCTION("""COMPUTED_VALUE"""),"WALL·E")</f>
        <v>WALL·E</v>
      </c>
      <c r="M202" s="5" t="str">
        <f>IFERROR(__xludf.DUMMYFUNCTION("""COMPUTED_VALUE"""),"Family")</f>
        <v>Family</v>
      </c>
      <c r="N202" s="5">
        <f>IFERROR(__xludf.DUMMYFUNCTION("""COMPUTED_VALUE"""),3.0)</f>
        <v>3</v>
      </c>
      <c r="S202" s="5">
        <f>IFERROR(__xludf.DUMMYFUNCTION("""COMPUTED_VALUE"""),80.0)</f>
        <v>80</v>
      </c>
      <c r="T202" s="5" t="str">
        <f>IFERROR(__xludf.DUMMYFUNCTION("""COMPUTED_VALUE"""),"Witness for the Prosecution")</f>
        <v>Witness for the Prosecution</v>
      </c>
      <c r="U202" s="5" t="str">
        <f>IFERROR(__xludf.DUMMYFUNCTION("""COMPUTED_VALUE"""),"Mystery")</f>
        <v>Mystery</v>
      </c>
      <c r="V202" s="5">
        <f>IFERROR(__xludf.DUMMYFUNCTION("""COMPUTED_VALUE"""),3.0)</f>
        <v>3</v>
      </c>
    </row>
    <row r="203">
      <c r="A203" s="1">
        <v>202.0</v>
      </c>
      <c r="B203" s="1" t="s">
        <v>1412</v>
      </c>
      <c r="C203" s="1" t="s">
        <v>39</v>
      </c>
      <c r="D203" s="1"/>
      <c r="E203" s="1">
        <v>202.0</v>
      </c>
      <c r="F203" s="1" t="s">
        <v>1412</v>
      </c>
      <c r="G203" s="1" t="str">
        <f>IFERROR(__xludf.DUMMYFUNCTION("SPLIT(C203, "", "")"),"Action")</f>
        <v>Action</v>
      </c>
      <c r="H203" s="5" t="str">
        <f>IFERROR(__xludf.DUMMYFUNCTION("""COMPUTED_VALUE"""),"Crime")</f>
        <v>Crime</v>
      </c>
      <c r="I203" s="5" t="str">
        <f>IFERROR(__xludf.DUMMYFUNCTION("""COMPUTED_VALUE"""),"Drama")</f>
        <v>Drama</v>
      </c>
      <c r="J203" s="5" t="str">
        <f>IFERROR(__xludf.DUMMYFUNCTION("""COMPUTED_VALUE"""),"68🤙🏼The Lives of Others🤙🏼Drama🤙🏼1")</f>
        <v>68🤙🏼The Lives of Others🤙🏼Drama🤙🏼1</v>
      </c>
      <c r="K203" s="5">
        <f>IFERROR(__xludf.DUMMYFUNCTION("SPLiT(J203, ""🤙🏼"",FALSE,FALSE)"),68.0)</f>
        <v>68</v>
      </c>
      <c r="L203" s="5" t="str">
        <f>IFERROR(__xludf.DUMMYFUNCTION("""COMPUTED_VALUE"""),"The Lives of Others")</f>
        <v>The Lives of Others</v>
      </c>
      <c r="M203" s="5" t="str">
        <f>IFERROR(__xludf.DUMMYFUNCTION("""COMPUTED_VALUE"""),"Drama")</f>
        <v>Drama</v>
      </c>
      <c r="N203" s="5">
        <f>IFERROR(__xludf.DUMMYFUNCTION("""COMPUTED_VALUE"""),1.0)</f>
        <v>1</v>
      </c>
      <c r="S203" s="5">
        <f>IFERROR(__xludf.DUMMYFUNCTION("""COMPUTED_VALUE"""),81.0)</f>
        <v>81</v>
      </c>
      <c r="T203" s="5" t="str">
        <f>IFERROR(__xludf.DUMMYFUNCTION("""COMPUTED_VALUE"""),"Paths of Glory")</f>
        <v>Paths of Glory</v>
      </c>
      <c r="U203" s="5" t="str">
        <f>IFERROR(__xludf.DUMMYFUNCTION("""COMPUTED_VALUE"""),"Drama")</f>
        <v>Drama</v>
      </c>
      <c r="V203" s="5">
        <f>IFERROR(__xludf.DUMMYFUNCTION("""COMPUTED_VALUE"""),1.0)</f>
        <v>1</v>
      </c>
    </row>
    <row r="204">
      <c r="A204" s="1">
        <v>203.0</v>
      </c>
      <c r="B204" s="1" t="s">
        <v>1418</v>
      </c>
      <c r="C204" s="1" t="s">
        <v>1109</v>
      </c>
      <c r="D204" s="1"/>
      <c r="E204" s="1">
        <v>203.0</v>
      </c>
      <c r="F204" s="1" t="s">
        <v>1418</v>
      </c>
      <c r="G204" s="1" t="str">
        <f>IFERROR(__xludf.DUMMYFUNCTION("SPLIT(C204, "", "")"),"Action")</f>
        <v>Action</v>
      </c>
      <c r="H204" s="5" t="str">
        <f>IFERROR(__xludf.DUMMYFUNCTION("""COMPUTED_VALUE"""),"Drama")</f>
        <v>Drama</v>
      </c>
      <c r="I204" s="5" t="str">
        <f>IFERROR(__xludf.DUMMYFUNCTION("""COMPUTED_VALUE"""),"Sci-Fi")</f>
        <v>Sci-Fi</v>
      </c>
      <c r="J204" s="5" t="str">
        <f>IFERROR(__xludf.DUMMYFUNCTION("""COMPUTED_VALUE"""),"68🤙🏼The Lives of Others🤙🏼Mystery🤙🏼2")</f>
        <v>68🤙🏼The Lives of Others🤙🏼Mystery🤙🏼2</v>
      </c>
      <c r="K204" s="5">
        <f>IFERROR(__xludf.DUMMYFUNCTION("SPLiT(J204, ""🤙🏼"",FALSE,FALSE)"),68.0)</f>
        <v>68</v>
      </c>
      <c r="L204" s="5" t="str">
        <f>IFERROR(__xludf.DUMMYFUNCTION("""COMPUTED_VALUE"""),"The Lives of Others")</f>
        <v>The Lives of Others</v>
      </c>
      <c r="M204" s="5" t="str">
        <f>IFERROR(__xludf.DUMMYFUNCTION("""COMPUTED_VALUE"""),"Mystery")</f>
        <v>Mystery</v>
      </c>
      <c r="N204" s="5">
        <f>IFERROR(__xludf.DUMMYFUNCTION("""COMPUTED_VALUE"""),2.0)</f>
        <v>2</v>
      </c>
      <c r="S204" s="5">
        <f>IFERROR(__xludf.DUMMYFUNCTION("""COMPUTED_VALUE"""),81.0)</f>
        <v>81</v>
      </c>
      <c r="T204" s="5" t="str">
        <f>IFERROR(__xludf.DUMMYFUNCTION("""COMPUTED_VALUE"""),"Paths of Glory")</f>
        <v>Paths of Glory</v>
      </c>
      <c r="U204" s="5" t="str">
        <f>IFERROR(__xludf.DUMMYFUNCTION("""COMPUTED_VALUE"""),"War")</f>
        <v>War</v>
      </c>
      <c r="V204" s="5">
        <f>IFERROR(__xludf.DUMMYFUNCTION("""COMPUTED_VALUE"""),2.0)</f>
        <v>2</v>
      </c>
    </row>
    <row r="205">
      <c r="A205" s="1">
        <v>204.0</v>
      </c>
      <c r="B205" s="1" t="s">
        <v>1424</v>
      </c>
      <c r="C205" s="1" t="s">
        <v>1377</v>
      </c>
      <c r="D205" s="1"/>
      <c r="E205" s="1">
        <v>204.0</v>
      </c>
      <c r="F205" s="1" t="s">
        <v>1424</v>
      </c>
      <c r="G205" s="1" t="str">
        <f>IFERROR(__xludf.DUMMYFUNCTION("SPLIT(C205, "", "")"),"Drama")</f>
        <v>Drama</v>
      </c>
      <c r="H205" s="5" t="str">
        <f>IFERROR(__xludf.DUMMYFUNCTION("""COMPUTED_VALUE"""),"Thriller")</f>
        <v>Thriller</v>
      </c>
      <c r="J205" s="5" t="str">
        <f>IFERROR(__xludf.DUMMYFUNCTION("""COMPUTED_VALUE"""),"68🤙🏼The Lives of Others🤙🏼Thriller🤙🏼3")</f>
        <v>68🤙🏼The Lives of Others🤙🏼Thriller🤙🏼3</v>
      </c>
      <c r="K205" s="5">
        <f>IFERROR(__xludf.DUMMYFUNCTION("SPLiT(J205, ""🤙🏼"",FALSE,FALSE)"),68.0)</f>
        <v>68</v>
      </c>
      <c r="L205" s="5" t="str">
        <f>IFERROR(__xludf.DUMMYFUNCTION("""COMPUTED_VALUE"""),"The Lives of Others")</f>
        <v>The Lives of Others</v>
      </c>
      <c r="M205" s="5" t="str">
        <f>IFERROR(__xludf.DUMMYFUNCTION("""COMPUTED_VALUE"""),"Thriller")</f>
        <v>Thriller</v>
      </c>
      <c r="N205" s="5">
        <f>IFERROR(__xludf.DUMMYFUNCTION("""COMPUTED_VALUE"""),3.0)</f>
        <v>3</v>
      </c>
      <c r="S205" s="5">
        <f>IFERROR(__xludf.DUMMYFUNCTION("""COMPUTED_VALUE"""),82.0)</f>
        <v>82</v>
      </c>
      <c r="T205" s="5" t="str">
        <f>IFERROR(__xludf.DUMMYFUNCTION("""COMPUTED_VALUE"""),"Rear Window")</f>
        <v>Rear Window</v>
      </c>
      <c r="U205" s="5" t="str">
        <f>IFERROR(__xludf.DUMMYFUNCTION("""COMPUTED_VALUE"""),"Mystery")</f>
        <v>Mystery</v>
      </c>
      <c r="V205" s="5">
        <f>IFERROR(__xludf.DUMMYFUNCTION("""COMPUTED_VALUE"""),1.0)</f>
        <v>1</v>
      </c>
    </row>
    <row r="206">
      <c r="A206" s="1">
        <v>205.0</v>
      </c>
      <c r="B206" s="1" t="s">
        <v>1431</v>
      </c>
      <c r="C206" s="1" t="s">
        <v>171</v>
      </c>
      <c r="D206" s="1"/>
      <c r="E206" s="1">
        <v>205.0</v>
      </c>
      <c r="F206" s="1" t="s">
        <v>1431</v>
      </c>
      <c r="G206" s="1" t="str">
        <f>IFERROR(__xludf.DUMMYFUNCTION("SPLIT(C206, "", "")"),"Comedy")</f>
        <v>Comedy</v>
      </c>
      <c r="H206" s="5" t="str">
        <f>IFERROR(__xludf.DUMMYFUNCTION("""COMPUTED_VALUE"""),"Drama")</f>
        <v>Drama</v>
      </c>
      <c r="I206" s="5" t="str">
        <f>IFERROR(__xludf.DUMMYFUNCTION("""COMPUTED_VALUE"""),"Thriller")</f>
        <v>Thriller</v>
      </c>
      <c r="J206" s="5" t="str">
        <f>IFERROR(__xludf.DUMMYFUNCTION("""COMPUTED_VALUE"""),"69🤙🏼Oldeuboi🤙🏼Action🤙🏼1")</f>
        <v>69🤙🏼Oldeuboi🤙🏼Action🤙🏼1</v>
      </c>
      <c r="K206" s="5">
        <f>IFERROR(__xludf.DUMMYFUNCTION("SPLiT(J206, ""🤙🏼"",FALSE,FALSE)"),69.0)</f>
        <v>69</v>
      </c>
      <c r="L206" s="5" t="str">
        <f>IFERROR(__xludf.DUMMYFUNCTION("""COMPUTED_VALUE"""),"Oldeuboi")</f>
        <v>Oldeuboi</v>
      </c>
      <c r="M206" s="5" t="str">
        <f>IFERROR(__xludf.DUMMYFUNCTION("""COMPUTED_VALUE"""),"Action")</f>
        <v>Action</v>
      </c>
      <c r="N206" s="5">
        <f>IFERROR(__xludf.DUMMYFUNCTION("""COMPUTED_VALUE"""),1.0)</f>
        <v>1</v>
      </c>
      <c r="S206" s="5">
        <f>IFERROR(__xludf.DUMMYFUNCTION("""COMPUTED_VALUE"""),82.0)</f>
        <v>82</v>
      </c>
      <c r="T206" s="5" t="str">
        <f>IFERROR(__xludf.DUMMYFUNCTION("""COMPUTED_VALUE"""),"Rear Window")</f>
        <v>Rear Window</v>
      </c>
      <c r="U206" s="5" t="str">
        <f>IFERROR(__xludf.DUMMYFUNCTION("""COMPUTED_VALUE"""),"Thriller")</f>
        <v>Thriller</v>
      </c>
      <c r="V206" s="5">
        <f>IFERROR(__xludf.DUMMYFUNCTION("""COMPUTED_VALUE"""),2.0)</f>
        <v>2</v>
      </c>
    </row>
    <row r="207">
      <c r="A207" s="1">
        <v>206.0</v>
      </c>
      <c r="B207" s="1" t="s">
        <v>1438</v>
      </c>
      <c r="C207" s="1" t="s">
        <v>765</v>
      </c>
      <c r="D207" s="1"/>
      <c r="E207" s="1">
        <v>206.0</v>
      </c>
      <c r="F207" s="1" t="s">
        <v>1438</v>
      </c>
      <c r="G207" s="1" t="str">
        <f>IFERROR(__xludf.DUMMYFUNCTION("SPLIT(C207, "", "")"),"Animation")</f>
        <v>Animation</v>
      </c>
      <c r="H207" s="5" t="str">
        <f>IFERROR(__xludf.DUMMYFUNCTION("""COMPUTED_VALUE"""),"Adventure")</f>
        <v>Adventure</v>
      </c>
      <c r="I207" s="5" t="str">
        <f>IFERROR(__xludf.DUMMYFUNCTION("""COMPUTED_VALUE"""),"Comedy")</f>
        <v>Comedy</v>
      </c>
      <c r="J207" s="5" t="str">
        <f>IFERROR(__xludf.DUMMYFUNCTION("""COMPUTED_VALUE"""),"69🤙🏼Oldeuboi🤙🏼Drama🤙🏼2")</f>
        <v>69🤙🏼Oldeuboi🤙🏼Drama🤙🏼2</v>
      </c>
      <c r="K207" s="5">
        <f>IFERROR(__xludf.DUMMYFUNCTION("SPLiT(J207, ""🤙🏼"",FALSE,FALSE)"),69.0)</f>
        <v>69</v>
      </c>
      <c r="L207" s="5" t="str">
        <f>IFERROR(__xludf.DUMMYFUNCTION("""COMPUTED_VALUE"""),"Oldeuboi")</f>
        <v>Oldeuboi</v>
      </c>
      <c r="M207" s="5" t="str">
        <f>IFERROR(__xludf.DUMMYFUNCTION("""COMPUTED_VALUE"""),"Drama")</f>
        <v>Drama</v>
      </c>
      <c r="N207" s="5">
        <f>IFERROR(__xludf.DUMMYFUNCTION("""COMPUTED_VALUE"""),2.0)</f>
        <v>2</v>
      </c>
      <c r="S207" s="5">
        <f>IFERROR(__xludf.DUMMYFUNCTION("""COMPUTED_VALUE"""),83.0)</f>
        <v>83</v>
      </c>
      <c r="T207" s="5" t="str">
        <f>IFERROR(__xludf.DUMMYFUNCTION("""COMPUTED_VALUE"""),"Sunset Blvd.")</f>
        <v>Sunset Blvd.</v>
      </c>
      <c r="U207" s="5" t="str">
        <f>IFERROR(__xludf.DUMMYFUNCTION("""COMPUTED_VALUE"""),"Drama")</f>
        <v>Drama</v>
      </c>
      <c r="V207" s="5">
        <f>IFERROR(__xludf.DUMMYFUNCTION("""COMPUTED_VALUE"""),1.0)</f>
        <v>1</v>
      </c>
    </row>
    <row r="208">
      <c r="A208" s="1">
        <v>207.0</v>
      </c>
      <c r="B208" s="1" t="s">
        <v>1444</v>
      </c>
      <c r="C208" s="1" t="s">
        <v>20</v>
      </c>
      <c r="D208" s="1"/>
      <c r="E208" s="1">
        <v>207.0</v>
      </c>
      <c r="F208" s="1" t="s">
        <v>1444</v>
      </c>
      <c r="G208" s="1" t="str">
        <f>IFERROR(__xludf.DUMMYFUNCTION("SPLIT(C208, "", "")"),"Drama")</f>
        <v>Drama</v>
      </c>
      <c r="J208" s="5" t="str">
        <f>IFERROR(__xludf.DUMMYFUNCTION("""COMPUTED_VALUE"""),"69🤙🏼Oldeuboi🤙🏼Mystery🤙🏼3")</f>
        <v>69🤙🏼Oldeuboi🤙🏼Mystery🤙🏼3</v>
      </c>
      <c r="K208" s="5">
        <f>IFERROR(__xludf.DUMMYFUNCTION("SPLiT(J208, ""🤙🏼"",FALSE,FALSE)"),69.0)</f>
        <v>69</v>
      </c>
      <c r="L208" s="5" t="str">
        <f>IFERROR(__xludf.DUMMYFUNCTION("""COMPUTED_VALUE"""),"Oldeuboi")</f>
        <v>Oldeuboi</v>
      </c>
      <c r="M208" s="5" t="str">
        <f>IFERROR(__xludf.DUMMYFUNCTION("""COMPUTED_VALUE"""),"Mystery")</f>
        <v>Mystery</v>
      </c>
      <c r="N208" s="5">
        <f>IFERROR(__xludf.DUMMYFUNCTION("""COMPUTED_VALUE"""),3.0)</f>
        <v>3</v>
      </c>
      <c r="S208" s="5">
        <f>IFERROR(__xludf.DUMMYFUNCTION("""COMPUTED_VALUE"""),83.0)</f>
        <v>83</v>
      </c>
      <c r="T208" s="5" t="str">
        <f>IFERROR(__xludf.DUMMYFUNCTION("""COMPUTED_VALUE"""),"Sunset Blvd.")</f>
        <v>Sunset Blvd.</v>
      </c>
      <c r="U208" s="5" t="str">
        <f>IFERROR(__xludf.DUMMYFUNCTION("""COMPUTED_VALUE"""),"Film-Noir")</f>
        <v>Film-Noir</v>
      </c>
      <c r="V208" s="5">
        <f>IFERROR(__xludf.DUMMYFUNCTION("""COMPUTED_VALUE"""),2.0)</f>
        <v>2</v>
      </c>
    </row>
    <row r="209">
      <c r="A209" s="1">
        <v>208.0</v>
      </c>
      <c r="B209" s="1" t="s">
        <v>1453</v>
      </c>
      <c r="C209" s="1" t="s">
        <v>1454</v>
      </c>
      <c r="D209" s="1"/>
      <c r="E209" s="1">
        <v>208.0</v>
      </c>
      <c r="F209" s="1" t="s">
        <v>1453</v>
      </c>
      <c r="G209" s="1" t="str">
        <f>IFERROR(__xludf.DUMMYFUNCTION("SPLIT(C209, "", "")"),"Comedy")</f>
        <v>Comedy</v>
      </c>
      <c r="H209" s="5" t="str">
        <f>IFERROR(__xludf.DUMMYFUNCTION("""COMPUTED_VALUE"""),"Drama")</f>
        <v>Drama</v>
      </c>
      <c r="I209" s="5" t="str">
        <f>IFERROR(__xludf.DUMMYFUNCTION("""COMPUTED_VALUE"""),"Musical")</f>
        <v>Musical</v>
      </c>
      <c r="J209" s="5" t="str">
        <f>IFERROR(__xludf.DUMMYFUNCTION("""COMPUTED_VALUE"""),"70🤙🏼Memento🤙🏼Mystery🤙🏼1")</f>
        <v>70🤙🏼Memento🤙🏼Mystery🤙🏼1</v>
      </c>
      <c r="K209" s="5">
        <f>IFERROR(__xludf.DUMMYFUNCTION("SPLiT(J209, ""🤙🏼"",FALSE,FALSE)"),70.0)</f>
        <v>70</v>
      </c>
      <c r="L209" s="5" t="str">
        <f>IFERROR(__xludf.DUMMYFUNCTION("""COMPUTED_VALUE"""),"Memento")</f>
        <v>Memento</v>
      </c>
      <c r="M209" s="5" t="str">
        <f>IFERROR(__xludf.DUMMYFUNCTION("""COMPUTED_VALUE"""),"Mystery")</f>
        <v>Mystery</v>
      </c>
      <c r="N209" s="5">
        <f>IFERROR(__xludf.DUMMYFUNCTION("""COMPUTED_VALUE"""),1.0)</f>
        <v>1</v>
      </c>
      <c r="S209" s="5">
        <f>IFERROR(__xludf.DUMMYFUNCTION("""COMPUTED_VALUE"""),84.0)</f>
        <v>84</v>
      </c>
      <c r="T209" s="5" t="str">
        <f>IFERROR(__xludf.DUMMYFUNCTION("""COMPUTED_VALUE"""),"The Great Dictator")</f>
        <v>The Great Dictator</v>
      </c>
      <c r="U209" s="5" t="str">
        <f>IFERROR(__xludf.DUMMYFUNCTION("""COMPUTED_VALUE"""),"Comedy")</f>
        <v>Comedy</v>
      </c>
      <c r="V209" s="5">
        <f>IFERROR(__xludf.DUMMYFUNCTION("""COMPUTED_VALUE"""),1.0)</f>
        <v>1</v>
      </c>
    </row>
    <row r="210">
      <c r="A210" s="1">
        <v>209.0</v>
      </c>
      <c r="B210" s="1" t="s">
        <v>1459</v>
      </c>
      <c r="C210" s="1" t="s">
        <v>1460</v>
      </c>
      <c r="D210" s="1"/>
      <c r="E210" s="1">
        <v>209.0</v>
      </c>
      <c r="F210" s="1" t="s">
        <v>1459</v>
      </c>
      <c r="G210" s="1" t="str">
        <f>IFERROR(__xludf.DUMMYFUNCTION("SPLIT(C210, "", "")"),"Comedy")</f>
        <v>Comedy</v>
      </c>
      <c r="H210" s="5" t="str">
        <f>IFERROR(__xludf.DUMMYFUNCTION("""COMPUTED_VALUE"""),"Drama")</f>
        <v>Drama</v>
      </c>
      <c r="I210" s="5" t="str">
        <f>IFERROR(__xludf.DUMMYFUNCTION("""COMPUTED_VALUE"""),"Fantasy")</f>
        <v>Fantasy</v>
      </c>
      <c r="J210" s="5" t="str">
        <f>IFERROR(__xludf.DUMMYFUNCTION("""COMPUTED_VALUE"""),"70🤙🏼Memento🤙🏼Thriller🤙🏼2")</f>
        <v>70🤙🏼Memento🤙🏼Thriller🤙🏼2</v>
      </c>
      <c r="K210" s="5">
        <f>IFERROR(__xludf.DUMMYFUNCTION("SPLiT(J210, ""🤙🏼"",FALSE,FALSE)"),70.0)</f>
        <v>70</v>
      </c>
      <c r="L210" s="5" t="str">
        <f>IFERROR(__xludf.DUMMYFUNCTION("""COMPUTED_VALUE"""),"Memento")</f>
        <v>Memento</v>
      </c>
      <c r="M210" s="5" t="str">
        <f>IFERROR(__xludf.DUMMYFUNCTION("""COMPUTED_VALUE"""),"Thriller")</f>
        <v>Thriller</v>
      </c>
      <c r="N210" s="5">
        <f>IFERROR(__xludf.DUMMYFUNCTION("""COMPUTED_VALUE"""),2.0)</f>
        <v>2</v>
      </c>
      <c r="S210" s="5">
        <f>IFERROR(__xludf.DUMMYFUNCTION("""COMPUTED_VALUE"""),84.0)</f>
        <v>84</v>
      </c>
      <c r="T210" s="5" t="str">
        <f>IFERROR(__xludf.DUMMYFUNCTION("""COMPUTED_VALUE"""),"The Great Dictator")</f>
        <v>The Great Dictator</v>
      </c>
      <c r="U210" s="5" t="str">
        <f>IFERROR(__xludf.DUMMYFUNCTION("""COMPUTED_VALUE"""),"Drama")</f>
        <v>Drama</v>
      </c>
      <c r="V210" s="5">
        <f>IFERROR(__xludf.DUMMYFUNCTION("""COMPUTED_VALUE"""),2.0)</f>
        <v>2</v>
      </c>
    </row>
    <row r="211">
      <c r="A211" s="1">
        <v>210.0</v>
      </c>
      <c r="B211" s="1" t="s">
        <v>1465</v>
      </c>
      <c r="C211" s="1" t="s">
        <v>1466</v>
      </c>
      <c r="D211" s="1"/>
      <c r="E211" s="1">
        <v>210.0</v>
      </c>
      <c r="F211" s="1" t="s">
        <v>1465</v>
      </c>
      <c r="G211" s="1" t="str">
        <f>IFERROR(__xludf.DUMMYFUNCTION("SPLIT(C211, "", "")"),"Adventure")</f>
        <v>Adventure</v>
      </c>
      <c r="H211" s="5" t="str">
        <f>IFERROR(__xludf.DUMMYFUNCTION("""COMPUTED_VALUE"""),"Comedy")</f>
        <v>Comedy</v>
      </c>
      <c r="I211" s="5" t="str">
        <f>IFERROR(__xludf.DUMMYFUNCTION("""COMPUTED_VALUE"""),"Crime")</f>
        <v>Crime</v>
      </c>
      <c r="J211" s="5" t="str">
        <f>IFERROR(__xludf.DUMMYFUNCTION("""COMPUTED_VALUE"""),"70🤙🏼Memento🤙🏼🤙🏼3")</f>
        <v>70🤙🏼Memento🤙🏼🤙🏼3</v>
      </c>
      <c r="K211" s="5">
        <f>IFERROR(__xludf.DUMMYFUNCTION("SPLiT(J211, ""🤙🏼"",FALSE,FALSE)"),70.0)</f>
        <v>70</v>
      </c>
      <c r="L211" s="5" t="str">
        <f>IFERROR(__xludf.DUMMYFUNCTION("""COMPUTED_VALUE"""),"Memento")</f>
        <v>Memento</v>
      </c>
      <c r="M211" s="5"/>
      <c r="N211" s="5">
        <f>IFERROR(__xludf.DUMMYFUNCTION("""COMPUTED_VALUE"""),3.0)</f>
        <v>3</v>
      </c>
      <c r="S211" s="5">
        <f>IFERROR(__xludf.DUMMYFUNCTION("""COMPUTED_VALUE"""),84.0)</f>
        <v>84</v>
      </c>
      <c r="T211" s="5" t="str">
        <f>IFERROR(__xludf.DUMMYFUNCTION("""COMPUTED_VALUE"""),"The Great Dictator")</f>
        <v>The Great Dictator</v>
      </c>
      <c r="U211" s="5" t="str">
        <f>IFERROR(__xludf.DUMMYFUNCTION("""COMPUTED_VALUE"""),"War")</f>
        <v>War</v>
      </c>
      <c r="V211" s="5">
        <f>IFERROR(__xludf.DUMMYFUNCTION("""COMPUTED_VALUE"""),3.0)</f>
        <v>3</v>
      </c>
    </row>
    <row r="212">
      <c r="A212" s="1">
        <v>211.0</v>
      </c>
      <c r="B212" s="1" t="s">
        <v>1470</v>
      </c>
      <c r="C212" s="1" t="s">
        <v>527</v>
      </c>
      <c r="D212" s="1"/>
      <c r="E212" s="1">
        <v>211.0</v>
      </c>
      <c r="F212" s="1" t="s">
        <v>1470</v>
      </c>
      <c r="G212" s="1" t="str">
        <f>IFERROR(__xludf.DUMMYFUNCTION("SPLIT(C212, "", "")"),"Drama")</f>
        <v>Drama</v>
      </c>
      <c r="H212" s="5" t="str">
        <f>IFERROR(__xludf.DUMMYFUNCTION("""COMPUTED_VALUE"""),"Mystery")</f>
        <v>Mystery</v>
      </c>
      <c r="I212" s="5" t="str">
        <f>IFERROR(__xludf.DUMMYFUNCTION("""COMPUTED_VALUE"""),"Thriller")</f>
        <v>Thriller</v>
      </c>
      <c r="J212" s="5" t="str">
        <f>IFERROR(__xludf.DUMMYFUNCTION("""COMPUTED_VALUE"""),"71🤙🏼Mononoke-hime🤙🏼Animation🤙🏼1")</f>
        <v>71🤙🏼Mononoke-hime🤙🏼Animation🤙🏼1</v>
      </c>
      <c r="K212" s="5">
        <f>IFERROR(__xludf.DUMMYFUNCTION("SPLiT(J212, ""🤙🏼"",FALSE,FALSE)"),71.0)</f>
        <v>71</v>
      </c>
      <c r="L212" s="5" t="str">
        <f>IFERROR(__xludf.DUMMYFUNCTION("""COMPUTED_VALUE"""),"Mononoke-hime")</f>
        <v>Mononoke-hime</v>
      </c>
      <c r="M212" s="5" t="str">
        <f>IFERROR(__xludf.DUMMYFUNCTION("""COMPUTED_VALUE"""),"Animation")</f>
        <v>Animation</v>
      </c>
      <c r="N212" s="5">
        <f>IFERROR(__xludf.DUMMYFUNCTION("""COMPUTED_VALUE"""),1.0)</f>
        <v>1</v>
      </c>
      <c r="S212" s="5">
        <f>IFERROR(__xludf.DUMMYFUNCTION("""COMPUTED_VALUE"""),85.0)</f>
        <v>85</v>
      </c>
      <c r="T212" s="5">
        <f>IFERROR(__xludf.DUMMYFUNCTION("""COMPUTED_VALUE"""),1917.0)</f>
        <v>1917</v>
      </c>
      <c r="U212" s="5" t="str">
        <f>IFERROR(__xludf.DUMMYFUNCTION("""COMPUTED_VALUE"""),"Drama")</f>
        <v>Drama</v>
      </c>
      <c r="V212" s="5">
        <f>IFERROR(__xludf.DUMMYFUNCTION("""COMPUTED_VALUE"""),1.0)</f>
        <v>1</v>
      </c>
    </row>
    <row r="213">
      <c r="A213" s="1">
        <v>212.0</v>
      </c>
      <c r="B213" s="1" t="s">
        <v>1475</v>
      </c>
      <c r="C213" s="1" t="s">
        <v>450</v>
      </c>
      <c r="D213" s="1"/>
      <c r="E213" s="1">
        <v>212.0</v>
      </c>
      <c r="F213" s="1" t="s">
        <v>1475</v>
      </c>
      <c r="G213" s="1" t="str">
        <f>IFERROR(__xludf.DUMMYFUNCTION("SPLIT(C213, "", "")"),"Animation")</f>
        <v>Animation</v>
      </c>
      <c r="H213" s="5" t="str">
        <f>IFERROR(__xludf.DUMMYFUNCTION("""COMPUTED_VALUE"""),"Drama")</f>
        <v>Drama</v>
      </c>
      <c r="I213" s="5" t="str">
        <f>IFERROR(__xludf.DUMMYFUNCTION("""COMPUTED_VALUE"""),"Fantasy")</f>
        <v>Fantasy</v>
      </c>
      <c r="J213" s="5" t="str">
        <f>IFERROR(__xludf.DUMMYFUNCTION("""COMPUTED_VALUE"""),"71🤙🏼Mononoke-hime🤙🏼Action🤙🏼2")</f>
        <v>71🤙🏼Mononoke-hime🤙🏼Action🤙🏼2</v>
      </c>
      <c r="K213" s="5">
        <f>IFERROR(__xludf.DUMMYFUNCTION("SPLiT(J213, ""🤙🏼"",FALSE,FALSE)"),71.0)</f>
        <v>71</v>
      </c>
      <c r="L213" s="5" t="str">
        <f>IFERROR(__xludf.DUMMYFUNCTION("""COMPUTED_VALUE"""),"Mononoke-hime")</f>
        <v>Mononoke-hime</v>
      </c>
      <c r="M213" s="5" t="str">
        <f>IFERROR(__xludf.DUMMYFUNCTION("""COMPUTED_VALUE"""),"Action")</f>
        <v>Action</v>
      </c>
      <c r="N213" s="5">
        <f>IFERROR(__xludf.DUMMYFUNCTION("""COMPUTED_VALUE"""),2.0)</f>
        <v>2</v>
      </c>
      <c r="S213" s="5">
        <f>IFERROR(__xludf.DUMMYFUNCTION("""COMPUTED_VALUE"""),85.0)</f>
        <v>85</v>
      </c>
      <c r="T213" s="5">
        <f>IFERROR(__xludf.DUMMYFUNCTION("""COMPUTED_VALUE"""),1917.0)</f>
        <v>1917</v>
      </c>
      <c r="U213" s="5" t="str">
        <f>IFERROR(__xludf.DUMMYFUNCTION("""COMPUTED_VALUE"""),"Thriller")</f>
        <v>Thriller</v>
      </c>
      <c r="V213" s="5">
        <f>IFERROR(__xludf.DUMMYFUNCTION("""COMPUTED_VALUE"""),2.0)</f>
        <v>2</v>
      </c>
    </row>
    <row r="214">
      <c r="A214" s="1">
        <v>213.0</v>
      </c>
      <c r="B214" s="1" t="s">
        <v>1482</v>
      </c>
      <c r="C214" s="1" t="s">
        <v>79</v>
      </c>
      <c r="D214" s="1"/>
      <c r="E214" s="1">
        <v>213.0</v>
      </c>
      <c r="F214" s="1" t="s">
        <v>1482</v>
      </c>
      <c r="G214" s="1" t="str">
        <f>IFERROR(__xludf.DUMMYFUNCTION("SPLIT(C214, "", "")"),"Biography")</f>
        <v>Biography</v>
      </c>
      <c r="H214" s="5" t="str">
        <f>IFERROR(__xludf.DUMMYFUNCTION("""COMPUTED_VALUE"""),"Drama")</f>
        <v>Drama</v>
      </c>
      <c r="I214" s="5" t="str">
        <f>IFERROR(__xludf.DUMMYFUNCTION("""COMPUTED_VALUE"""),"History")</f>
        <v>History</v>
      </c>
      <c r="J214" s="5" t="str">
        <f>IFERROR(__xludf.DUMMYFUNCTION("""COMPUTED_VALUE"""),"71🤙🏼Mononoke-hime🤙🏼Adventure🤙🏼3")</f>
        <v>71🤙🏼Mononoke-hime🤙🏼Adventure🤙🏼3</v>
      </c>
      <c r="K214" s="5">
        <f>IFERROR(__xludf.DUMMYFUNCTION("SPLiT(J214, ""🤙🏼"",FALSE,FALSE)"),71.0)</f>
        <v>71</v>
      </c>
      <c r="L214" s="5" t="str">
        <f>IFERROR(__xludf.DUMMYFUNCTION("""COMPUTED_VALUE"""),"Mononoke-hime")</f>
        <v>Mononoke-hime</v>
      </c>
      <c r="M214" s="5" t="str">
        <f>IFERROR(__xludf.DUMMYFUNCTION("""COMPUTED_VALUE"""),"Adventure")</f>
        <v>Adventure</v>
      </c>
      <c r="N214" s="5">
        <f>IFERROR(__xludf.DUMMYFUNCTION("""COMPUTED_VALUE"""),3.0)</f>
        <v>3</v>
      </c>
      <c r="S214" s="5">
        <f>IFERROR(__xludf.DUMMYFUNCTION("""COMPUTED_VALUE"""),85.0)</f>
        <v>85</v>
      </c>
      <c r="T214" s="5">
        <f>IFERROR(__xludf.DUMMYFUNCTION("""COMPUTED_VALUE"""),1917.0)</f>
        <v>1917</v>
      </c>
      <c r="U214" s="5" t="str">
        <f>IFERROR(__xludf.DUMMYFUNCTION("""COMPUTED_VALUE"""),"War")</f>
        <v>War</v>
      </c>
      <c r="V214" s="5">
        <f>IFERROR(__xludf.DUMMYFUNCTION("""COMPUTED_VALUE"""),3.0)</f>
        <v>3</v>
      </c>
    </row>
    <row r="215">
      <c r="A215" s="1">
        <v>214.0</v>
      </c>
      <c r="B215" s="1" t="s">
        <v>1488</v>
      </c>
      <c r="C215" s="1" t="s">
        <v>765</v>
      </c>
      <c r="D215" s="1"/>
      <c r="E215" s="1">
        <v>214.0</v>
      </c>
      <c r="F215" s="1" t="s">
        <v>1488</v>
      </c>
      <c r="G215" s="1" t="str">
        <f>IFERROR(__xludf.DUMMYFUNCTION("SPLIT(C215, "", "")"),"Animation")</f>
        <v>Animation</v>
      </c>
      <c r="H215" s="5" t="str">
        <f>IFERROR(__xludf.DUMMYFUNCTION("""COMPUTED_VALUE"""),"Adventure")</f>
        <v>Adventure</v>
      </c>
      <c r="I215" s="5" t="str">
        <f>IFERROR(__xludf.DUMMYFUNCTION("""COMPUTED_VALUE"""),"Comedy")</f>
        <v>Comedy</v>
      </c>
      <c r="J215" s="5" t="str">
        <f>IFERROR(__xludf.DUMMYFUNCTION("""COMPUTED_VALUE"""),"72🤙🏼Once Upon a Time in America🤙🏼Crime🤙🏼1")</f>
        <v>72🤙🏼Once Upon a Time in America🤙🏼Crime🤙🏼1</v>
      </c>
      <c r="K215" s="5">
        <f>IFERROR(__xludf.DUMMYFUNCTION("SPLiT(J215, ""🤙🏼"",FALSE,FALSE)"),72.0)</f>
        <v>72</v>
      </c>
      <c r="L215" s="5" t="str">
        <f>IFERROR(__xludf.DUMMYFUNCTION("""COMPUTED_VALUE"""),"Once Upon a Time in America")</f>
        <v>Once Upon a Time in America</v>
      </c>
      <c r="M215" s="5" t="str">
        <f>IFERROR(__xludf.DUMMYFUNCTION("""COMPUTED_VALUE"""),"Crime")</f>
        <v>Crime</v>
      </c>
      <c r="N215" s="5">
        <f>IFERROR(__xludf.DUMMYFUNCTION("""COMPUTED_VALUE"""),1.0)</f>
        <v>1</v>
      </c>
      <c r="S215" s="5">
        <f>IFERROR(__xludf.DUMMYFUNCTION("""COMPUTED_VALUE"""),86.0)</f>
        <v>86</v>
      </c>
      <c r="T215" s="5" t="str">
        <f>IFERROR(__xludf.DUMMYFUNCTION("""COMPUTED_VALUE"""),"Tumbbad")</f>
        <v>Tumbbad</v>
      </c>
      <c r="U215" s="5" t="str">
        <f>IFERROR(__xludf.DUMMYFUNCTION("""COMPUTED_VALUE"""),"Drama")</f>
        <v>Drama</v>
      </c>
      <c r="V215" s="5">
        <f>IFERROR(__xludf.DUMMYFUNCTION("""COMPUTED_VALUE"""),1.0)</f>
        <v>1</v>
      </c>
    </row>
    <row r="216">
      <c r="A216" s="1">
        <v>215.0</v>
      </c>
      <c r="B216" s="1" t="s">
        <v>1494</v>
      </c>
      <c r="C216" s="1" t="s">
        <v>227</v>
      </c>
      <c r="D216" s="1"/>
      <c r="E216" s="1">
        <v>215.0</v>
      </c>
      <c r="F216" s="1" t="s">
        <v>1494</v>
      </c>
      <c r="G216" s="1" t="str">
        <f>IFERROR(__xludf.DUMMYFUNCTION("SPLIT(C216, "", "")"),"Comedy")</f>
        <v>Comedy</v>
      </c>
      <c r="H216" s="5" t="str">
        <f>IFERROR(__xludf.DUMMYFUNCTION("""COMPUTED_VALUE"""),"Drama")</f>
        <v>Drama</v>
      </c>
      <c r="I216" s="5" t="str">
        <f>IFERROR(__xludf.DUMMYFUNCTION("""COMPUTED_VALUE"""),"Romance")</f>
        <v>Romance</v>
      </c>
      <c r="J216" s="5" t="str">
        <f>IFERROR(__xludf.DUMMYFUNCTION("""COMPUTED_VALUE"""),"72🤙🏼Once Upon a Time in America🤙🏼Drama🤙🏼2")</f>
        <v>72🤙🏼Once Upon a Time in America🤙🏼Drama🤙🏼2</v>
      </c>
      <c r="K216" s="5">
        <f>IFERROR(__xludf.DUMMYFUNCTION("SPLiT(J216, ""🤙🏼"",FALSE,FALSE)"),72.0)</f>
        <v>72</v>
      </c>
      <c r="L216" s="5" t="str">
        <f>IFERROR(__xludf.DUMMYFUNCTION("""COMPUTED_VALUE"""),"Once Upon a Time in America")</f>
        <v>Once Upon a Time in America</v>
      </c>
      <c r="M216" s="5" t="str">
        <f>IFERROR(__xludf.DUMMYFUNCTION("""COMPUTED_VALUE"""),"Drama")</f>
        <v>Drama</v>
      </c>
      <c r="N216" s="5">
        <f>IFERROR(__xludf.DUMMYFUNCTION("""COMPUTED_VALUE"""),2.0)</f>
        <v>2</v>
      </c>
      <c r="S216" s="5">
        <f>IFERROR(__xludf.DUMMYFUNCTION("""COMPUTED_VALUE"""),86.0)</f>
        <v>86</v>
      </c>
      <c r="T216" s="5" t="str">
        <f>IFERROR(__xludf.DUMMYFUNCTION("""COMPUTED_VALUE"""),"Tumbbad")</f>
        <v>Tumbbad</v>
      </c>
      <c r="U216" s="5" t="str">
        <f>IFERROR(__xludf.DUMMYFUNCTION("""COMPUTED_VALUE"""),"Fantasy")</f>
        <v>Fantasy</v>
      </c>
      <c r="V216" s="5">
        <f>IFERROR(__xludf.DUMMYFUNCTION("""COMPUTED_VALUE"""),2.0)</f>
        <v>2</v>
      </c>
    </row>
    <row r="217">
      <c r="A217" s="1">
        <v>216.0</v>
      </c>
      <c r="B217" s="1" t="s">
        <v>1501</v>
      </c>
      <c r="C217" s="1" t="s">
        <v>79</v>
      </c>
      <c r="D217" s="1"/>
      <c r="E217" s="1">
        <v>216.0</v>
      </c>
      <c r="F217" s="1" t="s">
        <v>1501</v>
      </c>
      <c r="G217" s="1" t="str">
        <f>IFERROR(__xludf.DUMMYFUNCTION("SPLIT(C217, "", "")"),"Biography")</f>
        <v>Biography</v>
      </c>
      <c r="H217" s="5" t="str">
        <f>IFERROR(__xludf.DUMMYFUNCTION("""COMPUTED_VALUE"""),"Drama")</f>
        <v>Drama</v>
      </c>
      <c r="I217" s="5" t="str">
        <f>IFERROR(__xludf.DUMMYFUNCTION("""COMPUTED_VALUE"""),"History")</f>
        <v>History</v>
      </c>
      <c r="J217" s="5" t="str">
        <f>IFERROR(__xludf.DUMMYFUNCTION("""COMPUTED_VALUE"""),"72🤙🏼Once Upon a Time in America🤙🏼🤙🏼3")</f>
        <v>72🤙🏼Once Upon a Time in America🤙🏼🤙🏼3</v>
      </c>
      <c r="K217" s="5">
        <f>IFERROR(__xludf.DUMMYFUNCTION("SPLiT(J217, ""🤙🏼"",FALSE,FALSE)"),72.0)</f>
        <v>72</v>
      </c>
      <c r="L217" s="5" t="str">
        <f>IFERROR(__xludf.DUMMYFUNCTION("""COMPUTED_VALUE"""),"Once Upon a Time in America")</f>
        <v>Once Upon a Time in America</v>
      </c>
      <c r="M217" s="5"/>
      <c r="N217" s="5">
        <f>IFERROR(__xludf.DUMMYFUNCTION("""COMPUTED_VALUE"""),3.0)</f>
        <v>3</v>
      </c>
      <c r="S217" s="5">
        <f>IFERROR(__xludf.DUMMYFUNCTION("""COMPUTED_VALUE"""),86.0)</f>
        <v>86</v>
      </c>
      <c r="T217" s="5" t="str">
        <f>IFERROR(__xludf.DUMMYFUNCTION("""COMPUTED_VALUE"""),"Tumbbad")</f>
        <v>Tumbbad</v>
      </c>
      <c r="U217" s="5" t="str">
        <f>IFERROR(__xludf.DUMMYFUNCTION("""COMPUTED_VALUE"""),"Horror")</f>
        <v>Horror</v>
      </c>
      <c r="V217" s="5">
        <f>IFERROR(__xludf.DUMMYFUNCTION("""COMPUTED_VALUE"""),3.0)</f>
        <v>3</v>
      </c>
    </row>
    <row r="218">
      <c r="A218" s="1">
        <v>217.0</v>
      </c>
      <c r="B218" s="1" t="s">
        <v>1506</v>
      </c>
      <c r="C218" s="1" t="s">
        <v>458</v>
      </c>
      <c r="D218" s="1"/>
      <c r="E218" s="1">
        <v>217.0</v>
      </c>
      <c r="F218" s="1" t="s">
        <v>1506</v>
      </c>
      <c r="G218" s="1" t="str">
        <f>IFERROR(__xludf.DUMMYFUNCTION("SPLIT(C218, "", "")"),"Action")</f>
        <v>Action</v>
      </c>
      <c r="H218" s="5" t="str">
        <f>IFERROR(__xludf.DUMMYFUNCTION("""COMPUTED_VALUE"""),"Biography")</f>
        <v>Biography</v>
      </c>
      <c r="I218" s="5" t="str">
        <f>IFERROR(__xludf.DUMMYFUNCTION("""COMPUTED_VALUE"""),"Drama")</f>
        <v>Drama</v>
      </c>
      <c r="J218" s="5" t="str">
        <f>IFERROR(__xludf.DUMMYFUNCTION("""COMPUTED_VALUE"""),"73🤙🏼Raiders of the Lost Ark🤙🏼Action🤙🏼1")</f>
        <v>73🤙🏼Raiders of the Lost Ark🤙🏼Action🤙🏼1</v>
      </c>
      <c r="K218" s="5">
        <f>IFERROR(__xludf.DUMMYFUNCTION("SPLiT(J218, ""🤙🏼"",FALSE,FALSE)"),73.0)</f>
        <v>73</v>
      </c>
      <c r="L218" s="5" t="str">
        <f>IFERROR(__xludf.DUMMYFUNCTION("""COMPUTED_VALUE"""),"Raiders of the Lost Ark")</f>
        <v>Raiders of the Lost Ark</v>
      </c>
      <c r="M218" s="5" t="str">
        <f>IFERROR(__xludf.DUMMYFUNCTION("""COMPUTED_VALUE"""),"Action")</f>
        <v>Action</v>
      </c>
      <c r="N218" s="5">
        <f>IFERROR(__xludf.DUMMYFUNCTION("""COMPUTED_VALUE"""),1.0)</f>
        <v>1</v>
      </c>
      <c r="S218" s="5">
        <f>IFERROR(__xludf.DUMMYFUNCTION("""COMPUTED_VALUE"""),87.0)</f>
        <v>87</v>
      </c>
      <c r="T218" s="5" t="str">
        <f>IFERROR(__xludf.DUMMYFUNCTION("""COMPUTED_VALUE"""),"Andhadhun")</f>
        <v>Andhadhun</v>
      </c>
      <c r="U218" s="5" t="str">
        <f>IFERROR(__xludf.DUMMYFUNCTION("""COMPUTED_VALUE"""),"Crime")</f>
        <v>Crime</v>
      </c>
      <c r="V218" s="5">
        <f>IFERROR(__xludf.DUMMYFUNCTION("""COMPUTED_VALUE"""),1.0)</f>
        <v>1</v>
      </c>
    </row>
    <row r="219">
      <c r="A219" s="1">
        <v>218.0</v>
      </c>
      <c r="B219" s="1" t="s">
        <v>1510</v>
      </c>
      <c r="C219" s="1" t="s">
        <v>458</v>
      </c>
      <c r="D219" s="1"/>
      <c r="E219" s="1">
        <v>218.0</v>
      </c>
      <c r="F219" s="1" t="s">
        <v>1510</v>
      </c>
      <c r="G219" s="1" t="str">
        <f>IFERROR(__xludf.DUMMYFUNCTION("SPLIT(C219, "", "")"),"Action")</f>
        <v>Action</v>
      </c>
      <c r="H219" s="5" t="str">
        <f>IFERROR(__xludf.DUMMYFUNCTION("""COMPUTED_VALUE"""),"Biography")</f>
        <v>Biography</v>
      </c>
      <c r="I219" s="5" t="str">
        <f>IFERROR(__xludf.DUMMYFUNCTION("""COMPUTED_VALUE"""),"Drama")</f>
        <v>Drama</v>
      </c>
      <c r="J219" s="5" t="str">
        <f>IFERROR(__xludf.DUMMYFUNCTION("""COMPUTED_VALUE"""),"73🤙🏼Raiders of the Lost Ark🤙🏼Adventure🤙🏼2")</f>
        <v>73🤙🏼Raiders of the Lost Ark🤙🏼Adventure🤙🏼2</v>
      </c>
      <c r="K219" s="5">
        <f>IFERROR(__xludf.DUMMYFUNCTION("SPLiT(J219, ""🤙🏼"",FALSE,FALSE)"),73.0)</f>
        <v>73</v>
      </c>
      <c r="L219" s="5" t="str">
        <f>IFERROR(__xludf.DUMMYFUNCTION("""COMPUTED_VALUE"""),"Raiders of the Lost Ark")</f>
        <v>Raiders of the Lost Ark</v>
      </c>
      <c r="M219" s="5" t="str">
        <f>IFERROR(__xludf.DUMMYFUNCTION("""COMPUTED_VALUE"""),"Adventure")</f>
        <v>Adventure</v>
      </c>
      <c r="N219" s="5">
        <f>IFERROR(__xludf.DUMMYFUNCTION("""COMPUTED_VALUE"""),2.0)</f>
        <v>2</v>
      </c>
      <c r="S219" s="5">
        <f>IFERROR(__xludf.DUMMYFUNCTION("""COMPUTED_VALUE"""),87.0)</f>
        <v>87</v>
      </c>
      <c r="T219" s="5" t="str">
        <f>IFERROR(__xludf.DUMMYFUNCTION("""COMPUTED_VALUE"""),"Andhadhun")</f>
        <v>Andhadhun</v>
      </c>
      <c r="U219" s="5" t="str">
        <f>IFERROR(__xludf.DUMMYFUNCTION("""COMPUTED_VALUE"""),"Drama")</f>
        <v>Drama</v>
      </c>
      <c r="V219" s="5">
        <f>IFERROR(__xludf.DUMMYFUNCTION("""COMPUTED_VALUE"""),2.0)</f>
        <v>2</v>
      </c>
    </row>
    <row r="220">
      <c r="A220" s="1">
        <v>219.0</v>
      </c>
      <c r="B220" s="1" t="s">
        <v>1514</v>
      </c>
      <c r="C220" s="1" t="s">
        <v>137</v>
      </c>
      <c r="D220" s="1"/>
      <c r="E220" s="1">
        <v>219.0</v>
      </c>
      <c r="F220" s="1" t="s">
        <v>1514</v>
      </c>
      <c r="G220" s="1" t="str">
        <f>IFERROR(__xludf.DUMMYFUNCTION("SPLIT(C220, "", "")"),"Biography")</f>
        <v>Biography</v>
      </c>
      <c r="H220" s="5" t="str">
        <f>IFERROR(__xludf.DUMMYFUNCTION("""COMPUTED_VALUE"""),"Crime")</f>
        <v>Crime</v>
      </c>
      <c r="I220" s="5" t="str">
        <f>IFERROR(__xludf.DUMMYFUNCTION("""COMPUTED_VALUE"""),"Drama")</f>
        <v>Drama</v>
      </c>
      <c r="J220" s="5" t="str">
        <f>IFERROR(__xludf.DUMMYFUNCTION("""COMPUTED_VALUE"""),"73🤙🏼Raiders of the Lost Ark🤙🏼🤙🏼3")</f>
        <v>73🤙🏼Raiders of the Lost Ark🤙🏼🤙🏼3</v>
      </c>
      <c r="K220" s="5">
        <f>IFERROR(__xludf.DUMMYFUNCTION("SPLiT(J220, ""🤙🏼"",FALSE,FALSE)"),73.0)</f>
        <v>73</v>
      </c>
      <c r="L220" s="5" t="str">
        <f>IFERROR(__xludf.DUMMYFUNCTION("""COMPUTED_VALUE"""),"Raiders of the Lost Ark")</f>
        <v>Raiders of the Lost Ark</v>
      </c>
      <c r="M220" s="5"/>
      <c r="N220" s="5">
        <f>IFERROR(__xludf.DUMMYFUNCTION("""COMPUTED_VALUE"""),3.0)</f>
        <v>3</v>
      </c>
      <c r="S220" s="5">
        <f>IFERROR(__xludf.DUMMYFUNCTION("""COMPUTED_VALUE"""),87.0)</f>
        <v>87</v>
      </c>
      <c r="T220" s="5" t="str">
        <f>IFERROR(__xludf.DUMMYFUNCTION("""COMPUTED_VALUE"""),"Andhadhun")</f>
        <v>Andhadhun</v>
      </c>
      <c r="U220" s="5" t="str">
        <f>IFERROR(__xludf.DUMMYFUNCTION("""COMPUTED_VALUE"""),"Music")</f>
        <v>Music</v>
      </c>
      <c r="V220" s="5">
        <f>IFERROR(__xludf.DUMMYFUNCTION("""COMPUTED_VALUE"""),3.0)</f>
        <v>3</v>
      </c>
    </row>
    <row r="221">
      <c r="A221" s="1">
        <v>220.0</v>
      </c>
      <c r="B221" s="1" t="s">
        <v>1520</v>
      </c>
      <c r="C221" s="1" t="s">
        <v>352</v>
      </c>
      <c r="D221" s="1"/>
      <c r="E221" s="1">
        <v>220.0</v>
      </c>
      <c r="F221" s="1" t="s">
        <v>1520</v>
      </c>
      <c r="G221" s="1" t="str">
        <f>IFERROR(__xludf.DUMMYFUNCTION("SPLIT(C221, "", "")"),"Animation")</f>
        <v>Animation</v>
      </c>
      <c r="H221" s="5" t="str">
        <f>IFERROR(__xludf.DUMMYFUNCTION("""COMPUTED_VALUE"""),"Adventure")</f>
        <v>Adventure</v>
      </c>
      <c r="I221" s="5" t="str">
        <f>IFERROR(__xludf.DUMMYFUNCTION("""COMPUTED_VALUE"""),"Drama")</f>
        <v>Drama</v>
      </c>
      <c r="J221" s="5" t="str">
        <f>IFERROR(__xludf.DUMMYFUNCTION("""COMPUTED_VALUE"""),"74🤙🏼The Shining🤙🏼Drama🤙🏼1")</f>
        <v>74🤙🏼The Shining🤙🏼Drama🤙🏼1</v>
      </c>
      <c r="K221" s="5">
        <f>IFERROR(__xludf.DUMMYFUNCTION("SPLiT(J221, ""🤙🏼"",FALSE,FALSE)"),74.0)</f>
        <v>74</v>
      </c>
      <c r="L221" s="5" t="str">
        <f>IFERROR(__xludf.DUMMYFUNCTION("""COMPUTED_VALUE"""),"The Shining")</f>
        <v>The Shining</v>
      </c>
      <c r="M221" s="5" t="str">
        <f>IFERROR(__xludf.DUMMYFUNCTION("""COMPUTED_VALUE"""),"Drama")</f>
        <v>Drama</v>
      </c>
      <c r="N221" s="5">
        <f>IFERROR(__xludf.DUMMYFUNCTION("""COMPUTED_VALUE"""),1.0)</f>
        <v>1</v>
      </c>
      <c r="S221" s="5">
        <f>IFERROR(__xludf.DUMMYFUNCTION("""COMPUTED_VALUE"""),88.0)</f>
        <v>88</v>
      </c>
      <c r="T221" s="5" t="str">
        <f>IFERROR(__xludf.DUMMYFUNCTION("""COMPUTED_VALUE"""),"Drishyam")</f>
        <v>Drishyam</v>
      </c>
      <c r="U221" s="5" t="str">
        <f>IFERROR(__xludf.DUMMYFUNCTION("""COMPUTED_VALUE"""),"Crime")</f>
        <v>Crime</v>
      </c>
      <c r="V221" s="5">
        <f>IFERROR(__xludf.DUMMYFUNCTION("""COMPUTED_VALUE"""),1.0)</f>
        <v>1</v>
      </c>
    </row>
    <row r="222">
      <c r="A222" s="1">
        <v>221.0</v>
      </c>
      <c r="B222" s="1" t="s">
        <v>1528</v>
      </c>
      <c r="C222" s="1" t="s">
        <v>544</v>
      </c>
      <c r="D222" s="1"/>
      <c r="E222" s="1">
        <v>221.0</v>
      </c>
      <c r="F222" s="1" t="s">
        <v>1528</v>
      </c>
      <c r="G222" s="1" t="str">
        <f>IFERROR(__xludf.DUMMYFUNCTION("SPLIT(C222, "", "")"),"Mystery")</f>
        <v>Mystery</v>
      </c>
      <c r="H222" s="5" t="str">
        <f>IFERROR(__xludf.DUMMYFUNCTION("""COMPUTED_VALUE"""),"Thriller")</f>
        <v>Thriller</v>
      </c>
      <c r="J222" s="5" t="str">
        <f>IFERROR(__xludf.DUMMYFUNCTION("""COMPUTED_VALUE"""),"74🤙🏼The Shining🤙🏼Horror🤙🏼2")</f>
        <v>74🤙🏼The Shining🤙🏼Horror🤙🏼2</v>
      </c>
      <c r="K222" s="5">
        <f>IFERROR(__xludf.DUMMYFUNCTION("SPLiT(J222, ""🤙🏼"",FALSE,FALSE)"),74.0)</f>
        <v>74</v>
      </c>
      <c r="L222" s="5" t="str">
        <f>IFERROR(__xludf.DUMMYFUNCTION("""COMPUTED_VALUE"""),"The Shining")</f>
        <v>The Shining</v>
      </c>
      <c r="M222" s="5" t="str">
        <f>IFERROR(__xludf.DUMMYFUNCTION("""COMPUTED_VALUE"""),"Horror")</f>
        <v>Horror</v>
      </c>
      <c r="N222" s="5">
        <f>IFERROR(__xludf.DUMMYFUNCTION("""COMPUTED_VALUE"""),2.0)</f>
        <v>2</v>
      </c>
      <c r="S222" s="5">
        <f>IFERROR(__xludf.DUMMYFUNCTION("""COMPUTED_VALUE"""),88.0)</f>
        <v>88</v>
      </c>
      <c r="T222" s="5" t="str">
        <f>IFERROR(__xludf.DUMMYFUNCTION("""COMPUTED_VALUE"""),"Drishyam")</f>
        <v>Drishyam</v>
      </c>
      <c r="U222" s="5" t="str">
        <f>IFERROR(__xludf.DUMMYFUNCTION("""COMPUTED_VALUE"""),"Drama")</f>
        <v>Drama</v>
      </c>
      <c r="V222" s="5">
        <f>IFERROR(__xludf.DUMMYFUNCTION("""COMPUTED_VALUE"""),2.0)</f>
        <v>2</v>
      </c>
    </row>
    <row r="223">
      <c r="A223" s="1">
        <v>222.0</v>
      </c>
      <c r="B223" s="1" t="s">
        <v>1534</v>
      </c>
      <c r="C223" s="1" t="s">
        <v>507</v>
      </c>
      <c r="D223" s="1"/>
      <c r="E223" s="1">
        <v>222.0</v>
      </c>
      <c r="F223" s="1" t="s">
        <v>1534</v>
      </c>
      <c r="G223" s="1" t="str">
        <f>IFERROR(__xludf.DUMMYFUNCTION("SPLIT(C223, "", "")"),"Comedy")</f>
        <v>Comedy</v>
      </c>
      <c r="H223" s="5" t="str">
        <f>IFERROR(__xludf.DUMMYFUNCTION("""COMPUTED_VALUE"""),"Drama")</f>
        <v>Drama</v>
      </c>
      <c r="J223" s="5" t="str">
        <f>IFERROR(__xludf.DUMMYFUNCTION("""COMPUTED_VALUE"""),"74🤙🏼The Shining🤙🏼🤙🏼3")</f>
        <v>74🤙🏼The Shining🤙🏼🤙🏼3</v>
      </c>
      <c r="K223" s="5">
        <f>IFERROR(__xludf.DUMMYFUNCTION("SPLiT(J223, ""🤙🏼"",FALSE,FALSE)"),74.0)</f>
        <v>74</v>
      </c>
      <c r="L223" s="5" t="str">
        <f>IFERROR(__xludf.DUMMYFUNCTION("""COMPUTED_VALUE"""),"The Shining")</f>
        <v>The Shining</v>
      </c>
      <c r="M223" s="5"/>
      <c r="N223" s="5">
        <f>IFERROR(__xludf.DUMMYFUNCTION("""COMPUTED_VALUE"""),3.0)</f>
        <v>3</v>
      </c>
      <c r="S223" s="5">
        <f>IFERROR(__xludf.DUMMYFUNCTION("""COMPUTED_VALUE"""),88.0)</f>
        <v>88</v>
      </c>
      <c r="T223" s="5" t="str">
        <f>IFERROR(__xludf.DUMMYFUNCTION("""COMPUTED_VALUE"""),"Drishyam")</f>
        <v>Drishyam</v>
      </c>
      <c r="U223" s="5" t="str">
        <f>IFERROR(__xludf.DUMMYFUNCTION("""COMPUTED_VALUE"""),"Thriller")</f>
        <v>Thriller</v>
      </c>
      <c r="V223" s="5">
        <f>IFERROR(__xludf.DUMMYFUNCTION("""COMPUTED_VALUE"""),3.0)</f>
        <v>3</v>
      </c>
    </row>
    <row r="224">
      <c r="A224" s="1">
        <v>223.0</v>
      </c>
      <c r="B224" s="1" t="s">
        <v>1540</v>
      </c>
      <c r="C224" s="1" t="s">
        <v>235</v>
      </c>
      <c r="D224" s="1"/>
      <c r="E224" s="1">
        <v>223.0</v>
      </c>
      <c r="F224" s="1" t="s">
        <v>1540</v>
      </c>
      <c r="G224" s="1" t="str">
        <f>IFERROR(__xludf.DUMMYFUNCTION("SPLIT(C224, "", "")"),"Crime")</f>
        <v>Crime</v>
      </c>
      <c r="H224" s="5" t="str">
        <f>IFERROR(__xludf.DUMMYFUNCTION("""COMPUTED_VALUE"""),"Drama")</f>
        <v>Drama</v>
      </c>
      <c r="I224" s="5" t="str">
        <f>IFERROR(__xludf.DUMMYFUNCTION("""COMPUTED_VALUE"""),"Mystery")</f>
        <v>Mystery</v>
      </c>
      <c r="J224" s="5" t="str">
        <f>IFERROR(__xludf.DUMMYFUNCTION("""COMPUTED_VALUE"""),"75🤙🏼Apocalypse Now🤙🏼Drama🤙🏼1")</f>
        <v>75🤙🏼Apocalypse Now🤙🏼Drama🤙🏼1</v>
      </c>
      <c r="K224" s="5">
        <f>IFERROR(__xludf.DUMMYFUNCTION("SPLiT(J224, ""🤙🏼"",FALSE,FALSE)"),75.0)</f>
        <v>75</v>
      </c>
      <c r="L224" s="5" t="str">
        <f>IFERROR(__xludf.DUMMYFUNCTION("""COMPUTED_VALUE"""),"Apocalypse Now")</f>
        <v>Apocalypse Now</v>
      </c>
      <c r="M224" s="5" t="str">
        <f>IFERROR(__xludf.DUMMYFUNCTION("""COMPUTED_VALUE"""),"Drama")</f>
        <v>Drama</v>
      </c>
      <c r="N224" s="5">
        <f>IFERROR(__xludf.DUMMYFUNCTION("""COMPUTED_VALUE"""),1.0)</f>
        <v>1</v>
      </c>
      <c r="S224" s="5">
        <f>IFERROR(__xludf.DUMMYFUNCTION("""COMPUTED_VALUE"""),89.0)</f>
        <v>89</v>
      </c>
      <c r="T224" s="5" t="str">
        <f>IFERROR(__xludf.DUMMYFUNCTION("""COMPUTED_VALUE"""),"Jagten")</f>
        <v>Jagten</v>
      </c>
      <c r="U224" s="5" t="str">
        <f>IFERROR(__xludf.DUMMYFUNCTION("""COMPUTED_VALUE"""),"Drama")</f>
        <v>Drama</v>
      </c>
      <c r="V224" s="5">
        <f>IFERROR(__xludf.DUMMYFUNCTION("""COMPUTED_VALUE"""),1.0)</f>
        <v>1</v>
      </c>
    </row>
    <row r="225">
      <c r="A225" s="1">
        <v>224.0</v>
      </c>
      <c r="B225" s="1" t="s">
        <v>1545</v>
      </c>
      <c r="C225" s="1" t="s">
        <v>88</v>
      </c>
      <c r="D225" s="1"/>
      <c r="E225" s="1">
        <v>224.0</v>
      </c>
      <c r="F225" s="1" t="s">
        <v>1545</v>
      </c>
      <c r="G225" s="1" t="str">
        <f>IFERROR(__xludf.DUMMYFUNCTION("SPLIT(C225, "", "")"),"Action")</f>
        <v>Action</v>
      </c>
      <c r="H225" s="5" t="str">
        <f>IFERROR(__xludf.DUMMYFUNCTION("""COMPUTED_VALUE"""),"Adventure")</f>
        <v>Adventure</v>
      </c>
      <c r="I225" s="5" t="str">
        <f>IFERROR(__xludf.DUMMYFUNCTION("""COMPUTED_VALUE"""),"Sci-Fi")</f>
        <v>Sci-Fi</v>
      </c>
      <c r="J225" s="5" t="str">
        <f>IFERROR(__xludf.DUMMYFUNCTION("""COMPUTED_VALUE"""),"75🤙🏼Apocalypse Now🤙🏼Mystery🤙🏼2")</f>
        <v>75🤙🏼Apocalypse Now🤙🏼Mystery🤙🏼2</v>
      </c>
      <c r="K225" s="5">
        <f>IFERROR(__xludf.DUMMYFUNCTION("SPLiT(J225, ""🤙🏼"",FALSE,FALSE)"),75.0)</f>
        <v>75</v>
      </c>
      <c r="L225" s="5" t="str">
        <f>IFERROR(__xludf.DUMMYFUNCTION("""COMPUTED_VALUE"""),"Apocalypse Now")</f>
        <v>Apocalypse Now</v>
      </c>
      <c r="M225" s="5" t="str">
        <f>IFERROR(__xludf.DUMMYFUNCTION("""COMPUTED_VALUE"""),"Mystery")</f>
        <v>Mystery</v>
      </c>
      <c r="N225" s="5">
        <f>IFERROR(__xludf.DUMMYFUNCTION("""COMPUTED_VALUE"""),2.0)</f>
        <v>2</v>
      </c>
      <c r="S225" s="5">
        <f>IFERROR(__xludf.DUMMYFUNCTION("""COMPUTED_VALUE"""),90.0)</f>
        <v>90</v>
      </c>
      <c r="T225" s="5" t="str">
        <f>IFERROR(__xludf.DUMMYFUNCTION("""COMPUTED_VALUE"""),"Jodaeiye Nader az Simin")</f>
        <v>Jodaeiye Nader az Simin</v>
      </c>
      <c r="U225" s="5" t="str">
        <f>IFERROR(__xludf.DUMMYFUNCTION("""COMPUTED_VALUE"""),"Drama")</f>
        <v>Drama</v>
      </c>
      <c r="V225" s="5">
        <f>IFERROR(__xludf.DUMMYFUNCTION("""COMPUTED_VALUE"""),1.0)</f>
        <v>1</v>
      </c>
    </row>
    <row r="226">
      <c r="A226" s="1">
        <v>225.0</v>
      </c>
      <c r="B226" s="1" t="s">
        <v>1552</v>
      </c>
      <c r="C226" s="1" t="s">
        <v>39</v>
      </c>
      <c r="D226" s="1"/>
      <c r="E226" s="1">
        <v>225.0</v>
      </c>
      <c r="F226" s="1" t="s">
        <v>1552</v>
      </c>
      <c r="G226" s="1" t="str">
        <f>IFERROR(__xludf.DUMMYFUNCTION("SPLIT(C226, "", "")"),"Action")</f>
        <v>Action</v>
      </c>
      <c r="H226" s="5" t="str">
        <f>IFERROR(__xludf.DUMMYFUNCTION("""COMPUTED_VALUE"""),"Crime")</f>
        <v>Crime</v>
      </c>
      <c r="I226" s="5" t="str">
        <f>IFERROR(__xludf.DUMMYFUNCTION("""COMPUTED_VALUE"""),"Drama")</f>
        <v>Drama</v>
      </c>
      <c r="J226" s="5" t="str">
        <f>IFERROR(__xludf.DUMMYFUNCTION("""COMPUTED_VALUE"""),"75🤙🏼Apocalypse Now🤙🏼War🤙🏼3")</f>
        <v>75🤙🏼Apocalypse Now🤙🏼War🤙🏼3</v>
      </c>
      <c r="K226" s="5">
        <f>IFERROR(__xludf.DUMMYFUNCTION("SPLiT(J226, ""🤙🏼"",FALSE,FALSE)"),75.0)</f>
        <v>75</v>
      </c>
      <c r="L226" s="5" t="str">
        <f>IFERROR(__xludf.DUMMYFUNCTION("""COMPUTED_VALUE"""),"Apocalypse Now")</f>
        <v>Apocalypse Now</v>
      </c>
      <c r="M226" s="5" t="str">
        <f>IFERROR(__xludf.DUMMYFUNCTION("""COMPUTED_VALUE"""),"War")</f>
        <v>War</v>
      </c>
      <c r="N226" s="5">
        <f>IFERROR(__xludf.DUMMYFUNCTION("""COMPUTED_VALUE"""),3.0)</f>
        <v>3</v>
      </c>
      <c r="S226" s="5">
        <f>IFERROR(__xludf.DUMMYFUNCTION("""COMPUTED_VALUE"""),91.0)</f>
        <v>91</v>
      </c>
      <c r="T226" s="5" t="str">
        <f>IFERROR(__xludf.DUMMYFUNCTION("""COMPUTED_VALUE"""),"Incendies")</f>
        <v>Incendies</v>
      </c>
      <c r="U226" s="5" t="str">
        <f>IFERROR(__xludf.DUMMYFUNCTION("""COMPUTED_VALUE"""),"Drama")</f>
        <v>Drama</v>
      </c>
      <c r="V226" s="5">
        <f>IFERROR(__xludf.DUMMYFUNCTION("""COMPUTED_VALUE"""),1.0)</f>
        <v>1</v>
      </c>
    </row>
    <row r="227">
      <c r="A227" s="1">
        <v>226.0</v>
      </c>
      <c r="B227" s="1" t="s">
        <v>1559</v>
      </c>
      <c r="C227" s="1" t="s">
        <v>20</v>
      </c>
      <c r="D227" s="1"/>
      <c r="E227" s="1">
        <v>226.0</v>
      </c>
      <c r="F227" s="1" t="s">
        <v>1559</v>
      </c>
      <c r="G227" s="1" t="str">
        <f>IFERROR(__xludf.DUMMYFUNCTION("SPLIT(C227, "", "")"),"Drama")</f>
        <v>Drama</v>
      </c>
      <c r="J227" s="5" t="str">
        <f>IFERROR(__xludf.DUMMYFUNCTION("""COMPUTED_VALUE"""),"76🤙🏼Alien🤙🏼Horror🤙🏼1")</f>
        <v>76🤙🏼Alien🤙🏼Horror🤙🏼1</v>
      </c>
      <c r="K227" s="5">
        <f>IFERROR(__xludf.DUMMYFUNCTION("SPLiT(J227, ""🤙🏼"",FALSE,FALSE)"),76.0)</f>
        <v>76</v>
      </c>
      <c r="L227" s="5" t="str">
        <f>IFERROR(__xludf.DUMMYFUNCTION("""COMPUTED_VALUE"""),"Alien")</f>
        <v>Alien</v>
      </c>
      <c r="M227" s="5" t="str">
        <f>IFERROR(__xludf.DUMMYFUNCTION("""COMPUTED_VALUE"""),"Horror")</f>
        <v>Horror</v>
      </c>
      <c r="N227" s="5">
        <f>IFERROR(__xludf.DUMMYFUNCTION("""COMPUTED_VALUE"""),1.0)</f>
        <v>1</v>
      </c>
      <c r="S227" s="5">
        <f>IFERROR(__xludf.DUMMYFUNCTION("""COMPUTED_VALUE"""),91.0)</f>
        <v>91</v>
      </c>
      <c r="T227" s="5" t="str">
        <f>IFERROR(__xludf.DUMMYFUNCTION("""COMPUTED_VALUE"""),"Incendies")</f>
        <v>Incendies</v>
      </c>
      <c r="U227" s="5" t="str">
        <f>IFERROR(__xludf.DUMMYFUNCTION("""COMPUTED_VALUE"""),"Mystery")</f>
        <v>Mystery</v>
      </c>
      <c r="V227" s="5">
        <f>IFERROR(__xludf.DUMMYFUNCTION("""COMPUTED_VALUE"""),2.0)</f>
        <v>2</v>
      </c>
    </row>
    <row r="228">
      <c r="A228" s="1">
        <v>227.0</v>
      </c>
      <c r="B228" s="1" t="s">
        <v>1564</v>
      </c>
      <c r="C228" s="1" t="s">
        <v>1565</v>
      </c>
      <c r="D228" s="1"/>
      <c r="E228" s="1">
        <v>227.0</v>
      </c>
      <c r="F228" s="1" t="s">
        <v>1564</v>
      </c>
      <c r="G228" s="1" t="str">
        <f>IFERROR(__xludf.DUMMYFUNCTION("SPLIT(C228, "", "")"),"Adventure")</f>
        <v>Adventure</v>
      </c>
      <c r="H228" s="5" t="str">
        <f>IFERROR(__xludf.DUMMYFUNCTION("""COMPUTED_VALUE"""),"Drama")</f>
        <v>Drama</v>
      </c>
      <c r="I228" s="5" t="str">
        <f>IFERROR(__xludf.DUMMYFUNCTION("""COMPUTED_VALUE"""),"Fantasy")</f>
        <v>Fantasy</v>
      </c>
      <c r="J228" s="5" t="str">
        <f>IFERROR(__xludf.DUMMYFUNCTION("""COMPUTED_VALUE"""),"76🤙🏼Alien🤙🏼Sci-Fi🤙🏼2")</f>
        <v>76🤙🏼Alien🤙🏼Sci-Fi🤙🏼2</v>
      </c>
      <c r="K228" s="5">
        <f>IFERROR(__xludf.DUMMYFUNCTION("SPLiT(J228, ""🤙🏼"",FALSE,FALSE)"),76.0)</f>
        <v>76</v>
      </c>
      <c r="L228" s="5" t="str">
        <f>IFERROR(__xludf.DUMMYFUNCTION("""COMPUTED_VALUE"""),"Alien")</f>
        <v>Alien</v>
      </c>
      <c r="M228" s="5" t="str">
        <f>IFERROR(__xludf.DUMMYFUNCTION("""COMPUTED_VALUE"""),"Sci-Fi")</f>
        <v>Sci-Fi</v>
      </c>
      <c r="N228" s="5">
        <f>IFERROR(__xludf.DUMMYFUNCTION("""COMPUTED_VALUE"""),2.0)</f>
        <v>2</v>
      </c>
      <c r="S228" s="5">
        <f>IFERROR(__xludf.DUMMYFUNCTION("""COMPUTED_VALUE"""),91.0)</f>
        <v>91</v>
      </c>
      <c r="T228" s="5" t="str">
        <f>IFERROR(__xludf.DUMMYFUNCTION("""COMPUTED_VALUE"""),"Incendies")</f>
        <v>Incendies</v>
      </c>
      <c r="U228" s="5" t="str">
        <f>IFERROR(__xludf.DUMMYFUNCTION("""COMPUTED_VALUE"""),"War")</f>
        <v>War</v>
      </c>
      <c r="V228" s="5">
        <f>IFERROR(__xludf.DUMMYFUNCTION("""COMPUTED_VALUE"""),3.0)</f>
        <v>3</v>
      </c>
    </row>
    <row r="229">
      <c r="A229" s="1">
        <v>228.0</v>
      </c>
      <c r="B229" s="1" t="s">
        <v>1572</v>
      </c>
      <c r="C229" s="1" t="s">
        <v>287</v>
      </c>
      <c r="D229" s="1"/>
      <c r="E229" s="1">
        <v>228.0</v>
      </c>
      <c r="F229" s="1" t="s">
        <v>1572</v>
      </c>
      <c r="G229" s="1" t="str">
        <f>IFERROR(__xludf.DUMMYFUNCTION("SPLIT(C229, "", "")"),"Drama")</f>
        <v>Drama</v>
      </c>
      <c r="H229" s="5" t="str">
        <f>IFERROR(__xludf.DUMMYFUNCTION("""COMPUTED_VALUE"""),"Music")</f>
        <v>Music</v>
      </c>
      <c r="J229" s="5" t="str">
        <f>IFERROR(__xludf.DUMMYFUNCTION("""COMPUTED_VALUE"""),"76🤙🏼Alien🤙🏼🤙🏼3")</f>
        <v>76🤙🏼Alien🤙🏼🤙🏼3</v>
      </c>
      <c r="K229" s="5">
        <f>IFERROR(__xludf.DUMMYFUNCTION("SPLiT(J229, ""🤙🏼"",FALSE,FALSE)"),76.0)</f>
        <v>76</v>
      </c>
      <c r="L229" s="5" t="str">
        <f>IFERROR(__xludf.DUMMYFUNCTION("""COMPUTED_VALUE"""),"Alien")</f>
        <v>Alien</v>
      </c>
      <c r="M229" s="5"/>
      <c r="N229" s="5">
        <f>IFERROR(__xludf.DUMMYFUNCTION("""COMPUTED_VALUE"""),3.0)</f>
        <v>3</v>
      </c>
      <c r="S229" s="5">
        <f>IFERROR(__xludf.DUMMYFUNCTION("""COMPUTED_VALUE"""),92.0)</f>
        <v>92</v>
      </c>
      <c r="T229" s="5" t="str">
        <f>IFERROR(__xludf.DUMMYFUNCTION("""COMPUTED_VALUE"""),"Miracle in cell NO.7")</f>
        <v>Miracle in cell NO.7</v>
      </c>
      <c r="U229" s="5" t="str">
        <f>IFERROR(__xludf.DUMMYFUNCTION("""COMPUTED_VALUE"""),"Drama")</f>
        <v>Drama</v>
      </c>
      <c r="V229" s="5">
        <f>IFERROR(__xludf.DUMMYFUNCTION("""COMPUTED_VALUE"""),1.0)</f>
        <v>1</v>
      </c>
    </row>
    <row r="230">
      <c r="A230" s="1">
        <v>229.0</v>
      </c>
      <c r="B230" s="1" t="s">
        <v>1579</v>
      </c>
      <c r="C230" s="1" t="s">
        <v>1580</v>
      </c>
      <c r="D230" s="1"/>
      <c r="E230" s="1">
        <v>229.0</v>
      </c>
      <c r="F230" s="1" t="s">
        <v>1579</v>
      </c>
      <c r="G230" s="1" t="str">
        <f>IFERROR(__xludf.DUMMYFUNCTION("SPLIT(C230, "", "")"),"Biography")</f>
        <v>Biography</v>
      </c>
      <c r="H230" s="5" t="str">
        <f>IFERROR(__xludf.DUMMYFUNCTION("""COMPUTED_VALUE"""),"Drama")</f>
        <v>Drama</v>
      </c>
      <c r="I230" s="5" t="str">
        <f>IFERROR(__xludf.DUMMYFUNCTION("""COMPUTED_VALUE"""),"Family")</f>
        <v>Family</v>
      </c>
      <c r="J230" s="5" t="str">
        <f>IFERROR(__xludf.DUMMYFUNCTION("""COMPUTED_VALUE"""),"77🤙🏼Anand🤙🏼Drama🤙🏼1")</f>
        <v>77🤙🏼Anand🤙🏼Drama🤙🏼1</v>
      </c>
      <c r="K230" s="5">
        <f>IFERROR(__xludf.DUMMYFUNCTION("SPLiT(J230, ""🤙🏼"",FALSE,FALSE)"),77.0)</f>
        <v>77</v>
      </c>
      <c r="L230" s="5" t="str">
        <f>IFERROR(__xludf.DUMMYFUNCTION("""COMPUTED_VALUE"""),"Anand")</f>
        <v>Anand</v>
      </c>
      <c r="M230" s="5" t="str">
        <f>IFERROR(__xludf.DUMMYFUNCTION("""COMPUTED_VALUE"""),"Drama")</f>
        <v>Drama</v>
      </c>
      <c r="N230" s="5">
        <f>IFERROR(__xludf.DUMMYFUNCTION("""COMPUTED_VALUE"""),1.0)</f>
        <v>1</v>
      </c>
      <c r="S230" s="5">
        <f>IFERROR(__xludf.DUMMYFUNCTION("""COMPUTED_VALUE"""),93.0)</f>
        <v>93</v>
      </c>
      <c r="T230" s="5" t="str">
        <f>IFERROR(__xludf.DUMMYFUNCTION("""COMPUTED_VALUE"""),"Babam ve Oglum")</f>
        <v>Babam ve Oglum</v>
      </c>
      <c r="U230" s="5" t="str">
        <f>IFERROR(__xludf.DUMMYFUNCTION("""COMPUTED_VALUE"""),"Drama")</f>
        <v>Drama</v>
      </c>
      <c r="V230" s="5">
        <f>IFERROR(__xludf.DUMMYFUNCTION("""COMPUTED_VALUE"""),1.0)</f>
        <v>1</v>
      </c>
    </row>
    <row r="231">
      <c r="A231" s="1">
        <v>230.0</v>
      </c>
      <c r="B231" s="1" t="s">
        <v>1587</v>
      </c>
      <c r="C231" s="1" t="s">
        <v>1589</v>
      </c>
      <c r="D231" s="1"/>
      <c r="E231" s="1">
        <v>230.0</v>
      </c>
      <c r="F231" s="1" t="s">
        <v>1587</v>
      </c>
      <c r="G231" s="1" t="str">
        <f>IFERROR(__xludf.DUMMYFUNCTION("SPLIT(C231, "", "")"),"Animation")</f>
        <v>Animation</v>
      </c>
      <c r="H231" s="5" t="str">
        <f>IFERROR(__xludf.DUMMYFUNCTION("""COMPUTED_VALUE"""),"Comedy")</f>
        <v>Comedy</v>
      </c>
      <c r="I231" s="5" t="str">
        <f>IFERROR(__xludf.DUMMYFUNCTION("""COMPUTED_VALUE"""),"Drama")</f>
        <v>Drama</v>
      </c>
      <c r="J231" s="5" t="str">
        <f>IFERROR(__xludf.DUMMYFUNCTION("""COMPUTED_VALUE"""),"77🤙🏼Anand🤙🏼Musical🤙🏼2")</f>
        <v>77🤙🏼Anand🤙🏼Musical🤙🏼2</v>
      </c>
      <c r="K231" s="5">
        <f>IFERROR(__xludf.DUMMYFUNCTION("SPLiT(J231, ""🤙🏼"",FALSE,FALSE)"),77.0)</f>
        <v>77</v>
      </c>
      <c r="L231" s="5" t="str">
        <f>IFERROR(__xludf.DUMMYFUNCTION("""COMPUTED_VALUE"""),"Anand")</f>
        <v>Anand</v>
      </c>
      <c r="M231" s="5" t="str">
        <f>IFERROR(__xludf.DUMMYFUNCTION("""COMPUTED_VALUE"""),"Musical")</f>
        <v>Musical</v>
      </c>
      <c r="N231" s="5">
        <f>IFERROR(__xludf.DUMMYFUNCTION("""COMPUTED_VALUE"""),2.0)</f>
        <v>2</v>
      </c>
      <c r="S231" s="5">
        <f>IFERROR(__xludf.DUMMYFUNCTION("""COMPUTED_VALUE"""),93.0)</f>
        <v>93</v>
      </c>
      <c r="T231" s="5" t="str">
        <f>IFERROR(__xludf.DUMMYFUNCTION("""COMPUTED_VALUE"""),"Babam ve Oglum")</f>
        <v>Babam ve Oglum</v>
      </c>
      <c r="U231" s="5" t="str">
        <f>IFERROR(__xludf.DUMMYFUNCTION("""COMPUTED_VALUE"""),"Family")</f>
        <v>Family</v>
      </c>
      <c r="V231" s="5">
        <f>IFERROR(__xludf.DUMMYFUNCTION("""COMPUTED_VALUE"""),2.0)</f>
        <v>2</v>
      </c>
    </row>
    <row r="232">
      <c r="A232" s="1">
        <v>231.0</v>
      </c>
      <c r="B232" s="1" t="s">
        <v>1596</v>
      </c>
      <c r="C232" s="1" t="s">
        <v>467</v>
      </c>
      <c r="D232" s="1"/>
      <c r="E232" s="1">
        <v>231.0</v>
      </c>
      <c r="F232" s="1" t="s">
        <v>1596</v>
      </c>
      <c r="G232" s="1" t="str">
        <f>IFERROR(__xludf.DUMMYFUNCTION("SPLIT(C232, "", "")"),"Animation")</f>
        <v>Animation</v>
      </c>
      <c r="H232" s="5" t="str">
        <f>IFERROR(__xludf.DUMMYFUNCTION("""COMPUTED_VALUE"""),"Action")</f>
        <v>Action</v>
      </c>
      <c r="I232" s="5" t="str">
        <f>IFERROR(__xludf.DUMMYFUNCTION("""COMPUTED_VALUE"""),"Adventure")</f>
        <v>Adventure</v>
      </c>
      <c r="J232" s="5" t="str">
        <f>IFERROR(__xludf.DUMMYFUNCTION("""COMPUTED_VALUE"""),"77🤙🏼Anand🤙🏼🤙🏼3")</f>
        <v>77🤙🏼Anand🤙🏼🤙🏼3</v>
      </c>
      <c r="K232" s="5">
        <f>IFERROR(__xludf.DUMMYFUNCTION("SPLiT(J232, ""🤙🏼"",FALSE,FALSE)"),77.0)</f>
        <v>77</v>
      </c>
      <c r="L232" s="5" t="str">
        <f>IFERROR(__xludf.DUMMYFUNCTION("""COMPUTED_VALUE"""),"Anand")</f>
        <v>Anand</v>
      </c>
      <c r="M232" s="5"/>
      <c r="N232" s="5">
        <f>IFERROR(__xludf.DUMMYFUNCTION("""COMPUTED_VALUE"""),3.0)</f>
        <v>3</v>
      </c>
      <c r="S232" s="5">
        <f>IFERROR(__xludf.DUMMYFUNCTION("""COMPUTED_VALUE"""),94.0)</f>
        <v>94</v>
      </c>
      <c r="T232" s="5" t="str">
        <f>IFERROR(__xludf.DUMMYFUNCTION("""COMPUTED_VALUE"""),"Inglourious Basterds")</f>
        <v>Inglourious Basterds</v>
      </c>
      <c r="U232" s="5" t="str">
        <f>IFERROR(__xludf.DUMMYFUNCTION("""COMPUTED_VALUE"""),"Adventure")</f>
        <v>Adventure</v>
      </c>
      <c r="V232" s="5">
        <f>IFERROR(__xludf.DUMMYFUNCTION("""COMPUTED_VALUE"""),1.0)</f>
        <v>1</v>
      </c>
    </row>
    <row r="233">
      <c r="A233" s="1">
        <v>232.0</v>
      </c>
      <c r="B233" s="1" t="s">
        <v>1603</v>
      </c>
      <c r="C233" s="1" t="s">
        <v>858</v>
      </c>
      <c r="D233" s="1"/>
      <c r="E233" s="1">
        <v>232.0</v>
      </c>
      <c r="F233" s="1" t="s">
        <v>1603</v>
      </c>
      <c r="G233" s="1" t="str">
        <f>IFERROR(__xludf.DUMMYFUNCTION("SPLIT(C233, "", "")"),"Adventure")</f>
        <v>Adventure</v>
      </c>
      <c r="H233" s="5" t="str">
        <f>IFERROR(__xludf.DUMMYFUNCTION("""COMPUTED_VALUE"""),"Biography")</f>
        <v>Biography</v>
      </c>
      <c r="I233" s="5" t="str">
        <f>IFERROR(__xludf.DUMMYFUNCTION("""COMPUTED_VALUE"""),"Drama")</f>
        <v>Drama</v>
      </c>
      <c r="J233" s="5" t="str">
        <f>IFERROR(__xludf.DUMMYFUNCTION("""COMPUTED_VALUE"""),"78🤙🏼Tengoku to jigoku🤙🏼Crime🤙🏼1")</f>
        <v>78🤙🏼Tengoku to jigoku🤙🏼Crime🤙🏼1</v>
      </c>
      <c r="K233" s="5">
        <f>IFERROR(__xludf.DUMMYFUNCTION("SPLiT(J233, ""🤙🏼"",FALSE,FALSE)"),78.0)</f>
        <v>78</v>
      </c>
      <c r="L233" s="5" t="str">
        <f>IFERROR(__xludf.DUMMYFUNCTION("""COMPUTED_VALUE"""),"Tengoku to jigoku")</f>
        <v>Tengoku to jigoku</v>
      </c>
      <c r="M233" s="5" t="str">
        <f>IFERROR(__xludf.DUMMYFUNCTION("""COMPUTED_VALUE"""),"Crime")</f>
        <v>Crime</v>
      </c>
      <c r="N233" s="5">
        <f>IFERROR(__xludf.DUMMYFUNCTION("""COMPUTED_VALUE"""),1.0)</f>
        <v>1</v>
      </c>
      <c r="S233" s="5">
        <f>IFERROR(__xludf.DUMMYFUNCTION("""COMPUTED_VALUE"""),94.0)</f>
        <v>94</v>
      </c>
      <c r="T233" s="5" t="str">
        <f>IFERROR(__xludf.DUMMYFUNCTION("""COMPUTED_VALUE"""),"Inglourious Basterds")</f>
        <v>Inglourious Basterds</v>
      </c>
      <c r="U233" s="5" t="str">
        <f>IFERROR(__xludf.DUMMYFUNCTION("""COMPUTED_VALUE"""),"Drama")</f>
        <v>Drama</v>
      </c>
      <c r="V233" s="5">
        <f>IFERROR(__xludf.DUMMYFUNCTION("""COMPUTED_VALUE"""),2.0)</f>
        <v>2</v>
      </c>
    </row>
    <row r="234">
      <c r="A234" s="1">
        <v>233.0</v>
      </c>
      <c r="B234" s="1" t="s">
        <v>1610</v>
      </c>
      <c r="C234" s="1" t="s">
        <v>241</v>
      </c>
      <c r="D234" s="1"/>
      <c r="E234" s="1">
        <v>233.0</v>
      </c>
      <c r="F234" s="1" t="s">
        <v>1610</v>
      </c>
      <c r="G234" s="1" t="str">
        <f>IFERROR(__xludf.DUMMYFUNCTION("SPLIT(C234, "", "")"),"Crime")</f>
        <v>Crime</v>
      </c>
      <c r="H234" s="5" t="str">
        <f>IFERROR(__xludf.DUMMYFUNCTION("""COMPUTED_VALUE"""),"Drama")</f>
        <v>Drama</v>
      </c>
      <c r="I234" s="5" t="str">
        <f>IFERROR(__xludf.DUMMYFUNCTION("""COMPUTED_VALUE"""),"Thriller")</f>
        <v>Thriller</v>
      </c>
      <c r="J234" s="5" t="str">
        <f>IFERROR(__xludf.DUMMYFUNCTION("""COMPUTED_VALUE"""),"78🤙🏼Tengoku to jigoku🤙🏼Drama🤙🏼2")</f>
        <v>78🤙🏼Tengoku to jigoku🤙🏼Drama🤙🏼2</v>
      </c>
      <c r="K234" s="5">
        <f>IFERROR(__xludf.DUMMYFUNCTION("SPLiT(J234, ""🤙🏼"",FALSE,FALSE)"),78.0)</f>
        <v>78</v>
      </c>
      <c r="L234" s="5" t="str">
        <f>IFERROR(__xludf.DUMMYFUNCTION("""COMPUTED_VALUE"""),"Tengoku to jigoku")</f>
        <v>Tengoku to jigoku</v>
      </c>
      <c r="M234" s="5" t="str">
        <f>IFERROR(__xludf.DUMMYFUNCTION("""COMPUTED_VALUE"""),"Drama")</f>
        <v>Drama</v>
      </c>
      <c r="N234" s="5">
        <f>IFERROR(__xludf.DUMMYFUNCTION("""COMPUTED_VALUE"""),2.0)</f>
        <v>2</v>
      </c>
      <c r="S234" s="5">
        <f>IFERROR(__xludf.DUMMYFUNCTION("""COMPUTED_VALUE"""),94.0)</f>
        <v>94</v>
      </c>
      <c r="T234" s="5" t="str">
        <f>IFERROR(__xludf.DUMMYFUNCTION("""COMPUTED_VALUE"""),"Inglourious Basterds")</f>
        <v>Inglourious Basterds</v>
      </c>
      <c r="U234" s="5" t="str">
        <f>IFERROR(__xludf.DUMMYFUNCTION("""COMPUTED_VALUE"""),"War")</f>
        <v>War</v>
      </c>
      <c r="V234" s="5">
        <f>IFERROR(__xludf.DUMMYFUNCTION("""COMPUTED_VALUE"""),3.0)</f>
        <v>3</v>
      </c>
    </row>
    <row r="235">
      <c r="A235" s="1">
        <v>234.0</v>
      </c>
      <c r="B235" s="1" t="s">
        <v>1617</v>
      </c>
      <c r="C235" s="1" t="s">
        <v>227</v>
      </c>
      <c r="D235" s="1"/>
      <c r="E235" s="1">
        <v>234.0</v>
      </c>
      <c r="F235" s="1" t="s">
        <v>1617</v>
      </c>
      <c r="G235" s="1" t="str">
        <f>IFERROR(__xludf.DUMMYFUNCTION("SPLIT(C235, "", "")"),"Comedy")</f>
        <v>Comedy</v>
      </c>
      <c r="H235" s="5" t="str">
        <f>IFERROR(__xludf.DUMMYFUNCTION("""COMPUTED_VALUE"""),"Drama")</f>
        <v>Drama</v>
      </c>
      <c r="I235" s="5" t="str">
        <f>IFERROR(__xludf.DUMMYFUNCTION("""COMPUTED_VALUE"""),"Romance")</f>
        <v>Romance</v>
      </c>
      <c r="J235" s="5" t="str">
        <f>IFERROR(__xludf.DUMMYFUNCTION("""COMPUTED_VALUE"""),"78🤙🏼Tengoku to jigoku🤙🏼Mystery🤙🏼3")</f>
        <v>78🤙🏼Tengoku to jigoku🤙🏼Mystery🤙🏼3</v>
      </c>
      <c r="K235" s="5">
        <f>IFERROR(__xludf.DUMMYFUNCTION("SPLiT(J235, ""🤙🏼"",FALSE,FALSE)"),78.0)</f>
        <v>78</v>
      </c>
      <c r="L235" s="5" t="str">
        <f>IFERROR(__xludf.DUMMYFUNCTION("""COMPUTED_VALUE"""),"Tengoku to jigoku")</f>
        <v>Tengoku to jigoku</v>
      </c>
      <c r="M235" s="5" t="str">
        <f>IFERROR(__xludf.DUMMYFUNCTION("""COMPUTED_VALUE"""),"Mystery")</f>
        <v>Mystery</v>
      </c>
      <c r="N235" s="5">
        <f>IFERROR(__xludf.DUMMYFUNCTION("""COMPUTED_VALUE"""),3.0)</f>
        <v>3</v>
      </c>
      <c r="S235" s="5">
        <f>IFERROR(__xludf.DUMMYFUNCTION("""COMPUTED_VALUE"""),95.0)</f>
        <v>95</v>
      </c>
      <c r="T235" s="5" t="str">
        <f>IFERROR(__xludf.DUMMYFUNCTION("""COMPUTED_VALUE"""),"Eternal Sunshine of the Spotless Mind")</f>
        <v>Eternal Sunshine of the Spotless Mind</v>
      </c>
      <c r="U235" s="5" t="str">
        <f>IFERROR(__xludf.DUMMYFUNCTION("""COMPUTED_VALUE"""),"Drama")</f>
        <v>Drama</v>
      </c>
      <c r="V235" s="5">
        <f>IFERROR(__xludf.DUMMYFUNCTION("""COMPUTED_VALUE"""),1.0)</f>
        <v>1</v>
      </c>
    </row>
    <row r="236">
      <c r="A236" s="1">
        <v>235.0</v>
      </c>
      <c r="B236" s="1" t="s">
        <v>1621</v>
      </c>
      <c r="C236" s="1" t="s">
        <v>1622</v>
      </c>
      <c r="D236" s="1"/>
      <c r="E236" s="1">
        <v>235.0</v>
      </c>
      <c r="F236" s="1" t="s">
        <v>1621</v>
      </c>
      <c r="G236" s="1" t="str">
        <f>IFERROR(__xludf.DUMMYFUNCTION("SPLIT(C236, "", "")"),"Drama")</f>
        <v>Drama</v>
      </c>
      <c r="H236" s="5" t="str">
        <f>IFERROR(__xludf.DUMMYFUNCTION("""COMPUTED_VALUE"""),"Sport")</f>
        <v>Sport</v>
      </c>
      <c r="J236" s="5" t="str">
        <f>IFERROR(__xludf.DUMMYFUNCTION("""COMPUTED_VALUE"""),"79🤙🏼Dr. Strangelove or: How I Learned to Stop Worrying and Love the Bomb🤙🏼Comedy🤙🏼1")</f>
        <v>79🤙🏼Dr. Strangelove or: How I Learned to Stop Worrying and Love the Bomb🤙🏼Comedy🤙🏼1</v>
      </c>
      <c r="K236" s="5">
        <f>IFERROR(__xludf.DUMMYFUNCTION("SPLiT(J236, ""🤙🏼"",FALSE,FALSE)"),79.0)</f>
        <v>79</v>
      </c>
      <c r="L236" s="5" t="str">
        <f>IFERROR(__xludf.DUMMYFUNCTION("""COMPUTED_VALUE"""),"Dr. Strangelove or: How I Learned to Stop Worrying and Love the Bomb")</f>
        <v>Dr. Strangelove or: How I Learned to Stop Worrying and Love the Bomb</v>
      </c>
      <c r="M236" s="5" t="str">
        <f>IFERROR(__xludf.DUMMYFUNCTION("""COMPUTED_VALUE"""),"Comedy")</f>
        <v>Comedy</v>
      </c>
      <c r="N236" s="5">
        <f>IFERROR(__xludf.DUMMYFUNCTION("""COMPUTED_VALUE"""),1.0)</f>
        <v>1</v>
      </c>
      <c r="S236" s="5">
        <f>IFERROR(__xludf.DUMMYFUNCTION("""COMPUTED_VALUE"""),95.0)</f>
        <v>95</v>
      </c>
      <c r="T236" s="5" t="str">
        <f>IFERROR(__xludf.DUMMYFUNCTION("""COMPUTED_VALUE"""),"Eternal Sunshine of the Spotless Mind")</f>
        <v>Eternal Sunshine of the Spotless Mind</v>
      </c>
      <c r="U236" s="5" t="str">
        <f>IFERROR(__xludf.DUMMYFUNCTION("""COMPUTED_VALUE"""),"Romance")</f>
        <v>Romance</v>
      </c>
      <c r="V236" s="5">
        <f>IFERROR(__xludf.DUMMYFUNCTION("""COMPUTED_VALUE"""),2.0)</f>
        <v>2</v>
      </c>
    </row>
    <row r="237">
      <c r="A237" s="1">
        <v>236.0</v>
      </c>
      <c r="B237" s="1" t="s">
        <v>1625</v>
      </c>
      <c r="C237" s="1" t="s">
        <v>79</v>
      </c>
      <c r="D237" s="1"/>
      <c r="E237" s="1">
        <v>236.0</v>
      </c>
      <c r="F237" s="1" t="s">
        <v>1625</v>
      </c>
      <c r="G237" s="1" t="str">
        <f>IFERROR(__xludf.DUMMYFUNCTION("SPLIT(C237, "", "")"),"Biography")</f>
        <v>Biography</v>
      </c>
      <c r="H237" s="5" t="str">
        <f>IFERROR(__xludf.DUMMYFUNCTION("""COMPUTED_VALUE"""),"Drama")</f>
        <v>Drama</v>
      </c>
      <c r="I237" s="5" t="str">
        <f>IFERROR(__xludf.DUMMYFUNCTION("""COMPUTED_VALUE"""),"History")</f>
        <v>History</v>
      </c>
      <c r="J237" s="5" t="str">
        <f>IFERROR(__xludf.DUMMYFUNCTION("""COMPUTED_VALUE"""),"79🤙🏼Dr. Strangelove or: How I Learned to Stop Worrying and Love the Bomb🤙🏼🤙🏼2")</f>
        <v>79🤙🏼Dr. Strangelove or: How I Learned to Stop Worrying and Love the Bomb🤙🏼🤙🏼2</v>
      </c>
      <c r="K237" s="5">
        <f>IFERROR(__xludf.DUMMYFUNCTION("SPLiT(J237, ""🤙🏼"",FALSE,FALSE)"),79.0)</f>
        <v>79</v>
      </c>
      <c r="L237" s="5" t="str">
        <f>IFERROR(__xludf.DUMMYFUNCTION("""COMPUTED_VALUE"""),"Dr. Strangelove or: How I Learned to Stop Worrying and Love the Bomb")</f>
        <v>Dr. Strangelove or: How I Learned to Stop Worrying and Love the Bomb</v>
      </c>
      <c r="M237" s="5"/>
      <c r="N237" s="5">
        <f>IFERROR(__xludf.DUMMYFUNCTION("""COMPUTED_VALUE"""),2.0)</f>
        <v>2</v>
      </c>
      <c r="S237" s="5">
        <f>IFERROR(__xludf.DUMMYFUNCTION("""COMPUTED_VALUE"""),95.0)</f>
        <v>95</v>
      </c>
      <c r="T237" s="5" t="str">
        <f>IFERROR(__xludf.DUMMYFUNCTION("""COMPUTED_VALUE"""),"Eternal Sunshine of the Spotless Mind")</f>
        <v>Eternal Sunshine of the Spotless Mind</v>
      </c>
      <c r="U237" s="5" t="str">
        <f>IFERROR(__xludf.DUMMYFUNCTION("""COMPUTED_VALUE"""),"Sci-Fi")</f>
        <v>Sci-Fi</v>
      </c>
      <c r="V237" s="5">
        <f>IFERROR(__xludf.DUMMYFUNCTION("""COMPUTED_VALUE"""),3.0)</f>
        <v>3</v>
      </c>
    </row>
    <row r="238">
      <c r="A238" s="1">
        <v>237.0</v>
      </c>
      <c r="B238" s="1" t="s">
        <v>1631</v>
      </c>
      <c r="C238" s="1" t="s">
        <v>948</v>
      </c>
      <c r="D238" s="1"/>
      <c r="E238" s="1">
        <v>237.0</v>
      </c>
      <c r="F238" s="1" t="s">
        <v>1631</v>
      </c>
      <c r="G238" s="1" t="str">
        <f>IFERROR(__xludf.DUMMYFUNCTION("SPLIT(C238, "", "")"),"Action")</f>
        <v>Action</v>
      </c>
      <c r="H238" s="5" t="str">
        <f>IFERROR(__xludf.DUMMYFUNCTION("""COMPUTED_VALUE"""),"Drama")</f>
        <v>Drama</v>
      </c>
      <c r="I238" s="5" t="str">
        <f>IFERROR(__xludf.DUMMYFUNCTION("""COMPUTED_VALUE"""),"War")</f>
        <v>War</v>
      </c>
      <c r="J238" s="5" t="str">
        <f>IFERROR(__xludf.DUMMYFUNCTION("""COMPUTED_VALUE"""),"79🤙🏼Dr. Strangelove or: How I Learned to Stop Worrying and Love the Bomb🤙🏼🤙🏼3")</f>
        <v>79🤙🏼Dr. Strangelove or: How I Learned to Stop Worrying and Love the Bomb🤙🏼🤙🏼3</v>
      </c>
      <c r="K238" s="5">
        <f>IFERROR(__xludf.DUMMYFUNCTION("SPLiT(J238, ""🤙🏼"",FALSE,FALSE)"),79.0)</f>
        <v>79</v>
      </c>
      <c r="L238" s="5" t="str">
        <f>IFERROR(__xludf.DUMMYFUNCTION("""COMPUTED_VALUE"""),"Dr. Strangelove or: How I Learned to Stop Worrying and Love the Bomb")</f>
        <v>Dr. Strangelove or: How I Learned to Stop Worrying and Love the Bomb</v>
      </c>
      <c r="M238" s="5"/>
      <c r="N238" s="5">
        <f>IFERROR(__xludf.DUMMYFUNCTION("""COMPUTED_VALUE"""),3.0)</f>
        <v>3</v>
      </c>
      <c r="S238" s="5">
        <f>IFERROR(__xludf.DUMMYFUNCTION("""COMPUTED_VALUE"""),96.0)</f>
        <v>96</v>
      </c>
      <c r="T238" s="5" t="str">
        <f>IFERROR(__xludf.DUMMYFUNCTION("""COMPUTED_VALUE"""),"Amélie")</f>
        <v>Amélie</v>
      </c>
      <c r="U238" s="5" t="str">
        <f>IFERROR(__xludf.DUMMYFUNCTION("""COMPUTED_VALUE"""),"Comedy")</f>
        <v>Comedy</v>
      </c>
      <c r="V238" s="5">
        <f>IFERROR(__xludf.DUMMYFUNCTION("""COMPUTED_VALUE"""),1.0)</f>
        <v>1</v>
      </c>
    </row>
    <row r="239">
      <c r="A239" s="1">
        <v>238.0</v>
      </c>
      <c r="B239" s="1" t="s">
        <v>1638</v>
      </c>
      <c r="C239" s="1" t="s">
        <v>107</v>
      </c>
      <c r="D239" s="1"/>
      <c r="E239" s="1">
        <v>238.0</v>
      </c>
      <c r="F239" s="1" t="s">
        <v>1638</v>
      </c>
      <c r="G239" s="1" t="str">
        <f>IFERROR(__xludf.DUMMYFUNCTION("SPLIT(C239, "", "")"),"Drama")</f>
        <v>Drama</v>
      </c>
      <c r="H239" s="5" t="str">
        <f>IFERROR(__xludf.DUMMYFUNCTION("""COMPUTED_VALUE"""),"Romance")</f>
        <v>Romance</v>
      </c>
      <c r="J239" s="5" t="str">
        <f>IFERROR(__xludf.DUMMYFUNCTION("""COMPUTED_VALUE"""),"80🤙🏼Witness for the Prosecution🤙🏼Crime🤙🏼1")</f>
        <v>80🤙🏼Witness for the Prosecution🤙🏼Crime🤙🏼1</v>
      </c>
      <c r="K239" s="5">
        <f>IFERROR(__xludf.DUMMYFUNCTION("SPLiT(J239, ""🤙🏼"",FALSE,FALSE)"),80.0)</f>
        <v>80</v>
      </c>
      <c r="L239" s="5" t="str">
        <f>IFERROR(__xludf.DUMMYFUNCTION("""COMPUTED_VALUE"""),"Witness for the Prosecution")</f>
        <v>Witness for the Prosecution</v>
      </c>
      <c r="M239" s="5" t="str">
        <f>IFERROR(__xludf.DUMMYFUNCTION("""COMPUTED_VALUE"""),"Crime")</f>
        <v>Crime</v>
      </c>
      <c r="N239" s="5">
        <f>IFERROR(__xludf.DUMMYFUNCTION("""COMPUTED_VALUE"""),1.0)</f>
        <v>1</v>
      </c>
      <c r="S239" s="5">
        <f>IFERROR(__xludf.DUMMYFUNCTION("""COMPUTED_VALUE"""),96.0)</f>
        <v>96</v>
      </c>
      <c r="T239" s="5" t="str">
        <f>IFERROR(__xludf.DUMMYFUNCTION("""COMPUTED_VALUE"""),"Amélie")</f>
        <v>Amélie</v>
      </c>
      <c r="U239" s="5" t="str">
        <f>IFERROR(__xludf.DUMMYFUNCTION("""COMPUTED_VALUE"""),"Romance")</f>
        <v>Romance</v>
      </c>
      <c r="V239" s="5">
        <f>IFERROR(__xludf.DUMMYFUNCTION("""COMPUTED_VALUE"""),2.0)</f>
        <v>2</v>
      </c>
    </row>
    <row r="240">
      <c r="A240" s="1">
        <v>239.0</v>
      </c>
      <c r="B240" s="1" t="s">
        <v>1646</v>
      </c>
      <c r="C240" s="1" t="s">
        <v>1454</v>
      </c>
      <c r="D240" s="1"/>
      <c r="E240" s="1">
        <v>239.0</v>
      </c>
      <c r="F240" s="1" t="s">
        <v>1646</v>
      </c>
      <c r="G240" s="1" t="str">
        <f>IFERROR(__xludf.DUMMYFUNCTION("SPLIT(C240, "", "")"),"Comedy")</f>
        <v>Comedy</v>
      </c>
      <c r="H240" s="5" t="str">
        <f>IFERROR(__xludf.DUMMYFUNCTION("""COMPUTED_VALUE"""),"Drama")</f>
        <v>Drama</v>
      </c>
      <c r="I240" s="5" t="str">
        <f>IFERROR(__xludf.DUMMYFUNCTION("""COMPUTED_VALUE"""),"Musical")</f>
        <v>Musical</v>
      </c>
      <c r="J240" s="5" t="str">
        <f>IFERROR(__xludf.DUMMYFUNCTION("""COMPUTED_VALUE"""),"80🤙🏼Witness for the Prosecution🤙🏼Drama🤙🏼2")</f>
        <v>80🤙🏼Witness for the Prosecution🤙🏼Drama🤙🏼2</v>
      </c>
      <c r="K240" s="5">
        <f>IFERROR(__xludf.DUMMYFUNCTION("SPLiT(J240, ""🤙🏼"",FALSE,FALSE)"),80.0)</f>
        <v>80</v>
      </c>
      <c r="L240" s="5" t="str">
        <f>IFERROR(__xludf.DUMMYFUNCTION("""COMPUTED_VALUE"""),"Witness for the Prosecution")</f>
        <v>Witness for the Prosecution</v>
      </c>
      <c r="M240" s="5" t="str">
        <f>IFERROR(__xludf.DUMMYFUNCTION("""COMPUTED_VALUE"""),"Drama")</f>
        <v>Drama</v>
      </c>
      <c r="N240" s="5">
        <f>IFERROR(__xludf.DUMMYFUNCTION("""COMPUTED_VALUE"""),2.0)</f>
        <v>2</v>
      </c>
      <c r="S240" s="5">
        <f>IFERROR(__xludf.DUMMYFUNCTION("""COMPUTED_VALUE"""),97.0)</f>
        <v>97</v>
      </c>
      <c r="T240" s="5" t="str">
        <f>IFERROR(__xludf.DUMMYFUNCTION("""COMPUTED_VALUE"""),"Snatch")</f>
        <v>Snatch</v>
      </c>
      <c r="U240" s="5" t="str">
        <f>IFERROR(__xludf.DUMMYFUNCTION("""COMPUTED_VALUE"""),"Comedy")</f>
        <v>Comedy</v>
      </c>
      <c r="V240" s="5">
        <f>IFERROR(__xludf.DUMMYFUNCTION("""COMPUTED_VALUE"""),1.0)</f>
        <v>1</v>
      </c>
    </row>
    <row r="241">
      <c r="A241" s="1">
        <v>240.0</v>
      </c>
      <c r="B241" s="1" t="s">
        <v>1650</v>
      </c>
      <c r="C241" s="1" t="s">
        <v>235</v>
      </c>
      <c r="D241" s="1"/>
      <c r="E241" s="1">
        <v>240.0</v>
      </c>
      <c r="F241" s="1" t="s">
        <v>1650</v>
      </c>
      <c r="G241" s="1" t="str">
        <f>IFERROR(__xludf.DUMMYFUNCTION("SPLIT(C241, "", "")"),"Crime")</f>
        <v>Crime</v>
      </c>
      <c r="H241" s="5" t="str">
        <f>IFERROR(__xludf.DUMMYFUNCTION("""COMPUTED_VALUE"""),"Drama")</f>
        <v>Drama</v>
      </c>
      <c r="I241" s="5" t="str">
        <f>IFERROR(__xludf.DUMMYFUNCTION("""COMPUTED_VALUE"""),"Mystery")</f>
        <v>Mystery</v>
      </c>
      <c r="J241" s="5" t="str">
        <f>IFERROR(__xludf.DUMMYFUNCTION("""COMPUTED_VALUE"""),"80🤙🏼Witness for the Prosecution🤙🏼Mystery🤙🏼3")</f>
        <v>80🤙🏼Witness for the Prosecution🤙🏼Mystery🤙🏼3</v>
      </c>
      <c r="K241" s="5">
        <f>IFERROR(__xludf.DUMMYFUNCTION("SPLiT(J241, ""🤙🏼"",FALSE,FALSE)"),80.0)</f>
        <v>80</v>
      </c>
      <c r="L241" s="5" t="str">
        <f>IFERROR(__xludf.DUMMYFUNCTION("""COMPUTED_VALUE"""),"Witness for the Prosecution")</f>
        <v>Witness for the Prosecution</v>
      </c>
      <c r="M241" s="5" t="str">
        <f>IFERROR(__xludf.DUMMYFUNCTION("""COMPUTED_VALUE"""),"Mystery")</f>
        <v>Mystery</v>
      </c>
      <c r="N241" s="5">
        <f>IFERROR(__xludf.DUMMYFUNCTION("""COMPUTED_VALUE"""),3.0)</f>
        <v>3</v>
      </c>
      <c r="S241" s="5">
        <f>IFERROR(__xludf.DUMMYFUNCTION("""COMPUTED_VALUE"""),97.0)</f>
        <v>97</v>
      </c>
      <c r="T241" s="5" t="str">
        <f>IFERROR(__xludf.DUMMYFUNCTION("""COMPUTED_VALUE"""),"Snatch")</f>
        <v>Snatch</v>
      </c>
      <c r="U241" s="5" t="str">
        <f>IFERROR(__xludf.DUMMYFUNCTION("""COMPUTED_VALUE"""),"Crime")</f>
        <v>Crime</v>
      </c>
      <c r="V241" s="5">
        <f>IFERROR(__xludf.DUMMYFUNCTION("""COMPUTED_VALUE"""),2.0)</f>
        <v>2</v>
      </c>
    </row>
    <row r="242">
      <c r="A242" s="1">
        <v>241.0</v>
      </c>
      <c r="B242" s="1" t="s">
        <v>1655</v>
      </c>
      <c r="C242" s="1" t="s">
        <v>227</v>
      </c>
      <c r="D242" s="1"/>
      <c r="E242" s="1">
        <v>241.0</v>
      </c>
      <c r="F242" s="1" t="s">
        <v>1655</v>
      </c>
      <c r="G242" s="1" t="str">
        <f>IFERROR(__xludf.DUMMYFUNCTION("SPLIT(C242, "", "")"),"Comedy")</f>
        <v>Comedy</v>
      </c>
      <c r="H242" s="5" t="str">
        <f>IFERROR(__xludf.DUMMYFUNCTION("""COMPUTED_VALUE"""),"Drama")</f>
        <v>Drama</v>
      </c>
      <c r="I242" s="5" t="str">
        <f>IFERROR(__xludf.DUMMYFUNCTION("""COMPUTED_VALUE"""),"Romance")</f>
        <v>Romance</v>
      </c>
      <c r="J242" s="5" t="str">
        <f>IFERROR(__xludf.DUMMYFUNCTION("""COMPUTED_VALUE"""),"81🤙🏼Paths of Glory🤙🏼Drama🤙🏼1")</f>
        <v>81🤙🏼Paths of Glory🤙🏼Drama🤙🏼1</v>
      </c>
      <c r="K242" s="5">
        <f>IFERROR(__xludf.DUMMYFUNCTION("SPLiT(J242, ""🤙🏼"",FALSE,FALSE)"),81.0)</f>
        <v>81</v>
      </c>
      <c r="L242" s="5" t="str">
        <f>IFERROR(__xludf.DUMMYFUNCTION("""COMPUTED_VALUE"""),"Paths of Glory")</f>
        <v>Paths of Glory</v>
      </c>
      <c r="M242" s="5" t="str">
        <f>IFERROR(__xludf.DUMMYFUNCTION("""COMPUTED_VALUE"""),"Drama")</f>
        <v>Drama</v>
      </c>
      <c r="N242" s="5">
        <f>IFERROR(__xludf.DUMMYFUNCTION("""COMPUTED_VALUE"""),1.0)</f>
        <v>1</v>
      </c>
      <c r="S242" s="5">
        <f>IFERROR(__xludf.DUMMYFUNCTION("""COMPUTED_VALUE"""),98.0)</f>
        <v>98</v>
      </c>
      <c r="T242" s="5" t="str">
        <f>IFERROR(__xludf.DUMMYFUNCTION("""COMPUTED_VALUE"""),"Requiem for a Dream")</f>
        <v>Requiem for a Dream</v>
      </c>
      <c r="U242" s="5" t="str">
        <f>IFERROR(__xludf.DUMMYFUNCTION("""COMPUTED_VALUE"""),"Drama")</f>
        <v>Drama</v>
      </c>
      <c r="V242" s="5">
        <f>IFERROR(__xludf.DUMMYFUNCTION("""COMPUTED_VALUE"""),1.0)</f>
        <v>1</v>
      </c>
    </row>
    <row r="243">
      <c r="A243" s="1">
        <v>242.0</v>
      </c>
      <c r="B243" s="1" t="s">
        <v>1662</v>
      </c>
      <c r="C243" s="1" t="s">
        <v>39</v>
      </c>
      <c r="D243" s="1"/>
      <c r="E243" s="1">
        <v>242.0</v>
      </c>
      <c r="F243" s="1" t="s">
        <v>1662</v>
      </c>
      <c r="G243" s="1" t="str">
        <f>IFERROR(__xludf.DUMMYFUNCTION("SPLIT(C243, "", "")"),"Action")</f>
        <v>Action</v>
      </c>
      <c r="H243" s="5" t="str">
        <f>IFERROR(__xludf.DUMMYFUNCTION("""COMPUTED_VALUE"""),"Crime")</f>
        <v>Crime</v>
      </c>
      <c r="I243" s="5" t="str">
        <f>IFERROR(__xludf.DUMMYFUNCTION("""COMPUTED_VALUE"""),"Drama")</f>
        <v>Drama</v>
      </c>
      <c r="J243" s="5" t="str">
        <f>IFERROR(__xludf.DUMMYFUNCTION("""COMPUTED_VALUE"""),"81🤙🏼Paths of Glory🤙🏼War🤙🏼2")</f>
        <v>81🤙🏼Paths of Glory🤙🏼War🤙🏼2</v>
      </c>
      <c r="K243" s="5">
        <f>IFERROR(__xludf.DUMMYFUNCTION("SPLiT(J243, ""🤙🏼"",FALSE,FALSE)"),81.0)</f>
        <v>81</v>
      </c>
      <c r="L243" s="5" t="str">
        <f>IFERROR(__xludf.DUMMYFUNCTION("""COMPUTED_VALUE"""),"Paths of Glory")</f>
        <v>Paths of Glory</v>
      </c>
      <c r="M243" s="5" t="str">
        <f>IFERROR(__xludf.DUMMYFUNCTION("""COMPUTED_VALUE"""),"War")</f>
        <v>War</v>
      </c>
      <c r="N243" s="5">
        <f>IFERROR(__xludf.DUMMYFUNCTION("""COMPUTED_VALUE"""),2.0)</f>
        <v>2</v>
      </c>
      <c r="S243" s="5">
        <f>IFERROR(__xludf.DUMMYFUNCTION("""COMPUTED_VALUE"""),99.0)</f>
        <v>99</v>
      </c>
      <c r="T243" s="5" t="str">
        <f>IFERROR(__xludf.DUMMYFUNCTION("""COMPUTED_VALUE"""),"American Beauty")</f>
        <v>American Beauty</v>
      </c>
      <c r="U243" s="5" t="str">
        <f>IFERROR(__xludf.DUMMYFUNCTION("""COMPUTED_VALUE"""),"Drama")</f>
        <v>Drama</v>
      </c>
      <c r="V243" s="5">
        <f>IFERROR(__xludf.DUMMYFUNCTION("""COMPUTED_VALUE"""),1.0)</f>
        <v>1</v>
      </c>
    </row>
    <row r="244">
      <c r="A244" s="1">
        <v>243.0</v>
      </c>
      <c r="B244" s="1" t="s">
        <v>1667</v>
      </c>
      <c r="C244" s="1" t="s">
        <v>765</v>
      </c>
      <c r="D244" s="1"/>
      <c r="E244" s="1">
        <v>243.0</v>
      </c>
      <c r="F244" s="1" t="s">
        <v>1667</v>
      </c>
      <c r="G244" s="1" t="str">
        <f>IFERROR(__xludf.DUMMYFUNCTION("SPLIT(C244, "", "")"),"Animation")</f>
        <v>Animation</v>
      </c>
      <c r="H244" s="5" t="str">
        <f>IFERROR(__xludf.DUMMYFUNCTION("""COMPUTED_VALUE"""),"Adventure")</f>
        <v>Adventure</v>
      </c>
      <c r="I244" s="5" t="str">
        <f>IFERROR(__xludf.DUMMYFUNCTION("""COMPUTED_VALUE"""),"Comedy")</f>
        <v>Comedy</v>
      </c>
      <c r="J244" s="5" t="str">
        <f>IFERROR(__xludf.DUMMYFUNCTION("""COMPUTED_VALUE"""),"81🤙🏼Paths of Glory🤙🏼🤙🏼3")</f>
        <v>81🤙🏼Paths of Glory🤙🏼🤙🏼3</v>
      </c>
      <c r="K244" s="5">
        <f>IFERROR(__xludf.DUMMYFUNCTION("SPLiT(J244, ""🤙🏼"",FALSE,FALSE)"),81.0)</f>
        <v>81</v>
      </c>
      <c r="L244" s="5" t="str">
        <f>IFERROR(__xludf.DUMMYFUNCTION("""COMPUTED_VALUE"""),"Paths of Glory")</f>
        <v>Paths of Glory</v>
      </c>
      <c r="M244" s="5"/>
      <c r="N244" s="5">
        <f>IFERROR(__xludf.DUMMYFUNCTION("""COMPUTED_VALUE"""),3.0)</f>
        <v>3</v>
      </c>
      <c r="S244" s="5">
        <f>IFERROR(__xludf.DUMMYFUNCTION("""COMPUTED_VALUE"""),100.0)</f>
        <v>100</v>
      </c>
      <c r="T244" s="5" t="str">
        <f>IFERROR(__xludf.DUMMYFUNCTION("""COMPUTED_VALUE"""),"Good Will Hunting")</f>
        <v>Good Will Hunting</v>
      </c>
      <c r="U244" s="5" t="str">
        <f>IFERROR(__xludf.DUMMYFUNCTION("""COMPUTED_VALUE"""),"Drama")</f>
        <v>Drama</v>
      </c>
      <c r="V244" s="5">
        <f>IFERROR(__xludf.DUMMYFUNCTION("""COMPUTED_VALUE"""),1.0)</f>
        <v>1</v>
      </c>
    </row>
    <row r="245">
      <c r="A245" s="1">
        <v>244.0</v>
      </c>
      <c r="B245" s="1" t="s">
        <v>1671</v>
      </c>
      <c r="C245" s="1" t="s">
        <v>137</v>
      </c>
      <c r="D245" s="1"/>
      <c r="E245" s="1">
        <v>244.0</v>
      </c>
      <c r="F245" s="1" t="s">
        <v>1671</v>
      </c>
      <c r="G245" s="1" t="str">
        <f>IFERROR(__xludf.DUMMYFUNCTION("SPLIT(C245, "", "")"),"Biography")</f>
        <v>Biography</v>
      </c>
      <c r="H245" s="5" t="str">
        <f>IFERROR(__xludf.DUMMYFUNCTION("""COMPUTED_VALUE"""),"Crime")</f>
        <v>Crime</v>
      </c>
      <c r="I245" s="5" t="str">
        <f>IFERROR(__xludf.DUMMYFUNCTION("""COMPUTED_VALUE"""),"Drama")</f>
        <v>Drama</v>
      </c>
      <c r="J245" s="5" t="str">
        <f>IFERROR(__xludf.DUMMYFUNCTION("""COMPUTED_VALUE"""),"82🤙🏼Rear Window🤙🏼Mystery🤙🏼1")</f>
        <v>82🤙🏼Rear Window🤙🏼Mystery🤙🏼1</v>
      </c>
      <c r="K245" s="5">
        <f>IFERROR(__xludf.DUMMYFUNCTION("SPLiT(J245, ""🤙🏼"",FALSE,FALSE)"),82.0)</f>
        <v>82</v>
      </c>
      <c r="L245" s="5" t="str">
        <f>IFERROR(__xludf.DUMMYFUNCTION("""COMPUTED_VALUE"""),"Rear Window")</f>
        <v>Rear Window</v>
      </c>
      <c r="M245" s="5" t="str">
        <f>IFERROR(__xludf.DUMMYFUNCTION("""COMPUTED_VALUE"""),"Mystery")</f>
        <v>Mystery</v>
      </c>
      <c r="N245" s="5">
        <f>IFERROR(__xludf.DUMMYFUNCTION("""COMPUTED_VALUE"""),1.0)</f>
        <v>1</v>
      </c>
      <c r="S245" s="5">
        <f>IFERROR(__xludf.DUMMYFUNCTION("""COMPUTED_VALUE"""),100.0)</f>
        <v>100</v>
      </c>
      <c r="T245" s="5" t="str">
        <f>IFERROR(__xludf.DUMMYFUNCTION("""COMPUTED_VALUE"""),"Good Will Hunting")</f>
        <v>Good Will Hunting</v>
      </c>
      <c r="U245" s="5" t="str">
        <f>IFERROR(__xludf.DUMMYFUNCTION("""COMPUTED_VALUE"""),"Romance")</f>
        <v>Romance</v>
      </c>
      <c r="V245" s="5">
        <f>IFERROR(__xludf.DUMMYFUNCTION("""COMPUTED_VALUE"""),2.0)</f>
        <v>2</v>
      </c>
    </row>
    <row r="246">
      <c r="A246" s="1">
        <v>245.0</v>
      </c>
      <c r="B246" s="1" t="s">
        <v>1675</v>
      </c>
      <c r="C246" s="1" t="s">
        <v>1377</v>
      </c>
      <c r="D246" s="1"/>
      <c r="E246" s="1">
        <v>245.0</v>
      </c>
      <c r="F246" s="1" t="s">
        <v>1675</v>
      </c>
      <c r="G246" s="1" t="str">
        <f>IFERROR(__xludf.DUMMYFUNCTION("SPLIT(C246, "", "")"),"Drama")</f>
        <v>Drama</v>
      </c>
      <c r="H246" s="5" t="str">
        <f>IFERROR(__xludf.DUMMYFUNCTION("""COMPUTED_VALUE"""),"Thriller")</f>
        <v>Thriller</v>
      </c>
      <c r="J246" s="5" t="str">
        <f>IFERROR(__xludf.DUMMYFUNCTION("""COMPUTED_VALUE"""),"82🤙🏼Rear Window🤙🏼Thriller🤙🏼2")</f>
        <v>82🤙🏼Rear Window🤙🏼Thriller🤙🏼2</v>
      </c>
      <c r="K246" s="5">
        <f>IFERROR(__xludf.DUMMYFUNCTION("SPLiT(J246, ""🤙🏼"",FALSE,FALSE)"),82.0)</f>
        <v>82</v>
      </c>
      <c r="L246" s="5" t="str">
        <f>IFERROR(__xludf.DUMMYFUNCTION("""COMPUTED_VALUE"""),"Rear Window")</f>
        <v>Rear Window</v>
      </c>
      <c r="M246" s="5" t="str">
        <f>IFERROR(__xludf.DUMMYFUNCTION("""COMPUTED_VALUE"""),"Thriller")</f>
        <v>Thriller</v>
      </c>
      <c r="N246" s="5">
        <f>IFERROR(__xludf.DUMMYFUNCTION("""COMPUTED_VALUE"""),2.0)</f>
        <v>2</v>
      </c>
      <c r="S246" s="5">
        <f>IFERROR(__xludf.DUMMYFUNCTION("""COMPUTED_VALUE"""),101.0)</f>
        <v>101</v>
      </c>
      <c r="T246" s="5" t="str">
        <f>IFERROR(__xludf.DUMMYFUNCTION("""COMPUTED_VALUE"""),"Bacheha-Ye aseman")</f>
        <v>Bacheha-Ye aseman</v>
      </c>
      <c r="U246" s="5" t="str">
        <f>IFERROR(__xludf.DUMMYFUNCTION("""COMPUTED_VALUE"""),"Drama")</f>
        <v>Drama</v>
      </c>
      <c r="V246" s="5">
        <f>IFERROR(__xludf.DUMMYFUNCTION("""COMPUTED_VALUE"""),1.0)</f>
        <v>1</v>
      </c>
    </row>
    <row r="247">
      <c r="A247" s="1">
        <v>246.0</v>
      </c>
      <c r="B247" s="1" t="s">
        <v>1681</v>
      </c>
      <c r="C247" s="1" t="s">
        <v>765</v>
      </c>
      <c r="D247" s="1"/>
      <c r="E247" s="1">
        <v>246.0</v>
      </c>
      <c r="F247" s="1" t="s">
        <v>1681</v>
      </c>
      <c r="G247" s="1" t="str">
        <f>IFERROR(__xludf.DUMMYFUNCTION("SPLIT(C247, "", "")"),"Animation")</f>
        <v>Animation</v>
      </c>
      <c r="H247" s="5" t="str">
        <f>IFERROR(__xludf.DUMMYFUNCTION("""COMPUTED_VALUE"""),"Adventure")</f>
        <v>Adventure</v>
      </c>
      <c r="I247" s="5" t="str">
        <f>IFERROR(__xludf.DUMMYFUNCTION("""COMPUTED_VALUE"""),"Comedy")</f>
        <v>Comedy</v>
      </c>
      <c r="J247" s="5" t="str">
        <f>IFERROR(__xludf.DUMMYFUNCTION("""COMPUTED_VALUE"""),"82🤙🏼Rear Window🤙🏼🤙🏼3")</f>
        <v>82🤙🏼Rear Window🤙🏼🤙🏼3</v>
      </c>
      <c r="K247" s="5">
        <f>IFERROR(__xludf.DUMMYFUNCTION("SPLiT(J247, ""🤙🏼"",FALSE,FALSE)"),82.0)</f>
        <v>82</v>
      </c>
      <c r="L247" s="5" t="str">
        <f>IFERROR(__xludf.DUMMYFUNCTION("""COMPUTED_VALUE"""),"Rear Window")</f>
        <v>Rear Window</v>
      </c>
      <c r="M247" s="5"/>
      <c r="N247" s="5">
        <f>IFERROR(__xludf.DUMMYFUNCTION("""COMPUTED_VALUE"""),3.0)</f>
        <v>3</v>
      </c>
      <c r="S247" s="5">
        <f>IFERROR(__xludf.DUMMYFUNCTION("""COMPUTED_VALUE"""),101.0)</f>
        <v>101</v>
      </c>
      <c r="T247" s="5" t="str">
        <f>IFERROR(__xludf.DUMMYFUNCTION("""COMPUTED_VALUE"""),"Bacheha-Ye aseman")</f>
        <v>Bacheha-Ye aseman</v>
      </c>
      <c r="U247" s="5" t="str">
        <f>IFERROR(__xludf.DUMMYFUNCTION("""COMPUTED_VALUE"""),"Family")</f>
        <v>Family</v>
      </c>
      <c r="V247" s="5">
        <f>IFERROR(__xludf.DUMMYFUNCTION("""COMPUTED_VALUE"""),2.0)</f>
        <v>2</v>
      </c>
    </row>
    <row r="248">
      <c r="A248" s="1">
        <v>247.0</v>
      </c>
      <c r="B248" s="1" t="s">
        <v>1686</v>
      </c>
      <c r="C248" s="1" t="s">
        <v>1687</v>
      </c>
      <c r="D248" s="1"/>
      <c r="E248" s="1">
        <v>247.0</v>
      </c>
      <c r="F248" s="1" t="s">
        <v>1686</v>
      </c>
      <c r="G248" s="1" t="str">
        <f>IFERROR(__xludf.DUMMYFUNCTION("SPLIT(C248, "", "")"),"Animation")</f>
        <v>Animation</v>
      </c>
      <c r="H248" s="5" t="str">
        <f>IFERROR(__xludf.DUMMYFUNCTION("""COMPUTED_VALUE"""),"Action")</f>
        <v>Action</v>
      </c>
      <c r="I248" s="5" t="str">
        <f>IFERROR(__xludf.DUMMYFUNCTION("""COMPUTED_VALUE"""),"Drama")</f>
        <v>Drama</v>
      </c>
      <c r="J248" s="5" t="str">
        <f>IFERROR(__xludf.DUMMYFUNCTION("""COMPUTED_VALUE"""),"83🤙🏼Sunset Blvd.🤙🏼Drama🤙🏼1")</f>
        <v>83🤙🏼Sunset Blvd.🤙🏼Drama🤙🏼1</v>
      </c>
      <c r="K248" s="5">
        <f>IFERROR(__xludf.DUMMYFUNCTION("SPLiT(J248, ""🤙🏼"",FALSE,FALSE)"),83.0)</f>
        <v>83</v>
      </c>
      <c r="L248" s="5" t="str">
        <f>IFERROR(__xludf.DUMMYFUNCTION("""COMPUTED_VALUE"""),"Sunset Blvd.")</f>
        <v>Sunset Blvd.</v>
      </c>
      <c r="M248" s="5" t="str">
        <f>IFERROR(__xludf.DUMMYFUNCTION("""COMPUTED_VALUE"""),"Drama")</f>
        <v>Drama</v>
      </c>
      <c r="N248" s="5">
        <f>IFERROR(__xludf.DUMMYFUNCTION("""COMPUTED_VALUE"""),1.0)</f>
        <v>1</v>
      </c>
      <c r="S248" s="5">
        <f>IFERROR(__xludf.DUMMYFUNCTION("""COMPUTED_VALUE"""),101.0)</f>
        <v>101</v>
      </c>
      <c r="T248" s="5" t="str">
        <f>IFERROR(__xludf.DUMMYFUNCTION("""COMPUTED_VALUE"""),"Bacheha-Ye aseman")</f>
        <v>Bacheha-Ye aseman</v>
      </c>
      <c r="U248" s="5" t="str">
        <f>IFERROR(__xludf.DUMMYFUNCTION("""COMPUTED_VALUE"""),"Sport")</f>
        <v>Sport</v>
      </c>
      <c r="V248" s="5">
        <f>IFERROR(__xludf.DUMMYFUNCTION("""COMPUTED_VALUE"""),3.0)</f>
        <v>3</v>
      </c>
    </row>
    <row r="249">
      <c r="A249" s="1">
        <v>248.0</v>
      </c>
      <c r="B249" s="1" t="s">
        <v>1694</v>
      </c>
      <c r="C249" s="1" t="s">
        <v>1696</v>
      </c>
      <c r="D249" s="1"/>
      <c r="E249" s="1">
        <v>248.0</v>
      </c>
      <c r="F249" s="1" t="s">
        <v>1694</v>
      </c>
      <c r="G249" s="1" t="str">
        <f>IFERROR(__xludf.DUMMYFUNCTION("SPLIT(C249, "", "")"),"Adventure")</f>
        <v>Adventure</v>
      </c>
      <c r="H249" s="5" t="str">
        <f>IFERROR(__xludf.DUMMYFUNCTION("""COMPUTED_VALUE"""),"Drama")</f>
        <v>Drama</v>
      </c>
      <c r="I249" s="5" t="str">
        <f>IFERROR(__xludf.DUMMYFUNCTION("""COMPUTED_VALUE"""),"Musical")</f>
        <v>Musical</v>
      </c>
      <c r="J249" s="5" t="str">
        <f>IFERROR(__xludf.DUMMYFUNCTION("""COMPUTED_VALUE"""),"83🤙🏼Sunset Blvd.🤙🏼Film-Noir🤙🏼2")</f>
        <v>83🤙🏼Sunset Blvd.🤙🏼Film-Noir🤙🏼2</v>
      </c>
      <c r="K249" s="5">
        <f>IFERROR(__xludf.DUMMYFUNCTION("SPLiT(J249, ""🤙🏼"",FALSE,FALSE)"),83.0)</f>
        <v>83</v>
      </c>
      <c r="L249" s="5" t="str">
        <f>IFERROR(__xludf.DUMMYFUNCTION("""COMPUTED_VALUE"""),"Sunset Blvd.")</f>
        <v>Sunset Blvd.</v>
      </c>
      <c r="M249" s="5" t="str">
        <f>IFERROR(__xludf.DUMMYFUNCTION("""COMPUTED_VALUE"""),"Film-Noir")</f>
        <v>Film-Noir</v>
      </c>
      <c r="N249" s="5">
        <f>IFERROR(__xludf.DUMMYFUNCTION("""COMPUTED_VALUE"""),2.0)</f>
        <v>2</v>
      </c>
      <c r="S249" s="5">
        <f>IFERROR(__xludf.DUMMYFUNCTION("""COMPUTED_VALUE"""),102.0)</f>
        <v>102</v>
      </c>
      <c r="T249" s="5" t="str">
        <f>IFERROR(__xludf.DUMMYFUNCTION("""COMPUTED_VALUE"""),"Toy Story")</f>
        <v>Toy Story</v>
      </c>
      <c r="U249" s="5" t="str">
        <f>IFERROR(__xludf.DUMMYFUNCTION("""COMPUTED_VALUE"""),"Animation")</f>
        <v>Animation</v>
      </c>
      <c r="V249" s="5">
        <f>IFERROR(__xludf.DUMMYFUNCTION("""COMPUTED_VALUE"""),1.0)</f>
        <v>1</v>
      </c>
    </row>
    <row r="250">
      <c r="A250" s="1">
        <v>249.0</v>
      </c>
      <c r="B250" s="1" t="s">
        <v>1700</v>
      </c>
      <c r="C250" s="1" t="s">
        <v>527</v>
      </c>
      <c r="D250" s="1"/>
      <c r="E250" s="1">
        <v>249.0</v>
      </c>
      <c r="F250" s="1" t="s">
        <v>1700</v>
      </c>
      <c r="G250" s="1" t="str">
        <f>IFERROR(__xludf.DUMMYFUNCTION("SPLIT(C250, "", "")"),"Drama")</f>
        <v>Drama</v>
      </c>
      <c r="H250" s="5" t="str">
        <f>IFERROR(__xludf.DUMMYFUNCTION("""COMPUTED_VALUE"""),"Mystery")</f>
        <v>Mystery</v>
      </c>
      <c r="I250" s="5" t="str">
        <f>IFERROR(__xludf.DUMMYFUNCTION("""COMPUTED_VALUE"""),"Thriller")</f>
        <v>Thriller</v>
      </c>
      <c r="J250" s="5" t="str">
        <f>IFERROR(__xludf.DUMMYFUNCTION("""COMPUTED_VALUE"""),"83🤙🏼Sunset Blvd.🤙🏼🤙🏼3")</f>
        <v>83🤙🏼Sunset Blvd.🤙🏼🤙🏼3</v>
      </c>
      <c r="K250" s="5">
        <f>IFERROR(__xludf.DUMMYFUNCTION("SPLiT(J250, ""🤙🏼"",FALSE,FALSE)"),83.0)</f>
        <v>83</v>
      </c>
      <c r="L250" s="5" t="str">
        <f>IFERROR(__xludf.DUMMYFUNCTION("""COMPUTED_VALUE"""),"Sunset Blvd.")</f>
        <v>Sunset Blvd.</v>
      </c>
      <c r="M250" s="5"/>
      <c r="N250" s="5">
        <f>IFERROR(__xludf.DUMMYFUNCTION("""COMPUTED_VALUE"""),3.0)</f>
        <v>3</v>
      </c>
      <c r="S250" s="5">
        <f>IFERROR(__xludf.DUMMYFUNCTION("""COMPUTED_VALUE"""),102.0)</f>
        <v>102</v>
      </c>
      <c r="T250" s="5" t="str">
        <f>IFERROR(__xludf.DUMMYFUNCTION("""COMPUTED_VALUE"""),"Toy Story")</f>
        <v>Toy Story</v>
      </c>
      <c r="U250" s="5" t="str">
        <f>IFERROR(__xludf.DUMMYFUNCTION("""COMPUTED_VALUE"""),"Adventure")</f>
        <v>Adventure</v>
      </c>
      <c r="V250" s="5">
        <f>IFERROR(__xludf.DUMMYFUNCTION("""COMPUTED_VALUE"""),2.0)</f>
        <v>2</v>
      </c>
    </row>
    <row r="251">
      <c r="A251" s="1">
        <v>250.0</v>
      </c>
      <c r="B251" s="1" t="s">
        <v>1705</v>
      </c>
      <c r="C251" s="1" t="s">
        <v>1706</v>
      </c>
      <c r="D251" s="1"/>
      <c r="E251" s="1">
        <v>250.0</v>
      </c>
      <c r="F251" s="1" t="s">
        <v>1705</v>
      </c>
      <c r="G251" s="1" t="str">
        <f>IFERROR(__xludf.DUMMYFUNCTION("SPLIT(C251, "", "")"),"Drama")</f>
        <v>Drama</v>
      </c>
      <c r="H251" s="5" t="str">
        <f>IFERROR(__xludf.DUMMYFUNCTION("""COMPUTED_VALUE"""),"Music")</f>
        <v>Music</v>
      </c>
      <c r="I251" s="5" t="str">
        <f>IFERROR(__xludf.DUMMYFUNCTION("""COMPUTED_VALUE"""),"Romance")</f>
        <v>Romance</v>
      </c>
      <c r="J251" s="5" t="str">
        <f>IFERROR(__xludf.DUMMYFUNCTION("""COMPUTED_VALUE"""),"84🤙🏼The Great Dictator🤙🏼Comedy🤙🏼1")</f>
        <v>84🤙🏼The Great Dictator🤙🏼Comedy🤙🏼1</v>
      </c>
      <c r="K251" s="5">
        <f>IFERROR(__xludf.DUMMYFUNCTION("SPLiT(J251, ""🤙🏼"",FALSE,FALSE)"),84.0)</f>
        <v>84</v>
      </c>
      <c r="L251" s="5" t="str">
        <f>IFERROR(__xludf.DUMMYFUNCTION("""COMPUTED_VALUE"""),"The Great Dictator")</f>
        <v>The Great Dictator</v>
      </c>
      <c r="M251" s="5" t="str">
        <f>IFERROR(__xludf.DUMMYFUNCTION("""COMPUTED_VALUE"""),"Comedy")</f>
        <v>Comedy</v>
      </c>
      <c r="N251" s="5">
        <f>IFERROR(__xludf.DUMMYFUNCTION("""COMPUTED_VALUE"""),1.0)</f>
        <v>1</v>
      </c>
      <c r="S251" s="5">
        <f>IFERROR(__xludf.DUMMYFUNCTION("""COMPUTED_VALUE"""),102.0)</f>
        <v>102</v>
      </c>
      <c r="T251" s="5" t="str">
        <f>IFERROR(__xludf.DUMMYFUNCTION("""COMPUTED_VALUE"""),"Toy Story")</f>
        <v>Toy Story</v>
      </c>
      <c r="U251" s="5" t="str">
        <f>IFERROR(__xludf.DUMMYFUNCTION("""COMPUTED_VALUE"""),"Comedy")</f>
        <v>Comedy</v>
      </c>
      <c r="V251" s="5">
        <f>IFERROR(__xludf.DUMMYFUNCTION("""COMPUTED_VALUE"""),3.0)</f>
        <v>3</v>
      </c>
    </row>
    <row r="252">
      <c r="A252" s="1">
        <v>251.0</v>
      </c>
      <c r="B252" s="1" t="s">
        <v>1711</v>
      </c>
      <c r="C252" s="1" t="s">
        <v>507</v>
      </c>
      <c r="D252" s="1"/>
      <c r="E252" s="1">
        <v>251.0</v>
      </c>
      <c r="F252" s="1" t="s">
        <v>1711</v>
      </c>
      <c r="G252" s="1" t="str">
        <f>IFERROR(__xludf.DUMMYFUNCTION("SPLIT(C252, "", "")"),"Comedy")</f>
        <v>Comedy</v>
      </c>
      <c r="H252" s="5" t="str">
        <f>IFERROR(__xludf.DUMMYFUNCTION("""COMPUTED_VALUE"""),"Drama")</f>
        <v>Drama</v>
      </c>
      <c r="J252" s="5" t="str">
        <f>IFERROR(__xludf.DUMMYFUNCTION("""COMPUTED_VALUE"""),"84🤙🏼The Great Dictator🤙🏼Drama🤙🏼2")</f>
        <v>84🤙🏼The Great Dictator🤙🏼Drama🤙🏼2</v>
      </c>
      <c r="K252" s="5">
        <f>IFERROR(__xludf.DUMMYFUNCTION("SPLiT(J252, ""🤙🏼"",FALSE,FALSE)"),84.0)</f>
        <v>84</v>
      </c>
      <c r="L252" s="5" t="str">
        <f>IFERROR(__xludf.DUMMYFUNCTION("""COMPUTED_VALUE"""),"The Great Dictator")</f>
        <v>The Great Dictator</v>
      </c>
      <c r="M252" s="5" t="str">
        <f>IFERROR(__xludf.DUMMYFUNCTION("""COMPUTED_VALUE"""),"Drama")</f>
        <v>Drama</v>
      </c>
      <c r="N252" s="5">
        <f>IFERROR(__xludf.DUMMYFUNCTION("""COMPUTED_VALUE"""),2.0)</f>
        <v>2</v>
      </c>
      <c r="S252" s="5">
        <f>IFERROR(__xludf.DUMMYFUNCTION("""COMPUTED_VALUE"""),103.0)</f>
        <v>103</v>
      </c>
      <c r="T252" s="5" t="str">
        <f>IFERROR(__xludf.DUMMYFUNCTION("""COMPUTED_VALUE"""),"Braveheart")</f>
        <v>Braveheart</v>
      </c>
      <c r="U252" s="5" t="str">
        <f>IFERROR(__xludf.DUMMYFUNCTION("""COMPUTED_VALUE"""),"Biography")</f>
        <v>Biography</v>
      </c>
      <c r="V252" s="5">
        <f>IFERROR(__xludf.DUMMYFUNCTION("""COMPUTED_VALUE"""),1.0)</f>
        <v>1</v>
      </c>
    </row>
    <row r="253">
      <c r="A253" s="1">
        <v>252.0</v>
      </c>
      <c r="B253" s="1" t="s">
        <v>1716</v>
      </c>
      <c r="C253" s="1" t="s">
        <v>1718</v>
      </c>
      <c r="D253" s="1"/>
      <c r="E253" s="1">
        <v>252.0</v>
      </c>
      <c r="F253" s="1" t="s">
        <v>1716</v>
      </c>
      <c r="G253" s="1" t="str">
        <f>IFERROR(__xludf.DUMMYFUNCTION("SPLIT(C253, "", "")"),"Comedy")</f>
        <v>Comedy</v>
      </c>
      <c r="H253" s="5" t="str">
        <f>IFERROR(__xludf.DUMMYFUNCTION("""COMPUTED_VALUE"""),"Crime")</f>
        <v>Crime</v>
      </c>
      <c r="I253" s="5" t="str">
        <f>IFERROR(__xludf.DUMMYFUNCTION("""COMPUTED_VALUE"""),"Romance")</f>
        <v>Romance</v>
      </c>
      <c r="J253" s="5" t="str">
        <f>IFERROR(__xludf.DUMMYFUNCTION("""COMPUTED_VALUE"""),"84🤙🏼The Great Dictator🤙🏼War🤙🏼3")</f>
        <v>84🤙🏼The Great Dictator🤙🏼War🤙🏼3</v>
      </c>
      <c r="K253" s="5">
        <f>IFERROR(__xludf.DUMMYFUNCTION("SPLiT(J253, ""🤙🏼"",FALSE,FALSE)"),84.0)</f>
        <v>84</v>
      </c>
      <c r="L253" s="5" t="str">
        <f>IFERROR(__xludf.DUMMYFUNCTION("""COMPUTED_VALUE"""),"The Great Dictator")</f>
        <v>The Great Dictator</v>
      </c>
      <c r="M253" s="5" t="str">
        <f>IFERROR(__xludf.DUMMYFUNCTION("""COMPUTED_VALUE"""),"War")</f>
        <v>War</v>
      </c>
      <c r="N253" s="5">
        <f>IFERROR(__xludf.DUMMYFUNCTION("""COMPUTED_VALUE"""),3.0)</f>
        <v>3</v>
      </c>
      <c r="S253" s="5">
        <f>IFERROR(__xludf.DUMMYFUNCTION("""COMPUTED_VALUE"""),103.0)</f>
        <v>103</v>
      </c>
      <c r="T253" s="5" t="str">
        <f>IFERROR(__xludf.DUMMYFUNCTION("""COMPUTED_VALUE"""),"Braveheart")</f>
        <v>Braveheart</v>
      </c>
      <c r="U253" s="5" t="str">
        <f>IFERROR(__xludf.DUMMYFUNCTION("""COMPUTED_VALUE"""),"Drama")</f>
        <v>Drama</v>
      </c>
      <c r="V253" s="5">
        <f>IFERROR(__xludf.DUMMYFUNCTION("""COMPUTED_VALUE"""),2.0)</f>
        <v>2</v>
      </c>
    </row>
    <row r="254">
      <c r="A254" s="1">
        <v>253.0</v>
      </c>
      <c r="B254" s="1" t="s">
        <v>1724</v>
      </c>
      <c r="C254" s="1" t="s">
        <v>1725</v>
      </c>
      <c r="D254" s="1"/>
      <c r="E254" s="1">
        <v>253.0</v>
      </c>
      <c r="F254" s="1" t="s">
        <v>1724</v>
      </c>
      <c r="G254" s="1" t="str">
        <f>IFERROR(__xludf.DUMMYFUNCTION("SPLIT(C254, "", "")"),"Comedy")</f>
        <v>Comedy</v>
      </c>
      <c r="H254" s="5" t="str">
        <f>IFERROR(__xludf.DUMMYFUNCTION("""COMPUTED_VALUE"""),"Crime")</f>
        <v>Crime</v>
      </c>
      <c r="I254" s="5" t="str">
        <f>IFERROR(__xludf.DUMMYFUNCTION("""COMPUTED_VALUE"""),"Sport")</f>
        <v>Sport</v>
      </c>
      <c r="J254" s="5" t="str">
        <f>IFERROR(__xludf.DUMMYFUNCTION("""COMPUTED_VALUE"""),"85🤙🏼1917🤙🏼Drama🤙🏼1")</f>
        <v>85🤙🏼1917🤙🏼Drama🤙🏼1</v>
      </c>
      <c r="K254" s="5">
        <f>IFERROR(__xludf.DUMMYFUNCTION("SPLiT(J254, ""🤙🏼"",FALSE,FALSE)"),85.0)</f>
        <v>85</v>
      </c>
      <c r="L254" s="5">
        <f>IFERROR(__xludf.DUMMYFUNCTION("""COMPUTED_VALUE"""),1917.0)</f>
        <v>1917</v>
      </c>
      <c r="M254" s="5" t="str">
        <f>IFERROR(__xludf.DUMMYFUNCTION("""COMPUTED_VALUE"""),"Drama")</f>
        <v>Drama</v>
      </c>
      <c r="N254" s="5">
        <f>IFERROR(__xludf.DUMMYFUNCTION("""COMPUTED_VALUE"""),1.0)</f>
        <v>1</v>
      </c>
      <c r="S254" s="5">
        <f>IFERROR(__xludf.DUMMYFUNCTION("""COMPUTED_VALUE"""),103.0)</f>
        <v>103</v>
      </c>
      <c r="T254" s="5" t="str">
        <f>IFERROR(__xludf.DUMMYFUNCTION("""COMPUTED_VALUE"""),"Braveheart")</f>
        <v>Braveheart</v>
      </c>
      <c r="U254" s="5" t="str">
        <f>IFERROR(__xludf.DUMMYFUNCTION("""COMPUTED_VALUE"""),"History")</f>
        <v>History</v>
      </c>
      <c r="V254" s="5">
        <f>IFERROR(__xludf.DUMMYFUNCTION("""COMPUTED_VALUE"""),3.0)</f>
        <v>3</v>
      </c>
    </row>
    <row r="255">
      <c r="A255" s="1">
        <v>254.0</v>
      </c>
      <c r="B255" s="1" t="s">
        <v>1729</v>
      </c>
      <c r="C255" s="1" t="s">
        <v>107</v>
      </c>
      <c r="D255" s="1"/>
      <c r="E255" s="1">
        <v>254.0</v>
      </c>
      <c r="F255" s="1" t="s">
        <v>1729</v>
      </c>
      <c r="G255" s="1" t="str">
        <f>IFERROR(__xludf.DUMMYFUNCTION("SPLIT(C255, "", "")"),"Drama")</f>
        <v>Drama</v>
      </c>
      <c r="H255" s="5" t="str">
        <f>IFERROR(__xludf.DUMMYFUNCTION("""COMPUTED_VALUE"""),"Romance")</f>
        <v>Romance</v>
      </c>
      <c r="J255" s="5" t="str">
        <f>IFERROR(__xludf.DUMMYFUNCTION("""COMPUTED_VALUE"""),"85🤙🏼1917🤙🏼Thriller🤙🏼2")</f>
        <v>85🤙🏼1917🤙🏼Thriller🤙🏼2</v>
      </c>
      <c r="K255" s="5">
        <f>IFERROR(__xludf.DUMMYFUNCTION("SPLiT(J255, ""🤙🏼"",FALSE,FALSE)"),85.0)</f>
        <v>85</v>
      </c>
      <c r="L255" s="5">
        <f>IFERROR(__xludf.DUMMYFUNCTION("""COMPUTED_VALUE"""),1917.0)</f>
        <v>1917</v>
      </c>
      <c r="M255" s="5" t="str">
        <f>IFERROR(__xludf.DUMMYFUNCTION("""COMPUTED_VALUE"""),"Thriller")</f>
        <v>Thriller</v>
      </c>
      <c r="N255" s="5">
        <f>IFERROR(__xludf.DUMMYFUNCTION("""COMPUTED_VALUE"""),2.0)</f>
        <v>2</v>
      </c>
      <c r="S255" s="5">
        <f>IFERROR(__xludf.DUMMYFUNCTION("""COMPUTED_VALUE"""),104.0)</f>
        <v>104</v>
      </c>
      <c r="T255" s="5" t="str">
        <f>IFERROR(__xludf.DUMMYFUNCTION("""COMPUTED_VALUE"""),"Reservoir Dogs")</f>
        <v>Reservoir Dogs</v>
      </c>
      <c r="U255" s="5" t="str">
        <f>IFERROR(__xludf.DUMMYFUNCTION("""COMPUTED_VALUE"""),"Crime")</f>
        <v>Crime</v>
      </c>
      <c r="V255" s="5">
        <f>IFERROR(__xludf.DUMMYFUNCTION("""COMPUTED_VALUE"""),1.0)</f>
        <v>1</v>
      </c>
    </row>
    <row r="256">
      <c r="A256" s="1">
        <v>255.0</v>
      </c>
      <c r="B256" s="1" t="s">
        <v>1736</v>
      </c>
      <c r="C256" s="1" t="s">
        <v>20</v>
      </c>
      <c r="D256" s="1"/>
      <c r="E256" s="1">
        <v>255.0</v>
      </c>
      <c r="F256" s="1" t="s">
        <v>1736</v>
      </c>
      <c r="G256" s="1" t="str">
        <f>IFERROR(__xludf.DUMMYFUNCTION("SPLIT(C256, "", "")"),"Drama")</f>
        <v>Drama</v>
      </c>
      <c r="J256" s="5" t="str">
        <f>IFERROR(__xludf.DUMMYFUNCTION("""COMPUTED_VALUE"""),"85🤙🏼1917🤙🏼War🤙🏼3")</f>
        <v>85🤙🏼1917🤙🏼War🤙🏼3</v>
      </c>
      <c r="K256" s="5">
        <f>IFERROR(__xludf.DUMMYFUNCTION("SPLiT(J256, ""🤙🏼"",FALSE,FALSE)"),85.0)</f>
        <v>85</v>
      </c>
      <c r="L256" s="5">
        <f>IFERROR(__xludf.DUMMYFUNCTION("""COMPUTED_VALUE"""),1917.0)</f>
        <v>1917</v>
      </c>
      <c r="M256" s="5" t="str">
        <f>IFERROR(__xludf.DUMMYFUNCTION("""COMPUTED_VALUE"""),"War")</f>
        <v>War</v>
      </c>
      <c r="N256" s="5">
        <f>IFERROR(__xludf.DUMMYFUNCTION("""COMPUTED_VALUE"""),3.0)</f>
        <v>3</v>
      </c>
      <c r="S256" s="5">
        <f>IFERROR(__xludf.DUMMYFUNCTION("""COMPUTED_VALUE"""),104.0)</f>
        <v>104</v>
      </c>
      <c r="T256" s="5" t="str">
        <f>IFERROR(__xludf.DUMMYFUNCTION("""COMPUTED_VALUE"""),"Reservoir Dogs")</f>
        <v>Reservoir Dogs</v>
      </c>
      <c r="U256" s="5" t="str">
        <f>IFERROR(__xludf.DUMMYFUNCTION("""COMPUTED_VALUE"""),"Drama")</f>
        <v>Drama</v>
      </c>
      <c r="V256" s="5">
        <f>IFERROR(__xludf.DUMMYFUNCTION("""COMPUTED_VALUE"""),2.0)</f>
        <v>2</v>
      </c>
    </row>
    <row r="257">
      <c r="A257" s="1">
        <v>256.0</v>
      </c>
      <c r="B257" s="1" t="s">
        <v>1743</v>
      </c>
      <c r="C257" s="1" t="s">
        <v>241</v>
      </c>
      <c r="D257" s="1"/>
      <c r="E257" s="1">
        <v>256.0</v>
      </c>
      <c r="F257" s="1" t="s">
        <v>1743</v>
      </c>
      <c r="G257" s="1" t="str">
        <f>IFERROR(__xludf.DUMMYFUNCTION("SPLIT(C257, "", "")"),"Crime")</f>
        <v>Crime</v>
      </c>
      <c r="H257" s="5" t="str">
        <f>IFERROR(__xludf.DUMMYFUNCTION("""COMPUTED_VALUE"""),"Drama")</f>
        <v>Drama</v>
      </c>
      <c r="I257" s="5" t="str">
        <f>IFERROR(__xludf.DUMMYFUNCTION("""COMPUTED_VALUE"""),"Thriller")</f>
        <v>Thriller</v>
      </c>
      <c r="J257" s="5" t="str">
        <f>IFERROR(__xludf.DUMMYFUNCTION("""COMPUTED_VALUE"""),"86🤙🏼Tumbbad🤙🏼Drama🤙🏼1")</f>
        <v>86🤙🏼Tumbbad🤙🏼Drama🤙🏼1</v>
      </c>
      <c r="K257" s="5">
        <f>IFERROR(__xludf.DUMMYFUNCTION("SPLiT(J257, ""🤙🏼"",FALSE,FALSE)"),86.0)</f>
        <v>86</v>
      </c>
      <c r="L257" s="5" t="str">
        <f>IFERROR(__xludf.DUMMYFUNCTION("""COMPUTED_VALUE"""),"Tumbbad")</f>
        <v>Tumbbad</v>
      </c>
      <c r="M257" s="5" t="str">
        <f>IFERROR(__xludf.DUMMYFUNCTION("""COMPUTED_VALUE"""),"Drama")</f>
        <v>Drama</v>
      </c>
      <c r="N257" s="5">
        <f>IFERROR(__xludf.DUMMYFUNCTION("""COMPUTED_VALUE"""),1.0)</f>
        <v>1</v>
      </c>
      <c r="S257" s="5">
        <f>IFERROR(__xludf.DUMMYFUNCTION("""COMPUTED_VALUE"""),104.0)</f>
        <v>104</v>
      </c>
      <c r="T257" s="5" t="str">
        <f>IFERROR(__xludf.DUMMYFUNCTION("""COMPUTED_VALUE"""),"Reservoir Dogs")</f>
        <v>Reservoir Dogs</v>
      </c>
      <c r="U257" s="5" t="str">
        <f>IFERROR(__xludf.DUMMYFUNCTION("""COMPUTED_VALUE"""),"Thriller")</f>
        <v>Thriller</v>
      </c>
      <c r="V257" s="5">
        <f>IFERROR(__xludf.DUMMYFUNCTION("""COMPUTED_VALUE"""),3.0)</f>
        <v>3</v>
      </c>
    </row>
    <row r="258">
      <c r="A258" s="1">
        <v>257.0</v>
      </c>
      <c r="B258" s="1" t="s">
        <v>1747</v>
      </c>
      <c r="C258" s="1" t="s">
        <v>635</v>
      </c>
      <c r="D258" s="1"/>
      <c r="E258" s="1">
        <v>257.0</v>
      </c>
      <c r="F258" s="1" t="s">
        <v>1747</v>
      </c>
      <c r="G258" s="1" t="str">
        <f>IFERROR(__xludf.DUMMYFUNCTION("SPLIT(C258, "", "")"),"Comedy")</f>
        <v>Comedy</v>
      </c>
      <c r="H258" s="5" t="str">
        <f>IFERROR(__xludf.DUMMYFUNCTION("""COMPUTED_VALUE"""),"Drama")</f>
        <v>Drama</v>
      </c>
      <c r="I258" s="5" t="str">
        <f>IFERROR(__xludf.DUMMYFUNCTION("""COMPUTED_VALUE"""),"War")</f>
        <v>War</v>
      </c>
      <c r="J258" s="5" t="str">
        <f>IFERROR(__xludf.DUMMYFUNCTION("""COMPUTED_VALUE"""),"86🤙🏼Tumbbad🤙🏼Fantasy🤙🏼2")</f>
        <v>86🤙🏼Tumbbad🤙🏼Fantasy🤙🏼2</v>
      </c>
      <c r="K258" s="5">
        <f>IFERROR(__xludf.DUMMYFUNCTION("SPLiT(J258, ""🤙🏼"",FALSE,FALSE)"),86.0)</f>
        <v>86</v>
      </c>
      <c r="L258" s="5" t="str">
        <f>IFERROR(__xludf.DUMMYFUNCTION("""COMPUTED_VALUE"""),"Tumbbad")</f>
        <v>Tumbbad</v>
      </c>
      <c r="M258" s="5" t="str">
        <f>IFERROR(__xludf.DUMMYFUNCTION("""COMPUTED_VALUE"""),"Fantasy")</f>
        <v>Fantasy</v>
      </c>
      <c r="N258" s="5">
        <f>IFERROR(__xludf.DUMMYFUNCTION("""COMPUTED_VALUE"""),2.0)</f>
        <v>2</v>
      </c>
      <c r="S258" s="5">
        <f>IFERROR(__xludf.DUMMYFUNCTION("""COMPUTED_VALUE"""),105.0)</f>
        <v>105</v>
      </c>
      <c r="T258" s="5" t="str">
        <f>IFERROR(__xludf.DUMMYFUNCTION("""COMPUTED_VALUE"""),"Full Metal Jacket")</f>
        <v>Full Metal Jacket</v>
      </c>
      <c r="U258" s="5" t="str">
        <f>IFERROR(__xludf.DUMMYFUNCTION("""COMPUTED_VALUE"""),"Drama")</f>
        <v>Drama</v>
      </c>
      <c r="V258" s="5">
        <f>IFERROR(__xludf.DUMMYFUNCTION("""COMPUTED_VALUE"""),1.0)</f>
        <v>1</v>
      </c>
    </row>
    <row r="259">
      <c r="A259" s="1">
        <v>258.0</v>
      </c>
      <c r="B259" s="1" t="s">
        <v>1753</v>
      </c>
      <c r="C259" s="1" t="s">
        <v>29</v>
      </c>
      <c r="D259" s="1"/>
      <c r="E259" s="1">
        <v>258.0</v>
      </c>
      <c r="F259" s="1" t="s">
        <v>1753</v>
      </c>
      <c r="G259" s="1" t="str">
        <f>IFERROR(__xludf.DUMMYFUNCTION("SPLIT(C259, "", "")"),"Crime")</f>
        <v>Crime</v>
      </c>
      <c r="H259" s="5" t="str">
        <f>IFERROR(__xludf.DUMMYFUNCTION("""COMPUTED_VALUE"""),"Drama")</f>
        <v>Drama</v>
      </c>
      <c r="J259" s="5" t="str">
        <f>IFERROR(__xludf.DUMMYFUNCTION("""COMPUTED_VALUE"""),"86🤙🏼Tumbbad🤙🏼Horror🤙🏼3")</f>
        <v>86🤙🏼Tumbbad🤙🏼Horror🤙🏼3</v>
      </c>
      <c r="K259" s="5">
        <f>IFERROR(__xludf.DUMMYFUNCTION("SPLiT(J259, ""🤙🏼"",FALSE,FALSE)"),86.0)</f>
        <v>86</v>
      </c>
      <c r="L259" s="5" t="str">
        <f>IFERROR(__xludf.DUMMYFUNCTION("""COMPUTED_VALUE"""),"Tumbbad")</f>
        <v>Tumbbad</v>
      </c>
      <c r="M259" s="5" t="str">
        <f>IFERROR(__xludf.DUMMYFUNCTION("""COMPUTED_VALUE"""),"Horror")</f>
        <v>Horror</v>
      </c>
      <c r="N259" s="5">
        <f>IFERROR(__xludf.DUMMYFUNCTION("""COMPUTED_VALUE"""),3.0)</f>
        <v>3</v>
      </c>
      <c r="S259" s="5">
        <f>IFERROR(__xludf.DUMMYFUNCTION("""COMPUTED_VALUE"""),105.0)</f>
        <v>105</v>
      </c>
      <c r="T259" s="5" t="str">
        <f>IFERROR(__xludf.DUMMYFUNCTION("""COMPUTED_VALUE"""),"Full Metal Jacket")</f>
        <v>Full Metal Jacket</v>
      </c>
      <c r="U259" s="5" t="str">
        <f>IFERROR(__xludf.DUMMYFUNCTION("""COMPUTED_VALUE"""),"War")</f>
        <v>War</v>
      </c>
      <c r="V259" s="5">
        <f>IFERROR(__xludf.DUMMYFUNCTION("""COMPUTED_VALUE"""),2.0)</f>
        <v>2</v>
      </c>
    </row>
    <row r="260">
      <c r="A260" s="1">
        <v>259.0</v>
      </c>
      <c r="B260" s="1" t="s">
        <v>1759</v>
      </c>
      <c r="C260" s="1" t="s">
        <v>107</v>
      </c>
      <c r="D260" s="1"/>
      <c r="E260" s="1">
        <v>259.0</v>
      </c>
      <c r="F260" s="1" t="s">
        <v>1759</v>
      </c>
      <c r="G260" s="1" t="str">
        <f>IFERROR(__xludf.DUMMYFUNCTION("SPLIT(C260, "", "")"),"Drama")</f>
        <v>Drama</v>
      </c>
      <c r="H260" s="5" t="str">
        <f>IFERROR(__xludf.DUMMYFUNCTION("""COMPUTED_VALUE"""),"Romance")</f>
        <v>Romance</v>
      </c>
      <c r="J260" s="5" t="str">
        <f>IFERROR(__xludf.DUMMYFUNCTION("""COMPUTED_VALUE"""),"87🤙🏼Andhadhun🤙🏼Crime🤙🏼1")</f>
        <v>87🤙🏼Andhadhun🤙🏼Crime🤙🏼1</v>
      </c>
      <c r="K260" s="5">
        <f>IFERROR(__xludf.DUMMYFUNCTION("SPLiT(J260, ""🤙🏼"",FALSE,FALSE)"),87.0)</f>
        <v>87</v>
      </c>
      <c r="L260" s="5" t="str">
        <f>IFERROR(__xludf.DUMMYFUNCTION("""COMPUTED_VALUE"""),"Andhadhun")</f>
        <v>Andhadhun</v>
      </c>
      <c r="M260" s="5" t="str">
        <f>IFERROR(__xludf.DUMMYFUNCTION("""COMPUTED_VALUE"""),"Crime")</f>
        <v>Crime</v>
      </c>
      <c r="N260" s="5">
        <f>IFERROR(__xludf.DUMMYFUNCTION("""COMPUTED_VALUE"""),1.0)</f>
        <v>1</v>
      </c>
      <c r="S260" s="5">
        <f>IFERROR(__xludf.DUMMYFUNCTION("""COMPUTED_VALUE"""),106.0)</f>
        <v>106</v>
      </c>
      <c r="T260" s="5" t="str">
        <f>IFERROR(__xludf.DUMMYFUNCTION("""COMPUTED_VALUE"""),"Idi i smotri")</f>
        <v>Idi i smotri</v>
      </c>
      <c r="U260" s="5" t="str">
        <f>IFERROR(__xludf.DUMMYFUNCTION("""COMPUTED_VALUE"""),"Drama")</f>
        <v>Drama</v>
      </c>
      <c r="V260" s="5">
        <f>IFERROR(__xludf.DUMMYFUNCTION("""COMPUTED_VALUE"""),1.0)</f>
        <v>1</v>
      </c>
    </row>
    <row r="261">
      <c r="A261" s="1">
        <v>260.0</v>
      </c>
      <c r="B261" s="1" t="s">
        <v>1765</v>
      </c>
      <c r="C261" s="1" t="s">
        <v>107</v>
      </c>
      <c r="D261" s="1"/>
      <c r="E261" s="1">
        <v>260.0</v>
      </c>
      <c r="F261" s="1" t="s">
        <v>1765</v>
      </c>
      <c r="G261" s="1" t="str">
        <f>IFERROR(__xludf.DUMMYFUNCTION("SPLIT(C261, "", "")"),"Drama")</f>
        <v>Drama</v>
      </c>
      <c r="H261" s="5" t="str">
        <f>IFERROR(__xludf.DUMMYFUNCTION("""COMPUTED_VALUE"""),"Romance")</f>
        <v>Romance</v>
      </c>
      <c r="J261" s="5" t="str">
        <f>IFERROR(__xludf.DUMMYFUNCTION("""COMPUTED_VALUE"""),"87🤙🏼Andhadhun🤙🏼Drama🤙🏼2")</f>
        <v>87🤙🏼Andhadhun🤙🏼Drama🤙🏼2</v>
      </c>
      <c r="K261" s="5">
        <f>IFERROR(__xludf.DUMMYFUNCTION("SPLiT(J261, ""🤙🏼"",FALSE,FALSE)"),87.0)</f>
        <v>87</v>
      </c>
      <c r="L261" s="5" t="str">
        <f>IFERROR(__xludf.DUMMYFUNCTION("""COMPUTED_VALUE"""),"Andhadhun")</f>
        <v>Andhadhun</v>
      </c>
      <c r="M261" s="5" t="str">
        <f>IFERROR(__xludf.DUMMYFUNCTION("""COMPUTED_VALUE"""),"Drama")</f>
        <v>Drama</v>
      </c>
      <c r="N261" s="5">
        <f>IFERROR(__xludf.DUMMYFUNCTION("""COMPUTED_VALUE"""),2.0)</f>
        <v>2</v>
      </c>
      <c r="S261" s="5">
        <f>IFERROR(__xludf.DUMMYFUNCTION("""COMPUTED_VALUE"""),106.0)</f>
        <v>106</v>
      </c>
      <c r="T261" s="5" t="str">
        <f>IFERROR(__xludf.DUMMYFUNCTION("""COMPUTED_VALUE"""),"Idi i smotri")</f>
        <v>Idi i smotri</v>
      </c>
      <c r="U261" s="5" t="str">
        <f>IFERROR(__xludf.DUMMYFUNCTION("""COMPUTED_VALUE"""),"Thriller")</f>
        <v>Thriller</v>
      </c>
      <c r="V261" s="5">
        <f>IFERROR(__xludf.DUMMYFUNCTION("""COMPUTED_VALUE"""),2.0)</f>
        <v>2</v>
      </c>
    </row>
    <row r="262">
      <c r="A262" s="1">
        <v>261.0</v>
      </c>
      <c r="B262" s="1" t="s">
        <v>1769</v>
      </c>
      <c r="C262" s="1" t="s">
        <v>1051</v>
      </c>
      <c r="D262" s="1"/>
      <c r="E262" s="1">
        <v>261.0</v>
      </c>
      <c r="F262" s="1" t="s">
        <v>1769</v>
      </c>
      <c r="G262" s="1" t="str">
        <f>IFERROR(__xludf.DUMMYFUNCTION("SPLIT(C262, "", "")"),"Drama")</f>
        <v>Drama</v>
      </c>
      <c r="H262" s="5" t="str">
        <f>IFERROR(__xludf.DUMMYFUNCTION("""COMPUTED_VALUE"""),"Mystery")</f>
        <v>Mystery</v>
      </c>
      <c r="I262" s="5" t="str">
        <f>IFERROR(__xludf.DUMMYFUNCTION("""COMPUTED_VALUE"""),"Romance")</f>
        <v>Romance</v>
      </c>
      <c r="J262" s="5" t="str">
        <f>IFERROR(__xludf.DUMMYFUNCTION("""COMPUTED_VALUE"""),"87🤙🏼Andhadhun🤙🏼Music🤙🏼3")</f>
        <v>87🤙🏼Andhadhun🤙🏼Music🤙🏼3</v>
      </c>
      <c r="K262" s="5">
        <f>IFERROR(__xludf.DUMMYFUNCTION("SPLiT(J262, ""🤙🏼"",FALSE,FALSE)"),87.0)</f>
        <v>87</v>
      </c>
      <c r="L262" s="5" t="str">
        <f>IFERROR(__xludf.DUMMYFUNCTION("""COMPUTED_VALUE"""),"Andhadhun")</f>
        <v>Andhadhun</v>
      </c>
      <c r="M262" s="5" t="str">
        <f>IFERROR(__xludf.DUMMYFUNCTION("""COMPUTED_VALUE"""),"Music")</f>
        <v>Music</v>
      </c>
      <c r="N262" s="5">
        <f>IFERROR(__xludf.DUMMYFUNCTION("""COMPUTED_VALUE"""),3.0)</f>
        <v>3</v>
      </c>
      <c r="S262" s="5">
        <f>IFERROR(__xludf.DUMMYFUNCTION("""COMPUTED_VALUE"""),106.0)</f>
        <v>106</v>
      </c>
      <c r="T262" s="5" t="str">
        <f>IFERROR(__xludf.DUMMYFUNCTION("""COMPUTED_VALUE"""),"Idi i smotri")</f>
        <v>Idi i smotri</v>
      </c>
      <c r="U262" s="5" t="str">
        <f>IFERROR(__xludf.DUMMYFUNCTION("""COMPUTED_VALUE"""),"War")</f>
        <v>War</v>
      </c>
      <c r="V262" s="5">
        <f>IFERROR(__xludf.DUMMYFUNCTION("""COMPUTED_VALUE"""),3.0)</f>
        <v>3</v>
      </c>
    </row>
    <row r="263">
      <c r="A263" s="1">
        <v>262.0</v>
      </c>
      <c r="B263" s="1" t="s">
        <v>1776</v>
      </c>
      <c r="C263" s="1" t="s">
        <v>831</v>
      </c>
      <c r="D263" s="1"/>
      <c r="E263" s="1">
        <v>262.0</v>
      </c>
      <c r="F263" s="1" t="s">
        <v>1776</v>
      </c>
      <c r="G263" s="1" t="str">
        <f>IFERROR(__xludf.DUMMYFUNCTION("SPLIT(C263, "", "")"),"Comedy")</f>
        <v>Comedy</v>
      </c>
      <c r="H263" s="5" t="str">
        <f>IFERROR(__xludf.DUMMYFUNCTION("""COMPUTED_VALUE"""),"Crime")</f>
        <v>Crime</v>
      </c>
      <c r="I263" s="5" t="str">
        <f>IFERROR(__xludf.DUMMYFUNCTION("""COMPUTED_VALUE"""),"Drama")</f>
        <v>Drama</v>
      </c>
      <c r="J263" s="5" t="str">
        <f>IFERROR(__xludf.DUMMYFUNCTION("""COMPUTED_VALUE"""),"88🤙🏼Drishyam🤙🏼Crime🤙🏼1")</f>
        <v>88🤙🏼Drishyam🤙🏼Crime🤙🏼1</v>
      </c>
      <c r="K263" s="5">
        <f>IFERROR(__xludf.DUMMYFUNCTION("SPLiT(J263, ""🤙🏼"",FALSE,FALSE)"),88.0)</f>
        <v>88</v>
      </c>
      <c r="L263" s="5" t="str">
        <f>IFERROR(__xludf.DUMMYFUNCTION("""COMPUTED_VALUE"""),"Drishyam")</f>
        <v>Drishyam</v>
      </c>
      <c r="M263" s="5" t="str">
        <f>IFERROR(__xludf.DUMMYFUNCTION("""COMPUTED_VALUE"""),"Crime")</f>
        <v>Crime</v>
      </c>
      <c r="N263" s="5">
        <f>IFERROR(__xludf.DUMMYFUNCTION("""COMPUTED_VALUE"""),1.0)</f>
        <v>1</v>
      </c>
      <c r="S263" s="5">
        <f>IFERROR(__xludf.DUMMYFUNCTION("""COMPUTED_VALUE"""),107.0)</f>
        <v>107</v>
      </c>
      <c r="T263" s="5" t="str">
        <f>IFERROR(__xludf.DUMMYFUNCTION("""COMPUTED_VALUE"""),"Aliens")</f>
        <v>Aliens</v>
      </c>
      <c r="U263" s="5" t="str">
        <f>IFERROR(__xludf.DUMMYFUNCTION("""COMPUTED_VALUE"""),"Action")</f>
        <v>Action</v>
      </c>
      <c r="V263" s="5">
        <f>IFERROR(__xludf.DUMMYFUNCTION("""COMPUTED_VALUE"""),1.0)</f>
        <v>1</v>
      </c>
    </row>
    <row r="264">
      <c r="A264" s="1">
        <v>263.0</v>
      </c>
      <c r="B264" s="1" t="s">
        <v>1782</v>
      </c>
      <c r="C264" s="1" t="s">
        <v>88</v>
      </c>
      <c r="D264" s="1"/>
      <c r="E264" s="1">
        <v>263.0</v>
      </c>
      <c r="F264" s="1" t="s">
        <v>1782</v>
      </c>
      <c r="G264" s="1" t="str">
        <f>IFERROR(__xludf.DUMMYFUNCTION("SPLIT(C264, "", "")"),"Action")</f>
        <v>Action</v>
      </c>
      <c r="H264" s="5" t="str">
        <f>IFERROR(__xludf.DUMMYFUNCTION("""COMPUTED_VALUE"""),"Adventure")</f>
        <v>Adventure</v>
      </c>
      <c r="I264" s="5" t="str">
        <f>IFERROR(__xludf.DUMMYFUNCTION("""COMPUTED_VALUE"""),"Sci-Fi")</f>
        <v>Sci-Fi</v>
      </c>
      <c r="J264" s="5" t="str">
        <f>IFERROR(__xludf.DUMMYFUNCTION("""COMPUTED_VALUE"""),"88🤙🏼Drishyam🤙🏼Drama🤙🏼2")</f>
        <v>88🤙🏼Drishyam🤙🏼Drama🤙🏼2</v>
      </c>
      <c r="K264" s="5">
        <f>IFERROR(__xludf.DUMMYFUNCTION("SPLiT(J264, ""🤙🏼"",FALSE,FALSE)"),88.0)</f>
        <v>88</v>
      </c>
      <c r="L264" s="5" t="str">
        <f>IFERROR(__xludf.DUMMYFUNCTION("""COMPUTED_VALUE"""),"Drishyam")</f>
        <v>Drishyam</v>
      </c>
      <c r="M264" s="5" t="str">
        <f>IFERROR(__xludf.DUMMYFUNCTION("""COMPUTED_VALUE"""),"Drama")</f>
        <v>Drama</v>
      </c>
      <c r="N264" s="5">
        <f>IFERROR(__xludf.DUMMYFUNCTION("""COMPUTED_VALUE"""),2.0)</f>
        <v>2</v>
      </c>
      <c r="S264" s="5">
        <f>IFERROR(__xludf.DUMMYFUNCTION("""COMPUTED_VALUE"""),107.0)</f>
        <v>107</v>
      </c>
      <c r="T264" s="5" t="str">
        <f>IFERROR(__xludf.DUMMYFUNCTION("""COMPUTED_VALUE"""),"Aliens")</f>
        <v>Aliens</v>
      </c>
      <c r="U264" s="5" t="str">
        <f>IFERROR(__xludf.DUMMYFUNCTION("""COMPUTED_VALUE"""),"Adventure")</f>
        <v>Adventure</v>
      </c>
      <c r="V264" s="5">
        <f>IFERROR(__xludf.DUMMYFUNCTION("""COMPUTED_VALUE"""),2.0)</f>
        <v>2</v>
      </c>
    </row>
    <row r="265">
      <c r="A265" s="1">
        <v>264.0</v>
      </c>
      <c r="B265" s="1" t="s">
        <v>1787</v>
      </c>
      <c r="C265" s="1" t="s">
        <v>137</v>
      </c>
      <c r="D265" s="1"/>
      <c r="E265" s="1">
        <v>264.0</v>
      </c>
      <c r="F265" s="1" t="s">
        <v>1787</v>
      </c>
      <c r="G265" s="1" t="str">
        <f>IFERROR(__xludf.DUMMYFUNCTION("SPLIT(C265, "", "")"),"Biography")</f>
        <v>Biography</v>
      </c>
      <c r="H265" s="5" t="str">
        <f>IFERROR(__xludf.DUMMYFUNCTION("""COMPUTED_VALUE"""),"Crime")</f>
        <v>Crime</v>
      </c>
      <c r="I265" s="5" t="str">
        <f>IFERROR(__xludf.DUMMYFUNCTION("""COMPUTED_VALUE"""),"Drama")</f>
        <v>Drama</v>
      </c>
      <c r="J265" s="5" t="str">
        <f>IFERROR(__xludf.DUMMYFUNCTION("""COMPUTED_VALUE"""),"88🤙🏼Drishyam🤙🏼Thriller🤙🏼3")</f>
        <v>88🤙🏼Drishyam🤙🏼Thriller🤙🏼3</v>
      </c>
      <c r="K265" s="5">
        <f>IFERROR(__xludf.DUMMYFUNCTION("SPLiT(J265, ""🤙🏼"",FALSE,FALSE)"),88.0)</f>
        <v>88</v>
      </c>
      <c r="L265" s="5" t="str">
        <f>IFERROR(__xludf.DUMMYFUNCTION("""COMPUTED_VALUE"""),"Drishyam")</f>
        <v>Drishyam</v>
      </c>
      <c r="M265" s="5" t="str">
        <f>IFERROR(__xludf.DUMMYFUNCTION("""COMPUTED_VALUE"""),"Thriller")</f>
        <v>Thriller</v>
      </c>
      <c r="N265" s="5">
        <f>IFERROR(__xludf.DUMMYFUNCTION("""COMPUTED_VALUE"""),3.0)</f>
        <v>3</v>
      </c>
      <c r="S265" s="5">
        <f>IFERROR(__xludf.DUMMYFUNCTION("""COMPUTED_VALUE"""),107.0)</f>
        <v>107</v>
      </c>
      <c r="T265" s="5" t="str">
        <f>IFERROR(__xludf.DUMMYFUNCTION("""COMPUTED_VALUE"""),"Aliens")</f>
        <v>Aliens</v>
      </c>
      <c r="U265" s="5" t="str">
        <f>IFERROR(__xludf.DUMMYFUNCTION("""COMPUTED_VALUE"""),"Sci-Fi")</f>
        <v>Sci-Fi</v>
      </c>
      <c r="V265" s="5">
        <f>IFERROR(__xludf.DUMMYFUNCTION("""COMPUTED_VALUE"""),3.0)</f>
        <v>3</v>
      </c>
    </row>
    <row r="266">
      <c r="A266" s="1">
        <v>265.0</v>
      </c>
      <c r="B266" s="1" t="s">
        <v>1793</v>
      </c>
      <c r="C266" s="1" t="s">
        <v>1706</v>
      </c>
      <c r="D266" s="1"/>
      <c r="E266" s="1">
        <v>265.0</v>
      </c>
      <c r="F266" s="1" t="s">
        <v>1793</v>
      </c>
      <c r="G266" s="1" t="str">
        <f>IFERROR(__xludf.DUMMYFUNCTION("SPLIT(C266, "", "")"),"Drama")</f>
        <v>Drama</v>
      </c>
      <c r="H266" s="5" t="str">
        <f>IFERROR(__xludf.DUMMYFUNCTION("""COMPUTED_VALUE"""),"Music")</f>
        <v>Music</v>
      </c>
      <c r="I266" s="5" t="str">
        <f>IFERROR(__xludf.DUMMYFUNCTION("""COMPUTED_VALUE"""),"Romance")</f>
        <v>Romance</v>
      </c>
      <c r="J266" s="5" t="str">
        <f>IFERROR(__xludf.DUMMYFUNCTION("""COMPUTED_VALUE"""),"89🤙🏼Jagten🤙🏼Drama🤙🏼1")</f>
        <v>89🤙🏼Jagten🤙🏼Drama🤙🏼1</v>
      </c>
      <c r="K266" s="5">
        <f>IFERROR(__xludf.DUMMYFUNCTION("SPLiT(J266, ""🤙🏼"",FALSE,FALSE)"),89.0)</f>
        <v>89</v>
      </c>
      <c r="L266" s="5" t="str">
        <f>IFERROR(__xludf.DUMMYFUNCTION("""COMPUTED_VALUE"""),"Jagten")</f>
        <v>Jagten</v>
      </c>
      <c r="M266" s="5" t="str">
        <f>IFERROR(__xludf.DUMMYFUNCTION("""COMPUTED_VALUE"""),"Drama")</f>
        <v>Drama</v>
      </c>
      <c r="N266" s="5">
        <f>IFERROR(__xludf.DUMMYFUNCTION("""COMPUTED_VALUE"""),1.0)</f>
        <v>1</v>
      </c>
      <c r="S266" s="5">
        <f>IFERROR(__xludf.DUMMYFUNCTION("""COMPUTED_VALUE"""),108.0)</f>
        <v>108</v>
      </c>
      <c r="T266" s="5" t="str">
        <f>IFERROR(__xludf.DUMMYFUNCTION("""COMPUTED_VALUE"""),"Amadeus")</f>
        <v>Amadeus</v>
      </c>
      <c r="U266" s="5" t="str">
        <f>IFERROR(__xludf.DUMMYFUNCTION("""COMPUTED_VALUE"""),"Biography")</f>
        <v>Biography</v>
      </c>
      <c r="V266" s="5">
        <f>IFERROR(__xludf.DUMMYFUNCTION("""COMPUTED_VALUE"""),1.0)</f>
        <v>1</v>
      </c>
    </row>
    <row r="267">
      <c r="A267" s="1">
        <v>266.0</v>
      </c>
      <c r="B267" s="1" t="s">
        <v>1801</v>
      </c>
      <c r="C267" s="1" t="s">
        <v>1802</v>
      </c>
      <c r="D267" s="1"/>
      <c r="E267" s="1">
        <v>266.0</v>
      </c>
      <c r="F267" s="1" t="s">
        <v>1801</v>
      </c>
      <c r="G267" s="1" t="str">
        <f>IFERROR(__xludf.DUMMYFUNCTION("SPLIT(C267, "", "")"),"Drama")</f>
        <v>Drama</v>
      </c>
      <c r="H267" s="5" t="str">
        <f>IFERROR(__xludf.DUMMYFUNCTION("""COMPUTED_VALUE"""),"History")</f>
        <v>History</v>
      </c>
      <c r="I267" s="5" t="str">
        <f>IFERROR(__xludf.DUMMYFUNCTION("""COMPUTED_VALUE"""),"Romance")</f>
        <v>Romance</v>
      </c>
      <c r="J267" s="5" t="str">
        <f>IFERROR(__xludf.DUMMYFUNCTION("""COMPUTED_VALUE"""),"89🤙🏼Jagten🤙🏼🤙🏼2")</f>
        <v>89🤙🏼Jagten🤙🏼🤙🏼2</v>
      </c>
      <c r="K267" s="5">
        <f>IFERROR(__xludf.DUMMYFUNCTION("SPLiT(J267, ""🤙🏼"",FALSE,FALSE)"),89.0)</f>
        <v>89</v>
      </c>
      <c r="L267" s="5" t="str">
        <f>IFERROR(__xludf.DUMMYFUNCTION("""COMPUTED_VALUE"""),"Jagten")</f>
        <v>Jagten</v>
      </c>
      <c r="M267" s="5"/>
      <c r="N267" s="5">
        <f>IFERROR(__xludf.DUMMYFUNCTION("""COMPUTED_VALUE"""),2.0)</f>
        <v>2</v>
      </c>
      <c r="S267" s="5">
        <f>IFERROR(__xludf.DUMMYFUNCTION("""COMPUTED_VALUE"""),108.0)</f>
        <v>108</v>
      </c>
      <c r="T267" s="5" t="str">
        <f>IFERROR(__xludf.DUMMYFUNCTION("""COMPUTED_VALUE"""),"Amadeus")</f>
        <v>Amadeus</v>
      </c>
      <c r="U267" s="5" t="str">
        <f>IFERROR(__xludf.DUMMYFUNCTION("""COMPUTED_VALUE"""),"Drama")</f>
        <v>Drama</v>
      </c>
      <c r="V267" s="5">
        <f>IFERROR(__xludf.DUMMYFUNCTION("""COMPUTED_VALUE"""),2.0)</f>
        <v>2</v>
      </c>
    </row>
    <row r="268">
      <c r="A268" s="1">
        <v>267.0</v>
      </c>
      <c r="B268" s="1" t="s">
        <v>1808</v>
      </c>
      <c r="C268" s="1" t="s">
        <v>507</v>
      </c>
      <c r="D268" s="1"/>
      <c r="E268" s="1">
        <v>267.0</v>
      </c>
      <c r="F268" s="1" t="s">
        <v>1808</v>
      </c>
      <c r="G268" s="1" t="str">
        <f>IFERROR(__xludf.DUMMYFUNCTION("SPLIT(C268, "", "")"),"Comedy")</f>
        <v>Comedy</v>
      </c>
      <c r="H268" s="5" t="str">
        <f>IFERROR(__xludf.DUMMYFUNCTION("""COMPUTED_VALUE"""),"Drama")</f>
        <v>Drama</v>
      </c>
      <c r="J268" s="5" t="str">
        <f>IFERROR(__xludf.DUMMYFUNCTION("""COMPUTED_VALUE"""),"89🤙🏼Jagten🤙🏼🤙🏼3")</f>
        <v>89🤙🏼Jagten🤙🏼🤙🏼3</v>
      </c>
      <c r="K268" s="5">
        <f>IFERROR(__xludf.DUMMYFUNCTION("SPLiT(J268, ""🤙🏼"",FALSE,FALSE)"),89.0)</f>
        <v>89</v>
      </c>
      <c r="L268" s="5" t="str">
        <f>IFERROR(__xludf.DUMMYFUNCTION("""COMPUTED_VALUE"""),"Jagten")</f>
        <v>Jagten</v>
      </c>
      <c r="M268" s="5"/>
      <c r="N268" s="5">
        <f>IFERROR(__xludf.DUMMYFUNCTION("""COMPUTED_VALUE"""),3.0)</f>
        <v>3</v>
      </c>
      <c r="S268" s="5">
        <f>IFERROR(__xludf.DUMMYFUNCTION("""COMPUTED_VALUE"""),108.0)</f>
        <v>108</v>
      </c>
      <c r="T268" s="5" t="str">
        <f>IFERROR(__xludf.DUMMYFUNCTION("""COMPUTED_VALUE"""),"Amadeus")</f>
        <v>Amadeus</v>
      </c>
      <c r="U268" s="5" t="str">
        <f>IFERROR(__xludf.DUMMYFUNCTION("""COMPUTED_VALUE"""),"History")</f>
        <v>History</v>
      </c>
      <c r="V268" s="5">
        <f>IFERROR(__xludf.DUMMYFUNCTION("""COMPUTED_VALUE"""),3.0)</f>
        <v>3</v>
      </c>
    </row>
    <row r="269">
      <c r="A269" s="1">
        <v>268.0</v>
      </c>
      <c r="B269" s="1" t="s">
        <v>1812</v>
      </c>
      <c r="C269" s="1" t="s">
        <v>1813</v>
      </c>
      <c r="D269" s="1"/>
      <c r="E269" s="1">
        <v>268.0</v>
      </c>
      <c r="F269" s="1" t="s">
        <v>1812</v>
      </c>
      <c r="G269" s="1" t="str">
        <f>IFERROR(__xludf.DUMMYFUNCTION("SPLIT(C269, "", "")"),"Adventure")</f>
        <v>Adventure</v>
      </c>
      <c r="H269" s="5" t="str">
        <f>IFERROR(__xludf.DUMMYFUNCTION("""COMPUTED_VALUE"""),"Drama")</f>
        <v>Drama</v>
      </c>
      <c r="J269" s="5" t="str">
        <f>IFERROR(__xludf.DUMMYFUNCTION("""COMPUTED_VALUE"""),"90🤙🏼Jodaeiye Nader az Simin🤙🏼Drama🤙🏼1")</f>
        <v>90🤙🏼Jodaeiye Nader az Simin🤙🏼Drama🤙🏼1</v>
      </c>
      <c r="K269" s="5">
        <f>IFERROR(__xludf.DUMMYFUNCTION("SPLiT(J269, ""🤙🏼"",FALSE,FALSE)"),90.0)</f>
        <v>90</v>
      </c>
      <c r="L269" s="5" t="str">
        <f>IFERROR(__xludf.DUMMYFUNCTION("""COMPUTED_VALUE"""),"Jodaeiye Nader az Simin")</f>
        <v>Jodaeiye Nader az Simin</v>
      </c>
      <c r="M269" s="5" t="str">
        <f>IFERROR(__xludf.DUMMYFUNCTION("""COMPUTED_VALUE"""),"Drama")</f>
        <v>Drama</v>
      </c>
      <c r="N269" s="5">
        <f>IFERROR(__xludf.DUMMYFUNCTION("""COMPUTED_VALUE"""),1.0)</f>
        <v>1</v>
      </c>
      <c r="S269" s="5">
        <f>IFERROR(__xludf.DUMMYFUNCTION("""COMPUTED_VALUE"""),109.0)</f>
        <v>109</v>
      </c>
      <c r="T269" s="5" t="str">
        <f>IFERROR(__xludf.DUMMYFUNCTION("""COMPUTED_VALUE"""),"Scarface")</f>
        <v>Scarface</v>
      </c>
      <c r="U269" s="5" t="str">
        <f>IFERROR(__xludf.DUMMYFUNCTION("""COMPUTED_VALUE"""),"Crime")</f>
        <v>Crime</v>
      </c>
      <c r="V269" s="5">
        <f>IFERROR(__xludf.DUMMYFUNCTION("""COMPUTED_VALUE"""),1.0)</f>
        <v>1</v>
      </c>
    </row>
    <row r="270">
      <c r="A270" s="1">
        <v>269.0</v>
      </c>
      <c r="B270" s="1" t="s">
        <v>1820</v>
      </c>
      <c r="C270" s="1" t="s">
        <v>213</v>
      </c>
      <c r="D270" s="1"/>
      <c r="E270" s="1">
        <v>269.0</v>
      </c>
      <c r="F270" s="1" t="s">
        <v>1820</v>
      </c>
      <c r="G270" s="1" t="str">
        <f>IFERROR(__xludf.DUMMYFUNCTION("SPLIT(C270, "", "")"),"Drama")</f>
        <v>Drama</v>
      </c>
      <c r="H270" s="5" t="str">
        <f>IFERROR(__xludf.DUMMYFUNCTION("""COMPUTED_VALUE"""),"War")</f>
        <v>War</v>
      </c>
      <c r="J270" s="5" t="str">
        <f>IFERROR(__xludf.DUMMYFUNCTION("""COMPUTED_VALUE"""),"90🤙🏼Jodaeiye Nader az Simin🤙🏼🤙🏼2")</f>
        <v>90🤙🏼Jodaeiye Nader az Simin🤙🏼🤙🏼2</v>
      </c>
      <c r="K270" s="5">
        <f>IFERROR(__xludf.DUMMYFUNCTION("SPLiT(J270, ""🤙🏼"",FALSE,FALSE)"),90.0)</f>
        <v>90</v>
      </c>
      <c r="L270" s="5" t="str">
        <f>IFERROR(__xludf.DUMMYFUNCTION("""COMPUTED_VALUE"""),"Jodaeiye Nader az Simin")</f>
        <v>Jodaeiye Nader az Simin</v>
      </c>
      <c r="M270" s="5"/>
      <c r="N270" s="5">
        <f>IFERROR(__xludf.DUMMYFUNCTION("""COMPUTED_VALUE"""),2.0)</f>
        <v>2</v>
      </c>
      <c r="S270" s="5">
        <f>IFERROR(__xludf.DUMMYFUNCTION("""COMPUTED_VALUE"""),109.0)</f>
        <v>109</v>
      </c>
      <c r="T270" s="5" t="str">
        <f>IFERROR(__xludf.DUMMYFUNCTION("""COMPUTED_VALUE"""),"Scarface")</f>
        <v>Scarface</v>
      </c>
      <c r="U270" s="5" t="str">
        <f>IFERROR(__xludf.DUMMYFUNCTION("""COMPUTED_VALUE"""),"Drama")</f>
        <v>Drama</v>
      </c>
      <c r="V270" s="5">
        <f>IFERROR(__xludf.DUMMYFUNCTION("""COMPUTED_VALUE"""),2.0)</f>
        <v>2</v>
      </c>
    </row>
    <row r="271">
      <c r="A271" s="1">
        <v>270.0</v>
      </c>
      <c r="B271" s="1" t="s">
        <v>1827</v>
      </c>
      <c r="C271" s="1" t="s">
        <v>20</v>
      </c>
      <c r="D271" s="1"/>
      <c r="E271" s="1">
        <v>270.0</v>
      </c>
      <c r="F271" s="1" t="s">
        <v>1827</v>
      </c>
      <c r="G271" s="1" t="str">
        <f>IFERROR(__xludf.DUMMYFUNCTION("SPLIT(C271, "", "")"),"Drama")</f>
        <v>Drama</v>
      </c>
      <c r="J271" s="5" t="str">
        <f>IFERROR(__xludf.DUMMYFUNCTION("""COMPUTED_VALUE"""),"90🤙🏼Jodaeiye Nader az Simin🤙🏼🤙🏼3")</f>
        <v>90🤙🏼Jodaeiye Nader az Simin🤙🏼🤙🏼3</v>
      </c>
      <c r="K271" s="5">
        <f>IFERROR(__xludf.DUMMYFUNCTION("SPLiT(J271, ""🤙🏼"",FALSE,FALSE)"),90.0)</f>
        <v>90</v>
      </c>
      <c r="L271" s="5" t="str">
        <f>IFERROR(__xludf.DUMMYFUNCTION("""COMPUTED_VALUE"""),"Jodaeiye Nader az Simin")</f>
        <v>Jodaeiye Nader az Simin</v>
      </c>
      <c r="M271" s="5"/>
      <c r="N271" s="5">
        <f>IFERROR(__xludf.DUMMYFUNCTION("""COMPUTED_VALUE"""),3.0)</f>
        <v>3</v>
      </c>
      <c r="S271" s="5">
        <f>IFERROR(__xludf.DUMMYFUNCTION("""COMPUTED_VALUE"""),110.0)</f>
        <v>110</v>
      </c>
      <c r="T271" s="5" t="str">
        <f>IFERROR(__xludf.DUMMYFUNCTION("""COMPUTED_VALUE"""),"Star Wars: Episode VI - Return of the Jedi")</f>
        <v>Star Wars: Episode VI - Return of the Jedi</v>
      </c>
      <c r="U271" s="5" t="str">
        <f>IFERROR(__xludf.DUMMYFUNCTION("""COMPUTED_VALUE"""),"Action")</f>
        <v>Action</v>
      </c>
      <c r="V271" s="5">
        <f>IFERROR(__xludf.DUMMYFUNCTION("""COMPUTED_VALUE"""),1.0)</f>
        <v>1</v>
      </c>
    </row>
    <row r="272">
      <c r="A272" s="1">
        <v>271.0</v>
      </c>
      <c r="B272" s="1" t="s">
        <v>1834</v>
      </c>
      <c r="C272" s="1" t="s">
        <v>1836</v>
      </c>
      <c r="D272" s="1"/>
      <c r="E272" s="1">
        <v>271.0</v>
      </c>
      <c r="F272" s="1" t="s">
        <v>1834</v>
      </c>
      <c r="G272" s="1" t="str">
        <f>IFERROR(__xludf.DUMMYFUNCTION("SPLIT(C272, "", "")"),"Animation")</f>
        <v>Animation</v>
      </c>
      <c r="H272" s="5" t="str">
        <f>IFERROR(__xludf.DUMMYFUNCTION("""COMPUTED_VALUE"""),"Adventure")</f>
        <v>Adventure</v>
      </c>
      <c r="I272" s="5" t="str">
        <f>IFERROR(__xludf.DUMMYFUNCTION("""COMPUTED_VALUE"""),"Fantasy")</f>
        <v>Fantasy</v>
      </c>
      <c r="J272" s="5" t="str">
        <f>IFERROR(__xludf.DUMMYFUNCTION("""COMPUTED_VALUE"""),"91🤙🏼Incendies🤙🏼Drama🤙🏼1")</f>
        <v>91🤙🏼Incendies🤙🏼Drama🤙🏼1</v>
      </c>
      <c r="K272" s="5">
        <f>IFERROR(__xludf.DUMMYFUNCTION("SPLiT(J272, ""🤙🏼"",FALSE,FALSE)"),91.0)</f>
        <v>91</v>
      </c>
      <c r="L272" s="5" t="str">
        <f>IFERROR(__xludf.DUMMYFUNCTION("""COMPUTED_VALUE"""),"Incendies")</f>
        <v>Incendies</v>
      </c>
      <c r="M272" s="5" t="str">
        <f>IFERROR(__xludf.DUMMYFUNCTION("""COMPUTED_VALUE"""),"Drama")</f>
        <v>Drama</v>
      </c>
      <c r="N272" s="5">
        <f>IFERROR(__xludf.DUMMYFUNCTION("""COMPUTED_VALUE"""),1.0)</f>
        <v>1</v>
      </c>
      <c r="S272" s="5">
        <f>IFERROR(__xludf.DUMMYFUNCTION("""COMPUTED_VALUE"""),110.0)</f>
        <v>110</v>
      </c>
      <c r="T272" s="5" t="str">
        <f>IFERROR(__xludf.DUMMYFUNCTION("""COMPUTED_VALUE"""),"Star Wars: Episode VI - Return of the Jedi")</f>
        <v>Star Wars: Episode VI - Return of the Jedi</v>
      </c>
      <c r="U272" s="5" t="str">
        <f>IFERROR(__xludf.DUMMYFUNCTION("""COMPUTED_VALUE"""),"Adventure")</f>
        <v>Adventure</v>
      </c>
      <c r="V272" s="5">
        <f>IFERROR(__xludf.DUMMYFUNCTION("""COMPUTED_VALUE"""),2.0)</f>
        <v>2</v>
      </c>
    </row>
    <row r="273">
      <c r="A273" s="1">
        <v>272.0</v>
      </c>
      <c r="B273" s="1" t="s">
        <v>1842</v>
      </c>
      <c r="C273" s="1" t="s">
        <v>1843</v>
      </c>
      <c r="D273" s="1"/>
      <c r="E273" s="1">
        <v>272.0</v>
      </c>
      <c r="F273" s="1" t="s">
        <v>1842</v>
      </c>
      <c r="G273" s="1" t="str">
        <f>IFERROR(__xludf.DUMMYFUNCTION("SPLIT(C273, "", "")"),"Horror")</f>
        <v>Horror</v>
      </c>
      <c r="H273" s="5" t="str">
        <f>IFERROR(__xludf.DUMMYFUNCTION("""COMPUTED_VALUE"""),"Mystery")</f>
        <v>Mystery</v>
      </c>
      <c r="I273" s="5" t="str">
        <f>IFERROR(__xludf.DUMMYFUNCTION("""COMPUTED_VALUE"""),"Sci-Fi")</f>
        <v>Sci-Fi</v>
      </c>
      <c r="J273" s="5" t="str">
        <f>IFERROR(__xludf.DUMMYFUNCTION("""COMPUTED_VALUE"""),"91🤙🏼Incendies🤙🏼Mystery🤙🏼2")</f>
        <v>91🤙🏼Incendies🤙🏼Mystery🤙🏼2</v>
      </c>
      <c r="K273" s="5">
        <f>IFERROR(__xludf.DUMMYFUNCTION("SPLiT(J273, ""🤙🏼"",FALSE,FALSE)"),91.0)</f>
        <v>91</v>
      </c>
      <c r="L273" s="5" t="str">
        <f>IFERROR(__xludf.DUMMYFUNCTION("""COMPUTED_VALUE"""),"Incendies")</f>
        <v>Incendies</v>
      </c>
      <c r="M273" s="5" t="str">
        <f>IFERROR(__xludf.DUMMYFUNCTION("""COMPUTED_VALUE"""),"Mystery")</f>
        <v>Mystery</v>
      </c>
      <c r="N273" s="5">
        <f>IFERROR(__xludf.DUMMYFUNCTION("""COMPUTED_VALUE"""),2.0)</f>
        <v>2</v>
      </c>
      <c r="S273" s="5">
        <f>IFERROR(__xludf.DUMMYFUNCTION("""COMPUTED_VALUE"""),110.0)</f>
        <v>110</v>
      </c>
      <c r="T273" s="5" t="str">
        <f>IFERROR(__xludf.DUMMYFUNCTION("""COMPUTED_VALUE"""),"Star Wars: Episode VI - Return of the Jedi")</f>
        <v>Star Wars: Episode VI - Return of the Jedi</v>
      </c>
      <c r="U273" s="5" t="str">
        <f>IFERROR(__xludf.DUMMYFUNCTION("""COMPUTED_VALUE"""),"Fantasy")</f>
        <v>Fantasy</v>
      </c>
      <c r="V273" s="5">
        <f>IFERROR(__xludf.DUMMYFUNCTION("""COMPUTED_VALUE"""),3.0)</f>
        <v>3</v>
      </c>
    </row>
    <row r="274">
      <c r="A274" s="1">
        <v>273.0</v>
      </c>
      <c r="B274" s="1" t="s">
        <v>1849</v>
      </c>
      <c r="C274" s="1" t="s">
        <v>1850</v>
      </c>
      <c r="D274" s="1"/>
      <c r="E274" s="1">
        <v>273.0</v>
      </c>
      <c r="F274" s="1" t="s">
        <v>1849</v>
      </c>
      <c r="G274" s="1" t="str">
        <f>IFERROR(__xludf.DUMMYFUNCTION("SPLIT(C274, "", "")"),"Drama")</f>
        <v>Drama</v>
      </c>
      <c r="H274" s="5" t="str">
        <f>IFERROR(__xludf.DUMMYFUNCTION("""COMPUTED_VALUE"""),"Fantasy")</f>
        <v>Fantasy</v>
      </c>
      <c r="I274" s="5" t="str">
        <f>IFERROR(__xludf.DUMMYFUNCTION("""COMPUTED_VALUE"""),"Music")</f>
        <v>Music</v>
      </c>
      <c r="J274" s="5" t="str">
        <f>IFERROR(__xludf.DUMMYFUNCTION("""COMPUTED_VALUE"""),"91🤙🏼Incendies🤙🏼War🤙🏼3")</f>
        <v>91🤙🏼Incendies🤙🏼War🤙🏼3</v>
      </c>
      <c r="K274" s="5">
        <f>IFERROR(__xludf.DUMMYFUNCTION("SPLiT(J274, ""🤙🏼"",FALSE,FALSE)"),91.0)</f>
        <v>91</v>
      </c>
      <c r="L274" s="5" t="str">
        <f>IFERROR(__xludf.DUMMYFUNCTION("""COMPUTED_VALUE"""),"Incendies")</f>
        <v>Incendies</v>
      </c>
      <c r="M274" s="5" t="str">
        <f>IFERROR(__xludf.DUMMYFUNCTION("""COMPUTED_VALUE"""),"War")</f>
        <v>War</v>
      </c>
      <c r="N274" s="5">
        <f>IFERROR(__xludf.DUMMYFUNCTION("""COMPUTED_VALUE"""),3.0)</f>
        <v>3</v>
      </c>
      <c r="S274" s="5">
        <f>IFERROR(__xludf.DUMMYFUNCTION("""COMPUTED_VALUE"""),111.0)</f>
        <v>111</v>
      </c>
      <c r="T274" s="5" t="str">
        <f>IFERROR(__xludf.DUMMYFUNCTION("""COMPUTED_VALUE"""),"Das Boot")</f>
        <v>Das Boot</v>
      </c>
      <c r="U274" s="5" t="str">
        <f>IFERROR(__xludf.DUMMYFUNCTION("""COMPUTED_VALUE"""),"Adventure")</f>
        <v>Adventure</v>
      </c>
      <c r="V274" s="5">
        <f>IFERROR(__xludf.DUMMYFUNCTION("""COMPUTED_VALUE"""),1.0)</f>
        <v>1</v>
      </c>
    </row>
    <row r="275">
      <c r="A275" s="1">
        <v>274.0</v>
      </c>
      <c r="B275" s="1" t="s">
        <v>1857</v>
      </c>
      <c r="C275" s="1" t="s">
        <v>1813</v>
      </c>
      <c r="D275" s="1"/>
      <c r="E275" s="1">
        <v>274.0</v>
      </c>
      <c r="F275" s="1" t="s">
        <v>1857</v>
      </c>
      <c r="G275" s="1" t="str">
        <f>IFERROR(__xludf.DUMMYFUNCTION("SPLIT(C275, "", "")"),"Adventure")</f>
        <v>Adventure</v>
      </c>
      <c r="H275" s="5" t="str">
        <f>IFERROR(__xludf.DUMMYFUNCTION("""COMPUTED_VALUE"""),"Drama")</f>
        <v>Drama</v>
      </c>
      <c r="J275" s="5" t="str">
        <f>IFERROR(__xludf.DUMMYFUNCTION("""COMPUTED_VALUE"""),"92🤙🏼Miracle in cell NO.7🤙🏼Drama🤙🏼1")</f>
        <v>92🤙🏼Miracle in cell NO.7🤙🏼Drama🤙🏼1</v>
      </c>
      <c r="K275" s="5">
        <f>IFERROR(__xludf.DUMMYFUNCTION("SPLiT(J275, ""🤙🏼"",FALSE,FALSE)"),92.0)</f>
        <v>92</v>
      </c>
      <c r="L275" s="5" t="str">
        <f>IFERROR(__xludf.DUMMYFUNCTION("""COMPUTED_VALUE"""),"Miracle in cell NO.7")</f>
        <v>Miracle in cell NO.7</v>
      </c>
      <c r="M275" s="5" t="str">
        <f>IFERROR(__xludf.DUMMYFUNCTION("""COMPUTED_VALUE"""),"Drama")</f>
        <v>Drama</v>
      </c>
      <c r="N275" s="5">
        <f>IFERROR(__xludf.DUMMYFUNCTION("""COMPUTED_VALUE"""),1.0)</f>
        <v>1</v>
      </c>
      <c r="S275" s="5">
        <f>IFERROR(__xludf.DUMMYFUNCTION("""COMPUTED_VALUE"""),111.0)</f>
        <v>111</v>
      </c>
      <c r="T275" s="5" t="str">
        <f>IFERROR(__xludf.DUMMYFUNCTION("""COMPUTED_VALUE"""),"Das Boot")</f>
        <v>Das Boot</v>
      </c>
      <c r="U275" s="5" t="str">
        <f>IFERROR(__xludf.DUMMYFUNCTION("""COMPUTED_VALUE"""),"Drama")</f>
        <v>Drama</v>
      </c>
      <c r="V275" s="5">
        <f>IFERROR(__xludf.DUMMYFUNCTION("""COMPUTED_VALUE"""),2.0)</f>
        <v>2</v>
      </c>
    </row>
    <row r="276">
      <c r="A276" s="1">
        <v>275.0</v>
      </c>
      <c r="B276" s="1" t="s">
        <v>1863</v>
      </c>
      <c r="C276" s="1" t="s">
        <v>20</v>
      </c>
      <c r="D276" s="1"/>
      <c r="E276" s="1">
        <v>275.0</v>
      </c>
      <c r="F276" s="1" t="s">
        <v>1863</v>
      </c>
      <c r="G276" s="1" t="str">
        <f>IFERROR(__xludf.DUMMYFUNCTION("SPLIT(C276, "", "")"),"Drama")</f>
        <v>Drama</v>
      </c>
      <c r="J276" s="5" t="str">
        <f>IFERROR(__xludf.DUMMYFUNCTION("""COMPUTED_VALUE"""),"92🤙🏼Miracle in cell NO.7🤙🏼🤙🏼2")</f>
        <v>92🤙🏼Miracle in cell NO.7🤙🏼🤙🏼2</v>
      </c>
      <c r="K276" s="5">
        <f>IFERROR(__xludf.DUMMYFUNCTION("SPLiT(J276, ""🤙🏼"",FALSE,FALSE)"),92.0)</f>
        <v>92</v>
      </c>
      <c r="L276" s="5" t="str">
        <f>IFERROR(__xludf.DUMMYFUNCTION("""COMPUTED_VALUE"""),"Miracle in cell NO.7")</f>
        <v>Miracle in cell NO.7</v>
      </c>
      <c r="M276" s="5"/>
      <c r="N276" s="5">
        <f>IFERROR(__xludf.DUMMYFUNCTION("""COMPUTED_VALUE"""),2.0)</f>
        <v>2</v>
      </c>
      <c r="S276" s="5">
        <f>IFERROR(__xludf.DUMMYFUNCTION("""COMPUTED_VALUE"""),111.0)</f>
        <v>111</v>
      </c>
      <c r="T276" s="5" t="str">
        <f>IFERROR(__xludf.DUMMYFUNCTION("""COMPUTED_VALUE"""),"Das Boot")</f>
        <v>Das Boot</v>
      </c>
      <c r="U276" s="5" t="str">
        <f>IFERROR(__xludf.DUMMYFUNCTION("""COMPUTED_VALUE"""),"Thriller")</f>
        <v>Thriller</v>
      </c>
      <c r="V276" s="5">
        <f>IFERROR(__xludf.DUMMYFUNCTION("""COMPUTED_VALUE"""),3.0)</f>
        <v>3</v>
      </c>
    </row>
    <row r="277">
      <c r="A277" s="1">
        <v>276.0</v>
      </c>
      <c r="B277" s="1" t="s">
        <v>1870</v>
      </c>
      <c r="C277" s="1" t="s">
        <v>1871</v>
      </c>
      <c r="D277" s="1"/>
      <c r="E277" s="1">
        <v>276.0</v>
      </c>
      <c r="F277" s="1" t="s">
        <v>1870</v>
      </c>
      <c r="G277" s="1" t="str">
        <f>IFERROR(__xludf.DUMMYFUNCTION("SPLIT(C277, "", "")"),"Action")</f>
        <v>Action</v>
      </c>
      <c r="H277" s="5" t="str">
        <f>IFERROR(__xludf.DUMMYFUNCTION("""COMPUTED_VALUE"""),"Sci-Fi")</f>
        <v>Sci-Fi</v>
      </c>
      <c r="I277" s="5" t="str">
        <f>IFERROR(__xludf.DUMMYFUNCTION("""COMPUTED_VALUE"""),"Thriller")</f>
        <v>Thriller</v>
      </c>
      <c r="J277" s="5" t="str">
        <f>IFERROR(__xludf.DUMMYFUNCTION("""COMPUTED_VALUE"""),"92🤙🏼Miracle in cell NO.7🤙🏼🤙🏼3")</f>
        <v>92🤙🏼Miracle in cell NO.7🤙🏼🤙🏼3</v>
      </c>
      <c r="K277" s="5">
        <f>IFERROR(__xludf.DUMMYFUNCTION("SPLiT(J277, ""🤙🏼"",FALSE,FALSE)"),92.0)</f>
        <v>92</v>
      </c>
      <c r="L277" s="5" t="str">
        <f>IFERROR(__xludf.DUMMYFUNCTION("""COMPUTED_VALUE"""),"Miracle in cell NO.7")</f>
        <v>Miracle in cell NO.7</v>
      </c>
      <c r="M277" s="5"/>
      <c r="N277" s="5">
        <f>IFERROR(__xludf.DUMMYFUNCTION("""COMPUTED_VALUE"""),3.0)</f>
        <v>3</v>
      </c>
      <c r="S277" s="5">
        <f>IFERROR(__xludf.DUMMYFUNCTION("""COMPUTED_VALUE"""),112.0)</f>
        <v>112</v>
      </c>
      <c r="T277" s="5" t="str">
        <f>IFERROR(__xludf.DUMMYFUNCTION("""COMPUTED_VALUE"""),"Taxi Driver")</f>
        <v>Taxi Driver</v>
      </c>
      <c r="U277" s="5" t="str">
        <f>IFERROR(__xludf.DUMMYFUNCTION("""COMPUTED_VALUE"""),"Crime")</f>
        <v>Crime</v>
      </c>
      <c r="V277" s="5">
        <f>IFERROR(__xludf.DUMMYFUNCTION("""COMPUTED_VALUE"""),1.0)</f>
        <v>1</v>
      </c>
    </row>
    <row r="278">
      <c r="A278" s="1">
        <v>277.0</v>
      </c>
      <c r="B278" s="1" t="s">
        <v>1876</v>
      </c>
      <c r="C278" s="1" t="s">
        <v>1148</v>
      </c>
      <c r="D278" s="1"/>
      <c r="E278" s="1">
        <v>277.0</v>
      </c>
      <c r="F278" s="1" t="s">
        <v>1876</v>
      </c>
      <c r="G278" s="1" t="str">
        <f>IFERROR(__xludf.DUMMYFUNCTION("SPLIT(C278, "", "")"),"Biography")</f>
        <v>Biography</v>
      </c>
      <c r="H278" s="5" t="str">
        <f>IFERROR(__xludf.DUMMYFUNCTION("""COMPUTED_VALUE"""),"Drama")</f>
        <v>Drama</v>
      </c>
      <c r="J278" s="5" t="str">
        <f>IFERROR(__xludf.DUMMYFUNCTION("""COMPUTED_VALUE"""),"93🤙🏼Babam ve Oglum🤙🏼Drama🤙🏼1")</f>
        <v>93🤙🏼Babam ve Oglum🤙🏼Drama🤙🏼1</v>
      </c>
      <c r="K278" s="5">
        <f>IFERROR(__xludf.DUMMYFUNCTION("SPLiT(J278, ""🤙🏼"",FALSE,FALSE)"),93.0)</f>
        <v>93</v>
      </c>
      <c r="L278" s="5" t="str">
        <f>IFERROR(__xludf.DUMMYFUNCTION("""COMPUTED_VALUE"""),"Babam ve Oglum")</f>
        <v>Babam ve Oglum</v>
      </c>
      <c r="M278" s="5" t="str">
        <f>IFERROR(__xludf.DUMMYFUNCTION("""COMPUTED_VALUE"""),"Drama")</f>
        <v>Drama</v>
      </c>
      <c r="N278" s="5">
        <f>IFERROR(__xludf.DUMMYFUNCTION("""COMPUTED_VALUE"""),1.0)</f>
        <v>1</v>
      </c>
      <c r="S278" s="5">
        <f>IFERROR(__xludf.DUMMYFUNCTION("""COMPUTED_VALUE"""),112.0)</f>
        <v>112</v>
      </c>
      <c r="T278" s="5" t="str">
        <f>IFERROR(__xludf.DUMMYFUNCTION("""COMPUTED_VALUE"""),"Taxi Driver")</f>
        <v>Taxi Driver</v>
      </c>
      <c r="U278" s="5" t="str">
        <f>IFERROR(__xludf.DUMMYFUNCTION("""COMPUTED_VALUE"""),"Drama")</f>
        <v>Drama</v>
      </c>
      <c r="V278" s="5">
        <f>IFERROR(__xludf.DUMMYFUNCTION("""COMPUTED_VALUE"""),2.0)</f>
        <v>2</v>
      </c>
    </row>
    <row r="279">
      <c r="A279" s="1">
        <v>278.0</v>
      </c>
      <c r="B279" s="1" t="s">
        <v>1881</v>
      </c>
      <c r="C279" s="1" t="s">
        <v>602</v>
      </c>
      <c r="D279" s="1"/>
      <c r="E279" s="1">
        <v>278.0</v>
      </c>
      <c r="F279" s="1" t="s">
        <v>1881</v>
      </c>
      <c r="G279" s="1" t="str">
        <f>IFERROR(__xludf.DUMMYFUNCTION("SPLIT(C279, "", "")"),"Comedy")</f>
        <v>Comedy</v>
      </c>
      <c r="J279" s="5" t="str">
        <f>IFERROR(__xludf.DUMMYFUNCTION("""COMPUTED_VALUE"""),"93🤙🏼Babam ve Oglum🤙🏼Family🤙🏼2")</f>
        <v>93🤙🏼Babam ve Oglum🤙🏼Family🤙🏼2</v>
      </c>
      <c r="K279" s="5">
        <f>IFERROR(__xludf.DUMMYFUNCTION("SPLiT(J279, ""🤙🏼"",FALSE,FALSE)"),93.0)</f>
        <v>93</v>
      </c>
      <c r="L279" s="5" t="str">
        <f>IFERROR(__xludf.DUMMYFUNCTION("""COMPUTED_VALUE"""),"Babam ve Oglum")</f>
        <v>Babam ve Oglum</v>
      </c>
      <c r="M279" s="5" t="str">
        <f>IFERROR(__xludf.DUMMYFUNCTION("""COMPUTED_VALUE"""),"Family")</f>
        <v>Family</v>
      </c>
      <c r="N279" s="5">
        <f>IFERROR(__xludf.DUMMYFUNCTION("""COMPUTED_VALUE"""),2.0)</f>
        <v>2</v>
      </c>
      <c r="S279" s="5">
        <f>IFERROR(__xludf.DUMMYFUNCTION("""COMPUTED_VALUE"""),113.0)</f>
        <v>113</v>
      </c>
      <c r="T279" s="5" t="str">
        <f>IFERROR(__xludf.DUMMYFUNCTION("""COMPUTED_VALUE"""),"The Sting")</f>
        <v>The Sting</v>
      </c>
      <c r="U279" s="5" t="str">
        <f>IFERROR(__xludf.DUMMYFUNCTION("""COMPUTED_VALUE"""),"Comedy")</f>
        <v>Comedy</v>
      </c>
      <c r="V279" s="5">
        <f>IFERROR(__xludf.DUMMYFUNCTION("""COMPUTED_VALUE"""),1.0)</f>
        <v>1</v>
      </c>
    </row>
    <row r="280">
      <c r="A280" s="1">
        <v>279.0</v>
      </c>
      <c r="B280" s="1" t="s">
        <v>1885</v>
      </c>
      <c r="C280" s="1" t="s">
        <v>213</v>
      </c>
      <c r="D280" s="1"/>
      <c r="E280" s="1">
        <v>279.0</v>
      </c>
      <c r="F280" s="1" t="s">
        <v>1885</v>
      </c>
      <c r="G280" s="1" t="str">
        <f>IFERROR(__xludf.DUMMYFUNCTION("SPLIT(C280, "", "")"),"Drama")</f>
        <v>Drama</v>
      </c>
      <c r="H280" s="5" t="str">
        <f>IFERROR(__xludf.DUMMYFUNCTION("""COMPUTED_VALUE"""),"War")</f>
        <v>War</v>
      </c>
      <c r="J280" s="5" t="str">
        <f>IFERROR(__xludf.DUMMYFUNCTION("""COMPUTED_VALUE"""),"93🤙🏼Babam ve Oglum🤙🏼🤙🏼3")</f>
        <v>93🤙🏼Babam ve Oglum🤙🏼🤙🏼3</v>
      </c>
      <c r="K280" s="5">
        <f>IFERROR(__xludf.DUMMYFUNCTION("SPLiT(J280, ""🤙🏼"",FALSE,FALSE)"),93.0)</f>
        <v>93</v>
      </c>
      <c r="L280" s="5" t="str">
        <f>IFERROR(__xludf.DUMMYFUNCTION("""COMPUTED_VALUE"""),"Babam ve Oglum")</f>
        <v>Babam ve Oglum</v>
      </c>
      <c r="M280" s="5"/>
      <c r="N280" s="5">
        <f>IFERROR(__xludf.DUMMYFUNCTION("""COMPUTED_VALUE"""),3.0)</f>
        <v>3</v>
      </c>
      <c r="S280" s="5">
        <f>IFERROR(__xludf.DUMMYFUNCTION("""COMPUTED_VALUE"""),113.0)</f>
        <v>113</v>
      </c>
      <c r="T280" s="5" t="str">
        <f>IFERROR(__xludf.DUMMYFUNCTION("""COMPUTED_VALUE"""),"The Sting")</f>
        <v>The Sting</v>
      </c>
      <c r="U280" s="5" t="str">
        <f>IFERROR(__xludf.DUMMYFUNCTION("""COMPUTED_VALUE"""),"Crime")</f>
        <v>Crime</v>
      </c>
      <c r="V280" s="5">
        <f>IFERROR(__xludf.DUMMYFUNCTION("""COMPUTED_VALUE"""),2.0)</f>
        <v>2</v>
      </c>
    </row>
    <row r="281">
      <c r="A281" s="1">
        <v>280.0</v>
      </c>
      <c r="B281" s="1" t="s">
        <v>1890</v>
      </c>
      <c r="C281" s="1" t="s">
        <v>1622</v>
      </c>
      <c r="D281" s="1"/>
      <c r="E281" s="1">
        <v>280.0</v>
      </c>
      <c r="F281" s="1" t="s">
        <v>1890</v>
      </c>
      <c r="G281" s="1" t="str">
        <f>IFERROR(__xludf.DUMMYFUNCTION("SPLIT(C281, "", "")"),"Drama")</f>
        <v>Drama</v>
      </c>
      <c r="H281" s="5" t="str">
        <f>IFERROR(__xludf.DUMMYFUNCTION("""COMPUTED_VALUE"""),"Sport")</f>
        <v>Sport</v>
      </c>
      <c r="J281" s="5" t="str">
        <f>IFERROR(__xludf.DUMMYFUNCTION("""COMPUTED_VALUE"""),"94🤙🏼Inglourious Basterds🤙🏼Adventure🤙🏼1")</f>
        <v>94🤙🏼Inglourious Basterds🤙🏼Adventure🤙🏼1</v>
      </c>
      <c r="K281" s="5">
        <f>IFERROR(__xludf.DUMMYFUNCTION("SPLiT(J281, ""🤙🏼"",FALSE,FALSE)"),94.0)</f>
        <v>94</v>
      </c>
      <c r="L281" s="5" t="str">
        <f>IFERROR(__xludf.DUMMYFUNCTION("""COMPUTED_VALUE"""),"Inglourious Basterds")</f>
        <v>Inglourious Basterds</v>
      </c>
      <c r="M281" s="5" t="str">
        <f>IFERROR(__xludf.DUMMYFUNCTION("""COMPUTED_VALUE"""),"Adventure")</f>
        <v>Adventure</v>
      </c>
      <c r="N281" s="5">
        <f>IFERROR(__xludf.DUMMYFUNCTION("""COMPUTED_VALUE"""),1.0)</f>
        <v>1</v>
      </c>
      <c r="S281" s="5">
        <f>IFERROR(__xludf.DUMMYFUNCTION("""COMPUTED_VALUE"""),113.0)</f>
        <v>113</v>
      </c>
      <c r="T281" s="5" t="str">
        <f>IFERROR(__xludf.DUMMYFUNCTION("""COMPUTED_VALUE"""),"The Sting")</f>
        <v>The Sting</v>
      </c>
      <c r="U281" s="5" t="str">
        <f>IFERROR(__xludf.DUMMYFUNCTION("""COMPUTED_VALUE"""),"Drama")</f>
        <v>Drama</v>
      </c>
      <c r="V281" s="5">
        <f>IFERROR(__xludf.DUMMYFUNCTION("""COMPUTED_VALUE"""),3.0)</f>
        <v>3</v>
      </c>
    </row>
    <row r="282">
      <c r="A282" s="1">
        <v>281.0</v>
      </c>
      <c r="B282" s="1" t="s">
        <v>1897</v>
      </c>
      <c r="C282" s="1" t="s">
        <v>20</v>
      </c>
      <c r="D282" s="1"/>
      <c r="E282" s="1">
        <v>281.0</v>
      </c>
      <c r="F282" s="1" t="s">
        <v>1897</v>
      </c>
      <c r="G282" s="1" t="str">
        <f>IFERROR(__xludf.DUMMYFUNCTION("SPLIT(C282, "", "")"),"Drama")</f>
        <v>Drama</v>
      </c>
      <c r="J282" s="5" t="str">
        <f>IFERROR(__xludf.DUMMYFUNCTION("""COMPUTED_VALUE"""),"94🤙🏼Inglourious Basterds🤙🏼Drama🤙🏼2")</f>
        <v>94🤙🏼Inglourious Basterds🤙🏼Drama🤙🏼2</v>
      </c>
      <c r="K282" s="5">
        <f>IFERROR(__xludf.DUMMYFUNCTION("SPLiT(J282, ""🤙🏼"",FALSE,FALSE)"),94.0)</f>
        <v>94</v>
      </c>
      <c r="L282" s="5" t="str">
        <f>IFERROR(__xludf.DUMMYFUNCTION("""COMPUTED_VALUE"""),"Inglourious Basterds")</f>
        <v>Inglourious Basterds</v>
      </c>
      <c r="M282" s="5" t="str">
        <f>IFERROR(__xludf.DUMMYFUNCTION("""COMPUTED_VALUE"""),"Drama")</f>
        <v>Drama</v>
      </c>
      <c r="N282" s="5">
        <f>IFERROR(__xludf.DUMMYFUNCTION("""COMPUTED_VALUE"""),2.0)</f>
        <v>2</v>
      </c>
      <c r="S282" s="5">
        <f>IFERROR(__xludf.DUMMYFUNCTION("""COMPUTED_VALUE"""),114.0)</f>
        <v>114</v>
      </c>
      <c r="T282" s="5" t="str">
        <f>IFERROR(__xludf.DUMMYFUNCTION("""COMPUTED_VALUE"""),"A Clockwork Orange")</f>
        <v>A Clockwork Orange</v>
      </c>
      <c r="U282" s="5" t="str">
        <f>IFERROR(__xludf.DUMMYFUNCTION("""COMPUTED_VALUE"""),"Crime")</f>
        <v>Crime</v>
      </c>
      <c r="V282" s="5">
        <f>IFERROR(__xludf.DUMMYFUNCTION("""COMPUTED_VALUE"""),1.0)</f>
        <v>1</v>
      </c>
    </row>
    <row r="283">
      <c r="A283" s="1">
        <v>282.0</v>
      </c>
      <c r="B283" s="1" t="s">
        <v>1901</v>
      </c>
      <c r="C283" s="1" t="s">
        <v>1269</v>
      </c>
      <c r="D283" s="1"/>
      <c r="E283" s="1">
        <v>282.0</v>
      </c>
      <c r="F283" s="1" t="s">
        <v>1901</v>
      </c>
      <c r="G283" s="1" t="str">
        <f>IFERROR(__xludf.DUMMYFUNCTION("SPLIT(C283, "", "")"),"Adventure")</f>
        <v>Adventure</v>
      </c>
      <c r="H283" s="5" t="str">
        <f>IFERROR(__xludf.DUMMYFUNCTION("""COMPUTED_VALUE"""),"Drama")</f>
        <v>Drama</v>
      </c>
      <c r="I283" s="5" t="str">
        <f>IFERROR(__xludf.DUMMYFUNCTION("""COMPUTED_VALUE"""),"History")</f>
        <v>History</v>
      </c>
      <c r="J283" s="5" t="str">
        <f>IFERROR(__xludf.DUMMYFUNCTION("""COMPUTED_VALUE"""),"94🤙🏼Inglourious Basterds🤙🏼War🤙🏼3")</f>
        <v>94🤙🏼Inglourious Basterds🤙🏼War🤙🏼3</v>
      </c>
      <c r="K283" s="5">
        <f>IFERROR(__xludf.DUMMYFUNCTION("SPLiT(J283, ""🤙🏼"",FALSE,FALSE)"),94.0)</f>
        <v>94</v>
      </c>
      <c r="L283" s="5" t="str">
        <f>IFERROR(__xludf.DUMMYFUNCTION("""COMPUTED_VALUE"""),"Inglourious Basterds")</f>
        <v>Inglourious Basterds</v>
      </c>
      <c r="M283" s="5" t="str">
        <f>IFERROR(__xludf.DUMMYFUNCTION("""COMPUTED_VALUE"""),"War")</f>
        <v>War</v>
      </c>
      <c r="N283" s="5">
        <f>IFERROR(__xludf.DUMMYFUNCTION("""COMPUTED_VALUE"""),3.0)</f>
        <v>3</v>
      </c>
      <c r="S283" s="5">
        <f>IFERROR(__xludf.DUMMYFUNCTION("""COMPUTED_VALUE"""),114.0)</f>
        <v>114</v>
      </c>
      <c r="T283" s="5" t="str">
        <f>IFERROR(__xludf.DUMMYFUNCTION("""COMPUTED_VALUE"""),"A Clockwork Orange")</f>
        <v>A Clockwork Orange</v>
      </c>
      <c r="U283" s="5" t="str">
        <f>IFERROR(__xludf.DUMMYFUNCTION("""COMPUTED_VALUE"""),"Drama")</f>
        <v>Drama</v>
      </c>
      <c r="V283" s="5">
        <f>IFERROR(__xludf.DUMMYFUNCTION("""COMPUTED_VALUE"""),2.0)</f>
        <v>2</v>
      </c>
    </row>
    <row r="284">
      <c r="A284" s="1">
        <v>283.0</v>
      </c>
      <c r="B284" s="1" t="s">
        <v>1907</v>
      </c>
      <c r="C284" s="1" t="s">
        <v>1148</v>
      </c>
      <c r="D284" s="1"/>
      <c r="E284" s="1">
        <v>283.0</v>
      </c>
      <c r="F284" s="1" t="s">
        <v>1907</v>
      </c>
      <c r="G284" s="1" t="str">
        <f>IFERROR(__xludf.DUMMYFUNCTION("SPLIT(C284, "", "")"),"Biography")</f>
        <v>Biography</v>
      </c>
      <c r="H284" s="5" t="str">
        <f>IFERROR(__xludf.DUMMYFUNCTION("""COMPUTED_VALUE"""),"Drama")</f>
        <v>Drama</v>
      </c>
      <c r="J284" s="5" t="str">
        <f>IFERROR(__xludf.DUMMYFUNCTION("""COMPUTED_VALUE"""),"95🤙🏼Eternal Sunshine of the Spotless Mind🤙🏼Drama🤙🏼1")</f>
        <v>95🤙🏼Eternal Sunshine of the Spotless Mind🤙🏼Drama🤙🏼1</v>
      </c>
      <c r="K284" s="5">
        <f>IFERROR(__xludf.DUMMYFUNCTION("SPLiT(J284, ""🤙🏼"",FALSE,FALSE)"),95.0)</f>
        <v>95</v>
      </c>
      <c r="L284" s="5" t="str">
        <f>IFERROR(__xludf.DUMMYFUNCTION("""COMPUTED_VALUE"""),"Eternal Sunshine of the Spotless Mind")</f>
        <v>Eternal Sunshine of the Spotless Mind</v>
      </c>
      <c r="M284" s="5" t="str">
        <f>IFERROR(__xludf.DUMMYFUNCTION("""COMPUTED_VALUE"""),"Drama")</f>
        <v>Drama</v>
      </c>
      <c r="N284" s="5">
        <f>IFERROR(__xludf.DUMMYFUNCTION("""COMPUTED_VALUE"""),1.0)</f>
        <v>1</v>
      </c>
      <c r="S284" s="5">
        <f>IFERROR(__xludf.DUMMYFUNCTION("""COMPUTED_VALUE"""),114.0)</f>
        <v>114</v>
      </c>
      <c r="T284" s="5" t="str">
        <f>IFERROR(__xludf.DUMMYFUNCTION("""COMPUTED_VALUE"""),"A Clockwork Orange")</f>
        <v>A Clockwork Orange</v>
      </c>
      <c r="U284" s="5" t="str">
        <f>IFERROR(__xludf.DUMMYFUNCTION("""COMPUTED_VALUE"""),"Sci-Fi")</f>
        <v>Sci-Fi</v>
      </c>
      <c r="V284" s="5">
        <f>IFERROR(__xludf.DUMMYFUNCTION("""COMPUTED_VALUE"""),3.0)</f>
        <v>3</v>
      </c>
    </row>
    <row r="285">
      <c r="A285" s="1">
        <v>284.0</v>
      </c>
      <c r="B285" s="1" t="s">
        <v>1913</v>
      </c>
      <c r="C285" s="1" t="s">
        <v>527</v>
      </c>
      <c r="D285" s="1"/>
      <c r="E285" s="1">
        <v>284.0</v>
      </c>
      <c r="F285" s="1" t="s">
        <v>1913</v>
      </c>
      <c r="G285" s="1" t="str">
        <f>IFERROR(__xludf.DUMMYFUNCTION("SPLIT(C285, "", "")"),"Drama")</f>
        <v>Drama</v>
      </c>
      <c r="H285" s="5" t="str">
        <f>IFERROR(__xludf.DUMMYFUNCTION("""COMPUTED_VALUE"""),"Mystery")</f>
        <v>Mystery</v>
      </c>
      <c r="I285" s="5" t="str">
        <f>IFERROR(__xludf.DUMMYFUNCTION("""COMPUTED_VALUE"""),"Thriller")</f>
        <v>Thriller</v>
      </c>
      <c r="J285" s="5" t="str">
        <f>IFERROR(__xludf.DUMMYFUNCTION("""COMPUTED_VALUE"""),"95🤙🏼Eternal Sunshine of the Spotless Mind🤙🏼Romance🤙🏼2")</f>
        <v>95🤙🏼Eternal Sunshine of the Spotless Mind🤙🏼Romance🤙🏼2</v>
      </c>
      <c r="K285" s="5">
        <f>IFERROR(__xludf.DUMMYFUNCTION("SPLiT(J285, ""🤙🏼"",FALSE,FALSE)"),95.0)</f>
        <v>95</v>
      </c>
      <c r="L285" s="5" t="str">
        <f>IFERROR(__xludf.DUMMYFUNCTION("""COMPUTED_VALUE"""),"Eternal Sunshine of the Spotless Mind")</f>
        <v>Eternal Sunshine of the Spotless Mind</v>
      </c>
      <c r="M285" s="5" t="str">
        <f>IFERROR(__xludf.DUMMYFUNCTION("""COMPUTED_VALUE"""),"Romance")</f>
        <v>Romance</v>
      </c>
      <c r="N285" s="5">
        <f>IFERROR(__xludf.DUMMYFUNCTION("""COMPUTED_VALUE"""),2.0)</f>
        <v>2</v>
      </c>
      <c r="S285" s="5">
        <f>IFERROR(__xludf.DUMMYFUNCTION("""COMPUTED_VALUE"""),115.0)</f>
        <v>115</v>
      </c>
      <c r="T285" s="5" t="str">
        <f>IFERROR(__xludf.DUMMYFUNCTION("""COMPUTED_VALUE"""),"2001: A Space Odyssey")</f>
        <v>2001: A Space Odyssey</v>
      </c>
      <c r="U285" s="5" t="str">
        <f>IFERROR(__xludf.DUMMYFUNCTION("""COMPUTED_VALUE"""),"Adventure")</f>
        <v>Adventure</v>
      </c>
      <c r="V285" s="5">
        <f>IFERROR(__xludf.DUMMYFUNCTION("""COMPUTED_VALUE"""),1.0)</f>
        <v>1</v>
      </c>
    </row>
    <row r="286">
      <c r="A286" s="1">
        <v>285.0</v>
      </c>
      <c r="B286" s="1" t="s">
        <v>1916</v>
      </c>
      <c r="C286" s="1" t="s">
        <v>831</v>
      </c>
      <c r="D286" s="1"/>
      <c r="E286" s="1">
        <v>285.0</v>
      </c>
      <c r="F286" s="1" t="s">
        <v>1916</v>
      </c>
      <c r="G286" s="1" t="str">
        <f>IFERROR(__xludf.DUMMYFUNCTION("SPLIT(C286, "", "")"),"Comedy")</f>
        <v>Comedy</v>
      </c>
      <c r="H286" s="5" t="str">
        <f>IFERROR(__xludf.DUMMYFUNCTION("""COMPUTED_VALUE"""),"Crime")</f>
        <v>Crime</v>
      </c>
      <c r="I286" s="5" t="str">
        <f>IFERROR(__xludf.DUMMYFUNCTION("""COMPUTED_VALUE"""),"Drama")</f>
        <v>Drama</v>
      </c>
      <c r="J286" s="5" t="str">
        <f>IFERROR(__xludf.DUMMYFUNCTION("""COMPUTED_VALUE"""),"95🤙🏼Eternal Sunshine of the Spotless Mind🤙🏼Sci-Fi🤙🏼3")</f>
        <v>95🤙🏼Eternal Sunshine of the Spotless Mind🤙🏼Sci-Fi🤙🏼3</v>
      </c>
      <c r="K286" s="5">
        <f>IFERROR(__xludf.DUMMYFUNCTION("SPLiT(J286, ""🤙🏼"",FALSE,FALSE)"),95.0)</f>
        <v>95</v>
      </c>
      <c r="L286" s="5" t="str">
        <f>IFERROR(__xludf.DUMMYFUNCTION("""COMPUTED_VALUE"""),"Eternal Sunshine of the Spotless Mind")</f>
        <v>Eternal Sunshine of the Spotless Mind</v>
      </c>
      <c r="M286" s="5" t="str">
        <f>IFERROR(__xludf.DUMMYFUNCTION("""COMPUTED_VALUE"""),"Sci-Fi")</f>
        <v>Sci-Fi</v>
      </c>
      <c r="N286" s="5">
        <f>IFERROR(__xludf.DUMMYFUNCTION("""COMPUTED_VALUE"""),3.0)</f>
        <v>3</v>
      </c>
      <c r="S286" s="5">
        <f>IFERROR(__xludf.DUMMYFUNCTION("""COMPUTED_VALUE"""),115.0)</f>
        <v>115</v>
      </c>
      <c r="T286" s="5" t="str">
        <f>IFERROR(__xludf.DUMMYFUNCTION("""COMPUTED_VALUE"""),"2001: A Space Odyssey")</f>
        <v>2001: A Space Odyssey</v>
      </c>
      <c r="U286" s="5" t="str">
        <f>IFERROR(__xludf.DUMMYFUNCTION("""COMPUTED_VALUE"""),"Sci-Fi")</f>
        <v>Sci-Fi</v>
      </c>
      <c r="V286" s="5">
        <f>IFERROR(__xludf.DUMMYFUNCTION("""COMPUTED_VALUE"""),2.0)</f>
        <v>2</v>
      </c>
    </row>
    <row r="287">
      <c r="A287" s="1">
        <v>286.0</v>
      </c>
      <c r="B287" s="1" t="s">
        <v>1922</v>
      </c>
      <c r="C287" s="1" t="s">
        <v>20</v>
      </c>
      <c r="D287" s="1"/>
      <c r="E287" s="1">
        <v>286.0</v>
      </c>
      <c r="F287" s="1" t="s">
        <v>1922</v>
      </c>
      <c r="G287" s="1" t="str">
        <f>IFERROR(__xludf.DUMMYFUNCTION("SPLIT(C287, "", "")"),"Drama")</f>
        <v>Drama</v>
      </c>
      <c r="J287" s="5" t="str">
        <f>IFERROR(__xludf.DUMMYFUNCTION("""COMPUTED_VALUE"""),"96🤙🏼Amélie🤙🏼Comedy🤙🏼1")</f>
        <v>96🤙🏼Amélie🤙🏼Comedy🤙🏼1</v>
      </c>
      <c r="K287" s="5">
        <f>IFERROR(__xludf.DUMMYFUNCTION("SPLiT(J287, ""🤙🏼"",FALSE,FALSE)"),96.0)</f>
        <v>96</v>
      </c>
      <c r="L287" s="5" t="str">
        <f>IFERROR(__xludf.DUMMYFUNCTION("""COMPUTED_VALUE"""),"Amélie")</f>
        <v>Amélie</v>
      </c>
      <c r="M287" s="5" t="str">
        <f>IFERROR(__xludf.DUMMYFUNCTION("""COMPUTED_VALUE"""),"Comedy")</f>
        <v>Comedy</v>
      </c>
      <c r="N287" s="5">
        <f>IFERROR(__xludf.DUMMYFUNCTION("""COMPUTED_VALUE"""),1.0)</f>
        <v>1</v>
      </c>
      <c r="S287" s="5">
        <f>IFERROR(__xludf.DUMMYFUNCTION("""COMPUTED_VALUE"""),116.0)</f>
        <v>116</v>
      </c>
      <c r="T287" s="5" t="str">
        <f>IFERROR(__xludf.DUMMYFUNCTION("""COMPUTED_VALUE"""),"Per qualche dollaro in più")</f>
        <v>Per qualche dollaro in più</v>
      </c>
      <c r="U287" s="5" t="str">
        <f>IFERROR(__xludf.DUMMYFUNCTION("""COMPUTED_VALUE"""),"Western")</f>
        <v>Western</v>
      </c>
      <c r="V287" s="5">
        <f>IFERROR(__xludf.DUMMYFUNCTION("""COMPUTED_VALUE"""),1.0)</f>
        <v>1</v>
      </c>
    </row>
    <row r="288">
      <c r="A288" s="1">
        <v>287.0</v>
      </c>
      <c r="B288" s="1" t="s">
        <v>1926</v>
      </c>
      <c r="C288" s="1" t="s">
        <v>304</v>
      </c>
      <c r="D288" s="1"/>
      <c r="E288" s="1">
        <v>287.0</v>
      </c>
      <c r="F288" s="1" t="s">
        <v>1926</v>
      </c>
      <c r="G288" s="1" t="str">
        <f>IFERROR(__xludf.DUMMYFUNCTION("SPLIT(C288, "", "")"),"Drama")</f>
        <v>Drama</v>
      </c>
      <c r="H288" s="5" t="str">
        <f>IFERROR(__xludf.DUMMYFUNCTION("""COMPUTED_VALUE"""),"Mystery")</f>
        <v>Mystery</v>
      </c>
      <c r="I288" s="5" t="str">
        <f>IFERROR(__xludf.DUMMYFUNCTION("""COMPUTED_VALUE"""),"Sci-Fi")</f>
        <v>Sci-Fi</v>
      </c>
      <c r="J288" s="5" t="str">
        <f>IFERROR(__xludf.DUMMYFUNCTION("""COMPUTED_VALUE"""),"96🤙🏼Amélie🤙🏼Romance🤙🏼2")</f>
        <v>96🤙🏼Amélie🤙🏼Romance🤙🏼2</v>
      </c>
      <c r="K288" s="5">
        <f>IFERROR(__xludf.DUMMYFUNCTION("SPLiT(J288, ""🤙🏼"",FALSE,FALSE)"),96.0)</f>
        <v>96</v>
      </c>
      <c r="L288" s="5" t="str">
        <f>IFERROR(__xludf.DUMMYFUNCTION("""COMPUTED_VALUE"""),"Amélie")</f>
        <v>Amélie</v>
      </c>
      <c r="M288" s="5" t="str">
        <f>IFERROR(__xludf.DUMMYFUNCTION("""COMPUTED_VALUE"""),"Romance")</f>
        <v>Romance</v>
      </c>
      <c r="N288" s="5">
        <f>IFERROR(__xludf.DUMMYFUNCTION("""COMPUTED_VALUE"""),2.0)</f>
        <v>2</v>
      </c>
      <c r="S288" s="5">
        <f>IFERROR(__xludf.DUMMYFUNCTION("""COMPUTED_VALUE"""),117.0)</f>
        <v>117</v>
      </c>
      <c r="T288" s="5" t="str">
        <f>IFERROR(__xludf.DUMMYFUNCTION("""COMPUTED_VALUE"""),"Lawrence of Arabia")</f>
        <v>Lawrence of Arabia</v>
      </c>
      <c r="U288" s="5" t="str">
        <f>IFERROR(__xludf.DUMMYFUNCTION("""COMPUTED_VALUE"""),"Adventure")</f>
        <v>Adventure</v>
      </c>
      <c r="V288" s="5">
        <f>IFERROR(__xludf.DUMMYFUNCTION("""COMPUTED_VALUE"""),1.0)</f>
        <v>1</v>
      </c>
    </row>
    <row r="289">
      <c r="A289" s="1">
        <v>288.0</v>
      </c>
      <c r="B289" s="1" t="s">
        <v>1932</v>
      </c>
      <c r="C289" s="1" t="s">
        <v>235</v>
      </c>
      <c r="D289" s="1"/>
      <c r="E289" s="1">
        <v>288.0</v>
      </c>
      <c r="F289" s="1" t="s">
        <v>1932</v>
      </c>
      <c r="G289" s="1" t="str">
        <f>IFERROR(__xludf.DUMMYFUNCTION("SPLIT(C289, "", "")"),"Crime")</f>
        <v>Crime</v>
      </c>
      <c r="H289" s="5" t="str">
        <f>IFERROR(__xludf.DUMMYFUNCTION("""COMPUTED_VALUE"""),"Drama")</f>
        <v>Drama</v>
      </c>
      <c r="I289" s="5" t="str">
        <f>IFERROR(__xludf.DUMMYFUNCTION("""COMPUTED_VALUE"""),"Mystery")</f>
        <v>Mystery</v>
      </c>
      <c r="J289" s="5" t="str">
        <f>IFERROR(__xludf.DUMMYFUNCTION("""COMPUTED_VALUE"""),"96🤙🏼Amélie🤙🏼🤙🏼3")</f>
        <v>96🤙🏼Amélie🤙🏼🤙🏼3</v>
      </c>
      <c r="K289" s="5">
        <f>IFERROR(__xludf.DUMMYFUNCTION("SPLiT(J289, ""🤙🏼"",FALSE,FALSE)"),96.0)</f>
        <v>96</v>
      </c>
      <c r="L289" s="5" t="str">
        <f>IFERROR(__xludf.DUMMYFUNCTION("""COMPUTED_VALUE"""),"Amélie")</f>
        <v>Amélie</v>
      </c>
      <c r="M289" s="5"/>
      <c r="N289" s="5">
        <f>IFERROR(__xludf.DUMMYFUNCTION("""COMPUTED_VALUE"""),3.0)</f>
        <v>3</v>
      </c>
      <c r="S289" s="5">
        <f>IFERROR(__xludf.DUMMYFUNCTION("""COMPUTED_VALUE"""),117.0)</f>
        <v>117</v>
      </c>
      <c r="T289" s="5" t="str">
        <f>IFERROR(__xludf.DUMMYFUNCTION("""COMPUTED_VALUE"""),"Lawrence of Arabia")</f>
        <v>Lawrence of Arabia</v>
      </c>
      <c r="U289" s="5" t="str">
        <f>IFERROR(__xludf.DUMMYFUNCTION("""COMPUTED_VALUE"""),"Biography")</f>
        <v>Biography</v>
      </c>
      <c r="V289" s="5">
        <f>IFERROR(__xludf.DUMMYFUNCTION("""COMPUTED_VALUE"""),2.0)</f>
        <v>2</v>
      </c>
    </row>
    <row r="290">
      <c r="A290" s="1">
        <v>289.0</v>
      </c>
      <c r="B290" s="1" t="s">
        <v>1940</v>
      </c>
      <c r="C290" s="1" t="s">
        <v>29</v>
      </c>
      <c r="D290" s="1"/>
      <c r="E290" s="1">
        <v>289.0</v>
      </c>
      <c r="F290" s="1" t="s">
        <v>1940</v>
      </c>
      <c r="G290" s="1" t="str">
        <f>IFERROR(__xludf.DUMMYFUNCTION("SPLIT(C290, "", "")"),"Crime")</f>
        <v>Crime</v>
      </c>
      <c r="H290" s="5" t="str">
        <f>IFERROR(__xludf.DUMMYFUNCTION("""COMPUTED_VALUE"""),"Drama")</f>
        <v>Drama</v>
      </c>
      <c r="J290" s="5" t="str">
        <f>IFERROR(__xludf.DUMMYFUNCTION("""COMPUTED_VALUE"""),"97🤙🏼Snatch🤙🏼Comedy🤙🏼1")</f>
        <v>97🤙🏼Snatch🤙🏼Comedy🤙🏼1</v>
      </c>
      <c r="K290" s="5">
        <f>IFERROR(__xludf.DUMMYFUNCTION("SPLiT(J290, ""🤙🏼"",FALSE,FALSE)"),97.0)</f>
        <v>97</v>
      </c>
      <c r="L290" s="5" t="str">
        <f>IFERROR(__xludf.DUMMYFUNCTION("""COMPUTED_VALUE"""),"Snatch")</f>
        <v>Snatch</v>
      </c>
      <c r="M290" s="5" t="str">
        <f>IFERROR(__xludf.DUMMYFUNCTION("""COMPUTED_VALUE"""),"Comedy")</f>
        <v>Comedy</v>
      </c>
      <c r="N290" s="5">
        <f>IFERROR(__xludf.DUMMYFUNCTION("""COMPUTED_VALUE"""),1.0)</f>
        <v>1</v>
      </c>
      <c r="S290" s="5">
        <f>IFERROR(__xludf.DUMMYFUNCTION("""COMPUTED_VALUE"""),117.0)</f>
        <v>117</v>
      </c>
      <c r="T290" s="5" t="str">
        <f>IFERROR(__xludf.DUMMYFUNCTION("""COMPUTED_VALUE"""),"Lawrence of Arabia")</f>
        <v>Lawrence of Arabia</v>
      </c>
      <c r="U290" s="5" t="str">
        <f>IFERROR(__xludf.DUMMYFUNCTION("""COMPUTED_VALUE"""),"Drama")</f>
        <v>Drama</v>
      </c>
      <c r="V290" s="5">
        <f>IFERROR(__xludf.DUMMYFUNCTION("""COMPUTED_VALUE"""),3.0)</f>
        <v>3</v>
      </c>
    </row>
    <row r="291">
      <c r="A291" s="1">
        <v>290.0</v>
      </c>
      <c r="B291" s="1" t="s">
        <v>1946</v>
      </c>
      <c r="C291" s="1" t="s">
        <v>1377</v>
      </c>
      <c r="D291" s="1"/>
      <c r="E291" s="1">
        <v>290.0</v>
      </c>
      <c r="F291" s="1" t="s">
        <v>1946</v>
      </c>
      <c r="G291" s="1" t="str">
        <f>IFERROR(__xludf.DUMMYFUNCTION("SPLIT(C291, "", "")"),"Drama")</f>
        <v>Drama</v>
      </c>
      <c r="H291" s="5" t="str">
        <f>IFERROR(__xludf.DUMMYFUNCTION("""COMPUTED_VALUE"""),"Thriller")</f>
        <v>Thriller</v>
      </c>
      <c r="J291" s="5" t="str">
        <f>IFERROR(__xludf.DUMMYFUNCTION("""COMPUTED_VALUE"""),"97🤙🏼Snatch🤙🏼Crime🤙🏼2")</f>
        <v>97🤙🏼Snatch🤙🏼Crime🤙🏼2</v>
      </c>
      <c r="K291" s="5">
        <f>IFERROR(__xludf.DUMMYFUNCTION("SPLiT(J291, ""🤙🏼"",FALSE,FALSE)"),97.0)</f>
        <v>97</v>
      </c>
      <c r="L291" s="5" t="str">
        <f>IFERROR(__xludf.DUMMYFUNCTION("""COMPUTED_VALUE"""),"Snatch")</f>
        <v>Snatch</v>
      </c>
      <c r="M291" s="5" t="str">
        <f>IFERROR(__xludf.DUMMYFUNCTION("""COMPUTED_VALUE"""),"Crime")</f>
        <v>Crime</v>
      </c>
      <c r="N291" s="5">
        <f>IFERROR(__xludf.DUMMYFUNCTION("""COMPUTED_VALUE"""),2.0)</f>
        <v>2</v>
      </c>
      <c r="S291" s="5">
        <f>IFERROR(__xludf.DUMMYFUNCTION("""COMPUTED_VALUE"""),118.0)</f>
        <v>118</v>
      </c>
      <c r="T291" s="5" t="str">
        <f>IFERROR(__xludf.DUMMYFUNCTION("""COMPUTED_VALUE"""),"The Apartment")</f>
        <v>The Apartment</v>
      </c>
      <c r="U291" s="5" t="str">
        <f>IFERROR(__xludf.DUMMYFUNCTION("""COMPUTED_VALUE"""),"Comedy")</f>
        <v>Comedy</v>
      </c>
      <c r="V291" s="5">
        <f>IFERROR(__xludf.DUMMYFUNCTION("""COMPUTED_VALUE"""),1.0)</f>
        <v>1</v>
      </c>
    </row>
    <row r="292">
      <c r="A292" s="1">
        <v>291.0</v>
      </c>
      <c r="B292" s="1" t="s">
        <v>1950</v>
      </c>
      <c r="C292" s="1" t="s">
        <v>79</v>
      </c>
      <c r="D292" s="1"/>
      <c r="E292" s="1">
        <v>291.0</v>
      </c>
      <c r="F292" s="1" t="s">
        <v>1950</v>
      </c>
      <c r="G292" s="1" t="str">
        <f>IFERROR(__xludf.DUMMYFUNCTION("SPLIT(C292, "", "")"),"Biography")</f>
        <v>Biography</v>
      </c>
      <c r="H292" s="5" t="str">
        <f>IFERROR(__xludf.DUMMYFUNCTION("""COMPUTED_VALUE"""),"Drama")</f>
        <v>Drama</v>
      </c>
      <c r="I292" s="5" t="str">
        <f>IFERROR(__xludf.DUMMYFUNCTION("""COMPUTED_VALUE"""),"History")</f>
        <v>History</v>
      </c>
      <c r="J292" s="5" t="str">
        <f>IFERROR(__xludf.DUMMYFUNCTION("""COMPUTED_VALUE"""),"97🤙🏼Snatch🤙🏼🤙🏼3")</f>
        <v>97🤙🏼Snatch🤙🏼🤙🏼3</v>
      </c>
      <c r="K292" s="5">
        <f>IFERROR(__xludf.DUMMYFUNCTION("SPLiT(J292, ""🤙🏼"",FALSE,FALSE)"),97.0)</f>
        <v>97</v>
      </c>
      <c r="L292" s="5" t="str">
        <f>IFERROR(__xludf.DUMMYFUNCTION("""COMPUTED_VALUE"""),"Snatch")</f>
        <v>Snatch</v>
      </c>
      <c r="M292" s="5"/>
      <c r="N292" s="5">
        <f>IFERROR(__xludf.DUMMYFUNCTION("""COMPUTED_VALUE"""),3.0)</f>
        <v>3</v>
      </c>
      <c r="S292" s="5">
        <f>IFERROR(__xludf.DUMMYFUNCTION("""COMPUTED_VALUE"""),118.0)</f>
        <v>118</v>
      </c>
      <c r="T292" s="5" t="str">
        <f>IFERROR(__xludf.DUMMYFUNCTION("""COMPUTED_VALUE"""),"The Apartment")</f>
        <v>The Apartment</v>
      </c>
      <c r="U292" s="5" t="str">
        <f>IFERROR(__xludf.DUMMYFUNCTION("""COMPUTED_VALUE"""),"Drama")</f>
        <v>Drama</v>
      </c>
      <c r="V292" s="5">
        <f>IFERROR(__xludf.DUMMYFUNCTION("""COMPUTED_VALUE"""),2.0)</f>
        <v>2</v>
      </c>
    </row>
    <row r="293">
      <c r="A293" s="1">
        <v>292.0</v>
      </c>
      <c r="B293" s="1" t="s">
        <v>1955</v>
      </c>
      <c r="C293" s="1" t="s">
        <v>213</v>
      </c>
      <c r="D293" s="1"/>
      <c r="E293" s="1">
        <v>292.0</v>
      </c>
      <c r="F293" s="1" t="s">
        <v>1955</v>
      </c>
      <c r="G293" s="1" t="str">
        <f>IFERROR(__xludf.DUMMYFUNCTION("SPLIT(C293, "", "")"),"Drama")</f>
        <v>Drama</v>
      </c>
      <c r="H293" s="5" t="str">
        <f>IFERROR(__xludf.DUMMYFUNCTION("""COMPUTED_VALUE"""),"War")</f>
        <v>War</v>
      </c>
      <c r="J293" s="5" t="str">
        <f>IFERROR(__xludf.DUMMYFUNCTION("""COMPUTED_VALUE"""),"98🤙🏼Requiem for a Dream🤙🏼Drama🤙🏼1")</f>
        <v>98🤙🏼Requiem for a Dream🤙🏼Drama🤙🏼1</v>
      </c>
      <c r="K293" s="5">
        <f>IFERROR(__xludf.DUMMYFUNCTION("SPLiT(J293, ""🤙🏼"",FALSE,FALSE)"),98.0)</f>
        <v>98</v>
      </c>
      <c r="L293" s="5" t="str">
        <f>IFERROR(__xludf.DUMMYFUNCTION("""COMPUTED_VALUE"""),"Requiem for a Dream")</f>
        <v>Requiem for a Dream</v>
      </c>
      <c r="M293" s="5" t="str">
        <f>IFERROR(__xludf.DUMMYFUNCTION("""COMPUTED_VALUE"""),"Drama")</f>
        <v>Drama</v>
      </c>
      <c r="N293" s="5">
        <f>IFERROR(__xludf.DUMMYFUNCTION("""COMPUTED_VALUE"""),1.0)</f>
        <v>1</v>
      </c>
      <c r="S293" s="5">
        <f>IFERROR(__xludf.DUMMYFUNCTION("""COMPUTED_VALUE"""),118.0)</f>
        <v>118</v>
      </c>
      <c r="T293" s="5" t="str">
        <f>IFERROR(__xludf.DUMMYFUNCTION("""COMPUTED_VALUE"""),"The Apartment")</f>
        <v>The Apartment</v>
      </c>
      <c r="U293" s="5" t="str">
        <f>IFERROR(__xludf.DUMMYFUNCTION("""COMPUTED_VALUE"""),"Romance")</f>
        <v>Romance</v>
      </c>
      <c r="V293" s="5">
        <f>IFERROR(__xludf.DUMMYFUNCTION("""COMPUTED_VALUE"""),3.0)</f>
        <v>3</v>
      </c>
    </row>
    <row r="294">
      <c r="A294" s="1">
        <v>293.0</v>
      </c>
      <c r="B294" s="1" t="s">
        <v>1962</v>
      </c>
      <c r="C294" s="1" t="s">
        <v>1964</v>
      </c>
      <c r="D294" s="1"/>
      <c r="E294" s="1">
        <v>293.0</v>
      </c>
      <c r="F294" s="1" t="s">
        <v>1962</v>
      </c>
      <c r="G294" s="1" t="str">
        <f>IFERROR(__xludf.DUMMYFUNCTION("SPLIT(C294, "", "")"),"Drama")</f>
        <v>Drama</v>
      </c>
      <c r="H294" s="5" t="str">
        <f>IFERROR(__xludf.DUMMYFUNCTION("""COMPUTED_VALUE"""),"Fantasy")</f>
        <v>Fantasy</v>
      </c>
      <c r="J294" s="5" t="str">
        <f>IFERROR(__xludf.DUMMYFUNCTION("""COMPUTED_VALUE"""),"98🤙🏼Requiem for a Dream🤙🏼🤙🏼2")</f>
        <v>98🤙🏼Requiem for a Dream🤙🏼🤙🏼2</v>
      </c>
      <c r="K294" s="5">
        <f>IFERROR(__xludf.DUMMYFUNCTION("SPLiT(J294, ""🤙🏼"",FALSE,FALSE)"),98.0)</f>
        <v>98</v>
      </c>
      <c r="L294" s="5" t="str">
        <f>IFERROR(__xludf.DUMMYFUNCTION("""COMPUTED_VALUE"""),"Requiem for a Dream")</f>
        <v>Requiem for a Dream</v>
      </c>
      <c r="M294" s="5"/>
      <c r="N294" s="5">
        <f>IFERROR(__xludf.DUMMYFUNCTION("""COMPUTED_VALUE"""),2.0)</f>
        <v>2</v>
      </c>
      <c r="S294" s="5">
        <f>IFERROR(__xludf.DUMMYFUNCTION("""COMPUTED_VALUE"""),119.0)</f>
        <v>119</v>
      </c>
      <c r="T294" s="5" t="str">
        <f>IFERROR(__xludf.DUMMYFUNCTION("""COMPUTED_VALUE"""),"North by Northwest")</f>
        <v>North by Northwest</v>
      </c>
      <c r="U294" s="5" t="str">
        <f>IFERROR(__xludf.DUMMYFUNCTION("""COMPUTED_VALUE"""),"Adventure")</f>
        <v>Adventure</v>
      </c>
      <c r="V294" s="5">
        <f>IFERROR(__xludf.DUMMYFUNCTION("""COMPUTED_VALUE"""),1.0)</f>
        <v>1</v>
      </c>
    </row>
    <row r="295">
      <c r="A295" s="1">
        <v>294.0</v>
      </c>
      <c r="B295" s="1" t="s">
        <v>1971</v>
      </c>
      <c r="C295" s="1" t="s">
        <v>1972</v>
      </c>
      <c r="D295" s="1"/>
      <c r="E295" s="1">
        <v>294.0</v>
      </c>
      <c r="F295" s="1" t="s">
        <v>1971</v>
      </c>
      <c r="G295" s="1" t="str">
        <f>IFERROR(__xludf.DUMMYFUNCTION("SPLIT(C295, "", "")"),"Drama")</f>
        <v>Drama</v>
      </c>
      <c r="H295" s="5" t="str">
        <f>IFERROR(__xludf.DUMMYFUNCTION("""COMPUTED_VALUE"""),"Horror")</f>
        <v>Horror</v>
      </c>
      <c r="I295" s="5" t="str">
        <f>IFERROR(__xludf.DUMMYFUNCTION("""COMPUTED_VALUE"""),"Thriller")</f>
        <v>Thriller</v>
      </c>
      <c r="J295" s="5" t="str">
        <f>IFERROR(__xludf.DUMMYFUNCTION("""COMPUTED_VALUE"""),"98🤙🏼Requiem for a Dream🤙🏼🤙🏼3")</f>
        <v>98🤙🏼Requiem for a Dream🤙🏼🤙🏼3</v>
      </c>
      <c r="K295" s="5">
        <f>IFERROR(__xludf.DUMMYFUNCTION("SPLiT(J295, ""🤙🏼"",FALSE,FALSE)"),98.0)</f>
        <v>98</v>
      </c>
      <c r="L295" s="5" t="str">
        <f>IFERROR(__xludf.DUMMYFUNCTION("""COMPUTED_VALUE"""),"Requiem for a Dream")</f>
        <v>Requiem for a Dream</v>
      </c>
      <c r="M295" s="5"/>
      <c r="N295" s="5">
        <f>IFERROR(__xludf.DUMMYFUNCTION("""COMPUTED_VALUE"""),3.0)</f>
        <v>3</v>
      </c>
      <c r="S295" s="5">
        <f>IFERROR(__xludf.DUMMYFUNCTION("""COMPUTED_VALUE"""),119.0)</f>
        <v>119</v>
      </c>
      <c r="T295" s="5" t="str">
        <f>IFERROR(__xludf.DUMMYFUNCTION("""COMPUTED_VALUE"""),"North by Northwest")</f>
        <v>North by Northwest</v>
      </c>
      <c r="U295" s="5" t="str">
        <f>IFERROR(__xludf.DUMMYFUNCTION("""COMPUTED_VALUE"""),"Mystery")</f>
        <v>Mystery</v>
      </c>
      <c r="V295" s="5">
        <f>IFERROR(__xludf.DUMMYFUNCTION("""COMPUTED_VALUE"""),2.0)</f>
        <v>2</v>
      </c>
    </row>
    <row r="296">
      <c r="A296" s="1">
        <v>295.0</v>
      </c>
      <c r="B296" s="1" t="s">
        <v>1978</v>
      </c>
      <c r="C296" s="1" t="s">
        <v>1029</v>
      </c>
      <c r="D296" s="1"/>
      <c r="E296" s="1">
        <v>295.0</v>
      </c>
      <c r="F296" s="1" t="s">
        <v>1978</v>
      </c>
      <c r="G296" s="1" t="str">
        <f>IFERROR(__xludf.DUMMYFUNCTION("SPLIT(C296, "", "")"),"Action")</f>
        <v>Action</v>
      </c>
      <c r="H296" s="5" t="str">
        <f>IFERROR(__xludf.DUMMYFUNCTION("""COMPUTED_VALUE"""),"Comedy")</f>
        <v>Comedy</v>
      </c>
      <c r="I296" s="5" t="str">
        <f>IFERROR(__xludf.DUMMYFUNCTION("""COMPUTED_VALUE"""),"Crime")</f>
        <v>Crime</v>
      </c>
      <c r="J296" s="5" t="str">
        <f>IFERROR(__xludf.DUMMYFUNCTION("""COMPUTED_VALUE"""),"99🤙🏼American Beauty🤙🏼Drama🤙🏼1")</f>
        <v>99🤙🏼American Beauty🤙🏼Drama🤙🏼1</v>
      </c>
      <c r="K296" s="5">
        <f>IFERROR(__xludf.DUMMYFUNCTION("SPLiT(J296, ""🤙🏼"",FALSE,FALSE)"),99.0)</f>
        <v>99</v>
      </c>
      <c r="L296" s="5" t="str">
        <f>IFERROR(__xludf.DUMMYFUNCTION("""COMPUTED_VALUE"""),"American Beauty")</f>
        <v>American Beauty</v>
      </c>
      <c r="M296" s="5" t="str">
        <f>IFERROR(__xludf.DUMMYFUNCTION("""COMPUTED_VALUE"""),"Drama")</f>
        <v>Drama</v>
      </c>
      <c r="N296" s="5">
        <f>IFERROR(__xludf.DUMMYFUNCTION("""COMPUTED_VALUE"""),1.0)</f>
        <v>1</v>
      </c>
      <c r="S296" s="5">
        <f>IFERROR(__xludf.DUMMYFUNCTION("""COMPUTED_VALUE"""),119.0)</f>
        <v>119</v>
      </c>
      <c r="T296" s="5" t="str">
        <f>IFERROR(__xludf.DUMMYFUNCTION("""COMPUTED_VALUE"""),"North by Northwest")</f>
        <v>North by Northwest</v>
      </c>
      <c r="U296" s="5" t="str">
        <f>IFERROR(__xludf.DUMMYFUNCTION("""COMPUTED_VALUE"""),"Thriller")</f>
        <v>Thriller</v>
      </c>
      <c r="V296" s="5">
        <f>IFERROR(__xludf.DUMMYFUNCTION("""COMPUTED_VALUE"""),3.0)</f>
        <v>3</v>
      </c>
    </row>
    <row r="297">
      <c r="A297" s="1">
        <v>296.0</v>
      </c>
      <c r="B297" s="1" t="s">
        <v>1982</v>
      </c>
      <c r="C297" s="1" t="s">
        <v>495</v>
      </c>
      <c r="D297" s="1"/>
      <c r="E297" s="1">
        <v>296.0</v>
      </c>
      <c r="F297" s="1" t="s">
        <v>1982</v>
      </c>
      <c r="G297" s="1" t="str">
        <f>IFERROR(__xludf.DUMMYFUNCTION("SPLIT(C297, "", "")"),"Drama")</f>
        <v>Drama</v>
      </c>
      <c r="H297" s="5" t="str">
        <f>IFERROR(__xludf.DUMMYFUNCTION("""COMPUTED_VALUE"""),"Western")</f>
        <v>Western</v>
      </c>
      <c r="J297" s="5" t="str">
        <f>IFERROR(__xludf.DUMMYFUNCTION("""COMPUTED_VALUE"""),"99🤙🏼American Beauty🤙🏼🤙🏼2")</f>
        <v>99🤙🏼American Beauty🤙🏼🤙🏼2</v>
      </c>
      <c r="K297" s="5">
        <f>IFERROR(__xludf.DUMMYFUNCTION("SPLiT(J297, ""🤙🏼"",FALSE,FALSE)"),99.0)</f>
        <v>99</v>
      </c>
      <c r="L297" s="5" t="str">
        <f>IFERROR(__xludf.DUMMYFUNCTION("""COMPUTED_VALUE"""),"American Beauty")</f>
        <v>American Beauty</v>
      </c>
      <c r="M297" s="5"/>
      <c r="N297" s="5">
        <f>IFERROR(__xludf.DUMMYFUNCTION("""COMPUTED_VALUE"""),2.0)</f>
        <v>2</v>
      </c>
      <c r="S297" s="5">
        <f>IFERROR(__xludf.DUMMYFUNCTION("""COMPUTED_VALUE"""),120.0)</f>
        <v>120</v>
      </c>
      <c r="T297" s="5" t="str">
        <f>IFERROR(__xludf.DUMMYFUNCTION("""COMPUTED_VALUE"""),"Vertigo")</f>
        <v>Vertigo</v>
      </c>
      <c r="U297" s="5" t="str">
        <f>IFERROR(__xludf.DUMMYFUNCTION("""COMPUTED_VALUE"""),"Mystery")</f>
        <v>Mystery</v>
      </c>
      <c r="V297" s="5">
        <f>IFERROR(__xludf.DUMMYFUNCTION("""COMPUTED_VALUE"""),1.0)</f>
        <v>1</v>
      </c>
    </row>
    <row r="298">
      <c r="A298" s="1">
        <v>297.0</v>
      </c>
      <c r="B298" s="1" t="s">
        <v>1987</v>
      </c>
      <c r="C298" s="1" t="s">
        <v>213</v>
      </c>
      <c r="D298" s="1"/>
      <c r="E298" s="1">
        <v>297.0</v>
      </c>
      <c r="F298" s="1" t="s">
        <v>1987</v>
      </c>
      <c r="G298" s="1" t="str">
        <f>IFERROR(__xludf.DUMMYFUNCTION("SPLIT(C298, "", "")"),"Drama")</f>
        <v>Drama</v>
      </c>
      <c r="H298" s="5" t="str">
        <f>IFERROR(__xludf.DUMMYFUNCTION("""COMPUTED_VALUE"""),"War")</f>
        <v>War</v>
      </c>
      <c r="J298" s="5" t="str">
        <f>IFERROR(__xludf.DUMMYFUNCTION("""COMPUTED_VALUE"""),"99🤙🏼American Beauty🤙🏼🤙🏼3")</f>
        <v>99🤙🏼American Beauty🤙🏼🤙🏼3</v>
      </c>
      <c r="K298" s="5">
        <f>IFERROR(__xludf.DUMMYFUNCTION("SPLiT(J298, ""🤙🏼"",FALSE,FALSE)"),99.0)</f>
        <v>99</v>
      </c>
      <c r="L298" s="5" t="str">
        <f>IFERROR(__xludf.DUMMYFUNCTION("""COMPUTED_VALUE"""),"American Beauty")</f>
        <v>American Beauty</v>
      </c>
      <c r="M298" s="5"/>
      <c r="N298" s="5">
        <f>IFERROR(__xludf.DUMMYFUNCTION("""COMPUTED_VALUE"""),3.0)</f>
        <v>3</v>
      </c>
      <c r="S298" s="5">
        <f>IFERROR(__xludf.DUMMYFUNCTION("""COMPUTED_VALUE"""),120.0)</f>
        <v>120</v>
      </c>
      <c r="T298" s="5" t="str">
        <f>IFERROR(__xludf.DUMMYFUNCTION("""COMPUTED_VALUE"""),"Vertigo")</f>
        <v>Vertigo</v>
      </c>
      <c r="U298" s="5" t="str">
        <f>IFERROR(__xludf.DUMMYFUNCTION("""COMPUTED_VALUE"""),"Romance")</f>
        <v>Romance</v>
      </c>
      <c r="V298" s="5">
        <f>IFERROR(__xludf.DUMMYFUNCTION("""COMPUTED_VALUE"""),2.0)</f>
        <v>2</v>
      </c>
    </row>
    <row r="299">
      <c r="A299" s="1">
        <v>298.0</v>
      </c>
      <c r="B299" s="1" t="s">
        <v>1993</v>
      </c>
      <c r="C299" s="1" t="s">
        <v>20</v>
      </c>
      <c r="D299" s="1"/>
      <c r="E299" s="1">
        <v>298.0</v>
      </c>
      <c r="F299" s="1" t="s">
        <v>1993</v>
      </c>
      <c r="G299" s="1" t="str">
        <f>IFERROR(__xludf.DUMMYFUNCTION("SPLIT(C299, "", "")"),"Drama")</f>
        <v>Drama</v>
      </c>
      <c r="J299" s="5" t="str">
        <f>IFERROR(__xludf.DUMMYFUNCTION("""COMPUTED_VALUE"""),"100🤙🏼Good Will Hunting🤙🏼Drama🤙🏼1")</f>
        <v>100🤙🏼Good Will Hunting🤙🏼Drama🤙🏼1</v>
      </c>
      <c r="K299" s="5">
        <f>IFERROR(__xludf.DUMMYFUNCTION("SPLiT(J299, ""🤙🏼"",FALSE,FALSE)"),100.0)</f>
        <v>100</v>
      </c>
      <c r="L299" s="5" t="str">
        <f>IFERROR(__xludf.DUMMYFUNCTION("""COMPUTED_VALUE"""),"Good Will Hunting")</f>
        <v>Good Will Hunting</v>
      </c>
      <c r="M299" s="5" t="str">
        <f>IFERROR(__xludf.DUMMYFUNCTION("""COMPUTED_VALUE"""),"Drama")</f>
        <v>Drama</v>
      </c>
      <c r="N299" s="5">
        <f>IFERROR(__xludf.DUMMYFUNCTION("""COMPUTED_VALUE"""),1.0)</f>
        <v>1</v>
      </c>
      <c r="S299" s="5">
        <f>IFERROR(__xludf.DUMMYFUNCTION("""COMPUTED_VALUE"""),120.0)</f>
        <v>120</v>
      </c>
      <c r="T299" s="5" t="str">
        <f>IFERROR(__xludf.DUMMYFUNCTION("""COMPUTED_VALUE"""),"Vertigo")</f>
        <v>Vertigo</v>
      </c>
      <c r="U299" s="5" t="str">
        <f>IFERROR(__xludf.DUMMYFUNCTION("""COMPUTED_VALUE"""),"Thriller")</f>
        <v>Thriller</v>
      </c>
      <c r="V299" s="5">
        <f>IFERROR(__xludf.DUMMYFUNCTION("""COMPUTED_VALUE"""),3.0)</f>
        <v>3</v>
      </c>
    </row>
    <row r="300">
      <c r="A300" s="1">
        <v>299.0</v>
      </c>
      <c r="B300" s="1" t="s">
        <v>1998</v>
      </c>
      <c r="C300" s="1" t="s">
        <v>79</v>
      </c>
      <c r="D300" s="1"/>
      <c r="E300" s="1">
        <v>299.0</v>
      </c>
      <c r="F300" s="1" t="s">
        <v>1998</v>
      </c>
      <c r="G300" s="1" t="str">
        <f>IFERROR(__xludf.DUMMYFUNCTION("SPLIT(C300, "", "")"),"Biography")</f>
        <v>Biography</v>
      </c>
      <c r="H300" s="5" t="str">
        <f>IFERROR(__xludf.DUMMYFUNCTION("""COMPUTED_VALUE"""),"Drama")</f>
        <v>Drama</v>
      </c>
      <c r="I300" s="5" t="str">
        <f>IFERROR(__xludf.DUMMYFUNCTION("""COMPUTED_VALUE"""),"History")</f>
        <v>History</v>
      </c>
      <c r="J300" s="5" t="str">
        <f>IFERROR(__xludf.DUMMYFUNCTION("""COMPUTED_VALUE"""),"100🤙🏼Good Will Hunting🤙🏼Romance🤙🏼2")</f>
        <v>100🤙🏼Good Will Hunting🤙🏼Romance🤙🏼2</v>
      </c>
      <c r="K300" s="5">
        <f>IFERROR(__xludf.DUMMYFUNCTION("SPLiT(J300, ""🤙🏼"",FALSE,FALSE)"),100.0)</f>
        <v>100</v>
      </c>
      <c r="L300" s="5" t="str">
        <f>IFERROR(__xludf.DUMMYFUNCTION("""COMPUTED_VALUE"""),"Good Will Hunting")</f>
        <v>Good Will Hunting</v>
      </c>
      <c r="M300" s="5" t="str">
        <f>IFERROR(__xludf.DUMMYFUNCTION("""COMPUTED_VALUE"""),"Romance")</f>
        <v>Romance</v>
      </c>
      <c r="N300" s="5">
        <f>IFERROR(__xludf.DUMMYFUNCTION("""COMPUTED_VALUE"""),2.0)</f>
        <v>2</v>
      </c>
      <c r="S300" s="5">
        <f>IFERROR(__xludf.DUMMYFUNCTION("""COMPUTED_VALUE"""),121.0)</f>
        <v>121</v>
      </c>
      <c r="T300" s="5" t="str">
        <f>IFERROR(__xludf.DUMMYFUNCTION("""COMPUTED_VALUE"""),"Singin' in the Rain")</f>
        <v>Singin' in the Rain</v>
      </c>
      <c r="U300" s="5" t="str">
        <f>IFERROR(__xludf.DUMMYFUNCTION("""COMPUTED_VALUE"""),"Comedy")</f>
        <v>Comedy</v>
      </c>
      <c r="V300" s="5">
        <f>IFERROR(__xludf.DUMMYFUNCTION("""COMPUTED_VALUE"""),1.0)</f>
        <v>1</v>
      </c>
    </row>
    <row r="301">
      <c r="A301" s="1">
        <v>300.0</v>
      </c>
      <c r="B301" s="1" t="s">
        <v>2002</v>
      </c>
      <c r="C301" s="1" t="s">
        <v>29</v>
      </c>
      <c r="D301" s="1"/>
      <c r="E301" s="1">
        <v>300.0</v>
      </c>
      <c r="F301" s="1" t="s">
        <v>2002</v>
      </c>
      <c r="G301" s="1" t="str">
        <f>IFERROR(__xludf.DUMMYFUNCTION("SPLIT(C301, "", "")"),"Crime")</f>
        <v>Crime</v>
      </c>
      <c r="H301" s="5" t="str">
        <f>IFERROR(__xludf.DUMMYFUNCTION("""COMPUTED_VALUE"""),"Drama")</f>
        <v>Drama</v>
      </c>
      <c r="J301" s="5" t="str">
        <f>IFERROR(__xludf.DUMMYFUNCTION("""COMPUTED_VALUE"""),"100🤙🏼Good Will Hunting🤙🏼🤙🏼3")</f>
        <v>100🤙🏼Good Will Hunting🤙🏼🤙🏼3</v>
      </c>
      <c r="K301" s="5">
        <f>IFERROR(__xludf.DUMMYFUNCTION("SPLiT(J301, ""🤙🏼"",FALSE,FALSE)"),100.0)</f>
        <v>100</v>
      </c>
      <c r="L301" s="5" t="str">
        <f>IFERROR(__xludf.DUMMYFUNCTION("""COMPUTED_VALUE"""),"Good Will Hunting")</f>
        <v>Good Will Hunting</v>
      </c>
      <c r="M301" s="5"/>
      <c r="N301" s="5">
        <f>IFERROR(__xludf.DUMMYFUNCTION("""COMPUTED_VALUE"""),3.0)</f>
        <v>3</v>
      </c>
      <c r="S301" s="5">
        <f>IFERROR(__xludf.DUMMYFUNCTION("""COMPUTED_VALUE"""),121.0)</f>
        <v>121</v>
      </c>
      <c r="T301" s="5" t="str">
        <f>IFERROR(__xludf.DUMMYFUNCTION("""COMPUTED_VALUE"""),"Singin' in the Rain")</f>
        <v>Singin' in the Rain</v>
      </c>
      <c r="U301" s="5" t="str">
        <f>IFERROR(__xludf.DUMMYFUNCTION("""COMPUTED_VALUE"""),"Musical")</f>
        <v>Musical</v>
      </c>
      <c r="V301" s="5">
        <f>IFERROR(__xludf.DUMMYFUNCTION("""COMPUTED_VALUE"""),2.0)</f>
        <v>2</v>
      </c>
    </row>
    <row r="302">
      <c r="A302" s="1">
        <v>301.0</v>
      </c>
      <c r="B302" s="1" t="s">
        <v>2009</v>
      </c>
      <c r="C302" s="1" t="s">
        <v>1269</v>
      </c>
      <c r="D302" s="1"/>
      <c r="E302" s="1">
        <v>301.0</v>
      </c>
      <c r="F302" s="1" t="s">
        <v>2009</v>
      </c>
      <c r="G302" s="1" t="str">
        <f>IFERROR(__xludf.DUMMYFUNCTION("SPLIT(C302, "", "")"),"Adventure")</f>
        <v>Adventure</v>
      </c>
      <c r="H302" s="5" t="str">
        <f>IFERROR(__xludf.DUMMYFUNCTION("""COMPUTED_VALUE"""),"Drama")</f>
        <v>Drama</v>
      </c>
      <c r="I302" s="5" t="str">
        <f>IFERROR(__xludf.DUMMYFUNCTION("""COMPUTED_VALUE"""),"History")</f>
        <v>History</v>
      </c>
      <c r="J302" s="5" t="str">
        <f>IFERROR(__xludf.DUMMYFUNCTION("""COMPUTED_VALUE"""),"101🤙🏼Bacheha-Ye aseman🤙🏼Drama🤙🏼1")</f>
        <v>101🤙🏼Bacheha-Ye aseman🤙🏼Drama🤙🏼1</v>
      </c>
      <c r="K302" s="5">
        <f>IFERROR(__xludf.DUMMYFUNCTION("SPLiT(J302, ""🤙🏼"",FALSE,FALSE)"),101.0)</f>
        <v>101</v>
      </c>
      <c r="L302" s="5" t="str">
        <f>IFERROR(__xludf.DUMMYFUNCTION("""COMPUTED_VALUE"""),"Bacheha-Ye aseman")</f>
        <v>Bacheha-Ye aseman</v>
      </c>
      <c r="M302" s="5" t="str">
        <f>IFERROR(__xludf.DUMMYFUNCTION("""COMPUTED_VALUE"""),"Drama")</f>
        <v>Drama</v>
      </c>
      <c r="N302" s="5">
        <f>IFERROR(__xludf.DUMMYFUNCTION("""COMPUTED_VALUE"""),1.0)</f>
        <v>1</v>
      </c>
      <c r="S302" s="5">
        <f>IFERROR(__xludf.DUMMYFUNCTION("""COMPUTED_VALUE"""),121.0)</f>
        <v>121</v>
      </c>
      <c r="T302" s="5" t="str">
        <f>IFERROR(__xludf.DUMMYFUNCTION("""COMPUTED_VALUE"""),"Singin' in the Rain")</f>
        <v>Singin' in the Rain</v>
      </c>
      <c r="U302" s="5" t="str">
        <f>IFERROR(__xludf.DUMMYFUNCTION("""COMPUTED_VALUE"""),"Romance")</f>
        <v>Romance</v>
      </c>
      <c r="V302" s="5">
        <f>IFERROR(__xludf.DUMMYFUNCTION("""COMPUTED_VALUE"""),3.0)</f>
        <v>3</v>
      </c>
    </row>
    <row r="303">
      <c r="A303" s="1">
        <v>302.0</v>
      </c>
      <c r="B303" s="1" t="s">
        <v>2016</v>
      </c>
      <c r="C303" s="1" t="s">
        <v>1813</v>
      </c>
      <c r="D303" s="1"/>
      <c r="E303" s="1">
        <v>302.0</v>
      </c>
      <c r="F303" s="1" t="s">
        <v>2016</v>
      </c>
      <c r="G303" s="1" t="str">
        <f>IFERROR(__xludf.DUMMYFUNCTION("SPLIT(C303, "", "")"),"Adventure")</f>
        <v>Adventure</v>
      </c>
      <c r="H303" s="5" t="str">
        <f>IFERROR(__xludf.DUMMYFUNCTION("""COMPUTED_VALUE"""),"Drama")</f>
        <v>Drama</v>
      </c>
      <c r="J303" s="5" t="str">
        <f>IFERROR(__xludf.DUMMYFUNCTION("""COMPUTED_VALUE"""),"101🤙🏼Bacheha-Ye aseman🤙🏼Family🤙🏼2")</f>
        <v>101🤙🏼Bacheha-Ye aseman🤙🏼Family🤙🏼2</v>
      </c>
      <c r="K303" s="5">
        <f>IFERROR(__xludf.DUMMYFUNCTION("SPLiT(J303, ""🤙🏼"",FALSE,FALSE)"),101.0)</f>
        <v>101</v>
      </c>
      <c r="L303" s="5" t="str">
        <f>IFERROR(__xludf.DUMMYFUNCTION("""COMPUTED_VALUE"""),"Bacheha-Ye aseman")</f>
        <v>Bacheha-Ye aseman</v>
      </c>
      <c r="M303" s="5" t="str">
        <f>IFERROR(__xludf.DUMMYFUNCTION("""COMPUTED_VALUE"""),"Family")</f>
        <v>Family</v>
      </c>
      <c r="N303" s="5">
        <f>IFERROR(__xludf.DUMMYFUNCTION("""COMPUTED_VALUE"""),2.0)</f>
        <v>2</v>
      </c>
      <c r="S303" s="5">
        <f>IFERROR(__xludf.DUMMYFUNCTION("""COMPUTED_VALUE"""),122.0)</f>
        <v>122</v>
      </c>
      <c r="T303" s="5" t="str">
        <f>IFERROR(__xludf.DUMMYFUNCTION("""COMPUTED_VALUE"""),"Ikiru")</f>
        <v>Ikiru</v>
      </c>
      <c r="U303" s="5" t="str">
        <f>IFERROR(__xludf.DUMMYFUNCTION("""COMPUTED_VALUE"""),"Drama")</f>
        <v>Drama</v>
      </c>
      <c r="V303" s="5">
        <f>IFERROR(__xludf.DUMMYFUNCTION("""COMPUTED_VALUE"""),1.0)</f>
        <v>1</v>
      </c>
    </row>
    <row r="304">
      <c r="A304" s="1">
        <v>303.0</v>
      </c>
      <c r="B304" s="1" t="s">
        <v>2021</v>
      </c>
      <c r="C304" s="1" t="s">
        <v>20</v>
      </c>
      <c r="D304" s="1"/>
      <c r="E304" s="1">
        <v>303.0</v>
      </c>
      <c r="F304" s="1" t="s">
        <v>2021</v>
      </c>
      <c r="G304" s="1" t="str">
        <f>IFERROR(__xludf.DUMMYFUNCTION("SPLIT(C304, "", "")"),"Drama")</f>
        <v>Drama</v>
      </c>
      <c r="J304" s="5" t="str">
        <f>IFERROR(__xludf.DUMMYFUNCTION("""COMPUTED_VALUE"""),"101🤙🏼Bacheha-Ye aseman🤙🏼Sport🤙🏼3")</f>
        <v>101🤙🏼Bacheha-Ye aseman🤙🏼Sport🤙🏼3</v>
      </c>
      <c r="K304" s="5">
        <f>IFERROR(__xludf.DUMMYFUNCTION("SPLiT(J304, ""🤙🏼"",FALSE,FALSE)"),101.0)</f>
        <v>101</v>
      </c>
      <c r="L304" s="5" t="str">
        <f>IFERROR(__xludf.DUMMYFUNCTION("""COMPUTED_VALUE"""),"Bacheha-Ye aseman")</f>
        <v>Bacheha-Ye aseman</v>
      </c>
      <c r="M304" s="5" t="str">
        <f>IFERROR(__xludf.DUMMYFUNCTION("""COMPUTED_VALUE"""),"Sport")</f>
        <v>Sport</v>
      </c>
      <c r="N304" s="5">
        <f>IFERROR(__xludf.DUMMYFUNCTION("""COMPUTED_VALUE"""),3.0)</f>
        <v>3</v>
      </c>
      <c r="S304" s="5">
        <f>IFERROR(__xludf.DUMMYFUNCTION("""COMPUTED_VALUE"""),123.0)</f>
        <v>123</v>
      </c>
      <c r="T304" s="5" t="str">
        <f>IFERROR(__xludf.DUMMYFUNCTION("""COMPUTED_VALUE"""),"Ladri di biciclette")</f>
        <v>Ladri di biciclette</v>
      </c>
      <c r="U304" s="5" t="str">
        <f>IFERROR(__xludf.DUMMYFUNCTION("""COMPUTED_VALUE"""),"Drama")</f>
        <v>Drama</v>
      </c>
      <c r="V304" s="5">
        <f>IFERROR(__xludf.DUMMYFUNCTION("""COMPUTED_VALUE"""),1.0)</f>
        <v>1</v>
      </c>
    </row>
    <row r="305">
      <c r="A305" s="1">
        <v>304.0</v>
      </c>
      <c r="B305" s="1" t="s">
        <v>2027</v>
      </c>
      <c r="C305" s="1" t="s">
        <v>2028</v>
      </c>
      <c r="D305" s="1"/>
      <c r="E305" s="1">
        <v>304.0</v>
      </c>
      <c r="F305" s="1" t="s">
        <v>2027</v>
      </c>
      <c r="G305" s="1" t="str">
        <f>IFERROR(__xludf.DUMMYFUNCTION("SPLIT(C305, "", "")"),"Drama")</f>
        <v>Drama</v>
      </c>
      <c r="H305" s="5" t="str">
        <f>IFERROR(__xludf.DUMMYFUNCTION("""COMPUTED_VALUE"""),"History")</f>
        <v>History</v>
      </c>
      <c r="J305" s="5" t="str">
        <f>IFERROR(__xludf.DUMMYFUNCTION("""COMPUTED_VALUE"""),"102🤙🏼Toy Story🤙🏼Animation🤙🏼1")</f>
        <v>102🤙🏼Toy Story🤙🏼Animation🤙🏼1</v>
      </c>
      <c r="K305" s="5">
        <f>IFERROR(__xludf.DUMMYFUNCTION("SPLiT(J305, ""🤙🏼"",FALSE,FALSE)"),102.0)</f>
        <v>102</v>
      </c>
      <c r="L305" s="5" t="str">
        <f>IFERROR(__xludf.DUMMYFUNCTION("""COMPUTED_VALUE"""),"Toy Story")</f>
        <v>Toy Story</v>
      </c>
      <c r="M305" s="5" t="str">
        <f>IFERROR(__xludf.DUMMYFUNCTION("""COMPUTED_VALUE"""),"Animation")</f>
        <v>Animation</v>
      </c>
      <c r="N305" s="5">
        <f>IFERROR(__xludf.DUMMYFUNCTION("""COMPUTED_VALUE"""),1.0)</f>
        <v>1</v>
      </c>
      <c r="S305" s="5">
        <f>IFERROR(__xludf.DUMMYFUNCTION("""COMPUTED_VALUE"""),124.0)</f>
        <v>124</v>
      </c>
      <c r="T305" s="5" t="str">
        <f>IFERROR(__xludf.DUMMYFUNCTION("""COMPUTED_VALUE"""),"Double Indemnity")</f>
        <v>Double Indemnity</v>
      </c>
      <c r="U305" s="5" t="str">
        <f>IFERROR(__xludf.DUMMYFUNCTION("""COMPUTED_VALUE"""),"Crime")</f>
        <v>Crime</v>
      </c>
      <c r="V305" s="5">
        <f>IFERROR(__xludf.DUMMYFUNCTION("""COMPUTED_VALUE"""),1.0)</f>
        <v>1</v>
      </c>
    </row>
    <row r="306">
      <c r="A306" s="1">
        <v>305.0</v>
      </c>
      <c r="B306" s="1" t="s">
        <v>2031</v>
      </c>
      <c r="C306" s="1" t="s">
        <v>708</v>
      </c>
      <c r="D306" s="1"/>
      <c r="E306" s="1">
        <v>305.0</v>
      </c>
      <c r="F306" s="1" t="s">
        <v>2031</v>
      </c>
      <c r="G306" s="1" t="str">
        <f>IFERROR(__xludf.DUMMYFUNCTION("SPLIT(C306, "", "")"),"Adventure")</f>
        <v>Adventure</v>
      </c>
      <c r="H306" s="5" t="str">
        <f>IFERROR(__xludf.DUMMYFUNCTION("""COMPUTED_VALUE"""),"Drama")</f>
        <v>Drama</v>
      </c>
      <c r="I306" s="5" t="str">
        <f>IFERROR(__xludf.DUMMYFUNCTION("""COMPUTED_VALUE"""),"War")</f>
        <v>War</v>
      </c>
      <c r="J306" s="5" t="str">
        <f>IFERROR(__xludf.DUMMYFUNCTION("""COMPUTED_VALUE"""),"102🤙🏼Toy Story🤙🏼Adventure🤙🏼2")</f>
        <v>102🤙🏼Toy Story🤙🏼Adventure🤙🏼2</v>
      </c>
      <c r="K306" s="5">
        <f>IFERROR(__xludf.DUMMYFUNCTION("SPLiT(J306, ""🤙🏼"",FALSE,FALSE)"),102.0)</f>
        <v>102</v>
      </c>
      <c r="L306" s="5" t="str">
        <f>IFERROR(__xludf.DUMMYFUNCTION("""COMPUTED_VALUE"""),"Toy Story")</f>
        <v>Toy Story</v>
      </c>
      <c r="M306" s="5" t="str">
        <f>IFERROR(__xludf.DUMMYFUNCTION("""COMPUTED_VALUE"""),"Adventure")</f>
        <v>Adventure</v>
      </c>
      <c r="N306" s="5">
        <f>IFERROR(__xludf.DUMMYFUNCTION("""COMPUTED_VALUE"""),2.0)</f>
        <v>2</v>
      </c>
      <c r="S306" s="5">
        <f>IFERROR(__xludf.DUMMYFUNCTION("""COMPUTED_VALUE"""),124.0)</f>
        <v>124</v>
      </c>
      <c r="T306" s="5" t="str">
        <f>IFERROR(__xludf.DUMMYFUNCTION("""COMPUTED_VALUE"""),"Double Indemnity")</f>
        <v>Double Indemnity</v>
      </c>
      <c r="U306" s="5" t="str">
        <f>IFERROR(__xludf.DUMMYFUNCTION("""COMPUTED_VALUE"""),"Drama")</f>
        <v>Drama</v>
      </c>
      <c r="V306" s="5">
        <f>IFERROR(__xludf.DUMMYFUNCTION("""COMPUTED_VALUE"""),2.0)</f>
        <v>2</v>
      </c>
    </row>
    <row r="307">
      <c r="A307" s="1">
        <v>306.0</v>
      </c>
      <c r="B307" s="1" t="s">
        <v>2034</v>
      </c>
      <c r="C307" s="1" t="s">
        <v>241</v>
      </c>
      <c r="D307" s="1"/>
      <c r="E307" s="1">
        <v>306.0</v>
      </c>
      <c r="F307" s="1" t="s">
        <v>2034</v>
      </c>
      <c r="G307" s="1" t="str">
        <f>IFERROR(__xludf.DUMMYFUNCTION("SPLIT(C307, "", "")"),"Crime")</f>
        <v>Crime</v>
      </c>
      <c r="H307" s="5" t="str">
        <f>IFERROR(__xludf.DUMMYFUNCTION("""COMPUTED_VALUE"""),"Drama")</f>
        <v>Drama</v>
      </c>
      <c r="I307" s="5" t="str">
        <f>IFERROR(__xludf.DUMMYFUNCTION("""COMPUTED_VALUE"""),"Thriller")</f>
        <v>Thriller</v>
      </c>
      <c r="J307" s="5" t="str">
        <f>IFERROR(__xludf.DUMMYFUNCTION("""COMPUTED_VALUE"""),"102🤙🏼Toy Story🤙🏼Comedy🤙🏼3")</f>
        <v>102🤙🏼Toy Story🤙🏼Comedy🤙🏼3</v>
      </c>
      <c r="K307" s="5">
        <f>IFERROR(__xludf.DUMMYFUNCTION("SPLiT(J307, ""🤙🏼"",FALSE,FALSE)"),102.0)</f>
        <v>102</v>
      </c>
      <c r="L307" s="5" t="str">
        <f>IFERROR(__xludf.DUMMYFUNCTION("""COMPUTED_VALUE"""),"Toy Story")</f>
        <v>Toy Story</v>
      </c>
      <c r="M307" s="5" t="str">
        <f>IFERROR(__xludf.DUMMYFUNCTION("""COMPUTED_VALUE"""),"Comedy")</f>
        <v>Comedy</v>
      </c>
      <c r="N307" s="5">
        <f>IFERROR(__xludf.DUMMYFUNCTION("""COMPUTED_VALUE"""),3.0)</f>
        <v>3</v>
      </c>
      <c r="S307" s="5">
        <f>IFERROR(__xludf.DUMMYFUNCTION("""COMPUTED_VALUE"""),124.0)</f>
        <v>124</v>
      </c>
      <c r="T307" s="5" t="str">
        <f>IFERROR(__xludf.DUMMYFUNCTION("""COMPUTED_VALUE"""),"Double Indemnity")</f>
        <v>Double Indemnity</v>
      </c>
      <c r="U307" s="5" t="str">
        <f>IFERROR(__xludf.DUMMYFUNCTION("""COMPUTED_VALUE"""),"Film-Noir")</f>
        <v>Film-Noir</v>
      </c>
      <c r="V307" s="5">
        <f>IFERROR(__xludf.DUMMYFUNCTION("""COMPUTED_VALUE"""),3.0)</f>
        <v>3</v>
      </c>
    </row>
    <row r="308">
      <c r="A308" s="1">
        <v>307.0</v>
      </c>
      <c r="B308" s="1" t="s">
        <v>2039</v>
      </c>
      <c r="C308" s="1" t="s">
        <v>817</v>
      </c>
      <c r="D308" s="1"/>
      <c r="E308" s="1">
        <v>307.0</v>
      </c>
      <c r="F308" s="1" t="s">
        <v>2039</v>
      </c>
      <c r="G308" s="1" t="str">
        <f>IFERROR(__xludf.DUMMYFUNCTION("SPLIT(C308, "", "")"),"Adventure")</f>
        <v>Adventure</v>
      </c>
      <c r="H308" s="5" t="str">
        <f>IFERROR(__xludf.DUMMYFUNCTION("""COMPUTED_VALUE"""),"Drama")</f>
        <v>Drama</v>
      </c>
      <c r="I308" s="5" t="str">
        <f>IFERROR(__xludf.DUMMYFUNCTION("""COMPUTED_VALUE"""),"Thriller")</f>
        <v>Thriller</v>
      </c>
      <c r="J308" s="5" t="str">
        <f>IFERROR(__xludf.DUMMYFUNCTION("""COMPUTED_VALUE"""),"103🤙🏼Braveheart🤙🏼Biography🤙🏼1")</f>
        <v>103🤙🏼Braveheart🤙🏼Biography🤙🏼1</v>
      </c>
      <c r="K308" s="5">
        <f>IFERROR(__xludf.DUMMYFUNCTION("SPLiT(J308, ""🤙🏼"",FALSE,FALSE)"),103.0)</f>
        <v>103</v>
      </c>
      <c r="L308" s="5" t="str">
        <f>IFERROR(__xludf.DUMMYFUNCTION("""COMPUTED_VALUE"""),"Braveheart")</f>
        <v>Braveheart</v>
      </c>
      <c r="M308" s="5" t="str">
        <f>IFERROR(__xludf.DUMMYFUNCTION("""COMPUTED_VALUE"""),"Biography")</f>
        <v>Biography</v>
      </c>
      <c r="N308" s="5">
        <f>IFERROR(__xludf.DUMMYFUNCTION("""COMPUTED_VALUE"""),1.0)</f>
        <v>1</v>
      </c>
      <c r="S308" s="5">
        <f>IFERROR(__xludf.DUMMYFUNCTION("""COMPUTED_VALUE"""),125.0)</f>
        <v>125</v>
      </c>
      <c r="T308" s="5" t="str">
        <f>IFERROR(__xludf.DUMMYFUNCTION("""COMPUTED_VALUE"""),"Citizen Kane")</f>
        <v>Citizen Kane</v>
      </c>
      <c r="U308" s="5" t="str">
        <f>IFERROR(__xludf.DUMMYFUNCTION("""COMPUTED_VALUE"""),"Drama")</f>
        <v>Drama</v>
      </c>
      <c r="V308" s="5">
        <f>IFERROR(__xludf.DUMMYFUNCTION("""COMPUTED_VALUE"""),1.0)</f>
        <v>1</v>
      </c>
    </row>
    <row r="309">
      <c r="A309" s="1">
        <v>308.0</v>
      </c>
      <c r="B309" s="1" t="s">
        <v>2046</v>
      </c>
      <c r="C309" s="1" t="s">
        <v>628</v>
      </c>
      <c r="D309" s="1"/>
      <c r="E309" s="1">
        <v>308.0</v>
      </c>
      <c r="F309" s="1" t="s">
        <v>2046</v>
      </c>
      <c r="G309" s="1" t="str">
        <f>IFERROR(__xludf.DUMMYFUNCTION("SPLIT(C309, "", "")"),"Drama")</f>
        <v>Drama</v>
      </c>
      <c r="H309" s="5" t="str">
        <f>IFERROR(__xludf.DUMMYFUNCTION("""COMPUTED_VALUE"""),"Film-Noir")</f>
        <v>Film-Noir</v>
      </c>
      <c r="J309" s="5" t="str">
        <f>IFERROR(__xludf.DUMMYFUNCTION("""COMPUTED_VALUE"""),"103🤙🏼Braveheart🤙🏼Drama🤙🏼2")</f>
        <v>103🤙🏼Braveheart🤙🏼Drama🤙🏼2</v>
      </c>
      <c r="K309" s="5">
        <f>IFERROR(__xludf.DUMMYFUNCTION("SPLiT(J309, ""🤙🏼"",FALSE,FALSE)"),103.0)</f>
        <v>103</v>
      </c>
      <c r="L309" s="5" t="str">
        <f>IFERROR(__xludf.DUMMYFUNCTION("""COMPUTED_VALUE"""),"Braveheart")</f>
        <v>Braveheart</v>
      </c>
      <c r="M309" s="5" t="str">
        <f>IFERROR(__xludf.DUMMYFUNCTION("""COMPUTED_VALUE"""),"Drama")</f>
        <v>Drama</v>
      </c>
      <c r="N309" s="5">
        <f>IFERROR(__xludf.DUMMYFUNCTION("""COMPUTED_VALUE"""),2.0)</f>
        <v>2</v>
      </c>
      <c r="S309" s="5">
        <f>IFERROR(__xludf.DUMMYFUNCTION("""COMPUTED_VALUE"""),125.0)</f>
        <v>125</v>
      </c>
      <c r="T309" s="5" t="str">
        <f>IFERROR(__xludf.DUMMYFUNCTION("""COMPUTED_VALUE"""),"Citizen Kane")</f>
        <v>Citizen Kane</v>
      </c>
      <c r="U309" s="5" t="str">
        <f>IFERROR(__xludf.DUMMYFUNCTION("""COMPUTED_VALUE"""),"Mystery")</f>
        <v>Mystery</v>
      </c>
      <c r="V309" s="5">
        <f>IFERROR(__xludf.DUMMYFUNCTION("""COMPUTED_VALUE"""),2.0)</f>
        <v>2</v>
      </c>
    </row>
    <row r="310">
      <c r="A310" s="1">
        <v>309.0</v>
      </c>
      <c r="B310" s="1" t="s">
        <v>2052</v>
      </c>
      <c r="C310" s="1" t="s">
        <v>39</v>
      </c>
      <c r="D310" s="1"/>
      <c r="E310" s="1">
        <v>309.0</v>
      </c>
      <c r="F310" s="1" t="s">
        <v>2052</v>
      </c>
      <c r="G310" s="1" t="str">
        <f>IFERROR(__xludf.DUMMYFUNCTION("SPLIT(C310, "", "")"),"Action")</f>
        <v>Action</v>
      </c>
      <c r="H310" s="5" t="str">
        <f>IFERROR(__xludf.DUMMYFUNCTION("""COMPUTED_VALUE"""),"Crime")</f>
        <v>Crime</v>
      </c>
      <c r="I310" s="5" t="str">
        <f>IFERROR(__xludf.DUMMYFUNCTION("""COMPUTED_VALUE"""),"Drama")</f>
        <v>Drama</v>
      </c>
      <c r="J310" s="5" t="str">
        <f>IFERROR(__xludf.DUMMYFUNCTION("""COMPUTED_VALUE"""),"103🤙🏼Braveheart🤙🏼History🤙🏼3")</f>
        <v>103🤙🏼Braveheart🤙🏼History🤙🏼3</v>
      </c>
      <c r="K310" s="5">
        <f>IFERROR(__xludf.DUMMYFUNCTION("SPLiT(J310, ""🤙🏼"",FALSE,FALSE)"),103.0)</f>
        <v>103</v>
      </c>
      <c r="L310" s="5" t="str">
        <f>IFERROR(__xludf.DUMMYFUNCTION("""COMPUTED_VALUE"""),"Braveheart")</f>
        <v>Braveheart</v>
      </c>
      <c r="M310" s="5" t="str">
        <f>IFERROR(__xludf.DUMMYFUNCTION("""COMPUTED_VALUE"""),"History")</f>
        <v>History</v>
      </c>
      <c r="N310" s="5">
        <f>IFERROR(__xludf.DUMMYFUNCTION("""COMPUTED_VALUE"""),3.0)</f>
        <v>3</v>
      </c>
      <c r="S310" s="5">
        <f>IFERROR(__xludf.DUMMYFUNCTION("""COMPUTED_VALUE"""),126.0)</f>
        <v>126</v>
      </c>
      <c r="T310" s="5" t="str">
        <f>IFERROR(__xludf.DUMMYFUNCTION("""COMPUTED_VALUE"""),"M - Eine Stadt sucht einen Mörder")</f>
        <v>M - Eine Stadt sucht einen Mörder</v>
      </c>
      <c r="U310" s="5" t="str">
        <f>IFERROR(__xludf.DUMMYFUNCTION("""COMPUTED_VALUE"""),"Crime")</f>
        <v>Crime</v>
      </c>
      <c r="V310" s="5">
        <f>IFERROR(__xludf.DUMMYFUNCTION("""COMPUTED_VALUE"""),1.0)</f>
        <v>1</v>
      </c>
    </row>
    <row r="311">
      <c r="A311" s="1">
        <v>310.0</v>
      </c>
      <c r="B311" s="1" t="s">
        <v>2059</v>
      </c>
      <c r="C311" s="1" t="s">
        <v>2060</v>
      </c>
      <c r="D311" s="1"/>
      <c r="E311" s="1">
        <v>310.0</v>
      </c>
      <c r="F311" s="1" t="s">
        <v>2059</v>
      </c>
      <c r="G311" s="1" t="str">
        <f>IFERROR(__xludf.DUMMYFUNCTION("SPLIT(C311, "", "")"),"Film-Noir")</f>
        <v>Film-Noir</v>
      </c>
      <c r="H311" s="5" t="str">
        <f>IFERROR(__xludf.DUMMYFUNCTION("""COMPUTED_VALUE"""),"Mystery")</f>
        <v>Mystery</v>
      </c>
      <c r="I311" s="5" t="str">
        <f>IFERROR(__xludf.DUMMYFUNCTION("""COMPUTED_VALUE"""),"Thriller")</f>
        <v>Thriller</v>
      </c>
      <c r="J311" s="5" t="str">
        <f>IFERROR(__xludf.DUMMYFUNCTION("""COMPUTED_VALUE"""),"104🤙🏼Reservoir Dogs🤙🏼Crime🤙🏼1")</f>
        <v>104🤙🏼Reservoir Dogs🤙🏼Crime🤙🏼1</v>
      </c>
      <c r="K311" s="5">
        <f>IFERROR(__xludf.DUMMYFUNCTION("SPLiT(J311, ""🤙🏼"",FALSE,FALSE)"),104.0)</f>
        <v>104</v>
      </c>
      <c r="L311" s="5" t="str">
        <f>IFERROR(__xludf.DUMMYFUNCTION("""COMPUTED_VALUE"""),"Reservoir Dogs")</f>
        <v>Reservoir Dogs</v>
      </c>
      <c r="M311" s="5" t="str">
        <f>IFERROR(__xludf.DUMMYFUNCTION("""COMPUTED_VALUE"""),"Crime")</f>
        <v>Crime</v>
      </c>
      <c r="N311" s="5">
        <f>IFERROR(__xludf.DUMMYFUNCTION("""COMPUTED_VALUE"""),1.0)</f>
        <v>1</v>
      </c>
      <c r="S311" s="5">
        <f>IFERROR(__xludf.DUMMYFUNCTION("""COMPUTED_VALUE"""),126.0)</f>
        <v>126</v>
      </c>
      <c r="T311" s="5" t="str">
        <f>IFERROR(__xludf.DUMMYFUNCTION("""COMPUTED_VALUE"""),"M - Eine Stadt sucht einen Mörder")</f>
        <v>M - Eine Stadt sucht einen Mörder</v>
      </c>
      <c r="U311" s="5" t="str">
        <f>IFERROR(__xludf.DUMMYFUNCTION("""COMPUTED_VALUE"""),"Mystery")</f>
        <v>Mystery</v>
      </c>
      <c r="V311" s="5">
        <f>IFERROR(__xludf.DUMMYFUNCTION("""COMPUTED_VALUE"""),2.0)</f>
        <v>2</v>
      </c>
    </row>
    <row r="312">
      <c r="A312" s="1">
        <v>311.0</v>
      </c>
      <c r="B312" s="1" t="s">
        <v>2065</v>
      </c>
      <c r="C312" s="1" t="s">
        <v>1706</v>
      </c>
      <c r="D312" s="1"/>
      <c r="E312" s="1">
        <v>311.0</v>
      </c>
      <c r="F312" s="1" t="s">
        <v>2065</v>
      </c>
      <c r="G312" s="1" t="str">
        <f>IFERROR(__xludf.DUMMYFUNCTION("SPLIT(C312, "", "")"),"Drama")</f>
        <v>Drama</v>
      </c>
      <c r="H312" s="5" t="str">
        <f>IFERROR(__xludf.DUMMYFUNCTION("""COMPUTED_VALUE"""),"Music")</f>
        <v>Music</v>
      </c>
      <c r="I312" s="5" t="str">
        <f>IFERROR(__xludf.DUMMYFUNCTION("""COMPUTED_VALUE"""),"Romance")</f>
        <v>Romance</v>
      </c>
      <c r="J312" s="5" t="str">
        <f>IFERROR(__xludf.DUMMYFUNCTION("""COMPUTED_VALUE"""),"104🤙🏼Reservoir Dogs🤙🏼Drama🤙🏼2")</f>
        <v>104🤙🏼Reservoir Dogs🤙🏼Drama🤙🏼2</v>
      </c>
      <c r="K312" s="5">
        <f>IFERROR(__xludf.DUMMYFUNCTION("SPLiT(J312, ""🤙🏼"",FALSE,FALSE)"),104.0)</f>
        <v>104</v>
      </c>
      <c r="L312" s="5" t="str">
        <f>IFERROR(__xludf.DUMMYFUNCTION("""COMPUTED_VALUE"""),"Reservoir Dogs")</f>
        <v>Reservoir Dogs</v>
      </c>
      <c r="M312" s="5" t="str">
        <f>IFERROR(__xludf.DUMMYFUNCTION("""COMPUTED_VALUE"""),"Drama")</f>
        <v>Drama</v>
      </c>
      <c r="N312" s="5">
        <f>IFERROR(__xludf.DUMMYFUNCTION("""COMPUTED_VALUE"""),2.0)</f>
        <v>2</v>
      </c>
      <c r="S312" s="5">
        <f>IFERROR(__xludf.DUMMYFUNCTION("""COMPUTED_VALUE"""),126.0)</f>
        <v>126</v>
      </c>
      <c r="T312" s="5" t="str">
        <f>IFERROR(__xludf.DUMMYFUNCTION("""COMPUTED_VALUE"""),"M - Eine Stadt sucht einen Mörder")</f>
        <v>M - Eine Stadt sucht einen Mörder</v>
      </c>
      <c r="U312" s="5" t="str">
        <f>IFERROR(__xludf.DUMMYFUNCTION("""COMPUTED_VALUE"""),"Thriller")</f>
        <v>Thriller</v>
      </c>
      <c r="V312" s="5">
        <f>IFERROR(__xludf.DUMMYFUNCTION("""COMPUTED_VALUE"""),3.0)</f>
        <v>3</v>
      </c>
    </row>
    <row r="313">
      <c r="A313" s="1">
        <v>312.0</v>
      </c>
      <c r="B313" s="1" t="s">
        <v>2073</v>
      </c>
      <c r="C313" s="1" t="s">
        <v>227</v>
      </c>
      <c r="D313" s="1"/>
      <c r="E313" s="1">
        <v>312.0</v>
      </c>
      <c r="F313" s="1" t="s">
        <v>2073</v>
      </c>
      <c r="G313" s="1" t="str">
        <f>IFERROR(__xludf.DUMMYFUNCTION("SPLIT(C313, "", "")"),"Comedy")</f>
        <v>Comedy</v>
      </c>
      <c r="H313" s="5" t="str">
        <f>IFERROR(__xludf.DUMMYFUNCTION("""COMPUTED_VALUE"""),"Drama")</f>
        <v>Drama</v>
      </c>
      <c r="I313" s="5" t="str">
        <f>IFERROR(__xludf.DUMMYFUNCTION("""COMPUTED_VALUE"""),"Romance")</f>
        <v>Romance</v>
      </c>
      <c r="J313" s="5" t="str">
        <f>IFERROR(__xludf.DUMMYFUNCTION("""COMPUTED_VALUE"""),"104🤙🏼Reservoir Dogs🤙🏼Thriller🤙🏼3")</f>
        <v>104🤙🏼Reservoir Dogs🤙🏼Thriller🤙🏼3</v>
      </c>
      <c r="K313" s="5">
        <f>IFERROR(__xludf.DUMMYFUNCTION("SPLiT(J313, ""🤙🏼"",FALSE,FALSE)"),104.0)</f>
        <v>104</v>
      </c>
      <c r="L313" s="5" t="str">
        <f>IFERROR(__xludf.DUMMYFUNCTION("""COMPUTED_VALUE"""),"Reservoir Dogs")</f>
        <v>Reservoir Dogs</v>
      </c>
      <c r="M313" s="5" t="str">
        <f>IFERROR(__xludf.DUMMYFUNCTION("""COMPUTED_VALUE"""),"Thriller")</f>
        <v>Thriller</v>
      </c>
      <c r="N313" s="5">
        <f>IFERROR(__xludf.DUMMYFUNCTION("""COMPUTED_VALUE"""),3.0)</f>
        <v>3</v>
      </c>
      <c r="S313" s="5">
        <f>IFERROR(__xludf.DUMMYFUNCTION("""COMPUTED_VALUE"""),127.0)</f>
        <v>127</v>
      </c>
      <c r="T313" s="5" t="str">
        <f>IFERROR(__xludf.DUMMYFUNCTION("""COMPUTED_VALUE"""),"Metropolis")</f>
        <v>Metropolis</v>
      </c>
      <c r="U313" s="5" t="str">
        <f>IFERROR(__xludf.DUMMYFUNCTION("""COMPUTED_VALUE"""),"Drama")</f>
        <v>Drama</v>
      </c>
      <c r="V313" s="5">
        <f>IFERROR(__xludf.DUMMYFUNCTION("""COMPUTED_VALUE"""),1.0)</f>
        <v>1</v>
      </c>
    </row>
    <row r="314">
      <c r="A314" s="1">
        <v>313.0</v>
      </c>
      <c r="B314" s="1" t="s">
        <v>2079</v>
      </c>
      <c r="C314" s="1" t="s">
        <v>1051</v>
      </c>
      <c r="D314" s="1"/>
      <c r="E314" s="1">
        <v>313.0</v>
      </c>
      <c r="F314" s="1" t="s">
        <v>2079</v>
      </c>
      <c r="G314" s="1" t="str">
        <f>IFERROR(__xludf.DUMMYFUNCTION("SPLIT(C314, "", "")"),"Drama")</f>
        <v>Drama</v>
      </c>
      <c r="H314" s="5" t="str">
        <f>IFERROR(__xludf.DUMMYFUNCTION("""COMPUTED_VALUE"""),"Mystery")</f>
        <v>Mystery</v>
      </c>
      <c r="I314" s="5" t="str">
        <f>IFERROR(__xludf.DUMMYFUNCTION("""COMPUTED_VALUE"""),"Romance")</f>
        <v>Romance</v>
      </c>
      <c r="J314" s="5" t="str">
        <f>IFERROR(__xludf.DUMMYFUNCTION("""COMPUTED_VALUE"""),"105🤙🏼Full Metal Jacket🤙🏼Drama🤙🏼1")</f>
        <v>105🤙🏼Full Metal Jacket🤙🏼Drama🤙🏼1</v>
      </c>
      <c r="K314" s="5">
        <f>IFERROR(__xludf.DUMMYFUNCTION("SPLiT(J314, ""🤙🏼"",FALSE,FALSE)"),105.0)</f>
        <v>105</v>
      </c>
      <c r="L314" s="5" t="str">
        <f>IFERROR(__xludf.DUMMYFUNCTION("""COMPUTED_VALUE"""),"Full Metal Jacket")</f>
        <v>Full Metal Jacket</v>
      </c>
      <c r="M314" s="5" t="str">
        <f>IFERROR(__xludf.DUMMYFUNCTION("""COMPUTED_VALUE"""),"Drama")</f>
        <v>Drama</v>
      </c>
      <c r="N314" s="5">
        <f>IFERROR(__xludf.DUMMYFUNCTION("""COMPUTED_VALUE"""),1.0)</f>
        <v>1</v>
      </c>
      <c r="S314" s="5">
        <f>IFERROR(__xludf.DUMMYFUNCTION("""COMPUTED_VALUE"""),127.0)</f>
        <v>127</v>
      </c>
      <c r="T314" s="5" t="str">
        <f>IFERROR(__xludf.DUMMYFUNCTION("""COMPUTED_VALUE"""),"Metropolis")</f>
        <v>Metropolis</v>
      </c>
      <c r="U314" s="5" t="str">
        <f>IFERROR(__xludf.DUMMYFUNCTION("""COMPUTED_VALUE"""),"Sci-Fi")</f>
        <v>Sci-Fi</v>
      </c>
      <c r="V314" s="5">
        <f>IFERROR(__xludf.DUMMYFUNCTION("""COMPUTED_VALUE"""),2.0)</f>
        <v>2</v>
      </c>
    </row>
    <row r="315">
      <c r="A315" s="1">
        <v>314.0</v>
      </c>
      <c r="B315" s="1" t="s">
        <v>2084</v>
      </c>
      <c r="C315" s="1" t="s">
        <v>507</v>
      </c>
      <c r="D315" s="1"/>
      <c r="E315" s="1">
        <v>314.0</v>
      </c>
      <c r="F315" s="1" t="s">
        <v>2084</v>
      </c>
      <c r="G315" s="1" t="str">
        <f>IFERROR(__xludf.DUMMYFUNCTION("SPLIT(C315, "", "")"),"Comedy")</f>
        <v>Comedy</v>
      </c>
      <c r="H315" s="5" t="str">
        <f>IFERROR(__xludf.DUMMYFUNCTION("""COMPUTED_VALUE"""),"Drama")</f>
        <v>Drama</v>
      </c>
      <c r="J315" s="5" t="str">
        <f>IFERROR(__xludf.DUMMYFUNCTION("""COMPUTED_VALUE"""),"105🤙🏼Full Metal Jacket🤙🏼War🤙🏼2")</f>
        <v>105🤙🏼Full Metal Jacket🤙🏼War🤙🏼2</v>
      </c>
      <c r="K315" s="5">
        <f>IFERROR(__xludf.DUMMYFUNCTION("SPLiT(J315, ""🤙🏼"",FALSE,FALSE)"),105.0)</f>
        <v>105</v>
      </c>
      <c r="L315" s="5" t="str">
        <f>IFERROR(__xludf.DUMMYFUNCTION("""COMPUTED_VALUE"""),"Full Metal Jacket")</f>
        <v>Full Metal Jacket</v>
      </c>
      <c r="M315" s="5" t="str">
        <f>IFERROR(__xludf.DUMMYFUNCTION("""COMPUTED_VALUE"""),"War")</f>
        <v>War</v>
      </c>
      <c r="N315" s="5">
        <f>IFERROR(__xludf.DUMMYFUNCTION("""COMPUTED_VALUE"""),2.0)</f>
        <v>2</v>
      </c>
      <c r="S315" s="5">
        <f>IFERROR(__xludf.DUMMYFUNCTION("""COMPUTED_VALUE"""),128.0)</f>
        <v>128</v>
      </c>
      <c r="T315" s="5" t="str">
        <f>IFERROR(__xludf.DUMMYFUNCTION("""COMPUTED_VALUE"""),"The Kid")</f>
        <v>The Kid</v>
      </c>
      <c r="U315" s="5" t="str">
        <f>IFERROR(__xludf.DUMMYFUNCTION("""COMPUTED_VALUE"""),"Comedy")</f>
        <v>Comedy</v>
      </c>
      <c r="V315" s="5">
        <f>IFERROR(__xludf.DUMMYFUNCTION("""COMPUTED_VALUE"""),1.0)</f>
        <v>1</v>
      </c>
    </row>
    <row r="316">
      <c r="A316" s="1">
        <v>315.0</v>
      </c>
      <c r="B316" s="1" t="s">
        <v>2088</v>
      </c>
      <c r="C316" s="1" t="s">
        <v>1802</v>
      </c>
      <c r="D316" s="1"/>
      <c r="E316" s="1">
        <v>315.0</v>
      </c>
      <c r="F316" s="1" t="s">
        <v>2088</v>
      </c>
      <c r="G316" s="1" t="str">
        <f>IFERROR(__xludf.DUMMYFUNCTION("SPLIT(C316, "", "")"),"Drama")</f>
        <v>Drama</v>
      </c>
      <c r="H316" s="5" t="str">
        <f>IFERROR(__xludf.DUMMYFUNCTION("""COMPUTED_VALUE"""),"History")</f>
        <v>History</v>
      </c>
      <c r="I316" s="5" t="str">
        <f>IFERROR(__xludf.DUMMYFUNCTION("""COMPUTED_VALUE"""),"Romance")</f>
        <v>Romance</v>
      </c>
      <c r="J316" s="5" t="str">
        <f>IFERROR(__xludf.DUMMYFUNCTION("""COMPUTED_VALUE"""),"105🤙🏼Full Metal Jacket🤙🏼🤙🏼3")</f>
        <v>105🤙🏼Full Metal Jacket🤙🏼🤙🏼3</v>
      </c>
      <c r="K316" s="5">
        <f>IFERROR(__xludf.DUMMYFUNCTION("SPLiT(J316, ""🤙🏼"",FALSE,FALSE)"),105.0)</f>
        <v>105</v>
      </c>
      <c r="L316" s="5" t="str">
        <f>IFERROR(__xludf.DUMMYFUNCTION("""COMPUTED_VALUE"""),"Full Metal Jacket")</f>
        <v>Full Metal Jacket</v>
      </c>
      <c r="M316" s="5"/>
      <c r="N316" s="5">
        <f>IFERROR(__xludf.DUMMYFUNCTION("""COMPUTED_VALUE"""),3.0)</f>
        <v>3</v>
      </c>
      <c r="S316" s="5">
        <f>IFERROR(__xludf.DUMMYFUNCTION("""COMPUTED_VALUE"""),128.0)</f>
        <v>128</v>
      </c>
      <c r="T316" s="5" t="str">
        <f>IFERROR(__xludf.DUMMYFUNCTION("""COMPUTED_VALUE"""),"The Kid")</f>
        <v>The Kid</v>
      </c>
      <c r="U316" s="5" t="str">
        <f>IFERROR(__xludf.DUMMYFUNCTION("""COMPUTED_VALUE"""),"Drama")</f>
        <v>Drama</v>
      </c>
      <c r="V316" s="5">
        <f>IFERROR(__xludf.DUMMYFUNCTION("""COMPUTED_VALUE"""),2.0)</f>
        <v>2</v>
      </c>
    </row>
    <row r="317">
      <c r="A317" s="1">
        <v>316.0</v>
      </c>
      <c r="B317" s="1" t="s">
        <v>2096</v>
      </c>
      <c r="C317" s="1" t="s">
        <v>213</v>
      </c>
      <c r="D317" s="1"/>
      <c r="E317" s="1">
        <v>316.0</v>
      </c>
      <c r="F317" s="1" t="s">
        <v>2096</v>
      </c>
      <c r="G317" s="1" t="str">
        <f>IFERROR(__xludf.DUMMYFUNCTION("SPLIT(C317, "", "")"),"Drama")</f>
        <v>Drama</v>
      </c>
      <c r="H317" s="5" t="str">
        <f>IFERROR(__xludf.DUMMYFUNCTION("""COMPUTED_VALUE"""),"War")</f>
        <v>War</v>
      </c>
      <c r="J317" s="5" t="str">
        <f>IFERROR(__xludf.DUMMYFUNCTION("""COMPUTED_VALUE"""),"106🤙🏼Idi i smotri🤙🏼Drama🤙🏼1")</f>
        <v>106🤙🏼Idi i smotri🤙🏼Drama🤙🏼1</v>
      </c>
      <c r="K317" s="5">
        <f>IFERROR(__xludf.DUMMYFUNCTION("SPLiT(J317, ""🤙🏼"",FALSE,FALSE)"),106.0)</f>
        <v>106</v>
      </c>
      <c r="L317" s="5" t="str">
        <f>IFERROR(__xludf.DUMMYFUNCTION("""COMPUTED_VALUE"""),"Idi i smotri")</f>
        <v>Idi i smotri</v>
      </c>
      <c r="M317" s="5" t="str">
        <f>IFERROR(__xludf.DUMMYFUNCTION("""COMPUTED_VALUE"""),"Drama")</f>
        <v>Drama</v>
      </c>
      <c r="N317" s="5">
        <f>IFERROR(__xludf.DUMMYFUNCTION("""COMPUTED_VALUE"""),1.0)</f>
        <v>1</v>
      </c>
      <c r="S317" s="5">
        <f>IFERROR(__xludf.DUMMYFUNCTION("""COMPUTED_VALUE"""),128.0)</f>
        <v>128</v>
      </c>
      <c r="T317" s="5" t="str">
        <f>IFERROR(__xludf.DUMMYFUNCTION("""COMPUTED_VALUE"""),"The Kid")</f>
        <v>The Kid</v>
      </c>
      <c r="U317" s="5" t="str">
        <f>IFERROR(__xludf.DUMMYFUNCTION("""COMPUTED_VALUE"""),"Family")</f>
        <v>Family</v>
      </c>
      <c r="V317" s="5">
        <f>IFERROR(__xludf.DUMMYFUNCTION("""COMPUTED_VALUE"""),3.0)</f>
        <v>3</v>
      </c>
    </row>
    <row r="318">
      <c r="A318" s="1">
        <v>317.0</v>
      </c>
      <c r="B318" s="1" t="s">
        <v>2103</v>
      </c>
      <c r="C318" s="1" t="s">
        <v>723</v>
      </c>
      <c r="D318" s="1"/>
      <c r="E318" s="1">
        <v>317.0</v>
      </c>
      <c r="F318" s="1" t="s">
        <v>2103</v>
      </c>
      <c r="G318" s="1" t="str">
        <f>IFERROR(__xludf.DUMMYFUNCTION("SPLIT(C318, "", "")"),"Comedy")</f>
        <v>Comedy</v>
      </c>
      <c r="H318" s="5" t="str">
        <f>IFERROR(__xludf.DUMMYFUNCTION("""COMPUTED_VALUE"""),"Romance")</f>
        <v>Romance</v>
      </c>
      <c r="J318" s="5" t="str">
        <f>IFERROR(__xludf.DUMMYFUNCTION("""COMPUTED_VALUE"""),"106🤙🏼Idi i smotri🤙🏼Thriller🤙🏼2")</f>
        <v>106🤙🏼Idi i smotri🤙🏼Thriller🤙🏼2</v>
      </c>
      <c r="K318" s="5">
        <f>IFERROR(__xludf.DUMMYFUNCTION("SPLiT(J318, ""🤙🏼"",FALSE,FALSE)"),106.0)</f>
        <v>106</v>
      </c>
      <c r="L318" s="5" t="str">
        <f>IFERROR(__xludf.DUMMYFUNCTION("""COMPUTED_VALUE"""),"Idi i smotri")</f>
        <v>Idi i smotri</v>
      </c>
      <c r="M318" s="5" t="str">
        <f>IFERROR(__xludf.DUMMYFUNCTION("""COMPUTED_VALUE"""),"Thriller")</f>
        <v>Thriller</v>
      </c>
      <c r="N318" s="5">
        <f>IFERROR(__xludf.DUMMYFUNCTION("""COMPUTED_VALUE"""),2.0)</f>
        <v>2</v>
      </c>
      <c r="S318" s="5">
        <f>IFERROR(__xludf.DUMMYFUNCTION("""COMPUTED_VALUE"""),129.0)</f>
        <v>129</v>
      </c>
      <c r="T318" s="5" t="str">
        <f>IFERROR(__xludf.DUMMYFUNCTION("""COMPUTED_VALUE"""),"Chhichhore")</f>
        <v>Chhichhore</v>
      </c>
      <c r="U318" s="5" t="str">
        <f>IFERROR(__xludf.DUMMYFUNCTION("""COMPUTED_VALUE"""),"Comedy")</f>
        <v>Comedy</v>
      </c>
      <c r="V318" s="5">
        <f>IFERROR(__xludf.DUMMYFUNCTION("""COMPUTED_VALUE"""),1.0)</f>
        <v>1</v>
      </c>
    </row>
    <row r="319">
      <c r="A319" s="1">
        <v>318.0</v>
      </c>
      <c r="B319" s="1" t="s">
        <v>2108</v>
      </c>
      <c r="C319" s="1" t="s">
        <v>79</v>
      </c>
      <c r="D319" s="1"/>
      <c r="E319" s="1">
        <v>318.0</v>
      </c>
      <c r="F319" s="1" t="s">
        <v>2108</v>
      </c>
      <c r="G319" s="1" t="str">
        <f>IFERROR(__xludf.DUMMYFUNCTION("SPLIT(C319, "", "")"),"Biography")</f>
        <v>Biography</v>
      </c>
      <c r="H319" s="5" t="str">
        <f>IFERROR(__xludf.DUMMYFUNCTION("""COMPUTED_VALUE"""),"Drama")</f>
        <v>Drama</v>
      </c>
      <c r="I319" s="5" t="str">
        <f>IFERROR(__xludf.DUMMYFUNCTION("""COMPUTED_VALUE"""),"History")</f>
        <v>History</v>
      </c>
      <c r="J319" s="5" t="str">
        <f>IFERROR(__xludf.DUMMYFUNCTION("""COMPUTED_VALUE"""),"106🤙🏼Idi i smotri🤙🏼War🤙🏼3")</f>
        <v>106🤙🏼Idi i smotri🤙🏼War🤙🏼3</v>
      </c>
      <c r="K319" s="5">
        <f>IFERROR(__xludf.DUMMYFUNCTION("SPLiT(J319, ""🤙🏼"",FALSE,FALSE)"),106.0)</f>
        <v>106</v>
      </c>
      <c r="L319" s="5" t="str">
        <f>IFERROR(__xludf.DUMMYFUNCTION("""COMPUTED_VALUE"""),"Idi i smotri")</f>
        <v>Idi i smotri</v>
      </c>
      <c r="M319" s="5" t="str">
        <f>IFERROR(__xludf.DUMMYFUNCTION("""COMPUTED_VALUE"""),"War")</f>
        <v>War</v>
      </c>
      <c r="N319" s="5">
        <f>IFERROR(__xludf.DUMMYFUNCTION("""COMPUTED_VALUE"""),3.0)</f>
        <v>3</v>
      </c>
      <c r="S319" s="5">
        <f>IFERROR(__xludf.DUMMYFUNCTION("""COMPUTED_VALUE"""),129.0)</f>
        <v>129</v>
      </c>
      <c r="T319" s="5" t="str">
        <f>IFERROR(__xludf.DUMMYFUNCTION("""COMPUTED_VALUE"""),"Chhichhore")</f>
        <v>Chhichhore</v>
      </c>
      <c r="U319" s="5" t="str">
        <f>IFERROR(__xludf.DUMMYFUNCTION("""COMPUTED_VALUE"""),"Drama")</f>
        <v>Drama</v>
      </c>
      <c r="V319" s="5">
        <f>IFERROR(__xludf.DUMMYFUNCTION("""COMPUTED_VALUE"""),2.0)</f>
        <v>2</v>
      </c>
    </row>
    <row r="320">
      <c r="A320" s="1">
        <v>319.0</v>
      </c>
      <c r="B320" s="1" t="s">
        <v>2115</v>
      </c>
      <c r="C320" s="1" t="s">
        <v>723</v>
      </c>
      <c r="D320" s="1"/>
      <c r="E320" s="1">
        <v>319.0</v>
      </c>
      <c r="F320" s="1" t="s">
        <v>2115</v>
      </c>
      <c r="G320" s="1" t="str">
        <f>IFERROR(__xludf.DUMMYFUNCTION("SPLIT(C320, "", "")"),"Comedy")</f>
        <v>Comedy</v>
      </c>
      <c r="H320" s="5" t="str">
        <f>IFERROR(__xludf.DUMMYFUNCTION("""COMPUTED_VALUE"""),"Romance")</f>
        <v>Romance</v>
      </c>
      <c r="J320" s="5" t="str">
        <f>IFERROR(__xludf.DUMMYFUNCTION("""COMPUTED_VALUE"""),"107🤙🏼Aliens🤙🏼Action🤙🏼1")</f>
        <v>107🤙🏼Aliens🤙🏼Action🤙🏼1</v>
      </c>
      <c r="K320" s="5">
        <f>IFERROR(__xludf.DUMMYFUNCTION("SPLiT(J320, ""🤙🏼"",FALSE,FALSE)"),107.0)</f>
        <v>107</v>
      </c>
      <c r="L320" s="5" t="str">
        <f>IFERROR(__xludf.DUMMYFUNCTION("""COMPUTED_VALUE"""),"Aliens")</f>
        <v>Aliens</v>
      </c>
      <c r="M320" s="5" t="str">
        <f>IFERROR(__xludf.DUMMYFUNCTION("""COMPUTED_VALUE"""),"Action")</f>
        <v>Action</v>
      </c>
      <c r="N320" s="5">
        <f>IFERROR(__xludf.DUMMYFUNCTION("""COMPUTED_VALUE"""),1.0)</f>
        <v>1</v>
      </c>
      <c r="S320" s="5">
        <f>IFERROR(__xludf.DUMMYFUNCTION("""COMPUTED_VALUE"""),130.0)</f>
        <v>130</v>
      </c>
      <c r="T320" s="5" t="str">
        <f>IFERROR(__xludf.DUMMYFUNCTION("""COMPUTED_VALUE"""),"Uri: The Surgical Strike")</f>
        <v>Uri: The Surgical Strike</v>
      </c>
      <c r="U320" s="5" t="str">
        <f>IFERROR(__xludf.DUMMYFUNCTION("""COMPUTED_VALUE"""),"Action")</f>
        <v>Action</v>
      </c>
      <c r="V320" s="5">
        <f>IFERROR(__xludf.DUMMYFUNCTION("""COMPUTED_VALUE"""),1.0)</f>
        <v>1</v>
      </c>
    </row>
    <row r="321">
      <c r="A321" s="1">
        <v>320.0</v>
      </c>
      <c r="B321" s="1" t="s">
        <v>2122</v>
      </c>
      <c r="C321" s="1" t="s">
        <v>107</v>
      </c>
      <c r="D321" s="1"/>
      <c r="E321" s="1">
        <v>320.0</v>
      </c>
      <c r="F321" s="1" t="s">
        <v>2122</v>
      </c>
      <c r="G321" s="1" t="str">
        <f>IFERROR(__xludf.DUMMYFUNCTION("SPLIT(C321, "", "")"),"Drama")</f>
        <v>Drama</v>
      </c>
      <c r="H321" s="5" t="str">
        <f>IFERROR(__xludf.DUMMYFUNCTION("""COMPUTED_VALUE"""),"Romance")</f>
        <v>Romance</v>
      </c>
      <c r="J321" s="5" t="str">
        <f>IFERROR(__xludf.DUMMYFUNCTION("""COMPUTED_VALUE"""),"107🤙🏼Aliens🤙🏼Adventure🤙🏼2")</f>
        <v>107🤙🏼Aliens🤙🏼Adventure🤙🏼2</v>
      </c>
      <c r="K321" s="5">
        <f>IFERROR(__xludf.DUMMYFUNCTION("SPLiT(J321, ""🤙🏼"",FALSE,FALSE)"),107.0)</f>
        <v>107</v>
      </c>
      <c r="L321" s="5" t="str">
        <f>IFERROR(__xludf.DUMMYFUNCTION("""COMPUTED_VALUE"""),"Aliens")</f>
        <v>Aliens</v>
      </c>
      <c r="M321" s="5" t="str">
        <f>IFERROR(__xludf.DUMMYFUNCTION("""COMPUTED_VALUE"""),"Adventure")</f>
        <v>Adventure</v>
      </c>
      <c r="N321" s="5">
        <f>IFERROR(__xludf.DUMMYFUNCTION("""COMPUTED_VALUE"""),2.0)</f>
        <v>2</v>
      </c>
      <c r="S321" s="5">
        <f>IFERROR(__xludf.DUMMYFUNCTION("""COMPUTED_VALUE"""),130.0)</f>
        <v>130</v>
      </c>
      <c r="T321" s="5" t="str">
        <f>IFERROR(__xludf.DUMMYFUNCTION("""COMPUTED_VALUE"""),"Uri: The Surgical Strike")</f>
        <v>Uri: The Surgical Strike</v>
      </c>
      <c r="U321" s="5" t="str">
        <f>IFERROR(__xludf.DUMMYFUNCTION("""COMPUTED_VALUE"""),"Drama")</f>
        <v>Drama</v>
      </c>
      <c r="V321" s="5">
        <f>IFERROR(__xludf.DUMMYFUNCTION("""COMPUTED_VALUE"""),2.0)</f>
        <v>2</v>
      </c>
    </row>
    <row r="322">
      <c r="A322" s="1">
        <v>321.0</v>
      </c>
      <c r="B322" s="1" t="s">
        <v>2130</v>
      </c>
      <c r="C322" s="1" t="s">
        <v>1252</v>
      </c>
      <c r="D322" s="1"/>
      <c r="E322" s="1">
        <v>321.0</v>
      </c>
      <c r="F322" s="1" t="s">
        <v>2130</v>
      </c>
      <c r="G322" s="1" t="str">
        <f>IFERROR(__xludf.DUMMYFUNCTION("SPLIT(C322, "", "")"),"Action")</f>
        <v>Action</v>
      </c>
      <c r="H322" s="5" t="str">
        <f>IFERROR(__xludf.DUMMYFUNCTION("""COMPUTED_VALUE"""),"Adventure")</f>
        <v>Adventure</v>
      </c>
      <c r="I322" s="5" t="str">
        <f>IFERROR(__xludf.DUMMYFUNCTION("""COMPUTED_VALUE"""),"Comedy")</f>
        <v>Comedy</v>
      </c>
      <c r="J322" s="5" t="str">
        <f>IFERROR(__xludf.DUMMYFUNCTION("""COMPUTED_VALUE"""),"107🤙🏼Aliens🤙🏼Sci-Fi🤙🏼3")</f>
        <v>107🤙🏼Aliens🤙🏼Sci-Fi🤙🏼3</v>
      </c>
      <c r="K322" s="5">
        <f>IFERROR(__xludf.DUMMYFUNCTION("SPLiT(J322, ""🤙🏼"",FALSE,FALSE)"),107.0)</f>
        <v>107</v>
      </c>
      <c r="L322" s="5" t="str">
        <f>IFERROR(__xludf.DUMMYFUNCTION("""COMPUTED_VALUE"""),"Aliens")</f>
        <v>Aliens</v>
      </c>
      <c r="M322" s="5" t="str">
        <f>IFERROR(__xludf.DUMMYFUNCTION("""COMPUTED_VALUE"""),"Sci-Fi")</f>
        <v>Sci-Fi</v>
      </c>
      <c r="N322" s="5">
        <f>IFERROR(__xludf.DUMMYFUNCTION("""COMPUTED_VALUE"""),3.0)</f>
        <v>3</v>
      </c>
      <c r="S322" s="5">
        <f>IFERROR(__xludf.DUMMYFUNCTION("""COMPUTED_VALUE"""),130.0)</f>
        <v>130</v>
      </c>
      <c r="T322" s="5" t="str">
        <f>IFERROR(__xludf.DUMMYFUNCTION("""COMPUTED_VALUE"""),"Uri: The Surgical Strike")</f>
        <v>Uri: The Surgical Strike</v>
      </c>
      <c r="U322" s="5" t="str">
        <f>IFERROR(__xludf.DUMMYFUNCTION("""COMPUTED_VALUE"""),"War")</f>
        <v>War</v>
      </c>
      <c r="V322" s="5">
        <f>IFERROR(__xludf.DUMMYFUNCTION("""COMPUTED_VALUE"""),3.0)</f>
        <v>3</v>
      </c>
    </row>
    <row r="323">
      <c r="A323" s="1">
        <v>322.0</v>
      </c>
      <c r="B323" s="1" t="s">
        <v>2136</v>
      </c>
      <c r="C323" s="1" t="s">
        <v>2138</v>
      </c>
      <c r="D323" s="1"/>
      <c r="E323" s="1">
        <v>322.0</v>
      </c>
      <c r="F323" s="1" t="s">
        <v>2136</v>
      </c>
      <c r="G323" s="1" t="str">
        <f>IFERROR(__xludf.DUMMYFUNCTION("SPLIT(C323, "", "")"),"Fantasy")</f>
        <v>Fantasy</v>
      </c>
      <c r="H323" s="5" t="str">
        <f>IFERROR(__xludf.DUMMYFUNCTION("""COMPUTED_VALUE"""),"Horror")</f>
        <v>Horror</v>
      </c>
      <c r="I323" s="5" t="str">
        <f>IFERROR(__xludf.DUMMYFUNCTION("""COMPUTED_VALUE"""),"Mystery")</f>
        <v>Mystery</v>
      </c>
      <c r="J323" s="5" t="str">
        <f>IFERROR(__xludf.DUMMYFUNCTION("""COMPUTED_VALUE"""),"108🤙🏼Amadeus🤙🏼Biography🤙🏼1")</f>
        <v>108🤙🏼Amadeus🤙🏼Biography🤙🏼1</v>
      </c>
      <c r="K323" s="5">
        <f>IFERROR(__xludf.DUMMYFUNCTION("SPLiT(J323, ""🤙🏼"",FALSE,FALSE)"),108.0)</f>
        <v>108</v>
      </c>
      <c r="L323" s="5" t="str">
        <f>IFERROR(__xludf.DUMMYFUNCTION("""COMPUTED_VALUE"""),"Amadeus")</f>
        <v>Amadeus</v>
      </c>
      <c r="M323" s="5" t="str">
        <f>IFERROR(__xludf.DUMMYFUNCTION("""COMPUTED_VALUE"""),"Biography")</f>
        <v>Biography</v>
      </c>
      <c r="N323" s="5">
        <f>IFERROR(__xludf.DUMMYFUNCTION("""COMPUTED_VALUE"""),1.0)</f>
        <v>1</v>
      </c>
      <c r="S323" s="5">
        <f>IFERROR(__xludf.DUMMYFUNCTION("""COMPUTED_VALUE"""),131.0)</f>
        <v>131</v>
      </c>
      <c r="T323" s="5" t="str">
        <f>IFERROR(__xludf.DUMMYFUNCTION("""COMPUTED_VALUE"""),"K.G.F: Chapter 1")</f>
        <v>K.G.F: Chapter 1</v>
      </c>
      <c r="U323" s="5" t="str">
        <f>IFERROR(__xludf.DUMMYFUNCTION("""COMPUTED_VALUE"""),"Action")</f>
        <v>Action</v>
      </c>
      <c r="V323" s="5">
        <f>IFERROR(__xludf.DUMMYFUNCTION("""COMPUTED_VALUE"""),1.0)</f>
        <v>1</v>
      </c>
    </row>
    <row r="324">
      <c r="A324" s="1">
        <v>323.0</v>
      </c>
      <c r="B324" s="1" t="s">
        <v>2145</v>
      </c>
      <c r="C324" s="1" t="s">
        <v>507</v>
      </c>
      <c r="D324" s="1"/>
      <c r="E324" s="1">
        <v>323.0</v>
      </c>
      <c r="F324" s="1" t="s">
        <v>2145</v>
      </c>
      <c r="G324" s="1" t="str">
        <f>IFERROR(__xludf.DUMMYFUNCTION("SPLIT(C324, "", "")"),"Comedy")</f>
        <v>Comedy</v>
      </c>
      <c r="H324" s="5" t="str">
        <f>IFERROR(__xludf.DUMMYFUNCTION("""COMPUTED_VALUE"""),"Drama")</f>
        <v>Drama</v>
      </c>
      <c r="J324" s="5" t="str">
        <f>IFERROR(__xludf.DUMMYFUNCTION("""COMPUTED_VALUE"""),"108🤙🏼Amadeus🤙🏼Drama🤙🏼2")</f>
        <v>108🤙🏼Amadeus🤙🏼Drama🤙🏼2</v>
      </c>
      <c r="K324" s="5">
        <f>IFERROR(__xludf.DUMMYFUNCTION("SPLiT(J324, ""🤙🏼"",FALSE,FALSE)"),108.0)</f>
        <v>108</v>
      </c>
      <c r="L324" s="5" t="str">
        <f>IFERROR(__xludf.DUMMYFUNCTION("""COMPUTED_VALUE"""),"Amadeus")</f>
        <v>Amadeus</v>
      </c>
      <c r="M324" s="5" t="str">
        <f>IFERROR(__xludf.DUMMYFUNCTION("""COMPUTED_VALUE"""),"Drama")</f>
        <v>Drama</v>
      </c>
      <c r="N324" s="5">
        <f>IFERROR(__xludf.DUMMYFUNCTION("""COMPUTED_VALUE"""),2.0)</f>
        <v>2</v>
      </c>
      <c r="S324" s="5">
        <f>IFERROR(__xludf.DUMMYFUNCTION("""COMPUTED_VALUE"""),131.0)</f>
        <v>131</v>
      </c>
      <c r="T324" s="5" t="str">
        <f>IFERROR(__xludf.DUMMYFUNCTION("""COMPUTED_VALUE"""),"K.G.F: Chapter 1")</f>
        <v>K.G.F: Chapter 1</v>
      </c>
      <c r="U324" s="5" t="str">
        <f>IFERROR(__xludf.DUMMYFUNCTION("""COMPUTED_VALUE"""),"Drama")</f>
        <v>Drama</v>
      </c>
      <c r="V324" s="5">
        <f>IFERROR(__xludf.DUMMYFUNCTION("""COMPUTED_VALUE"""),2.0)</f>
        <v>2</v>
      </c>
    </row>
    <row r="325">
      <c r="A325" s="1">
        <v>324.0</v>
      </c>
      <c r="B325" s="1" t="s">
        <v>2150</v>
      </c>
      <c r="C325" s="1" t="s">
        <v>858</v>
      </c>
      <c r="D325" s="1"/>
      <c r="E325" s="1">
        <v>324.0</v>
      </c>
      <c r="F325" s="1" t="s">
        <v>2150</v>
      </c>
      <c r="G325" s="1" t="str">
        <f>IFERROR(__xludf.DUMMYFUNCTION("SPLIT(C325, "", "")"),"Adventure")</f>
        <v>Adventure</v>
      </c>
      <c r="H325" s="5" t="str">
        <f>IFERROR(__xludf.DUMMYFUNCTION("""COMPUTED_VALUE"""),"Biography")</f>
        <v>Biography</v>
      </c>
      <c r="I325" s="5" t="str">
        <f>IFERROR(__xludf.DUMMYFUNCTION("""COMPUTED_VALUE"""),"Drama")</f>
        <v>Drama</v>
      </c>
      <c r="J325" s="5" t="str">
        <f>IFERROR(__xludf.DUMMYFUNCTION("""COMPUTED_VALUE"""),"108🤙🏼Amadeus🤙🏼History🤙🏼3")</f>
        <v>108🤙🏼Amadeus🤙🏼History🤙🏼3</v>
      </c>
      <c r="K325" s="5">
        <f>IFERROR(__xludf.DUMMYFUNCTION("SPLiT(J325, ""🤙🏼"",FALSE,FALSE)"),108.0)</f>
        <v>108</v>
      </c>
      <c r="L325" s="5" t="str">
        <f>IFERROR(__xludf.DUMMYFUNCTION("""COMPUTED_VALUE"""),"Amadeus")</f>
        <v>Amadeus</v>
      </c>
      <c r="M325" s="5" t="str">
        <f>IFERROR(__xludf.DUMMYFUNCTION("""COMPUTED_VALUE"""),"History")</f>
        <v>History</v>
      </c>
      <c r="N325" s="5">
        <f>IFERROR(__xludf.DUMMYFUNCTION("""COMPUTED_VALUE"""),3.0)</f>
        <v>3</v>
      </c>
      <c r="S325" s="5">
        <f>IFERROR(__xludf.DUMMYFUNCTION("""COMPUTED_VALUE"""),132.0)</f>
        <v>132</v>
      </c>
      <c r="T325" s="5" t="str">
        <f>IFERROR(__xludf.DUMMYFUNCTION("""COMPUTED_VALUE"""),"Green Book")</f>
        <v>Green Book</v>
      </c>
      <c r="U325" s="5" t="str">
        <f>IFERROR(__xludf.DUMMYFUNCTION("""COMPUTED_VALUE"""),"Biography")</f>
        <v>Biography</v>
      </c>
      <c r="V325" s="5">
        <f>IFERROR(__xludf.DUMMYFUNCTION("""COMPUTED_VALUE"""),1.0)</f>
        <v>1</v>
      </c>
    </row>
    <row r="326">
      <c r="A326" s="1">
        <v>325.0</v>
      </c>
      <c r="B326" s="1" t="s">
        <v>2156</v>
      </c>
      <c r="C326" s="1" t="s">
        <v>2028</v>
      </c>
      <c r="D326" s="1"/>
      <c r="E326" s="1">
        <v>325.0</v>
      </c>
      <c r="F326" s="1" t="s">
        <v>2156</v>
      </c>
      <c r="G326" s="1" t="str">
        <f>IFERROR(__xludf.DUMMYFUNCTION("SPLIT(C326, "", "")"),"Drama")</f>
        <v>Drama</v>
      </c>
      <c r="H326" s="5" t="str">
        <f>IFERROR(__xludf.DUMMYFUNCTION("""COMPUTED_VALUE"""),"History")</f>
        <v>History</v>
      </c>
      <c r="J326" s="5" t="str">
        <f>IFERROR(__xludf.DUMMYFUNCTION("""COMPUTED_VALUE"""),"109🤙🏼Scarface🤙🏼Crime🤙🏼1")</f>
        <v>109🤙🏼Scarface🤙🏼Crime🤙🏼1</v>
      </c>
      <c r="K326" s="5">
        <f>IFERROR(__xludf.DUMMYFUNCTION("SPLiT(J326, ""🤙🏼"",FALSE,FALSE)"),109.0)</f>
        <v>109</v>
      </c>
      <c r="L326" s="5" t="str">
        <f>IFERROR(__xludf.DUMMYFUNCTION("""COMPUTED_VALUE"""),"Scarface")</f>
        <v>Scarface</v>
      </c>
      <c r="M326" s="5" t="str">
        <f>IFERROR(__xludf.DUMMYFUNCTION("""COMPUTED_VALUE"""),"Crime")</f>
        <v>Crime</v>
      </c>
      <c r="N326" s="5">
        <f>IFERROR(__xludf.DUMMYFUNCTION("""COMPUTED_VALUE"""),1.0)</f>
        <v>1</v>
      </c>
      <c r="S326" s="5">
        <f>IFERROR(__xludf.DUMMYFUNCTION("""COMPUTED_VALUE"""),132.0)</f>
        <v>132</v>
      </c>
      <c r="T326" s="5" t="str">
        <f>IFERROR(__xludf.DUMMYFUNCTION("""COMPUTED_VALUE"""),"Green Book")</f>
        <v>Green Book</v>
      </c>
      <c r="U326" s="5" t="str">
        <f>IFERROR(__xludf.DUMMYFUNCTION("""COMPUTED_VALUE"""),"Comedy")</f>
        <v>Comedy</v>
      </c>
      <c r="V326" s="5">
        <f>IFERROR(__xludf.DUMMYFUNCTION("""COMPUTED_VALUE"""),2.0)</f>
        <v>2</v>
      </c>
    </row>
    <row r="327">
      <c r="A327" s="1">
        <v>326.0</v>
      </c>
      <c r="B327" s="1" t="s">
        <v>2162</v>
      </c>
      <c r="C327" s="1" t="s">
        <v>1252</v>
      </c>
      <c r="D327" s="1"/>
      <c r="E327" s="1">
        <v>326.0</v>
      </c>
      <c r="F327" s="1" t="s">
        <v>2162</v>
      </c>
      <c r="G327" s="1" t="str">
        <f>IFERROR(__xludf.DUMMYFUNCTION("SPLIT(C327, "", "")"),"Action")</f>
        <v>Action</v>
      </c>
      <c r="H327" s="5" t="str">
        <f>IFERROR(__xludf.DUMMYFUNCTION("""COMPUTED_VALUE"""),"Adventure")</f>
        <v>Adventure</v>
      </c>
      <c r="I327" s="5" t="str">
        <f>IFERROR(__xludf.DUMMYFUNCTION("""COMPUTED_VALUE"""),"Comedy")</f>
        <v>Comedy</v>
      </c>
      <c r="J327" s="5" t="str">
        <f>IFERROR(__xludf.DUMMYFUNCTION("""COMPUTED_VALUE"""),"109🤙🏼Scarface🤙🏼Drama🤙🏼2")</f>
        <v>109🤙🏼Scarface🤙🏼Drama🤙🏼2</v>
      </c>
      <c r="K327" s="5">
        <f>IFERROR(__xludf.DUMMYFUNCTION("SPLiT(J327, ""🤙🏼"",FALSE,FALSE)"),109.0)</f>
        <v>109</v>
      </c>
      <c r="L327" s="5" t="str">
        <f>IFERROR(__xludf.DUMMYFUNCTION("""COMPUTED_VALUE"""),"Scarface")</f>
        <v>Scarface</v>
      </c>
      <c r="M327" s="5" t="str">
        <f>IFERROR(__xludf.DUMMYFUNCTION("""COMPUTED_VALUE"""),"Drama")</f>
        <v>Drama</v>
      </c>
      <c r="N327" s="5">
        <f>IFERROR(__xludf.DUMMYFUNCTION("""COMPUTED_VALUE"""),2.0)</f>
        <v>2</v>
      </c>
      <c r="S327" s="5">
        <f>IFERROR(__xludf.DUMMYFUNCTION("""COMPUTED_VALUE"""),132.0)</f>
        <v>132</v>
      </c>
      <c r="T327" s="5" t="str">
        <f>IFERROR(__xludf.DUMMYFUNCTION("""COMPUTED_VALUE"""),"Green Book")</f>
        <v>Green Book</v>
      </c>
      <c r="U327" s="5" t="str">
        <f>IFERROR(__xludf.DUMMYFUNCTION("""COMPUTED_VALUE"""),"Drama")</f>
        <v>Drama</v>
      </c>
      <c r="V327" s="5">
        <f>IFERROR(__xludf.DUMMYFUNCTION("""COMPUTED_VALUE"""),3.0)</f>
        <v>3</v>
      </c>
    </row>
    <row r="328">
      <c r="A328" s="1">
        <v>327.0</v>
      </c>
      <c r="B328" s="1" t="s">
        <v>2167</v>
      </c>
      <c r="C328" s="1" t="s">
        <v>2169</v>
      </c>
      <c r="D328" s="1"/>
      <c r="E328" s="1">
        <v>327.0</v>
      </c>
      <c r="F328" s="1" t="s">
        <v>2167</v>
      </c>
      <c r="G328" s="1" t="str">
        <f>IFERROR(__xludf.DUMMYFUNCTION("SPLIT(C328, "", "")"),"Action")</f>
        <v>Action</v>
      </c>
      <c r="H328" s="5" t="str">
        <f>IFERROR(__xludf.DUMMYFUNCTION("""COMPUTED_VALUE"""),"Crime")</f>
        <v>Crime</v>
      </c>
      <c r="I328" s="5" t="str">
        <f>IFERROR(__xludf.DUMMYFUNCTION("""COMPUTED_VALUE"""),"Thriller")</f>
        <v>Thriller</v>
      </c>
      <c r="J328" s="5" t="str">
        <f>IFERROR(__xludf.DUMMYFUNCTION("""COMPUTED_VALUE"""),"109🤙🏼Scarface🤙🏼🤙🏼3")</f>
        <v>109🤙🏼Scarface🤙🏼🤙🏼3</v>
      </c>
      <c r="K328" s="5">
        <f>IFERROR(__xludf.DUMMYFUNCTION("SPLiT(J328, ""🤙🏼"",FALSE,FALSE)"),109.0)</f>
        <v>109</v>
      </c>
      <c r="L328" s="5" t="str">
        <f>IFERROR(__xludf.DUMMYFUNCTION("""COMPUTED_VALUE"""),"Scarface")</f>
        <v>Scarface</v>
      </c>
      <c r="M328" s="5"/>
      <c r="N328" s="5">
        <f>IFERROR(__xludf.DUMMYFUNCTION("""COMPUTED_VALUE"""),3.0)</f>
        <v>3</v>
      </c>
      <c r="S328" s="5">
        <f>IFERROR(__xludf.DUMMYFUNCTION("""COMPUTED_VALUE"""),133.0)</f>
        <v>133</v>
      </c>
      <c r="T328" s="5" t="str">
        <f>IFERROR(__xludf.DUMMYFUNCTION("""COMPUTED_VALUE"""),"Three Billboards Outside Ebbing, Missouri")</f>
        <v>Three Billboards Outside Ebbing, Missouri</v>
      </c>
      <c r="U328" s="5" t="str">
        <f>IFERROR(__xludf.DUMMYFUNCTION("""COMPUTED_VALUE"""),"Comedy")</f>
        <v>Comedy</v>
      </c>
      <c r="V328" s="5">
        <f>IFERROR(__xludf.DUMMYFUNCTION("""COMPUTED_VALUE"""),1.0)</f>
        <v>1</v>
      </c>
    </row>
    <row r="329">
      <c r="A329" s="1">
        <v>328.0</v>
      </c>
      <c r="B329" s="1" t="s">
        <v>2172</v>
      </c>
      <c r="C329" s="1" t="s">
        <v>2173</v>
      </c>
      <c r="D329" s="1"/>
      <c r="E329" s="1">
        <v>328.0</v>
      </c>
      <c r="F329" s="1" t="s">
        <v>2172</v>
      </c>
      <c r="G329" s="1" t="str">
        <f>IFERROR(__xludf.DUMMYFUNCTION("SPLIT(C329, "", "")"),"Comedy")</f>
        <v>Comedy</v>
      </c>
      <c r="H329" s="5" t="str">
        <f>IFERROR(__xludf.DUMMYFUNCTION("""COMPUTED_VALUE"""),"Drama")</f>
        <v>Drama</v>
      </c>
      <c r="I329" s="5" t="str">
        <f>IFERROR(__xludf.DUMMYFUNCTION("""COMPUTED_VALUE"""),"Music")</f>
        <v>Music</v>
      </c>
      <c r="J329" s="5" t="str">
        <f>IFERROR(__xludf.DUMMYFUNCTION("""COMPUTED_VALUE"""),"110🤙🏼Star Wars: Episode VI - Return of the Jedi🤙🏼Action🤙🏼1")</f>
        <v>110🤙🏼Star Wars: Episode VI - Return of the Jedi🤙🏼Action🤙🏼1</v>
      </c>
      <c r="K329" s="5">
        <f>IFERROR(__xludf.DUMMYFUNCTION("SPLiT(J329, ""🤙🏼"",FALSE,FALSE)"),110.0)</f>
        <v>110</v>
      </c>
      <c r="L329" s="5" t="str">
        <f>IFERROR(__xludf.DUMMYFUNCTION("""COMPUTED_VALUE"""),"Star Wars: Episode VI - Return of the Jedi")</f>
        <v>Star Wars: Episode VI - Return of the Jedi</v>
      </c>
      <c r="M329" s="5" t="str">
        <f>IFERROR(__xludf.DUMMYFUNCTION("""COMPUTED_VALUE"""),"Action")</f>
        <v>Action</v>
      </c>
      <c r="N329" s="5">
        <f>IFERROR(__xludf.DUMMYFUNCTION("""COMPUTED_VALUE"""),1.0)</f>
        <v>1</v>
      </c>
      <c r="S329" s="5">
        <f>IFERROR(__xludf.DUMMYFUNCTION("""COMPUTED_VALUE"""),133.0)</f>
        <v>133</v>
      </c>
      <c r="T329" s="5" t="str">
        <f>IFERROR(__xludf.DUMMYFUNCTION("""COMPUTED_VALUE"""),"Three Billboards Outside Ebbing, Missouri")</f>
        <v>Three Billboards Outside Ebbing, Missouri</v>
      </c>
      <c r="U329" s="5" t="str">
        <f>IFERROR(__xludf.DUMMYFUNCTION("""COMPUTED_VALUE"""),"Crime")</f>
        <v>Crime</v>
      </c>
      <c r="V329" s="5">
        <f>IFERROR(__xludf.DUMMYFUNCTION("""COMPUTED_VALUE"""),2.0)</f>
        <v>2</v>
      </c>
    </row>
    <row r="330">
      <c r="A330" s="1">
        <v>329.0</v>
      </c>
      <c r="B330" s="1" t="s">
        <v>2178</v>
      </c>
      <c r="C330" s="1" t="s">
        <v>1148</v>
      </c>
      <c r="D330" s="1"/>
      <c r="E330" s="1">
        <v>329.0</v>
      </c>
      <c r="F330" s="1" t="s">
        <v>2178</v>
      </c>
      <c r="G330" s="1" t="str">
        <f>IFERROR(__xludf.DUMMYFUNCTION("SPLIT(C330, "", "")"),"Biography")</f>
        <v>Biography</v>
      </c>
      <c r="H330" s="5" t="str">
        <f>IFERROR(__xludf.DUMMYFUNCTION("""COMPUTED_VALUE"""),"Drama")</f>
        <v>Drama</v>
      </c>
      <c r="J330" s="5" t="str">
        <f>IFERROR(__xludf.DUMMYFUNCTION("""COMPUTED_VALUE"""),"110🤙🏼Star Wars: Episode VI - Return of the Jedi🤙🏼Adventure🤙🏼2")</f>
        <v>110🤙🏼Star Wars: Episode VI - Return of the Jedi🤙🏼Adventure🤙🏼2</v>
      </c>
      <c r="K330" s="5">
        <f>IFERROR(__xludf.DUMMYFUNCTION("SPLiT(J330, ""🤙🏼"",FALSE,FALSE)"),110.0)</f>
        <v>110</v>
      </c>
      <c r="L330" s="5" t="str">
        <f>IFERROR(__xludf.DUMMYFUNCTION("""COMPUTED_VALUE"""),"Star Wars: Episode VI - Return of the Jedi")</f>
        <v>Star Wars: Episode VI - Return of the Jedi</v>
      </c>
      <c r="M330" s="5" t="str">
        <f>IFERROR(__xludf.DUMMYFUNCTION("""COMPUTED_VALUE"""),"Adventure")</f>
        <v>Adventure</v>
      </c>
      <c r="N330" s="5">
        <f>IFERROR(__xludf.DUMMYFUNCTION("""COMPUTED_VALUE"""),2.0)</f>
        <v>2</v>
      </c>
      <c r="S330" s="5">
        <f>IFERROR(__xludf.DUMMYFUNCTION("""COMPUTED_VALUE"""),133.0)</f>
        <v>133</v>
      </c>
      <c r="T330" s="5" t="str">
        <f>IFERROR(__xludf.DUMMYFUNCTION("""COMPUTED_VALUE"""),"Three Billboards Outside Ebbing, Missouri")</f>
        <v>Three Billboards Outside Ebbing, Missouri</v>
      </c>
      <c r="U330" s="5" t="str">
        <f>IFERROR(__xludf.DUMMYFUNCTION("""COMPUTED_VALUE"""),"Drama")</f>
        <v>Drama</v>
      </c>
      <c r="V330" s="5">
        <f>IFERROR(__xludf.DUMMYFUNCTION("""COMPUTED_VALUE"""),3.0)</f>
        <v>3</v>
      </c>
    </row>
    <row r="331">
      <c r="A331" s="1">
        <v>330.0</v>
      </c>
      <c r="B331" s="1" t="s">
        <v>2185</v>
      </c>
      <c r="C331" s="1" t="s">
        <v>188</v>
      </c>
      <c r="D331" s="1"/>
      <c r="E331" s="1">
        <v>330.0</v>
      </c>
      <c r="F331" s="1" t="s">
        <v>2185</v>
      </c>
      <c r="G331" s="1" t="str">
        <f>IFERROR(__xludf.DUMMYFUNCTION("SPLIT(C331, "", "")"),"Adventure")</f>
        <v>Adventure</v>
      </c>
      <c r="H331" s="5" t="str">
        <f>IFERROR(__xludf.DUMMYFUNCTION("""COMPUTED_VALUE"""),"Drama")</f>
        <v>Drama</v>
      </c>
      <c r="I331" s="5" t="str">
        <f>IFERROR(__xludf.DUMMYFUNCTION("""COMPUTED_VALUE"""),"Sci-Fi")</f>
        <v>Sci-Fi</v>
      </c>
      <c r="J331" s="5" t="str">
        <f>IFERROR(__xludf.DUMMYFUNCTION("""COMPUTED_VALUE"""),"110🤙🏼Star Wars: Episode VI - Return of the Jedi🤙🏼Fantasy🤙🏼3")</f>
        <v>110🤙🏼Star Wars: Episode VI - Return of the Jedi🤙🏼Fantasy🤙🏼3</v>
      </c>
      <c r="K331" s="5">
        <f>IFERROR(__xludf.DUMMYFUNCTION("SPLiT(J331, ""🤙🏼"",FALSE,FALSE)"),110.0)</f>
        <v>110</v>
      </c>
      <c r="L331" s="5" t="str">
        <f>IFERROR(__xludf.DUMMYFUNCTION("""COMPUTED_VALUE"""),"Star Wars: Episode VI - Return of the Jedi")</f>
        <v>Star Wars: Episode VI - Return of the Jedi</v>
      </c>
      <c r="M331" s="5" t="str">
        <f>IFERROR(__xludf.DUMMYFUNCTION("""COMPUTED_VALUE"""),"Fantasy")</f>
        <v>Fantasy</v>
      </c>
      <c r="N331" s="5">
        <f>IFERROR(__xludf.DUMMYFUNCTION("""COMPUTED_VALUE"""),3.0)</f>
        <v>3</v>
      </c>
      <c r="S331" s="5">
        <f>IFERROR(__xludf.DUMMYFUNCTION("""COMPUTED_VALUE"""),134.0)</f>
        <v>134</v>
      </c>
      <c r="T331" s="5" t="str">
        <f>IFERROR(__xludf.DUMMYFUNCTION("""COMPUTED_VALUE"""),"Talvar")</f>
        <v>Talvar</v>
      </c>
      <c r="U331" s="5" t="str">
        <f>IFERROR(__xludf.DUMMYFUNCTION("""COMPUTED_VALUE"""),"Crime")</f>
        <v>Crime</v>
      </c>
      <c r="V331" s="5">
        <f>IFERROR(__xludf.DUMMYFUNCTION("""COMPUTED_VALUE"""),1.0)</f>
        <v>1</v>
      </c>
    </row>
    <row r="332">
      <c r="A332" s="1">
        <v>331.0</v>
      </c>
      <c r="B332" s="1" t="s">
        <v>2189</v>
      </c>
      <c r="C332" s="1" t="s">
        <v>765</v>
      </c>
      <c r="D332" s="1"/>
      <c r="E332" s="1">
        <v>331.0</v>
      </c>
      <c r="F332" s="1" t="s">
        <v>2189</v>
      </c>
      <c r="G332" s="1" t="str">
        <f>IFERROR(__xludf.DUMMYFUNCTION("SPLIT(C332, "", "")"),"Animation")</f>
        <v>Animation</v>
      </c>
      <c r="H332" s="5" t="str">
        <f>IFERROR(__xludf.DUMMYFUNCTION("""COMPUTED_VALUE"""),"Adventure")</f>
        <v>Adventure</v>
      </c>
      <c r="I332" s="5" t="str">
        <f>IFERROR(__xludf.DUMMYFUNCTION("""COMPUTED_VALUE"""),"Comedy")</f>
        <v>Comedy</v>
      </c>
      <c r="J332" s="5" t="str">
        <f>IFERROR(__xludf.DUMMYFUNCTION("""COMPUTED_VALUE"""),"111🤙🏼Das Boot🤙🏼Adventure🤙🏼1")</f>
        <v>111🤙🏼Das Boot🤙🏼Adventure🤙🏼1</v>
      </c>
      <c r="K332" s="5">
        <f>IFERROR(__xludf.DUMMYFUNCTION("SPLiT(J332, ""🤙🏼"",FALSE,FALSE)"),111.0)</f>
        <v>111</v>
      </c>
      <c r="L332" s="5" t="str">
        <f>IFERROR(__xludf.DUMMYFUNCTION("""COMPUTED_VALUE"""),"Das Boot")</f>
        <v>Das Boot</v>
      </c>
      <c r="M332" s="5" t="str">
        <f>IFERROR(__xludf.DUMMYFUNCTION("""COMPUTED_VALUE"""),"Adventure")</f>
        <v>Adventure</v>
      </c>
      <c r="N332" s="5">
        <f>IFERROR(__xludf.DUMMYFUNCTION("""COMPUTED_VALUE"""),1.0)</f>
        <v>1</v>
      </c>
      <c r="S332" s="5">
        <f>IFERROR(__xludf.DUMMYFUNCTION("""COMPUTED_VALUE"""),134.0)</f>
        <v>134</v>
      </c>
      <c r="T332" s="5" t="str">
        <f>IFERROR(__xludf.DUMMYFUNCTION("""COMPUTED_VALUE"""),"Talvar")</f>
        <v>Talvar</v>
      </c>
      <c r="U332" s="5" t="str">
        <f>IFERROR(__xludf.DUMMYFUNCTION("""COMPUTED_VALUE"""),"Drama")</f>
        <v>Drama</v>
      </c>
      <c r="V332" s="5">
        <f>IFERROR(__xludf.DUMMYFUNCTION("""COMPUTED_VALUE"""),2.0)</f>
        <v>2</v>
      </c>
    </row>
    <row r="333">
      <c r="A333" s="1">
        <v>332.0</v>
      </c>
      <c r="B333" s="1" t="s">
        <v>2196</v>
      </c>
      <c r="C333" s="1" t="s">
        <v>956</v>
      </c>
      <c r="D333" s="1"/>
      <c r="E333" s="1">
        <v>332.0</v>
      </c>
      <c r="F333" s="1" t="s">
        <v>2196</v>
      </c>
      <c r="G333" s="1" t="str">
        <f>IFERROR(__xludf.DUMMYFUNCTION("SPLIT(C333, "", "")"),"Action")</f>
        <v>Action</v>
      </c>
      <c r="H333" s="5" t="str">
        <f>IFERROR(__xludf.DUMMYFUNCTION("""COMPUTED_VALUE"""),"Drama")</f>
        <v>Drama</v>
      </c>
      <c r="J333" s="5" t="str">
        <f>IFERROR(__xludf.DUMMYFUNCTION("""COMPUTED_VALUE"""),"111🤙🏼Das Boot🤙🏼Drama🤙🏼2")</f>
        <v>111🤙🏼Das Boot🤙🏼Drama🤙🏼2</v>
      </c>
      <c r="K333" s="5">
        <f>IFERROR(__xludf.DUMMYFUNCTION("SPLiT(J333, ""🤙🏼"",FALSE,FALSE)"),111.0)</f>
        <v>111</v>
      </c>
      <c r="L333" s="5" t="str">
        <f>IFERROR(__xludf.DUMMYFUNCTION("""COMPUTED_VALUE"""),"Das Boot")</f>
        <v>Das Boot</v>
      </c>
      <c r="M333" s="5" t="str">
        <f>IFERROR(__xludf.DUMMYFUNCTION("""COMPUTED_VALUE"""),"Drama")</f>
        <v>Drama</v>
      </c>
      <c r="N333" s="5">
        <f>IFERROR(__xludf.DUMMYFUNCTION("""COMPUTED_VALUE"""),2.0)</f>
        <v>2</v>
      </c>
      <c r="S333" s="5">
        <f>IFERROR(__xludf.DUMMYFUNCTION("""COMPUTED_VALUE"""),134.0)</f>
        <v>134</v>
      </c>
      <c r="T333" s="5" t="str">
        <f>IFERROR(__xludf.DUMMYFUNCTION("""COMPUTED_VALUE"""),"Talvar")</f>
        <v>Talvar</v>
      </c>
      <c r="U333" s="5" t="str">
        <f>IFERROR(__xludf.DUMMYFUNCTION("""COMPUTED_VALUE"""),"Mystery")</f>
        <v>Mystery</v>
      </c>
      <c r="V333" s="5">
        <f>IFERROR(__xludf.DUMMYFUNCTION("""COMPUTED_VALUE"""),3.0)</f>
        <v>3</v>
      </c>
    </row>
    <row r="334">
      <c r="A334" s="1">
        <v>333.0</v>
      </c>
      <c r="B334" s="1" t="s">
        <v>2200</v>
      </c>
      <c r="C334" s="1" t="s">
        <v>352</v>
      </c>
      <c r="D334" s="1"/>
      <c r="E334" s="1">
        <v>333.0</v>
      </c>
      <c r="F334" s="1" t="s">
        <v>2200</v>
      </c>
      <c r="G334" s="1" t="str">
        <f>IFERROR(__xludf.DUMMYFUNCTION("SPLIT(C334, "", "")"),"Animation")</f>
        <v>Animation</v>
      </c>
      <c r="H334" s="5" t="str">
        <f>IFERROR(__xludf.DUMMYFUNCTION("""COMPUTED_VALUE"""),"Adventure")</f>
        <v>Adventure</v>
      </c>
      <c r="I334" s="5" t="str">
        <f>IFERROR(__xludf.DUMMYFUNCTION("""COMPUTED_VALUE"""),"Drama")</f>
        <v>Drama</v>
      </c>
      <c r="J334" s="5" t="str">
        <f>IFERROR(__xludf.DUMMYFUNCTION("""COMPUTED_VALUE"""),"111🤙🏼Das Boot🤙🏼Thriller🤙🏼3")</f>
        <v>111🤙🏼Das Boot🤙🏼Thriller🤙🏼3</v>
      </c>
      <c r="K334" s="5">
        <f>IFERROR(__xludf.DUMMYFUNCTION("SPLiT(J334, ""🤙🏼"",FALSE,FALSE)"),111.0)</f>
        <v>111</v>
      </c>
      <c r="L334" s="5" t="str">
        <f>IFERROR(__xludf.DUMMYFUNCTION("""COMPUTED_VALUE"""),"Das Boot")</f>
        <v>Das Boot</v>
      </c>
      <c r="M334" s="5" t="str">
        <f>IFERROR(__xludf.DUMMYFUNCTION("""COMPUTED_VALUE"""),"Thriller")</f>
        <v>Thriller</v>
      </c>
      <c r="N334" s="5">
        <f>IFERROR(__xludf.DUMMYFUNCTION("""COMPUTED_VALUE"""),3.0)</f>
        <v>3</v>
      </c>
      <c r="S334" s="5">
        <f>IFERROR(__xludf.DUMMYFUNCTION("""COMPUTED_VALUE"""),135.0)</f>
        <v>135</v>
      </c>
      <c r="T334" s="5" t="str">
        <f>IFERROR(__xludf.DUMMYFUNCTION("""COMPUTED_VALUE"""),"Baahubali 2: The Conclusion")</f>
        <v>Baahubali 2: The Conclusion</v>
      </c>
      <c r="U334" s="5" t="str">
        <f>IFERROR(__xludf.DUMMYFUNCTION("""COMPUTED_VALUE"""),"Action")</f>
        <v>Action</v>
      </c>
      <c r="V334" s="5">
        <f>IFERROR(__xludf.DUMMYFUNCTION("""COMPUTED_VALUE"""),1.0)</f>
        <v>1</v>
      </c>
    </row>
    <row r="335">
      <c r="A335" s="1">
        <v>334.0</v>
      </c>
      <c r="B335" s="1" t="s">
        <v>2205</v>
      </c>
      <c r="C335" s="1" t="s">
        <v>513</v>
      </c>
      <c r="D335" s="1"/>
      <c r="E335" s="1">
        <v>334.0</v>
      </c>
      <c r="F335" s="1" t="s">
        <v>2205</v>
      </c>
      <c r="G335" s="1" t="str">
        <f>IFERROR(__xludf.DUMMYFUNCTION("SPLIT(C335, "", "")"),"Drama")</f>
        <v>Drama</v>
      </c>
      <c r="H335" s="5" t="str">
        <f>IFERROR(__xludf.DUMMYFUNCTION("""COMPUTED_VALUE"""),"Family")</f>
        <v>Family</v>
      </c>
      <c r="J335" s="5" t="str">
        <f>IFERROR(__xludf.DUMMYFUNCTION("""COMPUTED_VALUE"""),"112🤙🏼Taxi Driver🤙🏼Crime🤙🏼1")</f>
        <v>112🤙🏼Taxi Driver🤙🏼Crime🤙🏼1</v>
      </c>
      <c r="K335" s="5">
        <f>IFERROR(__xludf.DUMMYFUNCTION("SPLiT(J335, ""🤙🏼"",FALSE,FALSE)"),112.0)</f>
        <v>112</v>
      </c>
      <c r="L335" s="5" t="str">
        <f>IFERROR(__xludf.DUMMYFUNCTION("""COMPUTED_VALUE"""),"Taxi Driver")</f>
        <v>Taxi Driver</v>
      </c>
      <c r="M335" s="5" t="str">
        <f>IFERROR(__xludf.DUMMYFUNCTION("""COMPUTED_VALUE"""),"Crime")</f>
        <v>Crime</v>
      </c>
      <c r="N335" s="5">
        <f>IFERROR(__xludf.DUMMYFUNCTION("""COMPUTED_VALUE"""),1.0)</f>
        <v>1</v>
      </c>
      <c r="S335" s="5">
        <f>IFERROR(__xludf.DUMMYFUNCTION("""COMPUTED_VALUE"""),135.0)</f>
        <v>135</v>
      </c>
      <c r="T335" s="5" t="str">
        <f>IFERROR(__xludf.DUMMYFUNCTION("""COMPUTED_VALUE"""),"Baahubali 2: The Conclusion")</f>
        <v>Baahubali 2: The Conclusion</v>
      </c>
      <c r="U335" s="5" t="str">
        <f>IFERROR(__xludf.DUMMYFUNCTION("""COMPUTED_VALUE"""),"Drama")</f>
        <v>Drama</v>
      </c>
      <c r="V335" s="5">
        <f>IFERROR(__xludf.DUMMYFUNCTION("""COMPUTED_VALUE"""),2.0)</f>
        <v>2</v>
      </c>
    </row>
    <row r="336">
      <c r="A336" s="1">
        <v>335.0</v>
      </c>
      <c r="B336" s="1" t="s">
        <v>2211</v>
      </c>
      <c r="C336" s="1" t="s">
        <v>1706</v>
      </c>
      <c r="D336" s="1"/>
      <c r="E336" s="1">
        <v>335.0</v>
      </c>
      <c r="F336" s="1" t="s">
        <v>2211</v>
      </c>
      <c r="G336" s="1" t="str">
        <f>IFERROR(__xludf.DUMMYFUNCTION("SPLIT(C336, "", "")"),"Drama")</f>
        <v>Drama</v>
      </c>
      <c r="H336" s="5" t="str">
        <f>IFERROR(__xludf.DUMMYFUNCTION("""COMPUTED_VALUE"""),"Music")</f>
        <v>Music</v>
      </c>
      <c r="I336" s="5" t="str">
        <f>IFERROR(__xludf.DUMMYFUNCTION("""COMPUTED_VALUE"""),"Romance")</f>
        <v>Romance</v>
      </c>
      <c r="J336" s="5" t="str">
        <f>IFERROR(__xludf.DUMMYFUNCTION("""COMPUTED_VALUE"""),"112🤙🏼Taxi Driver🤙🏼Drama🤙🏼2")</f>
        <v>112🤙🏼Taxi Driver🤙🏼Drama🤙🏼2</v>
      </c>
      <c r="K336" s="5">
        <f>IFERROR(__xludf.DUMMYFUNCTION("SPLiT(J336, ""🤙🏼"",FALSE,FALSE)"),112.0)</f>
        <v>112</v>
      </c>
      <c r="L336" s="5" t="str">
        <f>IFERROR(__xludf.DUMMYFUNCTION("""COMPUTED_VALUE"""),"Taxi Driver")</f>
        <v>Taxi Driver</v>
      </c>
      <c r="M336" s="5" t="str">
        <f>IFERROR(__xludf.DUMMYFUNCTION("""COMPUTED_VALUE"""),"Drama")</f>
        <v>Drama</v>
      </c>
      <c r="N336" s="5">
        <f>IFERROR(__xludf.DUMMYFUNCTION("""COMPUTED_VALUE"""),2.0)</f>
        <v>2</v>
      </c>
      <c r="S336" s="5">
        <f>IFERROR(__xludf.DUMMYFUNCTION("""COMPUTED_VALUE"""),136.0)</f>
        <v>136</v>
      </c>
      <c r="T336" s="5" t="str">
        <f>IFERROR(__xludf.DUMMYFUNCTION("""COMPUTED_VALUE"""),"Klaus")</f>
        <v>Klaus</v>
      </c>
      <c r="U336" s="5" t="str">
        <f>IFERROR(__xludf.DUMMYFUNCTION("""COMPUTED_VALUE"""),"Animation")</f>
        <v>Animation</v>
      </c>
      <c r="V336" s="5">
        <f>IFERROR(__xludf.DUMMYFUNCTION("""COMPUTED_VALUE"""),1.0)</f>
        <v>1</v>
      </c>
    </row>
    <row r="337">
      <c r="A337" s="1">
        <v>336.0</v>
      </c>
      <c r="B337" s="1" t="s">
        <v>2217</v>
      </c>
      <c r="C337" s="1" t="s">
        <v>241</v>
      </c>
      <c r="D337" s="1"/>
      <c r="E337" s="1">
        <v>336.0</v>
      </c>
      <c r="F337" s="1" t="s">
        <v>2217</v>
      </c>
      <c r="G337" s="1" t="str">
        <f>IFERROR(__xludf.DUMMYFUNCTION("SPLIT(C337, "", "")"),"Crime")</f>
        <v>Crime</v>
      </c>
      <c r="H337" s="5" t="str">
        <f>IFERROR(__xludf.DUMMYFUNCTION("""COMPUTED_VALUE"""),"Drama")</f>
        <v>Drama</v>
      </c>
      <c r="I337" s="5" t="str">
        <f>IFERROR(__xludf.DUMMYFUNCTION("""COMPUTED_VALUE"""),"Thriller")</f>
        <v>Thriller</v>
      </c>
      <c r="J337" s="5" t="str">
        <f>IFERROR(__xludf.DUMMYFUNCTION("""COMPUTED_VALUE"""),"112🤙🏼Taxi Driver🤙🏼🤙🏼3")</f>
        <v>112🤙🏼Taxi Driver🤙🏼🤙🏼3</v>
      </c>
      <c r="K337" s="5">
        <f>IFERROR(__xludf.DUMMYFUNCTION("SPLiT(J337, ""🤙🏼"",FALSE,FALSE)"),112.0)</f>
        <v>112</v>
      </c>
      <c r="L337" s="5" t="str">
        <f>IFERROR(__xludf.DUMMYFUNCTION("""COMPUTED_VALUE"""),"Taxi Driver")</f>
        <v>Taxi Driver</v>
      </c>
      <c r="M337" s="5"/>
      <c r="N337" s="5">
        <f>IFERROR(__xludf.DUMMYFUNCTION("""COMPUTED_VALUE"""),3.0)</f>
        <v>3</v>
      </c>
      <c r="S337" s="5">
        <f>IFERROR(__xludf.DUMMYFUNCTION("""COMPUTED_VALUE"""),136.0)</f>
        <v>136</v>
      </c>
      <c r="T337" s="5" t="str">
        <f>IFERROR(__xludf.DUMMYFUNCTION("""COMPUTED_VALUE"""),"Klaus")</f>
        <v>Klaus</v>
      </c>
      <c r="U337" s="5" t="str">
        <f>IFERROR(__xludf.DUMMYFUNCTION("""COMPUTED_VALUE"""),"Adventure")</f>
        <v>Adventure</v>
      </c>
      <c r="V337" s="5">
        <f>IFERROR(__xludf.DUMMYFUNCTION("""COMPUTED_VALUE"""),2.0)</f>
        <v>2</v>
      </c>
    </row>
    <row r="338">
      <c r="A338" s="1">
        <v>337.0</v>
      </c>
      <c r="B338" s="1" t="s">
        <v>2219</v>
      </c>
      <c r="C338" s="1" t="s">
        <v>20</v>
      </c>
      <c r="D338" s="1"/>
      <c r="E338" s="1">
        <v>337.0</v>
      </c>
      <c r="F338" s="1" t="s">
        <v>2219</v>
      </c>
      <c r="G338" s="1" t="str">
        <f>IFERROR(__xludf.DUMMYFUNCTION("SPLIT(C338, "", "")"),"Drama")</f>
        <v>Drama</v>
      </c>
      <c r="J338" s="5" t="str">
        <f>IFERROR(__xludf.DUMMYFUNCTION("""COMPUTED_VALUE"""),"113🤙🏼The Sting🤙🏼Comedy🤙🏼1")</f>
        <v>113🤙🏼The Sting🤙🏼Comedy🤙🏼1</v>
      </c>
      <c r="K338" s="5">
        <f>IFERROR(__xludf.DUMMYFUNCTION("SPLiT(J338, ""🤙🏼"",FALSE,FALSE)"),113.0)</f>
        <v>113</v>
      </c>
      <c r="L338" s="5" t="str">
        <f>IFERROR(__xludf.DUMMYFUNCTION("""COMPUTED_VALUE"""),"The Sting")</f>
        <v>The Sting</v>
      </c>
      <c r="M338" s="5" t="str">
        <f>IFERROR(__xludf.DUMMYFUNCTION("""COMPUTED_VALUE"""),"Comedy")</f>
        <v>Comedy</v>
      </c>
      <c r="N338" s="5">
        <f>IFERROR(__xludf.DUMMYFUNCTION("""COMPUTED_VALUE"""),1.0)</f>
        <v>1</v>
      </c>
      <c r="S338" s="5">
        <f>IFERROR(__xludf.DUMMYFUNCTION("""COMPUTED_VALUE"""),136.0)</f>
        <v>136</v>
      </c>
      <c r="T338" s="5" t="str">
        <f>IFERROR(__xludf.DUMMYFUNCTION("""COMPUTED_VALUE"""),"Klaus")</f>
        <v>Klaus</v>
      </c>
      <c r="U338" s="5" t="str">
        <f>IFERROR(__xludf.DUMMYFUNCTION("""COMPUTED_VALUE"""),"Comedy")</f>
        <v>Comedy</v>
      </c>
      <c r="V338" s="5">
        <f>IFERROR(__xludf.DUMMYFUNCTION("""COMPUTED_VALUE"""),3.0)</f>
        <v>3</v>
      </c>
    </row>
    <row r="339">
      <c r="A339" s="1">
        <v>338.0</v>
      </c>
      <c r="B339" s="1" t="s">
        <v>2225</v>
      </c>
      <c r="C339" s="1" t="s">
        <v>2169</v>
      </c>
      <c r="D339" s="1"/>
      <c r="E339" s="1">
        <v>338.0</v>
      </c>
      <c r="F339" s="1" t="s">
        <v>2225</v>
      </c>
      <c r="G339" s="1" t="str">
        <f>IFERROR(__xludf.DUMMYFUNCTION("SPLIT(C339, "", "")"),"Action")</f>
        <v>Action</v>
      </c>
      <c r="H339" s="5" t="str">
        <f>IFERROR(__xludf.DUMMYFUNCTION("""COMPUTED_VALUE"""),"Crime")</f>
        <v>Crime</v>
      </c>
      <c r="I339" s="5" t="str">
        <f>IFERROR(__xludf.DUMMYFUNCTION("""COMPUTED_VALUE"""),"Thriller")</f>
        <v>Thriller</v>
      </c>
      <c r="J339" s="5" t="str">
        <f>IFERROR(__xludf.DUMMYFUNCTION("""COMPUTED_VALUE"""),"113🤙🏼The Sting🤙🏼Crime🤙🏼2")</f>
        <v>113🤙🏼The Sting🤙🏼Crime🤙🏼2</v>
      </c>
      <c r="K339" s="5">
        <f>IFERROR(__xludf.DUMMYFUNCTION("SPLiT(J339, ""🤙🏼"",FALSE,FALSE)"),113.0)</f>
        <v>113</v>
      </c>
      <c r="L339" s="5" t="str">
        <f>IFERROR(__xludf.DUMMYFUNCTION("""COMPUTED_VALUE"""),"The Sting")</f>
        <v>The Sting</v>
      </c>
      <c r="M339" s="5" t="str">
        <f>IFERROR(__xludf.DUMMYFUNCTION("""COMPUTED_VALUE"""),"Crime")</f>
        <v>Crime</v>
      </c>
      <c r="N339" s="5">
        <f>IFERROR(__xludf.DUMMYFUNCTION("""COMPUTED_VALUE"""),2.0)</f>
        <v>2</v>
      </c>
      <c r="S339" s="5">
        <f>IFERROR(__xludf.DUMMYFUNCTION("""COMPUTED_VALUE"""),137.0)</f>
        <v>137</v>
      </c>
      <c r="T339" s="5" t="str">
        <f>IFERROR(__xludf.DUMMYFUNCTION("""COMPUTED_VALUE"""),"Drishyam")</f>
        <v>Drishyam</v>
      </c>
      <c r="U339" s="5" t="str">
        <f>IFERROR(__xludf.DUMMYFUNCTION("""COMPUTED_VALUE"""),"Crime")</f>
        <v>Crime</v>
      </c>
      <c r="V339" s="5">
        <f>IFERROR(__xludf.DUMMYFUNCTION("""COMPUTED_VALUE"""),1.0)</f>
        <v>1</v>
      </c>
    </row>
    <row r="340">
      <c r="A340" s="1">
        <v>339.0</v>
      </c>
      <c r="B340" s="1" t="s">
        <v>2232</v>
      </c>
      <c r="C340" s="1" t="s">
        <v>2233</v>
      </c>
      <c r="D340" s="1"/>
      <c r="E340" s="1">
        <v>339.0</v>
      </c>
      <c r="F340" s="1" t="s">
        <v>2232</v>
      </c>
      <c r="G340" s="1" t="str">
        <f>IFERROR(__xludf.DUMMYFUNCTION("SPLIT(C340, "", "")"),"Biography")</f>
        <v>Biography</v>
      </c>
      <c r="H340" s="5" t="str">
        <f>IFERROR(__xludf.DUMMYFUNCTION("""COMPUTED_VALUE"""),"Drama")</f>
        <v>Drama</v>
      </c>
      <c r="I340" s="5" t="str">
        <f>IFERROR(__xludf.DUMMYFUNCTION("""COMPUTED_VALUE"""),"Thriller")</f>
        <v>Thriller</v>
      </c>
      <c r="J340" s="5" t="str">
        <f>IFERROR(__xludf.DUMMYFUNCTION("""COMPUTED_VALUE"""),"113🤙🏼The Sting🤙🏼Drama🤙🏼3")</f>
        <v>113🤙🏼The Sting🤙🏼Drama🤙🏼3</v>
      </c>
      <c r="K340" s="5">
        <f>IFERROR(__xludf.DUMMYFUNCTION("SPLiT(J340, ""🤙🏼"",FALSE,FALSE)"),113.0)</f>
        <v>113</v>
      </c>
      <c r="L340" s="5" t="str">
        <f>IFERROR(__xludf.DUMMYFUNCTION("""COMPUTED_VALUE"""),"The Sting")</f>
        <v>The Sting</v>
      </c>
      <c r="M340" s="5" t="str">
        <f>IFERROR(__xludf.DUMMYFUNCTION("""COMPUTED_VALUE"""),"Drama")</f>
        <v>Drama</v>
      </c>
      <c r="N340" s="5">
        <f>IFERROR(__xludf.DUMMYFUNCTION("""COMPUTED_VALUE"""),3.0)</f>
        <v>3</v>
      </c>
      <c r="S340" s="5">
        <f>IFERROR(__xludf.DUMMYFUNCTION("""COMPUTED_VALUE"""),137.0)</f>
        <v>137</v>
      </c>
      <c r="T340" s="5" t="str">
        <f>IFERROR(__xludf.DUMMYFUNCTION("""COMPUTED_VALUE"""),"Drishyam")</f>
        <v>Drishyam</v>
      </c>
      <c r="U340" s="5" t="str">
        <f>IFERROR(__xludf.DUMMYFUNCTION("""COMPUTED_VALUE"""),"Drama")</f>
        <v>Drama</v>
      </c>
      <c r="V340" s="5">
        <f>IFERROR(__xludf.DUMMYFUNCTION("""COMPUTED_VALUE"""),2.0)</f>
        <v>2</v>
      </c>
    </row>
    <row r="341">
      <c r="A341" s="1">
        <v>340.0</v>
      </c>
      <c r="B341" s="1" t="s">
        <v>2240</v>
      </c>
      <c r="C341" s="1" t="s">
        <v>1252</v>
      </c>
      <c r="D341" s="1"/>
      <c r="E341" s="1">
        <v>340.0</v>
      </c>
      <c r="F341" s="1" t="s">
        <v>2240</v>
      </c>
      <c r="G341" s="1" t="str">
        <f>IFERROR(__xludf.DUMMYFUNCTION("SPLIT(C341, "", "")"),"Action")</f>
        <v>Action</v>
      </c>
      <c r="H341" s="5" t="str">
        <f>IFERROR(__xludf.DUMMYFUNCTION("""COMPUTED_VALUE"""),"Adventure")</f>
        <v>Adventure</v>
      </c>
      <c r="I341" s="5" t="str">
        <f>IFERROR(__xludf.DUMMYFUNCTION("""COMPUTED_VALUE"""),"Comedy")</f>
        <v>Comedy</v>
      </c>
      <c r="J341" s="5" t="str">
        <f>IFERROR(__xludf.DUMMYFUNCTION("""COMPUTED_VALUE"""),"114🤙🏼A Clockwork Orange🤙🏼Crime🤙🏼1")</f>
        <v>114🤙🏼A Clockwork Orange🤙🏼Crime🤙🏼1</v>
      </c>
      <c r="K341" s="5">
        <f>IFERROR(__xludf.DUMMYFUNCTION("SPLiT(J341, ""🤙🏼"",FALSE,FALSE)"),114.0)</f>
        <v>114</v>
      </c>
      <c r="L341" s="5" t="str">
        <f>IFERROR(__xludf.DUMMYFUNCTION("""COMPUTED_VALUE"""),"A Clockwork Orange")</f>
        <v>A Clockwork Orange</v>
      </c>
      <c r="M341" s="5" t="str">
        <f>IFERROR(__xludf.DUMMYFUNCTION("""COMPUTED_VALUE"""),"Crime")</f>
        <v>Crime</v>
      </c>
      <c r="N341" s="5">
        <f>IFERROR(__xludf.DUMMYFUNCTION("""COMPUTED_VALUE"""),1.0)</f>
        <v>1</v>
      </c>
      <c r="S341" s="5">
        <f>IFERROR(__xludf.DUMMYFUNCTION("""COMPUTED_VALUE"""),137.0)</f>
        <v>137</v>
      </c>
      <c r="T341" s="5" t="str">
        <f>IFERROR(__xludf.DUMMYFUNCTION("""COMPUTED_VALUE"""),"Drishyam")</f>
        <v>Drishyam</v>
      </c>
      <c r="U341" s="5" t="str">
        <f>IFERROR(__xludf.DUMMYFUNCTION("""COMPUTED_VALUE"""),"Mystery")</f>
        <v>Mystery</v>
      </c>
      <c r="V341" s="5">
        <f>IFERROR(__xludf.DUMMYFUNCTION("""COMPUTED_VALUE"""),3.0)</f>
        <v>3</v>
      </c>
    </row>
    <row r="342">
      <c r="A342" s="1">
        <v>341.0</v>
      </c>
      <c r="B342" s="1" t="s">
        <v>2247</v>
      </c>
      <c r="C342" s="1" t="s">
        <v>254</v>
      </c>
      <c r="D342" s="1"/>
      <c r="E342" s="1">
        <v>341.0</v>
      </c>
      <c r="F342" s="1" t="s">
        <v>2247</v>
      </c>
      <c r="G342" s="1" t="str">
        <f>IFERROR(__xludf.DUMMYFUNCTION("SPLIT(C342, "", "")"),"Action")</f>
        <v>Action</v>
      </c>
      <c r="H342" s="5" t="str">
        <f>IFERROR(__xludf.DUMMYFUNCTION("""COMPUTED_VALUE"""),"Drama")</f>
        <v>Drama</v>
      </c>
      <c r="I342" s="5" t="str">
        <f>IFERROR(__xludf.DUMMYFUNCTION("""COMPUTED_VALUE"""),"Mystery")</f>
        <v>Mystery</v>
      </c>
      <c r="J342" s="5" t="str">
        <f>IFERROR(__xludf.DUMMYFUNCTION("""COMPUTED_VALUE"""),"114🤙🏼A Clockwork Orange🤙🏼Drama🤙🏼2")</f>
        <v>114🤙🏼A Clockwork Orange🤙🏼Drama🤙🏼2</v>
      </c>
      <c r="K342" s="5">
        <f>IFERROR(__xludf.DUMMYFUNCTION("SPLiT(J342, ""🤙🏼"",FALSE,FALSE)"),114.0)</f>
        <v>114</v>
      </c>
      <c r="L342" s="5" t="str">
        <f>IFERROR(__xludf.DUMMYFUNCTION("""COMPUTED_VALUE"""),"A Clockwork Orange")</f>
        <v>A Clockwork Orange</v>
      </c>
      <c r="M342" s="5" t="str">
        <f>IFERROR(__xludf.DUMMYFUNCTION("""COMPUTED_VALUE"""),"Drama")</f>
        <v>Drama</v>
      </c>
      <c r="N342" s="5">
        <f>IFERROR(__xludf.DUMMYFUNCTION("""COMPUTED_VALUE"""),2.0)</f>
        <v>2</v>
      </c>
      <c r="S342" s="5">
        <f>IFERROR(__xludf.DUMMYFUNCTION("""COMPUTED_VALUE"""),138.0)</f>
        <v>138</v>
      </c>
      <c r="T342" s="5" t="str">
        <f>IFERROR(__xludf.DUMMYFUNCTION("""COMPUTED_VALUE"""),"Queen")</f>
        <v>Queen</v>
      </c>
      <c r="U342" s="5" t="str">
        <f>IFERROR(__xludf.DUMMYFUNCTION("""COMPUTED_VALUE"""),"Adventure")</f>
        <v>Adventure</v>
      </c>
      <c r="V342" s="5">
        <f>IFERROR(__xludf.DUMMYFUNCTION("""COMPUTED_VALUE"""),1.0)</f>
        <v>1</v>
      </c>
    </row>
    <row r="343">
      <c r="A343" s="1">
        <v>342.0</v>
      </c>
      <c r="B343" s="1" t="s">
        <v>2251</v>
      </c>
      <c r="C343" s="1" t="s">
        <v>715</v>
      </c>
      <c r="D343" s="1"/>
      <c r="E343" s="1">
        <v>342.0</v>
      </c>
      <c r="F343" s="1" t="s">
        <v>2251</v>
      </c>
      <c r="G343" s="1" t="str">
        <f>IFERROR(__xludf.DUMMYFUNCTION("SPLIT(C343, "", "")"),"Drama")</f>
        <v>Drama</v>
      </c>
      <c r="H343" s="5" t="str">
        <f>IFERROR(__xludf.DUMMYFUNCTION("""COMPUTED_VALUE"""),"Romance")</f>
        <v>Romance</v>
      </c>
      <c r="I343" s="5" t="str">
        <f>IFERROR(__xludf.DUMMYFUNCTION("""COMPUTED_VALUE"""),"Sci-Fi")</f>
        <v>Sci-Fi</v>
      </c>
      <c r="J343" s="5" t="str">
        <f>IFERROR(__xludf.DUMMYFUNCTION("""COMPUTED_VALUE"""),"114🤙🏼A Clockwork Orange🤙🏼Sci-Fi🤙🏼3")</f>
        <v>114🤙🏼A Clockwork Orange🤙🏼Sci-Fi🤙🏼3</v>
      </c>
      <c r="K343" s="5">
        <f>IFERROR(__xludf.DUMMYFUNCTION("SPLiT(J343, ""🤙🏼"",FALSE,FALSE)"),114.0)</f>
        <v>114</v>
      </c>
      <c r="L343" s="5" t="str">
        <f>IFERROR(__xludf.DUMMYFUNCTION("""COMPUTED_VALUE"""),"A Clockwork Orange")</f>
        <v>A Clockwork Orange</v>
      </c>
      <c r="M343" s="5" t="str">
        <f>IFERROR(__xludf.DUMMYFUNCTION("""COMPUTED_VALUE"""),"Sci-Fi")</f>
        <v>Sci-Fi</v>
      </c>
      <c r="N343" s="5">
        <f>IFERROR(__xludf.DUMMYFUNCTION("""COMPUTED_VALUE"""),3.0)</f>
        <v>3</v>
      </c>
      <c r="S343" s="5">
        <f>IFERROR(__xludf.DUMMYFUNCTION("""COMPUTED_VALUE"""),138.0)</f>
        <v>138</v>
      </c>
      <c r="T343" s="5" t="str">
        <f>IFERROR(__xludf.DUMMYFUNCTION("""COMPUTED_VALUE"""),"Queen")</f>
        <v>Queen</v>
      </c>
      <c r="U343" s="5" t="str">
        <f>IFERROR(__xludf.DUMMYFUNCTION("""COMPUTED_VALUE"""),"Comedy")</f>
        <v>Comedy</v>
      </c>
      <c r="V343" s="5">
        <f>IFERROR(__xludf.DUMMYFUNCTION("""COMPUTED_VALUE"""),2.0)</f>
        <v>2</v>
      </c>
    </row>
    <row r="344">
      <c r="A344" s="1">
        <v>343.0</v>
      </c>
      <c r="B344" s="1" t="s">
        <v>2255</v>
      </c>
      <c r="C344" s="1" t="s">
        <v>314</v>
      </c>
      <c r="D344" s="1"/>
      <c r="E344" s="1">
        <v>343.0</v>
      </c>
      <c r="F344" s="1" t="s">
        <v>2255</v>
      </c>
      <c r="G344" s="1" t="str">
        <f>IFERROR(__xludf.DUMMYFUNCTION("SPLIT(C344, "", "")"),"Biography")</f>
        <v>Biography</v>
      </c>
      <c r="H344" s="5" t="str">
        <f>IFERROR(__xludf.DUMMYFUNCTION("""COMPUTED_VALUE"""),"Drama")</f>
        <v>Drama</v>
      </c>
      <c r="I344" s="5" t="str">
        <f>IFERROR(__xludf.DUMMYFUNCTION("""COMPUTED_VALUE"""),"Music")</f>
        <v>Music</v>
      </c>
      <c r="J344" s="5" t="str">
        <f>IFERROR(__xludf.DUMMYFUNCTION("""COMPUTED_VALUE"""),"115🤙🏼2001: A Space Odyssey🤙🏼Adventure🤙🏼1")</f>
        <v>115🤙🏼2001: A Space Odyssey🤙🏼Adventure🤙🏼1</v>
      </c>
      <c r="K344" s="5">
        <f>IFERROR(__xludf.DUMMYFUNCTION("SPLiT(J344, ""🤙🏼"",FALSE,FALSE)"),115.0)</f>
        <v>115</v>
      </c>
      <c r="L344" s="5" t="str">
        <f>IFERROR(__xludf.DUMMYFUNCTION("""COMPUTED_VALUE"""),"2001: A Space Odyssey")</f>
        <v>2001: A Space Odyssey</v>
      </c>
      <c r="M344" s="5" t="str">
        <f>IFERROR(__xludf.DUMMYFUNCTION("""COMPUTED_VALUE"""),"Adventure")</f>
        <v>Adventure</v>
      </c>
      <c r="N344" s="5">
        <f>IFERROR(__xludf.DUMMYFUNCTION("""COMPUTED_VALUE"""),1.0)</f>
        <v>1</v>
      </c>
      <c r="S344" s="5">
        <f>IFERROR(__xludf.DUMMYFUNCTION("""COMPUTED_VALUE"""),138.0)</f>
        <v>138</v>
      </c>
      <c r="T344" s="5" t="str">
        <f>IFERROR(__xludf.DUMMYFUNCTION("""COMPUTED_VALUE"""),"Queen")</f>
        <v>Queen</v>
      </c>
      <c r="U344" s="5" t="str">
        <f>IFERROR(__xludf.DUMMYFUNCTION("""COMPUTED_VALUE"""),"Drama")</f>
        <v>Drama</v>
      </c>
      <c r="V344" s="5">
        <f>IFERROR(__xludf.DUMMYFUNCTION("""COMPUTED_VALUE"""),3.0)</f>
        <v>3</v>
      </c>
    </row>
    <row r="345">
      <c r="A345" s="1">
        <v>344.0</v>
      </c>
      <c r="B345" s="1" t="s">
        <v>2261</v>
      </c>
      <c r="C345" s="1" t="s">
        <v>62</v>
      </c>
      <c r="D345" s="1"/>
      <c r="E345" s="1">
        <v>344.0</v>
      </c>
      <c r="F345" s="1" t="s">
        <v>2261</v>
      </c>
      <c r="G345" s="1" t="str">
        <f>IFERROR(__xludf.DUMMYFUNCTION("SPLIT(C345, "", "")"),"Action")</f>
        <v>Action</v>
      </c>
      <c r="H345" s="5" t="str">
        <f>IFERROR(__xludf.DUMMYFUNCTION("""COMPUTED_VALUE"""),"Adventure")</f>
        <v>Adventure</v>
      </c>
      <c r="I345" s="5" t="str">
        <f>IFERROR(__xludf.DUMMYFUNCTION("""COMPUTED_VALUE"""),"Drama")</f>
        <v>Drama</v>
      </c>
      <c r="J345" s="5" t="str">
        <f>IFERROR(__xludf.DUMMYFUNCTION("""COMPUTED_VALUE"""),"115🤙🏼2001: A Space Odyssey🤙🏼Sci-Fi🤙🏼2")</f>
        <v>115🤙🏼2001: A Space Odyssey🤙🏼Sci-Fi🤙🏼2</v>
      </c>
      <c r="K345" s="5">
        <f>IFERROR(__xludf.DUMMYFUNCTION("SPLiT(J345, ""🤙🏼"",FALSE,FALSE)"),115.0)</f>
        <v>115</v>
      </c>
      <c r="L345" s="5" t="str">
        <f>IFERROR(__xludf.DUMMYFUNCTION("""COMPUTED_VALUE"""),"2001: A Space Odyssey")</f>
        <v>2001: A Space Odyssey</v>
      </c>
      <c r="M345" s="5" t="str">
        <f>IFERROR(__xludf.DUMMYFUNCTION("""COMPUTED_VALUE"""),"Sci-Fi")</f>
        <v>Sci-Fi</v>
      </c>
      <c r="N345" s="5">
        <f>IFERROR(__xludf.DUMMYFUNCTION("""COMPUTED_VALUE"""),2.0)</f>
        <v>2</v>
      </c>
      <c r="S345" s="5">
        <f>IFERROR(__xludf.DUMMYFUNCTION("""COMPUTED_VALUE"""),139.0)</f>
        <v>139</v>
      </c>
      <c r="T345" s="5" t="str">
        <f>IFERROR(__xludf.DUMMYFUNCTION("""COMPUTED_VALUE"""),"Mandariinid")</f>
        <v>Mandariinid</v>
      </c>
      <c r="U345" s="5" t="str">
        <f>IFERROR(__xludf.DUMMYFUNCTION("""COMPUTED_VALUE"""),"Drama")</f>
        <v>Drama</v>
      </c>
      <c r="V345" s="5">
        <f>IFERROR(__xludf.DUMMYFUNCTION("""COMPUTED_VALUE"""),1.0)</f>
        <v>1</v>
      </c>
    </row>
    <row r="346">
      <c r="A346" s="1">
        <v>345.0</v>
      </c>
      <c r="B346" s="1" t="s">
        <v>2265</v>
      </c>
      <c r="C346" s="1" t="s">
        <v>107</v>
      </c>
      <c r="D346" s="1"/>
      <c r="E346" s="1">
        <v>345.0</v>
      </c>
      <c r="F346" s="1" t="s">
        <v>2265</v>
      </c>
      <c r="G346" s="1" t="str">
        <f>IFERROR(__xludf.DUMMYFUNCTION("SPLIT(C346, "", "")"),"Drama")</f>
        <v>Drama</v>
      </c>
      <c r="H346" s="5" t="str">
        <f>IFERROR(__xludf.DUMMYFUNCTION("""COMPUTED_VALUE"""),"Romance")</f>
        <v>Romance</v>
      </c>
      <c r="J346" s="5" t="str">
        <f>IFERROR(__xludf.DUMMYFUNCTION("""COMPUTED_VALUE"""),"115🤙🏼2001: A Space Odyssey🤙🏼🤙🏼3")</f>
        <v>115🤙🏼2001: A Space Odyssey🤙🏼🤙🏼3</v>
      </c>
      <c r="K346" s="5">
        <f>IFERROR(__xludf.DUMMYFUNCTION("SPLiT(J346, ""🤙🏼"",FALSE,FALSE)"),115.0)</f>
        <v>115</v>
      </c>
      <c r="L346" s="5" t="str">
        <f>IFERROR(__xludf.DUMMYFUNCTION("""COMPUTED_VALUE"""),"2001: A Space Odyssey")</f>
        <v>2001: A Space Odyssey</v>
      </c>
      <c r="M346" s="5"/>
      <c r="N346" s="5">
        <f>IFERROR(__xludf.DUMMYFUNCTION("""COMPUTED_VALUE"""),3.0)</f>
        <v>3</v>
      </c>
      <c r="S346" s="5">
        <f>IFERROR(__xludf.DUMMYFUNCTION("""COMPUTED_VALUE"""),139.0)</f>
        <v>139</v>
      </c>
      <c r="T346" s="5" t="str">
        <f>IFERROR(__xludf.DUMMYFUNCTION("""COMPUTED_VALUE"""),"Mandariinid")</f>
        <v>Mandariinid</v>
      </c>
      <c r="U346" s="5" t="str">
        <f>IFERROR(__xludf.DUMMYFUNCTION("""COMPUTED_VALUE"""),"War")</f>
        <v>War</v>
      </c>
      <c r="V346" s="5">
        <f>IFERROR(__xludf.DUMMYFUNCTION("""COMPUTED_VALUE"""),2.0)</f>
        <v>2</v>
      </c>
    </row>
    <row r="347">
      <c r="A347" s="1">
        <v>346.0</v>
      </c>
      <c r="B347" s="1" t="s">
        <v>2270</v>
      </c>
      <c r="C347" s="1" t="s">
        <v>39</v>
      </c>
      <c r="D347" s="1"/>
      <c r="E347" s="1">
        <v>346.0</v>
      </c>
      <c r="F347" s="1" t="s">
        <v>2270</v>
      </c>
      <c r="G347" s="1" t="str">
        <f>IFERROR(__xludf.DUMMYFUNCTION("SPLIT(C347, "", "")"),"Action")</f>
        <v>Action</v>
      </c>
      <c r="H347" s="5" t="str">
        <f>IFERROR(__xludf.DUMMYFUNCTION("""COMPUTED_VALUE"""),"Crime")</f>
        <v>Crime</v>
      </c>
      <c r="I347" s="5" t="str">
        <f>IFERROR(__xludf.DUMMYFUNCTION("""COMPUTED_VALUE"""),"Drama")</f>
        <v>Drama</v>
      </c>
      <c r="J347" s="5" t="str">
        <f>IFERROR(__xludf.DUMMYFUNCTION("""COMPUTED_VALUE"""),"116🤙🏼Per qualche dollaro in più🤙🏼Western🤙🏼1")</f>
        <v>116🤙🏼Per qualche dollaro in più🤙🏼Western🤙🏼1</v>
      </c>
      <c r="K347" s="5">
        <f>IFERROR(__xludf.DUMMYFUNCTION("SPLiT(J347, ""🤙🏼"",FALSE,FALSE)"),116.0)</f>
        <v>116</v>
      </c>
      <c r="L347" s="5" t="str">
        <f>IFERROR(__xludf.DUMMYFUNCTION("""COMPUTED_VALUE"""),"Per qualche dollaro in più")</f>
        <v>Per qualche dollaro in più</v>
      </c>
      <c r="M347" s="5" t="str">
        <f>IFERROR(__xludf.DUMMYFUNCTION("""COMPUTED_VALUE"""),"Western")</f>
        <v>Western</v>
      </c>
      <c r="N347" s="5">
        <f>IFERROR(__xludf.DUMMYFUNCTION("""COMPUTED_VALUE"""),1.0)</f>
        <v>1</v>
      </c>
      <c r="S347" s="5">
        <f>IFERROR(__xludf.DUMMYFUNCTION("""COMPUTED_VALUE"""),140.0)</f>
        <v>140</v>
      </c>
      <c r="T347" s="5" t="str">
        <f>IFERROR(__xludf.DUMMYFUNCTION("""COMPUTED_VALUE"""),"Bhaag Milkha Bhaag")</f>
        <v>Bhaag Milkha Bhaag</v>
      </c>
      <c r="U347" s="5" t="str">
        <f>IFERROR(__xludf.DUMMYFUNCTION("""COMPUTED_VALUE"""),"Biography")</f>
        <v>Biography</v>
      </c>
      <c r="V347" s="5">
        <f>IFERROR(__xludf.DUMMYFUNCTION("""COMPUTED_VALUE"""),1.0)</f>
        <v>1</v>
      </c>
    </row>
    <row r="348">
      <c r="A348" s="1">
        <v>347.0</v>
      </c>
      <c r="B348" s="1" t="s">
        <v>2277</v>
      </c>
      <c r="C348" s="1" t="s">
        <v>79</v>
      </c>
      <c r="D348" s="1"/>
      <c r="E348" s="1">
        <v>347.0</v>
      </c>
      <c r="F348" s="1" t="s">
        <v>2277</v>
      </c>
      <c r="G348" s="1" t="str">
        <f>IFERROR(__xludf.DUMMYFUNCTION("SPLIT(C348, "", "")"),"Biography")</f>
        <v>Biography</v>
      </c>
      <c r="H348" s="5" t="str">
        <f>IFERROR(__xludf.DUMMYFUNCTION("""COMPUTED_VALUE"""),"Drama")</f>
        <v>Drama</v>
      </c>
      <c r="I348" s="5" t="str">
        <f>IFERROR(__xludf.DUMMYFUNCTION("""COMPUTED_VALUE"""),"History")</f>
        <v>History</v>
      </c>
      <c r="J348" s="5" t="str">
        <f>IFERROR(__xludf.DUMMYFUNCTION("""COMPUTED_VALUE"""),"116🤙🏼Per qualche dollaro in più🤙🏼🤙🏼2")</f>
        <v>116🤙🏼Per qualche dollaro in più🤙🏼🤙🏼2</v>
      </c>
      <c r="K348" s="5">
        <f>IFERROR(__xludf.DUMMYFUNCTION("SPLiT(J348, ""🤙🏼"",FALSE,FALSE)"),116.0)</f>
        <v>116</v>
      </c>
      <c r="L348" s="5" t="str">
        <f>IFERROR(__xludf.DUMMYFUNCTION("""COMPUTED_VALUE"""),"Per qualche dollaro in più")</f>
        <v>Per qualche dollaro in più</v>
      </c>
      <c r="M348" s="5"/>
      <c r="N348" s="5">
        <f>IFERROR(__xludf.DUMMYFUNCTION("""COMPUTED_VALUE"""),2.0)</f>
        <v>2</v>
      </c>
      <c r="S348" s="5">
        <f>IFERROR(__xludf.DUMMYFUNCTION("""COMPUTED_VALUE"""),140.0)</f>
        <v>140</v>
      </c>
      <c r="T348" s="5" t="str">
        <f>IFERROR(__xludf.DUMMYFUNCTION("""COMPUTED_VALUE"""),"Bhaag Milkha Bhaag")</f>
        <v>Bhaag Milkha Bhaag</v>
      </c>
      <c r="U348" s="5" t="str">
        <f>IFERROR(__xludf.DUMMYFUNCTION("""COMPUTED_VALUE"""),"Drama")</f>
        <v>Drama</v>
      </c>
      <c r="V348" s="5">
        <f>IFERROR(__xludf.DUMMYFUNCTION("""COMPUTED_VALUE"""),2.0)</f>
        <v>2</v>
      </c>
    </row>
    <row r="349">
      <c r="A349" s="1">
        <v>348.0</v>
      </c>
      <c r="B349" s="1" t="s">
        <v>2283</v>
      </c>
      <c r="C349" s="1" t="s">
        <v>20</v>
      </c>
      <c r="D349" s="1"/>
      <c r="E349" s="1">
        <v>348.0</v>
      </c>
      <c r="F349" s="1" t="s">
        <v>2283</v>
      </c>
      <c r="G349" s="1" t="str">
        <f>IFERROR(__xludf.DUMMYFUNCTION("SPLIT(C349, "", "")"),"Drama")</f>
        <v>Drama</v>
      </c>
      <c r="J349" s="5" t="str">
        <f>IFERROR(__xludf.DUMMYFUNCTION("""COMPUTED_VALUE"""),"116🤙🏼Per qualche dollaro in più🤙🏼🤙🏼3")</f>
        <v>116🤙🏼Per qualche dollaro in più🤙🏼🤙🏼3</v>
      </c>
      <c r="K349" s="5">
        <f>IFERROR(__xludf.DUMMYFUNCTION("SPLiT(J349, ""🤙🏼"",FALSE,FALSE)"),116.0)</f>
        <v>116</v>
      </c>
      <c r="L349" s="5" t="str">
        <f>IFERROR(__xludf.DUMMYFUNCTION("""COMPUTED_VALUE"""),"Per qualche dollaro in più")</f>
        <v>Per qualche dollaro in più</v>
      </c>
      <c r="M349" s="5"/>
      <c r="N349" s="5">
        <f>IFERROR(__xludf.DUMMYFUNCTION("""COMPUTED_VALUE"""),3.0)</f>
        <v>3</v>
      </c>
      <c r="S349" s="5">
        <f>IFERROR(__xludf.DUMMYFUNCTION("""COMPUTED_VALUE"""),140.0)</f>
        <v>140</v>
      </c>
      <c r="T349" s="5" t="str">
        <f>IFERROR(__xludf.DUMMYFUNCTION("""COMPUTED_VALUE"""),"Bhaag Milkha Bhaag")</f>
        <v>Bhaag Milkha Bhaag</v>
      </c>
      <c r="U349" s="5" t="str">
        <f>IFERROR(__xludf.DUMMYFUNCTION("""COMPUTED_VALUE"""),"Sport")</f>
        <v>Sport</v>
      </c>
      <c r="V349" s="5">
        <f>IFERROR(__xludf.DUMMYFUNCTION("""COMPUTED_VALUE"""),3.0)</f>
        <v>3</v>
      </c>
    </row>
    <row r="350">
      <c r="A350" s="1">
        <v>349.0</v>
      </c>
      <c r="B350" s="1" t="s">
        <v>2288</v>
      </c>
      <c r="C350" s="1" t="s">
        <v>1252</v>
      </c>
      <c r="D350" s="1"/>
      <c r="E350" s="1">
        <v>349.0</v>
      </c>
      <c r="F350" s="1" t="s">
        <v>2288</v>
      </c>
      <c r="G350" s="1" t="str">
        <f>IFERROR(__xludf.DUMMYFUNCTION("SPLIT(C350, "", "")"),"Action")</f>
        <v>Action</v>
      </c>
      <c r="H350" s="5" t="str">
        <f>IFERROR(__xludf.DUMMYFUNCTION("""COMPUTED_VALUE"""),"Adventure")</f>
        <v>Adventure</v>
      </c>
      <c r="I350" s="5" t="str">
        <f>IFERROR(__xludf.DUMMYFUNCTION("""COMPUTED_VALUE"""),"Comedy")</f>
        <v>Comedy</v>
      </c>
      <c r="J350" s="5" t="str">
        <f>IFERROR(__xludf.DUMMYFUNCTION("""COMPUTED_VALUE"""),"117🤙🏼Lawrence of Arabia🤙🏼Adventure🤙🏼1")</f>
        <v>117🤙🏼Lawrence of Arabia🤙🏼Adventure🤙🏼1</v>
      </c>
      <c r="K350" s="5">
        <f>IFERROR(__xludf.DUMMYFUNCTION("SPLiT(J350, ""🤙🏼"",FALSE,FALSE)"),117.0)</f>
        <v>117</v>
      </c>
      <c r="L350" s="5" t="str">
        <f>IFERROR(__xludf.DUMMYFUNCTION("""COMPUTED_VALUE"""),"Lawrence of Arabia")</f>
        <v>Lawrence of Arabia</v>
      </c>
      <c r="M350" s="5" t="str">
        <f>IFERROR(__xludf.DUMMYFUNCTION("""COMPUTED_VALUE"""),"Adventure")</f>
        <v>Adventure</v>
      </c>
      <c r="N350" s="5">
        <f>IFERROR(__xludf.DUMMYFUNCTION("""COMPUTED_VALUE"""),1.0)</f>
        <v>1</v>
      </c>
      <c r="S350" s="5">
        <f>IFERROR(__xludf.DUMMYFUNCTION("""COMPUTED_VALUE"""),141.0)</f>
        <v>141</v>
      </c>
      <c r="T350" s="5" t="str">
        <f>IFERROR(__xludf.DUMMYFUNCTION("""COMPUTED_VALUE"""),"Gangs of Wasseypur")</f>
        <v>Gangs of Wasseypur</v>
      </c>
      <c r="U350" s="5" t="str">
        <f>IFERROR(__xludf.DUMMYFUNCTION("""COMPUTED_VALUE"""),"Action")</f>
        <v>Action</v>
      </c>
      <c r="V350" s="5">
        <f>IFERROR(__xludf.DUMMYFUNCTION("""COMPUTED_VALUE"""),1.0)</f>
        <v>1</v>
      </c>
    </row>
    <row r="351">
      <c r="A351" s="1">
        <v>350.0</v>
      </c>
      <c r="B351" s="1" t="s">
        <v>2295</v>
      </c>
      <c r="C351" s="1" t="s">
        <v>914</v>
      </c>
      <c r="D351" s="1"/>
      <c r="E351" s="1">
        <v>350.0</v>
      </c>
      <c r="F351" s="1" t="s">
        <v>2295</v>
      </c>
      <c r="G351" s="1" t="str">
        <f>IFERROR(__xludf.DUMMYFUNCTION("SPLIT(C351, "", "")"),"Drama")</f>
        <v>Drama</v>
      </c>
      <c r="H351" s="5" t="str">
        <f>IFERROR(__xludf.DUMMYFUNCTION("""COMPUTED_VALUE"""),"Mystery")</f>
        <v>Mystery</v>
      </c>
      <c r="J351" s="5" t="str">
        <f>IFERROR(__xludf.DUMMYFUNCTION("""COMPUTED_VALUE"""),"117🤙🏼Lawrence of Arabia🤙🏼Biography🤙🏼2")</f>
        <v>117🤙🏼Lawrence of Arabia🤙🏼Biography🤙🏼2</v>
      </c>
      <c r="K351" s="5">
        <f>IFERROR(__xludf.DUMMYFUNCTION("SPLiT(J351, ""🤙🏼"",FALSE,FALSE)"),117.0)</f>
        <v>117</v>
      </c>
      <c r="L351" s="5" t="str">
        <f>IFERROR(__xludf.DUMMYFUNCTION("""COMPUTED_VALUE"""),"Lawrence of Arabia")</f>
        <v>Lawrence of Arabia</v>
      </c>
      <c r="M351" s="5" t="str">
        <f>IFERROR(__xludf.DUMMYFUNCTION("""COMPUTED_VALUE"""),"Biography")</f>
        <v>Biography</v>
      </c>
      <c r="N351" s="5">
        <f>IFERROR(__xludf.DUMMYFUNCTION("""COMPUTED_VALUE"""),2.0)</f>
        <v>2</v>
      </c>
      <c r="S351" s="5">
        <f>IFERROR(__xludf.DUMMYFUNCTION("""COMPUTED_VALUE"""),141.0)</f>
        <v>141</v>
      </c>
      <c r="T351" s="5" t="str">
        <f>IFERROR(__xludf.DUMMYFUNCTION("""COMPUTED_VALUE"""),"Gangs of Wasseypur")</f>
        <v>Gangs of Wasseypur</v>
      </c>
      <c r="U351" s="5" t="str">
        <f>IFERROR(__xludf.DUMMYFUNCTION("""COMPUTED_VALUE"""),"Comedy")</f>
        <v>Comedy</v>
      </c>
      <c r="V351" s="5">
        <f>IFERROR(__xludf.DUMMYFUNCTION("""COMPUTED_VALUE"""),2.0)</f>
        <v>2</v>
      </c>
    </row>
    <row r="352">
      <c r="A352" s="1">
        <v>351.0</v>
      </c>
      <c r="B352" s="1" t="s">
        <v>2301</v>
      </c>
      <c r="C352" s="1" t="s">
        <v>107</v>
      </c>
      <c r="D352" s="1"/>
      <c r="E352" s="1">
        <v>351.0</v>
      </c>
      <c r="F352" s="1" t="s">
        <v>2301</v>
      </c>
      <c r="G352" s="1" t="str">
        <f>IFERROR(__xludf.DUMMYFUNCTION("SPLIT(C352, "", "")"),"Drama")</f>
        <v>Drama</v>
      </c>
      <c r="H352" s="5" t="str">
        <f>IFERROR(__xludf.DUMMYFUNCTION("""COMPUTED_VALUE"""),"Romance")</f>
        <v>Romance</v>
      </c>
      <c r="J352" s="5" t="str">
        <f>IFERROR(__xludf.DUMMYFUNCTION("""COMPUTED_VALUE"""),"117🤙🏼Lawrence of Arabia🤙🏼Drama🤙🏼3")</f>
        <v>117🤙🏼Lawrence of Arabia🤙🏼Drama🤙🏼3</v>
      </c>
      <c r="K352" s="5">
        <f>IFERROR(__xludf.DUMMYFUNCTION("SPLiT(J352, ""🤙🏼"",FALSE,FALSE)"),117.0)</f>
        <v>117</v>
      </c>
      <c r="L352" s="5" t="str">
        <f>IFERROR(__xludf.DUMMYFUNCTION("""COMPUTED_VALUE"""),"Lawrence of Arabia")</f>
        <v>Lawrence of Arabia</v>
      </c>
      <c r="M352" s="5" t="str">
        <f>IFERROR(__xludf.DUMMYFUNCTION("""COMPUTED_VALUE"""),"Drama")</f>
        <v>Drama</v>
      </c>
      <c r="N352" s="5">
        <f>IFERROR(__xludf.DUMMYFUNCTION("""COMPUTED_VALUE"""),3.0)</f>
        <v>3</v>
      </c>
      <c r="S352" s="5">
        <f>IFERROR(__xludf.DUMMYFUNCTION("""COMPUTED_VALUE"""),141.0)</f>
        <v>141</v>
      </c>
      <c r="T352" s="5" t="str">
        <f>IFERROR(__xludf.DUMMYFUNCTION("""COMPUTED_VALUE"""),"Gangs of Wasseypur")</f>
        <v>Gangs of Wasseypur</v>
      </c>
      <c r="U352" s="5" t="str">
        <f>IFERROR(__xludf.DUMMYFUNCTION("""COMPUTED_VALUE"""),"Crime")</f>
        <v>Crime</v>
      </c>
      <c r="V352" s="5">
        <f>IFERROR(__xludf.DUMMYFUNCTION("""COMPUTED_VALUE"""),3.0)</f>
        <v>3</v>
      </c>
    </row>
    <row r="353">
      <c r="A353" s="1">
        <v>352.0</v>
      </c>
      <c r="B353" s="1" t="s">
        <v>2306</v>
      </c>
      <c r="C353" s="1" t="s">
        <v>458</v>
      </c>
      <c r="D353" s="1"/>
      <c r="E353" s="1">
        <v>352.0</v>
      </c>
      <c r="F353" s="1" t="s">
        <v>2306</v>
      </c>
      <c r="G353" s="1" t="str">
        <f>IFERROR(__xludf.DUMMYFUNCTION("SPLIT(C353, "", "")"),"Action")</f>
        <v>Action</v>
      </c>
      <c r="H353" s="5" t="str">
        <f>IFERROR(__xludf.DUMMYFUNCTION("""COMPUTED_VALUE"""),"Biography")</f>
        <v>Biography</v>
      </c>
      <c r="I353" s="5" t="str">
        <f>IFERROR(__xludf.DUMMYFUNCTION("""COMPUTED_VALUE"""),"Drama")</f>
        <v>Drama</v>
      </c>
      <c r="J353" s="5" t="str">
        <f>IFERROR(__xludf.DUMMYFUNCTION("""COMPUTED_VALUE"""),"118🤙🏼The Apartment🤙🏼Comedy🤙🏼1")</f>
        <v>118🤙🏼The Apartment🤙🏼Comedy🤙🏼1</v>
      </c>
      <c r="K353" s="5">
        <f>IFERROR(__xludf.DUMMYFUNCTION("SPLiT(J353, ""🤙🏼"",FALSE,FALSE)"),118.0)</f>
        <v>118</v>
      </c>
      <c r="L353" s="5" t="str">
        <f>IFERROR(__xludf.DUMMYFUNCTION("""COMPUTED_VALUE"""),"The Apartment")</f>
        <v>The Apartment</v>
      </c>
      <c r="M353" s="5" t="str">
        <f>IFERROR(__xludf.DUMMYFUNCTION("""COMPUTED_VALUE"""),"Comedy")</f>
        <v>Comedy</v>
      </c>
      <c r="N353" s="5">
        <f>IFERROR(__xludf.DUMMYFUNCTION("""COMPUTED_VALUE"""),1.0)</f>
        <v>1</v>
      </c>
      <c r="S353" s="5">
        <f>IFERROR(__xludf.DUMMYFUNCTION("""COMPUTED_VALUE"""),142.0)</f>
        <v>142</v>
      </c>
      <c r="T353" s="5" t="str">
        <f>IFERROR(__xludf.DUMMYFUNCTION("""COMPUTED_VALUE"""),"Udaan")</f>
        <v>Udaan</v>
      </c>
      <c r="U353" s="5" t="str">
        <f>IFERROR(__xludf.DUMMYFUNCTION("""COMPUTED_VALUE"""),"Drama")</f>
        <v>Drama</v>
      </c>
      <c r="V353" s="5">
        <f>IFERROR(__xludf.DUMMYFUNCTION("""COMPUTED_VALUE"""),1.0)</f>
        <v>1</v>
      </c>
    </row>
    <row r="354">
      <c r="A354" s="1">
        <v>353.0</v>
      </c>
      <c r="B354" s="1" t="s">
        <v>2313</v>
      </c>
      <c r="C354" s="1" t="s">
        <v>20</v>
      </c>
      <c r="D354" s="1"/>
      <c r="E354" s="1">
        <v>353.0</v>
      </c>
      <c r="F354" s="1" t="s">
        <v>2313</v>
      </c>
      <c r="G354" s="1" t="str">
        <f>IFERROR(__xludf.DUMMYFUNCTION("SPLIT(C354, "", "")"),"Drama")</f>
        <v>Drama</v>
      </c>
      <c r="J354" s="5" t="str">
        <f>IFERROR(__xludf.DUMMYFUNCTION("""COMPUTED_VALUE"""),"118🤙🏼The Apartment🤙🏼Drama🤙🏼2")</f>
        <v>118🤙🏼The Apartment🤙🏼Drama🤙🏼2</v>
      </c>
      <c r="K354" s="5">
        <f>IFERROR(__xludf.DUMMYFUNCTION("SPLiT(J354, ""🤙🏼"",FALSE,FALSE)"),118.0)</f>
        <v>118</v>
      </c>
      <c r="L354" s="5" t="str">
        <f>IFERROR(__xludf.DUMMYFUNCTION("""COMPUTED_VALUE"""),"The Apartment")</f>
        <v>The Apartment</v>
      </c>
      <c r="M354" s="5" t="str">
        <f>IFERROR(__xludf.DUMMYFUNCTION("""COMPUTED_VALUE"""),"Drama")</f>
        <v>Drama</v>
      </c>
      <c r="N354" s="5">
        <f>IFERROR(__xludf.DUMMYFUNCTION("""COMPUTED_VALUE"""),2.0)</f>
        <v>2</v>
      </c>
      <c r="S354" s="5">
        <f>IFERROR(__xludf.DUMMYFUNCTION("""COMPUTED_VALUE"""),143.0)</f>
        <v>143</v>
      </c>
      <c r="T354" s="5" t="str">
        <f>IFERROR(__xludf.DUMMYFUNCTION("""COMPUTED_VALUE"""),"Paan Singh Tomar")</f>
        <v>Paan Singh Tomar</v>
      </c>
      <c r="U354" s="5" t="str">
        <f>IFERROR(__xludf.DUMMYFUNCTION("""COMPUTED_VALUE"""),"Action")</f>
        <v>Action</v>
      </c>
      <c r="V354" s="5">
        <f>IFERROR(__xludf.DUMMYFUNCTION("""COMPUTED_VALUE"""),1.0)</f>
        <v>1</v>
      </c>
    </row>
    <row r="355">
      <c r="A355" s="1">
        <v>354.0</v>
      </c>
      <c r="B355" s="1" t="s">
        <v>2318</v>
      </c>
      <c r="C355" s="1" t="s">
        <v>1283</v>
      </c>
      <c r="D355" s="1"/>
      <c r="E355" s="1">
        <v>354.0</v>
      </c>
      <c r="F355" s="1" t="s">
        <v>2318</v>
      </c>
      <c r="G355" s="1" t="str">
        <f>IFERROR(__xludf.DUMMYFUNCTION("SPLIT(C355, "", "")"),"Action")</f>
        <v>Action</v>
      </c>
      <c r="H355" s="5" t="str">
        <f>IFERROR(__xludf.DUMMYFUNCTION("""COMPUTED_VALUE"""),"Drama")</f>
        <v>Drama</v>
      </c>
      <c r="I355" s="5" t="str">
        <f>IFERROR(__xludf.DUMMYFUNCTION("""COMPUTED_VALUE"""),"Thriller")</f>
        <v>Thriller</v>
      </c>
      <c r="J355" s="5" t="str">
        <f>IFERROR(__xludf.DUMMYFUNCTION("""COMPUTED_VALUE"""),"118🤙🏼The Apartment🤙🏼Romance🤙🏼3")</f>
        <v>118🤙🏼The Apartment🤙🏼Romance🤙🏼3</v>
      </c>
      <c r="K355" s="5">
        <f>IFERROR(__xludf.DUMMYFUNCTION("SPLiT(J355, ""🤙🏼"",FALSE,FALSE)"),118.0)</f>
        <v>118</v>
      </c>
      <c r="L355" s="5" t="str">
        <f>IFERROR(__xludf.DUMMYFUNCTION("""COMPUTED_VALUE"""),"The Apartment")</f>
        <v>The Apartment</v>
      </c>
      <c r="M355" s="5" t="str">
        <f>IFERROR(__xludf.DUMMYFUNCTION("""COMPUTED_VALUE"""),"Romance")</f>
        <v>Romance</v>
      </c>
      <c r="N355" s="5">
        <f>IFERROR(__xludf.DUMMYFUNCTION("""COMPUTED_VALUE"""),3.0)</f>
        <v>3</v>
      </c>
      <c r="S355" s="5">
        <f>IFERROR(__xludf.DUMMYFUNCTION("""COMPUTED_VALUE"""),143.0)</f>
        <v>143</v>
      </c>
      <c r="T355" s="5" t="str">
        <f>IFERROR(__xludf.DUMMYFUNCTION("""COMPUTED_VALUE"""),"Paan Singh Tomar")</f>
        <v>Paan Singh Tomar</v>
      </c>
      <c r="U355" s="5" t="str">
        <f>IFERROR(__xludf.DUMMYFUNCTION("""COMPUTED_VALUE"""),"Biography")</f>
        <v>Biography</v>
      </c>
      <c r="V355" s="5">
        <f>IFERROR(__xludf.DUMMYFUNCTION("""COMPUTED_VALUE"""),2.0)</f>
        <v>2</v>
      </c>
    </row>
    <row r="356">
      <c r="A356" s="1">
        <v>355.0</v>
      </c>
      <c r="B356" s="1" t="s">
        <v>2324</v>
      </c>
      <c r="C356" s="1" t="s">
        <v>107</v>
      </c>
      <c r="D356" s="1"/>
      <c r="E356" s="1">
        <v>355.0</v>
      </c>
      <c r="F356" s="1" t="s">
        <v>2324</v>
      </c>
      <c r="G356" s="1" t="str">
        <f>IFERROR(__xludf.DUMMYFUNCTION("SPLIT(C356, "", "")"),"Drama")</f>
        <v>Drama</v>
      </c>
      <c r="H356" s="5" t="str">
        <f>IFERROR(__xludf.DUMMYFUNCTION("""COMPUTED_VALUE"""),"Romance")</f>
        <v>Romance</v>
      </c>
      <c r="J356" s="5" t="str">
        <f>IFERROR(__xludf.DUMMYFUNCTION("""COMPUTED_VALUE"""),"119🤙🏼North by Northwest🤙🏼Adventure🤙🏼1")</f>
        <v>119🤙🏼North by Northwest🤙🏼Adventure🤙🏼1</v>
      </c>
      <c r="K356" s="5">
        <f>IFERROR(__xludf.DUMMYFUNCTION("SPLiT(J356, ""🤙🏼"",FALSE,FALSE)"),119.0)</f>
        <v>119</v>
      </c>
      <c r="L356" s="5" t="str">
        <f>IFERROR(__xludf.DUMMYFUNCTION("""COMPUTED_VALUE"""),"North by Northwest")</f>
        <v>North by Northwest</v>
      </c>
      <c r="M356" s="5" t="str">
        <f>IFERROR(__xludf.DUMMYFUNCTION("""COMPUTED_VALUE"""),"Adventure")</f>
        <v>Adventure</v>
      </c>
      <c r="N356" s="5">
        <f>IFERROR(__xludf.DUMMYFUNCTION("""COMPUTED_VALUE"""),1.0)</f>
        <v>1</v>
      </c>
      <c r="S356" s="5">
        <f>IFERROR(__xludf.DUMMYFUNCTION("""COMPUTED_VALUE"""),143.0)</f>
        <v>143</v>
      </c>
      <c r="T356" s="5" t="str">
        <f>IFERROR(__xludf.DUMMYFUNCTION("""COMPUTED_VALUE"""),"Paan Singh Tomar")</f>
        <v>Paan Singh Tomar</v>
      </c>
      <c r="U356" s="5" t="str">
        <f>IFERROR(__xludf.DUMMYFUNCTION("""COMPUTED_VALUE"""),"Crime")</f>
        <v>Crime</v>
      </c>
      <c r="V356" s="5">
        <f>IFERROR(__xludf.DUMMYFUNCTION("""COMPUTED_VALUE"""),3.0)</f>
        <v>3</v>
      </c>
    </row>
    <row r="357">
      <c r="A357" s="1">
        <v>356.0</v>
      </c>
      <c r="B357" s="1" t="s">
        <v>2328</v>
      </c>
      <c r="C357" s="1" t="s">
        <v>1377</v>
      </c>
      <c r="D357" s="1"/>
      <c r="E357" s="1">
        <v>356.0</v>
      </c>
      <c r="F357" s="1" t="s">
        <v>2328</v>
      </c>
      <c r="G357" s="1" t="str">
        <f>IFERROR(__xludf.DUMMYFUNCTION("SPLIT(C357, "", "")"),"Drama")</f>
        <v>Drama</v>
      </c>
      <c r="H357" s="5" t="str">
        <f>IFERROR(__xludf.DUMMYFUNCTION("""COMPUTED_VALUE"""),"Thriller")</f>
        <v>Thriller</v>
      </c>
      <c r="J357" s="5" t="str">
        <f>IFERROR(__xludf.DUMMYFUNCTION("""COMPUTED_VALUE"""),"119🤙🏼North by Northwest🤙🏼Mystery🤙🏼2")</f>
        <v>119🤙🏼North by Northwest🤙🏼Mystery🤙🏼2</v>
      </c>
      <c r="K357" s="5">
        <f>IFERROR(__xludf.DUMMYFUNCTION("SPLiT(J357, ""🤙🏼"",FALSE,FALSE)"),119.0)</f>
        <v>119</v>
      </c>
      <c r="L357" s="5" t="str">
        <f>IFERROR(__xludf.DUMMYFUNCTION("""COMPUTED_VALUE"""),"North by Northwest")</f>
        <v>North by Northwest</v>
      </c>
      <c r="M357" s="5" t="str">
        <f>IFERROR(__xludf.DUMMYFUNCTION("""COMPUTED_VALUE"""),"Mystery")</f>
        <v>Mystery</v>
      </c>
      <c r="N357" s="5">
        <f>IFERROR(__xludf.DUMMYFUNCTION("""COMPUTED_VALUE"""),2.0)</f>
        <v>2</v>
      </c>
      <c r="S357" s="5">
        <f>IFERROR(__xludf.DUMMYFUNCTION("""COMPUTED_VALUE"""),144.0)</f>
        <v>144</v>
      </c>
      <c r="T357" s="5" t="str">
        <f>IFERROR(__xludf.DUMMYFUNCTION("""COMPUTED_VALUE"""),"El secreto de sus ojos")</f>
        <v>El secreto de sus ojos</v>
      </c>
      <c r="U357" s="5" t="str">
        <f>IFERROR(__xludf.DUMMYFUNCTION("""COMPUTED_VALUE"""),"Drama")</f>
        <v>Drama</v>
      </c>
      <c r="V357" s="5">
        <f>IFERROR(__xludf.DUMMYFUNCTION("""COMPUTED_VALUE"""),1.0)</f>
        <v>1</v>
      </c>
    </row>
    <row r="358">
      <c r="A358" s="1">
        <v>357.0</v>
      </c>
      <c r="B358" s="1" t="s">
        <v>2332</v>
      </c>
      <c r="C358" s="1" t="s">
        <v>39</v>
      </c>
      <c r="D358" s="1"/>
      <c r="E358" s="1">
        <v>357.0</v>
      </c>
      <c r="F358" s="1" t="s">
        <v>2332</v>
      </c>
      <c r="G358" s="1" t="str">
        <f>IFERROR(__xludf.DUMMYFUNCTION("SPLIT(C358, "", "")"),"Action")</f>
        <v>Action</v>
      </c>
      <c r="H358" s="5" t="str">
        <f>IFERROR(__xludf.DUMMYFUNCTION("""COMPUTED_VALUE"""),"Crime")</f>
        <v>Crime</v>
      </c>
      <c r="I358" s="5" t="str">
        <f>IFERROR(__xludf.DUMMYFUNCTION("""COMPUTED_VALUE"""),"Drama")</f>
        <v>Drama</v>
      </c>
      <c r="J358" s="5" t="str">
        <f>IFERROR(__xludf.DUMMYFUNCTION("""COMPUTED_VALUE"""),"119🤙🏼North by Northwest🤙🏼Thriller🤙🏼3")</f>
        <v>119🤙🏼North by Northwest🤙🏼Thriller🤙🏼3</v>
      </c>
      <c r="K358" s="5">
        <f>IFERROR(__xludf.DUMMYFUNCTION("SPLiT(J358, ""🤙🏼"",FALSE,FALSE)"),119.0)</f>
        <v>119</v>
      </c>
      <c r="L358" s="5" t="str">
        <f>IFERROR(__xludf.DUMMYFUNCTION("""COMPUTED_VALUE"""),"North by Northwest")</f>
        <v>North by Northwest</v>
      </c>
      <c r="M358" s="5" t="str">
        <f>IFERROR(__xludf.DUMMYFUNCTION("""COMPUTED_VALUE"""),"Thriller")</f>
        <v>Thriller</v>
      </c>
      <c r="N358" s="5">
        <f>IFERROR(__xludf.DUMMYFUNCTION("""COMPUTED_VALUE"""),3.0)</f>
        <v>3</v>
      </c>
      <c r="S358" s="5">
        <f>IFERROR(__xludf.DUMMYFUNCTION("""COMPUTED_VALUE"""),144.0)</f>
        <v>144</v>
      </c>
      <c r="T358" s="5" t="str">
        <f>IFERROR(__xludf.DUMMYFUNCTION("""COMPUTED_VALUE"""),"El secreto de sus ojos")</f>
        <v>El secreto de sus ojos</v>
      </c>
      <c r="U358" s="5" t="str">
        <f>IFERROR(__xludf.DUMMYFUNCTION("""COMPUTED_VALUE"""),"Mystery")</f>
        <v>Mystery</v>
      </c>
      <c r="V358" s="5">
        <f>IFERROR(__xludf.DUMMYFUNCTION("""COMPUTED_VALUE"""),2.0)</f>
        <v>2</v>
      </c>
    </row>
    <row r="359">
      <c r="A359" s="1">
        <v>358.0</v>
      </c>
      <c r="B359" s="1" t="s">
        <v>2336</v>
      </c>
      <c r="C359" s="1" t="s">
        <v>88</v>
      </c>
      <c r="D359" s="1"/>
      <c r="E359" s="1">
        <v>358.0</v>
      </c>
      <c r="F359" s="1" t="s">
        <v>2336</v>
      </c>
      <c r="G359" s="1" t="str">
        <f>IFERROR(__xludf.DUMMYFUNCTION("SPLIT(C359, "", "")"),"Action")</f>
        <v>Action</v>
      </c>
      <c r="H359" s="5" t="str">
        <f>IFERROR(__xludf.DUMMYFUNCTION("""COMPUTED_VALUE"""),"Adventure")</f>
        <v>Adventure</v>
      </c>
      <c r="I359" s="5" t="str">
        <f>IFERROR(__xludf.DUMMYFUNCTION("""COMPUTED_VALUE"""),"Sci-Fi")</f>
        <v>Sci-Fi</v>
      </c>
      <c r="J359" s="5" t="str">
        <f>IFERROR(__xludf.DUMMYFUNCTION("""COMPUTED_VALUE"""),"120🤙🏼Vertigo🤙🏼Mystery🤙🏼1")</f>
        <v>120🤙🏼Vertigo🤙🏼Mystery🤙🏼1</v>
      </c>
      <c r="K359" s="5">
        <f>IFERROR(__xludf.DUMMYFUNCTION("SPLiT(J359, ""🤙🏼"",FALSE,FALSE)"),120.0)</f>
        <v>120</v>
      </c>
      <c r="L359" s="5" t="str">
        <f>IFERROR(__xludf.DUMMYFUNCTION("""COMPUTED_VALUE"""),"Vertigo")</f>
        <v>Vertigo</v>
      </c>
      <c r="M359" s="5" t="str">
        <f>IFERROR(__xludf.DUMMYFUNCTION("""COMPUTED_VALUE"""),"Mystery")</f>
        <v>Mystery</v>
      </c>
      <c r="N359" s="5">
        <f>IFERROR(__xludf.DUMMYFUNCTION("""COMPUTED_VALUE"""),1.0)</f>
        <v>1</v>
      </c>
      <c r="S359" s="5">
        <f>IFERROR(__xludf.DUMMYFUNCTION("""COMPUTED_VALUE"""),144.0)</f>
        <v>144</v>
      </c>
      <c r="T359" s="5" t="str">
        <f>IFERROR(__xludf.DUMMYFUNCTION("""COMPUTED_VALUE"""),"El secreto de sus ojos")</f>
        <v>El secreto de sus ojos</v>
      </c>
      <c r="U359" s="5" t="str">
        <f>IFERROR(__xludf.DUMMYFUNCTION("""COMPUTED_VALUE"""),"Romance")</f>
        <v>Romance</v>
      </c>
      <c r="V359" s="5">
        <f>IFERROR(__xludf.DUMMYFUNCTION("""COMPUTED_VALUE"""),3.0)</f>
        <v>3</v>
      </c>
    </row>
    <row r="360">
      <c r="A360" s="1">
        <v>359.0</v>
      </c>
      <c r="B360" s="1" t="s">
        <v>2340</v>
      </c>
      <c r="C360" s="1" t="s">
        <v>2341</v>
      </c>
      <c r="D360" s="1"/>
      <c r="E360" s="1">
        <v>359.0</v>
      </c>
      <c r="F360" s="1" t="s">
        <v>2340</v>
      </c>
      <c r="G360" s="1" t="str">
        <f>IFERROR(__xludf.DUMMYFUNCTION("SPLIT(C360, "", "")"),"Animation")</f>
        <v>Animation</v>
      </c>
      <c r="H360" s="5" t="str">
        <f>IFERROR(__xludf.DUMMYFUNCTION("""COMPUTED_VALUE"""),"Biography")</f>
        <v>Biography</v>
      </c>
      <c r="I360" s="5" t="str">
        <f>IFERROR(__xludf.DUMMYFUNCTION("""COMPUTED_VALUE"""),"Drama")</f>
        <v>Drama</v>
      </c>
      <c r="J360" s="5" t="str">
        <f>IFERROR(__xludf.DUMMYFUNCTION("""COMPUTED_VALUE"""),"120🤙🏼Vertigo🤙🏼Romance🤙🏼2")</f>
        <v>120🤙🏼Vertigo🤙🏼Romance🤙🏼2</v>
      </c>
      <c r="K360" s="5">
        <f>IFERROR(__xludf.DUMMYFUNCTION("SPLiT(J360, ""🤙🏼"",FALSE,FALSE)"),120.0)</f>
        <v>120</v>
      </c>
      <c r="L360" s="5" t="str">
        <f>IFERROR(__xludf.DUMMYFUNCTION("""COMPUTED_VALUE"""),"Vertigo")</f>
        <v>Vertigo</v>
      </c>
      <c r="M360" s="5" t="str">
        <f>IFERROR(__xludf.DUMMYFUNCTION("""COMPUTED_VALUE"""),"Romance")</f>
        <v>Romance</v>
      </c>
      <c r="N360" s="5">
        <f>IFERROR(__xludf.DUMMYFUNCTION("""COMPUTED_VALUE"""),2.0)</f>
        <v>2</v>
      </c>
      <c r="S360" s="5">
        <f>IFERROR(__xludf.DUMMYFUNCTION("""COMPUTED_VALUE"""),145.0)</f>
        <v>145</v>
      </c>
      <c r="T360" s="5" t="str">
        <f>IFERROR(__xludf.DUMMYFUNCTION("""COMPUTED_VALUE"""),"Warrior")</f>
        <v>Warrior</v>
      </c>
      <c r="U360" s="5" t="str">
        <f>IFERROR(__xludf.DUMMYFUNCTION("""COMPUTED_VALUE"""),"Action")</f>
        <v>Action</v>
      </c>
      <c r="V360" s="5">
        <f>IFERROR(__xludf.DUMMYFUNCTION("""COMPUTED_VALUE"""),1.0)</f>
        <v>1</v>
      </c>
    </row>
    <row r="361">
      <c r="A361" s="1">
        <v>360.0</v>
      </c>
      <c r="B361" s="1" t="s">
        <v>2348</v>
      </c>
      <c r="C361" s="1" t="s">
        <v>1148</v>
      </c>
      <c r="D361" s="1"/>
      <c r="E361" s="1">
        <v>360.0</v>
      </c>
      <c r="F361" s="1" t="s">
        <v>2348</v>
      </c>
      <c r="G361" s="1" t="str">
        <f>IFERROR(__xludf.DUMMYFUNCTION("SPLIT(C361, "", "")"),"Biography")</f>
        <v>Biography</v>
      </c>
      <c r="H361" s="5" t="str">
        <f>IFERROR(__xludf.DUMMYFUNCTION("""COMPUTED_VALUE"""),"Drama")</f>
        <v>Drama</v>
      </c>
      <c r="J361" s="5" t="str">
        <f>IFERROR(__xludf.DUMMYFUNCTION("""COMPUTED_VALUE"""),"120🤙🏼Vertigo🤙🏼Thriller🤙🏼3")</f>
        <v>120🤙🏼Vertigo🤙🏼Thriller🤙🏼3</v>
      </c>
      <c r="K361" s="5">
        <f>IFERROR(__xludf.DUMMYFUNCTION("SPLiT(J361, ""🤙🏼"",FALSE,FALSE)"),120.0)</f>
        <v>120</v>
      </c>
      <c r="L361" s="5" t="str">
        <f>IFERROR(__xludf.DUMMYFUNCTION("""COMPUTED_VALUE"""),"Vertigo")</f>
        <v>Vertigo</v>
      </c>
      <c r="M361" s="5" t="str">
        <f>IFERROR(__xludf.DUMMYFUNCTION("""COMPUTED_VALUE"""),"Thriller")</f>
        <v>Thriller</v>
      </c>
      <c r="N361" s="5">
        <f>IFERROR(__xludf.DUMMYFUNCTION("""COMPUTED_VALUE"""),3.0)</f>
        <v>3</v>
      </c>
      <c r="S361" s="5">
        <f>IFERROR(__xludf.DUMMYFUNCTION("""COMPUTED_VALUE"""),145.0)</f>
        <v>145</v>
      </c>
      <c r="T361" s="5" t="str">
        <f>IFERROR(__xludf.DUMMYFUNCTION("""COMPUTED_VALUE"""),"Warrior")</f>
        <v>Warrior</v>
      </c>
      <c r="U361" s="5" t="str">
        <f>IFERROR(__xludf.DUMMYFUNCTION("""COMPUTED_VALUE"""),"Drama")</f>
        <v>Drama</v>
      </c>
      <c r="V361" s="5">
        <f>IFERROR(__xludf.DUMMYFUNCTION("""COMPUTED_VALUE"""),2.0)</f>
        <v>2</v>
      </c>
    </row>
    <row r="362">
      <c r="A362" s="1">
        <v>361.0</v>
      </c>
      <c r="B362" s="1" t="s">
        <v>2353</v>
      </c>
      <c r="C362" s="1" t="s">
        <v>1148</v>
      </c>
      <c r="D362" s="1"/>
      <c r="E362" s="1">
        <v>361.0</v>
      </c>
      <c r="F362" s="1" t="s">
        <v>2353</v>
      </c>
      <c r="G362" s="1" t="str">
        <f>IFERROR(__xludf.DUMMYFUNCTION("SPLIT(C362, "", "")"),"Biography")</f>
        <v>Biography</v>
      </c>
      <c r="H362" s="5" t="str">
        <f>IFERROR(__xludf.DUMMYFUNCTION("""COMPUTED_VALUE"""),"Drama")</f>
        <v>Drama</v>
      </c>
      <c r="J362" s="5" t="str">
        <f>IFERROR(__xludf.DUMMYFUNCTION("""COMPUTED_VALUE"""),"121🤙🏼Singin' in the Rain🤙🏼Comedy🤙🏼1")</f>
        <v>121🤙🏼Singin' in the Rain🤙🏼Comedy🤙🏼1</v>
      </c>
      <c r="K362" s="5">
        <f>IFERROR(__xludf.DUMMYFUNCTION("SPLiT(J362, ""🤙🏼"",FALSE,FALSE)"),121.0)</f>
        <v>121</v>
      </c>
      <c r="L362" s="5" t="str">
        <f>IFERROR(__xludf.DUMMYFUNCTION("""COMPUTED_VALUE"""),"Singin' in the Rain")</f>
        <v>Singin' in the Rain</v>
      </c>
      <c r="M362" s="5" t="str">
        <f>IFERROR(__xludf.DUMMYFUNCTION("""COMPUTED_VALUE"""),"Comedy")</f>
        <v>Comedy</v>
      </c>
      <c r="N362" s="5">
        <f>IFERROR(__xludf.DUMMYFUNCTION("""COMPUTED_VALUE"""),1.0)</f>
        <v>1</v>
      </c>
      <c r="S362" s="5">
        <f>IFERROR(__xludf.DUMMYFUNCTION("""COMPUTED_VALUE"""),145.0)</f>
        <v>145</v>
      </c>
      <c r="T362" s="5" t="str">
        <f>IFERROR(__xludf.DUMMYFUNCTION("""COMPUTED_VALUE"""),"Warrior")</f>
        <v>Warrior</v>
      </c>
      <c r="U362" s="5" t="str">
        <f>IFERROR(__xludf.DUMMYFUNCTION("""COMPUTED_VALUE"""),"Sport")</f>
        <v>Sport</v>
      </c>
      <c r="V362" s="5">
        <f>IFERROR(__xludf.DUMMYFUNCTION("""COMPUTED_VALUE"""),3.0)</f>
        <v>3</v>
      </c>
    </row>
    <row r="363">
      <c r="A363" s="1">
        <v>362.0</v>
      </c>
      <c r="B363" s="1" t="s">
        <v>2360</v>
      </c>
      <c r="C363" s="1" t="s">
        <v>817</v>
      </c>
      <c r="D363" s="1"/>
      <c r="E363" s="1">
        <v>362.0</v>
      </c>
      <c r="F363" s="1" t="s">
        <v>2360</v>
      </c>
      <c r="G363" s="1" t="str">
        <f>IFERROR(__xludf.DUMMYFUNCTION("SPLIT(C363, "", "")"),"Adventure")</f>
        <v>Adventure</v>
      </c>
      <c r="H363" s="5" t="str">
        <f>IFERROR(__xludf.DUMMYFUNCTION("""COMPUTED_VALUE"""),"Drama")</f>
        <v>Drama</v>
      </c>
      <c r="I363" s="5" t="str">
        <f>IFERROR(__xludf.DUMMYFUNCTION("""COMPUTED_VALUE"""),"Thriller")</f>
        <v>Thriller</v>
      </c>
      <c r="J363" s="5" t="str">
        <f>IFERROR(__xludf.DUMMYFUNCTION("""COMPUTED_VALUE"""),"121🤙🏼Singin' in the Rain🤙🏼Musical🤙🏼2")</f>
        <v>121🤙🏼Singin' in the Rain🤙🏼Musical🤙🏼2</v>
      </c>
      <c r="K363" s="5">
        <f>IFERROR(__xludf.DUMMYFUNCTION("SPLiT(J363, ""🤙🏼"",FALSE,FALSE)"),121.0)</f>
        <v>121</v>
      </c>
      <c r="L363" s="5" t="str">
        <f>IFERROR(__xludf.DUMMYFUNCTION("""COMPUTED_VALUE"""),"Singin' in the Rain")</f>
        <v>Singin' in the Rain</v>
      </c>
      <c r="M363" s="5" t="str">
        <f>IFERROR(__xludf.DUMMYFUNCTION("""COMPUTED_VALUE"""),"Musical")</f>
        <v>Musical</v>
      </c>
      <c r="N363" s="5">
        <f>IFERROR(__xludf.DUMMYFUNCTION("""COMPUTED_VALUE"""),2.0)</f>
        <v>2</v>
      </c>
      <c r="S363" s="5">
        <f>IFERROR(__xludf.DUMMYFUNCTION("""COMPUTED_VALUE"""),146.0)</f>
        <v>146</v>
      </c>
      <c r="T363" s="5" t="str">
        <f>IFERROR(__xludf.DUMMYFUNCTION("""COMPUTED_VALUE"""),"Shutter Island")</f>
        <v>Shutter Island</v>
      </c>
      <c r="U363" s="5" t="str">
        <f>IFERROR(__xludf.DUMMYFUNCTION("""COMPUTED_VALUE"""),"Mystery")</f>
        <v>Mystery</v>
      </c>
      <c r="V363" s="5">
        <f>IFERROR(__xludf.DUMMYFUNCTION("""COMPUTED_VALUE"""),1.0)</f>
        <v>1</v>
      </c>
    </row>
    <row r="364">
      <c r="A364" s="1">
        <v>363.0</v>
      </c>
      <c r="B364" s="1" t="s">
        <v>2365</v>
      </c>
      <c r="C364" s="1" t="s">
        <v>2366</v>
      </c>
      <c r="D364" s="1"/>
      <c r="E364" s="1">
        <v>363.0</v>
      </c>
      <c r="F364" s="1" t="s">
        <v>2365</v>
      </c>
      <c r="G364" s="1" t="str">
        <f>IFERROR(__xludf.DUMMYFUNCTION("SPLIT(C364, "", "")"),"Action")</f>
        <v>Action</v>
      </c>
      <c r="H364" s="5" t="str">
        <f>IFERROR(__xludf.DUMMYFUNCTION("""COMPUTED_VALUE"""),"Mystery")</f>
        <v>Mystery</v>
      </c>
      <c r="I364" s="5" t="str">
        <f>IFERROR(__xludf.DUMMYFUNCTION("""COMPUTED_VALUE"""),"Thriller")</f>
        <v>Thriller</v>
      </c>
      <c r="J364" s="5" t="str">
        <f>IFERROR(__xludf.DUMMYFUNCTION("""COMPUTED_VALUE"""),"121🤙🏼Singin' in the Rain🤙🏼Romance🤙🏼3")</f>
        <v>121🤙🏼Singin' in the Rain🤙🏼Romance🤙🏼3</v>
      </c>
      <c r="K364" s="5">
        <f>IFERROR(__xludf.DUMMYFUNCTION("SPLiT(J364, ""🤙🏼"",FALSE,FALSE)"),121.0)</f>
        <v>121</v>
      </c>
      <c r="L364" s="5" t="str">
        <f>IFERROR(__xludf.DUMMYFUNCTION("""COMPUTED_VALUE"""),"Singin' in the Rain")</f>
        <v>Singin' in the Rain</v>
      </c>
      <c r="M364" s="5" t="str">
        <f>IFERROR(__xludf.DUMMYFUNCTION("""COMPUTED_VALUE"""),"Romance")</f>
        <v>Romance</v>
      </c>
      <c r="N364" s="5">
        <f>IFERROR(__xludf.DUMMYFUNCTION("""COMPUTED_VALUE"""),3.0)</f>
        <v>3</v>
      </c>
      <c r="S364" s="5">
        <f>IFERROR(__xludf.DUMMYFUNCTION("""COMPUTED_VALUE"""),146.0)</f>
        <v>146</v>
      </c>
      <c r="T364" s="5" t="str">
        <f>IFERROR(__xludf.DUMMYFUNCTION("""COMPUTED_VALUE"""),"Shutter Island")</f>
        <v>Shutter Island</v>
      </c>
      <c r="U364" s="5" t="str">
        <f>IFERROR(__xludf.DUMMYFUNCTION("""COMPUTED_VALUE"""),"Thriller")</f>
        <v>Thriller</v>
      </c>
      <c r="V364" s="5">
        <f>IFERROR(__xludf.DUMMYFUNCTION("""COMPUTED_VALUE"""),2.0)</f>
        <v>2</v>
      </c>
    </row>
    <row r="365">
      <c r="A365" s="1">
        <v>364.0</v>
      </c>
      <c r="B365" s="1" t="s">
        <v>2371</v>
      </c>
      <c r="C365" s="1" t="s">
        <v>2372</v>
      </c>
      <c r="D365" s="1"/>
      <c r="E365" s="1">
        <v>364.0</v>
      </c>
      <c r="F365" s="1" t="s">
        <v>2371</v>
      </c>
      <c r="G365" s="1" t="str">
        <f>IFERROR(__xludf.DUMMYFUNCTION("SPLIT(C365, "", "")"),"Crime")</f>
        <v>Crime</v>
      </c>
      <c r="H365" s="5" t="str">
        <f>IFERROR(__xludf.DUMMYFUNCTION("""COMPUTED_VALUE"""),"Drama")</f>
        <v>Drama</v>
      </c>
      <c r="I365" s="5" t="str">
        <f>IFERROR(__xludf.DUMMYFUNCTION("""COMPUTED_VALUE"""),"Romance")</f>
        <v>Romance</v>
      </c>
      <c r="J365" s="5" t="str">
        <f>IFERROR(__xludf.DUMMYFUNCTION("""COMPUTED_VALUE"""),"122🤙🏼Ikiru🤙🏼Drama🤙🏼1")</f>
        <v>122🤙🏼Ikiru🤙🏼Drama🤙🏼1</v>
      </c>
      <c r="K365" s="5">
        <f>IFERROR(__xludf.DUMMYFUNCTION("SPLiT(J365, ""🤙🏼"",FALSE,FALSE)"),122.0)</f>
        <v>122</v>
      </c>
      <c r="L365" s="5" t="str">
        <f>IFERROR(__xludf.DUMMYFUNCTION("""COMPUTED_VALUE"""),"Ikiru")</f>
        <v>Ikiru</v>
      </c>
      <c r="M365" s="5" t="str">
        <f>IFERROR(__xludf.DUMMYFUNCTION("""COMPUTED_VALUE"""),"Drama")</f>
        <v>Drama</v>
      </c>
      <c r="N365" s="5">
        <f>IFERROR(__xludf.DUMMYFUNCTION("""COMPUTED_VALUE"""),1.0)</f>
        <v>1</v>
      </c>
      <c r="S365" s="5">
        <f>IFERROR(__xludf.DUMMYFUNCTION("""COMPUTED_VALUE"""),147.0)</f>
        <v>147</v>
      </c>
      <c r="T365" s="5" t="str">
        <f>IFERROR(__xludf.DUMMYFUNCTION("""COMPUTED_VALUE"""),"Up")</f>
        <v>Up</v>
      </c>
      <c r="U365" s="5" t="str">
        <f>IFERROR(__xludf.DUMMYFUNCTION("""COMPUTED_VALUE"""),"Animation")</f>
        <v>Animation</v>
      </c>
      <c r="V365" s="5">
        <f>IFERROR(__xludf.DUMMYFUNCTION("""COMPUTED_VALUE"""),1.0)</f>
        <v>1</v>
      </c>
    </row>
    <row r="366">
      <c r="A366" s="1">
        <v>365.0</v>
      </c>
      <c r="B366" s="1" t="s">
        <v>2379</v>
      </c>
      <c r="C366" s="1" t="s">
        <v>1320</v>
      </c>
      <c r="D366" s="1"/>
      <c r="E366" s="1">
        <v>365.0</v>
      </c>
      <c r="F366" s="1" t="s">
        <v>2379</v>
      </c>
      <c r="G366" s="1" t="str">
        <f>IFERROR(__xludf.DUMMYFUNCTION("SPLIT(C366, "", "")"),"Crime")</f>
        <v>Crime</v>
      </c>
      <c r="H366" s="5" t="str">
        <f>IFERROR(__xludf.DUMMYFUNCTION("""COMPUTED_VALUE"""),"Thriller")</f>
        <v>Thriller</v>
      </c>
      <c r="J366" s="5" t="str">
        <f>IFERROR(__xludf.DUMMYFUNCTION("""COMPUTED_VALUE"""),"122🤙🏼Ikiru🤙🏼🤙🏼2")</f>
        <v>122🤙🏼Ikiru🤙🏼🤙🏼2</v>
      </c>
      <c r="K366" s="5">
        <f>IFERROR(__xludf.DUMMYFUNCTION("SPLiT(J366, ""🤙🏼"",FALSE,FALSE)"),122.0)</f>
        <v>122</v>
      </c>
      <c r="L366" s="5" t="str">
        <f>IFERROR(__xludf.DUMMYFUNCTION("""COMPUTED_VALUE"""),"Ikiru")</f>
        <v>Ikiru</v>
      </c>
      <c r="M366" s="5"/>
      <c r="N366" s="5">
        <f>IFERROR(__xludf.DUMMYFUNCTION("""COMPUTED_VALUE"""),2.0)</f>
        <v>2</v>
      </c>
      <c r="S366" s="5">
        <f>IFERROR(__xludf.DUMMYFUNCTION("""COMPUTED_VALUE"""),147.0)</f>
        <v>147</v>
      </c>
      <c r="T366" s="5" t="str">
        <f>IFERROR(__xludf.DUMMYFUNCTION("""COMPUTED_VALUE"""),"Up")</f>
        <v>Up</v>
      </c>
      <c r="U366" s="5" t="str">
        <f>IFERROR(__xludf.DUMMYFUNCTION("""COMPUTED_VALUE"""),"Adventure")</f>
        <v>Adventure</v>
      </c>
      <c r="V366" s="5">
        <f>IFERROR(__xludf.DUMMYFUNCTION("""COMPUTED_VALUE"""),2.0)</f>
        <v>2</v>
      </c>
    </row>
    <row r="367">
      <c r="A367" s="1">
        <v>366.0</v>
      </c>
      <c r="B367" s="1" t="s">
        <v>2385</v>
      </c>
      <c r="C367" s="1" t="s">
        <v>1148</v>
      </c>
      <c r="D367" s="1"/>
      <c r="E367" s="1">
        <v>366.0</v>
      </c>
      <c r="F367" s="1" t="s">
        <v>2385</v>
      </c>
      <c r="G367" s="1" t="str">
        <f>IFERROR(__xludf.DUMMYFUNCTION("SPLIT(C367, "", "")"),"Biography")</f>
        <v>Biography</v>
      </c>
      <c r="H367" s="5" t="str">
        <f>IFERROR(__xludf.DUMMYFUNCTION("""COMPUTED_VALUE"""),"Drama")</f>
        <v>Drama</v>
      </c>
      <c r="J367" s="5" t="str">
        <f>IFERROR(__xludf.DUMMYFUNCTION("""COMPUTED_VALUE"""),"122🤙🏼Ikiru🤙🏼🤙🏼3")</f>
        <v>122🤙🏼Ikiru🤙🏼🤙🏼3</v>
      </c>
      <c r="K367" s="5">
        <f>IFERROR(__xludf.DUMMYFUNCTION("SPLiT(J367, ""🤙🏼"",FALSE,FALSE)"),122.0)</f>
        <v>122</v>
      </c>
      <c r="L367" s="5" t="str">
        <f>IFERROR(__xludf.DUMMYFUNCTION("""COMPUTED_VALUE"""),"Ikiru")</f>
        <v>Ikiru</v>
      </c>
      <c r="M367" s="5"/>
      <c r="N367" s="5">
        <f>IFERROR(__xludf.DUMMYFUNCTION("""COMPUTED_VALUE"""),3.0)</f>
        <v>3</v>
      </c>
      <c r="S367" s="5">
        <f>IFERROR(__xludf.DUMMYFUNCTION("""COMPUTED_VALUE"""),147.0)</f>
        <v>147</v>
      </c>
      <c r="T367" s="5" t="str">
        <f>IFERROR(__xludf.DUMMYFUNCTION("""COMPUTED_VALUE"""),"Up")</f>
        <v>Up</v>
      </c>
      <c r="U367" s="5" t="str">
        <f>IFERROR(__xludf.DUMMYFUNCTION("""COMPUTED_VALUE"""),"Comedy")</f>
        <v>Comedy</v>
      </c>
      <c r="V367" s="5">
        <f>IFERROR(__xludf.DUMMYFUNCTION("""COMPUTED_VALUE"""),3.0)</f>
        <v>3</v>
      </c>
    </row>
    <row r="368">
      <c r="A368" s="1">
        <v>367.0</v>
      </c>
      <c r="B368" s="1" t="s">
        <v>2391</v>
      </c>
      <c r="C368" s="1" t="s">
        <v>383</v>
      </c>
      <c r="D368" s="1"/>
      <c r="E368" s="1">
        <v>367.0</v>
      </c>
      <c r="F368" s="1" t="s">
        <v>2391</v>
      </c>
      <c r="G368" s="1" t="str">
        <f>IFERROR(__xludf.DUMMYFUNCTION("SPLIT(C368, "", "")"),"Adventure")</f>
        <v>Adventure</v>
      </c>
      <c r="H368" s="5" t="str">
        <f>IFERROR(__xludf.DUMMYFUNCTION("""COMPUTED_VALUE"""),"Comedy")</f>
        <v>Comedy</v>
      </c>
      <c r="I368" s="5" t="str">
        <f>IFERROR(__xludf.DUMMYFUNCTION("""COMPUTED_VALUE"""),"Sci-Fi")</f>
        <v>Sci-Fi</v>
      </c>
      <c r="J368" s="5" t="str">
        <f>IFERROR(__xludf.DUMMYFUNCTION("""COMPUTED_VALUE"""),"123🤙🏼Ladri di biciclette🤙🏼Drama🤙🏼1")</f>
        <v>123🤙🏼Ladri di biciclette🤙🏼Drama🤙🏼1</v>
      </c>
      <c r="K368" s="5">
        <f>IFERROR(__xludf.DUMMYFUNCTION("SPLiT(J368, ""🤙🏼"",FALSE,FALSE)"),123.0)</f>
        <v>123</v>
      </c>
      <c r="L368" s="5" t="str">
        <f>IFERROR(__xludf.DUMMYFUNCTION("""COMPUTED_VALUE"""),"Ladri di biciclette")</f>
        <v>Ladri di biciclette</v>
      </c>
      <c r="M368" s="5" t="str">
        <f>IFERROR(__xludf.DUMMYFUNCTION("""COMPUTED_VALUE"""),"Drama")</f>
        <v>Drama</v>
      </c>
      <c r="N368" s="5">
        <f>IFERROR(__xludf.DUMMYFUNCTION("""COMPUTED_VALUE"""),1.0)</f>
        <v>1</v>
      </c>
      <c r="S368" s="5">
        <f>IFERROR(__xludf.DUMMYFUNCTION("""COMPUTED_VALUE"""),148.0)</f>
        <v>148</v>
      </c>
      <c r="T368" s="5" t="str">
        <f>IFERROR(__xludf.DUMMYFUNCTION("""COMPUTED_VALUE"""),"The Wolf of Wall Street")</f>
        <v>The Wolf of Wall Street</v>
      </c>
      <c r="U368" s="5" t="str">
        <f>IFERROR(__xludf.DUMMYFUNCTION("""COMPUTED_VALUE"""),"Biography")</f>
        <v>Biography</v>
      </c>
      <c r="V368" s="5">
        <f>IFERROR(__xludf.DUMMYFUNCTION("""COMPUTED_VALUE"""),1.0)</f>
        <v>1</v>
      </c>
    </row>
    <row r="369">
      <c r="A369" s="1">
        <v>368.0</v>
      </c>
      <c r="B369" s="1" t="s">
        <v>2398</v>
      </c>
      <c r="C369" s="1" t="s">
        <v>765</v>
      </c>
      <c r="D369" s="1"/>
      <c r="E369" s="1">
        <v>368.0</v>
      </c>
      <c r="F369" s="1" t="s">
        <v>2398</v>
      </c>
      <c r="G369" s="1" t="str">
        <f>IFERROR(__xludf.DUMMYFUNCTION("SPLIT(C369, "", "")"),"Animation")</f>
        <v>Animation</v>
      </c>
      <c r="H369" s="5" t="str">
        <f>IFERROR(__xludf.DUMMYFUNCTION("""COMPUTED_VALUE"""),"Adventure")</f>
        <v>Adventure</v>
      </c>
      <c r="I369" s="5" t="str">
        <f>IFERROR(__xludf.DUMMYFUNCTION("""COMPUTED_VALUE"""),"Comedy")</f>
        <v>Comedy</v>
      </c>
      <c r="J369" s="5" t="str">
        <f>IFERROR(__xludf.DUMMYFUNCTION("""COMPUTED_VALUE"""),"123🤙🏼Ladri di biciclette🤙🏼🤙🏼2")</f>
        <v>123🤙🏼Ladri di biciclette🤙🏼🤙🏼2</v>
      </c>
      <c r="K369" s="5">
        <f>IFERROR(__xludf.DUMMYFUNCTION("SPLiT(J369, ""🤙🏼"",FALSE,FALSE)"),123.0)</f>
        <v>123</v>
      </c>
      <c r="L369" s="5" t="str">
        <f>IFERROR(__xludf.DUMMYFUNCTION("""COMPUTED_VALUE"""),"Ladri di biciclette")</f>
        <v>Ladri di biciclette</v>
      </c>
      <c r="M369" s="5"/>
      <c r="N369" s="5">
        <f>IFERROR(__xludf.DUMMYFUNCTION("""COMPUTED_VALUE"""),2.0)</f>
        <v>2</v>
      </c>
      <c r="S369" s="5">
        <f>IFERROR(__xludf.DUMMYFUNCTION("""COMPUTED_VALUE"""),148.0)</f>
        <v>148</v>
      </c>
      <c r="T369" s="5" t="str">
        <f>IFERROR(__xludf.DUMMYFUNCTION("""COMPUTED_VALUE"""),"The Wolf of Wall Street")</f>
        <v>The Wolf of Wall Street</v>
      </c>
      <c r="U369" s="5" t="str">
        <f>IFERROR(__xludf.DUMMYFUNCTION("""COMPUTED_VALUE"""),"Crime")</f>
        <v>Crime</v>
      </c>
      <c r="V369" s="5">
        <f>IFERROR(__xludf.DUMMYFUNCTION("""COMPUTED_VALUE"""),2.0)</f>
        <v>2</v>
      </c>
    </row>
    <row r="370">
      <c r="A370" s="1">
        <v>369.0</v>
      </c>
      <c r="B370" s="1" t="s">
        <v>2405</v>
      </c>
      <c r="C370" s="1" t="s">
        <v>2406</v>
      </c>
      <c r="D370" s="1"/>
      <c r="E370" s="1">
        <v>369.0</v>
      </c>
      <c r="F370" s="1" t="s">
        <v>2405</v>
      </c>
      <c r="G370" s="1" t="str">
        <f>IFERROR(__xludf.DUMMYFUNCTION("SPLIT(C370, "", "")"),"Action")</f>
        <v>Action</v>
      </c>
      <c r="H370" s="5" t="str">
        <f>IFERROR(__xludf.DUMMYFUNCTION("""COMPUTED_VALUE"""),"Adventure")</f>
        <v>Adventure</v>
      </c>
      <c r="I370" s="5" t="str">
        <f>IFERROR(__xludf.DUMMYFUNCTION("""COMPUTED_VALUE"""),"Thriller")</f>
        <v>Thriller</v>
      </c>
      <c r="J370" s="5" t="str">
        <f>IFERROR(__xludf.DUMMYFUNCTION("""COMPUTED_VALUE"""),"123🤙🏼Ladri di biciclette🤙🏼🤙🏼3")</f>
        <v>123🤙🏼Ladri di biciclette🤙🏼🤙🏼3</v>
      </c>
      <c r="K370" s="5">
        <f>IFERROR(__xludf.DUMMYFUNCTION("SPLiT(J370, ""🤙🏼"",FALSE,FALSE)"),123.0)</f>
        <v>123</v>
      </c>
      <c r="L370" s="5" t="str">
        <f>IFERROR(__xludf.DUMMYFUNCTION("""COMPUTED_VALUE"""),"Ladri di biciclette")</f>
        <v>Ladri di biciclette</v>
      </c>
      <c r="M370" s="5"/>
      <c r="N370" s="5">
        <f>IFERROR(__xludf.DUMMYFUNCTION("""COMPUTED_VALUE"""),3.0)</f>
        <v>3</v>
      </c>
      <c r="S370" s="5">
        <f>IFERROR(__xludf.DUMMYFUNCTION("""COMPUTED_VALUE"""),148.0)</f>
        <v>148</v>
      </c>
      <c r="T370" s="5" t="str">
        <f>IFERROR(__xludf.DUMMYFUNCTION("""COMPUTED_VALUE"""),"The Wolf of Wall Street")</f>
        <v>The Wolf of Wall Street</v>
      </c>
      <c r="U370" s="5" t="str">
        <f>IFERROR(__xludf.DUMMYFUNCTION("""COMPUTED_VALUE"""),"Drama")</f>
        <v>Drama</v>
      </c>
      <c r="V370" s="5">
        <f>IFERROR(__xludf.DUMMYFUNCTION("""COMPUTED_VALUE"""),3.0)</f>
        <v>3</v>
      </c>
    </row>
    <row r="371">
      <c r="A371" s="1">
        <v>370.0</v>
      </c>
      <c r="B371" s="1" t="s">
        <v>2413</v>
      </c>
      <c r="C371" s="1" t="s">
        <v>2169</v>
      </c>
      <c r="D371" s="1"/>
      <c r="E371" s="1">
        <v>370.0</v>
      </c>
      <c r="F371" s="1" t="s">
        <v>2413</v>
      </c>
      <c r="G371" s="1" t="str">
        <f>IFERROR(__xludf.DUMMYFUNCTION("SPLIT(C371, "", "")"),"Action")</f>
        <v>Action</v>
      </c>
      <c r="H371" s="5" t="str">
        <f>IFERROR(__xludf.DUMMYFUNCTION("""COMPUTED_VALUE"""),"Crime")</f>
        <v>Crime</v>
      </c>
      <c r="I371" s="5" t="str">
        <f>IFERROR(__xludf.DUMMYFUNCTION("""COMPUTED_VALUE"""),"Thriller")</f>
        <v>Thriller</v>
      </c>
      <c r="J371" s="5" t="str">
        <f>IFERROR(__xludf.DUMMYFUNCTION("""COMPUTED_VALUE"""),"124🤙🏼Double Indemnity🤙🏼Crime🤙🏼1")</f>
        <v>124🤙🏼Double Indemnity🤙🏼Crime🤙🏼1</v>
      </c>
      <c r="K371" s="5">
        <f>IFERROR(__xludf.DUMMYFUNCTION("SPLiT(J371, ""🤙🏼"",FALSE,FALSE)"),124.0)</f>
        <v>124</v>
      </c>
      <c r="L371" s="5" t="str">
        <f>IFERROR(__xludf.DUMMYFUNCTION("""COMPUTED_VALUE"""),"Double Indemnity")</f>
        <v>Double Indemnity</v>
      </c>
      <c r="M371" s="5" t="str">
        <f>IFERROR(__xludf.DUMMYFUNCTION("""COMPUTED_VALUE"""),"Crime")</f>
        <v>Crime</v>
      </c>
      <c r="N371" s="5">
        <f>IFERROR(__xludf.DUMMYFUNCTION("""COMPUTED_VALUE"""),1.0)</f>
        <v>1</v>
      </c>
      <c r="S371" s="5">
        <f>IFERROR(__xludf.DUMMYFUNCTION("""COMPUTED_VALUE"""),149.0)</f>
        <v>149</v>
      </c>
      <c r="T371" s="5" t="str">
        <f>IFERROR(__xludf.DUMMYFUNCTION("""COMPUTED_VALUE"""),"Chak De! India")</f>
        <v>Chak De! India</v>
      </c>
      <c r="U371" s="5" t="str">
        <f>IFERROR(__xludf.DUMMYFUNCTION("""COMPUTED_VALUE"""),"Drama")</f>
        <v>Drama</v>
      </c>
      <c r="V371" s="5">
        <f>IFERROR(__xludf.DUMMYFUNCTION("""COMPUTED_VALUE"""),1.0)</f>
        <v>1</v>
      </c>
    </row>
    <row r="372">
      <c r="A372" s="1">
        <v>371.0</v>
      </c>
      <c r="B372" s="1" t="s">
        <v>2415</v>
      </c>
      <c r="C372" s="1" t="s">
        <v>20</v>
      </c>
      <c r="D372" s="1"/>
      <c r="E372" s="1">
        <v>371.0</v>
      </c>
      <c r="F372" s="1" t="s">
        <v>2415</v>
      </c>
      <c r="G372" s="1" t="str">
        <f>IFERROR(__xludf.DUMMYFUNCTION("SPLIT(C372, "", "")"),"Drama")</f>
        <v>Drama</v>
      </c>
      <c r="J372" s="5" t="str">
        <f>IFERROR(__xludf.DUMMYFUNCTION("""COMPUTED_VALUE"""),"124🤙🏼Double Indemnity🤙🏼Drama🤙🏼2")</f>
        <v>124🤙🏼Double Indemnity🤙🏼Drama🤙🏼2</v>
      </c>
      <c r="K372" s="5">
        <f>IFERROR(__xludf.DUMMYFUNCTION("SPLiT(J372, ""🤙🏼"",FALSE,FALSE)"),124.0)</f>
        <v>124</v>
      </c>
      <c r="L372" s="5" t="str">
        <f>IFERROR(__xludf.DUMMYFUNCTION("""COMPUTED_VALUE"""),"Double Indemnity")</f>
        <v>Double Indemnity</v>
      </c>
      <c r="M372" s="5" t="str">
        <f>IFERROR(__xludf.DUMMYFUNCTION("""COMPUTED_VALUE"""),"Drama")</f>
        <v>Drama</v>
      </c>
      <c r="N372" s="5">
        <f>IFERROR(__xludf.DUMMYFUNCTION("""COMPUTED_VALUE"""),2.0)</f>
        <v>2</v>
      </c>
      <c r="S372" s="5">
        <f>IFERROR(__xludf.DUMMYFUNCTION("""COMPUTED_VALUE"""),149.0)</f>
        <v>149</v>
      </c>
      <c r="T372" s="5" t="str">
        <f>IFERROR(__xludf.DUMMYFUNCTION("""COMPUTED_VALUE"""),"Chak De! India")</f>
        <v>Chak De! India</v>
      </c>
      <c r="U372" s="5" t="str">
        <f>IFERROR(__xludf.DUMMYFUNCTION("""COMPUTED_VALUE"""),"Family")</f>
        <v>Family</v>
      </c>
      <c r="V372" s="5">
        <f>IFERROR(__xludf.DUMMYFUNCTION("""COMPUTED_VALUE"""),2.0)</f>
        <v>2</v>
      </c>
    </row>
    <row r="373">
      <c r="A373" s="1">
        <v>372.0</v>
      </c>
      <c r="B373" s="1" t="s">
        <v>2422</v>
      </c>
      <c r="C373" s="1" t="s">
        <v>107</v>
      </c>
      <c r="D373" s="1"/>
      <c r="E373" s="1">
        <v>372.0</v>
      </c>
      <c r="F373" s="1" t="s">
        <v>2422</v>
      </c>
      <c r="G373" s="1" t="str">
        <f>IFERROR(__xludf.DUMMYFUNCTION("SPLIT(C373, "", "")"),"Drama")</f>
        <v>Drama</v>
      </c>
      <c r="H373" s="5" t="str">
        <f>IFERROR(__xludf.DUMMYFUNCTION("""COMPUTED_VALUE"""),"Romance")</f>
        <v>Romance</v>
      </c>
      <c r="J373" s="5" t="str">
        <f>IFERROR(__xludf.DUMMYFUNCTION("""COMPUTED_VALUE"""),"124🤙🏼Double Indemnity🤙🏼Film-Noir🤙🏼3")</f>
        <v>124🤙🏼Double Indemnity🤙🏼Film-Noir🤙🏼3</v>
      </c>
      <c r="K373" s="5">
        <f>IFERROR(__xludf.DUMMYFUNCTION("SPLiT(J373, ""🤙🏼"",FALSE,FALSE)"),124.0)</f>
        <v>124</v>
      </c>
      <c r="L373" s="5" t="str">
        <f>IFERROR(__xludf.DUMMYFUNCTION("""COMPUTED_VALUE"""),"Double Indemnity")</f>
        <v>Double Indemnity</v>
      </c>
      <c r="M373" s="5" t="str">
        <f>IFERROR(__xludf.DUMMYFUNCTION("""COMPUTED_VALUE"""),"Film-Noir")</f>
        <v>Film-Noir</v>
      </c>
      <c r="N373" s="5">
        <f>IFERROR(__xludf.DUMMYFUNCTION("""COMPUTED_VALUE"""),3.0)</f>
        <v>3</v>
      </c>
      <c r="S373" s="5">
        <f>IFERROR(__xludf.DUMMYFUNCTION("""COMPUTED_VALUE"""),149.0)</f>
        <v>149</v>
      </c>
      <c r="T373" s="5" t="str">
        <f>IFERROR(__xludf.DUMMYFUNCTION("""COMPUTED_VALUE"""),"Chak De! India")</f>
        <v>Chak De! India</v>
      </c>
      <c r="U373" s="5" t="str">
        <f>IFERROR(__xludf.DUMMYFUNCTION("""COMPUTED_VALUE"""),"Sport")</f>
        <v>Sport</v>
      </c>
      <c r="V373" s="5">
        <f>IFERROR(__xludf.DUMMYFUNCTION("""COMPUTED_VALUE"""),3.0)</f>
        <v>3</v>
      </c>
    </row>
    <row r="374">
      <c r="A374" s="1">
        <v>373.0</v>
      </c>
      <c r="B374" s="1" t="s">
        <v>2427</v>
      </c>
      <c r="C374" s="1" t="s">
        <v>1148</v>
      </c>
      <c r="D374" s="1"/>
      <c r="E374" s="1">
        <v>373.0</v>
      </c>
      <c r="F374" s="1" t="s">
        <v>2427</v>
      </c>
      <c r="G374" s="1" t="str">
        <f>IFERROR(__xludf.DUMMYFUNCTION("SPLIT(C374, "", "")"),"Biography")</f>
        <v>Biography</v>
      </c>
      <c r="H374" s="5" t="str">
        <f>IFERROR(__xludf.DUMMYFUNCTION("""COMPUTED_VALUE"""),"Drama")</f>
        <v>Drama</v>
      </c>
      <c r="J374" s="5" t="str">
        <f>IFERROR(__xludf.DUMMYFUNCTION("""COMPUTED_VALUE"""),"125🤙🏼Citizen Kane🤙🏼Drama🤙🏼1")</f>
        <v>125🤙🏼Citizen Kane🤙🏼Drama🤙🏼1</v>
      </c>
      <c r="K374" s="5">
        <f>IFERROR(__xludf.DUMMYFUNCTION("SPLiT(J374, ""🤙🏼"",FALSE,FALSE)"),125.0)</f>
        <v>125</v>
      </c>
      <c r="L374" s="5" t="str">
        <f>IFERROR(__xludf.DUMMYFUNCTION("""COMPUTED_VALUE"""),"Citizen Kane")</f>
        <v>Citizen Kane</v>
      </c>
      <c r="M374" s="5" t="str">
        <f>IFERROR(__xludf.DUMMYFUNCTION("""COMPUTED_VALUE"""),"Drama")</f>
        <v>Drama</v>
      </c>
      <c r="N374" s="5">
        <f>IFERROR(__xludf.DUMMYFUNCTION("""COMPUTED_VALUE"""),1.0)</f>
        <v>1</v>
      </c>
      <c r="S374" s="5">
        <f>IFERROR(__xludf.DUMMYFUNCTION("""COMPUTED_VALUE"""),150.0)</f>
        <v>150</v>
      </c>
      <c r="T374" s="5" t="str">
        <f>IFERROR(__xludf.DUMMYFUNCTION("""COMPUTED_VALUE"""),"There Will Be Blood")</f>
        <v>There Will Be Blood</v>
      </c>
      <c r="U374" s="5" t="str">
        <f>IFERROR(__xludf.DUMMYFUNCTION("""COMPUTED_VALUE"""),"Drama")</f>
        <v>Drama</v>
      </c>
      <c r="V374" s="5">
        <f>IFERROR(__xludf.DUMMYFUNCTION("""COMPUTED_VALUE"""),1.0)</f>
        <v>1</v>
      </c>
    </row>
    <row r="375">
      <c r="A375" s="1">
        <v>374.0</v>
      </c>
      <c r="B375" s="1" t="s">
        <v>2433</v>
      </c>
      <c r="C375" s="1" t="s">
        <v>79</v>
      </c>
      <c r="D375" s="1"/>
      <c r="E375" s="1">
        <v>374.0</v>
      </c>
      <c r="F375" s="1" t="s">
        <v>2433</v>
      </c>
      <c r="G375" s="1" t="str">
        <f>IFERROR(__xludf.DUMMYFUNCTION("SPLIT(C375, "", "")"),"Biography")</f>
        <v>Biography</v>
      </c>
      <c r="H375" s="5" t="str">
        <f>IFERROR(__xludf.DUMMYFUNCTION("""COMPUTED_VALUE"""),"Drama")</f>
        <v>Drama</v>
      </c>
      <c r="I375" s="5" t="str">
        <f>IFERROR(__xludf.DUMMYFUNCTION("""COMPUTED_VALUE"""),"History")</f>
        <v>History</v>
      </c>
      <c r="J375" s="5" t="str">
        <f>IFERROR(__xludf.DUMMYFUNCTION("""COMPUTED_VALUE"""),"125🤙🏼Citizen Kane🤙🏼Mystery🤙🏼2")</f>
        <v>125🤙🏼Citizen Kane🤙🏼Mystery🤙🏼2</v>
      </c>
      <c r="K375" s="5">
        <f>IFERROR(__xludf.DUMMYFUNCTION("SPLiT(J375, ""🤙🏼"",FALSE,FALSE)"),125.0)</f>
        <v>125</v>
      </c>
      <c r="L375" s="5" t="str">
        <f>IFERROR(__xludf.DUMMYFUNCTION("""COMPUTED_VALUE"""),"Citizen Kane")</f>
        <v>Citizen Kane</v>
      </c>
      <c r="M375" s="5" t="str">
        <f>IFERROR(__xludf.DUMMYFUNCTION("""COMPUTED_VALUE"""),"Mystery")</f>
        <v>Mystery</v>
      </c>
      <c r="N375" s="5">
        <f>IFERROR(__xludf.DUMMYFUNCTION("""COMPUTED_VALUE"""),2.0)</f>
        <v>2</v>
      </c>
      <c r="S375" s="5">
        <f>IFERROR(__xludf.DUMMYFUNCTION("""COMPUTED_VALUE"""),151.0)</f>
        <v>151</v>
      </c>
      <c r="T375" s="5" t="str">
        <f>IFERROR(__xludf.DUMMYFUNCTION("""COMPUTED_VALUE"""),"Pan's Labyrinth")</f>
        <v>Pan's Labyrinth</v>
      </c>
      <c r="U375" s="5" t="str">
        <f>IFERROR(__xludf.DUMMYFUNCTION("""COMPUTED_VALUE"""),"Drama")</f>
        <v>Drama</v>
      </c>
      <c r="V375" s="5">
        <f>IFERROR(__xludf.DUMMYFUNCTION("""COMPUTED_VALUE"""),1.0)</f>
        <v>1</v>
      </c>
    </row>
    <row r="376">
      <c r="A376" s="1">
        <v>375.0</v>
      </c>
      <c r="B376" s="1" t="s">
        <v>2438</v>
      </c>
      <c r="C376" s="1" t="s">
        <v>1454</v>
      </c>
      <c r="D376" s="1"/>
      <c r="E376" s="1">
        <v>375.0</v>
      </c>
      <c r="F376" s="1" t="s">
        <v>2438</v>
      </c>
      <c r="G376" s="1" t="str">
        <f>IFERROR(__xludf.DUMMYFUNCTION("SPLIT(C376, "", "")"),"Comedy")</f>
        <v>Comedy</v>
      </c>
      <c r="H376" s="5" t="str">
        <f>IFERROR(__xludf.DUMMYFUNCTION("""COMPUTED_VALUE"""),"Drama")</f>
        <v>Drama</v>
      </c>
      <c r="I376" s="5" t="str">
        <f>IFERROR(__xludf.DUMMYFUNCTION("""COMPUTED_VALUE"""),"Musical")</f>
        <v>Musical</v>
      </c>
      <c r="J376" s="5" t="str">
        <f>IFERROR(__xludf.DUMMYFUNCTION("""COMPUTED_VALUE"""),"125🤙🏼Citizen Kane🤙🏼🤙🏼3")</f>
        <v>125🤙🏼Citizen Kane🤙🏼🤙🏼3</v>
      </c>
      <c r="K376" s="5">
        <f>IFERROR(__xludf.DUMMYFUNCTION("SPLiT(J376, ""🤙🏼"",FALSE,FALSE)"),125.0)</f>
        <v>125</v>
      </c>
      <c r="L376" s="5" t="str">
        <f>IFERROR(__xludf.DUMMYFUNCTION("""COMPUTED_VALUE"""),"Citizen Kane")</f>
        <v>Citizen Kane</v>
      </c>
      <c r="M376" s="5"/>
      <c r="N376" s="5">
        <f>IFERROR(__xludf.DUMMYFUNCTION("""COMPUTED_VALUE"""),3.0)</f>
        <v>3</v>
      </c>
      <c r="S376" s="5">
        <f>IFERROR(__xludf.DUMMYFUNCTION("""COMPUTED_VALUE"""),151.0)</f>
        <v>151</v>
      </c>
      <c r="T376" s="5" t="str">
        <f>IFERROR(__xludf.DUMMYFUNCTION("""COMPUTED_VALUE"""),"Pan's Labyrinth")</f>
        <v>Pan's Labyrinth</v>
      </c>
      <c r="U376" s="5" t="str">
        <f>IFERROR(__xludf.DUMMYFUNCTION("""COMPUTED_VALUE"""),"Fantasy")</f>
        <v>Fantasy</v>
      </c>
      <c r="V376" s="5">
        <f>IFERROR(__xludf.DUMMYFUNCTION("""COMPUTED_VALUE"""),2.0)</f>
        <v>2</v>
      </c>
    </row>
    <row r="377">
      <c r="A377" s="1">
        <v>376.0</v>
      </c>
      <c r="B377" s="1" t="s">
        <v>2442</v>
      </c>
      <c r="C377" s="1" t="s">
        <v>39</v>
      </c>
      <c r="D377" s="1"/>
      <c r="E377" s="1">
        <v>376.0</v>
      </c>
      <c r="F377" s="1" t="s">
        <v>2442</v>
      </c>
      <c r="G377" s="1" t="str">
        <f>IFERROR(__xludf.DUMMYFUNCTION("SPLIT(C377, "", "")"),"Action")</f>
        <v>Action</v>
      </c>
      <c r="H377" s="5" t="str">
        <f>IFERROR(__xludf.DUMMYFUNCTION("""COMPUTED_VALUE"""),"Crime")</f>
        <v>Crime</v>
      </c>
      <c r="I377" s="5" t="str">
        <f>IFERROR(__xludf.DUMMYFUNCTION("""COMPUTED_VALUE"""),"Drama")</f>
        <v>Drama</v>
      </c>
      <c r="J377" s="5" t="str">
        <f>IFERROR(__xludf.DUMMYFUNCTION("""COMPUTED_VALUE"""),"126🤙🏼M - Eine Stadt sucht einen Mörder🤙🏼Crime🤙🏼1")</f>
        <v>126🤙🏼M - Eine Stadt sucht einen Mörder🤙🏼Crime🤙🏼1</v>
      </c>
      <c r="K377" s="5">
        <f>IFERROR(__xludf.DUMMYFUNCTION("SPLiT(J377, ""🤙🏼"",FALSE,FALSE)"),126.0)</f>
        <v>126</v>
      </c>
      <c r="L377" s="5" t="str">
        <f>IFERROR(__xludf.DUMMYFUNCTION("""COMPUTED_VALUE"""),"M - Eine Stadt sucht einen Mörder")</f>
        <v>M - Eine Stadt sucht einen Mörder</v>
      </c>
      <c r="M377" s="5" t="str">
        <f>IFERROR(__xludf.DUMMYFUNCTION("""COMPUTED_VALUE"""),"Crime")</f>
        <v>Crime</v>
      </c>
      <c r="N377" s="5">
        <f>IFERROR(__xludf.DUMMYFUNCTION("""COMPUTED_VALUE"""),1.0)</f>
        <v>1</v>
      </c>
      <c r="S377" s="5">
        <f>IFERROR(__xludf.DUMMYFUNCTION("""COMPUTED_VALUE"""),151.0)</f>
        <v>151</v>
      </c>
      <c r="T377" s="5" t="str">
        <f>IFERROR(__xludf.DUMMYFUNCTION("""COMPUTED_VALUE"""),"Pan's Labyrinth")</f>
        <v>Pan's Labyrinth</v>
      </c>
      <c r="U377" s="5" t="str">
        <f>IFERROR(__xludf.DUMMYFUNCTION("""COMPUTED_VALUE"""),"War")</f>
        <v>War</v>
      </c>
      <c r="V377" s="5">
        <f>IFERROR(__xludf.DUMMYFUNCTION("""COMPUTED_VALUE"""),3.0)</f>
        <v>3</v>
      </c>
    </row>
    <row r="378">
      <c r="A378" s="1">
        <v>377.0</v>
      </c>
      <c r="B378" s="1" t="s">
        <v>2448</v>
      </c>
      <c r="C378" s="1" t="s">
        <v>145</v>
      </c>
      <c r="D378" s="1"/>
      <c r="E378" s="1">
        <v>377.0</v>
      </c>
      <c r="F378" s="1" t="s">
        <v>2448</v>
      </c>
      <c r="G378" s="1" t="str">
        <f>IFERROR(__xludf.DUMMYFUNCTION("SPLIT(C378, "", "")"),"Action")</f>
        <v>Action</v>
      </c>
      <c r="H378" s="5" t="str">
        <f>IFERROR(__xludf.DUMMYFUNCTION("""COMPUTED_VALUE"""),"Adventure")</f>
        <v>Adventure</v>
      </c>
      <c r="I378" s="5" t="str">
        <f>IFERROR(__xludf.DUMMYFUNCTION("""COMPUTED_VALUE"""),"Fantasy")</f>
        <v>Fantasy</v>
      </c>
      <c r="J378" s="5" t="str">
        <f>IFERROR(__xludf.DUMMYFUNCTION("""COMPUTED_VALUE"""),"126🤙🏼M - Eine Stadt sucht einen Mörder🤙🏼Mystery🤙🏼2")</f>
        <v>126🤙🏼M - Eine Stadt sucht einen Mörder🤙🏼Mystery🤙🏼2</v>
      </c>
      <c r="K378" s="5">
        <f>IFERROR(__xludf.DUMMYFUNCTION("SPLiT(J378, ""🤙🏼"",FALSE,FALSE)"),126.0)</f>
        <v>126</v>
      </c>
      <c r="L378" s="5" t="str">
        <f>IFERROR(__xludf.DUMMYFUNCTION("""COMPUTED_VALUE"""),"M - Eine Stadt sucht einen Mörder")</f>
        <v>M - Eine Stadt sucht einen Mörder</v>
      </c>
      <c r="M378" s="5" t="str">
        <f>IFERROR(__xludf.DUMMYFUNCTION("""COMPUTED_VALUE"""),"Mystery")</f>
        <v>Mystery</v>
      </c>
      <c r="N378" s="5">
        <f>IFERROR(__xludf.DUMMYFUNCTION("""COMPUTED_VALUE"""),2.0)</f>
        <v>2</v>
      </c>
      <c r="S378" s="5">
        <f>IFERROR(__xludf.DUMMYFUNCTION("""COMPUTED_VALUE"""),152.0)</f>
        <v>152</v>
      </c>
      <c r="T378" s="5" t="str">
        <f>IFERROR(__xludf.DUMMYFUNCTION("""COMPUTED_VALUE"""),"Toy Story 3")</f>
        <v>Toy Story 3</v>
      </c>
      <c r="U378" s="5" t="str">
        <f>IFERROR(__xludf.DUMMYFUNCTION("""COMPUTED_VALUE"""),"Animation")</f>
        <v>Animation</v>
      </c>
      <c r="V378" s="5">
        <f>IFERROR(__xludf.DUMMYFUNCTION("""COMPUTED_VALUE"""),1.0)</f>
        <v>1</v>
      </c>
    </row>
    <row r="379">
      <c r="A379" s="1">
        <v>378.0</v>
      </c>
      <c r="B379" s="1" t="s">
        <v>2452</v>
      </c>
      <c r="C379" s="1" t="s">
        <v>1565</v>
      </c>
      <c r="D379" s="1"/>
      <c r="E379" s="1">
        <v>378.0</v>
      </c>
      <c r="F379" s="1" t="s">
        <v>2452</v>
      </c>
      <c r="G379" s="1" t="str">
        <f>IFERROR(__xludf.DUMMYFUNCTION("SPLIT(C379, "", "")"),"Adventure")</f>
        <v>Adventure</v>
      </c>
      <c r="H379" s="5" t="str">
        <f>IFERROR(__xludf.DUMMYFUNCTION("""COMPUTED_VALUE"""),"Drama")</f>
        <v>Drama</v>
      </c>
      <c r="I379" s="5" t="str">
        <f>IFERROR(__xludf.DUMMYFUNCTION("""COMPUTED_VALUE"""),"Fantasy")</f>
        <v>Fantasy</v>
      </c>
      <c r="J379" s="5" t="str">
        <f>IFERROR(__xludf.DUMMYFUNCTION("""COMPUTED_VALUE"""),"126🤙🏼M - Eine Stadt sucht einen Mörder🤙🏼Thriller🤙🏼3")</f>
        <v>126🤙🏼M - Eine Stadt sucht einen Mörder🤙🏼Thriller🤙🏼3</v>
      </c>
      <c r="K379" s="5">
        <f>IFERROR(__xludf.DUMMYFUNCTION("SPLiT(J379, ""🤙🏼"",FALSE,FALSE)"),126.0)</f>
        <v>126</v>
      </c>
      <c r="L379" s="5" t="str">
        <f>IFERROR(__xludf.DUMMYFUNCTION("""COMPUTED_VALUE"""),"M - Eine Stadt sucht einen Mörder")</f>
        <v>M - Eine Stadt sucht einen Mörder</v>
      </c>
      <c r="M379" s="5" t="str">
        <f>IFERROR(__xludf.DUMMYFUNCTION("""COMPUTED_VALUE"""),"Thriller")</f>
        <v>Thriller</v>
      </c>
      <c r="N379" s="5">
        <f>IFERROR(__xludf.DUMMYFUNCTION("""COMPUTED_VALUE"""),3.0)</f>
        <v>3</v>
      </c>
      <c r="S379" s="5">
        <f>IFERROR(__xludf.DUMMYFUNCTION("""COMPUTED_VALUE"""),152.0)</f>
        <v>152</v>
      </c>
      <c r="T379" s="5" t="str">
        <f>IFERROR(__xludf.DUMMYFUNCTION("""COMPUTED_VALUE"""),"Toy Story 3")</f>
        <v>Toy Story 3</v>
      </c>
      <c r="U379" s="5" t="str">
        <f>IFERROR(__xludf.DUMMYFUNCTION("""COMPUTED_VALUE"""),"Adventure")</f>
        <v>Adventure</v>
      </c>
      <c r="V379" s="5">
        <f>IFERROR(__xludf.DUMMYFUNCTION("""COMPUTED_VALUE"""),2.0)</f>
        <v>2</v>
      </c>
    </row>
    <row r="380">
      <c r="A380" s="1">
        <v>379.0</v>
      </c>
      <c r="B380" s="1" t="s">
        <v>2457</v>
      </c>
      <c r="C380" s="1" t="s">
        <v>467</v>
      </c>
      <c r="D380" s="1"/>
      <c r="E380" s="1">
        <v>379.0</v>
      </c>
      <c r="F380" s="1" t="s">
        <v>2457</v>
      </c>
      <c r="G380" s="1" t="str">
        <f>IFERROR(__xludf.DUMMYFUNCTION("SPLIT(C380, "", "")"),"Animation")</f>
        <v>Animation</v>
      </c>
      <c r="H380" s="5" t="str">
        <f>IFERROR(__xludf.DUMMYFUNCTION("""COMPUTED_VALUE"""),"Action")</f>
        <v>Action</v>
      </c>
      <c r="I380" s="5" t="str">
        <f>IFERROR(__xludf.DUMMYFUNCTION("""COMPUTED_VALUE"""),"Adventure")</f>
        <v>Adventure</v>
      </c>
      <c r="J380" s="5" t="str">
        <f>IFERROR(__xludf.DUMMYFUNCTION("""COMPUTED_VALUE"""),"127🤙🏼Metropolis🤙🏼Drama🤙🏼1")</f>
        <v>127🤙🏼Metropolis🤙🏼Drama🤙🏼1</v>
      </c>
      <c r="K380" s="5">
        <f>IFERROR(__xludf.DUMMYFUNCTION("SPLiT(J380, ""🤙🏼"",FALSE,FALSE)"),127.0)</f>
        <v>127</v>
      </c>
      <c r="L380" s="5" t="str">
        <f>IFERROR(__xludf.DUMMYFUNCTION("""COMPUTED_VALUE"""),"Metropolis")</f>
        <v>Metropolis</v>
      </c>
      <c r="M380" s="5" t="str">
        <f>IFERROR(__xludf.DUMMYFUNCTION("""COMPUTED_VALUE"""),"Drama")</f>
        <v>Drama</v>
      </c>
      <c r="N380" s="5">
        <f>IFERROR(__xludf.DUMMYFUNCTION("""COMPUTED_VALUE"""),1.0)</f>
        <v>1</v>
      </c>
      <c r="S380" s="5">
        <f>IFERROR(__xludf.DUMMYFUNCTION("""COMPUTED_VALUE"""),152.0)</f>
        <v>152</v>
      </c>
      <c r="T380" s="5" t="str">
        <f>IFERROR(__xludf.DUMMYFUNCTION("""COMPUTED_VALUE"""),"Toy Story 3")</f>
        <v>Toy Story 3</v>
      </c>
      <c r="U380" s="5" t="str">
        <f>IFERROR(__xludf.DUMMYFUNCTION("""COMPUTED_VALUE"""),"Comedy")</f>
        <v>Comedy</v>
      </c>
      <c r="V380" s="5">
        <f>IFERROR(__xludf.DUMMYFUNCTION("""COMPUTED_VALUE"""),3.0)</f>
        <v>3</v>
      </c>
    </row>
    <row r="381">
      <c r="A381" s="1">
        <v>380.0</v>
      </c>
      <c r="B381" s="1" t="s">
        <v>2462</v>
      </c>
      <c r="C381" s="1" t="s">
        <v>227</v>
      </c>
      <c r="D381" s="1"/>
      <c r="E381" s="1">
        <v>380.0</v>
      </c>
      <c r="F381" s="1" t="s">
        <v>2462</v>
      </c>
      <c r="G381" s="1" t="str">
        <f>IFERROR(__xludf.DUMMYFUNCTION("SPLIT(C381, "", "")"),"Comedy")</f>
        <v>Comedy</v>
      </c>
      <c r="H381" s="5" t="str">
        <f>IFERROR(__xludf.DUMMYFUNCTION("""COMPUTED_VALUE"""),"Drama")</f>
        <v>Drama</v>
      </c>
      <c r="I381" s="5" t="str">
        <f>IFERROR(__xludf.DUMMYFUNCTION("""COMPUTED_VALUE"""),"Romance")</f>
        <v>Romance</v>
      </c>
      <c r="J381" s="5" t="str">
        <f>IFERROR(__xludf.DUMMYFUNCTION("""COMPUTED_VALUE"""),"127🤙🏼Metropolis🤙🏼Sci-Fi🤙🏼2")</f>
        <v>127🤙🏼Metropolis🤙🏼Sci-Fi🤙🏼2</v>
      </c>
      <c r="K381" s="5">
        <f>IFERROR(__xludf.DUMMYFUNCTION("SPLiT(J381, ""🤙🏼"",FALSE,FALSE)"),127.0)</f>
        <v>127</v>
      </c>
      <c r="L381" s="5" t="str">
        <f>IFERROR(__xludf.DUMMYFUNCTION("""COMPUTED_VALUE"""),"Metropolis")</f>
        <v>Metropolis</v>
      </c>
      <c r="M381" s="5" t="str">
        <f>IFERROR(__xludf.DUMMYFUNCTION("""COMPUTED_VALUE"""),"Sci-Fi")</f>
        <v>Sci-Fi</v>
      </c>
      <c r="N381" s="5">
        <f>IFERROR(__xludf.DUMMYFUNCTION("""COMPUTED_VALUE"""),2.0)</f>
        <v>2</v>
      </c>
      <c r="S381" s="5">
        <f>IFERROR(__xludf.DUMMYFUNCTION("""COMPUTED_VALUE"""),153.0)</f>
        <v>153</v>
      </c>
      <c r="T381" s="5" t="str">
        <f>IFERROR(__xludf.DUMMYFUNCTION("""COMPUTED_VALUE"""),"V for Vendetta")</f>
        <v>V for Vendetta</v>
      </c>
      <c r="U381" s="5" t="str">
        <f>IFERROR(__xludf.DUMMYFUNCTION("""COMPUTED_VALUE"""),"Action")</f>
        <v>Action</v>
      </c>
      <c r="V381" s="5">
        <f>IFERROR(__xludf.DUMMYFUNCTION("""COMPUTED_VALUE"""),1.0)</f>
        <v>1</v>
      </c>
    </row>
    <row r="382">
      <c r="A382" s="1">
        <v>381.0</v>
      </c>
      <c r="B382" s="1" t="s">
        <v>2469</v>
      </c>
      <c r="C382" s="1" t="s">
        <v>29</v>
      </c>
      <c r="D382" s="1"/>
      <c r="E382" s="1">
        <v>381.0</v>
      </c>
      <c r="F382" s="1" t="s">
        <v>2469</v>
      </c>
      <c r="G382" s="1" t="str">
        <f>IFERROR(__xludf.DUMMYFUNCTION("SPLIT(C382, "", "")"),"Crime")</f>
        <v>Crime</v>
      </c>
      <c r="H382" s="5" t="str">
        <f>IFERROR(__xludf.DUMMYFUNCTION("""COMPUTED_VALUE"""),"Drama")</f>
        <v>Drama</v>
      </c>
      <c r="J382" s="5" t="str">
        <f>IFERROR(__xludf.DUMMYFUNCTION("""COMPUTED_VALUE"""),"127🤙🏼Metropolis🤙🏼🤙🏼3")</f>
        <v>127🤙🏼Metropolis🤙🏼🤙🏼3</v>
      </c>
      <c r="K382" s="5">
        <f>IFERROR(__xludf.DUMMYFUNCTION("SPLiT(J382, ""🤙🏼"",FALSE,FALSE)"),127.0)</f>
        <v>127</v>
      </c>
      <c r="L382" s="5" t="str">
        <f>IFERROR(__xludf.DUMMYFUNCTION("""COMPUTED_VALUE"""),"Metropolis")</f>
        <v>Metropolis</v>
      </c>
      <c r="M382" s="5"/>
      <c r="N382" s="5">
        <f>IFERROR(__xludf.DUMMYFUNCTION("""COMPUTED_VALUE"""),3.0)</f>
        <v>3</v>
      </c>
      <c r="S382" s="5">
        <f>IFERROR(__xludf.DUMMYFUNCTION("""COMPUTED_VALUE"""),153.0)</f>
        <v>153</v>
      </c>
      <c r="T382" s="5" t="str">
        <f>IFERROR(__xludf.DUMMYFUNCTION("""COMPUTED_VALUE"""),"V for Vendetta")</f>
        <v>V for Vendetta</v>
      </c>
      <c r="U382" s="5" t="str">
        <f>IFERROR(__xludf.DUMMYFUNCTION("""COMPUTED_VALUE"""),"Drama")</f>
        <v>Drama</v>
      </c>
      <c r="V382" s="5">
        <f>IFERROR(__xludf.DUMMYFUNCTION("""COMPUTED_VALUE"""),2.0)</f>
        <v>2</v>
      </c>
    </row>
    <row r="383">
      <c r="A383" s="1">
        <v>382.0</v>
      </c>
      <c r="B383" s="1" t="s">
        <v>2474</v>
      </c>
      <c r="C383" s="1" t="s">
        <v>507</v>
      </c>
      <c r="D383" s="1"/>
      <c r="E383" s="1">
        <v>382.0</v>
      </c>
      <c r="F383" s="1" t="s">
        <v>2474</v>
      </c>
      <c r="G383" s="1" t="str">
        <f>IFERROR(__xludf.DUMMYFUNCTION("SPLIT(C383, "", "")"),"Comedy")</f>
        <v>Comedy</v>
      </c>
      <c r="H383" s="5" t="str">
        <f>IFERROR(__xludf.DUMMYFUNCTION("""COMPUTED_VALUE"""),"Drama")</f>
        <v>Drama</v>
      </c>
      <c r="J383" s="5" t="str">
        <f>IFERROR(__xludf.DUMMYFUNCTION("""COMPUTED_VALUE"""),"128🤙🏼The Kid🤙🏼Comedy🤙🏼1")</f>
        <v>128🤙🏼The Kid🤙🏼Comedy🤙🏼1</v>
      </c>
      <c r="K383" s="5">
        <f>IFERROR(__xludf.DUMMYFUNCTION("SPLiT(J383, ""🤙🏼"",FALSE,FALSE)"),128.0)</f>
        <v>128</v>
      </c>
      <c r="L383" s="5" t="str">
        <f>IFERROR(__xludf.DUMMYFUNCTION("""COMPUTED_VALUE"""),"The Kid")</f>
        <v>The Kid</v>
      </c>
      <c r="M383" s="5" t="str">
        <f>IFERROR(__xludf.DUMMYFUNCTION("""COMPUTED_VALUE"""),"Comedy")</f>
        <v>Comedy</v>
      </c>
      <c r="N383" s="5">
        <f>IFERROR(__xludf.DUMMYFUNCTION("""COMPUTED_VALUE"""),1.0)</f>
        <v>1</v>
      </c>
      <c r="S383" s="5">
        <f>IFERROR(__xludf.DUMMYFUNCTION("""COMPUTED_VALUE"""),153.0)</f>
        <v>153</v>
      </c>
      <c r="T383" s="5" t="str">
        <f>IFERROR(__xludf.DUMMYFUNCTION("""COMPUTED_VALUE"""),"V for Vendetta")</f>
        <v>V for Vendetta</v>
      </c>
      <c r="U383" s="5" t="str">
        <f>IFERROR(__xludf.DUMMYFUNCTION("""COMPUTED_VALUE"""),"Sci-Fi")</f>
        <v>Sci-Fi</v>
      </c>
      <c r="V383" s="5">
        <f>IFERROR(__xludf.DUMMYFUNCTION("""COMPUTED_VALUE"""),3.0)</f>
        <v>3</v>
      </c>
    </row>
    <row r="384">
      <c r="A384" s="1">
        <v>383.0</v>
      </c>
      <c r="B384" s="1" t="s">
        <v>2478</v>
      </c>
      <c r="C384" s="1" t="s">
        <v>304</v>
      </c>
      <c r="D384" s="1"/>
      <c r="E384" s="1">
        <v>383.0</v>
      </c>
      <c r="F384" s="1" t="s">
        <v>2478</v>
      </c>
      <c r="G384" s="1" t="str">
        <f>IFERROR(__xludf.DUMMYFUNCTION("SPLIT(C384, "", "")"),"Drama")</f>
        <v>Drama</v>
      </c>
      <c r="H384" s="5" t="str">
        <f>IFERROR(__xludf.DUMMYFUNCTION("""COMPUTED_VALUE"""),"Mystery")</f>
        <v>Mystery</v>
      </c>
      <c r="I384" s="5" t="str">
        <f>IFERROR(__xludf.DUMMYFUNCTION("""COMPUTED_VALUE"""),"Sci-Fi")</f>
        <v>Sci-Fi</v>
      </c>
      <c r="J384" s="5" t="str">
        <f>IFERROR(__xludf.DUMMYFUNCTION("""COMPUTED_VALUE"""),"128🤙🏼The Kid🤙🏼Drama🤙🏼2")</f>
        <v>128🤙🏼The Kid🤙🏼Drama🤙🏼2</v>
      </c>
      <c r="K384" s="5">
        <f>IFERROR(__xludf.DUMMYFUNCTION("SPLiT(J384, ""🤙🏼"",FALSE,FALSE)"),128.0)</f>
        <v>128</v>
      </c>
      <c r="L384" s="5" t="str">
        <f>IFERROR(__xludf.DUMMYFUNCTION("""COMPUTED_VALUE"""),"The Kid")</f>
        <v>The Kid</v>
      </c>
      <c r="M384" s="5" t="str">
        <f>IFERROR(__xludf.DUMMYFUNCTION("""COMPUTED_VALUE"""),"Drama")</f>
        <v>Drama</v>
      </c>
      <c r="N384" s="5">
        <f>IFERROR(__xludf.DUMMYFUNCTION("""COMPUTED_VALUE"""),2.0)</f>
        <v>2</v>
      </c>
      <c r="S384" s="5">
        <f>IFERROR(__xludf.DUMMYFUNCTION("""COMPUTED_VALUE"""),154.0)</f>
        <v>154</v>
      </c>
      <c r="T384" s="5" t="str">
        <f>IFERROR(__xludf.DUMMYFUNCTION("""COMPUTED_VALUE"""),"Rang De Basanti")</f>
        <v>Rang De Basanti</v>
      </c>
      <c r="U384" s="5" t="str">
        <f>IFERROR(__xludf.DUMMYFUNCTION("""COMPUTED_VALUE"""),"Comedy")</f>
        <v>Comedy</v>
      </c>
      <c r="V384" s="5">
        <f>IFERROR(__xludf.DUMMYFUNCTION("""COMPUTED_VALUE"""),1.0)</f>
        <v>1</v>
      </c>
    </row>
    <row r="385">
      <c r="A385" s="1">
        <v>384.0</v>
      </c>
      <c r="B385" s="1" t="s">
        <v>2484</v>
      </c>
      <c r="C385" s="1" t="s">
        <v>20</v>
      </c>
      <c r="D385" s="1"/>
      <c r="E385" s="1">
        <v>384.0</v>
      </c>
      <c r="F385" s="1" t="s">
        <v>2484</v>
      </c>
      <c r="G385" s="1" t="str">
        <f>IFERROR(__xludf.DUMMYFUNCTION("SPLIT(C385, "", "")"),"Drama")</f>
        <v>Drama</v>
      </c>
      <c r="J385" s="5" t="str">
        <f>IFERROR(__xludf.DUMMYFUNCTION("""COMPUTED_VALUE"""),"128🤙🏼The Kid🤙🏼Family🤙🏼3")</f>
        <v>128🤙🏼The Kid🤙🏼Family🤙🏼3</v>
      </c>
      <c r="K385" s="5">
        <f>IFERROR(__xludf.DUMMYFUNCTION("SPLiT(J385, ""🤙🏼"",FALSE,FALSE)"),128.0)</f>
        <v>128</v>
      </c>
      <c r="L385" s="5" t="str">
        <f>IFERROR(__xludf.DUMMYFUNCTION("""COMPUTED_VALUE"""),"The Kid")</f>
        <v>The Kid</v>
      </c>
      <c r="M385" s="5" t="str">
        <f>IFERROR(__xludf.DUMMYFUNCTION("""COMPUTED_VALUE"""),"Family")</f>
        <v>Family</v>
      </c>
      <c r="N385" s="5">
        <f>IFERROR(__xludf.DUMMYFUNCTION("""COMPUTED_VALUE"""),3.0)</f>
        <v>3</v>
      </c>
      <c r="S385" s="5">
        <f>IFERROR(__xludf.DUMMYFUNCTION("""COMPUTED_VALUE"""),154.0)</f>
        <v>154</v>
      </c>
      <c r="T385" s="5" t="str">
        <f>IFERROR(__xludf.DUMMYFUNCTION("""COMPUTED_VALUE"""),"Rang De Basanti")</f>
        <v>Rang De Basanti</v>
      </c>
      <c r="U385" s="5" t="str">
        <f>IFERROR(__xludf.DUMMYFUNCTION("""COMPUTED_VALUE"""),"Crime")</f>
        <v>Crime</v>
      </c>
      <c r="V385" s="5">
        <f>IFERROR(__xludf.DUMMYFUNCTION("""COMPUTED_VALUE"""),2.0)</f>
        <v>2</v>
      </c>
    </row>
    <row r="386">
      <c r="A386" s="1">
        <v>385.0</v>
      </c>
      <c r="B386" s="1" t="s">
        <v>2487</v>
      </c>
      <c r="C386" s="1" t="s">
        <v>2488</v>
      </c>
      <c r="D386" s="1"/>
      <c r="E386" s="1">
        <v>385.0</v>
      </c>
      <c r="F386" s="1" t="s">
        <v>2487</v>
      </c>
      <c r="G386" s="1" t="str">
        <f>IFERROR(__xludf.DUMMYFUNCTION("SPLIT(C386, "", "")"),"Crime")</f>
        <v>Crime</v>
      </c>
      <c r="H386" s="5" t="str">
        <f>IFERROR(__xludf.DUMMYFUNCTION("""COMPUTED_VALUE"""),"Drama")</f>
        <v>Drama</v>
      </c>
      <c r="I386" s="5" t="str">
        <f>IFERROR(__xludf.DUMMYFUNCTION("""COMPUTED_VALUE"""),"Musical")</f>
        <v>Musical</v>
      </c>
      <c r="J386" s="5" t="str">
        <f>IFERROR(__xludf.DUMMYFUNCTION("""COMPUTED_VALUE"""),"129🤙🏼Chhichhore🤙🏼Comedy🤙🏼1")</f>
        <v>129🤙🏼Chhichhore🤙🏼Comedy🤙🏼1</v>
      </c>
      <c r="K386" s="5">
        <f>IFERROR(__xludf.DUMMYFUNCTION("SPLiT(J386, ""🤙🏼"",FALSE,FALSE)"),129.0)</f>
        <v>129</v>
      </c>
      <c r="L386" s="5" t="str">
        <f>IFERROR(__xludf.DUMMYFUNCTION("""COMPUTED_VALUE"""),"Chhichhore")</f>
        <v>Chhichhore</v>
      </c>
      <c r="M386" s="5" t="str">
        <f>IFERROR(__xludf.DUMMYFUNCTION("""COMPUTED_VALUE"""),"Comedy")</f>
        <v>Comedy</v>
      </c>
      <c r="N386" s="5">
        <f>IFERROR(__xludf.DUMMYFUNCTION("""COMPUTED_VALUE"""),1.0)</f>
        <v>1</v>
      </c>
      <c r="S386" s="5">
        <f>IFERROR(__xludf.DUMMYFUNCTION("""COMPUTED_VALUE"""),154.0)</f>
        <v>154</v>
      </c>
      <c r="T386" s="5" t="str">
        <f>IFERROR(__xludf.DUMMYFUNCTION("""COMPUTED_VALUE"""),"Rang De Basanti")</f>
        <v>Rang De Basanti</v>
      </c>
      <c r="U386" s="5" t="str">
        <f>IFERROR(__xludf.DUMMYFUNCTION("""COMPUTED_VALUE"""),"Drama")</f>
        <v>Drama</v>
      </c>
      <c r="V386" s="5">
        <f>IFERROR(__xludf.DUMMYFUNCTION("""COMPUTED_VALUE"""),3.0)</f>
        <v>3</v>
      </c>
    </row>
    <row r="387">
      <c r="A387" s="1">
        <v>386.0</v>
      </c>
      <c r="B387" s="1" t="s">
        <v>2492</v>
      </c>
      <c r="C387" s="1" t="s">
        <v>1148</v>
      </c>
      <c r="D387" s="1"/>
      <c r="E387" s="1">
        <v>386.0</v>
      </c>
      <c r="F387" s="1" t="s">
        <v>2492</v>
      </c>
      <c r="G387" s="1" t="str">
        <f>IFERROR(__xludf.DUMMYFUNCTION("SPLIT(C387, "", "")"),"Biography")</f>
        <v>Biography</v>
      </c>
      <c r="H387" s="5" t="str">
        <f>IFERROR(__xludf.DUMMYFUNCTION("""COMPUTED_VALUE"""),"Drama")</f>
        <v>Drama</v>
      </c>
      <c r="J387" s="5" t="str">
        <f>IFERROR(__xludf.DUMMYFUNCTION("""COMPUTED_VALUE"""),"129🤙🏼Chhichhore🤙🏼Drama🤙🏼2")</f>
        <v>129🤙🏼Chhichhore🤙🏼Drama🤙🏼2</v>
      </c>
      <c r="K387" s="5">
        <f>IFERROR(__xludf.DUMMYFUNCTION("SPLiT(J387, ""🤙🏼"",FALSE,FALSE)"),129.0)</f>
        <v>129</v>
      </c>
      <c r="L387" s="5" t="str">
        <f>IFERROR(__xludf.DUMMYFUNCTION("""COMPUTED_VALUE"""),"Chhichhore")</f>
        <v>Chhichhore</v>
      </c>
      <c r="M387" s="5" t="str">
        <f>IFERROR(__xludf.DUMMYFUNCTION("""COMPUTED_VALUE"""),"Drama")</f>
        <v>Drama</v>
      </c>
      <c r="N387" s="5">
        <f>IFERROR(__xludf.DUMMYFUNCTION("""COMPUTED_VALUE"""),2.0)</f>
        <v>2</v>
      </c>
      <c r="S387" s="5">
        <f>IFERROR(__xludf.DUMMYFUNCTION("""COMPUTED_VALUE"""),155.0)</f>
        <v>155</v>
      </c>
      <c r="T387" s="5" t="str">
        <f>IFERROR(__xludf.DUMMYFUNCTION("""COMPUTED_VALUE"""),"Black")</f>
        <v>Black</v>
      </c>
      <c r="U387" s="5" t="str">
        <f>IFERROR(__xludf.DUMMYFUNCTION("""COMPUTED_VALUE"""),"Drama")</f>
        <v>Drama</v>
      </c>
      <c r="V387" s="5">
        <f>IFERROR(__xludf.DUMMYFUNCTION("""COMPUTED_VALUE"""),1.0)</f>
        <v>1</v>
      </c>
    </row>
    <row r="388">
      <c r="A388" s="1">
        <v>387.0</v>
      </c>
      <c r="B388" s="1" t="s">
        <v>2498</v>
      </c>
      <c r="C388" s="1" t="s">
        <v>2499</v>
      </c>
      <c r="D388" s="1"/>
      <c r="E388" s="1">
        <v>387.0</v>
      </c>
      <c r="F388" s="1" t="s">
        <v>2498</v>
      </c>
      <c r="G388" s="1" t="str">
        <f>IFERROR(__xludf.DUMMYFUNCTION("SPLIT(C388, "", "")"),"Animation")</f>
        <v>Animation</v>
      </c>
      <c r="H388" s="5" t="str">
        <f>IFERROR(__xludf.DUMMYFUNCTION("""COMPUTED_VALUE"""),"Crime")</f>
        <v>Crime</v>
      </c>
      <c r="I388" s="5" t="str">
        <f>IFERROR(__xludf.DUMMYFUNCTION("""COMPUTED_VALUE"""),"Mystery")</f>
        <v>Mystery</v>
      </c>
      <c r="J388" s="5" t="str">
        <f>IFERROR(__xludf.DUMMYFUNCTION("""COMPUTED_VALUE"""),"129🤙🏼Chhichhore🤙🏼🤙🏼3")</f>
        <v>129🤙🏼Chhichhore🤙🏼🤙🏼3</v>
      </c>
      <c r="K388" s="5">
        <f>IFERROR(__xludf.DUMMYFUNCTION("SPLiT(J388, ""🤙🏼"",FALSE,FALSE)"),129.0)</f>
        <v>129</v>
      </c>
      <c r="L388" s="5" t="str">
        <f>IFERROR(__xludf.DUMMYFUNCTION("""COMPUTED_VALUE"""),"Chhichhore")</f>
        <v>Chhichhore</v>
      </c>
      <c r="M388" s="5"/>
      <c r="N388" s="5">
        <f>IFERROR(__xludf.DUMMYFUNCTION("""COMPUTED_VALUE"""),3.0)</f>
        <v>3</v>
      </c>
      <c r="S388" s="5">
        <f>IFERROR(__xludf.DUMMYFUNCTION("""COMPUTED_VALUE"""),156.0)</f>
        <v>156</v>
      </c>
      <c r="T388" s="5" t="str">
        <f>IFERROR(__xludf.DUMMYFUNCTION("""COMPUTED_VALUE"""),"Batman Begins")</f>
        <v>Batman Begins</v>
      </c>
      <c r="U388" s="5" t="str">
        <f>IFERROR(__xludf.DUMMYFUNCTION("""COMPUTED_VALUE"""),"Action")</f>
        <v>Action</v>
      </c>
      <c r="V388" s="5">
        <f>IFERROR(__xludf.DUMMYFUNCTION("""COMPUTED_VALUE"""),1.0)</f>
        <v>1</v>
      </c>
    </row>
    <row r="389">
      <c r="A389" s="1">
        <v>388.0</v>
      </c>
      <c r="B389" s="1" t="s">
        <v>2506</v>
      </c>
      <c r="C389" s="1" t="s">
        <v>20</v>
      </c>
      <c r="D389" s="1"/>
      <c r="E389" s="1">
        <v>388.0</v>
      </c>
      <c r="F389" s="1" t="s">
        <v>2506</v>
      </c>
      <c r="G389" s="1" t="str">
        <f>IFERROR(__xludf.DUMMYFUNCTION("SPLIT(C389, "", "")"),"Drama")</f>
        <v>Drama</v>
      </c>
      <c r="J389" s="5" t="str">
        <f>IFERROR(__xludf.DUMMYFUNCTION("""COMPUTED_VALUE"""),"130🤙🏼Uri: The Surgical Strike🤙🏼Action🤙🏼1")</f>
        <v>130🤙🏼Uri: The Surgical Strike🤙🏼Action🤙🏼1</v>
      </c>
      <c r="K389" s="5">
        <f>IFERROR(__xludf.DUMMYFUNCTION("SPLiT(J389, ""🤙🏼"",FALSE,FALSE)"),130.0)</f>
        <v>130</v>
      </c>
      <c r="L389" s="5" t="str">
        <f>IFERROR(__xludf.DUMMYFUNCTION("""COMPUTED_VALUE"""),"Uri: The Surgical Strike")</f>
        <v>Uri: The Surgical Strike</v>
      </c>
      <c r="M389" s="5" t="str">
        <f>IFERROR(__xludf.DUMMYFUNCTION("""COMPUTED_VALUE"""),"Action")</f>
        <v>Action</v>
      </c>
      <c r="N389" s="5">
        <f>IFERROR(__xludf.DUMMYFUNCTION("""COMPUTED_VALUE"""),1.0)</f>
        <v>1</v>
      </c>
      <c r="S389" s="5">
        <f>IFERROR(__xludf.DUMMYFUNCTION("""COMPUTED_VALUE"""),156.0)</f>
        <v>156</v>
      </c>
      <c r="T389" s="5" t="str">
        <f>IFERROR(__xludf.DUMMYFUNCTION("""COMPUTED_VALUE"""),"Batman Begins")</f>
        <v>Batman Begins</v>
      </c>
      <c r="U389" s="5" t="str">
        <f>IFERROR(__xludf.DUMMYFUNCTION("""COMPUTED_VALUE"""),"Adventure")</f>
        <v>Adventure</v>
      </c>
      <c r="V389" s="5">
        <f>IFERROR(__xludf.DUMMYFUNCTION("""COMPUTED_VALUE"""),2.0)</f>
        <v>2</v>
      </c>
    </row>
    <row r="390">
      <c r="A390" s="1">
        <v>389.0</v>
      </c>
      <c r="B390" s="1" t="s">
        <v>2511</v>
      </c>
      <c r="C390" s="1" t="s">
        <v>20</v>
      </c>
      <c r="D390" s="1"/>
      <c r="E390" s="1">
        <v>389.0</v>
      </c>
      <c r="F390" s="1" t="s">
        <v>2511</v>
      </c>
      <c r="G390" s="1" t="str">
        <f>IFERROR(__xludf.DUMMYFUNCTION("SPLIT(C390, "", "")"),"Drama")</f>
        <v>Drama</v>
      </c>
      <c r="J390" s="5" t="str">
        <f>IFERROR(__xludf.DUMMYFUNCTION("""COMPUTED_VALUE"""),"130🤙🏼Uri: The Surgical Strike🤙🏼Drama🤙🏼2")</f>
        <v>130🤙🏼Uri: The Surgical Strike🤙🏼Drama🤙🏼2</v>
      </c>
      <c r="K390" s="5">
        <f>IFERROR(__xludf.DUMMYFUNCTION("SPLiT(J390, ""🤙🏼"",FALSE,FALSE)"),130.0)</f>
        <v>130</v>
      </c>
      <c r="L390" s="5" t="str">
        <f>IFERROR(__xludf.DUMMYFUNCTION("""COMPUTED_VALUE"""),"Uri: The Surgical Strike")</f>
        <v>Uri: The Surgical Strike</v>
      </c>
      <c r="M390" s="5" t="str">
        <f>IFERROR(__xludf.DUMMYFUNCTION("""COMPUTED_VALUE"""),"Drama")</f>
        <v>Drama</v>
      </c>
      <c r="N390" s="5">
        <f>IFERROR(__xludf.DUMMYFUNCTION("""COMPUTED_VALUE"""),2.0)</f>
        <v>2</v>
      </c>
      <c r="S390" s="5">
        <f>IFERROR(__xludf.DUMMYFUNCTION("""COMPUTED_VALUE"""),157.0)</f>
        <v>157</v>
      </c>
      <c r="T390" s="5" t="str">
        <f>IFERROR(__xludf.DUMMYFUNCTION("""COMPUTED_VALUE"""),"Swades: We, the People")</f>
        <v>Swades: We, the People</v>
      </c>
      <c r="U390" s="5" t="str">
        <f>IFERROR(__xludf.DUMMYFUNCTION("""COMPUTED_VALUE"""),"Drama")</f>
        <v>Drama</v>
      </c>
      <c r="V390" s="5">
        <f>IFERROR(__xludf.DUMMYFUNCTION("""COMPUTED_VALUE"""),1.0)</f>
        <v>1</v>
      </c>
    </row>
    <row r="391">
      <c r="A391" s="1">
        <v>390.0</v>
      </c>
      <c r="B391" s="1" t="s">
        <v>2518</v>
      </c>
      <c r="C391" s="1" t="s">
        <v>467</v>
      </c>
      <c r="D391" s="1"/>
      <c r="E391" s="1">
        <v>390.0</v>
      </c>
      <c r="F391" s="1" t="s">
        <v>2518</v>
      </c>
      <c r="G391" s="1" t="str">
        <f>IFERROR(__xludf.DUMMYFUNCTION("SPLIT(C391, "", "")"),"Animation")</f>
        <v>Animation</v>
      </c>
      <c r="H391" s="5" t="str">
        <f>IFERROR(__xludf.DUMMYFUNCTION("""COMPUTED_VALUE"""),"Action")</f>
        <v>Action</v>
      </c>
      <c r="I391" s="5" t="str">
        <f>IFERROR(__xludf.DUMMYFUNCTION("""COMPUTED_VALUE"""),"Adventure")</f>
        <v>Adventure</v>
      </c>
      <c r="J391" s="5" t="str">
        <f>IFERROR(__xludf.DUMMYFUNCTION("""COMPUTED_VALUE"""),"130🤙🏼Uri: The Surgical Strike🤙🏼War🤙🏼3")</f>
        <v>130🤙🏼Uri: The Surgical Strike🤙🏼War🤙🏼3</v>
      </c>
      <c r="K391" s="5">
        <f>IFERROR(__xludf.DUMMYFUNCTION("SPLiT(J391, ""🤙🏼"",FALSE,FALSE)"),130.0)</f>
        <v>130</v>
      </c>
      <c r="L391" s="5" t="str">
        <f>IFERROR(__xludf.DUMMYFUNCTION("""COMPUTED_VALUE"""),"Uri: The Surgical Strike")</f>
        <v>Uri: The Surgical Strike</v>
      </c>
      <c r="M391" s="5" t="str">
        <f>IFERROR(__xludf.DUMMYFUNCTION("""COMPUTED_VALUE"""),"War")</f>
        <v>War</v>
      </c>
      <c r="N391" s="5">
        <f>IFERROR(__xludf.DUMMYFUNCTION("""COMPUTED_VALUE"""),3.0)</f>
        <v>3</v>
      </c>
      <c r="S391" s="5">
        <f>IFERROR(__xludf.DUMMYFUNCTION("""COMPUTED_VALUE"""),158.0)</f>
        <v>158</v>
      </c>
      <c r="T391" s="5" t="str">
        <f>IFERROR(__xludf.DUMMYFUNCTION("""COMPUTED_VALUE"""),"Der Untergang")</f>
        <v>Der Untergang</v>
      </c>
      <c r="U391" s="5" t="str">
        <f>IFERROR(__xludf.DUMMYFUNCTION("""COMPUTED_VALUE"""),"Biography")</f>
        <v>Biography</v>
      </c>
      <c r="V391" s="5">
        <f>IFERROR(__xludf.DUMMYFUNCTION("""COMPUTED_VALUE"""),1.0)</f>
        <v>1</v>
      </c>
    </row>
    <row r="392">
      <c r="A392" s="1">
        <v>391.0</v>
      </c>
      <c r="B392" s="1" t="s">
        <v>2523</v>
      </c>
      <c r="C392" s="1" t="s">
        <v>2524</v>
      </c>
      <c r="D392" s="1"/>
      <c r="E392" s="1">
        <v>391.0</v>
      </c>
      <c r="F392" s="1" t="s">
        <v>2523</v>
      </c>
      <c r="G392" s="1" t="str">
        <f>IFERROR(__xludf.DUMMYFUNCTION("SPLIT(C392, "", "")"),"Action")</f>
        <v>Action</v>
      </c>
      <c r="H392" s="5" t="str">
        <f>IFERROR(__xludf.DUMMYFUNCTION("""COMPUTED_VALUE"""),"Crime")</f>
        <v>Crime</v>
      </c>
      <c r="I392" s="5" t="str">
        <f>IFERROR(__xludf.DUMMYFUNCTION("""COMPUTED_VALUE"""),"Comedy")</f>
        <v>Comedy</v>
      </c>
      <c r="J392" s="5" t="str">
        <f>IFERROR(__xludf.DUMMYFUNCTION("""COMPUTED_VALUE"""),"131🤙🏼K.G.F: Chapter 1🤙🏼Action🤙🏼1")</f>
        <v>131🤙🏼K.G.F: Chapter 1🤙🏼Action🤙🏼1</v>
      </c>
      <c r="K392" s="5">
        <f>IFERROR(__xludf.DUMMYFUNCTION("SPLiT(J392, ""🤙🏼"",FALSE,FALSE)"),131.0)</f>
        <v>131</v>
      </c>
      <c r="L392" s="5" t="str">
        <f>IFERROR(__xludf.DUMMYFUNCTION("""COMPUTED_VALUE"""),"K.G.F: Chapter 1")</f>
        <v>K.G.F: Chapter 1</v>
      </c>
      <c r="M392" s="5" t="str">
        <f>IFERROR(__xludf.DUMMYFUNCTION("""COMPUTED_VALUE"""),"Action")</f>
        <v>Action</v>
      </c>
      <c r="N392" s="5">
        <f>IFERROR(__xludf.DUMMYFUNCTION("""COMPUTED_VALUE"""),1.0)</f>
        <v>1</v>
      </c>
      <c r="S392" s="5">
        <f>IFERROR(__xludf.DUMMYFUNCTION("""COMPUTED_VALUE"""),158.0)</f>
        <v>158</v>
      </c>
      <c r="T392" s="5" t="str">
        <f>IFERROR(__xludf.DUMMYFUNCTION("""COMPUTED_VALUE"""),"Der Untergang")</f>
        <v>Der Untergang</v>
      </c>
      <c r="U392" s="5" t="str">
        <f>IFERROR(__xludf.DUMMYFUNCTION("""COMPUTED_VALUE"""),"Drama")</f>
        <v>Drama</v>
      </c>
      <c r="V392" s="5">
        <f>IFERROR(__xludf.DUMMYFUNCTION("""COMPUTED_VALUE"""),2.0)</f>
        <v>2</v>
      </c>
    </row>
    <row r="393">
      <c r="A393" s="1">
        <v>392.0</v>
      </c>
      <c r="B393" s="1" t="s">
        <v>2531</v>
      </c>
      <c r="C393" s="1" t="s">
        <v>20</v>
      </c>
      <c r="D393" s="1"/>
      <c r="E393" s="1">
        <v>392.0</v>
      </c>
      <c r="F393" s="1" t="s">
        <v>2531</v>
      </c>
      <c r="G393" s="1" t="str">
        <f>IFERROR(__xludf.DUMMYFUNCTION("SPLIT(C393, "", "")"),"Drama")</f>
        <v>Drama</v>
      </c>
      <c r="J393" s="5" t="str">
        <f>IFERROR(__xludf.DUMMYFUNCTION("""COMPUTED_VALUE"""),"131🤙🏼K.G.F: Chapter 1🤙🏼Drama🤙🏼2")</f>
        <v>131🤙🏼K.G.F: Chapter 1🤙🏼Drama🤙🏼2</v>
      </c>
      <c r="K393" s="5">
        <f>IFERROR(__xludf.DUMMYFUNCTION("SPLiT(J393, ""🤙🏼"",FALSE,FALSE)"),131.0)</f>
        <v>131</v>
      </c>
      <c r="L393" s="5" t="str">
        <f>IFERROR(__xludf.DUMMYFUNCTION("""COMPUTED_VALUE"""),"K.G.F: Chapter 1")</f>
        <v>K.G.F: Chapter 1</v>
      </c>
      <c r="M393" s="5" t="str">
        <f>IFERROR(__xludf.DUMMYFUNCTION("""COMPUTED_VALUE"""),"Drama")</f>
        <v>Drama</v>
      </c>
      <c r="N393" s="5">
        <f>IFERROR(__xludf.DUMMYFUNCTION("""COMPUTED_VALUE"""),2.0)</f>
        <v>2</v>
      </c>
      <c r="S393" s="5">
        <f>IFERROR(__xludf.DUMMYFUNCTION("""COMPUTED_VALUE"""),158.0)</f>
        <v>158</v>
      </c>
      <c r="T393" s="5" t="str">
        <f>IFERROR(__xludf.DUMMYFUNCTION("""COMPUTED_VALUE"""),"Der Untergang")</f>
        <v>Der Untergang</v>
      </c>
      <c r="U393" s="5" t="str">
        <f>IFERROR(__xludf.DUMMYFUNCTION("""COMPUTED_VALUE"""),"History")</f>
        <v>History</v>
      </c>
      <c r="V393" s="5">
        <f>IFERROR(__xludf.DUMMYFUNCTION("""COMPUTED_VALUE"""),3.0)</f>
        <v>3</v>
      </c>
    </row>
    <row r="394">
      <c r="A394" s="1">
        <v>393.0</v>
      </c>
      <c r="B394" s="1" t="s">
        <v>2537</v>
      </c>
      <c r="C394" s="1" t="s">
        <v>507</v>
      </c>
      <c r="D394" s="1"/>
      <c r="E394" s="1">
        <v>393.0</v>
      </c>
      <c r="F394" s="1" t="s">
        <v>2537</v>
      </c>
      <c r="G394" s="1" t="str">
        <f>IFERROR(__xludf.DUMMYFUNCTION("SPLIT(C394, "", "")"),"Comedy")</f>
        <v>Comedy</v>
      </c>
      <c r="H394" s="5" t="str">
        <f>IFERROR(__xludf.DUMMYFUNCTION("""COMPUTED_VALUE"""),"Drama")</f>
        <v>Drama</v>
      </c>
      <c r="J394" s="5" t="str">
        <f>IFERROR(__xludf.DUMMYFUNCTION("""COMPUTED_VALUE"""),"131🤙🏼K.G.F: Chapter 1🤙🏼🤙🏼3")</f>
        <v>131🤙🏼K.G.F: Chapter 1🤙🏼🤙🏼3</v>
      </c>
      <c r="K394" s="5">
        <f>IFERROR(__xludf.DUMMYFUNCTION("SPLiT(J394, ""🤙🏼"",FALSE,FALSE)"),131.0)</f>
        <v>131</v>
      </c>
      <c r="L394" s="5" t="str">
        <f>IFERROR(__xludf.DUMMYFUNCTION("""COMPUTED_VALUE"""),"K.G.F: Chapter 1")</f>
        <v>K.G.F: Chapter 1</v>
      </c>
      <c r="M394" s="5"/>
      <c r="N394" s="5">
        <f>IFERROR(__xludf.DUMMYFUNCTION("""COMPUTED_VALUE"""),3.0)</f>
        <v>3</v>
      </c>
      <c r="S394" s="5">
        <f>IFERROR(__xludf.DUMMYFUNCTION("""COMPUTED_VALUE"""),159.0)</f>
        <v>159</v>
      </c>
      <c r="T394" s="5" t="str">
        <f>IFERROR(__xludf.DUMMYFUNCTION("""COMPUTED_VALUE"""),"Hauru no ugoku shiro")</f>
        <v>Hauru no ugoku shiro</v>
      </c>
      <c r="U394" s="5" t="str">
        <f>IFERROR(__xludf.DUMMYFUNCTION("""COMPUTED_VALUE"""),"Animation")</f>
        <v>Animation</v>
      </c>
      <c r="V394" s="5">
        <f>IFERROR(__xludf.DUMMYFUNCTION("""COMPUTED_VALUE"""),1.0)</f>
        <v>1</v>
      </c>
    </row>
    <row r="395">
      <c r="A395" s="1">
        <v>394.0</v>
      </c>
      <c r="B395" s="1" t="s">
        <v>2544</v>
      </c>
      <c r="C395" s="1" t="s">
        <v>2545</v>
      </c>
      <c r="D395" s="1"/>
      <c r="E395" s="1">
        <v>394.0</v>
      </c>
      <c r="F395" s="1" t="s">
        <v>2544</v>
      </c>
      <c r="G395" s="1" t="str">
        <f>IFERROR(__xludf.DUMMYFUNCTION("SPLIT(C395, "", "")"),"Mystery")</f>
        <v>Mystery</v>
      </c>
      <c r="H395" s="5" t="str">
        <f>IFERROR(__xludf.DUMMYFUNCTION("""COMPUTED_VALUE"""),"Sci-Fi")</f>
        <v>Sci-Fi</v>
      </c>
      <c r="I395" s="5" t="str">
        <f>IFERROR(__xludf.DUMMYFUNCTION("""COMPUTED_VALUE"""),"Thriller")</f>
        <v>Thriller</v>
      </c>
      <c r="J395" s="5" t="str">
        <f>IFERROR(__xludf.DUMMYFUNCTION("""COMPUTED_VALUE"""),"132🤙🏼Green Book🤙🏼Biography🤙🏼1")</f>
        <v>132🤙🏼Green Book🤙🏼Biography🤙🏼1</v>
      </c>
      <c r="K395" s="5">
        <f>IFERROR(__xludf.DUMMYFUNCTION("SPLiT(J395, ""🤙🏼"",FALSE,FALSE)"),132.0)</f>
        <v>132</v>
      </c>
      <c r="L395" s="5" t="str">
        <f>IFERROR(__xludf.DUMMYFUNCTION("""COMPUTED_VALUE"""),"Green Book")</f>
        <v>Green Book</v>
      </c>
      <c r="M395" s="5" t="str">
        <f>IFERROR(__xludf.DUMMYFUNCTION("""COMPUTED_VALUE"""),"Biography")</f>
        <v>Biography</v>
      </c>
      <c r="N395" s="5">
        <f>IFERROR(__xludf.DUMMYFUNCTION("""COMPUTED_VALUE"""),1.0)</f>
        <v>1</v>
      </c>
      <c r="S395" s="5">
        <f>IFERROR(__xludf.DUMMYFUNCTION("""COMPUTED_VALUE"""),159.0)</f>
        <v>159</v>
      </c>
      <c r="T395" s="5" t="str">
        <f>IFERROR(__xludf.DUMMYFUNCTION("""COMPUTED_VALUE"""),"Hauru no ugoku shiro")</f>
        <v>Hauru no ugoku shiro</v>
      </c>
      <c r="U395" s="5" t="str">
        <f>IFERROR(__xludf.DUMMYFUNCTION("""COMPUTED_VALUE"""),"Adventure")</f>
        <v>Adventure</v>
      </c>
      <c r="V395" s="5">
        <f>IFERROR(__xludf.DUMMYFUNCTION("""COMPUTED_VALUE"""),2.0)</f>
        <v>2</v>
      </c>
    </row>
    <row r="396">
      <c r="A396" s="1">
        <v>395.0</v>
      </c>
      <c r="B396" s="1" t="s">
        <v>2549</v>
      </c>
      <c r="C396" s="1" t="s">
        <v>2551</v>
      </c>
      <c r="D396" s="1"/>
      <c r="E396" s="1">
        <v>395.0</v>
      </c>
      <c r="F396" s="1" t="s">
        <v>2549</v>
      </c>
      <c r="G396" s="1" t="str">
        <f>IFERROR(__xludf.DUMMYFUNCTION("SPLIT(C396, "", "")"),"Animation")</f>
        <v>Animation</v>
      </c>
      <c r="H396" s="5" t="str">
        <f>IFERROR(__xludf.DUMMYFUNCTION("""COMPUTED_VALUE"""),"Action")</f>
        <v>Action</v>
      </c>
      <c r="I396" s="5" t="str">
        <f>IFERROR(__xludf.DUMMYFUNCTION("""COMPUTED_VALUE"""),"Crime")</f>
        <v>Crime</v>
      </c>
      <c r="J396" s="5" t="str">
        <f>IFERROR(__xludf.DUMMYFUNCTION("""COMPUTED_VALUE"""),"132🤙🏼Green Book🤙🏼Comedy🤙🏼2")</f>
        <v>132🤙🏼Green Book🤙🏼Comedy🤙🏼2</v>
      </c>
      <c r="K396" s="5">
        <f>IFERROR(__xludf.DUMMYFUNCTION("SPLiT(J396, ""🤙🏼"",FALSE,FALSE)"),132.0)</f>
        <v>132</v>
      </c>
      <c r="L396" s="5" t="str">
        <f>IFERROR(__xludf.DUMMYFUNCTION("""COMPUTED_VALUE"""),"Green Book")</f>
        <v>Green Book</v>
      </c>
      <c r="M396" s="5" t="str">
        <f>IFERROR(__xludf.DUMMYFUNCTION("""COMPUTED_VALUE"""),"Comedy")</f>
        <v>Comedy</v>
      </c>
      <c r="N396" s="5">
        <f>IFERROR(__xludf.DUMMYFUNCTION("""COMPUTED_VALUE"""),2.0)</f>
        <v>2</v>
      </c>
      <c r="S396" s="5">
        <f>IFERROR(__xludf.DUMMYFUNCTION("""COMPUTED_VALUE"""),159.0)</f>
        <v>159</v>
      </c>
      <c r="T396" s="5" t="str">
        <f>IFERROR(__xludf.DUMMYFUNCTION("""COMPUTED_VALUE"""),"Hauru no ugoku shiro")</f>
        <v>Hauru no ugoku shiro</v>
      </c>
      <c r="U396" s="5" t="str">
        <f>IFERROR(__xludf.DUMMYFUNCTION("""COMPUTED_VALUE"""),"Family")</f>
        <v>Family</v>
      </c>
      <c r="V396" s="5">
        <f>IFERROR(__xludf.DUMMYFUNCTION("""COMPUTED_VALUE"""),3.0)</f>
        <v>3</v>
      </c>
    </row>
    <row r="397">
      <c r="A397" s="1">
        <v>396.0</v>
      </c>
      <c r="B397" s="1" t="s">
        <v>2558</v>
      </c>
      <c r="C397" s="1" t="s">
        <v>1207</v>
      </c>
      <c r="D397" s="1"/>
      <c r="E397" s="1">
        <v>396.0</v>
      </c>
      <c r="F397" s="1" t="s">
        <v>2558</v>
      </c>
      <c r="G397" s="1" t="str">
        <f>IFERROR(__xludf.DUMMYFUNCTION("SPLIT(C397, "", "")"),"Animation")</f>
        <v>Animation</v>
      </c>
      <c r="H397" s="5" t="str">
        <f>IFERROR(__xludf.DUMMYFUNCTION("""COMPUTED_VALUE"""),"Family")</f>
        <v>Family</v>
      </c>
      <c r="I397" s="5" t="str">
        <f>IFERROR(__xludf.DUMMYFUNCTION("""COMPUTED_VALUE"""),"Fantasy")</f>
        <v>Fantasy</v>
      </c>
      <c r="J397" s="5" t="str">
        <f>IFERROR(__xludf.DUMMYFUNCTION("""COMPUTED_VALUE"""),"132🤙🏼Green Book🤙🏼Drama🤙🏼3")</f>
        <v>132🤙🏼Green Book🤙🏼Drama🤙🏼3</v>
      </c>
      <c r="K397" s="5">
        <f>IFERROR(__xludf.DUMMYFUNCTION("SPLiT(J397, ""🤙🏼"",FALSE,FALSE)"),132.0)</f>
        <v>132</v>
      </c>
      <c r="L397" s="5" t="str">
        <f>IFERROR(__xludf.DUMMYFUNCTION("""COMPUTED_VALUE"""),"Green Book")</f>
        <v>Green Book</v>
      </c>
      <c r="M397" s="5" t="str">
        <f>IFERROR(__xludf.DUMMYFUNCTION("""COMPUTED_VALUE"""),"Drama")</f>
        <v>Drama</v>
      </c>
      <c r="N397" s="5">
        <f>IFERROR(__xludf.DUMMYFUNCTION("""COMPUTED_VALUE"""),3.0)</f>
        <v>3</v>
      </c>
      <c r="S397" s="5">
        <f>IFERROR(__xludf.DUMMYFUNCTION("""COMPUTED_VALUE"""),160.0)</f>
        <v>160</v>
      </c>
      <c r="T397" s="5" t="str">
        <f>IFERROR(__xludf.DUMMYFUNCTION("""COMPUTED_VALUE"""),"A Beautiful Mind")</f>
        <v>A Beautiful Mind</v>
      </c>
      <c r="U397" s="5" t="str">
        <f>IFERROR(__xludf.DUMMYFUNCTION("""COMPUTED_VALUE"""),"Biography")</f>
        <v>Biography</v>
      </c>
      <c r="V397" s="5">
        <f>IFERROR(__xludf.DUMMYFUNCTION("""COMPUTED_VALUE"""),1.0)</f>
        <v>1</v>
      </c>
    </row>
    <row r="398">
      <c r="A398" s="1">
        <v>397.0</v>
      </c>
      <c r="B398" s="1" t="s">
        <v>2565</v>
      </c>
      <c r="C398" s="1" t="s">
        <v>2566</v>
      </c>
      <c r="D398" s="1"/>
      <c r="E398" s="1">
        <v>397.0</v>
      </c>
      <c r="F398" s="1" t="s">
        <v>2565</v>
      </c>
      <c r="G398" s="1" t="str">
        <f>IFERROR(__xludf.DUMMYFUNCTION("SPLIT(C398, "", "")"),"Comedy")</f>
        <v>Comedy</v>
      </c>
      <c r="H398" s="5" t="str">
        <f>IFERROR(__xludf.DUMMYFUNCTION("""COMPUTED_VALUE"""),"Fantasy")</f>
        <v>Fantasy</v>
      </c>
      <c r="I398" s="5" t="str">
        <f>IFERROR(__xludf.DUMMYFUNCTION("""COMPUTED_VALUE"""),"Romance")</f>
        <v>Romance</v>
      </c>
      <c r="J398" s="5" t="str">
        <f>IFERROR(__xludf.DUMMYFUNCTION("""COMPUTED_VALUE"""),"133🤙🏼Three Billboards Outside Ebbing, Missouri🤙🏼Comedy🤙🏼1")</f>
        <v>133🤙🏼Three Billboards Outside Ebbing, Missouri🤙🏼Comedy🤙🏼1</v>
      </c>
      <c r="K398" s="5">
        <f>IFERROR(__xludf.DUMMYFUNCTION("SPLiT(J398, ""🤙🏼"",FALSE,FALSE)"),133.0)</f>
        <v>133</v>
      </c>
      <c r="L398" s="5" t="str">
        <f>IFERROR(__xludf.DUMMYFUNCTION("""COMPUTED_VALUE"""),"Three Billboards Outside Ebbing, Missouri")</f>
        <v>Three Billboards Outside Ebbing, Missouri</v>
      </c>
      <c r="M398" s="5" t="str">
        <f>IFERROR(__xludf.DUMMYFUNCTION("""COMPUTED_VALUE"""),"Comedy")</f>
        <v>Comedy</v>
      </c>
      <c r="N398" s="5">
        <f>IFERROR(__xludf.DUMMYFUNCTION("""COMPUTED_VALUE"""),1.0)</f>
        <v>1</v>
      </c>
      <c r="S398" s="5">
        <f>IFERROR(__xludf.DUMMYFUNCTION("""COMPUTED_VALUE"""),160.0)</f>
        <v>160</v>
      </c>
      <c r="T398" s="5" t="str">
        <f>IFERROR(__xludf.DUMMYFUNCTION("""COMPUTED_VALUE"""),"A Beautiful Mind")</f>
        <v>A Beautiful Mind</v>
      </c>
      <c r="U398" s="5" t="str">
        <f>IFERROR(__xludf.DUMMYFUNCTION("""COMPUTED_VALUE"""),"Drama")</f>
        <v>Drama</v>
      </c>
      <c r="V398" s="5">
        <f>IFERROR(__xludf.DUMMYFUNCTION("""COMPUTED_VALUE"""),2.0)</f>
        <v>2</v>
      </c>
    </row>
    <row r="399">
      <c r="A399" s="1">
        <v>398.0</v>
      </c>
      <c r="B399" s="1" t="s">
        <v>2573</v>
      </c>
      <c r="C399" s="1" t="s">
        <v>29</v>
      </c>
      <c r="D399" s="1"/>
      <c r="E399" s="1">
        <v>398.0</v>
      </c>
      <c r="F399" s="1" t="s">
        <v>2573</v>
      </c>
      <c r="G399" s="1" t="str">
        <f>IFERROR(__xludf.DUMMYFUNCTION("SPLIT(C399, "", "")"),"Crime")</f>
        <v>Crime</v>
      </c>
      <c r="H399" s="5" t="str">
        <f>IFERROR(__xludf.DUMMYFUNCTION("""COMPUTED_VALUE"""),"Drama")</f>
        <v>Drama</v>
      </c>
      <c r="J399" s="5" t="str">
        <f>IFERROR(__xludf.DUMMYFUNCTION("""COMPUTED_VALUE"""),"133🤙🏼Three Billboards Outside Ebbing, Missouri🤙🏼Crime🤙🏼2")</f>
        <v>133🤙🏼Three Billboards Outside Ebbing, Missouri🤙🏼Crime🤙🏼2</v>
      </c>
      <c r="K399" s="5">
        <f>IFERROR(__xludf.DUMMYFUNCTION("SPLiT(J399, ""🤙🏼"",FALSE,FALSE)"),133.0)</f>
        <v>133</v>
      </c>
      <c r="L399" s="5" t="str">
        <f>IFERROR(__xludf.DUMMYFUNCTION("""COMPUTED_VALUE"""),"Three Billboards Outside Ebbing, Missouri")</f>
        <v>Three Billboards Outside Ebbing, Missouri</v>
      </c>
      <c r="M399" s="5" t="str">
        <f>IFERROR(__xludf.DUMMYFUNCTION("""COMPUTED_VALUE"""),"Crime")</f>
        <v>Crime</v>
      </c>
      <c r="N399" s="5">
        <f>IFERROR(__xludf.DUMMYFUNCTION("""COMPUTED_VALUE"""),2.0)</f>
        <v>2</v>
      </c>
      <c r="S399" s="5">
        <f>IFERROR(__xludf.DUMMYFUNCTION("""COMPUTED_VALUE"""),161.0)</f>
        <v>161</v>
      </c>
      <c r="T399" s="5" t="str">
        <f>IFERROR(__xludf.DUMMYFUNCTION("""COMPUTED_VALUE"""),"Hera Pheri")</f>
        <v>Hera Pheri</v>
      </c>
      <c r="U399" s="5" t="str">
        <f>IFERROR(__xludf.DUMMYFUNCTION("""COMPUTED_VALUE"""),"Action")</f>
        <v>Action</v>
      </c>
      <c r="V399" s="5">
        <f>IFERROR(__xludf.DUMMYFUNCTION("""COMPUTED_VALUE"""),1.0)</f>
        <v>1</v>
      </c>
    </row>
    <row r="400">
      <c r="A400" s="1">
        <v>399.0</v>
      </c>
      <c r="B400" s="1" t="s">
        <v>2579</v>
      </c>
      <c r="C400" s="1" t="s">
        <v>20</v>
      </c>
      <c r="D400" s="1"/>
      <c r="E400" s="1">
        <v>399.0</v>
      </c>
      <c r="F400" s="1" t="s">
        <v>2579</v>
      </c>
      <c r="G400" s="1" t="str">
        <f>IFERROR(__xludf.DUMMYFUNCTION("SPLIT(C400, "", "")"),"Drama")</f>
        <v>Drama</v>
      </c>
      <c r="J400" s="5" t="str">
        <f>IFERROR(__xludf.DUMMYFUNCTION("""COMPUTED_VALUE"""),"133🤙🏼Three Billboards Outside Ebbing, Missouri🤙🏼Drama🤙🏼3")</f>
        <v>133🤙🏼Three Billboards Outside Ebbing, Missouri🤙🏼Drama🤙🏼3</v>
      </c>
      <c r="K400" s="5">
        <f>IFERROR(__xludf.DUMMYFUNCTION("SPLiT(J400, ""🤙🏼"",FALSE,FALSE)"),133.0)</f>
        <v>133</v>
      </c>
      <c r="L400" s="5" t="str">
        <f>IFERROR(__xludf.DUMMYFUNCTION("""COMPUTED_VALUE"""),"Three Billboards Outside Ebbing, Missouri")</f>
        <v>Three Billboards Outside Ebbing, Missouri</v>
      </c>
      <c r="M400" s="5" t="str">
        <f>IFERROR(__xludf.DUMMYFUNCTION("""COMPUTED_VALUE"""),"Drama")</f>
        <v>Drama</v>
      </c>
      <c r="N400" s="5">
        <f>IFERROR(__xludf.DUMMYFUNCTION("""COMPUTED_VALUE"""),3.0)</f>
        <v>3</v>
      </c>
      <c r="S400" s="5">
        <f>IFERROR(__xludf.DUMMYFUNCTION("""COMPUTED_VALUE"""),161.0)</f>
        <v>161</v>
      </c>
      <c r="T400" s="5" t="str">
        <f>IFERROR(__xludf.DUMMYFUNCTION("""COMPUTED_VALUE"""),"Hera Pheri")</f>
        <v>Hera Pheri</v>
      </c>
      <c r="U400" s="5" t="str">
        <f>IFERROR(__xludf.DUMMYFUNCTION("""COMPUTED_VALUE"""),"Comedy")</f>
        <v>Comedy</v>
      </c>
      <c r="V400" s="5">
        <f>IFERROR(__xludf.DUMMYFUNCTION("""COMPUTED_VALUE"""),2.0)</f>
        <v>2</v>
      </c>
    </row>
    <row r="401">
      <c r="A401" s="1">
        <v>400.0</v>
      </c>
      <c r="B401" s="1" t="s">
        <v>2585</v>
      </c>
      <c r="C401" s="1" t="s">
        <v>765</v>
      </c>
      <c r="D401" s="1"/>
      <c r="E401" s="1">
        <v>400.0</v>
      </c>
      <c r="F401" s="1" t="s">
        <v>2585</v>
      </c>
      <c r="G401" s="1" t="str">
        <f>IFERROR(__xludf.DUMMYFUNCTION("SPLIT(C401, "", "")"),"Animation")</f>
        <v>Animation</v>
      </c>
      <c r="H401" s="5" t="str">
        <f>IFERROR(__xludf.DUMMYFUNCTION("""COMPUTED_VALUE"""),"Adventure")</f>
        <v>Adventure</v>
      </c>
      <c r="I401" s="5" t="str">
        <f>IFERROR(__xludf.DUMMYFUNCTION("""COMPUTED_VALUE"""),"Comedy")</f>
        <v>Comedy</v>
      </c>
      <c r="J401" s="5" t="str">
        <f>IFERROR(__xludf.DUMMYFUNCTION("""COMPUTED_VALUE"""),"134🤙🏼Talvar🤙🏼Crime🤙🏼1")</f>
        <v>134🤙🏼Talvar🤙🏼Crime🤙🏼1</v>
      </c>
      <c r="K401" s="5">
        <f>IFERROR(__xludf.DUMMYFUNCTION("SPLiT(J401, ""🤙🏼"",FALSE,FALSE)"),134.0)</f>
        <v>134</v>
      </c>
      <c r="L401" s="5" t="str">
        <f>IFERROR(__xludf.DUMMYFUNCTION("""COMPUTED_VALUE"""),"Talvar")</f>
        <v>Talvar</v>
      </c>
      <c r="M401" s="5" t="str">
        <f>IFERROR(__xludf.DUMMYFUNCTION("""COMPUTED_VALUE"""),"Crime")</f>
        <v>Crime</v>
      </c>
      <c r="N401" s="5">
        <f>IFERROR(__xludf.DUMMYFUNCTION("""COMPUTED_VALUE"""),1.0)</f>
        <v>1</v>
      </c>
      <c r="S401" s="5">
        <f>IFERROR(__xludf.DUMMYFUNCTION("""COMPUTED_VALUE"""),161.0)</f>
        <v>161</v>
      </c>
      <c r="T401" s="5" t="str">
        <f>IFERROR(__xludf.DUMMYFUNCTION("""COMPUTED_VALUE"""),"Hera Pheri")</f>
        <v>Hera Pheri</v>
      </c>
      <c r="U401" s="5" t="str">
        <f>IFERROR(__xludf.DUMMYFUNCTION("""COMPUTED_VALUE"""),"Crime")</f>
        <v>Crime</v>
      </c>
      <c r="V401" s="5">
        <f>IFERROR(__xludf.DUMMYFUNCTION("""COMPUTED_VALUE"""),3.0)</f>
        <v>3</v>
      </c>
    </row>
    <row r="402">
      <c r="A402" s="1">
        <v>401.0</v>
      </c>
      <c r="B402" s="1" t="s">
        <v>2592</v>
      </c>
      <c r="C402" s="1" t="s">
        <v>2593</v>
      </c>
      <c r="D402" s="1"/>
      <c r="E402" s="1">
        <v>401.0</v>
      </c>
      <c r="F402" s="1" t="s">
        <v>2592</v>
      </c>
      <c r="G402" s="1" t="str">
        <f>IFERROR(__xludf.DUMMYFUNCTION("SPLIT(C402, "", "")"),"Drama")</f>
        <v>Drama</v>
      </c>
      <c r="H402" s="5" t="str">
        <f>IFERROR(__xludf.DUMMYFUNCTION("""COMPUTED_VALUE"""),"History")</f>
        <v>History</v>
      </c>
      <c r="I402" s="5" t="str">
        <f>IFERROR(__xludf.DUMMYFUNCTION("""COMPUTED_VALUE"""),"Thriller")</f>
        <v>Thriller</v>
      </c>
      <c r="J402" s="5" t="str">
        <f>IFERROR(__xludf.DUMMYFUNCTION("""COMPUTED_VALUE"""),"134🤙🏼Talvar🤙🏼Drama🤙🏼2")</f>
        <v>134🤙🏼Talvar🤙🏼Drama🤙🏼2</v>
      </c>
      <c r="K402" s="5">
        <f>IFERROR(__xludf.DUMMYFUNCTION("SPLiT(J402, ""🤙🏼"",FALSE,FALSE)"),134.0)</f>
        <v>134</v>
      </c>
      <c r="L402" s="5" t="str">
        <f>IFERROR(__xludf.DUMMYFUNCTION("""COMPUTED_VALUE"""),"Talvar")</f>
        <v>Talvar</v>
      </c>
      <c r="M402" s="5" t="str">
        <f>IFERROR(__xludf.DUMMYFUNCTION("""COMPUTED_VALUE"""),"Drama")</f>
        <v>Drama</v>
      </c>
      <c r="N402" s="5">
        <f>IFERROR(__xludf.DUMMYFUNCTION("""COMPUTED_VALUE"""),2.0)</f>
        <v>2</v>
      </c>
      <c r="S402" s="5">
        <f>IFERROR(__xludf.DUMMYFUNCTION("""COMPUTED_VALUE"""),162.0)</f>
        <v>162</v>
      </c>
      <c r="T402" s="5" t="str">
        <f>IFERROR(__xludf.DUMMYFUNCTION("""COMPUTED_VALUE"""),"Lock, Stock and Two Smoking Barrels")</f>
        <v>Lock, Stock and Two Smoking Barrels</v>
      </c>
      <c r="U402" s="5" t="str">
        <f>IFERROR(__xludf.DUMMYFUNCTION("""COMPUTED_VALUE"""),"Action")</f>
        <v>Action</v>
      </c>
      <c r="V402" s="5">
        <f>IFERROR(__xludf.DUMMYFUNCTION("""COMPUTED_VALUE"""),1.0)</f>
        <v>1</v>
      </c>
    </row>
    <row r="403">
      <c r="A403" s="1">
        <v>402.0</v>
      </c>
      <c r="B403" s="1" t="s">
        <v>2597</v>
      </c>
      <c r="C403" s="1" t="s">
        <v>1207</v>
      </c>
      <c r="D403" s="1"/>
      <c r="E403" s="1">
        <v>402.0</v>
      </c>
      <c r="F403" s="1" t="s">
        <v>2597</v>
      </c>
      <c r="G403" s="1" t="str">
        <f>IFERROR(__xludf.DUMMYFUNCTION("SPLIT(C403, "", "")"),"Animation")</f>
        <v>Animation</v>
      </c>
      <c r="H403" s="5" t="str">
        <f>IFERROR(__xludf.DUMMYFUNCTION("""COMPUTED_VALUE"""),"Family")</f>
        <v>Family</v>
      </c>
      <c r="I403" s="5" t="str">
        <f>IFERROR(__xludf.DUMMYFUNCTION("""COMPUTED_VALUE"""),"Fantasy")</f>
        <v>Fantasy</v>
      </c>
      <c r="J403" s="5" t="str">
        <f>IFERROR(__xludf.DUMMYFUNCTION("""COMPUTED_VALUE"""),"134🤙🏼Talvar🤙🏼Mystery🤙🏼3")</f>
        <v>134🤙🏼Talvar🤙🏼Mystery🤙🏼3</v>
      </c>
      <c r="K403" s="5">
        <f>IFERROR(__xludf.DUMMYFUNCTION("SPLiT(J403, ""🤙🏼"",FALSE,FALSE)"),134.0)</f>
        <v>134</v>
      </c>
      <c r="L403" s="5" t="str">
        <f>IFERROR(__xludf.DUMMYFUNCTION("""COMPUTED_VALUE"""),"Talvar")</f>
        <v>Talvar</v>
      </c>
      <c r="M403" s="5" t="str">
        <f>IFERROR(__xludf.DUMMYFUNCTION("""COMPUTED_VALUE"""),"Mystery")</f>
        <v>Mystery</v>
      </c>
      <c r="N403" s="5">
        <f>IFERROR(__xludf.DUMMYFUNCTION("""COMPUTED_VALUE"""),3.0)</f>
        <v>3</v>
      </c>
      <c r="S403" s="5">
        <f>IFERROR(__xludf.DUMMYFUNCTION("""COMPUTED_VALUE"""),162.0)</f>
        <v>162</v>
      </c>
      <c r="T403" s="5" t="str">
        <f>IFERROR(__xludf.DUMMYFUNCTION("""COMPUTED_VALUE"""),"Lock, Stock and Two Smoking Barrels")</f>
        <v>Lock, Stock and Two Smoking Barrels</v>
      </c>
      <c r="U403" s="5" t="str">
        <f>IFERROR(__xludf.DUMMYFUNCTION("""COMPUTED_VALUE"""),"Comedy")</f>
        <v>Comedy</v>
      </c>
      <c r="V403" s="5">
        <f>IFERROR(__xludf.DUMMYFUNCTION("""COMPUTED_VALUE"""),2.0)</f>
        <v>2</v>
      </c>
    </row>
    <row r="404">
      <c r="A404" s="1">
        <v>403.0</v>
      </c>
      <c r="B404" s="1" t="s">
        <v>2605</v>
      </c>
      <c r="C404" s="1" t="s">
        <v>1344</v>
      </c>
      <c r="D404" s="1"/>
      <c r="E404" s="1">
        <v>403.0</v>
      </c>
      <c r="F404" s="1" t="s">
        <v>2605</v>
      </c>
      <c r="G404" s="1" t="str">
        <f>IFERROR(__xludf.DUMMYFUNCTION("SPLIT(C404, "", "")"),"Adventure")</f>
        <v>Adventure</v>
      </c>
      <c r="H404" s="5" t="str">
        <f>IFERROR(__xludf.DUMMYFUNCTION("""COMPUTED_VALUE"""),"Drama")</f>
        <v>Drama</v>
      </c>
      <c r="I404" s="5" t="str">
        <f>IFERROR(__xludf.DUMMYFUNCTION("""COMPUTED_VALUE"""),"Western")</f>
        <v>Western</v>
      </c>
      <c r="J404" s="5" t="str">
        <f>IFERROR(__xludf.DUMMYFUNCTION("""COMPUTED_VALUE"""),"135🤙🏼Baahubali 2: The Conclusion🤙🏼Action🤙🏼1")</f>
        <v>135🤙🏼Baahubali 2: The Conclusion🤙🏼Action🤙🏼1</v>
      </c>
      <c r="K404" s="5">
        <f>IFERROR(__xludf.DUMMYFUNCTION("SPLiT(J404, ""🤙🏼"",FALSE,FALSE)"),135.0)</f>
        <v>135</v>
      </c>
      <c r="L404" s="5" t="str">
        <f>IFERROR(__xludf.DUMMYFUNCTION("""COMPUTED_VALUE"""),"Baahubali 2: The Conclusion")</f>
        <v>Baahubali 2: The Conclusion</v>
      </c>
      <c r="M404" s="5" t="str">
        <f>IFERROR(__xludf.DUMMYFUNCTION("""COMPUTED_VALUE"""),"Action")</f>
        <v>Action</v>
      </c>
      <c r="N404" s="5">
        <f>IFERROR(__xludf.DUMMYFUNCTION("""COMPUTED_VALUE"""),1.0)</f>
        <v>1</v>
      </c>
      <c r="S404" s="5">
        <f>IFERROR(__xludf.DUMMYFUNCTION("""COMPUTED_VALUE"""),162.0)</f>
        <v>162</v>
      </c>
      <c r="T404" s="5" t="str">
        <f>IFERROR(__xludf.DUMMYFUNCTION("""COMPUTED_VALUE"""),"Lock, Stock and Two Smoking Barrels")</f>
        <v>Lock, Stock and Two Smoking Barrels</v>
      </c>
      <c r="U404" s="5" t="str">
        <f>IFERROR(__xludf.DUMMYFUNCTION("""COMPUTED_VALUE"""),"Crime")</f>
        <v>Crime</v>
      </c>
      <c r="V404" s="5">
        <f>IFERROR(__xludf.DUMMYFUNCTION("""COMPUTED_VALUE"""),3.0)</f>
        <v>3</v>
      </c>
    </row>
    <row r="405">
      <c r="A405" s="1">
        <v>404.0</v>
      </c>
      <c r="B405" s="1" t="s">
        <v>2609</v>
      </c>
      <c r="C405" s="1" t="s">
        <v>507</v>
      </c>
      <c r="D405" s="1"/>
      <c r="E405" s="1">
        <v>404.0</v>
      </c>
      <c r="F405" s="1" t="s">
        <v>2609</v>
      </c>
      <c r="G405" s="1" t="str">
        <f>IFERROR(__xludf.DUMMYFUNCTION("SPLIT(C405, "", "")"),"Comedy")</f>
        <v>Comedy</v>
      </c>
      <c r="H405" s="5" t="str">
        <f>IFERROR(__xludf.DUMMYFUNCTION("""COMPUTED_VALUE"""),"Drama")</f>
        <v>Drama</v>
      </c>
      <c r="J405" s="5" t="str">
        <f>IFERROR(__xludf.DUMMYFUNCTION("""COMPUTED_VALUE"""),"135🤙🏼Baahubali 2: The Conclusion🤙🏼Drama🤙🏼2")</f>
        <v>135🤙🏼Baahubali 2: The Conclusion🤙🏼Drama🤙🏼2</v>
      </c>
      <c r="K405" s="5">
        <f>IFERROR(__xludf.DUMMYFUNCTION("SPLiT(J405, ""🤙🏼"",FALSE,FALSE)"),135.0)</f>
        <v>135</v>
      </c>
      <c r="L405" s="5" t="str">
        <f>IFERROR(__xludf.DUMMYFUNCTION("""COMPUTED_VALUE"""),"Baahubali 2: The Conclusion")</f>
        <v>Baahubali 2: The Conclusion</v>
      </c>
      <c r="M405" s="5" t="str">
        <f>IFERROR(__xludf.DUMMYFUNCTION("""COMPUTED_VALUE"""),"Drama")</f>
        <v>Drama</v>
      </c>
      <c r="N405" s="5">
        <f>IFERROR(__xludf.DUMMYFUNCTION("""COMPUTED_VALUE"""),2.0)</f>
        <v>2</v>
      </c>
      <c r="S405" s="5">
        <f>IFERROR(__xludf.DUMMYFUNCTION("""COMPUTED_VALUE"""),163.0)</f>
        <v>163</v>
      </c>
      <c r="T405" s="5" t="str">
        <f>IFERROR(__xludf.DUMMYFUNCTION("""COMPUTED_VALUE"""),"L.A. Confidential")</f>
        <v>L.A. Confidential</v>
      </c>
      <c r="U405" s="5" t="str">
        <f>IFERROR(__xludf.DUMMYFUNCTION("""COMPUTED_VALUE"""),"Crime")</f>
        <v>Crime</v>
      </c>
      <c r="V405" s="5">
        <f>IFERROR(__xludf.DUMMYFUNCTION("""COMPUTED_VALUE"""),1.0)</f>
        <v>1</v>
      </c>
    </row>
    <row r="406">
      <c r="A406" s="1">
        <v>405.0</v>
      </c>
      <c r="B406" s="1" t="s">
        <v>2615</v>
      </c>
      <c r="C406" s="1" t="s">
        <v>20</v>
      </c>
      <c r="D406" s="1"/>
      <c r="E406" s="1">
        <v>405.0</v>
      </c>
      <c r="F406" s="1" t="s">
        <v>2615</v>
      </c>
      <c r="G406" s="1" t="str">
        <f>IFERROR(__xludf.DUMMYFUNCTION("SPLIT(C406, "", "")"),"Drama")</f>
        <v>Drama</v>
      </c>
      <c r="J406" s="5" t="str">
        <f>IFERROR(__xludf.DUMMYFUNCTION("""COMPUTED_VALUE"""),"135🤙🏼Baahubali 2: The Conclusion🤙🏼🤙🏼3")</f>
        <v>135🤙🏼Baahubali 2: The Conclusion🤙🏼🤙🏼3</v>
      </c>
      <c r="K406" s="5">
        <f>IFERROR(__xludf.DUMMYFUNCTION("SPLiT(J406, ""🤙🏼"",FALSE,FALSE)"),135.0)</f>
        <v>135</v>
      </c>
      <c r="L406" s="5" t="str">
        <f>IFERROR(__xludf.DUMMYFUNCTION("""COMPUTED_VALUE"""),"Baahubali 2: The Conclusion")</f>
        <v>Baahubali 2: The Conclusion</v>
      </c>
      <c r="M406" s="5"/>
      <c r="N406" s="5">
        <f>IFERROR(__xludf.DUMMYFUNCTION("""COMPUTED_VALUE"""),3.0)</f>
        <v>3</v>
      </c>
      <c r="S406" s="5">
        <f>IFERROR(__xludf.DUMMYFUNCTION("""COMPUTED_VALUE"""),163.0)</f>
        <v>163</v>
      </c>
      <c r="T406" s="5" t="str">
        <f>IFERROR(__xludf.DUMMYFUNCTION("""COMPUTED_VALUE"""),"L.A. Confidential")</f>
        <v>L.A. Confidential</v>
      </c>
      <c r="U406" s="5" t="str">
        <f>IFERROR(__xludf.DUMMYFUNCTION("""COMPUTED_VALUE"""),"Drama")</f>
        <v>Drama</v>
      </c>
      <c r="V406" s="5">
        <f>IFERROR(__xludf.DUMMYFUNCTION("""COMPUTED_VALUE"""),2.0)</f>
        <v>2</v>
      </c>
    </row>
    <row r="407">
      <c r="A407" s="1">
        <v>406.0</v>
      </c>
      <c r="B407" s="1" t="s">
        <v>2620</v>
      </c>
      <c r="C407" s="1" t="s">
        <v>2621</v>
      </c>
      <c r="D407" s="1"/>
      <c r="E407" s="1">
        <v>406.0</v>
      </c>
      <c r="F407" s="1" t="s">
        <v>2620</v>
      </c>
      <c r="G407" s="1" t="str">
        <f>IFERROR(__xludf.DUMMYFUNCTION("SPLIT(C407, "", "")"),"Animation")</f>
        <v>Animation</v>
      </c>
      <c r="H407" s="5" t="str">
        <f>IFERROR(__xludf.DUMMYFUNCTION("""COMPUTED_VALUE"""),"Action")</f>
        <v>Action</v>
      </c>
      <c r="I407" s="5" t="str">
        <f>IFERROR(__xludf.DUMMYFUNCTION("""COMPUTED_VALUE"""),"Sci-Fi")</f>
        <v>Sci-Fi</v>
      </c>
      <c r="J407" s="5" t="str">
        <f>IFERROR(__xludf.DUMMYFUNCTION("""COMPUTED_VALUE"""),"136🤙🏼Klaus🤙🏼Animation🤙🏼1")</f>
        <v>136🤙🏼Klaus🤙🏼Animation🤙🏼1</v>
      </c>
      <c r="K407" s="5">
        <f>IFERROR(__xludf.DUMMYFUNCTION("SPLiT(J407, ""🤙🏼"",FALSE,FALSE)"),136.0)</f>
        <v>136</v>
      </c>
      <c r="L407" s="5" t="str">
        <f>IFERROR(__xludf.DUMMYFUNCTION("""COMPUTED_VALUE"""),"Klaus")</f>
        <v>Klaus</v>
      </c>
      <c r="M407" s="5" t="str">
        <f>IFERROR(__xludf.DUMMYFUNCTION("""COMPUTED_VALUE"""),"Animation")</f>
        <v>Animation</v>
      </c>
      <c r="N407" s="5">
        <f>IFERROR(__xludf.DUMMYFUNCTION("""COMPUTED_VALUE"""),1.0)</f>
        <v>1</v>
      </c>
      <c r="S407" s="5">
        <f>IFERROR(__xludf.DUMMYFUNCTION("""COMPUTED_VALUE"""),163.0)</f>
        <v>163</v>
      </c>
      <c r="T407" s="5" t="str">
        <f>IFERROR(__xludf.DUMMYFUNCTION("""COMPUTED_VALUE"""),"L.A. Confidential")</f>
        <v>L.A. Confidential</v>
      </c>
      <c r="U407" s="5" t="str">
        <f>IFERROR(__xludf.DUMMYFUNCTION("""COMPUTED_VALUE"""),"Mystery")</f>
        <v>Mystery</v>
      </c>
      <c r="V407" s="5">
        <f>IFERROR(__xludf.DUMMYFUNCTION("""COMPUTED_VALUE"""),3.0)</f>
        <v>3</v>
      </c>
    </row>
    <row r="408">
      <c r="A408" s="1">
        <v>407.0</v>
      </c>
      <c r="B408" s="1" t="s">
        <v>2628</v>
      </c>
      <c r="C408" s="1" t="s">
        <v>2629</v>
      </c>
      <c r="D408" s="1"/>
      <c r="E408" s="1">
        <v>407.0</v>
      </c>
      <c r="F408" s="1" t="s">
        <v>2628</v>
      </c>
      <c r="G408" s="1" t="str">
        <f>IFERROR(__xludf.DUMMYFUNCTION("SPLIT(C408, "", "")"),"Adventure")</f>
        <v>Adventure</v>
      </c>
      <c r="H408" s="5" t="str">
        <f>IFERROR(__xludf.DUMMYFUNCTION("""COMPUTED_VALUE"""),"Family")</f>
        <v>Family</v>
      </c>
      <c r="I408" s="5" t="str">
        <f>IFERROR(__xludf.DUMMYFUNCTION("""COMPUTED_VALUE"""),"Fantasy")</f>
        <v>Fantasy</v>
      </c>
      <c r="J408" s="5" t="str">
        <f>IFERROR(__xludf.DUMMYFUNCTION("""COMPUTED_VALUE"""),"136🤙🏼Klaus🤙🏼Adventure🤙🏼2")</f>
        <v>136🤙🏼Klaus🤙🏼Adventure🤙🏼2</v>
      </c>
      <c r="K408" s="5">
        <f>IFERROR(__xludf.DUMMYFUNCTION("SPLiT(J408, ""🤙🏼"",FALSE,FALSE)"),136.0)</f>
        <v>136</v>
      </c>
      <c r="L408" s="5" t="str">
        <f>IFERROR(__xludf.DUMMYFUNCTION("""COMPUTED_VALUE"""),"Klaus")</f>
        <v>Klaus</v>
      </c>
      <c r="M408" s="5" t="str">
        <f>IFERROR(__xludf.DUMMYFUNCTION("""COMPUTED_VALUE"""),"Adventure")</f>
        <v>Adventure</v>
      </c>
      <c r="N408" s="5">
        <f>IFERROR(__xludf.DUMMYFUNCTION("""COMPUTED_VALUE"""),2.0)</f>
        <v>2</v>
      </c>
      <c r="S408" s="5">
        <f>IFERROR(__xludf.DUMMYFUNCTION("""COMPUTED_VALUE"""),164.0)</f>
        <v>164</v>
      </c>
      <c r="T408" s="5" t="str">
        <f>IFERROR(__xludf.DUMMYFUNCTION("""COMPUTED_VALUE"""),"Eskiya")</f>
        <v>Eskiya</v>
      </c>
      <c r="U408" s="5" t="str">
        <f>IFERROR(__xludf.DUMMYFUNCTION("""COMPUTED_VALUE"""),"Crime")</f>
        <v>Crime</v>
      </c>
      <c r="V408" s="5">
        <f>IFERROR(__xludf.DUMMYFUNCTION("""COMPUTED_VALUE"""),1.0)</f>
        <v>1</v>
      </c>
    </row>
    <row r="409">
      <c r="A409" s="1">
        <v>408.0</v>
      </c>
      <c r="B409" s="1" t="s">
        <v>2633</v>
      </c>
      <c r="C409" s="1" t="s">
        <v>2634</v>
      </c>
      <c r="D409" s="1"/>
      <c r="E409" s="1">
        <v>408.0</v>
      </c>
      <c r="F409" s="1" t="s">
        <v>2633</v>
      </c>
      <c r="G409" s="1" t="str">
        <f>IFERROR(__xludf.DUMMYFUNCTION("SPLIT(C409, "", "")"),"Drama")</f>
        <v>Drama</v>
      </c>
      <c r="H409" s="5" t="str">
        <f>IFERROR(__xludf.DUMMYFUNCTION("""COMPUTED_VALUE"""),"Fantasy")</f>
        <v>Fantasy</v>
      </c>
      <c r="I409" s="5" t="str">
        <f>IFERROR(__xludf.DUMMYFUNCTION("""COMPUTED_VALUE"""),"Romance")</f>
        <v>Romance</v>
      </c>
      <c r="J409" s="5" t="str">
        <f>IFERROR(__xludf.DUMMYFUNCTION("""COMPUTED_VALUE"""),"136🤙🏼Klaus🤙🏼Comedy🤙🏼3")</f>
        <v>136🤙🏼Klaus🤙🏼Comedy🤙🏼3</v>
      </c>
      <c r="K409" s="5">
        <f>IFERROR(__xludf.DUMMYFUNCTION("SPLiT(J409, ""🤙🏼"",FALSE,FALSE)"),136.0)</f>
        <v>136</v>
      </c>
      <c r="L409" s="5" t="str">
        <f>IFERROR(__xludf.DUMMYFUNCTION("""COMPUTED_VALUE"""),"Klaus")</f>
        <v>Klaus</v>
      </c>
      <c r="M409" s="5" t="str">
        <f>IFERROR(__xludf.DUMMYFUNCTION("""COMPUTED_VALUE"""),"Comedy")</f>
        <v>Comedy</v>
      </c>
      <c r="N409" s="5">
        <f>IFERROR(__xludf.DUMMYFUNCTION("""COMPUTED_VALUE"""),3.0)</f>
        <v>3</v>
      </c>
      <c r="S409" s="5">
        <f>IFERROR(__xludf.DUMMYFUNCTION("""COMPUTED_VALUE"""),164.0)</f>
        <v>164</v>
      </c>
      <c r="T409" s="5" t="str">
        <f>IFERROR(__xludf.DUMMYFUNCTION("""COMPUTED_VALUE"""),"Eskiya")</f>
        <v>Eskiya</v>
      </c>
      <c r="U409" s="5" t="str">
        <f>IFERROR(__xludf.DUMMYFUNCTION("""COMPUTED_VALUE"""),"Drama")</f>
        <v>Drama</v>
      </c>
      <c r="V409" s="5">
        <f>IFERROR(__xludf.DUMMYFUNCTION("""COMPUTED_VALUE"""),2.0)</f>
        <v>2</v>
      </c>
    </row>
    <row r="410">
      <c r="A410" s="1">
        <v>409.0</v>
      </c>
      <c r="B410" s="1" t="s">
        <v>2639</v>
      </c>
      <c r="C410" s="1" t="s">
        <v>213</v>
      </c>
      <c r="D410" s="1"/>
      <c r="E410" s="1">
        <v>409.0</v>
      </c>
      <c r="F410" s="1" t="s">
        <v>2639</v>
      </c>
      <c r="G410" s="1" t="str">
        <f>IFERROR(__xludf.DUMMYFUNCTION("SPLIT(C410, "", "")"),"Drama")</f>
        <v>Drama</v>
      </c>
      <c r="H410" s="5" t="str">
        <f>IFERROR(__xludf.DUMMYFUNCTION("""COMPUTED_VALUE"""),"War")</f>
        <v>War</v>
      </c>
      <c r="J410" s="5" t="str">
        <f>IFERROR(__xludf.DUMMYFUNCTION("""COMPUTED_VALUE"""),"137🤙🏼Drishyam🤙🏼Crime🤙🏼1")</f>
        <v>137🤙🏼Drishyam🤙🏼Crime🤙🏼1</v>
      </c>
      <c r="K410" s="5">
        <f>IFERROR(__xludf.DUMMYFUNCTION("SPLiT(J410, ""🤙🏼"",FALSE,FALSE)"),137.0)</f>
        <v>137</v>
      </c>
      <c r="L410" s="5" t="str">
        <f>IFERROR(__xludf.DUMMYFUNCTION("""COMPUTED_VALUE"""),"Drishyam")</f>
        <v>Drishyam</v>
      </c>
      <c r="M410" s="5" t="str">
        <f>IFERROR(__xludf.DUMMYFUNCTION("""COMPUTED_VALUE"""),"Crime")</f>
        <v>Crime</v>
      </c>
      <c r="N410" s="5">
        <f>IFERROR(__xludf.DUMMYFUNCTION("""COMPUTED_VALUE"""),1.0)</f>
        <v>1</v>
      </c>
      <c r="S410" s="5">
        <f>IFERROR(__xludf.DUMMYFUNCTION("""COMPUTED_VALUE"""),164.0)</f>
        <v>164</v>
      </c>
      <c r="T410" s="5" t="str">
        <f>IFERROR(__xludf.DUMMYFUNCTION("""COMPUTED_VALUE"""),"Eskiya")</f>
        <v>Eskiya</v>
      </c>
      <c r="U410" s="5" t="str">
        <f>IFERROR(__xludf.DUMMYFUNCTION("""COMPUTED_VALUE"""),"Thriller")</f>
        <v>Thriller</v>
      </c>
      <c r="V410" s="5">
        <f>IFERROR(__xludf.DUMMYFUNCTION("""COMPUTED_VALUE"""),3.0)</f>
        <v>3</v>
      </c>
    </row>
    <row r="411">
      <c r="A411" s="1">
        <v>410.0</v>
      </c>
      <c r="B411" s="1" t="s">
        <v>2646</v>
      </c>
      <c r="C411" s="1" t="s">
        <v>352</v>
      </c>
      <c r="D411" s="1"/>
      <c r="E411" s="1">
        <v>410.0</v>
      </c>
      <c r="F411" s="1" t="s">
        <v>2646</v>
      </c>
      <c r="G411" s="1" t="str">
        <f>IFERROR(__xludf.DUMMYFUNCTION("SPLIT(C411, "", "")"),"Animation")</f>
        <v>Animation</v>
      </c>
      <c r="H411" s="5" t="str">
        <f>IFERROR(__xludf.DUMMYFUNCTION("""COMPUTED_VALUE"""),"Adventure")</f>
        <v>Adventure</v>
      </c>
      <c r="I411" s="5" t="str">
        <f>IFERROR(__xludf.DUMMYFUNCTION("""COMPUTED_VALUE"""),"Drama")</f>
        <v>Drama</v>
      </c>
      <c r="J411" s="5" t="str">
        <f>IFERROR(__xludf.DUMMYFUNCTION("""COMPUTED_VALUE"""),"137🤙🏼Drishyam🤙🏼Drama🤙🏼2")</f>
        <v>137🤙🏼Drishyam🤙🏼Drama🤙🏼2</v>
      </c>
      <c r="K411" s="5">
        <f>IFERROR(__xludf.DUMMYFUNCTION("SPLiT(J411, ""🤙🏼"",FALSE,FALSE)"),137.0)</f>
        <v>137</v>
      </c>
      <c r="L411" s="5" t="str">
        <f>IFERROR(__xludf.DUMMYFUNCTION("""COMPUTED_VALUE"""),"Drishyam")</f>
        <v>Drishyam</v>
      </c>
      <c r="M411" s="5" t="str">
        <f>IFERROR(__xludf.DUMMYFUNCTION("""COMPUTED_VALUE"""),"Drama")</f>
        <v>Drama</v>
      </c>
      <c r="N411" s="5">
        <f>IFERROR(__xludf.DUMMYFUNCTION("""COMPUTED_VALUE"""),2.0)</f>
        <v>2</v>
      </c>
      <c r="S411" s="5">
        <f>IFERROR(__xludf.DUMMYFUNCTION("""COMPUTED_VALUE"""),165.0)</f>
        <v>165</v>
      </c>
      <c r="T411" s="5" t="str">
        <f>IFERROR(__xludf.DUMMYFUNCTION("""COMPUTED_VALUE"""),"Heat")</f>
        <v>Heat</v>
      </c>
      <c r="U411" s="5" t="str">
        <f>IFERROR(__xludf.DUMMYFUNCTION("""COMPUTED_VALUE"""),"Crime")</f>
        <v>Crime</v>
      </c>
      <c r="V411" s="5">
        <f>IFERROR(__xludf.DUMMYFUNCTION("""COMPUTED_VALUE"""),1.0)</f>
        <v>1</v>
      </c>
    </row>
    <row r="412">
      <c r="A412" s="1">
        <v>411.0</v>
      </c>
      <c r="B412" s="1" t="s">
        <v>2652</v>
      </c>
      <c r="C412" s="1" t="s">
        <v>128</v>
      </c>
      <c r="D412" s="1"/>
      <c r="E412" s="1">
        <v>411.0</v>
      </c>
      <c r="F412" s="1" t="s">
        <v>2652</v>
      </c>
      <c r="G412" s="1" t="str">
        <f>IFERROR(__xludf.DUMMYFUNCTION("SPLIT(C412, "", "")"),"Action")</f>
        <v>Action</v>
      </c>
      <c r="H412" s="5" t="str">
        <f>IFERROR(__xludf.DUMMYFUNCTION("""COMPUTED_VALUE"""),"Sci-Fi")</f>
        <v>Sci-Fi</v>
      </c>
      <c r="J412" s="5" t="str">
        <f>IFERROR(__xludf.DUMMYFUNCTION("""COMPUTED_VALUE"""),"137🤙🏼Drishyam🤙🏼Mystery🤙🏼3")</f>
        <v>137🤙🏼Drishyam🤙🏼Mystery🤙🏼3</v>
      </c>
      <c r="K412" s="5">
        <f>IFERROR(__xludf.DUMMYFUNCTION("SPLiT(J412, ""🤙🏼"",FALSE,FALSE)"),137.0)</f>
        <v>137</v>
      </c>
      <c r="L412" s="5" t="str">
        <f>IFERROR(__xludf.DUMMYFUNCTION("""COMPUTED_VALUE"""),"Drishyam")</f>
        <v>Drishyam</v>
      </c>
      <c r="M412" s="5" t="str">
        <f>IFERROR(__xludf.DUMMYFUNCTION("""COMPUTED_VALUE"""),"Mystery")</f>
        <v>Mystery</v>
      </c>
      <c r="N412" s="5">
        <f>IFERROR(__xludf.DUMMYFUNCTION("""COMPUTED_VALUE"""),3.0)</f>
        <v>3</v>
      </c>
      <c r="S412" s="5">
        <f>IFERROR(__xludf.DUMMYFUNCTION("""COMPUTED_VALUE"""),165.0)</f>
        <v>165</v>
      </c>
      <c r="T412" s="5" t="str">
        <f>IFERROR(__xludf.DUMMYFUNCTION("""COMPUTED_VALUE"""),"Heat")</f>
        <v>Heat</v>
      </c>
      <c r="U412" s="5" t="str">
        <f>IFERROR(__xludf.DUMMYFUNCTION("""COMPUTED_VALUE"""),"Drama")</f>
        <v>Drama</v>
      </c>
      <c r="V412" s="5">
        <f>IFERROR(__xludf.DUMMYFUNCTION("""COMPUTED_VALUE"""),2.0)</f>
        <v>2</v>
      </c>
    </row>
    <row r="413">
      <c r="A413" s="1">
        <v>412.0</v>
      </c>
      <c r="B413" s="1" t="s">
        <v>2655</v>
      </c>
      <c r="C413" s="1" t="s">
        <v>79</v>
      </c>
      <c r="D413" s="1"/>
      <c r="E413" s="1">
        <v>412.0</v>
      </c>
      <c r="F413" s="1" t="s">
        <v>2655</v>
      </c>
      <c r="G413" s="1" t="str">
        <f>IFERROR(__xludf.DUMMYFUNCTION("SPLIT(C413, "", "")"),"Biography")</f>
        <v>Biography</v>
      </c>
      <c r="H413" s="5" t="str">
        <f>IFERROR(__xludf.DUMMYFUNCTION("""COMPUTED_VALUE"""),"Drama")</f>
        <v>Drama</v>
      </c>
      <c r="I413" s="5" t="str">
        <f>IFERROR(__xludf.DUMMYFUNCTION("""COMPUTED_VALUE"""),"History")</f>
        <v>History</v>
      </c>
      <c r="J413" s="5" t="str">
        <f>IFERROR(__xludf.DUMMYFUNCTION("""COMPUTED_VALUE"""),"138🤙🏼Queen🤙🏼Adventure🤙🏼1")</f>
        <v>138🤙🏼Queen🤙🏼Adventure🤙🏼1</v>
      </c>
      <c r="K413" s="5">
        <f>IFERROR(__xludf.DUMMYFUNCTION("SPLiT(J413, ""🤙🏼"",FALSE,FALSE)"),138.0)</f>
        <v>138</v>
      </c>
      <c r="L413" s="5" t="str">
        <f>IFERROR(__xludf.DUMMYFUNCTION("""COMPUTED_VALUE"""),"Queen")</f>
        <v>Queen</v>
      </c>
      <c r="M413" s="5" t="str">
        <f>IFERROR(__xludf.DUMMYFUNCTION("""COMPUTED_VALUE"""),"Adventure")</f>
        <v>Adventure</v>
      </c>
      <c r="N413" s="5">
        <f>IFERROR(__xludf.DUMMYFUNCTION("""COMPUTED_VALUE"""),1.0)</f>
        <v>1</v>
      </c>
      <c r="S413" s="5">
        <f>IFERROR(__xludf.DUMMYFUNCTION("""COMPUTED_VALUE"""),165.0)</f>
        <v>165</v>
      </c>
      <c r="T413" s="5" t="str">
        <f>IFERROR(__xludf.DUMMYFUNCTION("""COMPUTED_VALUE"""),"Heat")</f>
        <v>Heat</v>
      </c>
      <c r="U413" s="5" t="str">
        <f>IFERROR(__xludf.DUMMYFUNCTION("""COMPUTED_VALUE"""),"Thriller")</f>
        <v>Thriller</v>
      </c>
      <c r="V413" s="5">
        <f>IFERROR(__xludf.DUMMYFUNCTION("""COMPUTED_VALUE"""),3.0)</f>
        <v>3</v>
      </c>
    </row>
    <row r="414">
      <c r="A414" s="1">
        <v>413.0</v>
      </c>
      <c r="B414" s="1" t="s">
        <v>2660</v>
      </c>
      <c r="C414" s="1" t="s">
        <v>2661</v>
      </c>
      <c r="D414" s="1"/>
      <c r="E414" s="1">
        <v>413.0</v>
      </c>
      <c r="F414" s="1" t="s">
        <v>2660</v>
      </c>
      <c r="G414" s="1" t="str">
        <f>IFERROR(__xludf.DUMMYFUNCTION("SPLIT(C414, "", "")"),"Drama")</f>
        <v>Drama</v>
      </c>
      <c r="H414" s="5" t="str">
        <f>IFERROR(__xludf.DUMMYFUNCTION("""COMPUTED_VALUE"""),"History")</f>
        <v>History</v>
      </c>
      <c r="I414" s="5" t="str">
        <f>IFERROR(__xludf.DUMMYFUNCTION("""COMPUTED_VALUE"""),"War")</f>
        <v>War</v>
      </c>
      <c r="J414" s="5" t="str">
        <f>IFERROR(__xludf.DUMMYFUNCTION("""COMPUTED_VALUE"""),"138🤙🏼Queen🤙🏼Comedy🤙🏼2")</f>
        <v>138🤙🏼Queen🤙🏼Comedy🤙🏼2</v>
      </c>
      <c r="K414" s="5">
        <f>IFERROR(__xludf.DUMMYFUNCTION("SPLiT(J414, ""🤙🏼"",FALSE,FALSE)"),138.0)</f>
        <v>138</v>
      </c>
      <c r="L414" s="5" t="str">
        <f>IFERROR(__xludf.DUMMYFUNCTION("""COMPUTED_VALUE"""),"Queen")</f>
        <v>Queen</v>
      </c>
      <c r="M414" s="5" t="str">
        <f>IFERROR(__xludf.DUMMYFUNCTION("""COMPUTED_VALUE"""),"Comedy")</f>
        <v>Comedy</v>
      </c>
      <c r="N414" s="5">
        <f>IFERROR(__xludf.DUMMYFUNCTION("""COMPUTED_VALUE"""),2.0)</f>
        <v>2</v>
      </c>
      <c r="S414" s="5">
        <f>IFERROR(__xludf.DUMMYFUNCTION("""COMPUTED_VALUE"""),166.0)</f>
        <v>166</v>
      </c>
      <c r="T414" s="5" t="str">
        <f>IFERROR(__xludf.DUMMYFUNCTION("""COMPUTED_VALUE"""),"Casino")</f>
        <v>Casino</v>
      </c>
      <c r="U414" s="5" t="str">
        <f>IFERROR(__xludf.DUMMYFUNCTION("""COMPUTED_VALUE"""),"Crime")</f>
        <v>Crime</v>
      </c>
      <c r="V414" s="5">
        <f>IFERROR(__xludf.DUMMYFUNCTION("""COMPUTED_VALUE"""),1.0)</f>
        <v>1</v>
      </c>
    </row>
    <row r="415">
      <c r="A415" s="1">
        <v>414.0</v>
      </c>
      <c r="B415" s="1" t="s">
        <v>2664</v>
      </c>
      <c r="C415" s="1" t="s">
        <v>507</v>
      </c>
      <c r="D415" s="1"/>
      <c r="E415" s="1">
        <v>414.0</v>
      </c>
      <c r="F415" s="1" t="s">
        <v>2664</v>
      </c>
      <c r="G415" s="1" t="str">
        <f>IFERROR(__xludf.DUMMYFUNCTION("SPLIT(C415, "", "")"),"Comedy")</f>
        <v>Comedy</v>
      </c>
      <c r="H415" s="5" t="str">
        <f>IFERROR(__xludf.DUMMYFUNCTION("""COMPUTED_VALUE"""),"Drama")</f>
        <v>Drama</v>
      </c>
      <c r="J415" s="5" t="str">
        <f>IFERROR(__xludf.DUMMYFUNCTION("""COMPUTED_VALUE"""),"138🤙🏼Queen🤙🏼Drama🤙🏼3")</f>
        <v>138🤙🏼Queen🤙🏼Drama🤙🏼3</v>
      </c>
      <c r="K415" s="5">
        <f>IFERROR(__xludf.DUMMYFUNCTION("SPLiT(J415, ""🤙🏼"",FALSE,FALSE)"),138.0)</f>
        <v>138</v>
      </c>
      <c r="L415" s="5" t="str">
        <f>IFERROR(__xludf.DUMMYFUNCTION("""COMPUTED_VALUE"""),"Queen")</f>
        <v>Queen</v>
      </c>
      <c r="M415" s="5" t="str">
        <f>IFERROR(__xludf.DUMMYFUNCTION("""COMPUTED_VALUE"""),"Drama")</f>
        <v>Drama</v>
      </c>
      <c r="N415" s="5">
        <f>IFERROR(__xludf.DUMMYFUNCTION("""COMPUTED_VALUE"""),3.0)</f>
        <v>3</v>
      </c>
      <c r="S415" s="5">
        <f>IFERROR(__xludf.DUMMYFUNCTION("""COMPUTED_VALUE"""),166.0)</f>
        <v>166</v>
      </c>
      <c r="T415" s="5" t="str">
        <f>IFERROR(__xludf.DUMMYFUNCTION("""COMPUTED_VALUE"""),"Casino")</f>
        <v>Casino</v>
      </c>
      <c r="U415" s="5" t="str">
        <f>IFERROR(__xludf.DUMMYFUNCTION("""COMPUTED_VALUE"""),"Drama")</f>
        <v>Drama</v>
      </c>
      <c r="V415" s="5">
        <f>IFERROR(__xludf.DUMMYFUNCTION("""COMPUTED_VALUE"""),2.0)</f>
        <v>2</v>
      </c>
    </row>
    <row r="416">
      <c r="A416" s="1">
        <v>415.0</v>
      </c>
      <c r="B416" s="1" t="s">
        <v>2669</v>
      </c>
      <c r="C416" s="1" t="s">
        <v>723</v>
      </c>
      <c r="D416" s="1"/>
      <c r="E416" s="1">
        <v>415.0</v>
      </c>
      <c r="F416" s="1" t="s">
        <v>2669</v>
      </c>
      <c r="G416" s="1" t="str">
        <f>IFERROR(__xludf.DUMMYFUNCTION("SPLIT(C416, "", "")"),"Comedy")</f>
        <v>Comedy</v>
      </c>
      <c r="H416" s="5" t="str">
        <f>IFERROR(__xludf.DUMMYFUNCTION("""COMPUTED_VALUE"""),"Romance")</f>
        <v>Romance</v>
      </c>
      <c r="J416" s="5" t="str">
        <f>IFERROR(__xludf.DUMMYFUNCTION("""COMPUTED_VALUE"""),"139🤙🏼Mandariinid🤙🏼Drama🤙🏼1")</f>
        <v>139🤙🏼Mandariinid🤙🏼Drama🤙🏼1</v>
      </c>
      <c r="K416" s="5">
        <f>IFERROR(__xludf.DUMMYFUNCTION("SPLiT(J416, ""🤙🏼"",FALSE,FALSE)"),139.0)</f>
        <v>139</v>
      </c>
      <c r="L416" s="5" t="str">
        <f>IFERROR(__xludf.DUMMYFUNCTION("""COMPUTED_VALUE"""),"Mandariinid")</f>
        <v>Mandariinid</v>
      </c>
      <c r="M416" s="5" t="str">
        <f>IFERROR(__xludf.DUMMYFUNCTION("""COMPUTED_VALUE"""),"Drama")</f>
        <v>Drama</v>
      </c>
      <c r="N416" s="5">
        <f>IFERROR(__xludf.DUMMYFUNCTION("""COMPUTED_VALUE"""),1.0)</f>
        <v>1</v>
      </c>
      <c r="S416" s="5">
        <f>IFERROR(__xludf.DUMMYFUNCTION("""COMPUTED_VALUE"""),167.0)</f>
        <v>167</v>
      </c>
      <c r="T416" s="5" t="str">
        <f>IFERROR(__xludf.DUMMYFUNCTION("""COMPUTED_VALUE"""),"Andaz Apna Apna")</f>
        <v>Andaz Apna Apna</v>
      </c>
      <c r="U416" s="5" t="str">
        <f>IFERROR(__xludf.DUMMYFUNCTION("""COMPUTED_VALUE"""),"Action")</f>
        <v>Action</v>
      </c>
      <c r="V416" s="5">
        <f>IFERROR(__xludf.DUMMYFUNCTION("""COMPUTED_VALUE"""),1.0)</f>
        <v>1</v>
      </c>
    </row>
    <row r="417">
      <c r="A417" s="1">
        <v>416.0</v>
      </c>
      <c r="B417" s="1" t="s">
        <v>2674</v>
      </c>
      <c r="C417" s="1" t="s">
        <v>2675</v>
      </c>
      <c r="D417" s="1"/>
      <c r="E417" s="1">
        <v>416.0</v>
      </c>
      <c r="F417" s="1" t="s">
        <v>2674</v>
      </c>
      <c r="G417" s="1" t="str">
        <f>IFERROR(__xludf.DUMMYFUNCTION("SPLIT(C417, "", "")"),"Adventure")</f>
        <v>Adventure</v>
      </c>
      <c r="H417" s="5" t="str">
        <f>IFERROR(__xludf.DUMMYFUNCTION("""COMPUTED_VALUE"""),"Thriller")</f>
        <v>Thriller</v>
      </c>
      <c r="J417" s="5" t="str">
        <f>IFERROR(__xludf.DUMMYFUNCTION("""COMPUTED_VALUE"""),"139🤙🏼Mandariinid🤙🏼War🤙🏼2")</f>
        <v>139🤙🏼Mandariinid🤙🏼War🤙🏼2</v>
      </c>
      <c r="K417" s="5">
        <f>IFERROR(__xludf.DUMMYFUNCTION("SPLiT(J417, ""🤙🏼"",FALSE,FALSE)"),139.0)</f>
        <v>139</v>
      </c>
      <c r="L417" s="5" t="str">
        <f>IFERROR(__xludf.DUMMYFUNCTION("""COMPUTED_VALUE"""),"Mandariinid")</f>
        <v>Mandariinid</v>
      </c>
      <c r="M417" s="5" t="str">
        <f>IFERROR(__xludf.DUMMYFUNCTION("""COMPUTED_VALUE"""),"War")</f>
        <v>War</v>
      </c>
      <c r="N417" s="5">
        <f>IFERROR(__xludf.DUMMYFUNCTION("""COMPUTED_VALUE"""),2.0)</f>
        <v>2</v>
      </c>
      <c r="S417" s="5">
        <f>IFERROR(__xludf.DUMMYFUNCTION("""COMPUTED_VALUE"""),167.0)</f>
        <v>167</v>
      </c>
      <c r="T417" s="5" t="str">
        <f>IFERROR(__xludf.DUMMYFUNCTION("""COMPUTED_VALUE"""),"Andaz Apna Apna")</f>
        <v>Andaz Apna Apna</v>
      </c>
      <c r="U417" s="5" t="str">
        <f>IFERROR(__xludf.DUMMYFUNCTION("""COMPUTED_VALUE"""),"Comedy")</f>
        <v>Comedy</v>
      </c>
      <c r="V417" s="5">
        <f>IFERROR(__xludf.DUMMYFUNCTION("""COMPUTED_VALUE"""),2.0)</f>
        <v>2</v>
      </c>
    </row>
    <row r="418">
      <c r="A418" s="1">
        <v>417.0</v>
      </c>
      <c r="B418" s="1" t="s">
        <v>2680</v>
      </c>
      <c r="C418" s="1" t="s">
        <v>137</v>
      </c>
      <c r="D418" s="1"/>
      <c r="E418" s="1">
        <v>417.0</v>
      </c>
      <c r="F418" s="1" t="s">
        <v>2680</v>
      </c>
      <c r="G418" s="1" t="str">
        <f>IFERROR(__xludf.DUMMYFUNCTION("SPLIT(C418, "", "")"),"Biography")</f>
        <v>Biography</v>
      </c>
      <c r="H418" s="5" t="str">
        <f>IFERROR(__xludf.DUMMYFUNCTION("""COMPUTED_VALUE"""),"Crime")</f>
        <v>Crime</v>
      </c>
      <c r="I418" s="5" t="str">
        <f>IFERROR(__xludf.DUMMYFUNCTION("""COMPUTED_VALUE"""),"Drama")</f>
        <v>Drama</v>
      </c>
      <c r="J418" s="5" t="str">
        <f>IFERROR(__xludf.DUMMYFUNCTION("""COMPUTED_VALUE"""),"139🤙🏼Mandariinid🤙🏼🤙🏼3")</f>
        <v>139🤙🏼Mandariinid🤙🏼🤙🏼3</v>
      </c>
      <c r="K418" s="5">
        <f>IFERROR(__xludf.DUMMYFUNCTION("SPLiT(J418, ""🤙🏼"",FALSE,FALSE)"),139.0)</f>
        <v>139</v>
      </c>
      <c r="L418" s="5" t="str">
        <f>IFERROR(__xludf.DUMMYFUNCTION("""COMPUTED_VALUE"""),"Mandariinid")</f>
        <v>Mandariinid</v>
      </c>
      <c r="M418" s="5"/>
      <c r="N418" s="5">
        <f>IFERROR(__xludf.DUMMYFUNCTION("""COMPUTED_VALUE"""),3.0)</f>
        <v>3</v>
      </c>
      <c r="S418" s="5">
        <f>IFERROR(__xludf.DUMMYFUNCTION("""COMPUTED_VALUE"""),167.0)</f>
        <v>167</v>
      </c>
      <c r="T418" s="5" t="str">
        <f>IFERROR(__xludf.DUMMYFUNCTION("""COMPUTED_VALUE"""),"Andaz Apna Apna")</f>
        <v>Andaz Apna Apna</v>
      </c>
      <c r="U418" s="5" t="str">
        <f>IFERROR(__xludf.DUMMYFUNCTION("""COMPUTED_VALUE"""),"Romance")</f>
        <v>Romance</v>
      </c>
      <c r="V418" s="5">
        <f>IFERROR(__xludf.DUMMYFUNCTION("""COMPUTED_VALUE"""),3.0)</f>
        <v>3</v>
      </c>
    </row>
    <row r="419">
      <c r="A419" s="1">
        <v>418.0</v>
      </c>
      <c r="B419" s="1" t="s">
        <v>2684</v>
      </c>
      <c r="C419" s="1" t="s">
        <v>602</v>
      </c>
      <c r="D419" s="1"/>
      <c r="E419" s="1">
        <v>418.0</v>
      </c>
      <c r="F419" s="1" t="s">
        <v>2684</v>
      </c>
      <c r="G419" s="1" t="str">
        <f>IFERROR(__xludf.DUMMYFUNCTION("SPLIT(C419, "", "")"),"Comedy")</f>
        <v>Comedy</v>
      </c>
      <c r="J419" s="5" t="str">
        <f>IFERROR(__xludf.DUMMYFUNCTION("""COMPUTED_VALUE"""),"140🤙🏼Bhaag Milkha Bhaag🤙🏼Biography🤙🏼1")</f>
        <v>140🤙🏼Bhaag Milkha Bhaag🤙🏼Biography🤙🏼1</v>
      </c>
      <c r="K419" s="5">
        <f>IFERROR(__xludf.DUMMYFUNCTION("SPLiT(J419, ""🤙🏼"",FALSE,FALSE)"),140.0)</f>
        <v>140</v>
      </c>
      <c r="L419" s="5" t="str">
        <f>IFERROR(__xludf.DUMMYFUNCTION("""COMPUTED_VALUE"""),"Bhaag Milkha Bhaag")</f>
        <v>Bhaag Milkha Bhaag</v>
      </c>
      <c r="M419" s="5" t="str">
        <f>IFERROR(__xludf.DUMMYFUNCTION("""COMPUTED_VALUE"""),"Biography")</f>
        <v>Biography</v>
      </c>
      <c r="N419" s="5">
        <f>IFERROR(__xludf.DUMMYFUNCTION("""COMPUTED_VALUE"""),1.0)</f>
        <v>1</v>
      </c>
      <c r="S419" s="5">
        <f>IFERROR(__xludf.DUMMYFUNCTION("""COMPUTED_VALUE"""),168.0)</f>
        <v>168</v>
      </c>
      <c r="T419" s="5" t="str">
        <f>IFERROR(__xludf.DUMMYFUNCTION("""COMPUTED_VALUE"""),"Unforgiven")</f>
        <v>Unforgiven</v>
      </c>
      <c r="U419" s="5" t="str">
        <f>IFERROR(__xludf.DUMMYFUNCTION("""COMPUTED_VALUE"""),"Drama")</f>
        <v>Drama</v>
      </c>
      <c r="V419" s="5">
        <f>IFERROR(__xludf.DUMMYFUNCTION("""COMPUTED_VALUE"""),1.0)</f>
        <v>1</v>
      </c>
    </row>
    <row r="420">
      <c r="A420" s="1">
        <v>419.0</v>
      </c>
      <c r="B420" s="1" t="s">
        <v>2690</v>
      </c>
      <c r="C420" s="1" t="s">
        <v>137</v>
      </c>
      <c r="D420" s="1"/>
      <c r="E420" s="1">
        <v>419.0</v>
      </c>
      <c r="F420" s="1" t="s">
        <v>2690</v>
      </c>
      <c r="G420" s="1" t="str">
        <f>IFERROR(__xludf.DUMMYFUNCTION("SPLIT(C420, "", "")"),"Biography")</f>
        <v>Biography</v>
      </c>
      <c r="H420" s="5" t="str">
        <f>IFERROR(__xludf.DUMMYFUNCTION("""COMPUTED_VALUE"""),"Crime")</f>
        <v>Crime</v>
      </c>
      <c r="I420" s="5" t="str">
        <f>IFERROR(__xludf.DUMMYFUNCTION("""COMPUTED_VALUE"""),"Drama")</f>
        <v>Drama</v>
      </c>
      <c r="J420" s="5" t="str">
        <f>IFERROR(__xludf.DUMMYFUNCTION("""COMPUTED_VALUE"""),"140🤙🏼Bhaag Milkha Bhaag🤙🏼Drama🤙🏼2")</f>
        <v>140🤙🏼Bhaag Milkha Bhaag🤙🏼Drama🤙🏼2</v>
      </c>
      <c r="K420" s="5">
        <f>IFERROR(__xludf.DUMMYFUNCTION("SPLiT(J420, ""🤙🏼"",FALSE,FALSE)"),140.0)</f>
        <v>140</v>
      </c>
      <c r="L420" s="5" t="str">
        <f>IFERROR(__xludf.DUMMYFUNCTION("""COMPUTED_VALUE"""),"Bhaag Milkha Bhaag")</f>
        <v>Bhaag Milkha Bhaag</v>
      </c>
      <c r="M420" s="5" t="str">
        <f>IFERROR(__xludf.DUMMYFUNCTION("""COMPUTED_VALUE"""),"Drama")</f>
        <v>Drama</v>
      </c>
      <c r="N420" s="5">
        <f>IFERROR(__xludf.DUMMYFUNCTION("""COMPUTED_VALUE"""),2.0)</f>
        <v>2</v>
      </c>
      <c r="S420" s="5">
        <f>IFERROR(__xludf.DUMMYFUNCTION("""COMPUTED_VALUE"""),168.0)</f>
        <v>168</v>
      </c>
      <c r="T420" s="5" t="str">
        <f>IFERROR(__xludf.DUMMYFUNCTION("""COMPUTED_VALUE"""),"Unforgiven")</f>
        <v>Unforgiven</v>
      </c>
      <c r="U420" s="5" t="str">
        <f>IFERROR(__xludf.DUMMYFUNCTION("""COMPUTED_VALUE"""),"Western")</f>
        <v>Western</v>
      </c>
      <c r="V420" s="5">
        <f>IFERROR(__xludf.DUMMYFUNCTION("""COMPUTED_VALUE"""),2.0)</f>
        <v>2</v>
      </c>
    </row>
    <row r="421">
      <c r="A421" s="1">
        <v>420.0</v>
      </c>
      <c r="B421" s="1" t="s">
        <v>2695</v>
      </c>
      <c r="C421" s="1" t="s">
        <v>2696</v>
      </c>
      <c r="D421" s="1"/>
      <c r="E421" s="1">
        <v>420.0</v>
      </c>
      <c r="F421" s="1" t="s">
        <v>2695</v>
      </c>
      <c r="G421" s="1" t="str">
        <f>IFERROR(__xludf.DUMMYFUNCTION("SPLIT(C421, "", "")"),"Horror")</f>
        <v>Horror</v>
      </c>
      <c r="J421" s="5" t="str">
        <f>IFERROR(__xludf.DUMMYFUNCTION("""COMPUTED_VALUE"""),"140🤙🏼Bhaag Milkha Bhaag🤙🏼Sport🤙🏼3")</f>
        <v>140🤙🏼Bhaag Milkha Bhaag🤙🏼Sport🤙🏼3</v>
      </c>
      <c r="K421" s="5">
        <f>IFERROR(__xludf.DUMMYFUNCTION("SPLiT(J421, ""🤙🏼"",FALSE,FALSE)"),140.0)</f>
        <v>140</v>
      </c>
      <c r="L421" s="5" t="str">
        <f>IFERROR(__xludf.DUMMYFUNCTION("""COMPUTED_VALUE"""),"Bhaag Milkha Bhaag")</f>
        <v>Bhaag Milkha Bhaag</v>
      </c>
      <c r="M421" s="5" t="str">
        <f>IFERROR(__xludf.DUMMYFUNCTION("""COMPUTED_VALUE"""),"Sport")</f>
        <v>Sport</v>
      </c>
      <c r="N421" s="5">
        <f>IFERROR(__xludf.DUMMYFUNCTION("""COMPUTED_VALUE"""),3.0)</f>
        <v>3</v>
      </c>
      <c r="S421" s="5">
        <f>IFERROR(__xludf.DUMMYFUNCTION("""COMPUTED_VALUE"""),169.0)</f>
        <v>169</v>
      </c>
      <c r="T421" s="5" t="str">
        <f>IFERROR(__xludf.DUMMYFUNCTION("""COMPUTED_VALUE"""),"Indiana Jones and the Last Crusade")</f>
        <v>Indiana Jones and the Last Crusade</v>
      </c>
      <c r="U421" s="5" t="str">
        <f>IFERROR(__xludf.DUMMYFUNCTION("""COMPUTED_VALUE"""),"Action")</f>
        <v>Action</v>
      </c>
      <c r="V421" s="5">
        <f>IFERROR(__xludf.DUMMYFUNCTION("""COMPUTED_VALUE"""),1.0)</f>
        <v>1</v>
      </c>
    </row>
    <row r="422">
      <c r="A422" s="1">
        <v>421.0</v>
      </c>
      <c r="B422" s="1" t="s">
        <v>2700</v>
      </c>
      <c r="C422" s="1" t="s">
        <v>544</v>
      </c>
      <c r="D422" s="1"/>
      <c r="E422" s="1">
        <v>421.0</v>
      </c>
      <c r="F422" s="1" t="s">
        <v>2700</v>
      </c>
      <c r="G422" s="1" t="str">
        <f>IFERROR(__xludf.DUMMYFUNCTION("SPLIT(C422, "", "")"),"Mystery")</f>
        <v>Mystery</v>
      </c>
      <c r="H422" s="5" t="str">
        <f>IFERROR(__xludf.DUMMYFUNCTION("""COMPUTED_VALUE"""),"Thriller")</f>
        <v>Thriller</v>
      </c>
      <c r="J422" s="5" t="str">
        <f>IFERROR(__xludf.DUMMYFUNCTION("""COMPUTED_VALUE"""),"141🤙🏼Gangs of Wasseypur🤙🏼Action🤙🏼1")</f>
        <v>141🤙🏼Gangs of Wasseypur🤙🏼Action🤙🏼1</v>
      </c>
      <c r="K422" s="5">
        <f>IFERROR(__xludf.DUMMYFUNCTION("SPLiT(J422, ""🤙🏼"",FALSE,FALSE)"),141.0)</f>
        <v>141</v>
      </c>
      <c r="L422" s="5" t="str">
        <f>IFERROR(__xludf.DUMMYFUNCTION("""COMPUTED_VALUE"""),"Gangs of Wasseypur")</f>
        <v>Gangs of Wasseypur</v>
      </c>
      <c r="M422" s="5" t="str">
        <f>IFERROR(__xludf.DUMMYFUNCTION("""COMPUTED_VALUE"""),"Action")</f>
        <v>Action</v>
      </c>
      <c r="N422" s="5">
        <f>IFERROR(__xludf.DUMMYFUNCTION("""COMPUTED_VALUE"""),1.0)</f>
        <v>1</v>
      </c>
      <c r="S422" s="5">
        <f>IFERROR(__xludf.DUMMYFUNCTION("""COMPUTED_VALUE"""),169.0)</f>
        <v>169</v>
      </c>
      <c r="T422" s="5" t="str">
        <f>IFERROR(__xludf.DUMMYFUNCTION("""COMPUTED_VALUE"""),"Indiana Jones and the Last Crusade")</f>
        <v>Indiana Jones and the Last Crusade</v>
      </c>
      <c r="U422" s="5" t="str">
        <f>IFERROR(__xludf.DUMMYFUNCTION("""COMPUTED_VALUE"""),"Adventure")</f>
        <v>Adventure</v>
      </c>
      <c r="V422" s="5">
        <f>IFERROR(__xludf.DUMMYFUNCTION("""COMPUTED_VALUE"""),2.0)</f>
        <v>2</v>
      </c>
    </row>
    <row r="423">
      <c r="A423" s="1">
        <v>422.0</v>
      </c>
      <c r="B423" s="1" t="s">
        <v>2704</v>
      </c>
      <c r="C423" s="1" t="s">
        <v>107</v>
      </c>
      <c r="D423" s="1"/>
      <c r="E423" s="1">
        <v>422.0</v>
      </c>
      <c r="F423" s="1" t="s">
        <v>2704</v>
      </c>
      <c r="G423" s="1" t="str">
        <f>IFERROR(__xludf.DUMMYFUNCTION("SPLIT(C423, "", "")"),"Drama")</f>
        <v>Drama</v>
      </c>
      <c r="H423" s="5" t="str">
        <f>IFERROR(__xludf.DUMMYFUNCTION("""COMPUTED_VALUE"""),"Romance")</f>
        <v>Romance</v>
      </c>
      <c r="J423" s="5" t="str">
        <f>IFERROR(__xludf.DUMMYFUNCTION("""COMPUTED_VALUE"""),"141🤙🏼Gangs of Wasseypur🤙🏼Comedy🤙🏼2")</f>
        <v>141🤙🏼Gangs of Wasseypur🤙🏼Comedy🤙🏼2</v>
      </c>
      <c r="K423" s="5">
        <f>IFERROR(__xludf.DUMMYFUNCTION("SPLiT(J423, ""🤙🏼"",FALSE,FALSE)"),141.0)</f>
        <v>141</v>
      </c>
      <c r="L423" s="5" t="str">
        <f>IFERROR(__xludf.DUMMYFUNCTION("""COMPUTED_VALUE"""),"Gangs of Wasseypur")</f>
        <v>Gangs of Wasseypur</v>
      </c>
      <c r="M423" s="5" t="str">
        <f>IFERROR(__xludf.DUMMYFUNCTION("""COMPUTED_VALUE"""),"Comedy")</f>
        <v>Comedy</v>
      </c>
      <c r="N423" s="5">
        <f>IFERROR(__xludf.DUMMYFUNCTION("""COMPUTED_VALUE"""),2.0)</f>
        <v>2</v>
      </c>
      <c r="S423" s="5">
        <f>IFERROR(__xludf.DUMMYFUNCTION("""COMPUTED_VALUE"""),170.0)</f>
        <v>170</v>
      </c>
      <c r="T423" s="5" t="str">
        <f>IFERROR(__xludf.DUMMYFUNCTION("""COMPUTED_VALUE"""),"Dom za vesanje")</f>
        <v>Dom za vesanje</v>
      </c>
      <c r="U423" s="5" t="str">
        <f>IFERROR(__xludf.DUMMYFUNCTION("""COMPUTED_VALUE"""),"Comedy")</f>
        <v>Comedy</v>
      </c>
      <c r="V423" s="5">
        <f>IFERROR(__xludf.DUMMYFUNCTION("""COMPUTED_VALUE"""),1.0)</f>
        <v>1</v>
      </c>
    </row>
    <row r="424">
      <c r="A424" s="1">
        <v>423.0</v>
      </c>
      <c r="B424" s="1" t="s">
        <v>2708</v>
      </c>
      <c r="C424" s="1" t="s">
        <v>2709</v>
      </c>
      <c r="D424" s="1"/>
      <c r="E424" s="1">
        <v>423.0</v>
      </c>
      <c r="F424" s="1" t="s">
        <v>2708</v>
      </c>
      <c r="G424" s="1" t="str">
        <f>IFERROR(__xludf.DUMMYFUNCTION("SPLIT(C424, "", "")"),"Drama")</f>
        <v>Drama</v>
      </c>
      <c r="H424" s="5" t="str">
        <f>IFERROR(__xludf.DUMMYFUNCTION("""COMPUTED_VALUE"""),"Family")</f>
        <v>Family</v>
      </c>
      <c r="I424" s="5" t="str">
        <f>IFERROR(__xludf.DUMMYFUNCTION("""COMPUTED_VALUE"""),"Musical")</f>
        <v>Musical</v>
      </c>
      <c r="J424" s="5" t="str">
        <f>IFERROR(__xludf.DUMMYFUNCTION("""COMPUTED_VALUE"""),"141🤙🏼Gangs of Wasseypur🤙🏼Crime🤙🏼3")</f>
        <v>141🤙🏼Gangs of Wasseypur🤙🏼Crime🤙🏼3</v>
      </c>
      <c r="K424" s="5">
        <f>IFERROR(__xludf.DUMMYFUNCTION("SPLiT(J424, ""🤙🏼"",FALSE,FALSE)"),141.0)</f>
        <v>141</v>
      </c>
      <c r="L424" s="5" t="str">
        <f>IFERROR(__xludf.DUMMYFUNCTION("""COMPUTED_VALUE"""),"Gangs of Wasseypur")</f>
        <v>Gangs of Wasseypur</v>
      </c>
      <c r="M424" s="5" t="str">
        <f>IFERROR(__xludf.DUMMYFUNCTION("""COMPUTED_VALUE"""),"Crime")</f>
        <v>Crime</v>
      </c>
      <c r="N424" s="5">
        <f>IFERROR(__xludf.DUMMYFUNCTION("""COMPUTED_VALUE"""),3.0)</f>
        <v>3</v>
      </c>
      <c r="S424" s="5">
        <f>IFERROR(__xludf.DUMMYFUNCTION("""COMPUTED_VALUE"""),170.0)</f>
        <v>170</v>
      </c>
      <c r="T424" s="5" t="str">
        <f>IFERROR(__xludf.DUMMYFUNCTION("""COMPUTED_VALUE"""),"Dom za vesanje")</f>
        <v>Dom za vesanje</v>
      </c>
      <c r="U424" s="5" t="str">
        <f>IFERROR(__xludf.DUMMYFUNCTION("""COMPUTED_VALUE"""),"Crime")</f>
        <v>Crime</v>
      </c>
      <c r="V424" s="5">
        <f>IFERROR(__xludf.DUMMYFUNCTION("""COMPUTED_VALUE"""),2.0)</f>
        <v>2</v>
      </c>
    </row>
    <row r="425">
      <c r="A425" s="1">
        <v>424.0</v>
      </c>
      <c r="B425" s="1" t="s">
        <v>2716</v>
      </c>
      <c r="C425" s="1" t="s">
        <v>20</v>
      </c>
      <c r="D425" s="1"/>
      <c r="E425" s="1">
        <v>424.0</v>
      </c>
      <c r="F425" s="1" t="s">
        <v>2716</v>
      </c>
      <c r="G425" s="1" t="str">
        <f>IFERROR(__xludf.DUMMYFUNCTION("SPLIT(C425, "", "")"),"Drama")</f>
        <v>Drama</v>
      </c>
      <c r="J425" s="5" t="str">
        <f>IFERROR(__xludf.DUMMYFUNCTION("""COMPUTED_VALUE"""),"142🤙🏼Udaan🤙🏼Drama🤙🏼1")</f>
        <v>142🤙🏼Udaan🤙🏼Drama🤙🏼1</v>
      </c>
      <c r="K425" s="5">
        <f>IFERROR(__xludf.DUMMYFUNCTION("SPLiT(J425, ""🤙🏼"",FALSE,FALSE)"),142.0)</f>
        <v>142</v>
      </c>
      <c r="L425" s="5" t="str">
        <f>IFERROR(__xludf.DUMMYFUNCTION("""COMPUTED_VALUE"""),"Udaan")</f>
        <v>Udaan</v>
      </c>
      <c r="M425" s="5" t="str">
        <f>IFERROR(__xludf.DUMMYFUNCTION("""COMPUTED_VALUE"""),"Drama")</f>
        <v>Drama</v>
      </c>
      <c r="N425" s="5">
        <f>IFERROR(__xludf.DUMMYFUNCTION("""COMPUTED_VALUE"""),1.0)</f>
        <v>1</v>
      </c>
      <c r="S425" s="5">
        <f>IFERROR(__xludf.DUMMYFUNCTION("""COMPUTED_VALUE"""),170.0)</f>
        <v>170</v>
      </c>
      <c r="T425" s="5" t="str">
        <f>IFERROR(__xludf.DUMMYFUNCTION("""COMPUTED_VALUE"""),"Dom za vesanje")</f>
        <v>Dom za vesanje</v>
      </c>
      <c r="U425" s="5" t="str">
        <f>IFERROR(__xludf.DUMMYFUNCTION("""COMPUTED_VALUE"""),"Drama")</f>
        <v>Drama</v>
      </c>
      <c r="V425" s="5">
        <f>IFERROR(__xludf.DUMMYFUNCTION("""COMPUTED_VALUE"""),3.0)</f>
        <v>3</v>
      </c>
    </row>
    <row r="426">
      <c r="A426" s="1">
        <v>425.0</v>
      </c>
      <c r="B426" s="1" t="s">
        <v>2723</v>
      </c>
      <c r="C426" s="1" t="s">
        <v>137</v>
      </c>
      <c r="D426" s="1"/>
      <c r="E426" s="1">
        <v>425.0</v>
      </c>
      <c r="F426" s="1" t="s">
        <v>2723</v>
      </c>
      <c r="G426" s="1" t="str">
        <f>IFERROR(__xludf.DUMMYFUNCTION("SPLIT(C426, "", "")"),"Biography")</f>
        <v>Biography</v>
      </c>
      <c r="H426" s="5" t="str">
        <f>IFERROR(__xludf.DUMMYFUNCTION("""COMPUTED_VALUE"""),"Crime")</f>
        <v>Crime</v>
      </c>
      <c r="I426" s="5" t="str">
        <f>IFERROR(__xludf.DUMMYFUNCTION("""COMPUTED_VALUE"""),"Drama")</f>
        <v>Drama</v>
      </c>
      <c r="J426" s="5" t="str">
        <f>IFERROR(__xludf.DUMMYFUNCTION("""COMPUTED_VALUE"""),"142🤙🏼Udaan🤙🏼🤙🏼2")</f>
        <v>142🤙🏼Udaan🤙🏼🤙🏼2</v>
      </c>
      <c r="K426" s="5">
        <f>IFERROR(__xludf.DUMMYFUNCTION("SPLiT(J426, ""🤙🏼"",FALSE,FALSE)"),142.0)</f>
        <v>142</v>
      </c>
      <c r="L426" s="5" t="str">
        <f>IFERROR(__xludf.DUMMYFUNCTION("""COMPUTED_VALUE"""),"Udaan")</f>
        <v>Udaan</v>
      </c>
      <c r="M426" s="5"/>
      <c r="N426" s="5">
        <f>IFERROR(__xludf.DUMMYFUNCTION("""COMPUTED_VALUE"""),2.0)</f>
        <v>2</v>
      </c>
      <c r="S426" s="5">
        <f>IFERROR(__xludf.DUMMYFUNCTION("""COMPUTED_VALUE"""),171.0)</f>
        <v>171</v>
      </c>
      <c r="T426" s="5" t="str">
        <f>IFERROR(__xludf.DUMMYFUNCTION("""COMPUTED_VALUE"""),"Tonari no Totoro")</f>
        <v>Tonari no Totoro</v>
      </c>
      <c r="U426" s="5" t="str">
        <f>IFERROR(__xludf.DUMMYFUNCTION("""COMPUTED_VALUE"""),"Animation")</f>
        <v>Animation</v>
      </c>
      <c r="V426" s="5">
        <f>IFERROR(__xludf.DUMMYFUNCTION("""COMPUTED_VALUE"""),1.0)</f>
        <v>1</v>
      </c>
    </row>
    <row r="427">
      <c r="A427" s="1">
        <v>426.0</v>
      </c>
      <c r="B427" s="1" t="s">
        <v>2726</v>
      </c>
      <c r="C427" s="1" t="s">
        <v>569</v>
      </c>
      <c r="D427" s="1"/>
      <c r="E427" s="1">
        <v>426.0</v>
      </c>
      <c r="F427" s="1" t="s">
        <v>2726</v>
      </c>
      <c r="G427" s="1" t="str">
        <f>IFERROR(__xludf.DUMMYFUNCTION("SPLIT(C427, "", "")"),"Drama")</f>
        <v>Drama</v>
      </c>
      <c r="H427" s="5" t="str">
        <f>IFERROR(__xludf.DUMMYFUNCTION("""COMPUTED_VALUE"""),"Horror")</f>
        <v>Horror</v>
      </c>
      <c r="J427" s="5" t="str">
        <f>IFERROR(__xludf.DUMMYFUNCTION("""COMPUTED_VALUE"""),"142🤙🏼Udaan🤙🏼🤙🏼3")</f>
        <v>142🤙🏼Udaan🤙🏼🤙🏼3</v>
      </c>
      <c r="K427" s="5">
        <f>IFERROR(__xludf.DUMMYFUNCTION("SPLiT(J427, ""🤙🏼"",FALSE,FALSE)"),142.0)</f>
        <v>142</v>
      </c>
      <c r="L427" s="5" t="str">
        <f>IFERROR(__xludf.DUMMYFUNCTION("""COMPUTED_VALUE"""),"Udaan")</f>
        <v>Udaan</v>
      </c>
      <c r="M427" s="5"/>
      <c r="N427" s="5">
        <f>IFERROR(__xludf.DUMMYFUNCTION("""COMPUTED_VALUE"""),3.0)</f>
        <v>3</v>
      </c>
      <c r="S427" s="5">
        <f>IFERROR(__xludf.DUMMYFUNCTION("""COMPUTED_VALUE"""),171.0)</f>
        <v>171</v>
      </c>
      <c r="T427" s="5" t="str">
        <f>IFERROR(__xludf.DUMMYFUNCTION("""COMPUTED_VALUE"""),"Tonari no Totoro")</f>
        <v>Tonari no Totoro</v>
      </c>
      <c r="U427" s="5" t="str">
        <f>IFERROR(__xludf.DUMMYFUNCTION("""COMPUTED_VALUE"""),"Family")</f>
        <v>Family</v>
      </c>
      <c r="V427" s="5">
        <f>IFERROR(__xludf.DUMMYFUNCTION("""COMPUTED_VALUE"""),2.0)</f>
        <v>2</v>
      </c>
    </row>
    <row r="428">
      <c r="A428" s="1">
        <v>427.0</v>
      </c>
      <c r="B428" s="1" t="s">
        <v>2732</v>
      </c>
      <c r="C428" s="1" t="s">
        <v>846</v>
      </c>
      <c r="D428" s="1"/>
      <c r="E428" s="1">
        <v>427.0</v>
      </c>
      <c r="F428" s="1" t="s">
        <v>2732</v>
      </c>
      <c r="G428" s="1" t="str">
        <f>IFERROR(__xludf.DUMMYFUNCTION("SPLIT(C428, "", "")"),"Adventure")</f>
        <v>Adventure</v>
      </c>
      <c r="H428" s="5" t="str">
        <f>IFERROR(__xludf.DUMMYFUNCTION("""COMPUTED_VALUE"""),"Sci-Fi")</f>
        <v>Sci-Fi</v>
      </c>
      <c r="J428" s="5" t="str">
        <f>IFERROR(__xludf.DUMMYFUNCTION("""COMPUTED_VALUE"""),"143🤙🏼Paan Singh Tomar🤙🏼Action🤙🏼1")</f>
        <v>143🤙🏼Paan Singh Tomar🤙🏼Action🤙🏼1</v>
      </c>
      <c r="K428" s="5">
        <f>IFERROR(__xludf.DUMMYFUNCTION("SPLiT(J428, ""🤙🏼"",FALSE,FALSE)"),143.0)</f>
        <v>143</v>
      </c>
      <c r="L428" s="5" t="str">
        <f>IFERROR(__xludf.DUMMYFUNCTION("""COMPUTED_VALUE"""),"Paan Singh Tomar")</f>
        <v>Paan Singh Tomar</v>
      </c>
      <c r="M428" s="5" t="str">
        <f>IFERROR(__xludf.DUMMYFUNCTION("""COMPUTED_VALUE"""),"Action")</f>
        <v>Action</v>
      </c>
      <c r="N428" s="5">
        <f>IFERROR(__xludf.DUMMYFUNCTION("""COMPUTED_VALUE"""),1.0)</f>
        <v>1</v>
      </c>
      <c r="S428" s="5">
        <f>IFERROR(__xludf.DUMMYFUNCTION("""COMPUTED_VALUE"""),171.0)</f>
        <v>171</v>
      </c>
      <c r="T428" s="5" t="str">
        <f>IFERROR(__xludf.DUMMYFUNCTION("""COMPUTED_VALUE"""),"Tonari no Totoro")</f>
        <v>Tonari no Totoro</v>
      </c>
      <c r="U428" s="5" t="str">
        <f>IFERROR(__xludf.DUMMYFUNCTION("""COMPUTED_VALUE"""),"Fantasy")</f>
        <v>Fantasy</v>
      </c>
      <c r="V428" s="5">
        <f>IFERROR(__xludf.DUMMYFUNCTION("""COMPUTED_VALUE"""),3.0)</f>
        <v>3</v>
      </c>
    </row>
    <row r="429">
      <c r="A429" s="1">
        <v>428.0</v>
      </c>
      <c r="B429" s="1" t="s">
        <v>2737</v>
      </c>
      <c r="C429" s="1" t="s">
        <v>227</v>
      </c>
      <c r="D429" s="1"/>
      <c r="E429" s="1">
        <v>428.0</v>
      </c>
      <c r="F429" s="1" t="s">
        <v>2737</v>
      </c>
      <c r="G429" s="1" t="str">
        <f>IFERROR(__xludf.DUMMYFUNCTION("SPLIT(C429, "", "")"),"Comedy")</f>
        <v>Comedy</v>
      </c>
      <c r="H429" s="5" t="str">
        <f>IFERROR(__xludf.DUMMYFUNCTION("""COMPUTED_VALUE"""),"Drama")</f>
        <v>Drama</v>
      </c>
      <c r="I429" s="5" t="str">
        <f>IFERROR(__xludf.DUMMYFUNCTION("""COMPUTED_VALUE"""),"Romance")</f>
        <v>Romance</v>
      </c>
      <c r="J429" s="5" t="str">
        <f>IFERROR(__xludf.DUMMYFUNCTION("""COMPUTED_VALUE"""),"143🤙🏼Paan Singh Tomar🤙🏼Biography🤙🏼2")</f>
        <v>143🤙🏼Paan Singh Tomar🤙🏼Biography🤙🏼2</v>
      </c>
      <c r="K429" s="5">
        <f>IFERROR(__xludf.DUMMYFUNCTION("SPLiT(J429, ""🤙🏼"",FALSE,FALSE)"),143.0)</f>
        <v>143</v>
      </c>
      <c r="L429" s="5" t="str">
        <f>IFERROR(__xludf.DUMMYFUNCTION("""COMPUTED_VALUE"""),"Paan Singh Tomar")</f>
        <v>Paan Singh Tomar</v>
      </c>
      <c r="M429" s="5" t="str">
        <f>IFERROR(__xludf.DUMMYFUNCTION("""COMPUTED_VALUE"""),"Biography")</f>
        <v>Biography</v>
      </c>
      <c r="N429" s="5">
        <f>IFERROR(__xludf.DUMMYFUNCTION("""COMPUTED_VALUE"""),2.0)</f>
        <v>2</v>
      </c>
      <c r="S429" s="5">
        <f>IFERROR(__xludf.DUMMYFUNCTION("""COMPUTED_VALUE"""),172.0)</f>
        <v>172</v>
      </c>
      <c r="T429" s="5" t="str">
        <f>IFERROR(__xludf.DUMMYFUNCTION("""COMPUTED_VALUE"""),"Die Hard")</f>
        <v>Die Hard</v>
      </c>
      <c r="U429" s="5" t="str">
        <f>IFERROR(__xludf.DUMMYFUNCTION("""COMPUTED_VALUE"""),"Action")</f>
        <v>Action</v>
      </c>
      <c r="V429" s="5">
        <f>IFERROR(__xludf.DUMMYFUNCTION("""COMPUTED_VALUE"""),1.0)</f>
        <v>1</v>
      </c>
    </row>
    <row r="430">
      <c r="A430" s="1">
        <v>429.0</v>
      </c>
      <c r="B430" s="1" t="s">
        <v>2741</v>
      </c>
      <c r="C430" s="1" t="s">
        <v>20</v>
      </c>
      <c r="D430" s="1"/>
      <c r="E430" s="1">
        <v>429.0</v>
      </c>
      <c r="F430" s="1" t="s">
        <v>2741</v>
      </c>
      <c r="G430" s="1" t="str">
        <f>IFERROR(__xludf.DUMMYFUNCTION("SPLIT(C430, "", "")"),"Drama")</f>
        <v>Drama</v>
      </c>
      <c r="J430" s="5" t="str">
        <f>IFERROR(__xludf.DUMMYFUNCTION("""COMPUTED_VALUE"""),"143🤙🏼Paan Singh Tomar🤙🏼Crime🤙🏼3")</f>
        <v>143🤙🏼Paan Singh Tomar🤙🏼Crime🤙🏼3</v>
      </c>
      <c r="K430" s="5">
        <f>IFERROR(__xludf.DUMMYFUNCTION("SPLiT(J430, ""🤙🏼"",FALSE,FALSE)"),143.0)</f>
        <v>143</v>
      </c>
      <c r="L430" s="5" t="str">
        <f>IFERROR(__xludf.DUMMYFUNCTION("""COMPUTED_VALUE"""),"Paan Singh Tomar")</f>
        <v>Paan Singh Tomar</v>
      </c>
      <c r="M430" s="5" t="str">
        <f>IFERROR(__xludf.DUMMYFUNCTION("""COMPUTED_VALUE"""),"Crime")</f>
        <v>Crime</v>
      </c>
      <c r="N430" s="5">
        <f>IFERROR(__xludf.DUMMYFUNCTION("""COMPUTED_VALUE"""),3.0)</f>
        <v>3</v>
      </c>
      <c r="S430" s="5">
        <f>IFERROR(__xludf.DUMMYFUNCTION("""COMPUTED_VALUE"""),172.0)</f>
        <v>172</v>
      </c>
      <c r="T430" s="5" t="str">
        <f>IFERROR(__xludf.DUMMYFUNCTION("""COMPUTED_VALUE"""),"Die Hard")</f>
        <v>Die Hard</v>
      </c>
      <c r="U430" s="5" t="str">
        <f>IFERROR(__xludf.DUMMYFUNCTION("""COMPUTED_VALUE"""),"Thriller")</f>
        <v>Thriller</v>
      </c>
      <c r="V430" s="5">
        <f>IFERROR(__xludf.DUMMYFUNCTION("""COMPUTED_VALUE"""),2.0)</f>
        <v>2</v>
      </c>
    </row>
    <row r="431">
      <c r="A431" s="1">
        <v>430.0</v>
      </c>
      <c r="B431" s="1" t="s">
        <v>2747</v>
      </c>
      <c r="C431" s="1" t="s">
        <v>1580</v>
      </c>
      <c r="D431" s="1"/>
      <c r="E431" s="1">
        <v>430.0</v>
      </c>
      <c r="F431" s="1" t="s">
        <v>2747</v>
      </c>
      <c r="G431" s="1" t="str">
        <f>IFERROR(__xludf.DUMMYFUNCTION("SPLIT(C431, "", "")"),"Biography")</f>
        <v>Biography</v>
      </c>
      <c r="H431" s="5" t="str">
        <f>IFERROR(__xludf.DUMMYFUNCTION("""COMPUTED_VALUE"""),"Drama")</f>
        <v>Drama</v>
      </c>
      <c r="I431" s="5" t="str">
        <f>IFERROR(__xludf.DUMMYFUNCTION("""COMPUTED_VALUE"""),"Family")</f>
        <v>Family</v>
      </c>
      <c r="J431" s="5" t="str">
        <f>IFERROR(__xludf.DUMMYFUNCTION("""COMPUTED_VALUE"""),"144🤙🏼El secreto de sus ojos🤙🏼Drama🤙🏼1")</f>
        <v>144🤙🏼El secreto de sus ojos🤙🏼Drama🤙🏼1</v>
      </c>
      <c r="K431" s="5">
        <f>IFERROR(__xludf.DUMMYFUNCTION("SPLiT(J431, ""🤙🏼"",FALSE,FALSE)"),144.0)</f>
        <v>144</v>
      </c>
      <c r="L431" s="5" t="str">
        <f>IFERROR(__xludf.DUMMYFUNCTION("""COMPUTED_VALUE"""),"El secreto de sus ojos")</f>
        <v>El secreto de sus ojos</v>
      </c>
      <c r="M431" s="5" t="str">
        <f>IFERROR(__xludf.DUMMYFUNCTION("""COMPUTED_VALUE"""),"Drama")</f>
        <v>Drama</v>
      </c>
      <c r="N431" s="5">
        <f>IFERROR(__xludf.DUMMYFUNCTION("""COMPUTED_VALUE"""),1.0)</f>
        <v>1</v>
      </c>
      <c r="S431" s="5">
        <f>IFERROR(__xludf.DUMMYFUNCTION("""COMPUTED_VALUE"""),173.0)</f>
        <v>173</v>
      </c>
      <c r="T431" s="5" t="str">
        <f>IFERROR(__xludf.DUMMYFUNCTION("""COMPUTED_VALUE"""),"Ran")</f>
        <v>Ran</v>
      </c>
      <c r="U431" s="5" t="str">
        <f>IFERROR(__xludf.DUMMYFUNCTION("""COMPUTED_VALUE"""),"Action")</f>
        <v>Action</v>
      </c>
      <c r="V431" s="5">
        <f>IFERROR(__xludf.DUMMYFUNCTION("""COMPUTED_VALUE"""),1.0)</f>
        <v>1</v>
      </c>
    </row>
    <row r="432">
      <c r="A432" s="1">
        <v>431.0</v>
      </c>
      <c r="B432" s="1" t="s">
        <v>2753</v>
      </c>
      <c r="C432" s="1" t="s">
        <v>406</v>
      </c>
      <c r="D432" s="1"/>
      <c r="E432" s="1">
        <v>431.0</v>
      </c>
      <c r="F432" s="1" t="s">
        <v>2753</v>
      </c>
      <c r="G432" s="1" t="str">
        <f>IFERROR(__xludf.DUMMYFUNCTION("SPLIT(C432, "", "")"),"Drama")</f>
        <v>Drama</v>
      </c>
      <c r="H432" s="5" t="str">
        <f>IFERROR(__xludf.DUMMYFUNCTION("""COMPUTED_VALUE"""),"Romance")</f>
        <v>Romance</v>
      </c>
      <c r="I432" s="5" t="str">
        <f>IFERROR(__xludf.DUMMYFUNCTION("""COMPUTED_VALUE"""),"War")</f>
        <v>War</v>
      </c>
      <c r="J432" s="5" t="str">
        <f>IFERROR(__xludf.DUMMYFUNCTION("""COMPUTED_VALUE"""),"144🤙🏼El secreto de sus ojos🤙🏼Mystery🤙🏼2")</f>
        <v>144🤙🏼El secreto de sus ojos🤙🏼Mystery🤙🏼2</v>
      </c>
      <c r="K432" s="5">
        <f>IFERROR(__xludf.DUMMYFUNCTION("SPLiT(J432, ""🤙🏼"",FALSE,FALSE)"),144.0)</f>
        <v>144</v>
      </c>
      <c r="L432" s="5" t="str">
        <f>IFERROR(__xludf.DUMMYFUNCTION("""COMPUTED_VALUE"""),"El secreto de sus ojos")</f>
        <v>El secreto de sus ojos</v>
      </c>
      <c r="M432" s="5" t="str">
        <f>IFERROR(__xludf.DUMMYFUNCTION("""COMPUTED_VALUE"""),"Mystery")</f>
        <v>Mystery</v>
      </c>
      <c r="N432" s="5">
        <f>IFERROR(__xludf.DUMMYFUNCTION("""COMPUTED_VALUE"""),2.0)</f>
        <v>2</v>
      </c>
      <c r="S432" s="5">
        <f>IFERROR(__xludf.DUMMYFUNCTION("""COMPUTED_VALUE"""),173.0)</f>
        <v>173</v>
      </c>
      <c r="T432" s="5" t="str">
        <f>IFERROR(__xludf.DUMMYFUNCTION("""COMPUTED_VALUE"""),"Ran")</f>
        <v>Ran</v>
      </c>
      <c r="U432" s="5" t="str">
        <f>IFERROR(__xludf.DUMMYFUNCTION("""COMPUTED_VALUE"""),"Drama")</f>
        <v>Drama</v>
      </c>
      <c r="V432" s="5">
        <f>IFERROR(__xludf.DUMMYFUNCTION("""COMPUTED_VALUE"""),2.0)</f>
        <v>2</v>
      </c>
    </row>
    <row r="433">
      <c r="A433" s="1">
        <v>432.0</v>
      </c>
      <c r="B433" s="1" t="s">
        <v>2759</v>
      </c>
      <c r="C433" s="1" t="s">
        <v>2760</v>
      </c>
      <c r="D433" s="1"/>
      <c r="E433" s="1">
        <v>432.0</v>
      </c>
      <c r="F433" s="1" t="s">
        <v>2759</v>
      </c>
      <c r="G433" s="1" t="str">
        <f>IFERROR(__xludf.DUMMYFUNCTION("SPLIT(C433, "", "")"),"Action")</f>
        <v>Action</v>
      </c>
      <c r="H433" s="5" t="str">
        <f>IFERROR(__xludf.DUMMYFUNCTION("""COMPUTED_VALUE"""),"Drama")</f>
        <v>Drama</v>
      </c>
      <c r="I433" s="5" t="str">
        <f>IFERROR(__xludf.DUMMYFUNCTION("""COMPUTED_VALUE"""),"Western")</f>
        <v>Western</v>
      </c>
      <c r="J433" s="5" t="str">
        <f>IFERROR(__xludf.DUMMYFUNCTION("""COMPUTED_VALUE"""),"144🤙🏼El secreto de sus ojos🤙🏼Romance🤙🏼3")</f>
        <v>144🤙🏼El secreto de sus ojos🤙🏼Romance🤙🏼3</v>
      </c>
      <c r="K433" s="5">
        <f>IFERROR(__xludf.DUMMYFUNCTION("SPLiT(J433, ""🤙🏼"",FALSE,FALSE)"),144.0)</f>
        <v>144</v>
      </c>
      <c r="L433" s="5" t="str">
        <f>IFERROR(__xludf.DUMMYFUNCTION("""COMPUTED_VALUE"""),"El secreto de sus ojos")</f>
        <v>El secreto de sus ojos</v>
      </c>
      <c r="M433" s="5" t="str">
        <f>IFERROR(__xludf.DUMMYFUNCTION("""COMPUTED_VALUE"""),"Romance")</f>
        <v>Romance</v>
      </c>
      <c r="N433" s="5">
        <f>IFERROR(__xludf.DUMMYFUNCTION("""COMPUTED_VALUE"""),3.0)</f>
        <v>3</v>
      </c>
      <c r="S433" s="5">
        <f>IFERROR(__xludf.DUMMYFUNCTION("""COMPUTED_VALUE"""),173.0)</f>
        <v>173</v>
      </c>
      <c r="T433" s="5" t="str">
        <f>IFERROR(__xludf.DUMMYFUNCTION("""COMPUTED_VALUE"""),"Ran")</f>
        <v>Ran</v>
      </c>
      <c r="U433" s="5" t="str">
        <f>IFERROR(__xludf.DUMMYFUNCTION("""COMPUTED_VALUE"""),"War")</f>
        <v>War</v>
      </c>
      <c r="V433" s="5">
        <f>IFERROR(__xludf.DUMMYFUNCTION("""COMPUTED_VALUE"""),3.0)</f>
        <v>3</v>
      </c>
    </row>
    <row r="434">
      <c r="A434" s="1">
        <v>433.0</v>
      </c>
      <c r="B434" s="1" t="s">
        <v>2764</v>
      </c>
      <c r="C434" s="1" t="s">
        <v>20</v>
      </c>
      <c r="D434" s="1"/>
      <c r="E434" s="1">
        <v>433.0</v>
      </c>
      <c r="F434" s="1" t="s">
        <v>2764</v>
      </c>
      <c r="G434" s="1" t="str">
        <f>IFERROR(__xludf.DUMMYFUNCTION("SPLIT(C434, "", "")"),"Drama")</f>
        <v>Drama</v>
      </c>
      <c r="J434" s="5" t="str">
        <f>IFERROR(__xludf.DUMMYFUNCTION("""COMPUTED_VALUE"""),"145🤙🏼Warrior🤙🏼Action🤙🏼1")</f>
        <v>145🤙🏼Warrior🤙🏼Action🤙🏼1</v>
      </c>
      <c r="K434" s="5">
        <f>IFERROR(__xludf.DUMMYFUNCTION("SPLiT(J434, ""🤙🏼"",FALSE,FALSE)"),145.0)</f>
        <v>145</v>
      </c>
      <c r="L434" s="5" t="str">
        <f>IFERROR(__xludf.DUMMYFUNCTION("""COMPUTED_VALUE"""),"Warrior")</f>
        <v>Warrior</v>
      </c>
      <c r="M434" s="5" t="str">
        <f>IFERROR(__xludf.DUMMYFUNCTION("""COMPUTED_VALUE"""),"Action")</f>
        <v>Action</v>
      </c>
      <c r="N434" s="5">
        <f>IFERROR(__xludf.DUMMYFUNCTION("""COMPUTED_VALUE"""),1.0)</f>
        <v>1</v>
      </c>
      <c r="S434" s="5">
        <f>IFERROR(__xludf.DUMMYFUNCTION("""COMPUTED_VALUE"""),174.0)</f>
        <v>174</v>
      </c>
      <c r="T434" s="5" t="str">
        <f>IFERROR(__xludf.DUMMYFUNCTION("""COMPUTED_VALUE"""),"Raging Bull")</f>
        <v>Raging Bull</v>
      </c>
      <c r="U434" s="5" t="str">
        <f>IFERROR(__xludf.DUMMYFUNCTION("""COMPUTED_VALUE"""),"Biography")</f>
        <v>Biography</v>
      </c>
      <c r="V434" s="5">
        <f>IFERROR(__xludf.DUMMYFUNCTION("""COMPUTED_VALUE"""),1.0)</f>
        <v>1</v>
      </c>
    </row>
    <row r="435">
      <c r="A435" s="1">
        <v>434.0</v>
      </c>
      <c r="B435" s="1" t="s">
        <v>2770</v>
      </c>
      <c r="C435" s="1" t="s">
        <v>20</v>
      </c>
      <c r="D435" s="1"/>
      <c r="E435" s="1">
        <v>434.0</v>
      </c>
      <c r="F435" s="1" t="s">
        <v>2770</v>
      </c>
      <c r="G435" s="1" t="str">
        <f>IFERROR(__xludf.DUMMYFUNCTION("SPLIT(C435, "", "")"),"Drama")</f>
        <v>Drama</v>
      </c>
      <c r="J435" s="5" t="str">
        <f>IFERROR(__xludf.DUMMYFUNCTION("""COMPUTED_VALUE"""),"145🤙🏼Warrior🤙🏼Drama🤙🏼2")</f>
        <v>145🤙🏼Warrior🤙🏼Drama🤙🏼2</v>
      </c>
      <c r="K435" s="5">
        <f>IFERROR(__xludf.DUMMYFUNCTION("SPLiT(J435, ""🤙🏼"",FALSE,FALSE)"),145.0)</f>
        <v>145</v>
      </c>
      <c r="L435" s="5" t="str">
        <f>IFERROR(__xludf.DUMMYFUNCTION("""COMPUTED_VALUE"""),"Warrior")</f>
        <v>Warrior</v>
      </c>
      <c r="M435" s="5" t="str">
        <f>IFERROR(__xludf.DUMMYFUNCTION("""COMPUTED_VALUE"""),"Drama")</f>
        <v>Drama</v>
      </c>
      <c r="N435" s="5">
        <f>IFERROR(__xludf.DUMMYFUNCTION("""COMPUTED_VALUE"""),2.0)</f>
        <v>2</v>
      </c>
      <c r="S435" s="5">
        <f>IFERROR(__xludf.DUMMYFUNCTION("""COMPUTED_VALUE"""),174.0)</f>
        <v>174</v>
      </c>
      <c r="T435" s="5" t="str">
        <f>IFERROR(__xludf.DUMMYFUNCTION("""COMPUTED_VALUE"""),"Raging Bull")</f>
        <v>Raging Bull</v>
      </c>
      <c r="U435" s="5" t="str">
        <f>IFERROR(__xludf.DUMMYFUNCTION("""COMPUTED_VALUE"""),"Drama")</f>
        <v>Drama</v>
      </c>
      <c r="V435" s="5">
        <f>IFERROR(__xludf.DUMMYFUNCTION("""COMPUTED_VALUE"""),2.0)</f>
        <v>2</v>
      </c>
    </row>
    <row r="436">
      <c r="A436" s="1">
        <v>435.0</v>
      </c>
      <c r="B436" s="1" t="s">
        <v>2777</v>
      </c>
      <c r="C436" s="1" t="s">
        <v>1622</v>
      </c>
      <c r="D436" s="1"/>
      <c r="E436" s="1">
        <v>435.0</v>
      </c>
      <c r="F436" s="1" t="s">
        <v>2777</v>
      </c>
      <c r="G436" s="1" t="str">
        <f>IFERROR(__xludf.DUMMYFUNCTION("SPLIT(C436, "", "")"),"Drama")</f>
        <v>Drama</v>
      </c>
      <c r="H436" s="5" t="str">
        <f>IFERROR(__xludf.DUMMYFUNCTION("""COMPUTED_VALUE"""),"Sport")</f>
        <v>Sport</v>
      </c>
      <c r="J436" s="5" t="str">
        <f>IFERROR(__xludf.DUMMYFUNCTION("""COMPUTED_VALUE"""),"145🤙🏼Warrior🤙🏼Sport🤙🏼3")</f>
        <v>145🤙🏼Warrior🤙🏼Sport🤙🏼3</v>
      </c>
      <c r="K436" s="5">
        <f>IFERROR(__xludf.DUMMYFUNCTION("SPLiT(J436, ""🤙🏼"",FALSE,FALSE)"),145.0)</f>
        <v>145</v>
      </c>
      <c r="L436" s="5" t="str">
        <f>IFERROR(__xludf.DUMMYFUNCTION("""COMPUTED_VALUE"""),"Warrior")</f>
        <v>Warrior</v>
      </c>
      <c r="M436" s="5" t="str">
        <f>IFERROR(__xludf.DUMMYFUNCTION("""COMPUTED_VALUE"""),"Sport")</f>
        <v>Sport</v>
      </c>
      <c r="N436" s="5">
        <f>IFERROR(__xludf.DUMMYFUNCTION("""COMPUTED_VALUE"""),3.0)</f>
        <v>3</v>
      </c>
      <c r="S436" s="5">
        <f>IFERROR(__xludf.DUMMYFUNCTION("""COMPUTED_VALUE"""),174.0)</f>
        <v>174</v>
      </c>
      <c r="T436" s="5" t="str">
        <f>IFERROR(__xludf.DUMMYFUNCTION("""COMPUTED_VALUE"""),"Raging Bull")</f>
        <v>Raging Bull</v>
      </c>
      <c r="U436" s="5" t="str">
        <f>IFERROR(__xludf.DUMMYFUNCTION("""COMPUTED_VALUE"""),"Sport")</f>
        <v>Sport</v>
      </c>
      <c r="V436" s="5">
        <f>IFERROR(__xludf.DUMMYFUNCTION("""COMPUTED_VALUE"""),3.0)</f>
        <v>3</v>
      </c>
    </row>
    <row r="437">
      <c r="A437" s="1">
        <v>436.0</v>
      </c>
      <c r="B437" s="1" t="s">
        <v>2782</v>
      </c>
      <c r="C437" s="1" t="s">
        <v>507</v>
      </c>
      <c r="D437" s="1"/>
      <c r="E437" s="1">
        <v>436.0</v>
      </c>
      <c r="F437" s="1" t="s">
        <v>2782</v>
      </c>
      <c r="G437" s="1" t="str">
        <f>IFERROR(__xludf.DUMMYFUNCTION("SPLIT(C437, "", "")"),"Comedy")</f>
        <v>Comedy</v>
      </c>
      <c r="H437" s="5" t="str">
        <f>IFERROR(__xludf.DUMMYFUNCTION("""COMPUTED_VALUE"""),"Drama")</f>
        <v>Drama</v>
      </c>
      <c r="J437" s="5" t="str">
        <f>IFERROR(__xludf.DUMMYFUNCTION("""COMPUTED_VALUE"""),"146🤙🏼Shutter Island🤙🏼Mystery🤙🏼1")</f>
        <v>146🤙🏼Shutter Island🤙🏼Mystery🤙🏼1</v>
      </c>
      <c r="K437" s="5">
        <f>IFERROR(__xludf.DUMMYFUNCTION("SPLiT(J437, ""🤙🏼"",FALSE,FALSE)"),146.0)</f>
        <v>146</v>
      </c>
      <c r="L437" s="5" t="str">
        <f>IFERROR(__xludf.DUMMYFUNCTION("""COMPUTED_VALUE"""),"Shutter Island")</f>
        <v>Shutter Island</v>
      </c>
      <c r="M437" s="5" t="str">
        <f>IFERROR(__xludf.DUMMYFUNCTION("""COMPUTED_VALUE"""),"Mystery")</f>
        <v>Mystery</v>
      </c>
      <c r="N437" s="5">
        <f>IFERROR(__xludf.DUMMYFUNCTION("""COMPUTED_VALUE"""),1.0)</f>
        <v>1</v>
      </c>
      <c r="S437" s="5">
        <f>IFERROR(__xludf.DUMMYFUNCTION("""COMPUTED_VALUE"""),175.0)</f>
        <v>175</v>
      </c>
      <c r="T437" s="5" t="str">
        <f>IFERROR(__xludf.DUMMYFUNCTION("""COMPUTED_VALUE"""),"Stalker")</f>
        <v>Stalker</v>
      </c>
      <c r="U437" s="5" t="str">
        <f>IFERROR(__xludf.DUMMYFUNCTION("""COMPUTED_VALUE"""),"Drama")</f>
        <v>Drama</v>
      </c>
      <c r="V437" s="5">
        <f>IFERROR(__xludf.DUMMYFUNCTION("""COMPUTED_VALUE"""),1.0)</f>
        <v>1</v>
      </c>
    </row>
    <row r="438">
      <c r="A438" s="1">
        <v>437.0</v>
      </c>
      <c r="B438" s="1" t="s">
        <v>2787</v>
      </c>
      <c r="C438" s="1" t="s">
        <v>2760</v>
      </c>
      <c r="D438" s="1"/>
      <c r="E438" s="1">
        <v>437.0</v>
      </c>
      <c r="F438" s="1" t="s">
        <v>2787</v>
      </c>
      <c r="G438" s="1" t="str">
        <f>IFERROR(__xludf.DUMMYFUNCTION("SPLIT(C438, "", "")"),"Action")</f>
        <v>Action</v>
      </c>
      <c r="H438" s="5" t="str">
        <f>IFERROR(__xludf.DUMMYFUNCTION("""COMPUTED_VALUE"""),"Drama")</f>
        <v>Drama</v>
      </c>
      <c r="I438" s="5" t="str">
        <f>IFERROR(__xludf.DUMMYFUNCTION("""COMPUTED_VALUE"""),"Western")</f>
        <v>Western</v>
      </c>
      <c r="J438" s="5" t="str">
        <f>IFERROR(__xludf.DUMMYFUNCTION("""COMPUTED_VALUE"""),"146🤙🏼Shutter Island🤙🏼Thriller🤙🏼2")</f>
        <v>146🤙🏼Shutter Island🤙🏼Thriller🤙🏼2</v>
      </c>
      <c r="K438" s="5">
        <f>IFERROR(__xludf.DUMMYFUNCTION("SPLiT(J438, ""🤙🏼"",FALSE,FALSE)"),146.0)</f>
        <v>146</v>
      </c>
      <c r="L438" s="5" t="str">
        <f>IFERROR(__xludf.DUMMYFUNCTION("""COMPUTED_VALUE"""),"Shutter Island")</f>
        <v>Shutter Island</v>
      </c>
      <c r="M438" s="5" t="str">
        <f>IFERROR(__xludf.DUMMYFUNCTION("""COMPUTED_VALUE"""),"Thriller")</f>
        <v>Thriller</v>
      </c>
      <c r="N438" s="5">
        <f>IFERROR(__xludf.DUMMYFUNCTION("""COMPUTED_VALUE"""),2.0)</f>
        <v>2</v>
      </c>
      <c r="S438" s="5">
        <f>IFERROR(__xludf.DUMMYFUNCTION("""COMPUTED_VALUE"""),175.0)</f>
        <v>175</v>
      </c>
      <c r="T438" s="5" t="str">
        <f>IFERROR(__xludf.DUMMYFUNCTION("""COMPUTED_VALUE"""),"Stalker")</f>
        <v>Stalker</v>
      </c>
      <c r="U438" s="5" t="str">
        <f>IFERROR(__xludf.DUMMYFUNCTION("""COMPUTED_VALUE"""),"Sci-Fi")</f>
        <v>Sci-Fi</v>
      </c>
      <c r="V438" s="5">
        <f>IFERROR(__xludf.DUMMYFUNCTION("""COMPUTED_VALUE"""),2.0)</f>
        <v>2</v>
      </c>
    </row>
    <row r="439">
      <c r="A439" s="1">
        <v>438.0</v>
      </c>
      <c r="B439" s="1" t="s">
        <v>2793</v>
      </c>
      <c r="C439" s="1" t="s">
        <v>235</v>
      </c>
      <c r="D439" s="1"/>
      <c r="E439" s="1">
        <v>438.0</v>
      </c>
      <c r="F439" s="1" t="s">
        <v>2793</v>
      </c>
      <c r="G439" s="1" t="str">
        <f>IFERROR(__xludf.DUMMYFUNCTION("SPLIT(C439, "", "")"),"Crime")</f>
        <v>Crime</v>
      </c>
      <c r="H439" s="5" t="str">
        <f>IFERROR(__xludf.DUMMYFUNCTION("""COMPUTED_VALUE"""),"Drama")</f>
        <v>Drama</v>
      </c>
      <c r="I439" s="5" t="str">
        <f>IFERROR(__xludf.DUMMYFUNCTION("""COMPUTED_VALUE"""),"Mystery")</f>
        <v>Mystery</v>
      </c>
      <c r="J439" s="5" t="str">
        <f>IFERROR(__xludf.DUMMYFUNCTION("""COMPUTED_VALUE"""),"146🤙🏼Shutter Island🤙🏼🤙🏼3")</f>
        <v>146🤙🏼Shutter Island🤙🏼🤙🏼3</v>
      </c>
      <c r="K439" s="5">
        <f>IFERROR(__xludf.DUMMYFUNCTION("SPLiT(J439, ""🤙🏼"",FALSE,FALSE)"),146.0)</f>
        <v>146</v>
      </c>
      <c r="L439" s="5" t="str">
        <f>IFERROR(__xludf.DUMMYFUNCTION("""COMPUTED_VALUE"""),"Shutter Island")</f>
        <v>Shutter Island</v>
      </c>
      <c r="M439" s="5"/>
      <c r="N439" s="5">
        <f>IFERROR(__xludf.DUMMYFUNCTION("""COMPUTED_VALUE"""),3.0)</f>
        <v>3</v>
      </c>
      <c r="S439" s="5">
        <f>IFERROR(__xludf.DUMMYFUNCTION("""COMPUTED_VALUE"""),176.0)</f>
        <v>176</v>
      </c>
      <c r="T439" s="5" t="str">
        <f>IFERROR(__xludf.DUMMYFUNCTION("""COMPUTED_VALUE"""),"Höstsonaten")</f>
        <v>Höstsonaten</v>
      </c>
      <c r="U439" s="5" t="str">
        <f>IFERROR(__xludf.DUMMYFUNCTION("""COMPUTED_VALUE"""),"Drama")</f>
        <v>Drama</v>
      </c>
      <c r="V439" s="5">
        <f>IFERROR(__xludf.DUMMYFUNCTION("""COMPUTED_VALUE"""),1.0)</f>
        <v>1</v>
      </c>
    </row>
    <row r="440">
      <c r="A440" s="1">
        <v>439.0</v>
      </c>
      <c r="B440" s="1" t="s">
        <v>2799</v>
      </c>
      <c r="C440" s="1" t="s">
        <v>908</v>
      </c>
      <c r="D440" s="1"/>
      <c r="E440" s="1">
        <v>439.0</v>
      </c>
      <c r="F440" s="1" t="s">
        <v>2799</v>
      </c>
      <c r="G440" s="1" t="str">
        <f>IFERROR(__xludf.DUMMYFUNCTION("SPLIT(C440, "", "")"),"Crime")</f>
        <v>Crime</v>
      </c>
      <c r="H440" s="5" t="str">
        <f>IFERROR(__xludf.DUMMYFUNCTION("""COMPUTED_VALUE"""),"Drama")</f>
        <v>Drama</v>
      </c>
      <c r="I440" s="5" t="str">
        <f>IFERROR(__xludf.DUMMYFUNCTION("""COMPUTED_VALUE"""),"Film-Noir")</f>
        <v>Film-Noir</v>
      </c>
      <c r="J440" s="5" t="str">
        <f>IFERROR(__xludf.DUMMYFUNCTION("""COMPUTED_VALUE"""),"147🤙🏼Up🤙🏼Animation🤙🏼1")</f>
        <v>147🤙🏼Up🤙🏼Animation🤙🏼1</v>
      </c>
      <c r="K440" s="5">
        <f>IFERROR(__xludf.DUMMYFUNCTION("SPLiT(J440, ""🤙🏼"",FALSE,FALSE)"),147.0)</f>
        <v>147</v>
      </c>
      <c r="L440" s="5" t="str">
        <f>IFERROR(__xludf.DUMMYFUNCTION("""COMPUTED_VALUE"""),"Up")</f>
        <v>Up</v>
      </c>
      <c r="M440" s="5" t="str">
        <f>IFERROR(__xludf.DUMMYFUNCTION("""COMPUTED_VALUE"""),"Animation")</f>
        <v>Animation</v>
      </c>
      <c r="N440" s="5">
        <f>IFERROR(__xludf.DUMMYFUNCTION("""COMPUTED_VALUE"""),1.0)</f>
        <v>1</v>
      </c>
      <c r="S440" s="5">
        <f>IFERROR(__xludf.DUMMYFUNCTION("""COMPUTED_VALUE"""),176.0)</f>
        <v>176</v>
      </c>
      <c r="T440" s="5" t="str">
        <f>IFERROR(__xludf.DUMMYFUNCTION("""COMPUTED_VALUE"""),"Höstsonaten")</f>
        <v>Höstsonaten</v>
      </c>
      <c r="U440" s="5" t="str">
        <f>IFERROR(__xludf.DUMMYFUNCTION("""COMPUTED_VALUE"""),"Music")</f>
        <v>Music</v>
      </c>
      <c r="V440" s="5">
        <f>IFERROR(__xludf.DUMMYFUNCTION("""COMPUTED_VALUE"""),2.0)</f>
        <v>2</v>
      </c>
    </row>
    <row r="441">
      <c r="A441" s="1">
        <v>440.0</v>
      </c>
      <c r="B441" s="1" t="s">
        <v>2802</v>
      </c>
      <c r="C441" s="1" t="s">
        <v>20</v>
      </c>
      <c r="D441" s="1"/>
      <c r="E441" s="1">
        <v>440.0</v>
      </c>
      <c r="F441" s="1" t="s">
        <v>2802</v>
      </c>
      <c r="G441" s="1" t="str">
        <f>IFERROR(__xludf.DUMMYFUNCTION("SPLIT(C441, "", "")"),"Drama")</f>
        <v>Drama</v>
      </c>
      <c r="J441" s="5" t="str">
        <f>IFERROR(__xludf.DUMMYFUNCTION("""COMPUTED_VALUE"""),"147🤙🏼Up🤙🏼Adventure🤙🏼2")</f>
        <v>147🤙🏼Up🤙🏼Adventure🤙🏼2</v>
      </c>
      <c r="K441" s="5">
        <f>IFERROR(__xludf.DUMMYFUNCTION("SPLiT(J441, ""🤙🏼"",FALSE,FALSE)"),147.0)</f>
        <v>147</v>
      </c>
      <c r="L441" s="5" t="str">
        <f>IFERROR(__xludf.DUMMYFUNCTION("""COMPUTED_VALUE"""),"Up")</f>
        <v>Up</v>
      </c>
      <c r="M441" s="5" t="str">
        <f>IFERROR(__xludf.DUMMYFUNCTION("""COMPUTED_VALUE"""),"Adventure")</f>
        <v>Adventure</v>
      </c>
      <c r="N441" s="5">
        <f>IFERROR(__xludf.DUMMYFUNCTION("""COMPUTED_VALUE"""),2.0)</f>
        <v>2</v>
      </c>
      <c r="S441" s="5">
        <f>IFERROR(__xludf.DUMMYFUNCTION("""COMPUTED_VALUE"""),177.0)</f>
        <v>177</v>
      </c>
      <c r="T441" s="5" t="str">
        <f>IFERROR(__xludf.DUMMYFUNCTION("""COMPUTED_VALUE"""),"The Message")</f>
        <v>The Message</v>
      </c>
      <c r="U441" s="5" t="str">
        <f>IFERROR(__xludf.DUMMYFUNCTION("""COMPUTED_VALUE"""),"Biography")</f>
        <v>Biography</v>
      </c>
      <c r="V441" s="5">
        <f>IFERROR(__xludf.DUMMYFUNCTION("""COMPUTED_VALUE"""),1.0)</f>
        <v>1</v>
      </c>
    </row>
    <row r="442">
      <c r="A442" s="1">
        <v>441.0</v>
      </c>
      <c r="B442" s="1" t="s">
        <v>2807</v>
      </c>
      <c r="C442" s="1" t="s">
        <v>628</v>
      </c>
      <c r="D442" s="1"/>
      <c r="E442" s="1">
        <v>441.0</v>
      </c>
      <c r="F442" s="1" t="s">
        <v>2807</v>
      </c>
      <c r="G442" s="1" t="str">
        <f>IFERROR(__xludf.DUMMYFUNCTION("SPLIT(C442, "", "")"),"Drama")</f>
        <v>Drama</v>
      </c>
      <c r="H442" s="5" t="str">
        <f>IFERROR(__xludf.DUMMYFUNCTION("""COMPUTED_VALUE"""),"Film-Noir")</f>
        <v>Film-Noir</v>
      </c>
      <c r="J442" s="5" t="str">
        <f>IFERROR(__xludf.DUMMYFUNCTION("""COMPUTED_VALUE"""),"147🤙🏼Up🤙🏼Comedy🤙🏼3")</f>
        <v>147🤙🏼Up🤙🏼Comedy🤙🏼3</v>
      </c>
      <c r="K442" s="5">
        <f>IFERROR(__xludf.DUMMYFUNCTION("SPLiT(J442, ""🤙🏼"",FALSE,FALSE)"),147.0)</f>
        <v>147</v>
      </c>
      <c r="L442" s="5" t="str">
        <f>IFERROR(__xludf.DUMMYFUNCTION("""COMPUTED_VALUE"""),"Up")</f>
        <v>Up</v>
      </c>
      <c r="M442" s="5" t="str">
        <f>IFERROR(__xludf.DUMMYFUNCTION("""COMPUTED_VALUE"""),"Comedy")</f>
        <v>Comedy</v>
      </c>
      <c r="N442" s="5">
        <f>IFERROR(__xludf.DUMMYFUNCTION("""COMPUTED_VALUE"""),3.0)</f>
        <v>3</v>
      </c>
      <c r="S442" s="5">
        <f>IFERROR(__xludf.DUMMYFUNCTION("""COMPUTED_VALUE"""),177.0)</f>
        <v>177</v>
      </c>
      <c r="T442" s="5" t="str">
        <f>IFERROR(__xludf.DUMMYFUNCTION("""COMPUTED_VALUE"""),"The Message")</f>
        <v>The Message</v>
      </c>
      <c r="U442" s="5" t="str">
        <f>IFERROR(__xludf.DUMMYFUNCTION("""COMPUTED_VALUE"""),"Drama")</f>
        <v>Drama</v>
      </c>
      <c r="V442" s="5">
        <f>IFERROR(__xludf.DUMMYFUNCTION("""COMPUTED_VALUE"""),2.0)</f>
        <v>2</v>
      </c>
    </row>
    <row r="443">
      <c r="A443" s="1">
        <v>442.0</v>
      </c>
      <c r="B443" s="1" t="s">
        <v>2812</v>
      </c>
      <c r="C443" s="1" t="s">
        <v>908</v>
      </c>
      <c r="D443" s="1"/>
      <c r="E443" s="1">
        <v>442.0</v>
      </c>
      <c r="F443" s="1" t="s">
        <v>2812</v>
      </c>
      <c r="G443" s="1" t="str">
        <f>IFERROR(__xludf.DUMMYFUNCTION("SPLIT(C443, "", "")"),"Crime")</f>
        <v>Crime</v>
      </c>
      <c r="H443" s="5" t="str">
        <f>IFERROR(__xludf.DUMMYFUNCTION("""COMPUTED_VALUE"""),"Drama")</f>
        <v>Drama</v>
      </c>
      <c r="I443" s="5" t="str">
        <f>IFERROR(__xludf.DUMMYFUNCTION("""COMPUTED_VALUE"""),"Film-Noir")</f>
        <v>Film-Noir</v>
      </c>
      <c r="J443" s="5" t="str">
        <f>IFERROR(__xludf.DUMMYFUNCTION("""COMPUTED_VALUE"""),"148🤙🏼The Wolf of Wall Street🤙🏼Biography🤙🏼1")</f>
        <v>148🤙🏼The Wolf of Wall Street🤙🏼Biography🤙🏼1</v>
      </c>
      <c r="K443" s="5">
        <f>IFERROR(__xludf.DUMMYFUNCTION("SPLiT(J443, ""🤙🏼"",FALSE,FALSE)"),148.0)</f>
        <v>148</v>
      </c>
      <c r="L443" s="5" t="str">
        <f>IFERROR(__xludf.DUMMYFUNCTION("""COMPUTED_VALUE"""),"The Wolf of Wall Street")</f>
        <v>The Wolf of Wall Street</v>
      </c>
      <c r="M443" s="5" t="str">
        <f>IFERROR(__xludf.DUMMYFUNCTION("""COMPUTED_VALUE"""),"Biography")</f>
        <v>Biography</v>
      </c>
      <c r="N443" s="5">
        <f>IFERROR(__xludf.DUMMYFUNCTION("""COMPUTED_VALUE"""),1.0)</f>
        <v>1</v>
      </c>
      <c r="S443" s="5">
        <f>IFERROR(__xludf.DUMMYFUNCTION("""COMPUTED_VALUE"""),177.0)</f>
        <v>177</v>
      </c>
      <c r="T443" s="5" t="str">
        <f>IFERROR(__xludf.DUMMYFUNCTION("""COMPUTED_VALUE"""),"The Message")</f>
        <v>The Message</v>
      </c>
      <c r="U443" s="5" t="str">
        <f>IFERROR(__xludf.DUMMYFUNCTION("""COMPUTED_VALUE"""),"History")</f>
        <v>History</v>
      </c>
      <c r="V443" s="5">
        <f>IFERROR(__xludf.DUMMYFUNCTION("""COMPUTED_VALUE"""),3.0)</f>
        <v>3</v>
      </c>
    </row>
    <row r="444">
      <c r="A444" s="1">
        <v>443.0</v>
      </c>
      <c r="B444" s="1" t="s">
        <v>2817</v>
      </c>
      <c r="C444" s="1" t="s">
        <v>908</v>
      </c>
      <c r="D444" s="1"/>
      <c r="E444" s="1">
        <v>443.0</v>
      </c>
      <c r="F444" s="1" t="s">
        <v>2817</v>
      </c>
      <c r="G444" s="1" t="str">
        <f>IFERROR(__xludf.DUMMYFUNCTION("SPLIT(C444, "", "")"),"Crime")</f>
        <v>Crime</v>
      </c>
      <c r="H444" s="5" t="str">
        <f>IFERROR(__xludf.DUMMYFUNCTION("""COMPUTED_VALUE"""),"Drama")</f>
        <v>Drama</v>
      </c>
      <c r="I444" s="5" t="str">
        <f>IFERROR(__xludf.DUMMYFUNCTION("""COMPUTED_VALUE"""),"Film-Noir")</f>
        <v>Film-Noir</v>
      </c>
      <c r="J444" s="5" t="str">
        <f>IFERROR(__xludf.DUMMYFUNCTION("""COMPUTED_VALUE"""),"148🤙🏼The Wolf of Wall Street🤙🏼Crime🤙🏼2")</f>
        <v>148🤙🏼The Wolf of Wall Street🤙🏼Crime🤙🏼2</v>
      </c>
      <c r="K444" s="5">
        <f>IFERROR(__xludf.DUMMYFUNCTION("SPLiT(J444, ""🤙🏼"",FALSE,FALSE)"),148.0)</f>
        <v>148</v>
      </c>
      <c r="L444" s="5" t="str">
        <f>IFERROR(__xludf.DUMMYFUNCTION("""COMPUTED_VALUE"""),"The Wolf of Wall Street")</f>
        <v>The Wolf of Wall Street</v>
      </c>
      <c r="M444" s="5" t="str">
        <f>IFERROR(__xludf.DUMMYFUNCTION("""COMPUTED_VALUE"""),"Crime")</f>
        <v>Crime</v>
      </c>
      <c r="N444" s="5">
        <f>IFERROR(__xludf.DUMMYFUNCTION("""COMPUTED_VALUE"""),2.0)</f>
        <v>2</v>
      </c>
      <c r="S444" s="5">
        <f>IFERROR(__xludf.DUMMYFUNCTION("""COMPUTED_VALUE"""),178.0)</f>
        <v>178</v>
      </c>
      <c r="T444" s="5" t="str">
        <f>IFERROR(__xludf.DUMMYFUNCTION("""COMPUTED_VALUE"""),"Sholay")</f>
        <v>Sholay</v>
      </c>
      <c r="U444" s="5" t="str">
        <f>IFERROR(__xludf.DUMMYFUNCTION("""COMPUTED_VALUE"""),"Action")</f>
        <v>Action</v>
      </c>
      <c r="V444" s="5">
        <f>IFERROR(__xludf.DUMMYFUNCTION("""COMPUTED_VALUE"""),1.0)</f>
        <v>1</v>
      </c>
    </row>
    <row r="445">
      <c r="A445" s="1">
        <v>444.0</v>
      </c>
      <c r="B445" s="1" t="s">
        <v>2823</v>
      </c>
      <c r="C445" s="1" t="s">
        <v>20</v>
      </c>
      <c r="D445" s="1"/>
      <c r="E445" s="1">
        <v>444.0</v>
      </c>
      <c r="F445" s="1" t="s">
        <v>2823</v>
      </c>
      <c r="G445" s="1" t="str">
        <f>IFERROR(__xludf.DUMMYFUNCTION("SPLIT(C445, "", "")"),"Drama")</f>
        <v>Drama</v>
      </c>
      <c r="J445" s="5" t="str">
        <f>IFERROR(__xludf.DUMMYFUNCTION("""COMPUTED_VALUE"""),"148🤙🏼The Wolf of Wall Street🤙🏼Drama🤙🏼3")</f>
        <v>148🤙🏼The Wolf of Wall Street🤙🏼Drama🤙🏼3</v>
      </c>
      <c r="K445" s="5">
        <f>IFERROR(__xludf.DUMMYFUNCTION("SPLiT(J445, ""🤙🏼"",FALSE,FALSE)"),148.0)</f>
        <v>148</v>
      </c>
      <c r="L445" s="5" t="str">
        <f>IFERROR(__xludf.DUMMYFUNCTION("""COMPUTED_VALUE"""),"The Wolf of Wall Street")</f>
        <v>The Wolf of Wall Street</v>
      </c>
      <c r="M445" s="5" t="str">
        <f>IFERROR(__xludf.DUMMYFUNCTION("""COMPUTED_VALUE"""),"Drama")</f>
        <v>Drama</v>
      </c>
      <c r="N445" s="5">
        <f>IFERROR(__xludf.DUMMYFUNCTION("""COMPUTED_VALUE"""),3.0)</f>
        <v>3</v>
      </c>
      <c r="S445" s="5">
        <f>IFERROR(__xludf.DUMMYFUNCTION("""COMPUTED_VALUE"""),178.0)</f>
        <v>178</v>
      </c>
      <c r="T445" s="5" t="str">
        <f>IFERROR(__xludf.DUMMYFUNCTION("""COMPUTED_VALUE"""),"Sholay")</f>
        <v>Sholay</v>
      </c>
      <c r="U445" s="5" t="str">
        <f>IFERROR(__xludf.DUMMYFUNCTION("""COMPUTED_VALUE"""),"Adventure")</f>
        <v>Adventure</v>
      </c>
      <c r="V445" s="5">
        <f>IFERROR(__xludf.DUMMYFUNCTION("""COMPUTED_VALUE"""),2.0)</f>
        <v>2</v>
      </c>
    </row>
    <row r="446">
      <c r="A446" s="1">
        <v>445.0</v>
      </c>
      <c r="B446" s="1" t="s">
        <v>2827</v>
      </c>
      <c r="C446" s="1" t="s">
        <v>2828</v>
      </c>
      <c r="D446" s="1"/>
      <c r="E446" s="1">
        <v>445.0</v>
      </c>
      <c r="F446" s="1" t="s">
        <v>2827</v>
      </c>
      <c r="G446" s="1" t="str">
        <f>IFERROR(__xludf.DUMMYFUNCTION("SPLIT(C446, "", "")"),"Crime")</f>
        <v>Crime</v>
      </c>
      <c r="H446" s="5" t="str">
        <f>IFERROR(__xludf.DUMMYFUNCTION("""COMPUTED_VALUE"""),"Drama")</f>
        <v>Drama</v>
      </c>
      <c r="I446" s="5" t="str">
        <f>IFERROR(__xludf.DUMMYFUNCTION("""COMPUTED_VALUE"""),"Horror")</f>
        <v>Horror</v>
      </c>
      <c r="J446" s="5" t="str">
        <f>IFERROR(__xludf.DUMMYFUNCTION("""COMPUTED_VALUE"""),"149🤙🏼Chak De! India🤙🏼Drama🤙🏼1")</f>
        <v>149🤙🏼Chak De! India🤙🏼Drama🤙🏼1</v>
      </c>
      <c r="K446" s="5">
        <f>IFERROR(__xludf.DUMMYFUNCTION("SPLiT(J446, ""🤙🏼"",FALSE,FALSE)"),149.0)</f>
        <v>149</v>
      </c>
      <c r="L446" s="5" t="str">
        <f>IFERROR(__xludf.DUMMYFUNCTION("""COMPUTED_VALUE"""),"Chak De! India")</f>
        <v>Chak De! India</v>
      </c>
      <c r="M446" s="5" t="str">
        <f>IFERROR(__xludf.DUMMYFUNCTION("""COMPUTED_VALUE"""),"Drama")</f>
        <v>Drama</v>
      </c>
      <c r="N446" s="5">
        <f>IFERROR(__xludf.DUMMYFUNCTION("""COMPUTED_VALUE"""),1.0)</f>
        <v>1</v>
      </c>
      <c r="S446" s="5">
        <f>IFERROR(__xludf.DUMMYFUNCTION("""COMPUTED_VALUE"""),178.0)</f>
        <v>178</v>
      </c>
      <c r="T446" s="5" t="str">
        <f>IFERROR(__xludf.DUMMYFUNCTION("""COMPUTED_VALUE"""),"Sholay")</f>
        <v>Sholay</v>
      </c>
      <c r="U446" s="5" t="str">
        <f>IFERROR(__xludf.DUMMYFUNCTION("""COMPUTED_VALUE"""),"Comedy")</f>
        <v>Comedy</v>
      </c>
      <c r="V446" s="5">
        <f>IFERROR(__xludf.DUMMYFUNCTION("""COMPUTED_VALUE"""),3.0)</f>
        <v>3</v>
      </c>
    </row>
    <row r="447">
      <c r="A447" s="1">
        <v>446.0</v>
      </c>
      <c r="B447" s="1" t="s">
        <v>2833</v>
      </c>
      <c r="C447" s="1" t="s">
        <v>635</v>
      </c>
      <c r="D447" s="1"/>
      <c r="E447" s="1">
        <v>446.0</v>
      </c>
      <c r="F447" s="1" t="s">
        <v>2833</v>
      </c>
      <c r="G447" s="1" t="str">
        <f>IFERROR(__xludf.DUMMYFUNCTION("SPLIT(C447, "", "")"),"Comedy")</f>
        <v>Comedy</v>
      </c>
      <c r="H447" s="5" t="str">
        <f>IFERROR(__xludf.DUMMYFUNCTION("""COMPUTED_VALUE"""),"Drama")</f>
        <v>Drama</v>
      </c>
      <c r="I447" s="5" t="str">
        <f>IFERROR(__xludf.DUMMYFUNCTION("""COMPUTED_VALUE"""),"War")</f>
        <v>War</v>
      </c>
      <c r="J447" s="5" t="str">
        <f>IFERROR(__xludf.DUMMYFUNCTION("""COMPUTED_VALUE"""),"149🤙🏼Chak De! India🤙🏼Family🤙🏼2")</f>
        <v>149🤙🏼Chak De! India🤙🏼Family🤙🏼2</v>
      </c>
      <c r="K447" s="5">
        <f>IFERROR(__xludf.DUMMYFUNCTION("SPLiT(J447, ""🤙🏼"",FALSE,FALSE)"),149.0)</f>
        <v>149</v>
      </c>
      <c r="L447" s="5" t="str">
        <f>IFERROR(__xludf.DUMMYFUNCTION("""COMPUTED_VALUE"""),"Chak De! India")</f>
        <v>Chak De! India</v>
      </c>
      <c r="M447" s="5" t="str">
        <f>IFERROR(__xludf.DUMMYFUNCTION("""COMPUTED_VALUE"""),"Family")</f>
        <v>Family</v>
      </c>
      <c r="N447" s="5">
        <f>IFERROR(__xludf.DUMMYFUNCTION("""COMPUTED_VALUE"""),2.0)</f>
        <v>2</v>
      </c>
      <c r="S447" s="5">
        <f>IFERROR(__xludf.DUMMYFUNCTION("""COMPUTED_VALUE"""),179.0)</f>
        <v>179</v>
      </c>
      <c r="T447" s="5" t="str">
        <f>IFERROR(__xludf.DUMMYFUNCTION("""COMPUTED_VALUE"""),"Monty Python and the Holy Grail")</f>
        <v>Monty Python and the Holy Grail</v>
      </c>
      <c r="U447" s="5" t="str">
        <f>IFERROR(__xludf.DUMMYFUNCTION("""COMPUTED_VALUE"""),"Adventure")</f>
        <v>Adventure</v>
      </c>
      <c r="V447" s="5">
        <f>IFERROR(__xludf.DUMMYFUNCTION("""COMPUTED_VALUE"""),1.0)</f>
        <v>1</v>
      </c>
    </row>
    <row r="448">
      <c r="A448" s="1">
        <v>447.0</v>
      </c>
      <c r="B448" s="1" t="s">
        <v>2837</v>
      </c>
      <c r="C448" s="1" t="s">
        <v>723</v>
      </c>
      <c r="D448" s="1"/>
      <c r="E448" s="1">
        <v>447.0</v>
      </c>
      <c r="F448" s="1" t="s">
        <v>2837</v>
      </c>
      <c r="G448" s="1" t="str">
        <f>IFERROR(__xludf.DUMMYFUNCTION("SPLIT(C448, "", "")"),"Comedy")</f>
        <v>Comedy</v>
      </c>
      <c r="H448" s="5" t="str">
        <f>IFERROR(__xludf.DUMMYFUNCTION("""COMPUTED_VALUE"""),"Romance")</f>
        <v>Romance</v>
      </c>
      <c r="J448" s="5" t="str">
        <f>IFERROR(__xludf.DUMMYFUNCTION("""COMPUTED_VALUE"""),"149🤙🏼Chak De! India🤙🏼Sport🤙🏼3")</f>
        <v>149🤙🏼Chak De! India🤙🏼Sport🤙🏼3</v>
      </c>
      <c r="K448" s="5">
        <f>IFERROR(__xludf.DUMMYFUNCTION("SPLiT(J448, ""🤙🏼"",FALSE,FALSE)"),149.0)</f>
        <v>149</v>
      </c>
      <c r="L448" s="5" t="str">
        <f>IFERROR(__xludf.DUMMYFUNCTION("""COMPUTED_VALUE"""),"Chak De! India")</f>
        <v>Chak De! India</v>
      </c>
      <c r="M448" s="5" t="str">
        <f>IFERROR(__xludf.DUMMYFUNCTION("""COMPUTED_VALUE"""),"Sport")</f>
        <v>Sport</v>
      </c>
      <c r="N448" s="5">
        <f>IFERROR(__xludf.DUMMYFUNCTION("""COMPUTED_VALUE"""),3.0)</f>
        <v>3</v>
      </c>
      <c r="S448" s="5">
        <f>IFERROR(__xludf.DUMMYFUNCTION("""COMPUTED_VALUE"""),179.0)</f>
        <v>179</v>
      </c>
      <c r="T448" s="5" t="str">
        <f>IFERROR(__xludf.DUMMYFUNCTION("""COMPUTED_VALUE"""),"Monty Python and the Holy Grail")</f>
        <v>Monty Python and the Holy Grail</v>
      </c>
      <c r="U448" s="5" t="str">
        <f>IFERROR(__xludf.DUMMYFUNCTION("""COMPUTED_VALUE"""),"Comedy")</f>
        <v>Comedy</v>
      </c>
      <c r="V448" s="5">
        <f>IFERROR(__xludf.DUMMYFUNCTION("""COMPUTED_VALUE"""),2.0)</f>
        <v>2</v>
      </c>
    </row>
    <row r="449">
      <c r="A449" s="1">
        <v>448.0</v>
      </c>
      <c r="B449" s="1" t="s">
        <v>2842</v>
      </c>
      <c r="C449" s="1" t="s">
        <v>20</v>
      </c>
      <c r="D449" s="1"/>
      <c r="E449" s="1">
        <v>448.0</v>
      </c>
      <c r="F449" s="1" t="s">
        <v>2842</v>
      </c>
      <c r="G449" s="1" t="str">
        <f>IFERROR(__xludf.DUMMYFUNCTION("SPLIT(C449, "", "")"),"Drama")</f>
        <v>Drama</v>
      </c>
      <c r="J449" s="5" t="str">
        <f>IFERROR(__xludf.DUMMYFUNCTION("""COMPUTED_VALUE"""),"150🤙🏼There Will Be Blood🤙🏼Drama🤙🏼1")</f>
        <v>150🤙🏼There Will Be Blood🤙🏼Drama🤙🏼1</v>
      </c>
      <c r="K449" s="5">
        <f>IFERROR(__xludf.DUMMYFUNCTION("SPLiT(J449, ""🤙🏼"",FALSE,FALSE)"),150.0)</f>
        <v>150</v>
      </c>
      <c r="L449" s="5" t="str">
        <f>IFERROR(__xludf.DUMMYFUNCTION("""COMPUTED_VALUE"""),"There Will Be Blood")</f>
        <v>There Will Be Blood</v>
      </c>
      <c r="M449" s="5" t="str">
        <f>IFERROR(__xludf.DUMMYFUNCTION("""COMPUTED_VALUE"""),"Drama")</f>
        <v>Drama</v>
      </c>
      <c r="N449" s="5">
        <f>IFERROR(__xludf.DUMMYFUNCTION("""COMPUTED_VALUE"""),1.0)</f>
        <v>1</v>
      </c>
      <c r="S449" s="5">
        <f>IFERROR(__xludf.DUMMYFUNCTION("""COMPUTED_VALUE"""),179.0)</f>
        <v>179</v>
      </c>
      <c r="T449" s="5" t="str">
        <f>IFERROR(__xludf.DUMMYFUNCTION("""COMPUTED_VALUE"""),"Monty Python and the Holy Grail")</f>
        <v>Monty Python and the Holy Grail</v>
      </c>
      <c r="U449" s="5" t="str">
        <f>IFERROR(__xludf.DUMMYFUNCTION("""COMPUTED_VALUE"""),"Fantasy")</f>
        <v>Fantasy</v>
      </c>
      <c r="V449" s="5">
        <f>IFERROR(__xludf.DUMMYFUNCTION("""COMPUTED_VALUE"""),3.0)</f>
        <v>3</v>
      </c>
    </row>
    <row r="450">
      <c r="A450" s="1">
        <v>449.0</v>
      </c>
      <c r="B450" s="1" t="s">
        <v>2844</v>
      </c>
      <c r="C450" s="1" t="s">
        <v>2845</v>
      </c>
      <c r="D450" s="1"/>
      <c r="E450" s="1">
        <v>449.0</v>
      </c>
      <c r="F450" s="1" t="s">
        <v>2844</v>
      </c>
      <c r="G450" s="1" t="str">
        <f>IFERROR(__xludf.DUMMYFUNCTION("SPLIT(C450, "", "")"),"Drama")</f>
        <v>Drama</v>
      </c>
      <c r="H450" s="5" t="str">
        <f>IFERROR(__xludf.DUMMYFUNCTION("""COMPUTED_VALUE"""),"Film-Noir")</f>
        <v>Film-Noir</v>
      </c>
      <c r="I450" s="5" t="str">
        <f>IFERROR(__xludf.DUMMYFUNCTION("""COMPUTED_VALUE"""),"Mystery")</f>
        <v>Mystery</v>
      </c>
      <c r="J450" s="5" t="str">
        <f>IFERROR(__xludf.DUMMYFUNCTION("""COMPUTED_VALUE"""),"150🤙🏼There Will Be Blood🤙🏼🤙🏼2")</f>
        <v>150🤙🏼There Will Be Blood🤙🏼🤙🏼2</v>
      </c>
      <c r="K450" s="5">
        <f>IFERROR(__xludf.DUMMYFUNCTION("SPLiT(J450, ""🤙🏼"",FALSE,FALSE)"),150.0)</f>
        <v>150</v>
      </c>
      <c r="L450" s="5" t="str">
        <f>IFERROR(__xludf.DUMMYFUNCTION("""COMPUTED_VALUE"""),"There Will Be Blood")</f>
        <v>There Will Be Blood</v>
      </c>
      <c r="M450" s="5"/>
      <c r="N450" s="5">
        <f>IFERROR(__xludf.DUMMYFUNCTION("""COMPUTED_VALUE"""),2.0)</f>
        <v>2</v>
      </c>
      <c r="S450" s="5">
        <f>IFERROR(__xludf.DUMMYFUNCTION("""COMPUTED_VALUE"""),180.0)</f>
        <v>180</v>
      </c>
      <c r="T450" s="5" t="str">
        <f>IFERROR(__xludf.DUMMYFUNCTION("""COMPUTED_VALUE"""),"The Great Escape")</f>
        <v>The Great Escape</v>
      </c>
      <c r="U450" s="5" t="str">
        <f>IFERROR(__xludf.DUMMYFUNCTION("""COMPUTED_VALUE"""),"Adventure")</f>
        <v>Adventure</v>
      </c>
      <c r="V450" s="5">
        <f>IFERROR(__xludf.DUMMYFUNCTION("""COMPUTED_VALUE"""),1.0)</f>
        <v>1</v>
      </c>
    </row>
    <row r="451">
      <c r="A451" s="1">
        <v>450.0</v>
      </c>
      <c r="B451" s="1" t="s">
        <v>2851</v>
      </c>
      <c r="C451" s="1" t="s">
        <v>731</v>
      </c>
      <c r="D451" s="1"/>
      <c r="E451" s="1">
        <v>450.0</v>
      </c>
      <c r="F451" s="1" t="s">
        <v>2851</v>
      </c>
      <c r="G451" s="1" t="str">
        <f>IFERROR(__xludf.DUMMYFUNCTION("SPLIT(C451, "", "")"),"Comedy")</f>
        <v>Comedy</v>
      </c>
      <c r="H451" s="5" t="str">
        <f>IFERROR(__xludf.DUMMYFUNCTION("""COMPUTED_VALUE"""),"Crime")</f>
        <v>Crime</v>
      </c>
      <c r="J451" s="5" t="str">
        <f>IFERROR(__xludf.DUMMYFUNCTION("""COMPUTED_VALUE"""),"150🤙🏼There Will Be Blood🤙🏼🤙🏼3")</f>
        <v>150🤙🏼There Will Be Blood🤙🏼🤙🏼3</v>
      </c>
      <c r="K451" s="5">
        <f>IFERROR(__xludf.DUMMYFUNCTION("SPLiT(J451, ""🤙🏼"",FALSE,FALSE)"),150.0)</f>
        <v>150</v>
      </c>
      <c r="L451" s="5" t="str">
        <f>IFERROR(__xludf.DUMMYFUNCTION("""COMPUTED_VALUE"""),"There Will Be Blood")</f>
        <v>There Will Be Blood</v>
      </c>
      <c r="M451" s="5"/>
      <c r="N451" s="5">
        <f>IFERROR(__xludf.DUMMYFUNCTION("""COMPUTED_VALUE"""),3.0)</f>
        <v>3</v>
      </c>
      <c r="S451" s="5">
        <f>IFERROR(__xludf.DUMMYFUNCTION("""COMPUTED_VALUE"""),180.0)</f>
        <v>180</v>
      </c>
      <c r="T451" s="5" t="str">
        <f>IFERROR(__xludf.DUMMYFUNCTION("""COMPUTED_VALUE"""),"The Great Escape")</f>
        <v>The Great Escape</v>
      </c>
      <c r="U451" s="5" t="str">
        <f>IFERROR(__xludf.DUMMYFUNCTION("""COMPUTED_VALUE"""),"Drama")</f>
        <v>Drama</v>
      </c>
      <c r="V451" s="5">
        <f>IFERROR(__xludf.DUMMYFUNCTION("""COMPUTED_VALUE"""),2.0)</f>
        <v>2</v>
      </c>
    </row>
    <row r="452">
      <c r="A452" s="1">
        <v>451.0</v>
      </c>
      <c r="B452" s="1" t="s">
        <v>2857</v>
      </c>
      <c r="C452" s="1" t="s">
        <v>235</v>
      </c>
      <c r="D452" s="1"/>
      <c r="E452" s="1">
        <v>451.0</v>
      </c>
      <c r="F452" s="1" t="s">
        <v>2857</v>
      </c>
      <c r="G452" s="1" t="str">
        <f>IFERROR(__xludf.DUMMYFUNCTION("SPLIT(C452, "", "")"),"Crime")</f>
        <v>Crime</v>
      </c>
      <c r="H452" s="5" t="str">
        <f>IFERROR(__xludf.DUMMYFUNCTION("""COMPUTED_VALUE"""),"Drama")</f>
        <v>Drama</v>
      </c>
      <c r="I452" s="5" t="str">
        <f>IFERROR(__xludf.DUMMYFUNCTION("""COMPUTED_VALUE"""),"Mystery")</f>
        <v>Mystery</v>
      </c>
      <c r="J452" s="5" t="str">
        <f>IFERROR(__xludf.DUMMYFUNCTION("""COMPUTED_VALUE"""),"151🤙🏼Pan's Labyrinth🤙🏼Drama🤙🏼1")</f>
        <v>151🤙🏼Pan's Labyrinth🤙🏼Drama🤙🏼1</v>
      </c>
      <c r="K452" s="5">
        <f>IFERROR(__xludf.DUMMYFUNCTION("SPLiT(J452, ""🤙🏼"",FALSE,FALSE)"),151.0)</f>
        <v>151</v>
      </c>
      <c r="L452" s="5" t="str">
        <f>IFERROR(__xludf.DUMMYFUNCTION("""COMPUTED_VALUE"""),"Pan's Labyrinth")</f>
        <v>Pan's Labyrinth</v>
      </c>
      <c r="M452" s="5" t="str">
        <f>IFERROR(__xludf.DUMMYFUNCTION("""COMPUTED_VALUE"""),"Drama")</f>
        <v>Drama</v>
      </c>
      <c r="N452" s="5">
        <f>IFERROR(__xludf.DUMMYFUNCTION("""COMPUTED_VALUE"""),1.0)</f>
        <v>1</v>
      </c>
      <c r="S452" s="5">
        <f>IFERROR(__xludf.DUMMYFUNCTION("""COMPUTED_VALUE"""),180.0)</f>
        <v>180</v>
      </c>
      <c r="T452" s="5" t="str">
        <f>IFERROR(__xludf.DUMMYFUNCTION("""COMPUTED_VALUE"""),"The Great Escape")</f>
        <v>The Great Escape</v>
      </c>
      <c r="U452" s="5" t="str">
        <f>IFERROR(__xludf.DUMMYFUNCTION("""COMPUTED_VALUE"""),"History")</f>
        <v>History</v>
      </c>
      <c r="V452" s="5">
        <f>IFERROR(__xludf.DUMMYFUNCTION("""COMPUTED_VALUE"""),3.0)</f>
        <v>3</v>
      </c>
    </row>
    <row r="453">
      <c r="A453" s="1">
        <v>452.0</v>
      </c>
      <c r="B453" s="1" t="s">
        <v>2863</v>
      </c>
      <c r="C453" s="1" t="s">
        <v>908</v>
      </c>
      <c r="D453" s="1"/>
      <c r="E453" s="1">
        <v>452.0</v>
      </c>
      <c r="F453" s="1" t="s">
        <v>2863</v>
      </c>
      <c r="G453" s="1" t="str">
        <f>IFERROR(__xludf.DUMMYFUNCTION("SPLIT(C453, "", "")"),"Crime")</f>
        <v>Crime</v>
      </c>
      <c r="H453" s="5" t="str">
        <f>IFERROR(__xludf.DUMMYFUNCTION("""COMPUTED_VALUE"""),"Drama")</f>
        <v>Drama</v>
      </c>
      <c r="I453" s="5" t="str">
        <f>IFERROR(__xludf.DUMMYFUNCTION("""COMPUTED_VALUE"""),"Film-Noir")</f>
        <v>Film-Noir</v>
      </c>
      <c r="J453" s="5" t="str">
        <f>IFERROR(__xludf.DUMMYFUNCTION("""COMPUTED_VALUE"""),"151🤙🏼Pan's Labyrinth🤙🏼Fantasy🤙🏼2")</f>
        <v>151🤙🏼Pan's Labyrinth🤙🏼Fantasy🤙🏼2</v>
      </c>
      <c r="K453" s="5">
        <f>IFERROR(__xludf.DUMMYFUNCTION("SPLiT(J453, ""🤙🏼"",FALSE,FALSE)"),151.0)</f>
        <v>151</v>
      </c>
      <c r="L453" s="5" t="str">
        <f>IFERROR(__xludf.DUMMYFUNCTION("""COMPUTED_VALUE"""),"Pan's Labyrinth")</f>
        <v>Pan's Labyrinth</v>
      </c>
      <c r="M453" s="5" t="str">
        <f>IFERROR(__xludf.DUMMYFUNCTION("""COMPUTED_VALUE"""),"Fantasy")</f>
        <v>Fantasy</v>
      </c>
      <c r="N453" s="5">
        <f>IFERROR(__xludf.DUMMYFUNCTION("""COMPUTED_VALUE"""),2.0)</f>
        <v>2</v>
      </c>
      <c r="S453" s="5">
        <f>IFERROR(__xludf.DUMMYFUNCTION("""COMPUTED_VALUE"""),181.0)</f>
        <v>181</v>
      </c>
      <c r="T453" s="5" t="str">
        <f>IFERROR(__xludf.DUMMYFUNCTION("""COMPUTED_VALUE"""),"To Kill a Mockingbird")</f>
        <v>To Kill a Mockingbird</v>
      </c>
      <c r="U453" s="5" t="str">
        <f>IFERROR(__xludf.DUMMYFUNCTION("""COMPUTED_VALUE"""),"Crime")</f>
        <v>Crime</v>
      </c>
      <c r="V453" s="5">
        <f>IFERROR(__xludf.DUMMYFUNCTION("""COMPUTED_VALUE"""),1.0)</f>
        <v>1</v>
      </c>
    </row>
    <row r="454">
      <c r="A454" s="1">
        <v>453.0</v>
      </c>
      <c r="B454" s="1" t="s">
        <v>2869</v>
      </c>
      <c r="C454" s="1" t="s">
        <v>107</v>
      </c>
      <c r="D454" s="1"/>
      <c r="E454" s="1">
        <v>453.0</v>
      </c>
      <c r="F454" s="1" t="s">
        <v>2869</v>
      </c>
      <c r="G454" s="1" t="str">
        <f>IFERROR(__xludf.DUMMYFUNCTION("SPLIT(C454, "", "")"),"Drama")</f>
        <v>Drama</v>
      </c>
      <c r="H454" s="5" t="str">
        <f>IFERROR(__xludf.DUMMYFUNCTION("""COMPUTED_VALUE"""),"Romance")</f>
        <v>Romance</v>
      </c>
      <c r="J454" s="5" t="str">
        <f>IFERROR(__xludf.DUMMYFUNCTION("""COMPUTED_VALUE"""),"151🤙🏼Pan's Labyrinth🤙🏼War🤙🏼3")</f>
        <v>151🤙🏼Pan's Labyrinth🤙🏼War🤙🏼3</v>
      </c>
      <c r="K454" s="5">
        <f>IFERROR(__xludf.DUMMYFUNCTION("SPLiT(J454, ""🤙🏼"",FALSE,FALSE)"),151.0)</f>
        <v>151</v>
      </c>
      <c r="L454" s="5" t="str">
        <f>IFERROR(__xludf.DUMMYFUNCTION("""COMPUTED_VALUE"""),"Pan's Labyrinth")</f>
        <v>Pan's Labyrinth</v>
      </c>
      <c r="M454" s="5" t="str">
        <f>IFERROR(__xludf.DUMMYFUNCTION("""COMPUTED_VALUE"""),"War")</f>
        <v>War</v>
      </c>
      <c r="N454" s="5">
        <f>IFERROR(__xludf.DUMMYFUNCTION("""COMPUTED_VALUE"""),3.0)</f>
        <v>3</v>
      </c>
      <c r="S454" s="5">
        <f>IFERROR(__xludf.DUMMYFUNCTION("""COMPUTED_VALUE"""),181.0)</f>
        <v>181</v>
      </c>
      <c r="T454" s="5" t="str">
        <f>IFERROR(__xludf.DUMMYFUNCTION("""COMPUTED_VALUE"""),"To Kill a Mockingbird")</f>
        <v>To Kill a Mockingbird</v>
      </c>
      <c r="U454" s="5" t="str">
        <f>IFERROR(__xludf.DUMMYFUNCTION("""COMPUTED_VALUE"""),"Drama")</f>
        <v>Drama</v>
      </c>
      <c r="V454" s="5">
        <f>IFERROR(__xludf.DUMMYFUNCTION("""COMPUTED_VALUE"""),2.0)</f>
        <v>2</v>
      </c>
    </row>
    <row r="455">
      <c r="A455" s="1">
        <v>454.0</v>
      </c>
      <c r="B455" s="1" t="s">
        <v>2874</v>
      </c>
      <c r="C455" s="1" t="s">
        <v>2845</v>
      </c>
      <c r="D455" s="1"/>
      <c r="E455" s="1">
        <v>454.0</v>
      </c>
      <c r="F455" s="1" t="s">
        <v>2874</v>
      </c>
      <c r="G455" s="1" t="str">
        <f>IFERROR(__xludf.DUMMYFUNCTION("SPLIT(C455, "", "")"),"Drama")</f>
        <v>Drama</v>
      </c>
      <c r="H455" s="5" t="str">
        <f>IFERROR(__xludf.DUMMYFUNCTION("""COMPUTED_VALUE"""),"Film-Noir")</f>
        <v>Film-Noir</v>
      </c>
      <c r="I455" s="5" t="str">
        <f>IFERROR(__xludf.DUMMYFUNCTION("""COMPUTED_VALUE"""),"Mystery")</f>
        <v>Mystery</v>
      </c>
      <c r="J455" s="5" t="str">
        <f>IFERROR(__xludf.DUMMYFUNCTION("""COMPUTED_VALUE"""),"152🤙🏼Toy Story 3🤙🏼Animation🤙🏼1")</f>
        <v>152🤙🏼Toy Story 3🤙🏼Animation🤙🏼1</v>
      </c>
      <c r="K455" s="5">
        <f>IFERROR(__xludf.DUMMYFUNCTION("SPLiT(J455, ""🤙🏼"",FALSE,FALSE)"),152.0)</f>
        <v>152</v>
      </c>
      <c r="L455" s="5" t="str">
        <f>IFERROR(__xludf.DUMMYFUNCTION("""COMPUTED_VALUE"""),"Toy Story 3")</f>
        <v>Toy Story 3</v>
      </c>
      <c r="M455" s="5" t="str">
        <f>IFERROR(__xludf.DUMMYFUNCTION("""COMPUTED_VALUE"""),"Animation")</f>
        <v>Animation</v>
      </c>
      <c r="N455" s="5">
        <f>IFERROR(__xludf.DUMMYFUNCTION("""COMPUTED_VALUE"""),1.0)</f>
        <v>1</v>
      </c>
      <c r="S455" s="5">
        <f>IFERROR(__xludf.DUMMYFUNCTION("""COMPUTED_VALUE"""),182.0)</f>
        <v>182</v>
      </c>
      <c r="T455" s="5" t="str">
        <f>IFERROR(__xludf.DUMMYFUNCTION("""COMPUTED_VALUE"""),"Yôjinbô")</f>
        <v>Yôjinbô</v>
      </c>
      <c r="U455" s="5" t="str">
        <f>IFERROR(__xludf.DUMMYFUNCTION("""COMPUTED_VALUE"""),"Action")</f>
        <v>Action</v>
      </c>
      <c r="V455" s="5">
        <f>IFERROR(__xludf.DUMMYFUNCTION("""COMPUTED_VALUE"""),1.0)</f>
        <v>1</v>
      </c>
    </row>
    <row r="456">
      <c r="A456" s="1">
        <v>455.0</v>
      </c>
      <c r="B456" s="1" t="s">
        <v>2880</v>
      </c>
      <c r="C456" s="1" t="s">
        <v>406</v>
      </c>
      <c r="D456" s="1"/>
      <c r="E456" s="1">
        <v>455.0</v>
      </c>
      <c r="F456" s="1" t="s">
        <v>2880</v>
      </c>
      <c r="G456" s="1" t="str">
        <f>IFERROR(__xludf.DUMMYFUNCTION("SPLIT(C456, "", "")"),"Drama")</f>
        <v>Drama</v>
      </c>
      <c r="H456" s="5" t="str">
        <f>IFERROR(__xludf.DUMMYFUNCTION("""COMPUTED_VALUE"""),"Romance")</f>
        <v>Romance</v>
      </c>
      <c r="I456" s="5" t="str">
        <f>IFERROR(__xludf.DUMMYFUNCTION("""COMPUTED_VALUE"""),"War")</f>
        <v>War</v>
      </c>
      <c r="J456" s="5" t="str">
        <f>IFERROR(__xludf.DUMMYFUNCTION("""COMPUTED_VALUE"""),"152🤙🏼Toy Story 3🤙🏼Adventure🤙🏼2")</f>
        <v>152🤙🏼Toy Story 3🤙🏼Adventure🤙🏼2</v>
      </c>
      <c r="K456" s="5">
        <f>IFERROR(__xludf.DUMMYFUNCTION("SPLiT(J456, ""🤙🏼"",FALSE,FALSE)"),152.0)</f>
        <v>152</v>
      </c>
      <c r="L456" s="5" t="str">
        <f>IFERROR(__xludf.DUMMYFUNCTION("""COMPUTED_VALUE"""),"Toy Story 3")</f>
        <v>Toy Story 3</v>
      </c>
      <c r="M456" s="5" t="str">
        <f>IFERROR(__xludf.DUMMYFUNCTION("""COMPUTED_VALUE"""),"Adventure")</f>
        <v>Adventure</v>
      </c>
      <c r="N456" s="5">
        <f>IFERROR(__xludf.DUMMYFUNCTION("""COMPUTED_VALUE"""),2.0)</f>
        <v>2</v>
      </c>
      <c r="S456" s="5">
        <f>IFERROR(__xludf.DUMMYFUNCTION("""COMPUTED_VALUE"""),182.0)</f>
        <v>182</v>
      </c>
      <c r="T456" s="5" t="str">
        <f>IFERROR(__xludf.DUMMYFUNCTION("""COMPUTED_VALUE"""),"Yôjinbô")</f>
        <v>Yôjinbô</v>
      </c>
      <c r="U456" s="5" t="str">
        <f>IFERROR(__xludf.DUMMYFUNCTION("""COMPUTED_VALUE"""),"Drama")</f>
        <v>Drama</v>
      </c>
      <c r="V456" s="5">
        <f>IFERROR(__xludf.DUMMYFUNCTION("""COMPUTED_VALUE"""),2.0)</f>
        <v>2</v>
      </c>
    </row>
    <row r="457">
      <c r="A457" s="1">
        <v>456.0</v>
      </c>
      <c r="B457" s="1" t="s">
        <v>2884</v>
      </c>
      <c r="C457" s="1" t="s">
        <v>2885</v>
      </c>
      <c r="D457" s="1"/>
      <c r="E457" s="1">
        <v>456.0</v>
      </c>
      <c r="F457" s="1" t="s">
        <v>2884</v>
      </c>
      <c r="G457" s="1" t="str">
        <f>IFERROR(__xludf.DUMMYFUNCTION("SPLIT(C457, "", "")"),"Comedy")</f>
        <v>Comedy</v>
      </c>
      <c r="H457" s="5" t="str">
        <f>IFERROR(__xludf.DUMMYFUNCTION("""COMPUTED_VALUE"""),"Crime")</f>
        <v>Crime</v>
      </c>
      <c r="I457" s="5" t="str">
        <f>IFERROR(__xludf.DUMMYFUNCTION("""COMPUTED_VALUE"""),"Thriller")</f>
        <v>Thriller</v>
      </c>
      <c r="J457" s="5" t="str">
        <f>IFERROR(__xludf.DUMMYFUNCTION("""COMPUTED_VALUE"""),"152🤙🏼Toy Story 3🤙🏼Comedy🤙🏼3")</f>
        <v>152🤙🏼Toy Story 3🤙🏼Comedy🤙🏼3</v>
      </c>
      <c r="K457" s="5">
        <f>IFERROR(__xludf.DUMMYFUNCTION("SPLiT(J457, ""🤙🏼"",FALSE,FALSE)"),152.0)</f>
        <v>152</v>
      </c>
      <c r="L457" s="5" t="str">
        <f>IFERROR(__xludf.DUMMYFUNCTION("""COMPUTED_VALUE"""),"Toy Story 3")</f>
        <v>Toy Story 3</v>
      </c>
      <c r="M457" s="5" t="str">
        <f>IFERROR(__xludf.DUMMYFUNCTION("""COMPUTED_VALUE"""),"Comedy")</f>
        <v>Comedy</v>
      </c>
      <c r="N457" s="5">
        <f>IFERROR(__xludf.DUMMYFUNCTION("""COMPUTED_VALUE"""),3.0)</f>
        <v>3</v>
      </c>
      <c r="S457" s="5">
        <f>IFERROR(__xludf.DUMMYFUNCTION("""COMPUTED_VALUE"""),182.0)</f>
        <v>182</v>
      </c>
      <c r="T457" s="5" t="str">
        <f>IFERROR(__xludf.DUMMYFUNCTION("""COMPUTED_VALUE"""),"Yôjinbô")</f>
        <v>Yôjinbô</v>
      </c>
      <c r="U457" s="5" t="str">
        <f>IFERROR(__xludf.DUMMYFUNCTION("""COMPUTED_VALUE"""),"Thriller")</f>
        <v>Thriller</v>
      </c>
      <c r="V457" s="5">
        <f>IFERROR(__xludf.DUMMYFUNCTION("""COMPUTED_VALUE"""),3.0)</f>
        <v>3</v>
      </c>
    </row>
    <row r="458">
      <c r="A458" s="1">
        <v>457.0</v>
      </c>
      <c r="B458" s="1" t="s">
        <v>2889</v>
      </c>
      <c r="C458" s="1" t="s">
        <v>2891</v>
      </c>
      <c r="D458" s="1"/>
      <c r="E458" s="1">
        <v>457.0</v>
      </c>
      <c r="F458" s="1" t="s">
        <v>2889</v>
      </c>
      <c r="G458" s="1" t="str">
        <f>IFERROR(__xludf.DUMMYFUNCTION("SPLIT(C458, "", "")"),"Film-Noir")</f>
        <v>Film-Noir</v>
      </c>
      <c r="H458" s="5" t="str">
        <f>IFERROR(__xludf.DUMMYFUNCTION("""COMPUTED_VALUE"""),"Mystery")</f>
        <v>Mystery</v>
      </c>
      <c r="J458" s="5" t="str">
        <f>IFERROR(__xludf.DUMMYFUNCTION("""COMPUTED_VALUE"""),"153🤙🏼V for Vendetta🤙🏼Action🤙🏼1")</f>
        <v>153🤙🏼V for Vendetta🤙🏼Action🤙🏼1</v>
      </c>
      <c r="K458" s="5">
        <f>IFERROR(__xludf.DUMMYFUNCTION("SPLiT(J458, ""🤙🏼"",FALSE,FALSE)"),153.0)</f>
        <v>153</v>
      </c>
      <c r="L458" s="5" t="str">
        <f>IFERROR(__xludf.DUMMYFUNCTION("""COMPUTED_VALUE"""),"V for Vendetta")</f>
        <v>V for Vendetta</v>
      </c>
      <c r="M458" s="5" t="str">
        <f>IFERROR(__xludf.DUMMYFUNCTION("""COMPUTED_VALUE"""),"Action")</f>
        <v>Action</v>
      </c>
      <c r="N458" s="5">
        <f>IFERROR(__xludf.DUMMYFUNCTION("""COMPUTED_VALUE"""),1.0)</f>
        <v>1</v>
      </c>
      <c r="S458" s="5">
        <f>IFERROR(__xludf.DUMMYFUNCTION("""COMPUTED_VALUE"""),183.0)</f>
        <v>183</v>
      </c>
      <c r="T458" s="5" t="str">
        <f>IFERROR(__xludf.DUMMYFUNCTION("""COMPUTED_VALUE"""),"Judgment at Nuremberg")</f>
        <v>Judgment at Nuremberg</v>
      </c>
      <c r="U458" s="5" t="str">
        <f>IFERROR(__xludf.DUMMYFUNCTION("""COMPUTED_VALUE"""),"Drama")</f>
        <v>Drama</v>
      </c>
      <c r="V458" s="5">
        <f>IFERROR(__xludf.DUMMYFUNCTION("""COMPUTED_VALUE"""),1.0)</f>
        <v>1</v>
      </c>
    </row>
    <row r="459">
      <c r="A459" s="1">
        <v>458.0</v>
      </c>
      <c r="B459" s="1" t="s">
        <v>2895</v>
      </c>
      <c r="C459" s="1" t="s">
        <v>2028</v>
      </c>
      <c r="D459" s="1"/>
      <c r="E459" s="1">
        <v>458.0</v>
      </c>
      <c r="F459" s="1" t="s">
        <v>2895</v>
      </c>
      <c r="G459" s="1" t="str">
        <f>IFERROR(__xludf.DUMMYFUNCTION("SPLIT(C459, "", "")"),"Drama")</f>
        <v>Drama</v>
      </c>
      <c r="H459" s="5" t="str">
        <f>IFERROR(__xludf.DUMMYFUNCTION("""COMPUTED_VALUE"""),"History")</f>
        <v>History</v>
      </c>
      <c r="J459" s="5" t="str">
        <f>IFERROR(__xludf.DUMMYFUNCTION("""COMPUTED_VALUE"""),"153🤙🏼V for Vendetta🤙🏼Drama🤙🏼2")</f>
        <v>153🤙🏼V for Vendetta🤙🏼Drama🤙🏼2</v>
      </c>
      <c r="K459" s="5">
        <f>IFERROR(__xludf.DUMMYFUNCTION("SPLiT(J459, ""🤙🏼"",FALSE,FALSE)"),153.0)</f>
        <v>153</v>
      </c>
      <c r="L459" s="5" t="str">
        <f>IFERROR(__xludf.DUMMYFUNCTION("""COMPUTED_VALUE"""),"V for Vendetta")</f>
        <v>V for Vendetta</v>
      </c>
      <c r="M459" s="5" t="str">
        <f>IFERROR(__xludf.DUMMYFUNCTION("""COMPUTED_VALUE"""),"Drama")</f>
        <v>Drama</v>
      </c>
      <c r="N459" s="5">
        <f>IFERROR(__xludf.DUMMYFUNCTION("""COMPUTED_VALUE"""),2.0)</f>
        <v>2</v>
      </c>
      <c r="S459" s="5">
        <f>IFERROR(__xludf.DUMMYFUNCTION("""COMPUTED_VALUE"""),183.0)</f>
        <v>183</v>
      </c>
      <c r="T459" s="5" t="str">
        <f>IFERROR(__xludf.DUMMYFUNCTION("""COMPUTED_VALUE"""),"Judgment at Nuremberg")</f>
        <v>Judgment at Nuremberg</v>
      </c>
      <c r="U459" s="5" t="str">
        <f>IFERROR(__xludf.DUMMYFUNCTION("""COMPUTED_VALUE"""),"War")</f>
        <v>War</v>
      </c>
      <c r="V459" s="5">
        <f>IFERROR(__xludf.DUMMYFUNCTION("""COMPUTED_VALUE"""),2.0)</f>
        <v>2</v>
      </c>
    </row>
    <row r="460">
      <c r="A460" s="1">
        <v>459.0</v>
      </c>
      <c r="B460" s="1" t="s">
        <v>2900</v>
      </c>
      <c r="C460" s="1" t="s">
        <v>2629</v>
      </c>
      <c r="D460" s="1"/>
      <c r="E460" s="1">
        <v>459.0</v>
      </c>
      <c r="F460" s="1" t="s">
        <v>2900</v>
      </c>
      <c r="G460" s="1" t="str">
        <f>IFERROR(__xludf.DUMMYFUNCTION("SPLIT(C460, "", "")"),"Adventure")</f>
        <v>Adventure</v>
      </c>
      <c r="H460" s="5" t="str">
        <f>IFERROR(__xludf.DUMMYFUNCTION("""COMPUTED_VALUE"""),"Family")</f>
        <v>Family</v>
      </c>
      <c r="I460" s="5" t="str">
        <f>IFERROR(__xludf.DUMMYFUNCTION("""COMPUTED_VALUE"""),"Fantasy")</f>
        <v>Fantasy</v>
      </c>
      <c r="J460" s="5" t="str">
        <f>IFERROR(__xludf.DUMMYFUNCTION("""COMPUTED_VALUE"""),"153🤙🏼V for Vendetta🤙🏼Sci-Fi🤙🏼3")</f>
        <v>153🤙🏼V for Vendetta🤙🏼Sci-Fi🤙🏼3</v>
      </c>
      <c r="K460" s="5">
        <f>IFERROR(__xludf.DUMMYFUNCTION("SPLiT(J460, ""🤙🏼"",FALSE,FALSE)"),153.0)</f>
        <v>153</v>
      </c>
      <c r="L460" s="5" t="str">
        <f>IFERROR(__xludf.DUMMYFUNCTION("""COMPUTED_VALUE"""),"V for Vendetta")</f>
        <v>V for Vendetta</v>
      </c>
      <c r="M460" s="5" t="str">
        <f>IFERROR(__xludf.DUMMYFUNCTION("""COMPUTED_VALUE"""),"Sci-Fi")</f>
        <v>Sci-Fi</v>
      </c>
      <c r="N460" s="5">
        <f>IFERROR(__xludf.DUMMYFUNCTION("""COMPUTED_VALUE"""),3.0)</f>
        <v>3</v>
      </c>
      <c r="S460" s="5">
        <f>IFERROR(__xludf.DUMMYFUNCTION("""COMPUTED_VALUE"""),184.0)</f>
        <v>184</v>
      </c>
      <c r="T460" s="5" t="str">
        <f>IFERROR(__xludf.DUMMYFUNCTION("""COMPUTED_VALUE"""),"Some Like It Hot")</f>
        <v>Some Like It Hot</v>
      </c>
      <c r="U460" s="5" t="str">
        <f>IFERROR(__xludf.DUMMYFUNCTION("""COMPUTED_VALUE"""),"Comedy")</f>
        <v>Comedy</v>
      </c>
      <c r="V460" s="5">
        <f>IFERROR(__xludf.DUMMYFUNCTION("""COMPUTED_VALUE"""),1.0)</f>
        <v>1</v>
      </c>
    </row>
    <row r="461">
      <c r="A461" s="1">
        <v>460.0</v>
      </c>
      <c r="B461" s="1" t="s">
        <v>2905</v>
      </c>
      <c r="C461" s="1" t="s">
        <v>507</v>
      </c>
      <c r="D461" s="1"/>
      <c r="E461" s="1">
        <v>460.0</v>
      </c>
      <c r="F461" s="1" t="s">
        <v>2905</v>
      </c>
      <c r="G461" s="1" t="str">
        <f>IFERROR(__xludf.DUMMYFUNCTION("SPLIT(C461, "", "")"),"Comedy")</f>
        <v>Comedy</v>
      </c>
      <c r="H461" s="5" t="str">
        <f>IFERROR(__xludf.DUMMYFUNCTION("""COMPUTED_VALUE"""),"Drama")</f>
        <v>Drama</v>
      </c>
      <c r="J461" s="5" t="str">
        <f>IFERROR(__xludf.DUMMYFUNCTION("""COMPUTED_VALUE"""),"154🤙🏼Rang De Basanti🤙🏼Comedy🤙🏼1")</f>
        <v>154🤙🏼Rang De Basanti🤙🏼Comedy🤙🏼1</v>
      </c>
      <c r="K461" s="5">
        <f>IFERROR(__xludf.DUMMYFUNCTION("SPLiT(J461, ""🤙🏼"",FALSE,FALSE)"),154.0)</f>
        <v>154</v>
      </c>
      <c r="L461" s="5" t="str">
        <f>IFERROR(__xludf.DUMMYFUNCTION("""COMPUTED_VALUE"""),"Rang De Basanti")</f>
        <v>Rang De Basanti</v>
      </c>
      <c r="M461" s="5" t="str">
        <f>IFERROR(__xludf.DUMMYFUNCTION("""COMPUTED_VALUE"""),"Comedy")</f>
        <v>Comedy</v>
      </c>
      <c r="N461" s="5">
        <f>IFERROR(__xludf.DUMMYFUNCTION("""COMPUTED_VALUE"""),1.0)</f>
        <v>1</v>
      </c>
      <c r="S461" s="5">
        <f>IFERROR(__xludf.DUMMYFUNCTION("""COMPUTED_VALUE"""),184.0)</f>
        <v>184</v>
      </c>
      <c r="T461" s="5" t="str">
        <f>IFERROR(__xludf.DUMMYFUNCTION("""COMPUTED_VALUE"""),"Some Like It Hot")</f>
        <v>Some Like It Hot</v>
      </c>
      <c r="U461" s="5" t="str">
        <f>IFERROR(__xludf.DUMMYFUNCTION("""COMPUTED_VALUE"""),"Music")</f>
        <v>Music</v>
      </c>
      <c r="V461" s="5">
        <f>IFERROR(__xludf.DUMMYFUNCTION("""COMPUTED_VALUE"""),2.0)</f>
        <v>2</v>
      </c>
    </row>
    <row r="462">
      <c r="A462" s="1">
        <v>461.0</v>
      </c>
      <c r="B462" s="1" t="s">
        <v>2911</v>
      </c>
      <c r="C462" s="1" t="s">
        <v>2912</v>
      </c>
      <c r="D462" s="1"/>
      <c r="E462" s="1">
        <v>461.0</v>
      </c>
      <c r="F462" s="1" t="s">
        <v>2911</v>
      </c>
      <c r="G462" s="1" t="str">
        <f>IFERROR(__xludf.DUMMYFUNCTION("SPLIT(C462, "", "")"),"Comedy")</f>
        <v>Comedy</v>
      </c>
      <c r="H462" s="5" t="str">
        <f>IFERROR(__xludf.DUMMYFUNCTION("""COMPUTED_VALUE"""),"Crime")</f>
        <v>Crime</v>
      </c>
      <c r="I462" s="5" t="str">
        <f>IFERROR(__xludf.DUMMYFUNCTION("""COMPUTED_VALUE"""),"Mystery")</f>
        <v>Mystery</v>
      </c>
      <c r="J462" s="5" t="str">
        <f>IFERROR(__xludf.DUMMYFUNCTION("""COMPUTED_VALUE"""),"154🤙🏼Rang De Basanti🤙🏼Crime🤙🏼2")</f>
        <v>154🤙🏼Rang De Basanti🤙🏼Crime🤙🏼2</v>
      </c>
      <c r="K462" s="5">
        <f>IFERROR(__xludf.DUMMYFUNCTION("SPLiT(J462, ""🤙🏼"",FALSE,FALSE)"),154.0)</f>
        <v>154</v>
      </c>
      <c r="L462" s="5" t="str">
        <f>IFERROR(__xludf.DUMMYFUNCTION("""COMPUTED_VALUE"""),"Rang De Basanti")</f>
        <v>Rang De Basanti</v>
      </c>
      <c r="M462" s="5" t="str">
        <f>IFERROR(__xludf.DUMMYFUNCTION("""COMPUTED_VALUE"""),"Crime")</f>
        <v>Crime</v>
      </c>
      <c r="N462" s="5">
        <f>IFERROR(__xludf.DUMMYFUNCTION("""COMPUTED_VALUE"""),2.0)</f>
        <v>2</v>
      </c>
      <c r="S462" s="5">
        <f>IFERROR(__xludf.DUMMYFUNCTION("""COMPUTED_VALUE"""),184.0)</f>
        <v>184</v>
      </c>
      <c r="T462" s="5" t="str">
        <f>IFERROR(__xludf.DUMMYFUNCTION("""COMPUTED_VALUE"""),"Some Like It Hot")</f>
        <v>Some Like It Hot</v>
      </c>
      <c r="U462" s="5" t="str">
        <f>IFERROR(__xludf.DUMMYFUNCTION("""COMPUTED_VALUE"""),"Romance")</f>
        <v>Romance</v>
      </c>
      <c r="V462" s="5">
        <f>IFERROR(__xludf.DUMMYFUNCTION("""COMPUTED_VALUE"""),3.0)</f>
        <v>3</v>
      </c>
    </row>
    <row r="463">
      <c r="A463" s="1">
        <v>462.0</v>
      </c>
      <c r="B463" s="1" t="s">
        <v>2918</v>
      </c>
      <c r="C463" s="1" t="s">
        <v>213</v>
      </c>
      <c r="D463" s="1"/>
      <c r="E463" s="1">
        <v>462.0</v>
      </c>
      <c r="F463" s="1" t="s">
        <v>2918</v>
      </c>
      <c r="G463" s="1" t="str">
        <f>IFERROR(__xludf.DUMMYFUNCTION("SPLIT(C463, "", "")"),"Drama")</f>
        <v>Drama</v>
      </c>
      <c r="H463" s="5" t="str">
        <f>IFERROR(__xludf.DUMMYFUNCTION("""COMPUTED_VALUE"""),"War")</f>
        <v>War</v>
      </c>
      <c r="J463" s="5" t="str">
        <f>IFERROR(__xludf.DUMMYFUNCTION("""COMPUTED_VALUE"""),"154🤙🏼Rang De Basanti🤙🏼Drama🤙🏼3")</f>
        <v>154🤙🏼Rang De Basanti🤙🏼Drama🤙🏼3</v>
      </c>
      <c r="K463" s="5">
        <f>IFERROR(__xludf.DUMMYFUNCTION("SPLiT(J463, ""🤙🏼"",FALSE,FALSE)"),154.0)</f>
        <v>154</v>
      </c>
      <c r="L463" s="5" t="str">
        <f>IFERROR(__xludf.DUMMYFUNCTION("""COMPUTED_VALUE"""),"Rang De Basanti")</f>
        <v>Rang De Basanti</v>
      </c>
      <c r="M463" s="5" t="str">
        <f>IFERROR(__xludf.DUMMYFUNCTION("""COMPUTED_VALUE"""),"Drama")</f>
        <v>Drama</v>
      </c>
      <c r="N463" s="5">
        <f>IFERROR(__xludf.DUMMYFUNCTION("""COMPUTED_VALUE"""),3.0)</f>
        <v>3</v>
      </c>
      <c r="S463" s="5">
        <f>IFERROR(__xludf.DUMMYFUNCTION("""COMPUTED_VALUE"""),185.0)</f>
        <v>185</v>
      </c>
      <c r="T463" s="5" t="str">
        <f>IFERROR(__xludf.DUMMYFUNCTION("""COMPUTED_VALUE"""),"Smultronstället")</f>
        <v>Smultronstället</v>
      </c>
      <c r="U463" s="5" t="str">
        <f>IFERROR(__xludf.DUMMYFUNCTION("""COMPUTED_VALUE"""),"Drama")</f>
        <v>Drama</v>
      </c>
      <c r="V463" s="5">
        <f>IFERROR(__xludf.DUMMYFUNCTION("""COMPUTED_VALUE"""),1.0)</f>
        <v>1</v>
      </c>
    </row>
    <row r="464">
      <c r="A464" s="1">
        <v>463.0</v>
      </c>
      <c r="B464" s="1" t="s">
        <v>2925</v>
      </c>
      <c r="C464" s="1" t="s">
        <v>2593</v>
      </c>
      <c r="D464" s="1"/>
      <c r="E464" s="1">
        <v>463.0</v>
      </c>
      <c r="F464" s="1" t="s">
        <v>2925</v>
      </c>
      <c r="G464" s="1" t="str">
        <f>IFERROR(__xludf.DUMMYFUNCTION("SPLIT(C464, "", "")"),"Drama")</f>
        <v>Drama</v>
      </c>
      <c r="H464" s="5" t="str">
        <f>IFERROR(__xludf.DUMMYFUNCTION("""COMPUTED_VALUE"""),"History")</f>
        <v>History</v>
      </c>
      <c r="I464" s="5" t="str">
        <f>IFERROR(__xludf.DUMMYFUNCTION("""COMPUTED_VALUE"""),"Thriller")</f>
        <v>Thriller</v>
      </c>
      <c r="J464" s="5" t="str">
        <f>IFERROR(__xludf.DUMMYFUNCTION("""COMPUTED_VALUE"""),"155🤙🏼Black🤙🏼Drama🤙🏼1")</f>
        <v>155🤙🏼Black🤙🏼Drama🤙🏼1</v>
      </c>
      <c r="K464" s="5">
        <f>IFERROR(__xludf.DUMMYFUNCTION("SPLiT(J464, ""🤙🏼"",FALSE,FALSE)"),155.0)</f>
        <v>155</v>
      </c>
      <c r="L464" s="5" t="str">
        <f>IFERROR(__xludf.DUMMYFUNCTION("""COMPUTED_VALUE"""),"Black")</f>
        <v>Black</v>
      </c>
      <c r="M464" s="5" t="str">
        <f>IFERROR(__xludf.DUMMYFUNCTION("""COMPUTED_VALUE"""),"Drama")</f>
        <v>Drama</v>
      </c>
      <c r="N464" s="5">
        <f>IFERROR(__xludf.DUMMYFUNCTION("""COMPUTED_VALUE"""),1.0)</f>
        <v>1</v>
      </c>
      <c r="S464" s="5">
        <f>IFERROR(__xludf.DUMMYFUNCTION("""COMPUTED_VALUE"""),185.0)</f>
        <v>185</v>
      </c>
      <c r="T464" s="5" t="str">
        <f>IFERROR(__xludf.DUMMYFUNCTION("""COMPUTED_VALUE"""),"Smultronstället")</f>
        <v>Smultronstället</v>
      </c>
      <c r="U464" s="5" t="str">
        <f>IFERROR(__xludf.DUMMYFUNCTION("""COMPUTED_VALUE"""),"Romance")</f>
        <v>Romance</v>
      </c>
      <c r="V464" s="5">
        <f>IFERROR(__xludf.DUMMYFUNCTION("""COMPUTED_VALUE"""),2.0)</f>
        <v>2</v>
      </c>
    </row>
    <row r="465">
      <c r="A465" s="1">
        <v>464.0</v>
      </c>
      <c r="B465" s="1" t="s">
        <v>2934</v>
      </c>
      <c r="C465" s="1" t="s">
        <v>831</v>
      </c>
      <c r="D465" s="1"/>
      <c r="E465" s="1">
        <v>464.0</v>
      </c>
      <c r="F465" s="1" t="s">
        <v>2934</v>
      </c>
      <c r="G465" s="1" t="str">
        <f>IFERROR(__xludf.DUMMYFUNCTION("SPLIT(C465, "", "")"),"Comedy")</f>
        <v>Comedy</v>
      </c>
      <c r="H465" s="5" t="str">
        <f>IFERROR(__xludf.DUMMYFUNCTION("""COMPUTED_VALUE"""),"Crime")</f>
        <v>Crime</v>
      </c>
      <c r="I465" s="5" t="str">
        <f>IFERROR(__xludf.DUMMYFUNCTION("""COMPUTED_VALUE"""),"Drama")</f>
        <v>Drama</v>
      </c>
      <c r="J465" s="5" t="str">
        <f>IFERROR(__xludf.DUMMYFUNCTION("""COMPUTED_VALUE"""),"155🤙🏼Black🤙🏼🤙🏼2")</f>
        <v>155🤙🏼Black🤙🏼🤙🏼2</v>
      </c>
      <c r="K465" s="5">
        <f>IFERROR(__xludf.DUMMYFUNCTION("SPLiT(J465, ""🤙🏼"",FALSE,FALSE)"),155.0)</f>
        <v>155</v>
      </c>
      <c r="L465" s="5" t="str">
        <f>IFERROR(__xludf.DUMMYFUNCTION("""COMPUTED_VALUE"""),"Black")</f>
        <v>Black</v>
      </c>
      <c r="M465" s="5"/>
      <c r="N465" s="5">
        <f>IFERROR(__xludf.DUMMYFUNCTION("""COMPUTED_VALUE"""),2.0)</f>
        <v>2</v>
      </c>
      <c r="S465" s="5">
        <f>IFERROR(__xludf.DUMMYFUNCTION("""COMPUTED_VALUE"""),186.0)</f>
        <v>186</v>
      </c>
      <c r="T465" s="5" t="str">
        <f>IFERROR(__xludf.DUMMYFUNCTION("""COMPUTED_VALUE"""),"Det sjunde inseglet")</f>
        <v>Det sjunde inseglet</v>
      </c>
      <c r="U465" s="5" t="str">
        <f>IFERROR(__xludf.DUMMYFUNCTION("""COMPUTED_VALUE"""),"Drama")</f>
        <v>Drama</v>
      </c>
      <c r="V465" s="5">
        <f>IFERROR(__xludf.DUMMYFUNCTION("""COMPUTED_VALUE"""),1.0)</f>
        <v>1</v>
      </c>
    </row>
    <row r="466">
      <c r="A466" s="1">
        <v>465.0</v>
      </c>
      <c r="B466" s="1" t="s">
        <v>2938</v>
      </c>
      <c r="C466" s="1" t="s">
        <v>227</v>
      </c>
      <c r="D466" s="1"/>
      <c r="E466" s="1">
        <v>465.0</v>
      </c>
      <c r="F466" s="1" t="s">
        <v>2938</v>
      </c>
      <c r="G466" s="1" t="str">
        <f>IFERROR(__xludf.DUMMYFUNCTION("SPLIT(C466, "", "")"),"Comedy")</f>
        <v>Comedy</v>
      </c>
      <c r="H466" s="5" t="str">
        <f>IFERROR(__xludf.DUMMYFUNCTION("""COMPUTED_VALUE"""),"Drama")</f>
        <v>Drama</v>
      </c>
      <c r="I466" s="5" t="str">
        <f>IFERROR(__xludf.DUMMYFUNCTION("""COMPUTED_VALUE"""),"Romance")</f>
        <v>Romance</v>
      </c>
      <c r="J466" s="5" t="str">
        <f>IFERROR(__xludf.DUMMYFUNCTION("""COMPUTED_VALUE"""),"155🤙🏼Black🤙🏼🤙🏼3")</f>
        <v>155🤙🏼Black🤙🏼🤙🏼3</v>
      </c>
      <c r="K466" s="5">
        <f>IFERROR(__xludf.DUMMYFUNCTION("SPLiT(J466, ""🤙🏼"",FALSE,FALSE)"),155.0)</f>
        <v>155</v>
      </c>
      <c r="L466" s="5" t="str">
        <f>IFERROR(__xludf.DUMMYFUNCTION("""COMPUTED_VALUE"""),"Black")</f>
        <v>Black</v>
      </c>
      <c r="M466" s="5"/>
      <c r="N466" s="5">
        <f>IFERROR(__xludf.DUMMYFUNCTION("""COMPUTED_VALUE"""),3.0)</f>
        <v>3</v>
      </c>
      <c r="S466" s="5">
        <f>IFERROR(__xludf.DUMMYFUNCTION("""COMPUTED_VALUE"""),186.0)</f>
        <v>186</v>
      </c>
      <c r="T466" s="5" t="str">
        <f>IFERROR(__xludf.DUMMYFUNCTION("""COMPUTED_VALUE"""),"Det sjunde inseglet")</f>
        <v>Det sjunde inseglet</v>
      </c>
      <c r="U466" s="5" t="str">
        <f>IFERROR(__xludf.DUMMYFUNCTION("""COMPUTED_VALUE"""),"Fantasy")</f>
        <v>Fantasy</v>
      </c>
      <c r="V466" s="5">
        <f>IFERROR(__xludf.DUMMYFUNCTION("""COMPUTED_VALUE"""),2.0)</f>
        <v>2</v>
      </c>
    </row>
    <row r="467">
      <c r="A467" s="1">
        <v>466.0</v>
      </c>
      <c r="B467" s="1" t="s">
        <v>2944</v>
      </c>
      <c r="C467" s="1" t="s">
        <v>29</v>
      </c>
      <c r="D467" s="1"/>
      <c r="E467" s="1">
        <v>466.0</v>
      </c>
      <c r="F467" s="1" t="s">
        <v>2944</v>
      </c>
      <c r="G467" s="1" t="str">
        <f>IFERROR(__xludf.DUMMYFUNCTION("SPLIT(C467, "", "")"),"Crime")</f>
        <v>Crime</v>
      </c>
      <c r="H467" s="5" t="str">
        <f>IFERROR(__xludf.DUMMYFUNCTION("""COMPUTED_VALUE"""),"Drama")</f>
        <v>Drama</v>
      </c>
      <c r="J467" s="5" t="str">
        <f>IFERROR(__xludf.DUMMYFUNCTION("""COMPUTED_VALUE"""),"156🤙🏼Batman Begins🤙🏼Action🤙🏼1")</f>
        <v>156🤙🏼Batman Begins🤙🏼Action🤙🏼1</v>
      </c>
      <c r="K467" s="5">
        <f>IFERROR(__xludf.DUMMYFUNCTION("SPLiT(J467, ""🤙🏼"",FALSE,FALSE)"),156.0)</f>
        <v>156</v>
      </c>
      <c r="L467" s="5" t="str">
        <f>IFERROR(__xludf.DUMMYFUNCTION("""COMPUTED_VALUE"""),"Batman Begins")</f>
        <v>Batman Begins</v>
      </c>
      <c r="M467" s="5" t="str">
        <f>IFERROR(__xludf.DUMMYFUNCTION("""COMPUTED_VALUE"""),"Action")</f>
        <v>Action</v>
      </c>
      <c r="N467" s="5">
        <f>IFERROR(__xludf.DUMMYFUNCTION("""COMPUTED_VALUE"""),1.0)</f>
        <v>1</v>
      </c>
      <c r="S467" s="5">
        <f>IFERROR(__xludf.DUMMYFUNCTION("""COMPUTED_VALUE"""),186.0)</f>
        <v>186</v>
      </c>
      <c r="T467" s="5" t="str">
        <f>IFERROR(__xludf.DUMMYFUNCTION("""COMPUTED_VALUE"""),"Det sjunde inseglet")</f>
        <v>Det sjunde inseglet</v>
      </c>
      <c r="U467" s="5" t="str">
        <f>IFERROR(__xludf.DUMMYFUNCTION("""COMPUTED_VALUE"""),"History")</f>
        <v>History</v>
      </c>
      <c r="V467" s="5">
        <f>IFERROR(__xludf.DUMMYFUNCTION("""COMPUTED_VALUE"""),3.0)</f>
        <v>3</v>
      </c>
    </row>
    <row r="468">
      <c r="A468" s="1">
        <v>467.0</v>
      </c>
      <c r="B468" s="1" t="s">
        <v>2951</v>
      </c>
      <c r="C468" s="1" t="s">
        <v>227</v>
      </c>
      <c r="D468" s="1"/>
      <c r="E468" s="1">
        <v>467.0</v>
      </c>
      <c r="F468" s="1" t="s">
        <v>2951</v>
      </c>
      <c r="G468" s="1" t="str">
        <f>IFERROR(__xludf.DUMMYFUNCTION("SPLIT(C468, "", "")"),"Comedy")</f>
        <v>Comedy</v>
      </c>
      <c r="H468" s="5" t="str">
        <f>IFERROR(__xludf.DUMMYFUNCTION("""COMPUTED_VALUE"""),"Drama")</f>
        <v>Drama</v>
      </c>
      <c r="I468" s="5" t="str">
        <f>IFERROR(__xludf.DUMMYFUNCTION("""COMPUTED_VALUE"""),"Romance")</f>
        <v>Romance</v>
      </c>
      <c r="J468" s="5" t="str">
        <f>IFERROR(__xludf.DUMMYFUNCTION("""COMPUTED_VALUE"""),"156🤙🏼Batman Begins🤙🏼Adventure🤙🏼2")</f>
        <v>156🤙🏼Batman Begins🤙🏼Adventure🤙🏼2</v>
      </c>
      <c r="K468" s="5">
        <f>IFERROR(__xludf.DUMMYFUNCTION("SPLiT(J468, ""🤙🏼"",FALSE,FALSE)"),156.0)</f>
        <v>156</v>
      </c>
      <c r="L468" s="5" t="str">
        <f>IFERROR(__xludf.DUMMYFUNCTION("""COMPUTED_VALUE"""),"Batman Begins")</f>
        <v>Batman Begins</v>
      </c>
      <c r="M468" s="5" t="str">
        <f>IFERROR(__xludf.DUMMYFUNCTION("""COMPUTED_VALUE"""),"Adventure")</f>
        <v>Adventure</v>
      </c>
      <c r="N468" s="5">
        <f>IFERROR(__xludf.DUMMYFUNCTION("""COMPUTED_VALUE"""),2.0)</f>
        <v>2</v>
      </c>
      <c r="S468" s="5">
        <f>IFERROR(__xludf.DUMMYFUNCTION("""COMPUTED_VALUE"""),187.0)</f>
        <v>187</v>
      </c>
      <c r="T468" s="5" t="str">
        <f>IFERROR(__xludf.DUMMYFUNCTION("""COMPUTED_VALUE"""),"Du rififi chez les hommes")</f>
        <v>Du rififi chez les hommes</v>
      </c>
      <c r="U468" s="5" t="str">
        <f>IFERROR(__xludf.DUMMYFUNCTION("""COMPUTED_VALUE"""),"Crime")</f>
        <v>Crime</v>
      </c>
      <c r="V468" s="5">
        <f>IFERROR(__xludf.DUMMYFUNCTION("""COMPUTED_VALUE"""),1.0)</f>
        <v>1</v>
      </c>
    </row>
    <row r="469">
      <c r="A469" s="1">
        <v>468.0</v>
      </c>
      <c r="B469" s="1" t="s">
        <v>2957</v>
      </c>
      <c r="C469" s="1" t="s">
        <v>107</v>
      </c>
      <c r="D469" s="1"/>
      <c r="E469" s="1">
        <v>468.0</v>
      </c>
      <c r="F469" s="1" t="s">
        <v>2957</v>
      </c>
      <c r="G469" s="1" t="str">
        <f>IFERROR(__xludf.DUMMYFUNCTION("SPLIT(C469, "", "")"),"Drama")</f>
        <v>Drama</v>
      </c>
      <c r="H469" s="5" t="str">
        <f>IFERROR(__xludf.DUMMYFUNCTION("""COMPUTED_VALUE"""),"Romance")</f>
        <v>Romance</v>
      </c>
      <c r="J469" s="5" t="str">
        <f>IFERROR(__xludf.DUMMYFUNCTION("""COMPUTED_VALUE"""),"156🤙🏼Batman Begins🤙🏼🤙🏼3")</f>
        <v>156🤙🏼Batman Begins🤙🏼🤙🏼3</v>
      </c>
      <c r="K469" s="5">
        <f>IFERROR(__xludf.DUMMYFUNCTION("SPLiT(J469, ""🤙🏼"",FALSE,FALSE)"),156.0)</f>
        <v>156</v>
      </c>
      <c r="L469" s="5" t="str">
        <f>IFERROR(__xludf.DUMMYFUNCTION("""COMPUTED_VALUE"""),"Batman Begins")</f>
        <v>Batman Begins</v>
      </c>
      <c r="M469" s="5"/>
      <c r="N469" s="5">
        <f>IFERROR(__xludf.DUMMYFUNCTION("""COMPUTED_VALUE"""),3.0)</f>
        <v>3</v>
      </c>
      <c r="S469" s="5">
        <f>IFERROR(__xludf.DUMMYFUNCTION("""COMPUTED_VALUE"""),187.0)</f>
        <v>187</v>
      </c>
      <c r="T469" s="5" t="str">
        <f>IFERROR(__xludf.DUMMYFUNCTION("""COMPUTED_VALUE"""),"Du rififi chez les hommes")</f>
        <v>Du rififi chez les hommes</v>
      </c>
      <c r="U469" s="5" t="str">
        <f>IFERROR(__xludf.DUMMYFUNCTION("""COMPUTED_VALUE"""),"Drama")</f>
        <v>Drama</v>
      </c>
      <c r="V469" s="5">
        <f>IFERROR(__xludf.DUMMYFUNCTION("""COMPUTED_VALUE"""),2.0)</f>
        <v>2</v>
      </c>
    </row>
    <row r="470">
      <c r="A470" s="1">
        <v>469.0</v>
      </c>
      <c r="B470" s="1" t="s">
        <v>2964</v>
      </c>
      <c r="C470" s="1" t="s">
        <v>20</v>
      </c>
      <c r="D470" s="1"/>
      <c r="E470" s="1">
        <v>469.0</v>
      </c>
      <c r="F470" s="1" t="s">
        <v>2964</v>
      </c>
      <c r="G470" s="1" t="str">
        <f>IFERROR(__xludf.DUMMYFUNCTION("SPLIT(C470, "", "")"),"Drama")</f>
        <v>Drama</v>
      </c>
      <c r="J470" s="5" t="str">
        <f>IFERROR(__xludf.DUMMYFUNCTION("""COMPUTED_VALUE"""),"157🤙🏼Swades: We, the People🤙🏼Drama🤙🏼1")</f>
        <v>157🤙🏼Swades: We, the People🤙🏼Drama🤙🏼1</v>
      </c>
      <c r="K470" s="5">
        <f>IFERROR(__xludf.DUMMYFUNCTION("SPLiT(J470, ""🤙🏼"",FALSE,FALSE)"),157.0)</f>
        <v>157</v>
      </c>
      <c r="L470" s="5" t="str">
        <f>IFERROR(__xludf.DUMMYFUNCTION("""COMPUTED_VALUE"""),"Swades: We, the People")</f>
        <v>Swades: We, the People</v>
      </c>
      <c r="M470" s="5" t="str">
        <f>IFERROR(__xludf.DUMMYFUNCTION("""COMPUTED_VALUE"""),"Drama")</f>
        <v>Drama</v>
      </c>
      <c r="N470" s="5">
        <f>IFERROR(__xludf.DUMMYFUNCTION("""COMPUTED_VALUE"""),1.0)</f>
        <v>1</v>
      </c>
      <c r="S470" s="5">
        <f>IFERROR(__xludf.DUMMYFUNCTION("""COMPUTED_VALUE"""),187.0)</f>
        <v>187</v>
      </c>
      <c r="T470" s="5" t="str">
        <f>IFERROR(__xludf.DUMMYFUNCTION("""COMPUTED_VALUE"""),"Du rififi chez les hommes")</f>
        <v>Du rififi chez les hommes</v>
      </c>
      <c r="U470" s="5" t="str">
        <f>IFERROR(__xludf.DUMMYFUNCTION("""COMPUTED_VALUE"""),"Thriller")</f>
        <v>Thriller</v>
      </c>
      <c r="V470" s="5">
        <f>IFERROR(__xludf.DUMMYFUNCTION("""COMPUTED_VALUE"""),3.0)</f>
        <v>3</v>
      </c>
    </row>
    <row r="471">
      <c r="A471" s="1">
        <v>470.0</v>
      </c>
      <c r="B471" s="1" t="s">
        <v>2970</v>
      </c>
      <c r="C471" s="1" t="s">
        <v>765</v>
      </c>
      <c r="D471" s="1"/>
      <c r="E471" s="1">
        <v>470.0</v>
      </c>
      <c r="F471" s="1" t="s">
        <v>2970</v>
      </c>
      <c r="G471" s="1" t="str">
        <f>IFERROR(__xludf.DUMMYFUNCTION("SPLIT(C471, "", "")"),"Animation")</f>
        <v>Animation</v>
      </c>
      <c r="H471" s="5" t="str">
        <f>IFERROR(__xludf.DUMMYFUNCTION("""COMPUTED_VALUE"""),"Adventure")</f>
        <v>Adventure</v>
      </c>
      <c r="I471" s="5" t="str">
        <f>IFERROR(__xludf.DUMMYFUNCTION("""COMPUTED_VALUE"""),"Comedy")</f>
        <v>Comedy</v>
      </c>
      <c r="J471" s="5" t="str">
        <f>IFERROR(__xludf.DUMMYFUNCTION("""COMPUTED_VALUE"""),"157🤙🏼Swades: We, the People🤙🏼🤙🏼2")</f>
        <v>157🤙🏼Swades: We, the People🤙🏼🤙🏼2</v>
      </c>
      <c r="K471" s="5">
        <f>IFERROR(__xludf.DUMMYFUNCTION("SPLiT(J471, ""🤙🏼"",FALSE,FALSE)"),157.0)</f>
        <v>157</v>
      </c>
      <c r="L471" s="5" t="str">
        <f>IFERROR(__xludf.DUMMYFUNCTION("""COMPUTED_VALUE"""),"Swades: We, the People")</f>
        <v>Swades: We, the People</v>
      </c>
      <c r="M471" s="5"/>
      <c r="N471" s="5">
        <f>IFERROR(__xludf.DUMMYFUNCTION("""COMPUTED_VALUE"""),2.0)</f>
        <v>2</v>
      </c>
      <c r="S471" s="5">
        <f>IFERROR(__xludf.DUMMYFUNCTION("""COMPUTED_VALUE"""),188.0)</f>
        <v>188</v>
      </c>
      <c r="T471" s="5" t="str">
        <f>IFERROR(__xludf.DUMMYFUNCTION("""COMPUTED_VALUE"""),"Dial M for Murder")</f>
        <v>Dial M for Murder</v>
      </c>
      <c r="U471" s="5" t="str">
        <f>IFERROR(__xludf.DUMMYFUNCTION("""COMPUTED_VALUE"""),"Crime")</f>
        <v>Crime</v>
      </c>
      <c r="V471" s="5">
        <f>IFERROR(__xludf.DUMMYFUNCTION("""COMPUTED_VALUE"""),1.0)</f>
        <v>1</v>
      </c>
    </row>
    <row r="472">
      <c r="A472" s="1">
        <v>471.0</v>
      </c>
      <c r="B472" s="1" t="s">
        <v>2975</v>
      </c>
      <c r="C472" s="1" t="s">
        <v>1004</v>
      </c>
      <c r="D472" s="1"/>
      <c r="E472" s="1">
        <v>471.0</v>
      </c>
      <c r="F472" s="1" t="s">
        <v>2975</v>
      </c>
      <c r="G472" s="1" t="str">
        <f>IFERROR(__xludf.DUMMYFUNCTION("SPLIT(C472, "", "")"),"Adventure")</f>
        <v>Adventure</v>
      </c>
      <c r="H472" s="5" t="str">
        <f>IFERROR(__xludf.DUMMYFUNCTION("""COMPUTED_VALUE"""),"Comedy")</f>
        <v>Comedy</v>
      </c>
      <c r="I472" s="5" t="str">
        <f>IFERROR(__xludf.DUMMYFUNCTION("""COMPUTED_VALUE"""),"Drama")</f>
        <v>Drama</v>
      </c>
      <c r="J472" s="5" t="str">
        <f>IFERROR(__xludf.DUMMYFUNCTION("""COMPUTED_VALUE"""),"157🤙🏼Swades: We, the People🤙🏼🤙🏼3")</f>
        <v>157🤙🏼Swades: We, the People🤙🏼🤙🏼3</v>
      </c>
      <c r="K472" s="5">
        <f>IFERROR(__xludf.DUMMYFUNCTION("SPLiT(J472, ""🤙🏼"",FALSE,FALSE)"),157.0)</f>
        <v>157</v>
      </c>
      <c r="L472" s="5" t="str">
        <f>IFERROR(__xludf.DUMMYFUNCTION("""COMPUTED_VALUE"""),"Swades: We, the People")</f>
        <v>Swades: We, the People</v>
      </c>
      <c r="M472" s="5"/>
      <c r="N472" s="5">
        <f>IFERROR(__xludf.DUMMYFUNCTION("""COMPUTED_VALUE"""),3.0)</f>
        <v>3</v>
      </c>
      <c r="S472" s="5">
        <f>IFERROR(__xludf.DUMMYFUNCTION("""COMPUTED_VALUE"""),188.0)</f>
        <v>188</v>
      </c>
      <c r="T472" s="5" t="str">
        <f>IFERROR(__xludf.DUMMYFUNCTION("""COMPUTED_VALUE"""),"Dial M for Murder")</f>
        <v>Dial M for Murder</v>
      </c>
      <c r="U472" s="5" t="str">
        <f>IFERROR(__xludf.DUMMYFUNCTION("""COMPUTED_VALUE"""),"Thriller")</f>
        <v>Thriller</v>
      </c>
      <c r="V472" s="5">
        <f>IFERROR(__xludf.DUMMYFUNCTION("""COMPUTED_VALUE"""),2.0)</f>
        <v>2</v>
      </c>
    </row>
    <row r="473">
      <c r="A473" s="1">
        <v>472.0</v>
      </c>
      <c r="B473" s="1" t="s">
        <v>2981</v>
      </c>
      <c r="C473" s="1" t="s">
        <v>507</v>
      </c>
      <c r="D473" s="1"/>
      <c r="E473" s="1">
        <v>472.0</v>
      </c>
      <c r="F473" s="1" t="s">
        <v>2981</v>
      </c>
      <c r="G473" s="1" t="str">
        <f>IFERROR(__xludf.DUMMYFUNCTION("SPLIT(C473, "", "")"),"Comedy")</f>
        <v>Comedy</v>
      </c>
      <c r="H473" s="5" t="str">
        <f>IFERROR(__xludf.DUMMYFUNCTION("""COMPUTED_VALUE"""),"Drama")</f>
        <v>Drama</v>
      </c>
      <c r="J473" s="5" t="str">
        <f>IFERROR(__xludf.DUMMYFUNCTION("""COMPUTED_VALUE"""),"158🤙🏼Der Untergang🤙🏼Biography🤙🏼1")</f>
        <v>158🤙🏼Der Untergang🤙🏼Biography🤙🏼1</v>
      </c>
      <c r="K473" s="5">
        <f>IFERROR(__xludf.DUMMYFUNCTION("SPLiT(J473, ""🤙🏼"",FALSE,FALSE)"),158.0)</f>
        <v>158</v>
      </c>
      <c r="L473" s="5" t="str">
        <f>IFERROR(__xludf.DUMMYFUNCTION("""COMPUTED_VALUE"""),"Der Untergang")</f>
        <v>Der Untergang</v>
      </c>
      <c r="M473" s="5" t="str">
        <f>IFERROR(__xludf.DUMMYFUNCTION("""COMPUTED_VALUE"""),"Biography")</f>
        <v>Biography</v>
      </c>
      <c r="N473" s="5">
        <f>IFERROR(__xludf.DUMMYFUNCTION("""COMPUTED_VALUE"""),1.0)</f>
        <v>1</v>
      </c>
      <c r="S473" s="5">
        <f>IFERROR(__xludf.DUMMYFUNCTION("""COMPUTED_VALUE"""),189.0)</f>
        <v>189</v>
      </c>
      <c r="T473" s="5" t="str">
        <f>IFERROR(__xludf.DUMMYFUNCTION("""COMPUTED_VALUE"""),"Tôkyô monogatari")</f>
        <v>Tôkyô monogatari</v>
      </c>
      <c r="U473" s="5" t="str">
        <f>IFERROR(__xludf.DUMMYFUNCTION("""COMPUTED_VALUE"""),"Drama")</f>
        <v>Drama</v>
      </c>
      <c r="V473" s="5">
        <f>IFERROR(__xludf.DUMMYFUNCTION("""COMPUTED_VALUE"""),1.0)</f>
        <v>1</v>
      </c>
    </row>
    <row r="474">
      <c r="A474" s="1">
        <v>473.0</v>
      </c>
      <c r="B474" s="1" t="s">
        <v>2986</v>
      </c>
      <c r="C474" s="1" t="s">
        <v>2173</v>
      </c>
      <c r="D474" s="1"/>
      <c r="E474" s="1">
        <v>473.0</v>
      </c>
      <c r="F474" s="1" t="s">
        <v>2986</v>
      </c>
      <c r="G474" s="1" t="str">
        <f>IFERROR(__xludf.DUMMYFUNCTION("SPLIT(C474, "", "")"),"Comedy")</f>
        <v>Comedy</v>
      </c>
      <c r="H474" s="5" t="str">
        <f>IFERROR(__xludf.DUMMYFUNCTION("""COMPUTED_VALUE"""),"Drama")</f>
        <v>Drama</v>
      </c>
      <c r="I474" s="5" t="str">
        <f>IFERROR(__xludf.DUMMYFUNCTION("""COMPUTED_VALUE"""),"Music")</f>
        <v>Music</v>
      </c>
      <c r="J474" s="5" t="str">
        <f>IFERROR(__xludf.DUMMYFUNCTION("""COMPUTED_VALUE"""),"158🤙🏼Der Untergang🤙🏼Drama🤙🏼2")</f>
        <v>158🤙🏼Der Untergang🤙🏼Drama🤙🏼2</v>
      </c>
      <c r="K474" s="5">
        <f>IFERROR(__xludf.DUMMYFUNCTION("SPLiT(J474, ""🤙🏼"",FALSE,FALSE)"),158.0)</f>
        <v>158</v>
      </c>
      <c r="L474" s="5" t="str">
        <f>IFERROR(__xludf.DUMMYFUNCTION("""COMPUTED_VALUE"""),"Der Untergang")</f>
        <v>Der Untergang</v>
      </c>
      <c r="M474" s="5" t="str">
        <f>IFERROR(__xludf.DUMMYFUNCTION("""COMPUTED_VALUE"""),"Drama")</f>
        <v>Drama</v>
      </c>
      <c r="N474" s="5">
        <f>IFERROR(__xludf.DUMMYFUNCTION("""COMPUTED_VALUE"""),2.0)</f>
        <v>2</v>
      </c>
      <c r="S474" s="5">
        <f>IFERROR(__xludf.DUMMYFUNCTION("""COMPUTED_VALUE"""),190.0)</f>
        <v>190</v>
      </c>
      <c r="T474" s="5" t="str">
        <f>IFERROR(__xludf.DUMMYFUNCTION("""COMPUTED_VALUE"""),"Rashômon")</f>
        <v>Rashômon</v>
      </c>
      <c r="U474" s="5" t="str">
        <f>IFERROR(__xludf.DUMMYFUNCTION("""COMPUTED_VALUE"""),"Crime")</f>
        <v>Crime</v>
      </c>
      <c r="V474" s="5">
        <f>IFERROR(__xludf.DUMMYFUNCTION("""COMPUTED_VALUE"""),1.0)</f>
        <v>1</v>
      </c>
    </row>
    <row r="475">
      <c r="A475" s="1">
        <v>474.0</v>
      </c>
      <c r="B475" s="1" t="s">
        <v>2993</v>
      </c>
      <c r="C475" s="1" t="s">
        <v>1252</v>
      </c>
      <c r="D475" s="1"/>
      <c r="E475" s="1">
        <v>474.0</v>
      </c>
      <c r="F475" s="1" t="s">
        <v>2993</v>
      </c>
      <c r="G475" s="1" t="str">
        <f>IFERROR(__xludf.DUMMYFUNCTION("SPLIT(C475, "", "")"),"Action")</f>
        <v>Action</v>
      </c>
      <c r="H475" s="5" t="str">
        <f>IFERROR(__xludf.DUMMYFUNCTION("""COMPUTED_VALUE"""),"Adventure")</f>
        <v>Adventure</v>
      </c>
      <c r="I475" s="5" t="str">
        <f>IFERROR(__xludf.DUMMYFUNCTION("""COMPUTED_VALUE"""),"Comedy")</f>
        <v>Comedy</v>
      </c>
      <c r="J475" s="5" t="str">
        <f>IFERROR(__xludf.DUMMYFUNCTION("""COMPUTED_VALUE"""),"158🤙🏼Der Untergang🤙🏼History🤙🏼3")</f>
        <v>158🤙🏼Der Untergang🤙🏼History🤙🏼3</v>
      </c>
      <c r="K475" s="5">
        <f>IFERROR(__xludf.DUMMYFUNCTION("SPLiT(J475, ""🤙🏼"",FALSE,FALSE)"),158.0)</f>
        <v>158</v>
      </c>
      <c r="L475" s="5" t="str">
        <f>IFERROR(__xludf.DUMMYFUNCTION("""COMPUTED_VALUE"""),"Der Untergang")</f>
        <v>Der Untergang</v>
      </c>
      <c r="M475" s="5" t="str">
        <f>IFERROR(__xludf.DUMMYFUNCTION("""COMPUTED_VALUE"""),"History")</f>
        <v>History</v>
      </c>
      <c r="N475" s="5">
        <f>IFERROR(__xludf.DUMMYFUNCTION("""COMPUTED_VALUE"""),3.0)</f>
        <v>3</v>
      </c>
      <c r="S475" s="5">
        <f>IFERROR(__xludf.DUMMYFUNCTION("""COMPUTED_VALUE"""),190.0)</f>
        <v>190</v>
      </c>
      <c r="T475" s="5" t="str">
        <f>IFERROR(__xludf.DUMMYFUNCTION("""COMPUTED_VALUE"""),"Rashômon")</f>
        <v>Rashômon</v>
      </c>
      <c r="U475" s="5" t="str">
        <f>IFERROR(__xludf.DUMMYFUNCTION("""COMPUTED_VALUE"""),"Drama")</f>
        <v>Drama</v>
      </c>
      <c r="V475" s="5">
        <f>IFERROR(__xludf.DUMMYFUNCTION("""COMPUTED_VALUE"""),2.0)</f>
        <v>2</v>
      </c>
    </row>
    <row r="476">
      <c r="A476" s="1">
        <v>475.0</v>
      </c>
      <c r="B476" s="1" t="s">
        <v>2997</v>
      </c>
      <c r="C476" s="1" t="s">
        <v>241</v>
      </c>
      <c r="D476" s="1"/>
      <c r="E476" s="1">
        <v>475.0</v>
      </c>
      <c r="F476" s="1" t="s">
        <v>2997</v>
      </c>
      <c r="G476" s="1" t="str">
        <f>IFERROR(__xludf.DUMMYFUNCTION("SPLIT(C476, "", "")"),"Crime")</f>
        <v>Crime</v>
      </c>
      <c r="H476" s="5" t="str">
        <f>IFERROR(__xludf.DUMMYFUNCTION("""COMPUTED_VALUE"""),"Drama")</f>
        <v>Drama</v>
      </c>
      <c r="I476" s="5" t="str">
        <f>IFERROR(__xludf.DUMMYFUNCTION("""COMPUTED_VALUE"""),"Thriller")</f>
        <v>Thriller</v>
      </c>
      <c r="J476" s="5" t="str">
        <f>IFERROR(__xludf.DUMMYFUNCTION("""COMPUTED_VALUE"""),"159🤙🏼Hauru no ugoku shiro🤙🏼Animation🤙🏼1")</f>
        <v>159🤙🏼Hauru no ugoku shiro🤙🏼Animation🤙🏼1</v>
      </c>
      <c r="K476" s="5">
        <f>IFERROR(__xludf.DUMMYFUNCTION("SPLiT(J476, ""🤙🏼"",FALSE,FALSE)"),159.0)</f>
        <v>159</v>
      </c>
      <c r="L476" s="5" t="str">
        <f>IFERROR(__xludf.DUMMYFUNCTION("""COMPUTED_VALUE"""),"Hauru no ugoku shiro")</f>
        <v>Hauru no ugoku shiro</v>
      </c>
      <c r="M476" s="5" t="str">
        <f>IFERROR(__xludf.DUMMYFUNCTION("""COMPUTED_VALUE"""),"Animation")</f>
        <v>Animation</v>
      </c>
      <c r="N476" s="5">
        <f>IFERROR(__xludf.DUMMYFUNCTION("""COMPUTED_VALUE"""),1.0)</f>
        <v>1</v>
      </c>
      <c r="S476" s="5">
        <f>IFERROR(__xludf.DUMMYFUNCTION("""COMPUTED_VALUE"""),190.0)</f>
        <v>190</v>
      </c>
      <c r="T476" s="5" t="str">
        <f>IFERROR(__xludf.DUMMYFUNCTION("""COMPUTED_VALUE"""),"Rashômon")</f>
        <v>Rashômon</v>
      </c>
      <c r="U476" s="5" t="str">
        <f>IFERROR(__xludf.DUMMYFUNCTION("""COMPUTED_VALUE"""),"Mystery")</f>
        <v>Mystery</v>
      </c>
      <c r="V476" s="5">
        <f>IFERROR(__xludf.DUMMYFUNCTION("""COMPUTED_VALUE"""),3.0)</f>
        <v>3</v>
      </c>
    </row>
    <row r="477">
      <c r="A477" s="1">
        <v>476.0</v>
      </c>
      <c r="B477" s="1" t="s">
        <v>3003</v>
      </c>
      <c r="C477" s="1" t="s">
        <v>635</v>
      </c>
      <c r="D477" s="1"/>
      <c r="E477" s="1">
        <v>476.0</v>
      </c>
      <c r="F477" s="1" t="s">
        <v>3003</v>
      </c>
      <c r="G477" s="1" t="str">
        <f>IFERROR(__xludf.DUMMYFUNCTION("SPLIT(C477, "", "")"),"Comedy")</f>
        <v>Comedy</v>
      </c>
      <c r="H477" s="5" t="str">
        <f>IFERROR(__xludf.DUMMYFUNCTION("""COMPUTED_VALUE"""),"Drama")</f>
        <v>Drama</v>
      </c>
      <c r="I477" s="5" t="str">
        <f>IFERROR(__xludf.DUMMYFUNCTION("""COMPUTED_VALUE"""),"War")</f>
        <v>War</v>
      </c>
      <c r="J477" s="5" t="str">
        <f>IFERROR(__xludf.DUMMYFUNCTION("""COMPUTED_VALUE"""),"159🤙🏼Hauru no ugoku shiro🤙🏼Adventure🤙🏼2")</f>
        <v>159🤙🏼Hauru no ugoku shiro🤙🏼Adventure🤙🏼2</v>
      </c>
      <c r="K477" s="5">
        <f>IFERROR(__xludf.DUMMYFUNCTION("SPLiT(J477, ""🤙🏼"",FALSE,FALSE)"),159.0)</f>
        <v>159</v>
      </c>
      <c r="L477" s="5" t="str">
        <f>IFERROR(__xludf.DUMMYFUNCTION("""COMPUTED_VALUE"""),"Hauru no ugoku shiro")</f>
        <v>Hauru no ugoku shiro</v>
      </c>
      <c r="M477" s="5" t="str">
        <f>IFERROR(__xludf.DUMMYFUNCTION("""COMPUTED_VALUE"""),"Adventure")</f>
        <v>Adventure</v>
      </c>
      <c r="N477" s="5">
        <f>IFERROR(__xludf.DUMMYFUNCTION("""COMPUTED_VALUE"""),2.0)</f>
        <v>2</v>
      </c>
      <c r="S477" s="5">
        <f>IFERROR(__xludf.DUMMYFUNCTION("""COMPUTED_VALUE"""),191.0)</f>
        <v>191</v>
      </c>
      <c r="T477" s="5" t="str">
        <f>IFERROR(__xludf.DUMMYFUNCTION("""COMPUTED_VALUE"""),"All About Eve")</f>
        <v>All About Eve</v>
      </c>
      <c r="U477" s="5" t="str">
        <f>IFERROR(__xludf.DUMMYFUNCTION("""COMPUTED_VALUE"""),"Drama")</f>
        <v>Drama</v>
      </c>
      <c r="V477" s="5">
        <f>IFERROR(__xludf.DUMMYFUNCTION("""COMPUTED_VALUE"""),1.0)</f>
        <v>1</v>
      </c>
    </row>
    <row r="478">
      <c r="A478" s="1">
        <v>477.0</v>
      </c>
      <c r="B478" s="1" t="s">
        <v>3007</v>
      </c>
      <c r="C478" s="1" t="s">
        <v>928</v>
      </c>
      <c r="D478" s="1"/>
      <c r="E478" s="1">
        <v>477.0</v>
      </c>
      <c r="F478" s="1" t="s">
        <v>3007</v>
      </c>
      <c r="G478" s="1" t="str">
        <f>IFERROR(__xludf.DUMMYFUNCTION("SPLIT(C478, "", "")"),"Drama")</f>
        <v>Drama</v>
      </c>
      <c r="H478" s="5" t="str">
        <f>IFERROR(__xludf.DUMMYFUNCTION("""COMPUTED_VALUE"""),"Sci-Fi")</f>
        <v>Sci-Fi</v>
      </c>
      <c r="J478" s="5" t="str">
        <f>IFERROR(__xludf.DUMMYFUNCTION("""COMPUTED_VALUE"""),"159🤙🏼Hauru no ugoku shiro🤙🏼Family🤙🏼3")</f>
        <v>159🤙🏼Hauru no ugoku shiro🤙🏼Family🤙🏼3</v>
      </c>
      <c r="K478" s="5">
        <f>IFERROR(__xludf.DUMMYFUNCTION("SPLiT(J478, ""🤙🏼"",FALSE,FALSE)"),159.0)</f>
        <v>159</v>
      </c>
      <c r="L478" s="5" t="str">
        <f>IFERROR(__xludf.DUMMYFUNCTION("""COMPUTED_VALUE"""),"Hauru no ugoku shiro")</f>
        <v>Hauru no ugoku shiro</v>
      </c>
      <c r="M478" s="5" t="str">
        <f>IFERROR(__xludf.DUMMYFUNCTION("""COMPUTED_VALUE"""),"Family")</f>
        <v>Family</v>
      </c>
      <c r="N478" s="5">
        <f>IFERROR(__xludf.DUMMYFUNCTION("""COMPUTED_VALUE"""),3.0)</f>
        <v>3</v>
      </c>
      <c r="S478" s="5">
        <f>IFERROR(__xludf.DUMMYFUNCTION("""COMPUTED_VALUE"""),192.0)</f>
        <v>192</v>
      </c>
      <c r="T478" s="5" t="str">
        <f>IFERROR(__xludf.DUMMYFUNCTION("""COMPUTED_VALUE"""),"The Treasure of the Sierra Madre")</f>
        <v>The Treasure of the Sierra Madre</v>
      </c>
      <c r="U478" s="5" t="str">
        <f>IFERROR(__xludf.DUMMYFUNCTION("""COMPUTED_VALUE"""),"Adventure")</f>
        <v>Adventure</v>
      </c>
      <c r="V478" s="5">
        <f>IFERROR(__xludf.DUMMYFUNCTION("""COMPUTED_VALUE"""),1.0)</f>
        <v>1</v>
      </c>
    </row>
    <row r="479">
      <c r="A479" s="1">
        <v>478.0</v>
      </c>
      <c r="B479" s="1" t="s">
        <v>3010</v>
      </c>
      <c r="C479" s="1" t="s">
        <v>88</v>
      </c>
      <c r="D479" s="1"/>
      <c r="E479" s="1">
        <v>478.0</v>
      </c>
      <c r="F479" s="1" t="s">
        <v>3010</v>
      </c>
      <c r="G479" s="1" t="str">
        <f>IFERROR(__xludf.DUMMYFUNCTION("SPLIT(C479, "", "")"),"Action")</f>
        <v>Action</v>
      </c>
      <c r="H479" s="5" t="str">
        <f>IFERROR(__xludf.DUMMYFUNCTION("""COMPUTED_VALUE"""),"Adventure")</f>
        <v>Adventure</v>
      </c>
      <c r="I479" s="5" t="str">
        <f>IFERROR(__xludf.DUMMYFUNCTION("""COMPUTED_VALUE"""),"Sci-Fi")</f>
        <v>Sci-Fi</v>
      </c>
      <c r="J479" s="5" t="str">
        <f>IFERROR(__xludf.DUMMYFUNCTION("""COMPUTED_VALUE"""),"160🤙🏼A Beautiful Mind🤙🏼Biography🤙🏼1")</f>
        <v>160🤙🏼A Beautiful Mind🤙🏼Biography🤙🏼1</v>
      </c>
      <c r="K479" s="5">
        <f>IFERROR(__xludf.DUMMYFUNCTION("SPLiT(J479, ""🤙🏼"",FALSE,FALSE)"),160.0)</f>
        <v>160</v>
      </c>
      <c r="L479" s="5" t="str">
        <f>IFERROR(__xludf.DUMMYFUNCTION("""COMPUTED_VALUE"""),"A Beautiful Mind")</f>
        <v>A Beautiful Mind</v>
      </c>
      <c r="M479" s="5" t="str">
        <f>IFERROR(__xludf.DUMMYFUNCTION("""COMPUTED_VALUE"""),"Biography")</f>
        <v>Biography</v>
      </c>
      <c r="N479" s="5">
        <f>IFERROR(__xludf.DUMMYFUNCTION("""COMPUTED_VALUE"""),1.0)</f>
        <v>1</v>
      </c>
      <c r="S479" s="5">
        <f>IFERROR(__xludf.DUMMYFUNCTION("""COMPUTED_VALUE"""),192.0)</f>
        <v>192</v>
      </c>
      <c r="T479" s="5" t="str">
        <f>IFERROR(__xludf.DUMMYFUNCTION("""COMPUTED_VALUE"""),"The Treasure of the Sierra Madre")</f>
        <v>The Treasure of the Sierra Madre</v>
      </c>
      <c r="U479" s="5" t="str">
        <f>IFERROR(__xludf.DUMMYFUNCTION("""COMPUTED_VALUE"""),"Drama")</f>
        <v>Drama</v>
      </c>
      <c r="V479" s="5">
        <f>IFERROR(__xludf.DUMMYFUNCTION("""COMPUTED_VALUE"""),2.0)</f>
        <v>2</v>
      </c>
    </row>
    <row r="480">
      <c r="A480" s="1">
        <v>479.0</v>
      </c>
      <c r="B480" s="1" t="s">
        <v>3016</v>
      </c>
      <c r="C480" s="1" t="s">
        <v>107</v>
      </c>
      <c r="D480" s="1"/>
      <c r="E480" s="1">
        <v>479.0</v>
      </c>
      <c r="F480" s="1" t="s">
        <v>3016</v>
      </c>
      <c r="G480" s="1" t="str">
        <f>IFERROR(__xludf.DUMMYFUNCTION("SPLIT(C480, "", "")"),"Drama")</f>
        <v>Drama</v>
      </c>
      <c r="H480" s="5" t="str">
        <f>IFERROR(__xludf.DUMMYFUNCTION("""COMPUTED_VALUE"""),"Romance")</f>
        <v>Romance</v>
      </c>
      <c r="J480" s="5" t="str">
        <f>IFERROR(__xludf.DUMMYFUNCTION("""COMPUTED_VALUE"""),"160🤙🏼A Beautiful Mind🤙🏼Drama🤙🏼2")</f>
        <v>160🤙🏼A Beautiful Mind🤙🏼Drama🤙🏼2</v>
      </c>
      <c r="K480" s="5">
        <f>IFERROR(__xludf.DUMMYFUNCTION("SPLiT(J480, ""🤙🏼"",FALSE,FALSE)"),160.0)</f>
        <v>160</v>
      </c>
      <c r="L480" s="5" t="str">
        <f>IFERROR(__xludf.DUMMYFUNCTION("""COMPUTED_VALUE"""),"A Beautiful Mind")</f>
        <v>A Beautiful Mind</v>
      </c>
      <c r="M480" s="5" t="str">
        <f>IFERROR(__xludf.DUMMYFUNCTION("""COMPUTED_VALUE"""),"Drama")</f>
        <v>Drama</v>
      </c>
      <c r="N480" s="5">
        <f>IFERROR(__xludf.DUMMYFUNCTION("""COMPUTED_VALUE"""),2.0)</f>
        <v>2</v>
      </c>
      <c r="S480" s="5">
        <f>IFERROR(__xludf.DUMMYFUNCTION("""COMPUTED_VALUE"""),192.0)</f>
        <v>192</v>
      </c>
      <c r="T480" s="5" t="str">
        <f>IFERROR(__xludf.DUMMYFUNCTION("""COMPUTED_VALUE"""),"The Treasure of the Sierra Madre")</f>
        <v>The Treasure of the Sierra Madre</v>
      </c>
      <c r="U480" s="5" t="str">
        <f>IFERROR(__xludf.DUMMYFUNCTION("""COMPUTED_VALUE"""),"Western")</f>
        <v>Western</v>
      </c>
      <c r="V480" s="5">
        <f>IFERROR(__xludf.DUMMYFUNCTION("""COMPUTED_VALUE"""),3.0)</f>
        <v>3</v>
      </c>
    </row>
    <row r="481">
      <c r="A481" s="1">
        <v>480.0</v>
      </c>
      <c r="B481" s="1" t="s">
        <v>3020</v>
      </c>
      <c r="C481" s="1" t="s">
        <v>88</v>
      </c>
      <c r="D481" s="1"/>
      <c r="E481" s="1">
        <v>480.0</v>
      </c>
      <c r="F481" s="1" t="s">
        <v>3020</v>
      </c>
      <c r="G481" s="1" t="str">
        <f>IFERROR(__xludf.DUMMYFUNCTION("SPLIT(C481, "", "")"),"Action")</f>
        <v>Action</v>
      </c>
      <c r="H481" s="5" t="str">
        <f>IFERROR(__xludf.DUMMYFUNCTION("""COMPUTED_VALUE"""),"Adventure")</f>
        <v>Adventure</v>
      </c>
      <c r="I481" s="5" t="str">
        <f>IFERROR(__xludf.DUMMYFUNCTION("""COMPUTED_VALUE"""),"Sci-Fi")</f>
        <v>Sci-Fi</v>
      </c>
      <c r="J481" s="5" t="str">
        <f>IFERROR(__xludf.DUMMYFUNCTION("""COMPUTED_VALUE"""),"160🤙🏼A Beautiful Mind🤙🏼🤙🏼3")</f>
        <v>160🤙🏼A Beautiful Mind🤙🏼🤙🏼3</v>
      </c>
      <c r="K481" s="5">
        <f>IFERROR(__xludf.DUMMYFUNCTION("SPLiT(J481, ""🤙🏼"",FALSE,FALSE)"),160.0)</f>
        <v>160</v>
      </c>
      <c r="L481" s="5" t="str">
        <f>IFERROR(__xludf.DUMMYFUNCTION("""COMPUTED_VALUE"""),"A Beautiful Mind")</f>
        <v>A Beautiful Mind</v>
      </c>
      <c r="M481" s="5"/>
      <c r="N481" s="5">
        <f>IFERROR(__xludf.DUMMYFUNCTION("""COMPUTED_VALUE"""),3.0)</f>
        <v>3</v>
      </c>
      <c r="S481" s="5">
        <f>IFERROR(__xludf.DUMMYFUNCTION("""COMPUTED_VALUE"""),193.0)</f>
        <v>193</v>
      </c>
      <c r="T481" s="5" t="str">
        <f>IFERROR(__xludf.DUMMYFUNCTION("""COMPUTED_VALUE"""),"To Be or Not to Be")</f>
        <v>To Be or Not to Be</v>
      </c>
      <c r="U481" s="5" t="str">
        <f>IFERROR(__xludf.DUMMYFUNCTION("""COMPUTED_VALUE"""),"Comedy")</f>
        <v>Comedy</v>
      </c>
      <c r="V481" s="5">
        <f>IFERROR(__xludf.DUMMYFUNCTION("""COMPUTED_VALUE"""),1.0)</f>
        <v>1</v>
      </c>
    </row>
    <row r="482">
      <c r="A482" s="1">
        <v>481.0</v>
      </c>
      <c r="B482" s="1" t="s">
        <v>3023</v>
      </c>
      <c r="C482" s="1" t="s">
        <v>29</v>
      </c>
      <c r="D482" s="1"/>
      <c r="E482" s="1">
        <v>481.0</v>
      </c>
      <c r="F482" s="1" t="s">
        <v>3023</v>
      </c>
      <c r="G482" s="1" t="str">
        <f>IFERROR(__xludf.DUMMYFUNCTION("SPLIT(C482, "", "")"),"Crime")</f>
        <v>Crime</v>
      </c>
      <c r="H482" s="5" t="str">
        <f>IFERROR(__xludf.DUMMYFUNCTION("""COMPUTED_VALUE"""),"Drama")</f>
        <v>Drama</v>
      </c>
      <c r="J482" s="5" t="str">
        <f>IFERROR(__xludf.DUMMYFUNCTION("""COMPUTED_VALUE"""),"161🤙🏼Hera Pheri🤙🏼Action🤙🏼1")</f>
        <v>161🤙🏼Hera Pheri🤙🏼Action🤙🏼1</v>
      </c>
      <c r="K482" s="5">
        <f>IFERROR(__xludf.DUMMYFUNCTION("SPLiT(J482, ""🤙🏼"",FALSE,FALSE)"),161.0)</f>
        <v>161</v>
      </c>
      <c r="L482" s="5" t="str">
        <f>IFERROR(__xludf.DUMMYFUNCTION("""COMPUTED_VALUE"""),"Hera Pheri")</f>
        <v>Hera Pheri</v>
      </c>
      <c r="M482" s="5" t="str">
        <f>IFERROR(__xludf.DUMMYFUNCTION("""COMPUTED_VALUE"""),"Action")</f>
        <v>Action</v>
      </c>
      <c r="N482" s="5">
        <f>IFERROR(__xludf.DUMMYFUNCTION("""COMPUTED_VALUE"""),1.0)</f>
        <v>1</v>
      </c>
      <c r="S482" s="5">
        <f>IFERROR(__xludf.DUMMYFUNCTION("""COMPUTED_VALUE"""),193.0)</f>
        <v>193</v>
      </c>
      <c r="T482" s="5" t="str">
        <f>IFERROR(__xludf.DUMMYFUNCTION("""COMPUTED_VALUE"""),"To Be or Not to Be")</f>
        <v>To Be or Not to Be</v>
      </c>
      <c r="U482" s="5" t="str">
        <f>IFERROR(__xludf.DUMMYFUNCTION("""COMPUTED_VALUE"""),"War")</f>
        <v>War</v>
      </c>
      <c r="V482" s="5">
        <f>IFERROR(__xludf.DUMMYFUNCTION("""COMPUTED_VALUE"""),2.0)</f>
        <v>2</v>
      </c>
    </row>
    <row r="483">
      <c r="A483" s="1">
        <v>482.0</v>
      </c>
      <c r="B483" s="1" t="s">
        <v>3030</v>
      </c>
      <c r="C483" s="1" t="s">
        <v>227</v>
      </c>
      <c r="D483" s="1"/>
      <c r="E483" s="1">
        <v>482.0</v>
      </c>
      <c r="F483" s="1" t="s">
        <v>3030</v>
      </c>
      <c r="G483" s="1" t="str">
        <f>IFERROR(__xludf.DUMMYFUNCTION("SPLIT(C483, "", "")"),"Comedy")</f>
        <v>Comedy</v>
      </c>
      <c r="H483" s="5" t="str">
        <f>IFERROR(__xludf.DUMMYFUNCTION("""COMPUTED_VALUE"""),"Drama")</f>
        <v>Drama</v>
      </c>
      <c r="I483" s="5" t="str">
        <f>IFERROR(__xludf.DUMMYFUNCTION("""COMPUTED_VALUE"""),"Romance")</f>
        <v>Romance</v>
      </c>
      <c r="J483" s="5" t="str">
        <f>IFERROR(__xludf.DUMMYFUNCTION("""COMPUTED_VALUE"""),"161🤙🏼Hera Pheri🤙🏼Comedy🤙🏼2")</f>
        <v>161🤙🏼Hera Pheri🤙🏼Comedy🤙🏼2</v>
      </c>
      <c r="K483" s="5">
        <f>IFERROR(__xludf.DUMMYFUNCTION("SPLiT(J483, ""🤙🏼"",FALSE,FALSE)"),161.0)</f>
        <v>161</v>
      </c>
      <c r="L483" s="5" t="str">
        <f>IFERROR(__xludf.DUMMYFUNCTION("""COMPUTED_VALUE"""),"Hera Pheri")</f>
        <v>Hera Pheri</v>
      </c>
      <c r="M483" s="5" t="str">
        <f>IFERROR(__xludf.DUMMYFUNCTION("""COMPUTED_VALUE"""),"Comedy")</f>
        <v>Comedy</v>
      </c>
      <c r="N483" s="5">
        <f>IFERROR(__xludf.DUMMYFUNCTION("""COMPUTED_VALUE"""),2.0)</f>
        <v>2</v>
      </c>
      <c r="S483" s="5">
        <f>IFERROR(__xludf.DUMMYFUNCTION("""COMPUTED_VALUE"""),194.0)</f>
        <v>194</v>
      </c>
      <c r="T483" s="5" t="str">
        <f>IFERROR(__xludf.DUMMYFUNCTION("""COMPUTED_VALUE"""),"The Gold Rush")</f>
        <v>The Gold Rush</v>
      </c>
      <c r="U483" s="5" t="str">
        <f>IFERROR(__xludf.DUMMYFUNCTION("""COMPUTED_VALUE"""),"Adventure")</f>
        <v>Adventure</v>
      </c>
      <c r="V483" s="5">
        <f>IFERROR(__xludf.DUMMYFUNCTION("""COMPUTED_VALUE"""),1.0)</f>
        <v>1</v>
      </c>
    </row>
    <row r="484">
      <c r="A484" s="1">
        <v>483.0</v>
      </c>
      <c r="B484" s="1" t="s">
        <v>3036</v>
      </c>
      <c r="C484" s="1" t="s">
        <v>88</v>
      </c>
      <c r="D484" s="1"/>
      <c r="E484" s="1">
        <v>483.0</v>
      </c>
      <c r="F484" s="1" t="s">
        <v>3036</v>
      </c>
      <c r="G484" s="1" t="str">
        <f>IFERROR(__xludf.DUMMYFUNCTION("SPLIT(C484, "", "")"),"Action")</f>
        <v>Action</v>
      </c>
      <c r="H484" s="5" t="str">
        <f>IFERROR(__xludf.DUMMYFUNCTION("""COMPUTED_VALUE"""),"Adventure")</f>
        <v>Adventure</v>
      </c>
      <c r="I484" s="5" t="str">
        <f>IFERROR(__xludf.DUMMYFUNCTION("""COMPUTED_VALUE"""),"Sci-Fi")</f>
        <v>Sci-Fi</v>
      </c>
      <c r="J484" s="5" t="str">
        <f>IFERROR(__xludf.DUMMYFUNCTION("""COMPUTED_VALUE"""),"161🤙🏼Hera Pheri🤙🏼Crime🤙🏼3")</f>
        <v>161🤙🏼Hera Pheri🤙🏼Crime🤙🏼3</v>
      </c>
      <c r="K484" s="5">
        <f>IFERROR(__xludf.DUMMYFUNCTION("SPLiT(J484, ""🤙🏼"",FALSE,FALSE)"),161.0)</f>
        <v>161</v>
      </c>
      <c r="L484" s="5" t="str">
        <f>IFERROR(__xludf.DUMMYFUNCTION("""COMPUTED_VALUE"""),"Hera Pheri")</f>
        <v>Hera Pheri</v>
      </c>
      <c r="M484" s="5" t="str">
        <f>IFERROR(__xludf.DUMMYFUNCTION("""COMPUTED_VALUE"""),"Crime")</f>
        <v>Crime</v>
      </c>
      <c r="N484" s="5">
        <f>IFERROR(__xludf.DUMMYFUNCTION("""COMPUTED_VALUE"""),3.0)</f>
        <v>3</v>
      </c>
      <c r="S484" s="5">
        <f>IFERROR(__xludf.DUMMYFUNCTION("""COMPUTED_VALUE"""),194.0)</f>
        <v>194</v>
      </c>
      <c r="T484" s="5" t="str">
        <f>IFERROR(__xludf.DUMMYFUNCTION("""COMPUTED_VALUE"""),"The Gold Rush")</f>
        <v>The Gold Rush</v>
      </c>
      <c r="U484" s="5" t="str">
        <f>IFERROR(__xludf.DUMMYFUNCTION("""COMPUTED_VALUE"""),"Comedy")</f>
        <v>Comedy</v>
      </c>
      <c r="V484" s="5">
        <f>IFERROR(__xludf.DUMMYFUNCTION("""COMPUTED_VALUE"""),2.0)</f>
        <v>2</v>
      </c>
    </row>
    <row r="485">
      <c r="A485" s="1">
        <v>484.0</v>
      </c>
      <c r="B485" s="1" t="s">
        <v>3040</v>
      </c>
      <c r="C485" s="1" t="s">
        <v>107</v>
      </c>
      <c r="D485" s="1"/>
      <c r="E485" s="1">
        <v>484.0</v>
      </c>
      <c r="F485" s="1" t="s">
        <v>3040</v>
      </c>
      <c r="G485" s="1" t="str">
        <f>IFERROR(__xludf.DUMMYFUNCTION("SPLIT(C485, "", "")"),"Drama")</f>
        <v>Drama</v>
      </c>
      <c r="H485" s="5" t="str">
        <f>IFERROR(__xludf.DUMMYFUNCTION("""COMPUTED_VALUE"""),"Romance")</f>
        <v>Romance</v>
      </c>
      <c r="J485" s="5" t="str">
        <f>IFERROR(__xludf.DUMMYFUNCTION("""COMPUTED_VALUE"""),"162🤙🏼Lock, Stock and Two Smoking Barrels🤙🏼Action🤙🏼1")</f>
        <v>162🤙🏼Lock, Stock and Two Smoking Barrels🤙🏼Action🤙🏼1</v>
      </c>
      <c r="K485" s="5">
        <f>IFERROR(__xludf.DUMMYFUNCTION("SPLiT(J485, ""🤙🏼"",FALSE,FALSE)"),162.0)</f>
        <v>162</v>
      </c>
      <c r="L485" s="5" t="str">
        <f>IFERROR(__xludf.DUMMYFUNCTION("""COMPUTED_VALUE"""),"Lock, Stock and Two Smoking Barrels")</f>
        <v>Lock, Stock and Two Smoking Barrels</v>
      </c>
      <c r="M485" s="5" t="str">
        <f>IFERROR(__xludf.DUMMYFUNCTION("""COMPUTED_VALUE"""),"Action")</f>
        <v>Action</v>
      </c>
      <c r="N485" s="5">
        <f>IFERROR(__xludf.DUMMYFUNCTION("""COMPUTED_VALUE"""),1.0)</f>
        <v>1</v>
      </c>
      <c r="S485" s="5">
        <f>IFERROR(__xludf.DUMMYFUNCTION("""COMPUTED_VALUE"""),194.0)</f>
        <v>194</v>
      </c>
      <c r="T485" s="5" t="str">
        <f>IFERROR(__xludf.DUMMYFUNCTION("""COMPUTED_VALUE"""),"The Gold Rush")</f>
        <v>The Gold Rush</v>
      </c>
      <c r="U485" s="5" t="str">
        <f>IFERROR(__xludf.DUMMYFUNCTION("""COMPUTED_VALUE"""),"Drama")</f>
        <v>Drama</v>
      </c>
      <c r="V485" s="5">
        <f>IFERROR(__xludf.DUMMYFUNCTION("""COMPUTED_VALUE"""),3.0)</f>
        <v>3</v>
      </c>
    </row>
    <row r="486">
      <c r="A486" s="1">
        <v>485.0</v>
      </c>
      <c r="B486" s="1" t="s">
        <v>3046</v>
      </c>
      <c r="C486" s="1" t="s">
        <v>137</v>
      </c>
      <c r="D486" s="1"/>
      <c r="E486" s="1">
        <v>485.0</v>
      </c>
      <c r="F486" s="1" t="s">
        <v>3046</v>
      </c>
      <c r="G486" s="1" t="str">
        <f>IFERROR(__xludf.DUMMYFUNCTION("SPLIT(C486, "", "")"),"Biography")</f>
        <v>Biography</v>
      </c>
      <c r="H486" s="5" t="str">
        <f>IFERROR(__xludf.DUMMYFUNCTION("""COMPUTED_VALUE"""),"Crime")</f>
        <v>Crime</v>
      </c>
      <c r="I486" s="5" t="str">
        <f>IFERROR(__xludf.DUMMYFUNCTION("""COMPUTED_VALUE"""),"Drama")</f>
        <v>Drama</v>
      </c>
      <c r="J486" s="5" t="str">
        <f>IFERROR(__xludf.DUMMYFUNCTION("""COMPUTED_VALUE"""),"162🤙🏼Lock, Stock and Two Smoking Barrels🤙🏼Comedy🤙🏼2")</f>
        <v>162🤙🏼Lock, Stock and Two Smoking Barrels🤙🏼Comedy🤙🏼2</v>
      </c>
      <c r="K486" s="5">
        <f>IFERROR(__xludf.DUMMYFUNCTION("SPLiT(J486, ""🤙🏼"",FALSE,FALSE)"),162.0)</f>
        <v>162</v>
      </c>
      <c r="L486" s="5" t="str">
        <f>IFERROR(__xludf.DUMMYFUNCTION("""COMPUTED_VALUE"""),"Lock, Stock and Two Smoking Barrels")</f>
        <v>Lock, Stock and Two Smoking Barrels</v>
      </c>
      <c r="M486" s="5" t="str">
        <f>IFERROR(__xludf.DUMMYFUNCTION("""COMPUTED_VALUE"""),"Comedy")</f>
        <v>Comedy</v>
      </c>
      <c r="N486" s="5">
        <f>IFERROR(__xludf.DUMMYFUNCTION("""COMPUTED_VALUE"""),2.0)</f>
        <v>2</v>
      </c>
      <c r="S486" s="5">
        <f>IFERROR(__xludf.DUMMYFUNCTION("""COMPUTED_VALUE"""),195.0)</f>
        <v>195</v>
      </c>
      <c r="T486" s="5" t="str">
        <f>IFERROR(__xludf.DUMMYFUNCTION("""COMPUTED_VALUE"""),"Sherlock Jr.")</f>
        <v>Sherlock Jr.</v>
      </c>
      <c r="U486" s="5" t="str">
        <f>IFERROR(__xludf.DUMMYFUNCTION("""COMPUTED_VALUE"""),"Action")</f>
        <v>Action</v>
      </c>
      <c r="V486" s="5">
        <f>IFERROR(__xludf.DUMMYFUNCTION("""COMPUTED_VALUE"""),1.0)</f>
        <v>1</v>
      </c>
    </row>
    <row r="487">
      <c r="A487" s="1">
        <v>486.0</v>
      </c>
      <c r="B487" s="1" t="s">
        <v>3049</v>
      </c>
      <c r="C487" s="1" t="s">
        <v>29</v>
      </c>
      <c r="D487" s="1"/>
      <c r="E487" s="1">
        <v>486.0</v>
      </c>
      <c r="F487" s="1" t="s">
        <v>3049</v>
      </c>
      <c r="G487" s="1" t="str">
        <f>IFERROR(__xludf.DUMMYFUNCTION("SPLIT(C487, "", "")"),"Crime")</f>
        <v>Crime</v>
      </c>
      <c r="H487" s="5" t="str">
        <f>IFERROR(__xludf.DUMMYFUNCTION("""COMPUTED_VALUE"""),"Drama")</f>
        <v>Drama</v>
      </c>
      <c r="J487" s="5" t="str">
        <f>IFERROR(__xludf.DUMMYFUNCTION("""COMPUTED_VALUE"""),"162🤙🏼Lock, Stock and Two Smoking Barrels🤙🏼Crime🤙🏼3")</f>
        <v>162🤙🏼Lock, Stock and Two Smoking Barrels🤙🏼Crime🤙🏼3</v>
      </c>
      <c r="K487" s="5">
        <f>IFERROR(__xludf.DUMMYFUNCTION("SPLiT(J487, ""🤙🏼"",FALSE,FALSE)"),162.0)</f>
        <v>162</v>
      </c>
      <c r="L487" s="5" t="str">
        <f>IFERROR(__xludf.DUMMYFUNCTION("""COMPUTED_VALUE"""),"Lock, Stock and Two Smoking Barrels")</f>
        <v>Lock, Stock and Two Smoking Barrels</v>
      </c>
      <c r="M487" s="5" t="str">
        <f>IFERROR(__xludf.DUMMYFUNCTION("""COMPUTED_VALUE"""),"Crime")</f>
        <v>Crime</v>
      </c>
      <c r="N487" s="5">
        <f>IFERROR(__xludf.DUMMYFUNCTION("""COMPUTED_VALUE"""),3.0)</f>
        <v>3</v>
      </c>
      <c r="S487" s="5">
        <f>IFERROR(__xludf.DUMMYFUNCTION("""COMPUTED_VALUE"""),195.0)</f>
        <v>195</v>
      </c>
      <c r="T487" s="5" t="str">
        <f>IFERROR(__xludf.DUMMYFUNCTION("""COMPUTED_VALUE"""),"Sherlock Jr.")</f>
        <v>Sherlock Jr.</v>
      </c>
      <c r="U487" s="5" t="str">
        <f>IFERROR(__xludf.DUMMYFUNCTION("""COMPUTED_VALUE"""),"Comedy")</f>
        <v>Comedy</v>
      </c>
      <c r="V487" s="5">
        <f>IFERROR(__xludf.DUMMYFUNCTION("""COMPUTED_VALUE"""),2.0)</f>
        <v>2</v>
      </c>
    </row>
    <row r="488">
      <c r="A488" s="1">
        <v>487.0</v>
      </c>
      <c r="B488" s="1" t="s">
        <v>3056</v>
      </c>
      <c r="C488" s="1" t="s">
        <v>304</v>
      </c>
      <c r="D488" s="1"/>
      <c r="E488" s="1">
        <v>487.0</v>
      </c>
      <c r="F488" s="1" t="s">
        <v>3056</v>
      </c>
      <c r="G488" s="1" t="str">
        <f>IFERROR(__xludf.DUMMYFUNCTION("SPLIT(C488, "", "")"),"Drama")</f>
        <v>Drama</v>
      </c>
      <c r="H488" s="5" t="str">
        <f>IFERROR(__xludf.DUMMYFUNCTION("""COMPUTED_VALUE"""),"Mystery")</f>
        <v>Mystery</v>
      </c>
      <c r="I488" s="5" t="str">
        <f>IFERROR(__xludf.DUMMYFUNCTION("""COMPUTED_VALUE"""),"Sci-Fi")</f>
        <v>Sci-Fi</v>
      </c>
      <c r="J488" s="5" t="str">
        <f>IFERROR(__xludf.DUMMYFUNCTION("""COMPUTED_VALUE"""),"163🤙🏼L.A. Confidential🤙🏼Crime🤙🏼1")</f>
        <v>163🤙🏼L.A. Confidential🤙🏼Crime🤙🏼1</v>
      </c>
      <c r="K488" s="5">
        <f>IFERROR(__xludf.DUMMYFUNCTION("SPLiT(J488, ""🤙🏼"",FALSE,FALSE)"),163.0)</f>
        <v>163</v>
      </c>
      <c r="L488" s="5" t="str">
        <f>IFERROR(__xludf.DUMMYFUNCTION("""COMPUTED_VALUE"""),"L.A. Confidential")</f>
        <v>L.A. Confidential</v>
      </c>
      <c r="M488" s="5" t="str">
        <f>IFERROR(__xludf.DUMMYFUNCTION("""COMPUTED_VALUE"""),"Crime")</f>
        <v>Crime</v>
      </c>
      <c r="N488" s="5">
        <f>IFERROR(__xludf.DUMMYFUNCTION("""COMPUTED_VALUE"""),1.0)</f>
        <v>1</v>
      </c>
      <c r="S488" s="5">
        <f>IFERROR(__xludf.DUMMYFUNCTION("""COMPUTED_VALUE"""),195.0)</f>
        <v>195</v>
      </c>
      <c r="T488" s="5" t="str">
        <f>IFERROR(__xludf.DUMMYFUNCTION("""COMPUTED_VALUE"""),"Sherlock Jr.")</f>
        <v>Sherlock Jr.</v>
      </c>
      <c r="U488" s="5" t="str">
        <f>IFERROR(__xludf.DUMMYFUNCTION("""COMPUTED_VALUE"""),"Romance")</f>
        <v>Romance</v>
      </c>
      <c r="V488" s="5">
        <f>IFERROR(__xludf.DUMMYFUNCTION("""COMPUTED_VALUE"""),3.0)</f>
        <v>3</v>
      </c>
    </row>
    <row r="489">
      <c r="A489" s="1">
        <v>488.0</v>
      </c>
      <c r="B489" s="1" t="s">
        <v>3061</v>
      </c>
      <c r="C489" s="1" t="s">
        <v>220</v>
      </c>
      <c r="D489" s="1"/>
      <c r="E489" s="1">
        <v>488.0</v>
      </c>
      <c r="F489" s="1" t="s">
        <v>3061</v>
      </c>
      <c r="G489" s="1" t="str">
        <f>IFERROR(__xludf.DUMMYFUNCTION("SPLIT(C489, "", "")"),"Crime")</f>
        <v>Crime</v>
      </c>
      <c r="H489" s="5" t="str">
        <f>IFERROR(__xludf.DUMMYFUNCTION("""COMPUTED_VALUE"""),"Drama")</f>
        <v>Drama</v>
      </c>
      <c r="I489" s="5" t="str">
        <f>IFERROR(__xludf.DUMMYFUNCTION("""COMPUTED_VALUE"""),"Fantasy")</f>
        <v>Fantasy</v>
      </c>
      <c r="J489" s="5" t="str">
        <f>IFERROR(__xludf.DUMMYFUNCTION("""COMPUTED_VALUE"""),"163🤙🏼L.A. Confidential🤙🏼Drama🤙🏼2")</f>
        <v>163🤙🏼L.A. Confidential🤙🏼Drama🤙🏼2</v>
      </c>
      <c r="K489" s="5">
        <f>IFERROR(__xludf.DUMMYFUNCTION("SPLiT(J489, ""🤙🏼"",FALSE,FALSE)"),163.0)</f>
        <v>163</v>
      </c>
      <c r="L489" s="5" t="str">
        <f>IFERROR(__xludf.DUMMYFUNCTION("""COMPUTED_VALUE"""),"L.A. Confidential")</f>
        <v>L.A. Confidential</v>
      </c>
      <c r="M489" s="5" t="str">
        <f>IFERROR(__xludf.DUMMYFUNCTION("""COMPUTED_VALUE"""),"Drama")</f>
        <v>Drama</v>
      </c>
      <c r="N489" s="5">
        <f>IFERROR(__xludf.DUMMYFUNCTION("""COMPUTED_VALUE"""),2.0)</f>
        <v>2</v>
      </c>
      <c r="S489" s="5">
        <f>IFERROR(__xludf.DUMMYFUNCTION("""COMPUTED_VALUE"""),196.0)</f>
        <v>196</v>
      </c>
      <c r="T489" s="5" t="str">
        <f>IFERROR(__xludf.DUMMYFUNCTION("""COMPUTED_VALUE"""),"Portrait de la jeune fille en feu")</f>
        <v>Portrait de la jeune fille en feu</v>
      </c>
      <c r="U489" s="5" t="str">
        <f>IFERROR(__xludf.DUMMYFUNCTION("""COMPUTED_VALUE"""),"Drama")</f>
        <v>Drama</v>
      </c>
      <c r="V489" s="5">
        <f>IFERROR(__xludf.DUMMYFUNCTION("""COMPUTED_VALUE"""),1.0)</f>
        <v>1</v>
      </c>
    </row>
    <row r="490">
      <c r="A490" s="1">
        <v>489.0</v>
      </c>
      <c r="B490" s="1" t="s">
        <v>3068</v>
      </c>
      <c r="C490" s="1" t="s">
        <v>1871</v>
      </c>
      <c r="D490" s="1"/>
      <c r="E490" s="1">
        <v>489.0</v>
      </c>
      <c r="F490" s="1" t="s">
        <v>3068</v>
      </c>
      <c r="G490" s="1" t="str">
        <f>IFERROR(__xludf.DUMMYFUNCTION("SPLIT(C490, "", "")"),"Action")</f>
        <v>Action</v>
      </c>
      <c r="H490" s="5" t="str">
        <f>IFERROR(__xludf.DUMMYFUNCTION("""COMPUTED_VALUE"""),"Sci-Fi")</f>
        <v>Sci-Fi</v>
      </c>
      <c r="I490" s="5" t="str">
        <f>IFERROR(__xludf.DUMMYFUNCTION("""COMPUTED_VALUE"""),"Thriller")</f>
        <v>Thriller</v>
      </c>
      <c r="J490" s="5" t="str">
        <f>IFERROR(__xludf.DUMMYFUNCTION("""COMPUTED_VALUE"""),"163🤙🏼L.A. Confidential🤙🏼Mystery🤙🏼3")</f>
        <v>163🤙🏼L.A. Confidential🤙🏼Mystery🤙🏼3</v>
      </c>
      <c r="K490" s="5">
        <f>IFERROR(__xludf.DUMMYFUNCTION("SPLiT(J490, ""🤙🏼"",FALSE,FALSE)"),163.0)</f>
        <v>163</v>
      </c>
      <c r="L490" s="5" t="str">
        <f>IFERROR(__xludf.DUMMYFUNCTION("""COMPUTED_VALUE"""),"L.A. Confidential")</f>
        <v>L.A. Confidential</v>
      </c>
      <c r="M490" s="5" t="str">
        <f>IFERROR(__xludf.DUMMYFUNCTION("""COMPUTED_VALUE"""),"Mystery")</f>
        <v>Mystery</v>
      </c>
      <c r="N490" s="5">
        <f>IFERROR(__xludf.DUMMYFUNCTION("""COMPUTED_VALUE"""),3.0)</f>
        <v>3</v>
      </c>
      <c r="S490" s="5">
        <f>IFERROR(__xludf.DUMMYFUNCTION("""COMPUTED_VALUE"""),196.0)</f>
        <v>196</v>
      </c>
      <c r="T490" s="5" t="str">
        <f>IFERROR(__xludf.DUMMYFUNCTION("""COMPUTED_VALUE"""),"Portrait de la jeune fille en feu")</f>
        <v>Portrait de la jeune fille en feu</v>
      </c>
      <c r="U490" s="5" t="str">
        <f>IFERROR(__xludf.DUMMYFUNCTION("""COMPUTED_VALUE"""),"Romance")</f>
        <v>Romance</v>
      </c>
      <c r="V490" s="5">
        <f>IFERROR(__xludf.DUMMYFUNCTION("""COMPUTED_VALUE"""),2.0)</f>
        <v>2</v>
      </c>
    </row>
    <row r="491">
      <c r="A491" s="1">
        <v>490.0</v>
      </c>
      <c r="B491" s="1" t="s">
        <v>3075</v>
      </c>
      <c r="C491" s="1" t="s">
        <v>1622</v>
      </c>
      <c r="D491" s="1"/>
      <c r="E491" s="1">
        <v>490.0</v>
      </c>
      <c r="F491" s="1" t="s">
        <v>3075</v>
      </c>
      <c r="G491" s="1" t="str">
        <f>IFERROR(__xludf.DUMMYFUNCTION("SPLIT(C491, "", "")"),"Drama")</f>
        <v>Drama</v>
      </c>
      <c r="H491" s="5" t="str">
        <f>IFERROR(__xludf.DUMMYFUNCTION("""COMPUTED_VALUE"""),"Sport")</f>
        <v>Sport</v>
      </c>
      <c r="J491" s="5" t="str">
        <f>IFERROR(__xludf.DUMMYFUNCTION("""COMPUTED_VALUE"""),"164🤙🏼Eskiya🤙🏼Crime🤙🏼1")</f>
        <v>164🤙🏼Eskiya🤙🏼Crime🤙🏼1</v>
      </c>
      <c r="K491" s="5">
        <f>IFERROR(__xludf.DUMMYFUNCTION("SPLiT(J491, ""🤙🏼"",FALSE,FALSE)"),164.0)</f>
        <v>164</v>
      </c>
      <c r="L491" s="5" t="str">
        <f>IFERROR(__xludf.DUMMYFUNCTION("""COMPUTED_VALUE"""),"Eskiya")</f>
        <v>Eskiya</v>
      </c>
      <c r="M491" s="5" t="str">
        <f>IFERROR(__xludf.DUMMYFUNCTION("""COMPUTED_VALUE"""),"Crime")</f>
        <v>Crime</v>
      </c>
      <c r="N491" s="5">
        <f>IFERROR(__xludf.DUMMYFUNCTION("""COMPUTED_VALUE"""),1.0)</f>
        <v>1</v>
      </c>
      <c r="S491" s="5">
        <f>IFERROR(__xludf.DUMMYFUNCTION("""COMPUTED_VALUE"""),197.0)</f>
        <v>197</v>
      </c>
      <c r="T491" s="5" t="str">
        <f>IFERROR(__xludf.DUMMYFUNCTION("""COMPUTED_VALUE"""),"Pink")</f>
        <v>Pink</v>
      </c>
      <c r="U491" s="5" t="str">
        <f>IFERROR(__xludf.DUMMYFUNCTION("""COMPUTED_VALUE"""),"Drama")</f>
        <v>Drama</v>
      </c>
      <c r="V491" s="5">
        <f>IFERROR(__xludf.DUMMYFUNCTION("""COMPUTED_VALUE"""),1.0)</f>
        <v>1</v>
      </c>
    </row>
    <row r="492">
      <c r="A492" s="1">
        <v>491.0</v>
      </c>
      <c r="B492" s="1" t="s">
        <v>3080</v>
      </c>
      <c r="C492" s="1" t="s">
        <v>227</v>
      </c>
      <c r="D492" s="1"/>
      <c r="E492" s="1">
        <v>491.0</v>
      </c>
      <c r="F492" s="1" t="s">
        <v>3080</v>
      </c>
      <c r="G492" s="1" t="str">
        <f>IFERROR(__xludf.DUMMYFUNCTION("SPLIT(C492, "", "")"),"Comedy")</f>
        <v>Comedy</v>
      </c>
      <c r="H492" s="5" t="str">
        <f>IFERROR(__xludf.DUMMYFUNCTION("""COMPUTED_VALUE"""),"Drama")</f>
        <v>Drama</v>
      </c>
      <c r="I492" s="5" t="str">
        <f>IFERROR(__xludf.DUMMYFUNCTION("""COMPUTED_VALUE"""),"Romance")</f>
        <v>Romance</v>
      </c>
      <c r="J492" s="5" t="str">
        <f>IFERROR(__xludf.DUMMYFUNCTION("""COMPUTED_VALUE"""),"164🤙🏼Eskiya🤙🏼Drama🤙🏼2")</f>
        <v>164🤙🏼Eskiya🤙🏼Drama🤙🏼2</v>
      </c>
      <c r="K492" s="5">
        <f>IFERROR(__xludf.DUMMYFUNCTION("SPLiT(J492, ""🤙🏼"",FALSE,FALSE)"),164.0)</f>
        <v>164</v>
      </c>
      <c r="L492" s="5" t="str">
        <f>IFERROR(__xludf.DUMMYFUNCTION("""COMPUTED_VALUE"""),"Eskiya")</f>
        <v>Eskiya</v>
      </c>
      <c r="M492" s="5" t="str">
        <f>IFERROR(__xludf.DUMMYFUNCTION("""COMPUTED_VALUE"""),"Drama")</f>
        <v>Drama</v>
      </c>
      <c r="N492" s="5">
        <f>IFERROR(__xludf.DUMMYFUNCTION("""COMPUTED_VALUE"""),2.0)</f>
        <v>2</v>
      </c>
      <c r="S492" s="5">
        <f>IFERROR(__xludf.DUMMYFUNCTION("""COMPUTED_VALUE"""),197.0)</f>
        <v>197</v>
      </c>
      <c r="T492" s="5" t="str">
        <f>IFERROR(__xludf.DUMMYFUNCTION("""COMPUTED_VALUE"""),"Pink")</f>
        <v>Pink</v>
      </c>
      <c r="U492" s="5" t="str">
        <f>IFERROR(__xludf.DUMMYFUNCTION("""COMPUTED_VALUE"""),"Thriller")</f>
        <v>Thriller</v>
      </c>
      <c r="V492" s="5">
        <f>IFERROR(__xludf.DUMMYFUNCTION("""COMPUTED_VALUE"""),2.0)</f>
        <v>2</v>
      </c>
    </row>
    <row r="493">
      <c r="A493" s="1">
        <v>492.0</v>
      </c>
      <c r="B493" s="1" t="s">
        <v>3086</v>
      </c>
      <c r="C493" s="1" t="s">
        <v>20</v>
      </c>
      <c r="D493" s="1"/>
      <c r="E493" s="1">
        <v>492.0</v>
      </c>
      <c r="F493" s="1" t="s">
        <v>3086</v>
      </c>
      <c r="G493" s="1" t="str">
        <f>IFERROR(__xludf.DUMMYFUNCTION("SPLIT(C493, "", "")"),"Drama")</f>
        <v>Drama</v>
      </c>
      <c r="J493" s="5" t="str">
        <f>IFERROR(__xludf.DUMMYFUNCTION("""COMPUTED_VALUE"""),"164🤙🏼Eskiya🤙🏼Thriller🤙🏼3")</f>
        <v>164🤙🏼Eskiya🤙🏼Thriller🤙🏼3</v>
      </c>
      <c r="K493" s="5">
        <f>IFERROR(__xludf.DUMMYFUNCTION("SPLiT(J493, ""🤙🏼"",FALSE,FALSE)"),164.0)</f>
        <v>164</v>
      </c>
      <c r="L493" s="5" t="str">
        <f>IFERROR(__xludf.DUMMYFUNCTION("""COMPUTED_VALUE"""),"Eskiya")</f>
        <v>Eskiya</v>
      </c>
      <c r="M493" s="5" t="str">
        <f>IFERROR(__xludf.DUMMYFUNCTION("""COMPUTED_VALUE"""),"Thriller")</f>
        <v>Thriller</v>
      </c>
      <c r="N493" s="5">
        <f>IFERROR(__xludf.DUMMYFUNCTION("""COMPUTED_VALUE"""),3.0)</f>
        <v>3</v>
      </c>
      <c r="S493" s="5">
        <f>IFERROR(__xludf.DUMMYFUNCTION("""COMPUTED_VALUE"""),198.0)</f>
        <v>198</v>
      </c>
      <c r="T493" s="5" t="str">
        <f>IFERROR(__xludf.DUMMYFUNCTION("""COMPUTED_VALUE"""),"Koe no katachi")</f>
        <v>Koe no katachi</v>
      </c>
      <c r="U493" s="5" t="str">
        <f>IFERROR(__xludf.DUMMYFUNCTION("""COMPUTED_VALUE"""),"Animation")</f>
        <v>Animation</v>
      </c>
      <c r="V493" s="5">
        <f>IFERROR(__xludf.DUMMYFUNCTION("""COMPUTED_VALUE"""),1.0)</f>
        <v>1</v>
      </c>
    </row>
    <row r="494">
      <c r="A494" s="1">
        <v>493.0</v>
      </c>
      <c r="B494" s="1" t="s">
        <v>3091</v>
      </c>
      <c r="C494" s="1" t="s">
        <v>20</v>
      </c>
      <c r="D494" s="1"/>
      <c r="E494" s="1">
        <v>493.0</v>
      </c>
      <c r="F494" s="1" t="s">
        <v>3091</v>
      </c>
      <c r="G494" s="1" t="str">
        <f>IFERROR(__xludf.DUMMYFUNCTION("SPLIT(C494, "", "")"),"Drama")</f>
        <v>Drama</v>
      </c>
      <c r="J494" s="5" t="str">
        <f>IFERROR(__xludf.DUMMYFUNCTION("""COMPUTED_VALUE"""),"165🤙🏼Heat🤙🏼Crime🤙🏼1")</f>
        <v>165🤙🏼Heat🤙🏼Crime🤙🏼1</v>
      </c>
      <c r="K494" s="5">
        <f>IFERROR(__xludf.DUMMYFUNCTION("SPLiT(J494, ""🤙🏼"",FALSE,FALSE)"),165.0)</f>
        <v>165</v>
      </c>
      <c r="L494" s="5" t="str">
        <f>IFERROR(__xludf.DUMMYFUNCTION("""COMPUTED_VALUE"""),"Heat")</f>
        <v>Heat</v>
      </c>
      <c r="M494" s="5" t="str">
        <f>IFERROR(__xludf.DUMMYFUNCTION("""COMPUTED_VALUE"""),"Crime")</f>
        <v>Crime</v>
      </c>
      <c r="N494" s="5">
        <f>IFERROR(__xludf.DUMMYFUNCTION("""COMPUTED_VALUE"""),1.0)</f>
        <v>1</v>
      </c>
      <c r="S494" s="5">
        <f>IFERROR(__xludf.DUMMYFUNCTION("""COMPUTED_VALUE"""),198.0)</f>
        <v>198</v>
      </c>
      <c r="T494" s="5" t="str">
        <f>IFERROR(__xludf.DUMMYFUNCTION("""COMPUTED_VALUE"""),"Koe no katachi")</f>
        <v>Koe no katachi</v>
      </c>
      <c r="U494" s="5" t="str">
        <f>IFERROR(__xludf.DUMMYFUNCTION("""COMPUTED_VALUE"""),"Drama")</f>
        <v>Drama</v>
      </c>
      <c r="V494" s="5">
        <f>IFERROR(__xludf.DUMMYFUNCTION("""COMPUTED_VALUE"""),2.0)</f>
        <v>2</v>
      </c>
    </row>
    <row r="495">
      <c r="A495" s="1">
        <v>494.0</v>
      </c>
      <c r="B495" s="1" t="s">
        <v>3098</v>
      </c>
      <c r="C495" s="1" t="s">
        <v>88</v>
      </c>
      <c r="D495" s="1"/>
      <c r="E495" s="1">
        <v>494.0</v>
      </c>
      <c r="F495" s="1" t="s">
        <v>3098</v>
      </c>
      <c r="G495" s="1" t="str">
        <f>IFERROR(__xludf.DUMMYFUNCTION("SPLIT(C495, "", "")"),"Action")</f>
        <v>Action</v>
      </c>
      <c r="H495" s="5" t="str">
        <f>IFERROR(__xludf.DUMMYFUNCTION("""COMPUTED_VALUE"""),"Adventure")</f>
        <v>Adventure</v>
      </c>
      <c r="I495" s="5" t="str">
        <f>IFERROR(__xludf.DUMMYFUNCTION("""COMPUTED_VALUE"""),"Sci-Fi")</f>
        <v>Sci-Fi</v>
      </c>
      <c r="J495" s="5" t="str">
        <f>IFERROR(__xludf.DUMMYFUNCTION("""COMPUTED_VALUE"""),"165🤙🏼Heat🤙🏼Drama🤙🏼2")</f>
        <v>165🤙🏼Heat🤙🏼Drama🤙🏼2</v>
      </c>
      <c r="K495" s="5">
        <f>IFERROR(__xludf.DUMMYFUNCTION("SPLiT(J495, ""🤙🏼"",FALSE,FALSE)"),165.0)</f>
        <v>165</v>
      </c>
      <c r="L495" s="5" t="str">
        <f>IFERROR(__xludf.DUMMYFUNCTION("""COMPUTED_VALUE"""),"Heat")</f>
        <v>Heat</v>
      </c>
      <c r="M495" s="5" t="str">
        <f>IFERROR(__xludf.DUMMYFUNCTION("""COMPUTED_VALUE"""),"Drama")</f>
        <v>Drama</v>
      </c>
      <c r="N495" s="5">
        <f>IFERROR(__xludf.DUMMYFUNCTION("""COMPUTED_VALUE"""),2.0)</f>
        <v>2</v>
      </c>
      <c r="S495" s="5">
        <f>IFERROR(__xludf.DUMMYFUNCTION("""COMPUTED_VALUE"""),198.0)</f>
        <v>198</v>
      </c>
      <c r="T495" s="5" t="str">
        <f>IFERROR(__xludf.DUMMYFUNCTION("""COMPUTED_VALUE"""),"Koe no katachi")</f>
        <v>Koe no katachi</v>
      </c>
      <c r="U495" s="5" t="str">
        <f>IFERROR(__xludf.DUMMYFUNCTION("""COMPUTED_VALUE"""),"Family")</f>
        <v>Family</v>
      </c>
      <c r="V495" s="5">
        <f>IFERROR(__xludf.DUMMYFUNCTION("""COMPUTED_VALUE"""),3.0)</f>
        <v>3</v>
      </c>
    </row>
    <row r="496">
      <c r="A496" s="1">
        <v>495.0</v>
      </c>
      <c r="B496" s="1" t="s">
        <v>3104</v>
      </c>
      <c r="C496" s="1" t="s">
        <v>831</v>
      </c>
      <c r="D496" s="1"/>
      <c r="E496" s="1">
        <v>495.0</v>
      </c>
      <c r="F496" s="1" t="s">
        <v>3104</v>
      </c>
      <c r="G496" s="1" t="str">
        <f>IFERROR(__xludf.DUMMYFUNCTION("SPLIT(C496, "", "")"),"Comedy")</f>
        <v>Comedy</v>
      </c>
      <c r="H496" s="5" t="str">
        <f>IFERROR(__xludf.DUMMYFUNCTION("""COMPUTED_VALUE"""),"Crime")</f>
        <v>Crime</v>
      </c>
      <c r="I496" s="5" t="str">
        <f>IFERROR(__xludf.DUMMYFUNCTION("""COMPUTED_VALUE"""),"Drama")</f>
        <v>Drama</v>
      </c>
      <c r="J496" s="5" t="str">
        <f>IFERROR(__xludf.DUMMYFUNCTION("""COMPUTED_VALUE"""),"165🤙🏼Heat🤙🏼Thriller🤙🏼3")</f>
        <v>165🤙🏼Heat🤙🏼Thriller🤙🏼3</v>
      </c>
      <c r="K496" s="5">
        <f>IFERROR(__xludf.DUMMYFUNCTION("SPLiT(J496, ""🤙🏼"",FALSE,FALSE)"),165.0)</f>
        <v>165</v>
      </c>
      <c r="L496" s="5" t="str">
        <f>IFERROR(__xludf.DUMMYFUNCTION("""COMPUTED_VALUE"""),"Heat")</f>
        <v>Heat</v>
      </c>
      <c r="M496" s="5" t="str">
        <f>IFERROR(__xludf.DUMMYFUNCTION("""COMPUTED_VALUE"""),"Thriller")</f>
        <v>Thriller</v>
      </c>
      <c r="N496" s="5">
        <f>IFERROR(__xludf.DUMMYFUNCTION("""COMPUTED_VALUE"""),3.0)</f>
        <v>3</v>
      </c>
      <c r="S496" s="5">
        <f>IFERROR(__xludf.DUMMYFUNCTION("""COMPUTED_VALUE"""),199.0)</f>
        <v>199</v>
      </c>
      <c r="T496" s="5" t="str">
        <f>IFERROR(__xludf.DUMMYFUNCTION("""COMPUTED_VALUE"""),"Contratiempo")</f>
        <v>Contratiempo</v>
      </c>
      <c r="U496" s="5" t="str">
        <f>IFERROR(__xludf.DUMMYFUNCTION("""COMPUTED_VALUE"""),"Crime")</f>
        <v>Crime</v>
      </c>
      <c r="V496" s="5">
        <f>IFERROR(__xludf.DUMMYFUNCTION("""COMPUTED_VALUE"""),1.0)</f>
        <v>1</v>
      </c>
    </row>
    <row r="497">
      <c r="A497" s="1">
        <v>496.0</v>
      </c>
      <c r="B497" s="1" t="s">
        <v>3108</v>
      </c>
      <c r="C497" s="1" t="s">
        <v>3109</v>
      </c>
      <c r="D497" s="1"/>
      <c r="E497" s="1">
        <v>496.0</v>
      </c>
      <c r="F497" s="1" t="s">
        <v>3108</v>
      </c>
      <c r="G497" s="1" t="str">
        <f>IFERROR(__xludf.DUMMYFUNCTION("SPLIT(C497, "", "")"),"Drama")</f>
        <v>Drama</v>
      </c>
      <c r="H497" s="5" t="str">
        <f>IFERROR(__xludf.DUMMYFUNCTION("""COMPUTED_VALUE"""),"Fantasy")</f>
        <v>Fantasy</v>
      </c>
      <c r="I497" s="5" t="str">
        <f>IFERROR(__xludf.DUMMYFUNCTION("""COMPUTED_VALUE"""),"Mystery")</f>
        <v>Mystery</v>
      </c>
      <c r="J497" s="5" t="str">
        <f>IFERROR(__xludf.DUMMYFUNCTION("""COMPUTED_VALUE"""),"166🤙🏼Casino🤙🏼Crime🤙🏼1")</f>
        <v>166🤙🏼Casino🤙🏼Crime🤙🏼1</v>
      </c>
      <c r="K497" s="5">
        <f>IFERROR(__xludf.DUMMYFUNCTION("SPLiT(J497, ""🤙🏼"",FALSE,FALSE)"),166.0)</f>
        <v>166</v>
      </c>
      <c r="L497" s="5" t="str">
        <f>IFERROR(__xludf.DUMMYFUNCTION("""COMPUTED_VALUE"""),"Casino")</f>
        <v>Casino</v>
      </c>
      <c r="M497" s="5" t="str">
        <f>IFERROR(__xludf.DUMMYFUNCTION("""COMPUTED_VALUE"""),"Crime")</f>
        <v>Crime</v>
      </c>
      <c r="N497" s="5">
        <f>IFERROR(__xludf.DUMMYFUNCTION("""COMPUTED_VALUE"""),1.0)</f>
        <v>1</v>
      </c>
      <c r="S497" s="5">
        <f>IFERROR(__xludf.DUMMYFUNCTION("""COMPUTED_VALUE"""),199.0)</f>
        <v>199</v>
      </c>
      <c r="T497" s="5" t="str">
        <f>IFERROR(__xludf.DUMMYFUNCTION("""COMPUTED_VALUE"""),"Contratiempo")</f>
        <v>Contratiempo</v>
      </c>
      <c r="U497" s="5" t="str">
        <f>IFERROR(__xludf.DUMMYFUNCTION("""COMPUTED_VALUE"""),"Drama")</f>
        <v>Drama</v>
      </c>
      <c r="V497" s="5">
        <f>IFERROR(__xludf.DUMMYFUNCTION("""COMPUTED_VALUE"""),2.0)</f>
        <v>2</v>
      </c>
    </row>
    <row r="498">
      <c r="A498" s="1">
        <v>497.0</v>
      </c>
      <c r="B498" s="1" t="s">
        <v>3116</v>
      </c>
      <c r="C498" s="1" t="s">
        <v>62</v>
      </c>
      <c r="D498" s="1"/>
      <c r="E498" s="1">
        <v>497.0</v>
      </c>
      <c r="F498" s="1" t="s">
        <v>3116</v>
      </c>
      <c r="G498" s="1" t="str">
        <f>IFERROR(__xludf.DUMMYFUNCTION("SPLIT(C498, "", "")"),"Action")</f>
        <v>Action</v>
      </c>
      <c r="H498" s="5" t="str">
        <f>IFERROR(__xludf.DUMMYFUNCTION("""COMPUTED_VALUE"""),"Adventure")</f>
        <v>Adventure</v>
      </c>
      <c r="I498" s="5" t="str">
        <f>IFERROR(__xludf.DUMMYFUNCTION("""COMPUTED_VALUE"""),"Drama")</f>
        <v>Drama</v>
      </c>
      <c r="J498" s="5" t="str">
        <f>IFERROR(__xludf.DUMMYFUNCTION("""COMPUTED_VALUE"""),"166🤙🏼Casino🤙🏼Drama🤙🏼2")</f>
        <v>166🤙🏼Casino🤙🏼Drama🤙🏼2</v>
      </c>
      <c r="K498" s="5">
        <f>IFERROR(__xludf.DUMMYFUNCTION("SPLiT(J498, ""🤙🏼"",FALSE,FALSE)"),166.0)</f>
        <v>166</v>
      </c>
      <c r="L498" s="5" t="str">
        <f>IFERROR(__xludf.DUMMYFUNCTION("""COMPUTED_VALUE"""),"Casino")</f>
        <v>Casino</v>
      </c>
      <c r="M498" s="5" t="str">
        <f>IFERROR(__xludf.DUMMYFUNCTION("""COMPUTED_VALUE"""),"Drama")</f>
        <v>Drama</v>
      </c>
      <c r="N498" s="5">
        <f>IFERROR(__xludf.DUMMYFUNCTION("""COMPUTED_VALUE"""),2.0)</f>
        <v>2</v>
      </c>
      <c r="S498" s="5">
        <f>IFERROR(__xludf.DUMMYFUNCTION("""COMPUTED_VALUE"""),199.0)</f>
        <v>199</v>
      </c>
      <c r="T498" s="5" t="str">
        <f>IFERROR(__xludf.DUMMYFUNCTION("""COMPUTED_VALUE"""),"Contratiempo")</f>
        <v>Contratiempo</v>
      </c>
      <c r="U498" s="5" t="str">
        <f>IFERROR(__xludf.DUMMYFUNCTION("""COMPUTED_VALUE"""),"Mystery")</f>
        <v>Mystery</v>
      </c>
      <c r="V498" s="5">
        <f>IFERROR(__xludf.DUMMYFUNCTION("""COMPUTED_VALUE"""),3.0)</f>
        <v>3</v>
      </c>
    </row>
    <row r="499">
      <c r="A499" s="1">
        <v>498.0</v>
      </c>
      <c r="B499" s="1" t="s">
        <v>3121</v>
      </c>
      <c r="C499" s="1" t="s">
        <v>1565</v>
      </c>
      <c r="D499" s="1"/>
      <c r="E499" s="1">
        <v>498.0</v>
      </c>
      <c r="F499" s="1" t="s">
        <v>3121</v>
      </c>
      <c r="G499" s="1" t="str">
        <f>IFERROR(__xludf.DUMMYFUNCTION("SPLIT(C499, "", "")"),"Adventure")</f>
        <v>Adventure</v>
      </c>
      <c r="H499" s="5" t="str">
        <f>IFERROR(__xludf.DUMMYFUNCTION("""COMPUTED_VALUE"""),"Drama")</f>
        <v>Drama</v>
      </c>
      <c r="I499" s="5" t="str">
        <f>IFERROR(__xludf.DUMMYFUNCTION("""COMPUTED_VALUE"""),"Fantasy")</f>
        <v>Fantasy</v>
      </c>
      <c r="J499" s="5" t="str">
        <f>IFERROR(__xludf.DUMMYFUNCTION("""COMPUTED_VALUE"""),"166🤙🏼Casino🤙🏼🤙🏼3")</f>
        <v>166🤙🏼Casino🤙🏼🤙🏼3</v>
      </c>
      <c r="K499" s="5">
        <f>IFERROR(__xludf.DUMMYFUNCTION("SPLiT(J499, ""🤙🏼"",FALSE,FALSE)"),166.0)</f>
        <v>166</v>
      </c>
      <c r="L499" s="5" t="str">
        <f>IFERROR(__xludf.DUMMYFUNCTION("""COMPUTED_VALUE"""),"Casino")</f>
        <v>Casino</v>
      </c>
      <c r="M499" s="5"/>
      <c r="N499" s="5">
        <f>IFERROR(__xludf.DUMMYFUNCTION("""COMPUTED_VALUE"""),3.0)</f>
        <v>3</v>
      </c>
      <c r="S499" s="5">
        <f>IFERROR(__xludf.DUMMYFUNCTION("""COMPUTED_VALUE"""),200.0)</f>
        <v>200</v>
      </c>
      <c r="T499" s="5" t="str">
        <f>IFERROR(__xludf.DUMMYFUNCTION("""COMPUTED_VALUE"""),"Ah-ga-ssi")</f>
        <v>Ah-ga-ssi</v>
      </c>
      <c r="U499" s="5" t="str">
        <f>IFERROR(__xludf.DUMMYFUNCTION("""COMPUTED_VALUE"""),"Drama")</f>
        <v>Drama</v>
      </c>
      <c r="V499" s="5">
        <f>IFERROR(__xludf.DUMMYFUNCTION("""COMPUTED_VALUE"""),1.0)</f>
        <v>1</v>
      </c>
    </row>
    <row r="500">
      <c r="A500" s="1">
        <v>499.0</v>
      </c>
      <c r="B500" s="1" t="s">
        <v>3128</v>
      </c>
      <c r="C500" s="1" t="s">
        <v>1565</v>
      </c>
      <c r="D500" s="1"/>
      <c r="E500" s="1">
        <v>499.0</v>
      </c>
      <c r="F500" s="1" t="s">
        <v>3128</v>
      </c>
      <c r="G500" s="1" t="str">
        <f>IFERROR(__xludf.DUMMYFUNCTION("SPLIT(C500, "", "")"),"Adventure")</f>
        <v>Adventure</v>
      </c>
      <c r="H500" s="5" t="str">
        <f>IFERROR(__xludf.DUMMYFUNCTION("""COMPUTED_VALUE"""),"Drama")</f>
        <v>Drama</v>
      </c>
      <c r="I500" s="5" t="str">
        <f>IFERROR(__xludf.DUMMYFUNCTION("""COMPUTED_VALUE"""),"Fantasy")</f>
        <v>Fantasy</v>
      </c>
      <c r="J500" s="5" t="str">
        <f>IFERROR(__xludf.DUMMYFUNCTION("""COMPUTED_VALUE"""),"167🤙🏼Andaz Apna Apna🤙🏼Action🤙🏼1")</f>
        <v>167🤙🏼Andaz Apna Apna🤙🏼Action🤙🏼1</v>
      </c>
      <c r="K500" s="5">
        <f>IFERROR(__xludf.DUMMYFUNCTION("SPLiT(J500, ""🤙🏼"",FALSE,FALSE)"),167.0)</f>
        <v>167</v>
      </c>
      <c r="L500" s="5" t="str">
        <f>IFERROR(__xludf.DUMMYFUNCTION("""COMPUTED_VALUE"""),"Andaz Apna Apna")</f>
        <v>Andaz Apna Apna</v>
      </c>
      <c r="M500" s="5" t="str">
        <f>IFERROR(__xludf.DUMMYFUNCTION("""COMPUTED_VALUE"""),"Action")</f>
        <v>Action</v>
      </c>
      <c r="N500" s="5">
        <f>IFERROR(__xludf.DUMMYFUNCTION("""COMPUTED_VALUE"""),1.0)</f>
        <v>1</v>
      </c>
      <c r="S500" s="5">
        <f>IFERROR(__xludf.DUMMYFUNCTION("""COMPUTED_VALUE"""),200.0)</f>
        <v>200</v>
      </c>
      <c r="T500" s="5" t="str">
        <f>IFERROR(__xludf.DUMMYFUNCTION("""COMPUTED_VALUE"""),"Ah-ga-ssi")</f>
        <v>Ah-ga-ssi</v>
      </c>
      <c r="U500" s="5" t="str">
        <f>IFERROR(__xludf.DUMMYFUNCTION("""COMPUTED_VALUE"""),"Romance")</f>
        <v>Romance</v>
      </c>
      <c r="V500" s="5">
        <f>IFERROR(__xludf.DUMMYFUNCTION("""COMPUTED_VALUE"""),2.0)</f>
        <v>2</v>
      </c>
    </row>
    <row r="501">
      <c r="A501" s="1">
        <v>500.0</v>
      </c>
      <c r="B501" s="1" t="s">
        <v>3133</v>
      </c>
      <c r="C501" s="1" t="s">
        <v>765</v>
      </c>
      <c r="D501" s="1"/>
      <c r="E501" s="1">
        <v>500.0</v>
      </c>
      <c r="F501" s="1" t="s">
        <v>3133</v>
      </c>
      <c r="G501" s="1" t="str">
        <f>IFERROR(__xludf.DUMMYFUNCTION("SPLIT(C501, "", "")"),"Animation")</f>
        <v>Animation</v>
      </c>
      <c r="H501" s="5" t="str">
        <f>IFERROR(__xludf.DUMMYFUNCTION("""COMPUTED_VALUE"""),"Adventure")</f>
        <v>Adventure</v>
      </c>
      <c r="I501" s="5" t="str">
        <f>IFERROR(__xludf.DUMMYFUNCTION("""COMPUTED_VALUE"""),"Comedy")</f>
        <v>Comedy</v>
      </c>
      <c r="J501" s="5" t="str">
        <f>IFERROR(__xludf.DUMMYFUNCTION("""COMPUTED_VALUE"""),"167🤙🏼Andaz Apna Apna🤙🏼Comedy🤙🏼2")</f>
        <v>167🤙🏼Andaz Apna Apna🤙🏼Comedy🤙🏼2</v>
      </c>
      <c r="K501" s="5">
        <f>IFERROR(__xludf.DUMMYFUNCTION("SPLiT(J501, ""🤙🏼"",FALSE,FALSE)"),167.0)</f>
        <v>167</v>
      </c>
      <c r="L501" s="5" t="str">
        <f>IFERROR(__xludf.DUMMYFUNCTION("""COMPUTED_VALUE"""),"Andaz Apna Apna")</f>
        <v>Andaz Apna Apna</v>
      </c>
      <c r="M501" s="5" t="str">
        <f>IFERROR(__xludf.DUMMYFUNCTION("""COMPUTED_VALUE"""),"Comedy")</f>
        <v>Comedy</v>
      </c>
      <c r="N501" s="5">
        <f>IFERROR(__xludf.DUMMYFUNCTION("""COMPUTED_VALUE"""),2.0)</f>
        <v>2</v>
      </c>
      <c r="S501" s="5">
        <f>IFERROR(__xludf.DUMMYFUNCTION("""COMPUTED_VALUE"""),200.0)</f>
        <v>200</v>
      </c>
      <c r="T501" s="5" t="str">
        <f>IFERROR(__xludf.DUMMYFUNCTION("""COMPUTED_VALUE"""),"Ah-ga-ssi")</f>
        <v>Ah-ga-ssi</v>
      </c>
      <c r="U501" s="5" t="str">
        <f>IFERROR(__xludf.DUMMYFUNCTION("""COMPUTED_VALUE"""),"Thriller")</f>
        <v>Thriller</v>
      </c>
      <c r="V501" s="5">
        <f>IFERROR(__xludf.DUMMYFUNCTION("""COMPUTED_VALUE"""),3.0)</f>
        <v>3</v>
      </c>
    </row>
    <row r="502">
      <c r="A502" s="1">
        <v>501.0</v>
      </c>
      <c r="B502" s="1" t="s">
        <v>3137</v>
      </c>
      <c r="C502" s="1" t="s">
        <v>507</v>
      </c>
      <c r="D502" s="1"/>
      <c r="E502" s="1">
        <v>501.0</v>
      </c>
      <c r="F502" s="1" t="s">
        <v>3137</v>
      </c>
      <c r="G502" s="1" t="str">
        <f>IFERROR(__xludf.DUMMYFUNCTION("SPLIT(C502, "", "")"),"Comedy")</f>
        <v>Comedy</v>
      </c>
      <c r="H502" s="5" t="str">
        <f>IFERROR(__xludf.DUMMYFUNCTION("""COMPUTED_VALUE"""),"Drama")</f>
        <v>Drama</v>
      </c>
      <c r="J502" s="5" t="str">
        <f>IFERROR(__xludf.DUMMYFUNCTION("""COMPUTED_VALUE"""),"167🤙🏼Andaz Apna Apna🤙🏼Romance🤙🏼3")</f>
        <v>167🤙🏼Andaz Apna Apna🤙🏼Romance🤙🏼3</v>
      </c>
      <c r="K502" s="5">
        <f>IFERROR(__xludf.DUMMYFUNCTION("SPLiT(J502, ""🤙🏼"",FALSE,FALSE)"),167.0)</f>
        <v>167</v>
      </c>
      <c r="L502" s="5" t="str">
        <f>IFERROR(__xludf.DUMMYFUNCTION("""COMPUTED_VALUE"""),"Andaz Apna Apna")</f>
        <v>Andaz Apna Apna</v>
      </c>
      <c r="M502" s="5" t="str">
        <f>IFERROR(__xludf.DUMMYFUNCTION("""COMPUTED_VALUE"""),"Romance")</f>
        <v>Romance</v>
      </c>
      <c r="N502" s="5">
        <f>IFERROR(__xludf.DUMMYFUNCTION("""COMPUTED_VALUE"""),3.0)</f>
        <v>3</v>
      </c>
      <c r="S502" s="5">
        <f>IFERROR(__xludf.DUMMYFUNCTION("""COMPUTED_VALUE"""),201.0)</f>
        <v>201</v>
      </c>
      <c r="T502" s="5" t="str">
        <f>IFERROR(__xludf.DUMMYFUNCTION("""COMPUTED_VALUE"""),"Mommy")</f>
        <v>Mommy</v>
      </c>
      <c r="U502" s="5" t="str">
        <f>IFERROR(__xludf.DUMMYFUNCTION("""COMPUTED_VALUE"""),"Drama")</f>
        <v>Drama</v>
      </c>
      <c r="V502" s="5">
        <f>IFERROR(__xludf.DUMMYFUNCTION("""COMPUTED_VALUE"""),1.0)</f>
        <v>1</v>
      </c>
    </row>
    <row r="503">
      <c r="A503" s="1">
        <v>502.0</v>
      </c>
      <c r="B503" s="1" t="s">
        <v>3143</v>
      </c>
      <c r="C503" s="1" t="s">
        <v>287</v>
      </c>
      <c r="D503" s="1"/>
      <c r="E503" s="1">
        <v>502.0</v>
      </c>
      <c r="F503" s="1" t="s">
        <v>3143</v>
      </c>
      <c r="G503" s="1" t="str">
        <f>IFERROR(__xludf.DUMMYFUNCTION("SPLIT(C503, "", "")"),"Drama")</f>
        <v>Drama</v>
      </c>
      <c r="H503" s="5" t="str">
        <f>IFERROR(__xludf.DUMMYFUNCTION("""COMPUTED_VALUE"""),"Music")</f>
        <v>Music</v>
      </c>
      <c r="J503" s="5" t="str">
        <f>IFERROR(__xludf.DUMMYFUNCTION("""COMPUTED_VALUE"""),"168🤙🏼Unforgiven🤙🏼Drama🤙🏼1")</f>
        <v>168🤙🏼Unforgiven🤙🏼Drama🤙🏼1</v>
      </c>
      <c r="K503" s="5">
        <f>IFERROR(__xludf.DUMMYFUNCTION("SPLiT(J503, ""🤙🏼"",FALSE,FALSE)"),168.0)</f>
        <v>168</v>
      </c>
      <c r="L503" s="5" t="str">
        <f>IFERROR(__xludf.DUMMYFUNCTION("""COMPUTED_VALUE"""),"Unforgiven")</f>
        <v>Unforgiven</v>
      </c>
      <c r="M503" s="5" t="str">
        <f>IFERROR(__xludf.DUMMYFUNCTION("""COMPUTED_VALUE"""),"Drama")</f>
        <v>Drama</v>
      </c>
      <c r="N503" s="5">
        <f>IFERROR(__xludf.DUMMYFUNCTION("""COMPUTED_VALUE"""),1.0)</f>
        <v>1</v>
      </c>
      <c r="S503" s="5">
        <f>IFERROR(__xludf.DUMMYFUNCTION("""COMPUTED_VALUE"""),202.0)</f>
        <v>202</v>
      </c>
      <c r="T503" s="5" t="str">
        <f>IFERROR(__xludf.DUMMYFUNCTION("""COMPUTED_VALUE"""),"Haider")</f>
        <v>Haider</v>
      </c>
      <c r="U503" s="5" t="str">
        <f>IFERROR(__xludf.DUMMYFUNCTION("""COMPUTED_VALUE"""),"Action")</f>
        <v>Action</v>
      </c>
      <c r="V503" s="5">
        <f>IFERROR(__xludf.DUMMYFUNCTION("""COMPUTED_VALUE"""),1.0)</f>
        <v>1</v>
      </c>
    </row>
    <row r="504">
      <c r="A504" s="1">
        <v>503.0</v>
      </c>
      <c r="B504" s="1" t="s">
        <v>3150</v>
      </c>
      <c r="C504" s="1" t="s">
        <v>88</v>
      </c>
      <c r="D504" s="1"/>
      <c r="E504" s="1">
        <v>503.0</v>
      </c>
      <c r="F504" s="1" t="s">
        <v>3150</v>
      </c>
      <c r="G504" s="1" t="str">
        <f>IFERROR(__xludf.DUMMYFUNCTION("SPLIT(C504, "", "")"),"Action")</f>
        <v>Action</v>
      </c>
      <c r="H504" s="5" t="str">
        <f>IFERROR(__xludf.DUMMYFUNCTION("""COMPUTED_VALUE"""),"Adventure")</f>
        <v>Adventure</v>
      </c>
      <c r="I504" s="5" t="str">
        <f>IFERROR(__xludf.DUMMYFUNCTION("""COMPUTED_VALUE"""),"Sci-Fi")</f>
        <v>Sci-Fi</v>
      </c>
      <c r="J504" s="5" t="str">
        <f>IFERROR(__xludf.DUMMYFUNCTION("""COMPUTED_VALUE"""),"168🤙🏼Unforgiven🤙🏼Western🤙🏼2")</f>
        <v>168🤙🏼Unforgiven🤙🏼Western🤙🏼2</v>
      </c>
      <c r="K504" s="5">
        <f>IFERROR(__xludf.DUMMYFUNCTION("SPLiT(J504, ""🤙🏼"",FALSE,FALSE)"),168.0)</f>
        <v>168</v>
      </c>
      <c r="L504" s="5" t="str">
        <f>IFERROR(__xludf.DUMMYFUNCTION("""COMPUTED_VALUE"""),"Unforgiven")</f>
        <v>Unforgiven</v>
      </c>
      <c r="M504" s="5" t="str">
        <f>IFERROR(__xludf.DUMMYFUNCTION("""COMPUTED_VALUE"""),"Western")</f>
        <v>Western</v>
      </c>
      <c r="N504" s="5">
        <f>IFERROR(__xludf.DUMMYFUNCTION("""COMPUTED_VALUE"""),2.0)</f>
        <v>2</v>
      </c>
      <c r="S504" s="5">
        <f>IFERROR(__xludf.DUMMYFUNCTION("""COMPUTED_VALUE"""),202.0)</f>
        <v>202</v>
      </c>
      <c r="T504" s="5" t="str">
        <f>IFERROR(__xludf.DUMMYFUNCTION("""COMPUTED_VALUE"""),"Haider")</f>
        <v>Haider</v>
      </c>
      <c r="U504" s="5" t="str">
        <f>IFERROR(__xludf.DUMMYFUNCTION("""COMPUTED_VALUE"""),"Crime")</f>
        <v>Crime</v>
      </c>
      <c r="V504" s="5">
        <f>IFERROR(__xludf.DUMMYFUNCTION("""COMPUTED_VALUE"""),2.0)</f>
        <v>2</v>
      </c>
    </row>
    <row r="505">
      <c r="A505" s="1">
        <v>504.0</v>
      </c>
      <c r="B505" s="1" t="s">
        <v>3155</v>
      </c>
      <c r="C505" s="1" t="s">
        <v>3156</v>
      </c>
      <c r="D505" s="1"/>
      <c r="E505" s="1">
        <v>504.0</v>
      </c>
      <c r="F505" s="1" t="s">
        <v>3155</v>
      </c>
      <c r="G505" s="1" t="str">
        <f>IFERROR(__xludf.DUMMYFUNCTION("SPLIT(C505, "", "")"),"Comedy")</f>
        <v>Comedy</v>
      </c>
      <c r="H505" s="5" t="str">
        <f>IFERROR(__xludf.DUMMYFUNCTION("""COMPUTED_VALUE"""),"Horror")</f>
        <v>Horror</v>
      </c>
      <c r="J505" s="5" t="str">
        <f>IFERROR(__xludf.DUMMYFUNCTION("""COMPUTED_VALUE"""),"168🤙🏼Unforgiven🤙🏼🤙🏼3")</f>
        <v>168🤙🏼Unforgiven🤙🏼🤙🏼3</v>
      </c>
      <c r="K505" s="5">
        <f>IFERROR(__xludf.DUMMYFUNCTION("SPLiT(J505, ""🤙🏼"",FALSE,FALSE)"),168.0)</f>
        <v>168</v>
      </c>
      <c r="L505" s="5" t="str">
        <f>IFERROR(__xludf.DUMMYFUNCTION("""COMPUTED_VALUE"""),"Unforgiven")</f>
        <v>Unforgiven</v>
      </c>
      <c r="M505" s="5"/>
      <c r="N505" s="5">
        <f>IFERROR(__xludf.DUMMYFUNCTION("""COMPUTED_VALUE"""),3.0)</f>
        <v>3</v>
      </c>
      <c r="S505" s="5">
        <f>IFERROR(__xludf.DUMMYFUNCTION("""COMPUTED_VALUE"""),202.0)</f>
        <v>202</v>
      </c>
      <c r="T505" s="5" t="str">
        <f>IFERROR(__xludf.DUMMYFUNCTION("""COMPUTED_VALUE"""),"Haider")</f>
        <v>Haider</v>
      </c>
      <c r="U505" s="5" t="str">
        <f>IFERROR(__xludf.DUMMYFUNCTION("""COMPUTED_VALUE"""),"Drama")</f>
        <v>Drama</v>
      </c>
      <c r="V505" s="5">
        <f>IFERROR(__xludf.DUMMYFUNCTION("""COMPUTED_VALUE"""),3.0)</f>
        <v>3</v>
      </c>
    </row>
    <row r="506">
      <c r="A506" s="1">
        <v>505.0</v>
      </c>
      <c r="B506" s="1" t="s">
        <v>3162</v>
      </c>
      <c r="C506" s="1" t="s">
        <v>107</v>
      </c>
      <c r="D506" s="1"/>
      <c r="E506" s="1">
        <v>505.0</v>
      </c>
      <c r="F506" s="1" t="s">
        <v>3162</v>
      </c>
      <c r="G506" s="1" t="str">
        <f>IFERROR(__xludf.DUMMYFUNCTION("SPLIT(C506, "", "")"),"Drama")</f>
        <v>Drama</v>
      </c>
      <c r="H506" s="5" t="str">
        <f>IFERROR(__xludf.DUMMYFUNCTION("""COMPUTED_VALUE"""),"Romance")</f>
        <v>Romance</v>
      </c>
      <c r="J506" s="5" t="str">
        <f>IFERROR(__xludf.DUMMYFUNCTION("""COMPUTED_VALUE"""),"169🤙🏼Indiana Jones and the Last Crusade🤙🏼Action🤙🏼1")</f>
        <v>169🤙🏼Indiana Jones and the Last Crusade🤙🏼Action🤙🏼1</v>
      </c>
      <c r="K506" s="5">
        <f>IFERROR(__xludf.DUMMYFUNCTION("SPLiT(J506, ""🤙🏼"",FALSE,FALSE)"),169.0)</f>
        <v>169</v>
      </c>
      <c r="L506" s="5" t="str">
        <f>IFERROR(__xludf.DUMMYFUNCTION("""COMPUTED_VALUE"""),"Indiana Jones and the Last Crusade")</f>
        <v>Indiana Jones and the Last Crusade</v>
      </c>
      <c r="M506" s="5" t="str">
        <f>IFERROR(__xludf.DUMMYFUNCTION("""COMPUTED_VALUE"""),"Action")</f>
        <v>Action</v>
      </c>
      <c r="N506" s="5">
        <f>IFERROR(__xludf.DUMMYFUNCTION("""COMPUTED_VALUE"""),1.0)</f>
        <v>1</v>
      </c>
      <c r="S506" s="5">
        <f>IFERROR(__xludf.DUMMYFUNCTION("""COMPUTED_VALUE"""),203.0)</f>
        <v>203</v>
      </c>
      <c r="T506" s="5" t="str">
        <f>IFERROR(__xludf.DUMMYFUNCTION("""COMPUTED_VALUE"""),"Logan")</f>
        <v>Logan</v>
      </c>
      <c r="U506" s="5" t="str">
        <f>IFERROR(__xludf.DUMMYFUNCTION("""COMPUTED_VALUE"""),"Action")</f>
        <v>Action</v>
      </c>
      <c r="V506" s="5">
        <f>IFERROR(__xludf.DUMMYFUNCTION("""COMPUTED_VALUE"""),1.0)</f>
        <v>1</v>
      </c>
    </row>
    <row r="507">
      <c r="A507" s="1">
        <v>506.0</v>
      </c>
      <c r="B507" s="1" t="s">
        <v>3169</v>
      </c>
      <c r="C507" s="1" t="s">
        <v>235</v>
      </c>
      <c r="D507" s="1"/>
      <c r="E507" s="1">
        <v>506.0</v>
      </c>
      <c r="F507" s="1" t="s">
        <v>3169</v>
      </c>
      <c r="G507" s="1" t="str">
        <f>IFERROR(__xludf.DUMMYFUNCTION("SPLIT(C507, "", "")"),"Crime")</f>
        <v>Crime</v>
      </c>
      <c r="H507" s="5" t="str">
        <f>IFERROR(__xludf.DUMMYFUNCTION("""COMPUTED_VALUE"""),"Drama")</f>
        <v>Drama</v>
      </c>
      <c r="I507" s="5" t="str">
        <f>IFERROR(__xludf.DUMMYFUNCTION("""COMPUTED_VALUE"""),"Mystery")</f>
        <v>Mystery</v>
      </c>
      <c r="J507" s="5" t="str">
        <f>IFERROR(__xludf.DUMMYFUNCTION("""COMPUTED_VALUE"""),"169🤙🏼Indiana Jones and the Last Crusade🤙🏼Adventure🤙🏼2")</f>
        <v>169🤙🏼Indiana Jones and the Last Crusade🤙🏼Adventure🤙🏼2</v>
      </c>
      <c r="K507" s="5">
        <f>IFERROR(__xludf.DUMMYFUNCTION("SPLiT(J507, ""🤙🏼"",FALSE,FALSE)"),169.0)</f>
        <v>169</v>
      </c>
      <c r="L507" s="5" t="str">
        <f>IFERROR(__xludf.DUMMYFUNCTION("""COMPUTED_VALUE"""),"Indiana Jones and the Last Crusade")</f>
        <v>Indiana Jones and the Last Crusade</v>
      </c>
      <c r="M507" s="5" t="str">
        <f>IFERROR(__xludf.DUMMYFUNCTION("""COMPUTED_VALUE"""),"Adventure")</f>
        <v>Adventure</v>
      </c>
      <c r="N507" s="5">
        <f>IFERROR(__xludf.DUMMYFUNCTION("""COMPUTED_VALUE"""),2.0)</f>
        <v>2</v>
      </c>
      <c r="S507" s="5">
        <f>IFERROR(__xludf.DUMMYFUNCTION("""COMPUTED_VALUE"""),203.0)</f>
        <v>203</v>
      </c>
      <c r="T507" s="5" t="str">
        <f>IFERROR(__xludf.DUMMYFUNCTION("""COMPUTED_VALUE"""),"Logan")</f>
        <v>Logan</v>
      </c>
      <c r="U507" s="5" t="str">
        <f>IFERROR(__xludf.DUMMYFUNCTION("""COMPUTED_VALUE"""),"Drama")</f>
        <v>Drama</v>
      </c>
      <c r="V507" s="5">
        <f>IFERROR(__xludf.DUMMYFUNCTION("""COMPUTED_VALUE"""),2.0)</f>
        <v>2</v>
      </c>
    </row>
    <row r="508">
      <c r="A508" s="1">
        <v>507.0</v>
      </c>
      <c r="B508" s="1" t="s">
        <v>3173</v>
      </c>
      <c r="C508" s="1" t="s">
        <v>2629</v>
      </c>
      <c r="D508" s="1"/>
      <c r="E508" s="1">
        <v>507.0</v>
      </c>
      <c r="F508" s="1" t="s">
        <v>3173</v>
      </c>
      <c r="G508" s="1" t="str">
        <f>IFERROR(__xludf.DUMMYFUNCTION("SPLIT(C508, "", "")"),"Adventure")</f>
        <v>Adventure</v>
      </c>
      <c r="H508" s="5" t="str">
        <f>IFERROR(__xludf.DUMMYFUNCTION("""COMPUTED_VALUE"""),"Family")</f>
        <v>Family</v>
      </c>
      <c r="I508" s="5" t="str">
        <f>IFERROR(__xludf.DUMMYFUNCTION("""COMPUTED_VALUE"""),"Fantasy")</f>
        <v>Fantasy</v>
      </c>
      <c r="J508" s="5" t="str">
        <f>IFERROR(__xludf.DUMMYFUNCTION("""COMPUTED_VALUE"""),"169🤙🏼Indiana Jones and the Last Crusade🤙🏼🤙🏼3")</f>
        <v>169🤙🏼Indiana Jones and the Last Crusade🤙🏼🤙🏼3</v>
      </c>
      <c r="K508" s="5">
        <f>IFERROR(__xludf.DUMMYFUNCTION("SPLiT(J508, ""🤙🏼"",FALSE,FALSE)"),169.0)</f>
        <v>169</v>
      </c>
      <c r="L508" s="5" t="str">
        <f>IFERROR(__xludf.DUMMYFUNCTION("""COMPUTED_VALUE"""),"Indiana Jones and the Last Crusade")</f>
        <v>Indiana Jones and the Last Crusade</v>
      </c>
      <c r="M508" s="5"/>
      <c r="N508" s="5">
        <f>IFERROR(__xludf.DUMMYFUNCTION("""COMPUTED_VALUE"""),3.0)</f>
        <v>3</v>
      </c>
      <c r="S508" s="5">
        <f>IFERROR(__xludf.DUMMYFUNCTION("""COMPUTED_VALUE"""),203.0)</f>
        <v>203</v>
      </c>
      <c r="T508" s="5" t="str">
        <f>IFERROR(__xludf.DUMMYFUNCTION("""COMPUTED_VALUE"""),"Logan")</f>
        <v>Logan</v>
      </c>
      <c r="U508" s="5" t="str">
        <f>IFERROR(__xludf.DUMMYFUNCTION("""COMPUTED_VALUE"""),"Sci-Fi")</f>
        <v>Sci-Fi</v>
      </c>
      <c r="V508" s="5">
        <f>IFERROR(__xludf.DUMMYFUNCTION("""COMPUTED_VALUE"""),3.0)</f>
        <v>3</v>
      </c>
    </row>
    <row r="509">
      <c r="A509" s="1">
        <v>508.0</v>
      </c>
      <c r="B509" s="1" t="s">
        <v>3177</v>
      </c>
      <c r="C509" s="1" t="s">
        <v>3178</v>
      </c>
      <c r="D509" s="1"/>
      <c r="E509" s="1">
        <v>508.0</v>
      </c>
      <c r="F509" s="1" t="s">
        <v>3177</v>
      </c>
      <c r="G509" s="1" t="str">
        <f>IFERROR(__xludf.DUMMYFUNCTION("SPLIT(C509, "", "")"),"Action")</f>
        <v>Action</v>
      </c>
      <c r="H509" s="5" t="str">
        <f>IFERROR(__xludf.DUMMYFUNCTION("""COMPUTED_VALUE"""),"Adventure")</f>
        <v>Adventure</v>
      </c>
      <c r="I509" s="5" t="str">
        <f>IFERROR(__xludf.DUMMYFUNCTION("""COMPUTED_VALUE"""),"History")</f>
        <v>History</v>
      </c>
      <c r="J509" s="5" t="str">
        <f>IFERROR(__xludf.DUMMYFUNCTION("""COMPUTED_VALUE"""),"170🤙🏼Dom za vesanje🤙🏼Comedy🤙🏼1")</f>
        <v>170🤙🏼Dom za vesanje🤙🏼Comedy🤙🏼1</v>
      </c>
      <c r="K509" s="5">
        <f>IFERROR(__xludf.DUMMYFUNCTION("SPLiT(J509, ""🤙🏼"",FALSE,FALSE)"),170.0)</f>
        <v>170</v>
      </c>
      <c r="L509" s="5" t="str">
        <f>IFERROR(__xludf.DUMMYFUNCTION("""COMPUTED_VALUE"""),"Dom za vesanje")</f>
        <v>Dom za vesanje</v>
      </c>
      <c r="M509" s="5" t="str">
        <f>IFERROR(__xludf.DUMMYFUNCTION("""COMPUTED_VALUE"""),"Comedy")</f>
        <v>Comedy</v>
      </c>
      <c r="N509" s="5">
        <f>IFERROR(__xludf.DUMMYFUNCTION("""COMPUTED_VALUE"""),1.0)</f>
        <v>1</v>
      </c>
      <c r="S509" s="5">
        <f>IFERROR(__xludf.DUMMYFUNCTION("""COMPUTED_VALUE"""),204.0)</f>
        <v>204</v>
      </c>
      <c r="T509" s="5" t="str">
        <f>IFERROR(__xludf.DUMMYFUNCTION("""COMPUTED_VALUE"""),"Room")</f>
        <v>Room</v>
      </c>
      <c r="U509" s="5" t="str">
        <f>IFERROR(__xludf.DUMMYFUNCTION("""COMPUTED_VALUE"""),"Drama")</f>
        <v>Drama</v>
      </c>
      <c r="V509" s="5">
        <f>IFERROR(__xludf.DUMMYFUNCTION("""COMPUTED_VALUE"""),1.0)</f>
        <v>1</v>
      </c>
    </row>
    <row r="510">
      <c r="A510" s="1">
        <v>509.0</v>
      </c>
      <c r="B510" s="1" t="s">
        <v>3182</v>
      </c>
      <c r="C510" s="1" t="s">
        <v>1051</v>
      </c>
      <c r="D510" s="1"/>
      <c r="E510" s="1">
        <v>509.0</v>
      </c>
      <c r="F510" s="1" t="s">
        <v>3182</v>
      </c>
      <c r="G510" s="1" t="str">
        <f>IFERROR(__xludf.DUMMYFUNCTION("SPLIT(C510, "", "")"),"Drama")</f>
        <v>Drama</v>
      </c>
      <c r="H510" s="5" t="str">
        <f>IFERROR(__xludf.DUMMYFUNCTION("""COMPUTED_VALUE"""),"Mystery")</f>
        <v>Mystery</v>
      </c>
      <c r="I510" s="5" t="str">
        <f>IFERROR(__xludf.DUMMYFUNCTION("""COMPUTED_VALUE"""),"Romance")</f>
        <v>Romance</v>
      </c>
      <c r="J510" s="5" t="str">
        <f>IFERROR(__xludf.DUMMYFUNCTION("""COMPUTED_VALUE"""),"170🤙🏼Dom za vesanje🤙🏼Crime🤙🏼2")</f>
        <v>170🤙🏼Dom za vesanje🤙🏼Crime🤙🏼2</v>
      </c>
      <c r="K510" s="5">
        <f>IFERROR(__xludf.DUMMYFUNCTION("SPLiT(J510, ""🤙🏼"",FALSE,FALSE)"),170.0)</f>
        <v>170</v>
      </c>
      <c r="L510" s="5" t="str">
        <f>IFERROR(__xludf.DUMMYFUNCTION("""COMPUTED_VALUE"""),"Dom za vesanje")</f>
        <v>Dom za vesanje</v>
      </c>
      <c r="M510" s="5" t="str">
        <f>IFERROR(__xludf.DUMMYFUNCTION("""COMPUTED_VALUE"""),"Crime")</f>
        <v>Crime</v>
      </c>
      <c r="N510" s="5">
        <f>IFERROR(__xludf.DUMMYFUNCTION("""COMPUTED_VALUE"""),2.0)</f>
        <v>2</v>
      </c>
      <c r="S510" s="5">
        <f>IFERROR(__xludf.DUMMYFUNCTION("""COMPUTED_VALUE"""),204.0)</f>
        <v>204</v>
      </c>
      <c r="T510" s="5" t="str">
        <f>IFERROR(__xludf.DUMMYFUNCTION("""COMPUTED_VALUE"""),"Room")</f>
        <v>Room</v>
      </c>
      <c r="U510" s="5" t="str">
        <f>IFERROR(__xludf.DUMMYFUNCTION("""COMPUTED_VALUE"""),"Thriller")</f>
        <v>Thriller</v>
      </c>
      <c r="V510" s="5">
        <f>IFERROR(__xludf.DUMMYFUNCTION("""COMPUTED_VALUE"""),2.0)</f>
        <v>2</v>
      </c>
    </row>
    <row r="511">
      <c r="A511" s="1">
        <v>510.0</v>
      </c>
      <c r="B511" s="1" t="s">
        <v>3188</v>
      </c>
      <c r="C511" s="1" t="s">
        <v>635</v>
      </c>
      <c r="D511" s="1"/>
      <c r="E511" s="1">
        <v>510.0</v>
      </c>
      <c r="F511" s="1" t="s">
        <v>3188</v>
      </c>
      <c r="G511" s="1" t="str">
        <f>IFERROR(__xludf.DUMMYFUNCTION("SPLIT(C511, "", "")"),"Comedy")</f>
        <v>Comedy</v>
      </c>
      <c r="H511" s="5" t="str">
        <f>IFERROR(__xludf.DUMMYFUNCTION("""COMPUTED_VALUE"""),"Drama")</f>
        <v>Drama</v>
      </c>
      <c r="I511" s="5" t="str">
        <f>IFERROR(__xludf.DUMMYFUNCTION("""COMPUTED_VALUE"""),"War")</f>
        <v>War</v>
      </c>
      <c r="J511" s="5" t="str">
        <f>IFERROR(__xludf.DUMMYFUNCTION("""COMPUTED_VALUE"""),"170🤙🏼Dom za vesanje🤙🏼Drama🤙🏼3")</f>
        <v>170🤙🏼Dom za vesanje🤙🏼Drama🤙🏼3</v>
      </c>
      <c r="K511" s="5">
        <f>IFERROR(__xludf.DUMMYFUNCTION("SPLiT(J511, ""🤙🏼"",FALSE,FALSE)"),170.0)</f>
        <v>170</v>
      </c>
      <c r="L511" s="5" t="str">
        <f>IFERROR(__xludf.DUMMYFUNCTION("""COMPUTED_VALUE"""),"Dom za vesanje")</f>
        <v>Dom za vesanje</v>
      </c>
      <c r="M511" s="5" t="str">
        <f>IFERROR(__xludf.DUMMYFUNCTION("""COMPUTED_VALUE"""),"Drama")</f>
        <v>Drama</v>
      </c>
      <c r="N511" s="5">
        <f>IFERROR(__xludf.DUMMYFUNCTION("""COMPUTED_VALUE"""),3.0)</f>
        <v>3</v>
      </c>
      <c r="S511" s="5">
        <f>IFERROR(__xludf.DUMMYFUNCTION("""COMPUTED_VALUE"""),205.0)</f>
        <v>205</v>
      </c>
      <c r="T511" s="5" t="str">
        <f>IFERROR(__xludf.DUMMYFUNCTION("""COMPUTED_VALUE"""),"Relatos salvajes")</f>
        <v>Relatos salvajes</v>
      </c>
      <c r="U511" s="5" t="str">
        <f>IFERROR(__xludf.DUMMYFUNCTION("""COMPUTED_VALUE"""),"Comedy")</f>
        <v>Comedy</v>
      </c>
      <c r="V511" s="5">
        <f>IFERROR(__xludf.DUMMYFUNCTION("""COMPUTED_VALUE"""),1.0)</f>
        <v>1</v>
      </c>
    </row>
    <row r="512">
      <c r="A512" s="1">
        <v>511.0</v>
      </c>
      <c r="B512" s="1" t="s">
        <v>3195</v>
      </c>
      <c r="C512" s="1" t="s">
        <v>2551</v>
      </c>
      <c r="D512" s="1"/>
      <c r="E512" s="1">
        <v>511.0</v>
      </c>
      <c r="F512" s="1" t="s">
        <v>3195</v>
      </c>
      <c r="G512" s="1" t="str">
        <f>IFERROR(__xludf.DUMMYFUNCTION("SPLIT(C512, "", "")"),"Animation")</f>
        <v>Animation</v>
      </c>
      <c r="H512" s="5" t="str">
        <f>IFERROR(__xludf.DUMMYFUNCTION("""COMPUTED_VALUE"""),"Action")</f>
        <v>Action</v>
      </c>
      <c r="I512" s="5" t="str">
        <f>IFERROR(__xludf.DUMMYFUNCTION("""COMPUTED_VALUE"""),"Crime")</f>
        <v>Crime</v>
      </c>
      <c r="J512" s="5" t="str">
        <f>IFERROR(__xludf.DUMMYFUNCTION("""COMPUTED_VALUE"""),"171🤙🏼Tonari no Totoro🤙🏼Animation🤙🏼1")</f>
        <v>171🤙🏼Tonari no Totoro🤙🏼Animation🤙🏼1</v>
      </c>
      <c r="K512" s="5">
        <f>IFERROR(__xludf.DUMMYFUNCTION("SPLiT(J512, ""🤙🏼"",FALSE,FALSE)"),171.0)</f>
        <v>171</v>
      </c>
      <c r="L512" s="5" t="str">
        <f>IFERROR(__xludf.DUMMYFUNCTION("""COMPUTED_VALUE"""),"Tonari no Totoro")</f>
        <v>Tonari no Totoro</v>
      </c>
      <c r="M512" s="5" t="str">
        <f>IFERROR(__xludf.DUMMYFUNCTION("""COMPUTED_VALUE"""),"Animation")</f>
        <v>Animation</v>
      </c>
      <c r="N512" s="5">
        <f>IFERROR(__xludf.DUMMYFUNCTION("""COMPUTED_VALUE"""),1.0)</f>
        <v>1</v>
      </c>
      <c r="S512" s="5">
        <f>IFERROR(__xludf.DUMMYFUNCTION("""COMPUTED_VALUE"""),205.0)</f>
        <v>205</v>
      </c>
      <c r="T512" s="5" t="str">
        <f>IFERROR(__xludf.DUMMYFUNCTION("""COMPUTED_VALUE"""),"Relatos salvajes")</f>
        <v>Relatos salvajes</v>
      </c>
      <c r="U512" s="5" t="str">
        <f>IFERROR(__xludf.DUMMYFUNCTION("""COMPUTED_VALUE"""),"Drama")</f>
        <v>Drama</v>
      </c>
      <c r="V512" s="5">
        <f>IFERROR(__xludf.DUMMYFUNCTION("""COMPUTED_VALUE"""),2.0)</f>
        <v>2</v>
      </c>
    </row>
    <row r="513">
      <c r="A513" s="1">
        <v>512.0</v>
      </c>
      <c r="B513" s="1" t="s">
        <v>3202</v>
      </c>
      <c r="C513" s="1" t="s">
        <v>2366</v>
      </c>
      <c r="D513" s="1"/>
      <c r="E513" s="1">
        <v>512.0</v>
      </c>
      <c r="F513" s="1" t="s">
        <v>3202</v>
      </c>
      <c r="G513" s="1" t="str">
        <f>IFERROR(__xludf.DUMMYFUNCTION("SPLIT(C513, "", "")"),"Action")</f>
        <v>Action</v>
      </c>
      <c r="H513" s="5" t="str">
        <f>IFERROR(__xludf.DUMMYFUNCTION("""COMPUTED_VALUE"""),"Mystery")</f>
        <v>Mystery</v>
      </c>
      <c r="I513" s="5" t="str">
        <f>IFERROR(__xludf.DUMMYFUNCTION("""COMPUTED_VALUE"""),"Thriller")</f>
        <v>Thriller</v>
      </c>
      <c r="J513" s="5" t="str">
        <f>IFERROR(__xludf.DUMMYFUNCTION("""COMPUTED_VALUE"""),"171🤙🏼Tonari no Totoro🤙🏼Family🤙🏼2")</f>
        <v>171🤙🏼Tonari no Totoro🤙🏼Family🤙🏼2</v>
      </c>
      <c r="K513" s="5">
        <f>IFERROR(__xludf.DUMMYFUNCTION("SPLiT(J513, ""🤙🏼"",FALSE,FALSE)"),171.0)</f>
        <v>171</v>
      </c>
      <c r="L513" s="5" t="str">
        <f>IFERROR(__xludf.DUMMYFUNCTION("""COMPUTED_VALUE"""),"Tonari no Totoro")</f>
        <v>Tonari no Totoro</v>
      </c>
      <c r="M513" s="5" t="str">
        <f>IFERROR(__xludf.DUMMYFUNCTION("""COMPUTED_VALUE"""),"Family")</f>
        <v>Family</v>
      </c>
      <c r="N513" s="5">
        <f>IFERROR(__xludf.DUMMYFUNCTION("""COMPUTED_VALUE"""),2.0)</f>
        <v>2</v>
      </c>
      <c r="S513" s="5">
        <f>IFERROR(__xludf.DUMMYFUNCTION("""COMPUTED_VALUE"""),205.0)</f>
        <v>205</v>
      </c>
      <c r="T513" s="5" t="str">
        <f>IFERROR(__xludf.DUMMYFUNCTION("""COMPUTED_VALUE"""),"Relatos salvajes")</f>
        <v>Relatos salvajes</v>
      </c>
      <c r="U513" s="5" t="str">
        <f>IFERROR(__xludf.DUMMYFUNCTION("""COMPUTED_VALUE"""),"Thriller")</f>
        <v>Thriller</v>
      </c>
      <c r="V513" s="5">
        <f>IFERROR(__xludf.DUMMYFUNCTION("""COMPUTED_VALUE"""),3.0)</f>
        <v>3</v>
      </c>
    </row>
    <row r="514">
      <c r="A514" s="1">
        <v>513.0</v>
      </c>
      <c r="B514" s="1" t="s">
        <v>3206</v>
      </c>
      <c r="C514" s="1" t="s">
        <v>241</v>
      </c>
      <c r="D514" s="1"/>
      <c r="E514" s="1">
        <v>513.0</v>
      </c>
      <c r="F514" s="1" t="s">
        <v>3206</v>
      </c>
      <c r="G514" s="1" t="str">
        <f>IFERROR(__xludf.DUMMYFUNCTION("SPLIT(C514, "", "")"),"Crime")</f>
        <v>Crime</v>
      </c>
      <c r="H514" s="5" t="str">
        <f>IFERROR(__xludf.DUMMYFUNCTION("""COMPUTED_VALUE"""),"Drama")</f>
        <v>Drama</v>
      </c>
      <c r="I514" s="5" t="str">
        <f>IFERROR(__xludf.DUMMYFUNCTION("""COMPUTED_VALUE"""),"Thriller")</f>
        <v>Thriller</v>
      </c>
      <c r="J514" s="5" t="str">
        <f>IFERROR(__xludf.DUMMYFUNCTION("""COMPUTED_VALUE"""),"171🤙🏼Tonari no Totoro🤙🏼Fantasy🤙🏼3")</f>
        <v>171🤙🏼Tonari no Totoro🤙🏼Fantasy🤙🏼3</v>
      </c>
      <c r="K514" s="5">
        <f>IFERROR(__xludf.DUMMYFUNCTION("SPLiT(J514, ""🤙🏼"",FALSE,FALSE)"),171.0)</f>
        <v>171</v>
      </c>
      <c r="L514" s="5" t="str">
        <f>IFERROR(__xludf.DUMMYFUNCTION("""COMPUTED_VALUE"""),"Tonari no Totoro")</f>
        <v>Tonari no Totoro</v>
      </c>
      <c r="M514" s="5" t="str">
        <f>IFERROR(__xludf.DUMMYFUNCTION("""COMPUTED_VALUE"""),"Fantasy")</f>
        <v>Fantasy</v>
      </c>
      <c r="N514" s="5">
        <f>IFERROR(__xludf.DUMMYFUNCTION("""COMPUTED_VALUE"""),3.0)</f>
        <v>3</v>
      </c>
      <c r="S514" s="5">
        <f>IFERROR(__xludf.DUMMYFUNCTION("""COMPUTED_VALUE"""),206.0)</f>
        <v>206</v>
      </c>
      <c r="T514" s="5" t="str">
        <f>IFERROR(__xludf.DUMMYFUNCTION("""COMPUTED_VALUE"""),"Soul")</f>
        <v>Soul</v>
      </c>
      <c r="U514" s="5" t="str">
        <f>IFERROR(__xludf.DUMMYFUNCTION("""COMPUTED_VALUE"""),"Animation")</f>
        <v>Animation</v>
      </c>
      <c r="V514" s="5">
        <f>IFERROR(__xludf.DUMMYFUNCTION("""COMPUTED_VALUE"""),1.0)</f>
        <v>1</v>
      </c>
    </row>
    <row r="515">
      <c r="A515" s="1">
        <v>514.0</v>
      </c>
      <c r="B515" s="1" t="s">
        <v>3212</v>
      </c>
      <c r="C515" s="1" t="s">
        <v>188</v>
      </c>
      <c r="D515" s="1"/>
      <c r="E515" s="1">
        <v>514.0</v>
      </c>
      <c r="F515" s="1" t="s">
        <v>3212</v>
      </c>
      <c r="G515" s="1" t="str">
        <f>IFERROR(__xludf.DUMMYFUNCTION("SPLIT(C515, "", "")"),"Adventure")</f>
        <v>Adventure</v>
      </c>
      <c r="H515" s="5" t="str">
        <f>IFERROR(__xludf.DUMMYFUNCTION("""COMPUTED_VALUE"""),"Drama")</f>
        <v>Drama</v>
      </c>
      <c r="I515" s="5" t="str">
        <f>IFERROR(__xludf.DUMMYFUNCTION("""COMPUTED_VALUE"""),"Sci-Fi")</f>
        <v>Sci-Fi</v>
      </c>
      <c r="J515" s="5" t="str">
        <f>IFERROR(__xludf.DUMMYFUNCTION("""COMPUTED_VALUE"""),"172🤙🏼Die Hard🤙🏼Action🤙🏼1")</f>
        <v>172🤙🏼Die Hard🤙🏼Action🤙🏼1</v>
      </c>
      <c r="K515" s="5">
        <f>IFERROR(__xludf.DUMMYFUNCTION("SPLiT(J515, ""🤙🏼"",FALSE,FALSE)"),172.0)</f>
        <v>172</v>
      </c>
      <c r="L515" s="5" t="str">
        <f>IFERROR(__xludf.DUMMYFUNCTION("""COMPUTED_VALUE"""),"Die Hard")</f>
        <v>Die Hard</v>
      </c>
      <c r="M515" s="5" t="str">
        <f>IFERROR(__xludf.DUMMYFUNCTION("""COMPUTED_VALUE"""),"Action")</f>
        <v>Action</v>
      </c>
      <c r="N515" s="5">
        <f>IFERROR(__xludf.DUMMYFUNCTION("""COMPUTED_VALUE"""),1.0)</f>
        <v>1</v>
      </c>
      <c r="S515" s="5">
        <f>IFERROR(__xludf.DUMMYFUNCTION("""COMPUTED_VALUE"""),206.0)</f>
        <v>206</v>
      </c>
      <c r="T515" s="5" t="str">
        <f>IFERROR(__xludf.DUMMYFUNCTION("""COMPUTED_VALUE"""),"Soul")</f>
        <v>Soul</v>
      </c>
      <c r="U515" s="5" t="str">
        <f>IFERROR(__xludf.DUMMYFUNCTION("""COMPUTED_VALUE"""),"Adventure")</f>
        <v>Adventure</v>
      </c>
      <c r="V515" s="5">
        <f>IFERROR(__xludf.DUMMYFUNCTION("""COMPUTED_VALUE"""),2.0)</f>
        <v>2</v>
      </c>
    </row>
    <row r="516">
      <c r="A516" s="1">
        <v>515.0</v>
      </c>
      <c r="B516" s="1" t="s">
        <v>3214</v>
      </c>
      <c r="C516" s="1" t="s">
        <v>1004</v>
      </c>
      <c r="D516" s="1"/>
      <c r="E516" s="1">
        <v>515.0</v>
      </c>
      <c r="F516" s="1" t="s">
        <v>3214</v>
      </c>
      <c r="G516" s="1" t="str">
        <f>IFERROR(__xludf.DUMMYFUNCTION("SPLIT(C516, "", "")"),"Adventure")</f>
        <v>Adventure</v>
      </c>
      <c r="H516" s="5" t="str">
        <f>IFERROR(__xludf.DUMMYFUNCTION("""COMPUTED_VALUE"""),"Comedy")</f>
        <v>Comedy</v>
      </c>
      <c r="I516" s="5" t="str">
        <f>IFERROR(__xludf.DUMMYFUNCTION("""COMPUTED_VALUE"""),"Drama")</f>
        <v>Drama</v>
      </c>
      <c r="J516" s="5" t="str">
        <f>IFERROR(__xludf.DUMMYFUNCTION("""COMPUTED_VALUE"""),"172🤙🏼Die Hard🤙🏼Thriller🤙🏼2")</f>
        <v>172🤙🏼Die Hard🤙🏼Thriller🤙🏼2</v>
      </c>
      <c r="K516" s="5">
        <f>IFERROR(__xludf.DUMMYFUNCTION("SPLiT(J516, ""🤙🏼"",FALSE,FALSE)"),172.0)</f>
        <v>172</v>
      </c>
      <c r="L516" s="5" t="str">
        <f>IFERROR(__xludf.DUMMYFUNCTION("""COMPUTED_VALUE"""),"Die Hard")</f>
        <v>Die Hard</v>
      </c>
      <c r="M516" s="5" t="str">
        <f>IFERROR(__xludf.DUMMYFUNCTION("""COMPUTED_VALUE"""),"Thriller")</f>
        <v>Thriller</v>
      </c>
      <c r="N516" s="5">
        <f>IFERROR(__xludf.DUMMYFUNCTION("""COMPUTED_VALUE"""),2.0)</f>
        <v>2</v>
      </c>
      <c r="S516" s="5">
        <f>IFERROR(__xludf.DUMMYFUNCTION("""COMPUTED_VALUE"""),206.0)</f>
        <v>206</v>
      </c>
      <c r="T516" s="5" t="str">
        <f>IFERROR(__xludf.DUMMYFUNCTION("""COMPUTED_VALUE"""),"Soul")</f>
        <v>Soul</v>
      </c>
      <c r="U516" s="5" t="str">
        <f>IFERROR(__xludf.DUMMYFUNCTION("""COMPUTED_VALUE"""),"Comedy")</f>
        <v>Comedy</v>
      </c>
      <c r="V516" s="5">
        <f>IFERROR(__xludf.DUMMYFUNCTION("""COMPUTED_VALUE"""),3.0)</f>
        <v>3</v>
      </c>
    </row>
    <row r="517">
      <c r="A517" s="1">
        <v>516.0</v>
      </c>
      <c r="B517" s="1" t="s">
        <v>3219</v>
      </c>
      <c r="C517" s="1" t="s">
        <v>527</v>
      </c>
      <c r="D517" s="1"/>
      <c r="E517" s="1">
        <v>516.0</v>
      </c>
      <c r="F517" s="1" t="s">
        <v>3219</v>
      </c>
      <c r="G517" s="1" t="str">
        <f>IFERROR(__xludf.DUMMYFUNCTION("SPLIT(C517, "", "")"),"Drama")</f>
        <v>Drama</v>
      </c>
      <c r="H517" s="5" t="str">
        <f>IFERROR(__xludf.DUMMYFUNCTION("""COMPUTED_VALUE"""),"Mystery")</f>
        <v>Mystery</v>
      </c>
      <c r="I517" s="5" t="str">
        <f>IFERROR(__xludf.DUMMYFUNCTION("""COMPUTED_VALUE"""),"Thriller")</f>
        <v>Thriller</v>
      </c>
      <c r="J517" s="5" t="str">
        <f>IFERROR(__xludf.DUMMYFUNCTION("""COMPUTED_VALUE"""),"172🤙🏼Die Hard🤙🏼🤙🏼3")</f>
        <v>172🤙🏼Die Hard🤙🏼🤙🏼3</v>
      </c>
      <c r="K517" s="5">
        <f>IFERROR(__xludf.DUMMYFUNCTION("SPLiT(J517, ""🤙🏼"",FALSE,FALSE)"),172.0)</f>
        <v>172</v>
      </c>
      <c r="L517" s="5" t="str">
        <f>IFERROR(__xludf.DUMMYFUNCTION("""COMPUTED_VALUE"""),"Die Hard")</f>
        <v>Die Hard</v>
      </c>
      <c r="M517" s="5"/>
      <c r="N517" s="5">
        <f>IFERROR(__xludf.DUMMYFUNCTION("""COMPUTED_VALUE"""),3.0)</f>
        <v>3</v>
      </c>
      <c r="S517" s="5">
        <f>IFERROR(__xludf.DUMMYFUNCTION("""COMPUTED_VALUE"""),207.0)</f>
        <v>207</v>
      </c>
      <c r="T517" s="5" t="str">
        <f>IFERROR(__xludf.DUMMYFUNCTION("""COMPUTED_VALUE"""),"Kis Uykusu")</f>
        <v>Kis Uykusu</v>
      </c>
      <c r="U517" s="5" t="str">
        <f>IFERROR(__xludf.DUMMYFUNCTION("""COMPUTED_VALUE"""),"Drama")</f>
        <v>Drama</v>
      </c>
      <c r="V517" s="5">
        <f>IFERROR(__xludf.DUMMYFUNCTION("""COMPUTED_VALUE"""),1.0)</f>
        <v>1</v>
      </c>
    </row>
    <row r="518">
      <c r="A518" s="1">
        <v>517.0</v>
      </c>
      <c r="B518" s="1" t="s">
        <v>3225</v>
      </c>
      <c r="C518" s="1" t="s">
        <v>765</v>
      </c>
      <c r="D518" s="1"/>
      <c r="E518" s="1">
        <v>517.0</v>
      </c>
      <c r="F518" s="1" t="s">
        <v>3225</v>
      </c>
      <c r="G518" s="1" t="str">
        <f>IFERROR(__xludf.DUMMYFUNCTION("SPLIT(C518, "", "")"),"Animation")</f>
        <v>Animation</v>
      </c>
      <c r="H518" s="5" t="str">
        <f>IFERROR(__xludf.DUMMYFUNCTION("""COMPUTED_VALUE"""),"Adventure")</f>
        <v>Adventure</v>
      </c>
      <c r="I518" s="5" t="str">
        <f>IFERROR(__xludf.DUMMYFUNCTION("""COMPUTED_VALUE"""),"Comedy")</f>
        <v>Comedy</v>
      </c>
      <c r="J518" s="5" t="str">
        <f>IFERROR(__xludf.DUMMYFUNCTION("""COMPUTED_VALUE"""),"173🤙🏼Ran🤙🏼Action🤙🏼1")</f>
        <v>173🤙🏼Ran🤙🏼Action🤙🏼1</v>
      </c>
      <c r="K518" s="5">
        <f>IFERROR(__xludf.DUMMYFUNCTION("SPLiT(J518, ""🤙🏼"",FALSE,FALSE)"),173.0)</f>
        <v>173</v>
      </c>
      <c r="L518" s="5" t="str">
        <f>IFERROR(__xludf.DUMMYFUNCTION("""COMPUTED_VALUE"""),"Ran")</f>
        <v>Ran</v>
      </c>
      <c r="M518" s="5" t="str">
        <f>IFERROR(__xludf.DUMMYFUNCTION("""COMPUTED_VALUE"""),"Action")</f>
        <v>Action</v>
      </c>
      <c r="N518" s="5">
        <f>IFERROR(__xludf.DUMMYFUNCTION("""COMPUTED_VALUE"""),1.0)</f>
        <v>1</v>
      </c>
      <c r="S518" s="5">
        <f>IFERROR(__xludf.DUMMYFUNCTION("""COMPUTED_VALUE"""),208.0)</f>
        <v>208</v>
      </c>
      <c r="T518" s="5" t="str">
        <f>IFERROR(__xludf.DUMMYFUNCTION("""COMPUTED_VALUE"""),"PK")</f>
        <v>PK</v>
      </c>
      <c r="U518" s="5" t="str">
        <f>IFERROR(__xludf.DUMMYFUNCTION("""COMPUTED_VALUE"""),"Comedy")</f>
        <v>Comedy</v>
      </c>
      <c r="V518" s="5">
        <f>IFERROR(__xludf.DUMMYFUNCTION("""COMPUTED_VALUE"""),1.0)</f>
        <v>1</v>
      </c>
    </row>
    <row r="519">
      <c r="A519" s="1">
        <v>518.0</v>
      </c>
      <c r="B519" s="1" t="s">
        <v>3228</v>
      </c>
      <c r="C519" s="1" t="s">
        <v>20</v>
      </c>
      <c r="D519" s="1"/>
      <c r="E519" s="1">
        <v>518.0</v>
      </c>
      <c r="F519" s="1" t="s">
        <v>3228</v>
      </c>
      <c r="G519" s="1" t="str">
        <f>IFERROR(__xludf.DUMMYFUNCTION("SPLIT(C519, "", "")"),"Drama")</f>
        <v>Drama</v>
      </c>
      <c r="J519" s="5" t="str">
        <f>IFERROR(__xludf.DUMMYFUNCTION("""COMPUTED_VALUE"""),"173🤙🏼Ran🤙🏼Drama🤙🏼2")</f>
        <v>173🤙🏼Ran🤙🏼Drama🤙🏼2</v>
      </c>
      <c r="K519" s="5">
        <f>IFERROR(__xludf.DUMMYFUNCTION("SPLiT(J519, ""🤙🏼"",FALSE,FALSE)"),173.0)</f>
        <v>173</v>
      </c>
      <c r="L519" s="5" t="str">
        <f>IFERROR(__xludf.DUMMYFUNCTION("""COMPUTED_VALUE"""),"Ran")</f>
        <v>Ran</v>
      </c>
      <c r="M519" s="5" t="str">
        <f>IFERROR(__xludf.DUMMYFUNCTION("""COMPUTED_VALUE"""),"Drama")</f>
        <v>Drama</v>
      </c>
      <c r="N519" s="5">
        <f>IFERROR(__xludf.DUMMYFUNCTION("""COMPUTED_VALUE"""),2.0)</f>
        <v>2</v>
      </c>
      <c r="S519" s="5">
        <f>IFERROR(__xludf.DUMMYFUNCTION("""COMPUTED_VALUE"""),208.0)</f>
        <v>208</v>
      </c>
      <c r="T519" s="5" t="str">
        <f>IFERROR(__xludf.DUMMYFUNCTION("""COMPUTED_VALUE"""),"PK")</f>
        <v>PK</v>
      </c>
      <c r="U519" s="5" t="str">
        <f>IFERROR(__xludf.DUMMYFUNCTION("""COMPUTED_VALUE"""),"Drama")</f>
        <v>Drama</v>
      </c>
      <c r="V519" s="5">
        <f>IFERROR(__xludf.DUMMYFUNCTION("""COMPUTED_VALUE"""),2.0)</f>
        <v>2</v>
      </c>
    </row>
    <row r="520">
      <c r="A520" s="1">
        <v>519.0</v>
      </c>
      <c r="B520" s="1" t="s">
        <v>3232</v>
      </c>
      <c r="C520" s="1" t="s">
        <v>1384</v>
      </c>
      <c r="D520" s="1"/>
      <c r="E520" s="1">
        <v>519.0</v>
      </c>
      <c r="F520" s="1" t="s">
        <v>3232</v>
      </c>
      <c r="G520" s="1" t="str">
        <f>IFERROR(__xludf.DUMMYFUNCTION("SPLIT(C520, "", "")"),"Animation")</f>
        <v>Animation</v>
      </c>
      <c r="H520" s="5" t="str">
        <f>IFERROR(__xludf.DUMMYFUNCTION("""COMPUTED_VALUE"""),"Drama")</f>
        <v>Drama</v>
      </c>
      <c r="I520" s="5" t="str">
        <f>IFERROR(__xludf.DUMMYFUNCTION("""COMPUTED_VALUE"""),"Family")</f>
        <v>Family</v>
      </c>
      <c r="J520" s="5" t="str">
        <f>IFERROR(__xludf.DUMMYFUNCTION("""COMPUTED_VALUE"""),"173🤙🏼Ran🤙🏼War🤙🏼3")</f>
        <v>173🤙🏼Ran🤙🏼War🤙🏼3</v>
      </c>
      <c r="K520" s="5">
        <f>IFERROR(__xludf.DUMMYFUNCTION("SPLiT(J520, ""🤙🏼"",FALSE,FALSE)"),173.0)</f>
        <v>173</v>
      </c>
      <c r="L520" s="5" t="str">
        <f>IFERROR(__xludf.DUMMYFUNCTION("""COMPUTED_VALUE"""),"Ran")</f>
        <v>Ran</v>
      </c>
      <c r="M520" s="5" t="str">
        <f>IFERROR(__xludf.DUMMYFUNCTION("""COMPUTED_VALUE"""),"War")</f>
        <v>War</v>
      </c>
      <c r="N520" s="5">
        <f>IFERROR(__xludf.DUMMYFUNCTION("""COMPUTED_VALUE"""),3.0)</f>
        <v>3</v>
      </c>
      <c r="S520" s="5">
        <f>IFERROR(__xludf.DUMMYFUNCTION("""COMPUTED_VALUE"""),208.0)</f>
        <v>208</v>
      </c>
      <c r="T520" s="5" t="str">
        <f>IFERROR(__xludf.DUMMYFUNCTION("""COMPUTED_VALUE"""),"PK")</f>
        <v>PK</v>
      </c>
      <c r="U520" s="5" t="str">
        <f>IFERROR(__xludf.DUMMYFUNCTION("""COMPUTED_VALUE"""),"Musical")</f>
        <v>Musical</v>
      </c>
      <c r="V520" s="5">
        <f>IFERROR(__xludf.DUMMYFUNCTION("""COMPUTED_VALUE"""),3.0)</f>
        <v>3</v>
      </c>
    </row>
    <row r="521">
      <c r="A521" s="1">
        <v>520.0</v>
      </c>
      <c r="B521" s="1" t="s">
        <v>3239</v>
      </c>
      <c r="C521" s="1" t="s">
        <v>29</v>
      </c>
      <c r="D521" s="1"/>
      <c r="E521" s="1">
        <v>520.0</v>
      </c>
      <c r="F521" s="1" t="s">
        <v>3239</v>
      </c>
      <c r="G521" s="1" t="str">
        <f>IFERROR(__xludf.DUMMYFUNCTION("SPLIT(C521, "", "")"),"Crime")</f>
        <v>Crime</v>
      </c>
      <c r="H521" s="5" t="str">
        <f>IFERROR(__xludf.DUMMYFUNCTION("""COMPUTED_VALUE"""),"Drama")</f>
        <v>Drama</v>
      </c>
      <c r="J521" s="5" t="str">
        <f>IFERROR(__xludf.DUMMYFUNCTION("""COMPUTED_VALUE"""),"174🤙🏼Raging Bull🤙🏼Biography🤙🏼1")</f>
        <v>174🤙🏼Raging Bull🤙🏼Biography🤙🏼1</v>
      </c>
      <c r="K521" s="5">
        <f>IFERROR(__xludf.DUMMYFUNCTION("SPLiT(J521, ""🤙🏼"",FALSE,FALSE)"),174.0)</f>
        <v>174</v>
      </c>
      <c r="L521" s="5" t="str">
        <f>IFERROR(__xludf.DUMMYFUNCTION("""COMPUTED_VALUE"""),"Raging Bull")</f>
        <v>Raging Bull</v>
      </c>
      <c r="M521" s="5" t="str">
        <f>IFERROR(__xludf.DUMMYFUNCTION("""COMPUTED_VALUE"""),"Biography")</f>
        <v>Biography</v>
      </c>
      <c r="N521" s="5">
        <f>IFERROR(__xludf.DUMMYFUNCTION("""COMPUTED_VALUE"""),1.0)</f>
        <v>1</v>
      </c>
      <c r="S521" s="5">
        <f>IFERROR(__xludf.DUMMYFUNCTION("""COMPUTED_VALUE"""),209.0)</f>
        <v>209</v>
      </c>
      <c r="T521" s="5" t="str">
        <f>IFERROR(__xludf.DUMMYFUNCTION("""COMPUTED_VALUE"""),"OMG: Oh My God!")</f>
        <v>OMG: Oh My God!</v>
      </c>
      <c r="U521" s="5" t="str">
        <f>IFERROR(__xludf.DUMMYFUNCTION("""COMPUTED_VALUE"""),"Comedy")</f>
        <v>Comedy</v>
      </c>
      <c r="V521" s="5">
        <f>IFERROR(__xludf.DUMMYFUNCTION("""COMPUTED_VALUE"""),1.0)</f>
        <v>1</v>
      </c>
    </row>
    <row r="522">
      <c r="A522" s="1">
        <v>521.0</v>
      </c>
      <c r="B522" s="1" t="s">
        <v>3246</v>
      </c>
      <c r="C522" s="1" t="s">
        <v>2372</v>
      </c>
      <c r="D522" s="1"/>
      <c r="E522" s="1">
        <v>521.0</v>
      </c>
      <c r="F522" s="1" t="s">
        <v>3246</v>
      </c>
      <c r="G522" s="1" t="str">
        <f>IFERROR(__xludf.DUMMYFUNCTION("SPLIT(C522, "", "")"),"Crime")</f>
        <v>Crime</v>
      </c>
      <c r="H522" s="5" t="str">
        <f>IFERROR(__xludf.DUMMYFUNCTION("""COMPUTED_VALUE"""),"Drama")</f>
        <v>Drama</v>
      </c>
      <c r="I522" s="5" t="str">
        <f>IFERROR(__xludf.DUMMYFUNCTION("""COMPUTED_VALUE"""),"Romance")</f>
        <v>Romance</v>
      </c>
      <c r="J522" s="5" t="str">
        <f>IFERROR(__xludf.DUMMYFUNCTION("""COMPUTED_VALUE"""),"174🤙🏼Raging Bull🤙🏼Drama🤙🏼2")</f>
        <v>174🤙🏼Raging Bull🤙🏼Drama🤙🏼2</v>
      </c>
      <c r="K522" s="5">
        <f>IFERROR(__xludf.DUMMYFUNCTION("SPLiT(J522, ""🤙🏼"",FALSE,FALSE)"),174.0)</f>
        <v>174</v>
      </c>
      <c r="L522" s="5" t="str">
        <f>IFERROR(__xludf.DUMMYFUNCTION("""COMPUTED_VALUE"""),"Raging Bull")</f>
        <v>Raging Bull</v>
      </c>
      <c r="M522" s="5" t="str">
        <f>IFERROR(__xludf.DUMMYFUNCTION("""COMPUTED_VALUE"""),"Drama")</f>
        <v>Drama</v>
      </c>
      <c r="N522" s="5">
        <f>IFERROR(__xludf.DUMMYFUNCTION("""COMPUTED_VALUE"""),2.0)</f>
        <v>2</v>
      </c>
      <c r="S522" s="5">
        <f>IFERROR(__xludf.DUMMYFUNCTION("""COMPUTED_VALUE"""),209.0)</f>
        <v>209</v>
      </c>
      <c r="T522" s="5" t="str">
        <f>IFERROR(__xludf.DUMMYFUNCTION("""COMPUTED_VALUE"""),"OMG: Oh My God!")</f>
        <v>OMG: Oh My God!</v>
      </c>
      <c r="U522" s="5" t="str">
        <f>IFERROR(__xludf.DUMMYFUNCTION("""COMPUTED_VALUE"""),"Drama")</f>
        <v>Drama</v>
      </c>
      <c r="V522" s="5">
        <f>IFERROR(__xludf.DUMMYFUNCTION("""COMPUTED_VALUE"""),2.0)</f>
        <v>2</v>
      </c>
    </row>
    <row r="523">
      <c r="A523" s="1">
        <v>522.0</v>
      </c>
      <c r="B523" s="1" t="s">
        <v>3251</v>
      </c>
      <c r="C523" s="1" t="s">
        <v>3252</v>
      </c>
      <c r="D523" s="1"/>
      <c r="E523" s="1">
        <v>522.0</v>
      </c>
      <c r="F523" s="1" t="s">
        <v>3251</v>
      </c>
      <c r="G523" s="1" t="str">
        <f>IFERROR(__xludf.DUMMYFUNCTION("SPLIT(C523, "", "")"),"Drama")</f>
        <v>Drama</v>
      </c>
      <c r="H523" s="5" t="str">
        <f>IFERROR(__xludf.DUMMYFUNCTION("""COMPUTED_VALUE"""),"Music")</f>
        <v>Music</v>
      </c>
      <c r="I523" s="5" t="str">
        <f>IFERROR(__xludf.DUMMYFUNCTION("""COMPUTED_VALUE"""),"Mystery")</f>
        <v>Mystery</v>
      </c>
      <c r="J523" s="5" t="str">
        <f>IFERROR(__xludf.DUMMYFUNCTION("""COMPUTED_VALUE"""),"174🤙🏼Raging Bull🤙🏼Sport🤙🏼3")</f>
        <v>174🤙🏼Raging Bull🤙🏼Sport🤙🏼3</v>
      </c>
      <c r="K523" s="5">
        <f>IFERROR(__xludf.DUMMYFUNCTION("SPLiT(J523, ""🤙🏼"",FALSE,FALSE)"),174.0)</f>
        <v>174</v>
      </c>
      <c r="L523" s="5" t="str">
        <f>IFERROR(__xludf.DUMMYFUNCTION("""COMPUTED_VALUE"""),"Raging Bull")</f>
        <v>Raging Bull</v>
      </c>
      <c r="M523" s="5" t="str">
        <f>IFERROR(__xludf.DUMMYFUNCTION("""COMPUTED_VALUE"""),"Sport")</f>
        <v>Sport</v>
      </c>
      <c r="N523" s="5">
        <f>IFERROR(__xludf.DUMMYFUNCTION("""COMPUTED_VALUE"""),3.0)</f>
        <v>3</v>
      </c>
      <c r="S523" s="5">
        <f>IFERROR(__xludf.DUMMYFUNCTION("""COMPUTED_VALUE"""),209.0)</f>
        <v>209</v>
      </c>
      <c r="T523" s="5" t="str">
        <f>IFERROR(__xludf.DUMMYFUNCTION("""COMPUTED_VALUE"""),"OMG: Oh My God!")</f>
        <v>OMG: Oh My God!</v>
      </c>
      <c r="U523" s="5" t="str">
        <f>IFERROR(__xludf.DUMMYFUNCTION("""COMPUTED_VALUE"""),"Fantasy")</f>
        <v>Fantasy</v>
      </c>
      <c r="V523" s="5">
        <f>IFERROR(__xludf.DUMMYFUNCTION("""COMPUTED_VALUE"""),3.0)</f>
        <v>3</v>
      </c>
    </row>
    <row r="524">
      <c r="A524" s="1">
        <v>523.0</v>
      </c>
      <c r="B524" s="1" t="s">
        <v>3257</v>
      </c>
      <c r="C524" s="1" t="s">
        <v>467</v>
      </c>
      <c r="D524" s="1"/>
      <c r="E524" s="1">
        <v>523.0</v>
      </c>
      <c r="F524" s="1" t="s">
        <v>3257</v>
      </c>
      <c r="G524" s="1" t="str">
        <f>IFERROR(__xludf.DUMMYFUNCTION("SPLIT(C524, "", "")"),"Animation")</f>
        <v>Animation</v>
      </c>
      <c r="H524" s="5" t="str">
        <f>IFERROR(__xludf.DUMMYFUNCTION("""COMPUTED_VALUE"""),"Action")</f>
        <v>Action</v>
      </c>
      <c r="I524" s="5" t="str">
        <f>IFERROR(__xludf.DUMMYFUNCTION("""COMPUTED_VALUE"""),"Adventure")</f>
        <v>Adventure</v>
      </c>
      <c r="J524" s="5" t="str">
        <f>IFERROR(__xludf.DUMMYFUNCTION("""COMPUTED_VALUE"""),"175🤙🏼Stalker🤙🏼Drama🤙🏼1")</f>
        <v>175🤙🏼Stalker🤙🏼Drama🤙🏼1</v>
      </c>
      <c r="K524" s="5">
        <f>IFERROR(__xludf.DUMMYFUNCTION("SPLiT(J524, ""🤙🏼"",FALSE,FALSE)"),175.0)</f>
        <v>175</v>
      </c>
      <c r="L524" s="5" t="str">
        <f>IFERROR(__xludf.DUMMYFUNCTION("""COMPUTED_VALUE"""),"Stalker")</f>
        <v>Stalker</v>
      </c>
      <c r="M524" s="5" t="str">
        <f>IFERROR(__xludf.DUMMYFUNCTION("""COMPUTED_VALUE"""),"Drama")</f>
        <v>Drama</v>
      </c>
      <c r="N524" s="5">
        <f>IFERROR(__xludf.DUMMYFUNCTION("""COMPUTED_VALUE"""),1.0)</f>
        <v>1</v>
      </c>
      <c r="S524" s="5">
        <f>IFERROR(__xludf.DUMMYFUNCTION("""COMPUTED_VALUE"""),210.0)</f>
        <v>210</v>
      </c>
      <c r="T524" s="5" t="str">
        <f>IFERROR(__xludf.DUMMYFUNCTION("""COMPUTED_VALUE"""),"The Grand Budapest Hotel")</f>
        <v>The Grand Budapest Hotel</v>
      </c>
      <c r="U524" s="5" t="str">
        <f>IFERROR(__xludf.DUMMYFUNCTION("""COMPUTED_VALUE"""),"Adventure")</f>
        <v>Adventure</v>
      </c>
      <c r="V524" s="5">
        <f>IFERROR(__xludf.DUMMYFUNCTION("""COMPUTED_VALUE"""),1.0)</f>
        <v>1</v>
      </c>
    </row>
    <row r="525">
      <c r="A525" s="1">
        <v>524.0</v>
      </c>
      <c r="B525" s="1" t="s">
        <v>3263</v>
      </c>
      <c r="C525" s="1" t="s">
        <v>241</v>
      </c>
      <c r="D525" s="1"/>
      <c r="E525" s="1">
        <v>524.0</v>
      </c>
      <c r="F525" s="1" t="s">
        <v>3263</v>
      </c>
      <c r="G525" s="1" t="str">
        <f>IFERROR(__xludf.DUMMYFUNCTION("SPLIT(C525, "", "")"),"Crime")</f>
        <v>Crime</v>
      </c>
      <c r="H525" s="5" t="str">
        <f>IFERROR(__xludf.DUMMYFUNCTION("""COMPUTED_VALUE"""),"Drama")</f>
        <v>Drama</v>
      </c>
      <c r="I525" s="5" t="str">
        <f>IFERROR(__xludf.DUMMYFUNCTION("""COMPUTED_VALUE"""),"Thriller")</f>
        <v>Thriller</v>
      </c>
      <c r="J525" s="5" t="str">
        <f>IFERROR(__xludf.DUMMYFUNCTION("""COMPUTED_VALUE"""),"175🤙🏼Stalker🤙🏼Sci-Fi🤙🏼2")</f>
        <v>175🤙🏼Stalker🤙🏼Sci-Fi🤙🏼2</v>
      </c>
      <c r="K525" s="5">
        <f>IFERROR(__xludf.DUMMYFUNCTION("SPLiT(J525, ""🤙🏼"",FALSE,FALSE)"),175.0)</f>
        <v>175</v>
      </c>
      <c r="L525" s="5" t="str">
        <f>IFERROR(__xludf.DUMMYFUNCTION("""COMPUTED_VALUE"""),"Stalker")</f>
        <v>Stalker</v>
      </c>
      <c r="M525" s="5" t="str">
        <f>IFERROR(__xludf.DUMMYFUNCTION("""COMPUTED_VALUE"""),"Sci-Fi")</f>
        <v>Sci-Fi</v>
      </c>
      <c r="N525" s="5">
        <f>IFERROR(__xludf.DUMMYFUNCTION("""COMPUTED_VALUE"""),2.0)</f>
        <v>2</v>
      </c>
      <c r="S525" s="5">
        <f>IFERROR(__xludf.DUMMYFUNCTION("""COMPUTED_VALUE"""),210.0)</f>
        <v>210</v>
      </c>
      <c r="T525" s="5" t="str">
        <f>IFERROR(__xludf.DUMMYFUNCTION("""COMPUTED_VALUE"""),"The Grand Budapest Hotel")</f>
        <v>The Grand Budapest Hotel</v>
      </c>
      <c r="U525" s="5" t="str">
        <f>IFERROR(__xludf.DUMMYFUNCTION("""COMPUTED_VALUE"""),"Comedy")</f>
        <v>Comedy</v>
      </c>
      <c r="V525" s="5">
        <f>IFERROR(__xludf.DUMMYFUNCTION("""COMPUTED_VALUE"""),2.0)</f>
        <v>2</v>
      </c>
    </row>
    <row r="526">
      <c r="A526" s="1">
        <v>525.0</v>
      </c>
      <c r="B526" s="1" t="s">
        <v>3267</v>
      </c>
      <c r="C526" s="1" t="s">
        <v>2634</v>
      </c>
      <c r="D526" s="1"/>
      <c r="E526" s="1">
        <v>525.0</v>
      </c>
      <c r="F526" s="1" t="s">
        <v>3267</v>
      </c>
      <c r="G526" s="1" t="str">
        <f>IFERROR(__xludf.DUMMYFUNCTION("SPLIT(C526, "", "")"),"Drama")</f>
        <v>Drama</v>
      </c>
      <c r="H526" s="5" t="str">
        <f>IFERROR(__xludf.DUMMYFUNCTION("""COMPUTED_VALUE"""),"Fantasy")</f>
        <v>Fantasy</v>
      </c>
      <c r="I526" s="5" t="str">
        <f>IFERROR(__xludf.DUMMYFUNCTION("""COMPUTED_VALUE"""),"Romance")</f>
        <v>Romance</v>
      </c>
      <c r="J526" s="5" t="str">
        <f>IFERROR(__xludf.DUMMYFUNCTION("""COMPUTED_VALUE"""),"175🤙🏼Stalker🤙🏼🤙🏼3")</f>
        <v>175🤙🏼Stalker🤙🏼🤙🏼3</v>
      </c>
      <c r="K526" s="5">
        <f>IFERROR(__xludf.DUMMYFUNCTION("SPLiT(J526, ""🤙🏼"",FALSE,FALSE)"),175.0)</f>
        <v>175</v>
      </c>
      <c r="L526" s="5" t="str">
        <f>IFERROR(__xludf.DUMMYFUNCTION("""COMPUTED_VALUE"""),"Stalker")</f>
        <v>Stalker</v>
      </c>
      <c r="M526" s="5"/>
      <c r="N526" s="5">
        <f>IFERROR(__xludf.DUMMYFUNCTION("""COMPUTED_VALUE"""),3.0)</f>
        <v>3</v>
      </c>
      <c r="S526" s="5">
        <f>IFERROR(__xludf.DUMMYFUNCTION("""COMPUTED_VALUE"""),210.0)</f>
        <v>210</v>
      </c>
      <c r="T526" s="5" t="str">
        <f>IFERROR(__xludf.DUMMYFUNCTION("""COMPUTED_VALUE"""),"The Grand Budapest Hotel")</f>
        <v>The Grand Budapest Hotel</v>
      </c>
      <c r="U526" s="5" t="str">
        <f>IFERROR(__xludf.DUMMYFUNCTION("""COMPUTED_VALUE"""),"Crime")</f>
        <v>Crime</v>
      </c>
      <c r="V526" s="5">
        <f>IFERROR(__xludf.DUMMYFUNCTION("""COMPUTED_VALUE"""),3.0)</f>
        <v>3</v>
      </c>
    </row>
    <row r="527">
      <c r="A527" s="1">
        <v>526.0</v>
      </c>
      <c r="B527" s="1" t="s">
        <v>3271</v>
      </c>
      <c r="C527" s="1" t="s">
        <v>1148</v>
      </c>
      <c r="D527" s="1"/>
      <c r="E527" s="1">
        <v>526.0</v>
      </c>
      <c r="F527" s="1" t="s">
        <v>3271</v>
      </c>
      <c r="G527" s="1" t="str">
        <f>IFERROR(__xludf.DUMMYFUNCTION("SPLIT(C527, "", "")"),"Biography")</f>
        <v>Biography</v>
      </c>
      <c r="H527" s="5" t="str">
        <f>IFERROR(__xludf.DUMMYFUNCTION("""COMPUTED_VALUE"""),"Drama")</f>
        <v>Drama</v>
      </c>
      <c r="J527" s="5" t="str">
        <f>IFERROR(__xludf.DUMMYFUNCTION("""COMPUTED_VALUE"""),"176🤙🏼Höstsonaten🤙🏼Drama🤙🏼1")</f>
        <v>176🤙🏼Höstsonaten🤙🏼Drama🤙🏼1</v>
      </c>
      <c r="K527" s="5">
        <f>IFERROR(__xludf.DUMMYFUNCTION("SPLiT(J527, ""🤙🏼"",FALSE,FALSE)"),176.0)</f>
        <v>176</v>
      </c>
      <c r="L527" s="5" t="str">
        <f>IFERROR(__xludf.DUMMYFUNCTION("""COMPUTED_VALUE"""),"Höstsonaten")</f>
        <v>Höstsonaten</v>
      </c>
      <c r="M527" s="5" t="str">
        <f>IFERROR(__xludf.DUMMYFUNCTION("""COMPUTED_VALUE"""),"Drama")</f>
        <v>Drama</v>
      </c>
      <c r="N527" s="5">
        <f>IFERROR(__xludf.DUMMYFUNCTION("""COMPUTED_VALUE"""),1.0)</f>
        <v>1</v>
      </c>
      <c r="S527" s="5">
        <f>IFERROR(__xludf.DUMMYFUNCTION("""COMPUTED_VALUE"""),211.0)</f>
        <v>211</v>
      </c>
      <c r="T527" s="5" t="str">
        <f>IFERROR(__xludf.DUMMYFUNCTION("""COMPUTED_VALUE"""),"Gone Girl")</f>
        <v>Gone Girl</v>
      </c>
      <c r="U527" s="5" t="str">
        <f>IFERROR(__xludf.DUMMYFUNCTION("""COMPUTED_VALUE"""),"Drama")</f>
        <v>Drama</v>
      </c>
      <c r="V527" s="5">
        <f>IFERROR(__xludf.DUMMYFUNCTION("""COMPUTED_VALUE"""),1.0)</f>
        <v>1</v>
      </c>
    </row>
    <row r="528">
      <c r="A528" s="1">
        <v>527.0</v>
      </c>
      <c r="B528" s="1" t="s">
        <v>3276</v>
      </c>
      <c r="C528" s="1" t="s">
        <v>507</v>
      </c>
      <c r="D528" s="1"/>
      <c r="E528" s="1">
        <v>527.0</v>
      </c>
      <c r="F528" s="1" t="s">
        <v>3276</v>
      </c>
      <c r="G528" s="1" t="str">
        <f>IFERROR(__xludf.DUMMYFUNCTION("SPLIT(C528, "", "")"),"Comedy")</f>
        <v>Comedy</v>
      </c>
      <c r="H528" s="5" t="str">
        <f>IFERROR(__xludf.DUMMYFUNCTION("""COMPUTED_VALUE"""),"Drama")</f>
        <v>Drama</v>
      </c>
      <c r="J528" s="5" t="str">
        <f>IFERROR(__xludf.DUMMYFUNCTION("""COMPUTED_VALUE"""),"176🤙🏼Höstsonaten🤙🏼Music🤙🏼2")</f>
        <v>176🤙🏼Höstsonaten🤙🏼Music🤙🏼2</v>
      </c>
      <c r="K528" s="5">
        <f>IFERROR(__xludf.DUMMYFUNCTION("SPLiT(J528, ""🤙🏼"",FALSE,FALSE)"),176.0)</f>
        <v>176</v>
      </c>
      <c r="L528" s="5" t="str">
        <f>IFERROR(__xludf.DUMMYFUNCTION("""COMPUTED_VALUE"""),"Höstsonaten")</f>
        <v>Höstsonaten</v>
      </c>
      <c r="M528" s="5" t="str">
        <f>IFERROR(__xludf.DUMMYFUNCTION("""COMPUTED_VALUE"""),"Music")</f>
        <v>Music</v>
      </c>
      <c r="N528" s="5">
        <f>IFERROR(__xludf.DUMMYFUNCTION("""COMPUTED_VALUE"""),2.0)</f>
        <v>2</v>
      </c>
      <c r="S528" s="5">
        <f>IFERROR(__xludf.DUMMYFUNCTION("""COMPUTED_VALUE"""),211.0)</f>
        <v>211</v>
      </c>
      <c r="T528" s="5" t="str">
        <f>IFERROR(__xludf.DUMMYFUNCTION("""COMPUTED_VALUE"""),"Gone Girl")</f>
        <v>Gone Girl</v>
      </c>
      <c r="U528" s="5" t="str">
        <f>IFERROR(__xludf.DUMMYFUNCTION("""COMPUTED_VALUE"""),"Mystery")</f>
        <v>Mystery</v>
      </c>
      <c r="V528" s="5">
        <f>IFERROR(__xludf.DUMMYFUNCTION("""COMPUTED_VALUE"""),2.0)</f>
        <v>2</v>
      </c>
    </row>
    <row r="529">
      <c r="A529" s="1">
        <v>528.0</v>
      </c>
      <c r="B529" s="1" t="s">
        <v>3281</v>
      </c>
      <c r="C529" s="1" t="s">
        <v>241</v>
      </c>
      <c r="D529" s="1"/>
      <c r="E529" s="1">
        <v>528.0</v>
      </c>
      <c r="F529" s="1" t="s">
        <v>3281</v>
      </c>
      <c r="G529" s="1" t="str">
        <f>IFERROR(__xludf.DUMMYFUNCTION("SPLIT(C529, "", "")"),"Crime")</f>
        <v>Crime</v>
      </c>
      <c r="H529" s="5" t="str">
        <f>IFERROR(__xludf.DUMMYFUNCTION("""COMPUTED_VALUE"""),"Drama")</f>
        <v>Drama</v>
      </c>
      <c r="I529" s="5" t="str">
        <f>IFERROR(__xludf.DUMMYFUNCTION("""COMPUTED_VALUE"""),"Thriller")</f>
        <v>Thriller</v>
      </c>
      <c r="J529" s="5" t="str">
        <f>IFERROR(__xludf.DUMMYFUNCTION("""COMPUTED_VALUE"""),"176🤙🏼Höstsonaten🤙🏼🤙🏼3")</f>
        <v>176🤙🏼Höstsonaten🤙🏼🤙🏼3</v>
      </c>
      <c r="K529" s="5">
        <f>IFERROR(__xludf.DUMMYFUNCTION("SPLiT(J529, ""🤙🏼"",FALSE,FALSE)"),176.0)</f>
        <v>176</v>
      </c>
      <c r="L529" s="5" t="str">
        <f>IFERROR(__xludf.DUMMYFUNCTION("""COMPUTED_VALUE"""),"Höstsonaten")</f>
        <v>Höstsonaten</v>
      </c>
      <c r="M529" s="5"/>
      <c r="N529" s="5">
        <f>IFERROR(__xludf.DUMMYFUNCTION("""COMPUTED_VALUE"""),3.0)</f>
        <v>3</v>
      </c>
      <c r="S529" s="5">
        <f>IFERROR(__xludf.DUMMYFUNCTION("""COMPUTED_VALUE"""),211.0)</f>
        <v>211</v>
      </c>
      <c r="T529" s="5" t="str">
        <f>IFERROR(__xludf.DUMMYFUNCTION("""COMPUTED_VALUE"""),"Gone Girl")</f>
        <v>Gone Girl</v>
      </c>
      <c r="U529" s="5" t="str">
        <f>IFERROR(__xludf.DUMMYFUNCTION("""COMPUTED_VALUE"""),"Thriller")</f>
        <v>Thriller</v>
      </c>
      <c r="V529" s="5">
        <f>IFERROR(__xludf.DUMMYFUNCTION("""COMPUTED_VALUE"""),3.0)</f>
        <v>3</v>
      </c>
    </row>
    <row r="530">
      <c r="A530" s="1">
        <v>529.0</v>
      </c>
      <c r="B530" s="1" t="s">
        <v>3284</v>
      </c>
      <c r="C530" s="1" t="s">
        <v>507</v>
      </c>
      <c r="D530" s="1"/>
      <c r="E530" s="1">
        <v>529.0</v>
      </c>
      <c r="F530" s="1" t="s">
        <v>3284</v>
      </c>
      <c r="G530" s="1" t="str">
        <f>IFERROR(__xludf.DUMMYFUNCTION("SPLIT(C530, "", "")"),"Comedy")</f>
        <v>Comedy</v>
      </c>
      <c r="H530" s="5" t="str">
        <f>IFERROR(__xludf.DUMMYFUNCTION("""COMPUTED_VALUE"""),"Drama")</f>
        <v>Drama</v>
      </c>
      <c r="J530" s="5" t="str">
        <f>IFERROR(__xludf.DUMMYFUNCTION("""COMPUTED_VALUE"""),"177🤙🏼The Message🤙🏼Biography🤙🏼1")</f>
        <v>177🤙🏼The Message🤙🏼Biography🤙🏼1</v>
      </c>
      <c r="K530" s="5">
        <f>IFERROR(__xludf.DUMMYFUNCTION("SPLiT(J530, ""🤙🏼"",FALSE,FALSE)"),177.0)</f>
        <v>177</v>
      </c>
      <c r="L530" s="5" t="str">
        <f>IFERROR(__xludf.DUMMYFUNCTION("""COMPUTED_VALUE"""),"The Message")</f>
        <v>The Message</v>
      </c>
      <c r="M530" s="5" t="str">
        <f>IFERROR(__xludf.DUMMYFUNCTION("""COMPUTED_VALUE"""),"Biography")</f>
        <v>Biography</v>
      </c>
      <c r="N530" s="5">
        <f>IFERROR(__xludf.DUMMYFUNCTION("""COMPUTED_VALUE"""),1.0)</f>
        <v>1</v>
      </c>
      <c r="S530" s="5">
        <f>IFERROR(__xludf.DUMMYFUNCTION("""COMPUTED_VALUE"""),212.0)</f>
        <v>212</v>
      </c>
      <c r="T530" s="5" t="str">
        <f>IFERROR(__xludf.DUMMYFUNCTION("""COMPUTED_VALUE"""),"Ôkami kodomo no Ame to Yuki")</f>
        <v>Ôkami kodomo no Ame to Yuki</v>
      </c>
      <c r="U530" s="5" t="str">
        <f>IFERROR(__xludf.DUMMYFUNCTION("""COMPUTED_VALUE"""),"Animation")</f>
        <v>Animation</v>
      </c>
      <c r="V530" s="5">
        <f>IFERROR(__xludf.DUMMYFUNCTION("""COMPUTED_VALUE"""),1.0)</f>
        <v>1</v>
      </c>
    </row>
    <row r="531">
      <c r="A531" s="1">
        <v>530.0</v>
      </c>
      <c r="B531" s="1" t="s">
        <v>3287</v>
      </c>
      <c r="C531" s="1" t="s">
        <v>928</v>
      </c>
      <c r="D531" s="1"/>
      <c r="E531" s="1">
        <v>530.0</v>
      </c>
      <c r="F531" s="1" t="s">
        <v>3287</v>
      </c>
      <c r="G531" s="1" t="str">
        <f>IFERROR(__xludf.DUMMYFUNCTION("SPLIT(C531, "", "")"),"Drama")</f>
        <v>Drama</v>
      </c>
      <c r="H531" s="5" t="str">
        <f>IFERROR(__xludf.DUMMYFUNCTION("""COMPUTED_VALUE"""),"Sci-Fi")</f>
        <v>Sci-Fi</v>
      </c>
      <c r="J531" s="5" t="str">
        <f>IFERROR(__xludf.DUMMYFUNCTION("""COMPUTED_VALUE"""),"177🤙🏼The Message🤙🏼Drama🤙🏼2")</f>
        <v>177🤙🏼The Message🤙🏼Drama🤙🏼2</v>
      </c>
      <c r="K531" s="5">
        <f>IFERROR(__xludf.DUMMYFUNCTION("SPLiT(J531, ""🤙🏼"",FALSE,FALSE)"),177.0)</f>
        <v>177</v>
      </c>
      <c r="L531" s="5" t="str">
        <f>IFERROR(__xludf.DUMMYFUNCTION("""COMPUTED_VALUE"""),"The Message")</f>
        <v>The Message</v>
      </c>
      <c r="M531" s="5" t="str">
        <f>IFERROR(__xludf.DUMMYFUNCTION("""COMPUTED_VALUE"""),"Drama")</f>
        <v>Drama</v>
      </c>
      <c r="N531" s="5">
        <f>IFERROR(__xludf.DUMMYFUNCTION("""COMPUTED_VALUE"""),2.0)</f>
        <v>2</v>
      </c>
      <c r="S531" s="5">
        <f>IFERROR(__xludf.DUMMYFUNCTION("""COMPUTED_VALUE"""),212.0)</f>
        <v>212</v>
      </c>
      <c r="T531" s="5" t="str">
        <f>IFERROR(__xludf.DUMMYFUNCTION("""COMPUTED_VALUE"""),"Ôkami kodomo no Ame to Yuki")</f>
        <v>Ôkami kodomo no Ame to Yuki</v>
      </c>
      <c r="U531" s="5" t="str">
        <f>IFERROR(__xludf.DUMMYFUNCTION("""COMPUTED_VALUE"""),"Drama")</f>
        <v>Drama</v>
      </c>
      <c r="V531" s="5">
        <f>IFERROR(__xludf.DUMMYFUNCTION("""COMPUTED_VALUE"""),2.0)</f>
        <v>2</v>
      </c>
    </row>
    <row r="532">
      <c r="A532" s="1">
        <v>531.0</v>
      </c>
      <c r="B532" s="1" t="s">
        <v>3292</v>
      </c>
      <c r="C532" s="1" t="s">
        <v>3294</v>
      </c>
      <c r="D532" s="1"/>
      <c r="E532" s="1">
        <v>531.0</v>
      </c>
      <c r="F532" s="1" t="s">
        <v>3292</v>
      </c>
      <c r="G532" s="1" t="str">
        <f>IFERROR(__xludf.DUMMYFUNCTION("SPLIT(C532, "", "")"),"Comedy")</f>
        <v>Comedy</v>
      </c>
      <c r="H532" s="5" t="str">
        <f>IFERROR(__xludf.DUMMYFUNCTION("""COMPUTED_VALUE"""),"Music")</f>
        <v>Music</v>
      </c>
      <c r="J532" s="5" t="str">
        <f>IFERROR(__xludf.DUMMYFUNCTION("""COMPUTED_VALUE"""),"177🤙🏼The Message🤙🏼History🤙🏼3")</f>
        <v>177🤙🏼The Message🤙🏼History🤙🏼3</v>
      </c>
      <c r="K532" s="5">
        <f>IFERROR(__xludf.DUMMYFUNCTION("SPLiT(J532, ""🤙🏼"",FALSE,FALSE)"),177.0)</f>
        <v>177</v>
      </c>
      <c r="L532" s="5" t="str">
        <f>IFERROR(__xludf.DUMMYFUNCTION("""COMPUTED_VALUE"""),"The Message")</f>
        <v>The Message</v>
      </c>
      <c r="M532" s="5" t="str">
        <f>IFERROR(__xludf.DUMMYFUNCTION("""COMPUTED_VALUE"""),"History")</f>
        <v>History</v>
      </c>
      <c r="N532" s="5">
        <f>IFERROR(__xludf.DUMMYFUNCTION("""COMPUTED_VALUE"""),3.0)</f>
        <v>3</v>
      </c>
      <c r="S532" s="5">
        <f>IFERROR(__xludf.DUMMYFUNCTION("""COMPUTED_VALUE"""),212.0)</f>
        <v>212</v>
      </c>
      <c r="T532" s="5" t="str">
        <f>IFERROR(__xludf.DUMMYFUNCTION("""COMPUTED_VALUE"""),"Ôkami kodomo no Ame to Yuki")</f>
        <v>Ôkami kodomo no Ame to Yuki</v>
      </c>
      <c r="U532" s="5" t="str">
        <f>IFERROR(__xludf.DUMMYFUNCTION("""COMPUTED_VALUE"""),"Fantasy")</f>
        <v>Fantasy</v>
      </c>
      <c r="V532" s="5">
        <f>IFERROR(__xludf.DUMMYFUNCTION("""COMPUTED_VALUE"""),3.0)</f>
        <v>3</v>
      </c>
    </row>
    <row r="533">
      <c r="A533" s="1">
        <v>532.0</v>
      </c>
      <c r="B533" s="1" t="s">
        <v>3299</v>
      </c>
      <c r="C533" s="1" t="s">
        <v>3300</v>
      </c>
      <c r="D533" s="1"/>
      <c r="E533" s="1">
        <v>532.0</v>
      </c>
      <c r="F533" s="1" t="s">
        <v>3299</v>
      </c>
      <c r="G533" s="1" t="str">
        <f>IFERROR(__xludf.DUMMYFUNCTION("SPLIT(C533, "", "")"),"Comedy")</f>
        <v>Comedy</v>
      </c>
      <c r="H533" s="5" t="str">
        <f>IFERROR(__xludf.DUMMYFUNCTION("""COMPUTED_VALUE"""),"Family")</f>
        <v>Family</v>
      </c>
      <c r="J533" s="5" t="str">
        <f>IFERROR(__xludf.DUMMYFUNCTION("""COMPUTED_VALUE"""),"178🤙🏼Sholay🤙🏼Action🤙🏼1")</f>
        <v>178🤙🏼Sholay🤙🏼Action🤙🏼1</v>
      </c>
      <c r="K533" s="5">
        <f>IFERROR(__xludf.DUMMYFUNCTION("SPLiT(J533, ""🤙🏼"",FALSE,FALSE)"),178.0)</f>
        <v>178</v>
      </c>
      <c r="L533" s="5" t="str">
        <f>IFERROR(__xludf.DUMMYFUNCTION("""COMPUTED_VALUE"""),"Sholay")</f>
        <v>Sholay</v>
      </c>
      <c r="M533" s="5" t="str">
        <f>IFERROR(__xludf.DUMMYFUNCTION("""COMPUTED_VALUE"""),"Action")</f>
        <v>Action</v>
      </c>
      <c r="N533" s="5">
        <f>IFERROR(__xludf.DUMMYFUNCTION("""COMPUTED_VALUE"""),1.0)</f>
        <v>1</v>
      </c>
      <c r="S533" s="5">
        <f>IFERROR(__xludf.DUMMYFUNCTION("""COMPUTED_VALUE"""),213.0)</f>
        <v>213</v>
      </c>
      <c r="T533" s="5" t="str">
        <f>IFERROR(__xludf.DUMMYFUNCTION("""COMPUTED_VALUE"""),"Hacksaw Ridge")</f>
        <v>Hacksaw Ridge</v>
      </c>
      <c r="U533" s="5" t="str">
        <f>IFERROR(__xludf.DUMMYFUNCTION("""COMPUTED_VALUE"""),"Biography")</f>
        <v>Biography</v>
      </c>
      <c r="V533" s="5">
        <f>IFERROR(__xludf.DUMMYFUNCTION("""COMPUTED_VALUE"""),1.0)</f>
        <v>1</v>
      </c>
    </row>
    <row r="534">
      <c r="A534" s="1">
        <v>533.0</v>
      </c>
      <c r="B534" s="1" t="s">
        <v>3307</v>
      </c>
      <c r="C534" s="1" t="s">
        <v>1252</v>
      </c>
      <c r="D534" s="1"/>
      <c r="E534" s="1">
        <v>533.0</v>
      </c>
      <c r="F534" s="1" t="s">
        <v>3307</v>
      </c>
      <c r="G534" s="1" t="str">
        <f>IFERROR(__xludf.DUMMYFUNCTION("SPLIT(C534, "", "")"),"Action")</f>
        <v>Action</v>
      </c>
      <c r="H534" s="5" t="str">
        <f>IFERROR(__xludf.DUMMYFUNCTION("""COMPUTED_VALUE"""),"Adventure")</f>
        <v>Adventure</v>
      </c>
      <c r="I534" s="5" t="str">
        <f>IFERROR(__xludf.DUMMYFUNCTION("""COMPUTED_VALUE"""),"Comedy")</f>
        <v>Comedy</v>
      </c>
      <c r="J534" s="5" t="str">
        <f>IFERROR(__xludf.DUMMYFUNCTION("""COMPUTED_VALUE"""),"178🤙🏼Sholay🤙🏼Adventure🤙🏼2")</f>
        <v>178🤙🏼Sholay🤙🏼Adventure🤙🏼2</v>
      </c>
      <c r="K534" s="5">
        <f>IFERROR(__xludf.DUMMYFUNCTION("SPLiT(J534, ""🤙🏼"",FALSE,FALSE)"),178.0)</f>
        <v>178</v>
      </c>
      <c r="L534" s="5" t="str">
        <f>IFERROR(__xludf.DUMMYFUNCTION("""COMPUTED_VALUE"""),"Sholay")</f>
        <v>Sholay</v>
      </c>
      <c r="M534" s="5" t="str">
        <f>IFERROR(__xludf.DUMMYFUNCTION("""COMPUTED_VALUE"""),"Adventure")</f>
        <v>Adventure</v>
      </c>
      <c r="N534" s="5">
        <f>IFERROR(__xludf.DUMMYFUNCTION("""COMPUTED_VALUE"""),2.0)</f>
        <v>2</v>
      </c>
      <c r="S534" s="5">
        <f>IFERROR(__xludf.DUMMYFUNCTION("""COMPUTED_VALUE"""),213.0)</f>
        <v>213</v>
      </c>
      <c r="T534" s="5" t="str">
        <f>IFERROR(__xludf.DUMMYFUNCTION("""COMPUTED_VALUE"""),"Hacksaw Ridge")</f>
        <v>Hacksaw Ridge</v>
      </c>
      <c r="U534" s="5" t="str">
        <f>IFERROR(__xludf.DUMMYFUNCTION("""COMPUTED_VALUE"""),"Drama")</f>
        <v>Drama</v>
      </c>
      <c r="V534" s="5">
        <f>IFERROR(__xludf.DUMMYFUNCTION("""COMPUTED_VALUE"""),2.0)</f>
        <v>2</v>
      </c>
    </row>
    <row r="535">
      <c r="A535" s="1">
        <v>534.0</v>
      </c>
      <c r="B535" s="1" t="s">
        <v>3314</v>
      </c>
      <c r="C535" s="1" t="s">
        <v>227</v>
      </c>
      <c r="D535" s="1"/>
      <c r="E535" s="1">
        <v>534.0</v>
      </c>
      <c r="F535" s="1" t="s">
        <v>3314</v>
      </c>
      <c r="G535" s="1" t="str">
        <f>IFERROR(__xludf.DUMMYFUNCTION("SPLIT(C535, "", "")"),"Comedy")</f>
        <v>Comedy</v>
      </c>
      <c r="H535" s="5" t="str">
        <f>IFERROR(__xludf.DUMMYFUNCTION("""COMPUTED_VALUE"""),"Drama")</f>
        <v>Drama</v>
      </c>
      <c r="I535" s="5" t="str">
        <f>IFERROR(__xludf.DUMMYFUNCTION("""COMPUTED_VALUE"""),"Romance")</f>
        <v>Romance</v>
      </c>
      <c r="J535" s="5" t="str">
        <f>IFERROR(__xludf.DUMMYFUNCTION("""COMPUTED_VALUE"""),"178🤙🏼Sholay🤙🏼Comedy🤙🏼3")</f>
        <v>178🤙🏼Sholay🤙🏼Comedy🤙🏼3</v>
      </c>
      <c r="K535" s="5">
        <f>IFERROR(__xludf.DUMMYFUNCTION("SPLiT(J535, ""🤙🏼"",FALSE,FALSE)"),178.0)</f>
        <v>178</v>
      </c>
      <c r="L535" s="5" t="str">
        <f>IFERROR(__xludf.DUMMYFUNCTION("""COMPUTED_VALUE"""),"Sholay")</f>
        <v>Sholay</v>
      </c>
      <c r="M535" s="5" t="str">
        <f>IFERROR(__xludf.DUMMYFUNCTION("""COMPUTED_VALUE"""),"Comedy")</f>
        <v>Comedy</v>
      </c>
      <c r="N535" s="5">
        <f>IFERROR(__xludf.DUMMYFUNCTION("""COMPUTED_VALUE"""),3.0)</f>
        <v>3</v>
      </c>
      <c r="S535" s="5">
        <f>IFERROR(__xludf.DUMMYFUNCTION("""COMPUTED_VALUE"""),213.0)</f>
        <v>213</v>
      </c>
      <c r="T535" s="5" t="str">
        <f>IFERROR(__xludf.DUMMYFUNCTION("""COMPUTED_VALUE"""),"Hacksaw Ridge")</f>
        <v>Hacksaw Ridge</v>
      </c>
      <c r="U535" s="5" t="str">
        <f>IFERROR(__xludf.DUMMYFUNCTION("""COMPUTED_VALUE"""),"History")</f>
        <v>History</v>
      </c>
      <c r="V535" s="5">
        <f>IFERROR(__xludf.DUMMYFUNCTION("""COMPUTED_VALUE"""),3.0)</f>
        <v>3</v>
      </c>
    </row>
    <row r="536">
      <c r="A536" s="1">
        <v>535.0</v>
      </c>
      <c r="B536" s="1" t="s">
        <v>3318</v>
      </c>
      <c r="C536" s="1" t="s">
        <v>3319</v>
      </c>
      <c r="D536" s="1"/>
      <c r="E536" s="1">
        <v>535.0</v>
      </c>
      <c r="F536" s="1" t="s">
        <v>3318</v>
      </c>
      <c r="G536" s="1" t="str">
        <f>IFERROR(__xludf.DUMMYFUNCTION("SPLIT(C536, "", "")"),"Drama")</f>
        <v>Drama</v>
      </c>
      <c r="H536" s="5" t="str">
        <f>IFERROR(__xludf.DUMMYFUNCTION("""COMPUTED_VALUE"""),"Music")</f>
        <v>Music</v>
      </c>
      <c r="I536" s="5" t="str">
        <f>IFERROR(__xludf.DUMMYFUNCTION("""COMPUTED_VALUE"""),"Musical")</f>
        <v>Musical</v>
      </c>
      <c r="J536" s="5" t="str">
        <f>IFERROR(__xludf.DUMMYFUNCTION("""COMPUTED_VALUE"""),"179🤙🏼Monty Python and the Holy Grail🤙🏼Adventure🤙🏼1")</f>
        <v>179🤙🏼Monty Python and the Holy Grail🤙🏼Adventure🤙🏼1</v>
      </c>
      <c r="K536" s="5">
        <f>IFERROR(__xludf.DUMMYFUNCTION("SPLiT(J536, ""🤙🏼"",FALSE,FALSE)"),179.0)</f>
        <v>179</v>
      </c>
      <c r="L536" s="5" t="str">
        <f>IFERROR(__xludf.DUMMYFUNCTION("""COMPUTED_VALUE"""),"Monty Python and the Holy Grail")</f>
        <v>Monty Python and the Holy Grail</v>
      </c>
      <c r="M536" s="5" t="str">
        <f>IFERROR(__xludf.DUMMYFUNCTION("""COMPUTED_VALUE"""),"Adventure")</f>
        <v>Adventure</v>
      </c>
      <c r="N536" s="5">
        <f>IFERROR(__xludf.DUMMYFUNCTION("""COMPUTED_VALUE"""),1.0)</f>
        <v>1</v>
      </c>
      <c r="S536" s="5">
        <f>IFERROR(__xludf.DUMMYFUNCTION("""COMPUTED_VALUE"""),214.0)</f>
        <v>214</v>
      </c>
      <c r="T536" s="5" t="str">
        <f>IFERROR(__xludf.DUMMYFUNCTION("""COMPUTED_VALUE"""),"Inside Out")</f>
        <v>Inside Out</v>
      </c>
      <c r="U536" s="5" t="str">
        <f>IFERROR(__xludf.DUMMYFUNCTION("""COMPUTED_VALUE"""),"Animation")</f>
        <v>Animation</v>
      </c>
      <c r="V536" s="5">
        <f>IFERROR(__xludf.DUMMYFUNCTION("""COMPUTED_VALUE"""),1.0)</f>
        <v>1</v>
      </c>
    </row>
    <row r="537">
      <c r="A537" s="1">
        <v>536.0</v>
      </c>
      <c r="B537" s="1" t="s">
        <v>3324</v>
      </c>
      <c r="C537" s="1" t="s">
        <v>3325</v>
      </c>
      <c r="D537" s="1"/>
      <c r="E537" s="1">
        <v>536.0</v>
      </c>
      <c r="F537" s="1" t="s">
        <v>3324</v>
      </c>
      <c r="G537" s="1" t="str">
        <f>IFERROR(__xludf.DUMMYFUNCTION("SPLIT(C537, "", "")"),"Action")</f>
        <v>Action</v>
      </c>
      <c r="H537" s="5" t="str">
        <f>IFERROR(__xludf.DUMMYFUNCTION("""COMPUTED_VALUE"""),"Adventure")</f>
        <v>Adventure</v>
      </c>
      <c r="I537" s="5" t="str">
        <f>IFERROR(__xludf.DUMMYFUNCTION("""COMPUTED_VALUE"""),"Horror")</f>
        <v>Horror</v>
      </c>
      <c r="J537" s="5" t="str">
        <f>IFERROR(__xludf.DUMMYFUNCTION("""COMPUTED_VALUE"""),"179🤙🏼Monty Python and the Holy Grail🤙🏼Comedy🤙🏼2")</f>
        <v>179🤙🏼Monty Python and the Holy Grail🤙🏼Comedy🤙🏼2</v>
      </c>
      <c r="K537" s="5">
        <f>IFERROR(__xludf.DUMMYFUNCTION("SPLiT(J537, ""🤙🏼"",FALSE,FALSE)"),179.0)</f>
        <v>179</v>
      </c>
      <c r="L537" s="5" t="str">
        <f>IFERROR(__xludf.DUMMYFUNCTION("""COMPUTED_VALUE"""),"Monty Python and the Holy Grail")</f>
        <v>Monty Python and the Holy Grail</v>
      </c>
      <c r="M537" s="5" t="str">
        <f>IFERROR(__xludf.DUMMYFUNCTION("""COMPUTED_VALUE"""),"Comedy")</f>
        <v>Comedy</v>
      </c>
      <c r="N537" s="5">
        <f>IFERROR(__xludf.DUMMYFUNCTION("""COMPUTED_VALUE"""),2.0)</f>
        <v>2</v>
      </c>
      <c r="S537" s="5">
        <f>IFERROR(__xludf.DUMMYFUNCTION("""COMPUTED_VALUE"""),214.0)</f>
        <v>214</v>
      </c>
      <c r="T537" s="5" t="str">
        <f>IFERROR(__xludf.DUMMYFUNCTION("""COMPUTED_VALUE"""),"Inside Out")</f>
        <v>Inside Out</v>
      </c>
      <c r="U537" s="5" t="str">
        <f>IFERROR(__xludf.DUMMYFUNCTION("""COMPUTED_VALUE"""),"Adventure")</f>
        <v>Adventure</v>
      </c>
      <c r="V537" s="5">
        <f>IFERROR(__xludf.DUMMYFUNCTION("""COMPUTED_VALUE"""),2.0)</f>
        <v>2</v>
      </c>
    </row>
    <row r="538">
      <c r="A538" s="1">
        <v>537.0</v>
      </c>
      <c r="B538" s="1" t="s">
        <v>3332</v>
      </c>
      <c r="C538" s="1" t="s">
        <v>79</v>
      </c>
      <c r="D538" s="1"/>
      <c r="E538" s="1">
        <v>537.0</v>
      </c>
      <c r="F538" s="1" t="s">
        <v>3332</v>
      </c>
      <c r="G538" s="1" t="str">
        <f>IFERROR(__xludf.DUMMYFUNCTION("SPLIT(C538, "", "")"),"Biography")</f>
        <v>Biography</v>
      </c>
      <c r="H538" s="5" t="str">
        <f>IFERROR(__xludf.DUMMYFUNCTION("""COMPUTED_VALUE"""),"Drama")</f>
        <v>Drama</v>
      </c>
      <c r="I538" s="5" t="str">
        <f>IFERROR(__xludf.DUMMYFUNCTION("""COMPUTED_VALUE"""),"History")</f>
        <v>History</v>
      </c>
      <c r="J538" s="5" t="str">
        <f>IFERROR(__xludf.DUMMYFUNCTION("""COMPUTED_VALUE"""),"179🤙🏼Monty Python and the Holy Grail🤙🏼Fantasy🤙🏼3")</f>
        <v>179🤙🏼Monty Python and the Holy Grail🤙🏼Fantasy🤙🏼3</v>
      </c>
      <c r="K538" s="5">
        <f>IFERROR(__xludf.DUMMYFUNCTION("SPLiT(J538, ""🤙🏼"",FALSE,FALSE)"),179.0)</f>
        <v>179</v>
      </c>
      <c r="L538" s="5" t="str">
        <f>IFERROR(__xludf.DUMMYFUNCTION("""COMPUTED_VALUE"""),"Monty Python and the Holy Grail")</f>
        <v>Monty Python and the Holy Grail</v>
      </c>
      <c r="M538" s="5" t="str">
        <f>IFERROR(__xludf.DUMMYFUNCTION("""COMPUTED_VALUE"""),"Fantasy")</f>
        <v>Fantasy</v>
      </c>
      <c r="N538" s="5">
        <f>IFERROR(__xludf.DUMMYFUNCTION("""COMPUTED_VALUE"""),3.0)</f>
        <v>3</v>
      </c>
      <c r="S538" s="5">
        <f>IFERROR(__xludf.DUMMYFUNCTION("""COMPUTED_VALUE"""),214.0)</f>
        <v>214</v>
      </c>
      <c r="T538" s="5" t="str">
        <f>IFERROR(__xludf.DUMMYFUNCTION("""COMPUTED_VALUE"""),"Inside Out")</f>
        <v>Inside Out</v>
      </c>
      <c r="U538" s="5" t="str">
        <f>IFERROR(__xludf.DUMMYFUNCTION("""COMPUTED_VALUE"""),"Comedy")</f>
        <v>Comedy</v>
      </c>
      <c r="V538" s="5">
        <f>IFERROR(__xludf.DUMMYFUNCTION("""COMPUTED_VALUE"""),3.0)</f>
        <v>3</v>
      </c>
    </row>
    <row r="539">
      <c r="A539" s="1">
        <v>538.0</v>
      </c>
      <c r="B539" s="1" t="s">
        <v>3335</v>
      </c>
      <c r="C539" s="1" t="s">
        <v>1565</v>
      </c>
      <c r="D539" s="1"/>
      <c r="E539" s="1">
        <v>538.0</v>
      </c>
      <c r="F539" s="1" t="s">
        <v>3335</v>
      </c>
      <c r="G539" s="1" t="str">
        <f>IFERROR(__xludf.DUMMYFUNCTION("SPLIT(C539, "", "")"),"Adventure")</f>
        <v>Adventure</v>
      </c>
      <c r="H539" s="5" t="str">
        <f>IFERROR(__xludf.DUMMYFUNCTION("""COMPUTED_VALUE"""),"Drama")</f>
        <v>Drama</v>
      </c>
      <c r="I539" s="5" t="str">
        <f>IFERROR(__xludf.DUMMYFUNCTION("""COMPUTED_VALUE"""),"Fantasy")</f>
        <v>Fantasy</v>
      </c>
      <c r="J539" s="5" t="str">
        <f>IFERROR(__xludf.DUMMYFUNCTION("""COMPUTED_VALUE"""),"180🤙🏼The Great Escape🤙🏼Adventure🤙🏼1")</f>
        <v>180🤙🏼The Great Escape🤙🏼Adventure🤙🏼1</v>
      </c>
      <c r="K539" s="5">
        <f>IFERROR(__xludf.DUMMYFUNCTION("SPLiT(J539, ""🤙🏼"",FALSE,FALSE)"),180.0)</f>
        <v>180</v>
      </c>
      <c r="L539" s="5" t="str">
        <f>IFERROR(__xludf.DUMMYFUNCTION("""COMPUTED_VALUE"""),"The Great Escape")</f>
        <v>The Great Escape</v>
      </c>
      <c r="M539" s="5" t="str">
        <f>IFERROR(__xludf.DUMMYFUNCTION("""COMPUTED_VALUE"""),"Adventure")</f>
        <v>Adventure</v>
      </c>
      <c r="N539" s="5">
        <f>IFERROR(__xludf.DUMMYFUNCTION("""COMPUTED_VALUE"""),1.0)</f>
        <v>1</v>
      </c>
      <c r="S539" s="5">
        <f>IFERROR(__xludf.DUMMYFUNCTION("""COMPUTED_VALUE"""),215.0)</f>
        <v>215</v>
      </c>
      <c r="T539" s="5" t="str">
        <f>IFERROR(__xludf.DUMMYFUNCTION("""COMPUTED_VALUE"""),"Barfi!")</f>
        <v>Barfi!</v>
      </c>
      <c r="U539" s="5" t="str">
        <f>IFERROR(__xludf.DUMMYFUNCTION("""COMPUTED_VALUE"""),"Comedy")</f>
        <v>Comedy</v>
      </c>
      <c r="V539" s="5">
        <f>IFERROR(__xludf.DUMMYFUNCTION("""COMPUTED_VALUE"""),1.0)</f>
        <v>1</v>
      </c>
    </row>
    <row r="540">
      <c r="A540" s="1">
        <v>539.0</v>
      </c>
      <c r="B540" s="1" t="s">
        <v>3341</v>
      </c>
      <c r="C540" s="1" t="s">
        <v>416</v>
      </c>
      <c r="D540" s="1"/>
      <c r="E540" s="1">
        <v>539.0</v>
      </c>
      <c r="F540" s="1" t="s">
        <v>3341</v>
      </c>
      <c r="G540" s="1" t="str">
        <f>IFERROR(__xludf.DUMMYFUNCTION("SPLIT(C540, "", "")"),"Comedy")</f>
        <v>Comedy</v>
      </c>
      <c r="H540" s="5" t="str">
        <f>IFERROR(__xludf.DUMMYFUNCTION("""COMPUTED_VALUE"""),"Drama")</f>
        <v>Drama</v>
      </c>
      <c r="I540" s="5" t="str">
        <f>IFERROR(__xludf.DUMMYFUNCTION("""COMPUTED_VALUE"""),"Family")</f>
        <v>Family</v>
      </c>
      <c r="J540" s="5" t="str">
        <f>IFERROR(__xludf.DUMMYFUNCTION("""COMPUTED_VALUE"""),"180🤙🏼The Great Escape🤙🏼Drama🤙🏼2")</f>
        <v>180🤙🏼The Great Escape🤙🏼Drama🤙🏼2</v>
      </c>
      <c r="K540" s="5">
        <f>IFERROR(__xludf.DUMMYFUNCTION("SPLiT(J540, ""🤙🏼"",FALSE,FALSE)"),180.0)</f>
        <v>180</v>
      </c>
      <c r="L540" s="5" t="str">
        <f>IFERROR(__xludf.DUMMYFUNCTION("""COMPUTED_VALUE"""),"The Great Escape")</f>
        <v>The Great Escape</v>
      </c>
      <c r="M540" s="5" t="str">
        <f>IFERROR(__xludf.DUMMYFUNCTION("""COMPUTED_VALUE"""),"Drama")</f>
        <v>Drama</v>
      </c>
      <c r="N540" s="5">
        <f>IFERROR(__xludf.DUMMYFUNCTION("""COMPUTED_VALUE"""),2.0)</f>
        <v>2</v>
      </c>
      <c r="S540" s="5">
        <f>IFERROR(__xludf.DUMMYFUNCTION("""COMPUTED_VALUE"""),215.0)</f>
        <v>215</v>
      </c>
      <c r="T540" s="5" t="str">
        <f>IFERROR(__xludf.DUMMYFUNCTION("""COMPUTED_VALUE"""),"Barfi!")</f>
        <v>Barfi!</v>
      </c>
      <c r="U540" s="5" t="str">
        <f>IFERROR(__xludf.DUMMYFUNCTION("""COMPUTED_VALUE"""),"Drama")</f>
        <v>Drama</v>
      </c>
      <c r="V540" s="5">
        <f>IFERROR(__xludf.DUMMYFUNCTION("""COMPUTED_VALUE"""),2.0)</f>
        <v>2</v>
      </c>
    </row>
    <row r="541">
      <c r="A541" s="1">
        <v>540.0</v>
      </c>
      <c r="B541" s="1" t="s">
        <v>3347</v>
      </c>
      <c r="C541" s="1" t="s">
        <v>602</v>
      </c>
      <c r="D541" s="1"/>
      <c r="E541" s="1">
        <v>540.0</v>
      </c>
      <c r="F541" s="1" t="s">
        <v>3347</v>
      </c>
      <c r="G541" s="1" t="str">
        <f>IFERROR(__xludf.DUMMYFUNCTION("SPLIT(C541, "", "")"),"Comedy")</f>
        <v>Comedy</v>
      </c>
      <c r="J541" s="5" t="str">
        <f>IFERROR(__xludf.DUMMYFUNCTION("""COMPUTED_VALUE"""),"180🤙🏼The Great Escape🤙🏼History🤙🏼3")</f>
        <v>180🤙🏼The Great Escape🤙🏼History🤙🏼3</v>
      </c>
      <c r="K541" s="5">
        <f>IFERROR(__xludf.DUMMYFUNCTION("SPLiT(J541, ""🤙🏼"",FALSE,FALSE)"),180.0)</f>
        <v>180</v>
      </c>
      <c r="L541" s="5" t="str">
        <f>IFERROR(__xludf.DUMMYFUNCTION("""COMPUTED_VALUE"""),"The Great Escape")</f>
        <v>The Great Escape</v>
      </c>
      <c r="M541" s="5" t="str">
        <f>IFERROR(__xludf.DUMMYFUNCTION("""COMPUTED_VALUE"""),"History")</f>
        <v>History</v>
      </c>
      <c r="N541" s="5">
        <f>IFERROR(__xludf.DUMMYFUNCTION("""COMPUTED_VALUE"""),3.0)</f>
        <v>3</v>
      </c>
      <c r="S541" s="5">
        <f>IFERROR(__xludf.DUMMYFUNCTION("""COMPUTED_VALUE"""),215.0)</f>
        <v>215</v>
      </c>
      <c r="T541" s="5" t="str">
        <f>IFERROR(__xludf.DUMMYFUNCTION("""COMPUTED_VALUE"""),"Barfi!")</f>
        <v>Barfi!</v>
      </c>
      <c r="U541" s="5" t="str">
        <f>IFERROR(__xludf.DUMMYFUNCTION("""COMPUTED_VALUE"""),"Romance")</f>
        <v>Romance</v>
      </c>
      <c r="V541" s="5">
        <f>IFERROR(__xludf.DUMMYFUNCTION("""COMPUTED_VALUE"""),3.0)</f>
        <v>3</v>
      </c>
    </row>
    <row r="542">
      <c r="A542" s="1">
        <v>541.0</v>
      </c>
      <c r="B542" s="1" t="s">
        <v>3353</v>
      </c>
      <c r="C542" s="1" t="s">
        <v>3354</v>
      </c>
      <c r="D542" s="1"/>
      <c r="E542" s="1">
        <v>541.0</v>
      </c>
      <c r="F542" s="1" t="s">
        <v>3353</v>
      </c>
      <c r="G542" s="1" t="str">
        <f>IFERROR(__xludf.DUMMYFUNCTION("SPLIT(C542, "", "")"),"Action")</f>
        <v>Action</v>
      </c>
      <c r="H542" s="5" t="str">
        <f>IFERROR(__xludf.DUMMYFUNCTION("""COMPUTED_VALUE"""),"Adventure")</f>
        <v>Adventure</v>
      </c>
      <c r="I542" s="5" t="str">
        <f>IFERROR(__xludf.DUMMYFUNCTION("""COMPUTED_VALUE"""),"Biography")</f>
        <v>Biography</v>
      </c>
      <c r="J542" s="5" t="str">
        <f>IFERROR(__xludf.DUMMYFUNCTION("""COMPUTED_VALUE"""),"181🤙🏼To Kill a Mockingbird🤙🏼Crime🤙🏼1")</f>
        <v>181🤙🏼To Kill a Mockingbird🤙🏼Crime🤙🏼1</v>
      </c>
      <c r="K542" s="5">
        <f>IFERROR(__xludf.DUMMYFUNCTION("SPLiT(J542, ""🤙🏼"",FALSE,FALSE)"),181.0)</f>
        <v>181</v>
      </c>
      <c r="L542" s="5" t="str">
        <f>IFERROR(__xludf.DUMMYFUNCTION("""COMPUTED_VALUE"""),"To Kill a Mockingbird")</f>
        <v>To Kill a Mockingbird</v>
      </c>
      <c r="M542" s="5" t="str">
        <f>IFERROR(__xludf.DUMMYFUNCTION("""COMPUTED_VALUE"""),"Crime")</f>
        <v>Crime</v>
      </c>
      <c r="N542" s="5">
        <f>IFERROR(__xludf.DUMMYFUNCTION("""COMPUTED_VALUE"""),1.0)</f>
        <v>1</v>
      </c>
      <c r="S542" s="5">
        <f>IFERROR(__xludf.DUMMYFUNCTION("""COMPUTED_VALUE"""),216.0)</f>
        <v>216</v>
      </c>
      <c r="T542" s="5" t="str">
        <f>IFERROR(__xludf.DUMMYFUNCTION("""COMPUTED_VALUE"""),"12 Years a Slave")</f>
        <v>12 Years a Slave</v>
      </c>
      <c r="U542" s="5" t="str">
        <f>IFERROR(__xludf.DUMMYFUNCTION("""COMPUTED_VALUE"""),"Biography")</f>
        <v>Biography</v>
      </c>
      <c r="V542" s="5">
        <f>IFERROR(__xludf.DUMMYFUNCTION("""COMPUTED_VALUE"""),1.0)</f>
        <v>1</v>
      </c>
    </row>
    <row r="543">
      <c r="A543" s="1">
        <v>542.0</v>
      </c>
      <c r="B543" s="1" t="s">
        <v>3359</v>
      </c>
      <c r="C543" s="1" t="s">
        <v>227</v>
      </c>
      <c r="D543" s="1"/>
      <c r="E543" s="1">
        <v>542.0</v>
      </c>
      <c r="F543" s="1" t="s">
        <v>3359</v>
      </c>
      <c r="G543" s="1" t="str">
        <f>IFERROR(__xludf.DUMMYFUNCTION("SPLIT(C543, "", "")"),"Comedy")</f>
        <v>Comedy</v>
      </c>
      <c r="H543" s="5" t="str">
        <f>IFERROR(__xludf.DUMMYFUNCTION("""COMPUTED_VALUE"""),"Drama")</f>
        <v>Drama</v>
      </c>
      <c r="I543" s="5" t="str">
        <f>IFERROR(__xludf.DUMMYFUNCTION("""COMPUTED_VALUE"""),"Romance")</f>
        <v>Romance</v>
      </c>
      <c r="J543" s="5" t="str">
        <f>IFERROR(__xludf.DUMMYFUNCTION("""COMPUTED_VALUE"""),"181🤙🏼To Kill a Mockingbird🤙🏼Drama🤙🏼2")</f>
        <v>181🤙🏼To Kill a Mockingbird🤙🏼Drama🤙🏼2</v>
      </c>
      <c r="K543" s="5">
        <f>IFERROR(__xludf.DUMMYFUNCTION("SPLiT(J543, ""🤙🏼"",FALSE,FALSE)"),181.0)</f>
        <v>181</v>
      </c>
      <c r="L543" s="5" t="str">
        <f>IFERROR(__xludf.DUMMYFUNCTION("""COMPUTED_VALUE"""),"To Kill a Mockingbird")</f>
        <v>To Kill a Mockingbird</v>
      </c>
      <c r="M543" s="5" t="str">
        <f>IFERROR(__xludf.DUMMYFUNCTION("""COMPUTED_VALUE"""),"Drama")</f>
        <v>Drama</v>
      </c>
      <c r="N543" s="5">
        <f>IFERROR(__xludf.DUMMYFUNCTION("""COMPUTED_VALUE"""),2.0)</f>
        <v>2</v>
      </c>
      <c r="S543" s="5">
        <f>IFERROR(__xludf.DUMMYFUNCTION("""COMPUTED_VALUE"""),216.0)</f>
        <v>216</v>
      </c>
      <c r="T543" s="5" t="str">
        <f>IFERROR(__xludf.DUMMYFUNCTION("""COMPUTED_VALUE"""),"12 Years a Slave")</f>
        <v>12 Years a Slave</v>
      </c>
      <c r="U543" s="5" t="str">
        <f>IFERROR(__xludf.DUMMYFUNCTION("""COMPUTED_VALUE"""),"Drama")</f>
        <v>Drama</v>
      </c>
      <c r="V543" s="5">
        <f>IFERROR(__xludf.DUMMYFUNCTION("""COMPUTED_VALUE"""),2.0)</f>
        <v>2</v>
      </c>
    </row>
    <row r="544">
      <c r="A544" s="1">
        <v>543.0</v>
      </c>
      <c r="B544" s="1" t="s">
        <v>3364</v>
      </c>
      <c r="C544" s="1" t="s">
        <v>3365</v>
      </c>
      <c r="D544" s="1"/>
      <c r="E544" s="1">
        <v>543.0</v>
      </c>
      <c r="F544" s="1" t="s">
        <v>3364</v>
      </c>
      <c r="G544" s="1" t="str">
        <f>IFERROR(__xludf.DUMMYFUNCTION("SPLIT(C544, "", "")"),"Biography")</f>
        <v>Biography</v>
      </c>
      <c r="H544" s="5" t="str">
        <f>IFERROR(__xludf.DUMMYFUNCTION("""COMPUTED_VALUE"""),"Drama")</f>
        <v>Drama</v>
      </c>
      <c r="I544" s="5" t="str">
        <f>IFERROR(__xludf.DUMMYFUNCTION("""COMPUTED_VALUE"""),"War")</f>
        <v>War</v>
      </c>
      <c r="J544" s="5" t="str">
        <f>IFERROR(__xludf.DUMMYFUNCTION("""COMPUTED_VALUE"""),"181🤙🏼To Kill a Mockingbird🤙🏼🤙🏼3")</f>
        <v>181🤙🏼To Kill a Mockingbird🤙🏼🤙🏼3</v>
      </c>
      <c r="K544" s="5">
        <f>IFERROR(__xludf.DUMMYFUNCTION("SPLiT(J544, ""🤙🏼"",FALSE,FALSE)"),181.0)</f>
        <v>181</v>
      </c>
      <c r="L544" s="5" t="str">
        <f>IFERROR(__xludf.DUMMYFUNCTION("""COMPUTED_VALUE"""),"To Kill a Mockingbird")</f>
        <v>To Kill a Mockingbird</v>
      </c>
      <c r="M544" s="5"/>
      <c r="N544" s="5">
        <f>IFERROR(__xludf.DUMMYFUNCTION("""COMPUTED_VALUE"""),3.0)</f>
        <v>3</v>
      </c>
      <c r="S544" s="5">
        <f>IFERROR(__xludf.DUMMYFUNCTION("""COMPUTED_VALUE"""),216.0)</f>
        <v>216</v>
      </c>
      <c r="T544" s="5" t="str">
        <f>IFERROR(__xludf.DUMMYFUNCTION("""COMPUTED_VALUE"""),"12 Years a Slave")</f>
        <v>12 Years a Slave</v>
      </c>
      <c r="U544" s="5" t="str">
        <f>IFERROR(__xludf.DUMMYFUNCTION("""COMPUTED_VALUE"""),"History")</f>
        <v>History</v>
      </c>
      <c r="V544" s="5">
        <f>IFERROR(__xludf.DUMMYFUNCTION("""COMPUTED_VALUE"""),3.0)</f>
        <v>3</v>
      </c>
    </row>
    <row r="545">
      <c r="A545" s="1">
        <v>544.0</v>
      </c>
      <c r="B545" s="1" t="s">
        <v>3369</v>
      </c>
      <c r="C545" s="1" t="s">
        <v>3370</v>
      </c>
      <c r="D545" s="1"/>
      <c r="E545" s="1">
        <v>544.0</v>
      </c>
      <c r="F545" s="1" t="s">
        <v>3369</v>
      </c>
      <c r="G545" s="1" t="str">
        <f>IFERROR(__xludf.DUMMYFUNCTION("SPLIT(C545, "", "")"),"Action")</f>
        <v>Action</v>
      </c>
      <c r="H545" s="5" t="str">
        <f>IFERROR(__xludf.DUMMYFUNCTION("""COMPUTED_VALUE"""),"Adventure")</f>
        <v>Adventure</v>
      </c>
      <c r="I545" s="5" t="str">
        <f>IFERROR(__xludf.DUMMYFUNCTION("""COMPUTED_VALUE"""),"Western")</f>
        <v>Western</v>
      </c>
      <c r="J545" s="5" t="str">
        <f>IFERROR(__xludf.DUMMYFUNCTION("""COMPUTED_VALUE"""),"182🤙🏼Yôjinbô🤙🏼Action🤙🏼1")</f>
        <v>182🤙🏼Yôjinbô🤙🏼Action🤙🏼1</v>
      </c>
      <c r="K545" s="5">
        <f>IFERROR(__xludf.DUMMYFUNCTION("SPLiT(J545, ""🤙🏼"",FALSE,FALSE)"),182.0)</f>
        <v>182</v>
      </c>
      <c r="L545" s="5" t="str">
        <f>IFERROR(__xludf.DUMMYFUNCTION("""COMPUTED_VALUE"""),"Yôjinbô")</f>
        <v>Yôjinbô</v>
      </c>
      <c r="M545" s="5" t="str">
        <f>IFERROR(__xludf.DUMMYFUNCTION("""COMPUTED_VALUE"""),"Action")</f>
        <v>Action</v>
      </c>
      <c r="N545" s="5">
        <f>IFERROR(__xludf.DUMMYFUNCTION("""COMPUTED_VALUE"""),1.0)</f>
        <v>1</v>
      </c>
      <c r="S545" s="5">
        <f>IFERROR(__xludf.DUMMYFUNCTION("""COMPUTED_VALUE"""),217.0)</f>
        <v>217</v>
      </c>
      <c r="T545" s="5" t="str">
        <f>IFERROR(__xludf.DUMMYFUNCTION("""COMPUTED_VALUE"""),"Rush")</f>
        <v>Rush</v>
      </c>
      <c r="U545" s="5" t="str">
        <f>IFERROR(__xludf.DUMMYFUNCTION("""COMPUTED_VALUE"""),"Action")</f>
        <v>Action</v>
      </c>
      <c r="V545" s="5">
        <f>IFERROR(__xludf.DUMMYFUNCTION("""COMPUTED_VALUE"""),1.0)</f>
        <v>1</v>
      </c>
    </row>
    <row r="546">
      <c r="A546" s="1">
        <v>545.0</v>
      </c>
      <c r="B546" s="1" t="s">
        <v>3375</v>
      </c>
      <c r="C546" s="1" t="s">
        <v>3376</v>
      </c>
      <c r="D546" s="1"/>
      <c r="E546" s="1">
        <v>545.0</v>
      </c>
      <c r="F546" s="1" t="s">
        <v>3375</v>
      </c>
      <c r="G546" s="1" t="str">
        <f>IFERROR(__xludf.DUMMYFUNCTION("SPLIT(C546, "", "")"),"Horror")</f>
        <v>Horror</v>
      </c>
      <c r="H546" s="5" t="str">
        <f>IFERROR(__xludf.DUMMYFUNCTION("""COMPUTED_VALUE"""),"Thriller")</f>
        <v>Thriller</v>
      </c>
      <c r="J546" s="5" t="str">
        <f>IFERROR(__xludf.DUMMYFUNCTION("""COMPUTED_VALUE"""),"182🤙🏼Yôjinbô🤙🏼Drama🤙🏼2")</f>
        <v>182🤙🏼Yôjinbô🤙🏼Drama🤙🏼2</v>
      </c>
      <c r="K546" s="5">
        <f>IFERROR(__xludf.DUMMYFUNCTION("SPLiT(J546, ""🤙🏼"",FALSE,FALSE)"),182.0)</f>
        <v>182</v>
      </c>
      <c r="L546" s="5" t="str">
        <f>IFERROR(__xludf.DUMMYFUNCTION("""COMPUTED_VALUE"""),"Yôjinbô")</f>
        <v>Yôjinbô</v>
      </c>
      <c r="M546" s="5" t="str">
        <f>IFERROR(__xludf.DUMMYFUNCTION("""COMPUTED_VALUE"""),"Drama")</f>
        <v>Drama</v>
      </c>
      <c r="N546" s="5">
        <f>IFERROR(__xludf.DUMMYFUNCTION("""COMPUTED_VALUE"""),2.0)</f>
        <v>2</v>
      </c>
      <c r="S546" s="5">
        <f>IFERROR(__xludf.DUMMYFUNCTION("""COMPUTED_VALUE"""),217.0)</f>
        <v>217</v>
      </c>
      <c r="T546" s="5" t="str">
        <f>IFERROR(__xludf.DUMMYFUNCTION("""COMPUTED_VALUE"""),"Rush")</f>
        <v>Rush</v>
      </c>
      <c r="U546" s="5" t="str">
        <f>IFERROR(__xludf.DUMMYFUNCTION("""COMPUTED_VALUE"""),"Biography")</f>
        <v>Biography</v>
      </c>
      <c r="V546" s="5">
        <f>IFERROR(__xludf.DUMMYFUNCTION("""COMPUTED_VALUE"""),2.0)</f>
        <v>2</v>
      </c>
    </row>
    <row r="547">
      <c r="A547" s="1">
        <v>546.0</v>
      </c>
      <c r="B547" s="1" t="s">
        <v>3382</v>
      </c>
      <c r="C547" s="1" t="s">
        <v>79</v>
      </c>
      <c r="D547" s="1"/>
      <c r="E547" s="1">
        <v>546.0</v>
      </c>
      <c r="F547" s="1" t="s">
        <v>3382</v>
      </c>
      <c r="G547" s="1" t="str">
        <f>IFERROR(__xludf.DUMMYFUNCTION("SPLIT(C547, "", "")"),"Biography")</f>
        <v>Biography</v>
      </c>
      <c r="H547" s="5" t="str">
        <f>IFERROR(__xludf.DUMMYFUNCTION("""COMPUTED_VALUE"""),"Drama")</f>
        <v>Drama</v>
      </c>
      <c r="I547" s="5" t="str">
        <f>IFERROR(__xludf.DUMMYFUNCTION("""COMPUTED_VALUE"""),"History")</f>
        <v>History</v>
      </c>
      <c r="J547" s="5" t="str">
        <f>IFERROR(__xludf.DUMMYFUNCTION("""COMPUTED_VALUE"""),"182🤙🏼Yôjinbô🤙🏼Thriller🤙🏼3")</f>
        <v>182🤙🏼Yôjinbô🤙🏼Thriller🤙🏼3</v>
      </c>
      <c r="K547" s="5">
        <f>IFERROR(__xludf.DUMMYFUNCTION("SPLiT(J547, ""🤙🏼"",FALSE,FALSE)"),182.0)</f>
        <v>182</v>
      </c>
      <c r="L547" s="5" t="str">
        <f>IFERROR(__xludf.DUMMYFUNCTION("""COMPUTED_VALUE"""),"Yôjinbô")</f>
        <v>Yôjinbô</v>
      </c>
      <c r="M547" s="5" t="str">
        <f>IFERROR(__xludf.DUMMYFUNCTION("""COMPUTED_VALUE"""),"Thriller")</f>
        <v>Thriller</v>
      </c>
      <c r="N547" s="5">
        <f>IFERROR(__xludf.DUMMYFUNCTION("""COMPUTED_VALUE"""),3.0)</f>
        <v>3</v>
      </c>
      <c r="S547" s="5">
        <f>IFERROR(__xludf.DUMMYFUNCTION("""COMPUTED_VALUE"""),217.0)</f>
        <v>217</v>
      </c>
      <c r="T547" s="5" t="str">
        <f>IFERROR(__xludf.DUMMYFUNCTION("""COMPUTED_VALUE"""),"Rush")</f>
        <v>Rush</v>
      </c>
      <c r="U547" s="5" t="str">
        <f>IFERROR(__xludf.DUMMYFUNCTION("""COMPUTED_VALUE"""),"Drama")</f>
        <v>Drama</v>
      </c>
      <c r="V547" s="5">
        <f>IFERROR(__xludf.DUMMYFUNCTION("""COMPUTED_VALUE"""),3.0)</f>
        <v>3</v>
      </c>
    </row>
    <row r="548">
      <c r="A548" s="1">
        <v>547.0</v>
      </c>
      <c r="B548" s="1" t="s">
        <v>3387</v>
      </c>
      <c r="C548" s="1" t="s">
        <v>235</v>
      </c>
      <c r="D548" s="1"/>
      <c r="E548" s="1">
        <v>547.0</v>
      </c>
      <c r="F548" s="1" t="s">
        <v>3387</v>
      </c>
      <c r="G548" s="1" t="str">
        <f>IFERROR(__xludf.DUMMYFUNCTION("SPLIT(C548, "", "")"),"Crime")</f>
        <v>Crime</v>
      </c>
      <c r="H548" s="5" t="str">
        <f>IFERROR(__xludf.DUMMYFUNCTION("""COMPUTED_VALUE"""),"Drama")</f>
        <v>Drama</v>
      </c>
      <c r="I548" s="5" t="str">
        <f>IFERROR(__xludf.DUMMYFUNCTION("""COMPUTED_VALUE"""),"Mystery")</f>
        <v>Mystery</v>
      </c>
      <c r="J548" s="5" t="str">
        <f>IFERROR(__xludf.DUMMYFUNCTION("""COMPUTED_VALUE"""),"183🤙🏼Judgment at Nuremberg🤙🏼Drama🤙🏼1")</f>
        <v>183🤙🏼Judgment at Nuremberg🤙🏼Drama🤙🏼1</v>
      </c>
      <c r="K548" s="5">
        <f>IFERROR(__xludf.DUMMYFUNCTION("SPLiT(J548, ""🤙🏼"",FALSE,FALSE)"),183.0)</f>
        <v>183</v>
      </c>
      <c r="L548" s="5" t="str">
        <f>IFERROR(__xludf.DUMMYFUNCTION("""COMPUTED_VALUE"""),"Judgment at Nuremberg")</f>
        <v>Judgment at Nuremberg</v>
      </c>
      <c r="M548" s="5" t="str">
        <f>IFERROR(__xludf.DUMMYFUNCTION("""COMPUTED_VALUE"""),"Drama")</f>
        <v>Drama</v>
      </c>
      <c r="N548" s="5">
        <f>IFERROR(__xludf.DUMMYFUNCTION("""COMPUTED_VALUE"""),1.0)</f>
        <v>1</v>
      </c>
      <c r="S548" s="5">
        <f>IFERROR(__xludf.DUMMYFUNCTION("""COMPUTED_VALUE"""),218.0)</f>
        <v>218</v>
      </c>
      <c r="T548" s="5" t="str">
        <f>IFERROR(__xludf.DUMMYFUNCTION("""COMPUTED_VALUE"""),"Ford v Ferrari")</f>
        <v>Ford v Ferrari</v>
      </c>
      <c r="U548" s="5" t="str">
        <f>IFERROR(__xludf.DUMMYFUNCTION("""COMPUTED_VALUE"""),"Action")</f>
        <v>Action</v>
      </c>
      <c r="V548" s="5">
        <f>IFERROR(__xludf.DUMMYFUNCTION("""COMPUTED_VALUE"""),1.0)</f>
        <v>1</v>
      </c>
    </row>
    <row r="549">
      <c r="A549" s="1">
        <v>548.0</v>
      </c>
      <c r="B549" s="1" t="s">
        <v>3392</v>
      </c>
      <c r="C549" s="1" t="s">
        <v>3393</v>
      </c>
      <c r="D549" s="1"/>
      <c r="E549" s="1">
        <v>548.0</v>
      </c>
      <c r="F549" s="1" t="s">
        <v>3392</v>
      </c>
      <c r="G549" s="1" t="str">
        <f>IFERROR(__xludf.DUMMYFUNCTION("SPLIT(C549, "", "")"),"Comedy")</f>
        <v>Comedy</v>
      </c>
      <c r="H549" s="5" t="str">
        <f>IFERROR(__xludf.DUMMYFUNCTION("""COMPUTED_VALUE"""),"Mystery")</f>
        <v>Mystery</v>
      </c>
      <c r="I549" s="5" t="str">
        <f>IFERROR(__xludf.DUMMYFUNCTION("""COMPUTED_VALUE"""),"Romance")</f>
        <v>Romance</v>
      </c>
      <c r="J549" s="5" t="str">
        <f>IFERROR(__xludf.DUMMYFUNCTION("""COMPUTED_VALUE"""),"183🤙🏼Judgment at Nuremberg🤙🏼War🤙🏼2")</f>
        <v>183🤙🏼Judgment at Nuremberg🤙🏼War🤙🏼2</v>
      </c>
      <c r="K549" s="5">
        <f>IFERROR(__xludf.DUMMYFUNCTION("SPLiT(J549, ""🤙🏼"",FALSE,FALSE)"),183.0)</f>
        <v>183</v>
      </c>
      <c r="L549" s="5" t="str">
        <f>IFERROR(__xludf.DUMMYFUNCTION("""COMPUTED_VALUE"""),"Judgment at Nuremberg")</f>
        <v>Judgment at Nuremberg</v>
      </c>
      <c r="M549" s="5" t="str">
        <f>IFERROR(__xludf.DUMMYFUNCTION("""COMPUTED_VALUE"""),"War")</f>
        <v>War</v>
      </c>
      <c r="N549" s="5">
        <f>IFERROR(__xludf.DUMMYFUNCTION("""COMPUTED_VALUE"""),2.0)</f>
        <v>2</v>
      </c>
      <c r="S549" s="5">
        <f>IFERROR(__xludf.DUMMYFUNCTION("""COMPUTED_VALUE"""),218.0)</f>
        <v>218</v>
      </c>
      <c r="T549" s="5" t="str">
        <f>IFERROR(__xludf.DUMMYFUNCTION("""COMPUTED_VALUE"""),"Ford v Ferrari")</f>
        <v>Ford v Ferrari</v>
      </c>
      <c r="U549" s="5" t="str">
        <f>IFERROR(__xludf.DUMMYFUNCTION("""COMPUTED_VALUE"""),"Biography")</f>
        <v>Biography</v>
      </c>
      <c r="V549" s="5">
        <f>IFERROR(__xludf.DUMMYFUNCTION("""COMPUTED_VALUE"""),2.0)</f>
        <v>2</v>
      </c>
    </row>
    <row r="550">
      <c r="A550" s="1">
        <v>549.0</v>
      </c>
      <c r="B550" s="1" t="s">
        <v>3396</v>
      </c>
      <c r="C550" s="1" t="s">
        <v>1377</v>
      </c>
      <c r="D550" s="1"/>
      <c r="E550" s="1">
        <v>549.0</v>
      </c>
      <c r="F550" s="1" t="s">
        <v>3396</v>
      </c>
      <c r="G550" s="1" t="str">
        <f>IFERROR(__xludf.DUMMYFUNCTION("SPLIT(C550, "", "")"),"Drama")</f>
        <v>Drama</v>
      </c>
      <c r="H550" s="5" t="str">
        <f>IFERROR(__xludf.DUMMYFUNCTION("""COMPUTED_VALUE"""),"Thriller")</f>
        <v>Thriller</v>
      </c>
      <c r="J550" s="5" t="str">
        <f>IFERROR(__xludf.DUMMYFUNCTION("""COMPUTED_VALUE"""),"183🤙🏼Judgment at Nuremberg🤙🏼🤙🏼3")</f>
        <v>183🤙🏼Judgment at Nuremberg🤙🏼🤙🏼3</v>
      </c>
      <c r="K550" s="5">
        <f>IFERROR(__xludf.DUMMYFUNCTION("SPLiT(J550, ""🤙🏼"",FALSE,FALSE)"),183.0)</f>
        <v>183</v>
      </c>
      <c r="L550" s="5" t="str">
        <f>IFERROR(__xludf.DUMMYFUNCTION("""COMPUTED_VALUE"""),"Judgment at Nuremberg")</f>
        <v>Judgment at Nuremberg</v>
      </c>
      <c r="M550" s="5"/>
      <c r="N550" s="5">
        <f>IFERROR(__xludf.DUMMYFUNCTION("""COMPUTED_VALUE"""),3.0)</f>
        <v>3</v>
      </c>
      <c r="S550" s="5">
        <f>IFERROR(__xludf.DUMMYFUNCTION("""COMPUTED_VALUE"""),218.0)</f>
        <v>218</v>
      </c>
      <c r="T550" s="5" t="str">
        <f>IFERROR(__xludf.DUMMYFUNCTION("""COMPUTED_VALUE"""),"Ford v Ferrari")</f>
        <v>Ford v Ferrari</v>
      </c>
      <c r="U550" s="5" t="str">
        <f>IFERROR(__xludf.DUMMYFUNCTION("""COMPUTED_VALUE"""),"Drama")</f>
        <v>Drama</v>
      </c>
      <c r="V550" s="5">
        <f>IFERROR(__xludf.DUMMYFUNCTION("""COMPUTED_VALUE"""),3.0)</f>
        <v>3</v>
      </c>
    </row>
    <row r="551">
      <c r="A551" s="1">
        <v>550.0</v>
      </c>
      <c r="B551" s="1" t="s">
        <v>3402</v>
      </c>
      <c r="C551" s="1" t="s">
        <v>858</v>
      </c>
      <c r="D551" s="1"/>
      <c r="E551" s="1">
        <v>550.0</v>
      </c>
      <c r="F551" s="1" t="s">
        <v>3402</v>
      </c>
      <c r="G551" s="1" t="str">
        <f>IFERROR(__xludf.DUMMYFUNCTION("SPLIT(C551, "", "")"),"Adventure")</f>
        <v>Adventure</v>
      </c>
      <c r="H551" s="5" t="str">
        <f>IFERROR(__xludf.DUMMYFUNCTION("""COMPUTED_VALUE"""),"Biography")</f>
        <v>Biography</v>
      </c>
      <c r="I551" s="5" t="str">
        <f>IFERROR(__xludf.DUMMYFUNCTION("""COMPUTED_VALUE"""),"Drama")</f>
        <v>Drama</v>
      </c>
      <c r="J551" s="5" t="str">
        <f>IFERROR(__xludf.DUMMYFUNCTION("""COMPUTED_VALUE"""),"184🤙🏼Some Like It Hot🤙🏼Comedy🤙🏼1")</f>
        <v>184🤙🏼Some Like It Hot🤙🏼Comedy🤙🏼1</v>
      </c>
      <c r="K551" s="5">
        <f>IFERROR(__xludf.DUMMYFUNCTION("SPLiT(J551, ""🤙🏼"",FALSE,FALSE)"),184.0)</f>
        <v>184</v>
      </c>
      <c r="L551" s="5" t="str">
        <f>IFERROR(__xludf.DUMMYFUNCTION("""COMPUTED_VALUE"""),"Some Like It Hot")</f>
        <v>Some Like It Hot</v>
      </c>
      <c r="M551" s="5" t="str">
        <f>IFERROR(__xludf.DUMMYFUNCTION("""COMPUTED_VALUE"""),"Comedy")</f>
        <v>Comedy</v>
      </c>
      <c r="N551" s="5">
        <f>IFERROR(__xludf.DUMMYFUNCTION("""COMPUTED_VALUE"""),1.0)</f>
        <v>1</v>
      </c>
      <c r="S551" s="5">
        <f>IFERROR(__xludf.DUMMYFUNCTION("""COMPUTED_VALUE"""),219.0)</f>
        <v>219</v>
      </c>
      <c r="T551" s="5" t="str">
        <f>IFERROR(__xludf.DUMMYFUNCTION("""COMPUTED_VALUE"""),"Spotlight")</f>
        <v>Spotlight</v>
      </c>
      <c r="U551" s="5" t="str">
        <f>IFERROR(__xludf.DUMMYFUNCTION("""COMPUTED_VALUE"""),"Biography")</f>
        <v>Biography</v>
      </c>
      <c r="V551" s="5">
        <f>IFERROR(__xludf.DUMMYFUNCTION("""COMPUTED_VALUE"""),1.0)</f>
        <v>1</v>
      </c>
    </row>
    <row r="552">
      <c r="A552" s="1">
        <v>551.0</v>
      </c>
      <c r="B552" s="1" t="s">
        <v>3405</v>
      </c>
      <c r="C552" s="1" t="s">
        <v>914</v>
      </c>
      <c r="D552" s="1"/>
      <c r="E552" s="1">
        <v>551.0</v>
      </c>
      <c r="F552" s="1" t="s">
        <v>3405</v>
      </c>
      <c r="G552" s="1" t="str">
        <f>IFERROR(__xludf.DUMMYFUNCTION("SPLIT(C552, "", "")"),"Drama")</f>
        <v>Drama</v>
      </c>
      <c r="H552" s="5" t="str">
        <f>IFERROR(__xludf.DUMMYFUNCTION("""COMPUTED_VALUE"""),"Mystery")</f>
        <v>Mystery</v>
      </c>
      <c r="J552" s="5" t="str">
        <f>IFERROR(__xludf.DUMMYFUNCTION("""COMPUTED_VALUE"""),"184🤙🏼Some Like It Hot🤙🏼Music🤙🏼2")</f>
        <v>184🤙🏼Some Like It Hot🤙🏼Music🤙🏼2</v>
      </c>
      <c r="K552" s="5">
        <f>IFERROR(__xludf.DUMMYFUNCTION("SPLiT(J552, ""🤙🏼"",FALSE,FALSE)"),184.0)</f>
        <v>184</v>
      </c>
      <c r="L552" s="5" t="str">
        <f>IFERROR(__xludf.DUMMYFUNCTION("""COMPUTED_VALUE"""),"Some Like It Hot")</f>
        <v>Some Like It Hot</v>
      </c>
      <c r="M552" s="5" t="str">
        <f>IFERROR(__xludf.DUMMYFUNCTION("""COMPUTED_VALUE"""),"Music")</f>
        <v>Music</v>
      </c>
      <c r="N552" s="5">
        <f>IFERROR(__xludf.DUMMYFUNCTION("""COMPUTED_VALUE"""),2.0)</f>
        <v>2</v>
      </c>
      <c r="S552" s="5">
        <f>IFERROR(__xludf.DUMMYFUNCTION("""COMPUTED_VALUE"""),219.0)</f>
        <v>219</v>
      </c>
      <c r="T552" s="5" t="str">
        <f>IFERROR(__xludf.DUMMYFUNCTION("""COMPUTED_VALUE"""),"Spotlight")</f>
        <v>Spotlight</v>
      </c>
      <c r="U552" s="5" t="str">
        <f>IFERROR(__xludf.DUMMYFUNCTION("""COMPUTED_VALUE"""),"Crime")</f>
        <v>Crime</v>
      </c>
      <c r="V552" s="5">
        <f>IFERROR(__xludf.DUMMYFUNCTION("""COMPUTED_VALUE"""),2.0)</f>
        <v>2</v>
      </c>
    </row>
    <row r="553">
      <c r="A553" s="1">
        <v>552.0</v>
      </c>
      <c r="B553" s="1" t="s">
        <v>3412</v>
      </c>
      <c r="C553" s="1" t="s">
        <v>107</v>
      </c>
      <c r="D553" s="1"/>
      <c r="E553" s="1">
        <v>552.0</v>
      </c>
      <c r="F553" s="1" t="s">
        <v>3412</v>
      </c>
      <c r="G553" s="1" t="str">
        <f>IFERROR(__xludf.DUMMYFUNCTION("SPLIT(C553, "", "")"),"Drama")</f>
        <v>Drama</v>
      </c>
      <c r="H553" s="5" t="str">
        <f>IFERROR(__xludf.DUMMYFUNCTION("""COMPUTED_VALUE"""),"Romance")</f>
        <v>Romance</v>
      </c>
      <c r="J553" s="5" t="str">
        <f>IFERROR(__xludf.DUMMYFUNCTION("""COMPUTED_VALUE"""),"184🤙🏼Some Like It Hot🤙🏼Romance🤙🏼3")</f>
        <v>184🤙🏼Some Like It Hot🤙🏼Romance🤙🏼3</v>
      </c>
      <c r="K553" s="5">
        <f>IFERROR(__xludf.DUMMYFUNCTION("SPLiT(J553, ""🤙🏼"",FALSE,FALSE)"),184.0)</f>
        <v>184</v>
      </c>
      <c r="L553" s="5" t="str">
        <f>IFERROR(__xludf.DUMMYFUNCTION("""COMPUTED_VALUE"""),"Some Like It Hot")</f>
        <v>Some Like It Hot</v>
      </c>
      <c r="M553" s="5" t="str">
        <f>IFERROR(__xludf.DUMMYFUNCTION("""COMPUTED_VALUE"""),"Romance")</f>
        <v>Romance</v>
      </c>
      <c r="N553" s="5">
        <f>IFERROR(__xludf.DUMMYFUNCTION("""COMPUTED_VALUE"""),3.0)</f>
        <v>3</v>
      </c>
      <c r="S553" s="5">
        <f>IFERROR(__xludf.DUMMYFUNCTION("""COMPUTED_VALUE"""),219.0)</f>
        <v>219</v>
      </c>
      <c r="T553" s="5" t="str">
        <f>IFERROR(__xludf.DUMMYFUNCTION("""COMPUTED_VALUE"""),"Spotlight")</f>
        <v>Spotlight</v>
      </c>
      <c r="U553" s="5" t="str">
        <f>IFERROR(__xludf.DUMMYFUNCTION("""COMPUTED_VALUE"""),"Drama")</f>
        <v>Drama</v>
      </c>
      <c r="V553" s="5">
        <f>IFERROR(__xludf.DUMMYFUNCTION("""COMPUTED_VALUE"""),3.0)</f>
        <v>3</v>
      </c>
    </row>
    <row r="554">
      <c r="A554" s="1">
        <v>553.0</v>
      </c>
      <c r="B554" s="1" t="s">
        <v>3419</v>
      </c>
      <c r="C554" s="1" t="s">
        <v>1813</v>
      </c>
      <c r="D554" s="1"/>
      <c r="E554" s="1">
        <v>553.0</v>
      </c>
      <c r="F554" s="1" t="s">
        <v>3419</v>
      </c>
      <c r="G554" s="1" t="str">
        <f>IFERROR(__xludf.DUMMYFUNCTION("SPLIT(C554, "", "")"),"Adventure")</f>
        <v>Adventure</v>
      </c>
      <c r="H554" s="5" t="str">
        <f>IFERROR(__xludf.DUMMYFUNCTION("""COMPUTED_VALUE"""),"Drama")</f>
        <v>Drama</v>
      </c>
      <c r="J554" s="5" t="str">
        <f>IFERROR(__xludf.DUMMYFUNCTION("""COMPUTED_VALUE"""),"185🤙🏼Smultronstället🤙🏼Drama🤙🏼1")</f>
        <v>185🤙🏼Smultronstället🤙🏼Drama🤙🏼1</v>
      </c>
      <c r="K554" s="5">
        <f>IFERROR(__xludf.DUMMYFUNCTION("SPLiT(J554, ""🤙🏼"",FALSE,FALSE)"),185.0)</f>
        <v>185</v>
      </c>
      <c r="L554" s="5" t="str">
        <f>IFERROR(__xludf.DUMMYFUNCTION("""COMPUTED_VALUE"""),"Smultronstället")</f>
        <v>Smultronstället</v>
      </c>
      <c r="M554" s="5" t="str">
        <f>IFERROR(__xludf.DUMMYFUNCTION("""COMPUTED_VALUE"""),"Drama")</f>
        <v>Drama</v>
      </c>
      <c r="N554" s="5">
        <f>IFERROR(__xludf.DUMMYFUNCTION("""COMPUTED_VALUE"""),1.0)</f>
        <v>1</v>
      </c>
      <c r="S554" s="5">
        <f>IFERROR(__xludf.DUMMYFUNCTION("""COMPUTED_VALUE"""),220.0)</f>
        <v>220</v>
      </c>
      <c r="T554" s="5" t="str">
        <f>IFERROR(__xludf.DUMMYFUNCTION("""COMPUTED_VALUE"""),"Song of the Sea")</f>
        <v>Song of the Sea</v>
      </c>
      <c r="U554" s="5" t="str">
        <f>IFERROR(__xludf.DUMMYFUNCTION("""COMPUTED_VALUE"""),"Animation")</f>
        <v>Animation</v>
      </c>
      <c r="V554" s="5">
        <f>IFERROR(__xludf.DUMMYFUNCTION("""COMPUTED_VALUE"""),1.0)</f>
        <v>1</v>
      </c>
    </row>
    <row r="555">
      <c r="A555" s="1">
        <v>554.0</v>
      </c>
      <c r="B555" s="1" t="s">
        <v>3424</v>
      </c>
      <c r="C555" s="1" t="s">
        <v>1344</v>
      </c>
      <c r="D555" s="1"/>
      <c r="E555" s="1">
        <v>554.0</v>
      </c>
      <c r="F555" s="1" t="s">
        <v>3424</v>
      </c>
      <c r="G555" s="1" t="str">
        <f>IFERROR(__xludf.DUMMYFUNCTION("SPLIT(C555, "", "")"),"Adventure")</f>
        <v>Adventure</v>
      </c>
      <c r="H555" s="5" t="str">
        <f>IFERROR(__xludf.DUMMYFUNCTION("""COMPUTED_VALUE"""),"Drama")</f>
        <v>Drama</v>
      </c>
      <c r="I555" s="5" t="str">
        <f>IFERROR(__xludf.DUMMYFUNCTION("""COMPUTED_VALUE"""),"Western")</f>
        <v>Western</v>
      </c>
      <c r="J555" s="5" t="str">
        <f>IFERROR(__xludf.DUMMYFUNCTION("""COMPUTED_VALUE"""),"185🤙🏼Smultronstället🤙🏼Romance🤙🏼2")</f>
        <v>185🤙🏼Smultronstället🤙🏼Romance🤙🏼2</v>
      </c>
      <c r="K555" s="5">
        <f>IFERROR(__xludf.DUMMYFUNCTION("SPLiT(J555, ""🤙🏼"",FALSE,FALSE)"),185.0)</f>
        <v>185</v>
      </c>
      <c r="L555" s="5" t="str">
        <f>IFERROR(__xludf.DUMMYFUNCTION("""COMPUTED_VALUE"""),"Smultronstället")</f>
        <v>Smultronstället</v>
      </c>
      <c r="M555" s="5" t="str">
        <f>IFERROR(__xludf.DUMMYFUNCTION("""COMPUTED_VALUE"""),"Romance")</f>
        <v>Romance</v>
      </c>
      <c r="N555" s="5">
        <f>IFERROR(__xludf.DUMMYFUNCTION("""COMPUTED_VALUE"""),2.0)</f>
        <v>2</v>
      </c>
      <c r="S555" s="5">
        <f>IFERROR(__xludf.DUMMYFUNCTION("""COMPUTED_VALUE"""),220.0)</f>
        <v>220</v>
      </c>
      <c r="T555" s="5" t="str">
        <f>IFERROR(__xludf.DUMMYFUNCTION("""COMPUTED_VALUE"""),"Song of the Sea")</f>
        <v>Song of the Sea</v>
      </c>
      <c r="U555" s="5" t="str">
        <f>IFERROR(__xludf.DUMMYFUNCTION("""COMPUTED_VALUE"""),"Adventure")</f>
        <v>Adventure</v>
      </c>
      <c r="V555" s="5">
        <f>IFERROR(__xludf.DUMMYFUNCTION("""COMPUTED_VALUE"""),2.0)</f>
        <v>2</v>
      </c>
    </row>
    <row r="556">
      <c r="A556" s="1">
        <v>555.0</v>
      </c>
      <c r="B556" s="1" t="s">
        <v>3428</v>
      </c>
      <c r="C556" s="1" t="s">
        <v>20</v>
      </c>
      <c r="D556" s="1"/>
      <c r="E556" s="1">
        <v>555.0</v>
      </c>
      <c r="F556" s="1" t="s">
        <v>3428</v>
      </c>
      <c r="G556" s="1" t="str">
        <f>IFERROR(__xludf.DUMMYFUNCTION("SPLIT(C556, "", "")"),"Drama")</f>
        <v>Drama</v>
      </c>
      <c r="J556" s="5" t="str">
        <f>IFERROR(__xludf.DUMMYFUNCTION("""COMPUTED_VALUE"""),"185🤙🏼Smultronstället🤙🏼🤙🏼3")</f>
        <v>185🤙🏼Smultronstället🤙🏼🤙🏼3</v>
      </c>
      <c r="K556" s="5">
        <f>IFERROR(__xludf.DUMMYFUNCTION("SPLiT(J556, ""🤙🏼"",FALSE,FALSE)"),185.0)</f>
        <v>185</v>
      </c>
      <c r="L556" s="5" t="str">
        <f>IFERROR(__xludf.DUMMYFUNCTION("""COMPUTED_VALUE"""),"Smultronstället")</f>
        <v>Smultronstället</v>
      </c>
      <c r="M556" s="5"/>
      <c r="N556" s="5">
        <f>IFERROR(__xludf.DUMMYFUNCTION("""COMPUTED_VALUE"""),3.0)</f>
        <v>3</v>
      </c>
      <c r="S556" s="5">
        <f>IFERROR(__xludf.DUMMYFUNCTION("""COMPUTED_VALUE"""),220.0)</f>
        <v>220</v>
      </c>
      <c r="T556" s="5" t="str">
        <f>IFERROR(__xludf.DUMMYFUNCTION("""COMPUTED_VALUE"""),"Song of the Sea")</f>
        <v>Song of the Sea</v>
      </c>
      <c r="U556" s="5" t="str">
        <f>IFERROR(__xludf.DUMMYFUNCTION("""COMPUTED_VALUE"""),"Drama")</f>
        <v>Drama</v>
      </c>
      <c r="V556" s="5">
        <f>IFERROR(__xludf.DUMMYFUNCTION("""COMPUTED_VALUE"""),3.0)</f>
        <v>3</v>
      </c>
    </row>
    <row r="557">
      <c r="A557" s="1">
        <v>556.0</v>
      </c>
      <c r="B557" s="1" t="s">
        <v>3432</v>
      </c>
      <c r="C557" s="1" t="s">
        <v>3433</v>
      </c>
      <c r="D557" s="1"/>
      <c r="E557" s="1">
        <v>556.0</v>
      </c>
      <c r="F557" s="1" t="s">
        <v>3432</v>
      </c>
      <c r="G557" s="1" t="str">
        <f>IFERROR(__xludf.DUMMYFUNCTION("SPLIT(C557, "", "")"),"Drama")</f>
        <v>Drama</v>
      </c>
      <c r="H557" s="5" t="str">
        <f>IFERROR(__xludf.DUMMYFUNCTION("""COMPUTED_VALUE"""),"Thriller")</f>
        <v>Thriller</v>
      </c>
      <c r="I557" s="5" t="str">
        <f>IFERROR(__xludf.DUMMYFUNCTION("""COMPUTED_VALUE"""),"Western")</f>
        <v>Western</v>
      </c>
      <c r="J557" s="5" t="str">
        <f>IFERROR(__xludf.DUMMYFUNCTION("""COMPUTED_VALUE"""),"186🤙🏼Det sjunde inseglet🤙🏼Drama🤙🏼1")</f>
        <v>186🤙🏼Det sjunde inseglet🤙🏼Drama🤙🏼1</v>
      </c>
      <c r="K557" s="5">
        <f>IFERROR(__xludf.DUMMYFUNCTION("SPLiT(J557, ""🤙🏼"",FALSE,FALSE)"),186.0)</f>
        <v>186</v>
      </c>
      <c r="L557" s="5" t="str">
        <f>IFERROR(__xludf.DUMMYFUNCTION("""COMPUTED_VALUE"""),"Det sjunde inseglet")</f>
        <v>Det sjunde inseglet</v>
      </c>
      <c r="M557" s="5" t="str">
        <f>IFERROR(__xludf.DUMMYFUNCTION("""COMPUTED_VALUE"""),"Drama")</f>
        <v>Drama</v>
      </c>
      <c r="N557" s="5">
        <f>IFERROR(__xludf.DUMMYFUNCTION("""COMPUTED_VALUE"""),1.0)</f>
        <v>1</v>
      </c>
      <c r="S557" s="5">
        <f>IFERROR(__xludf.DUMMYFUNCTION("""COMPUTED_VALUE"""),221.0)</f>
        <v>221</v>
      </c>
      <c r="T557" s="5" t="str">
        <f>IFERROR(__xludf.DUMMYFUNCTION("""COMPUTED_VALUE"""),"Kahaani")</f>
        <v>Kahaani</v>
      </c>
      <c r="U557" s="5" t="str">
        <f>IFERROR(__xludf.DUMMYFUNCTION("""COMPUTED_VALUE"""),"Mystery")</f>
        <v>Mystery</v>
      </c>
      <c r="V557" s="5">
        <f>IFERROR(__xludf.DUMMYFUNCTION("""COMPUTED_VALUE"""),1.0)</f>
        <v>1</v>
      </c>
    </row>
    <row r="558">
      <c r="A558" s="1">
        <v>557.0</v>
      </c>
      <c r="B558" s="1" t="s">
        <v>3438</v>
      </c>
      <c r="C558" s="1" t="s">
        <v>3439</v>
      </c>
      <c r="D558" s="1"/>
      <c r="E558" s="1">
        <v>557.0</v>
      </c>
      <c r="F558" s="1" t="s">
        <v>3438</v>
      </c>
      <c r="G558" s="1" t="str">
        <f>IFERROR(__xludf.DUMMYFUNCTION("SPLIT(C558, "", "")"),"Crime")</f>
        <v>Crime</v>
      </c>
      <c r="H558" s="5" t="str">
        <f>IFERROR(__xludf.DUMMYFUNCTION("""COMPUTED_VALUE"""),"Film-Noir")</f>
        <v>Film-Noir</v>
      </c>
      <c r="I558" s="5" t="str">
        <f>IFERROR(__xludf.DUMMYFUNCTION("""COMPUTED_VALUE"""),"Thriller")</f>
        <v>Thriller</v>
      </c>
      <c r="J558" s="5" t="str">
        <f>IFERROR(__xludf.DUMMYFUNCTION("""COMPUTED_VALUE"""),"186🤙🏼Det sjunde inseglet🤙🏼Fantasy🤙🏼2")</f>
        <v>186🤙🏼Det sjunde inseglet🤙🏼Fantasy🤙🏼2</v>
      </c>
      <c r="K558" s="5">
        <f>IFERROR(__xludf.DUMMYFUNCTION("SPLiT(J558, ""🤙🏼"",FALSE,FALSE)"),186.0)</f>
        <v>186</v>
      </c>
      <c r="L558" s="5" t="str">
        <f>IFERROR(__xludf.DUMMYFUNCTION("""COMPUTED_VALUE"""),"Det sjunde inseglet")</f>
        <v>Det sjunde inseglet</v>
      </c>
      <c r="M558" s="5" t="str">
        <f>IFERROR(__xludf.DUMMYFUNCTION("""COMPUTED_VALUE"""),"Fantasy")</f>
        <v>Fantasy</v>
      </c>
      <c r="N558" s="5">
        <f>IFERROR(__xludf.DUMMYFUNCTION("""COMPUTED_VALUE"""),2.0)</f>
        <v>2</v>
      </c>
      <c r="S558" s="5">
        <f>IFERROR(__xludf.DUMMYFUNCTION("""COMPUTED_VALUE"""),221.0)</f>
        <v>221</v>
      </c>
      <c r="T558" s="5" t="str">
        <f>IFERROR(__xludf.DUMMYFUNCTION("""COMPUTED_VALUE"""),"Kahaani")</f>
        <v>Kahaani</v>
      </c>
      <c r="U558" s="5" t="str">
        <f>IFERROR(__xludf.DUMMYFUNCTION("""COMPUTED_VALUE"""),"Thriller")</f>
        <v>Thriller</v>
      </c>
      <c r="V558" s="5">
        <f>IFERROR(__xludf.DUMMYFUNCTION("""COMPUTED_VALUE"""),2.0)</f>
        <v>2</v>
      </c>
    </row>
    <row r="559">
      <c r="A559" s="1">
        <v>558.0</v>
      </c>
      <c r="B559" s="1" t="s">
        <v>3444</v>
      </c>
      <c r="C559" s="1" t="s">
        <v>1460</v>
      </c>
      <c r="D559" s="1"/>
      <c r="E559" s="1">
        <v>558.0</v>
      </c>
      <c r="F559" s="1" t="s">
        <v>3444</v>
      </c>
      <c r="G559" s="1" t="str">
        <f>IFERROR(__xludf.DUMMYFUNCTION("SPLIT(C559, "", "")"),"Comedy")</f>
        <v>Comedy</v>
      </c>
      <c r="H559" s="5" t="str">
        <f>IFERROR(__xludf.DUMMYFUNCTION("""COMPUTED_VALUE"""),"Drama")</f>
        <v>Drama</v>
      </c>
      <c r="I559" s="5" t="str">
        <f>IFERROR(__xludf.DUMMYFUNCTION("""COMPUTED_VALUE"""),"Fantasy")</f>
        <v>Fantasy</v>
      </c>
      <c r="J559" s="5" t="str">
        <f>IFERROR(__xludf.DUMMYFUNCTION("""COMPUTED_VALUE"""),"186🤙🏼Det sjunde inseglet🤙🏼History🤙🏼3")</f>
        <v>186🤙🏼Det sjunde inseglet🤙🏼History🤙🏼3</v>
      </c>
      <c r="K559" s="5">
        <f>IFERROR(__xludf.DUMMYFUNCTION("SPLiT(J559, ""🤙🏼"",FALSE,FALSE)"),186.0)</f>
        <v>186</v>
      </c>
      <c r="L559" s="5" t="str">
        <f>IFERROR(__xludf.DUMMYFUNCTION("""COMPUTED_VALUE"""),"Det sjunde inseglet")</f>
        <v>Det sjunde inseglet</v>
      </c>
      <c r="M559" s="5" t="str">
        <f>IFERROR(__xludf.DUMMYFUNCTION("""COMPUTED_VALUE"""),"History")</f>
        <v>History</v>
      </c>
      <c r="N559" s="5">
        <f>IFERROR(__xludf.DUMMYFUNCTION("""COMPUTED_VALUE"""),3.0)</f>
        <v>3</v>
      </c>
      <c r="S559" s="5">
        <f>IFERROR(__xludf.DUMMYFUNCTION("""COMPUTED_VALUE"""),222.0)</f>
        <v>222</v>
      </c>
      <c r="T559" s="5" t="str">
        <f>IFERROR(__xludf.DUMMYFUNCTION("""COMPUTED_VALUE"""),"Zindagi Na Milegi Dobara")</f>
        <v>Zindagi Na Milegi Dobara</v>
      </c>
      <c r="U559" s="5" t="str">
        <f>IFERROR(__xludf.DUMMYFUNCTION("""COMPUTED_VALUE"""),"Comedy")</f>
        <v>Comedy</v>
      </c>
      <c r="V559" s="5">
        <f>IFERROR(__xludf.DUMMYFUNCTION("""COMPUTED_VALUE"""),1.0)</f>
        <v>1</v>
      </c>
    </row>
    <row r="560">
      <c r="A560" s="1">
        <v>559.0</v>
      </c>
      <c r="B560" s="1" t="s">
        <v>3450</v>
      </c>
      <c r="C560" s="1" t="s">
        <v>416</v>
      </c>
      <c r="D560" s="1"/>
      <c r="E560" s="1">
        <v>559.0</v>
      </c>
      <c r="F560" s="1" t="s">
        <v>3450</v>
      </c>
      <c r="G560" s="1" t="str">
        <f>IFERROR(__xludf.DUMMYFUNCTION("SPLIT(C560, "", "")"),"Comedy")</f>
        <v>Comedy</v>
      </c>
      <c r="H560" s="5" t="str">
        <f>IFERROR(__xludf.DUMMYFUNCTION("""COMPUTED_VALUE"""),"Drama")</f>
        <v>Drama</v>
      </c>
      <c r="I560" s="5" t="str">
        <f>IFERROR(__xludf.DUMMYFUNCTION("""COMPUTED_VALUE"""),"Family")</f>
        <v>Family</v>
      </c>
      <c r="J560" s="5" t="str">
        <f>IFERROR(__xludf.DUMMYFUNCTION("""COMPUTED_VALUE"""),"187🤙🏼Du rififi chez les hommes🤙🏼Crime🤙🏼1")</f>
        <v>187🤙🏼Du rififi chez les hommes🤙🏼Crime🤙🏼1</v>
      </c>
      <c r="K560" s="5">
        <f>IFERROR(__xludf.DUMMYFUNCTION("SPLiT(J560, ""🤙🏼"",FALSE,FALSE)"),187.0)</f>
        <v>187</v>
      </c>
      <c r="L560" s="5" t="str">
        <f>IFERROR(__xludf.DUMMYFUNCTION("""COMPUTED_VALUE"""),"Du rififi chez les hommes")</f>
        <v>Du rififi chez les hommes</v>
      </c>
      <c r="M560" s="5" t="str">
        <f>IFERROR(__xludf.DUMMYFUNCTION("""COMPUTED_VALUE"""),"Crime")</f>
        <v>Crime</v>
      </c>
      <c r="N560" s="5">
        <f>IFERROR(__xludf.DUMMYFUNCTION("""COMPUTED_VALUE"""),1.0)</f>
        <v>1</v>
      </c>
      <c r="S560" s="5">
        <f>IFERROR(__xludf.DUMMYFUNCTION("""COMPUTED_VALUE"""),222.0)</f>
        <v>222</v>
      </c>
      <c r="T560" s="5" t="str">
        <f>IFERROR(__xludf.DUMMYFUNCTION("""COMPUTED_VALUE"""),"Zindagi Na Milegi Dobara")</f>
        <v>Zindagi Na Milegi Dobara</v>
      </c>
      <c r="U560" s="5" t="str">
        <f>IFERROR(__xludf.DUMMYFUNCTION("""COMPUTED_VALUE"""),"Drama")</f>
        <v>Drama</v>
      </c>
      <c r="V560" s="5">
        <f>IFERROR(__xludf.DUMMYFUNCTION("""COMPUTED_VALUE"""),2.0)</f>
        <v>2</v>
      </c>
    </row>
    <row r="561">
      <c r="A561" s="1">
        <v>560.0</v>
      </c>
      <c r="B561" s="1" t="s">
        <v>3457</v>
      </c>
      <c r="C561" s="1" t="s">
        <v>3458</v>
      </c>
      <c r="D561" s="1"/>
      <c r="E561" s="1">
        <v>560.0</v>
      </c>
      <c r="F561" s="1" t="s">
        <v>3457</v>
      </c>
      <c r="G561" s="1" t="str">
        <f>IFERROR(__xludf.DUMMYFUNCTION("SPLIT(C561, "", "")"),"Drama")</f>
        <v>Drama</v>
      </c>
      <c r="H561" s="5" t="str">
        <f>IFERROR(__xludf.DUMMYFUNCTION("""COMPUTED_VALUE"""),"Film-Noir")</f>
        <v>Film-Noir</v>
      </c>
      <c r="I561" s="5" t="str">
        <f>IFERROR(__xludf.DUMMYFUNCTION("""COMPUTED_VALUE"""),"Romance")</f>
        <v>Romance</v>
      </c>
      <c r="J561" s="5" t="str">
        <f>IFERROR(__xludf.DUMMYFUNCTION("""COMPUTED_VALUE"""),"187🤙🏼Du rififi chez les hommes🤙🏼Drama🤙🏼2")</f>
        <v>187🤙🏼Du rififi chez les hommes🤙🏼Drama🤙🏼2</v>
      </c>
      <c r="K561" s="5">
        <f>IFERROR(__xludf.DUMMYFUNCTION("SPLiT(J561, ""🤙🏼"",FALSE,FALSE)"),187.0)</f>
        <v>187</v>
      </c>
      <c r="L561" s="5" t="str">
        <f>IFERROR(__xludf.DUMMYFUNCTION("""COMPUTED_VALUE"""),"Du rififi chez les hommes")</f>
        <v>Du rififi chez les hommes</v>
      </c>
      <c r="M561" s="5" t="str">
        <f>IFERROR(__xludf.DUMMYFUNCTION("""COMPUTED_VALUE"""),"Drama")</f>
        <v>Drama</v>
      </c>
      <c r="N561" s="5">
        <f>IFERROR(__xludf.DUMMYFUNCTION("""COMPUTED_VALUE"""),2.0)</f>
        <v>2</v>
      </c>
      <c r="S561" s="5">
        <f>IFERROR(__xludf.DUMMYFUNCTION("""COMPUTED_VALUE"""),223.0)</f>
        <v>223</v>
      </c>
      <c r="T561" s="5" t="str">
        <f>IFERROR(__xludf.DUMMYFUNCTION("""COMPUTED_VALUE"""),"Prisoners")</f>
        <v>Prisoners</v>
      </c>
      <c r="U561" s="5" t="str">
        <f>IFERROR(__xludf.DUMMYFUNCTION("""COMPUTED_VALUE"""),"Crime")</f>
        <v>Crime</v>
      </c>
      <c r="V561" s="5">
        <f>IFERROR(__xludf.DUMMYFUNCTION("""COMPUTED_VALUE"""),1.0)</f>
        <v>1</v>
      </c>
    </row>
    <row r="562">
      <c r="A562" s="1">
        <v>561.0</v>
      </c>
      <c r="B562" s="1" t="s">
        <v>3461</v>
      </c>
      <c r="C562" s="1" t="s">
        <v>3462</v>
      </c>
      <c r="D562" s="1"/>
      <c r="E562" s="1">
        <v>561.0</v>
      </c>
      <c r="F562" s="1" t="s">
        <v>3461</v>
      </c>
      <c r="G562" s="1" t="str">
        <f>IFERROR(__xludf.DUMMYFUNCTION("SPLIT(C562, "", "")"),"Crime")</f>
        <v>Crime</v>
      </c>
      <c r="H562" s="5" t="str">
        <f>IFERROR(__xludf.DUMMYFUNCTION("""COMPUTED_VALUE"""),"Film-Noir")</f>
        <v>Film-Noir</v>
      </c>
      <c r="I562" s="5" t="str">
        <f>IFERROR(__xludf.DUMMYFUNCTION("""COMPUTED_VALUE"""),"Mystery")</f>
        <v>Mystery</v>
      </c>
      <c r="J562" s="5" t="str">
        <f>IFERROR(__xludf.DUMMYFUNCTION("""COMPUTED_VALUE"""),"187🤙🏼Du rififi chez les hommes🤙🏼Thriller🤙🏼3")</f>
        <v>187🤙🏼Du rififi chez les hommes🤙🏼Thriller🤙🏼3</v>
      </c>
      <c r="K562" s="5">
        <f>IFERROR(__xludf.DUMMYFUNCTION("SPLiT(J562, ""🤙🏼"",FALSE,FALSE)"),187.0)</f>
        <v>187</v>
      </c>
      <c r="L562" s="5" t="str">
        <f>IFERROR(__xludf.DUMMYFUNCTION("""COMPUTED_VALUE"""),"Du rififi chez les hommes")</f>
        <v>Du rififi chez les hommes</v>
      </c>
      <c r="M562" s="5" t="str">
        <f>IFERROR(__xludf.DUMMYFUNCTION("""COMPUTED_VALUE"""),"Thriller")</f>
        <v>Thriller</v>
      </c>
      <c r="N562" s="5">
        <f>IFERROR(__xludf.DUMMYFUNCTION("""COMPUTED_VALUE"""),3.0)</f>
        <v>3</v>
      </c>
      <c r="S562" s="5">
        <f>IFERROR(__xludf.DUMMYFUNCTION("""COMPUTED_VALUE"""),223.0)</f>
        <v>223</v>
      </c>
      <c r="T562" s="5" t="str">
        <f>IFERROR(__xludf.DUMMYFUNCTION("""COMPUTED_VALUE"""),"Prisoners")</f>
        <v>Prisoners</v>
      </c>
      <c r="U562" s="5" t="str">
        <f>IFERROR(__xludf.DUMMYFUNCTION("""COMPUTED_VALUE"""),"Drama")</f>
        <v>Drama</v>
      </c>
      <c r="V562" s="5">
        <f>IFERROR(__xludf.DUMMYFUNCTION("""COMPUTED_VALUE"""),2.0)</f>
        <v>2</v>
      </c>
    </row>
    <row r="563">
      <c r="A563" s="1">
        <v>562.0</v>
      </c>
      <c r="B563" s="1" t="s">
        <v>3466</v>
      </c>
      <c r="C563" s="1" t="s">
        <v>628</v>
      </c>
      <c r="D563" s="1"/>
      <c r="E563" s="1">
        <v>562.0</v>
      </c>
      <c r="F563" s="1" t="s">
        <v>3466</v>
      </c>
      <c r="G563" s="1" t="str">
        <f>IFERROR(__xludf.DUMMYFUNCTION("SPLIT(C563, "", "")"),"Drama")</f>
        <v>Drama</v>
      </c>
      <c r="H563" s="5" t="str">
        <f>IFERROR(__xludf.DUMMYFUNCTION("""COMPUTED_VALUE"""),"Film-Noir")</f>
        <v>Film-Noir</v>
      </c>
      <c r="J563" s="5" t="str">
        <f>IFERROR(__xludf.DUMMYFUNCTION("""COMPUTED_VALUE"""),"188🤙🏼Dial M for Murder🤙🏼Crime🤙🏼1")</f>
        <v>188🤙🏼Dial M for Murder🤙🏼Crime🤙🏼1</v>
      </c>
      <c r="K563" s="5">
        <f>IFERROR(__xludf.DUMMYFUNCTION("SPLiT(J563, ""🤙🏼"",FALSE,FALSE)"),188.0)</f>
        <v>188</v>
      </c>
      <c r="L563" s="5" t="str">
        <f>IFERROR(__xludf.DUMMYFUNCTION("""COMPUTED_VALUE"""),"Dial M for Murder")</f>
        <v>Dial M for Murder</v>
      </c>
      <c r="M563" s="5" t="str">
        <f>IFERROR(__xludf.DUMMYFUNCTION("""COMPUTED_VALUE"""),"Crime")</f>
        <v>Crime</v>
      </c>
      <c r="N563" s="5">
        <f>IFERROR(__xludf.DUMMYFUNCTION("""COMPUTED_VALUE"""),1.0)</f>
        <v>1</v>
      </c>
      <c r="S563" s="5">
        <f>IFERROR(__xludf.DUMMYFUNCTION("""COMPUTED_VALUE"""),223.0)</f>
        <v>223</v>
      </c>
      <c r="T563" s="5" t="str">
        <f>IFERROR(__xludf.DUMMYFUNCTION("""COMPUTED_VALUE"""),"Prisoners")</f>
        <v>Prisoners</v>
      </c>
      <c r="U563" s="5" t="str">
        <f>IFERROR(__xludf.DUMMYFUNCTION("""COMPUTED_VALUE"""),"Mystery")</f>
        <v>Mystery</v>
      </c>
      <c r="V563" s="5">
        <f>IFERROR(__xludf.DUMMYFUNCTION("""COMPUTED_VALUE"""),3.0)</f>
        <v>3</v>
      </c>
    </row>
    <row r="564">
      <c r="A564" s="1">
        <v>563.0</v>
      </c>
      <c r="B564" s="1" t="s">
        <v>3471</v>
      </c>
      <c r="C564" s="1" t="s">
        <v>723</v>
      </c>
      <c r="D564" s="1"/>
      <c r="E564" s="1">
        <v>563.0</v>
      </c>
      <c r="F564" s="1" t="s">
        <v>3471</v>
      </c>
      <c r="G564" s="1" t="str">
        <f>IFERROR(__xludf.DUMMYFUNCTION("SPLIT(C564, "", "")"),"Comedy")</f>
        <v>Comedy</v>
      </c>
      <c r="H564" s="5" t="str">
        <f>IFERROR(__xludf.DUMMYFUNCTION("""COMPUTED_VALUE"""),"Romance")</f>
        <v>Romance</v>
      </c>
      <c r="J564" s="5" t="str">
        <f>IFERROR(__xludf.DUMMYFUNCTION("""COMPUTED_VALUE"""),"188🤙🏼Dial M for Murder🤙🏼Thriller🤙🏼2")</f>
        <v>188🤙🏼Dial M for Murder🤙🏼Thriller🤙🏼2</v>
      </c>
      <c r="K564" s="5">
        <f>IFERROR(__xludf.DUMMYFUNCTION("SPLiT(J564, ""🤙🏼"",FALSE,FALSE)"),188.0)</f>
        <v>188</v>
      </c>
      <c r="L564" s="5" t="str">
        <f>IFERROR(__xludf.DUMMYFUNCTION("""COMPUTED_VALUE"""),"Dial M for Murder")</f>
        <v>Dial M for Murder</v>
      </c>
      <c r="M564" s="5" t="str">
        <f>IFERROR(__xludf.DUMMYFUNCTION("""COMPUTED_VALUE"""),"Thriller")</f>
        <v>Thriller</v>
      </c>
      <c r="N564" s="5">
        <f>IFERROR(__xludf.DUMMYFUNCTION("""COMPUTED_VALUE"""),2.0)</f>
        <v>2</v>
      </c>
      <c r="S564" s="5">
        <f>IFERROR(__xludf.DUMMYFUNCTION("""COMPUTED_VALUE"""),224.0)</f>
        <v>224</v>
      </c>
      <c r="T564" s="5" t="str">
        <f>IFERROR(__xludf.DUMMYFUNCTION("""COMPUTED_VALUE"""),"Mad Max: Fury Road")</f>
        <v>Mad Max: Fury Road</v>
      </c>
      <c r="U564" s="5" t="str">
        <f>IFERROR(__xludf.DUMMYFUNCTION("""COMPUTED_VALUE"""),"Action")</f>
        <v>Action</v>
      </c>
      <c r="V564" s="5">
        <f>IFERROR(__xludf.DUMMYFUNCTION("""COMPUTED_VALUE"""),1.0)</f>
        <v>1</v>
      </c>
    </row>
    <row r="565">
      <c r="A565" s="1">
        <v>564.0</v>
      </c>
      <c r="B565" s="1" t="s">
        <v>3474</v>
      </c>
      <c r="C565" s="1" t="s">
        <v>227</v>
      </c>
      <c r="D565" s="1"/>
      <c r="E565" s="1">
        <v>564.0</v>
      </c>
      <c r="F565" s="1" t="s">
        <v>3474</v>
      </c>
      <c r="G565" s="1" t="str">
        <f>IFERROR(__xludf.DUMMYFUNCTION("SPLIT(C565, "", "")"),"Comedy")</f>
        <v>Comedy</v>
      </c>
      <c r="H565" s="5" t="str">
        <f>IFERROR(__xludf.DUMMYFUNCTION("""COMPUTED_VALUE"""),"Drama")</f>
        <v>Drama</v>
      </c>
      <c r="I565" s="5" t="str">
        <f>IFERROR(__xludf.DUMMYFUNCTION("""COMPUTED_VALUE"""),"Romance")</f>
        <v>Romance</v>
      </c>
      <c r="J565" s="5" t="str">
        <f>IFERROR(__xludf.DUMMYFUNCTION("""COMPUTED_VALUE"""),"188🤙🏼Dial M for Murder🤙🏼🤙🏼3")</f>
        <v>188🤙🏼Dial M for Murder🤙🏼🤙🏼3</v>
      </c>
      <c r="K565" s="5">
        <f>IFERROR(__xludf.DUMMYFUNCTION("SPLiT(J565, ""🤙🏼"",FALSE,FALSE)"),188.0)</f>
        <v>188</v>
      </c>
      <c r="L565" s="5" t="str">
        <f>IFERROR(__xludf.DUMMYFUNCTION("""COMPUTED_VALUE"""),"Dial M for Murder")</f>
        <v>Dial M for Murder</v>
      </c>
      <c r="M565" s="5"/>
      <c r="N565" s="5">
        <f>IFERROR(__xludf.DUMMYFUNCTION("""COMPUTED_VALUE"""),3.0)</f>
        <v>3</v>
      </c>
      <c r="S565" s="5">
        <f>IFERROR(__xludf.DUMMYFUNCTION("""COMPUTED_VALUE"""),224.0)</f>
        <v>224</v>
      </c>
      <c r="T565" s="5" t="str">
        <f>IFERROR(__xludf.DUMMYFUNCTION("""COMPUTED_VALUE"""),"Mad Max: Fury Road")</f>
        <v>Mad Max: Fury Road</v>
      </c>
      <c r="U565" s="5" t="str">
        <f>IFERROR(__xludf.DUMMYFUNCTION("""COMPUTED_VALUE"""),"Adventure")</f>
        <v>Adventure</v>
      </c>
      <c r="V565" s="5">
        <f>IFERROR(__xludf.DUMMYFUNCTION("""COMPUTED_VALUE"""),2.0)</f>
        <v>2</v>
      </c>
    </row>
    <row r="566">
      <c r="A566" s="1">
        <v>565.0</v>
      </c>
      <c r="B566" s="1" t="s">
        <v>3478</v>
      </c>
      <c r="C566" s="1" t="s">
        <v>3479</v>
      </c>
      <c r="D566" s="1"/>
      <c r="E566" s="1">
        <v>565.0</v>
      </c>
      <c r="F566" s="1" t="s">
        <v>3478</v>
      </c>
      <c r="G566" s="1" t="str">
        <f>IFERROR(__xludf.DUMMYFUNCTION("SPLIT(C566, "", "")"),"Action")</f>
        <v>Action</v>
      </c>
      <c r="H566" s="5" t="str">
        <f>IFERROR(__xludf.DUMMYFUNCTION("""COMPUTED_VALUE"""),"Adventure")</f>
        <v>Adventure</v>
      </c>
      <c r="I566" s="5" t="str">
        <f>IFERROR(__xludf.DUMMYFUNCTION("""COMPUTED_VALUE"""),"Romance")</f>
        <v>Romance</v>
      </c>
      <c r="J566" s="5" t="str">
        <f>IFERROR(__xludf.DUMMYFUNCTION("""COMPUTED_VALUE"""),"189🤙🏼Tôkyô monogatari🤙🏼Drama🤙🏼1")</f>
        <v>189🤙🏼Tôkyô monogatari🤙🏼Drama🤙🏼1</v>
      </c>
      <c r="K566" s="5">
        <f>IFERROR(__xludf.DUMMYFUNCTION("SPLiT(J566, ""🤙🏼"",FALSE,FALSE)"),189.0)</f>
        <v>189</v>
      </c>
      <c r="L566" s="5" t="str">
        <f>IFERROR(__xludf.DUMMYFUNCTION("""COMPUTED_VALUE"""),"Tôkyô monogatari")</f>
        <v>Tôkyô monogatari</v>
      </c>
      <c r="M566" s="5" t="str">
        <f>IFERROR(__xludf.DUMMYFUNCTION("""COMPUTED_VALUE"""),"Drama")</f>
        <v>Drama</v>
      </c>
      <c r="N566" s="5">
        <f>IFERROR(__xludf.DUMMYFUNCTION("""COMPUTED_VALUE"""),1.0)</f>
        <v>1</v>
      </c>
      <c r="S566" s="5">
        <f>IFERROR(__xludf.DUMMYFUNCTION("""COMPUTED_VALUE"""),224.0)</f>
        <v>224</v>
      </c>
      <c r="T566" s="5" t="str">
        <f>IFERROR(__xludf.DUMMYFUNCTION("""COMPUTED_VALUE"""),"Mad Max: Fury Road")</f>
        <v>Mad Max: Fury Road</v>
      </c>
      <c r="U566" s="5" t="str">
        <f>IFERROR(__xludf.DUMMYFUNCTION("""COMPUTED_VALUE"""),"Sci-Fi")</f>
        <v>Sci-Fi</v>
      </c>
      <c r="V566" s="5">
        <f>IFERROR(__xludf.DUMMYFUNCTION("""COMPUTED_VALUE"""),3.0)</f>
        <v>3</v>
      </c>
    </row>
    <row r="567">
      <c r="A567" s="1">
        <v>566.0</v>
      </c>
      <c r="B567" s="1" t="s">
        <v>3485</v>
      </c>
      <c r="C567" s="1" t="s">
        <v>3486</v>
      </c>
      <c r="D567" s="1"/>
      <c r="E567" s="1">
        <v>566.0</v>
      </c>
      <c r="F567" s="1" t="s">
        <v>3485</v>
      </c>
      <c r="G567" s="1" t="str">
        <f>IFERROR(__xludf.DUMMYFUNCTION("SPLIT(C567, "", "")"),"Comedy")</f>
        <v>Comedy</v>
      </c>
      <c r="H567" s="5" t="str">
        <f>IFERROR(__xludf.DUMMYFUNCTION("""COMPUTED_VALUE"""),"Music")</f>
        <v>Music</v>
      </c>
      <c r="I567" s="5" t="str">
        <f>IFERROR(__xludf.DUMMYFUNCTION("""COMPUTED_VALUE"""),"Musical")</f>
        <v>Musical</v>
      </c>
      <c r="J567" s="5" t="str">
        <f>IFERROR(__xludf.DUMMYFUNCTION("""COMPUTED_VALUE"""),"189🤙🏼Tôkyô monogatari🤙🏼🤙🏼2")</f>
        <v>189🤙🏼Tôkyô monogatari🤙🏼🤙🏼2</v>
      </c>
      <c r="K567" s="5">
        <f>IFERROR(__xludf.DUMMYFUNCTION("SPLiT(J567, ""🤙🏼"",FALSE,FALSE)"),189.0)</f>
        <v>189</v>
      </c>
      <c r="L567" s="5" t="str">
        <f>IFERROR(__xludf.DUMMYFUNCTION("""COMPUTED_VALUE"""),"Tôkyô monogatari")</f>
        <v>Tôkyô monogatari</v>
      </c>
      <c r="M567" s="5"/>
      <c r="N567" s="5">
        <f>IFERROR(__xludf.DUMMYFUNCTION("""COMPUTED_VALUE"""),2.0)</f>
        <v>2</v>
      </c>
      <c r="S567" s="5">
        <f>IFERROR(__xludf.DUMMYFUNCTION("""COMPUTED_VALUE"""),225.0)</f>
        <v>225</v>
      </c>
      <c r="T567" s="5" t="str">
        <f>IFERROR(__xludf.DUMMYFUNCTION("""COMPUTED_VALUE"""),"A Wednesday")</f>
        <v>A Wednesday</v>
      </c>
      <c r="U567" s="5" t="str">
        <f>IFERROR(__xludf.DUMMYFUNCTION("""COMPUTED_VALUE"""),"Action")</f>
        <v>Action</v>
      </c>
      <c r="V567" s="5">
        <f>IFERROR(__xludf.DUMMYFUNCTION("""COMPUTED_VALUE"""),1.0)</f>
        <v>1</v>
      </c>
    </row>
    <row r="568">
      <c r="A568" s="1">
        <v>567.0</v>
      </c>
      <c r="B568" s="1" t="s">
        <v>3492</v>
      </c>
      <c r="C568" s="1" t="s">
        <v>3493</v>
      </c>
      <c r="D568" s="1"/>
      <c r="E568" s="1">
        <v>567.0</v>
      </c>
      <c r="F568" s="1" t="s">
        <v>3492</v>
      </c>
      <c r="G568" s="1" t="str">
        <f>IFERROR(__xludf.DUMMYFUNCTION("SPLIT(C568, "", "")"),"Adventure")</f>
        <v>Adventure</v>
      </c>
      <c r="H568" s="5" t="str">
        <f>IFERROR(__xludf.DUMMYFUNCTION("""COMPUTED_VALUE"""),"Horror")</f>
        <v>Horror</v>
      </c>
      <c r="I568" s="5" t="str">
        <f>IFERROR(__xludf.DUMMYFUNCTION("""COMPUTED_VALUE"""),"Sci-Fi")</f>
        <v>Sci-Fi</v>
      </c>
      <c r="J568" s="5" t="str">
        <f>IFERROR(__xludf.DUMMYFUNCTION("""COMPUTED_VALUE"""),"189🤙🏼Tôkyô monogatari🤙🏼🤙🏼3")</f>
        <v>189🤙🏼Tôkyô monogatari🤙🏼🤙🏼3</v>
      </c>
      <c r="K568" s="5">
        <f>IFERROR(__xludf.DUMMYFUNCTION("SPLiT(J568, ""🤙🏼"",FALSE,FALSE)"),189.0)</f>
        <v>189</v>
      </c>
      <c r="L568" s="5" t="str">
        <f>IFERROR(__xludf.DUMMYFUNCTION("""COMPUTED_VALUE"""),"Tôkyô monogatari")</f>
        <v>Tôkyô monogatari</v>
      </c>
      <c r="M568" s="5"/>
      <c r="N568" s="5">
        <f>IFERROR(__xludf.DUMMYFUNCTION("""COMPUTED_VALUE"""),3.0)</f>
        <v>3</v>
      </c>
      <c r="S568" s="5">
        <f>IFERROR(__xludf.DUMMYFUNCTION("""COMPUTED_VALUE"""),225.0)</f>
        <v>225</v>
      </c>
      <c r="T568" s="5" t="str">
        <f>IFERROR(__xludf.DUMMYFUNCTION("""COMPUTED_VALUE"""),"A Wednesday")</f>
        <v>A Wednesday</v>
      </c>
      <c r="U568" s="5" t="str">
        <f>IFERROR(__xludf.DUMMYFUNCTION("""COMPUTED_VALUE"""),"Crime")</f>
        <v>Crime</v>
      </c>
      <c r="V568" s="5">
        <f>IFERROR(__xludf.DUMMYFUNCTION("""COMPUTED_VALUE"""),2.0)</f>
        <v>2</v>
      </c>
    </row>
    <row r="569">
      <c r="A569" s="1">
        <v>568.0</v>
      </c>
      <c r="B569" s="1" t="s">
        <v>3500</v>
      </c>
      <c r="C569" s="1" t="s">
        <v>569</v>
      </c>
      <c r="D569" s="1"/>
      <c r="E569" s="1">
        <v>568.0</v>
      </c>
      <c r="F569" s="1" t="s">
        <v>3500</v>
      </c>
      <c r="G569" s="1" t="str">
        <f>IFERROR(__xludf.DUMMYFUNCTION("SPLIT(C569, "", "")"),"Drama")</f>
        <v>Drama</v>
      </c>
      <c r="H569" s="5" t="str">
        <f>IFERROR(__xludf.DUMMYFUNCTION("""COMPUTED_VALUE"""),"Horror")</f>
        <v>Horror</v>
      </c>
      <c r="J569" s="5" t="str">
        <f>IFERROR(__xludf.DUMMYFUNCTION("""COMPUTED_VALUE"""),"190🤙🏼Rashômon🤙🏼Crime🤙🏼1")</f>
        <v>190🤙🏼Rashômon🤙🏼Crime🤙🏼1</v>
      </c>
      <c r="K569" s="5">
        <f>IFERROR(__xludf.DUMMYFUNCTION("SPLiT(J569, ""🤙🏼"",FALSE,FALSE)"),190.0)</f>
        <v>190</v>
      </c>
      <c r="L569" s="5" t="str">
        <f>IFERROR(__xludf.DUMMYFUNCTION("""COMPUTED_VALUE"""),"Rashômon")</f>
        <v>Rashômon</v>
      </c>
      <c r="M569" s="5" t="str">
        <f>IFERROR(__xludf.DUMMYFUNCTION("""COMPUTED_VALUE"""),"Crime")</f>
        <v>Crime</v>
      </c>
      <c r="N569" s="5">
        <f>IFERROR(__xludf.DUMMYFUNCTION("""COMPUTED_VALUE"""),1.0)</f>
        <v>1</v>
      </c>
      <c r="S569" s="5">
        <f>IFERROR(__xludf.DUMMYFUNCTION("""COMPUTED_VALUE"""),225.0)</f>
        <v>225</v>
      </c>
      <c r="T569" s="5" t="str">
        <f>IFERROR(__xludf.DUMMYFUNCTION("""COMPUTED_VALUE"""),"A Wednesday")</f>
        <v>A Wednesday</v>
      </c>
      <c r="U569" s="5" t="str">
        <f>IFERROR(__xludf.DUMMYFUNCTION("""COMPUTED_VALUE"""),"Drama")</f>
        <v>Drama</v>
      </c>
      <c r="V569" s="5">
        <f>IFERROR(__xludf.DUMMYFUNCTION("""COMPUTED_VALUE"""),3.0)</f>
        <v>3</v>
      </c>
    </row>
    <row r="570">
      <c r="A570" s="1">
        <v>569.0</v>
      </c>
      <c r="B570" s="1" t="s">
        <v>3507</v>
      </c>
      <c r="C570" s="1" t="s">
        <v>3508</v>
      </c>
      <c r="D570" s="1"/>
      <c r="E570" s="1">
        <v>569.0</v>
      </c>
      <c r="F570" s="1" t="s">
        <v>3507</v>
      </c>
      <c r="G570" s="1" t="str">
        <f>IFERROR(__xludf.DUMMYFUNCTION("SPLIT(C570, "", "")"),"Fantasy")</f>
        <v>Fantasy</v>
      </c>
      <c r="H570" s="5" t="str">
        <f>IFERROR(__xludf.DUMMYFUNCTION("""COMPUTED_VALUE"""),"Horror")</f>
        <v>Horror</v>
      </c>
      <c r="J570" s="5" t="str">
        <f>IFERROR(__xludf.DUMMYFUNCTION("""COMPUTED_VALUE"""),"190🤙🏼Rashômon🤙🏼Drama🤙🏼2")</f>
        <v>190🤙🏼Rashômon🤙🏼Drama🤙🏼2</v>
      </c>
      <c r="K570" s="5">
        <f>IFERROR(__xludf.DUMMYFUNCTION("SPLiT(J570, ""🤙🏼"",FALSE,FALSE)"),190.0)</f>
        <v>190</v>
      </c>
      <c r="L570" s="5" t="str">
        <f>IFERROR(__xludf.DUMMYFUNCTION("""COMPUTED_VALUE"""),"Rashômon")</f>
        <v>Rashômon</v>
      </c>
      <c r="M570" s="5" t="str">
        <f>IFERROR(__xludf.DUMMYFUNCTION("""COMPUTED_VALUE"""),"Drama")</f>
        <v>Drama</v>
      </c>
      <c r="N570" s="5">
        <f>IFERROR(__xludf.DUMMYFUNCTION("""COMPUTED_VALUE"""),2.0)</f>
        <v>2</v>
      </c>
      <c r="S570" s="5">
        <f>IFERROR(__xludf.DUMMYFUNCTION("""COMPUTED_VALUE"""),226.0)</f>
        <v>226</v>
      </c>
      <c r="T570" s="5" t="str">
        <f>IFERROR(__xludf.DUMMYFUNCTION("""COMPUTED_VALUE"""),"Gran Torino")</f>
        <v>Gran Torino</v>
      </c>
      <c r="U570" s="5" t="str">
        <f>IFERROR(__xludf.DUMMYFUNCTION("""COMPUTED_VALUE"""),"Drama")</f>
        <v>Drama</v>
      </c>
      <c r="V570" s="5">
        <f>IFERROR(__xludf.DUMMYFUNCTION("""COMPUTED_VALUE"""),1.0)</f>
        <v>1</v>
      </c>
    </row>
    <row r="571">
      <c r="A571" s="1">
        <v>570.0</v>
      </c>
      <c r="B571" s="1" t="s">
        <v>3514</v>
      </c>
      <c r="C571" s="1" t="s">
        <v>1029</v>
      </c>
      <c r="D571" s="1"/>
      <c r="E571" s="1">
        <v>570.0</v>
      </c>
      <c r="F571" s="1" t="s">
        <v>3514</v>
      </c>
      <c r="G571" s="1" t="str">
        <f>IFERROR(__xludf.DUMMYFUNCTION("SPLIT(C571, "", "")"),"Action")</f>
        <v>Action</v>
      </c>
      <c r="H571" s="5" t="str">
        <f>IFERROR(__xludf.DUMMYFUNCTION("""COMPUTED_VALUE"""),"Comedy")</f>
        <v>Comedy</v>
      </c>
      <c r="I571" s="5" t="str">
        <f>IFERROR(__xludf.DUMMYFUNCTION("""COMPUTED_VALUE"""),"Crime")</f>
        <v>Crime</v>
      </c>
      <c r="J571" s="5" t="str">
        <f>IFERROR(__xludf.DUMMYFUNCTION("""COMPUTED_VALUE"""),"190🤙🏼Rashômon🤙🏼Mystery🤙🏼3")</f>
        <v>190🤙🏼Rashômon🤙🏼Mystery🤙🏼3</v>
      </c>
      <c r="K571" s="5">
        <f>IFERROR(__xludf.DUMMYFUNCTION("SPLiT(J571, ""🤙🏼"",FALSE,FALSE)"),190.0)</f>
        <v>190</v>
      </c>
      <c r="L571" s="5" t="str">
        <f>IFERROR(__xludf.DUMMYFUNCTION("""COMPUTED_VALUE"""),"Rashômon")</f>
        <v>Rashômon</v>
      </c>
      <c r="M571" s="5" t="str">
        <f>IFERROR(__xludf.DUMMYFUNCTION("""COMPUTED_VALUE"""),"Mystery")</f>
        <v>Mystery</v>
      </c>
      <c r="N571" s="5">
        <f>IFERROR(__xludf.DUMMYFUNCTION("""COMPUTED_VALUE"""),3.0)</f>
        <v>3</v>
      </c>
      <c r="S571" s="5">
        <f>IFERROR(__xludf.DUMMYFUNCTION("""COMPUTED_VALUE"""),227.0)</f>
        <v>227</v>
      </c>
      <c r="T571" s="5" t="str">
        <f>IFERROR(__xludf.DUMMYFUNCTION("""COMPUTED_VALUE"""),"Harry Potter and the Deathly Hallows: Part 2")</f>
        <v>Harry Potter and the Deathly Hallows: Part 2</v>
      </c>
      <c r="U571" s="5" t="str">
        <f>IFERROR(__xludf.DUMMYFUNCTION("""COMPUTED_VALUE"""),"Adventure")</f>
        <v>Adventure</v>
      </c>
      <c r="V571" s="5">
        <f>IFERROR(__xludf.DUMMYFUNCTION("""COMPUTED_VALUE"""),1.0)</f>
        <v>1</v>
      </c>
    </row>
    <row r="572">
      <c r="A572" s="1">
        <v>571.0</v>
      </c>
      <c r="B572" s="1" t="s">
        <v>3519</v>
      </c>
      <c r="C572" s="1" t="s">
        <v>1283</v>
      </c>
      <c r="D572" s="1"/>
      <c r="E572" s="1">
        <v>571.0</v>
      </c>
      <c r="F572" s="1" t="s">
        <v>3519</v>
      </c>
      <c r="G572" s="1" t="str">
        <f>IFERROR(__xludf.DUMMYFUNCTION("SPLIT(C572, "", "")"),"Action")</f>
        <v>Action</v>
      </c>
      <c r="H572" s="5" t="str">
        <f>IFERROR(__xludf.DUMMYFUNCTION("""COMPUTED_VALUE"""),"Drama")</f>
        <v>Drama</v>
      </c>
      <c r="I572" s="5" t="str">
        <f>IFERROR(__xludf.DUMMYFUNCTION("""COMPUTED_VALUE"""),"Thriller")</f>
        <v>Thriller</v>
      </c>
      <c r="J572" s="5" t="str">
        <f>IFERROR(__xludf.DUMMYFUNCTION("""COMPUTED_VALUE"""),"191🤙🏼All About Eve🤙🏼Drama🤙🏼1")</f>
        <v>191🤙🏼All About Eve🤙🏼Drama🤙🏼1</v>
      </c>
      <c r="K572" s="5">
        <f>IFERROR(__xludf.DUMMYFUNCTION("SPLiT(J572, ""🤙🏼"",FALSE,FALSE)"),191.0)</f>
        <v>191</v>
      </c>
      <c r="L572" s="5" t="str">
        <f>IFERROR(__xludf.DUMMYFUNCTION("""COMPUTED_VALUE"""),"All About Eve")</f>
        <v>All About Eve</v>
      </c>
      <c r="M572" s="5" t="str">
        <f>IFERROR(__xludf.DUMMYFUNCTION("""COMPUTED_VALUE"""),"Drama")</f>
        <v>Drama</v>
      </c>
      <c r="N572" s="5">
        <f>IFERROR(__xludf.DUMMYFUNCTION("""COMPUTED_VALUE"""),1.0)</f>
        <v>1</v>
      </c>
      <c r="S572" s="5">
        <f>IFERROR(__xludf.DUMMYFUNCTION("""COMPUTED_VALUE"""),227.0)</f>
        <v>227</v>
      </c>
      <c r="T572" s="5" t="str">
        <f>IFERROR(__xludf.DUMMYFUNCTION("""COMPUTED_VALUE"""),"Harry Potter and the Deathly Hallows: Part 2")</f>
        <v>Harry Potter and the Deathly Hallows: Part 2</v>
      </c>
      <c r="U572" s="5" t="str">
        <f>IFERROR(__xludf.DUMMYFUNCTION("""COMPUTED_VALUE"""),"Drama")</f>
        <v>Drama</v>
      </c>
      <c r="V572" s="5">
        <f>IFERROR(__xludf.DUMMYFUNCTION("""COMPUTED_VALUE"""),2.0)</f>
        <v>2</v>
      </c>
    </row>
    <row r="573">
      <c r="A573" s="1">
        <v>572.0</v>
      </c>
      <c r="B573" s="1" t="s">
        <v>3524</v>
      </c>
      <c r="C573" s="1" t="s">
        <v>287</v>
      </c>
      <c r="D573" s="1"/>
      <c r="E573" s="1">
        <v>572.0</v>
      </c>
      <c r="F573" s="1" t="s">
        <v>3524</v>
      </c>
      <c r="G573" s="1" t="str">
        <f>IFERROR(__xludf.DUMMYFUNCTION("SPLIT(C573, "", "")"),"Drama")</f>
        <v>Drama</v>
      </c>
      <c r="H573" s="5" t="str">
        <f>IFERROR(__xludf.DUMMYFUNCTION("""COMPUTED_VALUE"""),"Music")</f>
        <v>Music</v>
      </c>
      <c r="J573" s="5" t="str">
        <f>IFERROR(__xludf.DUMMYFUNCTION("""COMPUTED_VALUE"""),"191🤙🏼All About Eve🤙🏼🤙🏼2")</f>
        <v>191🤙🏼All About Eve🤙🏼🤙🏼2</v>
      </c>
      <c r="K573" s="5">
        <f>IFERROR(__xludf.DUMMYFUNCTION("SPLiT(J573, ""🤙🏼"",FALSE,FALSE)"),191.0)</f>
        <v>191</v>
      </c>
      <c r="L573" s="5" t="str">
        <f>IFERROR(__xludf.DUMMYFUNCTION("""COMPUTED_VALUE"""),"All About Eve")</f>
        <v>All About Eve</v>
      </c>
      <c r="M573" s="5"/>
      <c r="N573" s="5">
        <f>IFERROR(__xludf.DUMMYFUNCTION("""COMPUTED_VALUE"""),2.0)</f>
        <v>2</v>
      </c>
      <c r="S573" s="5">
        <f>IFERROR(__xludf.DUMMYFUNCTION("""COMPUTED_VALUE"""),227.0)</f>
        <v>227</v>
      </c>
      <c r="T573" s="5" t="str">
        <f>IFERROR(__xludf.DUMMYFUNCTION("""COMPUTED_VALUE"""),"Harry Potter and the Deathly Hallows: Part 2")</f>
        <v>Harry Potter and the Deathly Hallows: Part 2</v>
      </c>
      <c r="U573" s="5" t="str">
        <f>IFERROR(__xludf.DUMMYFUNCTION("""COMPUTED_VALUE"""),"Fantasy")</f>
        <v>Fantasy</v>
      </c>
      <c r="V573" s="5">
        <f>IFERROR(__xludf.DUMMYFUNCTION("""COMPUTED_VALUE"""),3.0)</f>
        <v>3</v>
      </c>
    </row>
    <row r="574">
      <c r="A574" s="1">
        <v>573.0</v>
      </c>
      <c r="B574" s="1" t="s">
        <v>3531</v>
      </c>
      <c r="C574" s="1" t="s">
        <v>20</v>
      </c>
      <c r="D574" s="1"/>
      <c r="E574" s="1">
        <v>573.0</v>
      </c>
      <c r="F574" s="1" t="s">
        <v>3531</v>
      </c>
      <c r="G574" s="1" t="str">
        <f>IFERROR(__xludf.DUMMYFUNCTION("SPLIT(C574, "", "")"),"Drama")</f>
        <v>Drama</v>
      </c>
      <c r="J574" s="5" t="str">
        <f>IFERROR(__xludf.DUMMYFUNCTION("""COMPUTED_VALUE"""),"191🤙🏼All About Eve🤙🏼🤙🏼3")</f>
        <v>191🤙🏼All About Eve🤙🏼🤙🏼3</v>
      </c>
      <c r="K574" s="5">
        <f>IFERROR(__xludf.DUMMYFUNCTION("SPLiT(J574, ""🤙🏼"",FALSE,FALSE)"),191.0)</f>
        <v>191</v>
      </c>
      <c r="L574" s="5" t="str">
        <f>IFERROR(__xludf.DUMMYFUNCTION("""COMPUTED_VALUE"""),"All About Eve")</f>
        <v>All About Eve</v>
      </c>
      <c r="M574" s="5"/>
      <c r="N574" s="5">
        <f>IFERROR(__xludf.DUMMYFUNCTION("""COMPUTED_VALUE"""),3.0)</f>
        <v>3</v>
      </c>
      <c r="S574" s="5">
        <f>IFERROR(__xludf.DUMMYFUNCTION("""COMPUTED_VALUE"""),228.0)</f>
        <v>228</v>
      </c>
      <c r="T574" s="5" t="str">
        <f>IFERROR(__xludf.DUMMYFUNCTION("""COMPUTED_VALUE"""),"Okuribito")</f>
        <v>Okuribito</v>
      </c>
      <c r="U574" s="5" t="str">
        <f>IFERROR(__xludf.DUMMYFUNCTION("""COMPUTED_VALUE"""),"Drama")</f>
        <v>Drama</v>
      </c>
      <c r="V574" s="5">
        <f>IFERROR(__xludf.DUMMYFUNCTION("""COMPUTED_VALUE"""),1.0)</f>
        <v>1</v>
      </c>
    </row>
    <row r="575">
      <c r="A575" s="1">
        <v>574.0</v>
      </c>
      <c r="B575" s="1" t="s">
        <v>3535</v>
      </c>
      <c r="C575" s="1" t="s">
        <v>3536</v>
      </c>
      <c r="D575" s="1"/>
      <c r="E575" s="1">
        <v>574.0</v>
      </c>
      <c r="F575" s="1" t="s">
        <v>3535</v>
      </c>
      <c r="G575" s="1" t="str">
        <f>IFERROR(__xludf.DUMMYFUNCTION("SPLIT(C575, "", "")"),"Action")</f>
        <v>Action</v>
      </c>
      <c r="H575" s="5" t="str">
        <f>IFERROR(__xludf.DUMMYFUNCTION("""COMPUTED_VALUE"""),"Drama")</f>
        <v>Drama</v>
      </c>
      <c r="I575" s="5" t="str">
        <f>IFERROR(__xludf.DUMMYFUNCTION("""COMPUTED_VALUE"""),"History")</f>
        <v>History</v>
      </c>
      <c r="J575" s="5" t="str">
        <f>IFERROR(__xludf.DUMMYFUNCTION("""COMPUTED_VALUE"""),"192🤙🏼The Treasure of the Sierra Madre🤙🏼Adventure🤙🏼1")</f>
        <v>192🤙🏼The Treasure of the Sierra Madre🤙🏼Adventure🤙🏼1</v>
      </c>
      <c r="K575" s="5">
        <f>IFERROR(__xludf.DUMMYFUNCTION("SPLiT(J575, ""🤙🏼"",FALSE,FALSE)"),192.0)</f>
        <v>192</v>
      </c>
      <c r="L575" s="5" t="str">
        <f>IFERROR(__xludf.DUMMYFUNCTION("""COMPUTED_VALUE"""),"The Treasure of the Sierra Madre")</f>
        <v>The Treasure of the Sierra Madre</v>
      </c>
      <c r="M575" s="5" t="str">
        <f>IFERROR(__xludf.DUMMYFUNCTION("""COMPUTED_VALUE"""),"Adventure")</f>
        <v>Adventure</v>
      </c>
      <c r="N575" s="5">
        <f>IFERROR(__xludf.DUMMYFUNCTION("""COMPUTED_VALUE"""),1.0)</f>
        <v>1</v>
      </c>
      <c r="S575" s="5">
        <f>IFERROR(__xludf.DUMMYFUNCTION("""COMPUTED_VALUE"""),228.0)</f>
        <v>228</v>
      </c>
      <c r="T575" s="5" t="str">
        <f>IFERROR(__xludf.DUMMYFUNCTION("""COMPUTED_VALUE"""),"Okuribito")</f>
        <v>Okuribito</v>
      </c>
      <c r="U575" s="5" t="str">
        <f>IFERROR(__xludf.DUMMYFUNCTION("""COMPUTED_VALUE"""),"Music")</f>
        <v>Music</v>
      </c>
      <c r="V575" s="5">
        <f>IFERROR(__xludf.DUMMYFUNCTION("""COMPUTED_VALUE"""),2.0)</f>
        <v>2</v>
      </c>
    </row>
    <row r="576">
      <c r="A576" s="1">
        <v>575.0</v>
      </c>
      <c r="B576" s="1" t="s">
        <v>3541</v>
      </c>
      <c r="C576" s="1" t="s">
        <v>507</v>
      </c>
      <c r="D576" s="1"/>
      <c r="E576" s="1">
        <v>575.0</v>
      </c>
      <c r="F576" s="1" t="s">
        <v>3541</v>
      </c>
      <c r="G576" s="1" t="str">
        <f>IFERROR(__xludf.DUMMYFUNCTION("SPLIT(C576, "", "")"),"Comedy")</f>
        <v>Comedy</v>
      </c>
      <c r="H576" s="5" t="str">
        <f>IFERROR(__xludf.DUMMYFUNCTION("""COMPUTED_VALUE"""),"Drama")</f>
        <v>Drama</v>
      </c>
      <c r="J576" s="5" t="str">
        <f>IFERROR(__xludf.DUMMYFUNCTION("""COMPUTED_VALUE"""),"192🤙🏼The Treasure of the Sierra Madre🤙🏼Drama🤙🏼2")</f>
        <v>192🤙🏼The Treasure of the Sierra Madre🤙🏼Drama🤙🏼2</v>
      </c>
      <c r="K576" s="5">
        <f>IFERROR(__xludf.DUMMYFUNCTION("SPLiT(J576, ""🤙🏼"",FALSE,FALSE)"),192.0)</f>
        <v>192</v>
      </c>
      <c r="L576" s="5" t="str">
        <f>IFERROR(__xludf.DUMMYFUNCTION("""COMPUTED_VALUE"""),"The Treasure of the Sierra Madre")</f>
        <v>The Treasure of the Sierra Madre</v>
      </c>
      <c r="M576" s="5" t="str">
        <f>IFERROR(__xludf.DUMMYFUNCTION("""COMPUTED_VALUE"""),"Drama")</f>
        <v>Drama</v>
      </c>
      <c r="N576" s="5">
        <f>IFERROR(__xludf.DUMMYFUNCTION("""COMPUTED_VALUE"""),2.0)</f>
        <v>2</v>
      </c>
      <c r="S576" s="5">
        <f>IFERROR(__xludf.DUMMYFUNCTION("""COMPUTED_VALUE"""),229.0)</f>
        <v>229</v>
      </c>
      <c r="T576" s="5" t="str">
        <f>IFERROR(__xludf.DUMMYFUNCTION("""COMPUTED_VALUE"""),"Hachi: A Dog's Tale")</f>
        <v>Hachi: A Dog's Tale</v>
      </c>
      <c r="U576" s="5" t="str">
        <f>IFERROR(__xludf.DUMMYFUNCTION("""COMPUTED_VALUE"""),"Biography")</f>
        <v>Biography</v>
      </c>
      <c r="V576" s="5">
        <f>IFERROR(__xludf.DUMMYFUNCTION("""COMPUTED_VALUE"""),1.0)</f>
        <v>1</v>
      </c>
    </row>
    <row r="577">
      <c r="A577" s="1">
        <v>576.0</v>
      </c>
      <c r="B577" s="1" t="s">
        <v>3549</v>
      </c>
      <c r="C577" s="1" t="s">
        <v>79</v>
      </c>
      <c r="D577" s="1"/>
      <c r="E577" s="1">
        <v>576.0</v>
      </c>
      <c r="F577" s="1" t="s">
        <v>3549</v>
      </c>
      <c r="G577" s="1" t="str">
        <f>IFERROR(__xludf.DUMMYFUNCTION("SPLIT(C577, "", "")"),"Biography")</f>
        <v>Biography</v>
      </c>
      <c r="H577" s="5" t="str">
        <f>IFERROR(__xludf.DUMMYFUNCTION("""COMPUTED_VALUE"""),"Drama")</f>
        <v>Drama</v>
      </c>
      <c r="I577" s="5" t="str">
        <f>IFERROR(__xludf.DUMMYFUNCTION("""COMPUTED_VALUE"""),"History")</f>
        <v>History</v>
      </c>
      <c r="J577" s="5" t="str">
        <f>IFERROR(__xludf.DUMMYFUNCTION("""COMPUTED_VALUE"""),"192🤙🏼The Treasure of the Sierra Madre🤙🏼Western🤙🏼3")</f>
        <v>192🤙🏼The Treasure of the Sierra Madre🤙🏼Western🤙🏼3</v>
      </c>
      <c r="K577" s="5">
        <f>IFERROR(__xludf.DUMMYFUNCTION("SPLiT(J577, ""🤙🏼"",FALSE,FALSE)"),192.0)</f>
        <v>192</v>
      </c>
      <c r="L577" s="5" t="str">
        <f>IFERROR(__xludf.DUMMYFUNCTION("""COMPUTED_VALUE"""),"The Treasure of the Sierra Madre")</f>
        <v>The Treasure of the Sierra Madre</v>
      </c>
      <c r="M577" s="5" t="str">
        <f>IFERROR(__xludf.DUMMYFUNCTION("""COMPUTED_VALUE"""),"Western")</f>
        <v>Western</v>
      </c>
      <c r="N577" s="5">
        <f>IFERROR(__xludf.DUMMYFUNCTION("""COMPUTED_VALUE"""),3.0)</f>
        <v>3</v>
      </c>
      <c r="S577" s="5">
        <f>IFERROR(__xludf.DUMMYFUNCTION("""COMPUTED_VALUE"""),229.0)</f>
        <v>229</v>
      </c>
      <c r="T577" s="5" t="str">
        <f>IFERROR(__xludf.DUMMYFUNCTION("""COMPUTED_VALUE"""),"Hachi: A Dog's Tale")</f>
        <v>Hachi: A Dog's Tale</v>
      </c>
      <c r="U577" s="5" t="str">
        <f>IFERROR(__xludf.DUMMYFUNCTION("""COMPUTED_VALUE"""),"Drama")</f>
        <v>Drama</v>
      </c>
      <c r="V577" s="5">
        <f>IFERROR(__xludf.DUMMYFUNCTION("""COMPUTED_VALUE"""),2.0)</f>
        <v>2</v>
      </c>
    </row>
    <row r="578">
      <c r="A578" s="1">
        <v>577.0</v>
      </c>
      <c r="B578" s="1" t="s">
        <v>3554</v>
      </c>
      <c r="C578" s="1" t="s">
        <v>3555</v>
      </c>
      <c r="D578" s="1"/>
      <c r="E578" s="1">
        <v>577.0</v>
      </c>
      <c r="F578" s="1" t="s">
        <v>3554</v>
      </c>
      <c r="G578" s="1" t="str">
        <f>IFERROR(__xludf.DUMMYFUNCTION("SPLIT(C578, "", "")"),"Adventure")</f>
        <v>Adventure</v>
      </c>
      <c r="H578" s="5" t="str">
        <f>IFERROR(__xludf.DUMMYFUNCTION("""COMPUTED_VALUE"""),"Comedy")</f>
        <v>Comedy</v>
      </c>
      <c r="I578" s="5" t="str">
        <f>IFERROR(__xludf.DUMMYFUNCTION("""COMPUTED_VALUE"""),"Family")</f>
        <v>Family</v>
      </c>
      <c r="J578" s="5" t="str">
        <f>IFERROR(__xludf.DUMMYFUNCTION("""COMPUTED_VALUE"""),"193🤙🏼To Be or Not to Be🤙🏼Comedy🤙🏼1")</f>
        <v>193🤙🏼To Be or Not to Be🤙🏼Comedy🤙🏼1</v>
      </c>
      <c r="K578" s="5">
        <f>IFERROR(__xludf.DUMMYFUNCTION("SPLiT(J578, ""🤙🏼"",FALSE,FALSE)"),193.0)</f>
        <v>193</v>
      </c>
      <c r="L578" s="5" t="str">
        <f>IFERROR(__xludf.DUMMYFUNCTION("""COMPUTED_VALUE"""),"To Be or Not to Be")</f>
        <v>To Be or Not to Be</v>
      </c>
      <c r="M578" s="5" t="str">
        <f>IFERROR(__xludf.DUMMYFUNCTION("""COMPUTED_VALUE"""),"Comedy")</f>
        <v>Comedy</v>
      </c>
      <c r="N578" s="5">
        <f>IFERROR(__xludf.DUMMYFUNCTION("""COMPUTED_VALUE"""),1.0)</f>
        <v>1</v>
      </c>
      <c r="S578" s="5">
        <f>IFERROR(__xludf.DUMMYFUNCTION("""COMPUTED_VALUE"""),229.0)</f>
        <v>229</v>
      </c>
      <c r="T578" s="5" t="str">
        <f>IFERROR(__xludf.DUMMYFUNCTION("""COMPUTED_VALUE"""),"Hachi: A Dog's Tale")</f>
        <v>Hachi: A Dog's Tale</v>
      </c>
      <c r="U578" s="5" t="str">
        <f>IFERROR(__xludf.DUMMYFUNCTION("""COMPUTED_VALUE"""),"Family")</f>
        <v>Family</v>
      </c>
      <c r="V578" s="5">
        <f>IFERROR(__xludf.DUMMYFUNCTION("""COMPUTED_VALUE"""),3.0)</f>
        <v>3</v>
      </c>
    </row>
    <row r="579">
      <c r="A579" s="1">
        <v>578.0</v>
      </c>
      <c r="B579" s="1" t="s">
        <v>3562</v>
      </c>
      <c r="C579" s="1" t="s">
        <v>39</v>
      </c>
      <c r="D579" s="1"/>
      <c r="E579" s="1">
        <v>578.0</v>
      </c>
      <c r="F579" s="1" t="s">
        <v>3562</v>
      </c>
      <c r="G579" s="1" t="str">
        <f>IFERROR(__xludf.DUMMYFUNCTION("SPLIT(C579, "", "")"),"Action")</f>
        <v>Action</v>
      </c>
      <c r="H579" s="5" t="str">
        <f>IFERROR(__xludf.DUMMYFUNCTION("""COMPUTED_VALUE"""),"Crime")</f>
        <v>Crime</v>
      </c>
      <c r="I579" s="5" t="str">
        <f>IFERROR(__xludf.DUMMYFUNCTION("""COMPUTED_VALUE"""),"Drama")</f>
        <v>Drama</v>
      </c>
      <c r="J579" s="5" t="str">
        <f>IFERROR(__xludf.DUMMYFUNCTION("""COMPUTED_VALUE"""),"193🤙🏼To Be or Not to Be🤙🏼War🤙🏼2")</f>
        <v>193🤙🏼To Be or Not to Be🤙🏼War🤙🏼2</v>
      </c>
      <c r="K579" s="5">
        <f>IFERROR(__xludf.DUMMYFUNCTION("SPLiT(J579, ""🤙🏼"",FALSE,FALSE)"),193.0)</f>
        <v>193</v>
      </c>
      <c r="L579" s="5" t="str">
        <f>IFERROR(__xludf.DUMMYFUNCTION("""COMPUTED_VALUE"""),"To Be or Not to Be")</f>
        <v>To Be or Not to Be</v>
      </c>
      <c r="M579" s="5" t="str">
        <f>IFERROR(__xludf.DUMMYFUNCTION("""COMPUTED_VALUE"""),"War")</f>
        <v>War</v>
      </c>
      <c r="N579" s="5">
        <f>IFERROR(__xludf.DUMMYFUNCTION("""COMPUTED_VALUE"""),2.0)</f>
        <v>2</v>
      </c>
      <c r="S579" s="5">
        <f>IFERROR(__xludf.DUMMYFUNCTION("""COMPUTED_VALUE"""),230.0)</f>
        <v>230</v>
      </c>
      <c r="T579" s="5" t="str">
        <f>IFERROR(__xludf.DUMMYFUNCTION("""COMPUTED_VALUE"""),"Mary and Max")</f>
        <v>Mary and Max</v>
      </c>
      <c r="U579" s="5" t="str">
        <f>IFERROR(__xludf.DUMMYFUNCTION("""COMPUTED_VALUE"""),"Animation")</f>
        <v>Animation</v>
      </c>
      <c r="V579" s="5">
        <f>IFERROR(__xludf.DUMMYFUNCTION("""COMPUTED_VALUE"""),1.0)</f>
        <v>1</v>
      </c>
    </row>
    <row r="580">
      <c r="A580" s="1">
        <v>579.0</v>
      </c>
      <c r="B580" s="1" t="s">
        <v>3566</v>
      </c>
      <c r="C580" s="1" t="s">
        <v>467</v>
      </c>
      <c r="D580" s="1"/>
      <c r="E580" s="1">
        <v>579.0</v>
      </c>
      <c r="F580" s="1" t="s">
        <v>3566</v>
      </c>
      <c r="G580" s="1" t="str">
        <f>IFERROR(__xludf.DUMMYFUNCTION("SPLIT(C580, "", "")"),"Animation")</f>
        <v>Animation</v>
      </c>
      <c r="H580" s="5" t="str">
        <f>IFERROR(__xludf.DUMMYFUNCTION("""COMPUTED_VALUE"""),"Action")</f>
        <v>Action</v>
      </c>
      <c r="I580" s="5" t="str">
        <f>IFERROR(__xludf.DUMMYFUNCTION("""COMPUTED_VALUE"""),"Adventure")</f>
        <v>Adventure</v>
      </c>
      <c r="J580" s="5" t="str">
        <f>IFERROR(__xludf.DUMMYFUNCTION("""COMPUTED_VALUE"""),"193🤙🏼To Be or Not to Be🤙🏼🤙🏼3")</f>
        <v>193🤙🏼To Be or Not to Be🤙🏼🤙🏼3</v>
      </c>
      <c r="K580" s="5">
        <f>IFERROR(__xludf.DUMMYFUNCTION("SPLiT(J580, ""🤙🏼"",FALSE,FALSE)"),193.0)</f>
        <v>193</v>
      </c>
      <c r="L580" s="5" t="str">
        <f>IFERROR(__xludf.DUMMYFUNCTION("""COMPUTED_VALUE"""),"To Be or Not to Be")</f>
        <v>To Be or Not to Be</v>
      </c>
      <c r="M580" s="5"/>
      <c r="N580" s="5">
        <f>IFERROR(__xludf.DUMMYFUNCTION("""COMPUTED_VALUE"""),3.0)</f>
        <v>3</v>
      </c>
      <c r="S580" s="5">
        <f>IFERROR(__xludf.DUMMYFUNCTION("""COMPUTED_VALUE"""),230.0)</f>
        <v>230</v>
      </c>
      <c r="T580" s="5" t="str">
        <f>IFERROR(__xludf.DUMMYFUNCTION("""COMPUTED_VALUE"""),"Mary and Max")</f>
        <v>Mary and Max</v>
      </c>
      <c r="U580" s="5" t="str">
        <f>IFERROR(__xludf.DUMMYFUNCTION("""COMPUTED_VALUE"""),"Comedy")</f>
        <v>Comedy</v>
      </c>
      <c r="V580" s="5">
        <f>IFERROR(__xludf.DUMMYFUNCTION("""COMPUTED_VALUE"""),2.0)</f>
        <v>2</v>
      </c>
    </row>
    <row r="581">
      <c r="A581" s="1">
        <v>580.0</v>
      </c>
      <c r="B581" s="1" t="s">
        <v>3570</v>
      </c>
      <c r="C581" s="1" t="s">
        <v>1020</v>
      </c>
      <c r="D581" s="1"/>
      <c r="E581" s="1">
        <v>580.0</v>
      </c>
      <c r="F581" s="1" t="s">
        <v>3570</v>
      </c>
      <c r="G581" s="1" t="str">
        <f>IFERROR(__xludf.DUMMYFUNCTION("SPLIT(C581, "", "")"),"Biography")</f>
        <v>Biography</v>
      </c>
      <c r="H581" s="5" t="str">
        <f>IFERROR(__xludf.DUMMYFUNCTION("""COMPUTED_VALUE"""),"Drama")</f>
        <v>Drama</v>
      </c>
      <c r="I581" s="5" t="str">
        <f>IFERROR(__xludf.DUMMYFUNCTION("""COMPUTED_VALUE"""),"Sport")</f>
        <v>Sport</v>
      </c>
      <c r="J581" s="5" t="str">
        <f>IFERROR(__xludf.DUMMYFUNCTION("""COMPUTED_VALUE"""),"194🤙🏼The Gold Rush🤙🏼Adventure🤙🏼1")</f>
        <v>194🤙🏼The Gold Rush🤙🏼Adventure🤙🏼1</v>
      </c>
      <c r="K581" s="5">
        <f>IFERROR(__xludf.DUMMYFUNCTION("SPLiT(J581, ""🤙🏼"",FALSE,FALSE)"),194.0)</f>
        <v>194</v>
      </c>
      <c r="L581" s="5" t="str">
        <f>IFERROR(__xludf.DUMMYFUNCTION("""COMPUTED_VALUE"""),"The Gold Rush")</f>
        <v>The Gold Rush</v>
      </c>
      <c r="M581" s="5" t="str">
        <f>IFERROR(__xludf.DUMMYFUNCTION("""COMPUTED_VALUE"""),"Adventure")</f>
        <v>Adventure</v>
      </c>
      <c r="N581" s="5">
        <f>IFERROR(__xludf.DUMMYFUNCTION("""COMPUTED_VALUE"""),1.0)</f>
        <v>1</v>
      </c>
      <c r="S581" s="5">
        <f>IFERROR(__xludf.DUMMYFUNCTION("""COMPUTED_VALUE"""),230.0)</f>
        <v>230</v>
      </c>
      <c r="T581" s="5" t="str">
        <f>IFERROR(__xludf.DUMMYFUNCTION("""COMPUTED_VALUE"""),"Mary and Max")</f>
        <v>Mary and Max</v>
      </c>
      <c r="U581" s="5" t="str">
        <f>IFERROR(__xludf.DUMMYFUNCTION("""COMPUTED_VALUE"""),"Drama")</f>
        <v>Drama</v>
      </c>
      <c r="V581" s="5">
        <f>IFERROR(__xludf.DUMMYFUNCTION("""COMPUTED_VALUE"""),3.0)</f>
        <v>3</v>
      </c>
    </row>
    <row r="582">
      <c r="A582" s="1">
        <v>581.0</v>
      </c>
      <c r="B582" s="1" t="s">
        <v>3575</v>
      </c>
      <c r="C582" s="1" t="s">
        <v>20</v>
      </c>
      <c r="D582" s="1"/>
      <c r="E582" s="1">
        <v>581.0</v>
      </c>
      <c r="F582" s="1" t="s">
        <v>3575</v>
      </c>
      <c r="G582" s="1" t="str">
        <f>IFERROR(__xludf.DUMMYFUNCTION("SPLIT(C582, "", "")"),"Drama")</f>
        <v>Drama</v>
      </c>
      <c r="J582" s="5" t="str">
        <f>IFERROR(__xludf.DUMMYFUNCTION("""COMPUTED_VALUE"""),"194🤙🏼The Gold Rush🤙🏼Comedy🤙🏼2")</f>
        <v>194🤙🏼The Gold Rush🤙🏼Comedy🤙🏼2</v>
      </c>
      <c r="K582" s="5">
        <f>IFERROR(__xludf.DUMMYFUNCTION("SPLiT(J582, ""🤙🏼"",FALSE,FALSE)"),194.0)</f>
        <v>194</v>
      </c>
      <c r="L582" s="5" t="str">
        <f>IFERROR(__xludf.DUMMYFUNCTION("""COMPUTED_VALUE"""),"The Gold Rush")</f>
        <v>The Gold Rush</v>
      </c>
      <c r="M582" s="5" t="str">
        <f>IFERROR(__xludf.DUMMYFUNCTION("""COMPUTED_VALUE"""),"Comedy")</f>
        <v>Comedy</v>
      </c>
      <c r="N582" s="5">
        <f>IFERROR(__xludf.DUMMYFUNCTION("""COMPUTED_VALUE"""),2.0)</f>
        <v>2</v>
      </c>
      <c r="S582" s="5">
        <f>IFERROR(__xludf.DUMMYFUNCTION("""COMPUTED_VALUE"""),231.0)</f>
        <v>231</v>
      </c>
      <c r="T582" s="5" t="str">
        <f>IFERROR(__xludf.DUMMYFUNCTION("""COMPUTED_VALUE"""),"How to Train Your Dragon")</f>
        <v>How to Train Your Dragon</v>
      </c>
      <c r="U582" s="5" t="str">
        <f>IFERROR(__xludf.DUMMYFUNCTION("""COMPUTED_VALUE"""),"Animation")</f>
        <v>Animation</v>
      </c>
      <c r="V582" s="5">
        <f>IFERROR(__xludf.DUMMYFUNCTION("""COMPUTED_VALUE"""),1.0)</f>
        <v>1</v>
      </c>
    </row>
    <row r="583">
      <c r="A583" s="1">
        <v>582.0</v>
      </c>
      <c r="B583" s="1" t="s">
        <v>3582</v>
      </c>
      <c r="C583" s="1" t="s">
        <v>2661</v>
      </c>
      <c r="D583" s="1"/>
      <c r="E583" s="1">
        <v>582.0</v>
      </c>
      <c r="F583" s="1" t="s">
        <v>3582</v>
      </c>
      <c r="G583" s="1" t="str">
        <f>IFERROR(__xludf.DUMMYFUNCTION("SPLIT(C583, "", "")"),"Drama")</f>
        <v>Drama</v>
      </c>
      <c r="H583" s="5" t="str">
        <f>IFERROR(__xludf.DUMMYFUNCTION("""COMPUTED_VALUE"""),"History")</f>
        <v>History</v>
      </c>
      <c r="I583" s="5" t="str">
        <f>IFERROR(__xludf.DUMMYFUNCTION("""COMPUTED_VALUE"""),"War")</f>
        <v>War</v>
      </c>
      <c r="J583" s="5" t="str">
        <f>IFERROR(__xludf.DUMMYFUNCTION("""COMPUTED_VALUE"""),"194🤙🏼The Gold Rush🤙🏼Drama🤙🏼3")</f>
        <v>194🤙🏼The Gold Rush🤙🏼Drama🤙🏼3</v>
      </c>
      <c r="K583" s="5">
        <f>IFERROR(__xludf.DUMMYFUNCTION("SPLiT(J583, ""🤙🏼"",FALSE,FALSE)"),194.0)</f>
        <v>194</v>
      </c>
      <c r="L583" s="5" t="str">
        <f>IFERROR(__xludf.DUMMYFUNCTION("""COMPUTED_VALUE"""),"The Gold Rush")</f>
        <v>The Gold Rush</v>
      </c>
      <c r="M583" s="5" t="str">
        <f>IFERROR(__xludf.DUMMYFUNCTION("""COMPUTED_VALUE"""),"Drama")</f>
        <v>Drama</v>
      </c>
      <c r="N583" s="5">
        <f>IFERROR(__xludf.DUMMYFUNCTION("""COMPUTED_VALUE"""),3.0)</f>
        <v>3</v>
      </c>
      <c r="S583" s="5">
        <f>IFERROR(__xludf.DUMMYFUNCTION("""COMPUTED_VALUE"""),231.0)</f>
        <v>231</v>
      </c>
      <c r="T583" s="5" t="str">
        <f>IFERROR(__xludf.DUMMYFUNCTION("""COMPUTED_VALUE"""),"How to Train Your Dragon")</f>
        <v>How to Train Your Dragon</v>
      </c>
      <c r="U583" s="5" t="str">
        <f>IFERROR(__xludf.DUMMYFUNCTION("""COMPUTED_VALUE"""),"Action")</f>
        <v>Action</v>
      </c>
      <c r="V583" s="5">
        <f>IFERROR(__xludf.DUMMYFUNCTION("""COMPUTED_VALUE"""),2.0)</f>
        <v>2</v>
      </c>
    </row>
    <row r="584">
      <c r="A584" s="1">
        <v>583.0</v>
      </c>
      <c r="B584" s="1" t="s">
        <v>3589</v>
      </c>
      <c r="C584" s="1" t="s">
        <v>88</v>
      </c>
      <c r="D584" s="1"/>
      <c r="E584" s="1">
        <v>583.0</v>
      </c>
      <c r="F584" s="1" t="s">
        <v>3589</v>
      </c>
      <c r="G584" s="1" t="str">
        <f>IFERROR(__xludf.DUMMYFUNCTION("SPLIT(C584, "", "")"),"Action")</f>
        <v>Action</v>
      </c>
      <c r="H584" s="5" t="str">
        <f>IFERROR(__xludf.DUMMYFUNCTION("""COMPUTED_VALUE"""),"Adventure")</f>
        <v>Adventure</v>
      </c>
      <c r="I584" s="5" t="str">
        <f>IFERROR(__xludf.DUMMYFUNCTION("""COMPUTED_VALUE"""),"Sci-Fi")</f>
        <v>Sci-Fi</v>
      </c>
      <c r="J584" s="5" t="str">
        <f>IFERROR(__xludf.DUMMYFUNCTION("""COMPUTED_VALUE"""),"195🤙🏼Sherlock Jr.🤙🏼Action🤙🏼1")</f>
        <v>195🤙🏼Sherlock Jr.🤙🏼Action🤙🏼1</v>
      </c>
      <c r="K584" s="5">
        <f>IFERROR(__xludf.DUMMYFUNCTION("SPLiT(J584, ""🤙🏼"",FALSE,FALSE)"),195.0)</f>
        <v>195</v>
      </c>
      <c r="L584" s="5" t="str">
        <f>IFERROR(__xludf.DUMMYFUNCTION("""COMPUTED_VALUE"""),"Sherlock Jr.")</f>
        <v>Sherlock Jr.</v>
      </c>
      <c r="M584" s="5" t="str">
        <f>IFERROR(__xludf.DUMMYFUNCTION("""COMPUTED_VALUE"""),"Action")</f>
        <v>Action</v>
      </c>
      <c r="N584" s="5">
        <f>IFERROR(__xludf.DUMMYFUNCTION("""COMPUTED_VALUE"""),1.0)</f>
        <v>1</v>
      </c>
      <c r="S584" s="5">
        <f>IFERROR(__xludf.DUMMYFUNCTION("""COMPUTED_VALUE"""),231.0)</f>
        <v>231</v>
      </c>
      <c r="T584" s="5" t="str">
        <f>IFERROR(__xludf.DUMMYFUNCTION("""COMPUTED_VALUE"""),"How to Train Your Dragon")</f>
        <v>How to Train Your Dragon</v>
      </c>
      <c r="U584" s="5" t="str">
        <f>IFERROR(__xludf.DUMMYFUNCTION("""COMPUTED_VALUE"""),"Adventure")</f>
        <v>Adventure</v>
      </c>
      <c r="V584" s="5">
        <f>IFERROR(__xludf.DUMMYFUNCTION("""COMPUTED_VALUE"""),3.0)</f>
        <v>3</v>
      </c>
    </row>
    <row r="585">
      <c r="A585" s="1">
        <v>584.0</v>
      </c>
      <c r="B585" s="1" t="s">
        <v>3595</v>
      </c>
      <c r="C585" s="1" t="s">
        <v>88</v>
      </c>
      <c r="D585" s="1"/>
      <c r="E585" s="1">
        <v>584.0</v>
      </c>
      <c r="F585" s="1" t="s">
        <v>3595</v>
      </c>
      <c r="G585" s="1" t="str">
        <f>IFERROR(__xludf.DUMMYFUNCTION("SPLIT(C585, "", "")"),"Action")</f>
        <v>Action</v>
      </c>
      <c r="H585" s="5" t="str">
        <f>IFERROR(__xludf.DUMMYFUNCTION("""COMPUTED_VALUE"""),"Adventure")</f>
        <v>Adventure</v>
      </c>
      <c r="I585" s="5" t="str">
        <f>IFERROR(__xludf.DUMMYFUNCTION("""COMPUTED_VALUE"""),"Sci-Fi")</f>
        <v>Sci-Fi</v>
      </c>
      <c r="J585" s="5" t="str">
        <f>IFERROR(__xludf.DUMMYFUNCTION("""COMPUTED_VALUE"""),"195🤙🏼Sherlock Jr.🤙🏼Comedy🤙🏼2")</f>
        <v>195🤙🏼Sherlock Jr.🤙🏼Comedy🤙🏼2</v>
      </c>
      <c r="K585" s="5">
        <f>IFERROR(__xludf.DUMMYFUNCTION("SPLiT(J585, ""🤙🏼"",FALSE,FALSE)"),195.0)</f>
        <v>195</v>
      </c>
      <c r="L585" s="5" t="str">
        <f>IFERROR(__xludf.DUMMYFUNCTION("""COMPUTED_VALUE"""),"Sherlock Jr.")</f>
        <v>Sherlock Jr.</v>
      </c>
      <c r="M585" s="5" t="str">
        <f>IFERROR(__xludf.DUMMYFUNCTION("""COMPUTED_VALUE"""),"Comedy")</f>
        <v>Comedy</v>
      </c>
      <c r="N585" s="5">
        <f>IFERROR(__xludf.DUMMYFUNCTION("""COMPUTED_VALUE"""),2.0)</f>
        <v>2</v>
      </c>
      <c r="S585" s="5">
        <f>IFERROR(__xludf.DUMMYFUNCTION("""COMPUTED_VALUE"""),232.0)</f>
        <v>232</v>
      </c>
      <c r="T585" s="5" t="str">
        <f>IFERROR(__xludf.DUMMYFUNCTION("""COMPUTED_VALUE"""),"Into the Wild")</f>
        <v>Into the Wild</v>
      </c>
      <c r="U585" s="5" t="str">
        <f>IFERROR(__xludf.DUMMYFUNCTION("""COMPUTED_VALUE"""),"Adventure")</f>
        <v>Adventure</v>
      </c>
      <c r="V585" s="5">
        <f>IFERROR(__xludf.DUMMYFUNCTION("""COMPUTED_VALUE"""),1.0)</f>
        <v>1</v>
      </c>
    </row>
    <row r="586">
      <c r="A586" s="1">
        <v>585.0</v>
      </c>
      <c r="B586" s="1" t="s">
        <v>3597</v>
      </c>
      <c r="C586" s="1" t="s">
        <v>235</v>
      </c>
      <c r="D586" s="1"/>
      <c r="E586" s="1">
        <v>585.0</v>
      </c>
      <c r="F586" s="1" t="s">
        <v>3597</v>
      </c>
      <c r="G586" s="1" t="str">
        <f>IFERROR(__xludf.DUMMYFUNCTION("SPLIT(C586, "", "")"),"Crime")</f>
        <v>Crime</v>
      </c>
      <c r="H586" s="5" t="str">
        <f>IFERROR(__xludf.DUMMYFUNCTION("""COMPUTED_VALUE"""),"Drama")</f>
        <v>Drama</v>
      </c>
      <c r="I586" s="5" t="str">
        <f>IFERROR(__xludf.DUMMYFUNCTION("""COMPUTED_VALUE"""),"Mystery")</f>
        <v>Mystery</v>
      </c>
      <c r="J586" s="5" t="str">
        <f>IFERROR(__xludf.DUMMYFUNCTION("""COMPUTED_VALUE"""),"195🤙🏼Sherlock Jr.🤙🏼Romance🤙🏼3")</f>
        <v>195🤙🏼Sherlock Jr.🤙🏼Romance🤙🏼3</v>
      </c>
      <c r="K586" s="5">
        <f>IFERROR(__xludf.DUMMYFUNCTION("SPLiT(J586, ""🤙🏼"",FALSE,FALSE)"),195.0)</f>
        <v>195</v>
      </c>
      <c r="L586" s="5" t="str">
        <f>IFERROR(__xludf.DUMMYFUNCTION("""COMPUTED_VALUE"""),"Sherlock Jr.")</f>
        <v>Sherlock Jr.</v>
      </c>
      <c r="M586" s="5" t="str">
        <f>IFERROR(__xludf.DUMMYFUNCTION("""COMPUTED_VALUE"""),"Romance")</f>
        <v>Romance</v>
      </c>
      <c r="N586" s="5">
        <f>IFERROR(__xludf.DUMMYFUNCTION("""COMPUTED_VALUE"""),3.0)</f>
        <v>3</v>
      </c>
      <c r="S586" s="5">
        <f>IFERROR(__xludf.DUMMYFUNCTION("""COMPUTED_VALUE"""),232.0)</f>
        <v>232</v>
      </c>
      <c r="T586" s="5" t="str">
        <f>IFERROR(__xludf.DUMMYFUNCTION("""COMPUTED_VALUE"""),"Into the Wild")</f>
        <v>Into the Wild</v>
      </c>
      <c r="U586" s="5" t="str">
        <f>IFERROR(__xludf.DUMMYFUNCTION("""COMPUTED_VALUE"""),"Biography")</f>
        <v>Biography</v>
      </c>
      <c r="V586" s="5">
        <f>IFERROR(__xludf.DUMMYFUNCTION("""COMPUTED_VALUE"""),2.0)</f>
        <v>2</v>
      </c>
    </row>
    <row r="587">
      <c r="A587" s="1">
        <v>586.0</v>
      </c>
      <c r="B587" s="1" t="s">
        <v>3602</v>
      </c>
      <c r="C587" s="1" t="s">
        <v>107</v>
      </c>
      <c r="D587" s="1"/>
      <c r="E587" s="1">
        <v>586.0</v>
      </c>
      <c r="F587" s="1" t="s">
        <v>3602</v>
      </c>
      <c r="G587" s="1" t="str">
        <f>IFERROR(__xludf.DUMMYFUNCTION("SPLIT(C587, "", "")"),"Drama")</f>
        <v>Drama</v>
      </c>
      <c r="H587" s="5" t="str">
        <f>IFERROR(__xludf.DUMMYFUNCTION("""COMPUTED_VALUE"""),"Romance")</f>
        <v>Romance</v>
      </c>
      <c r="J587" s="5" t="str">
        <f>IFERROR(__xludf.DUMMYFUNCTION("""COMPUTED_VALUE"""),"196🤙🏼Portrait de la jeune fille en feu🤙🏼Drama🤙🏼1")</f>
        <v>196🤙🏼Portrait de la jeune fille en feu🤙🏼Drama🤙🏼1</v>
      </c>
      <c r="K587" s="5">
        <f>IFERROR(__xludf.DUMMYFUNCTION("SPLiT(J587, ""🤙🏼"",FALSE,FALSE)"),196.0)</f>
        <v>196</v>
      </c>
      <c r="L587" s="5" t="str">
        <f>IFERROR(__xludf.DUMMYFUNCTION("""COMPUTED_VALUE"""),"Portrait de la jeune fille en feu")</f>
        <v>Portrait de la jeune fille en feu</v>
      </c>
      <c r="M587" s="5" t="str">
        <f>IFERROR(__xludf.DUMMYFUNCTION("""COMPUTED_VALUE"""),"Drama")</f>
        <v>Drama</v>
      </c>
      <c r="N587" s="5">
        <f>IFERROR(__xludf.DUMMYFUNCTION("""COMPUTED_VALUE"""),1.0)</f>
        <v>1</v>
      </c>
      <c r="S587" s="5">
        <f>IFERROR(__xludf.DUMMYFUNCTION("""COMPUTED_VALUE"""),232.0)</f>
        <v>232</v>
      </c>
      <c r="T587" s="5" t="str">
        <f>IFERROR(__xludf.DUMMYFUNCTION("""COMPUTED_VALUE"""),"Into the Wild")</f>
        <v>Into the Wild</v>
      </c>
      <c r="U587" s="5" t="str">
        <f>IFERROR(__xludf.DUMMYFUNCTION("""COMPUTED_VALUE"""),"Drama")</f>
        <v>Drama</v>
      </c>
      <c r="V587" s="5">
        <f>IFERROR(__xludf.DUMMYFUNCTION("""COMPUTED_VALUE"""),3.0)</f>
        <v>3</v>
      </c>
    </row>
    <row r="588">
      <c r="A588" s="1">
        <v>587.0</v>
      </c>
      <c r="B588" s="1" t="s">
        <v>3608</v>
      </c>
      <c r="C588" s="1" t="s">
        <v>3609</v>
      </c>
      <c r="D588" s="1"/>
      <c r="E588" s="1">
        <v>587.0</v>
      </c>
      <c r="F588" s="1" t="s">
        <v>3608</v>
      </c>
      <c r="G588" s="1" t="str">
        <f>IFERROR(__xludf.DUMMYFUNCTION("SPLIT(C588, "", "")"),"Animation")</f>
        <v>Animation</v>
      </c>
      <c r="H588" s="5" t="str">
        <f>IFERROR(__xludf.DUMMYFUNCTION("""COMPUTED_VALUE"""),"Biography")</f>
        <v>Biography</v>
      </c>
      <c r="I588" s="5" t="str">
        <f>IFERROR(__xludf.DUMMYFUNCTION("""COMPUTED_VALUE"""),"Crime")</f>
        <v>Crime</v>
      </c>
      <c r="J588" s="5" t="str">
        <f>IFERROR(__xludf.DUMMYFUNCTION("""COMPUTED_VALUE"""),"196🤙🏼Portrait de la jeune fille en feu🤙🏼Romance🤙🏼2")</f>
        <v>196🤙🏼Portrait de la jeune fille en feu🤙🏼Romance🤙🏼2</v>
      </c>
      <c r="K588" s="5">
        <f>IFERROR(__xludf.DUMMYFUNCTION("SPLiT(J588, ""🤙🏼"",FALSE,FALSE)"),196.0)</f>
        <v>196</v>
      </c>
      <c r="L588" s="5" t="str">
        <f>IFERROR(__xludf.DUMMYFUNCTION("""COMPUTED_VALUE"""),"Portrait de la jeune fille en feu")</f>
        <v>Portrait de la jeune fille en feu</v>
      </c>
      <c r="M588" s="5" t="str">
        <f>IFERROR(__xludf.DUMMYFUNCTION("""COMPUTED_VALUE"""),"Romance")</f>
        <v>Romance</v>
      </c>
      <c r="N588" s="5">
        <f>IFERROR(__xludf.DUMMYFUNCTION("""COMPUTED_VALUE"""),2.0)</f>
        <v>2</v>
      </c>
      <c r="S588" s="5">
        <f>IFERROR(__xludf.DUMMYFUNCTION("""COMPUTED_VALUE"""),233.0)</f>
        <v>233</v>
      </c>
      <c r="T588" s="5" t="str">
        <f>IFERROR(__xludf.DUMMYFUNCTION("""COMPUTED_VALUE"""),"No Country for Old Men")</f>
        <v>No Country for Old Men</v>
      </c>
      <c r="U588" s="5" t="str">
        <f>IFERROR(__xludf.DUMMYFUNCTION("""COMPUTED_VALUE"""),"Crime")</f>
        <v>Crime</v>
      </c>
      <c r="V588" s="5">
        <f>IFERROR(__xludf.DUMMYFUNCTION("""COMPUTED_VALUE"""),1.0)</f>
        <v>1</v>
      </c>
    </row>
    <row r="589">
      <c r="A589" s="1">
        <v>588.0</v>
      </c>
      <c r="B589" s="1" t="s">
        <v>3616</v>
      </c>
      <c r="C589" s="1" t="s">
        <v>296</v>
      </c>
      <c r="D589" s="1"/>
      <c r="E589" s="1">
        <v>588.0</v>
      </c>
      <c r="F589" s="1" t="s">
        <v>3616</v>
      </c>
      <c r="G589" s="1" t="str">
        <f>IFERROR(__xludf.DUMMYFUNCTION("SPLIT(C589, "", "")"),"Biography")</f>
        <v>Biography</v>
      </c>
      <c r="H589" s="5" t="str">
        <f>IFERROR(__xludf.DUMMYFUNCTION("""COMPUTED_VALUE"""),"Comedy")</f>
        <v>Comedy</v>
      </c>
      <c r="I589" s="5" t="str">
        <f>IFERROR(__xludf.DUMMYFUNCTION("""COMPUTED_VALUE"""),"Drama")</f>
        <v>Drama</v>
      </c>
      <c r="J589" s="5" t="str">
        <f>IFERROR(__xludf.DUMMYFUNCTION("""COMPUTED_VALUE"""),"196🤙🏼Portrait de la jeune fille en feu🤙🏼🤙🏼3")</f>
        <v>196🤙🏼Portrait de la jeune fille en feu🤙🏼🤙🏼3</v>
      </c>
      <c r="K589" s="5">
        <f>IFERROR(__xludf.DUMMYFUNCTION("SPLiT(J589, ""🤙🏼"",FALSE,FALSE)"),196.0)</f>
        <v>196</v>
      </c>
      <c r="L589" s="5" t="str">
        <f>IFERROR(__xludf.DUMMYFUNCTION("""COMPUTED_VALUE"""),"Portrait de la jeune fille en feu")</f>
        <v>Portrait de la jeune fille en feu</v>
      </c>
      <c r="M589" s="5"/>
      <c r="N589" s="5">
        <f>IFERROR(__xludf.DUMMYFUNCTION("""COMPUTED_VALUE"""),3.0)</f>
        <v>3</v>
      </c>
      <c r="S589" s="5">
        <f>IFERROR(__xludf.DUMMYFUNCTION("""COMPUTED_VALUE"""),233.0)</f>
        <v>233</v>
      </c>
      <c r="T589" s="5" t="str">
        <f>IFERROR(__xludf.DUMMYFUNCTION("""COMPUTED_VALUE"""),"No Country for Old Men")</f>
        <v>No Country for Old Men</v>
      </c>
      <c r="U589" s="5" t="str">
        <f>IFERROR(__xludf.DUMMYFUNCTION("""COMPUTED_VALUE"""),"Drama")</f>
        <v>Drama</v>
      </c>
      <c r="V589" s="5">
        <f>IFERROR(__xludf.DUMMYFUNCTION("""COMPUTED_VALUE"""),2.0)</f>
        <v>2</v>
      </c>
    </row>
    <row r="590">
      <c r="A590" s="1">
        <v>589.0</v>
      </c>
      <c r="B590" s="1" t="s">
        <v>3623</v>
      </c>
      <c r="C590" s="1" t="s">
        <v>914</v>
      </c>
      <c r="D590" s="1"/>
      <c r="E590" s="1">
        <v>589.0</v>
      </c>
      <c r="F590" s="1" t="s">
        <v>3623</v>
      </c>
      <c r="G590" s="1" t="str">
        <f>IFERROR(__xludf.DUMMYFUNCTION("SPLIT(C590, "", "")"),"Drama")</f>
        <v>Drama</v>
      </c>
      <c r="H590" s="5" t="str">
        <f>IFERROR(__xludf.DUMMYFUNCTION("""COMPUTED_VALUE"""),"Mystery")</f>
        <v>Mystery</v>
      </c>
      <c r="J590" s="5" t="str">
        <f>IFERROR(__xludf.DUMMYFUNCTION("""COMPUTED_VALUE"""),"197🤙🏼Pink🤙🏼Drama🤙🏼1")</f>
        <v>197🤙🏼Pink🤙🏼Drama🤙🏼1</v>
      </c>
      <c r="K590" s="5">
        <f>IFERROR(__xludf.DUMMYFUNCTION("SPLiT(J590, ""🤙🏼"",FALSE,FALSE)"),197.0)</f>
        <v>197</v>
      </c>
      <c r="L590" s="5" t="str">
        <f>IFERROR(__xludf.DUMMYFUNCTION("""COMPUTED_VALUE"""),"Pink")</f>
        <v>Pink</v>
      </c>
      <c r="M590" s="5" t="str">
        <f>IFERROR(__xludf.DUMMYFUNCTION("""COMPUTED_VALUE"""),"Drama")</f>
        <v>Drama</v>
      </c>
      <c r="N590" s="5">
        <f>IFERROR(__xludf.DUMMYFUNCTION("""COMPUTED_VALUE"""),1.0)</f>
        <v>1</v>
      </c>
      <c r="S590" s="5">
        <f>IFERROR(__xludf.DUMMYFUNCTION("""COMPUTED_VALUE"""),233.0)</f>
        <v>233</v>
      </c>
      <c r="T590" s="5" t="str">
        <f>IFERROR(__xludf.DUMMYFUNCTION("""COMPUTED_VALUE"""),"No Country for Old Men")</f>
        <v>No Country for Old Men</v>
      </c>
      <c r="U590" s="5" t="str">
        <f>IFERROR(__xludf.DUMMYFUNCTION("""COMPUTED_VALUE"""),"Thriller")</f>
        <v>Thriller</v>
      </c>
      <c r="V590" s="5">
        <f>IFERROR(__xludf.DUMMYFUNCTION("""COMPUTED_VALUE"""),3.0)</f>
        <v>3</v>
      </c>
    </row>
    <row r="591">
      <c r="A591" s="1">
        <v>590.0</v>
      </c>
      <c r="B591" s="1" t="s">
        <v>3627</v>
      </c>
      <c r="C591" s="1" t="s">
        <v>20</v>
      </c>
      <c r="D591" s="1"/>
      <c r="E591" s="1">
        <v>590.0</v>
      </c>
      <c r="F591" s="1" t="s">
        <v>3627</v>
      </c>
      <c r="G591" s="1" t="str">
        <f>IFERROR(__xludf.DUMMYFUNCTION("SPLIT(C591, "", "")"),"Drama")</f>
        <v>Drama</v>
      </c>
      <c r="J591" s="5" t="str">
        <f>IFERROR(__xludf.DUMMYFUNCTION("""COMPUTED_VALUE"""),"197🤙🏼Pink🤙🏼Thriller🤙🏼2")</f>
        <v>197🤙🏼Pink🤙🏼Thriller🤙🏼2</v>
      </c>
      <c r="K591" s="5">
        <f>IFERROR(__xludf.DUMMYFUNCTION("SPLiT(J591, ""🤙🏼"",FALSE,FALSE)"),197.0)</f>
        <v>197</v>
      </c>
      <c r="L591" s="5" t="str">
        <f>IFERROR(__xludf.DUMMYFUNCTION("""COMPUTED_VALUE"""),"Pink")</f>
        <v>Pink</v>
      </c>
      <c r="M591" s="5" t="str">
        <f>IFERROR(__xludf.DUMMYFUNCTION("""COMPUTED_VALUE"""),"Thriller")</f>
        <v>Thriller</v>
      </c>
      <c r="N591" s="5">
        <f>IFERROR(__xludf.DUMMYFUNCTION("""COMPUTED_VALUE"""),2.0)</f>
        <v>2</v>
      </c>
      <c r="S591" s="5">
        <f>IFERROR(__xludf.DUMMYFUNCTION("""COMPUTED_VALUE"""),234.0)</f>
        <v>234</v>
      </c>
      <c r="T591" s="5" t="str">
        <f>IFERROR(__xludf.DUMMYFUNCTION("""COMPUTED_VALUE"""),"Lage Raho Munna Bhai")</f>
        <v>Lage Raho Munna Bhai</v>
      </c>
      <c r="U591" s="5" t="str">
        <f>IFERROR(__xludf.DUMMYFUNCTION("""COMPUTED_VALUE"""),"Comedy")</f>
        <v>Comedy</v>
      </c>
      <c r="V591" s="5">
        <f>IFERROR(__xludf.DUMMYFUNCTION("""COMPUTED_VALUE"""),1.0)</f>
        <v>1</v>
      </c>
    </row>
    <row r="592">
      <c r="A592" s="1">
        <v>591.0</v>
      </c>
      <c r="B592" s="1" t="s">
        <v>3634</v>
      </c>
      <c r="C592" s="1" t="s">
        <v>107</v>
      </c>
      <c r="D592" s="1"/>
      <c r="E592" s="1">
        <v>591.0</v>
      </c>
      <c r="F592" s="1" t="s">
        <v>3634</v>
      </c>
      <c r="G592" s="1" t="str">
        <f>IFERROR(__xludf.DUMMYFUNCTION("SPLIT(C592, "", "")"),"Drama")</f>
        <v>Drama</v>
      </c>
      <c r="H592" s="5" t="str">
        <f>IFERROR(__xludf.DUMMYFUNCTION("""COMPUTED_VALUE"""),"Romance")</f>
        <v>Romance</v>
      </c>
      <c r="J592" s="5" t="str">
        <f>IFERROR(__xludf.DUMMYFUNCTION("""COMPUTED_VALUE"""),"197🤙🏼Pink🤙🏼🤙🏼3")</f>
        <v>197🤙🏼Pink🤙🏼🤙🏼3</v>
      </c>
      <c r="K592" s="5">
        <f>IFERROR(__xludf.DUMMYFUNCTION("SPLiT(J592, ""🤙🏼"",FALSE,FALSE)"),197.0)</f>
        <v>197</v>
      </c>
      <c r="L592" s="5" t="str">
        <f>IFERROR(__xludf.DUMMYFUNCTION("""COMPUTED_VALUE"""),"Pink")</f>
        <v>Pink</v>
      </c>
      <c r="M592" s="5"/>
      <c r="N592" s="5">
        <f>IFERROR(__xludf.DUMMYFUNCTION("""COMPUTED_VALUE"""),3.0)</f>
        <v>3</v>
      </c>
      <c r="S592" s="5">
        <f>IFERROR(__xludf.DUMMYFUNCTION("""COMPUTED_VALUE"""),234.0)</f>
        <v>234</v>
      </c>
      <c r="T592" s="5" t="str">
        <f>IFERROR(__xludf.DUMMYFUNCTION("""COMPUTED_VALUE"""),"Lage Raho Munna Bhai")</f>
        <v>Lage Raho Munna Bhai</v>
      </c>
      <c r="U592" s="5" t="str">
        <f>IFERROR(__xludf.DUMMYFUNCTION("""COMPUTED_VALUE"""),"Drama")</f>
        <v>Drama</v>
      </c>
      <c r="V592" s="5">
        <f>IFERROR(__xludf.DUMMYFUNCTION("""COMPUTED_VALUE"""),2.0)</f>
        <v>2</v>
      </c>
    </row>
    <row r="593">
      <c r="A593" s="1">
        <v>592.0</v>
      </c>
      <c r="B593" s="1" t="s">
        <v>3638</v>
      </c>
      <c r="C593" s="1" t="s">
        <v>723</v>
      </c>
      <c r="D593" s="1"/>
      <c r="E593" s="1">
        <v>592.0</v>
      </c>
      <c r="F593" s="1" t="s">
        <v>3638</v>
      </c>
      <c r="G593" s="1" t="str">
        <f>IFERROR(__xludf.DUMMYFUNCTION("SPLIT(C593, "", "")"),"Comedy")</f>
        <v>Comedy</v>
      </c>
      <c r="H593" s="5" t="str">
        <f>IFERROR(__xludf.DUMMYFUNCTION("""COMPUTED_VALUE"""),"Romance")</f>
        <v>Romance</v>
      </c>
      <c r="J593" s="5" t="str">
        <f>IFERROR(__xludf.DUMMYFUNCTION("""COMPUTED_VALUE"""),"198🤙🏼Koe no katachi🤙🏼Animation🤙🏼1")</f>
        <v>198🤙🏼Koe no katachi🤙🏼Animation🤙🏼1</v>
      </c>
      <c r="K593" s="5">
        <f>IFERROR(__xludf.DUMMYFUNCTION("SPLiT(J593, ""🤙🏼"",FALSE,FALSE)"),198.0)</f>
        <v>198</v>
      </c>
      <c r="L593" s="5" t="str">
        <f>IFERROR(__xludf.DUMMYFUNCTION("""COMPUTED_VALUE"""),"Koe no katachi")</f>
        <v>Koe no katachi</v>
      </c>
      <c r="M593" s="5" t="str">
        <f>IFERROR(__xludf.DUMMYFUNCTION("""COMPUTED_VALUE"""),"Animation")</f>
        <v>Animation</v>
      </c>
      <c r="N593" s="5">
        <f>IFERROR(__xludf.DUMMYFUNCTION("""COMPUTED_VALUE"""),1.0)</f>
        <v>1</v>
      </c>
      <c r="S593" s="5">
        <f>IFERROR(__xludf.DUMMYFUNCTION("""COMPUTED_VALUE"""),234.0)</f>
        <v>234</v>
      </c>
      <c r="T593" s="5" t="str">
        <f>IFERROR(__xludf.DUMMYFUNCTION("""COMPUTED_VALUE"""),"Lage Raho Munna Bhai")</f>
        <v>Lage Raho Munna Bhai</v>
      </c>
      <c r="U593" s="5" t="str">
        <f>IFERROR(__xludf.DUMMYFUNCTION("""COMPUTED_VALUE"""),"Romance")</f>
        <v>Romance</v>
      </c>
      <c r="V593" s="5">
        <f>IFERROR(__xludf.DUMMYFUNCTION("""COMPUTED_VALUE"""),3.0)</f>
        <v>3</v>
      </c>
    </row>
    <row r="594">
      <c r="A594" s="1">
        <v>593.0</v>
      </c>
      <c r="B594" s="1" t="s">
        <v>3643</v>
      </c>
      <c r="C594" s="1" t="s">
        <v>467</v>
      </c>
      <c r="D594" s="1"/>
      <c r="E594" s="1">
        <v>593.0</v>
      </c>
      <c r="F594" s="1" t="s">
        <v>3643</v>
      </c>
      <c r="G594" s="1" t="str">
        <f>IFERROR(__xludf.DUMMYFUNCTION("SPLIT(C594, "", "")"),"Animation")</f>
        <v>Animation</v>
      </c>
      <c r="H594" s="5" t="str">
        <f>IFERROR(__xludf.DUMMYFUNCTION("""COMPUTED_VALUE"""),"Action")</f>
        <v>Action</v>
      </c>
      <c r="I594" s="5" t="str">
        <f>IFERROR(__xludf.DUMMYFUNCTION("""COMPUTED_VALUE"""),"Adventure")</f>
        <v>Adventure</v>
      </c>
      <c r="J594" s="5" t="str">
        <f>IFERROR(__xludf.DUMMYFUNCTION("""COMPUTED_VALUE"""),"198🤙🏼Koe no katachi🤙🏼Drama🤙🏼2")</f>
        <v>198🤙🏼Koe no katachi🤙🏼Drama🤙🏼2</v>
      </c>
      <c r="K594" s="5">
        <f>IFERROR(__xludf.DUMMYFUNCTION("SPLiT(J594, ""🤙🏼"",FALSE,FALSE)"),198.0)</f>
        <v>198</v>
      </c>
      <c r="L594" s="5" t="str">
        <f>IFERROR(__xludf.DUMMYFUNCTION("""COMPUTED_VALUE"""),"Koe no katachi")</f>
        <v>Koe no katachi</v>
      </c>
      <c r="M594" s="5" t="str">
        <f>IFERROR(__xludf.DUMMYFUNCTION("""COMPUTED_VALUE"""),"Drama")</f>
        <v>Drama</v>
      </c>
      <c r="N594" s="5">
        <f>IFERROR(__xludf.DUMMYFUNCTION("""COMPUTED_VALUE"""),2.0)</f>
        <v>2</v>
      </c>
      <c r="S594" s="5">
        <f>IFERROR(__xludf.DUMMYFUNCTION("""COMPUTED_VALUE"""),235.0)</f>
        <v>235</v>
      </c>
      <c r="T594" s="5" t="str">
        <f>IFERROR(__xludf.DUMMYFUNCTION("""COMPUTED_VALUE"""),"Million Dollar Baby")</f>
        <v>Million Dollar Baby</v>
      </c>
      <c r="U594" s="5" t="str">
        <f>IFERROR(__xludf.DUMMYFUNCTION("""COMPUTED_VALUE"""),"Drama")</f>
        <v>Drama</v>
      </c>
      <c r="V594" s="5">
        <f>IFERROR(__xludf.DUMMYFUNCTION("""COMPUTED_VALUE"""),1.0)</f>
        <v>1</v>
      </c>
    </row>
    <row r="595">
      <c r="A595" s="1">
        <v>594.0</v>
      </c>
      <c r="B595" s="1" t="s">
        <v>3650</v>
      </c>
      <c r="C595" s="1" t="s">
        <v>1460</v>
      </c>
      <c r="D595" s="1"/>
      <c r="E595" s="1">
        <v>594.0</v>
      </c>
      <c r="F595" s="1" t="s">
        <v>3650</v>
      </c>
      <c r="G595" s="1" t="str">
        <f>IFERROR(__xludf.DUMMYFUNCTION("SPLIT(C595, "", "")"),"Comedy")</f>
        <v>Comedy</v>
      </c>
      <c r="H595" s="5" t="str">
        <f>IFERROR(__xludf.DUMMYFUNCTION("""COMPUTED_VALUE"""),"Drama")</f>
        <v>Drama</v>
      </c>
      <c r="I595" s="5" t="str">
        <f>IFERROR(__xludf.DUMMYFUNCTION("""COMPUTED_VALUE"""),"Fantasy")</f>
        <v>Fantasy</v>
      </c>
      <c r="J595" s="5" t="str">
        <f>IFERROR(__xludf.DUMMYFUNCTION("""COMPUTED_VALUE"""),"198🤙🏼Koe no katachi🤙🏼Family🤙🏼3")</f>
        <v>198🤙🏼Koe no katachi🤙🏼Family🤙🏼3</v>
      </c>
      <c r="K595" s="5">
        <f>IFERROR(__xludf.DUMMYFUNCTION("SPLiT(J595, ""🤙🏼"",FALSE,FALSE)"),198.0)</f>
        <v>198</v>
      </c>
      <c r="L595" s="5" t="str">
        <f>IFERROR(__xludf.DUMMYFUNCTION("""COMPUTED_VALUE"""),"Koe no katachi")</f>
        <v>Koe no katachi</v>
      </c>
      <c r="M595" s="5" t="str">
        <f>IFERROR(__xludf.DUMMYFUNCTION("""COMPUTED_VALUE"""),"Family")</f>
        <v>Family</v>
      </c>
      <c r="N595" s="5">
        <f>IFERROR(__xludf.DUMMYFUNCTION("""COMPUTED_VALUE"""),3.0)</f>
        <v>3</v>
      </c>
      <c r="S595" s="5">
        <f>IFERROR(__xludf.DUMMYFUNCTION("""COMPUTED_VALUE"""),235.0)</f>
        <v>235</v>
      </c>
      <c r="T595" s="5" t="str">
        <f>IFERROR(__xludf.DUMMYFUNCTION("""COMPUTED_VALUE"""),"Million Dollar Baby")</f>
        <v>Million Dollar Baby</v>
      </c>
      <c r="U595" s="5" t="str">
        <f>IFERROR(__xludf.DUMMYFUNCTION("""COMPUTED_VALUE"""),"Sport")</f>
        <v>Sport</v>
      </c>
      <c r="V595" s="5">
        <f>IFERROR(__xludf.DUMMYFUNCTION("""COMPUTED_VALUE"""),2.0)</f>
        <v>2</v>
      </c>
    </row>
    <row r="596">
      <c r="A596" s="1">
        <v>595.0</v>
      </c>
      <c r="B596" s="1" t="s">
        <v>3654</v>
      </c>
      <c r="C596" s="1" t="s">
        <v>416</v>
      </c>
      <c r="D596" s="1"/>
      <c r="E596" s="1">
        <v>595.0</v>
      </c>
      <c r="F596" s="1" t="s">
        <v>3654</v>
      </c>
      <c r="G596" s="1" t="str">
        <f>IFERROR(__xludf.DUMMYFUNCTION("SPLIT(C596, "", "")"),"Comedy")</f>
        <v>Comedy</v>
      </c>
      <c r="H596" s="5" t="str">
        <f>IFERROR(__xludf.DUMMYFUNCTION("""COMPUTED_VALUE"""),"Drama")</f>
        <v>Drama</v>
      </c>
      <c r="I596" s="5" t="str">
        <f>IFERROR(__xludf.DUMMYFUNCTION("""COMPUTED_VALUE"""),"Family")</f>
        <v>Family</v>
      </c>
      <c r="J596" s="5" t="str">
        <f>IFERROR(__xludf.DUMMYFUNCTION("""COMPUTED_VALUE"""),"199🤙🏼Contratiempo🤙🏼Crime🤙🏼1")</f>
        <v>199🤙🏼Contratiempo🤙🏼Crime🤙🏼1</v>
      </c>
      <c r="K596" s="5">
        <f>IFERROR(__xludf.DUMMYFUNCTION("SPLiT(J596, ""🤙🏼"",FALSE,FALSE)"),199.0)</f>
        <v>199</v>
      </c>
      <c r="L596" s="5" t="str">
        <f>IFERROR(__xludf.DUMMYFUNCTION("""COMPUTED_VALUE"""),"Contratiempo")</f>
        <v>Contratiempo</v>
      </c>
      <c r="M596" s="5" t="str">
        <f>IFERROR(__xludf.DUMMYFUNCTION("""COMPUTED_VALUE"""),"Crime")</f>
        <v>Crime</v>
      </c>
      <c r="N596" s="5">
        <f>IFERROR(__xludf.DUMMYFUNCTION("""COMPUTED_VALUE"""),1.0)</f>
        <v>1</v>
      </c>
      <c r="S596" s="5">
        <f>IFERROR(__xludf.DUMMYFUNCTION("""COMPUTED_VALUE"""),236.0)</f>
        <v>236</v>
      </c>
      <c r="T596" s="5" t="str">
        <f>IFERROR(__xludf.DUMMYFUNCTION("""COMPUTED_VALUE"""),"Hotel Rwanda")</f>
        <v>Hotel Rwanda</v>
      </c>
      <c r="U596" s="5" t="str">
        <f>IFERROR(__xludf.DUMMYFUNCTION("""COMPUTED_VALUE"""),"Biography")</f>
        <v>Biography</v>
      </c>
      <c r="V596" s="5">
        <f>IFERROR(__xludf.DUMMYFUNCTION("""COMPUTED_VALUE"""),1.0)</f>
        <v>1</v>
      </c>
    </row>
    <row r="597">
      <c r="A597" s="1">
        <v>596.0</v>
      </c>
      <c r="B597" s="1" t="s">
        <v>3660</v>
      </c>
      <c r="C597" s="1" t="s">
        <v>2341</v>
      </c>
      <c r="D597" s="1"/>
      <c r="E597" s="1">
        <v>596.0</v>
      </c>
      <c r="F597" s="1" t="s">
        <v>3660</v>
      </c>
      <c r="G597" s="1" t="str">
        <f>IFERROR(__xludf.DUMMYFUNCTION("SPLIT(C597, "", "")"),"Animation")</f>
        <v>Animation</v>
      </c>
      <c r="H597" s="5" t="str">
        <f>IFERROR(__xludf.DUMMYFUNCTION("""COMPUTED_VALUE"""),"Biography")</f>
        <v>Biography</v>
      </c>
      <c r="I597" s="5" t="str">
        <f>IFERROR(__xludf.DUMMYFUNCTION("""COMPUTED_VALUE"""),"Drama")</f>
        <v>Drama</v>
      </c>
      <c r="J597" s="5" t="str">
        <f>IFERROR(__xludf.DUMMYFUNCTION("""COMPUTED_VALUE"""),"199🤙🏼Contratiempo🤙🏼Drama🤙🏼2")</f>
        <v>199🤙🏼Contratiempo🤙🏼Drama🤙🏼2</v>
      </c>
      <c r="K597" s="5">
        <f>IFERROR(__xludf.DUMMYFUNCTION("SPLiT(J597, ""🤙🏼"",FALSE,FALSE)"),199.0)</f>
        <v>199</v>
      </c>
      <c r="L597" s="5" t="str">
        <f>IFERROR(__xludf.DUMMYFUNCTION("""COMPUTED_VALUE"""),"Contratiempo")</f>
        <v>Contratiempo</v>
      </c>
      <c r="M597" s="5" t="str">
        <f>IFERROR(__xludf.DUMMYFUNCTION("""COMPUTED_VALUE"""),"Drama")</f>
        <v>Drama</v>
      </c>
      <c r="N597" s="5">
        <f>IFERROR(__xludf.DUMMYFUNCTION("""COMPUTED_VALUE"""),2.0)</f>
        <v>2</v>
      </c>
      <c r="S597" s="5">
        <f>IFERROR(__xludf.DUMMYFUNCTION("""COMPUTED_VALUE"""),236.0)</f>
        <v>236</v>
      </c>
      <c r="T597" s="5" t="str">
        <f>IFERROR(__xludf.DUMMYFUNCTION("""COMPUTED_VALUE"""),"Hotel Rwanda")</f>
        <v>Hotel Rwanda</v>
      </c>
      <c r="U597" s="5" t="str">
        <f>IFERROR(__xludf.DUMMYFUNCTION("""COMPUTED_VALUE"""),"Drama")</f>
        <v>Drama</v>
      </c>
      <c r="V597" s="5">
        <f>IFERROR(__xludf.DUMMYFUNCTION("""COMPUTED_VALUE"""),2.0)</f>
        <v>2</v>
      </c>
    </row>
    <row r="598">
      <c r="A598" s="1">
        <v>597.0</v>
      </c>
      <c r="B598" s="1" t="s">
        <v>3665</v>
      </c>
      <c r="C598" s="1" t="s">
        <v>765</v>
      </c>
      <c r="D598" s="1"/>
      <c r="E598" s="1">
        <v>597.0</v>
      </c>
      <c r="F598" s="1" t="s">
        <v>3665</v>
      </c>
      <c r="G598" s="1" t="str">
        <f>IFERROR(__xludf.DUMMYFUNCTION("SPLIT(C598, "", "")"),"Animation")</f>
        <v>Animation</v>
      </c>
      <c r="H598" s="5" t="str">
        <f>IFERROR(__xludf.DUMMYFUNCTION("""COMPUTED_VALUE"""),"Adventure")</f>
        <v>Adventure</v>
      </c>
      <c r="I598" s="5" t="str">
        <f>IFERROR(__xludf.DUMMYFUNCTION("""COMPUTED_VALUE"""),"Comedy")</f>
        <v>Comedy</v>
      </c>
      <c r="J598" s="5" t="str">
        <f>IFERROR(__xludf.DUMMYFUNCTION("""COMPUTED_VALUE"""),"199🤙🏼Contratiempo🤙🏼Mystery🤙🏼3")</f>
        <v>199🤙🏼Contratiempo🤙🏼Mystery🤙🏼3</v>
      </c>
      <c r="K598" s="5">
        <f>IFERROR(__xludf.DUMMYFUNCTION("SPLiT(J598, ""🤙🏼"",FALSE,FALSE)"),199.0)</f>
        <v>199</v>
      </c>
      <c r="L598" s="5" t="str">
        <f>IFERROR(__xludf.DUMMYFUNCTION("""COMPUTED_VALUE"""),"Contratiempo")</f>
        <v>Contratiempo</v>
      </c>
      <c r="M598" s="5" t="str">
        <f>IFERROR(__xludf.DUMMYFUNCTION("""COMPUTED_VALUE"""),"Mystery")</f>
        <v>Mystery</v>
      </c>
      <c r="N598" s="5">
        <f>IFERROR(__xludf.DUMMYFUNCTION("""COMPUTED_VALUE"""),3.0)</f>
        <v>3</v>
      </c>
      <c r="S598" s="5">
        <f>IFERROR(__xludf.DUMMYFUNCTION("""COMPUTED_VALUE"""),236.0)</f>
        <v>236</v>
      </c>
      <c r="T598" s="5" t="str">
        <f>IFERROR(__xludf.DUMMYFUNCTION("""COMPUTED_VALUE"""),"Hotel Rwanda")</f>
        <v>Hotel Rwanda</v>
      </c>
      <c r="U598" s="5" t="str">
        <f>IFERROR(__xludf.DUMMYFUNCTION("""COMPUTED_VALUE"""),"History")</f>
        <v>History</v>
      </c>
      <c r="V598" s="5">
        <f>IFERROR(__xludf.DUMMYFUNCTION("""COMPUTED_VALUE"""),3.0)</f>
        <v>3</v>
      </c>
    </row>
    <row r="599">
      <c r="A599" s="1">
        <v>598.0</v>
      </c>
      <c r="B599" s="1" t="s">
        <v>3670</v>
      </c>
      <c r="C599" s="1" t="s">
        <v>235</v>
      </c>
      <c r="D599" s="1"/>
      <c r="E599" s="1">
        <v>598.0</v>
      </c>
      <c r="F599" s="1" t="s">
        <v>3670</v>
      </c>
      <c r="G599" s="1" t="str">
        <f>IFERROR(__xludf.DUMMYFUNCTION("SPLIT(C599, "", "")"),"Crime")</f>
        <v>Crime</v>
      </c>
      <c r="H599" s="5" t="str">
        <f>IFERROR(__xludf.DUMMYFUNCTION("""COMPUTED_VALUE"""),"Drama")</f>
        <v>Drama</v>
      </c>
      <c r="I599" s="5" t="str">
        <f>IFERROR(__xludf.DUMMYFUNCTION("""COMPUTED_VALUE"""),"Mystery")</f>
        <v>Mystery</v>
      </c>
      <c r="J599" s="5" t="str">
        <f>IFERROR(__xludf.DUMMYFUNCTION("""COMPUTED_VALUE"""),"200🤙🏼Ah-ga-ssi🤙🏼Drama🤙🏼1")</f>
        <v>200🤙🏼Ah-ga-ssi🤙🏼Drama🤙🏼1</v>
      </c>
      <c r="K599" s="5">
        <f>IFERROR(__xludf.DUMMYFUNCTION("SPLiT(J599, ""🤙🏼"",FALSE,FALSE)"),200.0)</f>
        <v>200</v>
      </c>
      <c r="L599" s="5" t="str">
        <f>IFERROR(__xludf.DUMMYFUNCTION("""COMPUTED_VALUE"""),"Ah-ga-ssi")</f>
        <v>Ah-ga-ssi</v>
      </c>
      <c r="M599" s="5" t="str">
        <f>IFERROR(__xludf.DUMMYFUNCTION("""COMPUTED_VALUE"""),"Drama")</f>
        <v>Drama</v>
      </c>
      <c r="N599" s="5">
        <f>IFERROR(__xludf.DUMMYFUNCTION("""COMPUTED_VALUE"""),1.0)</f>
        <v>1</v>
      </c>
      <c r="S599" s="5">
        <f>IFERROR(__xludf.DUMMYFUNCTION("""COMPUTED_VALUE"""),237.0)</f>
        <v>237</v>
      </c>
      <c r="T599" s="5" t="str">
        <f>IFERROR(__xludf.DUMMYFUNCTION("""COMPUTED_VALUE"""),"Taegukgi hwinalrimyeo")</f>
        <v>Taegukgi hwinalrimyeo</v>
      </c>
      <c r="U599" s="5" t="str">
        <f>IFERROR(__xludf.DUMMYFUNCTION("""COMPUTED_VALUE"""),"Action")</f>
        <v>Action</v>
      </c>
      <c r="V599" s="5">
        <f>IFERROR(__xludf.DUMMYFUNCTION("""COMPUTED_VALUE"""),1.0)</f>
        <v>1</v>
      </c>
    </row>
    <row r="600">
      <c r="A600" s="1">
        <v>599.0</v>
      </c>
      <c r="B600" s="1" t="s">
        <v>3675</v>
      </c>
      <c r="C600" s="1" t="s">
        <v>227</v>
      </c>
      <c r="D600" s="1"/>
      <c r="E600" s="1">
        <v>599.0</v>
      </c>
      <c r="F600" s="1" t="s">
        <v>3675</v>
      </c>
      <c r="G600" s="1" t="str">
        <f>IFERROR(__xludf.DUMMYFUNCTION("SPLIT(C600, "", "")"),"Comedy")</f>
        <v>Comedy</v>
      </c>
      <c r="H600" s="5" t="str">
        <f>IFERROR(__xludf.DUMMYFUNCTION("""COMPUTED_VALUE"""),"Drama")</f>
        <v>Drama</v>
      </c>
      <c r="I600" s="5" t="str">
        <f>IFERROR(__xludf.DUMMYFUNCTION("""COMPUTED_VALUE"""),"Romance")</f>
        <v>Romance</v>
      </c>
      <c r="J600" s="5" t="str">
        <f>IFERROR(__xludf.DUMMYFUNCTION("""COMPUTED_VALUE"""),"200🤙🏼Ah-ga-ssi🤙🏼Romance🤙🏼2")</f>
        <v>200🤙🏼Ah-ga-ssi🤙🏼Romance🤙🏼2</v>
      </c>
      <c r="K600" s="5">
        <f>IFERROR(__xludf.DUMMYFUNCTION("SPLiT(J600, ""🤙🏼"",FALSE,FALSE)"),200.0)</f>
        <v>200</v>
      </c>
      <c r="L600" s="5" t="str">
        <f>IFERROR(__xludf.DUMMYFUNCTION("""COMPUTED_VALUE"""),"Ah-ga-ssi")</f>
        <v>Ah-ga-ssi</v>
      </c>
      <c r="M600" s="5" t="str">
        <f>IFERROR(__xludf.DUMMYFUNCTION("""COMPUTED_VALUE"""),"Romance")</f>
        <v>Romance</v>
      </c>
      <c r="N600" s="5">
        <f>IFERROR(__xludf.DUMMYFUNCTION("""COMPUTED_VALUE"""),2.0)</f>
        <v>2</v>
      </c>
      <c r="S600" s="5">
        <f>IFERROR(__xludf.DUMMYFUNCTION("""COMPUTED_VALUE"""),237.0)</f>
        <v>237</v>
      </c>
      <c r="T600" s="5" t="str">
        <f>IFERROR(__xludf.DUMMYFUNCTION("""COMPUTED_VALUE"""),"Taegukgi hwinalrimyeo")</f>
        <v>Taegukgi hwinalrimyeo</v>
      </c>
      <c r="U600" s="5" t="str">
        <f>IFERROR(__xludf.DUMMYFUNCTION("""COMPUTED_VALUE"""),"Drama")</f>
        <v>Drama</v>
      </c>
      <c r="V600" s="5">
        <f>IFERROR(__xludf.DUMMYFUNCTION("""COMPUTED_VALUE"""),2.0)</f>
        <v>2</v>
      </c>
    </row>
    <row r="601">
      <c r="A601" s="1">
        <v>600.0</v>
      </c>
      <c r="B601" s="1" t="s">
        <v>3679</v>
      </c>
      <c r="C601" s="1" t="s">
        <v>467</v>
      </c>
      <c r="D601" s="1"/>
      <c r="E601" s="1">
        <v>600.0</v>
      </c>
      <c r="F601" s="1" t="s">
        <v>3679</v>
      </c>
      <c r="G601" s="1" t="str">
        <f>IFERROR(__xludf.DUMMYFUNCTION("SPLIT(C601, "", "")"),"Animation")</f>
        <v>Animation</v>
      </c>
      <c r="H601" s="5" t="str">
        <f>IFERROR(__xludf.DUMMYFUNCTION("""COMPUTED_VALUE"""),"Action")</f>
        <v>Action</v>
      </c>
      <c r="I601" s="5" t="str">
        <f>IFERROR(__xludf.DUMMYFUNCTION("""COMPUTED_VALUE"""),"Adventure")</f>
        <v>Adventure</v>
      </c>
      <c r="J601" s="5" t="str">
        <f>IFERROR(__xludf.DUMMYFUNCTION("""COMPUTED_VALUE"""),"200🤙🏼Ah-ga-ssi🤙🏼Thriller🤙🏼3")</f>
        <v>200🤙🏼Ah-ga-ssi🤙🏼Thriller🤙🏼3</v>
      </c>
      <c r="K601" s="5">
        <f>IFERROR(__xludf.DUMMYFUNCTION("SPLiT(J601, ""🤙🏼"",FALSE,FALSE)"),200.0)</f>
        <v>200</v>
      </c>
      <c r="L601" s="5" t="str">
        <f>IFERROR(__xludf.DUMMYFUNCTION("""COMPUTED_VALUE"""),"Ah-ga-ssi")</f>
        <v>Ah-ga-ssi</v>
      </c>
      <c r="M601" s="5" t="str">
        <f>IFERROR(__xludf.DUMMYFUNCTION("""COMPUTED_VALUE"""),"Thriller")</f>
        <v>Thriller</v>
      </c>
      <c r="N601" s="5">
        <f>IFERROR(__xludf.DUMMYFUNCTION("""COMPUTED_VALUE"""),3.0)</f>
        <v>3</v>
      </c>
      <c r="S601" s="5">
        <f>IFERROR(__xludf.DUMMYFUNCTION("""COMPUTED_VALUE"""),237.0)</f>
        <v>237</v>
      </c>
      <c r="T601" s="5" t="str">
        <f>IFERROR(__xludf.DUMMYFUNCTION("""COMPUTED_VALUE"""),"Taegukgi hwinalrimyeo")</f>
        <v>Taegukgi hwinalrimyeo</v>
      </c>
      <c r="U601" s="5" t="str">
        <f>IFERROR(__xludf.DUMMYFUNCTION("""COMPUTED_VALUE"""),"War")</f>
        <v>War</v>
      </c>
      <c r="V601" s="5">
        <f>IFERROR(__xludf.DUMMYFUNCTION("""COMPUTED_VALUE"""),3.0)</f>
        <v>3</v>
      </c>
    </row>
    <row r="602">
      <c r="A602" s="1">
        <v>601.0</v>
      </c>
      <c r="B602" s="1" t="s">
        <v>3682</v>
      </c>
      <c r="C602" s="1" t="s">
        <v>296</v>
      </c>
      <c r="D602" s="1"/>
      <c r="E602" s="1">
        <v>601.0</v>
      </c>
      <c r="F602" s="1" t="s">
        <v>3682</v>
      </c>
      <c r="G602" s="1" t="str">
        <f>IFERROR(__xludf.DUMMYFUNCTION("SPLIT(C602, "", "")"),"Biography")</f>
        <v>Biography</v>
      </c>
      <c r="H602" s="5" t="str">
        <f>IFERROR(__xludf.DUMMYFUNCTION("""COMPUTED_VALUE"""),"Comedy")</f>
        <v>Comedy</v>
      </c>
      <c r="I602" s="5" t="str">
        <f>IFERROR(__xludf.DUMMYFUNCTION("""COMPUTED_VALUE"""),"Drama")</f>
        <v>Drama</v>
      </c>
      <c r="J602" s="5" t="str">
        <f>IFERROR(__xludf.DUMMYFUNCTION("""COMPUTED_VALUE"""),"201🤙🏼Mommy🤙🏼Drama🤙🏼1")</f>
        <v>201🤙🏼Mommy🤙🏼Drama🤙🏼1</v>
      </c>
      <c r="K602" s="5">
        <f>IFERROR(__xludf.DUMMYFUNCTION("SPLiT(J602, ""🤙🏼"",FALSE,FALSE)"),201.0)</f>
        <v>201</v>
      </c>
      <c r="L602" s="5" t="str">
        <f>IFERROR(__xludf.DUMMYFUNCTION("""COMPUTED_VALUE"""),"Mommy")</f>
        <v>Mommy</v>
      </c>
      <c r="M602" s="5" t="str">
        <f>IFERROR(__xludf.DUMMYFUNCTION("""COMPUTED_VALUE"""),"Drama")</f>
        <v>Drama</v>
      </c>
      <c r="N602" s="5">
        <f>IFERROR(__xludf.DUMMYFUNCTION("""COMPUTED_VALUE"""),1.0)</f>
        <v>1</v>
      </c>
      <c r="S602" s="5">
        <f>IFERROR(__xludf.DUMMYFUNCTION("""COMPUTED_VALUE"""),238.0)</f>
        <v>238</v>
      </c>
      <c r="T602" s="5" t="str">
        <f>IFERROR(__xludf.DUMMYFUNCTION("""COMPUTED_VALUE"""),"Before Sunset")</f>
        <v>Before Sunset</v>
      </c>
      <c r="U602" s="5" t="str">
        <f>IFERROR(__xludf.DUMMYFUNCTION("""COMPUTED_VALUE"""),"Drama")</f>
        <v>Drama</v>
      </c>
      <c r="V602" s="5">
        <f>IFERROR(__xludf.DUMMYFUNCTION("""COMPUTED_VALUE"""),1.0)</f>
        <v>1</v>
      </c>
    </row>
    <row r="603">
      <c r="A603" s="1">
        <v>602.0</v>
      </c>
      <c r="B603" s="1" t="s">
        <v>3686</v>
      </c>
      <c r="C603" s="1" t="s">
        <v>1377</v>
      </c>
      <c r="D603" s="1"/>
      <c r="E603" s="1">
        <v>602.0</v>
      </c>
      <c r="F603" s="1" t="s">
        <v>3686</v>
      </c>
      <c r="G603" s="1" t="str">
        <f>IFERROR(__xludf.DUMMYFUNCTION("SPLIT(C603, "", "")"),"Drama")</f>
        <v>Drama</v>
      </c>
      <c r="H603" s="5" t="str">
        <f>IFERROR(__xludf.DUMMYFUNCTION("""COMPUTED_VALUE"""),"Thriller")</f>
        <v>Thriller</v>
      </c>
      <c r="J603" s="5" t="str">
        <f>IFERROR(__xludf.DUMMYFUNCTION("""COMPUTED_VALUE"""),"201🤙🏼Mommy🤙🏼🤙🏼2")</f>
        <v>201🤙🏼Mommy🤙🏼🤙🏼2</v>
      </c>
      <c r="K603" s="5">
        <f>IFERROR(__xludf.DUMMYFUNCTION("SPLiT(J603, ""🤙🏼"",FALSE,FALSE)"),201.0)</f>
        <v>201</v>
      </c>
      <c r="L603" s="5" t="str">
        <f>IFERROR(__xludf.DUMMYFUNCTION("""COMPUTED_VALUE"""),"Mommy")</f>
        <v>Mommy</v>
      </c>
      <c r="M603" s="5"/>
      <c r="N603" s="5">
        <f>IFERROR(__xludf.DUMMYFUNCTION("""COMPUTED_VALUE"""),2.0)</f>
        <v>2</v>
      </c>
      <c r="S603" s="5">
        <f>IFERROR(__xludf.DUMMYFUNCTION("""COMPUTED_VALUE"""),238.0)</f>
        <v>238</v>
      </c>
      <c r="T603" s="5" t="str">
        <f>IFERROR(__xludf.DUMMYFUNCTION("""COMPUTED_VALUE"""),"Before Sunset")</f>
        <v>Before Sunset</v>
      </c>
      <c r="U603" s="5" t="str">
        <f>IFERROR(__xludf.DUMMYFUNCTION("""COMPUTED_VALUE"""),"Romance")</f>
        <v>Romance</v>
      </c>
      <c r="V603" s="5">
        <f>IFERROR(__xludf.DUMMYFUNCTION("""COMPUTED_VALUE"""),2.0)</f>
        <v>2</v>
      </c>
    </row>
    <row r="604">
      <c r="A604" s="1">
        <v>603.0</v>
      </c>
      <c r="B604" s="1" t="s">
        <v>3692</v>
      </c>
      <c r="C604" s="1" t="s">
        <v>39</v>
      </c>
      <c r="D604" s="1"/>
      <c r="E604" s="1">
        <v>603.0</v>
      </c>
      <c r="F604" s="1" t="s">
        <v>3692</v>
      </c>
      <c r="G604" s="1" t="str">
        <f>IFERROR(__xludf.DUMMYFUNCTION("SPLIT(C604, "", "")"),"Action")</f>
        <v>Action</v>
      </c>
      <c r="H604" s="5" t="str">
        <f>IFERROR(__xludf.DUMMYFUNCTION("""COMPUTED_VALUE"""),"Crime")</f>
        <v>Crime</v>
      </c>
      <c r="I604" s="5" t="str">
        <f>IFERROR(__xludf.DUMMYFUNCTION("""COMPUTED_VALUE"""),"Drama")</f>
        <v>Drama</v>
      </c>
      <c r="J604" s="5" t="str">
        <f>IFERROR(__xludf.DUMMYFUNCTION("""COMPUTED_VALUE"""),"201🤙🏼Mommy🤙🏼🤙🏼3")</f>
        <v>201🤙🏼Mommy🤙🏼🤙🏼3</v>
      </c>
      <c r="K604" s="5">
        <f>IFERROR(__xludf.DUMMYFUNCTION("SPLiT(J604, ""🤙🏼"",FALSE,FALSE)"),201.0)</f>
        <v>201</v>
      </c>
      <c r="L604" s="5" t="str">
        <f>IFERROR(__xludf.DUMMYFUNCTION("""COMPUTED_VALUE"""),"Mommy")</f>
        <v>Mommy</v>
      </c>
      <c r="M604" s="5"/>
      <c r="N604" s="5">
        <f>IFERROR(__xludf.DUMMYFUNCTION("""COMPUTED_VALUE"""),3.0)</f>
        <v>3</v>
      </c>
      <c r="S604" s="5">
        <f>IFERROR(__xludf.DUMMYFUNCTION("""COMPUTED_VALUE"""),239.0)</f>
        <v>239</v>
      </c>
      <c r="T604" s="5" t="str">
        <f>IFERROR(__xludf.DUMMYFUNCTION("""COMPUTED_VALUE"""),"Munna Bhai M.B.B.S.")</f>
        <v>Munna Bhai M.B.B.S.</v>
      </c>
      <c r="U604" s="5" t="str">
        <f>IFERROR(__xludf.DUMMYFUNCTION("""COMPUTED_VALUE"""),"Comedy")</f>
        <v>Comedy</v>
      </c>
      <c r="V604" s="5">
        <f>IFERROR(__xludf.DUMMYFUNCTION("""COMPUTED_VALUE"""),1.0)</f>
        <v>1</v>
      </c>
    </row>
    <row r="605">
      <c r="A605" s="1">
        <v>604.0</v>
      </c>
      <c r="B605" s="1" t="s">
        <v>3698</v>
      </c>
      <c r="C605" s="1" t="s">
        <v>235</v>
      </c>
      <c r="D605" s="1"/>
      <c r="E605" s="1">
        <v>604.0</v>
      </c>
      <c r="F605" s="1" t="s">
        <v>3698</v>
      </c>
      <c r="G605" s="1" t="str">
        <f>IFERROR(__xludf.DUMMYFUNCTION("SPLIT(C605, "", "")"),"Crime")</f>
        <v>Crime</v>
      </c>
      <c r="H605" s="5" t="str">
        <f>IFERROR(__xludf.DUMMYFUNCTION("""COMPUTED_VALUE"""),"Drama")</f>
        <v>Drama</v>
      </c>
      <c r="I605" s="5" t="str">
        <f>IFERROR(__xludf.DUMMYFUNCTION("""COMPUTED_VALUE"""),"Mystery")</f>
        <v>Mystery</v>
      </c>
      <c r="J605" s="5" t="str">
        <f>IFERROR(__xludf.DUMMYFUNCTION("""COMPUTED_VALUE"""),"202🤙🏼Haider🤙🏼Action🤙🏼1")</f>
        <v>202🤙🏼Haider🤙🏼Action🤙🏼1</v>
      </c>
      <c r="K605" s="5">
        <f>IFERROR(__xludf.DUMMYFUNCTION("SPLiT(J605, ""🤙🏼"",FALSE,FALSE)"),202.0)</f>
        <v>202</v>
      </c>
      <c r="L605" s="5" t="str">
        <f>IFERROR(__xludf.DUMMYFUNCTION("""COMPUTED_VALUE"""),"Haider")</f>
        <v>Haider</v>
      </c>
      <c r="M605" s="5" t="str">
        <f>IFERROR(__xludf.DUMMYFUNCTION("""COMPUTED_VALUE"""),"Action")</f>
        <v>Action</v>
      </c>
      <c r="N605" s="5">
        <f>IFERROR(__xludf.DUMMYFUNCTION("""COMPUTED_VALUE"""),1.0)</f>
        <v>1</v>
      </c>
      <c r="S605" s="5">
        <f>IFERROR(__xludf.DUMMYFUNCTION("""COMPUTED_VALUE"""),239.0)</f>
        <v>239</v>
      </c>
      <c r="T605" s="5" t="str">
        <f>IFERROR(__xludf.DUMMYFUNCTION("""COMPUTED_VALUE"""),"Munna Bhai M.B.B.S.")</f>
        <v>Munna Bhai M.B.B.S.</v>
      </c>
      <c r="U605" s="5" t="str">
        <f>IFERROR(__xludf.DUMMYFUNCTION("""COMPUTED_VALUE"""),"Drama")</f>
        <v>Drama</v>
      </c>
      <c r="V605" s="5">
        <f>IFERROR(__xludf.DUMMYFUNCTION("""COMPUTED_VALUE"""),2.0)</f>
        <v>2</v>
      </c>
    </row>
    <row r="606">
      <c r="A606" s="1">
        <v>605.0</v>
      </c>
      <c r="B606" s="1" t="s">
        <v>3700</v>
      </c>
      <c r="C606" s="1" t="s">
        <v>3701</v>
      </c>
      <c r="D606" s="1"/>
      <c r="E606" s="1">
        <v>605.0</v>
      </c>
      <c r="F606" s="1" t="s">
        <v>3700</v>
      </c>
      <c r="G606" s="1" t="str">
        <f>IFERROR(__xludf.DUMMYFUNCTION("SPLIT(C606, "", "")"),"Adventure")</f>
        <v>Adventure</v>
      </c>
      <c r="H606" s="5" t="str">
        <f>IFERROR(__xludf.DUMMYFUNCTION("""COMPUTED_VALUE"""),"Biography")</f>
        <v>Biography</v>
      </c>
      <c r="I606" s="5" t="str">
        <f>IFERROR(__xludf.DUMMYFUNCTION("""COMPUTED_VALUE"""),"Crime")</f>
        <v>Crime</v>
      </c>
      <c r="J606" s="5" t="str">
        <f>IFERROR(__xludf.DUMMYFUNCTION("""COMPUTED_VALUE"""),"202🤙🏼Haider🤙🏼Crime🤙🏼2")</f>
        <v>202🤙🏼Haider🤙🏼Crime🤙🏼2</v>
      </c>
      <c r="K606" s="5">
        <f>IFERROR(__xludf.DUMMYFUNCTION("SPLiT(J606, ""🤙🏼"",FALSE,FALSE)"),202.0)</f>
        <v>202</v>
      </c>
      <c r="L606" s="5" t="str">
        <f>IFERROR(__xludf.DUMMYFUNCTION("""COMPUTED_VALUE"""),"Haider")</f>
        <v>Haider</v>
      </c>
      <c r="M606" s="5" t="str">
        <f>IFERROR(__xludf.DUMMYFUNCTION("""COMPUTED_VALUE"""),"Crime")</f>
        <v>Crime</v>
      </c>
      <c r="N606" s="5">
        <f>IFERROR(__xludf.DUMMYFUNCTION("""COMPUTED_VALUE"""),2.0)</f>
        <v>2</v>
      </c>
      <c r="S606" s="5">
        <f>IFERROR(__xludf.DUMMYFUNCTION("""COMPUTED_VALUE"""),239.0)</f>
        <v>239</v>
      </c>
      <c r="T606" s="5" t="str">
        <f>IFERROR(__xludf.DUMMYFUNCTION("""COMPUTED_VALUE"""),"Munna Bhai M.B.B.S.")</f>
        <v>Munna Bhai M.B.B.S.</v>
      </c>
      <c r="U606" s="5" t="str">
        <f>IFERROR(__xludf.DUMMYFUNCTION("""COMPUTED_VALUE"""),"Musical")</f>
        <v>Musical</v>
      </c>
      <c r="V606" s="5">
        <f>IFERROR(__xludf.DUMMYFUNCTION("""COMPUTED_VALUE"""),3.0)</f>
        <v>3</v>
      </c>
    </row>
    <row r="607">
      <c r="A607" s="1">
        <v>606.0</v>
      </c>
      <c r="B607" s="1" t="s">
        <v>3705</v>
      </c>
      <c r="C607" s="1" t="s">
        <v>39</v>
      </c>
      <c r="D607" s="1"/>
      <c r="E607" s="1">
        <v>606.0</v>
      </c>
      <c r="F607" s="1" t="s">
        <v>3705</v>
      </c>
      <c r="G607" s="1" t="str">
        <f>IFERROR(__xludf.DUMMYFUNCTION("SPLIT(C607, "", "")"),"Action")</f>
        <v>Action</v>
      </c>
      <c r="H607" s="5" t="str">
        <f>IFERROR(__xludf.DUMMYFUNCTION("""COMPUTED_VALUE"""),"Crime")</f>
        <v>Crime</v>
      </c>
      <c r="I607" s="5" t="str">
        <f>IFERROR(__xludf.DUMMYFUNCTION("""COMPUTED_VALUE"""),"Drama")</f>
        <v>Drama</v>
      </c>
      <c r="J607" s="5" t="str">
        <f>IFERROR(__xludf.DUMMYFUNCTION("""COMPUTED_VALUE"""),"202🤙🏼Haider🤙🏼Drama🤙🏼3")</f>
        <v>202🤙🏼Haider🤙🏼Drama🤙🏼3</v>
      </c>
      <c r="K607" s="5">
        <f>IFERROR(__xludf.DUMMYFUNCTION("SPLiT(J607, ""🤙🏼"",FALSE,FALSE)"),202.0)</f>
        <v>202</v>
      </c>
      <c r="L607" s="5" t="str">
        <f>IFERROR(__xludf.DUMMYFUNCTION("""COMPUTED_VALUE"""),"Haider")</f>
        <v>Haider</v>
      </c>
      <c r="M607" s="5" t="str">
        <f>IFERROR(__xludf.DUMMYFUNCTION("""COMPUTED_VALUE"""),"Drama")</f>
        <v>Drama</v>
      </c>
      <c r="N607" s="5">
        <f>IFERROR(__xludf.DUMMYFUNCTION("""COMPUTED_VALUE"""),3.0)</f>
        <v>3</v>
      </c>
      <c r="S607" s="5">
        <f>IFERROR(__xludf.DUMMYFUNCTION("""COMPUTED_VALUE"""),240.0)</f>
        <v>240</v>
      </c>
      <c r="T607" s="5" t="str">
        <f>IFERROR(__xludf.DUMMYFUNCTION("""COMPUTED_VALUE"""),"Salinui chueok")</f>
        <v>Salinui chueok</v>
      </c>
      <c r="U607" s="5" t="str">
        <f>IFERROR(__xludf.DUMMYFUNCTION("""COMPUTED_VALUE"""),"Crime")</f>
        <v>Crime</v>
      </c>
      <c r="V607" s="5">
        <f>IFERROR(__xludf.DUMMYFUNCTION("""COMPUTED_VALUE"""),1.0)</f>
        <v>1</v>
      </c>
    </row>
    <row r="608">
      <c r="A608" s="1">
        <v>607.0</v>
      </c>
      <c r="B608" s="1" t="s">
        <v>3712</v>
      </c>
      <c r="C608" s="1" t="s">
        <v>79</v>
      </c>
      <c r="D608" s="1"/>
      <c r="E608" s="1">
        <v>607.0</v>
      </c>
      <c r="F608" s="1" t="s">
        <v>3712</v>
      </c>
      <c r="G608" s="1" t="str">
        <f>IFERROR(__xludf.DUMMYFUNCTION("SPLIT(C608, "", "")"),"Biography")</f>
        <v>Biography</v>
      </c>
      <c r="H608" s="5" t="str">
        <f>IFERROR(__xludf.DUMMYFUNCTION("""COMPUTED_VALUE"""),"Drama")</f>
        <v>Drama</v>
      </c>
      <c r="I608" s="5" t="str">
        <f>IFERROR(__xludf.DUMMYFUNCTION("""COMPUTED_VALUE"""),"History")</f>
        <v>History</v>
      </c>
      <c r="J608" s="5" t="str">
        <f>IFERROR(__xludf.DUMMYFUNCTION("""COMPUTED_VALUE"""),"203🤙🏼Logan🤙🏼Action🤙🏼1")</f>
        <v>203🤙🏼Logan🤙🏼Action🤙🏼1</v>
      </c>
      <c r="K608" s="5">
        <f>IFERROR(__xludf.DUMMYFUNCTION("SPLiT(J608, ""🤙🏼"",FALSE,FALSE)"),203.0)</f>
        <v>203</v>
      </c>
      <c r="L608" s="5" t="str">
        <f>IFERROR(__xludf.DUMMYFUNCTION("""COMPUTED_VALUE"""),"Logan")</f>
        <v>Logan</v>
      </c>
      <c r="M608" s="5" t="str">
        <f>IFERROR(__xludf.DUMMYFUNCTION("""COMPUTED_VALUE"""),"Action")</f>
        <v>Action</v>
      </c>
      <c r="N608" s="5">
        <f>IFERROR(__xludf.DUMMYFUNCTION("""COMPUTED_VALUE"""),1.0)</f>
        <v>1</v>
      </c>
      <c r="S608" s="5">
        <f>IFERROR(__xludf.DUMMYFUNCTION("""COMPUTED_VALUE"""),240.0)</f>
        <v>240</v>
      </c>
      <c r="T608" s="5" t="str">
        <f>IFERROR(__xludf.DUMMYFUNCTION("""COMPUTED_VALUE"""),"Salinui chueok")</f>
        <v>Salinui chueok</v>
      </c>
      <c r="U608" s="5" t="str">
        <f>IFERROR(__xludf.DUMMYFUNCTION("""COMPUTED_VALUE"""),"Drama")</f>
        <v>Drama</v>
      </c>
      <c r="V608" s="5">
        <f>IFERROR(__xludf.DUMMYFUNCTION("""COMPUTED_VALUE"""),2.0)</f>
        <v>2</v>
      </c>
    </row>
    <row r="609">
      <c r="A609" s="1">
        <v>608.0</v>
      </c>
      <c r="B609" s="1" t="s">
        <v>3719</v>
      </c>
      <c r="C609" s="1" t="s">
        <v>235</v>
      </c>
      <c r="D609" s="1"/>
      <c r="E609" s="1">
        <v>608.0</v>
      </c>
      <c r="F609" s="1" t="s">
        <v>3719</v>
      </c>
      <c r="G609" s="1" t="str">
        <f>IFERROR(__xludf.DUMMYFUNCTION("SPLIT(C609, "", "")"),"Crime")</f>
        <v>Crime</v>
      </c>
      <c r="H609" s="5" t="str">
        <f>IFERROR(__xludf.DUMMYFUNCTION("""COMPUTED_VALUE"""),"Drama")</f>
        <v>Drama</v>
      </c>
      <c r="I609" s="5" t="str">
        <f>IFERROR(__xludf.DUMMYFUNCTION("""COMPUTED_VALUE"""),"Mystery")</f>
        <v>Mystery</v>
      </c>
      <c r="J609" s="5" t="str">
        <f>IFERROR(__xludf.DUMMYFUNCTION("""COMPUTED_VALUE"""),"203🤙🏼Logan🤙🏼Drama🤙🏼2")</f>
        <v>203🤙🏼Logan🤙🏼Drama🤙🏼2</v>
      </c>
      <c r="K609" s="5">
        <f>IFERROR(__xludf.DUMMYFUNCTION("SPLiT(J609, ""🤙🏼"",FALSE,FALSE)"),203.0)</f>
        <v>203</v>
      </c>
      <c r="L609" s="5" t="str">
        <f>IFERROR(__xludf.DUMMYFUNCTION("""COMPUTED_VALUE"""),"Logan")</f>
        <v>Logan</v>
      </c>
      <c r="M609" s="5" t="str">
        <f>IFERROR(__xludf.DUMMYFUNCTION("""COMPUTED_VALUE"""),"Drama")</f>
        <v>Drama</v>
      </c>
      <c r="N609" s="5">
        <f>IFERROR(__xludf.DUMMYFUNCTION("""COMPUTED_VALUE"""),2.0)</f>
        <v>2</v>
      </c>
      <c r="S609" s="5">
        <f>IFERROR(__xludf.DUMMYFUNCTION("""COMPUTED_VALUE"""),240.0)</f>
        <v>240</v>
      </c>
      <c r="T609" s="5" t="str">
        <f>IFERROR(__xludf.DUMMYFUNCTION("""COMPUTED_VALUE"""),"Salinui chueok")</f>
        <v>Salinui chueok</v>
      </c>
      <c r="U609" s="5" t="str">
        <f>IFERROR(__xludf.DUMMYFUNCTION("""COMPUTED_VALUE"""),"Mystery")</f>
        <v>Mystery</v>
      </c>
      <c r="V609" s="5">
        <f>IFERROR(__xludf.DUMMYFUNCTION("""COMPUTED_VALUE"""),3.0)</f>
        <v>3</v>
      </c>
    </row>
    <row r="610">
      <c r="A610" s="1">
        <v>609.0</v>
      </c>
      <c r="B610" s="1" t="s">
        <v>3724</v>
      </c>
      <c r="C610" s="1" t="s">
        <v>2169</v>
      </c>
      <c r="D610" s="1"/>
      <c r="E610" s="1">
        <v>609.0</v>
      </c>
      <c r="F610" s="1" t="s">
        <v>3724</v>
      </c>
      <c r="G610" s="1" t="str">
        <f>IFERROR(__xludf.DUMMYFUNCTION("SPLIT(C610, "", "")"),"Action")</f>
        <v>Action</v>
      </c>
      <c r="H610" s="5" t="str">
        <f>IFERROR(__xludf.DUMMYFUNCTION("""COMPUTED_VALUE"""),"Crime")</f>
        <v>Crime</v>
      </c>
      <c r="I610" s="5" t="str">
        <f>IFERROR(__xludf.DUMMYFUNCTION("""COMPUTED_VALUE"""),"Thriller")</f>
        <v>Thriller</v>
      </c>
      <c r="J610" s="5" t="str">
        <f>IFERROR(__xludf.DUMMYFUNCTION("""COMPUTED_VALUE"""),"203🤙🏼Logan🤙🏼Sci-Fi🤙🏼3")</f>
        <v>203🤙🏼Logan🤙🏼Sci-Fi🤙🏼3</v>
      </c>
      <c r="K610" s="5">
        <f>IFERROR(__xludf.DUMMYFUNCTION("SPLiT(J610, ""🤙🏼"",FALSE,FALSE)"),203.0)</f>
        <v>203</v>
      </c>
      <c r="L610" s="5" t="str">
        <f>IFERROR(__xludf.DUMMYFUNCTION("""COMPUTED_VALUE"""),"Logan")</f>
        <v>Logan</v>
      </c>
      <c r="M610" s="5" t="str">
        <f>IFERROR(__xludf.DUMMYFUNCTION("""COMPUTED_VALUE"""),"Sci-Fi")</f>
        <v>Sci-Fi</v>
      </c>
      <c r="N610" s="5">
        <f>IFERROR(__xludf.DUMMYFUNCTION("""COMPUTED_VALUE"""),3.0)</f>
        <v>3</v>
      </c>
      <c r="S610" s="5">
        <f>IFERROR(__xludf.DUMMYFUNCTION("""COMPUTED_VALUE"""),241.0)</f>
        <v>241</v>
      </c>
      <c r="T610" s="5" t="str">
        <f>IFERROR(__xludf.DUMMYFUNCTION("""COMPUTED_VALUE"""),"Dil Chahta Hai")</f>
        <v>Dil Chahta Hai</v>
      </c>
      <c r="U610" s="5" t="str">
        <f>IFERROR(__xludf.DUMMYFUNCTION("""COMPUTED_VALUE"""),"Comedy")</f>
        <v>Comedy</v>
      </c>
      <c r="V610" s="5">
        <f>IFERROR(__xludf.DUMMYFUNCTION("""COMPUTED_VALUE"""),1.0)</f>
        <v>1</v>
      </c>
    </row>
    <row r="611">
      <c r="A611" s="1">
        <v>610.0</v>
      </c>
      <c r="B611" s="1" t="s">
        <v>3730</v>
      </c>
      <c r="C611" s="1" t="s">
        <v>3731</v>
      </c>
      <c r="D611" s="1"/>
      <c r="E611" s="1">
        <v>610.0</v>
      </c>
      <c r="F611" s="1" t="s">
        <v>3730</v>
      </c>
      <c r="G611" s="1" t="str">
        <f>IFERROR(__xludf.DUMMYFUNCTION("SPLIT(C611, "", "")"),"Adventure")</f>
        <v>Adventure</v>
      </c>
      <c r="H611" s="5" t="str">
        <f>IFERROR(__xludf.DUMMYFUNCTION("""COMPUTED_VALUE"""),"Fantasy")</f>
        <v>Fantasy</v>
      </c>
      <c r="J611" s="5" t="str">
        <f>IFERROR(__xludf.DUMMYFUNCTION("""COMPUTED_VALUE"""),"204🤙🏼Room🤙🏼Drama🤙🏼1")</f>
        <v>204🤙🏼Room🤙🏼Drama🤙🏼1</v>
      </c>
      <c r="K611" s="5">
        <f>IFERROR(__xludf.DUMMYFUNCTION("SPLiT(J611, ""🤙🏼"",FALSE,FALSE)"),204.0)</f>
        <v>204</v>
      </c>
      <c r="L611" s="5" t="str">
        <f>IFERROR(__xludf.DUMMYFUNCTION("""COMPUTED_VALUE"""),"Room")</f>
        <v>Room</v>
      </c>
      <c r="M611" s="5" t="str">
        <f>IFERROR(__xludf.DUMMYFUNCTION("""COMPUTED_VALUE"""),"Drama")</f>
        <v>Drama</v>
      </c>
      <c r="N611" s="5">
        <f>IFERROR(__xludf.DUMMYFUNCTION("""COMPUTED_VALUE"""),1.0)</f>
        <v>1</v>
      </c>
      <c r="S611" s="5">
        <f>IFERROR(__xludf.DUMMYFUNCTION("""COMPUTED_VALUE"""),241.0)</f>
        <v>241</v>
      </c>
      <c r="T611" s="5" t="str">
        <f>IFERROR(__xludf.DUMMYFUNCTION("""COMPUTED_VALUE"""),"Dil Chahta Hai")</f>
        <v>Dil Chahta Hai</v>
      </c>
      <c r="U611" s="5" t="str">
        <f>IFERROR(__xludf.DUMMYFUNCTION("""COMPUTED_VALUE"""),"Drama")</f>
        <v>Drama</v>
      </c>
      <c r="V611" s="5">
        <f>IFERROR(__xludf.DUMMYFUNCTION("""COMPUTED_VALUE"""),2.0)</f>
        <v>2</v>
      </c>
    </row>
    <row r="612">
      <c r="A612" s="1">
        <v>611.0</v>
      </c>
      <c r="B612" s="1" t="s">
        <v>3736</v>
      </c>
      <c r="C612" s="1" t="s">
        <v>3737</v>
      </c>
      <c r="D612" s="1"/>
      <c r="E612" s="1">
        <v>611.0</v>
      </c>
      <c r="F612" s="1" t="s">
        <v>3736</v>
      </c>
      <c r="G612" s="1" t="str">
        <f>IFERROR(__xludf.DUMMYFUNCTION("SPLIT(C612, "", "")"),"Drama")</f>
        <v>Drama</v>
      </c>
      <c r="H612" s="5" t="str">
        <f>IFERROR(__xludf.DUMMYFUNCTION("""COMPUTED_VALUE"""),"History")</f>
        <v>History</v>
      </c>
      <c r="I612" s="5" t="str">
        <f>IFERROR(__xludf.DUMMYFUNCTION("""COMPUTED_VALUE"""),"Mystery")</f>
        <v>Mystery</v>
      </c>
      <c r="J612" s="5" t="str">
        <f>IFERROR(__xludf.DUMMYFUNCTION("""COMPUTED_VALUE"""),"204🤙🏼Room🤙🏼Thriller🤙🏼2")</f>
        <v>204🤙🏼Room🤙🏼Thriller🤙🏼2</v>
      </c>
      <c r="K612" s="5">
        <f>IFERROR(__xludf.DUMMYFUNCTION("SPLiT(J612, ""🤙🏼"",FALSE,FALSE)"),204.0)</f>
        <v>204</v>
      </c>
      <c r="L612" s="5" t="str">
        <f>IFERROR(__xludf.DUMMYFUNCTION("""COMPUTED_VALUE"""),"Room")</f>
        <v>Room</v>
      </c>
      <c r="M612" s="5" t="str">
        <f>IFERROR(__xludf.DUMMYFUNCTION("""COMPUTED_VALUE"""),"Thriller")</f>
        <v>Thriller</v>
      </c>
      <c r="N612" s="5">
        <f>IFERROR(__xludf.DUMMYFUNCTION("""COMPUTED_VALUE"""),2.0)</f>
        <v>2</v>
      </c>
      <c r="S612" s="5">
        <f>IFERROR(__xludf.DUMMYFUNCTION("""COMPUTED_VALUE"""),241.0)</f>
        <v>241</v>
      </c>
      <c r="T612" s="5" t="str">
        <f>IFERROR(__xludf.DUMMYFUNCTION("""COMPUTED_VALUE"""),"Dil Chahta Hai")</f>
        <v>Dil Chahta Hai</v>
      </c>
      <c r="U612" s="5" t="str">
        <f>IFERROR(__xludf.DUMMYFUNCTION("""COMPUTED_VALUE"""),"Romance")</f>
        <v>Romance</v>
      </c>
      <c r="V612" s="5">
        <f>IFERROR(__xludf.DUMMYFUNCTION("""COMPUTED_VALUE"""),3.0)</f>
        <v>3</v>
      </c>
    </row>
    <row r="613">
      <c r="A613" s="1">
        <v>612.0</v>
      </c>
      <c r="B613" s="1" t="s">
        <v>3742</v>
      </c>
      <c r="C613" s="1" t="s">
        <v>235</v>
      </c>
      <c r="D613" s="1"/>
      <c r="E613" s="1">
        <v>612.0</v>
      </c>
      <c r="F613" s="1" t="s">
        <v>3742</v>
      </c>
      <c r="G613" s="1" t="str">
        <f>IFERROR(__xludf.DUMMYFUNCTION("SPLIT(C613, "", "")"),"Crime")</f>
        <v>Crime</v>
      </c>
      <c r="H613" s="5" t="str">
        <f>IFERROR(__xludf.DUMMYFUNCTION("""COMPUTED_VALUE"""),"Drama")</f>
        <v>Drama</v>
      </c>
      <c r="I613" s="5" t="str">
        <f>IFERROR(__xludf.DUMMYFUNCTION("""COMPUTED_VALUE"""),"Mystery")</f>
        <v>Mystery</v>
      </c>
      <c r="J613" s="5" t="str">
        <f>IFERROR(__xludf.DUMMYFUNCTION("""COMPUTED_VALUE"""),"204🤙🏼Room🤙🏼🤙🏼3")</f>
        <v>204🤙🏼Room🤙🏼🤙🏼3</v>
      </c>
      <c r="K613" s="5">
        <f>IFERROR(__xludf.DUMMYFUNCTION("SPLiT(J613, ""🤙🏼"",FALSE,FALSE)"),204.0)</f>
        <v>204</v>
      </c>
      <c r="L613" s="5" t="str">
        <f>IFERROR(__xludf.DUMMYFUNCTION("""COMPUTED_VALUE"""),"Room")</f>
        <v>Room</v>
      </c>
      <c r="M613" s="5"/>
      <c r="N613" s="5">
        <f>IFERROR(__xludf.DUMMYFUNCTION("""COMPUTED_VALUE"""),3.0)</f>
        <v>3</v>
      </c>
      <c r="S613" s="5">
        <f>IFERROR(__xludf.DUMMYFUNCTION("""COMPUTED_VALUE"""),242.0)</f>
        <v>242</v>
      </c>
      <c r="T613" s="5" t="str">
        <f>IFERROR(__xludf.DUMMYFUNCTION("""COMPUTED_VALUE"""),"Kill Bill: Vol. 1")</f>
        <v>Kill Bill: Vol. 1</v>
      </c>
      <c r="U613" s="5" t="str">
        <f>IFERROR(__xludf.DUMMYFUNCTION("""COMPUTED_VALUE"""),"Action")</f>
        <v>Action</v>
      </c>
      <c r="V613" s="5">
        <f>IFERROR(__xludf.DUMMYFUNCTION("""COMPUTED_VALUE"""),1.0)</f>
        <v>1</v>
      </c>
    </row>
    <row r="614">
      <c r="A614" s="1">
        <v>613.0</v>
      </c>
      <c r="B614" s="1" t="s">
        <v>3749</v>
      </c>
      <c r="C614" s="1" t="s">
        <v>2593</v>
      </c>
      <c r="D614" s="1"/>
      <c r="E614" s="1">
        <v>613.0</v>
      </c>
      <c r="F614" s="1" t="s">
        <v>3749</v>
      </c>
      <c r="G614" s="1" t="str">
        <f>IFERROR(__xludf.DUMMYFUNCTION("SPLIT(C614, "", "")"),"Drama")</f>
        <v>Drama</v>
      </c>
      <c r="H614" s="5" t="str">
        <f>IFERROR(__xludf.DUMMYFUNCTION("""COMPUTED_VALUE"""),"History")</f>
        <v>History</v>
      </c>
      <c r="I614" s="5" t="str">
        <f>IFERROR(__xludf.DUMMYFUNCTION("""COMPUTED_VALUE"""),"Thriller")</f>
        <v>Thriller</v>
      </c>
      <c r="J614" s="5" t="str">
        <f>IFERROR(__xludf.DUMMYFUNCTION("""COMPUTED_VALUE"""),"205🤙🏼Relatos salvajes🤙🏼Comedy🤙🏼1")</f>
        <v>205🤙🏼Relatos salvajes🤙🏼Comedy🤙🏼1</v>
      </c>
      <c r="K614" s="5">
        <f>IFERROR(__xludf.DUMMYFUNCTION("SPLiT(J614, ""🤙🏼"",FALSE,FALSE)"),205.0)</f>
        <v>205</v>
      </c>
      <c r="L614" s="5" t="str">
        <f>IFERROR(__xludf.DUMMYFUNCTION("""COMPUTED_VALUE"""),"Relatos salvajes")</f>
        <v>Relatos salvajes</v>
      </c>
      <c r="M614" s="5" t="str">
        <f>IFERROR(__xludf.DUMMYFUNCTION("""COMPUTED_VALUE"""),"Comedy")</f>
        <v>Comedy</v>
      </c>
      <c r="N614" s="5">
        <f>IFERROR(__xludf.DUMMYFUNCTION("""COMPUTED_VALUE"""),1.0)</f>
        <v>1</v>
      </c>
      <c r="S614" s="5">
        <f>IFERROR(__xludf.DUMMYFUNCTION("""COMPUTED_VALUE"""),242.0)</f>
        <v>242</v>
      </c>
      <c r="T614" s="5" t="str">
        <f>IFERROR(__xludf.DUMMYFUNCTION("""COMPUTED_VALUE"""),"Kill Bill: Vol. 1")</f>
        <v>Kill Bill: Vol. 1</v>
      </c>
      <c r="U614" s="5" t="str">
        <f>IFERROR(__xludf.DUMMYFUNCTION("""COMPUTED_VALUE"""),"Crime")</f>
        <v>Crime</v>
      </c>
      <c r="V614" s="5">
        <f>IFERROR(__xludf.DUMMYFUNCTION("""COMPUTED_VALUE"""),2.0)</f>
        <v>2</v>
      </c>
    </row>
    <row r="615">
      <c r="A615" s="1">
        <v>614.0</v>
      </c>
      <c r="B615" s="1" t="s">
        <v>3755</v>
      </c>
      <c r="C615" s="1" t="s">
        <v>507</v>
      </c>
      <c r="D615" s="1"/>
      <c r="E615" s="1">
        <v>614.0</v>
      </c>
      <c r="F615" s="1" t="s">
        <v>3755</v>
      </c>
      <c r="G615" s="1" t="str">
        <f>IFERROR(__xludf.DUMMYFUNCTION("SPLIT(C615, "", "")"),"Comedy")</f>
        <v>Comedy</v>
      </c>
      <c r="H615" s="5" t="str">
        <f>IFERROR(__xludf.DUMMYFUNCTION("""COMPUTED_VALUE"""),"Drama")</f>
        <v>Drama</v>
      </c>
      <c r="J615" s="5" t="str">
        <f>IFERROR(__xludf.DUMMYFUNCTION("""COMPUTED_VALUE"""),"205🤙🏼Relatos salvajes🤙🏼Drama🤙🏼2")</f>
        <v>205🤙🏼Relatos salvajes🤙🏼Drama🤙🏼2</v>
      </c>
      <c r="K615" s="5">
        <f>IFERROR(__xludf.DUMMYFUNCTION("SPLiT(J615, ""🤙🏼"",FALSE,FALSE)"),205.0)</f>
        <v>205</v>
      </c>
      <c r="L615" s="5" t="str">
        <f>IFERROR(__xludf.DUMMYFUNCTION("""COMPUTED_VALUE"""),"Relatos salvajes")</f>
        <v>Relatos salvajes</v>
      </c>
      <c r="M615" s="5" t="str">
        <f>IFERROR(__xludf.DUMMYFUNCTION("""COMPUTED_VALUE"""),"Drama")</f>
        <v>Drama</v>
      </c>
      <c r="N615" s="5">
        <f>IFERROR(__xludf.DUMMYFUNCTION("""COMPUTED_VALUE"""),2.0)</f>
        <v>2</v>
      </c>
      <c r="S615" s="5">
        <f>IFERROR(__xludf.DUMMYFUNCTION("""COMPUTED_VALUE"""),242.0)</f>
        <v>242</v>
      </c>
      <c r="T615" s="5" t="str">
        <f>IFERROR(__xludf.DUMMYFUNCTION("""COMPUTED_VALUE"""),"Kill Bill: Vol. 1")</f>
        <v>Kill Bill: Vol. 1</v>
      </c>
      <c r="U615" s="5" t="str">
        <f>IFERROR(__xludf.DUMMYFUNCTION("""COMPUTED_VALUE"""),"Drama")</f>
        <v>Drama</v>
      </c>
      <c r="V615" s="5">
        <f>IFERROR(__xludf.DUMMYFUNCTION("""COMPUTED_VALUE"""),3.0)</f>
        <v>3</v>
      </c>
    </row>
    <row r="616">
      <c r="A616" s="1">
        <v>615.0</v>
      </c>
      <c r="B616" s="1" t="s">
        <v>3759</v>
      </c>
      <c r="C616" s="1" t="s">
        <v>1020</v>
      </c>
      <c r="D616" s="1"/>
      <c r="E616" s="1">
        <v>615.0</v>
      </c>
      <c r="F616" s="1" t="s">
        <v>3759</v>
      </c>
      <c r="G616" s="1" t="str">
        <f>IFERROR(__xludf.DUMMYFUNCTION("SPLIT(C616, "", "")"),"Biography")</f>
        <v>Biography</v>
      </c>
      <c r="H616" s="5" t="str">
        <f>IFERROR(__xludf.DUMMYFUNCTION("""COMPUTED_VALUE"""),"Drama")</f>
        <v>Drama</v>
      </c>
      <c r="I616" s="5" t="str">
        <f>IFERROR(__xludf.DUMMYFUNCTION("""COMPUTED_VALUE"""),"Sport")</f>
        <v>Sport</v>
      </c>
      <c r="J616" s="5" t="str">
        <f>IFERROR(__xludf.DUMMYFUNCTION("""COMPUTED_VALUE"""),"205🤙🏼Relatos salvajes🤙🏼Thriller🤙🏼3")</f>
        <v>205🤙🏼Relatos salvajes🤙🏼Thriller🤙🏼3</v>
      </c>
      <c r="K616" s="5">
        <f>IFERROR(__xludf.DUMMYFUNCTION("SPLiT(J616, ""🤙🏼"",FALSE,FALSE)"),205.0)</f>
        <v>205</v>
      </c>
      <c r="L616" s="5" t="str">
        <f>IFERROR(__xludf.DUMMYFUNCTION("""COMPUTED_VALUE"""),"Relatos salvajes")</f>
        <v>Relatos salvajes</v>
      </c>
      <c r="M616" s="5" t="str">
        <f>IFERROR(__xludf.DUMMYFUNCTION("""COMPUTED_VALUE"""),"Thriller")</f>
        <v>Thriller</v>
      </c>
      <c r="N616" s="5">
        <f>IFERROR(__xludf.DUMMYFUNCTION("""COMPUTED_VALUE"""),3.0)</f>
        <v>3</v>
      </c>
      <c r="S616" s="5">
        <f>IFERROR(__xludf.DUMMYFUNCTION("""COMPUTED_VALUE"""),243.0)</f>
        <v>243</v>
      </c>
      <c r="T616" s="5" t="str">
        <f>IFERROR(__xludf.DUMMYFUNCTION("""COMPUTED_VALUE"""),"Finding Nemo")</f>
        <v>Finding Nemo</v>
      </c>
      <c r="U616" s="5" t="str">
        <f>IFERROR(__xludf.DUMMYFUNCTION("""COMPUTED_VALUE"""),"Animation")</f>
        <v>Animation</v>
      </c>
      <c r="V616" s="5">
        <f>IFERROR(__xludf.DUMMYFUNCTION("""COMPUTED_VALUE"""),1.0)</f>
        <v>1</v>
      </c>
    </row>
    <row r="617">
      <c r="A617" s="1">
        <v>616.0</v>
      </c>
      <c r="B617" s="1" t="s">
        <v>3762</v>
      </c>
      <c r="C617" s="1" t="s">
        <v>1214</v>
      </c>
      <c r="D617" s="1"/>
      <c r="E617" s="1">
        <v>616.0</v>
      </c>
      <c r="F617" s="1" t="s">
        <v>3762</v>
      </c>
      <c r="G617" s="1" t="str">
        <f>IFERROR(__xludf.DUMMYFUNCTION("SPLIT(C617, "", "")"),"Action")</f>
        <v>Action</v>
      </c>
      <c r="H617" s="5" t="str">
        <f>IFERROR(__xludf.DUMMYFUNCTION("""COMPUTED_VALUE"""),"Thriller")</f>
        <v>Thriller</v>
      </c>
      <c r="J617" s="5" t="str">
        <f>IFERROR(__xludf.DUMMYFUNCTION("""COMPUTED_VALUE"""),"206🤙🏼Soul🤙🏼Animation🤙🏼1")</f>
        <v>206🤙🏼Soul🤙🏼Animation🤙🏼1</v>
      </c>
      <c r="K617" s="5">
        <f>IFERROR(__xludf.DUMMYFUNCTION("SPLiT(J617, ""🤙🏼"",FALSE,FALSE)"),206.0)</f>
        <v>206</v>
      </c>
      <c r="L617" s="5" t="str">
        <f>IFERROR(__xludf.DUMMYFUNCTION("""COMPUTED_VALUE"""),"Soul")</f>
        <v>Soul</v>
      </c>
      <c r="M617" s="5" t="str">
        <f>IFERROR(__xludf.DUMMYFUNCTION("""COMPUTED_VALUE"""),"Animation")</f>
        <v>Animation</v>
      </c>
      <c r="N617" s="5">
        <f>IFERROR(__xludf.DUMMYFUNCTION("""COMPUTED_VALUE"""),1.0)</f>
        <v>1</v>
      </c>
      <c r="S617" s="5">
        <f>IFERROR(__xludf.DUMMYFUNCTION("""COMPUTED_VALUE"""),243.0)</f>
        <v>243</v>
      </c>
      <c r="T617" s="5" t="str">
        <f>IFERROR(__xludf.DUMMYFUNCTION("""COMPUTED_VALUE"""),"Finding Nemo")</f>
        <v>Finding Nemo</v>
      </c>
      <c r="U617" s="5" t="str">
        <f>IFERROR(__xludf.DUMMYFUNCTION("""COMPUTED_VALUE"""),"Adventure")</f>
        <v>Adventure</v>
      </c>
      <c r="V617" s="5">
        <f>IFERROR(__xludf.DUMMYFUNCTION("""COMPUTED_VALUE"""),2.0)</f>
        <v>2</v>
      </c>
    </row>
    <row r="618">
      <c r="A618" s="1">
        <v>617.0</v>
      </c>
      <c r="B618" s="1" t="s">
        <v>3768</v>
      </c>
      <c r="C618" s="1" t="s">
        <v>2661</v>
      </c>
      <c r="D618" s="1"/>
      <c r="E618" s="1">
        <v>617.0</v>
      </c>
      <c r="F618" s="1" t="s">
        <v>3768</v>
      </c>
      <c r="G618" s="1" t="str">
        <f>IFERROR(__xludf.DUMMYFUNCTION("SPLIT(C618, "", "")"),"Drama")</f>
        <v>Drama</v>
      </c>
      <c r="H618" s="5" t="str">
        <f>IFERROR(__xludf.DUMMYFUNCTION("""COMPUTED_VALUE"""),"History")</f>
        <v>History</v>
      </c>
      <c r="I618" s="5" t="str">
        <f>IFERROR(__xludf.DUMMYFUNCTION("""COMPUTED_VALUE"""),"War")</f>
        <v>War</v>
      </c>
      <c r="J618" s="5" t="str">
        <f>IFERROR(__xludf.DUMMYFUNCTION("""COMPUTED_VALUE"""),"206🤙🏼Soul🤙🏼Adventure🤙🏼2")</f>
        <v>206🤙🏼Soul🤙🏼Adventure🤙🏼2</v>
      </c>
      <c r="K618" s="5">
        <f>IFERROR(__xludf.DUMMYFUNCTION("SPLiT(J618, ""🤙🏼"",FALSE,FALSE)"),206.0)</f>
        <v>206</v>
      </c>
      <c r="L618" s="5" t="str">
        <f>IFERROR(__xludf.DUMMYFUNCTION("""COMPUTED_VALUE"""),"Soul")</f>
        <v>Soul</v>
      </c>
      <c r="M618" s="5" t="str">
        <f>IFERROR(__xludf.DUMMYFUNCTION("""COMPUTED_VALUE"""),"Adventure")</f>
        <v>Adventure</v>
      </c>
      <c r="N618" s="5">
        <f>IFERROR(__xludf.DUMMYFUNCTION("""COMPUTED_VALUE"""),2.0)</f>
        <v>2</v>
      </c>
      <c r="S618" s="5">
        <f>IFERROR(__xludf.DUMMYFUNCTION("""COMPUTED_VALUE"""),243.0)</f>
        <v>243</v>
      </c>
      <c r="T618" s="5" t="str">
        <f>IFERROR(__xludf.DUMMYFUNCTION("""COMPUTED_VALUE"""),"Finding Nemo")</f>
        <v>Finding Nemo</v>
      </c>
      <c r="U618" s="5" t="str">
        <f>IFERROR(__xludf.DUMMYFUNCTION("""COMPUTED_VALUE"""),"Comedy")</f>
        <v>Comedy</v>
      </c>
      <c r="V618" s="5">
        <f>IFERROR(__xludf.DUMMYFUNCTION("""COMPUTED_VALUE"""),3.0)</f>
        <v>3</v>
      </c>
    </row>
    <row r="619">
      <c r="A619" s="1">
        <v>618.0</v>
      </c>
      <c r="B619" s="1" t="s">
        <v>3775</v>
      </c>
      <c r="C619" s="1" t="s">
        <v>1706</v>
      </c>
      <c r="D619" s="1"/>
      <c r="E619" s="1">
        <v>618.0</v>
      </c>
      <c r="F619" s="1" t="s">
        <v>3775</v>
      </c>
      <c r="G619" s="1" t="str">
        <f>IFERROR(__xludf.DUMMYFUNCTION("SPLIT(C619, "", "")"),"Drama")</f>
        <v>Drama</v>
      </c>
      <c r="H619" s="5" t="str">
        <f>IFERROR(__xludf.DUMMYFUNCTION("""COMPUTED_VALUE"""),"Music")</f>
        <v>Music</v>
      </c>
      <c r="I619" s="5" t="str">
        <f>IFERROR(__xludf.DUMMYFUNCTION("""COMPUTED_VALUE"""),"Romance")</f>
        <v>Romance</v>
      </c>
      <c r="J619" s="5" t="str">
        <f>IFERROR(__xludf.DUMMYFUNCTION("""COMPUTED_VALUE"""),"206🤙🏼Soul🤙🏼Comedy🤙🏼3")</f>
        <v>206🤙🏼Soul🤙🏼Comedy🤙🏼3</v>
      </c>
      <c r="K619" s="5">
        <f>IFERROR(__xludf.DUMMYFUNCTION("SPLiT(J619, ""🤙🏼"",FALSE,FALSE)"),206.0)</f>
        <v>206</v>
      </c>
      <c r="L619" s="5" t="str">
        <f>IFERROR(__xludf.DUMMYFUNCTION("""COMPUTED_VALUE"""),"Soul")</f>
        <v>Soul</v>
      </c>
      <c r="M619" s="5" t="str">
        <f>IFERROR(__xludf.DUMMYFUNCTION("""COMPUTED_VALUE"""),"Comedy")</f>
        <v>Comedy</v>
      </c>
      <c r="N619" s="5">
        <f>IFERROR(__xludf.DUMMYFUNCTION("""COMPUTED_VALUE"""),3.0)</f>
        <v>3</v>
      </c>
      <c r="S619" s="5">
        <f>IFERROR(__xludf.DUMMYFUNCTION("""COMPUTED_VALUE"""),244.0)</f>
        <v>244</v>
      </c>
      <c r="T619" s="5" t="str">
        <f>IFERROR(__xludf.DUMMYFUNCTION("""COMPUTED_VALUE"""),"Catch Me If You Can")</f>
        <v>Catch Me If You Can</v>
      </c>
      <c r="U619" s="5" t="str">
        <f>IFERROR(__xludf.DUMMYFUNCTION("""COMPUTED_VALUE"""),"Biography")</f>
        <v>Biography</v>
      </c>
      <c r="V619" s="5">
        <f>IFERROR(__xludf.DUMMYFUNCTION("""COMPUTED_VALUE"""),1.0)</f>
        <v>1</v>
      </c>
    </row>
    <row r="620">
      <c r="A620" s="1">
        <v>619.0</v>
      </c>
      <c r="B620" s="1" t="s">
        <v>3781</v>
      </c>
      <c r="C620" s="1" t="s">
        <v>3731</v>
      </c>
      <c r="D620" s="1"/>
      <c r="E620" s="1">
        <v>619.0</v>
      </c>
      <c r="F620" s="1" t="s">
        <v>3781</v>
      </c>
      <c r="G620" s="1" t="str">
        <f>IFERROR(__xludf.DUMMYFUNCTION("SPLIT(C620, "", "")"),"Adventure")</f>
        <v>Adventure</v>
      </c>
      <c r="H620" s="5" t="str">
        <f>IFERROR(__xludf.DUMMYFUNCTION("""COMPUTED_VALUE"""),"Fantasy")</f>
        <v>Fantasy</v>
      </c>
      <c r="J620" s="5" t="str">
        <f>IFERROR(__xludf.DUMMYFUNCTION("""COMPUTED_VALUE"""),"207🤙🏼Kis Uykusu🤙🏼Drama🤙🏼1")</f>
        <v>207🤙🏼Kis Uykusu🤙🏼Drama🤙🏼1</v>
      </c>
      <c r="K620" s="5">
        <f>IFERROR(__xludf.DUMMYFUNCTION("SPLiT(J620, ""🤙🏼"",FALSE,FALSE)"),207.0)</f>
        <v>207</v>
      </c>
      <c r="L620" s="5" t="str">
        <f>IFERROR(__xludf.DUMMYFUNCTION("""COMPUTED_VALUE"""),"Kis Uykusu")</f>
        <v>Kis Uykusu</v>
      </c>
      <c r="M620" s="5" t="str">
        <f>IFERROR(__xludf.DUMMYFUNCTION("""COMPUTED_VALUE"""),"Drama")</f>
        <v>Drama</v>
      </c>
      <c r="N620" s="5">
        <f>IFERROR(__xludf.DUMMYFUNCTION("""COMPUTED_VALUE"""),1.0)</f>
        <v>1</v>
      </c>
      <c r="S620" s="5">
        <f>IFERROR(__xludf.DUMMYFUNCTION("""COMPUTED_VALUE"""),244.0)</f>
        <v>244</v>
      </c>
      <c r="T620" s="5" t="str">
        <f>IFERROR(__xludf.DUMMYFUNCTION("""COMPUTED_VALUE"""),"Catch Me If You Can")</f>
        <v>Catch Me If You Can</v>
      </c>
      <c r="U620" s="5" t="str">
        <f>IFERROR(__xludf.DUMMYFUNCTION("""COMPUTED_VALUE"""),"Crime")</f>
        <v>Crime</v>
      </c>
      <c r="V620" s="5">
        <f>IFERROR(__xludf.DUMMYFUNCTION("""COMPUTED_VALUE"""),2.0)</f>
        <v>2</v>
      </c>
    </row>
    <row r="621">
      <c r="A621" s="1">
        <v>620.0</v>
      </c>
      <c r="B621" s="1" t="s">
        <v>3784</v>
      </c>
      <c r="C621" s="1" t="s">
        <v>20</v>
      </c>
      <c r="D621" s="1"/>
      <c r="E621" s="1">
        <v>620.0</v>
      </c>
      <c r="F621" s="1" t="s">
        <v>3784</v>
      </c>
      <c r="G621" s="1" t="str">
        <f>IFERROR(__xludf.DUMMYFUNCTION("SPLIT(C621, "", "")"),"Drama")</f>
        <v>Drama</v>
      </c>
      <c r="J621" s="5" t="str">
        <f>IFERROR(__xludf.DUMMYFUNCTION("""COMPUTED_VALUE"""),"207🤙🏼Kis Uykusu🤙🏼🤙🏼2")</f>
        <v>207🤙🏼Kis Uykusu🤙🏼🤙🏼2</v>
      </c>
      <c r="K621" s="5">
        <f>IFERROR(__xludf.DUMMYFUNCTION("SPLiT(J621, ""🤙🏼"",FALSE,FALSE)"),207.0)</f>
        <v>207</v>
      </c>
      <c r="L621" s="5" t="str">
        <f>IFERROR(__xludf.DUMMYFUNCTION("""COMPUTED_VALUE"""),"Kis Uykusu")</f>
        <v>Kis Uykusu</v>
      </c>
      <c r="M621" s="5"/>
      <c r="N621" s="5">
        <f>IFERROR(__xludf.DUMMYFUNCTION("""COMPUTED_VALUE"""),2.0)</f>
        <v>2</v>
      </c>
      <c r="S621" s="5">
        <f>IFERROR(__xludf.DUMMYFUNCTION("""COMPUTED_VALUE"""),244.0)</f>
        <v>244</v>
      </c>
      <c r="T621" s="5" t="str">
        <f>IFERROR(__xludf.DUMMYFUNCTION("""COMPUTED_VALUE"""),"Catch Me If You Can")</f>
        <v>Catch Me If You Can</v>
      </c>
      <c r="U621" s="5" t="str">
        <f>IFERROR(__xludf.DUMMYFUNCTION("""COMPUTED_VALUE"""),"Drama")</f>
        <v>Drama</v>
      </c>
      <c r="V621" s="5">
        <f>IFERROR(__xludf.DUMMYFUNCTION("""COMPUTED_VALUE"""),3.0)</f>
        <v>3</v>
      </c>
    </row>
    <row r="622">
      <c r="A622" s="1">
        <v>621.0</v>
      </c>
      <c r="B622" s="1" t="s">
        <v>3790</v>
      </c>
      <c r="C622" s="1" t="s">
        <v>1051</v>
      </c>
      <c r="D622" s="1"/>
      <c r="E622" s="1">
        <v>621.0</v>
      </c>
      <c r="F622" s="1" t="s">
        <v>3790</v>
      </c>
      <c r="G622" s="1" t="str">
        <f>IFERROR(__xludf.DUMMYFUNCTION("SPLIT(C622, "", "")"),"Drama")</f>
        <v>Drama</v>
      </c>
      <c r="H622" s="5" t="str">
        <f>IFERROR(__xludf.DUMMYFUNCTION("""COMPUTED_VALUE"""),"Mystery")</f>
        <v>Mystery</v>
      </c>
      <c r="I622" s="5" t="str">
        <f>IFERROR(__xludf.DUMMYFUNCTION("""COMPUTED_VALUE"""),"Romance")</f>
        <v>Romance</v>
      </c>
      <c r="J622" s="5" t="str">
        <f>IFERROR(__xludf.DUMMYFUNCTION("""COMPUTED_VALUE"""),"207🤙🏼Kis Uykusu🤙🏼🤙🏼3")</f>
        <v>207🤙🏼Kis Uykusu🤙🏼🤙🏼3</v>
      </c>
      <c r="K622" s="5">
        <f>IFERROR(__xludf.DUMMYFUNCTION("SPLiT(J622, ""🤙🏼"",FALSE,FALSE)"),207.0)</f>
        <v>207</v>
      </c>
      <c r="L622" s="5" t="str">
        <f>IFERROR(__xludf.DUMMYFUNCTION("""COMPUTED_VALUE"""),"Kis Uykusu")</f>
        <v>Kis Uykusu</v>
      </c>
      <c r="M622" s="5"/>
      <c r="N622" s="5">
        <f>IFERROR(__xludf.DUMMYFUNCTION("""COMPUTED_VALUE"""),3.0)</f>
        <v>3</v>
      </c>
      <c r="S622" s="5">
        <f>IFERROR(__xludf.DUMMYFUNCTION("""COMPUTED_VALUE"""),245.0)</f>
        <v>245</v>
      </c>
      <c r="T622" s="5" t="str">
        <f>IFERROR(__xludf.DUMMYFUNCTION("""COMPUTED_VALUE"""),"Amores perros")</f>
        <v>Amores perros</v>
      </c>
      <c r="U622" s="5" t="str">
        <f>IFERROR(__xludf.DUMMYFUNCTION("""COMPUTED_VALUE"""),"Drama")</f>
        <v>Drama</v>
      </c>
      <c r="V622" s="5">
        <f>IFERROR(__xludf.DUMMYFUNCTION("""COMPUTED_VALUE"""),1.0)</f>
        <v>1</v>
      </c>
    </row>
    <row r="623">
      <c r="A623" s="1">
        <v>622.0</v>
      </c>
      <c r="B623" s="1" t="s">
        <v>3793</v>
      </c>
      <c r="C623" s="1" t="s">
        <v>29</v>
      </c>
      <c r="D623" s="1"/>
      <c r="E623" s="1">
        <v>622.0</v>
      </c>
      <c r="F623" s="1" t="s">
        <v>3793</v>
      </c>
      <c r="G623" s="1" t="str">
        <f>IFERROR(__xludf.DUMMYFUNCTION("SPLIT(C623, "", "")"),"Crime")</f>
        <v>Crime</v>
      </c>
      <c r="H623" s="5" t="str">
        <f>IFERROR(__xludf.DUMMYFUNCTION("""COMPUTED_VALUE"""),"Drama")</f>
        <v>Drama</v>
      </c>
      <c r="J623" s="5" t="str">
        <f>IFERROR(__xludf.DUMMYFUNCTION("""COMPUTED_VALUE"""),"208🤙🏼PK🤙🏼Comedy🤙🏼1")</f>
        <v>208🤙🏼PK🤙🏼Comedy🤙🏼1</v>
      </c>
      <c r="K623" s="5">
        <f>IFERROR(__xludf.DUMMYFUNCTION("SPLiT(J623, ""🤙🏼"",FALSE,FALSE)"),208.0)</f>
        <v>208</v>
      </c>
      <c r="L623" s="5" t="str">
        <f>IFERROR(__xludf.DUMMYFUNCTION("""COMPUTED_VALUE"""),"PK")</f>
        <v>PK</v>
      </c>
      <c r="M623" s="5" t="str">
        <f>IFERROR(__xludf.DUMMYFUNCTION("""COMPUTED_VALUE"""),"Comedy")</f>
        <v>Comedy</v>
      </c>
      <c r="N623" s="5">
        <f>IFERROR(__xludf.DUMMYFUNCTION("""COMPUTED_VALUE"""),1.0)</f>
        <v>1</v>
      </c>
      <c r="S623" s="5">
        <f>IFERROR(__xludf.DUMMYFUNCTION("""COMPUTED_VALUE"""),245.0)</f>
        <v>245</v>
      </c>
      <c r="T623" s="5" t="str">
        <f>IFERROR(__xludf.DUMMYFUNCTION("""COMPUTED_VALUE"""),"Amores perros")</f>
        <v>Amores perros</v>
      </c>
      <c r="U623" s="5" t="str">
        <f>IFERROR(__xludf.DUMMYFUNCTION("""COMPUTED_VALUE"""),"Thriller")</f>
        <v>Thriller</v>
      </c>
      <c r="V623" s="5">
        <f>IFERROR(__xludf.DUMMYFUNCTION("""COMPUTED_VALUE"""),2.0)</f>
        <v>2</v>
      </c>
    </row>
    <row r="624">
      <c r="A624" s="1">
        <v>623.0</v>
      </c>
      <c r="B624" s="1" t="s">
        <v>3797</v>
      </c>
      <c r="C624" s="1" t="s">
        <v>137</v>
      </c>
      <c r="D624" s="1"/>
      <c r="E624" s="1">
        <v>623.0</v>
      </c>
      <c r="F624" s="1" t="s">
        <v>3797</v>
      </c>
      <c r="G624" s="1" t="str">
        <f>IFERROR(__xludf.DUMMYFUNCTION("SPLIT(C624, "", "")"),"Biography")</f>
        <v>Biography</v>
      </c>
      <c r="H624" s="5" t="str">
        <f>IFERROR(__xludf.DUMMYFUNCTION("""COMPUTED_VALUE"""),"Crime")</f>
        <v>Crime</v>
      </c>
      <c r="I624" s="5" t="str">
        <f>IFERROR(__xludf.DUMMYFUNCTION("""COMPUTED_VALUE"""),"Drama")</f>
        <v>Drama</v>
      </c>
      <c r="J624" s="5" t="str">
        <f>IFERROR(__xludf.DUMMYFUNCTION("""COMPUTED_VALUE"""),"208🤙🏼PK🤙🏼Drama🤙🏼2")</f>
        <v>208🤙🏼PK🤙🏼Drama🤙🏼2</v>
      </c>
      <c r="K624" s="5">
        <f>IFERROR(__xludf.DUMMYFUNCTION("SPLiT(J624, ""🤙🏼"",FALSE,FALSE)"),208.0)</f>
        <v>208</v>
      </c>
      <c r="L624" s="5" t="str">
        <f>IFERROR(__xludf.DUMMYFUNCTION("""COMPUTED_VALUE"""),"PK")</f>
        <v>PK</v>
      </c>
      <c r="M624" s="5" t="str">
        <f>IFERROR(__xludf.DUMMYFUNCTION("""COMPUTED_VALUE"""),"Drama")</f>
        <v>Drama</v>
      </c>
      <c r="N624" s="5">
        <f>IFERROR(__xludf.DUMMYFUNCTION("""COMPUTED_VALUE"""),2.0)</f>
        <v>2</v>
      </c>
      <c r="S624" s="5">
        <f>IFERROR(__xludf.DUMMYFUNCTION("""COMPUTED_VALUE"""),246.0)</f>
        <v>246</v>
      </c>
      <c r="T624" s="5" t="str">
        <f>IFERROR(__xludf.DUMMYFUNCTION("""COMPUTED_VALUE"""),"Monsters, Inc.")</f>
        <v>Monsters, Inc.</v>
      </c>
      <c r="U624" s="5" t="str">
        <f>IFERROR(__xludf.DUMMYFUNCTION("""COMPUTED_VALUE"""),"Animation")</f>
        <v>Animation</v>
      </c>
      <c r="V624" s="5">
        <f>IFERROR(__xludf.DUMMYFUNCTION("""COMPUTED_VALUE"""),1.0)</f>
        <v>1</v>
      </c>
    </row>
    <row r="625">
      <c r="A625" s="1">
        <v>624.0</v>
      </c>
      <c r="B625" s="1" t="s">
        <v>3800</v>
      </c>
      <c r="C625" s="1" t="s">
        <v>145</v>
      </c>
      <c r="D625" s="1"/>
      <c r="E625" s="1">
        <v>624.0</v>
      </c>
      <c r="F625" s="1" t="s">
        <v>3800</v>
      </c>
      <c r="G625" s="1" t="str">
        <f>IFERROR(__xludf.DUMMYFUNCTION("SPLIT(C625, "", "")"),"Action")</f>
        <v>Action</v>
      </c>
      <c r="H625" s="5" t="str">
        <f>IFERROR(__xludf.DUMMYFUNCTION("""COMPUTED_VALUE"""),"Adventure")</f>
        <v>Adventure</v>
      </c>
      <c r="I625" s="5" t="str">
        <f>IFERROR(__xludf.DUMMYFUNCTION("""COMPUTED_VALUE"""),"Fantasy")</f>
        <v>Fantasy</v>
      </c>
      <c r="J625" s="5" t="str">
        <f>IFERROR(__xludf.DUMMYFUNCTION("""COMPUTED_VALUE"""),"208🤙🏼PK🤙🏼Musical🤙🏼3")</f>
        <v>208🤙🏼PK🤙🏼Musical🤙🏼3</v>
      </c>
      <c r="K625" s="5">
        <f>IFERROR(__xludf.DUMMYFUNCTION("SPLiT(J625, ""🤙🏼"",FALSE,FALSE)"),208.0)</f>
        <v>208</v>
      </c>
      <c r="L625" s="5" t="str">
        <f>IFERROR(__xludf.DUMMYFUNCTION("""COMPUTED_VALUE"""),"PK")</f>
        <v>PK</v>
      </c>
      <c r="M625" s="5" t="str">
        <f>IFERROR(__xludf.DUMMYFUNCTION("""COMPUTED_VALUE"""),"Musical")</f>
        <v>Musical</v>
      </c>
      <c r="N625" s="5">
        <f>IFERROR(__xludf.DUMMYFUNCTION("""COMPUTED_VALUE"""),3.0)</f>
        <v>3</v>
      </c>
      <c r="S625" s="5">
        <f>IFERROR(__xludf.DUMMYFUNCTION("""COMPUTED_VALUE"""),246.0)</f>
        <v>246</v>
      </c>
      <c r="T625" s="5" t="str">
        <f>IFERROR(__xludf.DUMMYFUNCTION("""COMPUTED_VALUE"""),"Monsters, Inc.")</f>
        <v>Monsters, Inc.</v>
      </c>
      <c r="U625" s="5" t="str">
        <f>IFERROR(__xludf.DUMMYFUNCTION("""COMPUTED_VALUE"""),"Adventure")</f>
        <v>Adventure</v>
      </c>
      <c r="V625" s="5">
        <f>IFERROR(__xludf.DUMMYFUNCTION("""COMPUTED_VALUE"""),2.0)</f>
        <v>2</v>
      </c>
    </row>
    <row r="626">
      <c r="A626" s="1">
        <v>625.0</v>
      </c>
      <c r="B626" s="1" t="s">
        <v>3803</v>
      </c>
      <c r="C626" s="1" t="s">
        <v>2634</v>
      </c>
      <c r="D626" s="1"/>
      <c r="E626" s="1">
        <v>625.0</v>
      </c>
      <c r="F626" s="1" t="s">
        <v>3803</v>
      </c>
      <c r="G626" s="1" t="str">
        <f>IFERROR(__xludf.DUMMYFUNCTION("SPLIT(C626, "", "")"),"Drama")</f>
        <v>Drama</v>
      </c>
      <c r="H626" s="5" t="str">
        <f>IFERROR(__xludf.DUMMYFUNCTION("""COMPUTED_VALUE"""),"Fantasy")</f>
        <v>Fantasy</v>
      </c>
      <c r="I626" s="5" t="str">
        <f>IFERROR(__xludf.DUMMYFUNCTION("""COMPUTED_VALUE"""),"Romance")</f>
        <v>Romance</v>
      </c>
      <c r="J626" s="5" t="str">
        <f>IFERROR(__xludf.DUMMYFUNCTION("""COMPUTED_VALUE"""),"209🤙🏼OMG: Oh My God!🤙🏼Comedy🤙🏼1")</f>
        <v>209🤙🏼OMG: Oh My God!🤙🏼Comedy🤙🏼1</v>
      </c>
      <c r="K626" s="5">
        <f>IFERROR(__xludf.DUMMYFUNCTION("SPLiT(J626, ""🤙🏼"",FALSE,FALSE)"),209.0)</f>
        <v>209</v>
      </c>
      <c r="L626" s="5" t="str">
        <f>IFERROR(__xludf.DUMMYFUNCTION("""COMPUTED_VALUE"""),"OMG: Oh My God!")</f>
        <v>OMG: Oh My God!</v>
      </c>
      <c r="M626" s="5" t="str">
        <f>IFERROR(__xludf.DUMMYFUNCTION("""COMPUTED_VALUE"""),"Comedy")</f>
        <v>Comedy</v>
      </c>
      <c r="N626" s="5">
        <f>IFERROR(__xludf.DUMMYFUNCTION("""COMPUTED_VALUE"""),1.0)</f>
        <v>1</v>
      </c>
      <c r="S626" s="5">
        <f>IFERROR(__xludf.DUMMYFUNCTION("""COMPUTED_VALUE"""),246.0)</f>
        <v>246</v>
      </c>
      <c r="T626" s="5" t="str">
        <f>IFERROR(__xludf.DUMMYFUNCTION("""COMPUTED_VALUE"""),"Monsters, Inc.")</f>
        <v>Monsters, Inc.</v>
      </c>
      <c r="U626" s="5" t="str">
        <f>IFERROR(__xludf.DUMMYFUNCTION("""COMPUTED_VALUE"""),"Comedy")</f>
        <v>Comedy</v>
      </c>
      <c r="V626" s="5">
        <f>IFERROR(__xludf.DUMMYFUNCTION("""COMPUTED_VALUE"""),3.0)</f>
        <v>3</v>
      </c>
    </row>
    <row r="627">
      <c r="A627" s="1">
        <v>626.0</v>
      </c>
      <c r="B627" s="1" t="s">
        <v>3809</v>
      </c>
      <c r="C627" s="1" t="s">
        <v>62</v>
      </c>
      <c r="D627" s="1"/>
      <c r="E627" s="1">
        <v>626.0</v>
      </c>
      <c r="F627" s="1" t="s">
        <v>3809</v>
      </c>
      <c r="G627" s="1" t="str">
        <f>IFERROR(__xludf.DUMMYFUNCTION("SPLIT(C627, "", "")"),"Action")</f>
        <v>Action</v>
      </c>
      <c r="H627" s="5" t="str">
        <f>IFERROR(__xludf.DUMMYFUNCTION("""COMPUTED_VALUE"""),"Adventure")</f>
        <v>Adventure</v>
      </c>
      <c r="I627" s="5" t="str">
        <f>IFERROR(__xludf.DUMMYFUNCTION("""COMPUTED_VALUE"""),"Drama")</f>
        <v>Drama</v>
      </c>
      <c r="J627" s="5" t="str">
        <f>IFERROR(__xludf.DUMMYFUNCTION("""COMPUTED_VALUE"""),"209🤙🏼OMG: Oh My God!🤙🏼Drama🤙🏼2")</f>
        <v>209🤙🏼OMG: Oh My God!🤙🏼Drama🤙🏼2</v>
      </c>
      <c r="K627" s="5">
        <f>IFERROR(__xludf.DUMMYFUNCTION("SPLiT(J627, ""🤙🏼"",FALSE,FALSE)"),209.0)</f>
        <v>209</v>
      </c>
      <c r="L627" s="5" t="str">
        <f>IFERROR(__xludf.DUMMYFUNCTION("""COMPUTED_VALUE"""),"OMG: Oh My God!")</f>
        <v>OMG: Oh My God!</v>
      </c>
      <c r="M627" s="5" t="str">
        <f>IFERROR(__xludf.DUMMYFUNCTION("""COMPUTED_VALUE"""),"Drama")</f>
        <v>Drama</v>
      </c>
      <c r="N627" s="5">
        <f>IFERROR(__xludf.DUMMYFUNCTION("""COMPUTED_VALUE"""),2.0)</f>
        <v>2</v>
      </c>
      <c r="S627" s="5">
        <f>IFERROR(__xludf.DUMMYFUNCTION("""COMPUTED_VALUE"""),247.0)</f>
        <v>247</v>
      </c>
      <c r="T627" s="5" t="str">
        <f>IFERROR(__xludf.DUMMYFUNCTION("""COMPUTED_VALUE"""),"Shin seiki Evangelion Gekijô-ban: Air/Magokoro wo, kimi ni")</f>
        <v>Shin seiki Evangelion Gekijô-ban: Air/Magokoro wo, kimi ni</v>
      </c>
      <c r="U627" s="5" t="str">
        <f>IFERROR(__xludf.DUMMYFUNCTION("""COMPUTED_VALUE"""),"Animation")</f>
        <v>Animation</v>
      </c>
      <c r="V627" s="5">
        <f>IFERROR(__xludf.DUMMYFUNCTION("""COMPUTED_VALUE"""),1.0)</f>
        <v>1</v>
      </c>
    </row>
    <row r="628">
      <c r="A628" s="1">
        <v>627.0</v>
      </c>
      <c r="B628" s="1" t="s">
        <v>3815</v>
      </c>
      <c r="C628" s="1" t="s">
        <v>507</v>
      </c>
      <c r="D628" s="1"/>
      <c r="E628" s="1">
        <v>627.0</v>
      </c>
      <c r="F628" s="1" t="s">
        <v>3815</v>
      </c>
      <c r="G628" s="1" t="str">
        <f>IFERROR(__xludf.DUMMYFUNCTION("SPLIT(C628, "", "")"),"Comedy")</f>
        <v>Comedy</v>
      </c>
      <c r="H628" s="5" t="str">
        <f>IFERROR(__xludf.DUMMYFUNCTION("""COMPUTED_VALUE"""),"Drama")</f>
        <v>Drama</v>
      </c>
      <c r="J628" s="5" t="str">
        <f>IFERROR(__xludf.DUMMYFUNCTION("""COMPUTED_VALUE"""),"209🤙🏼OMG: Oh My God!🤙🏼Fantasy🤙🏼3")</f>
        <v>209🤙🏼OMG: Oh My God!🤙🏼Fantasy🤙🏼3</v>
      </c>
      <c r="K628" s="5">
        <f>IFERROR(__xludf.DUMMYFUNCTION("SPLiT(J628, ""🤙🏼"",FALSE,FALSE)"),209.0)</f>
        <v>209</v>
      </c>
      <c r="L628" s="5" t="str">
        <f>IFERROR(__xludf.DUMMYFUNCTION("""COMPUTED_VALUE"""),"OMG: Oh My God!")</f>
        <v>OMG: Oh My God!</v>
      </c>
      <c r="M628" s="5" t="str">
        <f>IFERROR(__xludf.DUMMYFUNCTION("""COMPUTED_VALUE"""),"Fantasy")</f>
        <v>Fantasy</v>
      </c>
      <c r="N628" s="5">
        <f>IFERROR(__xludf.DUMMYFUNCTION("""COMPUTED_VALUE"""),3.0)</f>
        <v>3</v>
      </c>
      <c r="S628" s="5">
        <f>IFERROR(__xludf.DUMMYFUNCTION("""COMPUTED_VALUE"""),247.0)</f>
        <v>247</v>
      </c>
      <c r="T628" s="5" t="str">
        <f>IFERROR(__xludf.DUMMYFUNCTION("""COMPUTED_VALUE"""),"Shin seiki Evangelion Gekijô-ban: Air/Magokoro wo, kimi ni")</f>
        <v>Shin seiki Evangelion Gekijô-ban: Air/Magokoro wo, kimi ni</v>
      </c>
      <c r="U628" s="5" t="str">
        <f>IFERROR(__xludf.DUMMYFUNCTION("""COMPUTED_VALUE"""),"Action")</f>
        <v>Action</v>
      </c>
      <c r="V628" s="5">
        <f>IFERROR(__xludf.DUMMYFUNCTION("""COMPUTED_VALUE"""),2.0)</f>
        <v>2</v>
      </c>
    </row>
    <row r="629">
      <c r="A629" s="1">
        <v>628.0</v>
      </c>
      <c r="B629" s="1" t="s">
        <v>3820</v>
      </c>
      <c r="C629" s="1" t="s">
        <v>3821</v>
      </c>
      <c r="D629" s="1"/>
      <c r="E629" s="1">
        <v>628.0</v>
      </c>
      <c r="F629" s="1" t="s">
        <v>3820</v>
      </c>
      <c r="G629" s="1" t="str">
        <f>IFERROR(__xludf.DUMMYFUNCTION("SPLIT(C629, "", "")"),"Action")</f>
        <v>Action</v>
      </c>
      <c r="H629" s="5" t="str">
        <f>IFERROR(__xludf.DUMMYFUNCTION("""COMPUTED_VALUE"""),"Comedy")</f>
        <v>Comedy</v>
      </c>
      <c r="I629" s="5" t="str">
        <f>IFERROR(__xludf.DUMMYFUNCTION("""COMPUTED_VALUE"""),"Mystery")</f>
        <v>Mystery</v>
      </c>
      <c r="J629" s="5" t="str">
        <f>IFERROR(__xludf.DUMMYFUNCTION("""COMPUTED_VALUE"""),"210🤙🏼The Grand Budapest Hotel🤙🏼Adventure🤙🏼1")</f>
        <v>210🤙🏼The Grand Budapest Hotel🤙🏼Adventure🤙🏼1</v>
      </c>
      <c r="K629" s="5">
        <f>IFERROR(__xludf.DUMMYFUNCTION("SPLiT(J629, ""🤙🏼"",FALSE,FALSE)"),210.0)</f>
        <v>210</v>
      </c>
      <c r="L629" s="5" t="str">
        <f>IFERROR(__xludf.DUMMYFUNCTION("""COMPUTED_VALUE"""),"The Grand Budapest Hotel")</f>
        <v>The Grand Budapest Hotel</v>
      </c>
      <c r="M629" s="5" t="str">
        <f>IFERROR(__xludf.DUMMYFUNCTION("""COMPUTED_VALUE"""),"Adventure")</f>
        <v>Adventure</v>
      </c>
      <c r="N629" s="5">
        <f>IFERROR(__xludf.DUMMYFUNCTION("""COMPUTED_VALUE"""),1.0)</f>
        <v>1</v>
      </c>
      <c r="S629" s="5">
        <f>IFERROR(__xludf.DUMMYFUNCTION("""COMPUTED_VALUE"""),247.0)</f>
        <v>247</v>
      </c>
      <c r="T629" s="5" t="str">
        <f>IFERROR(__xludf.DUMMYFUNCTION("""COMPUTED_VALUE"""),"Shin seiki Evangelion Gekijô-ban: Air/Magokoro wo, kimi ni")</f>
        <v>Shin seiki Evangelion Gekijô-ban: Air/Magokoro wo, kimi ni</v>
      </c>
      <c r="U629" s="5" t="str">
        <f>IFERROR(__xludf.DUMMYFUNCTION("""COMPUTED_VALUE"""),"Drama")</f>
        <v>Drama</v>
      </c>
      <c r="V629" s="5">
        <f>IFERROR(__xludf.DUMMYFUNCTION("""COMPUTED_VALUE"""),3.0)</f>
        <v>3</v>
      </c>
    </row>
    <row r="630">
      <c r="A630" s="1">
        <v>629.0</v>
      </c>
      <c r="B630" s="1" t="s">
        <v>3823</v>
      </c>
      <c r="C630" s="1" t="s">
        <v>2634</v>
      </c>
      <c r="D630" s="1"/>
      <c r="E630" s="1">
        <v>629.0</v>
      </c>
      <c r="F630" s="1" t="s">
        <v>3823</v>
      </c>
      <c r="G630" s="1" t="str">
        <f>IFERROR(__xludf.DUMMYFUNCTION("SPLIT(C630, "", "")"),"Drama")</f>
        <v>Drama</v>
      </c>
      <c r="H630" s="5" t="str">
        <f>IFERROR(__xludf.DUMMYFUNCTION("""COMPUTED_VALUE"""),"Fantasy")</f>
        <v>Fantasy</v>
      </c>
      <c r="I630" s="5" t="str">
        <f>IFERROR(__xludf.DUMMYFUNCTION("""COMPUTED_VALUE"""),"Romance")</f>
        <v>Romance</v>
      </c>
      <c r="J630" s="5" t="str">
        <f>IFERROR(__xludf.DUMMYFUNCTION("""COMPUTED_VALUE"""),"210🤙🏼The Grand Budapest Hotel🤙🏼Comedy🤙🏼2")</f>
        <v>210🤙🏼The Grand Budapest Hotel🤙🏼Comedy🤙🏼2</v>
      </c>
      <c r="K630" s="5">
        <f>IFERROR(__xludf.DUMMYFUNCTION("SPLiT(J630, ""🤙🏼"",FALSE,FALSE)"),210.0)</f>
        <v>210</v>
      </c>
      <c r="L630" s="5" t="str">
        <f>IFERROR(__xludf.DUMMYFUNCTION("""COMPUTED_VALUE"""),"The Grand Budapest Hotel")</f>
        <v>The Grand Budapest Hotel</v>
      </c>
      <c r="M630" s="5" t="str">
        <f>IFERROR(__xludf.DUMMYFUNCTION("""COMPUTED_VALUE"""),"Comedy")</f>
        <v>Comedy</v>
      </c>
      <c r="N630" s="5">
        <f>IFERROR(__xludf.DUMMYFUNCTION("""COMPUTED_VALUE"""),2.0)</f>
        <v>2</v>
      </c>
      <c r="S630" s="5">
        <f>IFERROR(__xludf.DUMMYFUNCTION("""COMPUTED_VALUE"""),248.0)</f>
        <v>248</v>
      </c>
      <c r="T630" s="5" t="str">
        <f>IFERROR(__xludf.DUMMYFUNCTION("""COMPUTED_VALUE"""),"Lagaan: Once Upon a Time in India")</f>
        <v>Lagaan: Once Upon a Time in India</v>
      </c>
      <c r="U630" s="5" t="str">
        <f>IFERROR(__xludf.DUMMYFUNCTION("""COMPUTED_VALUE"""),"Adventure")</f>
        <v>Adventure</v>
      </c>
      <c r="V630" s="5">
        <f>IFERROR(__xludf.DUMMYFUNCTION("""COMPUTED_VALUE"""),1.0)</f>
        <v>1</v>
      </c>
    </row>
    <row r="631">
      <c r="A631" s="1">
        <v>630.0</v>
      </c>
      <c r="B631" s="1" t="s">
        <v>3828</v>
      </c>
      <c r="C631" s="1" t="s">
        <v>2709</v>
      </c>
      <c r="D631" s="1"/>
      <c r="E631" s="1">
        <v>630.0</v>
      </c>
      <c r="F631" s="1" t="s">
        <v>3828</v>
      </c>
      <c r="G631" s="1" t="str">
        <f>IFERROR(__xludf.DUMMYFUNCTION("SPLIT(C631, "", "")"),"Drama")</f>
        <v>Drama</v>
      </c>
      <c r="H631" s="5" t="str">
        <f>IFERROR(__xludf.DUMMYFUNCTION("""COMPUTED_VALUE"""),"Family")</f>
        <v>Family</v>
      </c>
      <c r="I631" s="5" t="str">
        <f>IFERROR(__xludf.DUMMYFUNCTION("""COMPUTED_VALUE"""),"Musical")</f>
        <v>Musical</v>
      </c>
      <c r="J631" s="5" t="str">
        <f>IFERROR(__xludf.DUMMYFUNCTION("""COMPUTED_VALUE"""),"210🤙🏼The Grand Budapest Hotel🤙🏼Crime🤙🏼3")</f>
        <v>210🤙🏼The Grand Budapest Hotel🤙🏼Crime🤙🏼3</v>
      </c>
      <c r="K631" s="5">
        <f>IFERROR(__xludf.DUMMYFUNCTION("SPLiT(J631, ""🤙🏼"",FALSE,FALSE)"),210.0)</f>
        <v>210</v>
      </c>
      <c r="L631" s="5" t="str">
        <f>IFERROR(__xludf.DUMMYFUNCTION("""COMPUTED_VALUE"""),"The Grand Budapest Hotel")</f>
        <v>The Grand Budapest Hotel</v>
      </c>
      <c r="M631" s="5" t="str">
        <f>IFERROR(__xludf.DUMMYFUNCTION("""COMPUTED_VALUE"""),"Crime")</f>
        <v>Crime</v>
      </c>
      <c r="N631" s="5">
        <f>IFERROR(__xludf.DUMMYFUNCTION("""COMPUTED_VALUE"""),3.0)</f>
        <v>3</v>
      </c>
      <c r="S631" s="5">
        <f>IFERROR(__xludf.DUMMYFUNCTION("""COMPUTED_VALUE"""),248.0)</f>
        <v>248</v>
      </c>
      <c r="T631" s="5" t="str">
        <f>IFERROR(__xludf.DUMMYFUNCTION("""COMPUTED_VALUE"""),"Lagaan: Once Upon a Time in India")</f>
        <v>Lagaan: Once Upon a Time in India</v>
      </c>
      <c r="U631" s="5" t="str">
        <f>IFERROR(__xludf.DUMMYFUNCTION("""COMPUTED_VALUE"""),"Drama")</f>
        <v>Drama</v>
      </c>
      <c r="V631" s="5">
        <f>IFERROR(__xludf.DUMMYFUNCTION("""COMPUTED_VALUE"""),2.0)</f>
        <v>2</v>
      </c>
    </row>
    <row r="632">
      <c r="A632" s="1">
        <v>631.0</v>
      </c>
      <c r="B632" s="1" t="s">
        <v>3833</v>
      </c>
      <c r="C632" s="1" t="s">
        <v>831</v>
      </c>
      <c r="D632" s="1"/>
      <c r="E632" s="1">
        <v>631.0</v>
      </c>
      <c r="F632" s="1" t="s">
        <v>3833</v>
      </c>
      <c r="G632" s="1" t="str">
        <f>IFERROR(__xludf.DUMMYFUNCTION("SPLIT(C632, "", "")"),"Comedy")</f>
        <v>Comedy</v>
      </c>
      <c r="H632" s="5" t="str">
        <f>IFERROR(__xludf.DUMMYFUNCTION("""COMPUTED_VALUE"""),"Crime")</f>
        <v>Crime</v>
      </c>
      <c r="I632" s="5" t="str">
        <f>IFERROR(__xludf.DUMMYFUNCTION("""COMPUTED_VALUE"""),"Drama")</f>
        <v>Drama</v>
      </c>
      <c r="J632" s="5" t="str">
        <f>IFERROR(__xludf.DUMMYFUNCTION("""COMPUTED_VALUE"""),"211🤙🏼Gone Girl🤙🏼Drama🤙🏼1")</f>
        <v>211🤙🏼Gone Girl🤙🏼Drama🤙🏼1</v>
      </c>
      <c r="K632" s="5">
        <f>IFERROR(__xludf.DUMMYFUNCTION("SPLiT(J632, ""🤙🏼"",FALSE,FALSE)"),211.0)</f>
        <v>211</v>
      </c>
      <c r="L632" s="5" t="str">
        <f>IFERROR(__xludf.DUMMYFUNCTION("""COMPUTED_VALUE"""),"Gone Girl")</f>
        <v>Gone Girl</v>
      </c>
      <c r="M632" s="5" t="str">
        <f>IFERROR(__xludf.DUMMYFUNCTION("""COMPUTED_VALUE"""),"Drama")</f>
        <v>Drama</v>
      </c>
      <c r="N632" s="5">
        <f>IFERROR(__xludf.DUMMYFUNCTION("""COMPUTED_VALUE"""),1.0)</f>
        <v>1</v>
      </c>
      <c r="S632" s="5">
        <f>IFERROR(__xludf.DUMMYFUNCTION("""COMPUTED_VALUE"""),248.0)</f>
        <v>248</v>
      </c>
      <c r="T632" s="5" t="str">
        <f>IFERROR(__xludf.DUMMYFUNCTION("""COMPUTED_VALUE"""),"Lagaan: Once Upon a Time in India")</f>
        <v>Lagaan: Once Upon a Time in India</v>
      </c>
      <c r="U632" s="5" t="str">
        <f>IFERROR(__xludf.DUMMYFUNCTION("""COMPUTED_VALUE"""),"Musical")</f>
        <v>Musical</v>
      </c>
      <c r="V632" s="5">
        <f>IFERROR(__xludf.DUMMYFUNCTION("""COMPUTED_VALUE"""),3.0)</f>
        <v>3</v>
      </c>
    </row>
    <row r="633">
      <c r="A633" s="1">
        <v>632.0</v>
      </c>
      <c r="B633" s="1" t="s">
        <v>3837</v>
      </c>
      <c r="C633" s="1" t="s">
        <v>107</v>
      </c>
      <c r="D633" s="1"/>
      <c r="E633" s="1">
        <v>632.0</v>
      </c>
      <c r="F633" s="1" t="s">
        <v>3837</v>
      </c>
      <c r="G633" s="1" t="str">
        <f>IFERROR(__xludf.DUMMYFUNCTION("SPLIT(C633, "", "")"),"Drama")</f>
        <v>Drama</v>
      </c>
      <c r="H633" s="5" t="str">
        <f>IFERROR(__xludf.DUMMYFUNCTION("""COMPUTED_VALUE"""),"Romance")</f>
        <v>Romance</v>
      </c>
      <c r="J633" s="5" t="str">
        <f>IFERROR(__xludf.DUMMYFUNCTION("""COMPUTED_VALUE"""),"211🤙🏼Gone Girl🤙🏼Mystery🤙🏼2")</f>
        <v>211🤙🏼Gone Girl🤙🏼Mystery🤙🏼2</v>
      </c>
      <c r="K633" s="5">
        <f>IFERROR(__xludf.DUMMYFUNCTION("SPLiT(J633, ""🤙🏼"",FALSE,FALSE)"),211.0)</f>
        <v>211</v>
      </c>
      <c r="L633" s="5" t="str">
        <f>IFERROR(__xludf.DUMMYFUNCTION("""COMPUTED_VALUE"""),"Gone Girl")</f>
        <v>Gone Girl</v>
      </c>
      <c r="M633" s="5" t="str">
        <f>IFERROR(__xludf.DUMMYFUNCTION("""COMPUTED_VALUE"""),"Mystery")</f>
        <v>Mystery</v>
      </c>
      <c r="N633" s="5">
        <f>IFERROR(__xludf.DUMMYFUNCTION("""COMPUTED_VALUE"""),2.0)</f>
        <v>2</v>
      </c>
      <c r="S633" s="5">
        <f>IFERROR(__xludf.DUMMYFUNCTION("""COMPUTED_VALUE"""),249.0)</f>
        <v>249</v>
      </c>
      <c r="T633" s="5" t="str">
        <f>IFERROR(__xludf.DUMMYFUNCTION("""COMPUTED_VALUE"""),"The Sixth Sense")</f>
        <v>The Sixth Sense</v>
      </c>
      <c r="U633" s="5" t="str">
        <f>IFERROR(__xludf.DUMMYFUNCTION("""COMPUTED_VALUE"""),"Drama")</f>
        <v>Drama</v>
      </c>
      <c r="V633" s="5">
        <f>IFERROR(__xludf.DUMMYFUNCTION("""COMPUTED_VALUE"""),1.0)</f>
        <v>1</v>
      </c>
    </row>
    <row r="634">
      <c r="A634" s="1">
        <v>633.0</v>
      </c>
      <c r="B634" s="1" t="s">
        <v>3840</v>
      </c>
      <c r="C634" s="1" t="s">
        <v>1020</v>
      </c>
      <c r="D634" s="1"/>
      <c r="E634" s="1">
        <v>633.0</v>
      </c>
      <c r="F634" s="1" t="s">
        <v>3840</v>
      </c>
      <c r="G634" s="1" t="str">
        <f>IFERROR(__xludf.DUMMYFUNCTION("SPLIT(C634, "", "")"),"Biography")</f>
        <v>Biography</v>
      </c>
      <c r="H634" s="5" t="str">
        <f>IFERROR(__xludf.DUMMYFUNCTION("""COMPUTED_VALUE"""),"Drama")</f>
        <v>Drama</v>
      </c>
      <c r="I634" s="5" t="str">
        <f>IFERROR(__xludf.DUMMYFUNCTION("""COMPUTED_VALUE"""),"Sport")</f>
        <v>Sport</v>
      </c>
      <c r="J634" s="5" t="str">
        <f>IFERROR(__xludf.DUMMYFUNCTION("""COMPUTED_VALUE"""),"211🤙🏼Gone Girl🤙🏼Thriller🤙🏼3")</f>
        <v>211🤙🏼Gone Girl🤙🏼Thriller🤙🏼3</v>
      </c>
      <c r="K634" s="5">
        <f>IFERROR(__xludf.DUMMYFUNCTION("SPLiT(J634, ""🤙🏼"",FALSE,FALSE)"),211.0)</f>
        <v>211</v>
      </c>
      <c r="L634" s="5" t="str">
        <f>IFERROR(__xludf.DUMMYFUNCTION("""COMPUTED_VALUE"""),"Gone Girl")</f>
        <v>Gone Girl</v>
      </c>
      <c r="M634" s="5" t="str">
        <f>IFERROR(__xludf.DUMMYFUNCTION("""COMPUTED_VALUE"""),"Thriller")</f>
        <v>Thriller</v>
      </c>
      <c r="N634" s="5">
        <f>IFERROR(__xludf.DUMMYFUNCTION("""COMPUTED_VALUE"""),3.0)</f>
        <v>3</v>
      </c>
      <c r="S634" s="5">
        <f>IFERROR(__xludf.DUMMYFUNCTION("""COMPUTED_VALUE"""),249.0)</f>
        <v>249</v>
      </c>
      <c r="T634" s="5" t="str">
        <f>IFERROR(__xludf.DUMMYFUNCTION("""COMPUTED_VALUE"""),"The Sixth Sense")</f>
        <v>The Sixth Sense</v>
      </c>
      <c r="U634" s="5" t="str">
        <f>IFERROR(__xludf.DUMMYFUNCTION("""COMPUTED_VALUE"""),"Mystery")</f>
        <v>Mystery</v>
      </c>
      <c r="V634" s="5">
        <f>IFERROR(__xludf.DUMMYFUNCTION("""COMPUTED_VALUE"""),2.0)</f>
        <v>2</v>
      </c>
    </row>
    <row r="635">
      <c r="A635" s="1">
        <v>634.0</v>
      </c>
      <c r="B635" s="1" t="s">
        <v>3846</v>
      </c>
      <c r="C635" s="1" t="s">
        <v>765</v>
      </c>
      <c r="D635" s="1"/>
      <c r="E635" s="1">
        <v>634.0</v>
      </c>
      <c r="F635" s="1" t="s">
        <v>3846</v>
      </c>
      <c r="G635" s="1" t="str">
        <f>IFERROR(__xludf.DUMMYFUNCTION("SPLIT(C635, "", "")"),"Animation")</f>
        <v>Animation</v>
      </c>
      <c r="H635" s="5" t="str">
        <f>IFERROR(__xludf.DUMMYFUNCTION("""COMPUTED_VALUE"""),"Adventure")</f>
        <v>Adventure</v>
      </c>
      <c r="I635" s="5" t="str">
        <f>IFERROR(__xludf.DUMMYFUNCTION("""COMPUTED_VALUE"""),"Comedy")</f>
        <v>Comedy</v>
      </c>
      <c r="J635" s="5" t="str">
        <f>IFERROR(__xludf.DUMMYFUNCTION("""COMPUTED_VALUE"""),"212🤙🏼Ôkami kodomo no Ame to Yuki🤙🏼Animation🤙🏼1")</f>
        <v>212🤙🏼Ôkami kodomo no Ame to Yuki🤙🏼Animation🤙🏼1</v>
      </c>
      <c r="K635" s="5">
        <f>IFERROR(__xludf.DUMMYFUNCTION("SPLiT(J635, ""🤙🏼"",FALSE,FALSE)"),212.0)</f>
        <v>212</v>
      </c>
      <c r="L635" s="5" t="str">
        <f>IFERROR(__xludf.DUMMYFUNCTION("""COMPUTED_VALUE"""),"Ôkami kodomo no Ame to Yuki")</f>
        <v>Ôkami kodomo no Ame to Yuki</v>
      </c>
      <c r="M635" s="5" t="str">
        <f>IFERROR(__xludf.DUMMYFUNCTION("""COMPUTED_VALUE"""),"Animation")</f>
        <v>Animation</v>
      </c>
      <c r="N635" s="5">
        <f>IFERROR(__xludf.DUMMYFUNCTION("""COMPUTED_VALUE"""),1.0)</f>
        <v>1</v>
      </c>
      <c r="S635" s="5">
        <f>IFERROR(__xludf.DUMMYFUNCTION("""COMPUTED_VALUE"""),249.0)</f>
        <v>249</v>
      </c>
      <c r="T635" s="5" t="str">
        <f>IFERROR(__xludf.DUMMYFUNCTION("""COMPUTED_VALUE"""),"The Sixth Sense")</f>
        <v>The Sixth Sense</v>
      </c>
      <c r="U635" s="5" t="str">
        <f>IFERROR(__xludf.DUMMYFUNCTION("""COMPUTED_VALUE"""),"Thriller")</f>
        <v>Thriller</v>
      </c>
      <c r="V635" s="5">
        <f>IFERROR(__xludf.DUMMYFUNCTION("""COMPUTED_VALUE"""),3.0)</f>
        <v>3</v>
      </c>
    </row>
    <row r="636">
      <c r="A636" s="1">
        <v>635.0</v>
      </c>
      <c r="B636" s="1" t="s">
        <v>3852</v>
      </c>
      <c r="C636" s="1" t="s">
        <v>88</v>
      </c>
      <c r="D636" s="1"/>
      <c r="E636" s="1">
        <v>635.0</v>
      </c>
      <c r="F636" s="1" t="s">
        <v>3852</v>
      </c>
      <c r="G636" s="1" t="str">
        <f>IFERROR(__xludf.DUMMYFUNCTION("SPLIT(C636, "", "")"),"Action")</f>
        <v>Action</v>
      </c>
      <c r="H636" s="5" t="str">
        <f>IFERROR(__xludf.DUMMYFUNCTION("""COMPUTED_VALUE"""),"Adventure")</f>
        <v>Adventure</v>
      </c>
      <c r="I636" s="5" t="str">
        <f>IFERROR(__xludf.DUMMYFUNCTION("""COMPUTED_VALUE"""),"Sci-Fi")</f>
        <v>Sci-Fi</v>
      </c>
      <c r="J636" s="5" t="str">
        <f>IFERROR(__xludf.DUMMYFUNCTION("""COMPUTED_VALUE"""),"212🤙🏼Ôkami kodomo no Ame to Yuki🤙🏼Drama🤙🏼2")</f>
        <v>212🤙🏼Ôkami kodomo no Ame to Yuki🤙🏼Drama🤙🏼2</v>
      </c>
      <c r="K636" s="5">
        <f>IFERROR(__xludf.DUMMYFUNCTION("SPLiT(J636, ""🤙🏼"",FALSE,FALSE)"),212.0)</f>
        <v>212</v>
      </c>
      <c r="L636" s="5" t="str">
        <f>IFERROR(__xludf.DUMMYFUNCTION("""COMPUTED_VALUE"""),"Ôkami kodomo no Ame to Yuki")</f>
        <v>Ôkami kodomo no Ame to Yuki</v>
      </c>
      <c r="M636" s="5" t="str">
        <f>IFERROR(__xludf.DUMMYFUNCTION("""COMPUTED_VALUE"""),"Drama")</f>
        <v>Drama</v>
      </c>
      <c r="N636" s="5">
        <f>IFERROR(__xludf.DUMMYFUNCTION("""COMPUTED_VALUE"""),2.0)</f>
        <v>2</v>
      </c>
      <c r="S636" s="5">
        <f>IFERROR(__xludf.DUMMYFUNCTION("""COMPUTED_VALUE"""),250.0)</f>
        <v>250</v>
      </c>
      <c r="T636" s="5" t="str">
        <f>IFERROR(__xludf.DUMMYFUNCTION("""COMPUTED_VALUE"""),"La leggenda del pianista sull'oceano")</f>
        <v>La leggenda del pianista sull'oceano</v>
      </c>
      <c r="U636" s="5" t="str">
        <f>IFERROR(__xludf.DUMMYFUNCTION("""COMPUTED_VALUE"""),"Drama")</f>
        <v>Drama</v>
      </c>
      <c r="V636" s="5">
        <f>IFERROR(__xludf.DUMMYFUNCTION("""COMPUTED_VALUE"""),1.0)</f>
        <v>1</v>
      </c>
    </row>
    <row r="637">
      <c r="A637" s="1">
        <v>636.0</v>
      </c>
      <c r="B637" s="1" t="s">
        <v>3856</v>
      </c>
      <c r="C637" s="1" t="s">
        <v>314</v>
      </c>
      <c r="D637" s="1"/>
      <c r="E637" s="1">
        <v>636.0</v>
      </c>
      <c r="F637" s="1" t="s">
        <v>3856</v>
      </c>
      <c r="G637" s="1" t="str">
        <f>IFERROR(__xludf.DUMMYFUNCTION("SPLIT(C637, "", "")"),"Biography")</f>
        <v>Biography</v>
      </c>
      <c r="H637" s="5" t="str">
        <f>IFERROR(__xludf.DUMMYFUNCTION("""COMPUTED_VALUE"""),"Drama")</f>
        <v>Drama</v>
      </c>
      <c r="I637" s="5" t="str">
        <f>IFERROR(__xludf.DUMMYFUNCTION("""COMPUTED_VALUE"""),"Music")</f>
        <v>Music</v>
      </c>
      <c r="J637" s="5" t="str">
        <f>IFERROR(__xludf.DUMMYFUNCTION("""COMPUTED_VALUE"""),"212🤙🏼Ôkami kodomo no Ame to Yuki🤙🏼Fantasy🤙🏼3")</f>
        <v>212🤙🏼Ôkami kodomo no Ame to Yuki🤙🏼Fantasy🤙🏼3</v>
      </c>
      <c r="K637" s="5">
        <f>IFERROR(__xludf.DUMMYFUNCTION("SPLiT(J637, ""🤙🏼"",FALSE,FALSE)"),212.0)</f>
        <v>212</v>
      </c>
      <c r="L637" s="5" t="str">
        <f>IFERROR(__xludf.DUMMYFUNCTION("""COMPUTED_VALUE"""),"Ôkami kodomo no Ame to Yuki")</f>
        <v>Ôkami kodomo no Ame to Yuki</v>
      </c>
      <c r="M637" s="5" t="str">
        <f>IFERROR(__xludf.DUMMYFUNCTION("""COMPUTED_VALUE"""),"Fantasy")</f>
        <v>Fantasy</v>
      </c>
      <c r="N637" s="5">
        <f>IFERROR(__xludf.DUMMYFUNCTION("""COMPUTED_VALUE"""),3.0)</f>
        <v>3</v>
      </c>
      <c r="S637" s="5">
        <f>IFERROR(__xludf.DUMMYFUNCTION("""COMPUTED_VALUE"""),250.0)</f>
        <v>250</v>
      </c>
      <c r="T637" s="5" t="str">
        <f>IFERROR(__xludf.DUMMYFUNCTION("""COMPUTED_VALUE"""),"La leggenda del pianista sull'oceano")</f>
        <v>La leggenda del pianista sull'oceano</v>
      </c>
      <c r="U637" s="5" t="str">
        <f>IFERROR(__xludf.DUMMYFUNCTION("""COMPUTED_VALUE"""),"Music")</f>
        <v>Music</v>
      </c>
      <c r="V637" s="5">
        <f>IFERROR(__xludf.DUMMYFUNCTION("""COMPUTED_VALUE"""),2.0)</f>
        <v>2</v>
      </c>
    </row>
    <row r="638">
      <c r="A638" s="1">
        <v>637.0</v>
      </c>
      <c r="B638" s="1" t="s">
        <v>3859</v>
      </c>
      <c r="C638" s="1" t="s">
        <v>20</v>
      </c>
      <c r="D638" s="1"/>
      <c r="E638" s="1">
        <v>637.0</v>
      </c>
      <c r="F638" s="1" t="s">
        <v>3859</v>
      </c>
      <c r="G638" s="1" t="str">
        <f>IFERROR(__xludf.DUMMYFUNCTION("SPLIT(C638, "", "")"),"Drama")</f>
        <v>Drama</v>
      </c>
      <c r="J638" s="5" t="str">
        <f>IFERROR(__xludf.DUMMYFUNCTION("""COMPUTED_VALUE"""),"213🤙🏼Hacksaw Ridge🤙🏼Biography🤙🏼1")</f>
        <v>213🤙🏼Hacksaw Ridge🤙🏼Biography🤙🏼1</v>
      </c>
      <c r="K638" s="5">
        <f>IFERROR(__xludf.DUMMYFUNCTION("SPLiT(J638, ""🤙🏼"",FALSE,FALSE)"),213.0)</f>
        <v>213</v>
      </c>
      <c r="L638" s="5" t="str">
        <f>IFERROR(__xludf.DUMMYFUNCTION("""COMPUTED_VALUE"""),"Hacksaw Ridge")</f>
        <v>Hacksaw Ridge</v>
      </c>
      <c r="M638" s="5" t="str">
        <f>IFERROR(__xludf.DUMMYFUNCTION("""COMPUTED_VALUE"""),"Biography")</f>
        <v>Biography</v>
      </c>
      <c r="N638" s="5">
        <f>IFERROR(__xludf.DUMMYFUNCTION("""COMPUTED_VALUE"""),1.0)</f>
        <v>1</v>
      </c>
      <c r="S638" s="5">
        <f>IFERROR(__xludf.DUMMYFUNCTION("""COMPUTED_VALUE"""),250.0)</f>
        <v>250</v>
      </c>
      <c r="T638" s="5" t="str">
        <f>IFERROR(__xludf.DUMMYFUNCTION("""COMPUTED_VALUE"""),"La leggenda del pianista sull'oceano")</f>
        <v>La leggenda del pianista sull'oceano</v>
      </c>
      <c r="U638" s="5" t="str">
        <f>IFERROR(__xludf.DUMMYFUNCTION("""COMPUTED_VALUE"""),"Romance")</f>
        <v>Romance</v>
      </c>
      <c r="V638" s="5">
        <f>IFERROR(__xludf.DUMMYFUNCTION("""COMPUTED_VALUE"""),3.0)</f>
        <v>3</v>
      </c>
    </row>
    <row r="639">
      <c r="A639" s="1">
        <v>638.0</v>
      </c>
      <c r="B639" s="1" t="s">
        <v>3867</v>
      </c>
      <c r="C639" s="1" t="s">
        <v>107</v>
      </c>
      <c r="D639" s="1"/>
      <c r="E639" s="1">
        <v>638.0</v>
      </c>
      <c r="F639" s="1" t="s">
        <v>3867</v>
      </c>
      <c r="G639" s="1" t="str">
        <f>IFERROR(__xludf.DUMMYFUNCTION("SPLIT(C639, "", "")"),"Drama")</f>
        <v>Drama</v>
      </c>
      <c r="H639" s="5" t="str">
        <f>IFERROR(__xludf.DUMMYFUNCTION("""COMPUTED_VALUE"""),"Romance")</f>
        <v>Romance</v>
      </c>
      <c r="J639" s="5" t="str">
        <f>IFERROR(__xludf.DUMMYFUNCTION("""COMPUTED_VALUE"""),"213🤙🏼Hacksaw Ridge🤙🏼Drama🤙🏼2")</f>
        <v>213🤙🏼Hacksaw Ridge🤙🏼Drama🤙🏼2</v>
      </c>
      <c r="K639" s="5">
        <f>IFERROR(__xludf.DUMMYFUNCTION("SPLiT(J639, ""🤙🏼"",FALSE,FALSE)"),213.0)</f>
        <v>213</v>
      </c>
      <c r="L639" s="5" t="str">
        <f>IFERROR(__xludf.DUMMYFUNCTION("""COMPUTED_VALUE"""),"Hacksaw Ridge")</f>
        <v>Hacksaw Ridge</v>
      </c>
      <c r="M639" s="5" t="str">
        <f>IFERROR(__xludf.DUMMYFUNCTION("""COMPUTED_VALUE"""),"Drama")</f>
        <v>Drama</v>
      </c>
      <c r="N639" s="5">
        <f>IFERROR(__xludf.DUMMYFUNCTION("""COMPUTED_VALUE"""),2.0)</f>
        <v>2</v>
      </c>
      <c r="S639" s="5">
        <f>IFERROR(__xludf.DUMMYFUNCTION("""COMPUTED_VALUE"""),251.0)</f>
        <v>251</v>
      </c>
      <c r="T639" s="5" t="str">
        <f>IFERROR(__xludf.DUMMYFUNCTION("""COMPUTED_VALUE"""),"The Truman Show")</f>
        <v>The Truman Show</v>
      </c>
      <c r="U639" s="5" t="str">
        <f>IFERROR(__xludf.DUMMYFUNCTION("""COMPUTED_VALUE"""),"Comedy")</f>
        <v>Comedy</v>
      </c>
      <c r="V639" s="5">
        <f>IFERROR(__xludf.DUMMYFUNCTION("""COMPUTED_VALUE"""),1.0)</f>
        <v>1</v>
      </c>
    </row>
    <row r="640">
      <c r="A640" s="1">
        <v>639.0</v>
      </c>
      <c r="B640" s="1" t="s">
        <v>3870</v>
      </c>
      <c r="C640" s="1" t="s">
        <v>858</v>
      </c>
      <c r="D640" s="1"/>
      <c r="E640" s="1">
        <v>639.0</v>
      </c>
      <c r="F640" s="1" t="s">
        <v>3870</v>
      </c>
      <c r="G640" s="1" t="str">
        <f>IFERROR(__xludf.DUMMYFUNCTION("SPLIT(C640, "", "")"),"Adventure")</f>
        <v>Adventure</v>
      </c>
      <c r="H640" s="5" t="str">
        <f>IFERROR(__xludf.DUMMYFUNCTION("""COMPUTED_VALUE"""),"Biography")</f>
        <v>Biography</v>
      </c>
      <c r="I640" s="5" t="str">
        <f>IFERROR(__xludf.DUMMYFUNCTION("""COMPUTED_VALUE"""),"Drama")</f>
        <v>Drama</v>
      </c>
      <c r="J640" s="5" t="str">
        <f>IFERROR(__xludf.DUMMYFUNCTION("""COMPUTED_VALUE"""),"213🤙🏼Hacksaw Ridge🤙🏼History🤙🏼3")</f>
        <v>213🤙🏼Hacksaw Ridge🤙🏼History🤙🏼3</v>
      </c>
      <c r="K640" s="5">
        <f>IFERROR(__xludf.DUMMYFUNCTION("SPLiT(J640, ""🤙🏼"",FALSE,FALSE)"),213.0)</f>
        <v>213</v>
      </c>
      <c r="L640" s="5" t="str">
        <f>IFERROR(__xludf.DUMMYFUNCTION("""COMPUTED_VALUE"""),"Hacksaw Ridge")</f>
        <v>Hacksaw Ridge</v>
      </c>
      <c r="M640" s="5" t="str">
        <f>IFERROR(__xludf.DUMMYFUNCTION("""COMPUTED_VALUE"""),"History")</f>
        <v>History</v>
      </c>
      <c r="N640" s="5">
        <f>IFERROR(__xludf.DUMMYFUNCTION("""COMPUTED_VALUE"""),3.0)</f>
        <v>3</v>
      </c>
      <c r="S640" s="5">
        <f>IFERROR(__xludf.DUMMYFUNCTION("""COMPUTED_VALUE"""),251.0)</f>
        <v>251</v>
      </c>
      <c r="T640" s="5" t="str">
        <f>IFERROR(__xludf.DUMMYFUNCTION("""COMPUTED_VALUE"""),"The Truman Show")</f>
        <v>The Truman Show</v>
      </c>
      <c r="U640" s="5" t="str">
        <f>IFERROR(__xludf.DUMMYFUNCTION("""COMPUTED_VALUE"""),"Drama")</f>
        <v>Drama</v>
      </c>
      <c r="V640" s="5">
        <f>IFERROR(__xludf.DUMMYFUNCTION("""COMPUTED_VALUE"""),2.0)</f>
        <v>2</v>
      </c>
    </row>
    <row r="641">
      <c r="A641" s="1">
        <v>640.0</v>
      </c>
      <c r="B641" s="1" t="s">
        <v>3875</v>
      </c>
      <c r="C641" s="1" t="s">
        <v>29</v>
      </c>
      <c r="D641" s="1"/>
      <c r="E641" s="1">
        <v>640.0</v>
      </c>
      <c r="F641" s="1" t="s">
        <v>3875</v>
      </c>
      <c r="G641" s="1" t="str">
        <f>IFERROR(__xludf.DUMMYFUNCTION("SPLIT(C641, "", "")"),"Crime")</f>
        <v>Crime</v>
      </c>
      <c r="H641" s="5" t="str">
        <f>IFERROR(__xludf.DUMMYFUNCTION("""COMPUTED_VALUE"""),"Drama")</f>
        <v>Drama</v>
      </c>
      <c r="J641" s="5" t="str">
        <f>IFERROR(__xludf.DUMMYFUNCTION("""COMPUTED_VALUE"""),"214🤙🏼Inside Out🤙🏼Animation🤙🏼1")</f>
        <v>214🤙🏼Inside Out🤙🏼Animation🤙🏼1</v>
      </c>
      <c r="K641" s="5">
        <f>IFERROR(__xludf.DUMMYFUNCTION("SPLiT(J641, ""🤙🏼"",FALSE,FALSE)"),214.0)</f>
        <v>214</v>
      </c>
      <c r="L641" s="5" t="str">
        <f>IFERROR(__xludf.DUMMYFUNCTION("""COMPUTED_VALUE"""),"Inside Out")</f>
        <v>Inside Out</v>
      </c>
      <c r="M641" s="5" t="str">
        <f>IFERROR(__xludf.DUMMYFUNCTION("""COMPUTED_VALUE"""),"Animation")</f>
        <v>Animation</v>
      </c>
      <c r="N641" s="5">
        <f>IFERROR(__xludf.DUMMYFUNCTION("""COMPUTED_VALUE"""),1.0)</f>
        <v>1</v>
      </c>
      <c r="S641" s="5">
        <f>IFERROR(__xludf.DUMMYFUNCTION("""COMPUTED_VALUE"""),252.0)</f>
        <v>252</v>
      </c>
      <c r="T641" s="5" t="str">
        <f>IFERROR(__xludf.DUMMYFUNCTION("""COMPUTED_VALUE"""),"Crna macka, beli macor")</f>
        <v>Crna macka, beli macor</v>
      </c>
      <c r="U641" s="5" t="str">
        <f>IFERROR(__xludf.DUMMYFUNCTION("""COMPUTED_VALUE"""),"Comedy")</f>
        <v>Comedy</v>
      </c>
      <c r="V641" s="5">
        <f>IFERROR(__xludf.DUMMYFUNCTION("""COMPUTED_VALUE"""),1.0)</f>
        <v>1</v>
      </c>
    </row>
    <row r="642">
      <c r="A642" s="1">
        <v>641.0</v>
      </c>
      <c r="B642" s="1" t="s">
        <v>3882</v>
      </c>
      <c r="C642" s="1" t="s">
        <v>1589</v>
      </c>
      <c r="D642" s="1"/>
      <c r="E642" s="1">
        <v>641.0</v>
      </c>
      <c r="F642" s="1" t="s">
        <v>3882</v>
      </c>
      <c r="G642" s="1" t="str">
        <f>IFERROR(__xludf.DUMMYFUNCTION("SPLIT(C642, "", "")"),"Animation")</f>
        <v>Animation</v>
      </c>
      <c r="H642" s="5" t="str">
        <f>IFERROR(__xludf.DUMMYFUNCTION("""COMPUTED_VALUE"""),"Comedy")</f>
        <v>Comedy</v>
      </c>
      <c r="I642" s="5" t="str">
        <f>IFERROR(__xludf.DUMMYFUNCTION("""COMPUTED_VALUE"""),"Drama")</f>
        <v>Drama</v>
      </c>
      <c r="J642" s="5" t="str">
        <f>IFERROR(__xludf.DUMMYFUNCTION("""COMPUTED_VALUE"""),"214🤙🏼Inside Out🤙🏼Adventure🤙🏼2")</f>
        <v>214🤙🏼Inside Out🤙🏼Adventure🤙🏼2</v>
      </c>
      <c r="K642" s="5">
        <f>IFERROR(__xludf.DUMMYFUNCTION("SPLiT(J642, ""🤙🏼"",FALSE,FALSE)"),214.0)</f>
        <v>214</v>
      </c>
      <c r="L642" s="5" t="str">
        <f>IFERROR(__xludf.DUMMYFUNCTION("""COMPUTED_VALUE"""),"Inside Out")</f>
        <v>Inside Out</v>
      </c>
      <c r="M642" s="5" t="str">
        <f>IFERROR(__xludf.DUMMYFUNCTION("""COMPUTED_VALUE"""),"Adventure")</f>
        <v>Adventure</v>
      </c>
      <c r="N642" s="5">
        <f>IFERROR(__xludf.DUMMYFUNCTION("""COMPUTED_VALUE"""),2.0)</f>
        <v>2</v>
      </c>
      <c r="S642" s="5">
        <f>IFERROR(__xludf.DUMMYFUNCTION("""COMPUTED_VALUE"""),252.0)</f>
        <v>252</v>
      </c>
      <c r="T642" s="5" t="str">
        <f>IFERROR(__xludf.DUMMYFUNCTION("""COMPUTED_VALUE"""),"Crna macka, beli macor")</f>
        <v>Crna macka, beli macor</v>
      </c>
      <c r="U642" s="5" t="str">
        <f>IFERROR(__xludf.DUMMYFUNCTION("""COMPUTED_VALUE"""),"Crime")</f>
        <v>Crime</v>
      </c>
      <c r="V642" s="5">
        <f>IFERROR(__xludf.DUMMYFUNCTION("""COMPUTED_VALUE"""),2.0)</f>
        <v>2</v>
      </c>
    </row>
    <row r="643">
      <c r="A643" s="1">
        <v>642.0</v>
      </c>
      <c r="B643" s="1" t="s">
        <v>3889</v>
      </c>
      <c r="C643" s="1" t="s">
        <v>1283</v>
      </c>
      <c r="D643" s="1"/>
      <c r="E643" s="1">
        <v>642.0</v>
      </c>
      <c r="F643" s="1" t="s">
        <v>3889</v>
      </c>
      <c r="G643" s="1" t="str">
        <f>IFERROR(__xludf.DUMMYFUNCTION("SPLIT(C643, "", "")"),"Action")</f>
        <v>Action</v>
      </c>
      <c r="H643" s="5" t="str">
        <f>IFERROR(__xludf.DUMMYFUNCTION("""COMPUTED_VALUE"""),"Drama")</f>
        <v>Drama</v>
      </c>
      <c r="I643" s="5" t="str">
        <f>IFERROR(__xludf.DUMMYFUNCTION("""COMPUTED_VALUE"""),"Thriller")</f>
        <v>Thriller</v>
      </c>
      <c r="J643" s="5" t="str">
        <f>IFERROR(__xludf.DUMMYFUNCTION("""COMPUTED_VALUE"""),"214🤙🏼Inside Out🤙🏼Comedy🤙🏼3")</f>
        <v>214🤙🏼Inside Out🤙🏼Comedy🤙🏼3</v>
      </c>
      <c r="K643" s="5">
        <f>IFERROR(__xludf.DUMMYFUNCTION("SPLiT(J643, ""🤙🏼"",FALSE,FALSE)"),214.0)</f>
        <v>214</v>
      </c>
      <c r="L643" s="5" t="str">
        <f>IFERROR(__xludf.DUMMYFUNCTION("""COMPUTED_VALUE"""),"Inside Out")</f>
        <v>Inside Out</v>
      </c>
      <c r="M643" s="5" t="str">
        <f>IFERROR(__xludf.DUMMYFUNCTION("""COMPUTED_VALUE"""),"Comedy")</f>
        <v>Comedy</v>
      </c>
      <c r="N643" s="5">
        <f>IFERROR(__xludf.DUMMYFUNCTION("""COMPUTED_VALUE"""),3.0)</f>
        <v>3</v>
      </c>
      <c r="S643" s="5">
        <f>IFERROR(__xludf.DUMMYFUNCTION("""COMPUTED_VALUE"""),252.0)</f>
        <v>252</v>
      </c>
      <c r="T643" s="5" t="str">
        <f>IFERROR(__xludf.DUMMYFUNCTION("""COMPUTED_VALUE"""),"Crna macka, beli macor")</f>
        <v>Crna macka, beli macor</v>
      </c>
      <c r="U643" s="5" t="str">
        <f>IFERROR(__xludf.DUMMYFUNCTION("""COMPUTED_VALUE"""),"Romance")</f>
        <v>Romance</v>
      </c>
      <c r="V643" s="5">
        <f>IFERROR(__xludf.DUMMYFUNCTION("""COMPUTED_VALUE"""),3.0)</f>
        <v>3</v>
      </c>
    </row>
    <row r="644">
      <c r="A644" s="1">
        <v>643.0</v>
      </c>
      <c r="B644" s="1" t="s">
        <v>3893</v>
      </c>
      <c r="C644" s="1" t="s">
        <v>62</v>
      </c>
      <c r="D644" s="1"/>
      <c r="E644" s="1">
        <v>643.0</v>
      </c>
      <c r="F644" s="1" t="s">
        <v>3893</v>
      </c>
      <c r="G644" s="1" t="str">
        <f>IFERROR(__xludf.DUMMYFUNCTION("SPLIT(C644, "", "")"),"Action")</f>
        <v>Action</v>
      </c>
      <c r="H644" s="5" t="str">
        <f>IFERROR(__xludf.DUMMYFUNCTION("""COMPUTED_VALUE"""),"Adventure")</f>
        <v>Adventure</v>
      </c>
      <c r="I644" s="5" t="str">
        <f>IFERROR(__xludf.DUMMYFUNCTION("""COMPUTED_VALUE"""),"Drama")</f>
        <v>Drama</v>
      </c>
      <c r="J644" s="5" t="str">
        <f>IFERROR(__xludf.DUMMYFUNCTION("""COMPUTED_VALUE"""),"215🤙🏼Barfi!🤙🏼Comedy🤙🏼1")</f>
        <v>215🤙🏼Barfi!🤙🏼Comedy🤙🏼1</v>
      </c>
      <c r="K644" s="5">
        <f>IFERROR(__xludf.DUMMYFUNCTION("SPLiT(J644, ""🤙🏼"",FALSE,FALSE)"),215.0)</f>
        <v>215</v>
      </c>
      <c r="L644" s="5" t="str">
        <f>IFERROR(__xludf.DUMMYFUNCTION("""COMPUTED_VALUE"""),"Barfi!")</f>
        <v>Barfi!</v>
      </c>
      <c r="M644" s="5" t="str">
        <f>IFERROR(__xludf.DUMMYFUNCTION("""COMPUTED_VALUE"""),"Comedy")</f>
        <v>Comedy</v>
      </c>
      <c r="N644" s="5">
        <f>IFERROR(__xludf.DUMMYFUNCTION("""COMPUTED_VALUE"""),1.0)</f>
        <v>1</v>
      </c>
      <c r="S644" s="5">
        <f>IFERROR(__xludf.DUMMYFUNCTION("""COMPUTED_VALUE"""),253.0)</f>
        <v>253</v>
      </c>
      <c r="T644" s="5" t="str">
        <f>IFERROR(__xludf.DUMMYFUNCTION("""COMPUTED_VALUE"""),"The Big Lebowski")</f>
        <v>The Big Lebowski</v>
      </c>
      <c r="U644" s="5" t="str">
        <f>IFERROR(__xludf.DUMMYFUNCTION("""COMPUTED_VALUE"""),"Comedy")</f>
        <v>Comedy</v>
      </c>
      <c r="V644" s="5">
        <f>IFERROR(__xludf.DUMMYFUNCTION("""COMPUTED_VALUE"""),1.0)</f>
        <v>1</v>
      </c>
    </row>
    <row r="645">
      <c r="A645" s="1">
        <v>644.0</v>
      </c>
      <c r="B645" s="1" t="s">
        <v>3899</v>
      </c>
      <c r="C645" s="1" t="s">
        <v>450</v>
      </c>
      <c r="D645" s="1"/>
      <c r="E645" s="1">
        <v>644.0</v>
      </c>
      <c r="F645" s="1" t="s">
        <v>3899</v>
      </c>
      <c r="G645" s="1" t="str">
        <f>IFERROR(__xludf.DUMMYFUNCTION("SPLIT(C645, "", "")"),"Animation")</f>
        <v>Animation</v>
      </c>
      <c r="H645" s="5" t="str">
        <f>IFERROR(__xludf.DUMMYFUNCTION("""COMPUTED_VALUE"""),"Drama")</f>
        <v>Drama</v>
      </c>
      <c r="I645" s="5" t="str">
        <f>IFERROR(__xludf.DUMMYFUNCTION("""COMPUTED_VALUE"""),"Fantasy")</f>
        <v>Fantasy</v>
      </c>
      <c r="J645" s="5" t="str">
        <f>IFERROR(__xludf.DUMMYFUNCTION("""COMPUTED_VALUE"""),"215🤙🏼Barfi!🤙🏼Drama🤙🏼2")</f>
        <v>215🤙🏼Barfi!🤙🏼Drama🤙🏼2</v>
      </c>
      <c r="K645" s="5">
        <f>IFERROR(__xludf.DUMMYFUNCTION("SPLiT(J645, ""🤙🏼"",FALSE,FALSE)"),215.0)</f>
        <v>215</v>
      </c>
      <c r="L645" s="5" t="str">
        <f>IFERROR(__xludf.DUMMYFUNCTION("""COMPUTED_VALUE"""),"Barfi!")</f>
        <v>Barfi!</v>
      </c>
      <c r="M645" s="5" t="str">
        <f>IFERROR(__xludf.DUMMYFUNCTION("""COMPUTED_VALUE"""),"Drama")</f>
        <v>Drama</v>
      </c>
      <c r="N645" s="5">
        <f>IFERROR(__xludf.DUMMYFUNCTION("""COMPUTED_VALUE"""),2.0)</f>
        <v>2</v>
      </c>
      <c r="S645" s="5">
        <f>IFERROR(__xludf.DUMMYFUNCTION("""COMPUTED_VALUE"""),253.0)</f>
        <v>253</v>
      </c>
      <c r="T645" s="5" t="str">
        <f>IFERROR(__xludf.DUMMYFUNCTION("""COMPUTED_VALUE"""),"The Big Lebowski")</f>
        <v>The Big Lebowski</v>
      </c>
      <c r="U645" s="5" t="str">
        <f>IFERROR(__xludf.DUMMYFUNCTION("""COMPUTED_VALUE"""),"Crime")</f>
        <v>Crime</v>
      </c>
      <c r="V645" s="5">
        <f>IFERROR(__xludf.DUMMYFUNCTION("""COMPUTED_VALUE"""),2.0)</f>
        <v>2</v>
      </c>
    </row>
    <row r="646">
      <c r="A646" s="1">
        <v>645.0</v>
      </c>
      <c r="B646" s="1" t="s">
        <v>3904</v>
      </c>
      <c r="C646" s="1" t="s">
        <v>1020</v>
      </c>
      <c r="D646" s="1"/>
      <c r="E646" s="1">
        <v>645.0</v>
      </c>
      <c r="F646" s="1" t="s">
        <v>3904</v>
      </c>
      <c r="G646" s="1" t="str">
        <f>IFERROR(__xludf.DUMMYFUNCTION("SPLIT(C646, "", "")"),"Biography")</f>
        <v>Biography</v>
      </c>
      <c r="H646" s="5" t="str">
        <f>IFERROR(__xludf.DUMMYFUNCTION("""COMPUTED_VALUE"""),"Drama")</f>
        <v>Drama</v>
      </c>
      <c r="I646" s="5" t="str">
        <f>IFERROR(__xludf.DUMMYFUNCTION("""COMPUTED_VALUE"""),"Sport")</f>
        <v>Sport</v>
      </c>
      <c r="J646" s="5" t="str">
        <f>IFERROR(__xludf.DUMMYFUNCTION("""COMPUTED_VALUE"""),"215🤙🏼Barfi!🤙🏼Romance🤙🏼3")</f>
        <v>215🤙🏼Barfi!🤙🏼Romance🤙🏼3</v>
      </c>
      <c r="K646" s="5">
        <f>IFERROR(__xludf.DUMMYFUNCTION("SPLiT(J646, ""🤙🏼"",FALSE,FALSE)"),215.0)</f>
        <v>215</v>
      </c>
      <c r="L646" s="5" t="str">
        <f>IFERROR(__xludf.DUMMYFUNCTION("""COMPUTED_VALUE"""),"Barfi!")</f>
        <v>Barfi!</v>
      </c>
      <c r="M646" s="5" t="str">
        <f>IFERROR(__xludf.DUMMYFUNCTION("""COMPUTED_VALUE"""),"Romance")</f>
        <v>Romance</v>
      </c>
      <c r="N646" s="5">
        <f>IFERROR(__xludf.DUMMYFUNCTION("""COMPUTED_VALUE"""),3.0)</f>
        <v>3</v>
      </c>
      <c r="S646" s="5">
        <f>IFERROR(__xludf.DUMMYFUNCTION("""COMPUTED_VALUE"""),253.0)</f>
        <v>253</v>
      </c>
      <c r="T646" s="5" t="str">
        <f>IFERROR(__xludf.DUMMYFUNCTION("""COMPUTED_VALUE"""),"The Big Lebowski")</f>
        <v>The Big Lebowski</v>
      </c>
      <c r="U646" s="5" t="str">
        <f>IFERROR(__xludf.DUMMYFUNCTION("""COMPUTED_VALUE"""),"Sport")</f>
        <v>Sport</v>
      </c>
      <c r="V646" s="5">
        <f>IFERROR(__xludf.DUMMYFUNCTION("""COMPUTED_VALUE"""),3.0)</f>
        <v>3</v>
      </c>
    </row>
    <row r="647">
      <c r="A647" s="1">
        <v>646.0</v>
      </c>
      <c r="B647" s="1" t="s">
        <v>3910</v>
      </c>
      <c r="C647" s="1" t="s">
        <v>145</v>
      </c>
      <c r="D647" s="1"/>
      <c r="E647" s="1">
        <v>646.0</v>
      </c>
      <c r="F647" s="1" t="s">
        <v>3910</v>
      </c>
      <c r="G647" s="1" t="str">
        <f>IFERROR(__xludf.DUMMYFUNCTION("SPLIT(C647, "", "")"),"Action")</f>
        <v>Action</v>
      </c>
      <c r="H647" s="5" t="str">
        <f>IFERROR(__xludf.DUMMYFUNCTION("""COMPUTED_VALUE"""),"Adventure")</f>
        <v>Adventure</v>
      </c>
      <c r="I647" s="5" t="str">
        <f>IFERROR(__xludf.DUMMYFUNCTION("""COMPUTED_VALUE"""),"Fantasy")</f>
        <v>Fantasy</v>
      </c>
      <c r="J647" s="5" t="str">
        <f>IFERROR(__xludf.DUMMYFUNCTION("""COMPUTED_VALUE"""),"216🤙🏼12 Years a Slave🤙🏼Biography🤙🏼1")</f>
        <v>216🤙🏼12 Years a Slave🤙🏼Biography🤙🏼1</v>
      </c>
      <c r="K647" s="5">
        <f>IFERROR(__xludf.DUMMYFUNCTION("SPLiT(J647, ""🤙🏼"",FALSE,FALSE)"),216.0)</f>
        <v>216</v>
      </c>
      <c r="L647" s="5" t="str">
        <f>IFERROR(__xludf.DUMMYFUNCTION("""COMPUTED_VALUE"""),"12 Years a Slave")</f>
        <v>12 Years a Slave</v>
      </c>
      <c r="M647" s="5" t="str">
        <f>IFERROR(__xludf.DUMMYFUNCTION("""COMPUTED_VALUE"""),"Biography")</f>
        <v>Biography</v>
      </c>
      <c r="N647" s="5">
        <f>IFERROR(__xludf.DUMMYFUNCTION("""COMPUTED_VALUE"""),1.0)</f>
        <v>1</v>
      </c>
      <c r="S647" s="5">
        <f>IFERROR(__xludf.DUMMYFUNCTION("""COMPUTED_VALUE"""),254.0)</f>
        <v>254</v>
      </c>
      <c r="T647" s="5" t="str">
        <f>IFERROR(__xludf.DUMMYFUNCTION("""COMPUTED_VALUE"""),"Fa yeung nin wah")</f>
        <v>Fa yeung nin wah</v>
      </c>
      <c r="U647" s="5" t="str">
        <f>IFERROR(__xludf.DUMMYFUNCTION("""COMPUTED_VALUE"""),"Drama")</f>
        <v>Drama</v>
      </c>
      <c r="V647" s="5">
        <f>IFERROR(__xludf.DUMMYFUNCTION("""COMPUTED_VALUE"""),1.0)</f>
        <v>1</v>
      </c>
    </row>
    <row r="648">
      <c r="A648" s="1">
        <v>647.0</v>
      </c>
      <c r="B648" s="1" t="s">
        <v>3915</v>
      </c>
      <c r="C648" s="1" t="s">
        <v>20</v>
      </c>
      <c r="D648" s="1"/>
      <c r="E648" s="1">
        <v>647.0</v>
      </c>
      <c r="F648" s="1" t="s">
        <v>3915</v>
      </c>
      <c r="G648" s="1" t="str">
        <f>IFERROR(__xludf.DUMMYFUNCTION("SPLIT(C648, "", "")"),"Drama")</f>
        <v>Drama</v>
      </c>
      <c r="J648" s="5" t="str">
        <f>IFERROR(__xludf.DUMMYFUNCTION("""COMPUTED_VALUE"""),"216🤙🏼12 Years a Slave🤙🏼Drama🤙🏼2")</f>
        <v>216🤙🏼12 Years a Slave🤙🏼Drama🤙🏼2</v>
      </c>
      <c r="K648" s="5">
        <f>IFERROR(__xludf.DUMMYFUNCTION("SPLiT(J648, ""🤙🏼"",FALSE,FALSE)"),216.0)</f>
        <v>216</v>
      </c>
      <c r="L648" s="5" t="str">
        <f>IFERROR(__xludf.DUMMYFUNCTION("""COMPUTED_VALUE"""),"12 Years a Slave")</f>
        <v>12 Years a Slave</v>
      </c>
      <c r="M648" s="5" t="str">
        <f>IFERROR(__xludf.DUMMYFUNCTION("""COMPUTED_VALUE"""),"Drama")</f>
        <v>Drama</v>
      </c>
      <c r="N648" s="5">
        <f>IFERROR(__xludf.DUMMYFUNCTION("""COMPUTED_VALUE"""),2.0)</f>
        <v>2</v>
      </c>
      <c r="S648" s="5">
        <f>IFERROR(__xludf.DUMMYFUNCTION("""COMPUTED_VALUE"""),254.0)</f>
        <v>254</v>
      </c>
      <c r="T648" s="5" t="str">
        <f>IFERROR(__xludf.DUMMYFUNCTION("""COMPUTED_VALUE"""),"Fa yeung nin wah")</f>
        <v>Fa yeung nin wah</v>
      </c>
      <c r="U648" s="5" t="str">
        <f>IFERROR(__xludf.DUMMYFUNCTION("""COMPUTED_VALUE"""),"Romance")</f>
        <v>Romance</v>
      </c>
      <c r="V648" s="5">
        <f>IFERROR(__xludf.DUMMYFUNCTION("""COMPUTED_VALUE"""),2.0)</f>
        <v>2</v>
      </c>
    </row>
    <row r="649">
      <c r="A649" s="1">
        <v>648.0</v>
      </c>
      <c r="B649" s="1" t="s">
        <v>3921</v>
      </c>
      <c r="C649" s="1" t="s">
        <v>3922</v>
      </c>
      <c r="D649" s="1"/>
      <c r="E649" s="1">
        <v>648.0</v>
      </c>
      <c r="F649" s="1" t="s">
        <v>3921</v>
      </c>
      <c r="G649" s="1" t="str">
        <f>IFERROR(__xludf.DUMMYFUNCTION("SPLIT(C649, "", "")"),"Adventure")</f>
        <v>Adventure</v>
      </c>
      <c r="H649" s="5" t="str">
        <f>IFERROR(__xludf.DUMMYFUNCTION("""COMPUTED_VALUE"""),"Drama")</f>
        <v>Drama</v>
      </c>
      <c r="I649" s="5" t="str">
        <f>IFERROR(__xludf.DUMMYFUNCTION("""COMPUTED_VALUE"""),"Romance")</f>
        <v>Romance</v>
      </c>
      <c r="J649" s="5" t="str">
        <f>IFERROR(__xludf.DUMMYFUNCTION("""COMPUTED_VALUE"""),"216🤙🏼12 Years a Slave🤙🏼History🤙🏼3")</f>
        <v>216🤙🏼12 Years a Slave🤙🏼History🤙🏼3</v>
      </c>
      <c r="K649" s="5">
        <f>IFERROR(__xludf.DUMMYFUNCTION("SPLiT(J649, ""🤙🏼"",FALSE,FALSE)"),216.0)</f>
        <v>216</v>
      </c>
      <c r="L649" s="5" t="str">
        <f>IFERROR(__xludf.DUMMYFUNCTION("""COMPUTED_VALUE"""),"12 Years a Slave")</f>
        <v>12 Years a Slave</v>
      </c>
      <c r="M649" s="5" t="str">
        <f>IFERROR(__xludf.DUMMYFUNCTION("""COMPUTED_VALUE"""),"History")</f>
        <v>History</v>
      </c>
      <c r="N649" s="5">
        <f>IFERROR(__xludf.DUMMYFUNCTION("""COMPUTED_VALUE"""),3.0)</f>
        <v>3</v>
      </c>
      <c r="S649" s="5">
        <f>IFERROR(__xludf.DUMMYFUNCTION("""COMPUTED_VALUE"""),255.0)</f>
        <v>255</v>
      </c>
      <c r="T649" s="5" t="str">
        <f>IFERROR(__xludf.DUMMYFUNCTION("""COMPUTED_VALUE"""),"Trainspotting")</f>
        <v>Trainspotting</v>
      </c>
      <c r="U649" s="5" t="str">
        <f>IFERROR(__xludf.DUMMYFUNCTION("""COMPUTED_VALUE"""),"Drama")</f>
        <v>Drama</v>
      </c>
      <c r="V649" s="5">
        <f>IFERROR(__xludf.DUMMYFUNCTION("""COMPUTED_VALUE"""),1.0)</f>
        <v>1</v>
      </c>
    </row>
    <row r="650">
      <c r="A650" s="1">
        <v>649.0</v>
      </c>
      <c r="B650" s="1" t="s">
        <v>3927</v>
      </c>
      <c r="C650" s="1" t="s">
        <v>2169</v>
      </c>
      <c r="D650" s="1"/>
      <c r="E650" s="1">
        <v>649.0</v>
      </c>
      <c r="F650" s="1" t="s">
        <v>3927</v>
      </c>
      <c r="G650" s="1" t="str">
        <f>IFERROR(__xludf.DUMMYFUNCTION("SPLIT(C650, "", "")"),"Action")</f>
        <v>Action</v>
      </c>
      <c r="H650" s="5" t="str">
        <f>IFERROR(__xludf.DUMMYFUNCTION("""COMPUTED_VALUE"""),"Crime")</f>
        <v>Crime</v>
      </c>
      <c r="I650" s="5" t="str">
        <f>IFERROR(__xludf.DUMMYFUNCTION("""COMPUTED_VALUE"""),"Thriller")</f>
        <v>Thriller</v>
      </c>
      <c r="J650" s="5" t="str">
        <f>IFERROR(__xludf.DUMMYFUNCTION("""COMPUTED_VALUE"""),"217🤙🏼Rush🤙🏼Action🤙🏼1")</f>
        <v>217🤙🏼Rush🤙🏼Action🤙🏼1</v>
      </c>
      <c r="K650" s="5">
        <f>IFERROR(__xludf.DUMMYFUNCTION("SPLiT(J650, ""🤙🏼"",FALSE,FALSE)"),217.0)</f>
        <v>217</v>
      </c>
      <c r="L650" s="5" t="str">
        <f>IFERROR(__xludf.DUMMYFUNCTION("""COMPUTED_VALUE"""),"Rush")</f>
        <v>Rush</v>
      </c>
      <c r="M650" s="5" t="str">
        <f>IFERROR(__xludf.DUMMYFUNCTION("""COMPUTED_VALUE"""),"Action")</f>
        <v>Action</v>
      </c>
      <c r="N650" s="5">
        <f>IFERROR(__xludf.DUMMYFUNCTION("""COMPUTED_VALUE"""),1.0)</f>
        <v>1</v>
      </c>
      <c r="S650" s="5">
        <f>IFERROR(__xludf.DUMMYFUNCTION("""COMPUTED_VALUE"""),256.0)</f>
        <v>256</v>
      </c>
      <c r="T650" s="5" t="str">
        <f>IFERROR(__xludf.DUMMYFUNCTION("""COMPUTED_VALUE"""),"Fargo")</f>
        <v>Fargo</v>
      </c>
      <c r="U650" s="5" t="str">
        <f>IFERROR(__xludf.DUMMYFUNCTION("""COMPUTED_VALUE"""),"Crime")</f>
        <v>Crime</v>
      </c>
      <c r="V650" s="5">
        <f>IFERROR(__xludf.DUMMYFUNCTION("""COMPUTED_VALUE"""),1.0)</f>
        <v>1</v>
      </c>
    </row>
    <row r="651">
      <c r="A651" s="1">
        <v>650.0</v>
      </c>
      <c r="B651" s="1" t="s">
        <v>3933</v>
      </c>
      <c r="C651" s="1" t="s">
        <v>2233</v>
      </c>
      <c r="D651" s="1"/>
      <c r="E651" s="1">
        <v>650.0</v>
      </c>
      <c r="F651" s="1" t="s">
        <v>3933</v>
      </c>
      <c r="G651" s="1" t="str">
        <f>IFERROR(__xludf.DUMMYFUNCTION("SPLIT(C651, "", "")"),"Biography")</f>
        <v>Biography</v>
      </c>
      <c r="H651" s="5" t="str">
        <f>IFERROR(__xludf.DUMMYFUNCTION("""COMPUTED_VALUE"""),"Drama")</f>
        <v>Drama</v>
      </c>
      <c r="I651" s="5" t="str">
        <f>IFERROR(__xludf.DUMMYFUNCTION("""COMPUTED_VALUE"""),"Thriller")</f>
        <v>Thriller</v>
      </c>
      <c r="J651" s="5" t="str">
        <f>IFERROR(__xludf.DUMMYFUNCTION("""COMPUTED_VALUE"""),"217🤙🏼Rush🤙🏼Biography🤙🏼2")</f>
        <v>217🤙🏼Rush🤙🏼Biography🤙🏼2</v>
      </c>
      <c r="K651" s="5">
        <f>IFERROR(__xludf.DUMMYFUNCTION("SPLiT(J651, ""🤙🏼"",FALSE,FALSE)"),217.0)</f>
        <v>217</v>
      </c>
      <c r="L651" s="5" t="str">
        <f>IFERROR(__xludf.DUMMYFUNCTION("""COMPUTED_VALUE"""),"Rush")</f>
        <v>Rush</v>
      </c>
      <c r="M651" s="5" t="str">
        <f>IFERROR(__xludf.DUMMYFUNCTION("""COMPUTED_VALUE"""),"Biography")</f>
        <v>Biography</v>
      </c>
      <c r="N651" s="5">
        <f>IFERROR(__xludf.DUMMYFUNCTION("""COMPUTED_VALUE"""),2.0)</f>
        <v>2</v>
      </c>
      <c r="S651" s="5">
        <f>IFERROR(__xludf.DUMMYFUNCTION("""COMPUTED_VALUE"""),256.0)</f>
        <v>256</v>
      </c>
      <c r="T651" s="5" t="str">
        <f>IFERROR(__xludf.DUMMYFUNCTION("""COMPUTED_VALUE"""),"Fargo")</f>
        <v>Fargo</v>
      </c>
      <c r="U651" s="5" t="str">
        <f>IFERROR(__xludf.DUMMYFUNCTION("""COMPUTED_VALUE"""),"Drama")</f>
        <v>Drama</v>
      </c>
      <c r="V651" s="5">
        <f>IFERROR(__xludf.DUMMYFUNCTION("""COMPUTED_VALUE"""),2.0)</f>
        <v>2</v>
      </c>
    </row>
    <row r="652">
      <c r="A652" s="1">
        <v>651.0</v>
      </c>
      <c r="B652" s="1" t="s">
        <v>3936</v>
      </c>
      <c r="C652" s="1" t="s">
        <v>1580</v>
      </c>
      <c r="D652" s="1"/>
      <c r="E652" s="1">
        <v>651.0</v>
      </c>
      <c r="F652" s="1" t="s">
        <v>3936</v>
      </c>
      <c r="G652" s="1" t="str">
        <f>IFERROR(__xludf.DUMMYFUNCTION("SPLIT(C652, "", "")"),"Biography")</f>
        <v>Biography</v>
      </c>
      <c r="H652" s="5" t="str">
        <f>IFERROR(__xludf.DUMMYFUNCTION("""COMPUTED_VALUE"""),"Drama")</f>
        <v>Drama</v>
      </c>
      <c r="I652" s="5" t="str">
        <f>IFERROR(__xludf.DUMMYFUNCTION("""COMPUTED_VALUE"""),"Family")</f>
        <v>Family</v>
      </c>
      <c r="J652" s="5" t="str">
        <f>IFERROR(__xludf.DUMMYFUNCTION("""COMPUTED_VALUE"""),"217🤙🏼Rush🤙🏼Drama🤙🏼3")</f>
        <v>217🤙🏼Rush🤙🏼Drama🤙🏼3</v>
      </c>
      <c r="K652" s="5">
        <f>IFERROR(__xludf.DUMMYFUNCTION("SPLiT(J652, ""🤙🏼"",FALSE,FALSE)"),217.0)</f>
        <v>217</v>
      </c>
      <c r="L652" s="5" t="str">
        <f>IFERROR(__xludf.DUMMYFUNCTION("""COMPUTED_VALUE"""),"Rush")</f>
        <v>Rush</v>
      </c>
      <c r="M652" s="5" t="str">
        <f>IFERROR(__xludf.DUMMYFUNCTION("""COMPUTED_VALUE"""),"Drama")</f>
        <v>Drama</v>
      </c>
      <c r="N652" s="5">
        <f>IFERROR(__xludf.DUMMYFUNCTION("""COMPUTED_VALUE"""),3.0)</f>
        <v>3</v>
      </c>
      <c r="S652" s="5">
        <f>IFERROR(__xludf.DUMMYFUNCTION("""COMPUTED_VALUE"""),256.0)</f>
        <v>256</v>
      </c>
      <c r="T652" s="5" t="str">
        <f>IFERROR(__xludf.DUMMYFUNCTION("""COMPUTED_VALUE"""),"Fargo")</f>
        <v>Fargo</v>
      </c>
      <c r="U652" s="5" t="str">
        <f>IFERROR(__xludf.DUMMYFUNCTION("""COMPUTED_VALUE"""),"Thriller")</f>
        <v>Thriller</v>
      </c>
      <c r="V652" s="5">
        <f>IFERROR(__xludf.DUMMYFUNCTION("""COMPUTED_VALUE"""),3.0)</f>
        <v>3</v>
      </c>
    </row>
    <row r="653">
      <c r="A653" s="1">
        <v>652.0</v>
      </c>
      <c r="B653" s="1" t="s">
        <v>3940</v>
      </c>
      <c r="C653" s="1" t="s">
        <v>765</v>
      </c>
      <c r="D653" s="1"/>
      <c r="E653" s="1">
        <v>652.0</v>
      </c>
      <c r="F653" s="1" t="s">
        <v>3940</v>
      </c>
      <c r="G653" s="1" t="str">
        <f>IFERROR(__xludf.DUMMYFUNCTION("SPLIT(C653, "", "")"),"Animation")</f>
        <v>Animation</v>
      </c>
      <c r="H653" s="5" t="str">
        <f>IFERROR(__xludf.DUMMYFUNCTION("""COMPUTED_VALUE"""),"Adventure")</f>
        <v>Adventure</v>
      </c>
      <c r="I653" s="5" t="str">
        <f>IFERROR(__xludf.DUMMYFUNCTION("""COMPUTED_VALUE"""),"Comedy")</f>
        <v>Comedy</v>
      </c>
      <c r="J653" s="5" t="str">
        <f>IFERROR(__xludf.DUMMYFUNCTION("""COMPUTED_VALUE"""),"218🤙🏼Ford v Ferrari🤙🏼Action🤙🏼1")</f>
        <v>218🤙🏼Ford v Ferrari🤙🏼Action🤙🏼1</v>
      </c>
      <c r="K653" s="5">
        <f>IFERROR(__xludf.DUMMYFUNCTION("SPLiT(J653, ""🤙🏼"",FALSE,FALSE)"),218.0)</f>
        <v>218</v>
      </c>
      <c r="L653" s="5" t="str">
        <f>IFERROR(__xludf.DUMMYFUNCTION("""COMPUTED_VALUE"""),"Ford v Ferrari")</f>
        <v>Ford v Ferrari</v>
      </c>
      <c r="M653" s="5" t="str">
        <f>IFERROR(__xludf.DUMMYFUNCTION("""COMPUTED_VALUE"""),"Action")</f>
        <v>Action</v>
      </c>
      <c r="N653" s="5">
        <f>IFERROR(__xludf.DUMMYFUNCTION("""COMPUTED_VALUE"""),1.0)</f>
        <v>1</v>
      </c>
      <c r="S653" s="5">
        <f>IFERROR(__xludf.DUMMYFUNCTION("""COMPUTED_VALUE"""),257.0)</f>
        <v>257</v>
      </c>
      <c r="T653" s="5" t="str">
        <f>IFERROR(__xludf.DUMMYFUNCTION("""COMPUTED_VALUE"""),"Underground")</f>
        <v>Underground</v>
      </c>
      <c r="U653" s="5" t="str">
        <f>IFERROR(__xludf.DUMMYFUNCTION("""COMPUTED_VALUE"""),"Comedy")</f>
        <v>Comedy</v>
      </c>
      <c r="V653" s="5">
        <f>IFERROR(__xludf.DUMMYFUNCTION("""COMPUTED_VALUE"""),1.0)</f>
        <v>1</v>
      </c>
    </row>
    <row r="654">
      <c r="A654" s="1">
        <v>653.0</v>
      </c>
      <c r="B654" s="1" t="s">
        <v>3947</v>
      </c>
      <c r="C654" s="1" t="s">
        <v>107</v>
      </c>
      <c r="D654" s="1"/>
      <c r="E654" s="1">
        <v>653.0</v>
      </c>
      <c r="F654" s="1" t="s">
        <v>3947</v>
      </c>
      <c r="G654" s="1" t="str">
        <f>IFERROR(__xludf.DUMMYFUNCTION("SPLIT(C654, "", "")"),"Drama")</f>
        <v>Drama</v>
      </c>
      <c r="H654" s="5" t="str">
        <f>IFERROR(__xludf.DUMMYFUNCTION("""COMPUTED_VALUE"""),"Romance")</f>
        <v>Romance</v>
      </c>
      <c r="J654" s="5" t="str">
        <f>IFERROR(__xludf.DUMMYFUNCTION("""COMPUTED_VALUE"""),"218🤙🏼Ford v Ferrari🤙🏼Biography🤙🏼2")</f>
        <v>218🤙🏼Ford v Ferrari🤙🏼Biography🤙🏼2</v>
      </c>
      <c r="K654" s="5">
        <f>IFERROR(__xludf.DUMMYFUNCTION("SPLiT(J654, ""🤙🏼"",FALSE,FALSE)"),218.0)</f>
        <v>218</v>
      </c>
      <c r="L654" s="5" t="str">
        <f>IFERROR(__xludf.DUMMYFUNCTION("""COMPUTED_VALUE"""),"Ford v Ferrari")</f>
        <v>Ford v Ferrari</v>
      </c>
      <c r="M654" s="5" t="str">
        <f>IFERROR(__xludf.DUMMYFUNCTION("""COMPUTED_VALUE"""),"Biography")</f>
        <v>Biography</v>
      </c>
      <c r="N654" s="5">
        <f>IFERROR(__xludf.DUMMYFUNCTION("""COMPUTED_VALUE"""),2.0)</f>
        <v>2</v>
      </c>
      <c r="S654" s="5">
        <f>IFERROR(__xludf.DUMMYFUNCTION("""COMPUTED_VALUE"""),257.0)</f>
        <v>257</v>
      </c>
      <c r="T654" s="5" t="str">
        <f>IFERROR(__xludf.DUMMYFUNCTION("""COMPUTED_VALUE"""),"Underground")</f>
        <v>Underground</v>
      </c>
      <c r="U654" s="5" t="str">
        <f>IFERROR(__xludf.DUMMYFUNCTION("""COMPUTED_VALUE"""),"Drama")</f>
        <v>Drama</v>
      </c>
      <c r="V654" s="5">
        <f>IFERROR(__xludf.DUMMYFUNCTION("""COMPUTED_VALUE"""),2.0)</f>
        <v>2</v>
      </c>
    </row>
    <row r="655">
      <c r="A655" s="1">
        <v>654.0</v>
      </c>
      <c r="B655" s="1" t="s">
        <v>3952</v>
      </c>
      <c r="C655" s="1" t="s">
        <v>2372</v>
      </c>
      <c r="D655" s="1"/>
      <c r="E655" s="1">
        <v>654.0</v>
      </c>
      <c r="F655" s="1" t="s">
        <v>3952</v>
      </c>
      <c r="G655" s="1" t="str">
        <f>IFERROR(__xludf.DUMMYFUNCTION("SPLIT(C655, "", "")"),"Crime")</f>
        <v>Crime</v>
      </c>
      <c r="H655" s="5" t="str">
        <f>IFERROR(__xludf.DUMMYFUNCTION("""COMPUTED_VALUE"""),"Drama")</f>
        <v>Drama</v>
      </c>
      <c r="I655" s="5" t="str">
        <f>IFERROR(__xludf.DUMMYFUNCTION("""COMPUTED_VALUE"""),"Romance")</f>
        <v>Romance</v>
      </c>
      <c r="J655" s="5" t="str">
        <f>IFERROR(__xludf.DUMMYFUNCTION("""COMPUTED_VALUE"""),"218🤙🏼Ford v Ferrari🤙🏼Drama🤙🏼3")</f>
        <v>218🤙🏼Ford v Ferrari🤙🏼Drama🤙🏼3</v>
      </c>
      <c r="K655" s="5">
        <f>IFERROR(__xludf.DUMMYFUNCTION("SPLiT(J655, ""🤙🏼"",FALSE,FALSE)"),218.0)</f>
        <v>218</v>
      </c>
      <c r="L655" s="5" t="str">
        <f>IFERROR(__xludf.DUMMYFUNCTION("""COMPUTED_VALUE"""),"Ford v Ferrari")</f>
        <v>Ford v Ferrari</v>
      </c>
      <c r="M655" s="5" t="str">
        <f>IFERROR(__xludf.DUMMYFUNCTION("""COMPUTED_VALUE"""),"Drama")</f>
        <v>Drama</v>
      </c>
      <c r="N655" s="5">
        <f>IFERROR(__xludf.DUMMYFUNCTION("""COMPUTED_VALUE"""),3.0)</f>
        <v>3</v>
      </c>
      <c r="S655" s="5">
        <f>IFERROR(__xludf.DUMMYFUNCTION("""COMPUTED_VALUE"""),257.0)</f>
        <v>257</v>
      </c>
      <c r="T655" s="5" t="str">
        <f>IFERROR(__xludf.DUMMYFUNCTION("""COMPUTED_VALUE"""),"Underground")</f>
        <v>Underground</v>
      </c>
      <c r="U655" s="5" t="str">
        <f>IFERROR(__xludf.DUMMYFUNCTION("""COMPUTED_VALUE"""),"War")</f>
        <v>War</v>
      </c>
      <c r="V655" s="5">
        <f>IFERROR(__xludf.DUMMYFUNCTION("""COMPUTED_VALUE"""),3.0)</f>
        <v>3</v>
      </c>
    </row>
    <row r="656">
      <c r="A656" s="1">
        <v>655.0</v>
      </c>
      <c r="B656" s="1" t="s">
        <v>3958</v>
      </c>
      <c r="C656" s="1" t="s">
        <v>3959</v>
      </c>
      <c r="D656" s="1"/>
      <c r="E656" s="1">
        <v>655.0</v>
      </c>
      <c r="F656" s="1" t="s">
        <v>3958</v>
      </c>
      <c r="G656" s="1" t="str">
        <f>IFERROR(__xludf.DUMMYFUNCTION("SPLIT(C656, "", "")"),"Drama")</f>
        <v>Drama</v>
      </c>
      <c r="H656" s="5" t="str">
        <f>IFERROR(__xludf.DUMMYFUNCTION("""COMPUTED_VALUE"""),"Sci-Fi")</f>
        <v>Sci-Fi</v>
      </c>
      <c r="I656" s="5" t="str">
        <f>IFERROR(__xludf.DUMMYFUNCTION("""COMPUTED_VALUE"""),"Thriller")</f>
        <v>Thriller</v>
      </c>
      <c r="J656" s="5" t="str">
        <f>IFERROR(__xludf.DUMMYFUNCTION("""COMPUTED_VALUE"""),"219🤙🏼Spotlight🤙🏼Biography🤙🏼1")</f>
        <v>219🤙🏼Spotlight🤙🏼Biography🤙🏼1</v>
      </c>
      <c r="K656" s="5">
        <f>IFERROR(__xludf.DUMMYFUNCTION("SPLiT(J656, ""🤙🏼"",FALSE,FALSE)"),219.0)</f>
        <v>219</v>
      </c>
      <c r="L656" s="5" t="str">
        <f>IFERROR(__xludf.DUMMYFUNCTION("""COMPUTED_VALUE"""),"Spotlight")</f>
        <v>Spotlight</v>
      </c>
      <c r="M656" s="5" t="str">
        <f>IFERROR(__xludf.DUMMYFUNCTION("""COMPUTED_VALUE"""),"Biography")</f>
        <v>Biography</v>
      </c>
      <c r="N656" s="5">
        <f>IFERROR(__xludf.DUMMYFUNCTION("""COMPUTED_VALUE"""),1.0)</f>
        <v>1</v>
      </c>
      <c r="S656" s="5">
        <f>IFERROR(__xludf.DUMMYFUNCTION("""COMPUTED_VALUE"""),258.0)</f>
        <v>258</v>
      </c>
      <c r="T656" s="5" t="str">
        <f>IFERROR(__xludf.DUMMYFUNCTION("""COMPUTED_VALUE"""),"La haine")</f>
        <v>La haine</v>
      </c>
      <c r="U656" s="5" t="str">
        <f>IFERROR(__xludf.DUMMYFUNCTION("""COMPUTED_VALUE"""),"Crime")</f>
        <v>Crime</v>
      </c>
      <c r="V656" s="5">
        <f>IFERROR(__xludf.DUMMYFUNCTION("""COMPUTED_VALUE"""),1.0)</f>
        <v>1</v>
      </c>
    </row>
    <row r="657">
      <c r="A657" s="1">
        <v>656.0</v>
      </c>
      <c r="B657" s="1" t="s">
        <v>3964</v>
      </c>
      <c r="C657" s="1" t="s">
        <v>254</v>
      </c>
      <c r="D657" s="1"/>
      <c r="E657" s="1">
        <v>656.0</v>
      </c>
      <c r="F657" s="1" t="s">
        <v>3964</v>
      </c>
      <c r="G657" s="1" t="str">
        <f>IFERROR(__xludf.DUMMYFUNCTION("SPLIT(C657, "", "")"),"Action")</f>
        <v>Action</v>
      </c>
      <c r="H657" s="5" t="str">
        <f>IFERROR(__xludf.DUMMYFUNCTION("""COMPUTED_VALUE"""),"Drama")</f>
        <v>Drama</v>
      </c>
      <c r="I657" s="5" t="str">
        <f>IFERROR(__xludf.DUMMYFUNCTION("""COMPUTED_VALUE"""),"Mystery")</f>
        <v>Mystery</v>
      </c>
      <c r="J657" s="5" t="str">
        <f>IFERROR(__xludf.DUMMYFUNCTION("""COMPUTED_VALUE"""),"219🤙🏼Spotlight🤙🏼Crime🤙🏼2")</f>
        <v>219🤙🏼Spotlight🤙🏼Crime🤙🏼2</v>
      </c>
      <c r="K657" s="5">
        <f>IFERROR(__xludf.DUMMYFUNCTION("SPLiT(J657, ""🤙🏼"",FALSE,FALSE)"),219.0)</f>
        <v>219</v>
      </c>
      <c r="L657" s="5" t="str">
        <f>IFERROR(__xludf.DUMMYFUNCTION("""COMPUTED_VALUE"""),"Spotlight")</f>
        <v>Spotlight</v>
      </c>
      <c r="M657" s="5" t="str">
        <f>IFERROR(__xludf.DUMMYFUNCTION("""COMPUTED_VALUE"""),"Crime")</f>
        <v>Crime</v>
      </c>
      <c r="N657" s="5">
        <f>IFERROR(__xludf.DUMMYFUNCTION("""COMPUTED_VALUE"""),2.0)</f>
        <v>2</v>
      </c>
      <c r="S657" s="5">
        <f>IFERROR(__xludf.DUMMYFUNCTION("""COMPUTED_VALUE"""),258.0)</f>
        <v>258</v>
      </c>
      <c r="T657" s="5" t="str">
        <f>IFERROR(__xludf.DUMMYFUNCTION("""COMPUTED_VALUE"""),"La haine")</f>
        <v>La haine</v>
      </c>
      <c r="U657" s="5" t="str">
        <f>IFERROR(__xludf.DUMMYFUNCTION("""COMPUTED_VALUE"""),"Drama")</f>
        <v>Drama</v>
      </c>
      <c r="V657" s="5">
        <f>IFERROR(__xludf.DUMMYFUNCTION("""COMPUTED_VALUE"""),2.0)</f>
        <v>2</v>
      </c>
    </row>
    <row r="658">
      <c r="A658" s="1">
        <v>657.0</v>
      </c>
      <c r="B658" s="1" t="s">
        <v>3968</v>
      </c>
      <c r="C658" s="1" t="s">
        <v>20</v>
      </c>
      <c r="D658" s="1"/>
      <c r="E658" s="1">
        <v>657.0</v>
      </c>
      <c r="F658" s="1" t="s">
        <v>3968</v>
      </c>
      <c r="G658" s="1" t="str">
        <f>IFERROR(__xludf.DUMMYFUNCTION("SPLIT(C658, "", "")"),"Drama")</f>
        <v>Drama</v>
      </c>
      <c r="J658" s="5" t="str">
        <f>IFERROR(__xludf.DUMMYFUNCTION("""COMPUTED_VALUE"""),"219🤙🏼Spotlight🤙🏼Drama🤙🏼3")</f>
        <v>219🤙🏼Spotlight🤙🏼Drama🤙🏼3</v>
      </c>
      <c r="K658" s="5">
        <f>IFERROR(__xludf.DUMMYFUNCTION("SPLiT(J658, ""🤙🏼"",FALSE,FALSE)"),219.0)</f>
        <v>219</v>
      </c>
      <c r="L658" s="5" t="str">
        <f>IFERROR(__xludf.DUMMYFUNCTION("""COMPUTED_VALUE"""),"Spotlight")</f>
        <v>Spotlight</v>
      </c>
      <c r="M658" s="5" t="str">
        <f>IFERROR(__xludf.DUMMYFUNCTION("""COMPUTED_VALUE"""),"Drama")</f>
        <v>Drama</v>
      </c>
      <c r="N658" s="5">
        <f>IFERROR(__xludf.DUMMYFUNCTION("""COMPUTED_VALUE"""),3.0)</f>
        <v>3</v>
      </c>
      <c r="S658" s="5">
        <f>IFERROR(__xludf.DUMMYFUNCTION("""COMPUTED_VALUE"""),259.0)</f>
        <v>259</v>
      </c>
      <c r="T658" s="5" t="str">
        <f>IFERROR(__xludf.DUMMYFUNCTION("""COMPUTED_VALUE"""),"Dilwale Dulhania Le Jayenge")</f>
        <v>Dilwale Dulhania Le Jayenge</v>
      </c>
      <c r="U658" s="5" t="str">
        <f>IFERROR(__xludf.DUMMYFUNCTION("""COMPUTED_VALUE"""),"Drama")</f>
        <v>Drama</v>
      </c>
      <c r="V658" s="5">
        <f>IFERROR(__xludf.DUMMYFUNCTION("""COMPUTED_VALUE"""),1.0)</f>
        <v>1</v>
      </c>
    </row>
    <row r="659">
      <c r="A659" s="1">
        <v>658.0</v>
      </c>
      <c r="B659" s="1" t="s">
        <v>3973</v>
      </c>
      <c r="C659" s="1" t="s">
        <v>296</v>
      </c>
      <c r="D659" s="1"/>
      <c r="E659" s="1">
        <v>658.0</v>
      </c>
      <c r="F659" s="1" t="s">
        <v>3973</v>
      </c>
      <c r="G659" s="1" t="str">
        <f>IFERROR(__xludf.DUMMYFUNCTION("SPLIT(C659, "", "")"),"Biography")</f>
        <v>Biography</v>
      </c>
      <c r="H659" s="5" t="str">
        <f>IFERROR(__xludf.DUMMYFUNCTION("""COMPUTED_VALUE"""),"Comedy")</f>
        <v>Comedy</v>
      </c>
      <c r="I659" s="5" t="str">
        <f>IFERROR(__xludf.DUMMYFUNCTION("""COMPUTED_VALUE"""),"Drama")</f>
        <v>Drama</v>
      </c>
      <c r="J659" s="5" t="str">
        <f>IFERROR(__xludf.DUMMYFUNCTION("""COMPUTED_VALUE"""),"220🤙🏼Song of the Sea🤙🏼Animation🤙🏼1")</f>
        <v>220🤙🏼Song of the Sea🤙🏼Animation🤙🏼1</v>
      </c>
      <c r="K659" s="5">
        <f>IFERROR(__xludf.DUMMYFUNCTION("SPLiT(J659, ""🤙🏼"",FALSE,FALSE)"),220.0)</f>
        <v>220</v>
      </c>
      <c r="L659" s="5" t="str">
        <f>IFERROR(__xludf.DUMMYFUNCTION("""COMPUTED_VALUE"""),"Song of the Sea")</f>
        <v>Song of the Sea</v>
      </c>
      <c r="M659" s="5" t="str">
        <f>IFERROR(__xludf.DUMMYFUNCTION("""COMPUTED_VALUE"""),"Animation")</f>
        <v>Animation</v>
      </c>
      <c r="N659" s="5">
        <f>IFERROR(__xludf.DUMMYFUNCTION("""COMPUTED_VALUE"""),1.0)</f>
        <v>1</v>
      </c>
      <c r="S659" s="5">
        <f>IFERROR(__xludf.DUMMYFUNCTION("""COMPUTED_VALUE"""),259.0)</f>
        <v>259</v>
      </c>
      <c r="T659" s="5" t="str">
        <f>IFERROR(__xludf.DUMMYFUNCTION("""COMPUTED_VALUE"""),"Dilwale Dulhania Le Jayenge")</f>
        <v>Dilwale Dulhania Le Jayenge</v>
      </c>
      <c r="U659" s="5" t="str">
        <f>IFERROR(__xludf.DUMMYFUNCTION("""COMPUTED_VALUE"""),"Romance")</f>
        <v>Romance</v>
      </c>
      <c r="V659" s="5">
        <f>IFERROR(__xludf.DUMMYFUNCTION("""COMPUTED_VALUE"""),2.0)</f>
        <v>2</v>
      </c>
    </row>
    <row r="660">
      <c r="A660" s="1">
        <v>659.0</v>
      </c>
      <c r="B660" s="1" t="s">
        <v>3976</v>
      </c>
      <c r="C660" s="1" t="s">
        <v>20</v>
      </c>
      <c r="D660" s="1"/>
      <c r="E660" s="1">
        <v>659.0</v>
      </c>
      <c r="F660" s="1" t="s">
        <v>3976</v>
      </c>
      <c r="G660" s="1" t="str">
        <f>IFERROR(__xludf.DUMMYFUNCTION("SPLIT(C660, "", "")"),"Drama")</f>
        <v>Drama</v>
      </c>
      <c r="J660" s="5" t="str">
        <f>IFERROR(__xludf.DUMMYFUNCTION("""COMPUTED_VALUE"""),"220🤙🏼Song of the Sea🤙🏼Adventure🤙🏼2")</f>
        <v>220🤙🏼Song of the Sea🤙🏼Adventure🤙🏼2</v>
      </c>
      <c r="K660" s="5">
        <f>IFERROR(__xludf.DUMMYFUNCTION("SPLiT(J660, ""🤙🏼"",FALSE,FALSE)"),220.0)</f>
        <v>220</v>
      </c>
      <c r="L660" s="5" t="str">
        <f>IFERROR(__xludf.DUMMYFUNCTION("""COMPUTED_VALUE"""),"Song of the Sea")</f>
        <v>Song of the Sea</v>
      </c>
      <c r="M660" s="5" t="str">
        <f>IFERROR(__xludf.DUMMYFUNCTION("""COMPUTED_VALUE"""),"Adventure")</f>
        <v>Adventure</v>
      </c>
      <c r="N660" s="5">
        <f>IFERROR(__xludf.DUMMYFUNCTION("""COMPUTED_VALUE"""),2.0)</f>
        <v>2</v>
      </c>
      <c r="S660" s="5">
        <f>IFERROR(__xludf.DUMMYFUNCTION("""COMPUTED_VALUE"""),260.0)</f>
        <v>260</v>
      </c>
      <c r="T660" s="5" t="str">
        <f>IFERROR(__xludf.DUMMYFUNCTION("""COMPUTED_VALUE"""),"Before Sunrise")</f>
        <v>Before Sunrise</v>
      </c>
      <c r="U660" s="5" t="str">
        <f>IFERROR(__xludf.DUMMYFUNCTION("""COMPUTED_VALUE"""),"Drama")</f>
        <v>Drama</v>
      </c>
      <c r="V660" s="5">
        <f>IFERROR(__xludf.DUMMYFUNCTION("""COMPUTED_VALUE"""),1.0)</f>
        <v>1</v>
      </c>
    </row>
    <row r="661">
      <c r="A661" s="1">
        <v>660.0</v>
      </c>
      <c r="B661" s="1" t="s">
        <v>3979</v>
      </c>
      <c r="C661" s="1" t="s">
        <v>458</v>
      </c>
      <c r="D661" s="1"/>
      <c r="E661" s="1">
        <v>660.0</v>
      </c>
      <c r="F661" s="1" t="s">
        <v>3979</v>
      </c>
      <c r="G661" s="1" t="str">
        <f>IFERROR(__xludf.DUMMYFUNCTION("SPLIT(C661, "", "")"),"Action")</f>
        <v>Action</v>
      </c>
      <c r="H661" s="5" t="str">
        <f>IFERROR(__xludf.DUMMYFUNCTION("""COMPUTED_VALUE"""),"Biography")</f>
        <v>Biography</v>
      </c>
      <c r="I661" s="5" t="str">
        <f>IFERROR(__xludf.DUMMYFUNCTION("""COMPUTED_VALUE"""),"Drama")</f>
        <v>Drama</v>
      </c>
      <c r="J661" s="5" t="str">
        <f>IFERROR(__xludf.DUMMYFUNCTION("""COMPUTED_VALUE"""),"220🤙🏼Song of the Sea🤙🏼Drama🤙🏼3")</f>
        <v>220🤙🏼Song of the Sea🤙🏼Drama🤙🏼3</v>
      </c>
      <c r="K661" s="5">
        <f>IFERROR(__xludf.DUMMYFUNCTION("SPLiT(J661, ""🤙🏼"",FALSE,FALSE)"),220.0)</f>
        <v>220</v>
      </c>
      <c r="L661" s="5" t="str">
        <f>IFERROR(__xludf.DUMMYFUNCTION("""COMPUTED_VALUE"""),"Song of the Sea")</f>
        <v>Song of the Sea</v>
      </c>
      <c r="M661" s="5" t="str">
        <f>IFERROR(__xludf.DUMMYFUNCTION("""COMPUTED_VALUE"""),"Drama")</f>
        <v>Drama</v>
      </c>
      <c r="N661" s="5">
        <f>IFERROR(__xludf.DUMMYFUNCTION("""COMPUTED_VALUE"""),3.0)</f>
        <v>3</v>
      </c>
      <c r="S661" s="5">
        <f>IFERROR(__xludf.DUMMYFUNCTION("""COMPUTED_VALUE"""),260.0)</f>
        <v>260</v>
      </c>
      <c r="T661" s="5" t="str">
        <f>IFERROR(__xludf.DUMMYFUNCTION("""COMPUTED_VALUE"""),"Before Sunrise")</f>
        <v>Before Sunrise</v>
      </c>
      <c r="U661" s="5" t="str">
        <f>IFERROR(__xludf.DUMMYFUNCTION("""COMPUTED_VALUE"""),"Romance")</f>
        <v>Romance</v>
      </c>
      <c r="V661" s="5">
        <f>IFERROR(__xludf.DUMMYFUNCTION("""COMPUTED_VALUE"""),2.0)</f>
        <v>2</v>
      </c>
    </row>
    <row r="662">
      <c r="A662" s="1">
        <v>661.0</v>
      </c>
      <c r="B662" s="1" t="s">
        <v>3984</v>
      </c>
      <c r="C662" s="1" t="s">
        <v>416</v>
      </c>
      <c r="D662" s="1"/>
      <c r="E662" s="1">
        <v>661.0</v>
      </c>
      <c r="F662" s="1" t="s">
        <v>3984</v>
      </c>
      <c r="G662" s="1" t="str">
        <f>IFERROR(__xludf.DUMMYFUNCTION("SPLIT(C662, "", "")"),"Comedy")</f>
        <v>Comedy</v>
      </c>
      <c r="H662" s="5" t="str">
        <f>IFERROR(__xludf.DUMMYFUNCTION("""COMPUTED_VALUE"""),"Drama")</f>
        <v>Drama</v>
      </c>
      <c r="I662" s="5" t="str">
        <f>IFERROR(__xludf.DUMMYFUNCTION("""COMPUTED_VALUE"""),"Family")</f>
        <v>Family</v>
      </c>
      <c r="J662" s="5" t="str">
        <f>IFERROR(__xludf.DUMMYFUNCTION("""COMPUTED_VALUE"""),"221🤙🏼Kahaani🤙🏼Mystery🤙🏼1")</f>
        <v>221🤙🏼Kahaani🤙🏼Mystery🤙🏼1</v>
      </c>
      <c r="K662" s="5">
        <f>IFERROR(__xludf.DUMMYFUNCTION("SPLiT(J662, ""🤙🏼"",FALSE,FALSE)"),221.0)</f>
        <v>221</v>
      </c>
      <c r="L662" s="5" t="str">
        <f>IFERROR(__xludf.DUMMYFUNCTION("""COMPUTED_VALUE"""),"Kahaani")</f>
        <v>Kahaani</v>
      </c>
      <c r="M662" s="5" t="str">
        <f>IFERROR(__xludf.DUMMYFUNCTION("""COMPUTED_VALUE"""),"Mystery")</f>
        <v>Mystery</v>
      </c>
      <c r="N662" s="5">
        <f>IFERROR(__xludf.DUMMYFUNCTION("""COMPUTED_VALUE"""),1.0)</f>
        <v>1</v>
      </c>
      <c r="S662" s="5">
        <f>IFERROR(__xludf.DUMMYFUNCTION("""COMPUTED_VALUE"""),261.0)</f>
        <v>261</v>
      </c>
      <c r="T662" s="5" t="str">
        <f>IFERROR(__xludf.DUMMYFUNCTION("""COMPUTED_VALUE"""),"Trois couleurs: Rouge")</f>
        <v>Trois couleurs: Rouge</v>
      </c>
      <c r="U662" s="5" t="str">
        <f>IFERROR(__xludf.DUMMYFUNCTION("""COMPUTED_VALUE"""),"Drama")</f>
        <v>Drama</v>
      </c>
      <c r="V662" s="5">
        <f>IFERROR(__xludf.DUMMYFUNCTION("""COMPUTED_VALUE"""),1.0)</f>
        <v>1</v>
      </c>
    </row>
    <row r="663">
      <c r="A663" s="1">
        <v>662.0</v>
      </c>
      <c r="B663" s="1" t="s">
        <v>3991</v>
      </c>
      <c r="C663" s="1" t="s">
        <v>107</v>
      </c>
      <c r="D663" s="1"/>
      <c r="E663" s="1">
        <v>662.0</v>
      </c>
      <c r="F663" s="1" t="s">
        <v>3991</v>
      </c>
      <c r="G663" s="1" t="str">
        <f>IFERROR(__xludf.DUMMYFUNCTION("SPLIT(C663, "", "")"),"Drama")</f>
        <v>Drama</v>
      </c>
      <c r="H663" s="5" t="str">
        <f>IFERROR(__xludf.DUMMYFUNCTION("""COMPUTED_VALUE"""),"Romance")</f>
        <v>Romance</v>
      </c>
      <c r="J663" s="5" t="str">
        <f>IFERROR(__xludf.DUMMYFUNCTION("""COMPUTED_VALUE"""),"221🤙🏼Kahaani🤙🏼Thriller🤙🏼2")</f>
        <v>221🤙🏼Kahaani🤙🏼Thriller🤙🏼2</v>
      </c>
      <c r="K663" s="5">
        <f>IFERROR(__xludf.DUMMYFUNCTION("SPLiT(J663, ""🤙🏼"",FALSE,FALSE)"),221.0)</f>
        <v>221</v>
      </c>
      <c r="L663" s="5" t="str">
        <f>IFERROR(__xludf.DUMMYFUNCTION("""COMPUTED_VALUE"""),"Kahaani")</f>
        <v>Kahaani</v>
      </c>
      <c r="M663" s="5" t="str">
        <f>IFERROR(__xludf.DUMMYFUNCTION("""COMPUTED_VALUE"""),"Thriller")</f>
        <v>Thriller</v>
      </c>
      <c r="N663" s="5">
        <f>IFERROR(__xludf.DUMMYFUNCTION("""COMPUTED_VALUE"""),2.0)</f>
        <v>2</v>
      </c>
      <c r="S663" s="5">
        <f>IFERROR(__xludf.DUMMYFUNCTION("""COMPUTED_VALUE"""),261.0)</f>
        <v>261</v>
      </c>
      <c r="T663" s="5" t="str">
        <f>IFERROR(__xludf.DUMMYFUNCTION("""COMPUTED_VALUE"""),"Trois couleurs: Rouge")</f>
        <v>Trois couleurs: Rouge</v>
      </c>
      <c r="U663" s="5" t="str">
        <f>IFERROR(__xludf.DUMMYFUNCTION("""COMPUTED_VALUE"""),"Mystery")</f>
        <v>Mystery</v>
      </c>
      <c r="V663" s="5">
        <f>IFERROR(__xludf.DUMMYFUNCTION("""COMPUTED_VALUE"""),2.0)</f>
        <v>2</v>
      </c>
    </row>
    <row r="664">
      <c r="A664" s="1">
        <v>663.0</v>
      </c>
      <c r="B664" s="1" t="s">
        <v>3997</v>
      </c>
      <c r="C664" s="1" t="s">
        <v>507</v>
      </c>
      <c r="D664" s="1"/>
      <c r="E664" s="1">
        <v>663.0</v>
      </c>
      <c r="F664" s="1" t="s">
        <v>3997</v>
      </c>
      <c r="G664" s="1" t="str">
        <f>IFERROR(__xludf.DUMMYFUNCTION("SPLIT(C664, "", "")"),"Comedy")</f>
        <v>Comedy</v>
      </c>
      <c r="H664" s="5" t="str">
        <f>IFERROR(__xludf.DUMMYFUNCTION("""COMPUTED_VALUE"""),"Drama")</f>
        <v>Drama</v>
      </c>
      <c r="J664" s="5" t="str">
        <f>IFERROR(__xludf.DUMMYFUNCTION("""COMPUTED_VALUE"""),"221🤙🏼Kahaani🤙🏼🤙🏼3")</f>
        <v>221🤙🏼Kahaani🤙🏼🤙🏼3</v>
      </c>
      <c r="K664" s="5">
        <f>IFERROR(__xludf.DUMMYFUNCTION("SPLiT(J664, ""🤙🏼"",FALSE,FALSE)"),221.0)</f>
        <v>221</v>
      </c>
      <c r="L664" s="5" t="str">
        <f>IFERROR(__xludf.DUMMYFUNCTION("""COMPUTED_VALUE"""),"Kahaani")</f>
        <v>Kahaani</v>
      </c>
      <c r="M664" s="5"/>
      <c r="N664" s="5">
        <f>IFERROR(__xludf.DUMMYFUNCTION("""COMPUTED_VALUE"""),3.0)</f>
        <v>3</v>
      </c>
      <c r="S664" s="5">
        <f>IFERROR(__xludf.DUMMYFUNCTION("""COMPUTED_VALUE"""),261.0)</f>
        <v>261</v>
      </c>
      <c r="T664" s="5" t="str">
        <f>IFERROR(__xludf.DUMMYFUNCTION("""COMPUTED_VALUE"""),"Trois couleurs: Rouge")</f>
        <v>Trois couleurs: Rouge</v>
      </c>
      <c r="U664" s="5" t="str">
        <f>IFERROR(__xludf.DUMMYFUNCTION("""COMPUTED_VALUE"""),"Romance")</f>
        <v>Romance</v>
      </c>
      <c r="V664" s="5">
        <f>IFERROR(__xludf.DUMMYFUNCTION("""COMPUTED_VALUE"""),3.0)</f>
        <v>3</v>
      </c>
    </row>
    <row r="665">
      <c r="A665" s="1">
        <v>664.0</v>
      </c>
      <c r="B665" s="1" t="s">
        <v>4001</v>
      </c>
      <c r="C665" s="1" t="s">
        <v>39</v>
      </c>
      <c r="D665" s="1"/>
      <c r="E665" s="1">
        <v>664.0</v>
      </c>
      <c r="F665" s="1" t="s">
        <v>4001</v>
      </c>
      <c r="G665" s="1" t="str">
        <f>IFERROR(__xludf.DUMMYFUNCTION("SPLIT(C665, "", "")"),"Action")</f>
        <v>Action</v>
      </c>
      <c r="H665" s="5" t="str">
        <f>IFERROR(__xludf.DUMMYFUNCTION("""COMPUTED_VALUE"""),"Crime")</f>
        <v>Crime</v>
      </c>
      <c r="I665" s="5" t="str">
        <f>IFERROR(__xludf.DUMMYFUNCTION("""COMPUTED_VALUE"""),"Drama")</f>
        <v>Drama</v>
      </c>
      <c r="J665" s="5" t="str">
        <f>IFERROR(__xludf.DUMMYFUNCTION("""COMPUTED_VALUE"""),"222🤙🏼Zindagi Na Milegi Dobara🤙🏼Comedy🤙🏼1")</f>
        <v>222🤙🏼Zindagi Na Milegi Dobara🤙🏼Comedy🤙🏼1</v>
      </c>
      <c r="K665" s="5">
        <f>IFERROR(__xludf.DUMMYFUNCTION("SPLiT(J665, ""🤙🏼"",FALSE,FALSE)"),222.0)</f>
        <v>222</v>
      </c>
      <c r="L665" s="5" t="str">
        <f>IFERROR(__xludf.DUMMYFUNCTION("""COMPUTED_VALUE"""),"Zindagi Na Milegi Dobara")</f>
        <v>Zindagi Na Milegi Dobara</v>
      </c>
      <c r="M665" s="5" t="str">
        <f>IFERROR(__xludf.DUMMYFUNCTION("""COMPUTED_VALUE"""),"Comedy")</f>
        <v>Comedy</v>
      </c>
      <c r="N665" s="5">
        <f>IFERROR(__xludf.DUMMYFUNCTION("""COMPUTED_VALUE"""),1.0)</f>
        <v>1</v>
      </c>
      <c r="S665" s="5">
        <f>IFERROR(__xludf.DUMMYFUNCTION("""COMPUTED_VALUE"""),262.0)</f>
        <v>262</v>
      </c>
      <c r="T665" s="5" t="str">
        <f>IFERROR(__xludf.DUMMYFUNCTION("""COMPUTED_VALUE"""),"Chung Hing sam lam")</f>
        <v>Chung Hing sam lam</v>
      </c>
      <c r="U665" s="5" t="str">
        <f>IFERROR(__xludf.DUMMYFUNCTION("""COMPUTED_VALUE"""),"Comedy")</f>
        <v>Comedy</v>
      </c>
      <c r="V665" s="5">
        <f>IFERROR(__xludf.DUMMYFUNCTION("""COMPUTED_VALUE"""),1.0)</f>
        <v>1</v>
      </c>
    </row>
    <row r="666">
      <c r="A666" s="1">
        <v>665.0</v>
      </c>
      <c r="B666" s="1" t="s">
        <v>4005</v>
      </c>
      <c r="C666" s="1" t="s">
        <v>2372</v>
      </c>
      <c r="D666" s="1"/>
      <c r="E666" s="1">
        <v>665.0</v>
      </c>
      <c r="F666" s="1" t="s">
        <v>4005</v>
      </c>
      <c r="G666" s="1" t="str">
        <f>IFERROR(__xludf.DUMMYFUNCTION("SPLIT(C666, "", "")"),"Crime")</f>
        <v>Crime</v>
      </c>
      <c r="H666" s="5" t="str">
        <f>IFERROR(__xludf.DUMMYFUNCTION("""COMPUTED_VALUE"""),"Drama")</f>
        <v>Drama</v>
      </c>
      <c r="I666" s="5" t="str">
        <f>IFERROR(__xludf.DUMMYFUNCTION("""COMPUTED_VALUE"""),"Romance")</f>
        <v>Romance</v>
      </c>
      <c r="J666" s="5" t="str">
        <f>IFERROR(__xludf.DUMMYFUNCTION("""COMPUTED_VALUE"""),"222🤙🏼Zindagi Na Milegi Dobara🤙🏼Drama🤙🏼2")</f>
        <v>222🤙🏼Zindagi Na Milegi Dobara🤙🏼Drama🤙🏼2</v>
      </c>
      <c r="K666" s="5">
        <f>IFERROR(__xludf.DUMMYFUNCTION("SPLiT(J666, ""🤙🏼"",FALSE,FALSE)"),222.0)</f>
        <v>222</v>
      </c>
      <c r="L666" s="5" t="str">
        <f>IFERROR(__xludf.DUMMYFUNCTION("""COMPUTED_VALUE"""),"Zindagi Na Milegi Dobara")</f>
        <v>Zindagi Na Milegi Dobara</v>
      </c>
      <c r="M666" s="5" t="str">
        <f>IFERROR(__xludf.DUMMYFUNCTION("""COMPUTED_VALUE"""),"Drama")</f>
        <v>Drama</v>
      </c>
      <c r="N666" s="5">
        <f>IFERROR(__xludf.DUMMYFUNCTION("""COMPUTED_VALUE"""),2.0)</f>
        <v>2</v>
      </c>
      <c r="S666" s="5">
        <f>IFERROR(__xludf.DUMMYFUNCTION("""COMPUTED_VALUE"""),262.0)</f>
        <v>262</v>
      </c>
      <c r="T666" s="5" t="str">
        <f>IFERROR(__xludf.DUMMYFUNCTION("""COMPUTED_VALUE"""),"Chung Hing sam lam")</f>
        <v>Chung Hing sam lam</v>
      </c>
      <c r="U666" s="5" t="str">
        <f>IFERROR(__xludf.DUMMYFUNCTION("""COMPUTED_VALUE"""),"Crime")</f>
        <v>Crime</v>
      </c>
      <c r="V666" s="5">
        <f>IFERROR(__xludf.DUMMYFUNCTION("""COMPUTED_VALUE"""),2.0)</f>
        <v>2</v>
      </c>
    </row>
    <row r="667">
      <c r="A667" s="1">
        <v>666.0</v>
      </c>
      <c r="B667" s="1" t="s">
        <v>4009</v>
      </c>
      <c r="C667" s="1" t="s">
        <v>2551</v>
      </c>
      <c r="D667" s="1"/>
      <c r="E667" s="1">
        <v>666.0</v>
      </c>
      <c r="F667" s="1" t="s">
        <v>4009</v>
      </c>
      <c r="G667" s="1" t="str">
        <f>IFERROR(__xludf.DUMMYFUNCTION("SPLIT(C667, "", "")"),"Animation")</f>
        <v>Animation</v>
      </c>
      <c r="H667" s="5" t="str">
        <f>IFERROR(__xludf.DUMMYFUNCTION("""COMPUTED_VALUE"""),"Action")</f>
        <v>Action</v>
      </c>
      <c r="I667" s="5" t="str">
        <f>IFERROR(__xludf.DUMMYFUNCTION("""COMPUTED_VALUE"""),"Crime")</f>
        <v>Crime</v>
      </c>
      <c r="J667" s="5" t="str">
        <f>IFERROR(__xludf.DUMMYFUNCTION("""COMPUTED_VALUE"""),"222🤙🏼Zindagi Na Milegi Dobara🤙🏼🤙🏼3")</f>
        <v>222🤙🏼Zindagi Na Milegi Dobara🤙🏼🤙🏼3</v>
      </c>
      <c r="K667" s="5">
        <f>IFERROR(__xludf.DUMMYFUNCTION("SPLiT(J667, ""🤙🏼"",FALSE,FALSE)"),222.0)</f>
        <v>222</v>
      </c>
      <c r="L667" s="5" t="str">
        <f>IFERROR(__xludf.DUMMYFUNCTION("""COMPUTED_VALUE"""),"Zindagi Na Milegi Dobara")</f>
        <v>Zindagi Na Milegi Dobara</v>
      </c>
      <c r="M667" s="5"/>
      <c r="N667" s="5">
        <f>IFERROR(__xludf.DUMMYFUNCTION("""COMPUTED_VALUE"""),3.0)</f>
        <v>3</v>
      </c>
      <c r="S667" s="5">
        <f>IFERROR(__xludf.DUMMYFUNCTION("""COMPUTED_VALUE"""),262.0)</f>
        <v>262</v>
      </c>
      <c r="T667" s="5" t="str">
        <f>IFERROR(__xludf.DUMMYFUNCTION("""COMPUTED_VALUE"""),"Chung Hing sam lam")</f>
        <v>Chung Hing sam lam</v>
      </c>
      <c r="U667" s="5" t="str">
        <f>IFERROR(__xludf.DUMMYFUNCTION("""COMPUTED_VALUE"""),"Drama")</f>
        <v>Drama</v>
      </c>
      <c r="V667" s="5">
        <f>IFERROR(__xludf.DUMMYFUNCTION("""COMPUTED_VALUE"""),3.0)</f>
        <v>3</v>
      </c>
    </row>
    <row r="668">
      <c r="A668" s="1">
        <v>667.0</v>
      </c>
      <c r="B668" s="1" t="s">
        <v>4016</v>
      </c>
      <c r="C668" s="1" t="s">
        <v>2169</v>
      </c>
      <c r="D668" s="1"/>
      <c r="E668" s="1">
        <v>667.0</v>
      </c>
      <c r="F668" s="1" t="s">
        <v>4016</v>
      </c>
      <c r="G668" s="1" t="str">
        <f>IFERROR(__xludf.DUMMYFUNCTION("SPLIT(C668, "", "")"),"Action")</f>
        <v>Action</v>
      </c>
      <c r="H668" s="5" t="str">
        <f>IFERROR(__xludf.DUMMYFUNCTION("""COMPUTED_VALUE"""),"Crime")</f>
        <v>Crime</v>
      </c>
      <c r="I668" s="5" t="str">
        <f>IFERROR(__xludf.DUMMYFUNCTION("""COMPUTED_VALUE"""),"Thriller")</f>
        <v>Thriller</v>
      </c>
      <c r="J668" s="5" t="str">
        <f>IFERROR(__xludf.DUMMYFUNCTION("""COMPUTED_VALUE"""),"223🤙🏼Prisoners🤙🏼Crime🤙🏼1")</f>
        <v>223🤙🏼Prisoners🤙🏼Crime🤙🏼1</v>
      </c>
      <c r="K668" s="5">
        <f>IFERROR(__xludf.DUMMYFUNCTION("SPLiT(J668, ""🤙🏼"",FALSE,FALSE)"),223.0)</f>
        <v>223</v>
      </c>
      <c r="L668" s="5" t="str">
        <f>IFERROR(__xludf.DUMMYFUNCTION("""COMPUTED_VALUE"""),"Prisoners")</f>
        <v>Prisoners</v>
      </c>
      <c r="M668" s="5" t="str">
        <f>IFERROR(__xludf.DUMMYFUNCTION("""COMPUTED_VALUE"""),"Crime")</f>
        <v>Crime</v>
      </c>
      <c r="N668" s="5">
        <f>IFERROR(__xludf.DUMMYFUNCTION("""COMPUTED_VALUE"""),1.0)</f>
        <v>1</v>
      </c>
      <c r="S668" s="5">
        <f>IFERROR(__xludf.DUMMYFUNCTION("""COMPUTED_VALUE"""),263.0)</f>
        <v>263</v>
      </c>
      <c r="T668" s="5" t="str">
        <f>IFERROR(__xludf.DUMMYFUNCTION("""COMPUTED_VALUE"""),"Jurassic Park")</f>
        <v>Jurassic Park</v>
      </c>
      <c r="U668" s="5" t="str">
        <f>IFERROR(__xludf.DUMMYFUNCTION("""COMPUTED_VALUE"""),"Action")</f>
        <v>Action</v>
      </c>
      <c r="V668" s="5">
        <f>IFERROR(__xludf.DUMMYFUNCTION("""COMPUTED_VALUE"""),1.0)</f>
        <v>1</v>
      </c>
    </row>
    <row r="669">
      <c r="A669" s="1">
        <v>668.0</v>
      </c>
      <c r="B669" s="1" t="s">
        <v>4021</v>
      </c>
      <c r="C669" s="1" t="s">
        <v>507</v>
      </c>
      <c r="D669" s="1"/>
      <c r="E669" s="1">
        <v>668.0</v>
      </c>
      <c r="F669" s="1" t="s">
        <v>4021</v>
      </c>
      <c r="G669" s="1" t="str">
        <f>IFERROR(__xludf.DUMMYFUNCTION("SPLIT(C669, "", "")"),"Comedy")</f>
        <v>Comedy</v>
      </c>
      <c r="H669" s="5" t="str">
        <f>IFERROR(__xludf.DUMMYFUNCTION("""COMPUTED_VALUE"""),"Drama")</f>
        <v>Drama</v>
      </c>
      <c r="J669" s="5" t="str">
        <f>IFERROR(__xludf.DUMMYFUNCTION("""COMPUTED_VALUE"""),"223🤙🏼Prisoners🤙🏼Drama🤙🏼2")</f>
        <v>223🤙🏼Prisoners🤙🏼Drama🤙🏼2</v>
      </c>
      <c r="K669" s="5">
        <f>IFERROR(__xludf.DUMMYFUNCTION("SPLiT(J669, ""🤙🏼"",FALSE,FALSE)"),223.0)</f>
        <v>223</v>
      </c>
      <c r="L669" s="5" t="str">
        <f>IFERROR(__xludf.DUMMYFUNCTION("""COMPUTED_VALUE"""),"Prisoners")</f>
        <v>Prisoners</v>
      </c>
      <c r="M669" s="5" t="str">
        <f>IFERROR(__xludf.DUMMYFUNCTION("""COMPUTED_VALUE"""),"Drama")</f>
        <v>Drama</v>
      </c>
      <c r="N669" s="5">
        <f>IFERROR(__xludf.DUMMYFUNCTION("""COMPUTED_VALUE"""),2.0)</f>
        <v>2</v>
      </c>
      <c r="S669" s="5">
        <f>IFERROR(__xludf.DUMMYFUNCTION("""COMPUTED_VALUE"""),263.0)</f>
        <v>263</v>
      </c>
      <c r="T669" s="5" t="str">
        <f>IFERROR(__xludf.DUMMYFUNCTION("""COMPUTED_VALUE"""),"Jurassic Park")</f>
        <v>Jurassic Park</v>
      </c>
      <c r="U669" s="5" t="str">
        <f>IFERROR(__xludf.DUMMYFUNCTION("""COMPUTED_VALUE"""),"Adventure")</f>
        <v>Adventure</v>
      </c>
      <c r="V669" s="5">
        <f>IFERROR(__xludf.DUMMYFUNCTION("""COMPUTED_VALUE"""),2.0)</f>
        <v>2</v>
      </c>
    </row>
    <row r="670">
      <c r="A670" s="1">
        <v>669.0</v>
      </c>
      <c r="B670" s="1" t="s">
        <v>4026</v>
      </c>
      <c r="C670" s="1" t="s">
        <v>1850</v>
      </c>
      <c r="D670" s="1"/>
      <c r="E670" s="1">
        <v>669.0</v>
      </c>
      <c r="F670" s="1" t="s">
        <v>4026</v>
      </c>
      <c r="G670" s="1" t="str">
        <f>IFERROR(__xludf.DUMMYFUNCTION("SPLIT(C670, "", "")"),"Drama")</f>
        <v>Drama</v>
      </c>
      <c r="H670" s="5" t="str">
        <f>IFERROR(__xludf.DUMMYFUNCTION("""COMPUTED_VALUE"""),"Fantasy")</f>
        <v>Fantasy</v>
      </c>
      <c r="I670" s="5" t="str">
        <f>IFERROR(__xludf.DUMMYFUNCTION("""COMPUTED_VALUE"""),"Music")</f>
        <v>Music</v>
      </c>
      <c r="J670" s="5" t="str">
        <f>IFERROR(__xludf.DUMMYFUNCTION("""COMPUTED_VALUE"""),"223🤙🏼Prisoners🤙🏼Mystery🤙🏼3")</f>
        <v>223🤙🏼Prisoners🤙🏼Mystery🤙🏼3</v>
      </c>
      <c r="K670" s="5">
        <f>IFERROR(__xludf.DUMMYFUNCTION("SPLiT(J670, ""🤙🏼"",FALSE,FALSE)"),223.0)</f>
        <v>223</v>
      </c>
      <c r="L670" s="5" t="str">
        <f>IFERROR(__xludf.DUMMYFUNCTION("""COMPUTED_VALUE"""),"Prisoners")</f>
        <v>Prisoners</v>
      </c>
      <c r="M670" s="5" t="str">
        <f>IFERROR(__xludf.DUMMYFUNCTION("""COMPUTED_VALUE"""),"Mystery")</f>
        <v>Mystery</v>
      </c>
      <c r="N670" s="5">
        <f>IFERROR(__xludf.DUMMYFUNCTION("""COMPUTED_VALUE"""),3.0)</f>
        <v>3</v>
      </c>
      <c r="S670" s="5">
        <f>IFERROR(__xludf.DUMMYFUNCTION("""COMPUTED_VALUE"""),263.0)</f>
        <v>263</v>
      </c>
      <c r="T670" s="5" t="str">
        <f>IFERROR(__xludf.DUMMYFUNCTION("""COMPUTED_VALUE"""),"Jurassic Park")</f>
        <v>Jurassic Park</v>
      </c>
      <c r="U670" s="5" t="str">
        <f>IFERROR(__xludf.DUMMYFUNCTION("""COMPUTED_VALUE"""),"Sci-Fi")</f>
        <v>Sci-Fi</v>
      </c>
      <c r="V670" s="5">
        <f>IFERROR(__xludf.DUMMYFUNCTION("""COMPUTED_VALUE"""),3.0)</f>
        <v>3</v>
      </c>
    </row>
    <row r="671">
      <c r="A671" s="1">
        <v>670.0</v>
      </c>
      <c r="B671" s="1" t="s">
        <v>4031</v>
      </c>
      <c r="C671" s="1" t="s">
        <v>29</v>
      </c>
      <c r="D671" s="1"/>
      <c r="E671" s="1">
        <v>670.0</v>
      </c>
      <c r="F671" s="1" t="s">
        <v>4031</v>
      </c>
      <c r="G671" s="1" t="str">
        <f>IFERROR(__xludf.DUMMYFUNCTION("SPLIT(C671, "", "")"),"Crime")</f>
        <v>Crime</v>
      </c>
      <c r="H671" s="5" t="str">
        <f>IFERROR(__xludf.DUMMYFUNCTION("""COMPUTED_VALUE"""),"Drama")</f>
        <v>Drama</v>
      </c>
      <c r="J671" s="5" t="str">
        <f>IFERROR(__xludf.DUMMYFUNCTION("""COMPUTED_VALUE"""),"224🤙🏼Mad Max: Fury Road🤙🏼Action🤙🏼1")</f>
        <v>224🤙🏼Mad Max: Fury Road🤙🏼Action🤙🏼1</v>
      </c>
      <c r="K671" s="5">
        <f>IFERROR(__xludf.DUMMYFUNCTION("SPLiT(J671, ""🤙🏼"",FALSE,FALSE)"),224.0)</f>
        <v>224</v>
      </c>
      <c r="L671" s="5" t="str">
        <f>IFERROR(__xludf.DUMMYFUNCTION("""COMPUTED_VALUE"""),"Mad Max: Fury Road")</f>
        <v>Mad Max: Fury Road</v>
      </c>
      <c r="M671" s="5" t="str">
        <f>IFERROR(__xludf.DUMMYFUNCTION("""COMPUTED_VALUE"""),"Action")</f>
        <v>Action</v>
      </c>
      <c r="N671" s="5">
        <f>IFERROR(__xludf.DUMMYFUNCTION("""COMPUTED_VALUE"""),1.0)</f>
        <v>1</v>
      </c>
      <c r="S671" s="5">
        <f>IFERROR(__xludf.DUMMYFUNCTION("""COMPUTED_VALUE"""),264.0)</f>
        <v>264</v>
      </c>
      <c r="T671" s="5" t="str">
        <f>IFERROR(__xludf.DUMMYFUNCTION("""COMPUTED_VALUE"""),"In the Name of the Father")</f>
        <v>In the Name of the Father</v>
      </c>
      <c r="U671" s="5" t="str">
        <f>IFERROR(__xludf.DUMMYFUNCTION("""COMPUTED_VALUE"""),"Biography")</f>
        <v>Biography</v>
      </c>
      <c r="V671" s="5">
        <f>IFERROR(__xludf.DUMMYFUNCTION("""COMPUTED_VALUE"""),1.0)</f>
        <v>1</v>
      </c>
    </row>
    <row r="672">
      <c r="A672" s="1">
        <v>671.0</v>
      </c>
      <c r="B672" s="1" t="s">
        <v>4037</v>
      </c>
      <c r="C672" s="1" t="s">
        <v>1377</v>
      </c>
      <c r="D672" s="1"/>
      <c r="E672" s="1">
        <v>671.0</v>
      </c>
      <c r="F672" s="1" t="s">
        <v>4037</v>
      </c>
      <c r="G672" s="1" t="str">
        <f>IFERROR(__xludf.DUMMYFUNCTION("SPLIT(C672, "", "")"),"Drama")</f>
        <v>Drama</v>
      </c>
      <c r="H672" s="5" t="str">
        <f>IFERROR(__xludf.DUMMYFUNCTION("""COMPUTED_VALUE"""),"Thriller")</f>
        <v>Thriller</v>
      </c>
      <c r="J672" s="5" t="str">
        <f>IFERROR(__xludf.DUMMYFUNCTION("""COMPUTED_VALUE"""),"224🤙🏼Mad Max: Fury Road🤙🏼Adventure🤙🏼2")</f>
        <v>224🤙🏼Mad Max: Fury Road🤙🏼Adventure🤙🏼2</v>
      </c>
      <c r="K672" s="5">
        <f>IFERROR(__xludf.DUMMYFUNCTION("SPLiT(J672, ""🤙🏼"",FALSE,FALSE)"),224.0)</f>
        <v>224</v>
      </c>
      <c r="L672" s="5" t="str">
        <f>IFERROR(__xludf.DUMMYFUNCTION("""COMPUTED_VALUE"""),"Mad Max: Fury Road")</f>
        <v>Mad Max: Fury Road</v>
      </c>
      <c r="M672" s="5" t="str">
        <f>IFERROR(__xludf.DUMMYFUNCTION("""COMPUTED_VALUE"""),"Adventure")</f>
        <v>Adventure</v>
      </c>
      <c r="N672" s="5">
        <f>IFERROR(__xludf.DUMMYFUNCTION("""COMPUTED_VALUE"""),2.0)</f>
        <v>2</v>
      </c>
      <c r="S672" s="5">
        <f>IFERROR(__xludf.DUMMYFUNCTION("""COMPUTED_VALUE"""),264.0)</f>
        <v>264</v>
      </c>
      <c r="T672" s="5" t="str">
        <f>IFERROR(__xludf.DUMMYFUNCTION("""COMPUTED_VALUE"""),"In the Name of the Father")</f>
        <v>In the Name of the Father</v>
      </c>
      <c r="U672" s="5" t="str">
        <f>IFERROR(__xludf.DUMMYFUNCTION("""COMPUTED_VALUE"""),"Crime")</f>
        <v>Crime</v>
      </c>
      <c r="V672" s="5">
        <f>IFERROR(__xludf.DUMMYFUNCTION("""COMPUTED_VALUE"""),2.0)</f>
        <v>2</v>
      </c>
    </row>
    <row r="673">
      <c r="A673" s="1">
        <v>672.0</v>
      </c>
      <c r="B673" s="1" t="s">
        <v>4040</v>
      </c>
      <c r="C673" s="1" t="s">
        <v>1148</v>
      </c>
      <c r="D673" s="1"/>
      <c r="E673" s="1">
        <v>672.0</v>
      </c>
      <c r="F673" s="1" t="s">
        <v>4040</v>
      </c>
      <c r="G673" s="1" t="str">
        <f>IFERROR(__xludf.DUMMYFUNCTION("SPLIT(C673, "", "")"),"Biography")</f>
        <v>Biography</v>
      </c>
      <c r="H673" s="5" t="str">
        <f>IFERROR(__xludf.DUMMYFUNCTION("""COMPUTED_VALUE"""),"Drama")</f>
        <v>Drama</v>
      </c>
      <c r="J673" s="5" t="str">
        <f>IFERROR(__xludf.DUMMYFUNCTION("""COMPUTED_VALUE"""),"224🤙🏼Mad Max: Fury Road🤙🏼Sci-Fi🤙🏼3")</f>
        <v>224🤙🏼Mad Max: Fury Road🤙🏼Sci-Fi🤙🏼3</v>
      </c>
      <c r="K673" s="5">
        <f>IFERROR(__xludf.DUMMYFUNCTION("SPLiT(J673, ""🤙🏼"",FALSE,FALSE)"),224.0)</f>
        <v>224</v>
      </c>
      <c r="L673" s="5" t="str">
        <f>IFERROR(__xludf.DUMMYFUNCTION("""COMPUTED_VALUE"""),"Mad Max: Fury Road")</f>
        <v>Mad Max: Fury Road</v>
      </c>
      <c r="M673" s="5" t="str">
        <f>IFERROR(__xludf.DUMMYFUNCTION("""COMPUTED_VALUE"""),"Sci-Fi")</f>
        <v>Sci-Fi</v>
      </c>
      <c r="N673" s="5">
        <f>IFERROR(__xludf.DUMMYFUNCTION("""COMPUTED_VALUE"""),3.0)</f>
        <v>3</v>
      </c>
      <c r="S673" s="5">
        <f>IFERROR(__xludf.DUMMYFUNCTION("""COMPUTED_VALUE"""),264.0)</f>
        <v>264</v>
      </c>
      <c r="T673" s="5" t="str">
        <f>IFERROR(__xludf.DUMMYFUNCTION("""COMPUTED_VALUE"""),"In the Name of the Father")</f>
        <v>In the Name of the Father</v>
      </c>
      <c r="U673" s="5" t="str">
        <f>IFERROR(__xludf.DUMMYFUNCTION("""COMPUTED_VALUE"""),"Drama")</f>
        <v>Drama</v>
      </c>
      <c r="V673" s="5">
        <f>IFERROR(__xludf.DUMMYFUNCTION("""COMPUTED_VALUE"""),3.0)</f>
        <v>3</v>
      </c>
    </row>
    <row r="674">
      <c r="A674" s="1">
        <v>673.0</v>
      </c>
      <c r="B674" s="1" t="s">
        <v>4045</v>
      </c>
      <c r="C674" s="1" t="s">
        <v>352</v>
      </c>
      <c r="D674" s="1"/>
      <c r="E674" s="1">
        <v>673.0</v>
      </c>
      <c r="F674" s="1" t="s">
        <v>4045</v>
      </c>
      <c r="G674" s="1" t="str">
        <f>IFERROR(__xludf.DUMMYFUNCTION("SPLIT(C674, "", "")"),"Animation")</f>
        <v>Animation</v>
      </c>
      <c r="H674" s="5" t="str">
        <f>IFERROR(__xludf.DUMMYFUNCTION("""COMPUTED_VALUE"""),"Adventure")</f>
        <v>Adventure</v>
      </c>
      <c r="I674" s="5" t="str">
        <f>IFERROR(__xludf.DUMMYFUNCTION("""COMPUTED_VALUE"""),"Drama")</f>
        <v>Drama</v>
      </c>
      <c r="J674" s="5" t="str">
        <f>IFERROR(__xludf.DUMMYFUNCTION("""COMPUTED_VALUE"""),"225🤙🏼A Wednesday🤙🏼Action🤙🏼1")</f>
        <v>225🤙🏼A Wednesday🤙🏼Action🤙🏼1</v>
      </c>
      <c r="K674" s="5">
        <f>IFERROR(__xludf.DUMMYFUNCTION("SPLiT(J674, ""🤙🏼"",FALSE,FALSE)"),225.0)</f>
        <v>225</v>
      </c>
      <c r="L674" s="5" t="str">
        <f>IFERROR(__xludf.DUMMYFUNCTION("""COMPUTED_VALUE"""),"A Wednesday")</f>
        <v>A Wednesday</v>
      </c>
      <c r="M674" s="5" t="str">
        <f>IFERROR(__xludf.DUMMYFUNCTION("""COMPUTED_VALUE"""),"Action")</f>
        <v>Action</v>
      </c>
      <c r="N674" s="5">
        <f>IFERROR(__xludf.DUMMYFUNCTION("""COMPUTED_VALUE"""),1.0)</f>
        <v>1</v>
      </c>
      <c r="S674" s="5">
        <f>IFERROR(__xludf.DUMMYFUNCTION("""COMPUTED_VALUE"""),265.0)</f>
        <v>265</v>
      </c>
      <c r="T674" s="5" t="str">
        <f>IFERROR(__xludf.DUMMYFUNCTION("""COMPUTED_VALUE"""),"Ba wang bie ji")</f>
        <v>Ba wang bie ji</v>
      </c>
      <c r="U674" s="5" t="str">
        <f>IFERROR(__xludf.DUMMYFUNCTION("""COMPUTED_VALUE"""),"Drama")</f>
        <v>Drama</v>
      </c>
      <c r="V674" s="5">
        <f>IFERROR(__xludf.DUMMYFUNCTION("""COMPUTED_VALUE"""),1.0)</f>
        <v>1</v>
      </c>
    </row>
    <row r="675">
      <c r="A675" s="1">
        <v>674.0</v>
      </c>
      <c r="B675" s="1" t="s">
        <v>4051</v>
      </c>
      <c r="C675" s="1" t="s">
        <v>79</v>
      </c>
      <c r="D675" s="1"/>
      <c r="E675" s="1">
        <v>674.0</v>
      </c>
      <c r="F675" s="1" t="s">
        <v>4051</v>
      </c>
      <c r="G675" s="1" t="str">
        <f>IFERROR(__xludf.DUMMYFUNCTION("SPLIT(C675, "", "")"),"Biography")</f>
        <v>Biography</v>
      </c>
      <c r="H675" s="5" t="str">
        <f>IFERROR(__xludf.DUMMYFUNCTION("""COMPUTED_VALUE"""),"Drama")</f>
        <v>Drama</v>
      </c>
      <c r="I675" s="5" t="str">
        <f>IFERROR(__xludf.DUMMYFUNCTION("""COMPUTED_VALUE"""),"History")</f>
        <v>History</v>
      </c>
      <c r="J675" s="5" t="str">
        <f>IFERROR(__xludf.DUMMYFUNCTION("""COMPUTED_VALUE"""),"225🤙🏼A Wednesday🤙🏼Crime🤙🏼2")</f>
        <v>225🤙🏼A Wednesday🤙🏼Crime🤙🏼2</v>
      </c>
      <c r="K675" s="5">
        <f>IFERROR(__xludf.DUMMYFUNCTION("SPLiT(J675, ""🤙🏼"",FALSE,FALSE)"),225.0)</f>
        <v>225</v>
      </c>
      <c r="L675" s="5" t="str">
        <f>IFERROR(__xludf.DUMMYFUNCTION("""COMPUTED_VALUE"""),"A Wednesday")</f>
        <v>A Wednesday</v>
      </c>
      <c r="M675" s="5" t="str">
        <f>IFERROR(__xludf.DUMMYFUNCTION("""COMPUTED_VALUE"""),"Crime")</f>
        <v>Crime</v>
      </c>
      <c r="N675" s="5">
        <f>IFERROR(__xludf.DUMMYFUNCTION("""COMPUTED_VALUE"""),2.0)</f>
        <v>2</v>
      </c>
      <c r="S675" s="5">
        <f>IFERROR(__xludf.DUMMYFUNCTION("""COMPUTED_VALUE"""),265.0)</f>
        <v>265</v>
      </c>
      <c r="T675" s="5" t="str">
        <f>IFERROR(__xludf.DUMMYFUNCTION("""COMPUTED_VALUE"""),"Ba wang bie ji")</f>
        <v>Ba wang bie ji</v>
      </c>
      <c r="U675" s="5" t="str">
        <f>IFERROR(__xludf.DUMMYFUNCTION("""COMPUTED_VALUE"""),"Music")</f>
        <v>Music</v>
      </c>
      <c r="V675" s="5">
        <f>IFERROR(__xludf.DUMMYFUNCTION("""COMPUTED_VALUE"""),2.0)</f>
        <v>2</v>
      </c>
    </row>
    <row r="676">
      <c r="A676" s="1">
        <v>675.0</v>
      </c>
      <c r="B676" s="1" t="s">
        <v>4053</v>
      </c>
      <c r="C676" s="1" t="s">
        <v>39</v>
      </c>
      <c r="D676" s="1"/>
      <c r="E676" s="1">
        <v>675.0</v>
      </c>
      <c r="F676" s="1" t="s">
        <v>4053</v>
      </c>
      <c r="G676" s="1" t="str">
        <f>IFERROR(__xludf.DUMMYFUNCTION("SPLIT(C676, "", "")"),"Action")</f>
        <v>Action</v>
      </c>
      <c r="H676" s="5" t="str">
        <f>IFERROR(__xludf.DUMMYFUNCTION("""COMPUTED_VALUE"""),"Crime")</f>
        <v>Crime</v>
      </c>
      <c r="I676" s="5" t="str">
        <f>IFERROR(__xludf.DUMMYFUNCTION("""COMPUTED_VALUE"""),"Drama")</f>
        <v>Drama</v>
      </c>
      <c r="J676" s="5" t="str">
        <f>IFERROR(__xludf.DUMMYFUNCTION("""COMPUTED_VALUE"""),"225🤙🏼A Wednesday🤙🏼Drama🤙🏼3")</f>
        <v>225🤙🏼A Wednesday🤙🏼Drama🤙🏼3</v>
      </c>
      <c r="K676" s="5">
        <f>IFERROR(__xludf.DUMMYFUNCTION("SPLiT(J676, ""🤙🏼"",FALSE,FALSE)"),225.0)</f>
        <v>225</v>
      </c>
      <c r="L676" s="5" t="str">
        <f>IFERROR(__xludf.DUMMYFUNCTION("""COMPUTED_VALUE"""),"A Wednesday")</f>
        <v>A Wednesday</v>
      </c>
      <c r="M676" s="5" t="str">
        <f>IFERROR(__xludf.DUMMYFUNCTION("""COMPUTED_VALUE"""),"Drama")</f>
        <v>Drama</v>
      </c>
      <c r="N676" s="5">
        <f>IFERROR(__xludf.DUMMYFUNCTION("""COMPUTED_VALUE"""),3.0)</f>
        <v>3</v>
      </c>
      <c r="S676" s="5">
        <f>IFERROR(__xludf.DUMMYFUNCTION("""COMPUTED_VALUE"""),265.0)</f>
        <v>265</v>
      </c>
      <c r="T676" s="5" t="str">
        <f>IFERROR(__xludf.DUMMYFUNCTION("""COMPUTED_VALUE"""),"Ba wang bie ji")</f>
        <v>Ba wang bie ji</v>
      </c>
      <c r="U676" s="5" t="str">
        <f>IFERROR(__xludf.DUMMYFUNCTION("""COMPUTED_VALUE"""),"Romance")</f>
        <v>Romance</v>
      </c>
      <c r="V676" s="5">
        <f>IFERROR(__xludf.DUMMYFUNCTION("""COMPUTED_VALUE"""),3.0)</f>
        <v>3</v>
      </c>
    </row>
    <row r="677">
      <c r="A677" s="1">
        <v>676.0</v>
      </c>
      <c r="B677" s="1" t="s">
        <v>4058</v>
      </c>
      <c r="C677" s="1" t="s">
        <v>383</v>
      </c>
      <c r="D677" s="1"/>
      <c r="E677" s="1">
        <v>676.0</v>
      </c>
      <c r="F677" s="1" t="s">
        <v>4058</v>
      </c>
      <c r="G677" s="1" t="str">
        <f>IFERROR(__xludf.DUMMYFUNCTION("SPLIT(C677, "", "")"),"Adventure")</f>
        <v>Adventure</v>
      </c>
      <c r="H677" s="5" t="str">
        <f>IFERROR(__xludf.DUMMYFUNCTION("""COMPUTED_VALUE"""),"Comedy")</f>
        <v>Comedy</v>
      </c>
      <c r="I677" s="5" t="str">
        <f>IFERROR(__xludf.DUMMYFUNCTION("""COMPUTED_VALUE"""),"Sci-Fi")</f>
        <v>Sci-Fi</v>
      </c>
      <c r="J677" s="5" t="str">
        <f>IFERROR(__xludf.DUMMYFUNCTION("""COMPUTED_VALUE"""),"226🤙🏼Gran Torino🤙🏼Drama🤙🏼1")</f>
        <v>226🤙🏼Gran Torino🤙🏼Drama🤙🏼1</v>
      </c>
      <c r="K677" s="5">
        <f>IFERROR(__xludf.DUMMYFUNCTION("SPLiT(J677, ""🤙🏼"",FALSE,FALSE)"),226.0)</f>
        <v>226</v>
      </c>
      <c r="L677" s="5" t="str">
        <f>IFERROR(__xludf.DUMMYFUNCTION("""COMPUTED_VALUE"""),"Gran Torino")</f>
        <v>Gran Torino</v>
      </c>
      <c r="M677" s="5" t="str">
        <f>IFERROR(__xludf.DUMMYFUNCTION("""COMPUTED_VALUE"""),"Drama")</f>
        <v>Drama</v>
      </c>
      <c r="N677" s="5">
        <f>IFERROR(__xludf.DUMMYFUNCTION("""COMPUTED_VALUE"""),1.0)</f>
        <v>1</v>
      </c>
      <c r="S677" s="5">
        <f>IFERROR(__xludf.DUMMYFUNCTION("""COMPUTED_VALUE"""),266.0)</f>
        <v>266</v>
      </c>
      <c r="T677" s="5" t="str">
        <f>IFERROR(__xludf.DUMMYFUNCTION("""COMPUTED_VALUE"""),"Dà hóng denglong gaogao guà")</f>
        <v>Dà hóng denglong gaogao guà</v>
      </c>
      <c r="U677" s="5" t="str">
        <f>IFERROR(__xludf.DUMMYFUNCTION("""COMPUTED_VALUE"""),"Drama")</f>
        <v>Drama</v>
      </c>
      <c r="V677" s="5">
        <f>IFERROR(__xludf.DUMMYFUNCTION("""COMPUTED_VALUE"""),1.0)</f>
        <v>1</v>
      </c>
    </row>
    <row r="678">
      <c r="A678" s="1">
        <v>677.0</v>
      </c>
      <c r="B678" s="1" t="s">
        <v>4061</v>
      </c>
      <c r="C678" s="1" t="s">
        <v>4062</v>
      </c>
      <c r="D678" s="1"/>
      <c r="E678" s="1">
        <v>677.0</v>
      </c>
      <c r="F678" s="1" t="s">
        <v>4061</v>
      </c>
      <c r="G678" s="1" t="str">
        <f>IFERROR(__xludf.DUMMYFUNCTION("SPLIT(C678, "", "")"),"Crime")</f>
        <v>Crime</v>
      </c>
      <c r="H678" s="5" t="str">
        <f>IFERROR(__xludf.DUMMYFUNCTION("""COMPUTED_VALUE"""),"Drama")</f>
        <v>Drama</v>
      </c>
      <c r="I678" s="5" t="str">
        <f>IFERROR(__xludf.DUMMYFUNCTION("""COMPUTED_VALUE"""),"History")</f>
        <v>History</v>
      </c>
      <c r="J678" s="5" t="str">
        <f>IFERROR(__xludf.DUMMYFUNCTION("""COMPUTED_VALUE"""),"226🤙🏼Gran Torino🤙🏼🤙🏼2")</f>
        <v>226🤙🏼Gran Torino🤙🏼🤙🏼2</v>
      </c>
      <c r="K678" s="5">
        <f>IFERROR(__xludf.DUMMYFUNCTION("SPLiT(J678, ""🤙🏼"",FALSE,FALSE)"),226.0)</f>
        <v>226</v>
      </c>
      <c r="L678" s="5" t="str">
        <f>IFERROR(__xludf.DUMMYFUNCTION("""COMPUTED_VALUE"""),"Gran Torino")</f>
        <v>Gran Torino</v>
      </c>
      <c r="M678" s="5"/>
      <c r="N678" s="5">
        <f>IFERROR(__xludf.DUMMYFUNCTION("""COMPUTED_VALUE"""),2.0)</f>
        <v>2</v>
      </c>
      <c r="S678" s="5">
        <f>IFERROR(__xludf.DUMMYFUNCTION("""COMPUTED_VALUE"""),266.0)</f>
        <v>266</v>
      </c>
      <c r="T678" s="5" t="str">
        <f>IFERROR(__xludf.DUMMYFUNCTION("""COMPUTED_VALUE"""),"Dà hóng denglong gaogao guà")</f>
        <v>Dà hóng denglong gaogao guà</v>
      </c>
      <c r="U678" s="5" t="str">
        <f>IFERROR(__xludf.DUMMYFUNCTION("""COMPUTED_VALUE"""),"History")</f>
        <v>History</v>
      </c>
      <c r="V678" s="5">
        <f>IFERROR(__xludf.DUMMYFUNCTION("""COMPUTED_VALUE"""),2.0)</f>
        <v>2</v>
      </c>
    </row>
    <row r="679">
      <c r="A679" s="1">
        <v>678.0</v>
      </c>
      <c r="B679" s="1" t="s">
        <v>4065</v>
      </c>
      <c r="C679" s="1" t="s">
        <v>88</v>
      </c>
      <c r="D679" s="1"/>
      <c r="E679" s="1">
        <v>678.0</v>
      </c>
      <c r="F679" s="1" t="s">
        <v>4065</v>
      </c>
      <c r="G679" s="1" t="str">
        <f>IFERROR(__xludf.DUMMYFUNCTION("SPLIT(C679, "", "")"),"Action")</f>
        <v>Action</v>
      </c>
      <c r="H679" s="5" t="str">
        <f>IFERROR(__xludf.DUMMYFUNCTION("""COMPUTED_VALUE"""),"Adventure")</f>
        <v>Adventure</v>
      </c>
      <c r="I679" s="5" t="str">
        <f>IFERROR(__xludf.DUMMYFUNCTION("""COMPUTED_VALUE"""),"Sci-Fi")</f>
        <v>Sci-Fi</v>
      </c>
      <c r="J679" s="5" t="str">
        <f>IFERROR(__xludf.DUMMYFUNCTION("""COMPUTED_VALUE"""),"226🤙🏼Gran Torino🤙🏼🤙🏼3")</f>
        <v>226🤙🏼Gran Torino🤙🏼🤙🏼3</v>
      </c>
      <c r="K679" s="5">
        <f>IFERROR(__xludf.DUMMYFUNCTION("SPLiT(J679, ""🤙🏼"",FALSE,FALSE)"),226.0)</f>
        <v>226</v>
      </c>
      <c r="L679" s="5" t="str">
        <f>IFERROR(__xludf.DUMMYFUNCTION("""COMPUTED_VALUE"""),"Gran Torino")</f>
        <v>Gran Torino</v>
      </c>
      <c r="M679" s="5"/>
      <c r="N679" s="5">
        <f>IFERROR(__xludf.DUMMYFUNCTION("""COMPUTED_VALUE"""),3.0)</f>
        <v>3</v>
      </c>
      <c r="S679" s="5">
        <f>IFERROR(__xludf.DUMMYFUNCTION("""COMPUTED_VALUE"""),266.0)</f>
        <v>266</v>
      </c>
      <c r="T679" s="5" t="str">
        <f>IFERROR(__xludf.DUMMYFUNCTION("""COMPUTED_VALUE"""),"Dà hóng denglong gaogao guà")</f>
        <v>Dà hóng denglong gaogao guà</v>
      </c>
      <c r="U679" s="5" t="str">
        <f>IFERROR(__xludf.DUMMYFUNCTION("""COMPUTED_VALUE"""),"Romance")</f>
        <v>Romance</v>
      </c>
      <c r="V679" s="5">
        <f>IFERROR(__xludf.DUMMYFUNCTION("""COMPUTED_VALUE"""),3.0)</f>
        <v>3</v>
      </c>
    </row>
    <row r="680">
      <c r="A680" s="1">
        <v>679.0</v>
      </c>
      <c r="B680" s="1" t="s">
        <v>4069</v>
      </c>
      <c r="C680" s="1" t="s">
        <v>4070</v>
      </c>
      <c r="D680" s="1"/>
      <c r="E680" s="1">
        <v>679.0</v>
      </c>
      <c r="F680" s="1" t="s">
        <v>4069</v>
      </c>
      <c r="G680" s="1" t="str">
        <f>IFERROR(__xludf.DUMMYFUNCTION("SPLIT(C680, "", "")"),"Action")</f>
        <v>Action</v>
      </c>
      <c r="H680" s="5" t="str">
        <f>IFERROR(__xludf.DUMMYFUNCTION("""COMPUTED_VALUE"""),"Comedy")</f>
        <v>Comedy</v>
      </c>
      <c r="I680" s="5" t="str">
        <f>IFERROR(__xludf.DUMMYFUNCTION("""COMPUTED_VALUE"""),"Fantasy")</f>
        <v>Fantasy</v>
      </c>
      <c r="J680" s="5" t="str">
        <f>IFERROR(__xludf.DUMMYFUNCTION("""COMPUTED_VALUE"""),"227🤙🏼Harry Potter and the Deathly Hallows: Part 2🤙🏼Adventure🤙🏼1")</f>
        <v>227🤙🏼Harry Potter and the Deathly Hallows: Part 2🤙🏼Adventure🤙🏼1</v>
      </c>
      <c r="K680" s="5">
        <f>IFERROR(__xludf.DUMMYFUNCTION("SPLiT(J680, ""🤙🏼"",FALSE,FALSE)"),227.0)</f>
        <v>227</v>
      </c>
      <c r="L680" s="5" t="str">
        <f>IFERROR(__xludf.DUMMYFUNCTION("""COMPUTED_VALUE"""),"Harry Potter and the Deathly Hallows: Part 2")</f>
        <v>Harry Potter and the Deathly Hallows: Part 2</v>
      </c>
      <c r="M680" s="5" t="str">
        <f>IFERROR(__xludf.DUMMYFUNCTION("""COMPUTED_VALUE"""),"Adventure")</f>
        <v>Adventure</v>
      </c>
      <c r="N680" s="5">
        <f>IFERROR(__xludf.DUMMYFUNCTION("""COMPUTED_VALUE"""),1.0)</f>
        <v>1</v>
      </c>
      <c r="S680" s="5">
        <f>IFERROR(__xludf.DUMMYFUNCTION("""COMPUTED_VALUE"""),267.0)</f>
        <v>267</v>
      </c>
      <c r="T680" s="5" t="str">
        <f>IFERROR(__xludf.DUMMYFUNCTION("""COMPUTED_VALUE"""),"Dead Poets Society")</f>
        <v>Dead Poets Society</v>
      </c>
      <c r="U680" s="5" t="str">
        <f>IFERROR(__xludf.DUMMYFUNCTION("""COMPUTED_VALUE"""),"Comedy")</f>
        <v>Comedy</v>
      </c>
      <c r="V680" s="5">
        <f>IFERROR(__xludf.DUMMYFUNCTION("""COMPUTED_VALUE"""),1.0)</f>
        <v>1</v>
      </c>
    </row>
    <row r="681">
      <c r="A681" s="1">
        <v>680.0</v>
      </c>
      <c r="B681" s="1" t="s">
        <v>4077</v>
      </c>
      <c r="C681" s="1" t="s">
        <v>602</v>
      </c>
      <c r="D681" s="1"/>
      <c r="E681" s="1">
        <v>680.0</v>
      </c>
      <c r="F681" s="1" t="s">
        <v>4077</v>
      </c>
      <c r="G681" s="1" t="str">
        <f>IFERROR(__xludf.DUMMYFUNCTION("SPLIT(C681, "", "")"),"Comedy")</f>
        <v>Comedy</v>
      </c>
      <c r="J681" s="5" t="str">
        <f>IFERROR(__xludf.DUMMYFUNCTION("""COMPUTED_VALUE"""),"227🤙🏼Harry Potter and the Deathly Hallows: Part 2🤙🏼Drama🤙🏼2")</f>
        <v>227🤙🏼Harry Potter and the Deathly Hallows: Part 2🤙🏼Drama🤙🏼2</v>
      </c>
      <c r="K681" s="5">
        <f>IFERROR(__xludf.DUMMYFUNCTION("SPLiT(J681, ""🤙🏼"",FALSE,FALSE)"),227.0)</f>
        <v>227</v>
      </c>
      <c r="L681" s="5" t="str">
        <f>IFERROR(__xludf.DUMMYFUNCTION("""COMPUTED_VALUE"""),"Harry Potter and the Deathly Hallows: Part 2")</f>
        <v>Harry Potter and the Deathly Hallows: Part 2</v>
      </c>
      <c r="M681" s="5" t="str">
        <f>IFERROR(__xludf.DUMMYFUNCTION("""COMPUTED_VALUE"""),"Drama")</f>
        <v>Drama</v>
      </c>
      <c r="N681" s="5">
        <f>IFERROR(__xludf.DUMMYFUNCTION("""COMPUTED_VALUE"""),2.0)</f>
        <v>2</v>
      </c>
      <c r="S681" s="5">
        <f>IFERROR(__xludf.DUMMYFUNCTION("""COMPUTED_VALUE"""),267.0)</f>
        <v>267</v>
      </c>
      <c r="T681" s="5" t="str">
        <f>IFERROR(__xludf.DUMMYFUNCTION("""COMPUTED_VALUE"""),"Dead Poets Society")</f>
        <v>Dead Poets Society</v>
      </c>
      <c r="U681" s="5" t="str">
        <f>IFERROR(__xludf.DUMMYFUNCTION("""COMPUTED_VALUE"""),"Drama")</f>
        <v>Drama</v>
      </c>
      <c r="V681" s="5">
        <f>IFERROR(__xludf.DUMMYFUNCTION("""COMPUTED_VALUE"""),2.0)</f>
        <v>2</v>
      </c>
    </row>
    <row r="682">
      <c r="A682" s="1">
        <v>681.0</v>
      </c>
      <c r="B682" s="1" t="s">
        <v>4083</v>
      </c>
      <c r="C682" s="1" t="s">
        <v>831</v>
      </c>
      <c r="D682" s="1"/>
      <c r="E682" s="1">
        <v>681.0</v>
      </c>
      <c r="F682" s="1" t="s">
        <v>4083</v>
      </c>
      <c r="G682" s="1" t="str">
        <f>IFERROR(__xludf.DUMMYFUNCTION("SPLIT(C682, "", "")"),"Comedy")</f>
        <v>Comedy</v>
      </c>
      <c r="H682" s="5" t="str">
        <f>IFERROR(__xludf.DUMMYFUNCTION("""COMPUTED_VALUE"""),"Crime")</f>
        <v>Crime</v>
      </c>
      <c r="I682" s="5" t="str">
        <f>IFERROR(__xludf.DUMMYFUNCTION("""COMPUTED_VALUE"""),"Drama")</f>
        <v>Drama</v>
      </c>
      <c r="J682" s="5" t="str">
        <f>IFERROR(__xludf.DUMMYFUNCTION("""COMPUTED_VALUE"""),"227🤙🏼Harry Potter and the Deathly Hallows: Part 2🤙🏼Fantasy🤙🏼3")</f>
        <v>227🤙🏼Harry Potter and the Deathly Hallows: Part 2🤙🏼Fantasy🤙🏼3</v>
      </c>
      <c r="K682" s="5">
        <f>IFERROR(__xludf.DUMMYFUNCTION("SPLiT(J682, ""🤙🏼"",FALSE,FALSE)"),227.0)</f>
        <v>227</v>
      </c>
      <c r="L682" s="5" t="str">
        <f>IFERROR(__xludf.DUMMYFUNCTION("""COMPUTED_VALUE"""),"Harry Potter and the Deathly Hallows: Part 2")</f>
        <v>Harry Potter and the Deathly Hallows: Part 2</v>
      </c>
      <c r="M682" s="5" t="str">
        <f>IFERROR(__xludf.DUMMYFUNCTION("""COMPUTED_VALUE"""),"Fantasy")</f>
        <v>Fantasy</v>
      </c>
      <c r="N682" s="5">
        <f>IFERROR(__xludf.DUMMYFUNCTION("""COMPUTED_VALUE"""),3.0)</f>
        <v>3</v>
      </c>
      <c r="S682" s="5">
        <f>IFERROR(__xludf.DUMMYFUNCTION("""COMPUTED_VALUE"""),268.0)</f>
        <v>268</v>
      </c>
      <c r="T682" s="5" t="str">
        <f>IFERROR(__xludf.DUMMYFUNCTION("""COMPUTED_VALUE"""),"Stand by Me")</f>
        <v>Stand by Me</v>
      </c>
      <c r="U682" s="5" t="str">
        <f>IFERROR(__xludf.DUMMYFUNCTION("""COMPUTED_VALUE"""),"Adventure")</f>
        <v>Adventure</v>
      </c>
      <c r="V682" s="5">
        <f>IFERROR(__xludf.DUMMYFUNCTION("""COMPUTED_VALUE"""),1.0)</f>
        <v>1</v>
      </c>
    </row>
    <row r="683">
      <c r="A683" s="1">
        <v>682.0</v>
      </c>
      <c r="B683" s="1" t="s">
        <v>4087</v>
      </c>
      <c r="C683" s="1" t="s">
        <v>3555</v>
      </c>
      <c r="D683" s="1"/>
      <c r="E683" s="1">
        <v>682.0</v>
      </c>
      <c r="F683" s="1" t="s">
        <v>4087</v>
      </c>
      <c r="G683" s="1" t="str">
        <f>IFERROR(__xludf.DUMMYFUNCTION("SPLIT(C683, "", "")"),"Adventure")</f>
        <v>Adventure</v>
      </c>
      <c r="H683" s="5" t="str">
        <f>IFERROR(__xludf.DUMMYFUNCTION("""COMPUTED_VALUE"""),"Comedy")</f>
        <v>Comedy</v>
      </c>
      <c r="I683" s="5" t="str">
        <f>IFERROR(__xludf.DUMMYFUNCTION("""COMPUTED_VALUE"""),"Family")</f>
        <v>Family</v>
      </c>
      <c r="J683" s="5" t="str">
        <f>IFERROR(__xludf.DUMMYFUNCTION("""COMPUTED_VALUE"""),"228🤙🏼Okuribito🤙🏼Drama🤙🏼1")</f>
        <v>228🤙🏼Okuribito🤙🏼Drama🤙🏼1</v>
      </c>
      <c r="K683" s="5">
        <f>IFERROR(__xludf.DUMMYFUNCTION("SPLiT(J683, ""🤙🏼"",FALSE,FALSE)"),228.0)</f>
        <v>228</v>
      </c>
      <c r="L683" s="5" t="str">
        <f>IFERROR(__xludf.DUMMYFUNCTION("""COMPUTED_VALUE"""),"Okuribito")</f>
        <v>Okuribito</v>
      </c>
      <c r="M683" s="5" t="str">
        <f>IFERROR(__xludf.DUMMYFUNCTION("""COMPUTED_VALUE"""),"Drama")</f>
        <v>Drama</v>
      </c>
      <c r="N683" s="5">
        <f>IFERROR(__xludf.DUMMYFUNCTION("""COMPUTED_VALUE"""),1.0)</f>
        <v>1</v>
      </c>
      <c r="S683" s="5">
        <f>IFERROR(__xludf.DUMMYFUNCTION("""COMPUTED_VALUE"""),268.0)</f>
        <v>268</v>
      </c>
      <c r="T683" s="5" t="str">
        <f>IFERROR(__xludf.DUMMYFUNCTION("""COMPUTED_VALUE"""),"Stand by Me")</f>
        <v>Stand by Me</v>
      </c>
      <c r="U683" s="5" t="str">
        <f>IFERROR(__xludf.DUMMYFUNCTION("""COMPUTED_VALUE"""),"Drama")</f>
        <v>Drama</v>
      </c>
      <c r="V683" s="5">
        <f>IFERROR(__xludf.DUMMYFUNCTION("""COMPUTED_VALUE"""),2.0)</f>
        <v>2</v>
      </c>
    </row>
    <row r="684">
      <c r="A684" s="1">
        <v>683.0</v>
      </c>
      <c r="B684" s="1" t="s">
        <v>4092</v>
      </c>
      <c r="C684" s="1" t="s">
        <v>20</v>
      </c>
      <c r="D684" s="1"/>
      <c r="E684" s="1">
        <v>683.0</v>
      </c>
      <c r="F684" s="1" t="s">
        <v>4092</v>
      </c>
      <c r="G684" s="1" t="str">
        <f>IFERROR(__xludf.DUMMYFUNCTION("SPLIT(C684, "", "")"),"Drama")</f>
        <v>Drama</v>
      </c>
      <c r="J684" s="5" t="str">
        <f>IFERROR(__xludf.DUMMYFUNCTION("""COMPUTED_VALUE"""),"228🤙🏼Okuribito🤙🏼Music🤙🏼2")</f>
        <v>228🤙🏼Okuribito🤙🏼Music🤙🏼2</v>
      </c>
      <c r="K684" s="5">
        <f>IFERROR(__xludf.DUMMYFUNCTION("SPLiT(J684, ""🤙🏼"",FALSE,FALSE)"),228.0)</f>
        <v>228</v>
      </c>
      <c r="L684" s="5" t="str">
        <f>IFERROR(__xludf.DUMMYFUNCTION("""COMPUTED_VALUE"""),"Okuribito")</f>
        <v>Okuribito</v>
      </c>
      <c r="M684" s="5" t="str">
        <f>IFERROR(__xludf.DUMMYFUNCTION("""COMPUTED_VALUE"""),"Music")</f>
        <v>Music</v>
      </c>
      <c r="N684" s="5">
        <f>IFERROR(__xludf.DUMMYFUNCTION("""COMPUTED_VALUE"""),2.0)</f>
        <v>2</v>
      </c>
      <c r="S684" s="5">
        <f>IFERROR(__xludf.DUMMYFUNCTION("""COMPUTED_VALUE"""),269.0)</f>
        <v>269</v>
      </c>
      <c r="T684" s="5" t="str">
        <f>IFERROR(__xludf.DUMMYFUNCTION("""COMPUTED_VALUE"""),"Platoon")</f>
        <v>Platoon</v>
      </c>
      <c r="U684" s="5" t="str">
        <f>IFERROR(__xludf.DUMMYFUNCTION("""COMPUTED_VALUE"""),"Drama")</f>
        <v>Drama</v>
      </c>
      <c r="V684" s="5">
        <f>IFERROR(__xludf.DUMMYFUNCTION("""COMPUTED_VALUE"""),1.0)</f>
        <v>1</v>
      </c>
    </row>
    <row r="685">
      <c r="A685" s="1">
        <v>684.0</v>
      </c>
      <c r="B685" s="1" t="s">
        <v>4098</v>
      </c>
      <c r="C685" s="1" t="s">
        <v>507</v>
      </c>
      <c r="D685" s="1"/>
      <c r="E685" s="1">
        <v>684.0</v>
      </c>
      <c r="F685" s="1" t="s">
        <v>4098</v>
      </c>
      <c r="G685" s="1" t="str">
        <f>IFERROR(__xludf.DUMMYFUNCTION("SPLIT(C685, "", "")"),"Comedy")</f>
        <v>Comedy</v>
      </c>
      <c r="H685" s="5" t="str">
        <f>IFERROR(__xludf.DUMMYFUNCTION("""COMPUTED_VALUE"""),"Drama")</f>
        <v>Drama</v>
      </c>
      <c r="J685" s="5" t="str">
        <f>IFERROR(__xludf.DUMMYFUNCTION("""COMPUTED_VALUE"""),"228🤙🏼Okuribito🤙🏼🤙🏼3")</f>
        <v>228🤙🏼Okuribito🤙🏼🤙🏼3</v>
      </c>
      <c r="K685" s="5">
        <f>IFERROR(__xludf.DUMMYFUNCTION("SPLiT(J685, ""🤙🏼"",FALSE,FALSE)"),228.0)</f>
        <v>228</v>
      </c>
      <c r="L685" s="5" t="str">
        <f>IFERROR(__xludf.DUMMYFUNCTION("""COMPUTED_VALUE"""),"Okuribito")</f>
        <v>Okuribito</v>
      </c>
      <c r="M685" s="5"/>
      <c r="N685" s="5">
        <f>IFERROR(__xludf.DUMMYFUNCTION("""COMPUTED_VALUE"""),3.0)</f>
        <v>3</v>
      </c>
      <c r="S685" s="5">
        <f>IFERROR(__xludf.DUMMYFUNCTION("""COMPUTED_VALUE"""),269.0)</f>
        <v>269</v>
      </c>
      <c r="T685" s="5" t="str">
        <f>IFERROR(__xludf.DUMMYFUNCTION("""COMPUTED_VALUE"""),"Platoon")</f>
        <v>Platoon</v>
      </c>
      <c r="U685" s="5" t="str">
        <f>IFERROR(__xludf.DUMMYFUNCTION("""COMPUTED_VALUE"""),"War")</f>
        <v>War</v>
      </c>
      <c r="V685" s="5">
        <f>IFERROR(__xludf.DUMMYFUNCTION("""COMPUTED_VALUE"""),2.0)</f>
        <v>2</v>
      </c>
    </row>
    <row r="686">
      <c r="A686" s="1">
        <v>685.0</v>
      </c>
      <c r="B686" s="1" t="s">
        <v>4104</v>
      </c>
      <c r="C686" s="1" t="s">
        <v>79</v>
      </c>
      <c r="D686" s="1"/>
      <c r="E686" s="1">
        <v>685.0</v>
      </c>
      <c r="F686" s="1" t="s">
        <v>4104</v>
      </c>
      <c r="G686" s="1" t="str">
        <f>IFERROR(__xludf.DUMMYFUNCTION("SPLIT(C686, "", "")"),"Biography")</f>
        <v>Biography</v>
      </c>
      <c r="H686" s="5" t="str">
        <f>IFERROR(__xludf.DUMMYFUNCTION("""COMPUTED_VALUE"""),"Drama")</f>
        <v>Drama</v>
      </c>
      <c r="I686" s="5" t="str">
        <f>IFERROR(__xludf.DUMMYFUNCTION("""COMPUTED_VALUE"""),"History")</f>
        <v>History</v>
      </c>
      <c r="J686" s="5" t="str">
        <f>IFERROR(__xludf.DUMMYFUNCTION("""COMPUTED_VALUE"""),"229🤙🏼Hachi: A Dog's Tale🤙🏼Biography🤙🏼1")</f>
        <v>229🤙🏼Hachi: A Dog's Tale🤙🏼Biography🤙🏼1</v>
      </c>
      <c r="K686" s="5">
        <f>IFERROR(__xludf.DUMMYFUNCTION("SPLiT(J686, ""🤙🏼"",FALSE,FALSE)"),229.0)</f>
        <v>229</v>
      </c>
      <c r="L686" s="5" t="str">
        <f>IFERROR(__xludf.DUMMYFUNCTION("""COMPUTED_VALUE"""),"Hachi: A Dog's Tale")</f>
        <v>Hachi: A Dog's Tale</v>
      </c>
      <c r="M686" s="5" t="str">
        <f>IFERROR(__xludf.DUMMYFUNCTION("""COMPUTED_VALUE"""),"Biography")</f>
        <v>Biography</v>
      </c>
      <c r="N686" s="5">
        <f>IFERROR(__xludf.DUMMYFUNCTION("""COMPUTED_VALUE"""),1.0)</f>
        <v>1</v>
      </c>
      <c r="S686" s="5">
        <f>IFERROR(__xludf.DUMMYFUNCTION("""COMPUTED_VALUE"""),270.0)</f>
        <v>270</v>
      </c>
      <c r="T686" s="5" t="str">
        <f>IFERROR(__xludf.DUMMYFUNCTION("""COMPUTED_VALUE"""),"Paris, Texas")</f>
        <v>Paris, Texas</v>
      </c>
      <c r="U686" s="5" t="str">
        <f>IFERROR(__xludf.DUMMYFUNCTION("""COMPUTED_VALUE"""),"Drama")</f>
        <v>Drama</v>
      </c>
      <c r="V686" s="5">
        <f>IFERROR(__xludf.DUMMYFUNCTION("""COMPUTED_VALUE"""),1.0)</f>
        <v>1</v>
      </c>
    </row>
    <row r="687">
      <c r="A687" s="1">
        <v>686.0</v>
      </c>
      <c r="B687" s="1" t="s">
        <v>4111</v>
      </c>
      <c r="C687" s="1" t="s">
        <v>4070</v>
      </c>
      <c r="D687" s="1"/>
      <c r="E687" s="1">
        <v>686.0</v>
      </c>
      <c r="F687" s="1" t="s">
        <v>4111</v>
      </c>
      <c r="G687" s="1" t="str">
        <f>IFERROR(__xludf.DUMMYFUNCTION("SPLIT(C687, "", "")"),"Action")</f>
        <v>Action</v>
      </c>
      <c r="H687" s="5" t="str">
        <f>IFERROR(__xludf.DUMMYFUNCTION("""COMPUTED_VALUE"""),"Comedy")</f>
        <v>Comedy</v>
      </c>
      <c r="I687" s="5" t="str">
        <f>IFERROR(__xludf.DUMMYFUNCTION("""COMPUTED_VALUE"""),"Fantasy")</f>
        <v>Fantasy</v>
      </c>
      <c r="J687" s="5" t="str">
        <f>IFERROR(__xludf.DUMMYFUNCTION("""COMPUTED_VALUE"""),"229🤙🏼Hachi: A Dog's Tale🤙🏼Drama🤙🏼2")</f>
        <v>229🤙🏼Hachi: A Dog's Tale🤙🏼Drama🤙🏼2</v>
      </c>
      <c r="K687" s="5">
        <f>IFERROR(__xludf.DUMMYFUNCTION("SPLiT(J687, ""🤙🏼"",FALSE,FALSE)"),229.0)</f>
        <v>229</v>
      </c>
      <c r="L687" s="5" t="str">
        <f>IFERROR(__xludf.DUMMYFUNCTION("""COMPUTED_VALUE"""),"Hachi: A Dog's Tale")</f>
        <v>Hachi: A Dog's Tale</v>
      </c>
      <c r="M687" s="5" t="str">
        <f>IFERROR(__xludf.DUMMYFUNCTION("""COMPUTED_VALUE"""),"Drama")</f>
        <v>Drama</v>
      </c>
      <c r="N687" s="5">
        <f>IFERROR(__xludf.DUMMYFUNCTION("""COMPUTED_VALUE"""),2.0)</f>
        <v>2</v>
      </c>
      <c r="S687" s="5">
        <f>IFERROR(__xludf.DUMMYFUNCTION("""COMPUTED_VALUE"""),271.0)</f>
        <v>271</v>
      </c>
      <c r="T687" s="5" t="str">
        <f>IFERROR(__xludf.DUMMYFUNCTION("""COMPUTED_VALUE"""),"Kaze no tani no Naushika")</f>
        <v>Kaze no tani no Naushika</v>
      </c>
      <c r="U687" s="5" t="str">
        <f>IFERROR(__xludf.DUMMYFUNCTION("""COMPUTED_VALUE"""),"Animation")</f>
        <v>Animation</v>
      </c>
      <c r="V687" s="5">
        <f>IFERROR(__xludf.DUMMYFUNCTION("""COMPUTED_VALUE"""),1.0)</f>
        <v>1</v>
      </c>
    </row>
    <row r="688">
      <c r="A688" s="1">
        <v>687.0</v>
      </c>
      <c r="B688" s="1" t="s">
        <v>4114</v>
      </c>
      <c r="C688" s="1" t="s">
        <v>858</v>
      </c>
      <c r="D688" s="1"/>
      <c r="E688" s="1">
        <v>687.0</v>
      </c>
      <c r="F688" s="1" t="s">
        <v>4114</v>
      </c>
      <c r="G688" s="1" t="str">
        <f>IFERROR(__xludf.DUMMYFUNCTION("SPLIT(C688, "", "")"),"Adventure")</f>
        <v>Adventure</v>
      </c>
      <c r="H688" s="5" t="str">
        <f>IFERROR(__xludf.DUMMYFUNCTION("""COMPUTED_VALUE"""),"Biography")</f>
        <v>Biography</v>
      </c>
      <c r="I688" s="5" t="str">
        <f>IFERROR(__xludf.DUMMYFUNCTION("""COMPUTED_VALUE"""),"Drama")</f>
        <v>Drama</v>
      </c>
      <c r="J688" s="5" t="str">
        <f>IFERROR(__xludf.DUMMYFUNCTION("""COMPUTED_VALUE"""),"229🤙🏼Hachi: A Dog's Tale🤙🏼Family🤙🏼3")</f>
        <v>229🤙🏼Hachi: A Dog's Tale🤙🏼Family🤙🏼3</v>
      </c>
      <c r="K688" s="5">
        <f>IFERROR(__xludf.DUMMYFUNCTION("SPLiT(J688, ""🤙🏼"",FALSE,FALSE)"),229.0)</f>
        <v>229</v>
      </c>
      <c r="L688" s="5" t="str">
        <f>IFERROR(__xludf.DUMMYFUNCTION("""COMPUTED_VALUE"""),"Hachi: A Dog's Tale")</f>
        <v>Hachi: A Dog's Tale</v>
      </c>
      <c r="M688" s="5" t="str">
        <f>IFERROR(__xludf.DUMMYFUNCTION("""COMPUTED_VALUE"""),"Family")</f>
        <v>Family</v>
      </c>
      <c r="N688" s="5">
        <f>IFERROR(__xludf.DUMMYFUNCTION("""COMPUTED_VALUE"""),3.0)</f>
        <v>3</v>
      </c>
      <c r="S688" s="5">
        <f>IFERROR(__xludf.DUMMYFUNCTION("""COMPUTED_VALUE"""),271.0)</f>
        <v>271</v>
      </c>
      <c r="T688" s="5" t="str">
        <f>IFERROR(__xludf.DUMMYFUNCTION("""COMPUTED_VALUE"""),"Kaze no tani no Naushika")</f>
        <v>Kaze no tani no Naushika</v>
      </c>
      <c r="U688" s="5" t="str">
        <f>IFERROR(__xludf.DUMMYFUNCTION("""COMPUTED_VALUE"""),"Adventure")</f>
        <v>Adventure</v>
      </c>
      <c r="V688" s="5">
        <f>IFERROR(__xludf.DUMMYFUNCTION("""COMPUTED_VALUE"""),2.0)</f>
        <v>2</v>
      </c>
    </row>
    <row r="689">
      <c r="A689" s="1">
        <v>688.0</v>
      </c>
      <c r="B689" s="1" t="s">
        <v>4121</v>
      </c>
      <c r="C689" s="1" t="s">
        <v>831</v>
      </c>
      <c r="D689" s="1"/>
      <c r="E689" s="1">
        <v>688.0</v>
      </c>
      <c r="F689" s="1" t="s">
        <v>4121</v>
      </c>
      <c r="G689" s="1" t="str">
        <f>IFERROR(__xludf.DUMMYFUNCTION("SPLIT(C689, "", "")"),"Comedy")</f>
        <v>Comedy</v>
      </c>
      <c r="H689" s="5" t="str">
        <f>IFERROR(__xludf.DUMMYFUNCTION("""COMPUTED_VALUE"""),"Crime")</f>
        <v>Crime</v>
      </c>
      <c r="I689" s="5" t="str">
        <f>IFERROR(__xludf.DUMMYFUNCTION("""COMPUTED_VALUE"""),"Drama")</f>
        <v>Drama</v>
      </c>
      <c r="J689" s="5" t="str">
        <f>IFERROR(__xludf.DUMMYFUNCTION("""COMPUTED_VALUE"""),"230🤙🏼Mary and Max🤙🏼Animation🤙🏼1")</f>
        <v>230🤙🏼Mary and Max🤙🏼Animation🤙🏼1</v>
      </c>
      <c r="K689" s="5">
        <f>IFERROR(__xludf.DUMMYFUNCTION("SPLiT(J689, ""🤙🏼"",FALSE,FALSE)"),230.0)</f>
        <v>230</v>
      </c>
      <c r="L689" s="5" t="str">
        <f>IFERROR(__xludf.DUMMYFUNCTION("""COMPUTED_VALUE"""),"Mary and Max")</f>
        <v>Mary and Max</v>
      </c>
      <c r="M689" s="5" t="str">
        <f>IFERROR(__xludf.DUMMYFUNCTION("""COMPUTED_VALUE"""),"Animation")</f>
        <v>Animation</v>
      </c>
      <c r="N689" s="5">
        <f>IFERROR(__xludf.DUMMYFUNCTION("""COMPUTED_VALUE"""),1.0)</f>
        <v>1</v>
      </c>
      <c r="S689" s="5">
        <f>IFERROR(__xludf.DUMMYFUNCTION("""COMPUTED_VALUE"""),271.0)</f>
        <v>271</v>
      </c>
      <c r="T689" s="5" t="str">
        <f>IFERROR(__xludf.DUMMYFUNCTION("""COMPUTED_VALUE"""),"Kaze no tani no Naushika")</f>
        <v>Kaze no tani no Naushika</v>
      </c>
      <c r="U689" s="5" t="str">
        <f>IFERROR(__xludf.DUMMYFUNCTION("""COMPUTED_VALUE"""),"Fantasy")</f>
        <v>Fantasy</v>
      </c>
      <c r="V689" s="5">
        <f>IFERROR(__xludf.DUMMYFUNCTION("""COMPUTED_VALUE"""),3.0)</f>
        <v>3</v>
      </c>
    </row>
    <row r="690">
      <c r="A690" s="1">
        <v>689.0</v>
      </c>
      <c r="B690" s="1" t="s">
        <v>4126</v>
      </c>
      <c r="C690" s="1" t="s">
        <v>4127</v>
      </c>
      <c r="D690" s="1"/>
      <c r="E690" s="1">
        <v>689.0</v>
      </c>
      <c r="F690" s="1" t="s">
        <v>4126</v>
      </c>
      <c r="G690" s="1" t="str">
        <f>IFERROR(__xludf.DUMMYFUNCTION("SPLIT(C690, "", "")"),"Family")</f>
        <v>Family</v>
      </c>
      <c r="H690" s="5" t="str">
        <f>IFERROR(__xludf.DUMMYFUNCTION("""COMPUTED_VALUE"""),"Sci-Fi")</f>
        <v>Sci-Fi</v>
      </c>
      <c r="J690" s="5" t="str">
        <f>IFERROR(__xludf.DUMMYFUNCTION("""COMPUTED_VALUE"""),"230🤙🏼Mary and Max🤙🏼Comedy🤙🏼2")</f>
        <v>230🤙🏼Mary and Max🤙🏼Comedy🤙🏼2</v>
      </c>
      <c r="K690" s="5">
        <f>IFERROR(__xludf.DUMMYFUNCTION("SPLiT(J690, ""🤙🏼"",FALSE,FALSE)"),230.0)</f>
        <v>230</v>
      </c>
      <c r="L690" s="5" t="str">
        <f>IFERROR(__xludf.DUMMYFUNCTION("""COMPUTED_VALUE"""),"Mary and Max")</f>
        <v>Mary and Max</v>
      </c>
      <c r="M690" s="5" t="str">
        <f>IFERROR(__xludf.DUMMYFUNCTION("""COMPUTED_VALUE"""),"Comedy")</f>
        <v>Comedy</v>
      </c>
      <c r="N690" s="5">
        <f>IFERROR(__xludf.DUMMYFUNCTION("""COMPUTED_VALUE"""),2.0)</f>
        <v>2</v>
      </c>
      <c r="S690" s="5">
        <f>IFERROR(__xludf.DUMMYFUNCTION("""COMPUTED_VALUE"""),272.0)</f>
        <v>272</v>
      </c>
      <c r="T690" s="5" t="str">
        <f>IFERROR(__xludf.DUMMYFUNCTION("""COMPUTED_VALUE"""),"The Thing")</f>
        <v>The Thing</v>
      </c>
      <c r="U690" s="5" t="str">
        <f>IFERROR(__xludf.DUMMYFUNCTION("""COMPUTED_VALUE"""),"Horror")</f>
        <v>Horror</v>
      </c>
      <c r="V690" s="5">
        <f>IFERROR(__xludf.DUMMYFUNCTION("""COMPUTED_VALUE"""),1.0)</f>
        <v>1</v>
      </c>
    </row>
    <row r="691">
      <c r="A691" s="1">
        <v>690.0</v>
      </c>
      <c r="B691" s="1" t="s">
        <v>4133</v>
      </c>
      <c r="C691" s="1" t="s">
        <v>20</v>
      </c>
      <c r="D691" s="1"/>
      <c r="E691" s="1">
        <v>690.0</v>
      </c>
      <c r="F691" s="1" t="s">
        <v>4133</v>
      </c>
      <c r="G691" s="1" t="str">
        <f>IFERROR(__xludf.DUMMYFUNCTION("SPLIT(C691, "", "")"),"Drama")</f>
        <v>Drama</v>
      </c>
      <c r="J691" s="5" t="str">
        <f>IFERROR(__xludf.DUMMYFUNCTION("""COMPUTED_VALUE"""),"230🤙🏼Mary and Max🤙🏼Drama🤙🏼3")</f>
        <v>230🤙🏼Mary and Max🤙🏼Drama🤙🏼3</v>
      </c>
      <c r="K691" s="5">
        <f>IFERROR(__xludf.DUMMYFUNCTION("SPLiT(J691, ""🤙🏼"",FALSE,FALSE)"),230.0)</f>
        <v>230</v>
      </c>
      <c r="L691" s="5" t="str">
        <f>IFERROR(__xludf.DUMMYFUNCTION("""COMPUTED_VALUE"""),"Mary and Max")</f>
        <v>Mary and Max</v>
      </c>
      <c r="M691" s="5" t="str">
        <f>IFERROR(__xludf.DUMMYFUNCTION("""COMPUTED_VALUE"""),"Drama")</f>
        <v>Drama</v>
      </c>
      <c r="N691" s="5">
        <f>IFERROR(__xludf.DUMMYFUNCTION("""COMPUTED_VALUE"""),3.0)</f>
        <v>3</v>
      </c>
      <c r="S691" s="5">
        <f>IFERROR(__xludf.DUMMYFUNCTION("""COMPUTED_VALUE"""),272.0)</f>
        <v>272</v>
      </c>
      <c r="T691" s="5" t="str">
        <f>IFERROR(__xludf.DUMMYFUNCTION("""COMPUTED_VALUE"""),"The Thing")</f>
        <v>The Thing</v>
      </c>
      <c r="U691" s="5" t="str">
        <f>IFERROR(__xludf.DUMMYFUNCTION("""COMPUTED_VALUE"""),"Mystery")</f>
        <v>Mystery</v>
      </c>
      <c r="V691" s="5">
        <f>IFERROR(__xludf.DUMMYFUNCTION("""COMPUTED_VALUE"""),2.0)</f>
        <v>2</v>
      </c>
    </row>
    <row r="692">
      <c r="A692" s="1">
        <v>691.0</v>
      </c>
      <c r="B692" s="1" t="s">
        <v>4138</v>
      </c>
      <c r="C692" s="1" t="s">
        <v>107</v>
      </c>
      <c r="D692" s="1"/>
      <c r="E692" s="1">
        <v>691.0</v>
      </c>
      <c r="F692" s="1" t="s">
        <v>4138</v>
      </c>
      <c r="G692" s="1" t="str">
        <f>IFERROR(__xludf.DUMMYFUNCTION("SPLIT(C692, "", "")"),"Drama")</f>
        <v>Drama</v>
      </c>
      <c r="H692" s="5" t="str">
        <f>IFERROR(__xludf.DUMMYFUNCTION("""COMPUTED_VALUE"""),"Romance")</f>
        <v>Romance</v>
      </c>
      <c r="J692" s="5" t="str">
        <f>IFERROR(__xludf.DUMMYFUNCTION("""COMPUTED_VALUE"""),"231🤙🏼How to Train Your Dragon🤙🏼Animation🤙🏼1")</f>
        <v>231🤙🏼How to Train Your Dragon🤙🏼Animation🤙🏼1</v>
      </c>
      <c r="K692" s="5">
        <f>IFERROR(__xludf.DUMMYFUNCTION("SPLiT(J692, ""🤙🏼"",FALSE,FALSE)"),231.0)</f>
        <v>231</v>
      </c>
      <c r="L692" s="5" t="str">
        <f>IFERROR(__xludf.DUMMYFUNCTION("""COMPUTED_VALUE"""),"How to Train Your Dragon")</f>
        <v>How to Train Your Dragon</v>
      </c>
      <c r="M692" s="5" t="str">
        <f>IFERROR(__xludf.DUMMYFUNCTION("""COMPUTED_VALUE"""),"Animation")</f>
        <v>Animation</v>
      </c>
      <c r="N692" s="5">
        <f>IFERROR(__xludf.DUMMYFUNCTION("""COMPUTED_VALUE"""),1.0)</f>
        <v>1</v>
      </c>
      <c r="S692" s="5">
        <f>IFERROR(__xludf.DUMMYFUNCTION("""COMPUTED_VALUE"""),272.0)</f>
        <v>272</v>
      </c>
      <c r="T692" s="5" t="str">
        <f>IFERROR(__xludf.DUMMYFUNCTION("""COMPUTED_VALUE"""),"The Thing")</f>
        <v>The Thing</v>
      </c>
      <c r="U692" s="5" t="str">
        <f>IFERROR(__xludf.DUMMYFUNCTION("""COMPUTED_VALUE"""),"Sci-Fi")</f>
        <v>Sci-Fi</v>
      </c>
      <c r="V692" s="5">
        <f>IFERROR(__xludf.DUMMYFUNCTION("""COMPUTED_VALUE"""),3.0)</f>
        <v>3</v>
      </c>
    </row>
    <row r="693">
      <c r="A693" s="1">
        <v>692.0</v>
      </c>
      <c r="B693" s="1" t="s">
        <v>4143</v>
      </c>
      <c r="C693" s="1" t="s">
        <v>116</v>
      </c>
      <c r="D693" s="1"/>
      <c r="E693" s="1">
        <v>692.0</v>
      </c>
      <c r="F693" s="1" t="s">
        <v>4143</v>
      </c>
      <c r="G693" s="1" t="str">
        <f>IFERROR(__xludf.DUMMYFUNCTION("SPLIT(C693, "", "")"),"Western")</f>
        <v>Western</v>
      </c>
      <c r="J693" s="5" t="str">
        <f>IFERROR(__xludf.DUMMYFUNCTION("""COMPUTED_VALUE"""),"231🤙🏼How to Train Your Dragon🤙🏼Action🤙🏼2")</f>
        <v>231🤙🏼How to Train Your Dragon🤙🏼Action🤙🏼2</v>
      </c>
      <c r="K693" s="5">
        <f>IFERROR(__xludf.DUMMYFUNCTION("SPLiT(J693, ""🤙🏼"",FALSE,FALSE)"),231.0)</f>
        <v>231</v>
      </c>
      <c r="L693" s="5" t="str">
        <f>IFERROR(__xludf.DUMMYFUNCTION("""COMPUTED_VALUE"""),"How to Train Your Dragon")</f>
        <v>How to Train Your Dragon</v>
      </c>
      <c r="M693" s="5" t="str">
        <f>IFERROR(__xludf.DUMMYFUNCTION("""COMPUTED_VALUE"""),"Action")</f>
        <v>Action</v>
      </c>
      <c r="N693" s="5">
        <f>IFERROR(__xludf.DUMMYFUNCTION("""COMPUTED_VALUE"""),2.0)</f>
        <v>2</v>
      </c>
      <c r="S693" s="5">
        <f>IFERROR(__xludf.DUMMYFUNCTION("""COMPUTED_VALUE"""),273.0)</f>
        <v>273</v>
      </c>
      <c r="T693" s="5" t="str">
        <f>IFERROR(__xludf.DUMMYFUNCTION("""COMPUTED_VALUE"""),"Pink Floyd: The Wall")</f>
        <v>Pink Floyd: The Wall</v>
      </c>
      <c r="U693" s="5" t="str">
        <f>IFERROR(__xludf.DUMMYFUNCTION("""COMPUTED_VALUE"""),"Drama")</f>
        <v>Drama</v>
      </c>
      <c r="V693" s="5">
        <f>IFERROR(__xludf.DUMMYFUNCTION("""COMPUTED_VALUE"""),1.0)</f>
        <v>1</v>
      </c>
    </row>
    <row r="694">
      <c r="A694" s="1">
        <v>693.0</v>
      </c>
      <c r="B694" s="1" t="s">
        <v>4148</v>
      </c>
      <c r="C694" s="1" t="s">
        <v>4149</v>
      </c>
      <c r="D694" s="1"/>
      <c r="E694" s="1">
        <v>693.0</v>
      </c>
      <c r="F694" s="1" t="s">
        <v>4148</v>
      </c>
      <c r="G694" s="1" t="str">
        <f>IFERROR(__xludf.DUMMYFUNCTION("SPLIT(C694, "", "")"),"Adventure")</f>
        <v>Adventure</v>
      </c>
      <c r="H694" s="5" t="str">
        <f>IFERROR(__xludf.DUMMYFUNCTION("""COMPUTED_VALUE"""),"History")</f>
        <v>History</v>
      </c>
      <c r="I694" s="5" t="str">
        <f>IFERROR(__xludf.DUMMYFUNCTION("""COMPUTED_VALUE"""),"War")</f>
        <v>War</v>
      </c>
      <c r="J694" s="5" t="str">
        <f>IFERROR(__xludf.DUMMYFUNCTION("""COMPUTED_VALUE"""),"231🤙🏼How to Train Your Dragon🤙🏼Adventure🤙🏼3")</f>
        <v>231🤙🏼How to Train Your Dragon🤙🏼Adventure🤙🏼3</v>
      </c>
      <c r="K694" s="5">
        <f>IFERROR(__xludf.DUMMYFUNCTION("SPLiT(J694, ""🤙🏼"",FALSE,FALSE)"),231.0)</f>
        <v>231</v>
      </c>
      <c r="L694" s="5" t="str">
        <f>IFERROR(__xludf.DUMMYFUNCTION("""COMPUTED_VALUE"""),"How to Train Your Dragon")</f>
        <v>How to Train Your Dragon</v>
      </c>
      <c r="M694" s="5" t="str">
        <f>IFERROR(__xludf.DUMMYFUNCTION("""COMPUTED_VALUE"""),"Adventure")</f>
        <v>Adventure</v>
      </c>
      <c r="N694" s="5">
        <f>IFERROR(__xludf.DUMMYFUNCTION("""COMPUTED_VALUE"""),3.0)</f>
        <v>3</v>
      </c>
      <c r="S694" s="5">
        <f>IFERROR(__xludf.DUMMYFUNCTION("""COMPUTED_VALUE"""),273.0)</f>
        <v>273</v>
      </c>
      <c r="T694" s="5" t="str">
        <f>IFERROR(__xludf.DUMMYFUNCTION("""COMPUTED_VALUE"""),"Pink Floyd: The Wall")</f>
        <v>Pink Floyd: The Wall</v>
      </c>
      <c r="U694" s="5" t="str">
        <f>IFERROR(__xludf.DUMMYFUNCTION("""COMPUTED_VALUE"""),"Fantasy")</f>
        <v>Fantasy</v>
      </c>
      <c r="V694" s="5">
        <f>IFERROR(__xludf.DUMMYFUNCTION("""COMPUTED_VALUE"""),2.0)</f>
        <v>2</v>
      </c>
    </row>
    <row r="695">
      <c r="A695" s="1">
        <v>694.0</v>
      </c>
      <c r="B695" s="1" t="s">
        <v>4152</v>
      </c>
      <c r="C695" s="1" t="s">
        <v>527</v>
      </c>
      <c r="D695" s="1"/>
      <c r="E695" s="1">
        <v>694.0</v>
      </c>
      <c r="F695" s="1" t="s">
        <v>4152</v>
      </c>
      <c r="G695" s="1" t="str">
        <f>IFERROR(__xludf.DUMMYFUNCTION("SPLIT(C695, "", "")"),"Drama")</f>
        <v>Drama</v>
      </c>
      <c r="H695" s="5" t="str">
        <f>IFERROR(__xludf.DUMMYFUNCTION("""COMPUTED_VALUE"""),"Mystery")</f>
        <v>Mystery</v>
      </c>
      <c r="I695" s="5" t="str">
        <f>IFERROR(__xludf.DUMMYFUNCTION("""COMPUTED_VALUE"""),"Thriller")</f>
        <v>Thriller</v>
      </c>
      <c r="J695" s="5" t="str">
        <f>IFERROR(__xludf.DUMMYFUNCTION("""COMPUTED_VALUE"""),"232🤙🏼Into the Wild🤙🏼Adventure🤙🏼1")</f>
        <v>232🤙🏼Into the Wild🤙🏼Adventure🤙🏼1</v>
      </c>
      <c r="K695" s="5">
        <f>IFERROR(__xludf.DUMMYFUNCTION("SPLiT(J695, ""🤙🏼"",FALSE,FALSE)"),232.0)</f>
        <v>232</v>
      </c>
      <c r="L695" s="5" t="str">
        <f>IFERROR(__xludf.DUMMYFUNCTION("""COMPUTED_VALUE"""),"Into the Wild")</f>
        <v>Into the Wild</v>
      </c>
      <c r="M695" s="5" t="str">
        <f>IFERROR(__xludf.DUMMYFUNCTION("""COMPUTED_VALUE"""),"Adventure")</f>
        <v>Adventure</v>
      </c>
      <c r="N695" s="5">
        <f>IFERROR(__xludf.DUMMYFUNCTION("""COMPUTED_VALUE"""),1.0)</f>
        <v>1</v>
      </c>
      <c r="S695" s="5">
        <f>IFERROR(__xludf.DUMMYFUNCTION("""COMPUTED_VALUE"""),273.0)</f>
        <v>273</v>
      </c>
      <c r="T695" s="5" t="str">
        <f>IFERROR(__xludf.DUMMYFUNCTION("""COMPUTED_VALUE"""),"Pink Floyd: The Wall")</f>
        <v>Pink Floyd: The Wall</v>
      </c>
      <c r="U695" s="5" t="str">
        <f>IFERROR(__xludf.DUMMYFUNCTION("""COMPUTED_VALUE"""),"Music")</f>
        <v>Music</v>
      </c>
      <c r="V695" s="5">
        <f>IFERROR(__xludf.DUMMYFUNCTION("""COMPUTED_VALUE"""),3.0)</f>
        <v>3</v>
      </c>
    </row>
    <row r="696">
      <c r="A696" s="1">
        <v>695.0</v>
      </c>
      <c r="B696" s="1" t="s">
        <v>4155</v>
      </c>
      <c r="C696" s="1" t="s">
        <v>4156</v>
      </c>
      <c r="D696" s="1"/>
      <c r="E696" s="1">
        <v>695.0</v>
      </c>
      <c r="F696" s="1" t="s">
        <v>4155</v>
      </c>
      <c r="G696" s="1" t="str">
        <f>IFERROR(__xludf.DUMMYFUNCTION("SPLIT(C696, "", "")"),"Animation")</f>
        <v>Animation</v>
      </c>
      <c r="H696" s="5" t="str">
        <f>IFERROR(__xludf.DUMMYFUNCTION("""COMPUTED_VALUE"""),"Sci-Fi")</f>
        <v>Sci-Fi</v>
      </c>
      <c r="J696" s="5" t="str">
        <f>IFERROR(__xludf.DUMMYFUNCTION("""COMPUTED_VALUE"""),"232🤙🏼Into the Wild🤙🏼Biography🤙🏼2")</f>
        <v>232🤙🏼Into the Wild🤙🏼Biography🤙🏼2</v>
      </c>
      <c r="K696" s="5">
        <f>IFERROR(__xludf.DUMMYFUNCTION("SPLiT(J696, ""🤙🏼"",FALSE,FALSE)"),232.0)</f>
        <v>232</v>
      </c>
      <c r="L696" s="5" t="str">
        <f>IFERROR(__xludf.DUMMYFUNCTION("""COMPUTED_VALUE"""),"Into the Wild")</f>
        <v>Into the Wild</v>
      </c>
      <c r="M696" s="5" t="str">
        <f>IFERROR(__xludf.DUMMYFUNCTION("""COMPUTED_VALUE"""),"Biography")</f>
        <v>Biography</v>
      </c>
      <c r="N696" s="5">
        <f>IFERROR(__xludf.DUMMYFUNCTION("""COMPUTED_VALUE"""),2.0)</f>
        <v>2</v>
      </c>
      <c r="S696" s="5">
        <f>IFERROR(__xludf.DUMMYFUNCTION("""COMPUTED_VALUE"""),274.0)</f>
        <v>274</v>
      </c>
      <c r="T696" s="5" t="str">
        <f>IFERROR(__xludf.DUMMYFUNCTION("""COMPUTED_VALUE"""),"Fitzcarraldo")</f>
        <v>Fitzcarraldo</v>
      </c>
      <c r="U696" s="5" t="str">
        <f>IFERROR(__xludf.DUMMYFUNCTION("""COMPUTED_VALUE"""),"Adventure")</f>
        <v>Adventure</v>
      </c>
      <c r="V696" s="5">
        <f>IFERROR(__xludf.DUMMYFUNCTION("""COMPUTED_VALUE"""),1.0)</f>
        <v>1</v>
      </c>
    </row>
    <row r="697">
      <c r="A697" s="1">
        <v>696.0</v>
      </c>
      <c r="B697" s="1" t="s">
        <v>4163</v>
      </c>
      <c r="C697" s="1" t="s">
        <v>241</v>
      </c>
      <c r="D697" s="1"/>
      <c r="E697" s="1">
        <v>696.0</v>
      </c>
      <c r="F697" s="1" t="s">
        <v>4163</v>
      </c>
      <c r="G697" s="1" t="str">
        <f>IFERROR(__xludf.DUMMYFUNCTION("SPLIT(C697, "", "")"),"Crime")</f>
        <v>Crime</v>
      </c>
      <c r="H697" s="5" t="str">
        <f>IFERROR(__xludf.DUMMYFUNCTION("""COMPUTED_VALUE"""),"Drama")</f>
        <v>Drama</v>
      </c>
      <c r="I697" s="5" t="str">
        <f>IFERROR(__xludf.DUMMYFUNCTION("""COMPUTED_VALUE"""),"Thriller")</f>
        <v>Thriller</v>
      </c>
      <c r="J697" s="5" t="str">
        <f>IFERROR(__xludf.DUMMYFUNCTION("""COMPUTED_VALUE"""),"232🤙🏼Into the Wild🤙🏼Drama🤙🏼3")</f>
        <v>232🤙🏼Into the Wild🤙🏼Drama🤙🏼3</v>
      </c>
      <c r="K697" s="5">
        <f>IFERROR(__xludf.DUMMYFUNCTION("SPLiT(J697, ""🤙🏼"",FALSE,FALSE)"),232.0)</f>
        <v>232</v>
      </c>
      <c r="L697" s="5" t="str">
        <f>IFERROR(__xludf.DUMMYFUNCTION("""COMPUTED_VALUE"""),"Into the Wild")</f>
        <v>Into the Wild</v>
      </c>
      <c r="M697" s="5" t="str">
        <f>IFERROR(__xludf.DUMMYFUNCTION("""COMPUTED_VALUE"""),"Drama")</f>
        <v>Drama</v>
      </c>
      <c r="N697" s="5">
        <f>IFERROR(__xludf.DUMMYFUNCTION("""COMPUTED_VALUE"""),3.0)</f>
        <v>3</v>
      </c>
      <c r="S697" s="5">
        <f>IFERROR(__xludf.DUMMYFUNCTION("""COMPUTED_VALUE"""),274.0)</f>
        <v>274</v>
      </c>
      <c r="T697" s="5" t="str">
        <f>IFERROR(__xludf.DUMMYFUNCTION("""COMPUTED_VALUE"""),"Fitzcarraldo")</f>
        <v>Fitzcarraldo</v>
      </c>
      <c r="U697" s="5" t="str">
        <f>IFERROR(__xludf.DUMMYFUNCTION("""COMPUTED_VALUE"""),"Drama")</f>
        <v>Drama</v>
      </c>
      <c r="V697" s="5">
        <f>IFERROR(__xludf.DUMMYFUNCTION("""COMPUTED_VALUE"""),2.0)</f>
        <v>2</v>
      </c>
    </row>
    <row r="698">
      <c r="A698" s="1">
        <v>697.0</v>
      </c>
      <c r="B698" s="1" t="s">
        <v>4169</v>
      </c>
      <c r="C698" s="1" t="s">
        <v>39</v>
      </c>
      <c r="D698" s="1"/>
      <c r="E698" s="1">
        <v>697.0</v>
      </c>
      <c r="F698" s="1" t="s">
        <v>4169</v>
      </c>
      <c r="G698" s="1" t="str">
        <f>IFERROR(__xludf.DUMMYFUNCTION("SPLIT(C698, "", "")"),"Action")</f>
        <v>Action</v>
      </c>
      <c r="H698" s="5" t="str">
        <f>IFERROR(__xludf.DUMMYFUNCTION("""COMPUTED_VALUE"""),"Crime")</f>
        <v>Crime</v>
      </c>
      <c r="I698" s="5" t="str">
        <f>IFERROR(__xludf.DUMMYFUNCTION("""COMPUTED_VALUE"""),"Drama")</f>
        <v>Drama</v>
      </c>
      <c r="J698" s="5" t="str">
        <f>IFERROR(__xludf.DUMMYFUNCTION("""COMPUTED_VALUE"""),"233🤙🏼No Country for Old Men🤙🏼Crime🤙🏼1")</f>
        <v>233🤙🏼No Country for Old Men🤙🏼Crime🤙🏼1</v>
      </c>
      <c r="K698" s="5">
        <f>IFERROR(__xludf.DUMMYFUNCTION("SPLiT(J698, ""🤙🏼"",FALSE,FALSE)"),233.0)</f>
        <v>233</v>
      </c>
      <c r="L698" s="5" t="str">
        <f>IFERROR(__xludf.DUMMYFUNCTION("""COMPUTED_VALUE"""),"No Country for Old Men")</f>
        <v>No Country for Old Men</v>
      </c>
      <c r="M698" s="5" t="str">
        <f>IFERROR(__xludf.DUMMYFUNCTION("""COMPUTED_VALUE"""),"Crime")</f>
        <v>Crime</v>
      </c>
      <c r="N698" s="5">
        <f>IFERROR(__xludf.DUMMYFUNCTION("""COMPUTED_VALUE"""),1.0)</f>
        <v>1</v>
      </c>
      <c r="S698" s="5">
        <f>IFERROR(__xludf.DUMMYFUNCTION("""COMPUTED_VALUE"""),275.0)</f>
        <v>275</v>
      </c>
      <c r="T698" s="5" t="str">
        <f>IFERROR(__xludf.DUMMYFUNCTION("""COMPUTED_VALUE"""),"Fanny och Alexander")</f>
        <v>Fanny och Alexander</v>
      </c>
      <c r="U698" s="5" t="str">
        <f>IFERROR(__xludf.DUMMYFUNCTION("""COMPUTED_VALUE"""),"Drama")</f>
        <v>Drama</v>
      </c>
      <c r="V698" s="5">
        <f>IFERROR(__xludf.DUMMYFUNCTION("""COMPUTED_VALUE"""),1.0)</f>
        <v>1</v>
      </c>
    </row>
    <row r="699">
      <c r="A699" s="1">
        <v>698.0</v>
      </c>
      <c r="B699" s="1" t="s">
        <v>4172</v>
      </c>
      <c r="C699" s="1" t="s">
        <v>3319</v>
      </c>
      <c r="D699" s="1"/>
      <c r="E699" s="1">
        <v>698.0</v>
      </c>
      <c r="F699" s="1" t="s">
        <v>4172</v>
      </c>
      <c r="G699" s="1" t="str">
        <f>IFERROR(__xludf.DUMMYFUNCTION("SPLIT(C699, "", "")"),"Drama")</f>
        <v>Drama</v>
      </c>
      <c r="H699" s="5" t="str">
        <f>IFERROR(__xludf.DUMMYFUNCTION("""COMPUTED_VALUE"""),"Music")</f>
        <v>Music</v>
      </c>
      <c r="I699" s="5" t="str">
        <f>IFERROR(__xludf.DUMMYFUNCTION("""COMPUTED_VALUE"""),"Musical")</f>
        <v>Musical</v>
      </c>
      <c r="J699" s="5" t="str">
        <f>IFERROR(__xludf.DUMMYFUNCTION("""COMPUTED_VALUE"""),"233🤙🏼No Country for Old Men🤙🏼Drama🤙🏼2")</f>
        <v>233🤙🏼No Country for Old Men🤙🏼Drama🤙🏼2</v>
      </c>
      <c r="K699" s="5">
        <f>IFERROR(__xludf.DUMMYFUNCTION("SPLiT(J699, ""🤙🏼"",FALSE,FALSE)"),233.0)</f>
        <v>233</v>
      </c>
      <c r="L699" s="5" t="str">
        <f>IFERROR(__xludf.DUMMYFUNCTION("""COMPUTED_VALUE"""),"No Country for Old Men")</f>
        <v>No Country for Old Men</v>
      </c>
      <c r="M699" s="5" t="str">
        <f>IFERROR(__xludf.DUMMYFUNCTION("""COMPUTED_VALUE"""),"Drama")</f>
        <v>Drama</v>
      </c>
      <c r="N699" s="5">
        <f>IFERROR(__xludf.DUMMYFUNCTION("""COMPUTED_VALUE"""),2.0)</f>
        <v>2</v>
      </c>
      <c r="S699" s="5">
        <f>IFERROR(__xludf.DUMMYFUNCTION("""COMPUTED_VALUE"""),276.0)</f>
        <v>276</v>
      </c>
      <c r="T699" s="5" t="str">
        <f>IFERROR(__xludf.DUMMYFUNCTION("""COMPUTED_VALUE"""),"Blade Runner")</f>
        <v>Blade Runner</v>
      </c>
      <c r="U699" s="5" t="str">
        <f>IFERROR(__xludf.DUMMYFUNCTION("""COMPUTED_VALUE"""),"Action")</f>
        <v>Action</v>
      </c>
      <c r="V699" s="5">
        <f>IFERROR(__xludf.DUMMYFUNCTION("""COMPUTED_VALUE"""),1.0)</f>
        <v>1</v>
      </c>
    </row>
    <row r="700">
      <c r="A700" s="1">
        <v>699.0</v>
      </c>
      <c r="B700" s="1" t="s">
        <v>4178</v>
      </c>
      <c r="C700" s="1" t="s">
        <v>4179</v>
      </c>
      <c r="D700" s="1"/>
      <c r="E700" s="1">
        <v>699.0</v>
      </c>
      <c r="F700" s="1" t="s">
        <v>4178</v>
      </c>
      <c r="G700" s="1" t="str">
        <f>IFERROR(__xludf.DUMMYFUNCTION("SPLIT(C700, "", "")"),"Family")</f>
        <v>Family</v>
      </c>
      <c r="H700" s="5" t="str">
        <f>IFERROR(__xludf.DUMMYFUNCTION("""COMPUTED_VALUE"""),"Fantasy")</f>
        <v>Fantasy</v>
      </c>
      <c r="I700" s="5" t="str">
        <f>IFERROR(__xludf.DUMMYFUNCTION("""COMPUTED_VALUE"""),"Musical")</f>
        <v>Musical</v>
      </c>
      <c r="J700" s="5" t="str">
        <f>IFERROR(__xludf.DUMMYFUNCTION("""COMPUTED_VALUE"""),"233🤙🏼No Country for Old Men🤙🏼Thriller🤙🏼3")</f>
        <v>233🤙🏼No Country for Old Men🤙🏼Thriller🤙🏼3</v>
      </c>
      <c r="K700" s="5">
        <f>IFERROR(__xludf.DUMMYFUNCTION("SPLiT(J700, ""🤙🏼"",FALSE,FALSE)"),233.0)</f>
        <v>233</v>
      </c>
      <c r="L700" s="5" t="str">
        <f>IFERROR(__xludf.DUMMYFUNCTION("""COMPUTED_VALUE"""),"No Country for Old Men")</f>
        <v>No Country for Old Men</v>
      </c>
      <c r="M700" s="5" t="str">
        <f>IFERROR(__xludf.DUMMYFUNCTION("""COMPUTED_VALUE"""),"Thriller")</f>
        <v>Thriller</v>
      </c>
      <c r="N700" s="5">
        <f>IFERROR(__xludf.DUMMYFUNCTION("""COMPUTED_VALUE"""),3.0)</f>
        <v>3</v>
      </c>
      <c r="S700" s="5">
        <f>IFERROR(__xludf.DUMMYFUNCTION("""COMPUTED_VALUE"""),276.0)</f>
        <v>276</v>
      </c>
      <c r="T700" s="5" t="str">
        <f>IFERROR(__xludf.DUMMYFUNCTION("""COMPUTED_VALUE"""),"Blade Runner")</f>
        <v>Blade Runner</v>
      </c>
      <c r="U700" s="5" t="str">
        <f>IFERROR(__xludf.DUMMYFUNCTION("""COMPUTED_VALUE"""),"Sci-Fi")</f>
        <v>Sci-Fi</v>
      </c>
      <c r="V700" s="5">
        <f>IFERROR(__xludf.DUMMYFUNCTION("""COMPUTED_VALUE"""),2.0)</f>
        <v>2</v>
      </c>
    </row>
    <row r="701">
      <c r="A701" s="1">
        <v>700.0</v>
      </c>
      <c r="B701" s="1" t="s">
        <v>4185</v>
      </c>
      <c r="C701" s="1" t="s">
        <v>20</v>
      </c>
      <c r="D701" s="1"/>
      <c r="E701" s="1">
        <v>700.0</v>
      </c>
      <c r="F701" s="1" t="s">
        <v>4185</v>
      </c>
      <c r="G701" s="1" t="str">
        <f>IFERROR(__xludf.DUMMYFUNCTION("SPLIT(C701, "", "")"),"Drama")</f>
        <v>Drama</v>
      </c>
      <c r="J701" s="5" t="str">
        <f>IFERROR(__xludf.DUMMYFUNCTION("""COMPUTED_VALUE"""),"234🤙🏼Lage Raho Munna Bhai🤙🏼Comedy🤙🏼1")</f>
        <v>234🤙🏼Lage Raho Munna Bhai🤙🏼Comedy🤙🏼1</v>
      </c>
      <c r="K701" s="5">
        <f>IFERROR(__xludf.DUMMYFUNCTION("SPLiT(J701, ""🤙🏼"",FALSE,FALSE)"),234.0)</f>
        <v>234</v>
      </c>
      <c r="L701" s="5" t="str">
        <f>IFERROR(__xludf.DUMMYFUNCTION("""COMPUTED_VALUE"""),"Lage Raho Munna Bhai")</f>
        <v>Lage Raho Munna Bhai</v>
      </c>
      <c r="M701" s="5" t="str">
        <f>IFERROR(__xludf.DUMMYFUNCTION("""COMPUTED_VALUE"""),"Comedy")</f>
        <v>Comedy</v>
      </c>
      <c r="N701" s="5">
        <f>IFERROR(__xludf.DUMMYFUNCTION("""COMPUTED_VALUE"""),1.0)</f>
        <v>1</v>
      </c>
      <c r="S701" s="5">
        <f>IFERROR(__xludf.DUMMYFUNCTION("""COMPUTED_VALUE"""),276.0)</f>
        <v>276</v>
      </c>
      <c r="T701" s="5" t="str">
        <f>IFERROR(__xludf.DUMMYFUNCTION("""COMPUTED_VALUE"""),"Blade Runner")</f>
        <v>Blade Runner</v>
      </c>
      <c r="U701" s="5" t="str">
        <f>IFERROR(__xludf.DUMMYFUNCTION("""COMPUTED_VALUE"""),"Thriller")</f>
        <v>Thriller</v>
      </c>
      <c r="V701" s="5">
        <f>IFERROR(__xludf.DUMMYFUNCTION("""COMPUTED_VALUE"""),3.0)</f>
        <v>3</v>
      </c>
    </row>
    <row r="702">
      <c r="A702" s="1">
        <v>701.0</v>
      </c>
      <c r="B702" s="1" t="s">
        <v>4190</v>
      </c>
      <c r="C702" s="1" t="s">
        <v>4191</v>
      </c>
      <c r="D702" s="1"/>
      <c r="E702" s="1">
        <v>701.0</v>
      </c>
      <c r="F702" s="1" t="s">
        <v>4190</v>
      </c>
      <c r="G702" s="1" t="str">
        <f>IFERROR(__xludf.DUMMYFUNCTION("SPLIT(C702, "", "")"),"Thriller")</f>
        <v>Thriller</v>
      </c>
      <c r="J702" s="5" t="str">
        <f>IFERROR(__xludf.DUMMYFUNCTION("""COMPUTED_VALUE"""),"234🤙🏼Lage Raho Munna Bhai🤙🏼Drama🤙🏼2")</f>
        <v>234🤙🏼Lage Raho Munna Bhai🤙🏼Drama🤙🏼2</v>
      </c>
      <c r="K702" s="5">
        <f>IFERROR(__xludf.DUMMYFUNCTION("SPLiT(J702, ""🤙🏼"",FALSE,FALSE)"),234.0)</f>
        <v>234</v>
      </c>
      <c r="L702" s="5" t="str">
        <f>IFERROR(__xludf.DUMMYFUNCTION("""COMPUTED_VALUE"""),"Lage Raho Munna Bhai")</f>
        <v>Lage Raho Munna Bhai</v>
      </c>
      <c r="M702" s="5" t="str">
        <f>IFERROR(__xludf.DUMMYFUNCTION("""COMPUTED_VALUE"""),"Drama")</f>
        <v>Drama</v>
      </c>
      <c r="N702" s="5">
        <f>IFERROR(__xludf.DUMMYFUNCTION("""COMPUTED_VALUE"""),2.0)</f>
        <v>2</v>
      </c>
      <c r="S702" s="5">
        <f>IFERROR(__xludf.DUMMYFUNCTION("""COMPUTED_VALUE"""),277.0)</f>
        <v>277</v>
      </c>
      <c r="T702" s="5" t="str">
        <f>IFERROR(__xludf.DUMMYFUNCTION("""COMPUTED_VALUE"""),"The Elephant Man")</f>
        <v>The Elephant Man</v>
      </c>
      <c r="U702" s="5" t="str">
        <f>IFERROR(__xludf.DUMMYFUNCTION("""COMPUTED_VALUE"""),"Biography")</f>
        <v>Biography</v>
      </c>
      <c r="V702" s="5">
        <f>IFERROR(__xludf.DUMMYFUNCTION("""COMPUTED_VALUE"""),1.0)</f>
        <v>1</v>
      </c>
    </row>
    <row r="703">
      <c r="A703" s="1">
        <v>702.0</v>
      </c>
      <c r="B703" s="1" t="s">
        <v>4197</v>
      </c>
      <c r="C703" s="1" t="s">
        <v>507</v>
      </c>
      <c r="D703" s="1"/>
      <c r="E703" s="1">
        <v>702.0</v>
      </c>
      <c r="F703" s="1" t="s">
        <v>4197</v>
      </c>
      <c r="G703" s="1" t="str">
        <f>IFERROR(__xludf.DUMMYFUNCTION("SPLIT(C703, "", "")"),"Comedy")</f>
        <v>Comedy</v>
      </c>
      <c r="H703" s="5" t="str">
        <f>IFERROR(__xludf.DUMMYFUNCTION("""COMPUTED_VALUE"""),"Drama")</f>
        <v>Drama</v>
      </c>
      <c r="J703" s="5" t="str">
        <f>IFERROR(__xludf.DUMMYFUNCTION("""COMPUTED_VALUE"""),"234🤙🏼Lage Raho Munna Bhai🤙🏼Romance🤙🏼3")</f>
        <v>234🤙🏼Lage Raho Munna Bhai🤙🏼Romance🤙🏼3</v>
      </c>
      <c r="K703" s="5">
        <f>IFERROR(__xludf.DUMMYFUNCTION("SPLiT(J703, ""🤙🏼"",FALSE,FALSE)"),234.0)</f>
        <v>234</v>
      </c>
      <c r="L703" s="5" t="str">
        <f>IFERROR(__xludf.DUMMYFUNCTION("""COMPUTED_VALUE"""),"Lage Raho Munna Bhai")</f>
        <v>Lage Raho Munna Bhai</v>
      </c>
      <c r="M703" s="5" t="str">
        <f>IFERROR(__xludf.DUMMYFUNCTION("""COMPUTED_VALUE"""),"Romance")</f>
        <v>Romance</v>
      </c>
      <c r="N703" s="5">
        <f>IFERROR(__xludf.DUMMYFUNCTION("""COMPUTED_VALUE"""),3.0)</f>
        <v>3</v>
      </c>
      <c r="S703" s="5">
        <f>IFERROR(__xludf.DUMMYFUNCTION("""COMPUTED_VALUE"""),277.0)</f>
        <v>277</v>
      </c>
      <c r="T703" s="5" t="str">
        <f>IFERROR(__xludf.DUMMYFUNCTION("""COMPUTED_VALUE"""),"The Elephant Man")</f>
        <v>The Elephant Man</v>
      </c>
      <c r="U703" s="5" t="str">
        <f>IFERROR(__xludf.DUMMYFUNCTION("""COMPUTED_VALUE"""),"Drama")</f>
        <v>Drama</v>
      </c>
      <c r="V703" s="5">
        <f>IFERROR(__xludf.DUMMYFUNCTION("""COMPUTED_VALUE"""),2.0)</f>
        <v>2</v>
      </c>
    </row>
    <row r="704">
      <c r="A704" s="1">
        <v>703.0</v>
      </c>
      <c r="B704" s="1" t="s">
        <v>4200</v>
      </c>
      <c r="C704" s="1" t="s">
        <v>1045</v>
      </c>
      <c r="D704" s="1"/>
      <c r="E704" s="1">
        <v>703.0</v>
      </c>
      <c r="F704" s="1" t="s">
        <v>4200</v>
      </c>
      <c r="G704" s="1" t="str">
        <f>IFERROR(__xludf.DUMMYFUNCTION("SPLIT(C704, "", "")"),"Action")</f>
        <v>Action</v>
      </c>
      <c r="H704" s="5" t="str">
        <f>IFERROR(__xludf.DUMMYFUNCTION("""COMPUTED_VALUE"""),"Biography")</f>
        <v>Biography</v>
      </c>
      <c r="I704" s="5" t="str">
        <f>IFERROR(__xludf.DUMMYFUNCTION("""COMPUTED_VALUE"""),"Crime")</f>
        <v>Crime</v>
      </c>
      <c r="J704" s="5" t="str">
        <f>IFERROR(__xludf.DUMMYFUNCTION("""COMPUTED_VALUE"""),"235🤙🏼Million Dollar Baby🤙🏼Drama🤙🏼1")</f>
        <v>235🤙🏼Million Dollar Baby🤙🏼Drama🤙🏼1</v>
      </c>
      <c r="K704" s="5">
        <f>IFERROR(__xludf.DUMMYFUNCTION("SPLiT(J704, ""🤙🏼"",FALSE,FALSE)"),235.0)</f>
        <v>235</v>
      </c>
      <c r="L704" s="5" t="str">
        <f>IFERROR(__xludf.DUMMYFUNCTION("""COMPUTED_VALUE"""),"Million Dollar Baby")</f>
        <v>Million Dollar Baby</v>
      </c>
      <c r="M704" s="5" t="str">
        <f>IFERROR(__xludf.DUMMYFUNCTION("""COMPUTED_VALUE"""),"Drama")</f>
        <v>Drama</v>
      </c>
      <c r="N704" s="5">
        <f>IFERROR(__xludf.DUMMYFUNCTION("""COMPUTED_VALUE"""),1.0)</f>
        <v>1</v>
      </c>
      <c r="S704" s="5">
        <f>IFERROR(__xludf.DUMMYFUNCTION("""COMPUTED_VALUE"""),278.0)</f>
        <v>278</v>
      </c>
      <c r="T704" s="5" t="str">
        <f>IFERROR(__xludf.DUMMYFUNCTION("""COMPUTED_VALUE"""),"Life of Brian")</f>
        <v>Life of Brian</v>
      </c>
      <c r="U704" s="5" t="str">
        <f>IFERROR(__xludf.DUMMYFUNCTION("""COMPUTED_VALUE"""),"Comedy")</f>
        <v>Comedy</v>
      </c>
      <c r="V704" s="5">
        <f>IFERROR(__xludf.DUMMYFUNCTION("""COMPUTED_VALUE"""),1.0)</f>
        <v>1</v>
      </c>
    </row>
    <row r="705">
      <c r="A705" s="1">
        <v>704.0</v>
      </c>
      <c r="B705" s="1" t="s">
        <v>4205</v>
      </c>
      <c r="C705" s="1" t="s">
        <v>2709</v>
      </c>
      <c r="D705" s="1"/>
      <c r="E705" s="1">
        <v>704.0</v>
      </c>
      <c r="F705" s="1" t="s">
        <v>4205</v>
      </c>
      <c r="G705" s="1" t="str">
        <f>IFERROR(__xludf.DUMMYFUNCTION("SPLIT(C705, "", "")"),"Drama")</f>
        <v>Drama</v>
      </c>
      <c r="H705" s="5" t="str">
        <f>IFERROR(__xludf.DUMMYFUNCTION("""COMPUTED_VALUE"""),"Family")</f>
        <v>Family</v>
      </c>
      <c r="I705" s="5" t="str">
        <f>IFERROR(__xludf.DUMMYFUNCTION("""COMPUTED_VALUE"""),"Musical")</f>
        <v>Musical</v>
      </c>
      <c r="J705" s="5" t="str">
        <f>IFERROR(__xludf.DUMMYFUNCTION("""COMPUTED_VALUE"""),"235🤙🏼Million Dollar Baby🤙🏼Sport🤙🏼2")</f>
        <v>235🤙🏼Million Dollar Baby🤙🏼Sport🤙🏼2</v>
      </c>
      <c r="K705" s="5">
        <f>IFERROR(__xludf.DUMMYFUNCTION("SPLiT(J705, ""🤙🏼"",FALSE,FALSE)"),235.0)</f>
        <v>235</v>
      </c>
      <c r="L705" s="5" t="str">
        <f>IFERROR(__xludf.DUMMYFUNCTION("""COMPUTED_VALUE"""),"Million Dollar Baby")</f>
        <v>Million Dollar Baby</v>
      </c>
      <c r="M705" s="5" t="str">
        <f>IFERROR(__xludf.DUMMYFUNCTION("""COMPUTED_VALUE"""),"Sport")</f>
        <v>Sport</v>
      </c>
      <c r="N705" s="5">
        <f>IFERROR(__xludf.DUMMYFUNCTION("""COMPUTED_VALUE"""),2.0)</f>
        <v>2</v>
      </c>
      <c r="S705" s="5">
        <f>IFERROR(__xludf.DUMMYFUNCTION("""COMPUTED_VALUE"""),279.0)</f>
        <v>279</v>
      </c>
      <c r="T705" s="5" t="str">
        <f>IFERROR(__xludf.DUMMYFUNCTION("""COMPUTED_VALUE"""),"The Deer Hunter")</f>
        <v>The Deer Hunter</v>
      </c>
      <c r="U705" s="5" t="str">
        <f>IFERROR(__xludf.DUMMYFUNCTION("""COMPUTED_VALUE"""),"Drama")</f>
        <v>Drama</v>
      </c>
      <c r="V705" s="5">
        <f>IFERROR(__xludf.DUMMYFUNCTION("""COMPUTED_VALUE"""),1.0)</f>
        <v>1</v>
      </c>
    </row>
    <row r="706">
      <c r="A706" s="1">
        <v>705.0</v>
      </c>
      <c r="B706" s="1" t="s">
        <v>4209</v>
      </c>
      <c r="C706" s="1" t="s">
        <v>4210</v>
      </c>
      <c r="D706" s="1"/>
      <c r="E706" s="1">
        <v>705.0</v>
      </c>
      <c r="F706" s="1" t="s">
        <v>4209</v>
      </c>
      <c r="G706" s="1" t="str">
        <f>IFERROR(__xludf.DUMMYFUNCTION("SPLIT(C706, "", "")"),"Comedy")</f>
        <v>Comedy</v>
      </c>
      <c r="H706" s="5" t="str">
        <f>IFERROR(__xludf.DUMMYFUNCTION("""COMPUTED_VALUE"""),"Family")</f>
        <v>Family</v>
      </c>
      <c r="I706" s="5" t="str">
        <f>IFERROR(__xludf.DUMMYFUNCTION("""COMPUTED_VALUE"""),"Fantasy")</f>
        <v>Fantasy</v>
      </c>
      <c r="J706" s="5" t="str">
        <f>IFERROR(__xludf.DUMMYFUNCTION("""COMPUTED_VALUE"""),"235🤙🏼Million Dollar Baby🤙🏼🤙🏼3")</f>
        <v>235🤙🏼Million Dollar Baby🤙🏼🤙🏼3</v>
      </c>
      <c r="K706" s="5">
        <f>IFERROR(__xludf.DUMMYFUNCTION("SPLiT(J706, ""🤙🏼"",FALSE,FALSE)"),235.0)</f>
        <v>235</v>
      </c>
      <c r="L706" s="5" t="str">
        <f>IFERROR(__xludf.DUMMYFUNCTION("""COMPUTED_VALUE"""),"Million Dollar Baby")</f>
        <v>Million Dollar Baby</v>
      </c>
      <c r="M706" s="5"/>
      <c r="N706" s="5">
        <f>IFERROR(__xludf.DUMMYFUNCTION("""COMPUTED_VALUE"""),3.0)</f>
        <v>3</v>
      </c>
      <c r="S706" s="5">
        <f>IFERROR(__xludf.DUMMYFUNCTION("""COMPUTED_VALUE"""),279.0)</f>
        <v>279</v>
      </c>
      <c r="T706" s="5" t="str">
        <f>IFERROR(__xludf.DUMMYFUNCTION("""COMPUTED_VALUE"""),"The Deer Hunter")</f>
        <v>The Deer Hunter</v>
      </c>
      <c r="U706" s="5" t="str">
        <f>IFERROR(__xludf.DUMMYFUNCTION("""COMPUTED_VALUE"""),"War")</f>
        <v>War</v>
      </c>
      <c r="V706" s="5">
        <f>IFERROR(__xludf.DUMMYFUNCTION("""COMPUTED_VALUE"""),2.0)</f>
        <v>2</v>
      </c>
    </row>
    <row r="707">
      <c r="A707" s="1">
        <v>706.0</v>
      </c>
      <c r="B707" s="1" t="s">
        <v>4216</v>
      </c>
      <c r="C707" s="1" t="s">
        <v>3536</v>
      </c>
      <c r="D707" s="1"/>
      <c r="E707" s="1">
        <v>706.0</v>
      </c>
      <c r="F707" s="1" t="s">
        <v>4216</v>
      </c>
      <c r="G707" s="1" t="str">
        <f>IFERROR(__xludf.DUMMYFUNCTION("SPLIT(C707, "", "")"),"Action")</f>
        <v>Action</v>
      </c>
      <c r="H707" s="5" t="str">
        <f>IFERROR(__xludf.DUMMYFUNCTION("""COMPUTED_VALUE"""),"Drama")</f>
        <v>Drama</v>
      </c>
      <c r="I707" s="5" t="str">
        <f>IFERROR(__xludf.DUMMYFUNCTION("""COMPUTED_VALUE"""),"History")</f>
        <v>History</v>
      </c>
      <c r="J707" s="5" t="str">
        <f>IFERROR(__xludf.DUMMYFUNCTION("""COMPUTED_VALUE"""),"236🤙🏼Hotel Rwanda🤙🏼Biography🤙🏼1")</f>
        <v>236🤙🏼Hotel Rwanda🤙🏼Biography🤙🏼1</v>
      </c>
      <c r="K707" s="5">
        <f>IFERROR(__xludf.DUMMYFUNCTION("SPLiT(J707, ""🤙🏼"",FALSE,FALSE)"),236.0)</f>
        <v>236</v>
      </c>
      <c r="L707" s="5" t="str">
        <f>IFERROR(__xludf.DUMMYFUNCTION("""COMPUTED_VALUE"""),"Hotel Rwanda")</f>
        <v>Hotel Rwanda</v>
      </c>
      <c r="M707" s="5" t="str">
        <f>IFERROR(__xludf.DUMMYFUNCTION("""COMPUTED_VALUE"""),"Biography")</f>
        <v>Biography</v>
      </c>
      <c r="N707" s="5">
        <f>IFERROR(__xludf.DUMMYFUNCTION("""COMPUTED_VALUE"""),1.0)</f>
        <v>1</v>
      </c>
      <c r="S707" s="5">
        <f>IFERROR(__xludf.DUMMYFUNCTION("""COMPUTED_VALUE"""),280.0)</f>
        <v>280</v>
      </c>
      <c r="T707" s="5" t="str">
        <f>IFERROR(__xludf.DUMMYFUNCTION("""COMPUTED_VALUE"""),"Rocky")</f>
        <v>Rocky</v>
      </c>
      <c r="U707" s="5" t="str">
        <f>IFERROR(__xludf.DUMMYFUNCTION("""COMPUTED_VALUE"""),"Drama")</f>
        <v>Drama</v>
      </c>
      <c r="V707" s="5">
        <f>IFERROR(__xludf.DUMMYFUNCTION("""COMPUTED_VALUE"""),1.0)</f>
        <v>1</v>
      </c>
    </row>
    <row r="708">
      <c r="A708" s="1">
        <v>707.0</v>
      </c>
      <c r="B708" s="1" t="s">
        <v>4223</v>
      </c>
      <c r="C708" s="1" t="s">
        <v>107</v>
      </c>
      <c r="D708" s="1"/>
      <c r="E708" s="1">
        <v>707.0</v>
      </c>
      <c r="F708" s="1" t="s">
        <v>4223</v>
      </c>
      <c r="G708" s="1" t="str">
        <f>IFERROR(__xludf.DUMMYFUNCTION("SPLIT(C708, "", "")"),"Drama")</f>
        <v>Drama</v>
      </c>
      <c r="H708" s="5" t="str">
        <f>IFERROR(__xludf.DUMMYFUNCTION("""COMPUTED_VALUE"""),"Romance")</f>
        <v>Romance</v>
      </c>
      <c r="J708" s="5" t="str">
        <f>IFERROR(__xludf.DUMMYFUNCTION("""COMPUTED_VALUE"""),"236🤙🏼Hotel Rwanda🤙🏼Drama🤙🏼2")</f>
        <v>236🤙🏼Hotel Rwanda🤙🏼Drama🤙🏼2</v>
      </c>
      <c r="K708" s="5">
        <f>IFERROR(__xludf.DUMMYFUNCTION("SPLiT(J708, ""🤙🏼"",FALSE,FALSE)"),236.0)</f>
        <v>236</v>
      </c>
      <c r="L708" s="5" t="str">
        <f>IFERROR(__xludf.DUMMYFUNCTION("""COMPUTED_VALUE"""),"Hotel Rwanda")</f>
        <v>Hotel Rwanda</v>
      </c>
      <c r="M708" s="5" t="str">
        <f>IFERROR(__xludf.DUMMYFUNCTION("""COMPUTED_VALUE"""),"Drama")</f>
        <v>Drama</v>
      </c>
      <c r="N708" s="5">
        <f>IFERROR(__xludf.DUMMYFUNCTION("""COMPUTED_VALUE"""),2.0)</f>
        <v>2</v>
      </c>
      <c r="S708" s="5">
        <f>IFERROR(__xludf.DUMMYFUNCTION("""COMPUTED_VALUE"""),280.0)</f>
        <v>280</v>
      </c>
      <c r="T708" s="5" t="str">
        <f>IFERROR(__xludf.DUMMYFUNCTION("""COMPUTED_VALUE"""),"Rocky")</f>
        <v>Rocky</v>
      </c>
      <c r="U708" s="5" t="str">
        <f>IFERROR(__xludf.DUMMYFUNCTION("""COMPUTED_VALUE"""),"Sport")</f>
        <v>Sport</v>
      </c>
      <c r="V708" s="5">
        <f>IFERROR(__xludf.DUMMYFUNCTION("""COMPUTED_VALUE"""),2.0)</f>
        <v>2</v>
      </c>
    </row>
    <row r="709">
      <c r="A709" s="1">
        <v>708.0</v>
      </c>
      <c r="B709" s="1" t="s">
        <v>4229</v>
      </c>
      <c r="C709" s="1" t="s">
        <v>2696</v>
      </c>
      <c r="D709" s="1"/>
      <c r="E709" s="1">
        <v>708.0</v>
      </c>
      <c r="F709" s="1" t="s">
        <v>4229</v>
      </c>
      <c r="G709" s="1" t="str">
        <f>IFERROR(__xludf.DUMMYFUNCTION("SPLIT(C709, "", "")"),"Horror")</f>
        <v>Horror</v>
      </c>
      <c r="J709" s="5" t="str">
        <f>IFERROR(__xludf.DUMMYFUNCTION("""COMPUTED_VALUE"""),"236🤙🏼Hotel Rwanda🤙🏼History🤙🏼3")</f>
        <v>236🤙🏼Hotel Rwanda🤙🏼History🤙🏼3</v>
      </c>
      <c r="K709" s="5">
        <f>IFERROR(__xludf.DUMMYFUNCTION("SPLiT(J709, ""🤙🏼"",FALSE,FALSE)"),236.0)</f>
        <v>236</v>
      </c>
      <c r="L709" s="5" t="str">
        <f>IFERROR(__xludf.DUMMYFUNCTION("""COMPUTED_VALUE"""),"Hotel Rwanda")</f>
        <v>Hotel Rwanda</v>
      </c>
      <c r="M709" s="5" t="str">
        <f>IFERROR(__xludf.DUMMYFUNCTION("""COMPUTED_VALUE"""),"History")</f>
        <v>History</v>
      </c>
      <c r="N709" s="5">
        <f>IFERROR(__xludf.DUMMYFUNCTION("""COMPUTED_VALUE"""),3.0)</f>
        <v>3</v>
      </c>
      <c r="S709" s="5">
        <f>IFERROR(__xludf.DUMMYFUNCTION("""COMPUTED_VALUE"""),281.0)</f>
        <v>281</v>
      </c>
      <c r="T709" s="5" t="str">
        <f>IFERROR(__xludf.DUMMYFUNCTION("""COMPUTED_VALUE"""),"Network")</f>
        <v>Network</v>
      </c>
      <c r="U709" s="5" t="str">
        <f>IFERROR(__xludf.DUMMYFUNCTION("""COMPUTED_VALUE"""),"Drama")</f>
        <v>Drama</v>
      </c>
      <c r="V709" s="5">
        <f>IFERROR(__xludf.DUMMYFUNCTION("""COMPUTED_VALUE"""),1.0)</f>
        <v>1</v>
      </c>
    </row>
    <row r="710">
      <c r="A710" s="1">
        <v>709.0</v>
      </c>
      <c r="B710" s="1" t="s">
        <v>4236</v>
      </c>
      <c r="C710" s="1" t="s">
        <v>29</v>
      </c>
      <c r="D710" s="1"/>
      <c r="E710" s="1">
        <v>709.0</v>
      </c>
      <c r="F710" s="1" t="s">
        <v>4236</v>
      </c>
      <c r="G710" s="1" t="str">
        <f>IFERROR(__xludf.DUMMYFUNCTION("SPLIT(C710, "", "")"),"Crime")</f>
        <v>Crime</v>
      </c>
      <c r="H710" s="5" t="str">
        <f>IFERROR(__xludf.DUMMYFUNCTION("""COMPUTED_VALUE"""),"Drama")</f>
        <v>Drama</v>
      </c>
      <c r="J710" s="5" t="str">
        <f>IFERROR(__xludf.DUMMYFUNCTION("""COMPUTED_VALUE"""),"237🤙🏼Taegukgi hwinalrimyeo🤙🏼Action🤙🏼1")</f>
        <v>237🤙🏼Taegukgi hwinalrimyeo🤙🏼Action🤙🏼1</v>
      </c>
      <c r="K710" s="5">
        <f>IFERROR(__xludf.DUMMYFUNCTION("SPLiT(J710, ""🤙🏼"",FALSE,FALSE)"),237.0)</f>
        <v>237</v>
      </c>
      <c r="L710" s="5" t="str">
        <f>IFERROR(__xludf.DUMMYFUNCTION("""COMPUTED_VALUE"""),"Taegukgi hwinalrimyeo")</f>
        <v>Taegukgi hwinalrimyeo</v>
      </c>
      <c r="M710" s="5" t="str">
        <f>IFERROR(__xludf.DUMMYFUNCTION("""COMPUTED_VALUE"""),"Action")</f>
        <v>Action</v>
      </c>
      <c r="N710" s="5">
        <f>IFERROR(__xludf.DUMMYFUNCTION("""COMPUTED_VALUE"""),1.0)</f>
        <v>1</v>
      </c>
      <c r="S710" s="5">
        <f>IFERROR(__xludf.DUMMYFUNCTION("""COMPUTED_VALUE"""),282.0)</f>
        <v>282</v>
      </c>
      <c r="T710" s="5" t="str">
        <f>IFERROR(__xludf.DUMMYFUNCTION("""COMPUTED_VALUE"""),"Barry Lyndon")</f>
        <v>Barry Lyndon</v>
      </c>
      <c r="U710" s="5" t="str">
        <f>IFERROR(__xludf.DUMMYFUNCTION("""COMPUTED_VALUE"""),"Adventure")</f>
        <v>Adventure</v>
      </c>
      <c r="V710" s="5">
        <f>IFERROR(__xludf.DUMMYFUNCTION("""COMPUTED_VALUE"""),1.0)</f>
        <v>1</v>
      </c>
    </row>
    <row r="711">
      <c r="A711" s="1">
        <v>710.0</v>
      </c>
      <c r="B711" s="1" t="s">
        <v>4242</v>
      </c>
      <c r="C711" s="1" t="s">
        <v>62</v>
      </c>
      <c r="D711" s="1"/>
      <c r="E711" s="1">
        <v>710.0</v>
      </c>
      <c r="F711" s="1" t="s">
        <v>4242</v>
      </c>
      <c r="G711" s="1" t="str">
        <f>IFERROR(__xludf.DUMMYFUNCTION("SPLIT(C711, "", "")"),"Action")</f>
        <v>Action</v>
      </c>
      <c r="H711" s="5" t="str">
        <f>IFERROR(__xludf.DUMMYFUNCTION("""COMPUTED_VALUE"""),"Adventure")</f>
        <v>Adventure</v>
      </c>
      <c r="I711" s="5" t="str">
        <f>IFERROR(__xludf.DUMMYFUNCTION("""COMPUTED_VALUE"""),"Drama")</f>
        <v>Drama</v>
      </c>
      <c r="J711" s="5" t="str">
        <f>IFERROR(__xludf.DUMMYFUNCTION("""COMPUTED_VALUE"""),"237🤙🏼Taegukgi hwinalrimyeo🤙🏼Drama🤙🏼2")</f>
        <v>237🤙🏼Taegukgi hwinalrimyeo🤙🏼Drama🤙🏼2</v>
      </c>
      <c r="K711" s="5">
        <f>IFERROR(__xludf.DUMMYFUNCTION("SPLiT(J711, ""🤙🏼"",FALSE,FALSE)"),237.0)</f>
        <v>237</v>
      </c>
      <c r="L711" s="5" t="str">
        <f>IFERROR(__xludf.DUMMYFUNCTION("""COMPUTED_VALUE"""),"Taegukgi hwinalrimyeo")</f>
        <v>Taegukgi hwinalrimyeo</v>
      </c>
      <c r="M711" s="5" t="str">
        <f>IFERROR(__xludf.DUMMYFUNCTION("""COMPUTED_VALUE"""),"Drama")</f>
        <v>Drama</v>
      </c>
      <c r="N711" s="5">
        <f>IFERROR(__xludf.DUMMYFUNCTION("""COMPUTED_VALUE"""),2.0)</f>
        <v>2</v>
      </c>
      <c r="S711" s="5">
        <f>IFERROR(__xludf.DUMMYFUNCTION("""COMPUTED_VALUE"""),282.0)</f>
        <v>282</v>
      </c>
      <c r="T711" s="5" t="str">
        <f>IFERROR(__xludf.DUMMYFUNCTION("""COMPUTED_VALUE"""),"Barry Lyndon")</f>
        <v>Barry Lyndon</v>
      </c>
      <c r="U711" s="5" t="str">
        <f>IFERROR(__xludf.DUMMYFUNCTION("""COMPUTED_VALUE"""),"Drama")</f>
        <v>Drama</v>
      </c>
      <c r="V711" s="5">
        <f>IFERROR(__xludf.DUMMYFUNCTION("""COMPUTED_VALUE"""),2.0)</f>
        <v>2</v>
      </c>
    </row>
    <row r="712">
      <c r="A712" s="1">
        <v>711.0</v>
      </c>
      <c r="B712" s="1" t="s">
        <v>4247</v>
      </c>
      <c r="C712" s="1" t="s">
        <v>39</v>
      </c>
      <c r="D712" s="1"/>
      <c r="E712" s="1">
        <v>711.0</v>
      </c>
      <c r="F712" s="1" t="s">
        <v>4247</v>
      </c>
      <c r="G712" s="1" t="str">
        <f>IFERROR(__xludf.DUMMYFUNCTION("SPLIT(C712, "", "")"),"Action")</f>
        <v>Action</v>
      </c>
      <c r="H712" s="5" t="str">
        <f>IFERROR(__xludf.DUMMYFUNCTION("""COMPUTED_VALUE"""),"Crime")</f>
        <v>Crime</v>
      </c>
      <c r="I712" s="5" t="str">
        <f>IFERROR(__xludf.DUMMYFUNCTION("""COMPUTED_VALUE"""),"Drama")</f>
        <v>Drama</v>
      </c>
      <c r="J712" s="5" t="str">
        <f>IFERROR(__xludf.DUMMYFUNCTION("""COMPUTED_VALUE"""),"237🤙🏼Taegukgi hwinalrimyeo🤙🏼War🤙🏼3")</f>
        <v>237🤙🏼Taegukgi hwinalrimyeo🤙🏼War🤙🏼3</v>
      </c>
      <c r="K712" s="5">
        <f>IFERROR(__xludf.DUMMYFUNCTION("SPLiT(J712, ""🤙🏼"",FALSE,FALSE)"),237.0)</f>
        <v>237</v>
      </c>
      <c r="L712" s="5" t="str">
        <f>IFERROR(__xludf.DUMMYFUNCTION("""COMPUTED_VALUE"""),"Taegukgi hwinalrimyeo")</f>
        <v>Taegukgi hwinalrimyeo</v>
      </c>
      <c r="M712" s="5" t="str">
        <f>IFERROR(__xludf.DUMMYFUNCTION("""COMPUTED_VALUE"""),"War")</f>
        <v>War</v>
      </c>
      <c r="N712" s="5">
        <f>IFERROR(__xludf.DUMMYFUNCTION("""COMPUTED_VALUE"""),3.0)</f>
        <v>3</v>
      </c>
      <c r="S712" s="5">
        <f>IFERROR(__xludf.DUMMYFUNCTION("""COMPUTED_VALUE"""),282.0)</f>
        <v>282</v>
      </c>
      <c r="T712" s="5" t="str">
        <f>IFERROR(__xludf.DUMMYFUNCTION("""COMPUTED_VALUE"""),"Barry Lyndon")</f>
        <v>Barry Lyndon</v>
      </c>
      <c r="U712" s="5" t="str">
        <f>IFERROR(__xludf.DUMMYFUNCTION("""COMPUTED_VALUE"""),"History")</f>
        <v>History</v>
      </c>
      <c r="V712" s="5">
        <f>IFERROR(__xludf.DUMMYFUNCTION("""COMPUTED_VALUE"""),3.0)</f>
        <v>3</v>
      </c>
    </row>
    <row r="713">
      <c r="A713" s="1">
        <v>712.0</v>
      </c>
      <c r="B713" s="1" t="s">
        <v>4249</v>
      </c>
      <c r="C713" s="1" t="s">
        <v>4250</v>
      </c>
      <c r="D713" s="1"/>
      <c r="E713" s="1">
        <v>712.0</v>
      </c>
      <c r="F713" s="1" t="s">
        <v>4249</v>
      </c>
      <c r="G713" s="1" t="str">
        <f>IFERROR(__xludf.DUMMYFUNCTION("SPLIT(C713, "", "")"),"Adventure")</f>
        <v>Adventure</v>
      </c>
      <c r="H713" s="5" t="str">
        <f>IFERROR(__xludf.DUMMYFUNCTION("""COMPUTED_VALUE"""),"Comedy")</f>
        <v>Comedy</v>
      </c>
      <c r="I713" s="5" t="str">
        <f>IFERROR(__xludf.DUMMYFUNCTION("""COMPUTED_VALUE"""),"Film-Noir")</f>
        <v>Film-Noir</v>
      </c>
      <c r="J713" s="5" t="str">
        <f>IFERROR(__xludf.DUMMYFUNCTION("""COMPUTED_VALUE"""),"238🤙🏼Before Sunset🤙🏼Drama🤙🏼1")</f>
        <v>238🤙🏼Before Sunset🤙🏼Drama🤙🏼1</v>
      </c>
      <c r="K713" s="5">
        <f>IFERROR(__xludf.DUMMYFUNCTION("SPLiT(J713, ""🤙🏼"",FALSE,FALSE)"),238.0)</f>
        <v>238</v>
      </c>
      <c r="L713" s="5" t="str">
        <f>IFERROR(__xludf.DUMMYFUNCTION("""COMPUTED_VALUE"""),"Before Sunset")</f>
        <v>Before Sunset</v>
      </c>
      <c r="M713" s="5" t="str">
        <f>IFERROR(__xludf.DUMMYFUNCTION("""COMPUTED_VALUE"""),"Drama")</f>
        <v>Drama</v>
      </c>
      <c r="N713" s="5">
        <f>IFERROR(__xludf.DUMMYFUNCTION("""COMPUTED_VALUE"""),1.0)</f>
        <v>1</v>
      </c>
      <c r="S713" s="5">
        <f>IFERROR(__xludf.DUMMYFUNCTION("""COMPUTED_VALUE"""),283.0)</f>
        <v>283</v>
      </c>
      <c r="T713" s="5" t="str">
        <f>IFERROR(__xludf.DUMMYFUNCTION("""COMPUTED_VALUE"""),"Zerkalo")</f>
        <v>Zerkalo</v>
      </c>
      <c r="U713" s="5" t="str">
        <f>IFERROR(__xludf.DUMMYFUNCTION("""COMPUTED_VALUE"""),"Biography")</f>
        <v>Biography</v>
      </c>
      <c r="V713" s="5">
        <f>IFERROR(__xludf.DUMMYFUNCTION("""COMPUTED_VALUE"""),1.0)</f>
        <v>1</v>
      </c>
    </row>
    <row r="714">
      <c r="A714" s="1">
        <v>713.0</v>
      </c>
      <c r="B714" s="1" t="s">
        <v>4254</v>
      </c>
      <c r="C714" s="1" t="s">
        <v>4255</v>
      </c>
      <c r="D714" s="1"/>
      <c r="E714" s="1">
        <v>713.0</v>
      </c>
      <c r="F714" s="1" t="s">
        <v>4254</v>
      </c>
      <c r="G714" s="1" t="str">
        <f>IFERROR(__xludf.DUMMYFUNCTION("SPLIT(C714, "", "")"),"Film-Noir")</f>
        <v>Film-Noir</v>
      </c>
      <c r="H714" s="5" t="str">
        <f>IFERROR(__xludf.DUMMYFUNCTION("""COMPUTED_VALUE"""),"Thriller")</f>
        <v>Thriller</v>
      </c>
      <c r="J714" s="5" t="str">
        <f>IFERROR(__xludf.DUMMYFUNCTION("""COMPUTED_VALUE"""),"238🤙🏼Before Sunset🤙🏼Romance🤙🏼2")</f>
        <v>238🤙🏼Before Sunset🤙🏼Romance🤙🏼2</v>
      </c>
      <c r="K714" s="5">
        <f>IFERROR(__xludf.DUMMYFUNCTION("SPLiT(J714, ""🤙🏼"",FALSE,FALSE)"),238.0)</f>
        <v>238</v>
      </c>
      <c r="L714" s="5" t="str">
        <f>IFERROR(__xludf.DUMMYFUNCTION("""COMPUTED_VALUE"""),"Before Sunset")</f>
        <v>Before Sunset</v>
      </c>
      <c r="M714" s="5" t="str">
        <f>IFERROR(__xludf.DUMMYFUNCTION("""COMPUTED_VALUE"""),"Romance")</f>
        <v>Romance</v>
      </c>
      <c r="N714" s="5">
        <f>IFERROR(__xludf.DUMMYFUNCTION("""COMPUTED_VALUE"""),2.0)</f>
        <v>2</v>
      </c>
      <c r="S714" s="5">
        <f>IFERROR(__xludf.DUMMYFUNCTION("""COMPUTED_VALUE"""),283.0)</f>
        <v>283</v>
      </c>
      <c r="T714" s="5" t="str">
        <f>IFERROR(__xludf.DUMMYFUNCTION("""COMPUTED_VALUE"""),"Zerkalo")</f>
        <v>Zerkalo</v>
      </c>
      <c r="U714" s="5" t="str">
        <f>IFERROR(__xludf.DUMMYFUNCTION("""COMPUTED_VALUE"""),"Drama")</f>
        <v>Drama</v>
      </c>
      <c r="V714" s="5">
        <f>IFERROR(__xludf.DUMMYFUNCTION("""COMPUTED_VALUE"""),2.0)</f>
        <v>2</v>
      </c>
    </row>
    <row r="715">
      <c r="A715" s="1">
        <v>714.0</v>
      </c>
      <c r="B715" s="1" t="s">
        <v>4259</v>
      </c>
      <c r="C715" s="1" t="s">
        <v>1344</v>
      </c>
      <c r="D715" s="1"/>
      <c r="E715" s="1">
        <v>714.0</v>
      </c>
      <c r="F715" s="1" t="s">
        <v>4259</v>
      </c>
      <c r="G715" s="1" t="str">
        <f>IFERROR(__xludf.DUMMYFUNCTION("SPLIT(C715, "", "")"),"Adventure")</f>
        <v>Adventure</v>
      </c>
      <c r="H715" s="5" t="str">
        <f>IFERROR(__xludf.DUMMYFUNCTION("""COMPUTED_VALUE"""),"Drama")</f>
        <v>Drama</v>
      </c>
      <c r="I715" s="5" t="str">
        <f>IFERROR(__xludf.DUMMYFUNCTION("""COMPUTED_VALUE"""),"Western")</f>
        <v>Western</v>
      </c>
      <c r="J715" s="5" t="str">
        <f>IFERROR(__xludf.DUMMYFUNCTION("""COMPUTED_VALUE"""),"238🤙🏼Before Sunset🤙🏼🤙🏼3")</f>
        <v>238🤙🏼Before Sunset🤙🏼🤙🏼3</v>
      </c>
      <c r="K715" s="5">
        <f>IFERROR(__xludf.DUMMYFUNCTION("SPLiT(J715, ""🤙🏼"",FALSE,FALSE)"),238.0)</f>
        <v>238</v>
      </c>
      <c r="L715" s="5" t="str">
        <f>IFERROR(__xludf.DUMMYFUNCTION("""COMPUTED_VALUE"""),"Before Sunset")</f>
        <v>Before Sunset</v>
      </c>
      <c r="M715" s="5"/>
      <c r="N715" s="5">
        <f>IFERROR(__xludf.DUMMYFUNCTION("""COMPUTED_VALUE"""),3.0)</f>
        <v>3</v>
      </c>
      <c r="S715" s="5">
        <f>IFERROR(__xludf.DUMMYFUNCTION("""COMPUTED_VALUE"""),284.0)</f>
        <v>284</v>
      </c>
      <c r="T715" s="5" t="str">
        <f>IFERROR(__xludf.DUMMYFUNCTION("""COMPUTED_VALUE"""),"Chinatown")</f>
        <v>Chinatown</v>
      </c>
      <c r="U715" s="5" t="str">
        <f>IFERROR(__xludf.DUMMYFUNCTION("""COMPUTED_VALUE"""),"Drama")</f>
        <v>Drama</v>
      </c>
      <c r="V715" s="5">
        <f>IFERROR(__xludf.DUMMYFUNCTION("""COMPUTED_VALUE"""),1.0)</f>
        <v>1</v>
      </c>
    </row>
    <row r="716">
      <c r="A716" s="1">
        <v>715.0</v>
      </c>
      <c r="B716" s="1" t="s">
        <v>4263</v>
      </c>
      <c r="C716" s="1" t="s">
        <v>544</v>
      </c>
      <c r="D716" s="1"/>
      <c r="E716" s="1">
        <v>715.0</v>
      </c>
      <c r="F716" s="1" t="s">
        <v>4263</v>
      </c>
      <c r="G716" s="1" t="str">
        <f>IFERROR(__xludf.DUMMYFUNCTION("SPLIT(C716, "", "")"),"Mystery")</f>
        <v>Mystery</v>
      </c>
      <c r="H716" s="5" t="str">
        <f>IFERROR(__xludf.DUMMYFUNCTION("""COMPUTED_VALUE"""),"Thriller")</f>
        <v>Thriller</v>
      </c>
      <c r="J716" s="5" t="str">
        <f>IFERROR(__xludf.DUMMYFUNCTION("""COMPUTED_VALUE"""),"239🤙🏼Munna Bhai M.B.B.S.🤙🏼Comedy🤙🏼1")</f>
        <v>239🤙🏼Munna Bhai M.B.B.S.🤙🏼Comedy🤙🏼1</v>
      </c>
      <c r="K716" s="5">
        <f>IFERROR(__xludf.DUMMYFUNCTION("SPLiT(J716, ""🤙🏼"",FALSE,FALSE)"),239.0)</f>
        <v>239</v>
      </c>
      <c r="L716" s="5" t="str">
        <f>IFERROR(__xludf.DUMMYFUNCTION("""COMPUTED_VALUE"""),"Munna Bhai M.B.B.S.")</f>
        <v>Munna Bhai M.B.B.S.</v>
      </c>
      <c r="M716" s="5" t="str">
        <f>IFERROR(__xludf.DUMMYFUNCTION("""COMPUTED_VALUE"""),"Comedy")</f>
        <v>Comedy</v>
      </c>
      <c r="N716" s="5">
        <f>IFERROR(__xludf.DUMMYFUNCTION("""COMPUTED_VALUE"""),1.0)</f>
        <v>1</v>
      </c>
      <c r="S716" s="5">
        <f>IFERROR(__xludf.DUMMYFUNCTION("""COMPUTED_VALUE"""),284.0)</f>
        <v>284</v>
      </c>
      <c r="T716" s="5" t="str">
        <f>IFERROR(__xludf.DUMMYFUNCTION("""COMPUTED_VALUE"""),"Chinatown")</f>
        <v>Chinatown</v>
      </c>
      <c r="U716" s="5" t="str">
        <f>IFERROR(__xludf.DUMMYFUNCTION("""COMPUTED_VALUE"""),"Mystery")</f>
        <v>Mystery</v>
      </c>
      <c r="V716" s="5">
        <f>IFERROR(__xludf.DUMMYFUNCTION("""COMPUTED_VALUE"""),2.0)</f>
        <v>2</v>
      </c>
    </row>
    <row r="717">
      <c r="A717" s="1">
        <v>716.0</v>
      </c>
      <c r="B717" s="1" t="s">
        <v>4268</v>
      </c>
      <c r="C717" s="1" t="s">
        <v>4270</v>
      </c>
      <c r="D717" s="1"/>
      <c r="E717" s="1">
        <v>716.0</v>
      </c>
      <c r="F717" s="1" t="s">
        <v>4268</v>
      </c>
      <c r="G717" s="1" t="str">
        <f>IFERROR(__xludf.DUMMYFUNCTION("SPLIT(C717, "", "")"),"Comedy")</f>
        <v>Comedy</v>
      </c>
      <c r="H717" s="5" t="str">
        <f>IFERROR(__xludf.DUMMYFUNCTION("""COMPUTED_VALUE"""),"Family")</f>
        <v>Family</v>
      </c>
      <c r="I717" s="5" t="str">
        <f>IFERROR(__xludf.DUMMYFUNCTION("""COMPUTED_VALUE"""),"Romance")</f>
        <v>Romance</v>
      </c>
      <c r="J717" s="5" t="str">
        <f>IFERROR(__xludf.DUMMYFUNCTION("""COMPUTED_VALUE"""),"239🤙🏼Munna Bhai M.B.B.S.🤙🏼Drama🤙🏼2")</f>
        <v>239🤙🏼Munna Bhai M.B.B.S.🤙🏼Drama🤙🏼2</v>
      </c>
      <c r="K717" s="5">
        <f>IFERROR(__xludf.DUMMYFUNCTION("SPLiT(J717, ""🤙🏼"",FALSE,FALSE)"),239.0)</f>
        <v>239</v>
      </c>
      <c r="L717" s="5" t="str">
        <f>IFERROR(__xludf.DUMMYFUNCTION("""COMPUTED_VALUE"""),"Munna Bhai M.B.B.S.")</f>
        <v>Munna Bhai M.B.B.S.</v>
      </c>
      <c r="M717" s="5" t="str">
        <f>IFERROR(__xludf.DUMMYFUNCTION("""COMPUTED_VALUE"""),"Drama")</f>
        <v>Drama</v>
      </c>
      <c r="N717" s="5">
        <f>IFERROR(__xludf.DUMMYFUNCTION("""COMPUTED_VALUE"""),2.0)</f>
        <v>2</v>
      </c>
      <c r="S717" s="5">
        <f>IFERROR(__xludf.DUMMYFUNCTION("""COMPUTED_VALUE"""),284.0)</f>
        <v>284</v>
      </c>
      <c r="T717" s="5" t="str">
        <f>IFERROR(__xludf.DUMMYFUNCTION("""COMPUTED_VALUE"""),"Chinatown")</f>
        <v>Chinatown</v>
      </c>
      <c r="U717" s="5" t="str">
        <f>IFERROR(__xludf.DUMMYFUNCTION("""COMPUTED_VALUE"""),"Thriller")</f>
        <v>Thriller</v>
      </c>
      <c r="V717" s="5">
        <f>IFERROR(__xludf.DUMMYFUNCTION("""COMPUTED_VALUE"""),3.0)</f>
        <v>3</v>
      </c>
    </row>
    <row r="718">
      <c r="A718" s="1">
        <v>717.0</v>
      </c>
      <c r="B718" s="1" t="s">
        <v>4274</v>
      </c>
      <c r="C718" s="1" t="s">
        <v>4275</v>
      </c>
      <c r="D718" s="1"/>
      <c r="E718" s="1">
        <v>717.0</v>
      </c>
      <c r="F718" s="1" t="s">
        <v>4274</v>
      </c>
      <c r="G718" s="1" t="str">
        <f>IFERROR(__xludf.DUMMYFUNCTION("SPLIT(C718, "", "")"),"Drama")</f>
        <v>Drama</v>
      </c>
      <c r="H718" s="5" t="str">
        <f>IFERROR(__xludf.DUMMYFUNCTION("""COMPUTED_VALUE"""),"Horror")</f>
        <v>Horror</v>
      </c>
      <c r="I718" s="5" t="str">
        <f>IFERROR(__xludf.DUMMYFUNCTION("""COMPUTED_VALUE"""),"Sci-Fi")</f>
        <v>Sci-Fi</v>
      </c>
      <c r="J718" s="5" t="str">
        <f>IFERROR(__xludf.DUMMYFUNCTION("""COMPUTED_VALUE"""),"239🤙🏼Munna Bhai M.B.B.S.🤙🏼Musical🤙🏼3")</f>
        <v>239🤙🏼Munna Bhai M.B.B.S.🤙🏼Musical🤙🏼3</v>
      </c>
      <c r="K718" s="5">
        <f>IFERROR(__xludf.DUMMYFUNCTION("SPLiT(J718, ""🤙🏼"",FALSE,FALSE)"),239.0)</f>
        <v>239</v>
      </c>
      <c r="L718" s="5" t="str">
        <f>IFERROR(__xludf.DUMMYFUNCTION("""COMPUTED_VALUE"""),"Munna Bhai M.B.B.S.")</f>
        <v>Munna Bhai M.B.B.S.</v>
      </c>
      <c r="M718" s="5" t="str">
        <f>IFERROR(__xludf.DUMMYFUNCTION("""COMPUTED_VALUE"""),"Musical")</f>
        <v>Musical</v>
      </c>
      <c r="N718" s="5">
        <f>IFERROR(__xludf.DUMMYFUNCTION("""COMPUTED_VALUE"""),3.0)</f>
        <v>3</v>
      </c>
      <c r="S718" s="5">
        <f>IFERROR(__xludf.DUMMYFUNCTION("""COMPUTED_VALUE"""),285.0)</f>
        <v>285</v>
      </c>
      <c r="T718" s="5" t="str">
        <f>IFERROR(__xludf.DUMMYFUNCTION("""COMPUTED_VALUE"""),"Paper Moon")</f>
        <v>Paper Moon</v>
      </c>
      <c r="U718" s="5" t="str">
        <f>IFERROR(__xludf.DUMMYFUNCTION("""COMPUTED_VALUE"""),"Comedy")</f>
        <v>Comedy</v>
      </c>
      <c r="V718" s="5">
        <f>IFERROR(__xludf.DUMMYFUNCTION("""COMPUTED_VALUE"""),1.0)</f>
        <v>1</v>
      </c>
    </row>
    <row r="719">
      <c r="A719" s="1">
        <v>718.0</v>
      </c>
      <c r="B719" s="1" t="s">
        <v>4280</v>
      </c>
      <c r="C719" s="1" t="s">
        <v>4283</v>
      </c>
      <c r="D719" s="1"/>
      <c r="E719" s="1">
        <v>718.0</v>
      </c>
      <c r="F719" s="1" t="s">
        <v>4280</v>
      </c>
      <c r="G719" s="1" t="str">
        <f>IFERROR(__xludf.DUMMYFUNCTION("SPLIT(C719, "", "")"),"Comedy")</f>
        <v>Comedy</v>
      </c>
      <c r="H719" s="5" t="str">
        <f>IFERROR(__xludf.DUMMYFUNCTION("""COMPUTED_VALUE"""),"Musical")</f>
        <v>Musical</v>
      </c>
      <c r="I719" s="5" t="str">
        <f>IFERROR(__xludf.DUMMYFUNCTION("""COMPUTED_VALUE"""),"War")</f>
        <v>War</v>
      </c>
      <c r="J719" s="5" t="str">
        <f>IFERROR(__xludf.DUMMYFUNCTION("""COMPUTED_VALUE"""),"240🤙🏼Salinui chueok🤙🏼Crime🤙🏼1")</f>
        <v>240🤙🏼Salinui chueok🤙🏼Crime🤙🏼1</v>
      </c>
      <c r="K719" s="5">
        <f>IFERROR(__xludf.DUMMYFUNCTION("SPLiT(J719, ""🤙🏼"",FALSE,FALSE)"),240.0)</f>
        <v>240</v>
      </c>
      <c r="L719" s="5" t="str">
        <f>IFERROR(__xludf.DUMMYFUNCTION("""COMPUTED_VALUE"""),"Salinui chueok")</f>
        <v>Salinui chueok</v>
      </c>
      <c r="M719" s="5" t="str">
        <f>IFERROR(__xludf.DUMMYFUNCTION("""COMPUTED_VALUE"""),"Crime")</f>
        <v>Crime</v>
      </c>
      <c r="N719" s="5">
        <f>IFERROR(__xludf.DUMMYFUNCTION("""COMPUTED_VALUE"""),1.0)</f>
        <v>1</v>
      </c>
      <c r="S719" s="5">
        <f>IFERROR(__xludf.DUMMYFUNCTION("""COMPUTED_VALUE"""),285.0)</f>
        <v>285</v>
      </c>
      <c r="T719" s="5" t="str">
        <f>IFERROR(__xludf.DUMMYFUNCTION("""COMPUTED_VALUE"""),"Paper Moon")</f>
        <v>Paper Moon</v>
      </c>
      <c r="U719" s="5" t="str">
        <f>IFERROR(__xludf.DUMMYFUNCTION("""COMPUTED_VALUE"""),"Crime")</f>
        <v>Crime</v>
      </c>
      <c r="V719" s="5">
        <f>IFERROR(__xludf.DUMMYFUNCTION("""COMPUTED_VALUE"""),2.0)</f>
        <v>2</v>
      </c>
    </row>
    <row r="720">
      <c r="A720" s="1">
        <v>719.0</v>
      </c>
      <c r="B720" s="1" t="s">
        <v>4287</v>
      </c>
      <c r="C720" s="1" t="s">
        <v>39</v>
      </c>
      <c r="D720" s="1"/>
      <c r="E720" s="1">
        <v>719.0</v>
      </c>
      <c r="F720" s="1" t="s">
        <v>4287</v>
      </c>
      <c r="G720" s="1" t="str">
        <f>IFERROR(__xludf.DUMMYFUNCTION("SPLIT(C720, "", "")"),"Action")</f>
        <v>Action</v>
      </c>
      <c r="H720" s="5" t="str">
        <f>IFERROR(__xludf.DUMMYFUNCTION("""COMPUTED_VALUE"""),"Crime")</f>
        <v>Crime</v>
      </c>
      <c r="I720" s="5" t="str">
        <f>IFERROR(__xludf.DUMMYFUNCTION("""COMPUTED_VALUE"""),"Drama")</f>
        <v>Drama</v>
      </c>
      <c r="J720" s="5" t="str">
        <f>IFERROR(__xludf.DUMMYFUNCTION("""COMPUTED_VALUE"""),"240🤙🏼Salinui chueok🤙🏼Drama🤙🏼2")</f>
        <v>240🤙🏼Salinui chueok🤙🏼Drama🤙🏼2</v>
      </c>
      <c r="K720" s="5">
        <f>IFERROR(__xludf.DUMMYFUNCTION("SPLiT(J720, ""🤙🏼"",FALSE,FALSE)"),240.0)</f>
        <v>240</v>
      </c>
      <c r="L720" s="5" t="str">
        <f>IFERROR(__xludf.DUMMYFUNCTION("""COMPUTED_VALUE"""),"Salinui chueok")</f>
        <v>Salinui chueok</v>
      </c>
      <c r="M720" s="5" t="str">
        <f>IFERROR(__xludf.DUMMYFUNCTION("""COMPUTED_VALUE"""),"Drama")</f>
        <v>Drama</v>
      </c>
      <c r="N720" s="5">
        <f>IFERROR(__xludf.DUMMYFUNCTION("""COMPUTED_VALUE"""),2.0)</f>
        <v>2</v>
      </c>
      <c r="S720" s="5">
        <f>IFERROR(__xludf.DUMMYFUNCTION("""COMPUTED_VALUE"""),285.0)</f>
        <v>285</v>
      </c>
      <c r="T720" s="5" t="str">
        <f>IFERROR(__xludf.DUMMYFUNCTION("""COMPUTED_VALUE"""),"Paper Moon")</f>
        <v>Paper Moon</v>
      </c>
      <c r="U720" s="5" t="str">
        <f>IFERROR(__xludf.DUMMYFUNCTION("""COMPUTED_VALUE"""),"Drama")</f>
        <v>Drama</v>
      </c>
      <c r="V720" s="5">
        <f>IFERROR(__xludf.DUMMYFUNCTION("""COMPUTED_VALUE"""),3.0)</f>
        <v>3</v>
      </c>
    </row>
    <row r="721">
      <c r="A721" s="1">
        <v>720.0</v>
      </c>
      <c r="B721" s="1" t="s">
        <v>4293</v>
      </c>
      <c r="C721" s="1" t="s">
        <v>4275</v>
      </c>
      <c r="D721" s="1"/>
      <c r="E721" s="1">
        <v>720.0</v>
      </c>
      <c r="F721" s="1" t="s">
        <v>4293</v>
      </c>
      <c r="G721" s="1" t="str">
        <f>IFERROR(__xludf.DUMMYFUNCTION("SPLIT(C721, "", "")"),"Drama")</f>
        <v>Drama</v>
      </c>
      <c r="H721" s="5" t="str">
        <f>IFERROR(__xludf.DUMMYFUNCTION("""COMPUTED_VALUE"""),"Horror")</f>
        <v>Horror</v>
      </c>
      <c r="I721" s="5" t="str">
        <f>IFERROR(__xludf.DUMMYFUNCTION("""COMPUTED_VALUE"""),"Sci-Fi")</f>
        <v>Sci-Fi</v>
      </c>
      <c r="J721" s="5" t="str">
        <f>IFERROR(__xludf.DUMMYFUNCTION("""COMPUTED_VALUE"""),"240🤙🏼Salinui chueok🤙🏼Mystery🤙🏼3")</f>
        <v>240🤙🏼Salinui chueok🤙🏼Mystery🤙🏼3</v>
      </c>
      <c r="K721" s="5">
        <f>IFERROR(__xludf.DUMMYFUNCTION("SPLiT(J721, ""🤙🏼"",FALSE,FALSE)"),240.0)</f>
        <v>240</v>
      </c>
      <c r="L721" s="5" t="str">
        <f>IFERROR(__xludf.DUMMYFUNCTION("""COMPUTED_VALUE"""),"Salinui chueok")</f>
        <v>Salinui chueok</v>
      </c>
      <c r="M721" s="5" t="str">
        <f>IFERROR(__xludf.DUMMYFUNCTION("""COMPUTED_VALUE"""),"Mystery")</f>
        <v>Mystery</v>
      </c>
      <c r="N721" s="5">
        <f>IFERROR(__xludf.DUMMYFUNCTION("""COMPUTED_VALUE"""),3.0)</f>
        <v>3</v>
      </c>
      <c r="S721" s="5">
        <f>IFERROR(__xludf.DUMMYFUNCTION("""COMPUTED_VALUE"""),286.0)</f>
        <v>286</v>
      </c>
      <c r="T721" s="5" t="str">
        <f>IFERROR(__xludf.DUMMYFUNCTION("""COMPUTED_VALUE"""),"Viskningar och rop")</f>
        <v>Viskningar och rop</v>
      </c>
      <c r="U721" s="5" t="str">
        <f>IFERROR(__xludf.DUMMYFUNCTION("""COMPUTED_VALUE"""),"Drama")</f>
        <v>Drama</v>
      </c>
      <c r="V721" s="5">
        <f>IFERROR(__xludf.DUMMYFUNCTION("""COMPUTED_VALUE"""),1.0)</f>
        <v>1</v>
      </c>
    </row>
    <row r="722">
      <c r="A722" s="1">
        <v>721.0</v>
      </c>
      <c r="B722" s="1" t="s">
        <v>4298</v>
      </c>
      <c r="C722" s="1" t="s">
        <v>20</v>
      </c>
      <c r="D722" s="1"/>
      <c r="E722" s="1">
        <v>721.0</v>
      </c>
      <c r="F722" s="1" t="s">
        <v>4298</v>
      </c>
      <c r="G722" s="1" t="str">
        <f>IFERROR(__xludf.DUMMYFUNCTION("SPLIT(C722, "", "")"),"Drama")</f>
        <v>Drama</v>
      </c>
      <c r="J722" s="5" t="str">
        <f>IFERROR(__xludf.DUMMYFUNCTION("""COMPUTED_VALUE"""),"241🤙🏼Dil Chahta Hai🤙🏼Comedy🤙🏼1")</f>
        <v>241🤙🏼Dil Chahta Hai🤙🏼Comedy🤙🏼1</v>
      </c>
      <c r="K722" s="5">
        <f>IFERROR(__xludf.DUMMYFUNCTION("SPLiT(J722, ""🤙🏼"",FALSE,FALSE)"),241.0)</f>
        <v>241</v>
      </c>
      <c r="L722" s="5" t="str">
        <f>IFERROR(__xludf.DUMMYFUNCTION("""COMPUTED_VALUE"""),"Dil Chahta Hai")</f>
        <v>Dil Chahta Hai</v>
      </c>
      <c r="M722" s="5" t="str">
        <f>IFERROR(__xludf.DUMMYFUNCTION("""COMPUTED_VALUE"""),"Comedy")</f>
        <v>Comedy</v>
      </c>
      <c r="N722" s="5">
        <f>IFERROR(__xludf.DUMMYFUNCTION("""COMPUTED_VALUE"""),1.0)</f>
        <v>1</v>
      </c>
      <c r="S722" s="5">
        <f>IFERROR(__xludf.DUMMYFUNCTION("""COMPUTED_VALUE"""),287.0)</f>
        <v>287</v>
      </c>
      <c r="T722" s="5" t="str">
        <f>IFERROR(__xludf.DUMMYFUNCTION("""COMPUTED_VALUE"""),"Solaris")</f>
        <v>Solaris</v>
      </c>
      <c r="U722" s="5" t="str">
        <f>IFERROR(__xludf.DUMMYFUNCTION("""COMPUTED_VALUE"""),"Drama")</f>
        <v>Drama</v>
      </c>
      <c r="V722" s="5">
        <f>IFERROR(__xludf.DUMMYFUNCTION("""COMPUTED_VALUE"""),1.0)</f>
        <v>1</v>
      </c>
    </row>
    <row r="723">
      <c r="A723" s="1">
        <v>722.0</v>
      </c>
      <c r="B723" s="1" t="s">
        <v>4304</v>
      </c>
      <c r="C723" s="1" t="s">
        <v>107</v>
      </c>
      <c r="D723" s="1"/>
      <c r="E723" s="1">
        <v>722.0</v>
      </c>
      <c r="F723" s="1" t="s">
        <v>4304</v>
      </c>
      <c r="G723" s="1" t="str">
        <f>IFERROR(__xludf.DUMMYFUNCTION("SPLIT(C723, "", "")"),"Drama")</f>
        <v>Drama</v>
      </c>
      <c r="H723" s="5" t="str">
        <f>IFERROR(__xludf.DUMMYFUNCTION("""COMPUTED_VALUE"""),"Romance")</f>
        <v>Romance</v>
      </c>
      <c r="J723" s="5" t="str">
        <f>IFERROR(__xludf.DUMMYFUNCTION("""COMPUTED_VALUE"""),"241🤙🏼Dil Chahta Hai🤙🏼Drama🤙🏼2")</f>
        <v>241🤙🏼Dil Chahta Hai🤙🏼Drama🤙🏼2</v>
      </c>
      <c r="K723" s="5">
        <f>IFERROR(__xludf.DUMMYFUNCTION("SPLiT(J723, ""🤙🏼"",FALSE,FALSE)"),241.0)</f>
        <v>241</v>
      </c>
      <c r="L723" s="5" t="str">
        <f>IFERROR(__xludf.DUMMYFUNCTION("""COMPUTED_VALUE"""),"Dil Chahta Hai")</f>
        <v>Dil Chahta Hai</v>
      </c>
      <c r="M723" s="5" t="str">
        <f>IFERROR(__xludf.DUMMYFUNCTION("""COMPUTED_VALUE"""),"Drama")</f>
        <v>Drama</v>
      </c>
      <c r="N723" s="5">
        <f>IFERROR(__xludf.DUMMYFUNCTION("""COMPUTED_VALUE"""),2.0)</f>
        <v>2</v>
      </c>
      <c r="S723" s="5">
        <f>IFERROR(__xludf.DUMMYFUNCTION("""COMPUTED_VALUE"""),287.0)</f>
        <v>287</v>
      </c>
      <c r="T723" s="5" t="str">
        <f>IFERROR(__xludf.DUMMYFUNCTION("""COMPUTED_VALUE"""),"Solaris")</f>
        <v>Solaris</v>
      </c>
      <c r="U723" s="5" t="str">
        <f>IFERROR(__xludf.DUMMYFUNCTION("""COMPUTED_VALUE"""),"Mystery")</f>
        <v>Mystery</v>
      </c>
      <c r="V723" s="5">
        <f>IFERROR(__xludf.DUMMYFUNCTION("""COMPUTED_VALUE"""),2.0)</f>
        <v>2</v>
      </c>
    </row>
    <row r="724">
      <c r="A724" s="1">
        <v>723.0</v>
      </c>
      <c r="B724" s="1" t="s">
        <v>4311</v>
      </c>
      <c r="C724" s="1" t="s">
        <v>1252</v>
      </c>
      <c r="D724" s="1"/>
      <c r="E724" s="1">
        <v>723.0</v>
      </c>
      <c r="F724" s="1" t="s">
        <v>4311</v>
      </c>
      <c r="G724" s="1" t="str">
        <f>IFERROR(__xludf.DUMMYFUNCTION("SPLIT(C724, "", "")"),"Action")</f>
        <v>Action</v>
      </c>
      <c r="H724" s="5" t="str">
        <f>IFERROR(__xludf.DUMMYFUNCTION("""COMPUTED_VALUE"""),"Adventure")</f>
        <v>Adventure</v>
      </c>
      <c r="I724" s="5" t="str">
        <f>IFERROR(__xludf.DUMMYFUNCTION("""COMPUTED_VALUE"""),"Comedy")</f>
        <v>Comedy</v>
      </c>
      <c r="J724" s="5" t="str">
        <f>IFERROR(__xludf.DUMMYFUNCTION("""COMPUTED_VALUE"""),"241🤙🏼Dil Chahta Hai🤙🏼Romance🤙🏼3")</f>
        <v>241🤙🏼Dil Chahta Hai🤙🏼Romance🤙🏼3</v>
      </c>
      <c r="K724" s="5">
        <f>IFERROR(__xludf.DUMMYFUNCTION("SPLiT(J724, ""🤙🏼"",FALSE,FALSE)"),241.0)</f>
        <v>241</v>
      </c>
      <c r="L724" s="5" t="str">
        <f>IFERROR(__xludf.DUMMYFUNCTION("""COMPUTED_VALUE"""),"Dil Chahta Hai")</f>
        <v>Dil Chahta Hai</v>
      </c>
      <c r="M724" s="5" t="str">
        <f>IFERROR(__xludf.DUMMYFUNCTION("""COMPUTED_VALUE"""),"Romance")</f>
        <v>Romance</v>
      </c>
      <c r="N724" s="5">
        <f>IFERROR(__xludf.DUMMYFUNCTION("""COMPUTED_VALUE"""),3.0)</f>
        <v>3</v>
      </c>
      <c r="S724" s="5">
        <f>IFERROR(__xludf.DUMMYFUNCTION("""COMPUTED_VALUE"""),287.0)</f>
        <v>287</v>
      </c>
      <c r="T724" s="5" t="str">
        <f>IFERROR(__xludf.DUMMYFUNCTION("""COMPUTED_VALUE"""),"Solaris")</f>
        <v>Solaris</v>
      </c>
      <c r="U724" s="5" t="str">
        <f>IFERROR(__xludf.DUMMYFUNCTION("""COMPUTED_VALUE"""),"Sci-Fi")</f>
        <v>Sci-Fi</v>
      </c>
      <c r="V724" s="5">
        <f>IFERROR(__xludf.DUMMYFUNCTION("""COMPUTED_VALUE"""),3.0)</f>
        <v>3</v>
      </c>
    </row>
    <row r="725">
      <c r="A725" s="1">
        <v>724.0</v>
      </c>
      <c r="B725" s="1" t="s">
        <v>4314</v>
      </c>
      <c r="C725" s="1" t="s">
        <v>235</v>
      </c>
      <c r="D725" s="1"/>
      <c r="E725" s="1">
        <v>724.0</v>
      </c>
      <c r="F725" s="1" t="s">
        <v>4314</v>
      </c>
      <c r="G725" s="1" t="str">
        <f>IFERROR(__xludf.DUMMYFUNCTION("SPLIT(C725, "", "")"),"Crime")</f>
        <v>Crime</v>
      </c>
      <c r="H725" s="5" t="str">
        <f>IFERROR(__xludf.DUMMYFUNCTION("""COMPUTED_VALUE"""),"Drama")</f>
        <v>Drama</v>
      </c>
      <c r="I725" s="5" t="str">
        <f>IFERROR(__xludf.DUMMYFUNCTION("""COMPUTED_VALUE"""),"Mystery")</f>
        <v>Mystery</v>
      </c>
      <c r="J725" s="5" t="str">
        <f>IFERROR(__xludf.DUMMYFUNCTION("""COMPUTED_VALUE"""),"242🤙🏼Kill Bill: Vol. 1🤙🏼Action🤙🏼1")</f>
        <v>242🤙🏼Kill Bill: Vol. 1🤙🏼Action🤙🏼1</v>
      </c>
      <c r="K725" s="5">
        <f>IFERROR(__xludf.DUMMYFUNCTION("SPLiT(J725, ""🤙🏼"",FALSE,FALSE)"),242.0)</f>
        <v>242</v>
      </c>
      <c r="L725" s="5" t="str">
        <f>IFERROR(__xludf.DUMMYFUNCTION("""COMPUTED_VALUE"""),"Kill Bill: Vol. 1")</f>
        <v>Kill Bill: Vol. 1</v>
      </c>
      <c r="M725" s="5" t="str">
        <f>IFERROR(__xludf.DUMMYFUNCTION("""COMPUTED_VALUE"""),"Action")</f>
        <v>Action</v>
      </c>
      <c r="N725" s="5">
        <f>IFERROR(__xludf.DUMMYFUNCTION("""COMPUTED_VALUE"""),1.0)</f>
        <v>1</v>
      </c>
      <c r="S725" s="5">
        <f>IFERROR(__xludf.DUMMYFUNCTION("""COMPUTED_VALUE"""),288.0)</f>
        <v>288</v>
      </c>
      <c r="T725" s="5" t="str">
        <f>IFERROR(__xludf.DUMMYFUNCTION("""COMPUTED_VALUE"""),"Le samouraï")</f>
        <v>Le samouraï</v>
      </c>
      <c r="U725" s="5" t="str">
        <f>IFERROR(__xludf.DUMMYFUNCTION("""COMPUTED_VALUE"""),"Crime")</f>
        <v>Crime</v>
      </c>
      <c r="V725" s="5">
        <f>IFERROR(__xludf.DUMMYFUNCTION("""COMPUTED_VALUE"""),1.0)</f>
        <v>1</v>
      </c>
    </row>
    <row r="726">
      <c r="A726" s="1">
        <v>725.0</v>
      </c>
      <c r="B726" s="1" t="s">
        <v>4320</v>
      </c>
      <c r="C726" s="1" t="s">
        <v>397</v>
      </c>
      <c r="D726" s="1"/>
      <c r="E726" s="1">
        <v>725.0</v>
      </c>
      <c r="F726" s="1" t="s">
        <v>4320</v>
      </c>
      <c r="G726" s="1" t="str">
        <f>IFERROR(__xludf.DUMMYFUNCTION("SPLIT(C726, "", "")"),"Horror")</f>
        <v>Horror</v>
      </c>
      <c r="H726" s="5" t="str">
        <f>IFERROR(__xludf.DUMMYFUNCTION("""COMPUTED_VALUE"""),"Mystery")</f>
        <v>Mystery</v>
      </c>
      <c r="I726" s="5" t="str">
        <f>IFERROR(__xludf.DUMMYFUNCTION("""COMPUTED_VALUE"""),"Thriller")</f>
        <v>Thriller</v>
      </c>
      <c r="J726" s="5" t="str">
        <f>IFERROR(__xludf.DUMMYFUNCTION("""COMPUTED_VALUE"""),"242🤙🏼Kill Bill: Vol. 1🤙🏼Crime🤙🏼2")</f>
        <v>242🤙🏼Kill Bill: Vol. 1🤙🏼Crime🤙🏼2</v>
      </c>
      <c r="K726" s="5">
        <f>IFERROR(__xludf.DUMMYFUNCTION("SPLiT(J726, ""🤙🏼"",FALSE,FALSE)"),242.0)</f>
        <v>242</v>
      </c>
      <c r="L726" s="5" t="str">
        <f>IFERROR(__xludf.DUMMYFUNCTION("""COMPUTED_VALUE"""),"Kill Bill: Vol. 1")</f>
        <v>Kill Bill: Vol. 1</v>
      </c>
      <c r="M726" s="5" t="str">
        <f>IFERROR(__xludf.DUMMYFUNCTION("""COMPUTED_VALUE"""),"Crime")</f>
        <v>Crime</v>
      </c>
      <c r="N726" s="5">
        <f>IFERROR(__xludf.DUMMYFUNCTION("""COMPUTED_VALUE"""),2.0)</f>
        <v>2</v>
      </c>
      <c r="S726" s="5">
        <f>IFERROR(__xludf.DUMMYFUNCTION("""COMPUTED_VALUE"""),288.0)</f>
        <v>288</v>
      </c>
      <c r="T726" s="5" t="str">
        <f>IFERROR(__xludf.DUMMYFUNCTION("""COMPUTED_VALUE"""),"Le samouraï")</f>
        <v>Le samouraï</v>
      </c>
      <c r="U726" s="5" t="str">
        <f>IFERROR(__xludf.DUMMYFUNCTION("""COMPUTED_VALUE"""),"Drama")</f>
        <v>Drama</v>
      </c>
      <c r="V726" s="5">
        <f>IFERROR(__xludf.DUMMYFUNCTION("""COMPUTED_VALUE"""),2.0)</f>
        <v>2</v>
      </c>
    </row>
    <row r="727">
      <c r="A727" s="1">
        <v>726.0</v>
      </c>
      <c r="B727" s="1" t="s">
        <v>4326</v>
      </c>
      <c r="C727" s="1" t="s">
        <v>2406</v>
      </c>
      <c r="D727" s="1"/>
      <c r="E727" s="1">
        <v>726.0</v>
      </c>
      <c r="F727" s="1" t="s">
        <v>4326</v>
      </c>
      <c r="G727" s="1" t="str">
        <f>IFERROR(__xludf.DUMMYFUNCTION("SPLIT(C727, "", "")"),"Action")</f>
        <v>Action</v>
      </c>
      <c r="H727" s="5" t="str">
        <f>IFERROR(__xludf.DUMMYFUNCTION("""COMPUTED_VALUE"""),"Adventure")</f>
        <v>Adventure</v>
      </c>
      <c r="I727" s="5" t="str">
        <f>IFERROR(__xludf.DUMMYFUNCTION("""COMPUTED_VALUE"""),"Thriller")</f>
        <v>Thriller</v>
      </c>
      <c r="J727" s="5" t="str">
        <f>IFERROR(__xludf.DUMMYFUNCTION("""COMPUTED_VALUE"""),"242🤙🏼Kill Bill: Vol. 1🤙🏼Drama🤙🏼3")</f>
        <v>242🤙🏼Kill Bill: Vol. 1🤙🏼Drama🤙🏼3</v>
      </c>
      <c r="K727" s="5">
        <f>IFERROR(__xludf.DUMMYFUNCTION("SPLiT(J727, ""🤙🏼"",FALSE,FALSE)"),242.0)</f>
        <v>242</v>
      </c>
      <c r="L727" s="5" t="str">
        <f>IFERROR(__xludf.DUMMYFUNCTION("""COMPUTED_VALUE"""),"Kill Bill: Vol. 1")</f>
        <v>Kill Bill: Vol. 1</v>
      </c>
      <c r="M727" s="5" t="str">
        <f>IFERROR(__xludf.DUMMYFUNCTION("""COMPUTED_VALUE"""),"Drama")</f>
        <v>Drama</v>
      </c>
      <c r="N727" s="5">
        <f>IFERROR(__xludf.DUMMYFUNCTION("""COMPUTED_VALUE"""),3.0)</f>
        <v>3</v>
      </c>
      <c r="S727" s="5">
        <f>IFERROR(__xludf.DUMMYFUNCTION("""COMPUTED_VALUE"""),288.0)</f>
        <v>288</v>
      </c>
      <c r="T727" s="5" t="str">
        <f>IFERROR(__xludf.DUMMYFUNCTION("""COMPUTED_VALUE"""),"Le samouraï")</f>
        <v>Le samouraï</v>
      </c>
      <c r="U727" s="5" t="str">
        <f>IFERROR(__xludf.DUMMYFUNCTION("""COMPUTED_VALUE"""),"Mystery")</f>
        <v>Mystery</v>
      </c>
      <c r="V727" s="5">
        <f>IFERROR(__xludf.DUMMYFUNCTION("""COMPUTED_VALUE"""),3.0)</f>
        <v>3</v>
      </c>
    </row>
    <row r="728">
      <c r="A728" s="1">
        <v>727.0</v>
      </c>
      <c r="B728" s="1" t="s">
        <v>4331</v>
      </c>
      <c r="C728" s="1" t="s">
        <v>227</v>
      </c>
      <c r="D728" s="1"/>
      <c r="E728" s="1">
        <v>727.0</v>
      </c>
      <c r="F728" s="1" t="s">
        <v>4331</v>
      </c>
      <c r="G728" s="1" t="str">
        <f>IFERROR(__xludf.DUMMYFUNCTION("SPLIT(C728, "", "")"),"Comedy")</f>
        <v>Comedy</v>
      </c>
      <c r="H728" s="5" t="str">
        <f>IFERROR(__xludf.DUMMYFUNCTION("""COMPUTED_VALUE"""),"Drama")</f>
        <v>Drama</v>
      </c>
      <c r="I728" s="5" t="str">
        <f>IFERROR(__xludf.DUMMYFUNCTION("""COMPUTED_VALUE"""),"Romance")</f>
        <v>Romance</v>
      </c>
      <c r="J728" s="5" t="str">
        <f>IFERROR(__xludf.DUMMYFUNCTION("""COMPUTED_VALUE"""),"243🤙🏼Finding Nemo🤙🏼Animation🤙🏼1")</f>
        <v>243🤙🏼Finding Nemo🤙🏼Animation🤙🏼1</v>
      </c>
      <c r="K728" s="5">
        <f>IFERROR(__xludf.DUMMYFUNCTION("SPLiT(J728, ""🤙🏼"",FALSE,FALSE)"),243.0)</f>
        <v>243</v>
      </c>
      <c r="L728" s="5" t="str">
        <f>IFERROR(__xludf.DUMMYFUNCTION("""COMPUTED_VALUE"""),"Finding Nemo")</f>
        <v>Finding Nemo</v>
      </c>
      <c r="M728" s="5" t="str">
        <f>IFERROR(__xludf.DUMMYFUNCTION("""COMPUTED_VALUE"""),"Animation")</f>
        <v>Animation</v>
      </c>
      <c r="N728" s="5">
        <f>IFERROR(__xludf.DUMMYFUNCTION("""COMPUTED_VALUE"""),1.0)</f>
        <v>1</v>
      </c>
      <c r="S728" s="5">
        <f>IFERROR(__xludf.DUMMYFUNCTION("""COMPUTED_VALUE"""),289.0)</f>
        <v>289</v>
      </c>
      <c r="T728" s="5" t="str">
        <f>IFERROR(__xludf.DUMMYFUNCTION("""COMPUTED_VALUE"""),"Cool Hand Luke")</f>
        <v>Cool Hand Luke</v>
      </c>
      <c r="U728" s="5" t="str">
        <f>IFERROR(__xludf.DUMMYFUNCTION("""COMPUTED_VALUE"""),"Crime")</f>
        <v>Crime</v>
      </c>
      <c r="V728" s="5">
        <f>IFERROR(__xludf.DUMMYFUNCTION("""COMPUTED_VALUE"""),1.0)</f>
        <v>1</v>
      </c>
    </row>
    <row r="729">
      <c r="A729" s="1">
        <v>728.0</v>
      </c>
      <c r="B729" s="1" t="s">
        <v>4338</v>
      </c>
      <c r="C729" s="1" t="s">
        <v>3156</v>
      </c>
      <c r="D729" s="1"/>
      <c r="E729" s="1">
        <v>728.0</v>
      </c>
      <c r="F729" s="1" t="s">
        <v>4338</v>
      </c>
      <c r="G729" s="1" t="str">
        <f>IFERROR(__xludf.DUMMYFUNCTION("SPLIT(C729, "", "")"),"Comedy")</f>
        <v>Comedy</v>
      </c>
      <c r="H729" s="5" t="str">
        <f>IFERROR(__xludf.DUMMYFUNCTION("""COMPUTED_VALUE"""),"Horror")</f>
        <v>Horror</v>
      </c>
      <c r="J729" s="5" t="str">
        <f>IFERROR(__xludf.DUMMYFUNCTION("""COMPUTED_VALUE"""),"243🤙🏼Finding Nemo🤙🏼Adventure🤙🏼2")</f>
        <v>243🤙🏼Finding Nemo🤙🏼Adventure🤙🏼2</v>
      </c>
      <c r="K729" s="5">
        <f>IFERROR(__xludf.DUMMYFUNCTION("SPLiT(J729, ""🤙🏼"",FALSE,FALSE)"),243.0)</f>
        <v>243</v>
      </c>
      <c r="L729" s="5" t="str">
        <f>IFERROR(__xludf.DUMMYFUNCTION("""COMPUTED_VALUE"""),"Finding Nemo")</f>
        <v>Finding Nemo</v>
      </c>
      <c r="M729" s="5" t="str">
        <f>IFERROR(__xludf.DUMMYFUNCTION("""COMPUTED_VALUE"""),"Adventure")</f>
        <v>Adventure</v>
      </c>
      <c r="N729" s="5">
        <f>IFERROR(__xludf.DUMMYFUNCTION("""COMPUTED_VALUE"""),2.0)</f>
        <v>2</v>
      </c>
      <c r="S729" s="5">
        <f>IFERROR(__xludf.DUMMYFUNCTION("""COMPUTED_VALUE"""),289.0)</f>
        <v>289</v>
      </c>
      <c r="T729" s="5" t="str">
        <f>IFERROR(__xludf.DUMMYFUNCTION("""COMPUTED_VALUE"""),"Cool Hand Luke")</f>
        <v>Cool Hand Luke</v>
      </c>
      <c r="U729" s="5" t="str">
        <f>IFERROR(__xludf.DUMMYFUNCTION("""COMPUTED_VALUE"""),"Drama")</f>
        <v>Drama</v>
      </c>
      <c r="V729" s="5">
        <f>IFERROR(__xludf.DUMMYFUNCTION("""COMPUTED_VALUE"""),2.0)</f>
        <v>2</v>
      </c>
    </row>
    <row r="730">
      <c r="A730" s="1">
        <v>729.0</v>
      </c>
      <c r="B730" s="1" t="s">
        <v>4342</v>
      </c>
      <c r="C730" s="1" t="s">
        <v>1384</v>
      </c>
      <c r="D730" s="1"/>
      <c r="E730" s="1">
        <v>729.0</v>
      </c>
      <c r="F730" s="1" t="s">
        <v>4342</v>
      </c>
      <c r="G730" s="1" t="str">
        <f>IFERROR(__xludf.DUMMYFUNCTION("SPLIT(C730, "", "")"),"Animation")</f>
        <v>Animation</v>
      </c>
      <c r="H730" s="5" t="str">
        <f>IFERROR(__xludf.DUMMYFUNCTION("""COMPUTED_VALUE"""),"Drama")</f>
        <v>Drama</v>
      </c>
      <c r="I730" s="5" t="str">
        <f>IFERROR(__xludf.DUMMYFUNCTION("""COMPUTED_VALUE"""),"Family")</f>
        <v>Family</v>
      </c>
      <c r="J730" s="5" t="str">
        <f>IFERROR(__xludf.DUMMYFUNCTION("""COMPUTED_VALUE"""),"243🤙🏼Finding Nemo🤙🏼Comedy🤙🏼3")</f>
        <v>243🤙🏼Finding Nemo🤙🏼Comedy🤙🏼3</v>
      </c>
      <c r="K730" s="5">
        <f>IFERROR(__xludf.DUMMYFUNCTION("SPLiT(J730, ""🤙🏼"",FALSE,FALSE)"),243.0)</f>
        <v>243</v>
      </c>
      <c r="L730" s="5" t="str">
        <f>IFERROR(__xludf.DUMMYFUNCTION("""COMPUTED_VALUE"""),"Finding Nemo")</f>
        <v>Finding Nemo</v>
      </c>
      <c r="M730" s="5" t="str">
        <f>IFERROR(__xludf.DUMMYFUNCTION("""COMPUTED_VALUE"""),"Comedy")</f>
        <v>Comedy</v>
      </c>
      <c r="N730" s="5">
        <f>IFERROR(__xludf.DUMMYFUNCTION("""COMPUTED_VALUE"""),3.0)</f>
        <v>3</v>
      </c>
      <c r="S730" s="5">
        <f>IFERROR(__xludf.DUMMYFUNCTION("""COMPUTED_VALUE"""),290.0)</f>
        <v>290</v>
      </c>
      <c r="T730" s="5" t="str">
        <f>IFERROR(__xludf.DUMMYFUNCTION("""COMPUTED_VALUE"""),"Persona")</f>
        <v>Persona</v>
      </c>
      <c r="U730" s="5" t="str">
        <f>IFERROR(__xludf.DUMMYFUNCTION("""COMPUTED_VALUE"""),"Drama")</f>
        <v>Drama</v>
      </c>
      <c r="V730" s="5">
        <f>IFERROR(__xludf.DUMMYFUNCTION("""COMPUTED_VALUE"""),1.0)</f>
        <v>1</v>
      </c>
    </row>
    <row r="731">
      <c r="A731" s="1">
        <v>730.0</v>
      </c>
      <c r="B731" s="1" t="s">
        <v>4349</v>
      </c>
      <c r="C731" s="1" t="s">
        <v>4350</v>
      </c>
      <c r="D731" s="1"/>
      <c r="E731" s="1">
        <v>730.0</v>
      </c>
      <c r="F731" s="1" t="s">
        <v>4349</v>
      </c>
      <c r="G731" s="1" t="str">
        <f>IFERROR(__xludf.DUMMYFUNCTION("SPLIT(C731, "", "")"),"Biography")</f>
        <v>Biography</v>
      </c>
      <c r="H731" s="5" t="str">
        <f>IFERROR(__xludf.DUMMYFUNCTION("""COMPUTED_VALUE"""),"Drama")</f>
        <v>Drama</v>
      </c>
      <c r="I731" s="5" t="str">
        <f>IFERROR(__xludf.DUMMYFUNCTION("""COMPUTED_VALUE"""),"Romance")</f>
        <v>Romance</v>
      </c>
      <c r="J731" s="5" t="str">
        <f>IFERROR(__xludf.DUMMYFUNCTION("""COMPUTED_VALUE"""),"244🤙🏼Catch Me If You Can🤙🏼Biography🤙🏼1")</f>
        <v>244🤙🏼Catch Me If You Can🤙🏼Biography🤙🏼1</v>
      </c>
      <c r="K731" s="5">
        <f>IFERROR(__xludf.DUMMYFUNCTION("SPLiT(J731, ""🤙🏼"",FALSE,FALSE)"),244.0)</f>
        <v>244</v>
      </c>
      <c r="L731" s="5" t="str">
        <f>IFERROR(__xludf.DUMMYFUNCTION("""COMPUTED_VALUE"""),"Catch Me If You Can")</f>
        <v>Catch Me If You Can</v>
      </c>
      <c r="M731" s="5" t="str">
        <f>IFERROR(__xludf.DUMMYFUNCTION("""COMPUTED_VALUE"""),"Biography")</f>
        <v>Biography</v>
      </c>
      <c r="N731" s="5">
        <f>IFERROR(__xludf.DUMMYFUNCTION("""COMPUTED_VALUE"""),1.0)</f>
        <v>1</v>
      </c>
      <c r="S731" s="5">
        <f>IFERROR(__xludf.DUMMYFUNCTION("""COMPUTED_VALUE"""),290.0)</f>
        <v>290</v>
      </c>
      <c r="T731" s="5" t="str">
        <f>IFERROR(__xludf.DUMMYFUNCTION("""COMPUTED_VALUE"""),"Persona")</f>
        <v>Persona</v>
      </c>
      <c r="U731" s="5" t="str">
        <f>IFERROR(__xludf.DUMMYFUNCTION("""COMPUTED_VALUE"""),"Thriller")</f>
        <v>Thriller</v>
      </c>
      <c r="V731" s="5">
        <f>IFERROR(__xludf.DUMMYFUNCTION("""COMPUTED_VALUE"""),2.0)</f>
        <v>2</v>
      </c>
    </row>
    <row r="732">
      <c r="A732" s="1">
        <v>731.0</v>
      </c>
      <c r="B732" s="1" t="s">
        <v>4355</v>
      </c>
      <c r="C732" s="1" t="s">
        <v>1252</v>
      </c>
      <c r="D732" s="1"/>
      <c r="E732" s="1">
        <v>731.0</v>
      </c>
      <c r="F732" s="1" t="s">
        <v>4355</v>
      </c>
      <c r="G732" s="1" t="str">
        <f>IFERROR(__xludf.DUMMYFUNCTION("SPLIT(C732, "", "")"),"Action")</f>
        <v>Action</v>
      </c>
      <c r="H732" s="5" t="str">
        <f>IFERROR(__xludf.DUMMYFUNCTION("""COMPUTED_VALUE"""),"Adventure")</f>
        <v>Adventure</v>
      </c>
      <c r="I732" s="5" t="str">
        <f>IFERROR(__xludf.DUMMYFUNCTION("""COMPUTED_VALUE"""),"Comedy")</f>
        <v>Comedy</v>
      </c>
      <c r="J732" s="5" t="str">
        <f>IFERROR(__xludf.DUMMYFUNCTION("""COMPUTED_VALUE"""),"244🤙🏼Catch Me If You Can🤙🏼Crime🤙🏼2")</f>
        <v>244🤙🏼Catch Me If You Can🤙🏼Crime🤙🏼2</v>
      </c>
      <c r="K732" s="5">
        <f>IFERROR(__xludf.DUMMYFUNCTION("SPLiT(J732, ""🤙🏼"",FALSE,FALSE)"),244.0)</f>
        <v>244</v>
      </c>
      <c r="L732" s="5" t="str">
        <f>IFERROR(__xludf.DUMMYFUNCTION("""COMPUTED_VALUE"""),"Catch Me If You Can")</f>
        <v>Catch Me If You Can</v>
      </c>
      <c r="M732" s="5" t="str">
        <f>IFERROR(__xludf.DUMMYFUNCTION("""COMPUTED_VALUE"""),"Crime")</f>
        <v>Crime</v>
      </c>
      <c r="N732" s="5">
        <f>IFERROR(__xludf.DUMMYFUNCTION("""COMPUTED_VALUE"""),2.0)</f>
        <v>2</v>
      </c>
      <c r="S732" s="5">
        <f>IFERROR(__xludf.DUMMYFUNCTION("""COMPUTED_VALUE"""),291.0)</f>
        <v>291</v>
      </c>
      <c r="T732" s="5" t="str">
        <f>IFERROR(__xludf.DUMMYFUNCTION("""COMPUTED_VALUE"""),"Andrei Rublev")</f>
        <v>Andrei Rublev</v>
      </c>
      <c r="U732" s="5" t="str">
        <f>IFERROR(__xludf.DUMMYFUNCTION("""COMPUTED_VALUE"""),"Biography")</f>
        <v>Biography</v>
      </c>
      <c r="V732" s="5">
        <f>IFERROR(__xludf.DUMMYFUNCTION("""COMPUTED_VALUE"""),1.0)</f>
        <v>1</v>
      </c>
    </row>
    <row r="733">
      <c r="A733" s="1">
        <v>732.0</v>
      </c>
      <c r="B733" s="1" t="s">
        <v>4359</v>
      </c>
      <c r="C733" s="1" t="s">
        <v>107</v>
      </c>
      <c r="D733" s="1"/>
      <c r="E733" s="1">
        <v>732.0</v>
      </c>
      <c r="F733" s="1" t="s">
        <v>4359</v>
      </c>
      <c r="G733" s="1" t="str">
        <f>IFERROR(__xludf.DUMMYFUNCTION("SPLIT(C733, "", "")"),"Drama")</f>
        <v>Drama</v>
      </c>
      <c r="H733" s="5" t="str">
        <f>IFERROR(__xludf.DUMMYFUNCTION("""COMPUTED_VALUE"""),"Romance")</f>
        <v>Romance</v>
      </c>
      <c r="J733" s="5" t="str">
        <f>IFERROR(__xludf.DUMMYFUNCTION("""COMPUTED_VALUE"""),"244🤙🏼Catch Me If You Can🤙🏼Drama🤙🏼3")</f>
        <v>244🤙🏼Catch Me If You Can🤙🏼Drama🤙🏼3</v>
      </c>
      <c r="K733" s="5">
        <f>IFERROR(__xludf.DUMMYFUNCTION("SPLiT(J733, ""🤙🏼"",FALSE,FALSE)"),244.0)</f>
        <v>244</v>
      </c>
      <c r="L733" s="5" t="str">
        <f>IFERROR(__xludf.DUMMYFUNCTION("""COMPUTED_VALUE"""),"Catch Me If You Can")</f>
        <v>Catch Me If You Can</v>
      </c>
      <c r="M733" s="5" t="str">
        <f>IFERROR(__xludf.DUMMYFUNCTION("""COMPUTED_VALUE"""),"Drama")</f>
        <v>Drama</v>
      </c>
      <c r="N733" s="5">
        <f>IFERROR(__xludf.DUMMYFUNCTION("""COMPUTED_VALUE"""),3.0)</f>
        <v>3</v>
      </c>
      <c r="S733" s="5">
        <f>IFERROR(__xludf.DUMMYFUNCTION("""COMPUTED_VALUE"""),291.0)</f>
        <v>291</v>
      </c>
      <c r="T733" s="5" t="str">
        <f>IFERROR(__xludf.DUMMYFUNCTION("""COMPUTED_VALUE"""),"Andrei Rublev")</f>
        <v>Andrei Rublev</v>
      </c>
      <c r="U733" s="5" t="str">
        <f>IFERROR(__xludf.DUMMYFUNCTION("""COMPUTED_VALUE"""),"Drama")</f>
        <v>Drama</v>
      </c>
      <c r="V733" s="5">
        <f>IFERROR(__xludf.DUMMYFUNCTION("""COMPUTED_VALUE"""),2.0)</f>
        <v>2</v>
      </c>
    </row>
    <row r="734">
      <c r="A734" s="1">
        <v>733.0</v>
      </c>
      <c r="B734" s="1" t="s">
        <v>4365</v>
      </c>
      <c r="C734" s="1" t="s">
        <v>507</v>
      </c>
      <c r="D734" s="1"/>
      <c r="E734" s="1">
        <v>733.0</v>
      </c>
      <c r="F734" s="1" t="s">
        <v>4365</v>
      </c>
      <c r="G734" s="1" t="str">
        <f>IFERROR(__xludf.DUMMYFUNCTION("SPLIT(C734, "", "")"),"Comedy")</f>
        <v>Comedy</v>
      </c>
      <c r="H734" s="5" t="str">
        <f>IFERROR(__xludf.DUMMYFUNCTION("""COMPUTED_VALUE"""),"Drama")</f>
        <v>Drama</v>
      </c>
      <c r="J734" s="5" t="str">
        <f>IFERROR(__xludf.DUMMYFUNCTION("""COMPUTED_VALUE"""),"245🤙🏼Amores perros🤙🏼Drama🤙🏼1")</f>
        <v>245🤙🏼Amores perros🤙🏼Drama🤙🏼1</v>
      </c>
      <c r="K734" s="5">
        <f>IFERROR(__xludf.DUMMYFUNCTION("SPLiT(J734, ""🤙🏼"",FALSE,FALSE)"),245.0)</f>
        <v>245</v>
      </c>
      <c r="L734" s="5" t="str">
        <f>IFERROR(__xludf.DUMMYFUNCTION("""COMPUTED_VALUE"""),"Amores perros")</f>
        <v>Amores perros</v>
      </c>
      <c r="M734" s="5" t="str">
        <f>IFERROR(__xludf.DUMMYFUNCTION("""COMPUTED_VALUE"""),"Drama")</f>
        <v>Drama</v>
      </c>
      <c r="N734" s="5">
        <f>IFERROR(__xludf.DUMMYFUNCTION("""COMPUTED_VALUE"""),1.0)</f>
        <v>1</v>
      </c>
      <c r="S734" s="5">
        <f>IFERROR(__xludf.DUMMYFUNCTION("""COMPUTED_VALUE"""),291.0)</f>
        <v>291</v>
      </c>
      <c r="T734" s="5" t="str">
        <f>IFERROR(__xludf.DUMMYFUNCTION("""COMPUTED_VALUE"""),"Andrei Rublev")</f>
        <v>Andrei Rublev</v>
      </c>
      <c r="U734" s="5" t="str">
        <f>IFERROR(__xludf.DUMMYFUNCTION("""COMPUTED_VALUE"""),"History")</f>
        <v>History</v>
      </c>
      <c r="V734" s="5">
        <f>IFERROR(__xludf.DUMMYFUNCTION("""COMPUTED_VALUE"""),3.0)</f>
        <v>3</v>
      </c>
    </row>
    <row r="735">
      <c r="A735" s="1">
        <v>734.0</v>
      </c>
      <c r="B735" s="1" t="s">
        <v>4371</v>
      </c>
      <c r="C735" s="1" t="s">
        <v>507</v>
      </c>
      <c r="D735" s="1"/>
      <c r="E735" s="1">
        <v>734.0</v>
      </c>
      <c r="F735" s="1" t="s">
        <v>4371</v>
      </c>
      <c r="G735" s="1" t="str">
        <f>IFERROR(__xludf.DUMMYFUNCTION("SPLIT(C735, "", "")"),"Comedy")</f>
        <v>Comedy</v>
      </c>
      <c r="H735" s="5" t="str">
        <f>IFERROR(__xludf.DUMMYFUNCTION("""COMPUTED_VALUE"""),"Drama")</f>
        <v>Drama</v>
      </c>
      <c r="J735" s="5" t="str">
        <f>IFERROR(__xludf.DUMMYFUNCTION("""COMPUTED_VALUE"""),"245🤙🏼Amores perros🤙🏼Thriller🤙🏼2")</f>
        <v>245🤙🏼Amores perros🤙🏼Thriller🤙🏼2</v>
      </c>
      <c r="K735" s="5">
        <f>IFERROR(__xludf.DUMMYFUNCTION("SPLiT(J735, ""🤙🏼"",FALSE,FALSE)"),245.0)</f>
        <v>245</v>
      </c>
      <c r="L735" s="5" t="str">
        <f>IFERROR(__xludf.DUMMYFUNCTION("""COMPUTED_VALUE"""),"Amores perros")</f>
        <v>Amores perros</v>
      </c>
      <c r="M735" s="5" t="str">
        <f>IFERROR(__xludf.DUMMYFUNCTION("""COMPUTED_VALUE"""),"Thriller")</f>
        <v>Thriller</v>
      </c>
      <c r="N735" s="5">
        <f>IFERROR(__xludf.DUMMYFUNCTION("""COMPUTED_VALUE"""),2.0)</f>
        <v>2</v>
      </c>
      <c r="S735" s="5">
        <f>IFERROR(__xludf.DUMMYFUNCTION("""COMPUTED_VALUE"""),292.0)</f>
        <v>292</v>
      </c>
      <c r="T735" s="5" t="str">
        <f>IFERROR(__xludf.DUMMYFUNCTION("""COMPUTED_VALUE"""),"La battaglia di Algeri")</f>
        <v>La battaglia di Algeri</v>
      </c>
      <c r="U735" s="5" t="str">
        <f>IFERROR(__xludf.DUMMYFUNCTION("""COMPUTED_VALUE"""),"Drama")</f>
        <v>Drama</v>
      </c>
      <c r="V735" s="5">
        <f>IFERROR(__xludf.DUMMYFUNCTION("""COMPUTED_VALUE"""),1.0)</f>
        <v>1</v>
      </c>
    </row>
    <row r="736">
      <c r="A736" s="1">
        <v>735.0</v>
      </c>
      <c r="B736" s="1" t="s">
        <v>4375</v>
      </c>
      <c r="C736" s="1" t="s">
        <v>107</v>
      </c>
      <c r="D736" s="1"/>
      <c r="E736" s="1">
        <v>735.0</v>
      </c>
      <c r="F736" s="1" t="s">
        <v>4375</v>
      </c>
      <c r="G736" s="1" t="str">
        <f>IFERROR(__xludf.DUMMYFUNCTION("SPLIT(C736, "", "")"),"Drama")</f>
        <v>Drama</v>
      </c>
      <c r="H736" s="5" t="str">
        <f>IFERROR(__xludf.DUMMYFUNCTION("""COMPUTED_VALUE"""),"Romance")</f>
        <v>Romance</v>
      </c>
      <c r="J736" s="5" t="str">
        <f>IFERROR(__xludf.DUMMYFUNCTION("""COMPUTED_VALUE"""),"245🤙🏼Amores perros🤙🏼🤙🏼3")</f>
        <v>245🤙🏼Amores perros🤙🏼🤙🏼3</v>
      </c>
      <c r="K736" s="5">
        <f>IFERROR(__xludf.DUMMYFUNCTION("SPLiT(J736, ""🤙🏼"",FALSE,FALSE)"),245.0)</f>
        <v>245</v>
      </c>
      <c r="L736" s="5" t="str">
        <f>IFERROR(__xludf.DUMMYFUNCTION("""COMPUTED_VALUE"""),"Amores perros")</f>
        <v>Amores perros</v>
      </c>
      <c r="M736" s="5"/>
      <c r="N736" s="5">
        <f>IFERROR(__xludf.DUMMYFUNCTION("""COMPUTED_VALUE"""),3.0)</f>
        <v>3</v>
      </c>
      <c r="S736" s="5">
        <f>IFERROR(__xludf.DUMMYFUNCTION("""COMPUTED_VALUE"""),292.0)</f>
        <v>292</v>
      </c>
      <c r="T736" s="5" t="str">
        <f>IFERROR(__xludf.DUMMYFUNCTION("""COMPUTED_VALUE"""),"La battaglia di Algeri")</f>
        <v>La battaglia di Algeri</v>
      </c>
      <c r="U736" s="5" t="str">
        <f>IFERROR(__xludf.DUMMYFUNCTION("""COMPUTED_VALUE"""),"War")</f>
        <v>War</v>
      </c>
      <c r="V736" s="5">
        <f>IFERROR(__xludf.DUMMYFUNCTION("""COMPUTED_VALUE"""),2.0)</f>
        <v>2</v>
      </c>
    </row>
    <row r="737">
      <c r="A737" s="1">
        <v>736.0</v>
      </c>
      <c r="B737" s="1" t="s">
        <v>4382</v>
      </c>
      <c r="C737" s="1" t="s">
        <v>1622</v>
      </c>
      <c r="D737" s="1"/>
      <c r="E737" s="1">
        <v>736.0</v>
      </c>
      <c r="F737" s="1" t="s">
        <v>4382</v>
      </c>
      <c r="G737" s="1" t="str">
        <f>IFERROR(__xludf.DUMMYFUNCTION("SPLIT(C737, "", "")"),"Drama")</f>
        <v>Drama</v>
      </c>
      <c r="H737" s="5" t="str">
        <f>IFERROR(__xludf.DUMMYFUNCTION("""COMPUTED_VALUE"""),"Sport")</f>
        <v>Sport</v>
      </c>
      <c r="J737" s="5" t="str">
        <f>IFERROR(__xludf.DUMMYFUNCTION("""COMPUTED_VALUE"""),"246🤙🏼Monsters, Inc.🤙🏼Animation🤙🏼1")</f>
        <v>246🤙🏼Monsters, Inc.🤙🏼Animation🤙🏼1</v>
      </c>
      <c r="K737" s="5">
        <f>IFERROR(__xludf.DUMMYFUNCTION("SPLiT(J737, ""🤙🏼"",FALSE,FALSE)"),246.0)</f>
        <v>246</v>
      </c>
      <c r="L737" s="5" t="str">
        <f>IFERROR(__xludf.DUMMYFUNCTION("""COMPUTED_VALUE"""),"Monsters, Inc.")</f>
        <v>Monsters, Inc.</v>
      </c>
      <c r="M737" s="5" t="str">
        <f>IFERROR(__xludf.DUMMYFUNCTION("""COMPUTED_VALUE"""),"Animation")</f>
        <v>Animation</v>
      </c>
      <c r="N737" s="5">
        <f>IFERROR(__xludf.DUMMYFUNCTION("""COMPUTED_VALUE"""),1.0)</f>
        <v>1</v>
      </c>
      <c r="S737" s="5">
        <f>IFERROR(__xludf.DUMMYFUNCTION("""COMPUTED_VALUE"""),293.0)</f>
        <v>293</v>
      </c>
      <c r="T737" s="5" t="str">
        <f>IFERROR(__xludf.DUMMYFUNCTION("""COMPUTED_VALUE"""),"El ángel exterminador")</f>
        <v>El ángel exterminador</v>
      </c>
      <c r="U737" s="5" t="str">
        <f>IFERROR(__xludf.DUMMYFUNCTION("""COMPUTED_VALUE"""),"Drama")</f>
        <v>Drama</v>
      </c>
      <c r="V737" s="5">
        <f>IFERROR(__xludf.DUMMYFUNCTION("""COMPUTED_VALUE"""),1.0)</f>
        <v>1</v>
      </c>
    </row>
    <row r="738">
      <c r="A738" s="1">
        <v>737.0</v>
      </c>
      <c r="B738" s="1" t="s">
        <v>4387</v>
      </c>
      <c r="C738" s="1" t="s">
        <v>1706</v>
      </c>
      <c r="D738" s="1"/>
      <c r="E738" s="1">
        <v>737.0</v>
      </c>
      <c r="F738" s="1" t="s">
        <v>4387</v>
      </c>
      <c r="G738" s="1" t="str">
        <f>IFERROR(__xludf.DUMMYFUNCTION("SPLIT(C738, "", "")"),"Drama")</f>
        <v>Drama</v>
      </c>
      <c r="H738" s="5" t="str">
        <f>IFERROR(__xludf.DUMMYFUNCTION("""COMPUTED_VALUE"""),"Music")</f>
        <v>Music</v>
      </c>
      <c r="I738" s="5" t="str">
        <f>IFERROR(__xludf.DUMMYFUNCTION("""COMPUTED_VALUE"""),"Romance")</f>
        <v>Romance</v>
      </c>
      <c r="J738" s="5" t="str">
        <f>IFERROR(__xludf.DUMMYFUNCTION("""COMPUTED_VALUE"""),"246🤙🏼Monsters, Inc.🤙🏼Adventure🤙🏼2")</f>
        <v>246🤙🏼Monsters, Inc.🤙🏼Adventure🤙🏼2</v>
      </c>
      <c r="K738" s="5">
        <f>IFERROR(__xludf.DUMMYFUNCTION("SPLiT(J738, ""🤙🏼"",FALSE,FALSE)"),246.0)</f>
        <v>246</v>
      </c>
      <c r="L738" s="5" t="str">
        <f>IFERROR(__xludf.DUMMYFUNCTION("""COMPUTED_VALUE"""),"Monsters, Inc.")</f>
        <v>Monsters, Inc.</v>
      </c>
      <c r="M738" s="5" t="str">
        <f>IFERROR(__xludf.DUMMYFUNCTION("""COMPUTED_VALUE"""),"Adventure")</f>
        <v>Adventure</v>
      </c>
      <c r="N738" s="5">
        <f>IFERROR(__xludf.DUMMYFUNCTION("""COMPUTED_VALUE"""),2.0)</f>
        <v>2</v>
      </c>
      <c r="S738" s="5">
        <f>IFERROR(__xludf.DUMMYFUNCTION("""COMPUTED_VALUE"""),293.0)</f>
        <v>293</v>
      </c>
      <c r="T738" s="5" t="str">
        <f>IFERROR(__xludf.DUMMYFUNCTION("""COMPUTED_VALUE"""),"El ángel exterminador")</f>
        <v>El ángel exterminador</v>
      </c>
      <c r="U738" s="5" t="str">
        <f>IFERROR(__xludf.DUMMYFUNCTION("""COMPUTED_VALUE"""),"Fantasy")</f>
        <v>Fantasy</v>
      </c>
      <c r="V738" s="5">
        <f>IFERROR(__xludf.DUMMYFUNCTION("""COMPUTED_VALUE"""),2.0)</f>
        <v>2</v>
      </c>
    </row>
    <row r="739">
      <c r="A739" s="1">
        <v>738.0</v>
      </c>
      <c r="B739" s="1" t="s">
        <v>4394</v>
      </c>
      <c r="C739" s="1" t="s">
        <v>88</v>
      </c>
      <c r="D739" s="1"/>
      <c r="E739" s="1">
        <v>738.0</v>
      </c>
      <c r="F739" s="1" t="s">
        <v>4394</v>
      </c>
      <c r="G739" s="1" t="str">
        <f>IFERROR(__xludf.DUMMYFUNCTION("SPLIT(C739, "", "")"),"Action")</f>
        <v>Action</v>
      </c>
      <c r="H739" s="5" t="str">
        <f>IFERROR(__xludf.DUMMYFUNCTION("""COMPUTED_VALUE"""),"Adventure")</f>
        <v>Adventure</v>
      </c>
      <c r="I739" s="5" t="str">
        <f>IFERROR(__xludf.DUMMYFUNCTION("""COMPUTED_VALUE"""),"Sci-Fi")</f>
        <v>Sci-Fi</v>
      </c>
      <c r="J739" s="5" t="str">
        <f>IFERROR(__xludf.DUMMYFUNCTION("""COMPUTED_VALUE"""),"246🤙🏼Monsters, Inc.🤙🏼Comedy🤙🏼3")</f>
        <v>246🤙🏼Monsters, Inc.🤙🏼Comedy🤙🏼3</v>
      </c>
      <c r="K739" s="5">
        <f>IFERROR(__xludf.DUMMYFUNCTION("SPLiT(J739, ""🤙🏼"",FALSE,FALSE)"),246.0)</f>
        <v>246</v>
      </c>
      <c r="L739" s="5" t="str">
        <f>IFERROR(__xludf.DUMMYFUNCTION("""COMPUTED_VALUE"""),"Monsters, Inc.")</f>
        <v>Monsters, Inc.</v>
      </c>
      <c r="M739" s="5" t="str">
        <f>IFERROR(__xludf.DUMMYFUNCTION("""COMPUTED_VALUE"""),"Comedy")</f>
        <v>Comedy</v>
      </c>
      <c r="N739" s="5">
        <f>IFERROR(__xludf.DUMMYFUNCTION("""COMPUTED_VALUE"""),3.0)</f>
        <v>3</v>
      </c>
      <c r="S739" s="5">
        <f>IFERROR(__xludf.DUMMYFUNCTION("""COMPUTED_VALUE"""),294.0)</f>
        <v>294</v>
      </c>
      <c r="T739" s="5" t="str">
        <f>IFERROR(__xludf.DUMMYFUNCTION("""COMPUTED_VALUE"""),"What Ever Happened to Baby Jane?")</f>
        <v>What Ever Happened to Baby Jane?</v>
      </c>
      <c r="U739" s="5" t="str">
        <f>IFERROR(__xludf.DUMMYFUNCTION("""COMPUTED_VALUE"""),"Drama")</f>
        <v>Drama</v>
      </c>
      <c r="V739" s="5">
        <f>IFERROR(__xludf.DUMMYFUNCTION("""COMPUTED_VALUE"""),1.0)</f>
        <v>1</v>
      </c>
    </row>
    <row r="740">
      <c r="A740" s="1">
        <v>739.0</v>
      </c>
      <c r="B740" s="1" t="s">
        <v>4396</v>
      </c>
      <c r="C740" s="1" t="s">
        <v>3319</v>
      </c>
      <c r="D740" s="1"/>
      <c r="E740" s="1">
        <v>739.0</v>
      </c>
      <c r="F740" s="1" t="s">
        <v>4396</v>
      </c>
      <c r="G740" s="1" t="str">
        <f>IFERROR(__xludf.DUMMYFUNCTION("SPLIT(C740, "", "")"),"Drama")</f>
        <v>Drama</v>
      </c>
      <c r="H740" s="5" t="str">
        <f>IFERROR(__xludf.DUMMYFUNCTION("""COMPUTED_VALUE"""),"Music")</f>
        <v>Music</v>
      </c>
      <c r="I740" s="5" t="str">
        <f>IFERROR(__xludf.DUMMYFUNCTION("""COMPUTED_VALUE"""),"Musical")</f>
        <v>Musical</v>
      </c>
      <c r="J740" s="5" t="str">
        <f>IFERROR(__xludf.DUMMYFUNCTION("""COMPUTED_VALUE"""),"247🤙🏼Shin seiki Evangelion Gekijô-ban: Air/Magokoro wo, kimi ni🤙🏼Animation🤙🏼1")</f>
        <v>247🤙🏼Shin seiki Evangelion Gekijô-ban: Air/Magokoro wo, kimi ni🤙🏼Animation🤙🏼1</v>
      </c>
      <c r="K740" s="5">
        <f>IFERROR(__xludf.DUMMYFUNCTION("SPLiT(J740, ""🤙🏼"",FALSE,FALSE)"),247.0)</f>
        <v>247</v>
      </c>
      <c r="L740" s="5" t="str">
        <f>IFERROR(__xludf.DUMMYFUNCTION("""COMPUTED_VALUE"""),"Shin seiki Evangelion Gekijô-ban: Air/Magokoro wo, kimi ni")</f>
        <v>Shin seiki Evangelion Gekijô-ban: Air/Magokoro wo, kimi ni</v>
      </c>
      <c r="M740" s="5" t="str">
        <f>IFERROR(__xludf.DUMMYFUNCTION("""COMPUTED_VALUE"""),"Animation")</f>
        <v>Animation</v>
      </c>
      <c r="N740" s="5">
        <f>IFERROR(__xludf.DUMMYFUNCTION("""COMPUTED_VALUE"""),1.0)</f>
        <v>1</v>
      </c>
      <c r="S740" s="5">
        <f>IFERROR(__xludf.DUMMYFUNCTION("""COMPUTED_VALUE"""),294.0)</f>
        <v>294</v>
      </c>
      <c r="T740" s="5" t="str">
        <f>IFERROR(__xludf.DUMMYFUNCTION("""COMPUTED_VALUE"""),"What Ever Happened to Baby Jane?")</f>
        <v>What Ever Happened to Baby Jane?</v>
      </c>
      <c r="U740" s="5" t="str">
        <f>IFERROR(__xludf.DUMMYFUNCTION("""COMPUTED_VALUE"""),"Horror")</f>
        <v>Horror</v>
      </c>
      <c r="V740" s="5">
        <f>IFERROR(__xludf.DUMMYFUNCTION("""COMPUTED_VALUE"""),2.0)</f>
        <v>2</v>
      </c>
    </row>
    <row r="741">
      <c r="A741" s="1">
        <v>740.0</v>
      </c>
      <c r="B741" s="1" t="s">
        <v>4400</v>
      </c>
      <c r="C741" s="1" t="s">
        <v>1004</v>
      </c>
      <c r="D741" s="1"/>
      <c r="E741" s="1">
        <v>740.0</v>
      </c>
      <c r="F741" s="1" t="s">
        <v>4400</v>
      </c>
      <c r="G741" s="1" t="str">
        <f>IFERROR(__xludf.DUMMYFUNCTION("SPLIT(C741, "", "")"),"Adventure")</f>
        <v>Adventure</v>
      </c>
      <c r="H741" s="5" t="str">
        <f>IFERROR(__xludf.DUMMYFUNCTION("""COMPUTED_VALUE"""),"Comedy")</f>
        <v>Comedy</v>
      </c>
      <c r="I741" s="5" t="str">
        <f>IFERROR(__xludf.DUMMYFUNCTION("""COMPUTED_VALUE"""),"Drama")</f>
        <v>Drama</v>
      </c>
      <c r="J741" s="5" t="str">
        <f>IFERROR(__xludf.DUMMYFUNCTION("""COMPUTED_VALUE"""),"247🤙🏼Shin seiki Evangelion Gekijô-ban: Air/Magokoro wo, kimi ni🤙🏼Action🤙🏼2")</f>
        <v>247🤙🏼Shin seiki Evangelion Gekijô-ban: Air/Magokoro wo, kimi ni🤙🏼Action🤙🏼2</v>
      </c>
      <c r="K741" s="5">
        <f>IFERROR(__xludf.DUMMYFUNCTION("SPLiT(J741, ""🤙🏼"",FALSE,FALSE)"),247.0)</f>
        <v>247</v>
      </c>
      <c r="L741" s="5" t="str">
        <f>IFERROR(__xludf.DUMMYFUNCTION("""COMPUTED_VALUE"""),"Shin seiki Evangelion Gekijô-ban: Air/Magokoro wo, kimi ni")</f>
        <v>Shin seiki Evangelion Gekijô-ban: Air/Magokoro wo, kimi ni</v>
      </c>
      <c r="M741" s="5" t="str">
        <f>IFERROR(__xludf.DUMMYFUNCTION("""COMPUTED_VALUE"""),"Action")</f>
        <v>Action</v>
      </c>
      <c r="N741" s="5">
        <f>IFERROR(__xludf.DUMMYFUNCTION("""COMPUTED_VALUE"""),2.0)</f>
        <v>2</v>
      </c>
      <c r="S741" s="5">
        <f>IFERROR(__xludf.DUMMYFUNCTION("""COMPUTED_VALUE"""),294.0)</f>
        <v>294</v>
      </c>
      <c r="T741" s="5" t="str">
        <f>IFERROR(__xludf.DUMMYFUNCTION("""COMPUTED_VALUE"""),"What Ever Happened to Baby Jane?")</f>
        <v>What Ever Happened to Baby Jane?</v>
      </c>
      <c r="U741" s="5" t="str">
        <f>IFERROR(__xludf.DUMMYFUNCTION("""COMPUTED_VALUE"""),"Thriller")</f>
        <v>Thriller</v>
      </c>
      <c r="V741" s="5">
        <f>IFERROR(__xludf.DUMMYFUNCTION("""COMPUTED_VALUE"""),3.0)</f>
        <v>3</v>
      </c>
    </row>
    <row r="742">
      <c r="A742" s="1">
        <v>741.0</v>
      </c>
      <c r="B742" s="1" t="s">
        <v>4407</v>
      </c>
      <c r="C742" s="1" t="s">
        <v>765</v>
      </c>
      <c r="D742" s="1"/>
      <c r="E742" s="1">
        <v>741.0</v>
      </c>
      <c r="F742" s="1" t="s">
        <v>4407</v>
      </c>
      <c r="G742" s="1" t="str">
        <f>IFERROR(__xludf.DUMMYFUNCTION("SPLIT(C742, "", "")"),"Animation")</f>
        <v>Animation</v>
      </c>
      <c r="H742" s="5" t="str">
        <f>IFERROR(__xludf.DUMMYFUNCTION("""COMPUTED_VALUE"""),"Adventure")</f>
        <v>Adventure</v>
      </c>
      <c r="I742" s="5" t="str">
        <f>IFERROR(__xludf.DUMMYFUNCTION("""COMPUTED_VALUE"""),"Comedy")</f>
        <v>Comedy</v>
      </c>
      <c r="J742" s="5" t="str">
        <f>IFERROR(__xludf.DUMMYFUNCTION("""COMPUTED_VALUE"""),"247🤙🏼Shin seiki Evangelion Gekijô-ban: Air/Magokoro wo, kimi ni🤙🏼Drama🤙🏼3")</f>
        <v>247🤙🏼Shin seiki Evangelion Gekijô-ban: Air/Magokoro wo, kimi ni🤙🏼Drama🤙🏼3</v>
      </c>
      <c r="K742" s="5">
        <f>IFERROR(__xludf.DUMMYFUNCTION("SPLiT(J742, ""🤙🏼"",FALSE,FALSE)"),247.0)</f>
        <v>247</v>
      </c>
      <c r="L742" s="5" t="str">
        <f>IFERROR(__xludf.DUMMYFUNCTION("""COMPUTED_VALUE"""),"Shin seiki Evangelion Gekijô-ban: Air/Magokoro wo, kimi ni")</f>
        <v>Shin seiki Evangelion Gekijô-ban: Air/Magokoro wo, kimi ni</v>
      </c>
      <c r="M742" s="5" t="str">
        <f>IFERROR(__xludf.DUMMYFUNCTION("""COMPUTED_VALUE"""),"Drama")</f>
        <v>Drama</v>
      </c>
      <c r="N742" s="5">
        <f>IFERROR(__xludf.DUMMYFUNCTION("""COMPUTED_VALUE"""),3.0)</f>
        <v>3</v>
      </c>
      <c r="S742" s="5">
        <f>IFERROR(__xludf.DUMMYFUNCTION("""COMPUTED_VALUE"""),295.0)</f>
        <v>295</v>
      </c>
      <c r="T742" s="5" t="str">
        <f>IFERROR(__xludf.DUMMYFUNCTION("""COMPUTED_VALUE"""),"Sanjuro")</f>
        <v>Sanjuro</v>
      </c>
      <c r="U742" s="5" t="str">
        <f>IFERROR(__xludf.DUMMYFUNCTION("""COMPUTED_VALUE"""),"Action")</f>
        <v>Action</v>
      </c>
      <c r="V742" s="5">
        <f>IFERROR(__xludf.DUMMYFUNCTION("""COMPUTED_VALUE"""),1.0)</f>
        <v>1</v>
      </c>
    </row>
    <row r="743">
      <c r="A743" s="1">
        <v>742.0</v>
      </c>
      <c r="B743" s="1" t="s">
        <v>4413</v>
      </c>
      <c r="C743" s="1" t="s">
        <v>352</v>
      </c>
      <c r="D743" s="1"/>
      <c r="E743" s="1">
        <v>742.0</v>
      </c>
      <c r="F743" s="1" t="s">
        <v>4413</v>
      </c>
      <c r="G743" s="1" t="str">
        <f>IFERROR(__xludf.DUMMYFUNCTION("SPLIT(C743, "", "")"),"Animation")</f>
        <v>Animation</v>
      </c>
      <c r="H743" s="5" t="str">
        <f>IFERROR(__xludf.DUMMYFUNCTION("""COMPUTED_VALUE"""),"Adventure")</f>
        <v>Adventure</v>
      </c>
      <c r="I743" s="5" t="str">
        <f>IFERROR(__xludf.DUMMYFUNCTION("""COMPUTED_VALUE"""),"Drama")</f>
        <v>Drama</v>
      </c>
      <c r="J743" s="5" t="str">
        <f>IFERROR(__xludf.DUMMYFUNCTION("""COMPUTED_VALUE"""),"248🤙🏼Lagaan: Once Upon a Time in India🤙🏼Adventure🤙🏼1")</f>
        <v>248🤙🏼Lagaan: Once Upon a Time in India🤙🏼Adventure🤙🏼1</v>
      </c>
      <c r="K743" s="5">
        <f>IFERROR(__xludf.DUMMYFUNCTION("SPLiT(J743, ""🤙🏼"",FALSE,FALSE)"),248.0)</f>
        <v>248</v>
      </c>
      <c r="L743" s="5" t="str">
        <f>IFERROR(__xludf.DUMMYFUNCTION("""COMPUTED_VALUE"""),"Lagaan: Once Upon a Time in India")</f>
        <v>Lagaan: Once Upon a Time in India</v>
      </c>
      <c r="M743" s="5" t="str">
        <f>IFERROR(__xludf.DUMMYFUNCTION("""COMPUTED_VALUE"""),"Adventure")</f>
        <v>Adventure</v>
      </c>
      <c r="N743" s="5">
        <f>IFERROR(__xludf.DUMMYFUNCTION("""COMPUTED_VALUE"""),1.0)</f>
        <v>1</v>
      </c>
      <c r="S743" s="5">
        <f>IFERROR(__xludf.DUMMYFUNCTION("""COMPUTED_VALUE"""),295.0)</f>
        <v>295</v>
      </c>
      <c r="T743" s="5" t="str">
        <f>IFERROR(__xludf.DUMMYFUNCTION("""COMPUTED_VALUE"""),"Sanjuro")</f>
        <v>Sanjuro</v>
      </c>
      <c r="U743" s="5" t="str">
        <f>IFERROR(__xludf.DUMMYFUNCTION("""COMPUTED_VALUE"""),"Comedy")</f>
        <v>Comedy</v>
      </c>
      <c r="V743" s="5">
        <f>IFERROR(__xludf.DUMMYFUNCTION("""COMPUTED_VALUE"""),2.0)</f>
        <v>2</v>
      </c>
    </row>
    <row r="744">
      <c r="A744" s="1">
        <v>743.0</v>
      </c>
      <c r="B744" s="1" t="s">
        <v>4417</v>
      </c>
      <c r="C744" s="1" t="s">
        <v>20</v>
      </c>
      <c r="D744" s="1"/>
      <c r="E744" s="1">
        <v>743.0</v>
      </c>
      <c r="F744" s="1" t="s">
        <v>4417</v>
      </c>
      <c r="G744" s="1" t="str">
        <f>IFERROR(__xludf.DUMMYFUNCTION("SPLIT(C744, "", "")"),"Drama")</f>
        <v>Drama</v>
      </c>
      <c r="J744" s="5" t="str">
        <f>IFERROR(__xludf.DUMMYFUNCTION("""COMPUTED_VALUE"""),"248🤙🏼Lagaan: Once Upon a Time in India🤙🏼Drama🤙🏼2")</f>
        <v>248🤙🏼Lagaan: Once Upon a Time in India🤙🏼Drama🤙🏼2</v>
      </c>
      <c r="K744" s="5">
        <f>IFERROR(__xludf.DUMMYFUNCTION("SPLiT(J744, ""🤙🏼"",FALSE,FALSE)"),248.0)</f>
        <v>248</v>
      </c>
      <c r="L744" s="5" t="str">
        <f>IFERROR(__xludf.DUMMYFUNCTION("""COMPUTED_VALUE"""),"Lagaan: Once Upon a Time in India")</f>
        <v>Lagaan: Once Upon a Time in India</v>
      </c>
      <c r="M744" s="5" t="str">
        <f>IFERROR(__xludf.DUMMYFUNCTION("""COMPUTED_VALUE"""),"Drama")</f>
        <v>Drama</v>
      </c>
      <c r="N744" s="5">
        <f>IFERROR(__xludf.DUMMYFUNCTION("""COMPUTED_VALUE"""),2.0)</f>
        <v>2</v>
      </c>
      <c r="S744" s="5">
        <f>IFERROR(__xludf.DUMMYFUNCTION("""COMPUTED_VALUE"""),295.0)</f>
        <v>295</v>
      </c>
      <c r="T744" s="5" t="str">
        <f>IFERROR(__xludf.DUMMYFUNCTION("""COMPUTED_VALUE"""),"Sanjuro")</f>
        <v>Sanjuro</v>
      </c>
      <c r="U744" s="5" t="str">
        <f>IFERROR(__xludf.DUMMYFUNCTION("""COMPUTED_VALUE"""),"Crime")</f>
        <v>Crime</v>
      </c>
      <c r="V744" s="5">
        <f>IFERROR(__xludf.DUMMYFUNCTION("""COMPUTED_VALUE"""),3.0)</f>
        <v>3</v>
      </c>
    </row>
    <row r="745">
      <c r="A745" s="1">
        <v>744.0</v>
      </c>
      <c r="B745" s="1" t="s">
        <v>4422</v>
      </c>
      <c r="C745" s="1" t="s">
        <v>2566</v>
      </c>
      <c r="D745" s="1"/>
      <c r="E745" s="1">
        <v>744.0</v>
      </c>
      <c r="F745" s="1" t="s">
        <v>4422</v>
      </c>
      <c r="G745" s="1" t="str">
        <f>IFERROR(__xludf.DUMMYFUNCTION("SPLIT(C745, "", "")"),"Comedy")</f>
        <v>Comedy</v>
      </c>
      <c r="H745" s="5" t="str">
        <f>IFERROR(__xludf.DUMMYFUNCTION("""COMPUTED_VALUE"""),"Fantasy")</f>
        <v>Fantasy</v>
      </c>
      <c r="I745" s="5" t="str">
        <f>IFERROR(__xludf.DUMMYFUNCTION("""COMPUTED_VALUE"""),"Romance")</f>
        <v>Romance</v>
      </c>
      <c r="J745" s="5" t="str">
        <f>IFERROR(__xludf.DUMMYFUNCTION("""COMPUTED_VALUE"""),"248🤙🏼Lagaan: Once Upon a Time in India🤙🏼Musical🤙🏼3")</f>
        <v>248🤙🏼Lagaan: Once Upon a Time in India🤙🏼Musical🤙🏼3</v>
      </c>
      <c r="K745" s="5">
        <f>IFERROR(__xludf.DUMMYFUNCTION("SPLiT(J745, ""🤙🏼"",FALSE,FALSE)"),248.0)</f>
        <v>248</v>
      </c>
      <c r="L745" s="5" t="str">
        <f>IFERROR(__xludf.DUMMYFUNCTION("""COMPUTED_VALUE"""),"Lagaan: Once Upon a Time in India")</f>
        <v>Lagaan: Once Upon a Time in India</v>
      </c>
      <c r="M745" s="5" t="str">
        <f>IFERROR(__xludf.DUMMYFUNCTION("""COMPUTED_VALUE"""),"Musical")</f>
        <v>Musical</v>
      </c>
      <c r="N745" s="5">
        <f>IFERROR(__xludf.DUMMYFUNCTION("""COMPUTED_VALUE"""),3.0)</f>
        <v>3</v>
      </c>
      <c r="S745" s="5">
        <f>IFERROR(__xludf.DUMMYFUNCTION("""COMPUTED_VALUE"""),296.0)</f>
        <v>296</v>
      </c>
      <c r="T745" s="5" t="str">
        <f>IFERROR(__xludf.DUMMYFUNCTION("""COMPUTED_VALUE"""),"The Man Who Shot Liberty Valance")</f>
        <v>The Man Who Shot Liberty Valance</v>
      </c>
      <c r="U745" s="5" t="str">
        <f>IFERROR(__xludf.DUMMYFUNCTION("""COMPUTED_VALUE"""),"Drama")</f>
        <v>Drama</v>
      </c>
      <c r="V745" s="5">
        <f>IFERROR(__xludf.DUMMYFUNCTION("""COMPUTED_VALUE"""),1.0)</f>
        <v>1</v>
      </c>
    </row>
    <row r="746">
      <c r="A746" s="1">
        <v>745.0</v>
      </c>
      <c r="B746" s="1" t="s">
        <v>4425</v>
      </c>
      <c r="C746" s="1" t="s">
        <v>467</v>
      </c>
      <c r="D746" s="1"/>
      <c r="E746" s="1">
        <v>745.0</v>
      </c>
      <c r="F746" s="1" t="s">
        <v>4425</v>
      </c>
      <c r="G746" s="1" t="str">
        <f>IFERROR(__xludf.DUMMYFUNCTION("SPLIT(C746, "", "")"),"Animation")</f>
        <v>Animation</v>
      </c>
      <c r="H746" s="5" t="str">
        <f>IFERROR(__xludf.DUMMYFUNCTION("""COMPUTED_VALUE"""),"Action")</f>
        <v>Action</v>
      </c>
      <c r="I746" s="5" t="str">
        <f>IFERROR(__xludf.DUMMYFUNCTION("""COMPUTED_VALUE"""),"Adventure")</f>
        <v>Adventure</v>
      </c>
      <c r="J746" s="5" t="str">
        <f>IFERROR(__xludf.DUMMYFUNCTION("""COMPUTED_VALUE"""),"249🤙🏼The Sixth Sense🤙🏼Drama🤙🏼1")</f>
        <v>249🤙🏼The Sixth Sense🤙🏼Drama🤙🏼1</v>
      </c>
      <c r="K746" s="5">
        <f>IFERROR(__xludf.DUMMYFUNCTION("SPLiT(J746, ""🤙🏼"",FALSE,FALSE)"),249.0)</f>
        <v>249</v>
      </c>
      <c r="L746" s="5" t="str">
        <f>IFERROR(__xludf.DUMMYFUNCTION("""COMPUTED_VALUE"""),"The Sixth Sense")</f>
        <v>The Sixth Sense</v>
      </c>
      <c r="M746" s="5" t="str">
        <f>IFERROR(__xludf.DUMMYFUNCTION("""COMPUTED_VALUE"""),"Drama")</f>
        <v>Drama</v>
      </c>
      <c r="N746" s="5">
        <f>IFERROR(__xludf.DUMMYFUNCTION("""COMPUTED_VALUE"""),1.0)</f>
        <v>1</v>
      </c>
      <c r="S746" s="5">
        <f>IFERROR(__xludf.DUMMYFUNCTION("""COMPUTED_VALUE"""),296.0)</f>
        <v>296</v>
      </c>
      <c r="T746" s="5" t="str">
        <f>IFERROR(__xludf.DUMMYFUNCTION("""COMPUTED_VALUE"""),"The Man Who Shot Liberty Valance")</f>
        <v>The Man Who Shot Liberty Valance</v>
      </c>
      <c r="U746" s="5" t="str">
        <f>IFERROR(__xludf.DUMMYFUNCTION("""COMPUTED_VALUE"""),"Western")</f>
        <v>Western</v>
      </c>
      <c r="V746" s="5">
        <f>IFERROR(__xludf.DUMMYFUNCTION("""COMPUTED_VALUE"""),2.0)</f>
        <v>2</v>
      </c>
    </row>
    <row r="747">
      <c r="A747" s="1">
        <v>746.0</v>
      </c>
      <c r="B747" s="1" t="s">
        <v>4431</v>
      </c>
      <c r="C747" s="1" t="s">
        <v>3959</v>
      </c>
      <c r="D747" s="1"/>
      <c r="E747" s="1">
        <v>746.0</v>
      </c>
      <c r="F747" s="1" t="s">
        <v>4431</v>
      </c>
      <c r="G747" s="1" t="str">
        <f>IFERROR(__xludf.DUMMYFUNCTION("SPLIT(C747, "", "")"),"Drama")</f>
        <v>Drama</v>
      </c>
      <c r="H747" s="5" t="str">
        <f>IFERROR(__xludf.DUMMYFUNCTION("""COMPUTED_VALUE"""),"Sci-Fi")</f>
        <v>Sci-Fi</v>
      </c>
      <c r="I747" s="5" t="str">
        <f>IFERROR(__xludf.DUMMYFUNCTION("""COMPUTED_VALUE"""),"Thriller")</f>
        <v>Thriller</v>
      </c>
      <c r="J747" s="5" t="str">
        <f>IFERROR(__xludf.DUMMYFUNCTION("""COMPUTED_VALUE"""),"249🤙🏼The Sixth Sense🤙🏼Mystery🤙🏼2")</f>
        <v>249🤙🏼The Sixth Sense🤙🏼Mystery🤙🏼2</v>
      </c>
      <c r="K747" s="5">
        <f>IFERROR(__xludf.DUMMYFUNCTION("SPLiT(J747, ""🤙🏼"",FALSE,FALSE)"),249.0)</f>
        <v>249</v>
      </c>
      <c r="L747" s="5" t="str">
        <f>IFERROR(__xludf.DUMMYFUNCTION("""COMPUTED_VALUE"""),"The Sixth Sense")</f>
        <v>The Sixth Sense</v>
      </c>
      <c r="M747" s="5" t="str">
        <f>IFERROR(__xludf.DUMMYFUNCTION("""COMPUTED_VALUE"""),"Mystery")</f>
        <v>Mystery</v>
      </c>
      <c r="N747" s="5">
        <f>IFERROR(__xludf.DUMMYFUNCTION("""COMPUTED_VALUE"""),2.0)</f>
        <v>2</v>
      </c>
      <c r="S747" s="5">
        <f>IFERROR(__xludf.DUMMYFUNCTION("""COMPUTED_VALUE"""),297.0)</f>
        <v>297</v>
      </c>
      <c r="T747" s="5" t="str">
        <f>IFERROR(__xludf.DUMMYFUNCTION("""COMPUTED_VALUE"""),"Ivanovo detstvo")</f>
        <v>Ivanovo detstvo</v>
      </c>
      <c r="U747" s="5" t="str">
        <f>IFERROR(__xludf.DUMMYFUNCTION("""COMPUTED_VALUE"""),"Drama")</f>
        <v>Drama</v>
      </c>
      <c r="V747" s="5">
        <f>IFERROR(__xludf.DUMMYFUNCTION("""COMPUTED_VALUE"""),1.0)</f>
        <v>1</v>
      </c>
    </row>
    <row r="748">
      <c r="A748" s="1">
        <v>747.0</v>
      </c>
      <c r="B748" s="1" t="s">
        <v>4435</v>
      </c>
      <c r="C748" s="1" t="s">
        <v>88</v>
      </c>
      <c r="D748" s="1"/>
      <c r="E748" s="1">
        <v>747.0</v>
      </c>
      <c r="F748" s="1" t="s">
        <v>4435</v>
      </c>
      <c r="G748" s="1" t="str">
        <f>IFERROR(__xludf.DUMMYFUNCTION("SPLIT(C748, "", "")"),"Action")</f>
        <v>Action</v>
      </c>
      <c r="H748" s="5" t="str">
        <f>IFERROR(__xludf.DUMMYFUNCTION("""COMPUTED_VALUE"""),"Adventure")</f>
        <v>Adventure</v>
      </c>
      <c r="I748" s="5" t="str">
        <f>IFERROR(__xludf.DUMMYFUNCTION("""COMPUTED_VALUE"""),"Sci-Fi")</f>
        <v>Sci-Fi</v>
      </c>
      <c r="J748" s="5" t="str">
        <f>IFERROR(__xludf.DUMMYFUNCTION("""COMPUTED_VALUE"""),"249🤙🏼The Sixth Sense🤙🏼Thriller🤙🏼3")</f>
        <v>249🤙🏼The Sixth Sense🤙🏼Thriller🤙🏼3</v>
      </c>
      <c r="K748" s="5">
        <f>IFERROR(__xludf.DUMMYFUNCTION("SPLiT(J748, ""🤙🏼"",FALSE,FALSE)"),249.0)</f>
        <v>249</v>
      </c>
      <c r="L748" s="5" t="str">
        <f>IFERROR(__xludf.DUMMYFUNCTION("""COMPUTED_VALUE"""),"The Sixth Sense")</f>
        <v>The Sixth Sense</v>
      </c>
      <c r="M748" s="5" t="str">
        <f>IFERROR(__xludf.DUMMYFUNCTION("""COMPUTED_VALUE"""),"Thriller")</f>
        <v>Thriller</v>
      </c>
      <c r="N748" s="5">
        <f>IFERROR(__xludf.DUMMYFUNCTION("""COMPUTED_VALUE"""),3.0)</f>
        <v>3</v>
      </c>
      <c r="S748" s="5">
        <f>IFERROR(__xludf.DUMMYFUNCTION("""COMPUTED_VALUE"""),297.0)</f>
        <v>297</v>
      </c>
      <c r="T748" s="5" t="str">
        <f>IFERROR(__xludf.DUMMYFUNCTION("""COMPUTED_VALUE"""),"Ivanovo detstvo")</f>
        <v>Ivanovo detstvo</v>
      </c>
      <c r="U748" s="5" t="str">
        <f>IFERROR(__xludf.DUMMYFUNCTION("""COMPUTED_VALUE"""),"War")</f>
        <v>War</v>
      </c>
      <c r="V748" s="5">
        <f>IFERROR(__xludf.DUMMYFUNCTION("""COMPUTED_VALUE"""),2.0)</f>
        <v>2</v>
      </c>
    </row>
    <row r="749">
      <c r="A749" s="1">
        <v>748.0</v>
      </c>
      <c r="B749" s="1" t="s">
        <v>4437</v>
      </c>
      <c r="C749" s="1" t="s">
        <v>213</v>
      </c>
      <c r="D749" s="1"/>
      <c r="E749" s="1">
        <v>748.0</v>
      </c>
      <c r="F749" s="1" t="s">
        <v>4437</v>
      </c>
      <c r="G749" s="1" t="str">
        <f>IFERROR(__xludf.DUMMYFUNCTION("SPLIT(C749, "", "")"),"Drama")</f>
        <v>Drama</v>
      </c>
      <c r="H749" s="5" t="str">
        <f>IFERROR(__xludf.DUMMYFUNCTION("""COMPUTED_VALUE"""),"War")</f>
        <v>War</v>
      </c>
      <c r="J749" s="5" t="str">
        <f>IFERROR(__xludf.DUMMYFUNCTION("""COMPUTED_VALUE"""),"250🤙🏼La leggenda del pianista sull'oceano🤙🏼Drama🤙🏼1")</f>
        <v>250🤙🏼La leggenda del pianista sull'oceano🤙🏼Drama🤙🏼1</v>
      </c>
      <c r="K749" s="5">
        <f>IFERROR(__xludf.DUMMYFUNCTION("SPLiT(J749, ""🤙🏼"",FALSE,FALSE)"),250.0)</f>
        <v>250</v>
      </c>
      <c r="L749" s="5" t="str">
        <f>IFERROR(__xludf.DUMMYFUNCTION("""COMPUTED_VALUE"""),"La leggenda del pianista sull'oceano")</f>
        <v>La leggenda del pianista sull'oceano</v>
      </c>
      <c r="M749" s="5" t="str">
        <f>IFERROR(__xludf.DUMMYFUNCTION("""COMPUTED_VALUE"""),"Drama")</f>
        <v>Drama</v>
      </c>
      <c r="N749" s="5">
        <f>IFERROR(__xludf.DUMMYFUNCTION("""COMPUTED_VALUE"""),1.0)</f>
        <v>1</v>
      </c>
      <c r="S749" s="5">
        <f>IFERROR(__xludf.DUMMYFUNCTION("""COMPUTED_VALUE"""),298.0)</f>
        <v>298</v>
      </c>
      <c r="T749" s="5" t="str">
        <f>IFERROR(__xludf.DUMMYFUNCTION("""COMPUTED_VALUE"""),"Jungfrukällan")</f>
        <v>Jungfrukällan</v>
      </c>
      <c r="U749" s="5" t="str">
        <f>IFERROR(__xludf.DUMMYFUNCTION("""COMPUTED_VALUE"""),"Drama")</f>
        <v>Drama</v>
      </c>
      <c r="V749" s="5">
        <f>IFERROR(__xludf.DUMMYFUNCTION("""COMPUTED_VALUE"""),1.0)</f>
        <v>1</v>
      </c>
    </row>
    <row r="750">
      <c r="A750" s="1">
        <v>749.0</v>
      </c>
      <c r="B750" s="1" t="s">
        <v>4444</v>
      </c>
      <c r="C750" s="1" t="s">
        <v>1148</v>
      </c>
      <c r="D750" s="1"/>
      <c r="E750" s="1">
        <v>749.0</v>
      </c>
      <c r="F750" s="1" t="s">
        <v>4444</v>
      </c>
      <c r="G750" s="1" t="str">
        <f>IFERROR(__xludf.DUMMYFUNCTION("SPLIT(C750, "", "")"),"Biography")</f>
        <v>Biography</v>
      </c>
      <c r="H750" s="5" t="str">
        <f>IFERROR(__xludf.DUMMYFUNCTION("""COMPUTED_VALUE"""),"Drama")</f>
        <v>Drama</v>
      </c>
      <c r="J750" s="5" t="str">
        <f>IFERROR(__xludf.DUMMYFUNCTION("""COMPUTED_VALUE"""),"250🤙🏼La leggenda del pianista sull'oceano🤙🏼Music🤙🏼2")</f>
        <v>250🤙🏼La leggenda del pianista sull'oceano🤙🏼Music🤙🏼2</v>
      </c>
      <c r="K750" s="5">
        <f>IFERROR(__xludf.DUMMYFUNCTION("SPLiT(J750, ""🤙🏼"",FALSE,FALSE)"),250.0)</f>
        <v>250</v>
      </c>
      <c r="L750" s="5" t="str">
        <f>IFERROR(__xludf.DUMMYFUNCTION("""COMPUTED_VALUE"""),"La leggenda del pianista sull'oceano")</f>
        <v>La leggenda del pianista sull'oceano</v>
      </c>
      <c r="M750" s="5" t="str">
        <f>IFERROR(__xludf.DUMMYFUNCTION("""COMPUTED_VALUE"""),"Music")</f>
        <v>Music</v>
      </c>
      <c r="N750" s="5">
        <f>IFERROR(__xludf.DUMMYFUNCTION("""COMPUTED_VALUE"""),2.0)</f>
        <v>2</v>
      </c>
      <c r="S750" s="5">
        <f>IFERROR(__xludf.DUMMYFUNCTION("""COMPUTED_VALUE"""),299.0)</f>
        <v>299</v>
      </c>
      <c r="T750" s="5" t="str">
        <f>IFERROR(__xludf.DUMMYFUNCTION("""COMPUTED_VALUE"""),"Inherit the Wind")</f>
        <v>Inherit the Wind</v>
      </c>
      <c r="U750" s="5" t="str">
        <f>IFERROR(__xludf.DUMMYFUNCTION("""COMPUTED_VALUE"""),"Biography")</f>
        <v>Biography</v>
      </c>
      <c r="V750" s="5">
        <f>IFERROR(__xludf.DUMMYFUNCTION("""COMPUTED_VALUE"""),1.0)</f>
        <v>1</v>
      </c>
    </row>
    <row r="751">
      <c r="A751" s="1">
        <v>750.0</v>
      </c>
      <c r="B751" s="1" t="s">
        <v>4448</v>
      </c>
      <c r="C751" s="1" t="s">
        <v>88</v>
      </c>
      <c r="D751" s="1"/>
      <c r="E751" s="1">
        <v>750.0</v>
      </c>
      <c r="F751" s="1" t="s">
        <v>4448</v>
      </c>
      <c r="G751" s="1" t="str">
        <f>IFERROR(__xludf.DUMMYFUNCTION("SPLIT(C751, "", "")"),"Action")</f>
        <v>Action</v>
      </c>
      <c r="H751" s="5" t="str">
        <f>IFERROR(__xludf.DUMMYFUNCTION("""COMPUTED_VALUE"""),"Adventure")</f>
        <v>Adventure</v>
      </c>
      <c r="I751" s="5" t="str">
        <f>IFERROR(__xludf.DUMMYFUNCTION("""COMPUTED_VALUE"""),"Sci-Fi")</f>
        <v>Sci-Fi</v>
      </c>
      <c r="J751" s="5" t="str">
        <f>IFERROR(__xludf.DUMMYFUNCTION("""COMPUTED_VALUE"""),"250🤙🏼La leggenda del pianista sull'oceano🤙🏼Romance🤙🏼3")</f>
        <v>250🤙🏼La leggenda del pianista sull'oceano🤙🏼Romance🤙🏼3</v>
      </c>
      <c r="K751" s="5">
        <f>IFERROR(__xludf.DUMMYFUNCTION("SPLiT(J751, ""🤙🏼"",FALSE,FALSE)"),250.0)</f>
        <v>250</v>
      </c>
      <c r="L751" s="5" t="str">
        <f>IFERROR(__xludf.DUMMYFUNCTION("""COMPUTED_VALUE"""),"La leggenda del pianista sull'oceano")</f>
        <v>La leggenda del pianista sull'oceano</v>
      </c>
      <c r="M751" s="5" t="str">
        <f>IFERROR(__xludf.DUMMYFUNCTION("""COMPUTED_VALUE"""),"Romance")</f>
        <v>Romance</v>
      </c>
      <c r="N751" s="5">
        <f>IFERROR(__xludf.DUMMYFUNCTION("""COMPUTED_VALUE"""),3.0)</f>
        <v>3</v>
      </c>
      <c r="S751" s="5">
        <f>IFERROR(__xludf.DUMMYFUNCTION("""COMPUTED_VALUE"""),299.0)</f>
        <v>299</v>
      </c>
      <c r="T751" s="5" t="str">
        <f>IFERROR(__xludf.DUMMYFUNCTION("""COMPUTED_VALUE"""),"Inherit the Wind")</f>
        <v>Inherit the Wind</v>
      </c>
      <c r="U751" s="5" t="str">
        <f>IFERROR(__xludf.DUMMYFUNCTION("""COMPUTED_VALUE"""),"Drama")</f>
        <v>Drama</v>
      </c>
      <c r="V751" s="5">
        <f>IFERROR(__xludf.DUMMYFUNCTION("""COMPUTED_VALUE"""),2.0)</f>
        <v>2</v>
      </c>
    </row>
    <row r="752">
      <c r="A752" s="1">
        <v>751.0</v>
      </c>
      <c r="B752" s="1" t="s">
        <v>4451</v>
      </c>
      <c r="C752" s="1" t="s">
        <v>602</v>
      </c>
      <c r="D752" s="1"/>
      <c r="E752" s="1">
        <v>751.0</v>
      </c>
      <c r="F752" s="1" t="s">
        <v>4451</v>
      </c>
      <c r="G752" s="1" t="str">
        <f>IFERROR(__xludf.DUMMYFUNCTION("SPLIT(C752, "", "")"),"Comedy")</f>
        <v>Comedy</v>
      </c>
      <c r="J752" s="5" t="str">
        <f>IFERROR(__xludf.DUMMYFUNCTION("""COMPUTED_VALUE"""),"251🤙🏼The Truman Show🤙🏼Comedy🤙🏼1")</f>
        <v>251🤙🏼The Truman Show🤙🏼Comedy🤙🏼1</v>
      </c>
      <c r="K752" s="5">
        <f>IFERROR(__xludf.DUMMYFUNCTION("SPLiT(J752, ""🤙🏼"",FALSE,FALSE)"),251.0)</f>
        <v>251</v>
      </c>
      <c r="L752" s="5" t="str">
        <f>IFERROR(__xludf.DUMMYFUNCTION("""COMPUTED_VALUE"""),"The Truman Show")</f>
        <v>The Truman Show</v>
      </c>
      <c r="M752" s="5" t="str">
        <f>IFERROR(__xludf.DUMMYFUNCTION("""COMPUTED_VALUE"""),"Comedy")</f>
        <v>Comedy</v>
      </c>
      <c r="N752" s="5">
        <f>IFERROR(__xludf.DUMMYFUNCTION("""COMPUTED_VALUE"""),1.0)</f>
        <v>1</v>
      </c>
      <c r="S752" s="5">
        <f>IFERROR(__xludf.DUMMYFUNCTION("""COMPUTED_VALUE"""),299.0)</f>
        <v>299</v>
      </c>
      <c r="T752" s="5" t="str">
        <f>IFERROR(__xludf.DUMMYFUNCTION("""COMPUTED_VALUE"""),"Inherit the Wind")</f>
        <v>Inherit the Wind</v>
      </c>
      <c r="U752" s="5" t="str">
        <f>IFERROR(__xludf.DUMMYFUNCTION("""COMPUTED_VALUE"""),"History")</f>
        <v>History</v>
      </c>
      <c r="V752" s="5">
        <f>IFERROR(__xludf.DUMMYFUNCTION("""COMPUTED_VALUE"""),3.0)</f>
        <v>3</v>
      </c>
    </row>
    <row r="753">
      <c r="A753" s="1">
        <v>752.0</v>
      </c>
      <c r="B753" s="1" t="s">
        <v>4455</v>
      </c>
      <c r="C753" s="1" t="s">
        <v>2406</v>
      </c>
      <c r="D753" s="1"/>
      <c r="E753" s="1">
        <v>752.0</v>
      </c>
      <c r="F753" s="1" t="s">
        <v>4455</v>
      </c>
      <c r="G753" s="1" t="str">
        <f>IFERROR(__xludf.DUMMYFUNCTION("SPLIT(C753, "", "")"),"Action")</f>
        <v>Action</v>
      </c>
      <c r="H753" s="5" t="str">
        <f>IFERROR(__xludf.DUMMYFUNCTION("""COMPUTED_VALUE"""),"Adventure")</f>
        <v>Adventure</v>
      </c>
      <c r="I753" s="5" t="str">
        <f>IFERROR(__xludf.DUMMYFUNCTION("""COMPUTED_VALUE"""),"Thriller")</f>
        <v>Thriller</v>
      </c>
      <c r="J753" s="5" t="str">
        <f>IFERROR(__xludf.DUMMYFUNCTION("""COMPUTED_VALUE"""),"251🤙🏼The Truman Show🤙🏼Drama🤙🏼2")</f>
        <v>251🤙🏼The Truman Show🤙🏼Drama🤙🏼2</v>
      </c>
      <c r="K753" s="5">
        <f>IFERROR(__xludf.DUMMYFUNCTION("SPLiT(J753, ""🤙🏼"",FALSE,FALSE)"),251.0)</f>
        <v>251</v>
      </c>
      <c r="L753" s="5" t="str">
        <f>IFERROR(__xludf.DUMMYFUNCTION("""COMPUTED_VALUE"""),"The Truman Show")</f>
        <v>The Truman Show</v>
      </c>
      <c r="M753" s="5" t="str">
        <f>IFERROR(__xludf.DUMMYFUNCTION("""COMPUTED_VALUE"""),"Drama")</f>
        <v>Drama</v>
      </c>
      <c r="N753" s="5">
        <f>IFERROR(__xludf.DUMMYFUNCTION("""COMPUTED_VALUE"""),2.0)</f>
        <v>2</v>
      </c>
      <c r="S753" s="5">
        <f>IFERROR(__xludf.DUMMYFUNCTION("""COMPUTED_VALUE"""),300.0)</f>
        <v>300</v>
      </c>
      <c r="T753" s="5" t="str">
        <f>IFERROR(__xludf.DUMMYFUNCTION("""COMPUTED_VALUE"""),"Les quatre cents coups")</f>
        <v>Les quatre cents coups</v>
      </c>
      <c r="U753" s="5" t="str">
        <f>IFERROR(__xludf.DUMMYFUNCTION("""COMPUTED_VALUE"""),"Crime")</f>
        <v>Crime</v>
      </c>
      <c r="V753" s="5">
        <f>IFERROR(__xludf.DUMMYFUNCTION("""COMPUTED_VALUE"""),1.0)</f>
        <v>1</v>
      </c>
    </row>
    <row r="754">
      <c r="A754" s="1">
        <v>753.0</v>
      </c>
      <c r="B754" s="1" t="s">
        <v>4458</v>
      </c>
      <c r="C754" s="1" t="s">
        <v>227</v>
      </c>
      <c r="D754" s="1"/>
      <c r="E754" s="1">
        <v>753.0</v>
      </c>
      <c r="F754" s="1" t="s">
        <v>4458</v>
      </c>
      <c r="G754" s="1" t="str">
        <f>IFERROR(__xludf.DUMMYFUNCTION("SPLIT(C754, "", "")"),"Comedy")</f>
        <v>Comedy</v>
      </c>
      <c r="H754" s="5" t="str">
        <f>IFERROR(__xludf.DUMMYFUNCTION("""COMPUTED_VALUE"""),"Drama")</f>
        <v>Drama</v>
      </c>
      <c r="I754" s="5" t="str">
        <f>IFERROR(__xludf.DUMMYFUNCTION("""COMPUTED_VALUE"""),"Romance")</f>
        <v>Romance</v>
      </c>
      <c r="J754" s="5" t="str">
        <f>IFERROR(__xludf.DUMMYFUNCTION("""COMPUTED_VALUE"""),"251🤙🏼The Truman Show🤙🏼🤙🏼3")</f>
        <v>251🤙🏼The Truman Show🤙🏼🤙🏼3</v>
      </c>
      <c r="K754" s="5">
        <f>IFERROR(__xludf.DUMMYFUNCTION("SPLiT(J754, ""🤙🏼"",FALSE,FALSE)"),251.0)</f>
        <v>251</v>
      </c>
      <c r="L754" s="5" t="str">
        <f>IFERROR(__xludf.DUMMYFUNCTION("""COMPUTED_VALUE"""),"The Truman Show")</f>
        <v>The Truman Show</v>
      </c>
      <c r="M754" s="5"/>
      <c r="N754" s="5">
        <f>IFERROR(__xludf.DUMMYFUNCTION("""COMPUTED_VALUE"""),3.0)</f>
        <v>3</v>
      </c>
      <c r="S754" s="5">
        <f>IFERROR(__xludf.DUMMYFUNCTION("""COMPUTED_VALUE"""),300.0)</f>
        <v>300</v>
      </c>
      <c r="T754" s="5" t="str">
        <f>IFERROR(__xludf.DUMMYFUNCTION("""COMPUTED_VALUE"""),"Les quatre cents coups")</f>
        <v>Les quatre cents coups</v>
      </c>
      <c r="U754" s="5" t="str">
        <f>IFERROR(__xludf.DUMMYFUNCTION("""COMPUTED_VALUE"""),"Drama")</f>
        <v>Drama</v>
      </c>
      <c r="V754" s="5">
        <f>IFERROR(__xludf.DUMMYFUNCTION("""COMPUTED_VALUE"""),2.0)</f>
        <v>2</v>
      </c>
    </row>
    <row r="755">
      <c r="A755" s="1">
        <v>754.0</v>
      </c>
      <c r="B755" s="1" t="s">
        <v>4461</v>
      </c>
      <c r="C755" s="1" t="s">
        <v>2233</v>
      </c>
      <c r="D755" s="1"/>
      <c r="E755" s="1">
        <v>754.0</v>
      </c>
      <c r="F755" s="1" t="s">
        <v>4461</v>
      </c>
      <c r="G755" s="1" t="str">
        <f>IFERROR(__xludf.DUMMYFUNCTION("SPLIT(C755, "", "")"),"Biography")</f>
        <v>Biography</v>
      </c>
      <c r="H755" s="5" t="str">
        <f>IFERROR(__xludf.DUMMYFUNCTION("""COMPUTED_VALUE"""),"Drama")</f>
        <v>Drama</v>
      </c>
      <c r="I755" s="5" t="str">
        <f>IFERROR(__xludf.DUMMYFUNCTION("""COMPUTED_VALUE"""),"Thriller")</f>
        <v>Thriller</v>
      </c>
      <c r="J755" s="5" t="str">
        <f>IFERROR(__xludf.DUMMYFUNCTION("""COMPUTED_VALUE"""),"252🤙🏼Crna macka, beli macor🤙🏼Comedy🤙🏼1")</f>
        <v>252🤙🏼Crna macka, beli macor🤙🏼Comedy🤙🏼1</v>
      </c>
      <c r="K755" s="5">
        <f>IFERROR(__xludf.DUMMYFUNCTION("SPLiT(J755, ""🤙🏼"",FALSE,FALSE)"),252.0)</f>
        <v>252</v>
      </c>
      <c r="L755" s="5" t="str">
        <f>IFERROR(__xludf.DUMMYFUNCTION("""COMPUTED_VALUE"""),"Crna macka, beli macor")</f>
        <v>Crna macka, beli macor</v>
      </c>
      <c r="M755" s="5" t="str">
        <f>IFERROR(__xludf.DUMMYFUNCTION("""COMPUTED_VALUE"""),"Comedy")</f>
        <v>Comedy</v>
      </c>
      <c r="N755" s="5">
        <f>IFERROR(__xludf.DUMMYFUNCTION("""COMPUTED_VALUE"""),1.0)</f>
        <v>1</v>
      </c>
      <c r="S755" s="5">
        <f>IFERROR(__xludf.DUMMYFUNCTION("""COMPUTED_VALUE"""),301.0)</f>
        <v>301</v>
      </c>
      <c r="T755" s="5" t="str">
        <f>IFERROR(__xludf.DUMMYFUNCTION("""COMPUTED_VALUE"""),"Ben-Hur")</f>
        <v>Ben-Hur</v>
      </c>
      <c r="U755" s="5" t="str">
        <f>IFERROR(__xludf.DUMMYFUNCTION("""COMPUTED_VALUE"""),"Adventure")</f>
        <v>Adventure</v>
      </c>
      <c r="V755" s="5">
        <f>IFERROR(__xludf.DUMMYFUNCTION("""COMPUTED_VALUE"""),1.0)</f>
        <v>1</v>
      </c>
    </row>
    <row r="756">
      <c r="A756" s="1">
        <v>755.0</v>
      </c>
      <c r="B756" s="1" t="s">
        <v>4463</v>
      </c>
      <c r="C756" s="1" t="s">
        <v>227</v>
      </c>
      <c r="D756" s="1"/>
      <c r="E756" s="1">
        <v>755.0</v>
      </c>
      <c r="F756" s="1" t="s">
        <v>4463</v>
      </c>
      <c r="G756" s="1" t="str">
        <f>IFERROR(__xludf.DUMMYFUNCTION("SPLIT(C756, "", "")"),"Comedy")</f>
        <v>Comedy</v>
      </c>
      <c r="H756" s="5" t="str">
        <f>IFERROR(__xludf.DUMMYFUNCTION("""COMPUTED_VALUE"""),"Drama")</f>
        <v>Drama</v>
      </c>
      <c r="I756" s="5" t="str">
        <f>IFERROR(__xludf.DUMMYFUNCTION("""COMPUTED_VALUE"""),"Romance")</f>
        <v>Romance</v>
      </c>
      <c r="J756" s="5" t="str">
        <f>IFERROR(__xludf.DUMMYFUNCTION("""COMPUTED_VALUE"""),"252🤙🏼Crna macka, beli macor🤙🏼Crime🤙🏼2")</f>
        <v>252🤙🏼Crna macka, beli macor🤙🏼Crime🤙🏼2</v>
      </c>
      <c r="K756" s="5">
        <f>IFERROR(__xludf.DUMMYFUNCTION("SPLiT(J756, ""🤙🏼"",FALSE,FALSE)"),252.0)</f>
        <v>252</v>
      </c>
      <c r="L756" s="5" t="str">
        <f>IFERROR(__xludf.DUMMYFUNCTION("""COMPUTED_VALUE"""),"Crna macka, beli macor")</f>
        <v>Crna macka, beli macor</v>
      </c>
      <c r="M756" s="5" t="str">
        <f>IFERROR(__xludf.DUMMYFUNCTION("""COMPUTED_VALUE"""),"Crime")</f>
        <v>Crime</v>
      </c>
      <c r="N756" s="5">
        <f>IFERROR(__xludf.DUMMYFUNCTION("""COMPUTED_VALUE"""),2.0)</f>
        <v>2</v>
      </c>
      <c r="S756" s="5">
        <f>IFERROR(__xludf.DUMMYFUNCTION("""COMPUTED_VALUE"""),301.0)</f>
        <v>301</v>
      </c>
      <c r="T756" s="5" t="str">
        <f>IFERROR(__xludf.DUMMYFUNCTION("""COMPUTED_VALUE"""),"Ben-Hur")</f>
        <v>Ben-Hur</v>
      </c>
      <c r="U756" s="5" t="str">
        <f>IFERROR(__xludf.DUMMYFUNCTION("""COMPUTED_VALUE"""),"Drama")</f>
        <v>Drama</v>
      </c>
      <c r="V756" s="5">
        <f>IFERROR(__xludf.DUMMYFUNCTION("""COMPUTED_VALUE"""),2.0)</f>
        <v>2</v>
      </c>
    </row>
    <row r="757">
      <c r="A757" s="1">
        <v>756.0</v>
      </c>
      <c r="B757" s="1" t="s">
        <v>4468</v>
      </c>
      <c r="C757" s="1" t="s">
        <v>2629</v>
      </c>
      <c r="D757" s="1"/>
      <c r="E757" s="1">
        <v>756.0</v>
      </c>
      <c r="F757" s="1" t="s">
        <v>4468</v>
      </c>
      <c r="G757" s="1" t="str">
        <f>IFERROR(__xludf.DUMMYFUNCTION("SPLIT(C757, "", "")"),"Adventure")</f>
        <v>Adventure</v>
      </c>
      <c r="H757" s="5" t="str">
        <f>IFERROR(__xludf.DUMMYFUNCTION("""COMPUTED_VALUE"""),"Family")</f>
        <v>Family</v>
      </c>
      <c r="I757" s="5" t="str">
        <f>IFERROR(__xludf.DUMMYFUNCTION("""COMPUTED_VALUE"""),"Fantasy")</f>
        <v>Fantasy</v>
      </c>
      <c r="J757" s="5" t="str">
        <f>IFERROR(__xludf.DUMMYFUNCTION("""COMPUTED_VALUE"""),"252🤙🏼Crna macka, beli macor🤙🏼Romance🤙🏼3")</f>
        <v>252🤙🏼Crna macka, beli macor🤙🏼Romance🤙🏼3</v>
      </c>
      <c r="K757" s="5">
        <f>IFERROR(__xludf.DUMMYFUNCTION("SPLiT(J757, ""🤙🏼"",FALSE,FALSE)"),252.0)</f>
        <v>252</v>
      </c>
      <c r="L757" s="5" t="str">
        <f>IFERROR(__xludf.DUMMYFUNCTION("""COMPUTED_VALUE"""),"Crna macka, beli macor")</f>
        <v>Crna macka, beli macor</v>
      </c>
      <c r="M757" s="5" t="str">
        <f>IFERROR(__xludf.DUMMYFUNCTION("""COMPUTED_VALUE"""),"Romance")</f>
        <v>Romance</v>
      </c>
      <c r="N757" s="5">
        <f>IFERROR(__xludf.DUMMYFUNCTION("""COMPUTED_VALUE"""),3.0)</f>
        <v>3</v>
      </c>
      <c r="S757" s="5">
        <f>IFERROR(__xludf.DUMMYFUNCTION("""COMPUTED_VALUE"""),301.0)</f>
        <v>301</v>
      </c>
      <c r="T757" s="5" t="str">
        <f>IFERROR(__xludf.DUMMYFUNCTION("""COMPUTED_VALUE"""),"Ben-Hur")</f>
        <v>Ben-Hur</v>
      </c>
      <c r="U757" s="5" t="str">
        <f>IFERROR(__xludf.DUMMYFUNCTION("""COMPUTED_VALUE"""),"History")</f>
        <v>History</v>
      </c>
      <c r="V757" s="5">
        <f>IFERROR(__xludf.DUMMYFUNCTION("""COMPUTED_VALUE"""),3.0)</f>
        <v>3</v>
      </c>
    </row>
    <row r="758">
      <c r="A758" s="1">
        <v>757.0</v>
      </c>
      <c r="B758" s="1" t="s">
        <v>4470</v>
      </c>
      <c r="C758" s="1" t="s">
        <v>765</v>
      </c>
      <c r="D758" s="1"/>
      <c r="E758" s="1">
        <v>757.0</v>
      </c>
      <c r="F758" s="1" t="s">
        <v>4470</v>
      </c>
      <c r="G758" s="1" t="str">
        <f>IFERROR(__xludf.DUMMYFUNCTION("SPLIT(C758, "", "")"),"Animation")</f>
        <v>Animation</v>
      </c>
      <c r="H758" s="5" t="str">
        <f>IFERROR(__xludf.DUMMYFUNCTION("""COMPUTED_VALUE"""),"Adventure")</f>
        <v>Adventure</v>
      </c>
      <c r="I758" s="5" t="str">
        <f>IFERROR(__xludf.DUMMYFUNCTION("""COMPUTED_VALUE"""),"Comedy")</f>
        <v>Comedy</v>
      </c>
      <c r="J758" s="5" t="str">
        <f>IFERROR(__xludf.DUMMYFUNCTION("""COMPUTED_VALUE"""),"253🤙🏼The Big Lebowski🤙🏼Comedy🤙🏼1")</f>
        <v>253🤙🏼The Big Lebowski🤙🏼Comedy🤙🏼1</v>
      </c>
      <c r="K758" s="5">
        <f>IFERROR(__xludf.DUMMYFUNCTION("SPLiT(J758, ""🤙🏼"",FALSE,FALSE)"),253.0)</f>
        <v>253</v>
      </c>
      <c r="L758" s="5" t="str">
        <f>IFERROR(__xludf.DUMMYFUNCTION("""COMPUTED_VALUE"""),"The Big Lebowski")</f>
        <v>The Big Lebowski</v>
      </c>
      <c r="M758" s="5" t="str">
        <f>IFERROR(__xludf.DUMMYFUNCTION("""COMPUTED_VALUE"""),"Comedy")</f>
        <v>Comedy</v>
      </c>
      <c r="N758" s="5">
        <f>IFERROR(__xludf.DUMMYFUNCTION("""COMPUTED_VALUE"""),1.0)</f>
        <v>1</v>
      </c>
      <c r="S758" s="5">
        <f>IFERROR(__xludf.DUMMYFUNCTION("""COMPUTED_VALUE"""),302.0)</f>
        <v>302</v>
      </c>
      <c r="T758" s="5" t="str">
        <f>IFERROR(__xludf.DUMMYFUNCTION("""COMPUTED_VALUE"""),"Kakushi-toride no san-akunin")</f>
        <v>Kakushi-toride no san-akunin</v>
      </c>
      <c r="U758" s="5" t="str">
        <f>IFERROR(__xludf.DUMMYFUNCTION("""COMPUTED_VALUE"""),"Adventure")</f>
        <v>Adventure</v>
      </c>
      <c r="V758" s="5">
        <f>IFERROR(__xludf.DUMMYFUNCTION("""COMPUTED_VALUE"""),1.0)</f>
        <v>1</v>
      </c>
    </row>
    <row r="759">
      <c r="A759" s="1">
        <v>758.0</v>
      </c>
      <c r="B759" s="1" t="s">
        <v>4473</v>
      </c>
      <c r="C759" s="1" t="s">
        <v>79</v>
      </c>
      <c r="D759" s="1"/>
      <c r="E759" s="1">
        <v>758.0</v>
      </c>
      <c r="F759" s="1" t="s">
        <v>4473</v>
      </c>
      <c r="G759" s="1" t="str">
        <f>IFERROR(__xludf.DUMMYFUNCTION("SPLIT(C759, "", "")"),"Biography")</f>
        <v>Biography</v>
      </c>
      <c r="H759" s="5" t="str">
        <f>IFERROR(__xludf.DUMMYFUNCTION("""COMPUTED_VALUE"""),"Drama")</f>
        <v>Drama</v>
      </c>
      <c r="I759" s="5" t="str">
        <f>IFERROR(__xludf.DUMMYFUNCTION("""COMPUTED_VALUE"""),"History")</f>
        <v>History</v>
      </c>
      <c r="J759" s="5" t="str">
        <f>IFERROR(__xludf.DUMMYFUNCTION("""COMPUTED_VALUE"""),"253🤙🏼The Big Lebowski🤙🏼Crime🤙🏼2")</f>
        <v>253🤙🏼The Big Lebowski🤙🏼Crime🤙🏼2</v>
      </c>
      <c r="K759" s="5">
        <f>IFERROR(__xludf.DUMMYFUNCTION("SPLiT(J759, ""🤙🏼"",FALSE,FALSE)"),253.0)</f>
        <v>253</v>
      </c>
      <c r="L759" s="5" t="str">
        <f>IFERROR(__xludf.DUMMYFUNCTION("""COMPUTED_VALUE"""),"The Big Lebowski")</f>
        <v>The Big Lebowski</v>
      </c>
      <c r="M759" s="5" t="str">
        <f>IFERROR(__xludf.DUMMYFUNCTION("""COMPUTED_VALUE"""),"Crime")</f>
        <v>Crime</v>
      </c>
      <c r="N759" s="5">
        <f>IFERROR(__xludf.DUMMYFUNCTION("""COMPUTED_VALUE"""),2.0)</f>
        <v>2</v>
      </c>
      <c r="S759" s="5">
        <f>IFERROR(__xludf.DUMMYFUNCTION("""COMPUTED_VALUE"""),302.0)</f>
        <v>302</v>
      </c>
      <c r="T759" s="5" t="str">
        <f>IFERROR(__xludf.DUMMYFUNCTION("""COMPUTED_VALUE"""),"Kakushi-toride no san-akunin")</f>
        <v>Kakushi-toride no san-akunin</v>
      </c>
      <c r="U759" s="5" t="str">
        <f>IFERROR(__xludf.DUMMYFUNCTION("""COMPUTED_VALUE"""),"Drama")</f>
        <v>Drama</v>
      </c>
      <c r="V759" s="5">
        <f>IFERROR(__xludf.DUMMYFUNCTION("""COMPUTED_VALUE"""),2.0)</f>
        <v>2</v>
      </c>
    </row>
    <row r="760">
      <c r="A760" s="1">
        <v>759.0</v>
      </c>
      <c r="B760" s="1" t="s">
        <v>4477</v>
      </c>
      <c r="C760" s="1" t="s">
        <v>450</v>
      </c>
      <c r="D760" s="1"/>
      <c r="E760" s="1">
        <v>759.0</v>
      </c>
      <c r="F760" s="1" t="s">
        <v>4477</v>
      </c>
      <c r="G760" s="1" t="str">
        <f>IFERROR(__xludf.DUMMYFUNCTION("SPLIT(C760, "", "")"),"Animation")</f>
        <v>Animation</v>
      </c>
      <c r="H760" s="5" t="str">
        <f>IFERROR(__xludf.DUMMYFUNCTION("""COMPUTED_VALUE"""),"Drama")</f>
        <v>Drama</v>
      </c>
      <c r="I760" s="5" t="str">
        <f>IFERROR(__xludf.DUMMYFUNCTION("""COMPUTED_VALUE"""),"Fantasy")</f>
        <v>Fantasy</v>
      </c>
      <c r="J760" s="5" t="str">
        <f>IFERROR(__xludf.DUMMYFUNCTION("""COMPUTED_VALUE"""),"253🤙🏼The Big Lebowski🤙🏼Sport🤙🏼3")</f>
        <v>253🤙🏼The Big Lebowski🤙🏼Sport🤙🏼3</v>
      </c>
      <c r="K760" s="5">
        <f>IFERROR(__xludf.DUMMYFUNCTION("SPLiT(J760, ""🤙🏼"",FALSE,FALSE)"),253.0)</f>
        <v>253</v>
      </c>
      <c r="L760" s="5" t="str">
        <f>IFERROR(__xludf.DUMMYFUNCTION("""COMPUTED_VALUE"""),"The Big Lebowski")</f>
        <v>The Big Lebowski</v>
      </c>
      <c r="M760" s="5" t="str">
        <f>IFERROR(__xludf.DUMMYFUNCTION("""COMPUTED_VALUE"""),"Sport")</f>
        <v>Sport</v>
      </c>
      <c r="N760" s="5">
        <f>IFERROR(__xludf.DUMMYFUNCTION("""COMPUTED_VALUE"""),3.0)</f>
        <v>3</v>
      </c>
      <c r="S760" s="5">
        <f>IFERROR(__xludf.DUMMYFUNCTION("""COMPUTED_VALUE"""),303.0)</f>
        <v>303</v>
      </c>
      <c r="T760" s="5" t="str">
        <f>IFERROR(__xludf.DUMMYFUNCTION("""COMPUTED_VALUE"""),"Le notti di Cabiria")</f>
        <v>Le notti di Cabiria</v>
      </c>
      <c r="U760" s="5" t="str">
        <f>IFERROR(__xludf.DUMMYFUNCTION("""COMPUTED_VALUE"""),"Drama")</f>
        <v>Drama</v>
      </c>
      <c r="V760" s="5">
        <f>IFERROR(__xludf.DUMMYFUNCTION("""COMPUTED_VALUE"""),1.0)</f>
        <v>1</v>
      </c>
    </row>
    <row r="761">
      <c r="A761" s="1">
        <v>760.0</v>
      </c>
      <c r="B761" s="1" t="s">
        <v>4481</v>
      </c>
      <c r="C761" s="1" t="s">
        <v>137</v>
      </c>
      <c r="D761" s="1"/>
      <c r="E761" s="1">
        <v>760.0</v>
      </c>
      <c r="F761" s="1" t="s">
        <v>4481</v>
      </c>
      <c r="G761" s="1" t="str">
        <f>IFERROR(__xludf.DUMMYFUNCTION("SPLIT(C761, "", "")"),"Biography")</f>
        <v>Biography</v>
      </c>
      <c r="H761" s="5" t="str">
        <f>IFERROR(__xludf.DUMMYFUNCTION("""COMPUTED_VALUE"""),"Crime")</f>
        <v>Crime</v>
      </c>
      <c r="I761" s="5" t="str">
        <f>IFERROR(__xludf.DUMMYFUNCTION("""COMPUTED_VALUE"""),"Drama")</f>
        <v>Drama</v>
      </c>
      <c r="J761" s="5" t="str">
        <f>IFERROR(__xludf.DUMMYFUNCTION("""COMPUTED_VALUE"""),"254🤙🏼Fa yeung nin wah🤙🏼Drama🤙🏼1")</f>
        <v>254🤙🏼Fa yeung nin wah🤙🏼Drama🤙🏼1</v>
      </c>
      <c r="K761" s="5">
        <f>IFERROR(__xludf.DUMMYFUNCTION("SPLiT(J761, ""🤙🏼"",FALSE,FALSE)"),254.0)</f>
        <v>254</v>
      </c>
      <c r="L761" s="5" t="str">
        <f>IFERROR(__xludf.DUMMYFUNCTION("""COMPUTED_VALUE"""),"Fa yeung nin wah")</f>
        <v>Fa yeung nin wah</v>
      </c>
      <c r="M761" s="5" t="str">
        <f>IFERROR(__xludf.DUMMYFUNCTION("""COMPUTED_VALUE"""),"Drama")</f>
        <v>Drama</v>
      </c>
      <c r="N761" s="5">
        <f>IFERROR(__xludf.DUMMYFUNCTION("""COMPUTED_VALUE"""),1.0)</f>
        <v>1</v>
      </c>
      <c r="S761" s="5">
        <f>IFERROR(__xludf.DUMMYFUNCTION("""COMPUTED_VALUE"""),304.0)</f>
        <v>304</v>
      </c>
      <c r="T761" s="5" t="str">
        <f>IFERROR(__xludf.DUMMYFUNCTION("""COMPUTED_VALUE"""),"Kumonosu-jô")</f>
        <v>Kumonosu-jô</v>
      </c>
      <c r="U761" s="5" t="str">
        <f>IFERROR(__xludf.DUMMYFUNCTION("""COMPUTED_VALUE"""),"Drama")</f>
        <v>Drama</v>
      </c>
      <c r="V761" s="5">
        <f>IFERROR(__xludf.DUMMYFUNCTION("""COMPUTED_VALUE"""),1.0)</f>
        <v>1</v>
      </c>
    </row>
    <row r="762">
      <c r="A762" s="1">
        <v>761.0</v>
      </c>
      <c r="B762" s="1" t="s">
        <v>4487</v>
      </c>
      <c r="C762" s="1" t="s">
        <v>227</v>
      </c>
      <c r="D762" s="1"/>
      <c r="E762" s="1">
        <v>761.0</v>
      </c>
      <c r="F762" s="1" t="s">
        <v>4487</v>
      </c>
      <c r="G762" s="1" t="str">
        <f>IFERROR(__xludf.DUMMYFUNCTION("SPLIT(C762, "", "")"),"Comedy")</f>
        <v>Comedy</v>
      </c>
      <c r="H762" s="5" t="str">
        <f>IFERROR(__xludf.DUMMYFUNCTION("""COMPUTED_VALUE"""),"Drama")</f>
        <v>Drama</v>
      </c>
      <c r="I762" s="5" t="str">
        <f>IFERROR(__xludf.DUMMYFUNCTION("""COMPUTED_VALUE"""),"Romance")</f>
        <v>Romance</v>
      </c>
      <c r="J762" s="5" t="str">
        <f>IFERROR(__xludf.DUMMYFUNCTION("""COMPUTED_VALUE"""),"254🤙🏼Fa yeung nin wah🤙🏼Romance🤙🏼2")</f>
        <v>254🤙🏼Fa yeung nin wah🤙🏼Romance🤙🏼2</v>
      </c>
      <c r="K762" s="5">
        <f>IFERROR(__xludf.DUMMYFUNCTION("SPLiT(J762, ""🤙🏼"",FALSE,FALSE)"),254.0)</f>
        <v>254</v>
      </c>
      <c r="L762" s="5" t="str">
        <f>IFERROR(__xludf.DUMMYFUNCTION("""COMPUTED_VALUE"""),"Fa yeung nin wah")</f>
        <v>Fa yeung nin wah</v>
      </c>
      <c r="M762" s="5" t="str">
        <f>IFERROR(__xludf.DUMMYFUNCTION("""COMPUTED_VALUE"""),"Romance")</f>
        <v>Romance</v>
      </c>
      <c r="N762" s="5">
        <f>IFERROR(__xludf.DUMMYFUNCTION("""COMPUTED_VALUE"""),2.0)</f>
        <v>2</v>
      </c>
      <c r="S762" s="5">
        <f>IFERROR(__xludf.DUMMYFUNCTION("""COMPUTED_VALUE"""),304.0)</f>
        <v>304</v>
      </c>
      <c r="T762" s="5" t="str">
        <f>IFERROR(__xludf.DUMMYFUNCTION("""COMPUTED_VALUE"""),"Kumonosu-jô")</f>
        <v>Kumonosu-jô</v>
      </c>
      <c r="U762" s="5" t="str">
        <f>IFERROR(__xludf.DUMMYFUNCTION("""COMPUTED_VALUE"""),"History")</f>
        <v>History</v>
      </c>
      <c r="V762" s="5">
        <f>IFERROR(__xludf.DUMMYFUNCTION("""COMPUTED_VALUE"""),2.0)</f>
        <v>2</v>
      </c>
    </row>
    <row r="763">
      <c r="A763" s="1">
        <v>762.0</v>
      </c>
      <c r="B763" s="1" t="s">
        <v>4493</v>
      </c>
      <c r="C763" s="1" t="s">
        <v>765</v>
      </c>
      <c r="D763" s="1"/>
      <c r="E763" s="1">
        <v>762.0</v>
      </c>
      <c r="F763" s="1" t="s">
        <v>4493</v>
      </c>
      <c r="G763" s="1" t="str">
        <f>IFERROR(__xludf.DUMMYFUNCTION("SPLIT(C763, "", "")"),"Animation")</f>
        <v>Animation</v>
      </c>
      <c r="H763" s="5" t="str">
        <f>IFERROR(__xludf.DUMMYFUNCTION("""COMPUTED_VALUE"""),"Adventure")</f>
        <v>Adventure</v>
      </c>
      <c r="I763" s="5" t="str">
        <f>IFERROR(__xludf.DUMMYFUNCTION("""COMPUTED_VALUE"""),"Comedy")</f>
        <v>Comedy</v>
      </c>
      <c r="J763" s="5" t="str">
        <f>IFERROR(__xludf.DUMMYFUNCTION("""COMPUTED_VALUE"""),"254🤙🏼Fa yeung nin wah🤙🏼🤙🏼3")</f>
        <v>254🤙🏼Fa yeung nin wah🤙🏼🤙🏼3</v>
      </c>
      <c r="K763" s="5">
        <f>IFERROR(__xludf.DUMMYFUNCTION("SPLiT(J763, ""🤙🏼"",FALSE,FALSE)"),254.0)</f>
        <v>254</v>
      </c>
      <c r="L763" s="5" t="str">
        <f>IFERROR(__xludf.DUMMYFUNCTION("""COMPUTED_VALUE"""),"Fa yeung nin wah")</f>
        <v>Fa yeung nin wah</v>
      </c>
      <c r="M763" s="5"/>
      <c r="N763" s="5">
        <f>IFERROR(__xludf.DUMMYFUNCTION("""COMPUTED_VALUE"""),3.0)</f>
        <v>3</v>
      </c>
      <c r="S763" s="5">
        <f>IFERROR(__xludf.DUMMYFUNCTION("""COMPUTED_VALUE"""),305.0)</f>
        <v>305</v>
      </c>
      <c r="T763" s="5" t="str">
        <f>IFERROR(__xludf.DUMMYFUNCTION("""COMPUTED_VALUE"""),"The Bridge on the River Kwai")</f>
        <v>The Bridge on the River Kwai</v>
      </c>
      <c r="U763" s="5" t="str">
        <f>IFERROR(__xludf.DUMMYFUNCTION("""COMPUTED_VALUE"""),"Adventure")</f>
        <v>Adventure</v>
      </c>
      <c r="V763" s="5">
        <f>IFERROR(__xludf.DUMMYFUNCTION("""COMPUTED_VALUE"""),1.0)</f>
        <v>1</v>
      </c>
    </row>
    <row r="764">
      <c r="A764" s="1">
        <v>763.0</v>
      </c>
      <c r="B764" s="1" t="s">
        <v>4499</v>
      </c>
      <c r="C764" s="1" t="s">
        <v>220</v>
      </c>
      <c r="D764" s="1"/>
      <c r="E764" s="1">
        <v>763.0</v>
      </c>
      <c r="F764" s="1" t="s">
        <v>4499</v>
      </c>
      <c r="G764" s="1" t="str">
        <f>IFERROR(__xludf.DUMMYFUNCTION("SPLIT(C764, "", "")"),"Crime")</f>
        <v>Crime</v>
      </c>
      <c r="H764" s="5" t="str">
        <f>IFERROR(__xludf.DUMMYFUNCTION("""COMPUTED_VALUE"""),"Drama")</f>
        <v>Drama</v>
      </c>
      <c r="I764" s="5" t="str">
        <f>IFERROR(__xludf.DUMMYFUNCTION("""COMPUTED_VALUE"""),"Fantasy")</f>
        <v>Fantasy</v>
      </c>
      <c r="J764" s="5" t="str">
        <f>IFERROR(__xludf.DUMMYFUNCTION("""COMPUTED_VALUE"""),"255🤙🏼Trainspotting🤙🏼Drama🤙🏼1")</f>
        <v>255🤙🏼Trainspotting🤙🏼Drama🤙🏼1</v>
      </c>
      <c r="K764" s="5">
        <f>IFERROR(__xludf.DUMMYFUNCTION("SPLiT(J764, ""🤙🏼"",FALSE,FALSE)"),255.0)</f>
        <v>255</v>
      </c>
      <c r="L764" s="5" t="str">
        <f>IFERROR(__xludf.DUMMYFUNCTION("""COMPUTED_VALUE"""),"Trainspotting")</f>
        <v>Trainspotting</v>
      </c>
      <c r="M764" s="5" t="str">
        <f>IFERROR(__xludf.DUMMYFUNCTION("""COMPUTED_VALUE"""),"Drama")</f>
        <v>Drama</v>
      </c>
      <c r="N764" s="5">
        <f>IFERROR(__xludf.DUMMYFUNCTION("""COMPUTED_VALUE"""),1.0)</f>
        <v>1</v>
      </c>
      <c r="S764" s="5">
        <f>IFERROR(__xludf.DUMMYFUNCTION("""COMPUTED_VALUE"""),305.0)</f>
        <v>305</v>
      </c>
      <c r="T764" s="5" t="str">
        <f>IFERROR(__xludf.DUMMYFUNCTION("""COMPUTED_VALUE"""),"The Bridge on the River Kwai")</f>
        <v>The Bridge on the River Kwai</v>
      </c>
      <c r="U764" s="5" t="str">
        <f>IFERROR(__xludf.DUMMYFUNCTION("""COMPUTED_VALUE"""),"Drama")</f>
        <v>Drama</v>
      </c>
      <c r="V764" s="5">
        <f>IFERROR(__xludf.DUMMYFUNCTION("""COMPUTED_VALUE"""),2.0)</f>
        <v>2</v>
      </c>
    </row>
    <row r="765">
      <c r="A765" s="1">
        <v>764.0</v>
      </c>
      <c r="B765" s="1" t="s">
        <v>4506</v>
      </c>
      <c r="C765" s="1" t="s">
        <v>29</v>
      </c>
      <c r="D765" s="1"/>
      <c r="E765" s="1">
        <v>764.0</v>
      </c>
      <c r="F765" s="1" t="s">
        <v>4506</v>
      </c>
      <c r="G765" s="1" t="str">
        <f>IFERROR(__xludf.DUMMYFUNCTION("SPLIT(C765, "", "")"),"Crime")</f>
        <v>Crime</v>
      </c>
      <c r="H765" s="5" t="str">
        <f>IFERROR(__xludf.DUMMYFUNCTION("""COMPUTED_VALUE"""),"Drama")</f>
        <v>Drama</v>
      </c>
      <c r="J765" s="5" t="str">
        <f>IFERROR(__xludf.DUMMYFUNCTION("""COMPUTED_VALUE"""),"255🤙🏼Trainspotting🤙🏼🤙🏼2")</f>
        <v>255🤙🏼Trainspotting🤙🏼🤙🏼2</v>
      </c>
      <c r="K765" s="5">
        <f>IFERROR(__xludf.DUMMYFUNCTION("SPLiT(J765, ""🤙🏼"",FALSE,FALSE)"),255.0)</f>
        <v>255</v>
      </c>
      <c r="L765" s="5" t="str">
        <f>IFERROR(__xludf.DUMMYFUNCTION("""COMPUTED_VALUE"""),"Trainspotting")</f>
        <v>Trainspotting</v>
      </c>
      <c r="M765" s="5"/>
      <c r="N765" s="5">
        <f>IFERROR(__xludf.DUMMYFUNCTION("""COMPUTED_VALUE"""),2.0)</f>
        <v>2</v>
      </c>
      <c r="S765" s="5">
        <f>IFERROR(__xludf.DUMMYFUNCTION("""COMPUTED_VALUE"""),305.0)</f>
        <v>305</v>
      </c>
      <c r="T765" s="5" t="str">
        <f>IFERROR(__xludf.DUMMYFUNCTION("""COMPUTED_VALUE"""),"The Bridge on the River Kwai")</f>
        <v>The Bridge on the River Kwai</v>
      </c>
      <c r="U765" s="5" t="str">
        <f>IFERROR(__xludf.DUMMYFUNCTION("""COMPUTED_VALUE"""),"War")</f>
        <v>War</v>
      </c>
      <c r="V765" s="5">
        <f>IFERROR(__xludf.DUMMYFUNCTION("""COMPUTED_VALUE"""),3.0)</f>
        <v>3</v>
      </c>
    </row>
    <row r="766">
      <c r="A766" s="1">
        <v>765.0</v>
      </c>
      <c r="B766" s="1" t="s">
        <v>4513</v>
      </c>
      <c r="C766" s="1" t="s">
        <v>3959</v>
      </c>
      <c r="D766" s="1"/>
      <c r="E766" s="1">
        <v>765.0</v>
      </c>
      <c r="F766" s="1" t="s">
        <v>4513</v>
      </c>
      <c r="G766" s="1" t="str">
        <f>IFERROR(__xludf.DUMMYFUNCTION("SPLIT(C766, "", "")"),"Drama")</f>
        <v>Drama</v>
      </c>
      <c r="H766" s="5" t="str">
        <f>IFERROR(__xludf.DUMMYFUNCTION("""COMPUTED_VALUE"""),"Sci-Fi")</f>
        <v>Sci-Fi</v>
      </c>
      <c r="I766" s="5" t="str">
        <f>IFERROR(__xludf.DUMMYFUNCTION("""COMPUTED_VALUE"""),"Thriller")</f>
        <v>Thriller</v>
      </c>
      <c r="J766" s="5" t="str">
        <f>IFERROR(__xludf.DUMMYFUNCTION("""COMPUTED_VALUE"""),"255🤙🏼Trainspotting🤙🏼🤙🏼3")</f>
        <v>255🤙🏼Trainspotting🤙🏼🤙🏼3</v>
      </c>
      <c r="K766" s="5">
        <f>IFERROR(__xludf.DUMMYFUNCTION("SPLiT(J766, ""🤙🏼"",FALSE,FALSE)"),255.0)</f>
        <v>255</v>
      </c>
      <c r="L766" s="5" t="str">
        <f>IFERROR(__xludf.DUMMYFUNCTION("""COMPUTED_VALUE"""),"Trainspotting")</f>
        <v>Trainspotting</v>
      </c>
      <c r="M766" s="5"/>
      <c r="N766" s="5">
        <f>IFERROR(__xludf.DUMMYFUNCTION("""COMPUTED_VALUE"""),3.0)</f>
        <v>3</v>
      </c>
      <c r="S766" s="5">
        <f>IFERROR(__xludf.DUMMYFUNCTION("""COMPUTED_VALUE"""),306.0)</f>
        <v>306</v>
      </c>
      <c r="T766" s="5" t="str">
        <f>IFERROR(__xludf.DUMMYFUNCTION("""COMPUTED_VALUE"""),"On the Waterfront")</f>
        <v>On the Waterfront</v>
      </c>
      <c r="U766" s="5" t="str">
        <f>IFERROR(__xludf.DUMMYFUNCTION("""COMPUTED_VALUE"""),"Crime")</f>
        <v>Crime</v>
      </c>
      <c r="V766" s="5">
        <f>IFERROR(__xludf.DUMMYFUNCTION("""COMPUTED_VALUE"""),1.0)</f>
        <v>1</v>
      </c>
    </row>
    <row r="767">
      <c r="A767" s="1">
        <v>766.0</v>
      </c>
      <c r="B767" s="1" t="s">
        <v>4518</v>
      </c>
      <c r="C767" s="1" t="s">
        <v>20</v>
      </c>
      <c r="D767" s="1"/>
      <c r="E767" s="1">
        <v>766.0</v>
      </c>
      <c r="F767" s="1" t="s">
        <v>4518</v>
      </c>
      <c r="G767" s="1" t="str">
        <f>IFERROR(__xludf.DUMMYFUNCTION("SPLIT(C767, "", "")"),"Drama")</f>
        <v>Drama</v>
      </c>
      <c r="J767" s="5" t="str">
        <f>IFERROR(__xludf.DUMMYFUNCTION("""COMPUTED_VALUE"""),"256🤙🏼Fargo🤙🏼Crime🤙🏼1")</f>
        <v>256🤙🏼Fargo🤙🏼Crime🤙🏼1</v>
      </c>
      <c r="K767" s="5">
        <f>IFERROR(__xludf.DUMMYFUNCTION("SPLiT(J767, ""🤙🏼"",FALSE,FALSE)"),256.0)</f>
        <v>256</v>
      </c>
      <c r="L767" s="5" t="str">
        <f>IFERROR(__xludf.DUMMYFUNCTION("""COMPUTED_VALUE"""),"Fargo")</f>
        <v>Fargo</v>
      </c>
      <c r="M767" s="5" t="str">
        <f>IFERROR(__xludf.DUMMYFUNCTION("""COMPUTED_VALUE"""),"Crime")</f>
        <v>Crime</v>
      </c>
      <c r="N767" s="5">
        <f>IFERROR(__xludf.DUMMYFUNCTION("""COMPUTED_VALUE"""),1.0)</f>
        <v>1</v>
      </c>
      <c r="S767" s="5">
        <f>IFERROR(__xludf.DUMMYFUNCTION("""COMPUTED_VALUE"""),306.0)</f>
        <v>306</v>
      </c>
      <c r="T767" s="5" t="str">
        <f>IFERROR(__xludf.DUMMYFUNCTION("""COMPUTED_VALUE"""),"On the Waterfront")</f>
        <v>On the Waterfront</v>
      </c>
      <c r="U767" s="5" t="str">
        <f>IFERROR(__xludf.DUMMYFUNCTION("""COMPUTED_VALUE"""),"Drama")</f>
        <v>Drama</v>
      </c>
      <c r="V767" s="5">
        <f>IFERROR(__xludf.DUMMYFUNCTION("""COMPUTED_VALUE"""),2.0)</f>
        <v>2</v>
      </c>
    </row>
    <row r="768">
      <c r="A768" s="1">
        <v>767.0</v>
      </c>
      <c r="B768" s="1" t="s">
        <v>4523</v>
      </c>
      <c r="C768" s="1" t="s">
        <v>79</v>
      </c>
      <c r="D768" s="1"/>
      <c r="E768" s="1">
        <v>767.0</v>
      </c>
      <c r="F768" s="1" t="s">
        <v>4523</v>
      </c>
      <c r="G768" s="1" t="str">
        <f>IFERROR(__xludf.DUMMYFUNCTION("SPLIT(C768, "", "")"),"Biography")</f>
        <v>Biography</v>
      </c>
      <c r="H768" s="5" t="str">
        <f>IFERROR(__xludf.DUMMYFUNCTION("""COMPUTED_VALUE"""),"Drama")</f>
        <v>Drama</v>
      </c>
      <c r="I768" s="5" t="str">
        <f>IFERROR(__xludf.DUMMYFUNCTION("""COMPUTED_VALUE"""),"History")</f>
        <v>History</v>
      </c>
      <c r="J768" s="5" t="str">
        <f>IFERROR(__xludf.DUMMYFUNCTION("""COMPUTED_VALUE"""),"256🤙🏼Fargo🤙🏼Drama🤙🏼2")</f>
        <v>256🤙🏼Fargo🤙🏼Drama🤙🏼2</v>
      </c>
      <c r="K768" s="5">
        <f>IFERROR(__xludf.DUMMYFUNCTION("SPLiT(J768, ""🤙🏼"",FALSE,FALSE)"),256.0)</f>
        <v>256</v>
      </c>
      <c r="L768" s="5" t="str">
        <f>IFERROR(__xludf.DUMMYFUNCTION("""COMPUTED_VALUE"""),"Fargo")</f>
        <v>Fargo</v>
      </c>
      <c r="M768" s="5" t="str">
        <f>IFERROR(__xludf.DUMMYFUNCTION("""COMPUTED_VALUE"""),"Drama")</f>
        <v>Drama</v>
      </c>
      <c r="N768" s="5">
        <f>IFERROR(__xludf.DUMMYFUNCTION("""COMPUTED_VALUE"""),2.0)</f>
        <v>2</v>
      </c>
      <c r="S768" s="5">
        <f>IFERROR(__xludf.DUMMYFUNCTION("""COMPUTED_VALUE"""),306.0)</f>
        <v>306</v>
      </c>
      <c r="T768" s="5" t="str">
        <f>IFERROR(__xludf.DUMMYFUNCTION("""COMPUTED_VALUE"""),"On the Waterfront")</f>
        <v>On the Waterfront</v>
      </c>
      <c r="U768" s="5" t="str">
        <f>IFERROR(__xludf.DUMMYFUNCTION("""COMPUTED_VALUE"""),"Thriller")</f>
        <v>Thriller</v>
      </c>
      <c r="V768" s="5">
        <f>IFERROR(__xludf.DUMMYFUNCTION("""COMPUTED_VALUE"""),3.0)</f>
        <v>3</v>
      </c>
    </row>
    <row r="769">
      <c r="A769" s="1">
        <v>768.0</v>
      </c>
      <c r="B769" s="1" t="s">
        <v>4527</v>
      </c>
      <c r="C769" s="1" t="s">
        <v>235</v>
      </c>
      <c r="D769" s="1"/>
      <c r="E769" s="1">
        <v>768.0</v>
      </c>
      <c r="F769" s="1" t="s">
        <v>4527</v>
      </c>
      <c r="G769" s="1" t="str">
        <f>IFERROR(__xludf.DUMMYFUNCTION("SPLIT(C769, "", "")"),"Crime")</f>
        <v>Crime</v>
      </c>
      <c r="H769" s="5" t="str">
        <f>IFERROR(__xludf.DUMMYFUNCTION("""COMPUTED_VALUE"""),"Drama")</f>
        <v>Drama</v>
      </c>
      <c r="I769" s="5" t="str">
        <f>IFERROR(__xludf.DUMMYFUNCTION("""COMPUTED_VALUE"""),"Mystery")</f>
        <v>Mystery</v>
      </c>
      <c r="J769" s="5" t="str">
        <f>IFERROR(__xludf.DUMMYFUNCTION("""COMPUTED_VALUE"""),"256🤙🏼Fargo🤙🏼Thriller🤙🏼3")</f>
        <v>256🤙🏼Fargo🤙🏼Thriller🤙🏼3</v>
      </c>
      <c r="K769" s="5">
        <f>IFERROR(__xludf.DUMMYFUNCTION("SPLiT(J769, ""🤙🏼"",FALSE,FALSE)"),256.0)</f>
        <v>256</v>
      </c>
      <c r="L769" s="5" t="str">
        <f>IFERROR(__xludf.DUMMYFUNCTION("""COMPUTED_VALUE"""),"Fargo")</f>
        <v>Fargo</v>
      </c>
      <c r="M769" s="5" t="str">
        <f>IFERROR(__xludf.DUMMYFUNCTION("""COMPUTED_VALUE"""),"Thriller")</f>
        <v>Thriller</v>
      </c>
      <c r="N769" s="5">
        <f>IFERROR(__xludf.DUMMYFUNCTION("""COMPUTED_VALUE"""),3.0)</f>
        <v>3</v>
      </c>
      <c r="S769" s="5">
        <f>IFERROR(__xludf.DUMMYFUNCTION("""COMPUTED_VALUE"""),307.0)</f>
        <v>307</v>
      </c>
      <c r="T769" s="5" t="str">
        <f>IFERROR(__xludf.DUMMYFUNCTION("""COMPUTED_VALUE"""),"Le salaire de la peur")</f>
        <v>Le salaire de la peur</v>
      </c>
      <c r="U769" s="5" t="str">
        <f>IFERROR(__xludf.DUMMYFUNCTION("""COMPUTED_VALUE"""),"Adventure")</f>
        <v>Adventure</v>
      </c>
      <c r="V769" s="5">
        <f>IFERROR(__xludf.DUMMYFUNCTION("""COMPUTED_VALUE"""),1.0)</f>
        <v>1</v>
      </c>
    </row>
    <row r="770">
      <c r="A770" s="1">
        <v>769.0</v>
      </c>
      <c r="B770" s="1" t="s">
        <v>4529</v>
      </c>
      <c r="C770" s="1" t="s">
        <v>39</v>
      </c>
      <c r="D770" s="1"/>
      <c r="E770" s="1">
        <v>769.0</v>
      </c>
      <c r="F770" s="1" t="s">
        <v>4529</v>
      </c>
      <c r="G770" s="1" t="str">
        <f>IFERROR(__xludf.DUMMYFUNCTION("SPLIT(C770, "", "")"),"Action")</f>
        <v>Action</v>
      </c>
      <c r="H770" s="5" t="str">
        <f>IFERROR(__xludf.DUMMYFUNCTION("""COMPUTED_VALUE"""),"Crime")</f>
        <v>Crime</v>
      </c>
      <c r="I770" s="5" t="str">
        <f>IFERROR(__xludf.DUMMYFUNCTION("""COMPUTED_VALUE"""),"Drama")</f>
        <v>Drama</v>
      </c>
      <c r="J770" s="5" t="str">
        <f>IFERROR(__xludf.DUMMYFUNCTION("""COMPUTED_VALUE"""),"257🤙🏼Underground🤙🏼Comedy🤙🏼1")</f>
        <v>257🤙🏼Underground🤙🏼Comedy🤙🏼1</v>
      </c>
      <c r="K770" s="5">
        <f>IFERROR(__xludf.DUMMYFUNCTION("SPLiT(J770, ""🤙🏼"",FALSE,FALSE)"),257.0)</f>
        <v>257</v>
      </c>
      <c r="L770" s="5" t="str">
        <f>IFERROR(__xludf.DUMMYFUNCTION("""COMPUTED_VALUE"""),"Underground")</f>
        <v>Underground</v>
      </c>
      <c r="M770" s="5" t="str">
        <f>IFERROR(__xludf.DUMMYFUNCTION("""COMPUTED_VALUE"""),"Comedy")</f>
        <v>Comedy</v>
      </c>
      <c r="N770" s="5">
        <f>IFERROR(__xludf.DUMMYFUNCTION("""COMPUTED_VALUE"""),1.0)</f>
        <v>1</v>
      </c>
      <c r="S770" s="5">
        <f>IFERROR(__xludf.DUMMYFUNCTION("""COMPUTED_VALUE"""),307.0)</f>
        <v>307</v>
      </c>
      <c r="T770" s="5" t="str">
        <f>IFERROR(__xludf.DUMMYFUNCTION("""COMPUTED_VALUE"""),"Le salaire de la peur")</f>
        <v>Le salaire de la peur</v>
      </c>
      <c r="U770" s="5" t="str">
        <f>IFERROR(__xludf.DUMMYFUNCTION("""COMPUTED_VALUE"""),"Drama")</f>
        <v>Drama</v>
      </c>
      <c r="V770" s="5">
        <f>IFERROR(__xludf.DUMMYFUNCTION("""COMPUTED_VALUE"""),2.0)</f>
        <v>2</v>
      </c>
    </row>
    <row r="771">
      <c r="A771" s="1">
        <v>770.0</v>
      </c>
      <c r="B771" s="1" t="s">
        <v>4533</v>
      </c>
      <c r="C771" s="1" t="s">
        <v>4534</v>
      </c>
      <c r="D771" s="1"/>
      <c r="E771" s="1">
        <v>770.0</v>
      </c>
      <c r="F771" s="1" t="s">
        <v>4533</v>
      </c>
      <c r="G771" s="1" t="str">
        <f>IFERROR(__xludf.DUMMYFUNCTION("SPLIT(C771, "", "")"),"Drama")</f>
        <v>Drama</v>
      </c>
      <c r="H771" s="5" t="str">
        <f>IFERROR(__xludf.DUMMYFUNCTION("""COMPUTED_VALUE"""),"History")</f>
        <v>History</v>
      </c>
      <c r="I771" s="5" t="str">
        <f>IFERROR(__xludf.DUMMYFUNCTION("""COMPUTED_VALUE"""),"Music")</f>
        <v>Music</v>
      </c>
      <c r="J771" s="5" t="str">
        <f>IFERROR(__xludf.DUMMYFUNCTION("""COMPUTED_VALUE"""),"257🤙🏼Underground🤙🏼Drama🤙🏼2")</f>
        <v>257🤙🏼Underground🤙🏼Drama🤙🏼2</v>
      </c>
      <c r="K771" s="5">
        <f>IFERROR(__xludf.DUMMYFUNCTION("SPLiT(J771, ""🤙🏼"",FALSE,FALSE)"),257.0)</f>
        <v>257</v>
      </c>
      <c r="L771" s="5" t="str">
        <f>IFERROR(__xludf.DUMMYFUNCTION("""COMPUTED_VALUE"""),"Underground")</f>
        <v>Underground</v>
      </c>
      <c r="M771" s="5" t="str">
        <f>IFERROR(__xludf.DUMMYFUNCTION("""COMPUTED_VALUE"""),"Drama")</f>
        <v>Drama</v>
      </c>
      <c r="N771" s="5">
        <f>IFERROR(__xludf.DUMMYFUNCTION("""COMPUTED_VALUE"""),2.0)</f>
        <v>2</v>
      </c>
      <c r="S771" s="5">
        <f>IFERROR(__xludf.DUMMYFUNCTION("""COMPUTED_VALUE"""),307.0)</f>
        <v>307</v>
      </c>
      <c r="T771" s="5" t="str">
        <f>IFERROR(__xludf.DUMMYFUNCTION("""COMPUTED_VALUE"""),"Le salaire de la peur")</f>
        <v>Le salaire de la peur</v>
      </c>
      <c r="U771" s="5" t="str">
        <f>IFERROR(__xludf.DUMMYFUNCTION("""COMPUTED_VALUE"""),"Thriller")</f>
        <v>Thriller</v>
      </c>
      <c r="V771" s="5">
        <f>IFERROR(__xludf.DUMMYFUNCTION("""COMPUTED_VALUE"""),3.0)</f>
        <v>3</v>
      </c>
    </row>
    <row r="772">
      <c r="A772" s="1">
        <v>771.0</v>
      </c>
      <c r="B772" s="1" t="s">
        <v>4540</v>
      </c>
      <c r="C772" s="1" t="s">
        <v>314</v>
      </c>
      <c r="D772" s="1"/>
      <c r="E772" s="1">
        <v>771.0</v>
      </c>
      <c r="F772" s="1" t="s">
        <v>4540</v>
      </c>
      <c r="G772" s="1" t="str">
        <f>IFERROR(__xludf.DUMMYFUNCTION("SPLIT(C772, "", "")"),"Biography")</f>
        <v>Biography</v>
      </c>
      <c r="H772" s="5" t="str">
        <f>IFERROR(__xludf.DUMMYFUNCTION("""COMPUTED_VALUE"""),"Drama")</f>
        <v>Drama</v>
      </c>
      <c r="I772" s="5" t="str">
        <f>IFERROR(__xludf.DUMMYFUNCTION("""COMPUTED_VALUE"""),"Music")</f>
        <v>Music</v>
      </c>
      <c r="J772" s="5" t="str">
        <f>IFERROR(__xludf.DUMMYFUNCTION("""COMPUTED_VALUE"""),"257🤙🏼Underground🤙🏼War🤙🏼3")</f>
        <v>257🤙🏼Underground🤙🏼War🤙🏼3</v>
      </c>
      <c r="K772" s="5">
        <f>IFERROR(__xludf.DUMMYFUNCTION("SPLiT(J772, ""🤙🏼"",FALSE,FALSE)"),257.0)</f>
        <v>257</v>
      </c>
      <c r="L772" s="5" t="str">
        <f>IFERROR(__xludf.DUMMYFUNCTION("""COMPUTED_VALUE"""),"Underground")</f>
        <v>Underground</v>
      </c>
      <c r="M772" s="5" t="str">
        <f>IFERROR(__xludf.DUMMYFUNCTION("""COMPUTED_VALUE"""),"War")</f>
        <v>War</v>
      </c>
      <c r="N772" s="5">
        <f>IFERROR(__xludf.DUMMYFUNCTION("""COMPUTED_VALUE"""),3.0)</f>
        <v>3</v>
      </c>
      <c r="S772" s="5">
        <f>IFERROR(__xludf.DUMMYFUNCTION("""COMPUTED_VALUE"""),308.0)</f>
        <v>308</v>
      </c>
      <c r="T772" s="5" t="str">
        <f>IFERROR(__xludf.DUMMYFUNCTION("""COMPUTED_VALUE"""),"Ace in the Hole")</f>
        <v>Ace in the Hole</v>
      </c>
      <c r="U772" s="5" t="str">
        <f>IFERROR(__xludf.DUMMYFUNCTION("""COMPUTED_VALUE"""),"Drama")</f>
        <v>Drama</v>
      </c>
      <c r="V772" s="5">
        <f>IFERROR(__xludf.DUMMYFUNCTION("""COMPUTED_VALUE"""),1.0)</f>
        <v>1</v>
      </c>
    </row>
    <row r="773">
      <c r="A773" s="1">
        <v>772.0</v>
      </c>
      <c r="B773" s="1" t="s">
        <v>4546</v>
      </c>
      <c r="C773" s="1" t="s">
        <v>765</v>
      </c>
      <c r="D773" s="1"/>
      <c r="E773" s="1">
        <v>772.0</v>
      </c>
      <c r="F773" s="1" t="s">
        <v>4546</v>
      </c>
      <c r="G773" s="1" t="str">
        <f>IFERROR(__xludf.DUMMYFUNCTION("SPLIT(C773, "", "")"),"Animation")</f>
        <v>Animation</v>
      </c>
      <c r="H773" s="5" t="str">
        <f>IFERROR(__xludf.DUMMYFUNCTION("""COMPUTED_VALUE"""),"Adventure")</f>
        <v>Adventure</v>
      </c>
      <c r="I773" s="5" t="str">
        <f>IFERROR(__xludf.DUMMYFUNCTION("""COMPUTED_VALUE"""),"Comedy")</f>
        <v>Comedy</v>
      </c>
      <c r="J773" s="5" t="str">
        <f>IFERROR(__xludf.DUMMYFUNCTION("""COMPUTED_VALUE"""),"258🤙🏼La haine🤙🏼Crime🤙🏼1")</f>
        <v>258🤙🏼La haine🤙🏼Crime🤙🏼1</v>
      </c>
      <c r="K773" s="5">
        <f>IFERROR(__xludf.DUMMYFUNCTION("SPLiT(J773, ""🤙🏼"",FALSE,FALSE)"),258.0)</f>
        <v>258</v>
      </c>
      <c r="L773" s="5" t="str">
        <f>IFERROR(__xludf.DUMMYFUNCTION("""COMPUTED_VALUE"""),"La haine")</f>
        <v>La haine</v>
      </c>
      <c r="M773" s="5" t="str">
        <f>IFERROR(__xludf.DUMMYFUNCTION("""COMPUTED_VALUE"""),"Crime")</f>
        <v>Crime</v>
      </c>
      <c r="N773" s="5">
        <f>IFERROR(__xludf.DUMMYFUNCTION("""COMPUTED_VALUE"""),1.0)</f>
        <v>1</v>
      </c>
      <c r="S773" s="5">
        <f>IFERROR(__xludf.DUMMYFUNCTION("""COMPUTED_VALUE"""),308.0)</f>
        <v>308</v>
      </c>
      <c r="T773" s="5" t="str">
        <f>IFERROR(__xludf.DUMMYFUNCTION("""COMPUTED_VALUE"""),"Ace in the Hole")</f>
        <v>Ace in the Hole</v>
      </c>
      <c r="U773" s="5" t="str">
        <f>IFERROR(__xludf.DUMMYFUNCTION("""COMPUTED_VALUE"""),"Film-Noir")</f>
        <v>Film-Noir</v>
      </c>
      <c r="V773" s="5">
        <f>IFERROR(__xludf.DUMMYFUNCTION("""COMPUTED_VALUE"""),2.0)</f>
        <v>2</v>
      </c>
    </row>
    <row r="774">
      <c r="A774" s="1">
        <v>773.0</v>
      </c>
      <c r="B774" s="1" t="s">
        <v>4552</v>
      </c>
      <c r="C774" s="1" t="s">
        <v>639</v>
      </c>
      <c r="D774" s="1"/>
      <c r="E774" s="1">
        <v>773.0</v>
      </c>
      <c r="F774" s="1" t="s">
        <v>4552</v>
      </c>
      <c r="G774" s="1" t="str">
        <f>IFERROR(__xludf.DUMMYFUNCTION("SPLIT(C774, "", "")"),"Drama")</f>
        <v>Drama</v>
      </c>
      <c r="H774" s="5" t="str">
        <f>IFERROR(__xludf.DUMMYFUNCTION("""COMPUTED_VALUE"""),"Thriller")</f>
        <v>Thriller</v>
      </c>
      <c r="I774" s="5" t="str">
        <f>IFERROR(__xludf.DUMMYFUNCTION("""COMPUTED_VALUE"""),"War")</f>
        <v>War</v>
      </c>
      <c r="J774" s="5" t="str">
        <f>IFERROR(__xludf.DUMMYFUNCTION("""COMPUTED_VALUE"""),"258🤙🏼La haine🤙🏼Drama🤙🏼2")</f>
        <v>258🤙🏼La haine🤙🏼Drama🤙🏼2</v>
      </c>
      <c r="K774" s="5">
        <f>IFERROR(__xludf.DUMMYFUNCTION("SPLiT(J774, ""🤙🏼"",FALSE,FALSE)"),258.0)</f>
        <v>258</v>
      </c>
      <c r="L774" s="5" t="str">
        <f>IFERROR(__xludf.DUMMYFUNCTION("""COMPUTED_VALUE"""),"La haine")</f>
        <v>La haine</v>
      </c>
      <c r="M774" s="5" t="str">
        <f>IFERROR(__xludf.DUMMYFUNCTION("""COMPUTED_VALUE"""),"Drama")</f>
        <v>Drama</v>
      </c>
      <c r="N774" s="5">
        <f>IFERROR(__xludf.DUMMYFUNCTION("""COMPUTED_VALUE"""),2.0)</f>
        <v>2</v>
      </c>
      <c r="S774" s="5">
        <f>IFERROR(__xludf.DUMMYFUNCTION("""COMPUTED_VALUE"""),309.0)</f>
        <v>309</v>
      </c>
      <c r="T774" s="5" t="str">
        <f>IFERROR(__xludf.DUMMYFUNCTION("""COMPUTED_VALUE"""),"White Heat")</f>
        <v>White Heat</v>
      </c>
      <c r="U774" s="5" t="str">
        <f>IFERROR(__xludf.DUMMYFUNCTION("""COMPUTED_VALUE"""),"Action")</f>
        <v>Action</v>
      </c>
      <c r="V774" s="5">
        <f>IFERROR(__xludf.DUMMYFUNCTION("""COMPUTED_VALUE"""),1.0)</f>
        <v>1</v>
      </c>
    </row>
    <row r="775">
      <c r="A775" s="1">
        <v>774.0</v>
      </c>
      <c r="B775" s="1" t="s">
        <v>4558</v>
      </c>
      <c r="C775" s="1" t="s">
        <v>107</v>
      </c>
      <c r="D775" s="1"/>
      <c r="E775" s="1">
        <v>774.0</v>
      </c>
      <c r="F775" s="1" t="s">
        <v>4558</v>
      </c>
      <c r="G775" s="1" t="str">
        <f>IFERROR(__xludf.DUMMYFUNCTION("SPLIT(C775, "", "")"),"Drama")</f>
        <v>Drama</v>
      </c>
      <c r="H775" s="5" t="str">
        <f>IFERROR(__xludf.DUMMYFUNCTION("""COMPUTED_VALUE"""),"Romance")</f>
        <v>Romance</v>
      </c>
      <c r="J775" s="5" t="str">
        <f>IFERROR(__xludf.DUMMYFUNCTION("""COMPUTED_VALUE"""),"258🤙🏼La haine🤙🏼🤙🏼3")</f>
        <v>258🤙🏼La haine🤙🏼🤙🏼3</v>
      </c>
      <c r="K775" s="5">
        <f>IFERROR(__xludf.DUMMYFUNCTION("SPLiT(J775, ""🤙🏼"",FALSE,FALSE)"),258.0)</f>
        <v>258</v>
      </c>
      <c r="L775" s="5" t="str">
        <f>IFERROR(__xludf.DUMMYFUNCTION("""COMPUTED_VALUE"""),"La haine")</f>
        <v>La haine</v>
      </c>
      <c r="M775" s="5"/>
      <c r="N775" s="5">
        <f>IFERROR(__xludf.DUMMYFUNCTION("""COMPUTED_VALUE"""),3.0)</f>
        <v>3</v>
      </c>
      <c r="S775" s="5">
        <f>IFERROR(__xludf.DUMMYFUNCTION("""COMPUTED_VALUE"""),309.0)</f>
        <v>309</v>
      </c>
      <c r="T775" s="5" t="str">
        <f>IFERROR(__xludf.DUMMYFUNCTION("""COMPUTED_VALUE"""),"White Heat")</f>
        <v>White Heat</v>
      </c>
      <c r="U775" s="5" t="str">
        <f>IFERROR(__xludf.DUMMYFUNCTION("""COMPUTED_VALUE"""),"Crime")</f>
        <v>Crime</v>
      </c>
      <c r="V775" s="5">
        <f>IFERROR(__xludf.DUMMYFUNCTION("""COMPUTED_VALUE"""),2.0)</f>
        <v>2</v>
      </c>
    </row>
    <row r="776">
      <c r="A776" s="1">
        <v>775.0</v>
      </c>
      <c r="B776" s="1" t="s">
        <v>4561</v>
      </c>
      <c r="C776" s="1" t="s">
        <v>39</v>
      </c>
      <c r="D776" s="1"/>
      <c r="E776" s="1">
        <v>775.0</v>
      </c>
      <c r="F776" s="1" t="s">
        <v>4561</v>
      </c>
      <c r="G776" s="1" t="str">
        <f>IFERROR(__xludf.DUMMYFUNCTION("SPLIT(C776, "", "")"),"Action")</f>
        <v>Action</v>
      </c>
      <c r="H776" s="5" t="str">
        <f>IFERROR(__xludf.DUMMYFUNCTION("""COMPUTED_VALUE"""),"Crime")</f>
        <v>Crime</v>
      </c>
      <c r="I776" s="5" t="str">
        <f>IFERROR(__xludf.DUMMYFUNCTION("""COMPUTED_VALUE"""),"Drama")</f>
        <v>Drama</v>
      </c>
      <c r="J776" s="5" t="str">
        <f>IFERROR(__xludf.DUMMYFUNCTION("""COMPUTED_VALUE"""),"259🤙🏼Dilwale Dulhania Le Jayenge🤙🏼Drama🤙🏼1")</f>
        <v>259🤙🏼Dilwale Dulhania Le Jayenge🤙🏼Drama🤙🏼1</v>
      </c>
      <c r="K776" s="5">
        <f>IFERROR(__xludf.DUMMYFUNCTION("SPLiT(J776, ""🤙🏼"",FALSE,FALSE)"),259.0)</f>
        <v>259</v>
      </c>
      <c r="L776" s="5" t="str">
        <f>IFERROR(__xludf.DUMMYFUNCTION("""COMPUTED_VALUE"""),"Dilwale Dulhania Le Jayenge")</f>
        <v>Dilwale Dulhania Le Jayenge</v>
      </c>
      <c r="M776" s="5" t="str">
        <f>IFERROR(__xludf.DUMMYFUNCTION("""COMPUTED_VALUE"""),"Drama")</f>
        <v>Drama</v>
      </c>
      <c r="N776" s="5">
        <f>IFERROR(__xludf.DUMMYFUNCTION("""COMPUTED_VALUE"""),1.0)</f>
        <v>1</v>
      </c>
      <c r="S776" s="5">
        <f>IFERROR(__xludf.DUMMYFUNCTION("""COMPUTED_VALUE"""),309.0)</f>
        <v>309</v>
      </c>
      <c r="T776" s="5" t="str">
        <f>IFERROR(__xludf.DUMMYFUNCTION("""COMPUTED_VALUE"""),"White Heat")</f>
        <v>White Heat</v>
      </c>
      <c r="U776" s="5" t="str">
        <f>IFERROR(__xludf.DUMMYFUNCTION("""COMPUTED_VALUE"""),"Drama")</f>
        <v>Drama</v>
      </c>
      <c r="V776" s="5">
        <f>IFERROR(__xludf.DUMMYFUNCTION("""COMPUTED_VALUE"""),3.0)</f>
        <v>3</v>
      </c>
    </row>
    <row r="777">
      <c r="A777" s="1">
        <v>776.0</v>
      </c>
      <c r="B777" s="1" t="s">
        <v>4564</v>
      </c>
      <c r="C777" s="1" t="s">
        <v>241</v>
      </c>
      <c r="D777" s="1"/>
      <c r="E777" s="1">
        <v>776.0</v>
      </c>
      <c r="F777" s="1" t="s">
        <v>4564</v>
      </c>
      <c r="G777" s="1" t="str">
        <f>IFERROR(__xludf.DUMMYFUNCTION("SPLIT(C777, "", "")"),"Crime")</f>
        <v>Crime</v>
      </c>
      <c r="H777" s="5" t="str">
        <f>IFERROR(__xludf.DUMMYFUNCTION("""COMPUTED_VALUE"""),"Drama")</f>
        <v>Drama</v>
      </c>
      <c r="I777" s="5" t="str">
        <f>IFERROR(__xludf.DUMMYFUNCTION("""COMPUTED_VALUE"""),"Thriller")</f>
        <v>Thriller</v>
      </c>
      <c r="J777" s="5" t="str">
        <f>IFERROR(__xludf.DUMMYFUNCTION("""COMPUTED_VALUE"""),"259🤙🏼Dilwale Dulhania Le Jayenge🤙🏼Romance🤙🏼2")</f>
        <v>259🤙🏼Dilwale Dulhania Le Jayenge🤙🏼Romance🤙🏼2</v>
      </c>
      <c r="K777" s="5">
        <f>IFERROR(__xludf.DUMMYFUNCTION("SPLiT(J777, ""🤙🏼"",FALSE,FALSE)"),259.0)</f>
        <v>259</v>
      </c>
      <c r="L777" s="5" t="str">
        <f>IFERROR(__xludf.DUMMYFUNCTION("""COMPUTED_VALUE"""),"Dilwale Dulhania Le Jayenge")</f>
        <v>Dilwale Dulhania Le Jayenge</v>
      </c>
      <c r="M777" s="5" t="str">
        <f>IFERROR(__xludf.DUMMYFUNCTION("""COMPUTED_VALUE"""),"Romance")</f>
        <v>Romance</v>
      </c>
      <c r="N777" s="5">
        <f>IFERROR(__xludf.DUMMYFUNCTION("""COMPUTED_VALUE"""),2.0)</f>
        <v>2</v>
      </c>
      <c r="S777" s="5">
        <f>IFERROR(__xludf.DUMMYFUNCTION("""COMPUTED_VALUE"""),310.0)</f>
        <v>310</v>
      </c>
      <c r="T777" s="5" t="str">
        <f>IFERROR(__xludf.DUMMYFUNCTION("""COMPUTED_VALUE"""),"The Third Man")</f>
        <v>The Third Man</v>
      </c>
      <c r="U777" s="5" t="str">
        <f>IFERROR(__xludf.DUMMYFUNCTION("""COMPUTED_VALUE"""),"Film-Noir")</f>
        <v>Film-Noir</v>
      </c>
      <c r="V777" s="5">
        <f>IFERROR(__xludf.DUMMYFUNCTION("""COMPUTED_VALUE"""),1.0)</f>
        <v>1</v>
      </c>
    </row>
    <row r="778">
      <c r="A778" s="1">
        <v>777.0</v>
      </c>
      <c r="B778" s="1" t="s">
        <v>4568</v>
      </c>
      <c r="C778" s="1" t="s">
        <v>4070</v>
      </c>
      <c r="D778" s="1"/>
      <c r="E778" s="1">
        <v>777.0</v>
      </c>
      <c r="F778" s="1" t="s">
        <v>4568</v>
      </c>
      <c r="G778" s="1" t="str">
        <f>IFERROR(__xludf.DUMMYFUNCTION("SPLIT(C778, "", "")"),"Action")</f>
        <v>Action</v>
      </c>
      <c r="H778" s="5" t="str">
        <f>IFERROR(__xludf.DUMMYFUNCTION("""COMPUTED_VALUE"""),"Comedy")</f>
        <v>Comedy</v>
      </c>
      <c r="I778" s="5" t="str">
        <f>IFERROR(__xludf.DUMMYFUNCTION("""COMPUTED_VALUE"""),"Fantasy")</f>
        <v>Fantasy</v>
      </c>
      <c r="J778" s="5" t="str">
        <f>IFERROR(__xludf.DUMMYFUNCTION("""COMPUTED_VALUE"""),"259🤙🏼Dilwale Dulhania Le Jayenge🤙🏼🤙🏼3")</f>
        <v>259🤙🏼Dilwale Dulhania Le Jayenge🤙🏼🤙🏼3</v>
      </c>
      <c r="K778" s="5">
        <f>IFERROR(__xludf.DUMMYFUNCTION("SPLiT(J778, ""🤙🏼"",FALSE,FALSE)"),259.0)</f>
        <v>259</v>
      </c>
      <c r="L778" s="5" t="str">
        <f>IFERROR(__xludf.DUMMYFUNCTION("""COMPUTED_VALUE"""),"Dilwale Dulhania Le Jayenge")</f>
        <v>Dilwale Dulhania Le Jayenge</v>
      </c>
      <c r="M778" s="5"/>
      <c r="N778" s="5">
        <f>IFERROR(__xludf.DUMMYFUNCTION("""COMPUTED_VALUE"""),3.0)</f>
        <v>3</v>
      </c>
      <c r="S778" s="5">
        <f>IFERROR(__xludf.DUMMYFUNCTION("""COMPUTED_VALUE"""),310.0)</f>
        <v>310</v>
      </c>
      <c r="T778" s="5" t="str">
        <f>IFERROR(__xludf.DUMMYFUNCTION("""COMPUTED_VALUE"""),"The Third Man")</f>
        <v>The Third Man</v>
      </c>
      <c r="U778" s="5" t="str">
        <f>IFERROR(__xludf.DUMMYFUNCTION("""COMPUTED_VALUE"""),"Mystery")</f>
        <v>Mystery</v>
      </c>
      <c r="V778" s="5">
        <f>IFERROR(__xludf.DUMMYFUNCTION("""COMPUTED_VALUE"""),2.0)</f>
        <v>2</v>
      </c>
    </row>
    <row r="779">
      <c r="A779" s="1">
        <v>778.0</v>
      </c>
      <c r="B779" s="1" t="s">
        <v>4574</v>
      </c>
      <c r="C779" s="1" t="s">
        <v>2366</v>
      </c>
      <c r="D779" s="1"/>
      <c r="E779" s="1">
        <v>778.0</v>
      </c>
      <c r="F779" s="1" t="s">
        <v>4574</v>
      </c>
      <c r="G779" s="1" t="str">
        <f>IFERROR(__xludf.DUMMYFUNCTION("SPLIT(C779, "", "")"),"Action")</f>
        <v>Action</v>
      </c>
      <c r="H779" s="5" t="str">
        <f>IFERROR(__xludf.DUMMYFUNCTION("""COMPUTED_VALUE"""),"Mystery")</f>
        <v>Mystery</v>
      </c>
      <c r="I779" s="5" t="str">
        <f>IFERROR(__xludf.DUMMYFUNCTION("""COMPUTED_VALUE"""),"Thriller")</f>
        <v>Thriller</v>
      </c>
      <c r="J779" s="5" t="str">
        <f>IFERROR(__xludf.DUMMYFUNCTION("""COMPUTED_VALUE"""),"260🤙🏼Before Sunrise🤙🏼Drama🤙🏼1")</f>
        <v>260🤙🏼Before Sunrise🤙🏼Drama🤙🏼1</v>
      </c>
      <c r="K779" s="5">
        <f>IFERROR(__xludf.DUMMYFUNCTION("SPLiT(J779, ""🤙🏼"",FALSE,FALSE)"),260.0)</f>
        <v>260</v>
      </c>
      <c r="L779" s="5" t="str">
        <f>IFERROR(__xludf.DUMMYFUNCTION("""COMPUTED_VALUE"""),"Before Sunrise")</f>
        <v>Before Sunrise</v>
      </c>
      <c r="M779" s="5" t="str">
        <f>IFERROR(__xludf.DUMMYFUNCTION("""COMPUTED_VALUE"""),"Drama")</f>
        <v>Drama</v>
      </c>
      <c r="N779" s="5">
        <f>IFERROR(__xludf.DUMMYFUNCTION("""COMPUTED_VALUE"""),1.0)</f>
        <v>1</v>
      </c>
      <c r="S779" s="5">
        <f>IFERROR(__xludf.DUMMYFUNCTION("""COMPUTED_VALUE"""),310.0)</f>
        <v>310</v>
      </c>
      <c r="T779" s="5" t="str">
        <f>IFERROR(__xludf.DUMMYFUNCTION("""COMPUTED_VALUE"""),"The Third Man")</f>
        <v>The Third Man</v>
      </c>
      <c r="U779" s="5" t="str">
        <f>IFERROR(__xludf.DUMMYFUNCTION("""COMPUTED_VALUE"""),"Thriller")</f>
        <v>Thriller</v>
      </c>
      <c r="V779" s="5">
        <f>IFERROR(__xludf.DUMMYFUNCTION("""COMPUTED_VALUE"""),3.0)</f>
        <v>3</v>
      </c>
    </row>
    <row r="780">
      <c r="A780" s="1">
        <v>779.0</v>
      </c>
      <c r="B780" s="1" t="s">
        <v>4577</v>
      </c>
      <c r="C780" s="1" t="s">
        <v>1377</v>
      </c>
      <c r="D780" s="1"/>
      <c r="E780" s="1">
        <v>779.0</v>
      </c>
      <c r="F780" s="1" t="s">
        <v>4577</v>
      </c>
      <c r="G780" s="1" t="str">
        <f>IFERROR(__xludf.DUMMYFUNCTION("SPLIT(C780, "", "")"),"Drama")</f>
        <v>Drama</v>
      </c>
      <c r="H780" s="5" t="str">
        <f>IFERROR(__xludf.DUMMYFUNCTION("""COMPUTED_VALUE"""),"Thriller")</f>
        <v>Thriller</v>
      </c>
      <c r="J780" s="5" t="str">
        <f>IFERROR(__xludf.DUMMYFUNCTION("""COMPUTED_VALUE"""),"260🤙🏼Before Sunrise🤙🏼Romance🤙🏼2")</f>
        <v>260🤙🏼Before Sunrise🤙🏼Romance🤙🏼2</v>
      </c>
      <c r="K780" s="5">
        <f>IFERROR(__xludf.DUMMYFUNCTION("SPLiT(J780, ""🤙🏼"",FALSE,FALSE)"),260.0)</f>
        <v>260</v>
      </c>
      <c r="L780" s="5" t="str">
        <f>IFERROR(__xludf.DUMMYFUNCTION("""COMPUTED_VALUE"""),"Before Sunrise")</f>
        <v>Before Sunrise</v>
      </c>
      <c r="M780" s="5" t="str">
        <f>IFERROR(__xludf.DUMMYFUNCTION("""COMPUTED_VALUE"""),"Romance")</f>
        <v>Romance</v>
      </c>
      <c r="N780" s="5">
        <f>IFERROR(__xludf.DUMMYFUNCTION("""COMPUTED_VALUE"""),2.0)</f>
        <v>2</v>
      </c>
      <c r="S780" s="5">
        <f>IFERROR(__xludf.DUMMYFUNCTION("""COMPUTED_VALUE"""),311.0)</f>
        <v>311</v>
      </c>
      <c r="T780" s="5" t="str">
        <f>IFERROR(__xludf.DUMMYFUNCTION("""COMPUTED_VALUE"""),"The Red Shoes")</f>
        <v>The Red Shoes</v>
      </c>
      <c r="U780" s="5" t="str">
        <f>IFERROR(__xludf.DUMMYFUNCTION("""COMPUTED_VALUE"""),"Drama")</f>
        <v>Drama</v>
      </c>
      <c r="V780" s="5">
        <f>IFERROR(__xludf.DUMMYFUNCTION("""COMPUTED_VALUE"""),1.0)</f>
        <v>1</v>
      </c>
    </row>
    <row r="781">
      <c r="A781" s="1">
        <v>780.0</v>
      </c>
      <c r="B781" s="1" t="s">
        <v>4582</v>
      </c>
      <c r="C781" s="1" t="s">
        <v>314</v>
      </c>
      <c r="D781" s="1"/>
      <c r="E781" s="1">
        <v>780.0</v>
      </c>
      <c r="F781" s="1" t="s">
        <v>4582</v>
      </c>
      <c r="G781" s="1" t="str">
        <f>IFERROR(__xludf.DUMMYFUNCTION("SPLIT(C781, "", "")"),"Biography")</f>
        <v>Biography</v>
      </c>
      <c r="H781" s="5" t="str">
        <f>IFERROR(__xludf.DUMMYFUNCTION("""COMPUTED_VALUE"""),"Drama")</f>
        <v>Drama</v>
      </c>
      <c r="I781" s="5" t="str">
        <f>IFERROR(__xludf.DUMMYFUNCTION("""COMPUTED_VALUE"""),"Music")</f>
        <v>Music</v>
      </c>
      <c r="J781" s="5" t="str">
        <f>IFERROR(__xludf.DUMMYFUNCTION("""COMPUTED_VALUE"""),"260🤙🏼Before Sunrise🤙🏼🤙🏼3")</f>
        <v>260🤙🏼Before Sunrise🤙🏼🤙🏼3</v>
      </c>
      <c r="K781" s="5">
        <f>IFERROR(__xludf.DUMMYFUNCTION("SPLiT(J781, ""🤙🏼"",FALSE,FALSE)"),260.0)</f>
        <v>260</v>
      </c>
      <c r="L781" s="5" t="str">
        <f>IFERROR(__xludf.DUMMYFUNCTION("""COMPUTED_VALUE"""),"Before Sunrise")</f>
        <v>Before Sunrise</v>
      </c>
      <c r="M781" s="5"/>
      <c r="N781" s="5">
        <f>IFERROR(__xludf.DUMMYFUNCTION("""COMPUTED_VALUE"""),3.0)</f>
        <v>3</v>
      </c>
      <c r="S781" s="5">
        <f>IFERROR(__xludf.DUMMYFUNCTION("""COMPUTED_VALUE"""),311.0)</f>
        <v>311</v>
      </c>
      <c r="T781" s="5" t="str">
        <f>IFERROR(__xludf.DUMMYFUNCTION("""COMPUTED_VALUE"""),"The Red Shoes")</f>
        <v>The Red Shoes</v>
      </c>
      <c r="U781" s="5" t="str">
        <f>IFERROR(__xludf.DUMMYFUNCTION("""COMPUTED_VALUE"""),"Music")</f>
        <v>Music</v>
      </c>
      <c r="V781" s="5">
        <f>IFERROR(__xludf.DUMMYFUNCTION("""COMPUTED_VALUE"""),2.0)</f>
        <v>2</v>
      </c>
    </row>
    <row r="782">
      <c r="A782" s="1">
        <v>781.0</v>
      </c>
      <c r="B782" s="1" t="s">
        <v>4586</v>
      </c>
      <c r="C782" s="1" t="s">
        <v>507</v>
      </c>
      <c r="D782" s="1"/>
      <c r="E782" s="1">
        <v>781.0</v>
      </c>
      <c r="F782" s="1" t="s">
        <v>4586</v>
      </c>
      <c r="G782" s="1" t="str">
        <f>IFERROR(__xludf.DUMMYFUNCTION("SPLIT(C782, "", "")"),"Comedy")</f>
        <v>Comedy</v>
      </c>
      <c r="H782" s="5" t="str">
        <f>IFERROR(__xludf.DUMMYFUNCTION("""COMPUTED_VALUE"""),"Drama")</f>
        <v>Drama</v>
      </c>
      <c r="J782" s="5" t="str">
        <f>IFERROR(__xludf.DUMMYFUNCTION("""COMPUTED_VALUE"""),"261🤙🏼Trois couleurs: Rouge🤙🏼Drama🤙🏼1")</f>
        <v>261🤙🏼Trois couleurs: Rouge🤙🏼Drama🤙🏼1</v>
      </c>
      <c r="K782" s="5">
        <f>IFERROR(__xludf.DUMMYFUNCTION("SPLiT(J782, ""🤙🏼"",FALSE,FALSE)"),261.0)</f>
        <v>261</v>
      </c>
      <c r="L782" s="5" t="str">
        <f>IFERROR(__xludf.DUMMYFUNCTION("""COMPUTED_VALUE"""),"Trois couleurs: Rouge")</f>
        <v>Trois couleurs: Rouge</v>
      </c>
      <c r="M782" s="5" t="str">
        <f>IFERROR(__xludf.DUMMYFUNCTION("""COMPUTED_VALUE"""),"Drama")</f>
        <v>Drama</v>
      </c>
      <c r="N782" s="5">
        <f>IFERROR(__xludf.DUMMYFUNCTION("""COMPUTED_VALUE"""),1.0)</f>
        <v>1</v>
      </c>
      <c r="S782" s="5">
        <f>IFERROR(__xludf.DUMMYFUNCTION("""COMPUTED_VALUE"""),311.0)</f>
        <v>311</v>
      </c>
      <c r="T782" s="5" t="str">
        <f>IFERROR(__xludf.DUMMYFUNCTION("""COMPUTED_VALUE"""),"The Red Shoes")</f>
        <v>The Red Shoes</v>
      </c>
      <c r="U782" s="5" t="str">
        <f>IFERROR(__xludf.DUMMYFUNCTION("""COMPUTED_VALUE"""),"Romance")</f>
        <v>Romance</v>
      </c>
      <c r="V782" s="5">
        <f>IFERROR(__xludf.DUMMYFUNCTION("""COMPUTED_VALUE"""),3.0)</f>
        <v>3</v>
      </c>
    </row>
    <row r="783">
      <c r="A783" s="1">
        <v>782.0</v>
      </c>
      <c r="B783" s="1" t="s">
        <v>4591</v>
      </c>
      <c r="C783" s="1" t="s">
        <v>2629</v>
      </c>
      <c r="D783" s="1"/>
      <c r="E783" s="1">
        <v>782.0</v>
      </c>
      <c r="F783" s="1" t="s">
        <v>4591</v>
      </c>
      <c r="G783" s="1" t="str">
        <f>IFERROR(__xludf.DUMMYFUNCTION("SPLIT(C783, "", "")"),"Adventure")</f>
        <v>Adventure</v>
      </c>
      <c r="H783" s="5" t="str">
        <f>IFERROR(__xludf.DUMMYFUNCTION("""COMPUTED_VALUE"""),"Family")</f>
        <v>Family</v>
      </c>
      <c r="I783" s="5" t="str">
        <f>IFERROR(__xludf.DUMMYFUNCTION("""COMPUTED_VALUE"""),"Fantasy")</f>
        <v>Fantasy</v>
      </c>
      <c r="J783" s="5" t="str">
        <f>IFERROR(__xludf.DUMMYFUNCTION("""COMPUTED_VALUE"""),"261🤙🏼Trois couleurs: Rouge🤙🏼Mystery🤙🏼2")</f>
        <v>261🤙🏼Trois couleurs: Rouge🤙🏼Mystery🤙🏼2</v>
      </c>
      <c r="K783" s="5">
        <f>IFERROR(__xludf.DUMMYFUNCTION("SPLiT(J783, ""🤙🏼"",FALSE,FALSE)"),261.0)</f>
        <v>261</v>
      </c>
      <c r="L783" s="5" t="str">
        <f>IFERROR(__xludf.DUMMYFUNCTION("""COMPUTED_VALUE"""),"Trois couleurs: Rouge")</f>
        <v>Trois couleurs: Rouge</v>
      </c>
      <c r="M783" s="5" t="str">
        <f>IFERROR(__xludf.DUMMYFUNCTION("""COMPUTED_VALUE"""),"Mystery")</f>
        <v>Mystery</v>
      </c>
      <c r="N783" s="5">
        <f>IFERROR(__xludf.DUMMYFUNCTION("""COMPUTED_VALUE"""),2.0)</f>
        <v>2</v>
      </c>
      <c r="S783" s="5">
        <f>IFERROR(__xludf.DUMMYFUNCTION("""COMPUTED_VALUE"""),312.0)</f>
        <v>312</v>
      </c>
      <c r="T783" s="5" t="str">
        <f>IFERROR(__xludf.DUMMYFUNCTION("""COMPUTED_VALUE"""),"The Shop Around the Corner")</f>
        <v>The Shop Around the Corner</v>
      </c>
      <c r="U783" s="5" t="str">
        <f>IFERROR(__xludf.DUMMYFUNCTION("""COMPUTED_VALUE"""),"Comedy")</f>
        <v>Comedy</v>
      </c>
      <c r="V783" s="5">
        <f>IFERROR(__xludf.DUMMYFUNCTION("""COMPUTED_VALUE"""),1.0)</f>
        <v>1</v>
      </c>
    </row>
    <row r="784">
      <c r="A784" s="1">
        <v>783.0</v>
      </c>
      <c r="B784" s="1" t="s">
        <v>4595</v>
      </c>
      <c r="C784" s="1" t="s">
        <v>39</v>
      </c>
      <c r="D784" s="1"/>
      <c r="E784" s="1">
        <v>783.0</v>
      </c>
      <c r="F784" s="1" t="s">
        <v>4595</v>
      </c>
      <c r="G784" s="1" t="str">
        <f>IFERROR(__xludf.DUMMYFUNCTION("SPLIT(C784, "", "")"),"Action")</f>
        <v>Action</v>
      </c>
      <c r="H784" s="5" t="str">
        <f>IFERROR(__xludf.DUMMYFUNCTION("""COMPUTED_VALUE"""),"Crime")</f>
        <v>Crime</v>
      </c>
      <c r="I784" s="5" t="str">
        <f>IFERROR(__xludf.DUMMYFUNCTION("""COMPUTED_VALUE"""),"Drama")</f>
        <v>Drama</v>
      </c>
      <c r="J784" s="5" t="str">
        <f>IFERROR(__xludf.DUMMYFUNCTION("""COMPUTED_VALUE"""),"261🤙🏼Trois couleurs: Rouge🤙🏼Romance🤙🏼3")</f>
        <v>261🤙🏼Trois couleurs: Rouge🤙🏼Romance🤙🏼3</v>
      </c>
      <c r="K784" s="5">
        <f>IFERROR(__xludf.DUMMYFUNCTION("SPLiT(J784, ""🤙🏼"",FALSE,FALSE)"),261.0)</f>
        <v>261</v>
      </c>
      <c r="L784" s="5" t="str">
        <f>IFERROR(__xludf.DUMMYFUNCTION("""COMPUTED_VALUE"""),"Trois couleurs: Rouge")</f>
        <v>Trois couleurs: Rouge</v>
      </c>
      <c r="M784" s="5" t="str">
        <f>IFERROR(__xludf.DUMMYFUNCTION("""COMPUTED_VALUE"""),"Romance")</f>
        <v>Romance</v>
      </c>
      <c r="N784" s="5">
        <f>IFERROR(__xludf.DUMMYFUNCTION("""COMPUTED_VALUE"""),3.0)</f>
        <v>3</v>
      </c>
      <c r="S784" s="5">
        <f>IFERROR(__xludf.DUMMYFUNCTION("""COMPUTED_VALUE"""),312.0)</f>
        <v>312</v>
      </c>
      <c r="T784" s="5" t="str">
        <f>IFERROR(__xludf.DUMMYFUNCTION("""COMPUTED_VALUE"""),"The Shop Around the Corner")</f>
        <v>The Shop Around the Corner</v>
      </c>
      <c r="U784" s="5" t="str">
        <f>IFERROR(__xludf.DUMMYFUNCTION("""COMPUTED_VALUE"""),"Drama")</f>
        <v>Drama</v>
      </c>
      <c r="V784" s="5">
        <f>IFERROR(__xludf.DUMMYFUNCTION("""COMPUTED_VALUE"""),2.0)</f>
        <v>2</v>
      </c>
    </row>
    <row r="785">
      <c r="A785" s="1">
        <v>784.0</v>
      </c>
      <c r="B785" s="1" t="s">
        <v>4599</v>
      </c>
      <c r="C785" s="1" t="s">
        <v>1384</v>
      </c>
      <c r="D785" s="1"/>
      <c r="E785" s="1">
        <v>784.0</v>
      </c>
      <c r="F785" s="1" t="s">
        <v>4599</v>
      </c>
      <c r="G785" s="1" t="str">
        <f>IFERROR(__xludf.DUMMYFUNCTION("SPLIT(C785, "", "")"),"Animation")</f>
        <v>Animation</v>
      </c>
      <c r="H785" s="5" t="str">
        <f>IFERROR(__xludf.DUMMYFUNCTION("""COMPUTED_VALUE"""),"Drama")</f>
        <v>Drama</v>
      </c>
      <c r="I785" s="5" t="str">
        <f>IFERROR(__xludf.DUMMYFUNCTION("""COMPUTED_VALUE"""),"Family")</f>
        <v>Family</v>
      </c>
      <c r="J785" s="5" t="str">
        <f>IFERROR(__xludf.DUMMYFUNCTION("""COMPUTED_VALUE"""),"262🤙🏼Chung Hing sam lam🤙🏼Comedy🤙🏼1")</f>
        <v>262🤙🏼Chung Hing sam lam🤙🏼Comedy🤙🏼1</v>
      </c>
      <c r="K785" s="5">
        <f>IFERROR(__xludf.DUMMYFUNCTION("SPLiT(J785, ""🤙🏼"",FALSE,FALSE)"),262.0)</f>
        <v>262</v>
      </c>
      <c r="L785" s="5" t="str">
        <f>IFERROR(__xludf.DUMMYFUNCTION("""COMPUTED_VALUE"""),"Chung Hing sam lam")</f>
        <v>Chung Hing sam lam</v>
      </c>
      <c r="M785" s="5" t="str">
        <f>IFERROR(__xludf.DUMMYFUNCTION("""COMPUTED_VALUE"""),"Comedy")</f>
        <v>Comedy</v>
      </c>
      <c r="N785" s="5">
        <f>IFERROR(__xludf.DUMMYFUNCTION("""COMPUTED_VALUE"""),1.0)</f>
        <v>1</v>
      </c>
      <c r="S785" s="5">
        <f>IFERROR(__xludf.DUMMYFUNCTION("""COMPUTED_VALUE"""),312.0)</f>
        <v>312</v>
      </c>
      <c r="T785" s="5" t="str">
        <f>IFERROR(__xludf.DUMMYFUNCTION("""COMPUTED_VALUE"""),"The Shop Around the Corner")</f>
        <v>The Shop Around the Corner</v>
      </c>
      <c r="U785" s="5" t="str">
        <f>IFERROR(__xludf.DUMMYFUNCTION("""COMPUTED_VALUE"""),"Romance")</f>
        <v>Romance</v>
      </c>
      <c r="V785" s="5">
        <f>IFERROR(__xludf.DUMMYFUNCTION("""COMPUTED_VALUE"""),3.0)</f>
        <v>3</v>
      </c>
    </row>
    <row r="786">
      <c r="A786" s="1">
        <v>785.0</v>
      </c>
      <c r="B786" s="1" t="s">
        <v>4604</v>
      </c>
      <c r="C786" s="1" t="s">
        <v>956</v>
      </c>
      <c r="D786" s="1"/>
      <c r="E786" s="1">
        <v>785.0</v>
      </c>
      <c r="F786" s="1" t="s">
        <v>4604</v>
      </c>
      <c r="G786" s="1" t="str">
        <f>IFERROR(__xludf.DUMMYFUNCTION("SPLIT(C786, "", "")"),"Action")</f>
        <v>Action</v>
      </c>
      <c r="H786" s="5" t="str">
        <f>IFERROR(__xludf.DUMMYFUNCTION("""COMPUTED_VALUE"""),"Drama")</f>
        <v>Drama</v>
      </c>
      <c r="J786" s="5" t="str">
        <f>IFERROR(__xludf.DUMMYFUNCTION("""COMPUTED_VALUE"""),"262🤙🏼Chung Hing sam lam🤙🏼Crime🤙🏼2")</f>
        <v>262🤙🏼Chung Hing sam lam🤙🏼Crime🤙🏼2</v>
      </c>
      <c r="K786" s="5">
        <f>IFERROR(__xludf.DUMMYFUNCTION("SPLiT(J786, ""🤙🏼"",FALSE,FALSE)"),262.0)</f>
        <v>262</v>
      </c>
      <c r="L786" s="5" t="str">
        <f>IFERROR(__xludf.DUMMYFUNCTION("""COMPUTED_VALUE"""),"Chung Hing sam lam")</f>
        <v>Chung Hing sam lam</v>
      </c>
      <c r="M786" s="5" t="str">
        <f>IFERROR(__xludf.DUMMYFUNCTION("""COMPUTED_VALUE"""),"Crime")</f>
        <v>Crime</v>
      </c>
      <c r="N786" s="5">
        <f>IFERROR(__xludf.DUMMYFUNCTION("""COMPUTED_VALUE"""),2.0)</f>
        <v>2</v>
      </c>
      <c r="S786" s="5">
        <f>IFERROR(__xludf.DUMMYFUNCTION("""COMPUTED_VALUE"""),313.0)</f>
        <v>313</v>
      </c>
      <c r="T786" s="5" t="str">
        <f>IFERROR(__xludf.DUMMYFUNCTION("""COMPUTED_VALUE"""),"Rebecca")</f>
        <v>Rebecca</v>
      </c>
      <c r="U786" s="5" t="str">
        <f>IFERROR(__xludf.DUMMYFUNCTION("""COMPUTED_VALUE"""),"Drama")</f>
        <v>Drama</v>
      </c>
      <c r="V786" s="5">
        <f>IFERROR(__xludf.DUMMYFUNCTION("""COMPUTED_VALUE"""),1.0)</f>
        <v>1</v>
      </c>
    </row>
    <row r="787">
      <c r="A787" s="1">
        <v>786.0</v>
      </c>
      <c r="B787" s="1" t="s">
        <v>4608</v>
      </c>
      <c r="C787" s="1" t="s">
        <v>20</v>
      </c>
      <c r="D787" s="1"/>
      <c r="E787" s="1">
        <v>786.0</v>
      </c>
      <c r="F787" s="1" t="s">
        <v>4608</v>
      </c>
      <c r="G787" s="1" t="str">
        <f>IFERROR(__xludf.DUMMYFUNCTION("SPLIT(C787, "", "")"),"Drama")</f>
        <v>Drama</v>
      </c>
      <c r="J787" s="5" t="str">
        <f>IFERROR(__xludf.DUMMYFUNCTION("""COMPUTED_VALUE"""),"262🤙🏼Chung Hing sam lam🤙🏼Drama🤙🏼3")</f>
        <v>262🤙🏼Chung Hing sam lam🤙🏼Drama🤙🏼3</v>
      </c>
      <c r="K787" s="5">
        <f>IFERROR(__xludf.DUMMYFUNCTION("SPLiT(J787, ""🤙🏼"",FALSE,FALSE)"),262.0)</f>
        <v>262</v>
      </c>
      <c r="L787" s="5" t="str">
        <f>IFERROR(__xludf.DUMMYFUNCTION("""COMPUTED_VALUE"""),"Chung Hing sam lam")</f>
        <v>Chung Hing sam lam</v>
      </c>
      <c r="M787" s="5" t="str">
        <f>IFERROR(__xludf.DUMMYFUNCTION("""COMPUTED_VALUE"""),"Drama")</f>
        <v>Drama</v>
      </c>
      <c r="N787" s="5">
        <f>IFERROR(__xludf.DUMMYFUNCTION("""COMPUTED_VALUE"""),3.0)</f>
        <v>3</v>
      </c>
      <c r="S787" s="5">
        <f>IFERROR(__xludf.DUMMYFUNCTION("""COMPUTED_VALUE"""),313.0)</f>
        <v>313</v>
      </c>
      <c r="T787" s="5" t="str">
        <f>IFERROR(__xludf.DUMMYFUNCTION("""COMPUTED_VALUE"""),"Rebecca")</f>
        <v>Rebecca</v>
      </c>
      <c r="U787" s="5" t="str">
        <f>IFERROR(__xludf.DUMMYFUNCTION("""COMPUTED_VALUE"""),"Mystery")</f>
        <v>Mystery</v>
      </c>
      <c r="V787" s="5">
        <f>IFERROR(__xludf.DUMMYFUNCTION("""COMPUTED_VALUE"""),2.0)</f>
        <v>2</v>
      </c>
    </row>
    <row r="788">
      <c r="A788" s="1">
        <v>787.0</v>
      </c>
      <c r="B788" s="1" t="s">
        <v>4615</v>
      </c>
      <c r="C788" s="1" t="s">
        <v>227</v>
      </c>
      <c r="D788" s="1"/>
      <c r="E788" s="1">
        <v>787.0</v>
      </c>
      <c r="F788" s="1" t="s">
        <v>4615</v>
      </c>
      <c r="G788" s="1" t="str">
        <f>IFERROR(__xludf.DUMMYFUNCTION("SPLIT(C788, "", "")"),"Comedy")</f>
        <v>Comedy</v>
      </c>
      <c r="H788" s="5" t="str">
        <f>IFERROR(__xludf.DUMMYFUNCTION("""COMPUTED_VALUE"""),"Drama")</f>
        <v>Drama</v>
      </c>
      <c r="I788" s="5" t="str">
        <f>IFERROR(__xludf.DUMMYFUNCTION("""COMPUTED_VALUE"""),"Romance")</f>
        <v>Romance</v>
      </c>
      <c r="J788" s="5" t="str">
        <f>IFERROR(__xludf.DUMMYFUNCTION("""COMPUTED_VALUE"""),"263🤙🏼Jurassic Park🤙🏼Action🤙🏼1")</f>
        <v>263🤙🏼Jurassic Park🤙🏼Action🤙🏼1</v>
      </c>
      <c r="K788" s="5">
        <f>IFERROR(__xludf.DUMMYFUNCTION("SPLiT(J788, ""🤙🏼"",FALSE,FALSE)"),263.0)</f>
        <v>263</v>
      </c>
      <c r="L788" s="5" t="str">
        <f>IFERROR(__xludf.DUMMYFUNCTION("""COMPUTED_VALUE"""),"Jurassic Park")</f>
        <v>Jurassic Park</v>
      </c>
      <c r="M788" s="5" t="str">
        <f>IFERROR(__xludf.DUMMYFUNCTION("""COMPUTED_VALUE"""),"Action")</f>
        <v>Action</v>
      </c>
      <c r="N788" s="5">
        <f>IFERROR(__xludf.DUMMYFUNCTION("""COMPUTED_VALUE"""),1.0)</f>
        <v>1</v>
      </c>
      <c r="S788" s="5">
        <f>IFERROR(__xludf.DUMMYFUNCTION("""COMPUTED_VALUE"""),313.0)</f>
        <v>313</v>
      </c>
      <c r="T788" s="5" t="str">
        <f>IFERROR(__xludf.DUMMYFUNCTION("""COMPUTED_VALUE"""),"Rebecca")</f>
        <v>Rebecca</v>
      </c>
      <c r="U788" s="5" t="str">
        <f>IFERROR(__xludf.DUMMYFUNCTION("""COMPUTED_VALUE"""),"Romance")</f>
        <v>Romance</v>
      </c>
      <c r="V788" s="5">
        <f>IFERROR(__xludf.DUMMYFUNCTION("""COMPUTED_VALUE"""),3.0)</f>
        <v>3</v>
      </c>
    </row>
    <row r="789">
      <c r="A789" s="1">
        <v>788.0</v>
      </c>
      <c r="B789" s="1" t="s">
        <v>4621</v>
      </c>
      <c r="C789" s="1" t="s">
        <v>20</v>
      </c>
      <c r="D789" s="1"/>
      <c r="E789" s="1">
        <v>788.0</v>
      </c>
      <c r="F789" s="1" t="s">
        <v>4621</v>
      </c>
      <c r="G789" s="1" t="str">
        <f>IFERROR(__xludf.DUMMYFUNCTION("SPLIT(C789, "", "")"),"Drama")</f>
        <v>Drama</v>
      </c>
      <c r="J789" s="5" t="str">
        <f>IFERROR(__xludf.DUMMYFUNCTION("""COMPUTED_VALUE"""),"263🤙🏼Jurassic Park🤙🏼Adventure🤙🏼2")</f>
        <v>263🤙🏼Jurassic Park🤙🏼Adventure🤙🏼2</v>
      </c>
      <c r="K789" s="5">
        <f>IFERROR(__xludf.DUMMYFUNCTION("SPLiT(J789, ""🤙🏼"",FALSE,FALSE)"),263.0)</f>
        <v>263</v>
      </c>
      <c r="L789" s="5" t="str">
        <f>IFERROR(__xludf.DUMMYFUNCTION("""COMPUTED_VALUE"""),"Jurassic Park")</f>
        <v>Jurassic Park</v>
      </c>
      <c r="M789" s="5" t="str">
        <f>IFERROR(__xludf.DUMMYFUNCTION("""COMPUTED_VALUE"""),"Adventure")</f>
        <v>Adventure</v>
      </c>
      <c r="N789" s="5">
        <f>IFERROR(__xludf.DUMMYFUNCTION("""COMPUTED_VALUE"""),2.0)</f>
        <v>2</v>
      </c>
      <c r="S789" s="5">
        <f>IFERROR(__xludf.DUMMYFUNCTION("""COMPUTED_VALUE"""),314.0)</f>
        <v>314</v>
      </c>
      <c r="T789" s="5" t="str">
        <f>IFERROR(__xludf.DUMMYFUNCTION("""COMPUTED_VALUE"""),"Mr. Smith Goes to Washington")</f>
        <v>Mr. Smith Goes to Washington</v>
      </c>
      <c r="U789" s="5" t="str">
        <f>IFERROR(__xludf.DUMMYFUNCTION("""COMPUTED_VALUE"""),"Comedy")</f>
        <v>Comedy</v>
      </c>
      <c r="V789" s="5">
        <f>IFERROR(__xludf.DUMMYFUNCTION("""COMPUTED_VALUE"""),1.0)</f>
        <v>1</v>
      </c>
    </row>
    <row r="790">
      <c r="A790" s="1">
        <v>789.0</v>
      </c>
      <c r="B790" s="1" t="s">
        <v>4624</v>
      </c>
      <c r="C790" s="1" t="s">
        <v>20</v>
      </c>
      <c r="D790" s="1"/>
      <c r="E790" s="1">
        <v>789.0</v>
      </c>
      <c r="F790" s="1" t="s">
        <v>4624</v>
      </c>
      <c r="G790" s="1" t="str">
        <f>IFERROR(__xludf.DUMMYFUNCTION("SPLIT(C790, "", "")"),"Drama")</f>
        <v>Drama</v>
      </c>
      <c r="J790" s="5" t="str">
        <f>IFERROR(__xludf.DUMMYFUNCTION("""COMPUTED_VALUE"""),"263🤙🏼Jurassic Park🤙🏼Sci-Fi🤙🏼3")</f>
        <v>263🤙🏼Jurassic Park🤙🏼Sci-Fi🤙🏼3</v>
      </c>
      <c r="K790" s="5">
        <f>IFERROR(__xludf.DUMMYFUNCTION("SPLiT(J790, ""🤙🏼"",FALSE,FALSE)"),263.0)</f>
        <v>263</v>
      </c>
      <c r="L790" s="5" t="str">
        <f>IFERROR(__xludf.DUMMYFUNCTION("""COMPUTED_VALUE"""),"Jurassic Park")</f>
        <v>Jurassic Park</v>
      </c>
      <c r="M790" s="5" t="str">
        <f>IFERROR(__xludf.DUMMYFUNCTION("""COMPUTED_VALUE"""),"Sci-Fi")</f>
        <v>Sci-Fi</v>
      </c>
      <c r="N790" s="5">
        <f>IFERROR(__xludf.DUMMYFUNCTION("""COMPUTED_VALUE"""),3.0)</f>
        <v>3</v>
      </c>
      <c r="S790" s="5">
        <f>IFERROR(__xludf.DUMMYFUNCTION("""COMPUTED_VALUE"""),314.0)</f>
        <v>314</v>
      </c>
      <c r="T790" s="5" t="str">
        <f>IFERROR(__xludf.DUMMYFUNCTION("""COMPUTED_VALUE"""),"Mr. Smith Goes to Washington")</f>
        <v>Mr. Smith Goes to Washington</v>
      </c>
      <c r="U790" s="5" t="str">
        <f>IFERROR(__xludf.DUMMYFUNCTION("""COMPUTED_VALUE"""),"Drama")</f>
        <v>Drama</v>
      </c>
      <c r="V790" s="5">
        <f>IFERROR(__xludf.DUMMYFUNCTION("""COMPUTED_VALUE"""),2.0)</f>
        <v>2</v>
      </c>
    </row>
    <row r="791">
      <c r="A791" s="1">
        <v>790.0</v>
      </c>
      <c r="B791" s="1" t="s">
        <v>4627</v>
      </c>
      <c r="C791" s="1" t="s">
        <v>507</v>
      </c>
      <c r="D791" s="1"/>
      <c r="E791" s="1">
        <v>790.0</v>
      </c>
      <c r="F791" s="1" t="s">
        <v>4627</v>
      </c>
      <c r="G791" s="1" t="str">
        <f>IFERROR(__xludf.DUMMYFUNCTION("SPLIT(C791, "", "")"),"Comedy")</f>
        <v>Comedy</v>
      </c>
      <c r="H791" s="5" t="str">
        <f>IFERROR(__xludf.DUMMYFUNCTION("""COMPUTED_VALUE"""),"Drama")</f>
        <v>Drama</v>
      </c>
      <c r="J791" s="5" t="str">
        <f>IFERROR(__xludf.DUMMYFUNCTION("""COMPUTED_VALUE"""),"264🤙🏼In the Name of the Father🤙🏼Biography🤙🏼1")</f>
        <v>264🤙🏼In the Name of the Father🤙🏼Biography🤙🏼1</v>
      </c>
      <c r="K791" s="5">
        <f>IFERROR(__xludf.DUMMYFUNCTION("SPLiT(J791, ""🤙🏼"",FALSE,FALSE)"),264.0)</f>
        <v>264</v>
      </c>
      <c r="L791" s="5" t="str">
        <f>IFERROR(__xludf.DUMMYFUNCTION("""COMPUTED_VALUE"""),"In the Name of the Father")</f>
        <v>In the Name of the Father</v>
      </c>
      <c r="M791" s="5" t="str">
        <f>IFERROR(__xludf.DUMMYFUNCTION("""COMPUTED_VALUE"""),"Biography")</f>
        <v>Biography</v>
      </c>
      <c r="N791" s="5">
        <f>IFERROR(__xludf.DUMMYFUNCTION("""COMPUTED_VALUE"""),1.0)</f>
        <v>1</v>
      </c>
      <c r="S791" s="5">
        <f>IFERROR(__xludf.DUMMYFUNCTION("""COMPUTED_VALUE"""),315.0)</f>
        <v>315</v>
      </c>
      <c r="T791" s="5" t="str">
        <f>IFERROR(__xludf.DUMMYFUNCTION("""COMPUTED_VALUE"""),"Gone with the Wind")</f>
        <v>Gone with the Wind</v>
      </c>
      <c r="U791" s="5" t="str">
        <f>IFERROR(__xludf.DUMMYFUNCTION("""COMPUTED_VALUE"""),"Drama")</f>
        <v>Drama</v>
      </c>
      <c r="V791" s="5">
        <f>IFERROR(__xludf.DUMMYFUNCTION("""COMPUTED_VALUE"""),1.0)</f>
        <v>1</v>
      </c>
    </row>
    <row r="792">
      <c r="A792" s="1">
        <v>791.0</v>
      </c>
      <c r="B792" s="1" t="s">
        <v>4630</v>
      </c>
      <c r="C792" s="1" t="s">
        <v>2661</v>
      </c>
      <c r="D792" s="1"/>
      <c r="E792" s="1">
        <v>791.0</v>
      </c>
      <c r="F792" s="1" t="s">
        <v>4630</v>
      </c>
      <c r="G792" s="1" t="str">
        <f>IFERROR(__xludf.DUMMYFUNCTION("SPLIT(C792, "", "")"),"Drama")</f>
        <v>Drama</v>
      </c>
      <c r="H792" s="5" t="str">
        <f>IFERROR(__xludf.DUMMYFUNCTION("""COMPUTED_VALUE"""),"History")</f>
        <v>History</v>
      </c>
      <c r="I792" s="5" t="str">
        <f>IFERROR(__xludf.DUMMYFUNCTION("""COMPUTED_VALUE"""),"War")</f>
        <v>War</v>
      </c>
      <c r="J792" s="5" t="str">
        <f>IFERROR(__xludf.DUMMYFUNCTION("""COMPUTED_VALUE"""),"264🤙🏼In the Name of the Father🤙🏼Crime🤙🏼2")</f>
        <v>264🤙🏼In the Name of the Father🤙🏼Crime🤙🏼2</v>
      </c>
      <c r="K792" s="5">
        <f>IFERROR(__xludf.DUMMYFUNCTION("SPLiT(J792, ""🤙🏼"",FALSE,FALSE)"),264.0)</f>
        <v>264</v>
      </c>
      <c r="L792" s="5" t="str">
        <f>IFERROR(__xludf.DUMMYFUNCTION("""COMPUTED_VALUE"""),"In the Name of the Father")</f>
        <v>In the Name of the Father</v>
      </c>
      <c r="M792" s="5" t="str">
        <f>IFERROR(__xludf.DUMMYFUNCTION("""COMPUTED_VALUE"""),"Crime")</f>
        <v>Crime</v>
      </c>
      <c r="N792" s="5">
        <f>IFERROR(__xludf.DUMMYFUNCTION("""COMPUTED_VALUE"""),2.0)</f>
        <v>2</v>
      </c>
      <c r="S792" s="5">
        <f>IFERROR(__xludf.DUMMYFUNCTION("""COMPUTED_VALUE"""),315.0)</f>
        <v>315</v>
      </c>
      <c r="T792" s="5" t="str">
        <f>IFERROR(__xludf.DUMMYFUNCTION("""COMPUTED_VALUE"""),"Gone with the Wind")</f>
        <v>Gone with the Wind</v>
      </c>
      <c r="U792" s="5" t="str">
        <f>IFERROR(__xludf.DUMMYFUNCTION("""COMPUTED_VALUE"""),"History")</f>
        <v>History</v>
      </c>
      <c r="V792" s="5">
        <f>IFERROR(__xludf.DUMMYFUNCTION("""COMPUTED_VALUE"""),2.0)</f>
        <v>2</v>
      </c>
    </row>
    <row r="793">
      <c r="A793" s="1">
        <v>792.0</v>
      </c>
      <c r="B793" s="1" t="s">
        <v>4632</v>
      </c>
      <c r="C793" s="1" t="s">
        <v>241</v>
      </c>
      <c r="D793" s="1"/>
      <c r="E793" s="1">
        <v>792.0</v>
      </c>
      <c r="F793" s="1" t="s">
        <v>4632</v>
      </c>
      <c r="G793" s="1" t="str">
        <f>IFERROR(__xludf.DUMMYFUNCTION("SPLIT(C793, "", "")"),"Crime")</f>
        <v>Crime</v>
      </c>
      <c r="H793" s="5" t="str">
        <f>IFERROR(__xludf.DUMMYFUNCTION("""COMPUTED_VALUE"""),"Drama")</f>
        <v>Drama</v>
      </c>
      <c r="I793" s="5" t="str">
        <f>IFERROR(__xludf.DUMMYFUNCTION("""COMPUTED_VALUE"""),"Thriller")</f>
        <v>Thriller</v>
      </c>
      <c r="J793" s="5" t="str">
        <f>IFERROR(__xludf.DUMMYFUNCTION("""COMPUTED_VALUE"""),"264🤙🏼In the Name of the Father🤙🏼Drama🤙🏼3")</f>
        <v>264🤙🏼In the Name of the Father🤙🏼Drama🤙🏼3</v>
      </c>
      <c r="K793" s="5">
        <f>IFERROR(__xludf.DUMMYFUNCTION("SPLiT(J793, ""🤙🏼"",FALSE,FALSE)"),264.0)</f>
        <v>264</v>
      </c>
      <c r="L793" s="5" t="str">
        <f>IFERROR(__xludf.DUMMYFUNCTION("""COMPUTED_VALUE"""),"In the Name of the Father")</f>
        <v>In the Name of the Father</v>
      </c>
      <c r="M793" s="5" t="str">
        <f>IFERROR(__xludf.DUMMYFUNCTION("""COMPUTED_VALUE"""),"Drama")</f>
        <v>Drama</v>
      </c>
      <c r="N793" s="5">
        <f>IFERROR(__xludf.DUMMYFUNCTION("""COMPUTED_VALUE"""),3.0)</f>
        <v>3</v>
      </c>
      <c r="S793" s="5">
        <f>IFERROR(__xludf.DUMMYFUNCTION("""COMPUTED_VALUE"""),315.0)</f>
        <v>315</v>
      </c>
      <c r="T793" s="5" t="str">
        <f>IFERROR(__xludf.DUMMYFUNCTION("""COMPUTED_VALUE"""),"Gone with the Wind")</f>
        <v>Gone with the Wind</v>
      </c>
      <c r="U793" s="5" t="str">
        <f>IFERROR(__xludf.DUMMYFUNCTION("""COMPUTED_VALUE"""),"Romance")</f>
        <v>Romance</v>
      </c>
      <c r="V793" s="5">
        <f>IFERROR(__xludf.DUMMYFUNCTION("""COMPUTED_VALUE"""),3.0)</f>
        <v>3</v>
      </c>
    </row>
    <row r="794">
      <c r="A794" s="1">
        <v>793.0</v>
      </c>
      <c r="B794" s="1" t="s">
        <v>4637</v>
      </c>
      <c r="C794" s="1" t="s">
        <v>1377</v>
      </c>
      <c r="D794" s="1"/>
      <c r="E794" s="1">
        <v>793.0</v>
      </c>
      <c r="F794" s="1" t="s">
        <v>4637</v>
      </c>
      <c r="G794" s="1" t="str">
        <f>IFERROR(__xludf.DUMMYFUNCTION("SPLIT(C794, "", "")"),"Drama")</f>
        <v>Drama</v>
      </c>
      <c r="H794" s="5" t="str">
        <f>IFERROR(__xludf.DUMMYFUNCTION("""COMPUTED_VALUE"""),"Thriller")</f>
        <v>Thriller</v>
      </c>
      <c r="J794" s="5" t="str">
        <f>IFERROR(__xludf.DUMMYFUNCTION("""COMPUTED_VALUE"""),"265🤙🏼Ba wang bie ji🤙🏼Drama🤙🏼1")</f>
        <v>265🤙🏼Ba wang bie ji🤙🏼Drama🤙🏼1</v>
      </c>
      <c r="K794" s="5">
        <f>IFERROR(__xludf.DUMMYFUNCTION("SPLiT(J794, ""🤙🏼"",FALSE,FALSE)"),265.0)</f>
        <v>265</v>
      </c>
      <c r="L794" s="5" t="str">
        <f>IFERROR(__xludf.DUMMYFUNCTION("""COMPUTED_VALUE"""),"Ba wang bie ji")</f>
        <v>Ba wang bie ji</v>
      </c>
      <c r="M794" s="5" t="str">
        <f>IFERROR(__xludf.DUMMYFUNCTION("""COMPUTED_VALUE"""),"Drama")</f>
        <v>Drama</v>
      </c>
      <c r="N794" s="5">
        <f>IFERROR(__xludf.DUMMYFUNCTION("""COMPUTED_VALUE"""),1.0)</f>
        <v>1</v>
      </c>
      <c r="S794" s="5">
        <f>IFERROR(__xludf.DUMMYFUNCTION("""COMPUTED_VALUE"""),316.0)</f>
        <v>316</v>
      </c>
      <c r="T794" s="5" t="str">
        <f>IFERROR(__xludf.DUMMYFUNCTION("""COMPUTED_VALUE"""),"La Grande Illusion")</f>
        <v>La Grande Illusion</v>
      </c>
      <c r="U794" s="5" t="str">
        <f>IFERROR(__xludf.DUMMYFUNCTION("""COMPUTED_VALUE"""),"Drama")</f>
        <v>Drama</v>
      </c>
      <c r="V794" s="5">
        <f>IFERROR(__xludf.DUMMYFUNCTION("""COMPUTED_VALUE"""),1.0)</f>
        <v>1</v>
      </c>
    </row>
    <row r="795">
      <c r="A795" s="1">
        <v>794.0</v>
      </c>
      <c r="B795" s="1" t="s">
        <v>4642</v>
      </c>
      <c r="C795" s="1" t="s">
        <v>287</v>
      </c>
      <c r="D795" s="1"/>
      <c r="E795" s="1">
        <v>794.0</v>
      </c>
      <c r="F795" s="1" t="s">
        <v>4642</v>
      </c>
      <c r="G795" s="1" t="str">
        <f>IFERROR(__xludf.DUMMYFUNCTION("SPLIT(C795, "", "")"),"Drama")</f>
        <v>Drama</v>
      </c>
      <c r="H795" s="5" t="str">
        <f>IFERROR(__xludf.DUMMYFUNCTION("""COMPUTED_VALUE"""),"Music")</f>
        <v>Music</v>
      </c>
      <c r="J795" s="5" t="str">
        <f>IFERROR(__xludf.DUMMYFUNCTION("""COMPUTED_VALUE"""),"265🤙🏼Ba wang bie ji🤙🏼Music🤙🏼2")</f>
        <v>265🤙🏼Ba wang bie ji🤙🏼Music🤙🏼2</v>
      </c>
      <c r="K795" s="5">
        <f>IFERROR(__xludf.DUMMYFUNCTION("SPLiT(J795, ""🤙🏼"",FALSE,FALSE)"),265.0)</f>
        <v>265</v>
      </c>
      <c r="L795" s="5" t="str">
        <f>IFERROR(__xludf.DUMMYFUNCTION("""COMPUTED_VALUE"""),"Ba wang bie ji")</f>
        <v>Ba wang bie ji</v>
      </c>
      <c r="M795" s="5" t="str">
        <f>IFERROR(__xludf.DUMMYFUNCTION("""COMPUTED_VALUE"""),"Music")</f>
        <v>Music</v>
      </c>
      <c r="N795" s="5">
        <f>IFERROR(__xludf.DUMMYFUNCTION("""COMPUTED_VALUE"""),2.0)</f>
        <v>2</v>
      </c>
      <c r="S795" s="5">
        <f>IFERROR(__xludf.DUMMYFUNCTION("""COMPUTED_VALUE"""),316.0)</f>
        <v>316</v>
      </c>
      <c r="T795" s="5" t="str">
        <f>IFERROR(__xludf.DUMMYFUNCTION("""COMPUTED_VALUE"""),"La Grande Illusion")</f>
        <v>La Grande Illusion</v>
      </c>
      <c r="U795" s="5" t="str">
        <f>IFERROR(__xludf.DUMMYFUNCTION("""COMPUTED_VALUE"""),"War")</f>
        <v>War</v>
      </c>
      <c r="V795" s="5">
        <f>IFERROR(__xludf.DUMMYFUNCTION("""COMPUTED_VALUE"""),2.0)</f>
        <v>2</v>
      </c>
    </row>
    <row r="796">
      <c r="A796" s="1">
        <v>795.0</v>
      </c>
      <c r="B796" s="1" t="s">
        <v>4649</v>
      </c>
      <c r="C796" s="1" t="s">
        <v>2173</v>
      </c>
      <c r="D796" s="1"/>
      <c r="E796" s="1">
        <v>795.0</v>
      </c>
      <c r="F796" s="1" t="s">
        <v>4649</v>
      </c>
      <c r="G796" s="1" t="str">
        <f>IFERROR(__xludf.DUMMYFUNCTION("SPLIT(C796, "", "")"),"Comedy")</f>
        <v>Comedy</v>
      </c>
      <c r="H796" s="5" t="str">
        <f>IFERROR(__xludf.DUMMYFUNCTION("""COMPUTED_VALUE"""),"Drama")</f>
        <v>Drama</v>
      </c>
      <c r="I796" s="5" t="str">
        <f>IFERROR(__xludf.DUMMYFUNCTION("""COMPUTED_VALUE"""),"Music")</f>
        <v>Music</v>
      </c>
      <c r="J796" s="5" t="str">
        <f>IFERROR(__xludf.DUMMYFUNCTION("""COMPUTED_VALUE"""),"265🤙🏼Ba wang bie ji🤙🏼Romance🤙🏼3")</f>
        <v>265🤙🏼Ba wang bie ji🤙🏼Romance🤙🏼3</v>
      </c>
      <c r="K796" s="5">
        <f>IFERROR(__xludf.DUMMYFUNCTION("SPLiT(J796, ""🤙🏼"",FALSE,FALSE)"),265.0)</f>
        <v>265</v>
      </c>
      <c r="L796" s="5" t="str">
        <f>IFERROR(__xludf.DUMMYFUNCTION("""COMPUTED_VALUE"""),"Ba wang bie ji")</f>
        <v>Ba wang bie ji</v>
      </c>
      <c r="M796" s="5" t="str">
        <f>IFERROR(__xludf.DUMMYFUNCTION("""COMPUTED_VALUE"""),"Romance")</f>
        <v>Romance</v>
      </c>
      <c r="N796" s="5">
        <f>IFERROR(__xludf.DUMMYFUNCTION("""COMPUTED_VALUE"""),3.0)</f>
        <v>3</v>
      </c>
      <c r="S796" s="5">
        <f>IFERROR(__xludf.DUMMYFUNCTION("""COMPUTED_VALUE"""),317.0)</f>
        <v>317</v>
      </c>
      <c r="T796" s="5" t="str">
        <f>IFERROR(__xludf.DUMMYFUNCTION("""COMPUTED_VALUE"""),"It Happened One Night")</f>
        <v>It Happened One Night</v>
      </c>
      <c r="U796" s="5" t="str">
        <f>IFERROR(__xludf.DUMMYFUNCTION("""COMPUTED_VALUE"""),"Comedy")</f>
        <v>Comedy</v>
      </c>
      <c r="V796" s="5">
        <f>IFERROR(__xludf.DUMMYFUNCTION("""COMPUTED_VALUE"""),1.0)</f>
        <v>1</v>
      </c>
    </row>
    <row r="797">
      <c r="A797" s="1">
        <v>796.0</v>
      </c>
      <c r="B797" s="1" t="s">
        <v>4655</v>
      </c>
      <c r="C797" s="1" t="s">
        <v>1320</v>
      </c>
      <c r="D797" s="1"/>
      <c r="E797" s="1">
        <v>796.0</v>
      </c>
      <c r="F797" s="1" t="s">
        <v>4655</v>
      </c>
      <c r="G797" s="1" t="str">
        <f>IFERROR(__xludf.DUMMYFUNCTION("SPLIT(C797, "", "")"),"Crime")</f>
        <v>Crime</v>
      </c>
      <c r="H797" s="5" t="str">
        <f>IFERROR(__xludf.DUMMYFUNCTION("""COMPUTED_VALUE"""),"Thriller")</f>
        <v>Thriller</v>
      </c>
      <c r="J797" s="5" t="str">
        <f>IFERROR(__xludf.DUMMYFUNCTION("""COMPUTED_VALUE"""),"266🤙🏼Dà hóng denglong gaogao guà🤙🏼Drama🤙🏼1")</f>
        <v>266🤙🏼Dà hóng denglong gaogao guà🤙🏼Drama🤙🏼1</v>
      </c>
      <c r="K797" s="5">
        <f>IFERROR(__xludf.DUMMYFUNCTION("SPLiT(J797, ""🤙🏼"",FALSE,FALSE)"),266.0)</f>
        <v>266</v>
      </c>
      <c r="L797" s="5" t="str">
        <f>IFERROR(__xludf.DUMMYFUNCTION("""COMPUTED_VALUE"""),"Dà hóng denglong gaogao guà")</f>
        <v>Dà hóng denglong gaogao guà</v>
      </c>
      <c r="M797" s="5" t="str">
        <f>IFERROR(__xludf.DUMMYFUNCTION("""COMPUTED_VALUE"""),"Drama")</f>
        <v>Drama</v>
      </c>
      <c r="N797" s="5">
        <f>IFERROR(__xludf.DUMMYFUNCTION("""COMPUTED_VALUE"""),1.0)</f>
        <v>1</v>
      </c>
      <c r="S797" s="5">
        <f>IFERROR(__xludf.DUMMYFUNCTION("""COMPUTED_VALUE"""),317.0)</f>
        <v>317</v>
      </c>
      <c r="T797" s="5" t="str">
        <f>IFERROR(__xludf.DUMMYFUNCTION("""COMPUTED_VALUE"""),"It Happened One Night")</f>
        <v>It Happened One Night</v>
      </c>
      <c r="U797" s="5" t="str">
        <f>IFERROR(__xludf.DUMMYFUNCTION("""COMPUTED_VALUE"""),"Romance")</f>
        <v>Romance</v>
      </c>
      <c r="V797" s="5">
        <f>IFERROR(__xludf.DUMMYFUNCTION("""COMPUTED_VALUE"""),2.0)</f>
        <v>2</v>
      </c>
    </row>
    <row r="798">
      <c r="A798" s="1">
        <v>797.0</v>
      </c>
      <c r="B798" s="1" t="s">
        <v>4658</v>
      </c>
      <c r="C798" s="1" t="s">
        <v>4659</v>
      </c>
      <c r="D798" s="1"/>
      <c r="E798" s="1">
        <v>797.0</v>
      </c>
      <c r="F798" s="1" t="s">
        <v>4658</v>
      </c>
      <c r="G798" s="1" t="str">
        <f>IFERROR(__xludf.DUMMYFUNCTION("SPLIT(C798, "", "")"),"Animation")</f>
        <v>Animation</v>
      </c>
      <c r="H798" s="5" t="str">
        <f>IFERROR(__xludf.DUMMYFUNCTION("""COMPUTED_VALUE"""),"Action")</f>
        <v>Action</v>
      </c>
      <c r="I798" s="5" t="str">
        <f>IFERROR(__xludf.DUMMYFUNCTION("""COMPUTED_VALUE"""),"Fantasy")</f>
        <v>Fantasy</v>
      </c>
      <c r="J798" s="5" t="str">
        <f>IFERROR(__xludf.DUMMYFUNCTION("""COMPUTED_VALUE"""),"266🤙🏼Dà hóng denglong gaogao guà🤙🏼History🤙🏼2")</f>
        <v>266🤙🏼Dà hóng denglong gaogao guà🤙🏼History🤙🏼2</v>
      </c>
      <c r="K798" s="5">
        <f>IFERROR(__xludf.DUMMYFUNCTION("SPLiT(J798, ""🤙🏼"",FALSE,FALSE)"),266.0)</f>
        <v>266</v>
      </c>
      <c r="L798" s="5" t="str">
        <f>IFERROR(__xludf.DUMMYFUNCTION("""COMPUTED_VALUE"""),"Dà hóng denglong gaogao guà")</f>
        <v>Dà hóng denglong gaogao guà</v>
      </c>
      <c r="M798" s="5" t="str">
        <f>IFERROR(__xludf.DUMMYFUNCTION("""COMPUTED_VALUE"""),"History")</f>
        <v>History</v>
      </c>
      <c r="N798" s="5">
        <f>IFERROR(__xludf.DUMMYFUNCTION("""COMPUTED_VALUE"""),2.0)</f>
        <v>2</v>
      </c>
      <c r="S798" s="5">
        <f>IFERROR(__xludf.DUMMYFUNCTION("""COMPUTED_VALUE"""),318.0)</f>
        <v>318</v>
      </c>
      <c r="T798" s="5" t="str">
        <f>IFERROR(__xludf.DUMMYFUNCTION("""COMPUTED_VALUE"""),"La passion de Jeanne d'Arc")</f>
        <v>La passion de Jeanne d'Arc</v>
      </c>
      <c r="U798" s="5" t="str">
        <f>IFERROR(__xludf.DUMMYFUNCTION("""COMPUTED_VALUE"""),"Biography")</f>
        <v>Biography</v>
      </c>
      <c r="V798" s="5">
        <f>IFERROR(__xludf.DUMMYFUNCTION("""COMPUTED_VALUE"""),1.0)</f>
        <v>1</v>
      </c>
    </row>
    <row r="799">
      <c r="A799" s="1">
        <v>798.0</v>
      </c>
      <c r="B799" s="1" t="s">
        <v>4665</v>
      </c>
      <c r="C799" s="1" t="s">
        <v>1466</v>
      </c>
      <c r="D799" s="1"/>
      <c r="E799" s="1">
        <v>798.0</v>
      </c>
      <c r="F799" s="1" t="s">
        <v>4665</v>
      </c>
      <c r="G799" s="1" t="str">
        <f>IFERROR(__xludf.DUMMYFUNCTION("SPLIT(C799, "", "")"),"Adventure")</f>
        <v>Adventure</v>
      </c>
      <c r="H799" s="5" t="str">
        <f>IFERROR(__xludf.DUMMYFUNCTION("""COMPUTED_VALUE"""),"Comedy")</f>
        <v>Comedy</v>
      </c>
      <c r="I799" s="5" t="str">
        <f>IFERROR(__xludf.DUMMYFUNCTION("""COMPUTED_VALUE"""),"Crime")</f>
        <v>Crime</v>
      </c>
      <c r="J799" s="5" t="str">
        <f>IFERROR(__xludf.DUMMYFUNCTION("""COMPUTED_VALUE"""),"266🤙🏼Dà hóng denglong gaogao guà🤙🏼Romance🤙🏼3")</f>
        <v>266🤙🏼Dà hóng denglong gaogao guà🤙🏼Romance🤙🏼3</v>
      </c>
      <c r="K799" s="5">
        <f>IFERROR(__xludf.DUMMYFUNCTION("SPLiT(J799, ""🤙🏼"",FALSE,FALSE)"),266.0)</f>
        <v>266</v>
      </c>
      <c r="L799" s="5" t="str">
        <f>IFERROR(__xludf.DUMMYFUNCTION("""COMPUTED_VALUE"""),"Dà hóng denglong gaogao guà")</f>
        <v>Dà hóng denglong gaogao guà</v>
      </c>
      <c r="M799" s="5" t="str">
        <f>IFERROR(__xludf.DUMMYFUNCTION("""COMPUTED_VALUE"""),"Romance")</f>
        <v>Romance</v>
      </c>
      <c r="N799" s="5">
        <f>IFERROR(__xludf.DUMMYFUNCTION("""COMPUTED_VALUE"""),3.0)</f>
        <v>3</v>
      </c>
      <c r="S799" s="5">
        <f>IFERROR(__xludf.DUMMYFUNCTION("""COMPUTED_VALUE"""),318.0)</f>
        <v>318</v>
      </c>
      <c r="T799" s="5" t="str">
        <f>IFERROR(__xludf.DUMMYFUNCTION("""COMPUTED_VALUE"""),"La passion de Jeanne d'Arc")</f>
        <v>La passion de Jeanne d'Arc</v>
      </c>
      <c r="U799" s="5" t="str">
        <f>IFERROR(__xludf.DUMMYFUNCTION("""COMPUTED_VALUE"""),"Drama")</f>
        <v>Drama</v>
      </c>
      <c r="V799" s="5">
        <f>IFERROR(__xludf.DUMMYFUNCTION("""COMPUTED_VALUE"""),2.0)</f>
        <v>2</v>
      </c>
    </row>
    <row r="800">
      <c r="A800" s="1">
        <v>799.0</v>
      </c>
      <c r="B800" s="1" t="s">
        <v>4669</v>
      </c>
      <c r="C800" s="1" t="s">
        <v>1004</v>
      </c>
      <c r="D800" s="1"/>
      <c r="E800" s="1">
        <v>799.0</v>
      </c>
      <c r="F800" s="1" t="s">
        <v>4669</v>
      </c>
      <c r="G800" s="1" t="str">
        <f>IFERROR(__xludf.DUMMYFUNCTION("SPLIT(C800, "", "")"),"Adventure")</f>
        <v>Adventure</v>
      </c>
      <c r="H800" s="5" t="str">
        <f>IFERROR(__xludf.DUMMYFUNCTION("""COMPUTED_VALUE"""),"Comedy")</f>
        <v>Comedy</v>
      </c>
      <c r="I800" s="5" t="str">
        <f>IFERROR(__xludf.DUMMYFUNCTION("""COMPUTED_VALUE"""),"Drama")</f>
        <v>Drama</v>
      </c>
      <c r="J800" s="5" t="str">
        <f>IFERROR(__xludf.DUMMYFUNCTION("""COMPUTED_VALUE"""),"267🤙🏼Dead Poets Society🤙🏼Comedy🤙🏼1")</f>
        <v>267🤙🏼Dead Poets Society🤙🏼Comedy🤙🏼1</v>
      </c>
      <c r="K800" s="5">
        <f>IFERROR(__xludf.DUMMYFUNCTION("SPLiT(J800, ""🤙🏼"",FALSE,FALSE)"),267.0)</f>
        <v>267</v>
      </c>
      <c r="L800" s="5" t="str">
        <f>IFERROR(__xludf.DUMMYFUNCTION("""COMPUTED_VALUE"""),"Dead Poets Society")</f>
        <v>Dead Poets Society</v>
      </c>
      <c r="M800" s="5" t="str">
        <f>IFERROR(__xludf.DUMMYFUNCTION("""COMPUTED_VALUE"""),"Comedy")</f>
        <v>Comedy</v>
      </c>
      <c r="N800" s="5">
        <f>IFERROR(__xludf.DUMMYFUNCTION("""COMPUTED_VALUE"""),1.0)</f>
        <v>1</v>
      </c>
      <c r="S800" s="5">
        <f>IFERROR(__xludf.DUMMYFUNCTION("""COMPUTED_VALUE"""),318.0)</f>
        <v>318</v>
      </c>
      <c r="T800" s="5" t="str">
        <f>IFERROR(__xludf.DUMMYFUNCTION("""COMPUTED_VALUE"""),"La passion de Jeanne d'Arc")</f>
        <v>La passion de Jeanne d'Arc</v>
      </c>
      <c r="U800" s="5" t="str">
        <f>IFERROR(__xludf.DUMMYFUNCTION("""COMPUTED_VALUE"""),"History")</f>
        <v>History</v>
      </c>
      <c r="V800" s="5">
        <f>IFERROR(__xludf.DUMMYFUNCTION("""COMPUTED_VALUE"""),3.0)</f>
        <v>3</v>
      </c>
    </row>
    <row r="801">
      <c r="A801" s="1">
        <v>800.0</v>
      </c>
      <c r="B801" s="1" t="s">
        <v>4673</v>
      </c>
      <c r="C801" s="1" t="s">
        <v>4674</v>
      </c>
      <c r="D801" s="1"/>
      <c r="E801" s="1">
        <v>800.0</v>
      </c>
      <c r="F801" s="1" t="s">
        <v>4673</v>
      </c>
      <c r="G801" s="1" t="str">
        <f>IFERROR(__xludf.DUMMYFUNCTION("SPLIT(C801, "", "")"),"Animation")</f>
        <v>Animation</v>
      </c>
      <c r="H801" s="5" t="str">
        <f>IFERROR(__xludf.DUMMYFUNCTION("""COMPUTED_VALUE"""),"Comedy")</f>
        <v>Comedy</v>
      </c>
      <c r="I801" s="5" t="str">
        <f>IFERROR(__xludf.DUMMYFUNCTION("""COMPUTED_VALUE"""),"Fantasy")</f>
        <v>Fantasy</v>
      </c>
      <c r="J801" s="5" t="str">
        <f>IFERROR(__xludf.DUMMYFUNCTION("""COMPUTED_VALUE"""),"267🤙🏼Dead Poets Society🤙🏼Drama🤙🏼2")</f>
        <v>267🤙🏼Dead Poets Society🤙🏼Drama🤙🏼2</v>
      </c>
      <c r="K801" s="5">
        <f>IFERROR(__xludf.DUMMYFUNCTION("SPLiT(J801, ""🤙🏼"",FALSE,FALSE)"),267.0)</f>
        <v>267</v>
      </c>
      <c r="L801" s="5" t="str">
        <f>IFERROR(__xludf.DUMMYFUNCTION("""COMPUTED_VALUE"""),"Dead Poets Society")</f>
        <v>Dead Poets Society</v>
      </c>
      <c r="M801" s="5" t="str">
        <f>IFERROR(__xludf.DUMMYFUNCTION("""COMPUTED_VALUE"""),"Drama")</f>
        <v>Drama</v>
      </c>
      <c r="N801" s="5">
        <f>IFERROR(__xludf.DUMMYFUNCTION("""COMPUTED_VALUE"""),2.0)</f>
        <v>2</v>
      </c>
      <c r="S801" s="5">
        <f>IFERROR(__xludf.DUMMYFUNCTION("""COMPUTED_VALUE"""),319.0)</f>
        <v>319</v>
      </c>
      <c r="T801" s="5" t="str">
        <f>IFERROR(__xludf.DUMMYFUNCTION("""COMPUTED_VALUE"""),"The Circus")</f>
        <v>The Circus</v>
      </c>
      <c r="U801" s="5" t="str">
        <f>IFERROR(__xludf.DUMMYFUNCTION("""COMPUTED_VALUE"""),"Comedy")</f>
        <v>Comedy</v>
      </c>
      <c r="V801" s="5">
        <f>IFERROR(__xludf.DUMMYFUNCTION("""COMPUTED_VALUE"""),1.0)</f>
        <v>1</v>
      </c>
    </row>
    <row r="802">
      <c r="A802" s="1">
        <v>801.0</v>
      </c>
      <c r="B802" s="1" t="s">
        <v>4680</v>
      </c>
      <c r="C802" s="1" t="s">
        <v>602</v>
      </c>
      <c r="D802" s="1"/>
      <c r="E802" s="1">
        <v>801.0</v>
      </c>
      <c r="F802" s="1" t="s">
        <v>4680</v>
      </c>
      <c r="G802" s="1" t="str">
        <f>IFERROR(__xludf.DUMMYFUNCTION("SPLIT(C802, "", "")"),"Comedy")</f>
        <v>Comedy</v>
      </c>
      <c r="J802" s="5" t="str">
        <f>IFERROR(__xludf.DUMMYFUNCTION("""COMPUTED_VALUE"""),"267🤙🏼Dead Poets Society🤙🏼🤙🏼3")</f>
        <v>267🤙🏼Dead Poets Society🤙🏼🤙🏼3</v>
      </c>
      <c r="K802" s="5">
        <f>IFERROR(__xludf.DUMMYFUNCTION("SPLiT(J802, ""🤙🏼"",FALSE,FALSE)"),267.0)</f>
        <v>267</v>
      </c>
      <c r="L802" s="5" t="str">
        <f>IFERROR(__xludf.DUMMYFUNCTION("""COMPUTED_VALUE"""),"Dead Poets Society")</f>
        <v>Dead Poets Society</v>
      </c>
      <c r="M802" s="5"/>
      <c r="N802" s="5">
        <f>IFERROR(__xludf.DUMMYFUNCTION("""COMPUTED_VALUE"""),3.0)</f>
        <v>3</v>
      </c>
      <c r="S802" s="5">
        <f>IFERROR(__xludf.DUMMYFUNCTION("""COMPUTED_VALUE"""),319.0)</f>
        <v>319</v>
      </c>
      <c r="T802" s="5" t="str">
        <f>IFERROR(__xludf.DUMMYFUNCTION("""COMPUTED_VALUE"""),"The Circus")</f>
        <v>The Circus</v>
      </c>
      <c r="U802" s="5" t="str">
        <f>IFERROR(__xludf.DUMMYFUNCTION("""COMPUTED_VALUE"""),"Romance")</f>
        <v>Romance</v>
      </c>
      <c r="V802" s="5">
        <f>IFERROR(__xludf.DUMMYFUNCTION("""COMPUTED_VALUE"""),2.0)</f>
        <v>2</v>
      </c>
    </row>
    <row r="803">
      <c r="A803" s="1">
        <v>802.0</v>
      </c>
      <c r="B803" s="1" t="s">
        <v>4686</v>
      </c>
      <c r="C803" s="1" t="s">
        <v>507</v>
      </c>
      <c r="D803" s="1"/>
      <c r="E803" s="1">
        <v>802.0</v>
      </c>
      <c r="F803" s="1" t="s">
        <v>4686</v>
      </c>
      <c r="G803" s="1" t="str">
        <f>IFERROR(__xludf.DUMMYFUNCTION("SPLIT(C803, "", "")"),"Comedy")</f>
        <v>Comedy</v>
      </c>
      <c r="H803" s="5" t="str">
        <f>IFERROR(__xludf.DUMMYFUNCTION("""COMPUTED_VALUE"""),"Drama")</f>
        <v>Drama</v>
      </c>
      <c r="J803" s="5" t="str">
        <f>IFERROR(__xludf.DUMMYFUNCTION("""COMPUTED_VALUE"""),"268🤙🏼Stand by Me🤙🏼Adventure🤙🏼1")</f>
        <v>268🤙🏼Stand by Me🤙🏼Adventure🤙🏼1</v>
      </c>
      <c r="K803" s="5">
        <f>IFERROR(__xludf.DUMMYFUNCTION("SPLiT(J803, ""🤙🏼"",FALSE,FALSE)"),268.0)</f>
        <v>268</v>
      </c>
      <c r="L803" s="5" t="str">
        <f>IFERROR(__xludf.DUMMYFUNCTION("""COMPUTED_VALUE"""),"Stand by Me")</f>
        <v>Stand by Me</v>
      </c>
      <c r="M803" s="5" t="str">
        <f>IFERROR(__xludf.DUMMYFUNCTION("""COMPUTED_VALUE"""),"Adventure")</f>
        <v>Adventure</v>
      </c>
      <c r="N803" s="5">
        <f>IFERROR(__xludf.DUMMYFUNCTION("""COMPUTED_VALUE"""),1.0)</f>
        <v>1</v>
      </c>
      <c r="S803" s="5">
        <f>IFERROR(__xludf.DUMMYFUNCTION("""COMPUTED_VALUE"""),320.0)</f>
        <v>320</v>
      </c>
      <c r="T803" s="5" t="str">
        <f>IFERROR(__xludf.DUMMYFUNCTION("""COMPUTED_VALUE"""),"Sunrise: A Song of Two Humans")</f>
        <v>Sunrise: A Song of Two Humans</v>
      </c>
      <c r="U803" s="5" t="str">
        <f>IFERROR(__xludf.DUMMYFUNCTION("""COMPUTED_VALUE"""),"Drama")</f>
        <v>Drama</v>
      </c>
      <c r="V803" s="5">
        <f>IFERROR(__xludf.DUMMYFUNCTION("""COMPUTED_VALUE"""),1.0)</f>
        <v>1</v>
      </c>
    </row>
    <row r="804">
      <c r="A804" s="1">
        <v>803.0</v>
      </c>
      <c r="B804" s="1" t="s">
        <v>4692</v>
      </c>
      <c r="C804" s="1" t="s">
        <v>241</v>
      </c>
      <c r="D804" s="1"/>
      <c r="E804" s="1">
        <v>803.0</v>
      </c>
      <c r="F804" s="1" t="s">
        <v>4692</v>
      </c>
      <c r="G804" s="1" t="str">
        <f>IFERROR(__xludf.DUMMYFUNCTION("SPLIT(C804, "", "")"),"Crime")</f>
        <v>Crime</v>
      </c>
      <c r="H804" s="5" t="str">
        <f>IFERROR(__xludf.DUMMYFUNCTION("""COMPUTED_VALUE"""),"Drama")</f>
        <v>Drama</v>
      </c>
      <c r="I804" s="5" t="str">
        <f>IFERROR(__xludf.DUMMYFUNCTION("""COMPUTED_VALUE"""),"Thriller")</f>
        <v>Thriller</v>
      </c>
      <c r="J804" s="5" t="str">
        <f>IFERROR(__xludf.DUMMYFUNCTION("""COMPUTED_VALUE"""),"268🤙🏼Stand by Me🤙🏼Drama🤙🏼2")</f>
        <v>268🤙🏼Stand by Me🤙🏼Drama🤙🏼2</v>
      </c>
      <c r="K804" s="5">
        <f>IFERROR(__xludf.DUMMYFUNCTION("SPLiT(J804, ""🤙🏼"",FALSE,FALSE)"),268.0)</f>
        <v>268</v>
      </c>
      <c r="L804" s="5" t="str">
        <f>IFERROR(__xludf.DUMMYFUNCTION("""COMPUTED_VALUE"""),"Stand by Me")</f>
        <v>Stand by Me</v>
      </c>
      <c r="M804" s="5" t="str">
        <f>IFERROR(__xludf.DUMMYFUNCTION("""COMPUTED_VALUE"""),"Drama")</f>
        <v>Drama</v>
      </c>
      <c r="N804" s="5">
        <f>IFERROR(__xludf.DUMMYFUNCTION("""COMPUTED_VALUE"""),2.0)</f>
        <v>2</v>
      </c>
      <c r="S804" s="5">
        <f>IFERROR(__xludf.DUMMYFUNCTION("""COMPUTED_VALUE"""),320.0)</f>
        <v>320</v>
      </c>
      <c r="T804" s="5" t="str">
        <f>IFERROR(__xludf.DUMMYFUNCTION("""COMPUTED_VALUE"""),"Sunrise: A Song of Two Humans")</f>
        <v>Sunrise: A Song of Two Humans</v>
      </c>
      <c r="U804" s="5" t="str">
        <f>IFERROR(__xludf.DUMMYFUNCTION("""COMPUTED_VALUE"""),"Romance")</f>
        <v>Romance</v>
      </c>
      <c r="V804" s="5">
        <f>IFERROR(__xludf.DUMMYFUNCTION("""COMPUTED_VALUE"""),2.0)</f>
        <v>2</v>
      </c>
    </row>
    <row r="805">
      <c r="A805" s="1">
        <v>804.0</v>
      </c>
      <c r="B805" s="1" t="s">
        <v>4695</v>
      </c>
      <c r="C805" s="1" t="s">
        <v>227</v>
      </c>
      <c r="D805" s="1"/>
      <c r="E805" s="1">
        <v>804.0</v>
      </c>
      <c r="F805" s="1" t="s">
        <v>4695</v>
      </c>
      <c r="G805" s="1" t="str">
        <f>IFERROR(__xludf.DUMMYFUNCTION("SPLIT(C805, "", "")"),"Comedy")</f>
        <v>Comedy</v>
      </c>
      <c r="H805" s="5" t="str">
        <f>IFERROR(__xludf.DUMMYFUNCTION("""COMPUTED_VALUE"""),"Drama")</f>
        <v>Drama</v>
      </c>
      <c r="I805" s="5" t="str">
        <f>IFERROR(__xludf.DUMMYFUNCTION("""COMPUTED_VALUE"""),"Romance")</f>
        <v>Romance</v>
      </c>
      <c r="J805" s="5" t="str">
        <f>IFERROR(__xludf.DUMMYFUNCTION("""COMPUTED_VALUE"""),"268🤙🏼Stand by Me🤙🏼🤙🏼3")</f>
        <v>268🤙🏼Stand by Me🤙🏼🤙🏼3</v>
      </c>
      <c r="K805" s="5">
        <f>IFERROR(__xludf.DUMMYFUNCTION("SPLiT(J805, ""🤙🏼"",FALSE,FALSE)"),268.0)</f>
        <v>268</v>
      </c>
      <c r="L805" s="5" t="str">
        <f>IFERROR(__xludf.DUMMYFUNCTION("""COMPUTED_VALUE"""),"Stand by Me")</f>
        <v>Stand by Me</v>
      </c>
      <c r="M805" s="5"/>
      <c r="N805" s="5">
        <f>IFERROR(__xludf.DUMMYFUNCTION("""COMPUTED_VALUE"""),3.0)</f>
        <v>3</v>
      </c>
      <c r="S805" s="5">
        <f>IFERROR(__xludf.DUMMYFUNCTION("""COMPUTED_VALUE"""),321.0)</f>
        <v>321</v>
      </c>
      <c r="T805" s="5" t="str">
        <f>IFERROR(__xludf.DUMMYFUNCTION("""COMPUTED_VALUE"""),"The General")</f>
        <v>The General</v>
      </c>
      <c r="U805" s="5" t="str">
        <f>IFERROR(__xludf.DUMMYFUNCTION("""COMPUTED_VALUE"""),"Action")</f>
        <v>Action</v>
      </c>
      <c r="V805" s="5">
        <f>IFERROR(__xludf.DUMMYFUNCTION("""COMPUTED_VALUE"""),1.0)</f>
        <v>1</v>
      </c>
    </row>
    <row r="806">
      <c r="A806" s="1">
        <v>805.0</v>
      </c>
      <c r="B806" s="1" t="s">
        <v>4698</v>
      </c>
      <c r="C806" s="1" t="s">
        <v>304</v>
      </c>
      <c r="D806" s="1"/>
      <c r="E806" s="1">
        <v>805.0</v>
      </c>
      <c r="F806" s="1" t="s">
        <v>4698</v>
      </c>
      <c r="G806" s="1" t="str">
        <f>IFERROR(__xludf.DUMMYFUNCTION("SPLIT(C806, "", "")"),"Drama")</f>
        <v>Drama</v>
      </c>
      <c r="H806" s="5" t="str">
        <f>IFERROR(__xludf.DUMMYFUNCTION("""COMPUTED_VALUE"""),"Mystery")</f>
        <v>Mystery</v>
      </c>
      <c r="I806" s="5" t="str">
        <f>IFERROR(__xludf.DUMMYFUNCTION("""COMPUTED_VALUE"""),"Sci-Fi")</f>
        <v>Sci-Fi</v>
      </c>
      <c r="J806" s="5" t="str">
        <f>IFERROR(__xludf.DUMMYFUNCTION("""COMPUTED_VALUE"""),"269🤙🏼Platoon🤙🏼Drama🤙🏼1")</f>
        <v>269🤙🏼Platoon🤙🏼Drama🤙🏼1</v>
      </c>
      <c r="K806" s="5">
        <f>IFERROR(__xludf.DUMMYFUNCTION("SPLiT(J806, ""🤙🏼"",FALSE,FALSE)"),269.0)</f>
        <v>269</v>
      </c>
      <c r="L806" s="5" t="str">
        <f>IFERROR(__xludf.DUMMYFUNCTION("""COMPUTED_VALUE"""),"Platoon")</f>
        <v>Platoon</v>
      </c>
      <c r="M806" s="5" t="str">
        <f>IFERROR(__xludf.DUMMYFUNCTION("""COMPUTED_VALUE"""),"Drama")</f>
        <v>Drama</v>
      </c>
      <c r="N806" s="5">
        <f>IFERROR(__xludf.DUMMYFUNCTION("""COMPUTED_VALUE"""),1.0)</f>
        <v>1</v>
      </c>
      <c r="S806" s="5">
        <f>IFERROR(__xludf.DUMMYFUNCTION("""COMPUTED_VALUE"""),321.0)</f>
        <v>321</v>
      </c>
      <c r="T806" s="5" t="str">
        <f>IFERROR(__xludf.DUMMYFUNCTION("""COMPUTED_VALUE"""),"The General")</f>
        <v>The General</v>
      </c>
      <c r="U806" s="5" t="str">
        <f>IFERROR(__xludf.DUMMYFUNCTION("""COMPUTED_VALUE"""),"Adventure")</f>
        <v>Adventure</v>
      </c>
      <c r="V806" s="5">
        <f>IFERROR(__xludf.DUMMYFUNCTION("""COMPUTED_VALUE"""),2.0)</f>
        <v>2</v>
      </c>
    </row>
    <row r="807">
      <c r="A807" s="1">
        <v>806.0</v>
      </c>
      <c r="B807" s="1" t="s">
        <v>4704</v>
      </c>
      <c r="C807" s="1" t="s">
        <v>1460</v>
      </c>
      <c r="D807" s="1"/>
      <c r="E807" s="1">
        <v>806.0</v>
      </c>
      <c r="F807" s="1" t="s">
        <v>4704</v>
      </c>
      <c r="G807" s="1" t="str">
        <f>IFERROR(__xludf.DUMMYFUNCTION("SPLIT(C807, "", "")"),"Comedy")</f>
        <v>Comedy</v>
      </c>
      <c r="H807" s="5" t="str">
        <f>IFERROR(__xludf.DUMMYFUNCTION("""COMPUTED_VALUE"""),"Drama")</f>
        <v>Drama</v>
      </c>
      <c r="I807" s="5" t="str">
        <f>IFERROR(__xludf.DUMMYFUNCTION("""COMPUTED_VALUE"""),"Fantasy")</f>
        <v>Fantasy</v>
      </c>
      <c r="J807" s="5" t="str">
        <f>IFERROR(__xludf.DUMMYFUNCTION("""COMPUTED_VALUE"""),"269🤙🏼Platoon🤙🏼War🤙🏼2")</f>
        <v>269🤙🏼Platoon🤙🏼War🤙🏼2</v>
      </c>
      <c r="K807" s="5">
        <f>IFERROR(__xludf.DUMMYFUNCTION("SPLiT(J807, ""🤙🏼"",FALSE,FALSE)"),269.0)</f>
        <v>269</v>
      </c>
      <c r="L807" s="5" t="str">
        <f>IFERROR(__xludf.DUMMYFUNCTION("""COMPUTED_VALUE"""),"Platoon")</f>
        <v>Platoon</v>
      </c>
      <c r="M807" s="5" t="str">
        <f>IFERROR(__xludf.DUMMYFUNCTION("""COMPUTED_VALUE"""),"War")</f>
        <v>War</v>
      </c>
      <c r="N807" s="5">
        <f>IFERROR(__xludf.DUMMYFUNCTION("""COMPUTED_VALUE"""),2.0)</f>
        <v>2</v>
      </c>
      <c r="S807" s="5">
        <f>IFERROR(__xludf.DUMMYFUNCTION("""COMPUTED_VALUE"""),321.0)</f>
        <v>321</v>
      </c>
      <c r="T807" s="5" t="str">
        <f>IFERROR(__xludf.DUMMYFUNCTION("""COMPUTED_VALUE"""),"The General")</f>
        <v>The General</v>
      </c>
      <c r="U807" s="5" t="str">
        <f>IFERROR(__xludf.DUMMYFUNCTION("""COMPUTED_VALUE"""),"Comedy")</f>
        <v>Comedy</v>
      </c>
      <c r="V807" s="5">
        <f>IFERROR(__xludf.DUMMYFUNCTION("""COMPUTED_VALUE"""),3.0)</f>
        <v>3</v>
      </c>
    </row>
    <row r="808">
      <c r="A808" s="1">
        <v>807.0</v>
      </c>
      <c r="B808" s="1" t="s">
        <v>4707</v>
      </c>
      <c r="C808" s="1" t="s">
        <v>227</v>
      </c>
      <c r="D808" s="1"/>
      <c r="E808" s="1">
        <v>807.0</v>
      </c>
      <c r="F808" s="1" t="s">
        <v>4707</v>
      </c>
      <c r="G808" s="1" t="str">
        <f>IFERROR(__xludf.DUMMYFUNCTION("SPLIT(C808, "", "")"),"Comedy")</f>
        <v>Comedy</v>
      </c>
      <c r="H808" s="5" t="str">
        <f>IFERROR(__xludf.DUMMYFUNCTION("""COMPUTED_VALUE"""),"Drama")</f>
        <v>Drama</v>
      </c>
      <c r="I808" s="5" t="str">
        <f>IFERROR(__xludf.DUMMYFUNCTION("""COMPUTED_VALUE"""),"Romance")</f>
        <v>Romance</v>
      </c>
      <c r="J808" s="5" t="str">
        <f>IFERROR(__xludf.DUMMYFUNCTION("""COMPUTED_VALUE"""),"269🤙🏼Platoon🤙🏼🤙🏼3")</f>
        <v>269🤙🏼Platoon🤙🏼🤙🏼3</v>
      </c>
      <c r="K808" s="5">
        <f>IFERROR(__xludf.DUMMYFUNCTION("SPLiT(J808, ""🤙🏼"",FALSE,FALSE)"),269.0)</f>
        <v>269</v>
      </c>
      <c r="L808" s="5" t="str">
        <f>IFERROR(__xludf.DUMMYFUNCTION("""COMPUTED_VALUE"""),"Platoon")</f>
        <v>Platoon</v>
      </c>
      <c r="M808" s="5"/>
      <c r="N808" s="5">
        <f>IFERROR(__xludf.DUMMYFUNCTION("""COMPUTED_VALUE"""),3.0)</f>
        <v>3</v>
      </c>
      <c r="S808" s="5">
        <f>IFERROR(__xludf.DUMMYFUNCTION("""COMPUTED_VALUE"""),322.0)</f>
        <v>322</v>
      </c>
      <c r="T808" s="5" t="str">
        <f>IFERROR(__xludf.DUMMYFUNCTION("""COMPUTED_VALUE"""),"Das Cabinet des Dr. Caligari")</f>
        <v>Das Cabinet des Dr. Caligari</v>
      </c>
      <c r="U808" s="5" t="str">
        <f>IFERROR(__xludf.DUMMYFUNCTION("""COMPUTED_VALUE"""),"Fantasy")</f>
        <v>Fantasy</v>
      </c>
      <c r="V808" s="5">
        <f>IFERROR(__xludf.DUMMYFUNCTION("""COMPUTED_VALUE"""),1.0)</f>
        <v>1</v>
      </c>
    </row>
    <row r="809">
      <c r="A809" s="1">
        <v>808.0</v>
      </c>
      <c r="B809" s="1" t="s">
        <v>4710</v>
      </c>
      <c r="C809" s="1" t="s">
        <v>88</v>
      </c>
      <c r="D809" s="1"/>
      <c r="E809" s="1">
        <v>808.0</v>
      </c>
      <c r="F809" s="1" t="s">
        <v>4710</v>
      </c>
      <c r="G809" s="1" t="str">
        <f>IFERROR(__xludf.DUMMYFUNCTION("SPLIT(C809, "", "")"),"Action")</f>
        <v>Action</v>
      </c>
      <c r="H809" s="5" t="str">
        <f>IFERROR(__xludf.DUMMYFUNCTION("""COMPUTED_VALUE"""),"Adventure")</f>
        <v>Adventure</v>
      </c>
      <c r="I809" s="5" t="str">
        <f>IFERROR(__xludf.DUMMYFUNCTION("""COMPUTED_VALUE"""),"Sci-Fi")</f>
        <v>Sci-Fi</v>
      </c>
      <c r="J809" s="5" t="str">
        <f>IFERROR(__xludf.DUMMYFUNCTION("""COMPUTED_VALUE"""),"270🤙🏼Paris, Texas🤙🏼Drama🤙🏼1")</f>
        <v>270🤙🏼Paris, Texas🤙🏼Drama🤙🏼1</v>
      </c>
      <c r="K809" s="5">
        <f>IFERROR(__xludf.DUMMYFUNCTION("SPLiT(J809, ""🤙🏼"",FALSE,FALSE)"),270.0)</f>
        <v>270</v>
      </c>
      <c r="L809" s="5" t="str">
        <f>IFERROR(__xludf.DUMMYFUNCTION("""COMPUTED_VALUE"""),"Paris, Texas")</f>
        <v>Paris, Texas</v>
      </c>
      <c r="M809" s="5" t="str">
        <f>IFERROR(__xludf.DUMMYFUNCTION("""COMPUTED_VALUE"""),"Drama")</f>
        <v>Drama</v>
      </c>
      <c r="N809" s="5">
        <f>IFERROR(__xludf.DUMMYFUNCTION("""COMPUTED_VALUE"""),1.0)</f>
        <v>1</v>
      </c>
      <c r="S809" s="5">
        <f>IFERROR(__xludf.DUMMYFUNCTION("""COMPUTED_VALUE"""),322.0)</f>
        <v>322</v>
      </c>
      <c r="T809" s="5" t="str">
        <f>IFERROR(__xludf.DUMMYFUNCTION("""COMPUTED_VALUE"""),"Das Cabinet des Dr. Caligari")</f>
        <v>Das Cabinet des Dr. Caligari</v>
      </c>
      <c r="U809" s="5" t="str">
        <f>IFERROR(__xludf.DUMMYFUNCTION("""COMPUTED_VALUE"""),"Horror")</f>
        <v>Horror</v>
      </c>
      <c r="V809" s="5">
        <f>IFERROR(__xludf.DUMMYFUNCTION("""COMPUTED_VALUE"""),2.0)</f>
        <v>2</v>
      </c>
    </row>
    <row r="810">
      <c r="A810" s="1">
        <v>809.0</v>
      </c>
      <c r="B810" s="1" t="s">
        <v>4714</v>
      </c>
      <c r="C810" s="1" t="s">
        <v>602</v>
      </c>
      <c r="D810" s="1"/>
      <c r="E810" s="1">
        <v>809.0</v>
      </c>
      <c r="F810" s="1" t="s">
        <v>4714</v>
      </c>
      <c r="G810" s="1" t="str">
        <f>IFERROR(__xludf.DUMMYFUNCTION("SPLIT(C810, "", "")"),"Comedy")</f>
        <v>Comedy</v>
      </c>
      <c r="J810" s="5" t="str">
        <f>IFERROR(__xludf.DUMMYFUNCTION("""COMPUTED_VALUE"""),"270🤙🏼Paris, Texas🤙🏼🤙🏼2")</f>
        <v>270🤙🏼Paris, Texas🤙🏼🤙🏼2</v>
      </c>
      <c r="K810" s="5">
        <f>IFERROR(__xludf.DUMMYFUNCTION("SPLiT(J810, ""🤙🏼"",FALSE,FALSE)"),270.0)</f>
        <v>270</v>
      </c>
      <c r="L810" s="5" t="str">
        <f>IFERROR(__xludf.DUMMYFUNCTION("""COMPUTED_VALUE"""),"Paris, Texas")</f>
        <v>Paris, Texas</v>
      </c>
      <c r="M810" s="5"/>
      <c r="N810" s="5">
        <f>IFERROR(__xludf.DUMMYFUNCTION("""COMPUTED_VALUE"""),2.0)</f>
        <v>2</v>
      </c>
      <c r="S810" s="5">
        <f>IFERROR(__xludf.DUMMYFUNCTION("""COMPUTED_VALUE"""),322.0)</f>
        <v>322</v>
      </c>
      <c r="T810" s="5" t="str">
        <f>IFERROR(__xludf.DUMMYFUNCTION("""COMPUTED_VALUE"""),"Das Cabinet des Dr. Caligari")</f>
        <v>Das Cabinet des Dr. Caligari</v>
      </c>
      <c r="U810" s="5" t="str">
        <f>IFERROR(__xludf.DUMMYFUNCTION("""COMPUTED_VALUE"""),"Mystery")</f>
        <v>Mystery</v>
      </c>
      <c r="V810" s="5">
        <f>IFERROR(__xludf.DUMMYFUNCTION("""COMPUTED_VALUE"""),3.0)</f>
        <v>3</v>
      </c>
    </row>
    <row r="811">
      <c r="A811" s="1">
        <v>810.0</v>
      </c>
      <c r="B811" s="1" t="s">
        <v>4721</v>
      </c>
      <c r="C811" s="1" t="s">
        <v>137</v>
      </c>
      <c r="D811" s="1"/>
      <c r="E811" s="1">
        <v>810.0</v>
      </c>
      <c r="F811" s="1" t="s">
        <v>4721</v>
      </c>
      <c r="G811" s="1" t="str">
        <f>IFERROR(__xludf.DUMMYFUNCTION("SPLIT(C811, "", "")"),"Biography")</f>
        <v>Biography</v>
      </c>
      <c r="H811" s="5" t="str">
        <f>IFERROR(__xludf.DUMMYFUNCTION("""COMPUTED_VALUE"""),"Crime")</f>
        <v>Crime</v>
      </c>
      <c r="I811" s="5" t="str">
        <f>IFERROR(__xludf.DUMMYFUNCTION("""COMPUTED_VALUE"""),"Drama")</f>
        <v>Drama</v>
      </c>
      <c r="J811" s="5" t="str">
        <f>IFERROR(__xludf.DUMMYFUNCTION("""COMPUTED_VALUE"""),"270🤙🏼Paris, Texas🤙🏼🤙🏼3")</f>
        <v>270🤙🏼Paris, Texas🤙🏼🤙🏼3</v>
      </c>
      <c r="K811" s="5">
        <f>IFERROR(__xludf.DUMMYFUNCTION("SPLiT(J811, ""🤙🏼"",FALSE,FALSE)"),270.0)</f>
        <v>270</v>
      </c>
      <c r="L811" s="5" t="str">
        <f>IFERROR(__xludf.DUMMYFUNCTION("""COMPUTED_VALUE"""),"Paris, Texas")</f>
        <v>Paris, Texas</v>
      </c>
      <c r="M811" s="5"/>
      <c r="N811" s="5">
        <f>IFERROR(__xludf.DUMMYFUNCTION("""COMPUTED_VALUE"""),3.0)</f>
        <v>3</v>
      </c>
      <c r="S811" s="5">
        <f>IFERROR(__xludf.DUMMYFUNCTION("""COMPUTED_VALUE"""),323.0)</f>
        <v>323</v>
      </c>
      <c r="T811" s="5" t="str">
        <f>IFERROR(__xludf.DUMMYFUNCTION("""COMPUTED_VALUE"""),"Badhaai ho")</f>
        <v>Badhaai ho</v>
      </c>
      <c r="U811" s="5" t="str">
        <f>IFERROR(__xludf.DUMMYFUNCTION("""COMPUTED_VALUE"""),"Comedy")</f>
        <v>Comedy</v>
      </c>
      <c r="V811" s="5">
        <f>IFERROR(__xludf.DUMMYFUNCTION("""COMPUTED_VALUE"""),1.0)</f>
        <v>1</v>
      </c>
    </row>
    <row r="812">
      <c r="A812" s="1">
        <v>811.0</v>
      </c>
      <c r="B812" s="1" t="s">
        <v>4724</v>
      </c>
      <c r="C812" s="1" t="s">
        <v>314</v>
      </c>
      <c r="D812" s="1"/>
      <c r="E812" s="1">
        <v>811.0</v>
      </c>
      <c r="F812" s="1" t="s">
        <v>4724</v>
      </c>
      <c r="G812" s="1" t="str">
        <f>IFERROR(__xludf.DUMMYFUNCTION("SPLIT(C812, "", "")"),"Biography")</f>
        <v>Biography</v>
      </c>
      <c r="H812" s="5" t="str">
        <f>IFERROR(__xludf.DUMMYFUNCTION("""COMPUTED_VALUE"""),"Drama")</f>
        <v>Drama</v>
      </c>
      <c r="I812" s="5" t="str">
        <f>IFERROR(__xludf.DUMMYFUNCTION("""COMPUTED_VALUE"""),"Music")</f>
        <v>Music</v>
      </c>
      <c r="J812" s="5" t="str">
        <f>IFERROR(__xludf.DUMMYFUNCTION("""COMPUTED_VALUE"""),"271🤙🏼Kaze no tani no Naushika🤙🏼Animation🤙🏼1")</f>
        <v>271🤙🏼Kaze no tani no Naushika🤙🏼Animation🤙🏼1</v>
      </c>
      <c r="K812" s="5">
        <f>IFERROR(__xludf.DUMMYFUNCTION("SPLiT(J812, ""🤙🏼"",FALSE,FALSE)"),271.0)</f>
        <v>271</v>
      </c>
      <c r="L812" s="5" t="str">
        <f>IFERROR(__xludf.DUMMYFUNCTION("""COMPUTED_VALUE"""),"Kaze no tani no Naushika")</f>
        <v>Kaze no tani no Naushika</v>
      </c>
      <c r="M812" s="5" t="str">
        <f>IFERROR(__xludf.DUMMYFUNCTION("""COMPUTED_VALUE"""),"Animation")</f>
        <v>Animation</v>
      </c>
      <c r="N812" s="5">
        <f>IFERROR(__xludf.DUMMYFUNCTION("""COMPUTED_VALUE"""),1.0)</f>
        <v>1</v>
      </c>
      <c r="S812" s="5">
        <f>IFERROR(__xludf.DUMMYFUNCTION("""COMPUTED_VALUE"""),323.0)</f>
        <v>323</v>
      </c>
      <c r="T812" s="5" t="str">
        <f>IFERROR(__xludf.DUMMYFUNCTION("""COMPUTED_VALUE"""),"Badhaai ho")</f>
        <v>Badhaai ho</v>
      </c>
      <c r="U812" s="5" t="str">
        <f>IFERROR(__xludf.DUMMYFUNCTION("""COMPUTED_VALUE"""),"Drama")</f>
        <v>Drama</v>
      </c>
      <c r="V812" s="5">
        <f>IFERROR(__xludf.DUMMYFUNCTION("""COMPUTED_VALUE"""),2.0)</f>
        <v>2</v>
      </c>
    </row>
    <row r="813">
      <c r="A813" s="1">
        <v>812.0</v>
      </c>
      <c r="B813" s="1" t="s">
        <v>4730</v>
      </c>
      <c r="C813" s="1" t="s">
        <v>235</v>
      </c>
      <c r="D813" s="1"/>
      <c r="E813" s="1">
        <v>812.0</v>
      </c>
      <c r="F813" s="1" t="s">
        <v>4730</v>
      </c>
      <c r="G813" s="1" t="str">
        <f>IFERROR(__xludf.DUMMYFUNCTION("SPLIT(C813, "", "")"),"Crime")</f>
        <v>Crime</v>
      </c>
      <c r="H813" s="5" t="str">
        <f>IFERROR(__xludf.DUMMYFUNCTION("""COMPUTED_VALUE"""),"Drama")</f>
        <v>Drama</v>
      </c>
      <c r="I813" s="5" t="str">
        <f>IFERROR(__xludf.DUMMYFUNCTION("""COMPUTED_VALUE"""),"Mystery")</f>
        <v>Mystery</v>
      </c>
      <c r="J813" s="5" t="str">
        <f>IFERROR(__xludf.DUMMYFUNCTION("""COMPUTED_VALUE"""),"271🤙🏼Kaze no tani no Naushika🤙🏼Adventure🤙🏼2")</f>
        <v>271🤙🏼Kaze no tani no Naushika🤙🏼Adventure🤙🏼2</v>
      </c>
      <c r="K813" s="5">
        <f>IFERROR(__xludf.DUMMYFUNCTION("SPLiT(J813, ""🤙🏼"",FALSE,FALSE)"),271.0)</f>
        <v>271</v>
      </c>
      <c r="L813" s="5" t="str">
        <f>IFERROR(__xludf.DUMMYFUNCTION("""COMPUTED_VALUE"""),"Kaze no tani no Naushika")</f>
        <v>Kaze no tani no Naushika</v>
      </c>
      <c r="M813" s="5" t="str">
        <f>IFERROR(__xludf.DUMMYFUNCTION("""COMPUTED_VALUE"""),"Adventure")</f>
        <v>Adventure</v>
      </c>
      <c r="N813" s="5">
        <f>IFERROR(__xludf.DUMMYFUNCTION("""COMPUTED_VALUE"""),2.0)</f>
        <v>2</v>
      </c>
      <c r="S813" s="5">
        <f>IFERROR(__xludf.DUMMYFUNCTION("""COMPUTED_VALUE"""),324.0)</f>
        <v>324</v>
      </c>
      <c r="T813" s="5" t="str">
        <f>IFERROR(__xludf.DUMMYFUNCTION("""COMPUTED_VALUE"""),"Togo")</f>
        <v>Togo</v>
      </c>
      <c r="U813" s="5" t="str">
        <f>IFERROR(__xludf.DUMMYFUNCTION("""COMPUTED_VALUE"""),"Adventure")</f>
        <v>Adventure</v>
      </c>
      <c r="V813" s="5">
        <f>IFERROR(__xludf.DUMMYFUNCTION("""COMPUTED_VALUE"""),1.0)</f>
        <v>1</v>
      </c>
    </row>
    <row r="814">
      <c r="A814" s="1">
        <v>813.0</v>
      </c>
      <c r="B814" s="1" t="s">
        <v>4734</v>
      </c>
      <c r="C814" s="1" t="s">
        <v>20</v>
      </c>
      <c r="D814" s="1"/>
      <c r="E814" s="1">
        <v>813.0</v>
      </c>
      <c r="F814" s="1" t="s">
        <v>4734</v>
      </c>
      <c r="G814" s="1" t="str">
        <f>IFERROR(__xludf.DUMMYFUNCTION("SPLIT(C814, "", "")"),"Drama")</f>
        <v>Drama</v>
      </c>
      <c r="J814" s="5" t="str">
        <f>IFERROR(__xludf.DUMMYFUNCTION("""COMPUTED_VALUE"""),"271🤙🏼Kaze no tani no Naushika🤙🏼Fantasy🤙🏼3")</f>
        <v>271🤙🏼Kaze no tani no Naushika🤙🏼Fantasy🤙🏼3</v>
      </c>
      <c r="K814" s="5">
        <f>IFERROR(__xludf.DUMMYFUNCTION("SPLiT(J814, ""🤙🏼"",FALSE,FALSE)"),271.0)</f>
        <v>271</v>
      </c>
      <c r="L814" s="5" t="str">
        <f>IFERROR(__xludf.DUMMYFUNCTION("""COMPUTED_VALUE"""),"Kaze no tani no Naushika")</f>
        <v>Kaze no tani no Naushika</v>
      </c>
      <c r="M814" s="5" t="str">
        <f>IFERROR(__xludf.DUMMYFUNCTION("""COMPUTED_VALUE"""),"Fantasy")</f>
        <v>Fantasy</v>
      </c>
      <c r="N814" s="5">
        <f>IFERROR(__xludf.DUMMYFUNCTION("""COMPUTED_VALUE"""),3.0)</f>
        <v>3</v>
      </c>
      <c r="S814" s="5">
        <f>IFERROR(__xludf.DUMMYFUNCTION("""COMPUTED_VALUE"""),324.0)</f>
        <v>324</v>
      </c>
      <c r="T814" s="5" t="str">
        <f>IFERROR(__xludf.DUMMYFUNCTION("""COMPUTED_VALUE"""),"Togo")</f>
        <v>Togo</v>
      </c>
      <c r="U814" s="5" t="str">
        <f>IFERROR(__xludf.DUMMYFUNCTION("""COMPUTED_VALUE"""),"Biography")</f>
        <v>Biography</v>
      </c>
      <c r="V814" s="5">
        <f>IFERROR(__xludf.DUMMYFUNCTION("""COMPUTED_VALUE"""),2.0)</f>
        <v>2</v>
      </c>
    </row>
    <row r="815">
      <c r="A815" s="1">
        <v>814.0</v>
      </c>
      <c r="B815" s="1" t="s">
        <v>4738</v>
      </c>
      <c r="C815" s="1" t="s">
        <v>271</v>
      </c>
      <c r="D815" s="1"/>
      <c r="E815" s="1">
        <v>814.0</v>
      </c>
      <c r="F815" s="1" t="s">
        <v>4738</v>
      </c>
      <c r="G815" s="1" t="str">
        <f>IFERROR(__xludf.DUMMYFUNCTION("SPLIT(C815, "", "")"),"Drama")</f>
        <v>Drama</v>
      </c>
      <c r="H815" s="5" t="str">
        <f>IFERROR(__xludf.DUMMYFUNCTION("""COMPUTED_VALUE"""),"Family")</f>
        <v>Family</v>
      </c>
      <c r="I815" s="5" t="str">
        <f>IFERROR(__xludf.DUMMYFUNCTION("""COMPUTED_VALUE"""),"Fantasy")</f>
        <v>Fantasy</v>
      </c>
      <c r="J815" s="5" t="str">
        <f>IFERROR(__xludf.DUMMYFUNCTION("""COMPUTED_VALUE"""),"272🤙🏼The Thing🤙🏼Horror🤙🏼1")</f>
        <v>272🤙🏼The Thing🤙🏼Horror🤙🏼1</v>
      </c>
      <c r="K815" s="5">
        <f>IFERROR(__xludf.DUMMYFUNCTION("SPLiT(J815, ""🤙🏼"",FALSE,FALSE)"),272.0)</f>
        <v>272</v>
      </c>
      <c r="L815" s="5" t="str">
        <f>IFERROR(__xludf.DUMMYFUNCTION("""COMPUTED_VALUE"""),"The Thing")</f>
        <v>The Thing</v>
      </c>
      <c r="M815" s="5" t="str">
        <f>IFERROR(__xludf.DUMMYFUNCTION("""COMPUTED_VALUE"""),"Horror")</f>
        <v>Horror</v>
      </c>
      <c r="N815" s="5">
        <f>IFERROR(__xludf.DUMMYFUNCTION("""COMPUTED_VALUE"""),1.0)</f>
        <v>1</v>
      </c>
      <c r="S815" s="5">
        <f>IFERROR(__xludf.DUMMYFUNCTION("""COMPUTED_VALUE"""),324.0)</f>
        <v>324</v>
      </c>
      <c r="T815" s="5" t="str">
        <f>IFERROR(__xludf.DUMMYFUNCTION("""COMPUTED_VALUE"""),"Togo")</f>
        <v>Togo</v>
      </c>
      <c r="U815" s="5" t="str">
        <f>IFERROR(__xludf.DUMMYFUNCTION("""COMPUTED_VALUE"""),"Drama")</f>
        <v>Drama</v>
      </c>
      <c r="V815" s="5">
        <f>IFERROR(__xludf.DUMMYFUNCTION("""COMPUTED_VALUE"""),3.0)</f>
        <v>3</v>
      </c>
    </row>
    <row r="816">
      <c r="A816" s="1">
        <v>815.0</v>
      </c>
      <c r="B816" s="1" t="s">
        <v>4744</v>
      </c>
      <c r="C816" s="1" t="s">
        <v>831</v>
      </c>
      <c r="D816" s="1"/>
      <c r="E816" s="1">
        <v>815.0</v>
      </c>
      <c r="F816" s="1" t="s">
        <v>4744</v>
      </c>
      <c r="G816" s="1" t="str">
        <f>IFERROR(__xludf.DUMMYFUNCTION("SPLIT(C816, "", "")"),"Comedy")</f>
        <v>Comedy</v>
      </c>
      <c r="H816" s="5" t="str">
        <f>IFERROR(__xludf.DUMMYFUNCTION("""COMPUTED_VALUE"""),"Crime")</f>
        <v>Crime</v>
      </c>
      <c r="I816" s="5" t="str">
        <f>IFERROR(__xludf.DUMMYFUNCTION("""COMPUTED_VALUE"""),"Drama")</f>
        <v>Drama</v>
      </c>
      <c r="J816" s="5" t="str">
        <f>IFERROR(__xludf.DUMMYFUNCTION("""COMPUTED_VALUE"""),"272🤙🏼The Thing🤙🏼Mystery🤙🏼2")</f>
        <v>272🤙🏼The Thing🤙🏼Mystery🤙🏼2</v>
      </c>
      <c r="K816" s="5">
        <f>IFERROR(__xludf.DUMMYFUNCTION("SPLiT(J816, ""🤙🏼"",FALSE,FALSE)"),272.0)</f>
        <v>272</v>
      </c>
      <c r="L816" s="5" t="str">
        <f>IFERROR(__xludf.DUMMYFUNCTION("""COMPUTED_VALUE"""),"The Thing")</f>
        <v>The Thing</v>
      </c>
      <c r="M816" s="5" t="str">
        <f>IFERROR(__xludf.DUMMYFUNCTION("""COMPUTED_VALUE"""),"Mystery")</f>
        <v>Mystery</v>
      </c>
      <c r="N816" s="5">
        <f>IFERROR(__xludf.DUMMYFUNCTION("""COMPUTED_VALUE"""),2.0)</f>
        <v>2</v>
      </c>
      <c r="S816" s="5">
        <f>IFERROR(__xludf.DUMMYFUNCTION("""COMPUTED_VALUE"""),325.0)</f>
        <v>325</v>
      </c>
      <c r="T816" s="5" t="str">
        <f>IFERROR(__xludf.DUMMYFUNCTION("""COMPUTED_VALUE"""),"Airlift")</f>
        <v>Airlift</v>
      </c>
      <c r="U816" s="5" t="str">
        <f>IFERROR(__xludf.DUMMYFUNCTION("""COMPUTED_VALUE"""),"Drama")</f>
        <v>Drama</v>
      </c>
      <c r="V816" s="5">
        <f>IFERROR(__xludf.DUMMYFUNCTION("""COMPUTED_VALUE"""),1.0)</f>
        <v>1</v>
      </c>
    </row>
    <row r="817">
      <c r="A817" s="1">
        <v>816.0</v>
      </c>
      <c r="B817" s="1" t="s">
        <v>4749</v>
      </c>
      <c r="C817" s="1" t="s">
        <v>296</v>
      </c>
      <c r="D817" s="1"/>
      <c r="E817" s="1">
        <v>816.0</v>
      </c>
      <c r="F817" s="1" t="s">
        <v>4749</v>
      </c>
      <c r="G817" s="1" t="str">
        <f>IFERROR(__xludf.DUMMYFUNCTION("SPLIT(C817, "", "")"),"Biography")</f>
        <v>Biography</v>
      </c>
      <c r="H817" s="5" t="str">
        <f>IFERROR(__xludf.DUMMYFUNCTION("""COMPUTED_VALUE"""),"Comedy")</f>
        <v>Comedy</v>
      </c>
      <c r="I817" s="5" t="str">
        <f>IFERROR(__xludf.DUMMYFUNCTION("""COMPUTED_VALUE"""),"Drama")</f>
        <v>Drama</v>
      </c>
      <c r="J817" s="5" t="str">
        <f>IFERROR(__xludf.DUMMYFUNCTION("""COMPUTED_VALUE"""),"272🤙🏼The Thing🤙🏼Sci-Fi🤙🏼3")</f>
        <v>272🤙🏼The Thing🤙🏼Sci-Fi🤙🏼3</v>
      </c>
      <c r="K817" s="5">
        <f>IFERROR(__xludf.DUMMYFUNCTION("SPLiT(J817, ""🤙🏼"",FALSE,FALSE)"),272.0)</f>
        <v>272</v>
      </c>
      <c r="L817" s="5" t="str">
        <f>IFERROR(__xludf.DUMMYFUNCTION("""COMPUTED_VALUE"""),"The Thing")</f>
        <v>The Thing</v>
      </c>
      <c r="M817" s="5" t="str">
        <f>IFERROR(__xludf.DUMMYFUNCTION("""COMPUTED_VALUE"""),"Sci-Fi")</f>
        <v>Sci-Fi</v>
      </c>
      <c r="N817" s="5">
        <f>IFERROR(__xludf.DUMMYFUNCTION("""COMPUTED_VALUE"""),3.0)</f>
        <v>3</v>
      </c>
      <c r="S817" s="5">
        <f>IFERROR(__xludf.DUMMYFUNCTION("""COMPUTED_VALUE"""),325.0)</f>
        <v>325</v>
      </c>
      <c r="T817" s="5" t="str">
        <f>IFERROR(__xludf.DUMMYFUNCTION("""COMPUTED_VALUE"""),"Airlift")</f>
        <v>Airlift</v>
      </c>
      <c r="U817" s="5" t="str">
        <f>IFERROR(__xludf.DUMMYFUNCTION("""COMPUTED_VALUE"""),"History")</f>
        <v>History</v>
      </c>
      <c r="V817" s="5">
        <f>IFERROR(__xludf.DUMMYFUNCTION("""COMPUTED_VALUE"""),2.0)</f>
        <v>2</v>
      </c>
    </row>
    <row r="818">
      <c r="A818" s="1">
        <v>817.0</v>
      </c>
      <c r="B818" s="1" t="s">
        <v>4754</v>
      </c>
      <c r="C818" s="1" t="s">
        <v>602</v>
      </c>
      <c r="D818" s="1"/>
      <c r="E818" s="1">
        <v>817.0</v>
      </c>
      <c r="F818" s="1" t="s">
        <v>4754</v>
      </c>
      <c r="G818" s="1" t="str">
        <f>IFERROR(__xludf.DUMMYFUNCTION("SPLIT(C818, "", "")"),"Comedy")</f>
        <v>Comedy</v>
      </c>
      <c r="J818" s="5" t="str">
        <f>IFERROR(__xludf.DUMMYFUNCTION("""COMPUTED_VALUE"""),"273🤙🏼Pink Floyd: The Wall🤙🏼Drama🤙🏼1")</f>
        <v>273🤙🏼Pink Floyd: The Wall🤙🏼Drama🤙🏼1</v>
      </c>
      <c r="K818" s="5">
        <f>IFERROR(__xludf.DUMMYFUNCTION("SPLiT(J818, ""🤙🏼"",FALSE,FALSE)"),273.0)</f>
        <v>273</v>
      </c>
      <c r="L818" s="5" t="str">
        <f>IFERROR(__xludf.DUMMYFUNCTION("""COMPUTED_VALUE"""),"Pink Floyd: The Wall")</f>
        <v>Pink Floyd: The Wall</v>
      </c>
      <c r="M818" s="5" t="str">
        <f>IFERROR(__xludf.DUMMYFUNCTION("""COMPUTED_VALUE"""),"Drama")</f>
        <v>Drama</v>
      </c>
      <c r="N818" s="5">
        <f>IFERROR(__xludf.DUMMYFUNCTION("""COMPUTED_VALUE"""),1.0)</f>
        <v>1</v>
      </c>
      <c r="S818" s="5">
        <f>IFERROR(__xludf.DUMMYFUNCTION("""COMPUTED_VALUE"""),326.0)</f>
        <v>326</v>
      </c>
      <c r="T818" s="5" t="str">
        <f>IFERROR(__xludf.DUMMYFUNCTION("""COMPUTED_VALUE"""),"Bajrangi Bhaijaan")</f>
        <v>Bajrangi Bhaijaan</v>
      </c>
      <c r="U818" s="5" t="str">
        <f>IFERROR(__xludf.DUMMYFUNCTION("""COMPUTED_VALUE"""),"Action")</f>
        <v>Action</v>
      </c>
      <c r="V818" s="5">
        <f>IFERROR(__xludf.DUMMYFUNCTION("""COMPUTED_VALUE"""),1.0)</f>
        <v>1</v>
      </c>
    </row>
    <row r="819">
      <c r="A819" s="1">
        <v>818.0</v>
      </c>
      <c r="B819" s="1" t="s">
        <v>4761</v>
      </c>
      <c r="C819" s="1" t="s">
        <v>507</v>
      </c>
      <c r="D819" s="1"/>
      <c r="E819" s="1">
        <v>818.0</v>
      </c>
      <c r="F819" s="1" t="s">
        <v>4761</v>
      </c>
      <c r="G819" s="1" t="str">
        <f>IFERROR(__xludf.DUMMYFUNCTION("SPLIT(C819, "", "")"),"Comedy")</f>
        <v>Comedy</v>
      </c>
      <c r="H819" s="5" t="str">
        <f>IFERROR(__xludf.DUMMYFUNCTION("""COMPUTED_VALUE"""),"Drama")</f>
        <v>Drama</v>
      </c>
      <c r="J819" s="5" t="str">
        <f>IFERROR(__xludf.DUMMYFUNCTION("""COMPUTED_VALUE"""),"273🤙🏼Pink Floyd: The Wall🤙🏼Fantasy🤙🏼2")</f>
        <v>273🤙🏼Pink Floyd: The Wall🤙🏼Fantasy🤙🏼2</v>
      </c>
      <c r="K819" s="5">
        <f>IFERROR(__xludf.DUMMYFUNCTION("SPLiT(J819, ""🤙🏼"",FALSE,FALSE)"),273.0)</f>
        <v>273</v>
      </c>
      <c r="L819" s="5" t="str">
        <f>IFERROR(__xludf.DUMMYFUNCTION("""COMPUTED_VALUE"""),"Pink Floyd: The Wall")</f>
        <v>Pink Floyd: The Wall</v>
      </c>
      <c r="M819" s="5" t="str">
        <f>IFERROR(__xludf.DUMMYFUNCTION("""COMPUTED_VALUE"""),"Fantasy")</f>
        <v>Fantasy</v>
      </c>
      <c r="N819" s="5">
        <f>IFERROR(__xludf.DUMMYFUNCTION("""COMPUTED_VALUE"""),2.0)</f>
        <v>2</v>
      </c>
      <c r="S819" s="5">
        <f>IFERROR(__xludf.DUMMYFUNCTION("""COMPUTED_VALUE"""),326.0)</f>
        <v>326</v>
      </c>
      <c r="T819" s="5" t="str">
        <f>IFERROR(__xludf.DUMMYFUNCTION("""COMPUTED_VALUE"""),"Bajrangi Bhaijaan")</f>
        <v>Bajrangi Bhaijaan</v>
      </c>
      <c r="U819" s="5" t="str">
        <f>IFERROR(__xludf.DUMMYFUNCTION("""COMPUTED_VALUE"""),"Adventure")</f>
        <v>Adventure</v>
      </c>
      <c r="V819" s="5">
        <f>IFERROR(__xludf.DUMMYFUNCTION("""COMPUTED_VALUE"""),2.0)</f>
        <v>2</v>
      </c>
    </row>
    <row r="820">
      <c r="A820" s="1">
        <v>819.0</v>
      </c>
      <c r="B820" s="1" t="s">
        <v>4765</v>
      </c>
      <c r="C820" s="1" t="s">
        <v>20</v>
      </c>
      <c r="D820" s="1"/>
      <c r="E820" s="1">
        <v>819.0</v>
      </c>
      <c r="F820" s="1" t="s">
        <v>4765</v>
      </c>
      <c r="G820" s="1" t="str">
        <f>IFERROR(__xludf.DUMMYFUNCTION("SPLIT(C820, "", "")"),"Drama")</f>
        <v>Drama</v>
      </c>
      <c r="J820" s="5" t="str">
        <f>IFERROR(__xludf.DUMMYFUNCTION("""COMPUTED_VALUE"""),"273🤙🏼Pink Floyd: The Wall🤙🏼Music🤙🏼3")</f>
        <v>273🤙🏼Pink Floyd: The Wall🤙🏼Music🤙🏼3</v>
      </c>
      <c r="K820" s="5">
        <f>IFERROR(__xludf.DUMMYFUNCTION("SPLiT(J820, ""🤙🏼"",FALSE,FALSE)"),273.0)</f>
        <v>273</v>
      </c>
      <c r="L820" s="5" t="str">
        <f>IFERROR(__xludf.DUMMYFUNCTION("""COMPUTED_VALUE"""),"Pink Floyd: The Wall")</f>
        <v>Pink Floyd: The Wall</v>
      </c>
      <c r="M820" s="5" t="str">
        <f>IFERROR(__xludf.DUMMYFUNCTION("""COMPUTED_VALUE"""),"Music")</f>
        <v>Music</v>
      </c>
      <c r="N820" s="5">
        <f>IFERROR(__xludf.DUMMYFUNCTION("""COMPUTED_VALUE"""),3.0)</f>
        <v>3</v>
      </c>
      <c r="S820" s="5">
        <f>IFERROR(__xludf.DUMMYFUNCTION("""COMPUTED_VALUE"""),326.0)</f>
        <v>326</v>
      </c>
      <c r="T820" s="5" t="str">
        <f>IFERROR(__xludf.DUMMYFUNCTION("""COMPUTED_VALUE"""),"Bajrangi Bhaijaan")</f>
        <v>Bajrangi Bhaijaan</v>
      </c>
      <c r="U820" s="5" t="str">
        <f>IFERROR(__xludf.DUMMYFUNCTION("""COMPUTED_VALUE"""),"Comedy")</f>
        <v>Comedy</v>
      </c>
      <c r="V820" s="5">
        <f>IFERROR(__xludf.DUMMYFUNCTION("""COMPUTED_VALUE"""),3.0)</f>
        <v>3</v>
      </c>
    </row>
    <row r="821">
      <c r="A821" s="1">
        <v>820.0</v>
      </c>
      <c r="B821" s="1" t="s">
        <v>4769</v>
      </c>
      <c r="C821" s="1" t="s">
        <v>416</v>
      </c>
      <c r="D821" s="1"/>
      <c r="E821" s="1">
        <v>820.0</v>
      </c>
      <c r="F821" s="1" t="s">
        <v>4769</v>
      </c>
      <c r="G821" s="1" t="str">
        <f>IFERROR(__xludf.DUMMYFUNCTION("SPLIT(C821, "", "")"),"Comedy")</f>
        <v>Comedy</v>
      </c>
      <c r="H821" s="5" t="str">
        <f>IFERROR(__xludf.DUMMYFUNCTION("""COMPUTED_VALUE"""),"Drama")</f>
        <v>Drama</v>
      </c>
      <c r="I821" s="5" t="str">
        <f>IFERROR(__xludf.DUMMYFUNCTION("""COMPUTED_VALUE"""),"Family")</f>
        <v>Family</v>
      </c>
      <c r="J821" s="5" t="str">
        <f>IFERROR(__xludf.DUMMYFUNCTION("""COMPUTED_VALUE"""),"274🤙🏼Fitzcarraldo🤙🏼Adventure🤙🏼1")</f>
        <v>274🤙🏼Fitzcarraldo🤙🏼Adventure🤙🏼1</v>
      </c>
      <c r="K821" s="5">
        <f>IFERROR(__xludf.DUMMYFUNCTION("SPLiT(J821, ""🤙🏼"",FALSE,FALSE)"),274.0)</f>
        <v>274</v>
      </c>
      <c r="L821" s="5" t="str">
        <f>IFERROR(__xludf.DUMMYFUNCTION("""COMPUTED_VALUE"""),"Fitzcarraldo")</f>
        <v>Fitzcarraldo</v>
      </c>
      <c r="M821" s="5" t="str">
        <f>IFERROR(__xludf.DUMMYFUNCTION("""COMPUTED_VALUE"""),"Adventure")</f>
        <v>Adventure</v>
      </c>
      <c r="N821" s="5">
        <f>IFERROR(__xludf.DUMMYFUNCTION("""COMPUTED_VALUE"""),1.0)</f>
        <v>1</v>
      </c>
      <c r="S821" s="5">
        <f>IFERROR(__xludf.DUMMYFUNCTION("""COMPUTED_VALUE"""),327.0)</f>
        <v>327</v>
      </c>
      <c r="T821" s="5" t="str">
        <f>IFERROR(__xludf.DUMMYFUNCTION("""COMPUTED_VALUE"""),"Baby")</f>
        <v>Baby</v>
      </c>
      <c r="U821" s="5" t="str">
        <f>IFERROR(__xludf.DUMMYFUNCTION("""COMPUTED_VALUE"""),"Action")</f>
        <v>Action</v>
      </c>
      <c r="V821" s="5">
        <f>IFERROR(__xludf.DUMMYFUNCTION("""COMPUTED_VALUE"""),1.0)</f>
        <v>1</v>
      </c>
    </row>
    <row r="822">
      <c r="A822" s="1">
        <v>821.0</v>
      </c>
      <c r="B822" s="1" t="s">
        <v>4775</v>
      </c>
      <c r="C822" s="1" t="s">
        <v>79</v>
      </c>
      <c r="D822" s="1"/>
      <c r="E822" s="1">
        <v>821.0</v>
      </c>
      <c r="F822" s="1" t="s">
        <v>4775</v>
      </c>
      <c r="G822" s="1" t="str">
        <f>IFERROR(__xludf.DUMMYFUNCTION("SPLIT(C822, "", "")"),"Biography")</f>
        <v>Biography</v>
      </c>
      <c r="H822" s="5" t="str">
        <f>IFERROR(__xludf.DUMMYFUNCTION("""COMPUTED_VALUE"""),"Drama")</f>
        <v>Drama</v>
      </c>
      <c r="I822" s="5" t="str">
        <f>IFERROR(__xludf.DUMMYFUNCTION("""COMPUTED_VALUE"""),"History")</f>
        <v>History</v>
      </c>
      <c r="J822" s="5" t="str">
        <f>IFERROR(__xludf.DUMMYFUNCTION("""COMPUTED_VALUE"""),"274🤙🏼Fitzcarraldo🤙🏼Drama🤙🏼2")</f>
        <v>274🤙🏼Fitzcarraldo🤙🏼Drama🤙🏼2</v>
      </c>
      <c r="K822" s="5">
        <f>IFERROR(__xludf.DUMMYFUNCTION("SPLiT(J822, ""🤙🏼"",FALSE,FALSE)"),274.0)</f>
        <v>274</v>
      </c>
      <c r="L822" s="5" t="str">
        <f>IFERROR(__xludf.DUMMYFUNCTION("""COMPUTED_VALUE"""),"Fitzcarraldo")</f>
        <v>Fitzcarraldo</v>
      </c>
      <c r="M822" s="5" t="str">
        <f>IFERROR(__xludf.DUMMYFUNCTION("""COMPUTED_VALUE"""),"Drama")</f>
        <v>Drama</v>
      </c>
      <c r="N822" s="5">
        <f>IFERROR(__xludf.DUMMYFUNCTION("""COMPUTED_VALUE"""),2.0)</f>
        <v>2</v>
      </c>
      <c r="S822" s="5">
        <f>IFERROR(__xludf.DUMMYFUNCTION("""COMPUTED_VALUE"""),327.0)</f>
        <v>327</v>
      </c>
      <c r="T822" s="5" t="str">
        <f>IFERROR(__xludf.DUMMYFUNCTION("""COMPUTED_VALUE"""),"Baby")</f>
        <v>Baby</v>
      </c>
      <c r="U822" s="5" t="str">
        <f>IFERROR(__xludf.DUMMYFUNCTION("""COMPUTED_VALUE"""),"Crime")</f>
        <v>Crime</v>
      </c>
      <c r="V822" s="5">
        <f>IFERROR(__xludf.DUMMYFUNCTION("""COMPUTED_VALUE"""),2.0)</f>
        <v>2</v>
      </c>
    </row>
    <row r="823">
      <c r="A823" s="1">
        <v>822.0</v>
      </c>
      <c r="B823" s="1" t="s">
        <v>4779</v>
      </c>
      <c r="C823" s="1" t="s">
        <v>62</v>
      </c>
      <c r="D823" s="1"/>
      <c r="E823" s="1">
        <v>822.0</v>
      </c>
      <c r="F823" s="1" t="s">
        <v>4779</v>
      </c>
      <c r="G823" s="1" t="str">
        <f>IFERROR(__xludf.DUMMYFUNCTION("SPLIT(C823, "", "")"),"Action")</f>
        <v>Action</v>
      </c>
      <c r="H823" s="5" t="str">
        <f>IFERROR(__xludf.DUMMYFUNCTION("""COMPUTED_VALUE"""),"Adventure")</f>
        <v>Adventure</v>
      </c>
      <c r="I823" s="5" t="str">
        <f>IFERROR(__xludf.DUMMYFUNCTION("""COMPUTED_VALUE"""),"Drama")</f>
        <v>Drama</v>
      </c>
      <c r="J823" s="5" t="str">
        <f>IFERROR(__xludf.DUMMYFUNCTION("""COMPUTED_VALUE"""),"274🤙🏼Fitzcarraldo🤙🏼🤙🏼3")</f>
        <v>274🤙🏼Fitzcarraldo🤙🏼🤙🏼3</v>
      </c>
      <c r="K823" s="5">
        <f>IFERROR(__xludf.DUMMYFUNCTION("SPLiT(J823, ""🤙🏼"",FALSE,FALSE)"),274.0)</f>
        <v>274</v>
      </c>
      <c r="L823" s="5" t="str">
        <f>IFERROR(__xludf.DUMMYFUNCTION("""COMPUTED_VALUE"""),"Fitzcarraldo")</f>
        <v>Fitzcarraldo</v>
      </c>
      <c r="M823" s="5"/>
      <c r="N823" s="5">
        <f>IFERROR(__xludf.DUMMYFUNCTION("""COMPUTED_VALUE"""),3.0)</f>
        <v>3</v>
      </c>
      <c r="S823" s="5">
        <f>IFERROR(__xludf.DUMMYFUNCTION("""COMPUTED_VALUE"""),327.0)</f>
        <v>327</v>
      </c>
      <c r="T823" s="5" t="str">
        <f>IFERROR(__xludf.DUMMYFUNCTION("""COMPUTED_VALUE"""),"Baby")</f>
        <v>Baby</v>
      </c>
      <c r="U823" s="5" t="str">
        <f>IFERROR(__xludf.DUMMYFUNCTION("""COMPUTED_VALUE"""),"Thriller")</f>
        <v>Thriller</v>
      </c>
      <c r="V823" s="5">
        <f>IFERROR(__xludf.DUMMYFUNCTION("""COMPUTED_VALUE"""),3.0)</f>
        <v>3</v>
      </c>
    </row>
    <row r="824">
      <c r="A824" s="1">
        <v>823.0</v>
      </c>
      <c r="B824" s="1" t="s">
        <v>4783</v>
      </c>
      <c r="C824" s="1" t="s">
        <v>765</v>
      </c>
      <c r="D824" s="1"/>
      <c r="E824" s="1">
        <v>823.0</v>
      </c>
      <c r="F824" s="1" t="s">
        <v>4783</v>
      </c>
      <c r="G824" s="1" t="str">
        <f>IFERROR(__xludf.DUMMYFUNCTION("SPLIT(C824, "", "")"),"Animation")</f>
        <v>Animation</v>
      </c>
      <c r="H824" s="5" t="str">
        <f>IFERROR(__xludf.DUMMYFUNCTION("""COMPUTED_VALUE"""),"Adventure")</f>
        <v>Adventure</v>
      </c>
      <c r="I824" s="5" t="str">
        <f>IFERROR(__xludf.DUMMYFUNCTION("""COMPUTED_VALUE"""),"Comedy")</f>
        <v>Comedy</v>
      </c>
      <c r="J824" s="5" t="str">
        <f>IFERROR(__xludf.DUMMYFUNCTION("""COMPUTED_VALUE"""),"275🤙🏼Fanny och Alexander🤙🏼Drama🤙🏼1")</f>
        <v>275🤙🏼Fanny och Alexander🤙🏼Drama🤙🏼1</v>
      </c>
      <c r="K824" s="5">
        <f>IFERROR(__xludf.DUMMYFUNCTION("SPLiT(J824, ""🤙🏼"",FALSE,FALSE)"),275.0)</f>
        <v>275</v>
      </c>
      <c r="L824" s="5" t="str">
        <f>IFERROR(__xludf.DUMMYFUNCTION("""COMPUTED_VALUE"""),"Fanny och Alexander")</f>
        <v>Fanny och Alexander</v>
      </c>
      <c r="M824" s="5" t="str">
        <f>IFERROR(__xludf.DUMMYFUNCTION("""COMPUTED_VALUE"""),"Drama")</f>
        <v>Drama</v>
      </c>
      <c r="N824" s="5">
        <f>IFERROR(__xludf.DUMMYFUNCTION("""COMPUTED_VALUE"""),1.0)</f>
        <v>1</v>
      </c>
      <c r="S824" s="5">
        <f>IFERROR(__xludf.DUMMYFUNCTION("""COMPUTED_VALUE"""),328.0)</f>
        <v>328</v>
      </c>
      <c r="T824" s="5" t="str">
        <f>IFERROR(__xludf.DUMMYFUNCTION("""COMPUTED_VALUE"""),"La La Land")</f>
        <v>La La Land</v>
      </c>
      <c r="U824" s="5" t="str">
        <f>IFERROR(__xludf.DUMMYFUNCTION("""COMPUTED_VALUE"""),"Comedy")</f>
        <v>Comedy</v>
      </c>
      <c r="V824" s="5">
        <f>IFERROR(__xludf.DUMMYFUNCTION("""COMPUTED_VALUE"""),1.0)</f>
        <v>1</v>
      </c>
    </row>
    <row r="825">
      <c r="A825" s="1">
        <v>824.0</v>
      </c>
      <c r="B825" s="1" t="s">
        <v>4789</v>
      </c>
      <c r="C825" s="1" t="s">
        <v>235</v>
      </c>
      <c r="D825" s="1"/>
      <c r="E825" s="1">
        <v>824.0</v>
      </c>
      <c r="F825" s="1" t="s">
        <v>4789</v>
      </c>
      <c r="G825" s="1" t="str">
        <f>IFERROR(__xludf.DUMMYFUNCTION("SPLIT(C825, "", "")"),"Crime")</f>
        <v>Crime</v>
      </c>
      <c r="H825" s="5" t="str">
        <f>IFERROR(__xludf.DUMMYFUNCTION("""COMPUTED_VALUE"""),"Drama")</f>
        <v>Drama</v>
      </c>
      <c r="I825" s="5" t="str">
        <f>IFERROR(__xludf.DUMMYFUNCTION("""COMPUTED_VALUE"""),"Mystery")</f>
        <v>Mystery</v>
      </c>
      <c r="J825" s="5" t="str">
        <f>IFERROR(__xludf.DUMMYFUNCTION("""COMPUTED_VALUE"""),"275🤙🏼Fanny och Alexander🤙🏼🤙🏼2")</f>
        <v>275🤙🏼Fanny och Alexander🤙🏼🤙🏼2</v>
      </c>
      <c r="K825" s="5">
        <f>IFERROR(__xludf.DUMMYFUNCTION("SPLiT(J825, ""🤙🏼"",FALSE,FALSE)"),275.0)</f>
        <v>275</v>
      </c>
      <c r="L825" s="5" t="str">
        <f>IFERROR(__xludf.DUMMYFUNCTION("""COMPUTED_VALUE"""),"Fanny och Alexander")</f>
        <v>Fanny och Alexander</v>
      </c>
      <c r="M825" s="5"/>
      <c r="N825" s="5">
        <f>IFERROR(__xludf.DUMMYFUNCTION("""COMPUTED_VALUE"""),2.0)</f>
        <v>2</v>
      </c>
      <c r="S825" s="5">
        <f>IFERROR(__xludf.DUMMYFUNCTION("""COMPUTED_VALUE"""),328.0)</f>
        <v>328</v>
      </c>
      <c r="T825" s="5" t="str">
        <f>IFERROR(__xludf.DUMMYFUNCTION("""COMPUTED_VALUE"""),"La La Land")</f>
        <v>La La Land</v>
      </c>
      <c r="U825" s="5" t="str">
        <f>IFERROR(__xludf.DUMMYFUNCTION("""COMPUTED_VALUE"""),"Drama")</f>
        <v>Drama</v>
      </c>
      <c r="V825" s="5">
        <f>IFERROR(__xludf.DUMMYFUNCTION("""COMPUTED_VALUE"""),2.0)</f>
        <v>2</v>
      </c>
    </row>
    <row r="826">
      <c r="A826" s="1">
        <v>825.0</v>
      </c>
      <c r="B826" s="1" t="s">
        <v>4793</v>
      </c>
      <c r="C826" s="1" t="s">
        <v>1377</v>
      </c>
      <c r="D826" s="1"/>
      <c r="E826" s="1">
        <v>825.0</v>
      </c>
      <c r="F826" s="1" t="s">
        <v>4793</v>
      </c>
      <c r="G826" s="1" t="str">
        <f>IFERROR(__xludf.DUMMYFUNCTION("SPLIT(C826, "", "")"),"Drama")</f>
        <v>Drama</v>
      </c>
      <c r="H826" s="5" t="str">
        <f>IFERROR(__xludf.DUMMYFUNCTION("""COMPUTED_VALUE"""),"Thriller")</f>
        <v>Thriller</v>
      </c>
      <c r="J826" s="5" t="str">
        <f>IFERROR(__xludf.DUMMYFUNCTION("""COMPUTED_VALUE"""),"275🤙🏼Fanny och Alexander🤙🏼🤙🏼3")</f>
        <v>275🤙🏼Fanny och Alexander🤙🏼🤙🏼3</v>
      </c>
      <c r="K826" s="5">
        <f>IFERROR(__xludf.DUMMYFUNCTION("SPLiT(J826, ""🤙🏼"",FALSE,FALSE)"),275.0)</f>
        <v>275</v>
      </c>
      <c r="L826" s="5" t="str">
        <f>IFERROR(__xludf.DUMMYFUNCTION("""COMPUTED_VALUE"""),"Fanny och Alexander")</f>
        <v>Fanny och Alexander</v>
      </c>
      <c r="M826" s="5"/>
      <c r="N826" s="5">
        <f>IFERROR(__xludf.DUMMYFUNCTION("""COMPUTED_VALUE"""),3.0)</f>
        <v>3</v>
      </c>
      <c r="S826" s="5">
        <f>IFERROR(__xludf.DUMMYFUNCTION("""COMPUTED_VALUE"""),328.0)</f>
        <v>328</v>
      </c>
      <c r="T826" s="5" t="str">
        <f>IFERROR(__xludf.DUMMYFUNCTION("""COMPUTED_VALUE"""),"La La Land")</f>
        <v>La La Land</v>
      </c>
      <c r="U826" s="5" t="str">
        <f>IFERROR(__xludf.DUMMYFUNCTION("""COMPUTED_VALUE"""),"Music")</f>
        <v>Music</v>
      </c>
      <c r="V826" s="5">
        <f>IFERROR(__xludf.DUMMYFUNCTION("""COMPUTED_VALUE"""),3.0)</f>
        <v>3</v>
      </c>
    </row>
    <row r="827">
      <c r="A827" s="1">
        <v>826.0</v>
      </c>
      <c r="B827" s="1" t="s">
        <v>4796</v>
      </c>
      <c r="C827" s="1" t="s">
        <v>20</v>
      </c>
      <c r="D827" s="1"/>
      <c r="E827" s="1">
        <v>826.0</v>
      </c>
      <c r="F827" s="1" t="s">
        <v>4796</v>
      </c>
      <c r="G827" s="1" t="str">
        <f>IFERROR(__xludf.DUMMYFUNCTION("SPLIT(C827, "", "")"),"Drama")</f>
        <v>Drama</v>
      </c>
      <c r="J827" s="5" t="str">
        <f>IFERROR(__xludf.DUMMYFUNCTION("""COMPUTED_VALUE"""),"276🤙🏼Blade Runner🤙🏼Action🤙🏼1")</f>
        <v>276🤙🏼Blade Runner🤙🏼Action🤙🏼1</v>
      </c>
      <c r="K827" s="5">
        <f>IFERROR(__xludf.DUMMYFUNCTION("SPLiT(J827, ""🤙🏼"",FALSE,FALSE)"),276.0)</f>
        <v>276</v>
      </c>
      <c r="L827" s="5" t="str">
        <f>IFERROR(__xludf.DUMMYFUNCTION("""COMPUTED_VALUE"""),"Blade Runner")</f>
        <v>Blade Runner</v>
      </c>
      <c r="M827" s="5" t="str">
        <f>IFERROR(__xludf.DUMMYFUNCTION("""COMPUTED_VALUE"""),"Action")</f>
        <v>Action</v>
      </c>
      <c r="N827" s="5">
        <f>IFERROR(__xludf.DUMMYFUNCTION("""COMPUTED_VALUE"""),1.0)</f>
        <v>1</v>
      </c>
      <c r="S827" s="5">
        <f>IFERROR(__xludf.DUMMYFUNCTION("""COMPUTED_VALUE"""),329.0)</f>
        <v>329</v>
      </c>
      <c r="T827" s="5" t="str">
        <f>IFERROR(__xludf.DUMMYFUNCTION("""COMPUTED_VALUE"""),"Lion")</f>
        <v>Lion</v>
      </c>
      <c r="U827" s="5" t="str">
        <f>IFERROR(__xludf.DUMMYFUNCTION("""COMPUTED_VALUE"""),"Biography")</f>
        <v>Biography</v>
      </c>
      <c r="V827" s="5">
        <f>IFERROR(__xludf.DUMMYFUNCTION("""COMPUTED_VALUE"""),1.0)</f>
        <v>1</v>
      </c>
    </row>
    <row r="828">
      <c r="A828" s="1">
        <v>827.0</v>
      </c>
      <c r="B828" s="1" t="s">
        <v>4802</v>
      </c>
      <c r="C828" s="1" t="s">
        <v>171</v>
      </c>
      <c r="D828" s="1"/>
      <c r="E828" s="1">
        <v>827.0</v>
      </c>
      <c r="F828" s="1" t="s">
        <v>4802</v>
      </c>
      <c r="G828" s="1" t="str">
        <f>IFERROR(__xludf.DUMMYFUNCTION("SPLIT(C828, "", "")"),"Comedy")</f>
        <v>Comedy</v>
      </c>
      <c r="H828" s="5" t="str">
        <f>IFERROR(__xludf.DUMMYFUNCTION("""COMPUTED_VALUE"""),"Drama")</f>
        <v>Drama</v>
      </c>
      <c r="I828" s="5" t="str">
        <f>IFERROR(__xludf.DUMMYFUNCTION("""COMPUTED_VALUE"""),"Thriller")</f>
        <v>Thriller</v>
      </c>
      <c r="J828" s="5" t="str">
        <f>IFERROR(__xludf.DUMMYFUNCTION("""COMPUTED_VALUE"""),"276🤙🏼Blade Runner🤙🏼Sci-Fi🤙🏼2")</f>
        <v>276🤙🏼Blade Runner🤙🏼Sci-Fi🤙🏼2</v>
      </c>
      <c r="K828" s="5">
        <f>IFERROR(__xludf.DUMMYFUNCTION("SPLiT(J828, ""🤙🏼"",FALSE,FALSE)"),276.0)</f>
        <v>276</v>
      </c>
      <c r="L828" s="5" t="str">
        <f>IFERROR(__xludf.DUMMYFUNCTION("""COMPUTED_VALUE"""),"Blade Runner")</f>
        <v>Blade Runner</v>
      </c>
      <c r="M828" s="5" t="str">
        <f>IFERROR(__xludf.DUMMYFUNCTION("""COMPUTED_VALUE"""),"Sci-Fi")</f>
        <v>Sci-Fi</v>
      </c>
      <c r="N828" s="5">
        <f>IFERROR(__xludf.DUMMYFUNCTION("""COMPUTED_VALUE"""),2.0)</f>
        <v>2</v>
      </c>
      <c r="S828" s="5">
        <f>IFERROR(__xludf.DUMMYFUNCTION("""COMPUTED_VALUE"""),329.0)</f>
        <v>329</v>
      </c>
      <c r="T828" s="5" t="str">
        <f>IFERROR(__xludf.DUMMYFUNCTION("""COMPUTED_VALUE"""),"Lion")</f>
        <v>Lion</v>
      </c>
      <c r="U828" s="5" t="str">
        <f>IFERROR(__xludf.DUMMYFUNCTION("""COMPUTED_VALUE"""),"Drama")</f>
        <v>Drama</v>
      </c>
      <c r="V828" s="5">
        <f>IFERROR(__xludf.DUMMYFUNCTION("""COMPUTED_VALUE"""),2.0)</f>
        <v>2</v>
      </c>
    </row>
    <row r="829">
      <c r="A829" s="1">
        <v>828.0</v>
      </c>
      <c r="B829" s="1" t="s">
        <v>4805</v>
      </c>
      <c r="C829" s="1" t="s">
        <v>241</v>
      </c>
      <c r="D829" s="1"/>
      <c r="E829" s="1">
        <v>828.0</v>
      </c>
      <c r="F829" s="1" t="s">
        <v>4805</v>
      </c>
      <c r="G829" s="1" t="str">
        <f>IFERROR(__xludf.DUMMYFUNCTION("SPLIT(C829, "", "")"),"Crime")</f>
        <v>Crime</v>
      </c>
      <c r="H829" s="5" t="str">
        <f>IFERROR(__xludf.DUMMYFUNCTION("""COMPUTED_VALUE"""),"Drama")</f>
        <v>Drama</v>
      </c>
      <c r="I829" s="5" t="str">
        <f>IFERROR(__xludf.DUMMYFUNCTION("""COMPUTED_VALUE"""),"Thriller")</f>
        <v>Thriller</v>
      </c>
      <c r="J829" s="5" t="str">
        <f>IFERROR(__xludf.DUMMYFUNCTION("""COMPUTED_VALUE"""),"276🤙🏼Blade Runner🤙🏼Thriller🤙🏼3")</f>
        <v>276🤙🏼Blade Runner🤙🏼Thriller🤙🏼3</v>
      </c>
      <c r="K829" s="5">
        <f>IFERROR(__xludf.DUMMYFUNCTION("SPLiT(J829, ""🤙🏼"",FALSE,FALSE)"),276.0)</f>
        <v>276</v>
      </c>
      <c r="L829" s="5" t="str">
        <f>IFERROR(__xludf.DUMMYFUNCTION("""COMPUTED_VALUE"""),"Blade Runner")</f>
        <v>Blade Runner</v>
      </c>
      <c r="M829" s="5" t="str">
        <f>IFERROR(__xludf.DUMMYFUNCTION("""COMPUTED_VALUE"""),"Thriller")</f>
        <v>Thriller</v>
      </c>
      <c r="N829" s="5">
        <f>IFERROR(__xludf.DUMMYFUNCTION("""COMPUTED_VALUE"""),3.0)</f>
        <v>3</v>
      </c>
      <c r="S829" s="5">
        <f>IFERROR(__xludf.DUMMYFUNCTION("""COMPUTED_VALUE"""),330.0)</f>
        <v>330</v>
      </c>
      <c r="T829" s="5" t="str">
        <f>IFERROR(__xludf.DUMMYFUNCTION("""COMPUTED_VALUE"""),"The Martian")</f>
        <v>The Martian</v>
      </c>
      <c r="U829" s="5" t="str">
        <f>IFERROR(__xludf.DUMMYFUNCTION("""COMPUTED_VALUE"""),"Adventure")</f>
        <v>Adventure</v>
      </c>
      <c r="V829" s="5">
        <f>IFERROR(__xludf.DUMMYFUNCTION("""COMPUTED_VALUE"""),1.0)</f>
        <v>1</v>
      </c>
    </row>
    <row r="830">
      <c r="A830" s="1">
        <v>829.0</v>
      </c>
      <c r="B830" s="1" t="s">
        <v>4807</v>
      </c>
      <c r="C830" s="1" t="s">
        <v>765</v>
      </c>
      <c r="D830" s="1"/>
      <c r="E830" s="1">
        <v>829.0</v>
      </c>
      <c r="F830" s="1" t="s">
        <v>4807</v>
      </c>
      <c r="G830" s="1" t="str">
        <f>IFERROR(__xludf.DUMMYFUNCTION("SPLIT(C830, "", "")"),"Animation")</f>
        <v>Animation</v>
      </c>
      <c r="H830" s="5" t="str">
        <f>IFERROR(__xludf.DUMMYFUNCTION("""COMPUTED_VALUE"""),"Adventure")</f>
        <v>Adventure</v>
      </c>
      <c r="I830" s="5" t="str">
        <f>IFERROR(__xludf.DUMMYFUNCTION("""COMPUTED_VALUE"""),"Comedy")</f>
        <v>Comedy</v>
      </c>
      <c r="J830" s="5" t="str">
        <f>IFERROR(__xludf.DUMMYFUNCTION("""COMPUTED_VALUE"""),"277🤙🏼The Elephant Man🤙🏼Biography🤙🏼1")</f>
        <v>277🤙🏼The Elephant Man🤙🏼Biography🤙🏼1</v>
      </c>
      <c r="K830" s="5">
        <f>IFERROR(__xludf.DUMMYFUNCTION("SPLiT(J830, ""🤙🏼"",FALSE,FALSE)"),277.0)</f>
        <v>277</v>
      </c>
      <c r="L830" s="5" t="str">
        <f>IFERROR(__xludf.DUMMYFUNCTION("""COMPUTED_VALUE"""),"The Elephant Man")</f>
        <v>The Elephant Man</v>
      </c>
      <c r="M830" s="5" t="str">
        <f>IFERROR(__xludf.DUMMYFUNCTION("""COMPUTED_VALUE"""),"Biography")</f>
        <v>Biography</v>
      </c>
      <c r="N830" s="5">
        <f>IFERROR(__xludf.DUMMYFUNCTION("""COMPUTED_VALUE"""),1.0)</f>
        <v>1</v>
      </c>
      <c r="S830" s="5">
        <f>IFERROR(__xludf.DUMMYFUNCTION("""COMPUTED_VALUE"""),330.0)</f>
        <v>330</v>
      </c>
      <c r="T830" s="5" t="str">
        <f>IFERROR(__xludf.DUMMYFUNCTION("""COMPUTED_VALUE"""),"The Martian")</f>
        <v>The Martian</v>
      </c>
      <c r="U830" s="5" t="str">
        <f>IFERROR(__xludf.DUMMYFUNCTION("""COMPUTED_VALUE"""),"Drama")</f>
        <v>Drama</v>
      </c>
      <c r="V830" s="5">
        <f>IFERROR(__xludf.DUMMYFUNCTION("""COMPUTED_VALUE"""),2.0)</f>
        <v>2</v>
      </c>
    </row>
    <row r="831">
      <c r="A831" s="1">
        <v>830.0</v>
      </c>
      <c r="B831" s="1" t="s">
        <v>4812</v>
      </c>
      <c r="C831" s="1" t="s">
        <v>544</v>
      </c>
      <c r="D831" s="1"/>
      <c r="E831" s="1">
        <v>830.0</v>
      </c>
      <c r="F831" s="1" t="s">
        <v>4812</v>
      </c>
      <c r="G831" s="1" t="str">
        <f>IFERROR(__xludf.DUMMYFUNCTION("SPLIT(C831, "", "")"),"Mystery")</f>
        <v>Mystery</v>
      </c>
      <c r="H831" s="5" t="str">
        <f>IFERROR(__xludf.DUMMYFUNCTION("""COMPUTED_VALUE"""),"Thriller")</f>
        <v>Thriller</v>
      </c>
      <c r="J831" s="5" t="str">
        <f>IFERROR(__xludf.DUMMYFUNCTION("""COMPUTED_VALUE"""),"277🤙🏼The Elephant Man🤙🏼Drama🤙🏼2")</f>
        <v>277🤙🏼The Elephant Man🤙🏼Drama🤙🏼2</v>
      </c>
      <c r="K831" s="5">
        <f>IFERROR(__xludf.DUMMYFUNCTION("SPLiT(J831, ""🤙🏼"",FALSE,FALSE)"),277.0)</f>
        <v>277</v>
      </c>
      <c r="L831" s="5" t="str">
        <f>IFERROR(__xludf.DUMMYFUNCTION("""COMPUTED_VALUE"""),"The Elephant Man")</f>
        <v>The Elephant Man</v>
      </c>
      <c r="M831" s="5" t="str">
        <f>IFERROR(__xludf.DUMMYFUNCTION("""COMPUTED_VALUE"""),"Drama")</f>
        <v>Drama</v>
      </c>
      <c r="N831" s="5">
        <f>IFERROR(__xludf.DUMMYFUNCTION("""COMPUTED_VALUE"""),2.0)</f>
        <v>2</v>
      </c>
      <c r="S831" s="5">
        <f>IFERROR(__xludf.DUMMYFUNCTION("""COMPUTED_VALUE"""),330.0)</f>
        <v>330</v>
      </c>
      <c r="T831" s="5" t="str">
        <f>IFERROR(__xludf.DUMMYFUNCTION("""COMPUTED_VALUE"""),"The Martian")</f>
        <v>The Martian</v>
      </c>
      <c r="U831" s="5" t="str">
        <f>IFERROR(__xludf.DUMMYFUNCTION("""COMPUTED_VALUE"""),"Sci-Fi")</f>
        <v>Sci-Fi</v>
      </c>
      <c r="V831" s="5">
        <f>IFERROR(__xludf.DUMMYFUNCTION("""COMPUTED_VALUE"""),3.0)</f>
        <v>3</v>
      </c>
    </row>
    <row r="832">
      <c r="A832" s="1">
        <v>831.0</v>
      </c>
      <c r="B832" s="1" t="s">
        <v>4819</v>
      </c>
      <c r="C832" s="1" t="s">
        <v>507</v>
      </c>
      <c r="D832" s="1"/>
      <c r="E832" s="1">
        <v>831.0</v>
      </c>
      <c r="F832" s="1" t="s">
        <v>4819</v>
      </c>
      <c r="G832" s="1" t="str">
        <f>IFERROR(__xludf.DUMMYFUNCTION("SPLIT(C832, "", "")"),"Comedy")</f>
        <v>Comedy</v>
      </c>
      <c r="H832" s="5" t="str">
        <f>IFERROR(__xludf.DUMMYFUNCTION("""COMPUTED_VALUE"""),"Drama")</f>
        <v>Drama</v>
      </c>
      <c r="J832" s="5" t="str">
        <f>IFERROR(__xludf.DUMMYFUNCTION("""COMPUTED_VALUE"""),"277🤙🏼The Elephant Man🤙🏼🤙🏼3")</f>
        <v>277🤙🏼The Elephant Man🤙🏼🤙🏼3</v>
      </c>
      <c r="K832" s="5">
        <f>IFERROR(__xludf.DUMMYFUNCTION("SPLiT(J832, ""🤙🏼"",FALSE,FALSE)"),277.0)</f>
        <v>277</v>
      </c>
      <c r="L832" s="5" t="str">
        <f>IFERROR(__xludf.DUMMYFUNCTION("""COMPUTED_VALUE"""),"The Elephant Man")</f>
        <v>The Elephant Man</v>
      </c>
      <c r="M832" s="5"/>
      <c r="N832" s="5">
        <f>IFERROR(__xludf.DUMMYFUNCTION("""COMPUTED_VALUE"""),3.0)</f>
        <v>3</v>
      </c>
      <c r="S832" s="5">
        <f>IFERROR(__xludf.DUMMYFUNCTION("""COMPUTED_VALUE"""),331.0)</f>
        <v>331</v>
      </c>
      <c r="T832" s="5" t="str">
        <f>IFERROR(__xludf.DUMMYFUNCTION("""COMPUTED_VALUE"""),"Zootopia")</f>
        <v>Zootopia</v>
      </c>
      <c r="U832" s="5" t="str">
        <f>IFERROR(__xludf.DUMMYFUNCTION("""COMPUTED_VALUE"""),"Animation")</f>
        <v>Animation</v>
      </c>
      <c r="V832" s="5">
        <f>IFERROR(__xludf.DUMMYFUNCTION("""COMPUTED_VALUE"""),1.0)</f>
        <v>1</v>
      </c>
    </row>
    <row r="833">
      <c r="A833" s="1">
        <v>832.0</v>
      </c>
      <c r="B833" s="1" t="s">
        <v>4825</v>
      </c>
      <c r="C833" s="1" t="s">
        <v>79</v>
      </c>
      <c r="D833" s="1"/>
      <c r="E833" s="1">
        <v>832.0</v>
      </c>
      <c r="F833" s="1" t="s">
        <v>4825</v>
      </c>
      <c r="G833" s="1" t="str">
        <f>IFERROR(__xludf.DUMMYFUNCTION("SPLIT(C833, "", "")"),"Biography")</f>
        <v>Biography</v>
      </c>
      <c r="H833" s="5" t="str">
        <f>IFERROR(__xludf.DUMMYFUNCTION("""COMPUTED_VALUE"""),"Drama")</f>
        <v>Drama</v>
      </c>
      <c r="I833" s="5" t="str">
        <f>IFERROR(__xludf.DUMMYFUNCTION("""COMPUTED_VALUE"""),"History")</f>
        <v>History</v>
      </c>
      <c r="J833" s="5" t="str">
        <f>IFERROR(__xludf.DUMMYFUNCTION("""COMPUTED_VALUE"""),"278🤙🏼Life of Brian🤙🏼Comedy🤙🏼1")</f>
        <v>278🤙🏼Life of Brian🤙🏼Comedy🤙🏼1</v>
      </c>
      <c r="K833" s="5">
        <f>IFERROR(__xludf.DUMMYFUNCTION("SPLiT(J833, ""🤙🏼"",FALSE,FALSE)"),278.0)</f>
        <v>278</v>
      </c>
      <c r="L833" s="5" t="str">
        <f>IFERROR(__xludf.DUMMYFUNCTION("""COMPUTED_VALUE"""),"Life of Brian")</f>
        <v>Life of Brian</v>
      </c>
      <c r="M833" s="5" t="str">
        <f>IFERROR(__xludf.DUMMYFUNCTION("""COMPUTED_VALUE"""),"Comedy")</f>
        <v>Comedy</v>
      </c>
      <c r="N833" s="5">
        <f>IFERROR(__xludf.DUMMYFUNCTION("""COMPUTED_VALUE"""),1.0)</f>
        <v>1</v>
      </c>
      <c r="S833" s="5">
        <f>IFERROR(__xludf.DUMMYFUNCTION("""COMPUTED_VALUE"""),331.0)</f>
        <v>331</v>
      </c>
      <c r="T833" s="5" t="str">
        <f>IFERROR(__xludf.DUMMYFUNCTION("""COMPUTED_VALUE"""),"Zootopia")</f>
        <v>Zootopia</v>
      </c>
      <c r="U833" s="5" t="str">
        <f>IFERROR(__xludf.DUMMYFUNCTION("""COMPUTED_VALUE"""),"Adventure")</f>
        <v>Adventure</v>
      </c>
      <c r="V833" s="5">
        <f>IFERROR(__xludf.DUMMYFUNCTION("""COMPUTED_VALUE"""),2.0)</f>
        <v>2</v>
      </c>
    </row>
    <row r="834">
      <c r="A834" s="1">
        <v>833.0</v>
      </c>
      <c r="B834" s="1" t="s">
        <v>4830</v>
      </c>
      <c r="C834" s="1" t="s">
        <v>3536</v>
      </c>
      <c r="D834" s="1"/>
      <c r="E834" s="1">
        <v>833.0</v>
      </c>
      <c r="F834" s="1" t="s">
        <v>4830</v>
      </c>
      <c r="G834" s="1" t="str">
        <f>IFERROR(__xludf.DUMMYFUNCTION("SPLIT(C834, "", "")"),"Action")</f>
        <v>Action</v>
      </c>
      <c r="H834" s="5" t="str">
        <f>IFERROR(__xludf.DUMMYFUNCTION("""COMPUTED_VALUE"""),"Drama")</f>
        <v>Drama</v>
      </c>
      <c r="I834" s="5" t="str">
        <f>IFERROR(__xludf.DUMMYFUNCTION("""COMPUTED_VALUE"""),"History")</f>
        <v>History</v>
      </c>
      <c r="J834" s="5" t="str">
        <f>IFERROR(__xludf.DUMMYFUNCTION("""COMPUTED_VALUE"""),"278🤙🏼Life of Brian🤙🏼🤙🏼2")</f>
        <v>278🤙🏼Life of Brian🤙🏼🤙🏼2</v>
      </c>
      <c r="K834" s="5">
        <f>IFERROR(__xludf.DUMMYFUNCTION("SPLiT(J834, ""🤙🏼"",FALSE,FALSE)"),278.0)</f>
        <v>278</v>
      </c>
      <c r="L834" s="5" t="str">
        <f>IFERROR(__xludf.DUMMYFUNCTION("""COMPUTED_VALUE"""),"Life of Brian")</f>
        <v>Life of Brian</v>
      </c>
      <c r="M834" s="5"/>
      <c r="N834" s="5">
        <f>IFERROR(__xludf.DUMMYFUNCTION("""COMPUTED_VALUE"""),2.0)</f>
        <v>2</v>
      </c>
      <c r="S834" s="5">
        <f>IFERROR(__xludf.DUMMYFUNCTION("""COMPUTED_VALUE"""),331.0)</f>
        <v>331</v>
      </c>
      <c r="T834" s="5" t="str">
        <f>IFERROR(__xludf.DUMMYFUNCTION("""COMPUTED_VALUE"""),"Zootopia")</f>
        <v>Zootopia</v>
      </c>
      <c r="U834" s="5" t="str">
        <f>IFERROR(__xludf.DUMMYFUNCTION("""COMPUTED_VALUE"""),"Comedy")</f>
        <v>Comedy</v>
      </c>
      <c r="V834" s="5">
        <f>IFERROR(__xludf.DUMMYFUNCTION("""COMPUTED_VALUE"""),3.0)</f>
        <v>3</v>
      </c>
    </row>
    <row r="835">
      <c r="A835" s="1">
        <v>834.0</v>
      </c>
      <c r="B835" s="1" t="s">
        <v>4834</v>
      </c>
      <c r="C835" s="1" t="s">
        <v>235</v>
      </c>
      <c r="D835" s="1"/>
      <c r="E835" s="1">
        <v>834.0</v>
      </c>
      <c r="F835" s="1" t="s">
        <v>4834</v>
      </c>
      <c r="G835" s="1" t="str">
        <f>IFERROR(__xludf.DUMMYFUNCTION("SPLIT(C835, "", "")"),"Crime")</f>
        <v>Crime</v>
      </c>
      <c r="H835" s="5" t="str">
        <f>IFERROR(__xludf.DUMMYFUNCTION("""COMPUTED_VALUE"""),"Drama")</f>
        <v>Drama</v>
      </c>
      <c r="I835" s="5" t="str">
        <f>IFERROR(__xludf.DUMMYFUNCTION("""COMPUTED_VALUE"""),"Mystery")</f>
        <v>Mystery</v>
      </c>
      <c r="J835" s="5" t="str">
        <f>IFERROR(__xludf.DUMMYFUNCTION("""COMPUTED_VALUE"""),"278🤙🏼Life of Brian🤙🏼🤙🏼3")</f>
        <v>278🤙🏼Life of Brian🤙🏼🤙🏼3</v>
      </c>
      <c r="K835" s="5">
        <f>IFERROR(__xludf.DUMMYFUNCTION("SPLiT(J835, ""🤙🏼"",FALSE,FALSE)"),278.0)</f>
        <v>278</v>
      </c>
      <c r="L835" s="5" t="str">
        <f>IFERROR(__xludf.DUMMYFUNCTION("""COMPUTED_VALUE"""),"Life of Brian")</f>
        <v>Life of Brian</v>
      </c>
      <c r="M835" s="5"/>
      <c r="N835" s="5">
        <f>IFERROR(__xludf.DUMMYFUNCTION("""COMPUTED_VALUE"""),3.0)</f>
        <v>3</v>
      </c>
      <c r="S835" s="5">
        <f>IFERROR(__xludf.DUMMYFUNCTION("""COMPUTED_VALUE"""),332.0)</f>
        <v>332</v>
      </c>
      <c r="T835" s="5" t="str">
        <f>IFERROR(__xludf.DUMMYFUNCTION("""COMPUTED_VALUE"""),"Bãhubali: The Beginning")</f>
        <v>Bãhubali: The Beginning</v>
      </c>
      <c r="U835" s="5" t="str">
        <f>IFERROR(__xludf.DUMMYFUNCTION("""COMPUTED_VALUE"""),"Action")</f>
        <v>Action</v>
      </c>
      <c r="V835" s="5">
        <f>IFERROR(__xludf.DUMMYFUNCTION("""COMPUTED_VALUE"""),1.0)</f>
        <v>1</v>
      </c>
    </row>
    <row r="836">
      <c r="A836" s="1">
        <v>835.0</v>
      </c>
      <c r="B836" s="1" t="s">
        <v>4839</v>
      </c>
      <c r="C836" s="1" t="s">
        <v>527</v>
      </c>
      <c r="D836" s="1"/>
      <c r="E836" s="1">
        <v>835.0</v>
      </c>
      <c r="F836" s="1" t="s">
        <v>4839</v>
      </c>
      <c r="G836" s="1" t="str">
        <f>IFERROR(__xludf.DUMMYFUNCTION("SPLIT(C836, "", "")"),"Drama")</f>
        <v>Drama</v>
      </c>
      <c r="H836" s="5" t="str">
        <f>IFERROR(__xludf.DUMMYFUNCTION("""COMPUTED_VALUE"""),"Mystery")</f>
        <v>Mystery</v>
      </c>
      <c r="I836" s="5" t="str">
        <f>IFERROR(__xludf.DUMMYFUNCTION("""COMPUTED_VALUE"""),"Thriller")</f>
        <v>Thriller</v>
      </c>
      <c r="J836" s="5" t="str">
        <f>IFERROR(__xludf.DUMMYFUNCTION("""COMPUTED_VALUE"""),"279🤙🏼The Deer Hunter🤙🏼Drama🤙🏼1")</f>
        <v>279🤙🏼The Deer Hunter🤙🏼Drama🤙🏼1</v>
      </c>
      <c r="K836" s="5">
        <f>IFERROR(__xludf.DUMMYFUNCTION("SPLiT(J836, ""🤙🏼"",FALSE,FALSE)"),279.0)</f>
        <v>279</v>
      </c>
      <c r="L836" s="5" t="str">
        <f>IFERROR(__xludf.DUMMYFUNCTION("""COMPUTED_VALUE"""),"The Deer Hunter")</f>
        <v>The Deer Hunter</v>
      </c>
      <c r="M836" s="5" t="str">
        <f>IFERROR(__xludf.DUMMYFUNCTION("""COMPUTED_VALUE"""),"Drama")</f>
        <v>Drama</v>
      </c>
      <c r="N836" s="5">
        <f>IFERROR(__xludf.DUMMYFUNCTION("""COMPUTED_VALUE"""),1.0)</f>
        <v>1</v>
      </c>
      <c r="S836" s="5">
        <f>IFERROR(__xludf.DUMMYFUNCTION("""COMPUTED_VALUE"""),332.0)</f>
        <v>332</v>
      </c>
      <c r="T836" s="5" t="str">
        <f>IFERROR(__xludf.DUMMYFUNCTION("""COMPUTED_VALUE"""),"Bãhubali: The Beginning")</f>
        <v>Bãhubali: The Beginning</v>
      </c>
      <c r="U836" s="5" t="str">
        <f>IFERROR(__xludf.DUMMYFUNCTION("""COMPUTED_VALUE"""),"Drama")</f>
        <v>Drama</v>
      </c>
      <c r="V836" s="5">
        <f>IFERROR(__xludf.DUMMYFUNCTION("""COMPUTED_VALUE"""),2.0)</f>
        <v>2</v>
      </c>
    </row>
    <row r="837">
      <c r="A837" s="1">
        <v>836.0</v>
      </c>
      <c r="B837" s="1" t="s">
        <v>4843</v>
      </c>
      <c r="C837" s="1" t="s">
        <v>2566</v>
      </c>
      <c r="D837" s="1"/>
      <c r="E837" s="1">
        <v>836.0</v>
      </c>
      <c r="F837" s="1" t="s">
        <v>4843</v>
      </c>
      <c r="G837" s="1" t="str">
        <f>IFERROR(__xludf.DUMMYFUNCTION("SPLIT(C837, "", "")"),"Comedy")</f>
        <v>Comedy</v>
      </c>
      <c r="H837" s="5" t="str">
        <f>IFERROR(__xludf.DUMMYFUNCTION("""COMPUTED_VALUE"""),"Fantasy")</f>
        <v>Fantasy</v>
      </c>
      <c r="I837" s="5" t="str">
        <f>IFERROR(__xludf.DUMMYFUNCTION("""COMPUTED_VALUE"""),"Romance")</f>
        <v>Romance</v>
      </c>
      <c r="J837" s="5" t="str">
        <f>IFERROR(__xludf.DUMMYFUNCTION("""COMPUTED_VALUE"""),"279🤙🏼The Deer Hunter🤙🏼War🤙🏼2")</f>
        <v>279🤙🏼The Deer Hunter🤙🏼War🤙🏼2</v>
      </c>
      <c r="K837" s="5">
        <f>IFERROR(__xludf.DUMMYFUNCTION("SPLiT(J837, ""🤙🏼"",FALSE,FALSE)"),279.0)</f>
        <v>279</v>
      </c>
      <c r="L837" s="5" t="str">
        <f>IFERROR(__xludf.DUMMYFUNCTION("""COMPUTED_VALUE"""),"The Deer Hunter")</f>
        <v>The Deer Hunter</v>
      </c>
      <c r="M837" s="5" t="str">
        <f>IFERROR(__xludf.DUMMYFUNCTION("""COMPUTED_VALUE"""),"War")</f>
        <v>War</v>
      </c>
      <c r="N837" s="5">
        <f>IFERROR(__xludf.DUMMYFUNCTION("""COMPUTED_VALUE"""),2.0)</f>
        <v>2</v>
      </c>
      <c r="S837" s="5">
        <f>IFERROR(__xludf.DUMMYFUNCTION("""COMPUTED_VALUE"""),333.0)</f>
        <v>333</v>
      </c>
      <c r="T837" s="5" t="str">
        <f>IFERROR(__xludf.DUMMYFUNCTION("""COMPUTED_VALUE"""),"Kaguyahime no monogatari")</f>
        <v>Kaguyahime no monogatari</v>
      </c>
      <c r="U837" s="5" t="str">
        <f>IFERROR(__xludf.DUMMYFUNCTION("""COMPUTED_VALUE"""),"Animation")</f>
        <v>Animation</v>
      </c>
      <c r="V837" s="5">
        <f>IFERROR(__xludf.DUMMYFUNCTION("""COMPUTED_VALUE"""),1.0)</f>
        <v>1</v>
      </c>
    </row>
    <row r="838">
      <c r="A838" s="1">
        <v>837.0</v>
      </c>
      <c r="B838" s="1" t="s">
        <v>4847</v>
      </c>
      <c r="C838" s="1" t="s">
        <v>831</v>
      </c>
      <c r="D838" s="1"/>
      <c r="E838" s="1">
        <v>837.0</v>
      </c>
      <c r="F838" s="1" t="s">
        <v>4847</v>
      </c>
      <c r="G838" s="1" t="str">
        <f>IFERROR(__xludf.DUMMYFUNCTION("SPLIT(C838, "", "")"),"Comedy")</f>
        <v>Comedy</v>
      </c>
      <c r="H838" s="5" t="str">
        <f>IFERROR(__xludf.DUMMYFUNCTION("""COMPUTED_VALUE"""),"Crime")</f>
        <v>Crime</v>
      </c>
      <c r="I838" s="5" t="str">
        <f>IFERROR(__xludf.DUMMYFUNCTION("""COMPUTED_VALUE"""),"Drama")</f>
        <v>Drama</v>
      </c>
      <c r="J838" s="5" t="str">
        <f>IFERROR(__xludf.DUMMYFUNCTION("""COMPUTED_VALUE"""),"279🤙🏼The Deer Hunter🤙🏼🤙🏼3")</f>
        <v>279🤙🏼The Deer Hunter🤙🏼🤙🏼3</v>
      </c>
      <c r="K838" s="5">
        <f>IFERROR(__xludf.DUMMYFUNCTION("SPLiT(J838, ""🤙🏼"",FALSE,FALSE)"),279.0)</f>
        <v>279</v>
      </c>
      <c r="L838" s="5" t="str">
        <f>IFERROR(__xludf.DUMMYFUNCTION("""COMPUTED_VALUE"""),"The Deer Hunter")</f>
        <v>The Deer Hunter</v>
      </c>
      <c r="M838" s="5"/>
      <c r="N838" s="5">
        <f>IFERROR(__xludf.DUMMYFUNCTION("""COMPUTED_VALUE"""),3.0)</f>
        <v>3</v>
      </c>
      <c r="S838" s="5">
        <f>IFERROR(__xludf.DUMMYFUNCTION("""COMPUTED_VALUE"""),333.0)</f>
        <v>333</v>
      </c>
      <c r="T838" s="5" t="str">
        <f>IFERROR(__xludf.DUMMYFUNCTION("""COMPUTED_VALUE"""),"Kaguyahime no monogatari")</f>
        <v>Kaguyahime no monogatari</v>
      </c>
      <c r="U838" s="5" t="str">
        <f>IFERROR(__xludf.DUMMYFUNCTION("""COMPUTED_VALUE"""),"Adventure")</f>
        <v>Adventure</v>
      </c>
      <c r="V838" s="5">
        <f>IFERROR(__xludf.DUMMYFUNCTION("""COMPUTED_VALUE"""),2.0)</f>
        <v>2</v>
      </c>
    </row>
    <row r="839">
      <c r="A839" s="1">
        <v>838.0</v>
      </c>
      <c r="B839" s="1" t="s">
        <v>4853</v>
      </c>
      <c r="C839" s="1" t="s">
        <v>602</v>
      </c>
      <c r="D839" s="1"/>
      <c r="E839" s="1">
        <v>838.0</v>
      </c>
      <c r="F839" s="1" t="s">
        <v>4853</v>
      </c>
      <c r="G839" s="1" t="str">
        <f>IFERROR(__xludf.DUMMYFUNCTION("SPLIT(C839, "", "")"),"Comedy")</f>
        <v>Comedy</v>
      </c>
      <c r="J839" s="5" t="str">
        <f>IFERROR(__xludf.DUMMYFUNCTION("""COMPUTED_VALUE"""),"280🤙🏼Rocky🤙🏼Drama🤙🏼1")</f>
        <v>280🤙🏼Rocky🤙🏼Drama🤙🏼1</v>
      </c>
      <c r="K839" s="5">
        <f>IFERROR(__xludf.DUMMYFUNCTION("SPLiT(J839, ""🤙🏼"",FALSE,FALSE)"),280.0)</f>
        <v>280</v>
      </c>
      <c r="L839" s="5" t="str">
        <f>IFERROR(__xludf.DUMMYFUNCTION("""COMPUTED_VALUE"""),"Rocky")</f>
        <v>Rocky</v>
      </c>
      <c r="M839" s="5" t="str">
        <f>IFERROR(__xludf.DUMMYFUNCTION("""COMPUTED_VALUE"""),"Drama")</f>
        <v>Drama</v>
      </c>
      <c r="N839" s="5">
        <f>IFERROR(__xludf.DUMMYFUNCTION("""COMPUTED_VALUE"""),1.0)</f>
        <v>1</v>
      </c>
      <c r="S839" s="5">
        <f>IFERROR(__xludf.DUMMYFUNCTION("""COMPUTED_VALUE"""),333.0)</f>
        <v>333</v>
      </c>
      <c r="T839" s="5" t="str">
        <f>IFERROR(__xludf.DUMMYFUNCTION("""COMPUTED_VALUE"""),"Kaguyahime no monogatari")</f>
        <v>Kaguyahime no monogatari</v>
      </c>
      <c r="U839" s="5" t="str">
        <f>IFERROR(__xludf.DUMMYFUNCTION("""COMPUTED_VALUE"""),"Drama")</f>
        <v>Drama</v>
      </c>
      <c r="V839" s="5">
        <f>IFERROR(__xludf.DUMMYFUNCTION("""COMPUTED_VALUE"""),3.0)</f>
        <v>3</v>
      </c>
    </row>
    <row r="840">
      <c r="A840" s="1">
        <v>839.0</v>
      </c>
      <c r="B840" s="1" t="s">
        <v>4858</v>
      </c>
      <c r="C840" s="1" t="s">
        <v>20</v>
      </c>
      <c r="D840" s="1"/>
      <c r="E840" s="1">
        <v>839.0</v>
      </c>
      <c r="F840" s="1" t="s">
        <v>4858</v>
      </c>
      <c r="G840" s="1" t="str">
        <f>IFERROR(__xludf.DUMMYFUNCTION("SPLIT(C840, "", "")"),"Drama")</f>
        <v>Drama</v>
      </c>
      <c r="J840" s="5" t="str">
        <f>IFERROR(__xludf.DUMMYFUNCTION("""COMPUTED_VALUE"""),"280🤙🏼Rocky🤙🏼Sport🤙🏼2")</f>
        <v>280🤙🏼Rocky🤙🏼Sport🤙🏼2</v>
      </c>
      <c r="K840" s="5">
        <f>IFERROR(__xludf.DUMMYFUNCTION("SPLiT(J840, ""🤙🏼"",FALSE,FALSE)"),280.0)</f>
        <v>280</v>
      </c>
      <c r="L840" s="5" t="str">
        <f>IFERROR(__xludf.DUMMYFUNCTION("""COMPUTED_VALUE"""),"Rocky")</f>
        <v>Rocky</v>
      </c>
      <c r="M840" s="5" t="str">
        <f>IFERROR(__xludf.DUMMYFUNCTION("""COMPUTED_VALUE"""),"Sport")</f>
        <v>Sport</v>
      </c>
      <c r="N840" s="5">
        <f>IFERROR(__xludf.DUMMYFUNCTION("""COMPUTED_VALUE"""),2.0)</f>
        <v>2</v>
      </c>
      <c r="S840" s="5">
        <f>IFERROR(__xludf.DUMMYFUNCTION("""COMPUTED_VALUE"""),334.0)</f>
        <v>334</v>
      </c>
      <c r="T840" s="5" t="str">
        <f>IFERROR(__xludf.DUMMYFUNCTION("""COMPUTED_VALUE"""),"Wonder")</f>
        <v>Wonder</v>
      </c>
      <c r="U840" s="5" t="str">
        <f>IFERROR(__xludf.DUMMYFUNCTION("""COMPUTED_VALUE"""),"Drama")</f>
        <v>Drama</v>
      </c>
      <c r="V840" s="5">
        <f>IFERROR(__xludf.DUMMYFUNCTION("""COMPUTED_VALUE"""),1.0)</f>
        <v>1</v>
      </c>
    </row>
    <row r="841">
      <c r="A841" s="1">
        <v>840.0</v>
      </c>
      <c r="B841" s="1" t="s">
        <v>4861</v>
      </c>
      <c r="C841" s="1" t="s">
        <v>88</v>
      </c>
      <c r="D841" s="1"/>
      <c r="E841" s="1">
        <v>840.0</v>
      </c>
      <c r="F841" s="1" t="s">
        <v>4861</v>
      </c>
      <c r="G841" s="1" t="str">
        <f>IFERROR(__xludf.DUMMYFUNCTION("SPLIT(C841, "", "")"),"Action")</f>
        <v>Action</v>
      </c>
      <c r="H841" s="5" t="str">
        <f>IFERROR(__xludf.DUMMYFUNCTION("""COMPUTED_VALUE"""),"Adventure")</f>
        <v>Adventure</v>
      </c>
      <c r="I841" s="5" t="str">
        <f>IFERROR(__xludf.DUMMYFUNCTION("""COMPUTED_VALUE"""),"Sci-Fi")</f>
        <v>Sci-Fi</v>
      </c>
      <c r="J841" s="5" t="str">
        <f>IFERROR(__xludf.DUMMYFUNCTION("""COMPUTED_VALUE"""),"280🤙🏼Rocky🤙🏼🤙🏼3")</f>
        <v>280🤙🏼Rocky🤙🏼🤙🏼3</v>
      </c>
      <c r="K841" s="5">
        <f>IFERROR(__xludf.DUMMYFUNCTION("SPLiT(J841, ""🤙🏼"",FALSE,FALSE)"),280.0)</f>
        <v>280</v>
      </c>
      <c r="L841" s="5" t="str">
        <f>IFERROR(__xludf.DUMMYFUNCTION("""COMPUTED_VALUE"""),"Rocky")</f>
        <v>Rocky</v>
      </c>
      <c r="M841" s="5"/>
      <c r="N841" s="5">
        <f>IFERROR(__xludf.DUMMYFUNCTION("""COMPUTED_VALUE"""),3.0)</f>
        <v>3</v>
      </c>
      <c r="S841" s="5">
        <f>IFERROR(__xludf.DUMMYFUNCTION("""COMPUTED_VALUE"""),334.0)</f>
        <v>334</v>
      </c>
      <c r="T841" s="5" t="str">
        <f>IFERROR(__xludf.DUMMYFUNCTION("""COMPUTED_VALUE"""),"Wonder")</f>
        <v>Wonder</v>
      </c>
      <c r="U841" s="5" t="str">
        <f>IFERROR(__xludf.DUMMYFUNCTION("""COMPUTED_VALUE"""),"Family")</f>
        <v>Family</v>
      </c>
      <c r="V841" s="5">
        <f>IFERROR(__xludf.DUMMYFUNCTION("""COMPUTED_VALUE"""),2.0)</f>
        <v>2</v>
      </c>
    </row>
    <row r="842">
      <c r="A842" s="1">
        <v>841.0</v>
      </c>
      <c r="B842" s="1" t="s">
        <v>4867</v>
      </c>
      <c r="C842" s="1" t="s">
        <v>502</v>
      </c>
      <c r="D842" s="1"/>
      <c r="E842" s="1">
        <v>841.0</v>
      </c>
      <c r="F842" s="1" t="s">
        <v>4867</v>
      </c>
      <c r="G842" s="1" t="str">
        <f>IFERROR(__xludf.DUMMYFUNCTION("SPLIT(C842, "", "")"),"Action")</f>
        <v>Action</v>
      </c>
      <c r="H842" s="5" t="str">
        <f>IFERROR(__xludf.DUMMYFUNCTION("""COMPUTED_VALUE"""),"Adventure")</f>
        <v>Adventure</v>
      </c>
      <c r="J842" s="5" t="str">
        <f>IFERROR(__xludf.DUMMYFUNCTION("""COMPUTED_VALUE"""),"281🤙🏼Network🤙🏼Drama🤙🏼1")</f>
        <v>281🤙🏼Network🤙🏼Drama🤙🏼1</v>
      </c>
      <c r="K842" s="5">
        <f>IFERROR(__xludf.DUMMYFUNCTION("SPLiT(J842, ""🤙🏼"",FALSE,FALSE)"),281.0)</f>
        <v>281</v>
      </c>
      <c r="L842" s="5" t="str">
        <f>IFERROR(__xludf.DUMMYFUNCTION("""COMPUTED_VALUE"""),"Network")</f>
        <v>Network</v>
      </c>
      <c r="M842" s="5" t="str">
        <f>IFERROR(__xludf.DUMMYFUNCTION("""COMPUTED_VALUE"""),"Drama")</f>
        <v>Drama</v>
      </c>
      <c r="N842" s="5">
        <f>IFERROR(__xludf.DUMMYFUNCTION("""COMPUTED_VALUE"""),1.0)</f>
        <v>1</v>
      </c>
      <c r="S842" s="5">
        <f>IFERROR(__xludf.DUMMYFUNCTION("""COMPUTED_VALUE"""),335.0)</f>
        <v>335</v>
      </c>
      <c r="T842" s="5" t="str">
        <f>IFERROR(__xludf.DUMMYFUNCTION("""COMPUTED_VALUE"""),"Gully Boy")</f>
        <v>Gully Boy</v>
      </c>
      <c r="U842" s="5" t="str">
        <f>IFERROR(__xludf.DUMMYFUNCTION("""COMPUTED_VALUE"""),"Drama")</f>
        <v>Drama</v>
      </c>
      <c r="V842" s="5">
        <f>IFERROR(__xludf.DUMMYFUNCTION("""COMPUTED_VALUE"""),1.0)</f>
        <v>1</v>
      </c>
    </row>
    <row r="843">
      <c r="A843" s="1">
        <v>842.0</v>
      </c>
      <c r="B843" s="1" t="s">
        <v>4871</v>
      </c>
      <c r="C843" s="1" t="s">
        <v>20</v>
      </c>
      <c r="D843" s="1"/>
      <c r="E843" s="1">
        <v>842.0</v>
      </c>
      <c r="F843" s="1" t="s">
        <v>4871</v>
      </c>
      <c r="G843" s="1" t="str">
        <f>IFERROR(__xludf.DUMMYFUNCTION("SPLIT(C843, "", "")"),"Drama")</f>
        <v>Drama</v>
      </c>
      <c r="J843" s="5" t="str">
        <f>IFERROR(__xludf.DUMMYFUNCTION("""COMPUTED_VALUE"""),"281🤙🏼Network🤙🏼🤙🏼2")</f>
        <v>281🤙🏼Network🤙🏼🤙🏼2</v>
      </c>
      <c r="K843" s="5">
        <f>IFERROR(__xludf.DUMMYFUNCTION("SPLiT(J843, ""🤙🏼"",FALSE,FALSE)"),281.0)</f>
        <v>281</v>
      </c>
      <c r="L843" s="5" t="str">
        <f>IFERROR(__xludf.DUMMYFUNCTION("""COMPUTED_VALUE"""),"Network")</f>
        <v>Network</v>
      </c>
      <c r="M843" s="5"/>
      <c r="N843" s="5">
        <f>IFERROR(__xludf.DUMMYFUNCTION("""COMPUTED_VALUE"""),2.0)</f>
        <v>2</v>
      </c>
      <c r="S843" s="5">
        <f>IFERROR(__xludf.DUMMYFUNCTION("""COMPUTED_VALUE"""),335.0)</f>
        <v>335</v>
      </c>
      <c r="T843" s="5" t="str">
        <f>IFERROR(__xludf.DUMMYFUNCTION("""COMPUTED_VALUE"""),"Gully Boy")</f>
        <v>Gully Boy</v>
      </c>
      <c r="U843" s="5" t="str">
        <f>IFERROR(__xludf.DUMMYFUNCTION("""COMPUTED_VALUE"""),"Music")</f>
        <v>Music</v>
      </c>
      <c r="V843" s="5">
        <f>IFERROR(__xludf.DUMMYFUNCTION("""COMPUTED_VALUE"""),2.0)</f>
        <v>2</v>
      </c>
    </row>
    <row r="844">
      <c r="A844" s="1">
        <v>843.0</v>
      </c>
      <c r="B844" s="1" t="s">
        <v>4876</v>
      </c>
      <c r="C844" s="1" t="s">
        <v>602</v>
      </c>
      <c r="D844" s="1"/>
      <c r="E844" s="1">
        <v>843.0</v>
      </c>
      <c r="F844" s="1" t="s">
        <v>4876</v>
      </c>
      <c r="G844" s="1" t="str">
        <f>IFERROR(__xludf.DUMMYFUNCTION("SPLIT(C844, "", "")"),"Comedy")</f>
        <v>Comedy</v>
      </c>
      <c r="J844" s="5" t="str">
        <f>IFERROR(__xludf.DUMMYFUNCTION("""COMPUTED_VALUE"""),"281🤙🏼Network🤙🏼🤙🏼3")</f>
        <v>281🤙🏼Network🤙🏼🤙🏼3</v>
      </c>
      <c r="K844" s="5">
        <f>IFERROR(__xludf.DUMMYFUNCTION("SPLiT(J844, ""🤙🏼"",FALSE,FALSE)"),281.0)</f>
        <v>281</v>
      </c>
      <c r="L844" s="5" t="str">
        <f>IFERROR(__xludf.DUMMYFUNCTION("""COMPUTED_VALUE"""),"Network")</f>
        <v>Network</v>
      </c>
      <c r="M844" s="5"/>
      <c r="N844" s="5">
        <f>IFERROR(__xludf.DUMMYFUNCTION("""COMPUTED_VALUE"""),3.0)</f>
        <v>3</v>
      </c>
      <c r="S844" s="5">
        <f>IFERROR(__xludf.DUMMYFUNCTION("""COMPUTED_VALUE"""),335.0)</f>
        <v>335</v>
      </c>
      <c r="T844" s="5" t="str">
        <f>IFERROR(__xludf.DUMMYFUNCTION("""COMPUTED_VALUE"""),"Gully Boy")</f>
        <v>Gully Boy</v>
      </c>
      <c r="U844" s="5" t="str">
        <f>IFERROR(__xludf.DUMMYFUNCTION("""COMPUTED_VALUE"""),"Romance")</f>
        <v>Romance</v>
      </c>
      <c r="V844" s="5">
        <f>IFERROR(__xludf.DUMMYFUNCTION("""COMPUTED_VALUE"""),3.0)</f>
        <v>3</v>
      </c>
    </row>
    <row r="845">
      <c r="A845" s="1">
        <v>844.0</v>
      </c>
      <c r="B845" s="1" t="s">
        <v>4883</v>
      </c>
      <c r="C845" s="1" t="s">
        <v>204</v>
      </c>
      <c r="D845" s="1"/>
      <c r="E845" s="1">
        <v>844.0</v>
      </c>
      <c r="F845" s="1" t="s">
        <v>4883</v>
      </c>
      <c r="G845" s="1" t="str">
        <f>IFERROR(__xludf.DUMMYFUNCTION("SPLIT(C845, "", "")"),"Animation")</f>
        <v>Animation</v>
      </c>
      <c r="H845" s="5" t="str">
        <f>IFERROR(__xludf.DUMMYFUNCTION("""COMPUTED_VALUE"""),"Adventure")</f>
        <v>Adventure</v>
      </c>
      <c r="I845" s="5" t="str">
        <f>IFERROR(__xludf.DUMMYFUNCTION("""COMPUTED_VALUE"""),"Family")</f>
        <v>Family</v>
      </c>
      <c r="J845" s="5" t="str">
        <f>IFERROR(__xludf.DUMMYFUNCTION("""COMPUTED_VALUE"""),"282🤙🏼Barry Lyndon🤙🏼Adventure🤙🏼1")</f>
        <v>282🤙🏼Barry Lyndon🤙🏼Adventure🤙🏼1</v>
      </c>
      <c r="K845" s="5">
        <f>IFERROR(__xludf.DUMMYFUNCTION("SPLiT(J845, ""🤙🏼"",FALSE,FALSE)"),282.0)</f>
        <v>282</v>
      </c>
      <c r="L845" s="5" t="str">
        <f>IFERROR(__xludf.DUMMYFUNCTION("""COMPUTED_VALUE"""),"Barry Lyndon")</f>
        <v>Barry Lyndon</v>
      </c>
      <c r="M845" s="5" t="str">
        <f>IFERROR(__xludf.DUMMYFUNCTION("""COMPUTED_VALUE"""),"Adventure")</f>
        <v>Adventure</v>
      </c>
      <c r="N845" s="5">
        <f>IFERROR(__xludf.DUMMYFUNCTION("""COMPUTED_VALUE"""),1.0)</f>
        <v>1</v>
      </c>
      <c r="S845" s="5">
        <f>IFERROR(__xludf.DUMMYFUNCTION("""COMPUTED_VALUE"""),336.0)</f>
        <v>336</v>
      </c>
      <c r="T845" s="5" t="str">
        <f>IFERROR(__xludf.DUMMYFUNCTION("""COMPUTED_VALUE"""),"Special Chabbis")</f>
        <v>Special Chabbis</v>
      </c>
      <c r="U845" s="5" t="str">
        <f>IFERROR(__xludf.DUMMYFUNCTION("""COMPUTED_VALUE"""),"Crime")</f>
        <v>Crime</v>
      </c>
      <c r="V845" s="5">
        <f>IFERROR(__xludf.DUMMYFUNCTION("""COMPUTED_VALUE"""),1.0)</f>
        <v>1</v>
      </c>
    </row>
    <row r="846">
      <c r="A846" s="1">
        <v>845.0</v>
      </c>
      <c r="B846" s="1" t="s">
        <v>4889</v>
      </c>
      <c r="C846" s="1" t="s">
        <v>3376</v>
      </c>
      <c r="D846" s="1"/>
      <c r="E846" s="1">
        <v>845.0</v>
      </c>
      <c r="F846" s="1" t="s">
        <v>4889</v>
      </c>
      <c r="G846" s="1" t="str">
        <f>IFERROR(__xludf.DUMMYFUNCTION("SPLIT(C846, "", "")"),"Horror")</f>
        <v>Horror</v>
      </c>
      <c r="H846" s="5" t="str">
        <f>IFERROR(__xludf.DUMMYFUNCTION("""COMPUTED_VALUE"""),"Thriller")</f>
        <v>Thriller</v>
      </c>
      <c r="J846" s="5" t="str">
        <f>IFERROR(__xludf.DUMMYFUNCTION("""COMPUTED_VALUE"""),"282🤙🏼Barry Lyndon🤙🏼Drama🤙🏼2")</f>
        <v>282🤙🏼Barry Lyndon🤙🏼Drama🤙🏼2</v>
      </c>
      <c r="K846" s="5">
        <f>IFERROR(__xludf.DUMMYFUNCTION("SPLiT(J846, ""🤙🏼"",FALSE,FALSE)"),282.0)</f>
        <v>282</v>
      </c>
      <c r="L846" s="5" t="str">
        <f>IFERROR(__xludf.DUMMYFUNCTION("""COMPUTED_VALUE"""),"Barry Lyndon")</f>
        <v>Barry Lyndon</v>
      </c>
      <c r="M846" s="5" t="str">
        <f>IFERROR(__xludf.DUMMYFUNCTION("""COMPUTED_VALUE"""),"Drama")</f>
        <v>Drama</v>
      </c>
      <c r="N846" s="5">
        <f>IFERROR(__xludf.DUMMYFUNCTION("""COMPUTED_VALUE"""),2.0)</f>
        <v>2</v>
      </c>
      <c r="S846" s="5">
        <f>IFERROR(__xludf.DUMMYFUNCTION("""COMPUTED_VALUE"""),336.0)</f>
        <v>336</v>
      </c>
      <c r="T846" s="5" t="str">
        <f>IFERROR(__xludf.DUMMYFUNCTION("""COMPUTED_VALUE"""),"Special Chabbis")</f>
        <v>Special Chabbis</v>
      </c>
      <c r="U846" s="5" t="str">
        <f>IFERROR(__xludf.DUMMYFUNCTION("""COMPUTED_VALUE"""),"Drama")</f>
        <v>Drama</v>
      </c>
      <c r="V846" s="5">
        <f>IFERROR(__xludf.DUMMYFUNCTION("""COMPUTED_VALUE"""),2.0)</f>
        <v>2</v>
      </c>
    </row>
    <row r="847">
      <c r="A847" s="1">
        <v>846.0</v>
      </c>
      <c r="B847" s="1" t="s">
        <v>4894</v>
      </c>
      <c r="C847" s="1" t="s">
        <v>1377</v>
      </c>
      <c r="D847" s="1"/>
      <c r="E847" s="1">
        <v>846.0</v>
      </c>
      <c r="F847" s="1" t="s">
        <v>4894</v>
      </c>
      <c r="G847" s="1" t="str">
        <f>IFERROR(__xludf.DUMMYFUNCTION("SPLIT(C847, "", "")"),"Drama")</f>
        <v>Drama</v>
      </c>
      <c r="H847" s="5" t="str">
        <f>IFERROR(__xludf.DUMMYFUNCTION("""COMPUTED_VALUE"""),"Thriller")</f>
        <v>Thriller</v>
      </c>
      <c r="J847" s="5" t="str">
        <f>IFERROR(__xludf.DUMMYFUNCTION("""COMPUTED_VALUE"""),"282🤙🏼Barry Lyndon🤙🏼History🤙🏼3")</f>
        <v>282🤙🏼Barry Lyndon🤙🏼History🤙🏼3</v>
      </c>
      <c r="K847" s="5">
        <f>IFERROR(__xludf.DUMMYFUNCTION("SPLiT(J847, ""🤙🏼"",FALSE,FALSE)"),282.0)</f>
        <v>282</v>
      </c>
      <c r="L847" s="5" t="str">
        <f>IFERROR(__xludf.DUMMYFUNCTION("""COMPUTED_VALUE"""),"Barry Lyndon")</f>
        <v>Barry Lyndon</v>
      </c>
      <c r="M847" s="5" t="str">
        <f>IFERROR(__xludf.DUMMYFUNCTION("""COMPUTED_VALUE"""),"History")</f>
        <v>History</v>
      </c>
      <c r="N847" s="5">
        <f>IFERROR(__xludf.DUMMYFUNCTION("""COMPUTED_VALUE"""),3.0)</f>
        <v>3</v>
      </c>
      <c r="S847" s="5">
        <f>IFERROR(__xludf.DUMMYFUNCTION("""COMPUTED_VALUE"""),336.0)</f>
        <v>336</v>
      </c>
      <c r="T847" s="5" t="str">
        <f>IFERROR(__xludf.DUMMYFUNCTION("""COMPUTED_VALUE"""),"Special Chabbis")</f>
        <v>Special Chabbis</v>
      </c>
      <c r="U847" s="5" t="str">
        <f>IFERROR(__xludf.DUMMYFUNCTION("""COMPUTED_VALUE"""),"Thriller")</f>
        <v>Thriller</v>
      </c>
      <c r="V847" s="5">
        <f>IFERROR(__xludf.DUMMYFUNCTION("""COMPUTED_VALUE"""),3.0)</f>
        <v>3</v>
      </c>
    </row>
    <row r="848">
      <c r="A848" s="1">
        <v>847.0</v>
      </c>
      <c r="B848" s="1" t="s">
        <v>4898</v>
      </c>
      <c r="C848" s="1" t="s">
        <v>1351</v>
      </c>
      <c r="D848" s="1"/>
      <c r="E848" s="1">
        <v>847.0</v>
      </c>
      <c r="F848" s="1" t="s">
        <v>4898</v>
      </c>
      <c r="G848" s="1" t="str">
        <f>IFERROR(__xludf.DUMMYFUNCTION("SPLIT(C848, "", "")"),"Comedy")</f>
        <v>Comedy</v>
      </c>
      <c r="H848" s="5" t="str">
        <f>IFERROR(__xludf.DUMMYFUNCTION("""COMPUTED_VALUE"""),"War")</f>
        <v>War</v>
      </c>
      <c r="J848" s="5" t="str">
        <f>IFERROR(__xludf.DUMMYFUNCTION("""COMPUTED_VALUE"""),"283🤙🏼Zerkalo🤙🏼Biography🤙🏼1")</f>
        <v>283🤙🏼Zerkalo🤙🏼Biography🤙🏼1</v>
      </c>
      <c r="K848" s="5">
        <f>IFERROR(__xludf.DUMMYFUNCTION("SPLiT(J848, ""🤙🏼"",FALSE,FALSE)"),283.0)</f>
        <v>283</v>
      </c>
      <c r="L848" s="5" t="str">
        <f>IFERROR(__xludf.DUMMYFUNCTION("""COMPUTED_VALUE"""),"Zerkalo")</f>
        <v>Zerkalo</v>
      </c>
      <c r="M848" s="5" t="str">
        <f>IFERROR(__xludf.DUMMYFUNCTION("""COMPUTED_VALUE"""),"Biography")</f>
        <v>Biography</v>
      </c>
      <c r="N848" s="5">
        <f>IFERROR(__xludf.DUMMYFUNCTION("""COMPUTED_VALUE"""),1.0)</f>
        <v>1</v>
      </c>
      <c r="S848" s="5">
        <f>IFERROR(__xludf.DUMMYFUNCTION("""COMPUTED_VALUE"""),337.0)</f>
        <v>337</v>
      </c>
      <c r="T848" s="5" t="str">
        <f>IFERROR(__xludf.DUMMYFUNCTION("""COMPUTED_VALUE"""),"Short Term 12")</f>
        <v>Short Term 12</v>
      </c>
      <c r="U848" s="5" t="str">
        <f>IFERROR(__xludf.DUMMYFUNCTION("""COMPUTED_VALUE"""),"Drama")</f>
        <v>Drama</v>
      </c>
      <c r="V848" s="5">
        <f>IFERROR(__xludf.DUMMYFUNCTION("""COMPUTED_VALUE"""),1.0)</f>
        <v>1</v>
      </c>
    </row>
    <row r="849">
      <c r="A849" s="1">
        <v>848.0</v>
      </c>
      <c r="B849" s="1" t="s">
        <v>4902</v>
      </c>
      <c r="C849" s="1" t="s">
        <v>2169</v>
      </c>
      <c r="D849" s="1"/>
      <c r="E849" s="1">
        <v>848.0</v>
      </c>
      <c r="F849" s="1" t="s">
        <v>4902</v>
      </c>
      <c r="G849" s="1" t="str">
        <f>IFERROR(__xludf.DUMMYFUNCTION("SPLIT(C849, "", "")"),"Action")</f>
        <v>Action</v>
      </c>
      <c r="H849" s="5" t="str">
        <f>IFERROR(__xludf.DUMMYFUNCTION("""COMPUTED_VALUE"""),"Crime")</f>
        <v>Crime</v>
      </c>
      <c r="I849" s="5" t="str">
        <f>IFERROR(__xludf.DUMMYFUNCTION("""COMPUTED_VALUE"""),"Thriller")</f>
        <v>Thriller</v>
      </c>
      <c r="J849" s="5" t="str">
        <f>IFERROR(__xludf.DUMMYFUNCTION("""COMPUTED_VALUE"""),"283🤙🏼Zerkalo🤙🏼Drama🤙🏼2")</f>
        <v>283🤙🏼Zerkalo🤙🏼Drama🤙🏼2</v>
      </c>
      <c r="K849" s="5">
        <f>IFERROR(__xludf.DUMMYFUNCTION("SPLiT(J849, ""🤙🏼"",FALSE,FALSE)"),283.0)</f>
        <v>283</v>
      </c>
      <c r="L849" s="5" t="str">
        <f>IFERROR(__xludf.DUMMYFUNCTION("""COMPUTED_VALUE"""),"Zerkalo")</f>
        <v>Zerkalo</v>
      </c>
      <c r="M849" s="5" t="str">
        <f>IFERROR(__xludf.DUMMYFUNCTION("""COMPUTED_VALUE"""),"Drama")</f>
        <v>Drama</v>
      </c>
      <c r="N849" s="5">
        <f>IFERROR(__xludf.DUMMYFUNCTION("""COMPUTED_VALUE"""),2.0)</f>
        <v>2</v>
      </c>
      <c r="S849" s="5">
        <f>IFERROR(__xludf.DUMMYFUNCTION("""COMPUTED_VALUE"""),338.0)</f>
        <v>338</v>
      </c>
      <c r="T849" s="5" t="str">
        <f>IFERROR(__xludf.DUMMYFUNCTION("""COMPUTED_VALUE"""),"Serbuan maut 2: Berandal")</f>
        <v>Serbuan maut 2: Berandal</v>
      </c>
      <c r="U849" s="5" t="str">
        <f>IFERROR(__xludf.DUMMYFUNCTION("""COMPUTED_VALUE"""),"Action")</f>
        <v>Action</v>
      </c>
      <c r="V849" s="5">
        <f>IFERROR(__xludf.DUMMYFUNCTION("""COMPUTED_VALUE"""),1.0)</f>
        <v>1</v>
      </c>
    </row>
    <row r="850">
      <c r="A850" s="1">
        <v>849.0</v>
      </c>
      <c r="B850" s="1" t="s">
        <v>4906</v>
      </c>
      <c r="C850" s="1" t="s">
        <v>4907</v>
      </c>
      <c r="D850" s="1"/>
      <c r="E850" s="1">
        <v>849.0</v>
      </c>
      <c r="F850" s="1" t="s">
        <v>4906</v>
      </c>
      <c r="G850" s="1" t="str">
        <f>IFERROR(__xludf.DUMMYFUNCTION("SPLIT(C850, "", "")"),"Comedy")</f>
        <v>Comedy</v>
      </c>
      <c r="H850" s="5" t="str">
        <f>IFERROR(__xludf.DUMMYFUNCTION("""COMPUTED_VALUE"""),"Western")</f>
        <v>Western</v>
      </c>
      <c r="J850" s="5" t="str">
        <f>IFERROR(__xludf.DUMMYFUNCTION("""COMPUTED_VALUE"""),"283🤙🏼Zerkalo🤙🏼🤙🏼3")</f>
        <v>283🤙🏼Zerkalo🤙🏼🤙🏼3</v>
      </c>
      <c r="K850" s="5">
        <f>IFERROR(__xludf.DUMMYFUNCTION("SPLiT(J850, ""🤙🏼"",FALSE,FALSE)"),283.0)</f>
        <v>283</v>
      </c>
      <c r="L850" s="5" t="str">
        <f>IFERROR(__xludf.DUMMYFUNCTION("""COMPUTED_VALUE"""),"Zerkalo")</f>
        <v>Zerkalo</v>
      </c>
      <c r="M850" s="5"/>
      <c r="N850" s="5">
        <f>IFERROR(__xludf.DUMMYFUNCTION("""COMPUTED_VALUE"""),3.0)</f>
        <v>3</v>
      </c>
      <c r="S850" s="5">
        <f>IFERROR(__xludf.DUMMYFUNCTION("""COMPUTED_VALUE"""),338.0)</f>
        <v>338</v>
      </c>
      <c r="T850" s="5" t="str">
        <f>IFERROR(__xludf.DUMMYFUNCTION("""COMPUTED_VALUE"""),"Serbuan maut 2: Berandal")</f>
        <v>Serbuan maut 2: Berandal</v>
      </c>
      <c r="U850" s="5" t="str">
        <f>IFERROR(__xludf.DUMMYFUNCTION("""COMPUTED_VALUE"""),"Crime")</f>
        <v>Crime</v>
      </c>
      <c r="V850" s="5">
        <f>IFERROR(__xludf.DUMMYFUNCTION("""COMPUTED_VALUE"""),2.0)</f>
        <v>2</v>
      </c>
    </row>
    <row r="851">
      <c r="A851" s="1">
        <v>850.0</v>
      </c>
      <c r="B851" s="1" t="s">
        <v>4912</v>
      </c>
      <c r="C851" s="1" t="s">
        <v>137</v>
      </c>
      <c r="D851" s="1"/>
      <c r="E851" s="1">
        <v>850.0</v>
      </c>
      <c r="F851" s="1" t="s">
        <v>4912</v>
      </c>
      <c r="G851" s="1" t="str">
        <f>IFERROR(__xludf.DUMMYFUNCTION("SPLIT(C851, "", "")"),"Biography")</f>
        <v>Biography</v>
      </c>
      <c r="H851" s="5" t="str">
        <f>IFERROR(__xludf.DUMMYFUNCTION("""COMPUTED_VALUE"""),"Crime")</f>
        <v>Crime</v>
      </c>
      <c r="I851" s="5" t="str">
        <f>IFERROR(__xludf.DUMMYFUNCTION("""COMPUTED_VALUE"""),"Drama")</f>
        <v>Drama</v>
      </c>
      <c r="J851" s="5" t="str">
        <f>IFERROR(__xludf.DUMMYFUNCTION("""COMPUTED_VALUE"""),"284🤙🏼Chinatown🤙🏼Drama🤙🏼1")</f>
        <v>284🤙🏼Chinatown🤙🏼Drama🤙🏼1</v>
      </c>
      <c r="K851" s="5">
        <f>IFERROR(__xludf.DUMMYFUNCTION("SPLiT(J851, ""🤙🏼"",FALSE,FALSE)"),284.0)</f>
        <v>284</v>
      </c>
      <c r="L851" s="5" t="str">
        <f>IFERROR(__xludf.DUMMYFUNCTION("""COMPUTED_VALUE"""),"Chinatown")</f>
        <v>Chinatown</v>
      </c>
      <c r="M851" s="5" t="str">
        <f>IFERROR(__xludf.DUMMYFUNCTION("""COMPUTED_VALUE"""),"Drama")</f>
        <v>Drama</v>
      </c>
      <c r="N851" s="5">
        <f>IFERROR(__xludf.DUMMYFUNCTION("""COMPUTED_VALUE"""),1.0)</f>
        <v>1</v>
      </c>
      <c r="S851" s="5">
        <f>IFERROR(__xludf.DUMMYFUNCTION("""COMPUTED_VALUE"""),338.0)</f>
        <v>338</v>
      </c>
      <c r="T851" s="5" t="str">
        <f>IFERROR(__xludf.DUMMYFUNCTION("""COMPUTED_VALUE"""),"Serbuan maut 2: Berandal")</f>
        <v>Serbuan maut 2: Berandal</v>
      </c>
      <c r="U851" s="5" t="str">
        <f>IFERROR(__xludf.DUMMYFUNCTION("""COMPUTED_VALUE"""),"Thriller")</f>
        <v>Thriller</v>
      </c>
      <c r="V851" s="5">
        <f>IFERROR(__xludf.DUMMYFUNCTION("""COMPUTED_VALUE"""),3.0)</f>
        <v>3</v>
      </c>
    </row>
    <row r="852">
      <c r="A852" s="1">
        <v>851.0</v>
      </c>
      <c r="B852" s="1" t="s">
        <v>4917</v>
      </c>
      <c r="C852" s="1" t="s">
        <v>39</v>
      </c>
      <c r="D852" s="1"/>
      <c r="E852" s="1">
        <v>851.0</v>
      </c>
      <c r="F852" s="1" t="s">
        <v>4917</v>
      </c>
      <c r="G852" s="1" t="str">
        <f>IFERROR(__xludf.DUMMYFUNCTION("SPLIT(C852, "", "")"),"Action")</f>
        <v>Action</v>
      </c>
      <c r="H852" s="5" t="str">
        <f>IFERROR(__xludf.DUMMYFUNCTION("""COMPUTED_VALUE"""),"Crime")</f>
        <v>Crime</v>
      </c>
      <c r="I852" s="5" t="str">
        <f>IFERROR(__xludf.DUMMYFUNCTION("""COMPUTED_VALUE"""),"Drama")</f>
        <v>Drama</v>
      </c>
      <c r="J852" s="5" t="str">
        <f>IFERROR(__xludf.DUMMYFUNCTION("""COMPUTED_VALUE"""),"284🤙🏼Chinatown🤙🏼Mystery🤙🏼2")</f>
        <v>284🤙🏼Chinatown🤙🏼Mystery🤙🏼2</v>
      </c>
      <c r="K852" s="5">
        <f>IFERROR(__xludf.DUMMYFUNCTION("SPLiT(J852, ""🤙🏼"",FALSE,FALSE)"),284.0)</f>
        <v>284</v>
      </c>
      <c r="L852" s="5" t="str">
        <f>IFERROR(__xludf.DUMMYFUNCTION("""COMPUTED_VALUE"""),"Chinatown")</f>
        <v>Chinatown</v>
      </c>
      <c r="M852" s="5" t="str">
        <f>IFERROR(__xludf.DUMMYFUNCTION("""COMPUTED_VALUE"""),"Mystery")</f>
        <v>Mystery</v>
      </c>
      <c r="N852" s="5">
        <f>IFERROR(__xludf.DUMMYFUNCTION("""COMPUTED_VALUE"""),2.0)</f>
        <v>2</v>
      </c>
      <c r="S852" s="5">
        <f>IFERROR(__xludf.DUMMYFUNCTION("""COMPUTED_VALUE"""),339.0)</f>
        <v>339</v>
      </c>
      <c r="T852" s="5" t="str">
        <f>IFERROR(__xludf.DUMMYFUNCTION("""COMPUTED_VALUE"""),"The Imitation Game")</f>
        <v>The Imitation Game</v>
      </c>
      <c r="U852" s="5" t="str">
        <f>IFERROR(__xludf.DUMMYFUNCTION("""COMPUTED_VALUE"""),"Biography")</f>
        <v>Biography</v>
      </c>
      <c r="V852" s="5">
        <f>IFERROR(__xludf.DUMMYFUNCTION("""COMPUTED_VALUE"""),1.0)</f>
        <v>1</v>
      </c>
    </row>
    <row r="853">
      <c r="A853" s="1">
        <v>852.0</v>
      </c>
      <c r="B853" s="1" t="s">
        <v>4924</v>
      </c>
      <c r="C853" s="1" t="s">
        <v>817</v>
      </c>
      <c r="D853" s="1"/>
      <c r="E853" s="1">
        <v>852.0</v>
      </c>
      <c r="F853" s="1" t="s">
        <v>4924</v>
      </c>
      <c r="G853" s="1" t="str">
        <f>IFERROR(__xludf.DUMMYFUNCTION("SPLIT(C853, "", "")"),"Adventure")</f>
        <v>Adventure</v>
      </c>
      <c r="H853" s="5" t="str">
        <f>IFERROR(__xludf.DUMMYFUNCTION("""COMPUTED_VALUE"""),"Drama")</f>
        <v>Drama</v>
      </c>
      <c r="I853" s="5" t="str">
        <f>IFERROR(__xludf.DUMMYFUNCTION("""COMPUTED_VALUE"""),"Thriller")</f>
        <v>Thriller</v>
      </c>
      <c r="J853" s="5" t="str">
        <f>IFERROR(__xludf.DUMMYFUNCTION("""COMPUTED_VALUE"""),"284🤙🏼Chinatown🤙🏼Thriller🤙🏼3")</f>
        <v>284🤙🏼Chinatown🤙🏼Thriller🤙🏼3</v>
      </c>
      <c r="K853" s="5">
        <f>IFERROR(__xludf.DUMMYFUNCTION("SPLiT(J853, ""🤙🏼"",FALSE,FALSE)"),284.0)</f>
        <v>284</v>
      </c>
      <c r="L853" s="5" t="str">
        <f>IFERROR(__xludf.DUMMYFUNCTION("""COMPUTED_VALUE"""),"Chinatown")</f>
        <v>Chinatown</v>
      </c>
      <c r="M853" s="5" t="str">
        <f>IFERROR(__xludf.DUMMYFUNCTION("""COMPUTED_VALUE"""),"Thriller")</f>
        <v>Thriller</v>
      </c>
      <c r="N853" s="5">
        <f>IFERROR(__xludf.DUMMYFUNCTION("""COMPUTED_VALUE"""),3.0)</f>
        <v>3</v>
      </c>
      <c r="S853" s="5">
        <f>IFERROR(__xludf.DUMMYFUNCTION("""COMPUTED_VALUE"""),339.0)</f>
        <v>339</v>
      </c>
      <c r="T853" s="5" t="str">
        <f>IFERROR(__xludf.DUMMYFUNCTION("""COMPUTED_VALUE"""),"The Imitation Game")</f>
        <v>The Imitation Game</v>
      </c>
      <c r="U853" s="5" t="str">
        <f>IFERROR(__xludf.DUMMYFUNCTION("""COMPUTED_VALUE"""),"Drama")</f>
        <v>Drama</v>
      </c>
      <c r="V853" s="5">
        <f>IFERROR(__xludf.DUMMYFUNCTION("""COMPUTED_VALUE"""),2.0)</f>
        <v>2</v>
      </c>
    </row>
    <row r="854">
      <c r="A854" s="1">
        <v>853.0</v>
      </c>
      <c r="B854" s="1" t="s">
        <v>4928</v>
      </c>
      <c r="C854" s="1" t="s">
        <v>39</v>
      </c>
      <c r="D854" s="1"/>
      <c r="E854" s="1">
        <v>853.0</v>
      </c>
      <c r="F854" s="1" t="s">
        <v>4928</v>
      </c>
      <c r="G854" s="1" t="str">
        <f>IFERROR(__xludf.DUMMYFUNCTION("SPLIT(C854, "", "")"),"Action")</f>
        <v>Action</v>
      </c>
      <c r="H854" s="5" t="str">
        <f>IFERROR(__xludf.DUMMYFUNCTION("""COMPUTED_VALUE"""),"Crime")</f>
        <v>Crime</v>
      </c>
      <c r="I854" s="5" t="str">
        <f>IFERROR(__xludf.DUMMYFUNCTION("""COMPUTED_VALUE"""),"Drama")</f>
        <v>Drama</v>
      </c>
      <c r="J854" s="5" t="str">
        <f>IFERROR(__xludf.DUMMYFUNCTION("""COMPUTED_VALUE"""),"285🤙🏼Paper Moon🤙🏼Comedy🤙🏼1")</f>
        <v>285🤙🏼Paper Moon🤙🏼Comedy🤙🏼1</v>
      </c>
      <c r="K854" s="5">
        <f>IFERROR(__xludf.DUMMYFUNCTION("SPLiT(J854, ""🤙🏼"",FALSE,FALSE)"),285.0)</f>
        <v>285</v>
      </c>
      <c r="L854" s="5" t="str">
        <f>IFERROR(__xludf.DUMMYFUNCTION("""COMPUTED_VALUE"""),"Paper Moon")</f>
        <v>Paper Moon</v>
      </c>
      <c r="M854" s="5" t="str">
        <f>IFERROR(__xludf.DUMMYFUNCTION("""COMPUTED_VALUE"""),"Comedy")</f>
        <v>Comedy</v>
      </c>
      <c r="N854" s="5">
        <f>IFERROR(__xludf.DUMMYFUNCTION("""COMPUTED_VALUE"""),1.0)</f>
        <v>1</v>
      </c>
      <c r="S854" s="5">
        <f>IFERROR(__xludf.DUMMYFUNCTION("""COMPUTED_VALUE"""),339.0)</f>
        <v>339</v>
      </c>
      <c r="T854" s="5" t="str">
        <f>IFERROR(__xludf.DUMMYFUNCTION("""COMPUTED_VALUE"""),"The Imitation Game")</f>
        <v>The Imitation Game</v>
      </c>
      <c r="U854" s="5" t="str">
        <f>IFERROR(__xludf.DUMMYFUNCTION("""COMPUTED_VALUE"""),"Thriller")</f>
        <v>Thriller</v>
      </c>
      <c r="V854" s="5">
        <f>IFERROR(__xludf.DUMMYFUNCTION("""COMPUTED_VALUE"""),3.0)</f>
        <v>3</v>
      </c>
    </row>
    <row r="855">
      <c r="A855" s="1">
        <v>854.0</v>
      </c>
      <c r="B855" s="1" t="s">
        <v>4931</v>
      </c>
      <c r="C855" s="1" t="s">
        <v>2169</v>
      </c>
      <c r="D855" s="1"/>
      <c r="E855" s="1">
        <v>854.0</v>
      </c>
      <c r="F855" s="1" t="s">
        <v>4931</v>
      </c>
      <c r="G855" s="1" t="str">
        <f>IFERROR(__xludf.DUMMYFUNCTION("SPLIT(C855, "", "")"),"Action")</f>
        <v>Action</v>
      </c>
      <c r="H855" s="5" t="str">
        <f>IFERROR(__xludf.DUMMYFUNCTION("""COMPUTED_VALUE"""),"Crime")</f>
        <v>Crime</v>
      </c>
      <c r="I855" s="5" t="str">
        <f>IFERROR(__xludf.DUMMYFUNCTION("""COMPUTED_VALUE"""),"Thriller")</f>
        <v>Thriller</v>
      </c>
      <c r="J855" s="5" t="str">
        <f>IFERROR(__xludf.DUMMYFUNCTION("""COMPUTED_VALUE"""),"285🤙🏼Paper Moon🤙🏼Crime🤙🏼2")</f>
        <v>285🤙🏼Paper Moon🤙🏼Crime🤙🏼2</v>
      </c>
      <c r="K855" s="5">
        <f>IFERROR(__xludf.DUMMYFUNCTION("SPLiT(J855, ""🤙🏼"",FALSE,FALSE)"),285.0)</f>
        <v>285</v>
      </c>
      <c r="L855" s="5" t="str">
        <f>IFERROR(__xludf.DUMMYFUNCTION("""COMPUTED_VALUE"""),"Paper Moon")</f>
        <v>Paper Moon</v>
      </c>
      <c r="M855" s="5" t="str">
        <f>IFERROR(__xludf.DUMMYFUNCTION("""COMPUTED_VALUE"""),"Crime")</f>
        <v>Crime</v>
      </c>
      <c r="N855" s="5">
        <f>IFERROR(__xludf.DUMMYFUNCTION("""COMPUTED_VALUE"""),2.0)</f>
        <v>2</v>
      </c>
      <c r="S855" s="5">
        <f>IFERROR(__xludf.DUMMYFUNCTION("""COMPUTED_VALUE"""),340.0)</f>
        <v>340</v>
      </c>
      <c r="T855" s="5" t="str">
        <f>IFERROR(__xludf.DUMMYFUNCTION("""COMPUTED_VALUE"""),"Guardians of the Galaxy")</f>
        <v>Guardians of the Galaxy</v>
      </c>
      <c r="U855" s="5" t="str">
        <f>IFERROR(__xludf.DUMMYFUNCTION("""COMPUTED_VALUE"""),"Action")</f>
        <v>Action</v>
      </c>
      <c r="V855" s="5">
        <f>IFERROR(__xludf.DUMMYFUNCTION("""COMPUTED_VALUE"""),1.0)</f>
        <v>1</v>
      </c>
    </row>
    <row r="856">
      <c r="A856" s="1">
        <v>855.0</v>
      </c>
      <c r="B856" s="1" t="s">
        <v>4937</v>
      </c>
      <c r="C856" s="1" t="s">
        <v>4938</v>
      </c>
      <c r="D856" s="1"/>
      <c r="E856" s="1">
        <v>855.0</v>
      </c>
      <c r="F856" s="1" t="s">
        <v>4937</v>
      </c>
      <c r="G856" s="1" t="str">
        <f>IFERROR(__xludf.DUMMYFUNCTION("SPLIT(C856, "", "")"),"Action")</f>
        <v>Action</v>
      </c>
      <c r="H856" s="5" t="str">
        <f>IFERROR(__xludf.DUMMYFUNCTION("""COMPUTED_VALUE"""),"Adventure")</f>
        <v>Adventure</v>
      </c>
      <c r="I856" s="5" t="str">
        <f>IFERROR(__xludf.DUMMYFUNCTION("""COMPUTED_VALUE"""),"War")</f>
        <v>War</v>
      </c>
      <c r="J856" s="5" t="str">
        <f>IFERROR(__xludf.DUMMYFUNCTION("""COMPUTED_VALUE"""),"285🤙🏼Paper Moon🤙🏼Drama🤙🏼3")</f>
        <v>285🤙🏼Paper Moon🤙🏼Drama🤙🏼3</v>
      </c>
      <c r="K856" s="5">
        <f>IFERROR(__xludf.DUMMYFUNCTION("SPLiT(J856, ""🤙🏼"",FALSE,FALSE)"),285.0)</f>
        <v>285</v>
      </c>
      <c r="L856" s="5" t="str">
        <f>IFERROR(__xludf.DUMMYFUNCTION("""COMPUTED_VALUE"""),"Paper Moon")</f>
        <v>Paper Moon</v>
      </c>
      <c r="M856" s="5" t="str">
        <f>IFERROR(__xludf.DUMMYFUNCTION("""COMPUTED_VALUE"""),"Drama")</f>
        <v>Drama</v>
      </c>
      <c r="N856" s="5">
        <f>IFERROR(__xludf.DUMMYFUNCTION("""COMPUTED_VALUE"""),3.0)</f>
        <v>3</v>
      </c>
      <c r="S856" s="5">
        <f>IFERROR(__xludf.DUMMYFUNCTION("""COMPUTED_VALUE"""),340.0)</f>
        <v>340</v>
      </c>
      <c r="T856" s="5" t="str">
        <f>IFERROR(__xludf.DUMMYFUNCTION("""COMPUTED_VALUE"""),"Guardians of the Galaxy")</f>
        <v>Guardians of the Galaxy</v>
      </c>
      <c r="U856" s="5" t="str">
        <f>IFERROR(__xludf.DUMMYFUNCTION("""COMPUTED_VALUE"""),"Adventure")</f>
        <v>Adventure</v>
      </c>
      <c r="V856" s="5">
        <f>IFERROR(__xludf.DUMMYFUNCTION("""COMPUTED_VALUE"""),2.0)</f>
        <v>2</v>
      </c>
    </row>
    <row r="857">
      <c r="A857" s="1">
        <v>856.0</v>
      </c>
      <c r="B857" s="1" t="s">
        <v>4943</v>
      </c>
      <c r="C857" s="1" t="s">
        <v>602</v>
      </c>
      <c r="D857" s="1"/>
      <c r="E857" s="1">
        <v>856.0</v>
      </c>
      <c r="F857" s="1" t="s">
        <v>4943</v>
      </c>
      <c r="G857" s="1" t="str">
        <f>IFERROR(__xludf.DUMMYFUNCTION("SPLIT(C857, "", "")"),"Comedy")</f>
        <v>Comedy</v>
      </c>
      <c r="J857" s="5" t="str">
        <f>IFERROR(__xludf.DUMMYFUNCTION("""COMPUTED_VALUE"""),"286🤙🏼Viskningar och rop🤙🏼Drama🤙🏼1")</f>
        <v>286🤙🏼Viskningar och rop🤙🏼Drama🤙🏼1</v>
      </c>
      <c r="K857" s="5">
        <f>IFERROR(__xludf.DUMMYFUNCTION("SPLiT(J857, ""🤙🏼"",FALSE,FALSE)"),286.0)</f>
        <v>286</v>
      </c>
      <c r="L857" s="5" t="str">
        <f>IFERROR(__xludf.DUMMYFUNCTION("""COMPUTED_VALUE"""),"Viskningar och rop")</f>
        <v>Viskningar och rop</v>
      </c>
      <c r="M857" s="5" t="str">
        <f>IFERROR(__xludf.DUMMYFUNCTION("""COMPUTED_VALUE"""),"Drama")</f>
        <v>Drama</v>
      </c>
      <c r="N857" s="5">
        <f>IFERROR(__xludf.DUMMYFUNCTION("""COMPUTED_VALUE"""),1.0)</f>
        <v>1</v>
      </c>
      <c r="S857" s="5">
        <f>IFERROR(__xludf.DUMMYFUNCTION("""COMPUTED_VALUE"""),340.0)</f>
        <v>340</v>
      </c>
      <c r="T857" s="5" t="str">
        <f>IFERROR(__xludf.DUMMYFUNCTION("""COMPUTED_VALUE"""),"Guardians of the Galaxy")</f>
        <v>Guardians of the Galaxy</v>
      </c>
      <c r="U857" s="5" t="str">
        <f>IFERROR(__xludf.DUMMYFUNCTION("""COMPUTED_VALUE"""),"Comedy")</f>
        <v>Comedy</v>
      </c>
      <c r="V857" s="5">
        <f>IFERROR(__xludf.DUMMYFUNCTION("""COMPUTED_VALUE"""),3.0)</f>
        <v>3</v>
      </c>
    </row>
    <row r="858">
      <c r="A858" s="1">
        <v>857.0</v>
      </c>
      <c r="B858" s="1" t="s">
        <v>4947</v>
      </c>
      <c r="C858" s="1" t="s">
        <v>4938</v>
      </c>
      <c r="D858" s="1"/>
      <c r="E858" s="1">
        <v>857.0</v>
      </c>
      <c r="F858" s="1" t="s">
        <v>4947</v>
      </c>
      <c r="G858" s="1" t="str">
        <f>IFERROR(__xludf.DUMMYFUNCTION("SPLIT(C858, "", "")"),"Action")</f>
        <v>Action</v>
      </c>
      <c r="H858" s="5" t="str">
        <f>IFERROR(__xludf.DUMMYFUNCTION("""COMPUTED_VALUE"""),"Adventure")</f>
        <v>Adventure</v>
      </c>
      <c r="I858" s="5" t="str">
        <f>IFERROR(__xludf.DUMMYFUNCTION("""COMPUTED_VALUE"""),"War")</f>
        <v>War</v>
      </c>
      <c r="J858" s="5" t="str">
        <f>IFERROR(__xludf.DUMMYFUNCTION("""COMPUTED_VALUE"""),"286🤙🏼Viskningar och rop🤙🏼🤙🏼2")</f>
        <v>286🤙🏼Viskningar och rop🤙🏼🤙🏼2</v>
      </c>
      <c r="K858" s="5">
        <f>IFERROR(__xludf.DUMMYFUNCTION("SPLiT(J858, ""🤙🏼"",FALSE,FALSE)"),286.0)</f>
        <v>286</v>
      </c>
      <c r="L858" s="5" t="str">
        <f>IFERROR(__xludf.DUMMYFUNCTION("""COMPUTED_VALUE"""),"Viskningar och rop")</f>
        <v>Viskningar och rop</v>
      </c>
      <c r="M858" s="5"/>
      <c r="N858" s="5">
        <f>IFERROR(__xludf.DUMMYFUNCTION("""COMPUTED_VALUE"""),2.0)</f>
        <v>2</v>
      </c>
      <c r="S858" s="5">
        <f>IFERROR(__xludf.DUMMYFUNCTION("""COMPUTED_VALUE"""),341.0)</f>
        <v>341</v>
      </c>
      <c r="T858" s="5" t="str">
        <f>IFERROR(__xludf.DUMMYFUNCTION("""COMPUTED_VALUE"""),"Blade Runner 2049")</f>
        <v>Blade Runner 2049</v>
      </c>
      <c r="U858" s="5" t="str">
        <f>IFERROR(__xludf.DUMMYFUNCTION("""COMPUTED_VALUE"""),"Action")</f>
        <v>Action</v>
      </c>
      <c r="V858" s="5">
        <f>IFERROR(__xludf.DUMMYFUNCTION("""COMPUTED_VALUE"""),1.0)</f>
        <v>1</v>
      </c>
    </row>
    <row r="859">
      <c r="A859" s="1">
        <v>858.0</v>
      </c>
      <c r="B859" s="1" t="s">
        <v>4949</v>
      </c>
      <c r="C859" s="1" t="s">
        <v>107</v>
      </c>
      <c r="D859" s="1"/>
      <c r="E859" s="1">
        <v>858.0</v>
      </c>
      <c r="F859" s="1" t="s">
        <v>4949</v>
      </c>
      <c r="G859" s="1" t="str">
        <f>IFERROR(__xludf.DUMMYFUNCTION("SPLIT(C859, "", "")"),"Drama")</f>
        <v>Drama</v>
      </c>
      <c r="H859" s="5" t="str">
        <f>IFERROR(__xludf.DUMMYFUNCTION("""COMPUTED_VALUE"""),"Romance")</f>
        <v>Romance</v>
      </c>
      <c r="J859" s="5" t="str">
        <f>IFERROR(__xludf.DUMMYFUNCTION("""COMPUTED_VALUE"""),"286🤙🏼Viskningar och rop🤙🏼🤙🏼3")</f>
        <v>286🤙🏼Viskningar och rop🤙🏼🤙🏼3</v>
      </c>
      <c r="K859" s="5">
        <f>IFERROR(__xludf.DUMMYFUNCTION("SPLiT(J859, ""🤙🏼"",FALSE,FALSE)"),286.0)</f>
        <v>286</v>
      </c>
      <c r="L859" s="5" t="str">
        <f>IFERROR(__xludf.DUMMYFUNCTION("""COMPUTED_VALUE"""),"Viskningar och rop")</f>
        <v>Viskningar och rop</v>
      </c>
      <c r="M859" s="5"/>
      <c r="N859" s="5">
        <f>IFERROR(__xludf.DUMMYFUNCTION("""COMPUTED_VALUE"""),3.0)</f>
        <v>3</v>
      </c>
      <c r="S859" s="5">
        <f>IFERROR(__xludf.DUMMYFUNCTION("""COMPUTED_VALUE"""),341.0)</f>
        <v>341</v>
      </c>
      <c r="T859" s="5" t="str">
        <f>IFERROR(__xludf.DUMMYFUNCTION("""COMPUTED_VALUE"""),"Blade Runner 2049")</f>
        <v>Blade Runner 2049</v>
      </c>
      <c r="U859" s="5" t="str">
        <f>IFERROR(__xludf.DUMMYFUNCTION("""COMPUTED_VALUE"""),"Drama")</f>
        <v>Drama</v>
      </c>
      <c r="V859" s="5">
        <f>IFERROR(__xludf.DUMMYFUNCTION("""COMPUTED_VALUE"""),2.0)</f>
        <v>2</v>
      </c>
    </row>
    <row r="860">
      <c r="A860" s="1">
        <v>859.0</v>
      </c>
      <c r="B860" s="1" t="s">
        <v>4954</v>
      </c>
      <c r="C860" s="1" t="s">
        <v>79</v>
      </c>
      <c r="D860" s="1"/>
      <c r="E860" s="1">
        <v>859.0</v>
      </c>
      <c r="F860" s="1" t="s">
        <v>4954</v>
      </c>
      <c r="G860" s="1" t="str">
        <f>IFERROR(__xludf.DUMMYFUNCTION("SPLIT(C860, "", "")"),"Biography")</f>
        <v>Biography</v>
      </c>
      <c r="H860" s="5" t="str">
        <f>IFERROR(__xludf.DUMMYFUNCTION("""COMPUTED_VALUE"""),"Drama")</f>
        <v>Drama</v>
      </c>
      <c r="I860" s="5" t="str">
        <f>IFERROR(__xludf.DUMMYFUNCTION("""COMPUTED_VALUE"""),"History")</f>
        <v>History</v>
      </c>
      <c r="J860" s="5" t="str">
        <f>IFERROR(__xludf.DUMMYFUNCTION("""COMPUTED_VALUE"""),"287🤙🏼Solaris🤙🏼Drama🤙🏼1")</f>
        <v>287🤙🏼Solaris🤙🏼Drama🤙🏼1</v>
      </c>
      <c r="K860" s="5">
        <f>IFERROR(__xludf.DUMMYFUNCTION("SPLiT(J860, ""🤙🏼"",FALSE,FALSE)"),287.0)</f>
        <v>287</v>
      </c>
      <c r="L860" s="5" t="str">
        <f>IFERROR(__xludf.DUMMYFUNCTION("""COMPUTED_VALUE"""),"Solaris")</f>
        <v>Solaris</v>
      </c>
      <c r="M860" s="5" t="str">
        <f>IFERROR(__xludf.DUMMYFUNCTION("""COMPUTED_VALUE"""),"Drama")</f>
        <v>Drama</v>
      </c>
      <c r="N860" s="5">
        <f>IFERROR(__xludf.DUMMYFUNCTION("""COMPUTED_VALUE"""),1.0)</f>
        <v>1</v>
      </c>
      <c r="S860" s="5">
        <f>IFERROR(__xludf.DUMMYFUNCTION("""COMPUTED_VALUE"""),341.0)</f>
        <v>341</v>
      </c>
      <c r="T860" s="5" t="str">
        <f>IFERROR(__xludf.DUMMYFUNCTION("""COMPUTED_VALUE"""),"Blade Runner 2049")</f>
        <v>Blade Runner 2049</v>
      </c>
      <c r="U860" s="5" t="str">
        <f>IFERROR(__xludf.DUMMYFUNCTION("""COMPUTED_VALUE"""),"Mystery")</f>
        <v>Mystery</v>
      </c>
      <c r="V860" s="5">
        <f>IFERROR(__xludf.DUMMYFUNCTION("""COMPUTED_VALUE"""),3.0)</f>
        <v>3</v>
      </c>
    </row>
    <row r="861">
      <c r="A861" s="1">
        <v>860.0</v>
      </c>
      <c r="B861" s="1" t="s">
        <v>4959</v>
      </c>
      <c r="C861" s="1" t="s">
        <v>1972</v>
      </c>
      <c r="D861" s="1"/>
      <c r="E861" s="1">
        <v>860.0</v>
      </c>
      <c r="F861" s="1" t="s">
        <v>4959</v>
      </c>
      <c r="G861" s="1" t="str">
        <f>IFERROR(__xludf.DUMMYFUNCTION("SPLIT(C861, "", "")"),"Drama")</f>
        <v>Drama</v>
      </c>
      <c r="H861" s="5" t="str">
        <f>IFERROR(__xludf.DUMMYFUNCTION("""COMPUTED_VALUE"""),"Horror")</f>
        <v>Horror</v>
      </c>
      <c r="I861" s="5" t="str">
        <f>IFERROR(__xludf.DUMMYFUNCTION("""COMPUTED_VALUE"""),"Thriller")</f>
        <v>Thriller</v>
      </c>
      <c r="J861" s="5" t="str">
        <f>IFERROR(__xludf.DUMMYFUNCTION("""COMPUTED_VALUE"""),"287🤙🏼Solaris🤙🏼Mystery🤙🏼2")</f>
        <v>287🤙🏼Solaris🤙🏼Mystery🤙🏼2</v>
      </c>
      <c r="K861" s="5">
        <f>IFERROR(__xludf.DUMMYFUNCTION("SPLiT(J861, ""🤙🏼"",FALSE,FALSE)"),287.0)</f>
        <v>287</v>
      </c>
      <c r="L861" s="5" t="str">
        <f>IFERROR(__xludf.DUMMYFUNCTION("""COMPUTED_VALUE"""),"Solaris")</f>
        <v>Solaris</v>
      </c>
      <c r="M861" s="5" t="str">
        <f>IFERROR(__xludf.DUMMYFUNCTION("""COMPUTED_VALUE"""),"Mystery")</f>
        <v>Mystery</v>
      </c>
      <c r="N861" s="5">
        <f>IFERROR(__xludf.DUMMYFUNCTION("""COMPUTED_VALUE"""),2.0)</f>
        <v>2</v>
      </c>
      <c r="S861" s="5">
        <f>IFERROR(__xludf.DUMMYFUNCTION("""COMPUTED_VALUE"""),342.0)</f>
        <v>342</v>
      </c>
      <c r="T861" s="5" t="str">
        <f>IFERROR(__xludf.DUMMYFUNCTION("""COMPUTED_VALUE"""),"Her")</f>
        <v>Her</v>
      </c>
      <c r="U861" s="5" t="str">
        <f>IFERROR(__xludf.DUMMYFUNCTION("""COMPUTED_VALUE"""),"Drama")</f>
        <v>Drama</v>
      </c>
      <c r="V861" s="5">
        <f>IFERROR(__xludf.DUMMYFUNCTION("""COMPUTED_VALUE"""),1.0)</f>
        <v>1</v>
      </c>
    </row>
    <row r="862">
      <c r="A862" s="1">
        <v>861.0</v>
      </c>
      <c r="B862" s="1" t="s">
        <v>4963</v>
      </c>
      <c r="C862" s="1" t="s">
        <v>2661</v>
      </c>
      <c r="D862" s="1"/>
      <c r="E862" s="1">
        <v>861.0</v>
      </c>
      <c r="F862" s="1" t="s">
        <v>4963</v>
      </c>
      <c r="G862" s="1" t="str">
        <f>IFERROR(__xludf.DUMMYFUNCTION("SPLIT(C862, "", "")"),"Drama")</f>
        <v>Drama</v>
      </c>
      <c r="H862" s="5" t="str">
        <f>IFERROR(__xludf.DUMMYFUNCTION("""COMPUTED_VALUE"""),"History")</f>
        <v>History</v>
      </c>
      <c r="I862" s="5" t="str">
        <f>IFERROR(__xludf.DUMMYFUNCTION("""COMPUTED_VALUE"""),"War")</f>
        <v>War</v>
      </c>
      <c r="J862" s="5" t="str">
        <f>IFERROR(__xludf.DUMMYFUNCTION("""COMPUTED_VALUE"""),"287🤙🏼Solaris🤙🏼Sci-Fi🤙🏼3")</f>
        <v>287🤙🏼Solaris🤙🏼Sci-Fi🤙🏼3</v>
      </c>
      <c r="K862" s="5">
        <f>IFERROR(__xludf.DUMMYFUNCTION("SPLiT(J862, ""🤙🏼"",FALSE,FALSE)"),287.0)</f>
        <v>287</v>
      </c>
      <c r="L862" s="5" t="str">
        <f>IFERROR(__xludf.DUMMYFUNCTION("""COMPUTED_VALUE"""),"Solaris")</f>
        <v>Solaris</v>
      </c>
      <c r="M862" s="5" t="str">
        <f>IFERROR(__xludf.DUMMYFUNCTION("""COMPUTED_VALUE"""),"Sci-Fi")</f>
        <v>Sci-Fi</v>
      </c>
      <c r="N862" s="5">
        <f>IFERROR(__xludf.DUMMYFUNCTION("""COMPUTED_VALUE"""),3.0)</f>
        <v>3</v>
      </c>
      <c r="S862" s="5">
        <f>IFERROR(__xludf.DUMMYFUNCTION("""COMPUTED_VALUE"""),342.0)</f>
        <v>342</v>
      </c>
      <c r="T862" s="5" t="str">
        <f>IFERROR(__xludf.DUMMYFUNCTION("""COMPUTED_VALUE"""),"Her")</f>
        <v>Her</v>
      </c>
      <c r="U862" s="5" t="str">
        <f>IFERROR(__xludf.DUMMYFUNCTION("""COMPUTED_VALUE"""),"Romance")</f>
        <v>Romance</v>
      </c>
      <c r="V862" s="5">
        <f>IFERROR(__xludf.DUMMYFUNCTION("""COMPUTED_VALUE"""),2.0)</f>
        <v>2</v>
      </c>
    </row>
    <row r="863">
      <c r="A863" s="1">
        <v>862.0</v>
      </c>
      <c r="B863" s="1" t="s">
        <v>4969</v>
      </c>
      <c r="C863" s="1" t="s">
        <v>2406</v>
      </c>
      <c r="D863" s="1"/>
      <c r="E863" s="1">
        <v>862.0</v>
      </c>
      <c r="F863" s="1" t="s">
        <v>4969</v>
      </c>
      <c r="G863" s="1" t="str">
        <f>IFERROR(__xludf.DUMMYFUNCTION("SPLIT(C863, "", "")"),"Action")</f>
        <v>Action</v>
      </c>
      <c r="H863" s="5" t="str">
        <f>IFERROR(__xludf.DUMMYFUNCTION("""COMPUTED_VALUE"""),"Adventure")</f>
        <v>Adventure</v>
      </c>
      <c r="I863" s="5" t="str">
        <f>IFERROR(__xludf.DUMMYFUNCTION("""COMPUTED_VALUE"""),"Thriller")</f>
        <v>Thriller</v>
      </c>
      <c r="J863" s="5" t="str">
        <f>IFERROR(__xludf.DUMMYFUNCTION("""COMPUTED_VALUE"""),"288🤙🏼Le samouraï🤙🏼Crime🤙🏼1")</f>
        <v>288🤙🏼Le samouraï🤙🏼Crime🤙🏼1</v>
      </c>
      <c r="K863" s="5">
        <f>IFERROR(__xludf.DUMMYFUNCTION("SPLiT(J863, ""🤙🏼"",FALSE,FALSE)"),288.0)</f>
        <v>288</v>
      </c>
      <c r="L863" s="5" t="str">
        <f>IFERROR(__xludf.DUMMYFUNCTION("""COMPUTED_VALUE"""),"Le samouraï")</f>
        <v>Le samouraï</v>
      </c>
      <c r="M863" s="5" t="str">
        <f>IFERROR(__xludf.DUMMYFUNCTION("""COMPUTED_VALUE"""),"Crime")</f>
        <v>Crime</v>
      </c>
      <c r="N863" s="5">
        <f>IFERROR(__xludf.DUMMYFUNCTION("""COMPUTED_VALUE"""),1.0)</f>
        <v>1</v>
      </c>
      <c r="S863" s="5">
        <f>IFERROR(__xludf.DUMMYFUNCTION("""COMPUTED_VALUE"""),342.0)</f>
        <v>342</v>
      </c>
      <c r="T863" s="5" t="str">
        <f>IFERROR(__xludf.DUMMYFUNCTION("""COMPUTED_VALUE"""),"Her")</f>
        <v>Her</v>
      </c>
      <c r="U863" s="5" t="str">
        <f>IFERROR(__xludf.DUMMYFUNCTION("""COMPUTED_VALUE"""),"Sci-Fi")</f>
        <v>Sci-Fi</v>
      </c>
      <c r="V863" s="5">
        <f>IFERROR(__xludf.DUMMYFUNCTION("""COMPUTED_VALUE"""),3.0)</f>
        <v>3</v>
      </c>
    </row>
    <row r="864">
      <c r="A864" s="1">
        <v>863.0</v>
      </c>
      <c r="B864" s="1" t="s">
        <v>4975</v>
      </c>
      <c r="C864" s="1" t="s">
        <v>4976</v>
      </c>
      <c r="D864" s="1"/>
      <c r="E864" s="1">
        <v>863.0</v>
      </c>
      <c r="F864" s="1" t="s">
        <v>4975</v>
      </c>
      <c r="G864" s="1" t="str">
        <f>IFERROR(__xludf.DUMMYFUNCTION("SPLIT(C864, "", "")"),"Drama")</f>
        <v>Drama</v>
      </c>
      <c r="H864" s="5" t="str">
        <f>IFERROR(__xludf.DUMMYFUNCTION("""COMPUTED_VALUE"""),"Horror")</f>
        <v>Horror</v>
      </c>
      <c r="I864" s="5" t="str">
        <f>IFERROR(__xludf.DUMMYFUNCTION("""COMPUTED_VALUE"""),"Mystery")</f>
        <v>Mystery</v>
      </c>
      <c r="J864" s="5" t="str">
        <f>IFERROR(__xludf.DUMMYFUNCTION("""COMPUTED_VALUE"""),"288🤙🏼Le samouraï🤙🏼Drama🤙🏼2")</f>
        <v>288🤙🏼Le samouraï🤙🏼Drama🤙🏼2</v>
      </c>
      <c r="K864" s="5">
        <f>IFERROR(__xludf.DUMMYFUNCTION("SPLiT(J864, ""🤙🏼"",FALSE,FALSE)"),288.0)</f>
        <v>288</v>
      </c>
      <c r="L864" s="5" t="str">
        <f>IFERROR(__xludf.DUMMYFUNCTION("""COMPUTED_VALUE"""),"Le samouraï")</f>
        <v>Le samouraï</v>
      </c>
      <c r="M864" s="5" t="str">
        <f>IFERROR(__xludf.DUMMYFUNCTION("""COMPUTED_VALUE"""),"Drama")</f>
        <v>Drama</v>
      </c>
      <c r="N864" s="5">
        <f>IFERROR(__xludf.DUMMYFUNCTION("""COMPUTED_VALUE"""),2.0)</f>
        <v>2</v>
      </c>
      <c r="S864" s="5">
        <f>IFERROR(__xludf.DUMMYFUNCTION("""COMPUTED_VALUE"""),343.0)</f>
        <v>343</v>
      </c>
      <c r="T864" s="5" t="str">
        <f>IFERROR(__xludf.DUMMYFUNCTION("""COMPUTED_VALUE"""),"Bohemian Rhapsody")</f>
        <v>Bohemian Rhapsody</v>
      </c>
      <c r="U864" s="5" t="str">
        <f>IFERROR(__xludf.DUMMYFUNCTION("""COMPUTED_VALUE"""),"Biography")</f>
        <v>Biography</v>
      </c>
      <c r="V864" s="5">
        <f>IFERROR(__xludf.DUMMYFUNCTION("""COMPUTED_VALUE"""),1.0)</f>
        <v>1</v>
      </c>
    </row>
    <row r="865">
      <c r="A865" s="1">
        <v>864.0</v>
      </c>
      <c r="B865" s="1" t="s">
        <v>4980</v>
      </c>
      <c r="C865" s="1" t="s">
        <v>1377</v>
      </c>
      <c r="D865" s="1"/>
      <c r="E865" s="1">
        <v>864.0</v>
      </c>
      <c r="F865" s="1" t="s">
        <v>4980</v>
      </c>
      <c r="G865" s="1" t="str">
        <f>IFERROR(__xludf.DUMMYFUNCTION("SPLIT(C865, "", "")"),"Drama")</f>
        <v>Drama</v>
      </c>
      <c r="H865" s="5" t="str">
        <f>IFERROR(__xludf.DUMMYFUNCTION("""COMPUTED_VALUE"""),"Thriller")</f>
        <v>Thriller</v>
      </c>
      <c r="J865" s="5" t="str">
        <f>IFERROR(__xludf.DUMMYFUNCTION("""COMPUTED_VALUE"""),"288🤙🏼Le samouraï🤙🏼Mystery🤙🏼3")</f>
        <v>288🤙🏼Le samouraï🤙🏼Mystery🤙🏼3</v>
      </c>
      <c r="K865" s="5">
        <f>IFERROR(__xludf.DUMMYFUNCTION("SPLiT(J865, ""🤙🏼"",FALSE,FALSE)"),288.0)</f>
        <v>288</v>
      </c>
      <c r="L865" s="5" t="str">
        <f>IFERROR(__xludf.DUMMYFUNCTION("""COMPUTED_VALUE"""),"Le samouraï")</f>
        <v>Le samouraï</v>
      </c>
      <c r="M865" s="5" t="str">
        <f>IFERROR(__xludf.DUMMYFUNCTION("""COMPUTED_VALUE"""),"Mystery")</f>
        <v>Mystery</v>
      </c>
      <c r="N865" s="5">
        <f>IFERROR(__xludf.DUMMYFUNCTION("""COMPUTED_VALUE"""),3.0)</f>
        <v>3</v>
      </c>
      <c r="S865" s="5">
        <f>IFERROR(__xludf.DUMMYFUNCTION("""COMPUTED_VALUE"""),343.0)</f>
        <v>343</v>
      </c>
      <c r="T865" s="5" t="str">
        <f>IFERROR(__xludf.DUMMYFUNCTION("""COMPUTED_VALUE"""),"Bohemian Rhapsody")</f>
        <v>Bohemian Rhapsody</v>
      </c>
      <c r="U865" s="5" t="str">
        <f>IFERROR(__xludf.DUMMYFUNCTION("""COMPUTED_VALUE"""),"Drama")</f>
        <v>Drama</v>
      </c>
      <c r="V865" s="5">
        <f>IFERROR(__xludf.DUMMYFUNCTION("""COMPUTED_VALUE"""),2.0)</f>
        <v>2</v>
      </c>
    </row>
    <row r="866">
      <c r="A866" s="1">
        <v>865.0</v>
      </c>
      <c r="B866" s="1" t="s">
        <v>4985</v>
      </c>
      <c r="C866" s="1" t="s">
        <v>1972</v>
      </c>
      <c r="D866" s="1"/>
      <c r="E866" s="1">
        <v>865.0</v>
      </c>
      <c r="F866" s="1" t="s">
        <v>4985</v>
      </c>
      <c r="G866" s="1" t="str">
        <f>IFERROR(__xludf.DUMMYFUNCTION("SPLIT(C866, "", "")"),"Drama")</f>
        <v>Drama</v>
      </c>
      <c r="H866" s="5" t="str">
        <f>IFERROR(__xludf.DUMMYFUNCTION("""COMPUTED_VALUE"""),"Horror")</f>
        <v>Horror</v>
      </c>
      <c r="I866" s="5" t="str">
        <f>IFERROR(__xludf.DUMMYFUNCTION("""COMPUTED_VALUE"""),"Thriller")</f>
        <v>Thriller</v>
      </c>
      <c r="J866" s="5" t="str">
        <f>IFERROR(__xludf.DUMMYFUNCTION("""COMPUTED_VALUE"""),"289🤙🏼Cool Hand Luke🤙🏼Crime🤙🏼1")</f>
        <v>289🤙🏼Cool Hand Luke🤙🏼Crime🤙🏼1</v>
      </c>
      <c r="K866" s="5">
        <f>IFERROR(__xludf.DUMMYFUNCTION("SPLiT(J866, ""🤙🏼"",FALSE,FALSE)"),289.0)</f>
        <v>289</v>
      </c>
      <c r="L866" s="5" t="str">
        <f>IFERROR(__xludf.DUMMYFUNCTION("""COMPUTED_VALUE"""),"Cool Hand Luke")</f>
        <v>Cool Hand Luke</v>
      </c>
      <c r="M866" s="5" t="str">
        <f>IFERROR(__xludf.DUMMYFUNCTION("""COMPUTED_VALUE"""),"Crime")</f>
        <v>Crime</v>
      </c>
      <c r="N866" s="5">
        <f>IFERROR(__xludf.DUMMYFUNCTION("""COMPUTED_VALUE"""),1.0)</f>
        <v>1</v>
      </c>
      <c r="S866" s="5">
        <f>IFERROR(__xludf.DUMMYFUNCTION("""COMPUTED_VALUE"""),343.0)</f>
        <v>343</v>
      </c>
      <c r="T866" s="5" t="str">
        <f>IFERROR(__xludf.DUMMYFUNCTION("""COMPUTED_VALUE"""),"Bohemian Rhapsody")</f>
        <v>Bohemian Rhapsody</v>
      </c>
      <c r="U866" s="5" t="str">
        <f>IFERROR(__xludf.DUMMYFUNCTION("""COMPUTED_VALUE"""),"Music")</f>
        <v>Music</v>
      </c>
      <c r="V866" s="5">
        <f>IFERROR(__xludf.DUMMYFUNCTION("""COMPUTED_VALUE"""),3.0)</f>
        <v>3</v>
      </c>
    </row>
    <row r="867">
      <c r="A867" s="1">
        <v>866.0</v>
      </c>
      <c r="B867" s="1" t="s">
        <v>4990</v>
      </c>
      <c r="C867" s="1" t="s">
        <v>3370</v>
      </c>
      <c r="D867" s="1"/>
      <c r="E867" s="1">
        <v>866.0</v>
      </c>
      <c r="F867" s="1" t="s">
        <v>4990</v>
      </c>
      <c r="G867" s="1" t="str">
        <f>IFERROR(__xludf.DUMMYFUNCTION("SPLIT(C867, "", "")"),"Action")</f>
        <v>Action</v>
      </c>
      <c r="H867" s="5" t="str">
        <f>IFERROR(__xludf.DUMMYFUNCTION("""COMPUTED_VALUE"""),"Adventure")</f>
        <v>Adventure</v>
      </c>
      <c r="I867" s="5" t="str">
        <f>IFERROR(__xludf.DUMMYFUNCTION("""COMPUTED_VALUE"""),"Western")</f>
        <v>Western</v>
      </c>
      <c r="J867" s="5" t="str">
        <f>IFERROR(__xludf.DUMMYFUNCTION("""COMPUTED_VALUE"""),"289🤙🏼Cool Hand Luke🤙🏼Drama🤙🏼2")</f>
        <v>289🤙🏼Cool Hand Luke🤙🏼Drama🤙🏼2</v>
      </c>
      <c r="K867" s="5">
        <f>IFERROR(__xludf.DUMMYFUNCTION("SPLiT(J867, ""🤙🏼"",FALSE,FALSE)"),289.0)</f>
        <v>289</v>
      </c>
      <c r="L867" s="5" t="str">
        <f>IFERROR(__xludf.DUMMYFUNCTION("""COMPUTED_VALUE"""),"Cool Hand Luke")</f>
        <v>Cool Hand Luke</v>
      </c>
      <c r="M867" s="5" t="str">
        <f>IFERROR(__xludf.DUMMYFUNCTION("""COMPUTED_VALUE"""),"Drama")</f>
        <v>Drama</v>
      </c>
      <c r="N867" s="5">
        <f>IFERROR(__xludf.DUMMYFUNCTION("""COMPUTED_VALUE"""),2.0)</f>
        <v>2</v>
      </c>
      <c r="S867" s="5">
        <f>IFERROR(__xludf.DUMMYFUNCTION("""COMPUTED_VALUE"""),344.0)</f>
        <v>344</v>
      </c>
      <c r="T867" s="5" t="str">
        <f>IFERROR(__xludf.DUMMYFUNCTION("""COMPUTED_VALUE"""),"The Revenant")</f>
        <v>The Revenant</v>
      </c>
      <c r="U867" s="5" t="str">
        <f>IFERROR(__xludf.DUMMYFUNCTION("""COMPUTED_VALUE"""),"Action")</f>
        <v>Action</v>
      </c>
      <c r="V867" s="5">
        <f>IFERROR(__xludf.DUMMYFUNCTION("""COMPUTED_VALUE"""),1.0)</f>
        <v>1</v>
      </c>
    </row>
    <row r="868">
      <c r="A868" s="1">
        <v>867.0</v>
      </c>
      <c r="B868" s="1" t="s">
        <v>4992</v>
      </c>
      <c r="C868" s="1" t="s">
        <v>569</v>
      </c>
      <c r="D868" s="1"/>
      <c r="E868" s="1">
        <v>867.0</v>
      </c>
      <c r="F868" s="1" t="s">
        <v>4992</v>
      </c>
      <c r="G868" s="1" t="str">
        <f>IFERROR(__xludf.DUMMYFUNCTION("SPLIT(C868, "", "")"),"Drama")</f>
        <v>Drama</v>
      </c>
      <c r="H868" s="5" t="str">
        <f>IFERROR(__xludf.DUMMYFUNCTION("""COMPUTED_VALUE"""),"Horror")</f>
        <v>Horror</v>
      </c>
      <c r="J868" s="5" t="str">
        <f>IFERROR(__xludf.DUMMYFUNCTION("""COMPUTED_VALUE"""),"289🤙🏼Cool Hand Luke🤙🏼🤙🏼3")</f>
        <v>289🤙🏼Cool Hand Luke🤙🏼🤙🏼3</v>
      </c>
      <c r="K868" s="5">
        <f>IFERROR(__xludf.DUMMYFUNCTION("SPLiT(J868, ""🤙🏼"",FALSE,FALSE)"),289.0)</f>
        <v>289</v>
      </c>
      <c r="L868" s="5" t="str">
        <f>IFERROR(__xludf.DUMMYFUNCTION("""COMPUTED_VALUE"""),"Cool Hand Luke")</f>
        <v>Cool Hand Luke</v>
      </c>
      <c r="M868" s="5"/>
      <c r="N868" s="5">
        <f>IFERROR(__xludf.DUMMYFUNCTION("""COMPUTED_VALUE"""),3.0)</f>
        <v>3</v>
      </c>
      <c r="S868" s="5">
        <f>IFERROR(__xludf.DUMMYFUNCTION("""COMPUTED_VALUE"""),344.0)</f>
        <v>344</v>
      </c>
      <c r="T868" s="5" t="str">
        <f>IFERROR(__xludf.DUMMYFUNCTION("""COMPUTED_VALUE"""),"The Revenant")</f>
        <v>The Revenant</v>
      </c>
      <c r="U868" s="5" t="str">
        <f>IFERROR(__xludf.DUMMYFUNCTION("""COMPUTED_VALUE"""),"Adventure")</f>
        <v>Adventure</v>
      </c>
      <c r="V868" s="5">
        <f>IFERROR(__xludf.DUMMYFUNCTION("""COMPUTED_VALUE"""),2.0)</f>
        <v>2</v>
      </c>
    </row>
    <row r="869">
      <c r="A869" s="1">
        <v>868.0</v>
      </c>
      <c r="B869" s="1" t="s">
        <v>4998</v>
      </c>
      <c r="C869" s="1" t="s">
        <v>4275</v>
      </c>
      <c r="D869" s="1"/>
      <c r="E869" s="1">
        <v>868.0</v>
      </c>
      <c r="F869" s="1" t="s">
        <v>4998</v>
      </c>
      <c r="G869" s="1" t="str">
        <f>IFERROR(__xludf.DUMMYFUNCTION("SPLIT(C869, "", "")"),"Drama")</f>
        <v>Drama</v>
      </c>
      <c r="H869" s="5" t="str">
        <f>IFERROR(__xludf.DUMMYFUNCTION("""COMPUTED_VALUE"""),"Horror")</f>
        <v>Horror</v>
      </c>
      <c r="I869" s="5" t="str">
        <f>IFERROR(__xludf.DUMMYFUNCTION("""COMPUTED_VALUE"""),"Sci-Fi")</f>
        <v>Sci-Fi</v>
      </c>
      <c r="J869" s="5" t="str">
        <f>IFERROR(__xludf.DUMMYFUNCTION("""COMPUTED_VALUE"""),"290🤙🏼Persona🤙🏼Drama🤙🏼1")</f>
        <v>290🤙🏼Persona🤙🏼Drama🤙🏼1</v>
      </c>
      <c r="K869" s="5">
        <f>IFERROR(__xludf.DUMMYFUNCTION("SPLiT(J869, ""🤙🏼"",FALSE,FALSE)"),290.0)</f>
        <v>290</v>
      </c>
      <c r="L869" s="5" t="str">
        <f>IFERROR(__xludf.DUMMYFUNCTION("""COMPUTED_VALUE"""),"Persona")</f>
        <v>Persona</v>
      </c>
      <c r="M869" s="5" t="str">
        <f>IFERROR(__xludf.DUMMYFUNCTION("""COMPUTED_VALUE"""),"Drama")</f>
        <v>Drama</v>
      </c>
      <c r="N869" s="5">
        <f>IFERROR(__xludf.DUMMYFUNCTION("""COMPUTED_VALUE"""),1.0)</f>
        <v>1</v>
      </c>
      <c r="S869" s="5">
        <f>IFERROR(__xludf.DUMMYFUNCTION("""COMPUTED_VALUE"""),344.0)</f>
        <v>344</v>
      </c>
      <c r="T869" s="5" t="str">
        <f>IFERROR(__xludf.DUMMYFUNCTION("""COMPUTED_VALUE"""),"The Revenant")</f>
        <v>The Revenant</v>
      </c>
      <c r="U869" s="5" t="str">
        <f>IFERROR(__xludf.DUMMYFUNCTION("""COMPUTED_VALUE"""),"Drama")</f>
        <v>Drama</v>
      </c>
      <c r="V869" s="5">
        <f>IFERROR(__xludf.DUMMYFUNCTION("""COMPUTED_VALUE"""),3.0)</f>
        <v>3</v>
      </c>
    </row>
    <row r="870">
      <c r="A870" s="1">
        <v>869.0</v>
      </c>
      <c r="B870" s="1" t="s">
        <v>5004</v>
      </c>
      <c r="C870" s="1" t="s">
        <v>20</v>
      </c>
      <c r="D870" s="1"/>
      <c r="E870" s="1">
        <v>869.0</v>
      </c>
      <c r="F870" s="1" t="s">
        <v>5004</v>
      </c>
      <c r="G870" s="1" t="str">
        <f>IFERROR(__xludf.DUMMYFUNCTION("SPLIT(C870, "", "")"),"Drama")</f>
        <v>Drama</v>
      </c>
      <c r="J870" s="5" t="str">
        <f>IFERROR(__xludf.DUMMYFUNCTION("""COMPUTED_VALUE"""),"290🤙🏼Persona🤙🏼Thriller🤙🏼2")</f>
        <v>290🤙🏼Persona🤙🏼Thriller🤙🏼2</v>
      </c>
      <c r="K870" s="5">
        <f>IFERROR(__xludf.DUMMYFUNCTION("SPLiT(J870, ""🤙🏼"",FALSE,FALSE)"),290.0)</f>
        <v>290</v>
      </c>
      <c r="L870" s="5" t="str">
        <f>IFERROR(__xludf.DUMMYFUNCTION("""COMPUTED_VALUE"""),"Persona")</f>
        <v>Persona</v>
      </c>
      <c r="M870" s="5" t="str">
        <f>IFERROR(__xludf.DUMMYFUNCTION("""COMPUTED_VALUE"""),"Thriller")</f>
        <v>Thriller</v>
      </c>
      <c r="N870" s="5">
        <f>IFERROR(__xludf.DUMMYFUNCTION("""COMPUTED_VALUE"""),2.0)</f>
        <v>2</v>
      </c>
      <c r="S870" s="5">
        <f>IFERROR(__xludf.DUMMYFUNCTION("""COMPUTED_VALUE"""),345.0)</f>
        <v>345</v>
      </c>
      <c r="T870" s="5" t="str">
        <f>IFERROR(__xludf.DUMMYFUNCTION("""COMPUTED_VALUE"""),"The Perks of Being a Wallflower")</f>
        <v>The Perks of Being a Wallflower</v>
      </c>
      <c r="U870" s="5" t="str">
        <f>IFERROR(__xludf.DUMMYFUNCTION("""COMPUTED_VALUE"""),"Drama")</f>
        <v>Drama</v>
      </c>
      <c r="V870" s="5">
        <f>IFERROR(__xludf.DUMMYFUNCTION("""COMPUTED_VALUE"""),1.0)</f>
        <v>1</v>
      </c>
    </row>
    <row r="871">
      <c r="A871" s="1">
        <v>870.0</v>
      </c>
      <c r="B871" s="1" t="s">
        <v>5009</v>
      </c>
      <c r="C871" s="1" t="s">
        <v>731</v>
      </c>
      <c r="D871" s="1"/>
      <c r="E871" s="1">
        <v>870.0</v>
      </c>
      <c r="F871" s="1" t="s">
        <v>5009</v>
      </c>
      <c r="G871" s="1" t="str">
        <f>IFERROR(__xludf.DUMMYFUNCTION("SPLIT(C871, "", "")"),"Comedy")</f>
        <v>Comedy</v>
      </c>
      <c r="H871" s="5" t="str">
        <f>IFERROR(__xludf.DUMMYFUNCTION("""COMPUTED_VALUE"""),"Crime")</f>
        <v>Crime</v>
      </c>
      <c r="J871" s="5" t="str">
        <f>IFERROR(__xludf.DUMMYFUNCTION("""COMPUTED_VALUE"""),"290🤙🏼Persona🤙🏼🤙🏼3")</f>
        <v>290🤙🏼Persona🤙🏼🤙🏼3</v>
      </c>
      <c r="K871" s="5">
        <f>IFERROR(__xludf.DUMMYFUNCTION("SPLiT(J871, ""🤙🏼"",FALSE,FALSE)"),290.0)</f>
        <v>290</v>
      </c>
      <c r="L871" s="5" t="str">
        <f>IFERROR(__xludf.DUMMYFUNCTION("""COMPUTED_VALUE"""),"Persona")</f>
        <v>Persona</v>
      </c>
      <c r="M871" s="5"/>
      <c r="N871" s="5">
        <f>IFERROR(__xludf.DUMMYFUNCTION("""COMPUTED_VALUE"""),3.0)</f>
        <v>3</v>
      </c>
      <c r="S871" s="5">
        <f>IFERROR(__xludf.DUMMYFUNCTION("""COMPUTED_VALUE"""),345.0)</f>
        <v>345</v>
      </c>
      <c r="T871" s="5" t="str">
        <f>IFERROR(__xludf.DUMMYFUNCTION("""COMPUTED_VALUE"""),"The Perks of Being a Wallflower")</f>
        <v>The Perks of Being a Wallflower</v>
      </c>
      <c r="U871" s="5" t="str">
        <f>IFERROR(__xludf.DUMMYFUNCTION("""COMPUTED_VALUE"""),"Romance")</f>
        <v>Romance</v>
      </c>
      <c r="V871" s="5">
        <f>IFERROR(__xludf.DUMMYFUNCTION("""COMPUTED_VALUE"""),2.0)</f>
        <v>2</v>
      </c>
    </row>
    <row r="872">
      <c r="A872" s="1">
        <v>871.0</v>
      </c>
      <c r="B872" s="1" t="s">
        <v>5013</v>
      </c>
      <c r="C872" s="1" t="s">
        <v>227</v>
      </c>
      <c r="D872" s="1"/>
      <c r="E872" s="1">
        <v>871.0</v>
      </c>
      <c r="F872" s="1" t="s">
        <v>5013</v>
      </c>
      <c r="G872" s="1" t="str">
        <f>IFERROR(__xludf.DUMMYFUNCTION("SPLIT(C872, "", "")"),"Comedy")</f>
        <v>Comedy</v>
      </c>
      <c r="H872" s="5" t="str">
        <f>IFERROR(__xludf.DUMMYFUNCTION("""COMPUTED_VALUE"""),"Drama")</f>
        <v>Drama</v>
      </c>
      <c r="I872" s="5" t="str">
        <f>IFERROR(__xludf.DUMMYFUNCTION("""COMPUTED_VALUE"""),"Romance")</f>
        <v>Romance</v>
      </c>
      <c r="J872" s="5" t="str">
        <f>IFERROR(__xludf.DUMMYFUNCTION("""COMPUTED_VALUE"""),"291🤙🏼Andrei Rublev🤙🏼Biography🤙🏼1")</f>
        <v>291🤙🏼Andrei Rublev🤙🏼Biography🤙🏼1</v>
      </c>
      <c r="K872" s="5">
        <f>IFERROR(__xludf.DUMMYFUNCTION("SPLiT(J872, ""🤙🏼"",FALSE,FALSE)"),291.0)</f>
        <v>291</v>
      </c>
      <c r="L872" s="5" t="str">
        <f>IFERROR(__xludf.DUMMYFUNCTION("""COMPUTED_VALUE"""),"Andrei Rublev")</f>
        <v>Andrei Rublev</v>
      </c>
      <c r="M872" s="5" t="str">
        <f>IFERROR(__xludf.DUMMYFUNCTION("""COMPUTED_VALUE"""),"Biography")</f>
        <v>Biography</v>
      </c>
      <c r="N872" s="5">
        <f>IFERROR(__xludf.DUMMYFUNCTION("""COMPUTED_VALUE"""),1.0)</f>
        <v>1</v>
      </c>
      <c r="S872" s="5">
        <f>IFERROR(__xludf.DUMMYFUNCTION("""COMPUTED_VALUE"""),346.0)</f>
        <v>346</v>
      </c>
      <c r="T872" s="5" t="str">
        <f>IFERROR(__xludf.DUMMYFUNCTION("""COMPUTED_VALUE"""),"Tropa de Elite 2: O Inimigo Agora é Outro")</f>
        <v>Tropa de Elite 2: O Inimigo Agora é Outro</v>
      </c>
      <c r="U872" s="5" t="str">
        <f>IFERROR(__xludf.DUMMYFUNCTION("""COMPUTED_VALUE"""),"Action")</f>
        <v>Action</v>
      </c>
      <c r="V872" s="5">
        <f>IFERROR(__xludf.DUMMYFUNCTION("""COMPUTED_VALUE"""),1.0)</f>
        <v>1</v>
      </c>
    </row>
    <row r="873">
      <c r="A873" s="1">
        <v>872.0</v>
      </c>
      <c r="B873" s="1" t="s">
        <v>5016</v>
      </c>
      <c r="C873" s="1" t="s">
        <v>227</v>
      </c>
      <c r="D873" s="1"/>
      <c r="E873" s="1">
        <v>872.0</v>
      </c>
      <c r="F873" s="1" t="s">
        <v>5016</v>
      </c>
      <c r="G873" s="1" t="str">
        <f>IFERROR(__xludf.DUMMYFUNCTION("SPLIT(C873, "", "")"),"Comedy")</f>
        <v>Comedy</v>
      </c>
      <c r="H873" s="5" t="str">
        <f>IFERROR(__xludf.DUMMYFUNCTION("""COMPUTED_VALUE"""),"Drama")</f>
        <v>Drama</v>
      </c>
      <c r="I873" s="5" t="str">
        <f>IFERROR(__xludf.DUMMYFUNCTION("""COMPUTED_VALUE"""),"Romance")</f>
        <v>Romance</v>
      </c>
      <c r="J873" s="5" t="str">
        <f>IFERROR(__xludf.DUMMYFUNCTION("""COMPUTED_VALUE"""),"291🤙🏼Andrei Rublev🤙🏼Drama🤙🏼2")</f>
        <v>291🤙🏼Andrei Rublev🤙🏼Drama🤙🏼2</v>
      </c>
      <c r="K873" s="5">
        <f>IFERROR(__xludf.DUMMYFUNCTION("SPLiT(J873, ""🤙🏼"",FALSE,FALSE)"),291.0)</f>
        <v>291</v>
      </c>
      <c r="L873" s="5" t="str">
        <f>IFERROR(__xludf.DUMMYFUNCTION("""COMPUTED_VALUE"""),"Andrei Rublev")</f>
        <v>Andrei Rublev</v>
      </c>
      <c r="M873" s="5" t="str">
        <f>IFERROR(__xludf.DUMMYFUNCTION("""COMPUTED_VALUE"""),"Drama")</f>
        <v>Drama</v>
      </c>
      <c r="N873" s="5">
        <f>IFERROR(__xludf.DUMMYFUNCTION("""COMPUTED_VALUE"""),2.0)</f>
        <v>2</v>
      </c>
      <c r="S873" s="5">
        <f>IFERROR(__xludf.DUMMYFUNCTION("""COMPUTED_VALUE"""),346.0)</f>
        <v>346</v>
      </c>
      <c r="T873" s="5" t="str">
        <f>IFERROR(__xludf.DUMMYFUNCTION("""COMPUTED_VALUE"""),"Tropa de Elite 2: O Inimigo Agora é Outro")</f>
        <v>Tropa de Elite 2: O Inimigo Agora é Outro</v>
      </c>
      <c r="U873" s="5" t="str">
        <f>IFERROR(__xludf.DUMMYFUNCTION("""COMPUTED_VALUE"""),"Crime")</f>
        <v>Crime</v>
      </c>
      <c r="V873" s="5">
        <f>IFERROR(__xludf.DUMMYFUNCTION("""COMPUTED_VALUE"""),2.0)</f>
        <v>2</v>
      </c>
    </row>
    <row r="874">
      <c r="A874" s="1">
        <v>873.0</v>
      </c>
      <c r="B874" s="1" t="s">
        <v>5019</v>
      </c>
      <c r="C874" s="1" t="s">
        <v>928</v>
      </c>
      <c r="D874" s="1"/>
      <c r="E874" s="1">
        <v>873.0</v>
      </c>
      <c r="F874" s="1" t="s">
        <v>5019</v>
      </c>
      <c r="G874" s="1" t="str">
        <f>IFERROR(__xludf.DUMMYFUNCTION("SPLIT(C874, "", "")"),"Drama")</f>
        <v>Drama</v>
      </c>
      <c r="H874" s="5" t="str">
        <f>IFERROR(__xludf.DUMMYFUNCTION("""COMPUTED_VALUE"""),"Sci-Fi")</f>
        <v>Sci-Fi</v>
      </c>
      <c r="J874" s="5" t="str">
        <f>IFERROR(__xludf.DUMMYFUNCTION("""COMPUTED_VALUE"""),"291🤙🏼Andrei Rublev🤙🏼History🤙🏼3")</f>
        <v>291🤙🏼Andrei Rublev🤙🏼History🤙🏼3</v>
      </c>
      <c r="K874" s="5">
        <f>IFERROR(__xludf.DUMMYFUNCTION("SPLiT(J874, ""🤙🏼"",FALSE,FALSE)"),291.0)</f>
        <v>291</v>
      </c>
      <c r="L874" s="5" t="str">
        <f>IFERROR(__xludf.DUMMYFUNCTION("""COMPUTED_VALUE"""),"Andrei Rublev")</f>
        <v>Andrei Rublev</v>
      </c>
      <c r="M874" s="5" t="str">
        <f>IFERROR(__xludf.DUMMYFUNCTION("""COMPUTED_VALUE"""),"History")</f>
        <v>History</v>
      </c>
      <c r="N874" s="5">
        <f>IFERROR(__xludf.DUMMYFUNCTION("""COMPUTED_VALUE"""),3.0)</f>
        <v>3</v>
      </c>
      <c r="S874" s="5">
        <f>IFERROR(__xludf.DUMMYFUNCTION("""COMPUTED_VALUE"""),346.0)</f>
        <v>346</v>
      </c>
      <c r="T874" s="5" t="str">
        <f>IFERROR(__xludf.DUMMYFUNCTION("""COMPUTED_VALUE"""),"Tropa de Elite 2: O Inimigo Agora é Outro")</f>
        <v>Tropa de Elite 2: O Inimigo Agora é Outro</v>
      </c>
      <c r="U874" s="5" t="str">
        <f>IFERROR(__xludf.DUMMYFUNCTION("""COMPUTED_VALUE"""),"Drama")</f>
        <v>Drama</v>
      </c>
      <c r="V874" s="5">
        <f>IFERROR(__xludf.DUMMYFUNCTION("""COMPUTED_VALUE"""),3.0)</f>
        <v>3</v>
      </c>
    </row>
    <row r="875">
      <c r="A875" s="1">
        <v>874.0</v>
      </c>
      <c r="B875" s="1" t="s">
        <v>5025</v>
      </c>
      <c r="C875" s="1" t="s">
        <v>3922</v>
      </c>
      <c r="D875" s="1"/>
      <c r="E875" s="1">
        <v>874.0</v>
      </c>
      <c r="F875" s="1" t="s">
        <v>5025</v>
      </c>
      <c r="G875" s="1" t="str">
        <f>IFERROR(__xludf.DUMMYFUNCTION("SPLIT(C875, "", "")"),"Adventure")</f>
        <v>Adventure</v>
      </c>
      <c r="H875" s="5" t="str">
        <f>IFERROR(__xludf.DUMMYFUNCTION("""COMPUTED_VALUE"""),"Drama")</f>
        <v>Drama</v>
      </c>
      <c r="I875" s="5" t="str">
        <f>IFERROR(__xludf.DUMMYFUNCTION("""COMPUTED_VALUE"""),"Romance")</f>
        <v>Romance</v>
      </c>
      <c r="J875" s="5" t="str">
        <f>IFERROR(__xludf.DUMMYFUNCTION("""COMPUTED_VALUE"""),"292🤙🏼La battaglia di Algeri🤙🏼Drama🤙🏼1")</f>
        <v>292🤙🏼La battaglia di Algeri🤙🏼Drama🤙🏼1</v>
      </c>
      <c r="K875" s="5">
        <f>IFERROR(__xludf.DUMMYFUNCTION("SPLiT(J875, ""🤙🏼"",FALSE,FALSE)"),292.0)</f>
        <v>292</v>
      </c>
      <c r="L875" s="5" t="str">
        <f>IFERROR(__xludf.DUMMYFUNCTION("""COMPUTED_VALUE"""),"La battaglia di Algeri")</f>
        <v>La battaglia di Algeri</v>
      </c>
      <c r="M875" s="5" t="str">
        <f>IFERROR(__xludf.DUMMYFUNCTION("""COMPUTED_VALUE"""),"Drama")</f>
        <v>Drama</v>
      </c>
      <c r="N875" s="5">
        <f>IFERROR(__xludf.DUMMYFUNCTION("""COMPUTED_VALUE"""),1.0)</f>
        <v>1</v>
      </c>
      <c r="S875" s="5">
        <f>IFERROR(__xludf.DUMMYFUNCTION("""COMPUTED_VALUE"""),347.0)</f>
        <v>347</v>
      </c>
      <c r="T875" s="5" t="str">
        <f>IFERROR(__xludf.DUMMYFUNCTION("""COMPUTED_VALUE"""),"The King's Speech")</f>
        <v>The King's Speech</v>
      </c>
      <c r="U875" s="5" t="str">
        <f>IFERROR(__xludf.DUMMYFUNCTION("""COMPUTED_VALUE"""),"Biography")</f>
        <v>Biography</v>
      </c>
      <c r="V875" s="5">
        <f>IFERROR(__xludf.DUMMYFUNCTION("""COMPUTED_VALUE"""),1.0)</f>
        <v>1</v>
      </c>
    </row>
    <row r="876">
      <c r="A876" s="1">
        <v>875.0</v>
      </c>
      <c r="B876" s="1" t="s">
        <v>5029</v>
      </c>
      <c r="C876" s="1" t="s">
        <v>3458</v>
      </c>
      <c r="D876" s="1"/>
      <c r="E876" s="1">
        <v>875.0</v>
      </c>
      <c r="F876" s="1" t="s">
        <v>5029</v>
      </c>
      <c r="G876" s="1" t="str">
        <f>IFERROR(__xludf.DUMMYFUNCTION("SPLIT(C876, "", "")"),"Drama")</f>
        <v>Drama</v>
      </c>
      <c r="H876" s="5" t="str">
        <f>IFERROR(__xludf.DUMMYFUNCTION("""COMPUTED_VALUE"""),"Film-Noir")</f>
        <v>Film-Noir</v>
      </c>
      <c r="I876" s="5" t="str">
        <f>IFERROR(__xludf.DUMMYFUNCTION("""COMPUTED_VALUE"""),"Romance")</f>
        <v>Romance</v>
      </c>
      <c r="J876" s="5" t="str">
        <f>IFERROR(__xludf.DUMMYFUNCTION("""COMPUTED_VALUE"""),"292🤙🏼La battaglia di Algeri🤙🏼War🤙🏼2")</f>
        <v>292🤙🏼La battaglia di Algeri🤙🏼War🤙🏼2</v>
      </c>
      <c r="K876" s="5">
        <f>IFERROR(__xludf.DUMMYFUNCTION("SPLiT(J876, ""🤙🏼"",FALSE,FALSE)"),292.0)</f>
        <v>292</v>
      </c>
      <c r="L876" s="5" t="str">
        <f>IFERROR(__xludf.DUMMYFUNCTION("""COMPUTED_VALUE"""),"La battaglia di Algeri")</f>
        <v>La battaglia di Algeri</v>
      </c>
      <c r="M876" s="5" t="str">
        <f>IFERROR(__xludf.DUMMYFUNCTION("""COMPUTED_VALUE"""),"War")</f>
        <v>War</v>
      </c>
      <c r="N876" s="5">
        <f>IFERROR(__xludf.DUMMYFUNCTION("""COMPUTED_VALUE"""),2.0)</f>
        <v>2</v>
      </c>
      <c r="S876" s="5">
        <f>IFERROR(__xludf.DUMMYFUNCTION("""COMPUTED_VALUE"""),347.0)</f>
        <v>347</v>
      </c>
      <c r="T876" s="5" t="str">
        <f>IFERROR(__xludf.DUMMYFUNCTION("""COMPUTED_VALUE"""),"The King's Speech")</f>
        <v>The King's Speech</v>
      </c>
      <c r="U876" s="5" t="str">
        <f>IFERROR(__xludf.DUMMYFUNCTION("""COMPUTED_VALUE"""),"Drama")</f>
        <v>Drama</v>
      </c>
      <c r="V876" s="5">
        <f>IFERROR(__xludf.DUMMYFUNCTION("""COMPUTED_VALUE"""),2.0)</f>
        <v>2</v>
      </c>
    </row>
    <row r="877">
      <c r="A877" s="1">
        <v>876.0</v>
      </c>
      <c r="B877" s="1" t="s">
        <v>5034</v>
      </c>
      <c r="C877" s="1" t="s">
        <v>1207</v>
      </c>
      <c r="D877" s="1"/>
      <c r="E877" s="1">
        <v>876.0</v>
      </c>
      <c r="F877" s="1" t="s">
        <v>5034</v>
      </c>
      <c r="G877" s="1" t="str">
        <f>IFERROR(__xludf.DUMMYFUNCTION("SPLIT(C877, "", "")"),"Animation")</f>
        <v>Animation</v>
      </c>
      <c r="H877" s="5" t="str">
        <f>IFERROR(__xludf.DUMMYFUNCTION("""COMPUTED_VALUE"""),"Family")</f>
        <v>Family</v>
      </c>
      <c r="I877" s="5" t="str">
        <f>IFERROR(__xludf.DUMMYFUNCTION("""COMPUTED_VALUE"""),"Fantasy")</f>
        <v>Fantasy</v>
      </c>
      <c r="J877" s="5" t="str">
        <f>IFERROR(__xludf.DUMMYFUNCTION("""COMPUTED_VALUE"""),"292🤙🏼La battaglia di Algeri🤙🏼🤙🏼3")</f>
        <v>292🤙🏼La battaglia di Algeri🤙🏼🤙🏼3</v>
      </c>
      <c r="K877" s="5">
        <f>IFERROR(__xludf.DUMMYFUNCTION("SPLiT(J877, ""🤙🏼"",FALSE,FALSE)"),292.0)</f>
        <v>292</v>
      </c>
      <c r="L877" s="5" t="str">
        <f>IFERROR(__xludf.DUMMYFUNCTION("""COMPUTED_VALUE"""),"La battaglia di Algeri")</f>
        <v>La battaglia di Algeri</v>
      </c>
      <c r="M877" s="5"/>
      <c r="N877" s="5">
        <f>IFERROR(__xludf.DUMMYFUNCTION("""COMPUTED_VALUE"""),3.0)</f>
        <v>3</v>
      </c>
      <c r="S877" s="5">
        <f>IFERROR(__xludf.DUMMYFUNCTION("""COMPUTED_VALUE"""),347.0)</f>
        <v>347</v>
      </c>
      <c r="T877" s="5" t="str">
        <f>IFERROR(__xludf.DUMMYFUNCTION("""COMPUTED_VALUE"""),"The King's Speech")</f>
        <v>The King's Speech</v>
      </c>
      <c r="U877" s="5" t="str">
        <f>IFERROR(__xludf.DUMMYFUNCTION("""COMPUTED_VALUE"""),"History")</f>
        <v>History</v>
      </c>
      <c r="V877" s="5">
        <f>IFERROR(__xludf.DUMMYFUNCTION("""COMPUTED_VALUE"""),3.0)</f>
        <v>3</v>
      </c>
    </row>
    <row r="878">
      <c r="A878" s="1">
        <v>877.0</v>
      </c>
      <c r="B878" s="1" t="s">
        <v>5041</v>
      </c>
      <c r="C878" s="1" t="s">
        <v>581</v>
      </c>
      <c r="D878" s="1"/>
      <c r="E878" s="1">
        <v>877.0</v>
      </c>
      <c r="F878" s="1" t="s">
        <v>5041</v>
      </c>
      <c r="G878" s="1" t="str">
        <f>IFERROR(__xludf.DUMMYFUNCTION("SPLIT(C878, "", "")"),"Horror")</f>
        <v>Horror</v>
      </c>
      <c r="H878" s="5" t="str">
        <f>IFERROR(__xludf.DUMMYFUNCTION("""COMPUTED_VALUE"""),"Sci-Fi")</f>
        <v>Sci-Fi</v>
      </c>
      <c r="J878" s="5" t="str">
        <f>IFERROR(__xludf.DUMMYFUNCTION("""COMPUTED_VALUE"""),"293🤙🏼El ángel exterminador🤙🏼Drama🤙🏼1")</f>
        <v>293🤙🏼El ángel exterminador🤙🏼Drama🤙🏼1</v>
      </c>
      <c r="K878" s="5">
        <f>IFERROR(__xludf.DUMMYFUNCTION("SPLiT(J878, ""🤙🏼"",FALSE,FALSE)"),293.0)</f>
        <v>293</v>
      </c>
      <c r="L878" s="5" t="str">
        <f>IFERROR(__xludf.DUMMYFUNCTION("""COMPUTED_VALUE"""),"El ángel exterminador")</f>
        <v>El ángel exterminador</v>
      </c>
      <c r="M878" s="5" t="str">
        <f>IFERROR(__xludf.DUMMYFUNCTION("""COMPUTED_VALUE"""),"Drama")</f>
        <v>Drama</v>
      </c>
      <c r="N878" s="5">
        <f>IFERROR(__xludf.DUMMYFUNCTION("""COMPUTED_VALUE"""),1.0)</f>
        <v>1</v>
      </c>
      <c r="S878" s="5">
        <f>IFERROR(__xludf.DUMMYFUNCTION("""COMPUTED_VALUE"""),348.0)</f>
        <v>348</v>
      </c>
      <c r="T878" s="5" t="str">
        <f>IFERROR(__xludf.DUMMYFUNCTION("""COMPUTED_VALUE"""),"The Help")</f>
        <v>The Help</v>
      </c>
      <c r="U878" s="5" t="str">
        <f>IFERROR(__xludf.DUMMYFUNCTION("""COMPUTED_VALUE"""),"Drama")</f>
        <v>Drama</v>
      </c>
      <c r="V878" s="5">
        <f>IFERROR(__xludf.DUMMYFUNCTION("""COMPUTED_VALUE"""),1.0)</f>
        <v>1</v>
      </c>
    </row>
    <row r="879">
      <c r="A879" s="1">
        <v>878.0</v>
      </c>
      <c r="B879" s="1" t="s">
        <v>5046</v>
      </c>
      <c r="C879" s="1" t="s">
        <v>79</v>
      </c>
      <c r="D879" s="1"/>
      <c r="E879" s="1">
        <v>878.0</v>
      </c>
      <c r="F879" s="1" t="s">
        <v>5046</v>
      </c>
      <c r="G879" s="1" t="str">
        <f>IFERROR(__xludf.DUMMYFUNCTION("SPLIT(C879, "", "")"),"Biography")</f>
        <v>Biography</v>
      </c>
      <c r="H879" s="5" t="str">
        <f>IFERROR(__xludf.DUMMYFUNCTION("""COMPUTED_VALUE"""),"Drama")</f>
        <v>Drama</v>
      </c>
      <c r="I879" s="5" t="str">
        <f>IFERROR(__xludf.DUMMYFUNCTION("""COMPUTED_VALUE"""),"History")</f>
        <v>History</v>
      </c>
      <c r="J879" s="5" t="str">
        <f>IFERROR(__xludf.DUMMYFUNCTION("""COMPUTED_VALUE"""),"293🤙🏼El ángel exterminador🤙🏼Fantasy🤙🏼2")</f>
        <v>293🤙🏼El ángel exterminador🤙🏼Fantasy🤙🏼2</v>
      </c>
      <c r="K879" s="5">
        <f>IFERROR(__xludf.DUMMYFUNCTION("SPLiT(J879, ""🤙🏼"",FALSE,FALSE)"),293.0)</f>
        <v>293</v>
      </c>
      <c r="L879" s="5" t="str">
        <f>IFERROR(__xludf.DUMMYFUNCTION("""COMPUTED_VALUE"""),"El ángel exterminador")</f>
        <v>El ángel exterminador</v>
      </c>
      <c r="M879" s="5" t="str">
        <f>IFERROR(__xludf.DUMMYFUNCTION("""COMPUTED_VALUE"""),"Fantasy")</f>
        <v>Fantasy</v>
      </c>
      <c r="N879" s="5">
        <f>IFERROR(__xludf.DUMMYFUNCTION("""COMPUTED_VALUE"""),2.0)</f>
        <v>2</v>
      </c>
      <c r="S879" s="5">
        <f>IFERROR(__xludf.DUMMYFUNCTION("""COMPUTED_VALUE"""),349.0)</f>
        <v>349</v>
      </c>
      <c r="T879" s="5" t="str">
        <f>IFERROR(__xludf.DUMMYFUNCTION("""COMPUTED_VALUE"""),"Deadpool")</f>
        <v>Deadpool</v>
      </c>
      <c r="U879" s="5" t="str">
        <f>IFERROR(__xludf.DUMMYFUNCTION("""COMPUTED_VALUE"""),"Action")</f>
        <v>Action</v>
      </c>
      <c r="V879" s="5">
        <f>IFERROR(__xludf.DUMMYFUNCTION("""COMPUTED_VALUE"""),1.0)</f>
        <v>1</v>
      </c>
    </row>
    <row r="880">
      <c r="A880" s="1">
        <v>879.0</v>
      </c>
      <c r="B880" s="1" t="s">
        <v>5050</v>
      </c>
      <c r="C880" s="1" t="s">
        <v>527</v>
      </c>
      <c r="D880" s="1"/>
      <c r="E880" s="1">
        <v>879.0</v>
      </c>
      <c r="F880" s="1" t="s">
        <v>5050</v>
      </c>
      <c r="G880" s="1" t="str">
        <f>IFERROR(__xludf.DUMMYFUNCTION("SPLIT(C880, "", "")"),"Drama")</f>
        <v>Drama</v>
      </c>
      <c r="H880" s="5" t="str">
        <f>IFERROR(__xludf.DUMMYFUNCTION("""COMPUTED_VALUE"""),"Mystery")</f>
        <v>Mystery</v>
      </c>
      <c r="I880" s="5" t="str">
        <f>IFERROR(__xludf.DUMMYFUNCTION("""COMPUTED_VALUE"""),"Thriller")</f>
        <v>Thriller</v>
      </c>
      <c r="J880" s="5" t="str">
        <f>IFERROR(__xludf.DUMMYFUNCTION("""COMPUTED_VALUE"""),"293🤙🏼El ángel exterminador🤙🏼🤙🏼3")</f>
        <v>293🤙🏼El ángel exterminador🤙🏼🤙🏼3</v>
      </c>
      <c r="K880" s="5">
        <f>IFERROR(__xludf.DUMMYFUNCTION("SPLiT(J880, ""🤙🏼"",FALSE,FALSE)"),293.0)</f>
        <v>293</v>
      </c>
      <c r="L880" s="5" t="str">
        <f>IFERROR(__xludf.DUMMYFUNCTION("""COMPUTED_VALUE"""),"El ángel exterminador")</f>
        <v>El ángel exterminador</v>
      </c>
      <c r="M880" s="5"/>
      <c r="N880" s="5">
        <f>IFERROR(__xludf.DUMMYFUNCTION("""COMPUTED_VALUE"""),3.0)</f>
        <v>3</v>
      </c>
      <c r="S880" s="5">
        <f>IFERROR(__xludf.DUMMYFUNCTION("""COMPUTED_VALUE"""),349.0)</f>
        <v>349</v>
      </c>
      <c r="T880" s="5" t="str">
        <f>IFERROR(__xludf.DUMMYFUNCTION("""COMPUTED_VALUE"""),"Deadpool")</f>
        <v>Deadpool</v>
      </c>
      <c r="U880" s="5" t="str">
        <f>IFERROR(__xludf.DUMMYFUNCTION("""COMPUTED_VALUE"""),"Adventure")</f>
        <v>Adventure</v>
      </c>
      <c r="V880" s="5">
        <f>IFERROR(__xludf.DUMMYFUNCTION("""COMPUTED_VALUE"""),2.0)</f>
        <v>2</v>
      </c>
    </row>
    <row r="881">
      <c r="A881" s="1">
        <v>880.0</v>
      </c>
      <c r="B881" s="1" t="s">
        <v>5058</v>
      </c>
      <c r="C881" s="1" t="s">
        <v>507</v>
      </c>
      <c r="D881" s="1"/>
      <c r="E881" s="1">
        <v>880.0</v>
      </c>
      <c r="F881" s="1" t="s">
        <v>5058</v>
      </c>
      <c r="G881" s="1" t="str">
        <f>IFERROR(__xludf.DUMMYFUNCTION("SPLIT(C881, "", "")"),"Comedy")</f>
        <v>Comedy</v>
      </c>
      <c r="H881" s="5" t="str">
        <f>IFERROR(__xludf.DUMMYFUNCTION("""COMPUTED_VALUE"""),"Drama")</f>
        <v>Drama</v>
      </c>
      <c r="J881" s="5" t="str">
        <f>IFERROR(__xludf.DUMMYFUNCTION("""COMPUTED_VALUE"""),"294🤙🏼What Ever Happened to Baby Jane?🤙🏼Drama🤙🏼1")</f>
        <v>294🤙🏼What Ever Happened to Baby Jane?🤙🏼Drama🤙🏼1</v>
      </c>
      <c r="K881" s="5">
        <f>IFERROR(__xludf.DUMMYFUNCTION("SPLiT(J881, ""🤙🏼"",FALSE,FALSE)"),294.0)</f>
        <v>294</v>
      </c>
      <c r="L881" s="5" t="str">
        <f>IFERROR(__xludf.DUMMYFUNCTION("""COMPUTED_VALUE"""),"What Ever Happened to Baby Jane?")</f>
        <v>What Ever Happened to Baby Jane?</v>
      </c>
      <c r="M881" s="5" t="str">
        <f>IFERROR(__xludf.DUMMYFUNCTION("""COMPUTED_VALUE"""),"Drama")</f>
        <v>Drama</v>
      </c>
      <c r="N881" s="5">
        <f>IFERROR(__xludf.DUMMYFUNCTION("""COMPUTED_VALUE"""),1.0)</f>
        <v>1</v>
      </c>
      <c r="S881" s="5">
        <f>IFERROR(__xludf.DUMMYFUNCTION("""COMPUTED_VALUE"""),349.0)</f>
        <v>349</v>
      </c>
      <c r="T881" s="5" t="str">
        <f>IFERROR(__xludf.DUMMYFUNCTION("""COMPUTED_VALUE"""),"Deadpool")</f>
        <v>Deadpool</v>
      </c>
      <c r="U881" s="5" t="str">
        <f>IFERROR(__xludf.DUMMYFUNCTION("""COMPUTED_VALUE"""),"Comedy")</f>
        <v>Comedy</v>
      </c>
      <c r="V881" s="5">
        <f>IFERROR(__xludf.DUMMYFUNCTION("""COMPUTED_VALUE"""),3.0)</f>
        <v>3</v>
      </c>
    </row>
    <row r="882">
      <c r="A882" s="1">
        <v>881.0</v>
      </c>
      <c r="B882" s="1" t="s">
        <v>5060</v>
      </c>
      <c r="C882" s="1" t="s">
        <v>20</v>
      </c>
      <c r="D882" s="1"/>
      <c r="E882" s="1">
        <v>881.0</v>
      </c>
      <c r="F882" s="1" t="s">
        <v>5060</v>
      </c>
      <c r="G882" s="1" t="str">
        <f>IFERROR(__xludf.DUMMYFUNCTION("SPLIT(C882, "", "")"),"Drama")</f>
        <v>Drama</v>
      </c>
      <c r="J882" s="5" t="str">
        <f>IFERROR(__xludf.DUMMYFUNCTION("""COMPUTED_VALUE"""),"294🤙🏼What Ever Happened to Baby Jane?🤙🏼Horror🤙🏼2")</f>
        <v>294🤙🏼What Ever Happened to Baby Jane?🤙🏼Horror🤙🏼2</v>
      </c>
      <c r="K882" s="5">
        <f>IFERROR(__xludf.DUMMYFUNCTION("SPLiT(J882, ""🤙🏼"",FALSE,FALSE)"),294.0)</f>
        <v>294</v>
      </c>
      <c r="L882" s="5" t="str">
        <f>IFERROR(__xludf.DUMMYFUNCTION("""COMPUTED_VALUE"""),"What Ever Happened to Baby Jane?")</f>
        <v>What Ever Happened to Baby Jane?</v>
      </c>
      <c r="M882" s="5" t="str">
        <f>IFERROR(__xludf.DUMMYFUNCTION("""COMPUTED_VALUE"""),"Horror")</f>
        <v>Horror</v>
      </c>
      <c r="N882" s="5">
        <f>IFERROR(__xludf.DUMMYFUNCTION("""COMPUTED_VALUE"""),2.0)</f>
        <v>2</v>
      </c>
      <c r="S882" s="5">
        <f>IFERROR(__xludf.DUMMYFUNCTION("""COMPUTED_VALUE"""),350.0)</f>
        <v>350</v>
      </c>
      <c r="T882" s="5" t="str">
        <f>IFERROR(__xludf.DUMMYFUNCTION("""COMPUTED_VALUE"""),"Darbareye Elly")</f>
        <v>Darbareye Elly</v>
      </c>
      <c r="U882" s="5" t="str">
        <f>IFERROR(__xludf.DUMMYFUNCTION("""COMPUTED_VALUE"""),"Drama")</f>
        <v>Drama</v>
      </c>
      <c r="V882" s="5">
        <f>IFERROR(__xludf.DUMMYFUNCTION("""COMPUTED_VALUE"""),1.0)</f>
        <v>1</v>
      </c>
    </row>
    <row r="883">
      <c r="A883" s="1">
        <v>882.0</v>
      </c>
      <c r="B883" s="1" t="s">
        <v>5066</v>
      </c>
      <c r="C883" s="1" t="s">
        <v>20</v>
      </c>
      <c r="D883" s="1"/>
      <c r="E883" s="1">
        <v>882.0</v>
      </c>
      <c r="F883" s="1" t="s">
        <v>5066</v>
      </c>
      <c r="G883" s="1" t="str">
        <f>IFERROR(__xludf.DUMMYFUNCTION("SPLIT(C883, "", "")"),"Drama")</f>
        <v>Drama</v>
      </c>
      <c r="J883" s="5" t="str">
        <f>IFERROR(__xludf.DUMMYFUNCTION("""COMPUTED_VALUE"""),"294🤙🏼What Ever Happened to Baby Jane?🤙🏼Thriller🤙🏼3")</f>
        <v>294🤙🏼What Ever Happened to Baby Jane?🤙🏼Thriller🤙🏼3</v>
      </c>
      <c r="K883" s="5">
        <f>IFERROR(__xludf.DUMMYFUNCTION("SPLiT(J883, ""🤙🏼"",FALSE,FALSE)"),294.0)</f>
        <v>294</v>
      </c>
      <c r="L883" s="5" t="str">
        <f>IFERROR(__xludf.DUMMYFUNCTION("""COMPUTED_VALUE"""),"What Ever Happened to Baby Jane?")</f>
        <v>What Ever Happened to Baby Jane?</v>
      </c>
      <c r="M883" s="5" t="str">
        <f>IFERROR(__xludf.DUMMYFUNCTION("""COMPUTED_VALUE"""),"Thriller")</f>
        <v>Thriller</v>
      </c>
      <c r="N883" s="5">
        <f>IFERROR(__xludf.DUMMYFUNCTION("""COMPUTED_VALUE"""),3.0)</f>
        <v>3</v>
      </c>
      <c r="S883" s="5">
        <f>IFERROR(__xludf.DUMMYFUNCTION("""COMPUTED_VALUE"""),350.0)</f>
        <v>350</v>
      </c>
      <c r="T883" s="5" t="str">
        <f>IFERROR(__xludf.DUMMYFUNCTION("""COMPUTED_VALUE"""),"Darbareye Elly")</f>
        <v>Darbareye Elly</v>
      </c>
      <c r="U883" s="5" t="str">
        <f>IFERROR(__xludf.DUMMYFUNCTION("""COMPUTED_VALUE"""),"Mystery")</f>
        <v>Mystery</v>
      </c>
      <c r="V883" s="5">
        <f>IFERROR(__xludf.DUMMYFUNCTION("""COMPUTED_VALUE"""),2.0)</f>
        <v>2</v>
      </c>
    </row>
    <row r="884">
      <c r="A884" s="1">
        <v>883.0</v>
      </c>
      <c r="B884" s="1" t="s">
        <v>5072</v>
      </c>
      <c r="C884" s="1" t="s">
        <v>137</v>
      </c>
      <c r="D884" s="1"/>
      <c r="E884" s="1">
        <v>883.0</v>
      </c>
      <c r="F884" s="1" t="s">
        <v>5072</v>
      </c>
      <c r="G884" s="1" t="str">
        <f>IFERROR(__xludf.DUMMYFUNCTION("SPLIT(C884, "", "")"),"Biography")</f>
        <v>Biography</v>
      </c>
      <c r="H884" s="5" t="str">
        <f>IFERROR(__xludf.DUMMYFUNCTION("""COMPUTED_VALUE"""),"Crime")</f>
        <v>Crime</v>
      </c>
      <c r="I884" s="5" t="str">
        <f>IFERROR(__xludf.DUMMYFUNCTION("""COMPUTED_VALUE"""),"Drama")</f>
        <v>Drama</v>
      </c>
      <c r="J884" s="5" t="str">
        <f>IFERROR(__xludf.DUMMYFUNCTION("""COMPUTED_VALUE"""),"295🤙🏼Sanjuro🤙🏼Action🤙🏼1")</f>
        <v>295🤙🏼Sanjuro🤙🏼Action🤙🏼1</v>
      </c>
      <c r="K884" s="5">
        <f>IFERROR(__xludf.DUMMYFUNCTION("SPLiT(J884, ""🤙🏼"",FALSE,FALSE)"),295.0)</f>
        <v>295</v>
      </c>
      <c r="L884" s="5" t="str">
        <f>IFERROR(__xludf.DUMMYFUNCTION("""COMPUTED_VALUE"""),"Sanjuro")</f>
        <v>Sanjuro</v>
      </c>
      <c r="M884" s="5" t="str">
        <f>IFERROR(__xludf.DUMMYFUNCTION("""COMPUTED_VALUE"""),"Action")</f>
        <v>Action</v>
      </c>
      <c r="N884" s="5">
        <f>IFERROR(__xludf.DUMMYFUNCTION("""COMPUTED_VALUE"""),1.0)</f>
        <v>1</v>
      </c>
      <c r="S884" s="5">
        <f>IFERROR(__xludf.DUMMYFUNCTION("""COMPUTED_VALUE"""),351.0)</f>
        <v>351</v>
      </c>
      <c r="T884" s="5" t="str">
        <f>IFERROR(__xludf.DUMMYFUNCTION("""COMPUTED_VALUE"""),"Dev.D")</f>
        <v>Dev.D</v>
      </c>
      <c r="U884" s="5" t="str">
        <f>IFERROR(__xludf.DUMMYFUNCTION("""COMPUTED_VALUE"""),"Drama")</f>
        <v>Drama</v>
      </c>
      <c r="V884" s="5">
        <f>IFERROR(__xludf.DUMMYFUNCTION("""COMPUTED_VALUE"""),1.0)</f>
        <v>1</v>
      </c>
    </row>
    <row r="885">
      <c r="A885" s="1">
        <v>884.0</v>
      </c>
      <c r="B885" s="1" t="s">
        <v>5076</v>
      </c>
      <c r="C885" s="1" t="s">
        <v>20</v>
      </c>
      <c r="D885" s="1"/>
      <c r="E885" s="1">
        <v>884.0</v>
      </c>
      <c r="F885" s="1" t="s">
        <v>5076</v>
      </c>
      <c r="G885" s="1" t="str">
        <f>IFERROR(__xludf.DUMMYFUNCTION("SPLIT(C885, "", "")"),"Drama")</f>
        <v>Drama</v>
      </c>
      <c r="J885" s="5" t="str">
        <f>IFERROR(__xludf.DUMMYFUNCTION("""COMPUTED_VALUE"""),"295🤙🏼Sanjuro🤙🏼Comedy🤙🏼2")</f>
        <v>295🤙🏼Sanjuro🤙🏼Comedy🤙🏼2</v>
      </c>
      <c r="K885" s="5">
        <f>IFERROR(__xludf.DUMMYFUNCTION("SPLiT(J885, ""🤙🏼"",FALSE,FALSE)"),295.0)</f>
        <v>295</v>
      </c>
      <c r="L885" s="5" t="str">
        <f>IFERROR(__xludf.DUMMYFUNCTION("""COMPUTED_VALUE"""),"Sanjuro")</f>
        <v>Sanjuro</v>
      </c>
      <c r="M885" s="5" t="str">
        <f>IFERROR(__xludf.DUMMYFUNCTION("""COMPUTED_VALUE"""),"Comedy")</f>
        <v>Comedy</v>
      </c>
      <c r="N885" s="5">
        <f>IFERROR(__xludf.DUMMYFUNCTION("""COMPUTED_VALUE"""),2.0)</f>
        <v>2</v>
      </c>
      <c r="S885" s="5">
        <f>IFERROR(__xludf.DUMMYFUNCTION("""COMPUTED_VALUE"""),351.0)</f>
        <v>351</v>
      </c>
      <c r="T885" s="5" t="str">
        <f>IFERROR(__xludf.DUMMYFUNCTION("""COMPUTED_VALUE"""),"Dev.D")</f>
        <v>Dev.D</v>
      </c>
      <c r="U885" s="5" t="str">
        <f>IFERROR(__xludf.DUMMYFUNCTION("""COMPUTED_VALUE"""),"Romance")</f>
        <v>Romance</v>
      </c>
      <c r="V885" s="5">
        <f>IFERROR(__xludf.DUMMYFUNCTION("""COMPUTED_VALUE"""),2.0)</f>
        <v>2</v>
      </c>
    </row>
    <row r="886">
      <c r="A886" s="1">
        <v>885.0</v>
      </c>
      <c r="B886" s="1" t="s">
        <v>5080</v>
      </c>
      <c r="C886" s="1" t="s">
        <v>1004</v>
      </c>
      <c r="D886" s="1"/>
      <c r="E886" s="1">
        <v>885.0</v>
      </c>
      <c r="F886" s="1" t="s">
        <v>5080</v>
      </c>
      <c r="G886" s="1" t="str">
        <f>IFERROR(__xludf.DUMMYFUNCTION("SPLIT(C886, "", "")"),"Adventure")</f>
        <v>Adventure</v>
      </c>
      <c r="H886" s="5" t="str">
        <f>IFERROR(__xludf.DUMMYFUNCTION("""COMPUTED_VALUE"""),"Comedy")</f>
        <v>Comedy</v>
      </c>
      <c r="I886" s="5" t="str">
        <f>IFERROR(__xludf.DUMMYFUNCTION("""COMPUTED_VALUE"""),"Drama")</f>
        <v>Drama</v>
      </c>
      <c r="J886" s="5" t="str">
        <f>IFERROR(__xludf.DUMMYFUNCTION("""COMPUTED_VALUE"""),"295🤙🏼Sanjuro🤙🏼Crime🤙🏼3")</f>
        <v>295🤙🏼Sanjuro🤙🏼Crime🤙🏼3</v>
      </c>
      <c r="K886" s="5">
        <f>IFERROR(__xludf.DUMMYFUNCTION("SPLiT(J886, ""🤙🏼"",FALSE,FALSE)"),295.0)</f>
        <v>295</v>
      </c>
      <c r="L886" s="5" t="str">
        <f>IFERROR(__xludf.DUMMYFUNCTION("""COMPUTED_VALUE"""),"Sanjuro")</f>
        <v>Sanjuro</v>
      </c>
      <c r="M886" s="5" t="str">
        <f>IFERROR(__xludf.DUMMYFUNCTION("""COMPUTED_VALUE"""),"Crime")</f>
        <v>Crime</v>
      </c>
      <c r="N886" s="5">
        <f>IFERROR(__xludf.DUMMYFUNCTION("""COMPUTED_VALUE"""),3.0)</f>
        <v>3</v>
      </c>
      <c r="S886" s="5">
        <f>IFERROR(__xludf.DUMMYFUNCTION("""COMPUTED_VALUE"""),352.0)</f>
        <v>352</v>
      </c>
      <c r="T886" s="5" t="str">
        <f>IFERROR(__xludf.DUMMYFUNCTION("""COMPUTED_VALUE"""),"Yip Man")</f>
        <v>Yip Man</v>
      </c>
      <c r="U886" s="5" t="str">
        <f>IFERROR(__xludf.DUMMYFUNCTION("""COMPUTED_VALUE"""),"Action")</f>
        <v>Action</v>
      </c>
      <c r="V886" s="5">
        <f>IFERROR(__xludf.DUMMYFUNCTION("""COMPUTED_VALUE"""),1.0)</f>
        <v>1</v>
      </c>
    </row>
    <row r="887">
      <c r="A887" s="1">
        <v>886.0</v>
      </c>
      <c r="B887" s="1" t="s">
        <v>5087</v>
      </c>
      <c r="C887" s="1" t="s">
        <v>2372</v>
      </c>
      <c r="D887" s="1"/>
      <c r="E887" s="1">
        <v>886.0</v>
      </c>
      <c r="F887" s="1" t="s">
        <v>5087</v>
      </c>
      <c r="G887" s="1" t="str">
        <f>IFERROR(__xludf.DUMMYFUNCTION("SPLIT(C887, "", "")"),"Crime")</f>
        <v>Crime</v>
      </c>
      <c r="H887" s="5" t="str">
        <f>IFERROR(__xludf.DUMMYFUNCTION("""COMPUTED_VALUE"""),"Drama")</f>
        <v>Drama</v>
      </c>
      <c r="I887" s="5" t="str">
        <f>IFERROR(__xludf.DUMMYFUNCTION("""COMPUTED_VALUE"""),"Romance")</f>
        <v>Romance</v>
      </c>
      <c r="J887" s="5" t="str">
        <f>IFERROR(__xludf.DUMMYFUNCTION("""COMPUTED_VALUE"""),"296🤙🏼The Man Who Shot Liberty Valance🤙🏼Drama🤙🏼1")</f>
        <v>296🤙🏼The Man Who Shot Liberty Valance🤙🏼Drama🤙🏼1</v>
      </c>
      <c r="K887" s="5">
        <f>IFERROR(__xludf.DUMMYFUNCTION("SPLiT(J887, ""🤙🏼"",FALSE,FALSE)"),296.0)</f>
        <v>296</v>
      </c>
      <c r="L887" s="5" t="str">
        <f>IFERROR(__xludf.DUMMYFUNCTION("""COMPUTED_VALUE"""),"The Man Who Shot Liberty Valance")</f>
        <v>The Man Who Shot Liberty Valance</v>
      </c>
      <c r="M887" s="5" t="str">
        <f>IFERROR(__xludf.DUMMYFUNCTION("""COMPUTED_VALUE"""),"Drama")</f>
        <v>Drama</v>
      </c>
      <c r="N887" s="5">
        <f>IFERROR(__xludf.DUMMYFUNCTION("""COMPUTED_VALUE"""),1.0)</f>
        <v>1</v>
      </c>
      <c r="S887" s="5">
        <f>IFERROR(__xludf.DUMMYFUNCTION("""COMPUTED_VALUE"""),352.0)</f>
        <v>352</v>
      </c>
      <c r="T887" s="5" t="str">
        <f>IFERROR(__xludf.DUMMYFUNCTION("""COMPUTED_VALUE"""),"Yip Man")</f>
        <v>Yip Man</v>
      </c>
      <c r="U887" s="5" t="str">
        <f>IFERROR(__xludf.DUMMYFUNCTION("""COMPUTED_VALUE"""),"Biography")</f>
        <v>Biography</v>
      </c>
      <c r="V887" s="5">
        <f>IFERROR(__xludf.DUMMYFUNCTION("""COMPUTED_VALUE"""),2.0)</f>
        <v>2</v>
      </c>
    </row>
    <row r="888">
      <c r="A888" s="1">
        <v>887.0</v>
      </c>
      <c r="B888" s="1" t="s">
        <v>5094</v>
      </c>
      <c r="C888" s="1" t="s">
        <v>20</v>
      </c>
      <c r="D888" s="1"/>
      <c r="E888" s="1">
        <v>887.0</v>
      </c>
      <c r="F888" s="1" t="s">
        <v>5094</v>
      </c>
      <c r="G888" s="1" t="str">
        <f>IFERROR(__xludf.DUMMYFUNCTION("SPLIT(C888, "", "")"),"Drama")</f>
        <v>Drama</v>
      </c>
      <c r="J888" s="5" t="str">
        <f>IFERROR(__xludf.DUMMYFUNCTION("""COMPUTED_VALUE"""),"296🤙🏼The Man Who Shot Liberty Valance🤙🏼Western🤙🏼2")</f>
        <v>296🤙🏼The Man Who Shot Liberty Valance🤙🏼Western🤙🏼2</v>
      </c>
      <c r="K888" s="5">
        <f>IFERROR(__xludf.DUMMYFUNCTION("SPLiT(J888, ""🤙🏼"",FALSE,FALSE)"),296.0)</f>
        <v>296</v>
      </c>
      <c r="L888" s="5" t="str">
        <f>IFERROR(__xludf.DUMMYFUNCTION("""COMPUTED_VALUE"""),"The Man Who Shot Liberty Valance")</f>
        <v>The Man Who Shot Liberty Valance</v>
      </c>
      <c r="M888" s="5" t="str">
        <f>IFERROR(__xludf.DUMMYFUNCTION("""COMPUTED_VALUE"""),"Western")</f>
        <v>Western</v>
      </c>
      <c r="N888" s="5">
        <f>IFERROR(__xludf.DUMMYFUNCTION("""COMPUTED_VALUE"""),2.0)</f>
        <v>2</v>
      </c>
      <c r="S888" s="5">
        <f>IFERROR(__xludf.DUMMYFUNCTION("""COMPUTED_VALUE"""),352.0)</f>
        <v>352</v>
      </c>
      <c r="T888" s="5" t="str">
        <f>IFERROR(__xludf.DUMMYFUNCTION("""COMPUTED_VALUE"""),"Yip Man")</f>
        <v>Yip Man</v>
      </c>
      <c r="U888" s="5" t="str">
        <f>IFERROR(__xludf.DUMMYFUNCTION("""COMPUTED_VALUE"""),"Drama")</f>
        <v>Drama</v>
      </c>
      <c r="V888" s="5">
        <f>IFERROR(__xludf.DUMMYFUNCTION("""COMPUTED_VALUE"""),3.0)</f>
        <v>3</v>
      </c>
    </row>
    <row r="889">
      <c r="A889" s="1">
        <v>888.0</v>
      </c>
      <c r="B889" s="1" t="s">
        <v>5101</v>
      </c>
      <c r="C889" s="1" t="s">
        <v>1252</v>
      </c>
      <c r="D889" s="1"/>
      <c r="E889" s="1">
        <v>888.0</v>
      </c>
      <c r="F889" s="1" t="s">
        <v>5101</v>
      </c>
      <c r="G889" s="1" t="str">
        <f>IFERROR(__xludf.DUMMYFUNCTION("SPLIT(C889, "", "")"),"Action")</f>
        <v>Action</v>
      </c>
      <c r="H889" s="5" t="str">
        <f>IFERROR(__xludf.DUMMYFUNCTION("""COMPUTED_VALUE"""),"Adventure")</f>
        <v>Adventure</v>
      </c>
      <c r="I889" s="5" t="str">
        <f>IFERROR(__xludf.DUMMYFUNCTION("""COMPUTED_VALUE"""),"Comedy")</f>
        <v>Comedy</v>
      </c>
      <c r="J889" s="5" t="str">
        <f>IFERROR(__xludf.DUMMYFUNCTION("""COMPUTED_VALUE"""),"296🤙🏼The Man Who Shot Liberty Valance🤙🏼🤙🏼3")</f>
        <v>296🤙🏼The Man Who Shot Liberty Valance🤙🏼🤙🏼3</v>
      </c>
      <c r="K889" s="5">
        <f>IFERROR(__xludf.DUMMYFUNCTION("SPLiT(J889, ""🤙🏼"",FALSE,FALSE)"),296.0)</f>
        <v>296</v>
      </c>
      <c r="L889" s="5" t="str">
        <f>IFERROR(__xludf.DUMMYFUNCTION("""COMPUTED_VALUE"""),"The Man Who Shot Liberty Valance")</f>
        <v>The Man Who Shot Liberty Valance</v>
      </c>
      <c r="M889" s="5"/>
      <c r="N889" s="5">
        <f>IFERROR(__xludf.DUMMYFUNCTION("""COMPUTED_VALUE"""),3.0)</f>
        <v>3</v>
      </c>
      <c r="S889" s="5">
        <f>IFERROR(__xludf.DUMMYFUNCTION("""COMPUTED_VALUE"""),353.0)</f>
        <v>353</v>
      </c>
      <c r="T889" s="5" t="str">
        <f>IFERROR(__xludf.DUMMYFUNCTION("""COMPUTED_VALUE"""),"My Name Is Khan")</f>
        <v>My Name Is Khan</v>
      </c>
      <c r="U889" s="5" t="str">
        <f>IFERROR(__xludf.DUMMYFUNCTION("""COMPUTED_VALUE"""),"Drama")</f>
        <v>Drama</v>
      </c>
      <c r="V889" s="5">
        <f>IFERROR(__xludf.DUMMYFUNCTION("""COMPUTED_VALUE"""),1.0)</f>
        <v>1</v>
      </c>
    </row>
    <row r="890">
      <c r="A890" s="1">
        <v>889.0</v>
      </c>
      <c r="B890" s="1" t="s">
        <v>5103</v>
      </c>
      <c r="C890" s="1" t="s">
        <v>39</v>
      </c>
      <c r="D890" s="1"/>
      <c r="E890" s="1">
        <v>889.0</v>
      </c>
      <c r="F890" s="1" t="s">
        <v>5103</v>
      </c>
      <c r="G890" s="1" t="str">
        <f>IFERROR(__xludf.DUMMYFUNCTION("SPLIT(C890, "", "")"),"Action")</f>
        <v>Action</v>
      </c>
      <c r="H890" s="5" t="str">
        <f>IFERROR(__xludf.DUMMYFUNCTION("""COMPUTED_VALUE"""),"Crime")</f>
        <v>Crime</v>
      </c>
      <c r="I890" s="5" t="str">
        <f>IFERROR(__xludf.DUMMYFUNCTION("""COMPUTED_VALUE"""),"Drama")</f>
        <v>Drama</v>
      </c>
      <c r="J890" s="5" t="str">
        <f>IFERROR(__xludf.DUMMYFUNCTION("""COMPUTED_VALUE"""),"297🤙🏼Ivanovo detstvo🤙🏼Drama🤙🏼1")</f>
        <v>297🤙🏼Ivanovo detstvo🤙🏼Drama🤙🏼1</v>
      </c>
      <c r="K890" s="5">
        <f>IFERROR(__xludf.DUMMYFUNCTION("SPLiT(J890, ""🤙🏼"",FALSE,FALSE)"),297.0)</f>
        <v>297</v>
      </c>
      <c r="L890" s="5" t="str">
        <f>IFERROR(__xludf.DUMMYFUNCTION("""COMPUTED_VALUE"""),"Ivanovo detstvo")</f>
        <v>Ivanovo detstvo</v>
      </c>
      <c r="M890" s="5" t="str">
        <f>IFERROR(__xludf.DUMMYFUNCTION("""COMPUTED_VALUE"""),"Drama")</f>
        <v>Drama</v>
      </c>
      <c r="N890" s="5">
        <f>IFERROR(__xludf.DUMMYFUNCTION("""COMPUTED_VALUE"""),1.0)</f>
        <v>1</v>
      </c>
      <c r="S890" s="5">
        <f>IFERROR(__xludf.DUMMYFUNCTION("""COMPUTED_VALUE"""),354.0)</f>
        <v>354</v>
      </c>
      <c r="T890" s="5" t="str">
        <f>IFERROR(__xludf.DUMMYFUNCTION("""COMPUTED_VALUE"""),"Nefes: Vatan Sagolsun")</f>
        <v>Nefes: Vatan Sagolsun</v>
      </c>
      <c r="U890" s="5" t="str">
        <f>IFERROR(__xludf.DUMMYFUNCTION("""COMPUTED_VALUE"""),"Action")</f>
        <v>Action</v>
      </c>
      <c r="V890" s="5">
        <f>IFERROR(__xludf.DUMMYFUNCTION("""COMPUTED_VALUE"""),1.0)</f>
        <v>1</v>
      </c>
    </row>
    <row r="891">
      <c r="A891" s="1">
        <v>890.0</v>
      </c>
      <c r="B891" s="1" t="s">
        <v>5107</v>
      </c>
      <c r="C891" s="1" t="s">
        <v>458</v>
      </c>
      <c r="D891" s="1"/>
      <c r="E891" s="1">
        <v>890.0</v>
      </c>
      <c r="F891" s="1" t="s">
        <v>5107</v>
      </c>
      <c r="G891" s="1" t="str">
        <f>IFERROR(__xludf.DUMMYFUNCTION("SPLIT(C891, "", "")"),"Action")</f>
        <v>Action</v>
      </c>
      <c r="H891" s="5" t="str">
        <f>IFERROR(__xludf.DUMMYFUNCTION("""COMPUTED_VALUE"""),"Biography")</f>
        <v>Biography</v>
      </c>
      <c r="I891" s="5" t="str">
        <f>IFERROR(__xludf.DUMMYFUNCTION("""COMPUTED_VALUE"""),"Drama")</f>
        <v>Drama</v>
      </c>
      <c r="J891" s="5" t="str">
        <f>IFERROR(__xludf.DUMMYFUNCTION("""COMPUTED_VALUE"""),"297🤙🏼Ivanovo detstvo🤙🏼War🤙🏼2")</f>
        <v>297🤙🏼Ivanovo detstvo🤙🏼War🤙🏼2</v>
      </c>
      <c r="K891" s="5">
        <f>IFERROR(__xludf.DUMMYFUNCTION("SPLiT(J891, ""🤙🏼"",FALSE,FALSE)"),297.0)</f>
        <v>297</v>
      </c>
      <c r="L891" s="5" t="str">
        <f>IFERROR(__xludf.DUMMYFUNCTION("""COMPUTED_VALUE"""),"Ivanovo detstvo")</f>
        <v>Ivanovo detstvo</v>
      </c>
      <c r="M891" s="5" t="str">
        <f>IFERROR(__xludf.DUMMYFUNCTION("""COMPUTED_VALUE"""),"War")</f>
        <v>War</v>
      </c>
      <c r="N891" s="5">
        <f>IFERROR(__xludf.DUMMYFUNCTION("""COMPUTED_VALUE"""),2.0)</f>
        <v>2</v>
      </c>
      <c r="S891" s="5">
        <f>IFERROR(__xludf.DUMMYFUNCTION("""COMPUTED_VALUE"""),354.0)</f>
        <v>354</v>
      </c>
      <c r="T891" s="5" t="str">
        <f>IFERROR(__xludf.DUMMYFUNCTION("""COMPUTED_VALUE"""),"Nefes: Vatan Sagolsun")</f>
        <v>Nefes: Vatan Sagolsun</v>
      </c>
      <c r="U891" s="5" t="str">
        <f>IFERROR(__xludf.DUMMYFUNCTION("""COMPUTED_VALUE"""),"Drama")</f>
        <v>Drama</v>
      </c>
      <c r="V891" s="5">
        <f>IFERROR(__xludf.DUMMYFUNCTION("""COMPUTED_VALUE"""),2.0)</f>
        <v>2</v>
      </c>
    </row>
    <row r="892">
      <c r="A892" s="1">
        <v>891.0</v>
      </c>
      <c r="B892" s="1" t="s">
        <v>5110</v>
      </c>
      <c r="C892" s="1" t="s">
        <v>2593</v>
      </c>
      <c r="D892" s="1"/>
      <c r="E892" s="1">
        <v>891.0</v>
      </c>
      <c r="F892" s="1" t="s">
        <v>5110</v>
      </c>
      <c r="G892" s="1" t="str">
        <f>IFERROR(__xludf.DUMMYFUNCTION("SPLIT(C892, "", "")"),"Drama")</f>
        <v>Drama</v>
      </c>
      <c r="H892" s="5" t="str">
        <f>IFERROR(__xludf.DUMMYFUNCTION("""COMPUTED_VALUE"""),"History")</f>
        <v>History</v>
      </c>
      <c r="I892" s="5" t="str">
        <f>IFERROR(__xludf.DUMMYFUNCTION("""COMPUTED_VALUE"""),"Thriller")</f>
        <v>Thriller</v>
      </c>
      <c r="J892" s="5" t="str">
        <f>IFERROR(__xludf.DUMMYFUNCTION("""COMPUTED_VALUE"""),"297🤙🏼Ivanovo detstvo🤙🏼🤙🏼3")</f>
        <v>297🤙🏼Ivanovo detstvo🤙🏼🤙🏼3</v>
      </c>
      <c r="K892" s="5">
        <f>IFERROR(__xludf.DUMMYFUNCTION("SPLiT(J892, ""🤙🏼"",FALSE,FALSE)"),297.0)</f>
        <v>297</v>
      </c>
      <c r="L892" s="5" t="str">
        <f>IFERROR(__xludf.DUMMYFUNCTION("""COMPUTED_VALUE"""),"Ivanovo detstvo")</f>
        <v>Ivanovo detstvo</v>
      </c>
      <c r="M892" s="5"/>
      <c r="N892" s="5">
        <f>IFERROR(__xludf.DUMMYFUNCTION("""COMPUTED_VALUE"""),3.0)</f>
        <v>3</v>
      </c>
      <c r="S892" s="5">
        <f>IFERROR(__xludf.DUMMYFUNCTION("""COMPUTED_VALUE"""),354.0)</f>
        <v>354</v>
      </c>
      <c r="T892" s="5" t="str">
        <f>IFERROR(__xludf.DUMMYFUNCTION("""COMPUTED_VALUE"""),"Nefes: Vatan Sagolsun")</f>
        <v>Nefes: Vatan Sagolsun</v>
      </c>
      <c r="U892" s="5" t="str">
        <f>IFERROR(__xludf.DUMMYFUNCTION("""COMPUTED_VALUE"""),"Thriller")</f>
        <v>Thriller</v>
      </c>
      <c r="V892" s="5">
        <f>IFERROR(__xludf.DUMMYFUNCTION("""COMPUTED_VALUE"""),3.0)</f>
        <v>3</v>
      </c>
    </row>
    <row r="893">
      <c r="A893" s="1">
        <v>892.0</v>
      </c>
      <c r="B893" s="1" t="s">
        <v>5113</v>
      </c>
      <c r="C893" s="1" t="s">
        <v>467</v>
      </c>
      <c r="D893" s="1"/>
      <c r="E893" s="1">
        <v>892.0</v>
      </c>
      <c r="F893" s="1" t="s">
        <v>5113</v>
      </c>
      <c r="G893" s="1" t="str">
        <f>IFERROR(__xludf.DUMMYFUNCTION("SPLIT(C893, "", "")"),"Animation")</f>
        <v>Animation</v>
      </c>
      <c r="H893" s="5" t="str">
        <f>IFERROR(__xludf.DUMMYFUNCTION("""COMPUTED_VALUE"""),"Action")</f>
        <v>Action</v>
      </c>
      <c r="I893" s="5" t="str">
        <f>IFERROR(__xludf.DUMMYFUNCTION("""COMPUTED_VALUE"""),"Adventure")</f>
        <v>Adventure</v>
      </c>
      <c r="J893" s="5" t="str">
        <f>IFERROR(__xludf.DUMMYFUNCTION("""COMPUTED_VALUE"""),"298🤙🏼Jungfrukällan🤙🏼Drama🤙🏼1")</f>
        <v>298🤙🏼Jungfrukällan🤙🏼Drama🤙🏼1</v>
      </c>
      <c r="K893" s="5">
        <f>IFERROR(__xludf.DUMMYFUNCTION("SPLiT(J893, ""🤙🏼"",FALSE,FALSE)"),298.0)</f>
        <v>298</v>
      </c>
      <c r="L893" s="5" t="str">
        <f>IFERROR(__xludf.DUMMYFUNCTION("""COMPUTED_VALUE"""),"Jungfrukällan")</f>
        <v>Jungfrukällan</v>
      </c>
      <c r="M893" s="5" t="str">
        <f>IFERROR(__xludf.DUMMYFUNCTION("""COMPUTED_VALUE"""),"Drama")</f>
        <v>Drama</v>
      </c>
      <c r="N893" s="5">
        <f>IFERROR(__xludf.DUMMYFUNCTION("""COMPUTED_VALUE"""),1.0)</f>
        <v>1</v>
      </c>
      <c r="S893" s="5">
        <f>IFERROR(__xludf.DUMMYFUNCTION("""COMPUTED_VALUE"""),355.0)</f>
        <v>355</v>
      </c>
      <c r="T893" s="5" t="str">
        <f>IFERROR(__xludf.DUMMYFUNCTION("""COMPUTED_VALUE"""),"Slumdog Millionaire")</f>
        <v>Slumdog Millionaire</v>
      </c>
      <c r="U893" s="5" t="str">
        <f>IFERROR(__xludf.DUMMYFUNCTION("""COMPUTED_VALUE"""),"Drama")</f>
        <v>Drama</v>
      </c>
      <c r="V893" s="5">
        <f>IFERROR(__xludf.DUMMYFUNCTION("""COMPUTED_VALUE"""),1.0)</f>
        <v>1</v>
      </c>
    </row>
    <row r="894">
      <c r="A894" s="1">
        <v>893.0</v>
      </c>
      <c r="B894" s="1" t="s">
        <v>5117</v>
      </c>
      <c r="C894" s="1" t="s">
        <v>765</v>
      </c>
      <c r="D894" s="1"/>
      <c r="E894" s="1">
        <v>893.0</v>
      </c>
      <c r="F894" s="1" t="s">
        <v>5117</v>
      </c>
      <c r="G894" s="1" t="str">
        <f>IFERROR(__xludf.DUMMYFUNCTION("SPLIT(C894, "", "")"),"Animation")</f>
        <v>Animation</v>
      </c>
      <c r="H894" s="5" t="str">
        <f>IFERROR(__xludf.DUMMYFUNCTION("""COMPUTED_VALUE"""),"Adventure")</f>
        <v>Adventure</v>
      </c>
      <c r="I894" s="5" t="str">
        <f>IFERROR(__xludf.DUMMYFUNCTION("""COMPUTED_VALUE"""),"Comedy")</f>
        <v>Comedy</v>
      </c>
      <c r="J894" s="5" t="str">
        <f>IFERROR(__xludf.DUMMYFUNCTION("""COMPUTED_VALUE"""),"298🤙🏼Jungfrukällan🤙🏼🤙🏼2")</f>
        <v>298🤙🏼Jungfrukällan🤙🏼🤙🏼2</v>
      </c>
      <c r="K894" s="5">
        <f>IFERROR(__xludf.DUMMYFUNCTION("SPLiT(J894, ""🤙🏼"",FALSE,FALSE)"),298.0)</f>
        <v>298</v>
      </c>
      <c r="L894" s="5" t="str">
        <f>IFERROR(__xludf.DUMMYFUNCTION("""COMPUTED_VALUE"""),"Jungfrukällan")</f>
        <v>Jungfrukällan</v>
      </c>
      <c r="M894" s="5"/>
      <c r="N894" s="5">
        <f>IFERROR(__xludf.DUMMYFUNCTION("""COMPUTED_VALUE"""),2.0)</f>
        <v>2</v>
      </c>
      <c r="S894" s="5">
        <f>IFERROR(__xludf.DUMMYFUNCTION("""COMPUTED_VALUE"""),355.0)</f>
        <v>355</v>
      </c>
      <c r="T894" s="5" t="str">
        <f>IFERROR(__xludf.DUMMYFUNCTION("""COMPUTED_VALUE"""),"Slumdog Millionaire")</f>
        <v>Slumdog Millionaire</v>
      </c>
      <c r="U894" s="5" t="str">
        <f>IFERROR(__xludf.DUMMYFUNCTION("""COMPUTED_VALUE"""),"Romance")</f>
        <v>Romance</v>
      </c>
      <c r="V894" s="5">
        <f>IFERROR(__xludf.DUMMYFUNCTION("""COMPUTED_VALUE"""),2.0)</f>
        <v>2</v>
      </c>
    </row>
    <row r="895">
      <c r="A895" s="1">
        <v>894.0</v>
      </c>
      <c r="B895" s="1" t="s">
        <v>5120</v>
      </c>
      <c r="C895" s="1" t="s">
        <v>39</v>
      </c>
      <c r="D895" s="1"/>
      <c r="E895" s="1">
        <v>894.0</v>
      </c>
      <c r="F895" s="1" t="s">
        <v>5120</v>
      </c>
      <c r="G895" s="1" t="str">
        <f>IFERROR(__xludf.DUMMYFUNCTION("SPLIT(C895, "", "")"),"Action")</f>
        <v>Action</v>
      </c>
      <c r="H895" s="5" t="str">
        <f>IFERROR(__xludf.DUMMYFUNCTION("""COMPUTED_VALUE"""),"Crime")</f>
        <v>Crime</v>
      </c>
      <c r="I895" s="5" t="str">
        <f>IFERROR(__xludf.DUMMYFUNCTION("""COMPUTED_VALUE"""),"Drama")</f>
        <v>Drama</v>
      </c>
      <c r="J895" s="5" t="str">
        <f>IFERROR(__xludf.DUMMYFUNCTION("""COMPUTED_VALUE"""),"298🤙🏼Jungfrukällan🤙🏼🤙🏼3")</f>
        <v>298🤙🏼Jungfrukällan🤙🏼🤙🏼3</v>
      </c>
      <c r="K895" s="5">
        <f>IFERROR(__xludf.DUMMYFUNCTION("SPLiT(J895, ""🤙🏼"",FALSE,FALSE)"),298.0)</f>
        <v>298</v>
      </c>
      <c r="L895" s="5" t="str">
        <f>IFERROR(__xludf.DUMMYFUNCTION("""COMPUTED_VALUE"""),"Jungfrukällan")</f>
        <v>Jungfrukällan</v>
      </c>
      <c r="M895" s="5"/>
      <c r="N895" s="5">
        <f>IFERROR(__xludf.DUMMYFUNCTION("""COMPUTED_VALUE"""),3.0)</f>
        <v>3</v>
      </c>
      <c r="S895" s="5">
        <f>IFERROR(__xludf.DUMMYFUNCTION("""COMPUTED_VALUE"""),356.0)</f>
        <v>356</v>
      </c>
      <c r="T895" s="5" t="str">
        <f>IFERROR(__xludf.DUMMYFUNCTION("""COMPUTED_VALUE"""),"Black Swan")</f>
        <v>Black Swan</v>
      </c>
      <c r="U895" s="5" t="str">
        <f>IFERROR(__xludf.DUMMYFUNCTION("""COMPUTED_VALUE"""),"Drama")</f>
        <v>Drama</v>
      </c>
      <c r="V895" s="5">
        <f>IFERROR(__xludf.DUMMYFUNCTION("""COMPUTED_VALUE"""),1.0)</f>
        <v>1</v>
      </c>
    </row>
    <row r="896">
      <c r="A896" s="1">
        <v>895.0</v>
      </c>
      <c r="B896" s="1" t="s">
        <v>5122</v>
      </c>
      <c r="C896" s="1" t="s">
        <v>1622</v>
      </c>
      <c r="D896" s="1"/>
      <c r="E896" s="1">
        <v>895.0</v>
      </c>
      <c r="F896" s="1" t="s">
        <v>5122</v>
      </c>
      <c r="G896" s="1" t="str">
        <f>IFERROR(__xludf.DUMMYFUNCTION("SPLIT(C896, "", "")"),"Drama")</f>
        <v>Drama</v>
      </c>
      <c r="H896" s="5" t="str">
        <f>IFERROR(__xludf.DUMMYFUNCTION("""COMPUTED_VALUE"""),"Sport")</f>
        <v>Sport</v>
      </c>
      <c r="J896" s="5" t="str">
        <f>IFERROR(__xludf.DUMMYFUNCTION("""COMPUTED_VALUE"""),"299🤙🏼Inherit the Wind🤙🏼Biography🤙🏼1")</f>
        <v>299🤙🏼Inherit the Wind🤙🏼Biography🤙🏼1</v>
      </c>
      <c r="K896" s="5">
        <f>IFERROR(__xludf.DUMMYFUNCTION("SPLiT(J896, ""🤙🏼"",FALSE,FALSE)"),299.0)</f>
        <v>299</v>
      </c>
      <c r="L896" s="5" t="str">
        <f>IFERROR(__xludf.DUMMYFUNCTION("""COMPUTED_VALUE"""),"Inherit the Wind")</f>
        <v>Inherit the Wind</v>
      </c>
      <c r="M896" s="5" t="str">
        <f>IFERROR(__xludf.DUMMYFUNCTION("""COMPUTED_VALUE"""),"Biography")</f>
        <v>Biography</v>
      </c>
      <c r="N896" s="5">
        <f>IFERROR(__xludf.DUMMYFUNCTION("""COMPUTED_VALUE"""),1.0)</f>
        <v>1</v>
      </c>
      <c r="S896" s="5">
        <f>IFERROR(__xludf.DUMMYFUNCTION("""COMPUTED_VALUE"""),356.0)</f>
        <v>356</v>
      </c>
      <c r="T896" s="5" t="str">
        <f>IFERROR(__xludf.DUMMYFUNCTION("""COMPUTED_VALUE"""),"Black Swan")</f>
        <v>Black Swan</v>
      </c>
      <c r="U896" s="5" t="str">
        <f>IFERROR(__xludf.DUMMYFUNCTION("""COMPUTED_VALUE"""),"Thriller")</f>
        <v>Thriller</v>
      </c>
      <c r="V896" s="5">
        <f>IFERROR(__xludf.DUMMYFUNCTION("""COMPUTED_VALUE"""),2.0)</f>
        <v>2</v>
      </c>
    </row>
    <row r="897">
      <c r="A897" s="1">
        <v>896.0</v>
      </c>
      <c r="B897" s="1" t="s">
        <v>5127</v>
      </c>
      <c r="C897" s="1" t="s">
        <v>29</v>
      </c>
      <c r="D897" s="1"/>
      <c r="E897" s="1">
        <v>896.0</v>
      </c>
      <c r="F897" s="1" t="s">
        <v>5127</v>
      </c>
      <c r="G897" s="1" t="str">
        <f>IFERROR(__xludf.DUMMYFUNCTION("SPLIT(C897, "", "")"),"Crime")</f>
        <v>Crime</v>
      </c>
      <c r="H897" s="5" t="str">
        <f>IFERROR(__xludf.DUMMYFUNCTION("""COMPUTED_VALUE"""),"Drama")</f>
        <v>Drama</v>
      </c>
      <c r="J897" s="5" t="str">
        <f>IFERROR(__xludf.DUMMYFUNCTION("""COMPUTED_VALUE"""),"299🤙🏼Inherit the Wind🤙🏼Drama🤙🏼2")</f>
        <v>299🤙🏼Inherit the Wind🤙🏼Drama🤙🏼2</v>
      </c>
      <c r="K897" s="5">
        <f>IFERROR(__xludf.DUMMYFUNCTION("SPLiT(J897, ""🤙🏼"",FALSE,FALSE)"),299.0)</f>
        <v>299</v>
      </c>
      <c r="L897" s="5" t="str">
        <f>IFERROR(__xludf.DUMMYFUNCTION("""COMPUTED_VALUE"""),"Inherit the Wind")</f>
        <v>Inherit the Wind</v>
      </c>
      <c r="M897" s="5" t="str">
        <f>IFERROR(__xludf.DUMMYFUNCTION("""COMPUTED_VALUE"""),"Drama")</f>
        <v>Drama</v>
      </c>
      <c r="N897" s="5">
        <f>IFERROR(__xludf.DUMMYFUNCTION("""COMPUTED_VALUE"""),2.0)</f>
        <v>2</v>
      </c>
      <c r="S897" s="5">
        <f>IFERROR(__xludf.DUMMYFUNCTION("""COMPUTED_VALUE"""),357.0)</f>
        <v>357</v>
      </c>
      <c r="T897" s="5" t="str">
        <f>IFERROR(__xludf.DUMMYFUNCTION("""COMPUTED_VALUE"""),"Tropa de Elite")</f>
        <v>Tropa de Elite</v>
      </c>
      <c r="U897" s="5" t="str">
        <f>IFERROR(__xludf.DUMMYFUNCTION("""COMPUTED_VALUE"""),"Action")</f>
        <v>Action</v>
      </c>
      <c r="V897" s="5">
        <f>IFERROR(__xludf.DUMMYFUNCTION("""COMPUTED_VALUE"""),1.0)</f>
        <v>1</v>
      </c>
    </row>
    <row r="898">
      <c r="A898" s="1">
        <v>897.0</v>
      </c>
      <c r="B898" s="1" t="s">
        <v>5133</v>
      </c>
      <c r="C898" s="1" t="s">
        <v>39</v>
      </c>
      <c r="D898" s="1"/>
      <c r="E898" s="1">
        <v>897.0</v>
      </c>
      <c r="F898" s="1" t="s">
        <v>5133</v>
      </c>
      <c r="G898" s="1" t="str">
        <f>IFERROR(__xludf.DUMMYFUNCTION("SPLIT(C898, "", "")"),"Action")</f>
        <v>Action</v>
      </c>
      <c r="H898" s="5" t="str">
        <f>IFERROR(__xludf.DUMMYFUNCTION("""COMPUTED_VALUE"""),"Crime")</f>
        <v>Crime</v>
      </c>
      <c r="I898" s="5" t="str">
        <f>IFERROR(__xludf.DUMMYFUNCTION("""COMPUTED_VALUE"""),"Drama")</f>
        <v>Drama</v>
      </c>
      <c r="J898" s="5" t="str">
        <f>IFERROR(__xludf.DUMMYFUNCTION("""COMPUTED_VALUE"""),"299🤙🏼Inherit the Wind🤙🏼History🤙🏼3")</f>
        <v>299🤙🏼Inherit the Wind🤙🏼History🤙🏼3</v>
      </c>
      <c r="K898" s="5">
        <f>IFERROR(__xludf.DUMMYFUNCTION("SPLiT(J898, ""🤙🏼"",FALSE,FALSE)"),299.0)</f>
        <v>299</v>
      </c>
      <c r="L898" s="5" t="str">
        <f>IFERROR(__xludf.DUMMYFUNCTION("""COMPUTED_VALUE"""),"Inherit the Wind")</f>
        <v>Inherit the Wind</v>
      </c>
      <c r="M898" s="5" t="str">
        <f>IFERROR(__xludf.DUMMYFUNCTION("""COMPUTED_VALUE"""),"History")</f>
        <v>History</v>
      </c>
      <c r="N898" s="5">
        <f>IFERROR(__xludf.DUMMYFUNCTION("""COMPUTED_VALUE"""),3.0)</f>
        <v>3</v>
      </c>
      <c r="S898" s="5">
        <f>IFERROR(__xludf.DUMMYFUNCTION("""COMPUTED_VALUE"""),357.0)</f>
        <v>357</v>
      </c>
      <c r="T898" s="5" t="str">
        <f>IFERROR(__xludf.DUMMYFUNCTION("""COMPUTED_VALUE"""),"Tropa de Elite")</f>
        <v>Tropa de Elite</v>
      </c>
      <c r="U898" s="5" t="str">
        <f>IFERROR(__xludf.DUMMYFUNCTION("""COMPUTED_VALUE"""),"Crime")</f>
        <v>Crime</v>
      </c>
      <c r="V898" s="5">
        <f>IFERROR(__xludf.DUMMYFUNCTION("""COMPUTED_VALUE"""),2.0)</f>
        <v>2</v>
      </c>
    </row>
    <row r="899">
      <c r="A899" s="1">
        <v>898.0</v>
      </c>
      <c r="B899" s="1" t="s">
        <v>5137</v>
      </c>
      <c r="C899" s="1" t="s">
        <v>296</v>
      </c>
      <c r="D899" s="1"/>
      <c r="E899" s="1">
        <v>898.0</v>
      </c>
      <c r="F899" s="1" t="s">
        <v>5137</v>
      </c>
      <c r="G899" s="1" t="str">
        <f>IFERROR(__xludf.DUMMYFUNCTION("SPLIT(C899, "", "")"),"Biography")</f>
        <v>Biography</v>
      </c>
      <c r="H899" s="5" t="str">
        <f>IFERROR(__xludf.DUMMYFUNCTION("""COMPUTED_VALUE"""),"Comedy")</f>
        <v>Comedy</v>
      </c>
      <c r="I899" s="5" t="str">
        <f>IFERROR(__xludf.DUMMYFUNCTION("""COMPUTED_VALUE"""),"Drama")</f>
        <v>Drama</v>
      </c>
      <c r="J899" s="5" t="str">
        <f>IFERROR(__xludf.DUMMYFUNCTION("""COMPUTED_VALUE"""),"300🤙🏼Les quatre cents coups🤙🏼Crime🤙🏼1")</f>
        <v>300🤙🏼Les quatre cents coups🤙🏼Crime🤙🏼1</v>
      </c>
      <c r="K899" s="5">
        <f>IFERROR(__xludf.DUMMYFUNCTION("SPLiT(J899, ""🤙🏼"",FALSE,FALSE)"),300.0)</f>
        <v>300</v>
      </c>
      <c r="L899" s="5" t="str">
        <f>IFERROR(__xludf.DUMMYFUNCTION("""COMPUTED_VALUE"""),"Les quatre cents coups")</f>
        <v>Les quatre cents coups</v>
      </c>
      <c r="M899" s="5" t="str">
        <f>IFERROR(__xludf.DUMMYFUNCTION("""COMPUTED_VALUE"""),"Crime")</f>
        <v>Crime</v>
      </c>
      <c r="N899" s="5">
        <f>IFERROR(__xludf.DUMMYFUNCTION("""COMPUTED_VALUE"""),1.0)</f>
        <v>1</v>
      </c>
      <c r="S899" s="5">
        <f>IFERROR(__xludf.DUMMYFUNCTION("""COMPUTED_VALUE"""),357.0)</f>
        <v>357</v>
      </c>
      <c r="T899" s="5" t="str">
        <f>IFERROR(__xludf.DUMMYFUNCTION("""COMPUTED_VALUE"""),"Tropa de Elite")</f>
        <v>Tropa de Elite</v>
      </c>
      <c r="U899" s="5" t="str">
        <f>IFERROR(__xludf.DUMMYFUNCTION("""COMPUTED_VALUE"""),"Drama")</f>
        <v>Drama</v>
      </c>
      <c r="V899" s="5">
        <f>IFERROR(__xludf.DUMMYFUNCTION("""COMPUTED_VALUE"""),3.0)</f>
        <v>3</v>
      </c>
    </row>
    <row r="900">
      <c r="A900" s="1">
        <v>899.0</v>
      </c>
      <c r="B900" s="1" t="s">
        <v>5143</v>
      </c>
      <c r="C900" s="1" t="s">
        <v>62</v>
      </c>
      <c r="D900" s="1"/>
      <c r="E900" s="1">
        <v>899.0</v>
      </c>
      <c r="F900" s="1" t="s">
        <v>5143</v>
      </c>
      <c r="G900" s="1" t="str">
        <f>IFERROR(__xludf.DUMMYFUNCTION("SPLIT(C900, "", "")"),"Action")</f>
        <v>Action</v>
      </c>
      <c r="H900" s="5" t="str">
        <f>IFERROR(__xludf.DUMMYFUNCTION("""COMPUTED_VALUE"""),"Adventure")</f>
        <v>Adventure</v>
      </c>
      <c r="I900" s="5" t="str">
        <f>IFERROR(__xludf.DUMMYFUNCTION("""COMPUTED_VALUE"""),"Drama")</f>
        <v>Drama</v>
      </c>
      <c r="J900" s="5" t="str">
        <f>IFERROR(__xludf.DUMMYFUNCTION("""COMPUTED_VALUE"""),"300🤙🏼Les quatre cents coups🤙🏼Drama🤙🏼2")</f>
        <v>300🤙🏼Les quatre cents coups🤙🏼Drama🤙🏼2</v>
      </c>
      <c r="K900" s="5">
        <f>IFERROR(__xludf.DUMMYFUNCTION("SPLiT(J900, ""🤙🏼"",FALSE,FALSE)"),300.0)</f>
        <v>300</v>
      </c>
      <c r="L900" s="5" t="str">
        <f>IFERROR(__xludf.DUMMYFUNCTION("""COMPUTED_VALUE"""),"Les quatre cents coups")</f>
        <v>Les quatre cents coups</v>
      </c>
      <c r="M900" s="5" t="str">
        <f>IFERROR(__xludf.DUMMYFUNCTION("""COMPUTED_VALUE"""),"Drama")</f>
        <v>Drama</v>
      </c>
      <c r="N900" s="5">
        <f>IFERROR(__xludf.DUMMYFUNCTION("""COMPUTED_VALUE"""),2.0)</f>
        <v>2</v>
      </c>
      <c r="S900" s="5">
        <f>IFERROR(__xludf.DUMMYFUNCTION("""COMPUTED_VALUE"""),358.0)</f>
        <v>358</v>
      </c>
      <c r="T900" s="5" t="str">
        <f>IFERROR(__xludf.DUMMYFUNCTION("""COMPUTED_VALUE"""),"The Avengers")</f>
        <v>The Avengers</v>
      </c>
      <c r="U900" s="5" t="str">
        <f>IFERROR(__xludf.DUMMYFUNCTION("""COMPUTED_VALUE"""),"Action")</f>
        <v>Action</v>
      </c>
      <c r="V900" s="5">
        <f>IFERROR(__xludf.DUMMYFUNCTION("""COMPUTED_VALUE"""),1.0)</f>
        <v>1</v>
      </c>
    </row>
    <row r="901">
      <c r="A901" s="1">
        <v>900.0</v>
      </c>
      <c r="B901" s="1" t="s">
        <v>5148</v>
      </c>
      <c r="C901" s="1" t="s">
        <v>544</v>
      </c>
      <c r="D901" s="1"/>
      <c r="E901" s="1">
        <v>900.0</v>
      </c>
      <c r="F901" s="1" t="s">
        <v>5148</v>
      </c>
      <c r="G901" s="1" t="str">
        <f>IFERROR(__xludf.DUMMYFUNCTION("SPLIT(C901, "", "")"),"Mystery")</f>
        <v>Mystery</v>
      </c>
      <c r="H901" s="5" t="str">
        <f>IFERROR(__xludf.DUMMYFUNCTION("""COMPUTED_VALUE"""),"Thriller")</f>
        <v>Thriller</v>
      </c>
      <c r="J901" s="5" t="str">
        <f>IFERROR(__xludf.DUMMYFUNCTION("""COMPUTED_VALUE"""),"300🤙🏼Les quatre cents coups🤙🏼🤙🏼3")</f>
        <v>300🤙🏼Les quatre cents coups🤙🏼🤙🏼3</v>
      </c>
      <c r="K901" s="5">
        <f>IFERROR(__xludf.DUMMYFUNCTION("SPLiT(J901, ""🤙🏼"",FALSE,FALSE)"),300.0)</f>
        <v>300</v>
      </c>
      <c r="L901" s="5" t="str">
        <f>IFERROR(__xludf.DUMMYFUNCTION("""COMPUTED_VALUE"""),"Les quatre cents coups")</f>
        <v>Les quatre cents coups</v>
      </c>
      <c r="M901" s="5"/>
      <c r="N901" s="5">
        <f>IFERROR(__xludf.DUMMYFUNCTION("""COMPUTED_VALUE"""),3.0)</f>
        <v>3</v>
      </c>
      <c r="S901" s="5">
        <f>IFERROR(__xludf.DUMMYFUNCTION("""COMPUTED_VALUE"""),358.0)</f>
        <v>358</v>
      </c>
      <c r="T901" s="5" t="str">
        <f>IFERROR(__xludf.DUMMYFUNCTION("""COMPUTED_VALUE"""),"The Avengers")</f>
        <v>The Avengers</v>
      </c>
      <c r="U901" s="5" t="str">
        <f>IFERROR(__xludf.DUMMYFUNCTION("""COMPUTED_VALUE"""),"Adventure")</f>
        <v>Adventure</v>
      </c>
      <c r="V901" s="5">
        <f>IFERROR(__xludf.DUMMYFUNCTION("""COMPUTED_VALUE"""),2.0)</f>
        <v>2</v>
      </c>
    </row>
    <row r="902">
      <c r="A902" s="1">
        <v>901.0</v>
      </c>
      <c r="B902" s="1" t="s">
        <v>5152</v>
      </c>
      <c r="C902" s="1" t="s">
        <v>1214</v>
      </c>
      <c r="D902" s="1"/>
      <c r="E902" s="1">
        <v>901.0</v>
      </c>
      <c r="F902" s="1" t="s">
        <v>5152</v>
      </c>
      <c r="G902" s="1" t="str">
        <f>IFERROR(__xludf.DUMMYFUNCTION("SPLIT(C902, "", "")"),"Action")</f>
        <v>Action</v>
      </c>
      <c r="H902" s="5" t="str">
        <f>IFERROR(__xludf.DUMMYFUNCTION("""COMPUTED_VALUE"""),"Thriller")</f>
        <v>Thriller</v>
      </c>
      <c r="J902" s="5" t="str">
        <f>IFERROR(__xludf.DUMMYFUNCTION("""COMPUTED_VALUE"""),"301🤙🏼Ben-Hur🤙🏼Adventure🤙🏼1")</f>
        <v>301🤙🏼Ben-Hur🤙🏼Adventure🤙🏼1</v>
      </c>
      <c r="K902" s="5">
        <f>IFERROR(__xludf.DUMMYFUNCTION("SPLiT(J902, ""🤙🏼"",FALSE,FALSE)"),301.0)</f>
        <v>301</v>
      </c>
      <c r="L902" s="5" t="str">
        <f>IFERROR(__xludf.DUMMYFUNCTION("""COMPUTED_VALUE"""),"Ben-Hur")</f>
        <v>Ben-Hur</v>
      </c>
      <c r="M902" s="5" t="str">
        <f>IFERROR(__xludf.DUMMYFUNCTION("""COMPUTED_VALUE"""),"Adventure")</f>
        <v>Adventure</v>
      </c>
      <c r="N902" s="5">
        <f>IFERROR(__xludf.DUMMYFUNCTION("""COMPUTED_VALUE"""),1.0)</f>
        <v>1</v>
      </c>
      <c r="S902" s="5">
        <f>IFERROR(__xludf.DUMMYFUNCTION("""COMPUTED_VALUE"""),358.0)</f>
        <v>358</v>
      </c>
      <c r="T902" s="5" t="str">
        <f>IFERROR(__xludf.DUMMYFUNCTION("""COMPUTED_VALUE"""),"The Avengers")</f>
        <v>The Avengers</v>
      </c>
      <c r="U902" s="5" t="str">
        <f>IFERROR(__xludf.DUMMYFUNCTION("""COMPUTED_VALUE"""),"Sci-Fi")</f>
        <v>Sci-Fi</v>
      </c>
      <c r="V902" s="5">
        <f>IFERROR(__xludf.DUMMYFUNCTION("""COMPUTED_VALUE"""),3.0)</f>
        <v>3</v>
      </c>
    </row>
    <row r="903">
      <c r="A903" s="1">
        <v>902.0</v>
      </c>
      <c r="B903" s="1" t="s">
        <v>5157</v>
      </c>
      <c r="C903" s="1" t="s">
        <v>39</v>
      </c>
      <c r="D903" s="1"/>
      <c r="E903" s="1">
        <v>902.0</v>
      </c>
      <c r="F903" s="1" t="s">
        <v>5157</v>
      </c>
      <c r="G903" s="1" t="str">
        <f>IFERROR(__xludf.DUMMYFUNCTION("SPLIT(C903, "", "")"),"Action")</f>
        <v>Action</v>
      </c>
      <c r="H903" s="5" t="str">
        <f>IFERROR(__xludf.DUMMYFUNCTION("""COMPUTED_VALUE"""),"Crime")</f>
        <v>Crime</v>
      </c>
      <c r="I903" s="5" t="str">
        <f>IFERROR(__xludf.DUMMYFUNCTION("""COMPUTED_VALUE"""),"Drama")</f>
        <v>Drama</v>
      </c>
      <c r="J903" s="5" t="str">
        <f>IFERROR(__xludf.DUMMYFUNCTION("""COMPUTED_VALUE"""),"301🤙🏼Ben-Hur🤙🏼Drama🤙🏼2")</f>
        <v>301🤙🏼Ben-Hur🤙🏼Drama🤙🏼2</v>
      </c>
      <c r="K903" s="5">
        <f>IFERROR(__xludf.DUMMYFUNCTION("SPLiT(J903, ""🤙🏼"",FALSE,FALSE)"),301.0)</f>
        <v>301</v>
      </c>
      <c r="L903" s="5" t="str">
        <f>IFERROR(__xludf.DUMMYFUNCTION("""COMPUTED_VALUE"""),"Ben-Hur")</f>
        <v>Ben-Hur</v>
      </c>
      <c r="M903" s="5" t="str">
        <f>IFERROR(__xludf.DUMMYFUNCTION("""COMPUTED_VALUE"""),"Drama")</f>
        <v>Drama</v>
      </c>
      <c r="N903" s="5">
        <f>IFERROR(__xludf.DUMMYFUNCTION("""COMPUTED_VALUE"""),2.0)</f>
        <v>2</v>
      </c>
      <c r="S903" s="5">
        <f>IFERROR(__xludf.DUMMYFUNCTION("""COMPUTED_VALUE"""),359.0)</f>
        <v>359</v>
      </c>
      <c r="T903" s="5" t="str">
        <f>IFERROR(__xludf.DUMMYFUNCTION("""COMPUTED_VALUE"""),"Persepolis")</f>
        <v>Persepolis</v>
      </c>
      <c r="U903" s="5" t="str">
        <f>IFERROR(__xludf.DUMMYFUNCTION("""COMPUTED_VALUE"""),"Animation")</f>
        <v>Animation</v>
      </c>
      <c r="V903" s="5">
        <f>IFERROR(__xludf.DUMMYFUNCTION("""COMPUTED_VALUE"""),1.0)</f>
        <v>1</v>
      </c>
    </row>
    <row r="904">
      <c r="A904" s="1">
        <v>903.0</v>
      </c>
      <c r="B904" s="1" t="s">
        <v>5163</v>
      </c>
      <c r="C904" s="1" t="s">
        <v>204</v>
      </c>
      <c r="D904" s="1"/>
      <c r="E904" s="1">
        <v>903.0</v>
      </c>
      <c r="F904" s="1" t="s">
        <v>5163</v>
      </c>
      <c r="G904" s="1" t="str">
        <f>IFERROR(__xludf.DUMMYFUNCTION("SPLIT(C904, "", "")"),"Animation")</f>
        <v>Animation</v>
      </c>
      <c r="H904" s="5" t="str">
        <f>IFERROR(__xludf.DUMMYFUNCTION("""COMPUTED_VALUE"""),"Adventure")</f>
        <v>Adventure</v>
      </c>
      <c r="I904" s="5" t="str">
        <f>IFERROR(__xludf.DUMMYFUNCTION("""COMPUTED_VALUE"""),"Family")</f>
        <v>Family</v>
      </c>
      <c r="J904" s="5" t="str">
        <f>IFERROR(__xludf.DUMMYFUNCTION("""COMPUTED_VALUE"""),"301🤙🏼Ben-Hur🤙🏼History🤙🏼3")</f>
        <v>301🤙🏼Ben-Hur🤙🏼History🤙🏼3</v>
      </c>
      <c r="K904" s="5">
        <f>IFERROR(__xludf.DUMMYFUNCTION("SPLiT(J904, ""🤙🏼"",FALSE,FALSE)"),301.0)</f>
        <v>301</v>
      </c>
      <c r="L904" s="5" t="str">
        <f>IFERROR(__xludf.DUMMYFUNCTION("""COMPUTED_VALUE"""),"Ben-Hur")</f>
        <v>Ben-Hur</v>
      </c>
      <c r="M904" s="5" t="str">
        <f>IFERROR(__xludf.DUMMYFUNCTION("""COMPUTED_VALUE"""),"History")</f>
        <v>History</v>
      </c>
      <c r="N904" s="5">
        <f>IFERROR(__xludf.DUMMYFUNCTION("""COMPUTED_VALUE"""),3.0)</f>
        <v>3</v>
      </c>
      <c r="S904" s="5">
        <f>IFERROR(__xludf.DUMMYFUNCTION("""COMPUTED_VALUE"""),359.0)</f>
        <v>359</v>
      </c>
      <c r="T904" s="5" t="str">
        <f>IFERROR(__xludf.DUMMYFUNCTION("""COMPUTED_VALUE"""),"Persepolis")</f>
        <v>Persepolis</v>
      </c>
      <c r="U904" s="5" t="str">
        <f>IFERROR(__xludf.DUMMYFUNCTION("""COMPUTED_VALUE"""),"Biography")</f>
        <v>Biography</v>
      </c>
      <c r="V904" s="5">
        <f>IFERROR(__xludf.DUMMYFUNCTION("""COMPUTED_VALUE"""),2.0)</f>
        <v>2</v>
      </c>
    </row>
    <row r="905">
      <c r="A905" s="1">
        <v>904.0</v>
      </c>
      <c r="B905" s="1" t="s">
        <v>5166</v>
      </c>
      <c r="C905" s="1" t="s">
        <v>1706</v>
      </c>
      <c r="D905" s="1"/>
      <c r="E905" s="1">
        <v>904.0</v>
      </c>
      <c r="F905" s="1" t="s">
        <v>5166</v>
      </c>
      <c r="G905" s="1" t="str">
        <f>IFERROR(__xludf.DUMMYFUNCTION("SPLIT(C905, "", "")"),"Drama")</f>
        <v>Drama</v>
      </c>
      <c r="H905" s="5" t="str">
        <f>IFERROR(__xludf.DUMMYFUNCTION("""COMPUTED_VALUE"""),"Music")</f>
        <v>Music</v>
      </c>
      <c r="I905" s="5" t="str">
        <f>IFERROR(__xludf.DUMMYFUNCTION("""COMPUTED_VALUE"""),"Romance")</f>
        <v>Romance</v>
      </c>
      <c r="J905" s="5" t="str">
        <f>IFERROR(__xludf.DUMMYFUNCTION("""COMPUTED_VALUE"""),"302🤙🏼Kakushi-toride no san-akunin🤙🏼Adventure🤙🏼1")</f>
        <v>302🤙🏼Kakushi-toride no san-akunin🤙🏼Adventure🤙🏼1</v>
      </c>
      <c r="K905" s="5">
        <f>IFERROR(__xludf.DUMMYFUNCTION("SPLiT(J905, ""🤙🏼"",FALSE,FALSE)"),302.0)</f>
        <v>302</v>
      </c>
      <c r="L905" s="5" t="str">
        <f>IFERROR(__xludf.DUMMYFUNCTION("""COMPUTED_VALUE"""),"Kakushi-toride no san-akunin")</f>
        <v>Kakushi-toride no san-akunin</v>
      </c>
      <c r="M905" s="5" t="str">
        <f>IFERROR(__xludf.DUMMYFUNCTION("""COMPUTED_VALUE"""),"Adventure")</f>
        <v>Adventure</v>
      </c>
      <c r="N905" s="5">
        <f>IFERROR(__xludf.DUMMYFUNCTION("""COMPUTED_VALUE"""),1.0)</f>
        <v>1</v>
      </c>
      <c r="S905" s="5">
        <f>IFERROR(__xludf.DUMMYFUNCTION("""COMPUTED_VALUE"""),359.0)</f>
        <v>359</v>
      </c>
      <c r="T905" s="5" t="str">
        <f>IFERROR(__xludf.DUMMYFUNCTION("""COMPUTED_VALUE"""),"Persepolis")</f>
        <v>Persepolis</v>
      </c>
      <c r="U905" s="5" t="str">
        <f>IFERROR(__xludf.DUMMYFUNCTION("""COMPUTED_VALUE"""),"Drama")</f>
        <v>Drama</v>
      </c>
      <c r="V905" s="5">
        <f>IFERROR(__xludf.DUMMYFUNCTION("""COMPUTED_VALUE"""),3.0)</f>
        <v>3</v>
      </c>
    </row>
    <row r="906">
      <c r="A906" s="1">
        <v>905.0</v>
      </c>
      <c r="B906" s="1" t="s">
        <v>5170</v>
      </c>
      <c r="C906" s="1" t="s">
        <v>495</v>
      </c>
      <c r="D906" s="1"/>
      <c r="E906" s="1">
        <v>905.0</v>
      </c>
      <c r="F906" s="1" t="s">
        <v>5170</v>
      </c>
      <c r="G906" s="1" t="str">
        <f>IFERROR(__xludf.DUMMYFUNCTION("SPLIT(C906, "", "")"),"Drama")</f>
        <v>Drama</v>
      </c>
      <c r="H906" s="5" t="str">
        <f>IFERROR(__xludf.DUMMYFUNCTION("""COMPUTED_VALUE"""),"Western")</f>
        <v>Western</v>
      </c>
      <c r="J906" s="5" t="str">
        <f>IFERROR(__xludf.DUMMYFUNCTION("""COMPUTED_VALUE"""),"302🤙🏼Kakushi-toride no san-akunin🤙🏼Drama🤙🏼2")</f>
        <v>302🤙🏼Kakushi-toride no san-akunin🤙🏼Drama🤙🏼2</v>
      </c>
      <c r="K906" s="5">
        <f>IFERROR(__xludf.DUMMYFUNCTION("SPLiT(J906, ""🤙🏼"",FALSE,FALSE)"),302.0)</f>
        <v>302</v>
      </c>
      <c r="L906" s="5" t="str">
        <f>IFERROR(__xludf.DUMMYFUNCTION("""COMPUTED_VALUE"""),"Kakushi-toride no san-akunin")</f>
        <v>Kakushi-toride no san-akunin</v>
      </c>
      <c r="M906" s="5" t="str">
        <f>IFERROR(__xludf.DUMMYFUNCTION("""COMPUTED_VALUE"""),"Drama")</f>
        <v>Drama</v>
      </c>
      <c r="N906" s="5">
        <f>IFERROR(__xludf.DUMMYFUNCTION("""COMPUTED_VALUE"""),2.0)</f>
        <v>2</v>
      </c>
      <c r="S906" s="5">
        <f>IFERROR(__xludf.DUMMYFUNCTION("""COMPUTED_VALUE"""),360.0)</f>
        <v>360</v>
      </c>
      <c r="T906" s="5" t="str">
        <f>IFERROR(__xludf.DUMMYFUNCTION("""COMPUTED_VALUE"""),"Dallas Buyers Club")</f>
        <v>Dallas Buyers Club</v>
      </c>
      <c r="U906" s="5" t="str">
        <f>IFERROR(__xludf.DUMMYFUNCTION("""COMPUTED_VALUE"""),"Biography")</f>
        <v>Biography</v>
      </c>
      <c r="V906" s="5">
        <f>IFERROR(__xludf.DUMMYFUNCTION("""COMPUTED_VALUE"""),1.0)</f>
        <v>1</v>
      </c>
    </row>
    <row r="907">
      <c r="A907" s="1">
        <v>906.0</v>
      </c>
      <c r="B907" s="1" t="s">
        <v>5173</v>
      </c>
      <c r="C907" s="1" t="s">
        <v>107</v>
      </c>
      <c r="D907" s="1"/>
      <c r="E907" s="1">
        <v>906.0</v>
      </c>
      <c r="F907" s="1" t="s">
        <v>5173</v>
      </c>
      <c r="G907" s="1" t="str">
        <f>IFERROR(__xludf.DUMMYFUNCTION("SPLIT(C907, "", "")"),"Drama")</f>
        <v>Drama</v>
      </c>
      <c r="H907" s="5" t="str">
        <f>IFERROR(__xludf.DUMMYFUNCTION("""COMPUTED_VALUE"""),"Romance")</f>
        <v>Romance</v>
      </c>
      <c r="J907" s="5" t="str">
        <f>IFERROR(__xludf.DUMMYFUNCTION("""COMPUTED_VALUE"""),"302🤙🏼Kakushi-toride no san-akunin🤙🏼🤙🏼3")</f>
        <v>302🤙🏼Kakushi-toride no san-akunin🤙🏼🤙🏼3</v>
      </c>
      <c r="K907" s="5">
        <f>IFERROR(__xludf.DUMMYFUNCTION("SPLiT(J907, ""🤙🏼"",FALSE,FALSE)"),302.0)</f>
        <v>302</v>
      </c>
      <c r="L907" s="5" t="str">
        <f>IFERROR(__xludf.DUMMYFUNCTION("""COMPUTED_VALUE"""),"Kakushi-toride no san-akunin")</f>
        <v>Kakushi-toride no san-akunin</v>
      </c>
      <c r="M907" s="5"/>
      <c r="N907" s="5">
        <f>IFERROR(__xludf.DUMMYFUNCTION("""COMPUTED_VALUE"""),3.0)</f>
        <v>3</v>
      </c>
      <c r="S907" s="5">
        <f>IFERROR(__xludf.DUMMYFUNCTION("""COMPUTED_VALUE"""),360.0)</f>
        <v>360</v>
      </c>
      <c r="T907" s="5" t="str">
        <f>IFERROR(__xludf.DUMMYFUNCTION("""COMPUTED_VALUE"""),"Dallas Buyers Club")</f>
        <v>Dallas Buyers Club</v>
      </c>
      <c r="U907" s="5" t="str">
        <f>IFERROR(__xludf.DUMMYFUNCTION("""COMPUTED_VALUE"""),"Drama")</f>
        <v>Drama</v>
      </c>
      <c r="V907" s="5">
        <f>IFERROR(__xludf.DUMMYFUNCTION("""COMPUTED_VALUE"""),2.0)</f>
        <v>2</v>
      </c>
    </row>
    <row r="908">
      <c r="A908" s="1">
        <v>907.0</v>
      </c>
      <c r="B908" s="1" t="s">
        <v>5179</v>
      </c>
      <c r="C908" s="1" t="s">
        <v>5180</v>
      </c>
      <c r="D908" s="1"/>
      <c r="E908" s="1">
        <v>907.0</v>
      </c>
      <c r="F908" s="1" t="s">
        <v>5179</v>
      </c>
      <c r="G908" s="1" t="str">
        <f>IFERROR(__xludf.DUMMYFUNCTION("SPLIT(C908, "", "")"),"Animation")</f>
        <v>Animation</v>
      </c>
      <c r="H908" s="5" t="str">
        <f>IFERROR(__xludf.DUMMYFUNCTION("""COMPUTED_VALUE"""),"Comedy")</f>
        <v>Comedy</v>
      </c>
      <c r="I908" s="5" t="str">
        <f>IFERROR(__xludf.DUMMYFUNCTION("""COMPUTED_VALUE"""),"Crime")</f>
        <v>Crime</v>
      </c>
      <c r="J908" s="5" t="str">
        <f>IFERROR(__xludf.DUMMYFUNCTION("""COMPUTED_VALUE"""),"303🤙🏼Le notti di Cabiria🤙🏼Drama🤙🏼1")</f>
        <v>303🤙🏼Le notti di Cabiria🤙🏼Drama🤙🏼1</v>
      </c>
      <c r="K908" s="5">
        <f>IFERROR(__xludf.DUMMYFUNCTION("SPLiT(J908, ""🤙🏼"",FALSE,FALSE)"),303.0)</f>
        <v>303</v>
      </c>
      <c r="L908" s="5" t="str">
        <f>IFERROR(__xludf.DUMMYFUNCTION("""COMPUTED_VALUE"""),"Le notti di Cabiria")</f>
        <v>Le notti di Cabiria</v>
      </c>
      <c r="M908" s="5" t="str">
        <f>IFERROR(__xludf.DUMMYFUNCTION("""COMPUTED_VALUE"""),"Drama")</f>
        <v>Drama</v>
      </c>
      <c r="N908" s="5">
        <f>IFERROR(__xludf.DUMMYFUNCTION("""COMPUTED_VALUE"""),1.0)</f>
        <v>1</v>
      </c>
      <c r="S908" s="5">
        <f>IFERROR(__xludf.DUMMYFUNCTION("""COMPUTED_VALUE"""),361.0)</f>
        <v>361</v>
      </c>
      <c r="T908" s="5" t="str">
        <f>IFERROR(__xludf.DUMMYFUNCTION("""COMPUTED_VALUE"""),"The Pursuit of Happyness")</f>
        <v>The Pursuit of Happyness</v>
      </c>
      <c r="U908" s="5" t="str">
        <f>IFERROR(__xludf.DUMMYFUNCTION("""COMPUTED_VALUE"""),"Biography")</f>
        <v>Biography</v>
      </c>
      <c r="V908" s="5">
        <f>IFERROR(__xludf.DUMMYFUNCTION("""COMPUTED_VALUE"""),1.0)</f>
        <v>1</v>
      </c>
    </row>
    <row r="909">
      <c r="A909" s="1">
        <v>908.0</v>
      </c>
      <c r="B909" s="1" t="s">
        <v>5186</v>
      </c>
      <c r="C909" s="1" t="s">
        <v>227</v>
      </c>
      <c r="D909" s="1"/>
      <c r="E909" s="1">
        <v>908.0</v>
      </c>
      <c r="F909" s="1" t="s">
        <v>5186</v>
      </c>
      <c r="G909" s="1" t="str">
        <f>IFERROR(__xludf.DUMMYFUNCTION("SPLIT(C909, "", "")"),"Comedy")</f>
        <v>Comedy</v>
      </c>
      <c r="H909" s="5" t="str">
        <f>IFERROR(__xludf.DUMMYFUNCTION("""COMPUTED_VALUE"""),"Drama")</f>
        <v>Drama</v>
      </c>
      <c r="I909" s="5" t="str">
        <f>IFERROR(__xludf.DUMMYFUNCTION("""COMPUTED_VALUE"""),"Romance")</f>
        <v>Romance</v>
      </c>
      <c r="J909" s="5" t="str">
        <f>IFERROR(__xludf.DUMMYFUNCTION("""COMPUTED_VALUE"""),"303🤙🏼Le notti di Cabiria🤙🏼🤙🏼2")</f>
        <v>303🤙🏼Le notti di Cabiria🤙🏼🤙🏼2</v>
      </c>
      <c r="K909" s="5">
        <f>IFERROR(__xludf.DUMMYFUNCTION("SPLiT(J909, ""🤙🏼"",FALSE,FALSE)"),303.0)</f>
        <v>303</v>
      </c>
      <c r="L909" s="5" t="str">
        <f>IFERROR(__xludf.DUMMYFUNCTION("""COMPUTED_VALUE"""),"Le notti di Cabiria")</f>
        <v>Le notti di Cabiria</v>
      </c>
      <c r="M909" s="5"/>
      <c r="N909" s="5">
        <f>IFERROR(__xludf.DUMMYFUNCTION("""COMPUTED_VALUE"""),2.0)</f>
        <v>2</v>
      </c>
      <c r="S909" s="5">
        <f>IFERROR(__xludf.DUMMYFUNCTION("""COMPUTED_VALUE"""),361.0)</f>
        <v>361</v>
      </c>
      <c r="T909" s="5" t="str">
        <f>IFERROR(__xludf.DUMMYFUNCTION("""COMPUTED_VALUE"""),"The Pursuit of Happyness")</f>
        <v>The Pursuit of Happyness</v>
      </c>
      <c r="U909" s="5" t="str">
        <f>IFERROR(__xludf.DUMMYFUNCTION("""COMPUTED_VALUE"""),"Drama")</f>
        <v>Drama</v>
      </c>
      <c r="V909" s="5">
        <f>IFERROR(__xludf.DUMMYFUNCTION("""COMPUTED_VALUE"""),2.0)</f>
        <v>2</v>
      </c>
    </row>
    <row r="910">
      <c r="A910" s="1">
        <v>909.0</v>
      </c>
      <c r="B910" s="1" t="s">
        <v>5190</v>
      </c>
      <c r="C910" s="1" t="s">
        <v>1029</v>
      </c>
      <c r="D910" s="1"/>
      <c r="E910" s="1">
        <v>909.0</v>
      </c>
      <c r="F910" s="1" t="s">
        <v>5190</v>
      </c>
      <c r="G910" s="1" t="str">
        <f>IFERROR(__xludf.DUMMYFUNCTION("SPLIT(C910, "", "")"),"Action")</f>
        <v>Action</v>
      </c>
      <c r="H910" s="5" t="str">
        <f>IFERROR(__xludf.DUMMYFUNCTION("""COMPUTED_VALUE"""),"Comedy")</f>
        <v>Comedy</v>
      </c>
      <c r="I910" s="5" t="str">
        <f>IFERROR(__xludf.DUMMYFUNCTION("""COMPUTED_VALUE"""),"Crime")</f>
        <v>Crime</v>
      </c>
      <c r="J910" s="5" t="str">
        <f>IFERROR(__xludf.DUMMYFUNCTION("""COMPUTED_VALUE"""),"303🤙🏼Le notti di Cabiria🤙🏼🤙🏼3")</f>
        <v>303🤙🏼Le notti di Cabiria🤙🏼🤙🏼3</v>
      </c>
      <c r="K910" s="5">
        <f>IFERROR(__xludf.DUMMYFUNCTION("SPLiT(J910, ""🤙🏼"",FALSE,FALSE)"),303.0)</f>
        <v>303</v>
      </c>
      <c r="L910" s="5" t="str">
        <f>IFERROR(__xludf.DUMMYFUNCTION("""COMPUTED_VALUE"""),"Le notti di Cabiria")</f>
        <v>Le notti di Cabiria</v>
      </c>
      <c r="M910" s="5"/>
      <c r="N910" s="5">
        <f>IFERROR(__xludf.DUMMYFUNCTION("""COMPUTED_VALUE"""),3.0)</f>
        <v>3</v>
      </c>
      <c r="S910" s="5">
        <f>IFERROR(__xludf.DUMMYFUNCTION("""COMPUTED_VALUE"""),362.0)</f>
        <v>362</v>
      </c>
      <c r="T910" s="5" t="str">
        <f>IFERROR(__xludf.DUMMYFUNCTION("""COMPUTED_VALUE"""),"Blood Diamond")</f>
        <v>Blood Diamond</v>
      </c>
      <c r="U910" s="5" t="str">
        <f>IFERROR(__xludf.DUMMYFUNCTION("""COMPUTED_VALUE"""),"Adventure")</f>
        <v>Adventure</v>
      </c>
      <c r="V910" s="5">
        <f>IFERROR(__xludf.DUMMYFUNCTION("""COMPUTED_VALUE"""),1.0)</f>
        <v>1</v>
      </c>
    </row>
    <row r="911">
      <c r="A911" s="1">
        <v>910.0</v>
      </c>
      <c r="B911" s="1" t="s">
        <v>5194</v>
      </c>
      <c r="C911" s="1" t="s">
        <v>5195</v>
      </c>
      <c r="D911" s="1"/>
      <c r="E911" s="1">
        <v>910.0</v>
      </c>
      <c r="F911" s="1" t="s">
        <v>5194</v>
      </c>
      <c r="G911" s="1" t="str">
        <f>IFERROR(__xludf.DUMMYFUNCTION("SPLIT(C911, "", "")"),"Action")</f>
        <v>Action</v>
      </c>
      <c r="H911" s="5" t="str">
        <f>IFERROR(__xludf.DUMMYFUNCTION("""COMPUTED_VALUE"""),"Adventure")</f>
        <v>Adventure</v>
      </c>
      <c r="I911" s="5" t="str">
        <f>IFERROR(__xludf.DUMMYFUNCTION("""COMPUTED_VALUE"""),"Crime")</f>
        <v>Crime</v>
      </c>
      <c r="J911" s="5" t="str">
        <f>IFERROR(__xludf.DUMMYFUNCTION("""COMPUTED_VALUE"""),"304🤙🏼Kumonosu-jô🤙🏼Drama🤙🏼1")</f>
        <v>304🤙🏼Kumonosu-jô🤙🏼Drama🤙🏼1</v>
      </c>
      <c r="K911" s="5">
        <f>IFERROR(__xludf.DUMMYFUNCTION("SPLiT(J911, ""🤙🏼"",FALSE,FALSE)"),304.0)</f>
        <v>304</v>
      </c>
      <c r="L911" s="5" t="str">
        <f>IFERROR(__xludf.DUMMYFUNCTION("""COMPUTED_VALUE"""),"Kumonosu-jô")</f>
        <v>Kumonosu-jô</v>
      </c>
      <c r="M911" s="5" t="str">
        <f>IFERROR(__xludf.DUMMYFUNCTION("""COMPUTED_VALUE"""),"Drama")</f>
        <v>Drama</v>
      </c>
      <c r="N911" s="5">
        <f>IFERROR(__xludf.DUMMYFUNCTION("""COMPUTED_VALUE"""),1.0)</f>
        <v>1</v>
      </c>
      <c r="S911" s="5">
        <f>IFERROR(__xludf.DUMMYFUNCTION("""COMPUTED_VALUE"""),362.0)</f>
        <v>362</v>
      </c>
      <c r="T911" s="5" t="str">
        <f>IFERROR(__xludf.DUMMYFUNCTION("""COMPUTED_VALUE"""),"Blood Diamond")</f>
        <v>Blood Diamond</v>
      </c>
      <c r="U911" s="5" t="str">
        <f>IFERROR(__xludf.DUMMYFUNCTION("""COMPUTED_VALUE"""),"Drama")</f>
        <v>Drama</v>
      </c>
      <c r="V911" s="5">
        <f>IFERROR(__xludf.DUMMYFUNCTION("""COMPUTED_VALUE"""),2.0)</f>
        <v>2</v>
      </c>
    </row>
    <row r="912">
      <c r="A912" s="1">
        <v>911.0</v>
      </c>
      <c r="B912" s="1" t="s">
        <v>5202</v>
      </c>
      <c r="C912" s="1" t="s">
        <v>1020</v>
      </c>
      <c r="D912" s="1"/>
      <c r="E912" s="1">
        <v>911.0</v>
      </c>
      <c r="F912" s="1" t="s">
        <v>5202</v>
      </c>
      <c r="G912" s="1" t="str">
        <f>IFERROR(__xludf.DUMMYFUNCTION("SPLIT(C912, "", "")"),"Biography")</f>
        <v>Biography</v>
      </c>
      <c r="H912" s="5" t="str">
        <f>IFERROR(__xludf.DUMMYFUNCTION("""COMPUTED_VALUE"""),"Drama")</f>
        <v>Drama</v>
      </c>
      <c r="I912" s="5" t="str">
        <f>IFERROR(__xludf.DUMMYFUNCTION("""COMPUTED_VALUE"""),"Sport")</f>
        <v>Sport</v>
      </c>
      <c r="J912" s="5" t="str">
        <f>IFERROR(__xludf.DUMMYFUNCTION("""COMPUTED_VALUE"""),"304🤙🏼Kumonosu-jô🤙🏼History🤙🏼2")</f>
        <v>304🤙🏼Kumonosu-jô🤙🏼History🤙🏼2</v>
      </c>
      <c r="K912" s="5">
        <f>IFERROR(__xludf.DUMMYFUNCTION("SPLiT(J912, ""🤙🏼"",FALSE,FALSE)"),304.0)</f>
        <v>304</v>
      </c>
      <c r="L912" s="5" t="str">
        <f>IFERROR(__xludf.DUMMYFUNCTION("""COMPUTED_VALUE"""),"Kumonosu-jô")</f>
        <v>Kumonosu-jô</v>
      </c>
      <c r="M912" s="5" t="str">
        <f>IFERROR(__xludf.DUMMYFUNCTION("""COMPUTED_VALUE"""),"History")</f>
        <v>History</v>
      </c>
      <c r="N912" s="5">
        <f>IFERROR(__xludf.DUMMYFUNCTION("""COMPUTED_VALUE"""),2.0)</f>
        <v>2</v>
      </c>
      <c r="S912" s="5">
        <f>IFERROR(__xludf.DUMMYFUNCTION("""COMPUTED_VALUE"""),362.0)</f>
        <v>362</v>
      </c>
      <c r="T912" s="5" t="str">
        <f>IFERROR(__xludf.DUMMYFUNCTION("""COMPUTED_VALUE"""),"Blood Diamond")</f>
        <v>Blood Diamond</v>
      </c>
      <c r="U912" s="5" t="str">
        <f>IFERROR(__xludf.DUMMYFUNCTION("""COMPUTED_VALUE"""),"Thriller")</f>
        <v>Thriller</v>
      </c>
      <c r="V912" s="5">
        <f>IFERROR(__xludf.DUMMYFUNCTION("""COMPUTED_VALUE"""),3.0)</f>
        <v>3</v>
      </c>
    </row>
    <row r="913">
      <c r="A913" s="1">
        <v>912.0</v>
      </c>
      <c r="B913" s="1" t="s">
        <v>5205</v>
      </c>
      <c r="C913" s="1" t="s">
        <v>1972</v>
      </c>
      <c r="D913" s="1"/>
      <c r="E913" s="1">
        <v>912.0</v>
      </c>
      <c r="F913" s="1" t="s">
        <v>5205</v>
      </c>
      <c r="G913" s="1" t="str">
        <f>IFERROR(__xludf.DUMMYFUNCTION("SPLIT(C913, "", "")"),"Drama")</f>
        <v>Drama</v>
      </c>
      <c r="H913" s="5" t="str">
        <f>IFERROR(__xludf.DUMMYFUNCTION("""COMPUTED_VALUE"""),"Horror")</f>
        <v>Horror</v>
      </c>
      <c r="I913" s="5" t="str">
        <f>IFERROR(__xludf.DUMMYFUNCTION("""COMPUTED_VALUE"""),"Thriller")</f>
        <v>Thriller</v>
      </c>
      <c r="J913" s="5" t="str">
        <f>IFERROR(__xludf.DUMMYFUNCTION("""COMPUTED_VALUE"""),"304🤙🏼Kumonosu-jô🤙🏼🤙🏼3")</f>
        <v>304🤙🏼Kumonosu-jô🤙🏼🤙🏼3</v>
      </c>
      <c r="K913" s="5">
        <f>IFERROR(__xludf.DUMMYFUNCTION("SPLiT(J913, ""🤙🏼"",FALSE,FALSE)"),304.0)</f>
        <v>304</v>
      </c>
      <c r="L913" s="5" t="str">
        <f>IFERROR(__xludf.DUMMYFUNCTION("""COMPUTED_VALUE"""),"Kumonosu-jô")</f>
        <v>Kumonosu-jô</v>
      </c>
      <c r="M913" s="5"/>
      <c r="N913" s="5">
        <f>IFERROR(__xludf.DUMMYFUNCTION("""COMPUTED_VALUE"""),3.0)</f>
        <v>3</v>
      </c>
      <c r="S913" s="5">
        <f>IFERROR(__xludf.DUMMYFUNCTION("""COMPUTED_VALUE"""),363.0)</f>
        <v>363</v>
      </c>
      <c r="T913" s="5" t="str">
        <f>IFERROR(__xludf.DUMMYFUNCTION("""COMPUTED_VALUE"""),"The Bourne Ultimatum")</f>
        <v>The Bourne Ultimatum</v>
      </c>
      <c r="U913" s="5" t="str">
        <f>IFERROR(__xludf.DUMMYFUNCTION("""COMPUTED_VALUE"""),"Action")</f>
        <v>Action</v>
      </c>
      <c r="V913" s="5">
        <f>IFERROR(__xludf.DUMMYFUNCTION("""COMPUTED_VALUE"""),1.0)</f>
        <v>1</v>
      </c>
    </row>
    <row r="914">
      <c r="A914" s="1">
        <v>913.0</v>
      </c>
      <c r="B914" s="1" t="s">
        <v>5210</v>
      </c>
      <c r="C914" s="1" t="s">
        <v>1260</v>
      </c>
      <c r="D914" s="1"/>
      <c r="E914" s="1">
        <v>913.0</v>
      </c>
      <c r="F914" s="1" t="s">
        <v>5210</v>
      </c>
      <c r="G914" s="1" t="str">
        <f>IFERROR(__xludf.DUMMYFUNCTION("SPLIT(C914, "", "")"),"Adventure")</f>
        <v>Adventure</v>
      </c>
      <c r="H914" s="5" t="str">
        <f>IFERROR(__xludf.DUMMYFUNCTION("""COMPUTED_VALUE"""),"Comedy")</f>
        <v>Comedy</v>
      </c>
      <c r="I914" s="5" t="str">
        <f>IFERROR(__xludf.DUMMYFUNCTION("""COMPUTED_VALUE"""),"Fantasy")</f>
        <v>Fantasy</v>
      </c>
      <c r="J914" s="5" t="str">
        <f>IFERROR(__xludf.DUMMYFUNCTION("""COMPUTED_VALUE"""),"305🤙🏼The Bridge on the River Kwai🤙🏼Adventure🤙🏼1")</f>
        <v>305🤙🏼The Bridge on the River Kwai🤙🏼Adventure🤙🏼1</v>
      </c>
      <c r="K914" s="5">
        <f>IFERROR(__xludf.DUMMYFUNCTION("SPLiT(J914, ""🤙🏼"",FALSE,FALSE)"),305.0)</f>
        <v>305</v>
      </c>
      <c r="L914" s="5" t="str">
        <f>IFERROR(__xludf.DUMMYFUNCTION("""COMPUTED_VALUE"""),"The Bridge on the River Kwai")</f>
        <v>The Bridge on the River Kwai</v>
      </c>
      <c r="M914" s="5" t="str">
        <f>IFERROR(__xludf.DUMMYFUNCTION("""COMPUTED_VALUE"""),"Adventure")</f>
        <v>Adventure</v>
      </c>
      <c r="N914" s="5">
        <f>IFERROR(__xludf.DUMMYFUNCTION("""COMPUTED_VALUE"""),1.0)</f>
        <v>1</v>
      </c>
      <c r="S914" s="5">
        <f>IFERROR(__xludf.DUMMYFUNCTION("""COMPUTED_VALUE"""),363.0)</f>
        <v>363</v>
      </c>
      <c r="T914" s="5" t="str">
        <f>IFERROR(__xludf.DUMMYFUNCTION("""COMPUTED_VALUE"""),"The Bourne Ultimatum")</f>
        <v>The Bourne Ultimatum</v>
      </c>
      <c r="U914" s="5" t="str">
        <f>IFERROR(__xludf.DUMMYFUNCTION("""COMPUTED_VALUE"""),"Mystery")</f>
        <v>Mystery</v>
      </c>
      <c r="V914" s="5">
        <f>IFERROR(__xludf.DUMMYFUNCTION("""COMPUTED_VALUE"""),2.0)</f>
        <v>2</v>
      </c>
    </row>
    <row r="915">
      <c r="A915" s="1">
        <v>914.0</v>
      </c>
      <c r="B915" s="1" t="s">
        <v>5214</v>
      </c>
      <c r="C915" s="1" t="s">
        <v>1377</v>
      </c>
      <c r="D915" s="1"/>
      <c r="E915" s="1">
        <v>914.0</v>
      </c>
      <c r="F915" s="1" t="s">
        <v>5214</v>
      </c>
      <c r="G915" s="1" t="str">
        <f>IFERROR(__xludf.DUMMYFUNCTION("SPLIT(C915, "", "")"),"Drama")</f>
        <v>Drama</v>
      </c>
      <c r="H915" s="5" t="str">
        <f>IFERROR(__xludf.DUMMYFUNCTION("""COMPUTED_VALUE"""),"Thriller")</f>
        <v>Thriller</v>
      </c>
      <c r="J915" s="5" t="str">
        <f>IFERROR(__xludf.DUMMYFUNCTION("""COMPUTED_VALUE"""),"305🤙🏼The Bridge on the River Kwai🤙🏼Drama🤙🏼2")</f>
        <v>305🤙🏼The Bridge on the River Kwai🤙🏼Drama🤙🏼2</v>
      </c>
      <c r="K915" s="5">
        <f>IFERROR(__xludf.DUMMYFUNCTION("SPLiT(J915, ""🤙🏼"",FALSE,FALSE)"),305.0)</f>
        <v>305</v>
      </c>
      <c r="L915" s="5" t="str">
        <f>IFERROR(__xludf.DUMMYFUNCTION("""COMPUTED_VALUE"""),"The Bridge on the River Kwai")</f>
        <v>The Bridge on the River Kwai</v>
      </c>
      <c r="M915" s="5" t="str">
        <f>IFERROR(__xludf.DUMMYFUNCTION("""COMPUTED_VALUE"""),"Drama")</f>
        <v>Drama</v>
      </c>
      <c r="N915" s="5">
        <f>IFERROR(__xludf.DUMMYFUNCTION("""COMPUTED_VALUE"""),2.0)</f>
        <v>2</v>
      </c>
      <c r="S915" s="5">
        <f>IFERROR(__xludf.DUMMYFUNCTION("""COMPUTED_VALUE"""),363.0)</f>
        <v>363</v>
      </c>
      <c r="T915" s="5" t="str">
        <f>IFERROR(__xludf.DUMMYFUNCTION("""COMPUTED_VALUE"""),"The Bourne Ultimatum")</f>
        <v>The Bourne Ultimatum</v>
      </c>
      <c r="U915" s="5" t="str">
        <f>IFERROR(__xludf.DUMMYFUNCTION("""COMPUTED_VALUE"""),"Thriller")</f>
        <v>Thriller</v>
      </c>
      <c r="V915" s="5">
        <f>IFERROR(__xludf.DUMMYFUNCTION("""COMPUTED_VALUE"""),3.0)</f>
        <v>3</v>
      </c>
    </row>
    <row r="916">
      <c r="A916" s="1">
        <v>915.0</v>
      </c>
      <c r="B916" s="1" t="s">
        <v>5220</v>
      </c>
      <c r="C916" s="1" t="s">
        <v>5221</v>
      </c>
      <c r="D916" s="1"/>
      <c r="E916" s="1">
        <v>915.0</v>
      </c>
      <c r="F916" s="1" t="s">
        <v>5220</v>
      </c>
      <c r="G916" s="1" t="str">
        <f>IFERROR(__xludf.DUMMYFUNCTION("SPLIT(C916, "", "")"),"Action")</f>
        <v>Action</v>
      </c>
      <c r="H916" s="5" t="str">
        <f>IFERROR(__xludf.DUMMYFUNCTION("""COMPUTED_VALUE"""),"Adventure")</f>
        <v>Adventure</v>
      </c>
      <c r="I916" s="5" t="str">
        <f>IFERROR(__xludf.DUMMYFUNCTION("""COMPUTED_VALUE"""),"Mystery")</f>
        <v>Mystery</v>
      </c>
      <c r="J916" s="5" t="str">
        <f>IFERROR(__xludf.DUMMYFUNCTION("""COMPUTED_VALUE"""),"305🤙🏼The Bridge on the River Kwai🤙🏼War🤙🏼3")</f>
        <v>305🤙🏼The Bridge on the River Kwai🤙🏼War🤙🏼3</v>
      </c>
      <c r="K916" s="5">
        <f>IFERROR(__xludf.DUMMYFUNCTION("SPLiT(J916, ""🤙🏼"",FALSE,FALSE)"),305.0)</f>
        <v>305</v>
      </c>
      <c r="L916" s="5" t="str">
        <f>IFERROR(__xludf.DUMMYFUNCTION("""COMPUTED_VALUE"""),"The Bridge on the River Kwai")</f>
        <v>The Bridge on the River Kwai</v>
      </c>
      <c r="M916" s="5" t="str">
        <f>IFERROR(__xludf.DUMMYFUNCTION("""COMPUTED_VALUE"""),"War")</f>
        <v>War</v>
      </c>
      <c r="N916" s="5">
        <f>IFERROR(__xludf.DUMMYFUNCTION("""COMPUTED_VALUE"""),3.0)</f>
        <v>3</v>
      </c>
      <c r="S916" s="5">
        <f>IFERROR(__xludf.DUMMYFUNCTION("""COMPUTED_VALUE"""),364.0)</f>
        <v>364</v>
      </c>
      <c r="T916" s="5" t="str">
        <f>IFERROR(__xludf.DUMMYFUNCTION("""COMPUTED_VALUE"""),"Bin-jip")</f>
        <v>Bin-jip</v>
      </c>
      <c r="U916" s="5" t="str">
        <f>IFERROR(__xludf.DUMMYFUNCTION("""COMPUTED_VALUE"""),"Crime")</f>
        <v>Crime</v>
      </c>
      <c r="V916" s="5">
        <f>IFERROR(__xludf.DUMMYFUNCTION("""COMPUTED_VALUE"""),1.0)</f>
        <v>1</v>
      </c>
    </row>
    <row r="917">
      <c r="A917" s="1">
        <v>916.0</v>
      </c>
      <c r="B917" s="1" t="s">
        <v>5224</v>
      </c>
      <c r="C917" s="1" t="s">
        <v>1020</v>
      </c>
      <c r="D917" s="1"/>
      <c r="E917" s="1">
        <v>916.0</v>
      </c>
      <c r="F917" s="1" t="s">
        <v>5224</v>
      </c>
      <c r="G917" s="1" t="str">
        <f>IFERROR(__xludf.DUMMYFUNCTION("SPLIT(C917, "", "")"),"Biography")</f>
        <v>Biography</v>
      </c>
      <c r="H917" s="5" t="str">
        <f>IFERROR(__xludf.DUMMYFUNCTION("""COMPUTED_VALUE"""),"Drama")</f>
        <v>Drama</v>
      </c>
      <c r="I917" s="5" t="str">
        <f>IFERROR(__xludf.DUMMYFUNCTION("""COMPUTED_VALUE"""),"Sport")</f>
        <v>Sport</v>
      </c>
      <c r="J917" s="5" t="str">
        <f>IFERROR(__xludf.DUMMYFUNCTION("""COMPUTED_VALUE"""),"306🤙🏼On the Waterfront🤙🏼Crime🤙🏼1")</f>
        <v>306🤙🏼On the Waterfront🤙🏼Crime🤙🏼1</v>
      </c>
      <c r="K917" s="5">
        <f>IFERROR(__xludf.DUMMYFUNCTION("SPLiT(J917, ""🤙🏼"",FALSE,FALSE)"),306.0)</f>
        <v>306</v>
      </c>
      <c r="L917" s="5" t="str">
        <f>IFERROR(__xludf.DUMMYFUNCTION("""COMPUTED_VALUE"""),"On the Waterfront")</f>
        <v>On the Waterfront</v>
      </c>
      <c r="M917" s="5" t="str">
        <f>IFERROR(__xludf.DUMMYFUNCTION("""COMPUTED_VALUE"""),"Crime")</f>
        <v>Crime</v>
      </c>
      <c r="N917" s="5">
        <f>IFERROR(__xludf.DUMMYFUNCTION("""COMPUTED_VALUE"""),1.0)</f>
        <v>1</v>
      </c>
      <c r="S917" s="5">
        <f>IFERROR(__xludf.DUMMYFUNCTION("""COMPUTED_VALUE"""),364.0)</f>
        <v>364</v>
      </c>
      <c r="T917" s="5" t="str">
        <f>IFERROR(__xludf.DUMMYFUNCTION("""COMPUTED_VALUE"""),"Bin-jip")</f>
        <v>Bin-jip</v>
      </c>
      <c r="U917" s="5" t="str">
        <f>IFERROR(__xludf.DUMMYFUNCTION("""COMPUTED_VALUE"""),"Drama")</f>
        <v>Drama</v>
      </c>
      <c r="V917" s="5">
        <f>IFERROR(__xludf.DUMMYFUNCTION("""COMPUTED_VALUE"""),2.0)</f>
        <v>2</v>
      </c>
    </row>
    <row r="918">
      <c r="A918" s="1">
        <v>917.0</v>
      </c>
      <c r="B918" s="1" t="s">
        <v>5230</v>
      </c>
      <c r="C918" s="1" t="s">
        <v>20</v>
      </c>
      <c r="D918" s="1"/>
      <c r="E918" s="1">
        <v>917.0</v>
      </c>
      <c r="F918" s="1" t="s">
        <v>5230</v>
      </c>
      <c r="G918" s="1" t="str">
        <f>IFERROR(__xludf.DUMMYFUNCTION("SPLIT(C918, "", "")"),"Drama")</f>
        <v>Drama</v>
      </c>
      <c r="J918" s="5" t="str">
        <f>IFERROR(__xludf.DUMMYFUNCTION("""COMPUTED_VALUE"""),"306🤙🏼On the Waterfront🤙🏼Drama🤙🏼2")</f>
        <v>306🤙🏼On the Waterfront🤙🏼Drama🤙🏼2</v>
      </c>
      <c r="K918" s="5">
        <f>IFERROR(__xludf.DUMMYFUNCTION("SPLiT(J918, ""🤙🏼"",FALSE,FALSE)"),306.0)</f>
        <v>306</v>
      </c>
      <c r="L918" s="5" t="str">
        <f>IFERROR(__xludf.DUMMYFUNCTION("""COMPUTED_VALUE"""),"On the Waterfront")</f>
        <v>On the Waterfront</v>
      </c>
      <c r="M918" s="5" t="str">
        <f>IFERROR(__xludf.DUMMYFUNCTION("""COMPUTED_VALUE"""),"Drama")</f>
        <v>Drama</v>
      </c>
      <c r="N918" s="5">
        <f>IFERROR(__xludf.DUMMYFUNCTION("""COMPUTED_VALUE"""),2.0)</f>
        <v>2</v>
      </c>
      <c r="S918" s="5">
        <f>IFERROR(__xludf.DUMMYFUNCTION("""COMPUTED_VALUE"""),364.0)</f>
        <v>364</v>
      </c>
      <c r="T918" s="5" t="str">
        <f>IFERROR(__xludf.DUMMYFUNCTION("""COMPUTED_VALUE"""),"Bin-jip")</f>
        <v>Bin-jip</v>
      </c>
      <c r="U918" s="5" t="str">
        <f>IFERROR(__xludf.DUMMYFUNCTION("""COMPUTED_VALUE"""),"Romance")</f>
        <v>Romance</v>
      </c>
      <c r="V918" s="5">
        <f>IFERROR(__xludf.DUMMYFUNCTION("""COMPUTED_VALUE"""),3.0)</f>
        <v>3</v>
      </c>
    </row>
    <row r="919">
      <c r="A919" s="1">
        <v>918.0</v>
      </c>
      <c r="B919" s="1" t="s">
        <v>5236</v>
      </c>
      <c r="C919" s="1" t="s">
        <v>20</v>
      </c>
      <c r="D919" s="1"/>
      <c r="E919" s="1">
        <v>918.0</v>
      </c>
      <c r="F919" s="1" t="s">
        <v>5236</v>
      </c>
      <c r="G919" s="1" t="str">
        <f>IFERROR(__xludf.DUMMYFUNCTION("SPLIT(C919, "", "")"),"Drama")</f>
        <v>Drama</v>
      </c>
      <c r="J919" s="5" t="str">
        <f>IFERROR(__xludf.DUMMYFUNCTION("""COMPUTED_VALUE"""),"306🤙🏼On the Waterfront🤙🏼Thriller🤙🏼3")</f>
        <v>306🤙🏼On the Waterfront🤙🏼Thriller🤙🏼3</v>
      </c>
      <c r="K919" s="5">
        <f>IFERROR(__xludf.DUMMYFUNCTION("SPLiT(J919, ""🤙🏼"",FALSE,FALSE)"),306.0)</f>
        <v>306</v>
      </c>
      <c r="L919" s="5" t="str">
        <f>IFERROR(__xludf.DUMMYFUNCTION("""COMPUTED_VALUE"""),"On the Waterfront")</f>
        <v>On the Waterfront</v>
      </c>
      <c r="M919" s="5" t="str">
        <f>IFERROR(__xludf.DUMMYFUNCTION("""COMPUTED_VALUE"""),"Thriller")</f>
        <v>Thriller</v>
      </c>
      <c r="N919" s="5">
        <f>IFERROR(__xludf.DUMMYFUNCTION("""COMPUTED_VALUE"""),3.0)</f>
        <v>3</v>
      </c>
      <c r="S919" s="5">
        <f>IFERROR(__xludf.DUMMYFUNCTION("""COMPUTED_VALUE"""),365.0)</f>
        <v>365</v>
      </c>
      <c r="T919" s="5" t="str">
        <f>IFERROR(__xludf.DUMMYFUNCTION("""COMPUTED_VALUE"""),"Sin City")</f>
        <v>Sin City</v>
      </c>
      <c r="U919" s="5" t="str">
        <f>IFERROR(__xludf.DUMMYFUNCTION("""COMPUTED_VALUE"""),"Crime")</f>
        <v>Crime</v>
      </c>
      <c r="V919" s="5">
        <f>IFERROR(__xludf.DUMMYFUNCTION("""COMPUTED_VALUE"""),1.0)</f>
        <v>1</v>
      </c>
    </row>
    <row r="920">
      <c r="A920" s="1">
        <v>919.0</v>
      </c>
      <c r="B920" s="1" t="s">
        <v>5240</v>
      </c>
      <c r="C920" s="1" t="s">
        <v>39</v>
      </c>
      <c r="D920" s="1"/>
      <c r="E920" s="1">
        <v>919.0</v>
      </c>
      <c r="F920" s="1" t="s">
        <v>5240</v>
      </c>
      <c r="G920" s="1" t="str">
        <f>IFERROR(__xludf.DUMMYFUNCTION("SPLIT(C920, "", "")"),"Action")</f>
        <v>Action</v>
      </c>
      <c r="H920" s="5" t="str">
        <f>IFERROR(__xludf.DUMMYFUNCTION("""COMPUTED_VALUE"""),"Crime")</f>
        <v>Crime</v>
      </c>
      <c r="I920" s="5" t="str">
        <f>IFERROR(__xludf.DUMMYFUNCTION("""COMPUTED_VALUE"""),"Drama")</f>
        <v>Drama</v>
      </c>
      <c r="J920" s="5" t="str">
        <f>IFERROR(__xludf.DUMMYFUNCTION("""COMPUTED_VALUE"""),"307🤙🏼Le salaire de la peur🤙🏼Adventure🤙🏼1")</f>
        <v>307🤙🏼Le salaire de la peur🤙🏼Adventure🤙🏼1</v>
      </c>
      <c r="K920" s="5">
        <f>IFERROR(__xludf.DUMMYFUNCTION("SPLiT(J920, ""🤙🏼"",FALSE,FALSE)"),307.0)</f>
        <v>307</v>
      </c>
      <c r="L920" s="5" t="str">
        <f>IFERROR(__xludf.DUMMYFUNCTION("""COMPUTED_VALUE"""),"Le salaire de la peur")</f>
        <v>Le salaire de la peur</v>
      </c>
      <c r="M920" s="5" t="str">
        <f>IFERROR(__xludf.DUMMYFUNCTION("""COMPUTED_VALUE"""),"Adventure")</f>
        <v>Adventure</v>
      </c>
      <c r="N920" s="5">
        <f>IFERROR(__xludf.DUMMYFUNCTION("""COMPUTED_VALUE"""),1.0)</f>
        <v>1</v>
      </c>
      <c r="S920" s="5">
        <f>IFERROR(__xludf.DUMMYFUNCTION("""COMPUTED_VALUE"""),365.0)</f>
        <v>365</v>
      </c>
      <c r="T920" s="5" t="str">
        <f>IFERROR(__xludf.DUMMYFUNCTION("""COMPUTED_VALUE"""),"Sin City")</f>
        <v>Sin City</v>
      </c>
      <c r="U920" s="5" t="str">
        <f>IFERROR(__xludf.DUMMYFUNCTION("""COMPUTED_VALUE"""),"Thriller")</f>
        <v>Thriller</v>
      </c>
      <c r="V920" s="5">
        <f>IFERROR(__xludf.DUMMYFUNCTION("""COMPUTED_VALUE"""),2.0)</f>
        <v>2</v>
      </c>
    </row>
    <row r="921">
      <c r="A921" s="1">
        <v>920.0</v>
      </c>
      <c r="B921" s="1" t="s">
        <v>5244</v>
      </c>
      <c r="C921" s="1" t="s">
        <v>2629</v>
      </c>
      <c r="D921" s="1"/>
      <c r="E921" s="1">
        <v>920.0</v>
      </c>
      <c r="F921" s="1" t="s">
        <v>5244</v>
      </c>
      <c r="G921" s="1" t="str">
        <f>IFERROR(__xludf.DUMMYFUNCTION("SPLIT(C921, "", "")"),"Adventure")</f>
        <v>Adventure</v>
      </c>
      <c r="H921" s="5" t="str">
        <f>IFERROR(__xludf.DUMMYFUNCTION("""COMPUTED_VALUE"""),"Family")</f>
        <v>Family</v>
      </c>
      <c r="I921" s="5" t="str">
        <f>IFERROR(__xludf.DUMMYFUNCTION("""COMPUTED_VALUE"""),"Fantasy")</f>
        <v>Fantasy</v>
      </c>
      <c r="J921" s="5" t="str">
        <f>IFERROR(__xludf.DUMMYFUNCTION("""COMPUTED_VALUE"""),"307🤙🏼Le salaire de la peur🤙🏼Drama🤙🏼2")</f>
        <v>307🤙🏼Le salaire de la peur🤙🏼Drama🤙🏼2</v>
      </c>
      <c r="K921" s="5">
        <f>IFERROR(__xludf.DUMMYFUNCTION("SPLiT(J921, ""🤙🏼"",FALSE,FALSE)"),307.0)</f>
        <v>307</v>
      </c>
      <c r="L921" s="5" t="str">
        <f>IFERROR(__xludf.DUMMYFUNCTION("""COMPUTED_VALUE"""),"Le salaire de la peur")</f>
        <v>Le salaire de la peur</v>
      </c>
      <c r="M921" s="5" t="str">
        <f>IFERROR(__xludf.DUMMYFUNCTION("""COMPUTED_VALUE"""),"Drama")</f>
        <v>Drama</v>
      </c>
      <c r="N921" s="5">
        <f>IFERROR(__xludf.DUMMYFUNCTION("""COMPUTED_VALUE"""),2.0)</f>
        <v>2</v>
      </c>
      <c r="S921" s="5">
        <f>IFERROR(__xludf.DUMMYFUNCTION("""COMPUTED_VALUE"""),366.0)</f>
        <v>366</v>
      </c>
      <c r="T921" s="5" t="str">
        <f>IFERROR(__xludf.DUMMYFUNCTION("""COMPUTED_VALUE"""),"Le scaphandre et le papillon")</f>
        <v>Le scaphandre et le papillon</v>
      </c>
      <c r="U921" s="5" t="str">
        <f>IFERROR(__xludf.DUMMYFUNCTION("""COMPUTED_VALUE"""),"Biography")</f>
        <v>Biography</v>
      </c>
      <c r="V921" s="5">
        <f>IFERROR(__xludf.DUMMYFUNCTION("""COMPUTED_VALUE"""),1.0)</f>
        <v>1</v>
      </c>
    </row>
    <row r="922">
      <c r="A922" s="1">
        <v>921.0</v>
      </c>
      <c r="B922" s="1" t="s">
        <v>5249</v>
      </c>
      <c r="C922" s="1" t="s">
        <v>204</v>
      </c>
      <c r="D922" s="1"/>
      <c r="E922" s="1">
        <v>921.0</v>
      </c>
      <c r="F922" s="1" t="s">
        <v>5249</v>
      </c>
      <c r="G922" s="1" t="str">
        <f>IFERROR(__xludf.DUMMYFUNCTION("SPLIT(C922, "", "")"),"Animation")</f>
        <v>Animation</v>
      </c>
      <c r="H922" s="5" t="str">
        <f>IFERROR(__xludf.DUMMYFUNCTION("""COMPUTED_VALUE"""),"Adventure")</f>
        <v>Adventure</v>
      </c>
      <c r="I922" s="5" t="str">
        <f>IFERROR(__xludf.DUMMYFUNCTION("""COMPUTED_VALUE"""),"Family")</f>
        <v>Family</v>
      </c>
      <c r="J922" s="5" t="str">
        <f>IFERROR(__xludf.DUMMYFUNCTION("""COMPUTED_VALUE"""),"307🤙🏼Le salaire de la peur🤙🏼Thriller🤙🏼3")</f>
        <v>307🤙🏼Le salaire de la peur🤙🏼Thriller🤙🏼3</v>
      </c>
      <c r="K922" s="5">
        <f>IFERROR(__xludf.DUMMYFUNCTION("SPLiT(J922, ""🤙🏼"",FALSE,FALSE)"),307.0)</f>
        <v>307</v>
      </c>
      <c r="L922" s="5" t="str">
        <f>IFERROR(__xludf.DUMMYFUNCTION("""COMPUTED_VALUE"""),"Le salaire de la peur")</f>
        <v>Le salaire de la peur</v>
      </c>
      <c r="M922" s="5" t="str">
        <f>IFERROR(__xludf.DUMMYFUNCTION("""COMPUTED_VALUE"""),"Thriller")</f>
        <v>Thriller</v>
      </c>
      <c r="N922" s="5">
        <f>IFERROR(__xludf.DUMMYFUNCTION("""COMPUTED_VALUE"""),3.0)</f>
        <v>3</v>
      </c>
      <c r="S922" s="5">
        <f>IFERROR(__xludf.DUMMYFUNCTION("""COMPUTED_VALUE"""),366.0)</f>
        <v>366</v>
      </c>
      <c r="T922" s="5" t="str">
        <f>IFERROR(__xludf.DUMMYFUNCTION("""COMPUTED_VALUE"""),"Le scaphandre et le papillon")</f>
        <v>Le scaphandre et le papillon</v>
      </c>
      <c r="U922" s="5" t="str">
        <f>IFERROR(__xludf.DUMMYFUNCTION("""COMPUTED_VALUE"""),"Drama")</f>
        <v>Drama</v>
      </c>
      <c r="V922" s="5">
        <f>IFERROR(__xludf.DUMMYFUNCTION("""COMPUTED_VALUE"""),2.0)</f>
        <v>2</v>
      </c>
    </row>
    <row r="923">
      <c r="A923" s="1">
        <v>922.0</v>
      </c>
      <c r="B923" s="1" t="s">
        <v>5254</v>
      </c>
      <c r="C923" s="1" t="s">
        <v>235</v>
      </c>
      <c r="D923" s="1"/>
      <c r="E923" s="1">
        <v>922.0</v>
      </c>
      <c r="F923" s="1" t="s">
        <v>5254</v>
      </c>
      <c r="G923" s="1" t="str">
        <f>IFERROR(__xludf.DUMMYFUNCTION("SPLIT(C923, "", "")"),"Crime")</f>
        <v>Crime</v>
      </c>
      <c r="H923" s="5" t="str">
        <f>IFERROR(__xludf.DUMMYFUNCTION("""COMPUTED_VALUE"""),"Drama")</f>
        <v>Drama</v>
      </c>
      <c r="I923" s="5" t="str">
        <f>IFERROR(__xludf.DUMMYFUNCTION("""COMPUTED_VALUE"""),"Mystery")</f>
        <v>Mystery</v>
      </c>
      <c r="J923" s="5" t="str">
        <f>IFERROR(__xludf.DUMMYFUNCTION("""COMPUTED_VALUE"""),"308🤙🏼Ace in the Hole🤙🏼Drama🤙🏼1")</f>
        <v>308🤙🏼Ace in the Hole🤙🏼Drama🤙🏼1</v>
      </c>
      <c r="K923" s="5">
        <f>IFERROR(__xludf.DUMMYFUNCTION("SPLiT(J923, ""🤙🏼"",FALSE,FALSE)"),308.0)</f>
        <v>308</v>
      </c>
      <c r="L923" s="5" t="str">
        <f>IFERROR(__xludf.DUMMYFUNCTION("""COMPUTED_VALUE"""),"Ace in the Hole")</f>
        <v>Ace in the Hole</v>
      </c>
      <c r="M923" s="5" t="str">
        <f>IFERROR(__xludf.DUMMYFUNCTION("""COMPUTED_VALUE"""),"Drama")</f>
        <v>Drama</v>
      </c>
      <c r="N923" s="5">
        <f>IFERROR(__xludf.DUMMYFUNCTION("""COMPUTED_VALUE"""),1.0)</f>
        <v>1</v>
      </c>
      <c r="S923" s="5">
        <f>IFERROR(__xludf.DUMMYFUNCTION("""COMPUTED_VALUE"""),367.0)</f>
        <v>367</v>
      </c>
      <c r="T923" s="5" t="str">
        <f>IFERROR(__xludf.DUMMYFUNCTION("""COMPUTED_VALUE"""),"G.O.R.A.")</f>
        <v>G.O.R.A.</v>
      </c>
      <c r="U923" s="5" t="str">
        <f>IFERROR(__xludf.DUMMYFUNCTION("""COMPUTED_VALUE"""),"Adventure")</f>
        <v>Adventure</v>
      </c>
      <c r="V923" s="5">
        <f>IFERROR(__xludf.DUMMYFUNCTION("""COMPUTED_VALUE"""),1.0)</f>
        <v>1</v>
      </c>
    </row>
    <row r="924">
      <c r="A924" s="1">
        <v>923.0</v>
      </c>
      <c r="B924" s="1" t="s">
        <v>5256</v>
      </c>
      <c r="C924" s="1" t="s">
        <v>235</v>
      </c>
      <c r="D924" s="1"/>
      <c r="E924" s="1">
        <v>923.0</v>
      </c>
      <c r="F924" s="1" t="s">
        <v>5256</v>
      </c>
      <c r="G924" s="1" t="str">
        <f>IFERROR(__xludf.DUMMYFUNCTION("SPLIT(C924, "", "")"),"Crime")</f>
        <v>Crime</v>
      </c>
      <c r="H924" s="5" t="str">
        <f>IFERROR(__xludf.DUMMYFUNCTION("""COMPUTED_VALUE"""),"Drama")</f>
        <v>Drama</v>
      </c>
      <c r="I924" s="5" t="str">
        <f>IFERROR(__xludf.DUMMYFUNCTION("""COMPUTED_VALUE"""),"Mystery")</f>
        <v>Mystery</v>
      </c>
      <c r="J924" s="5" t="str">
        <f>IFERROR(__xludf.DUMMYFUNCTION("""COMPUTED_VALUE"""),"308🤙🏼Ace in the Hole🤙🏼Film-Noir🤙🏼2")</f>
        <v>308🤙🏼Ace in the Hole🤙🏼Film-Noir🤙🏼2</v>
      </c>
      <c r="K924" s="5">
        <f>IFERROR(__xludf.DUMMYFUNCTION("SPLiT(J924, ""🤙🏼"",FALSE,FALSE)"),308.0)</f>
        <v>308</v>
      </c>
      <c r="L924" s="5" t="str">
        <f>IFERROR(__xludf.DUMMYFUNCTION("""COMPUTED_VALUE"""),"Ace in the Hole")</f>
        <v>Ace in the Hole</v>
      </c>
      <c r="M924" s="5" t="str">
        <f>IFERROR(__xludf.DUMMYFUNCTION("""COMPUTED_VALUE"""),"Film-Noir")</f>
        <v>Film-Noir</v>
      </c>
      <c r="N924" s="5">
        <f>IFERROR(__xludf.DUMMYFUNCTION("""COMPUTED_VALUE"""),2.0)</f>
        <v>2</v>
      </c>
      <c r="S924" s="5">
        <f>IFERROR(__xludf.DUMMYFUNCTION("""COMPUTED_VALUE"""),367.0)</f>
        <v>367</v>
      </c>
      <c r="T924" s="5" t="str">
        <f>IFERROR(__xludf.DUMMYFUNCTION("""COMPUTED_VALUE"""),"G.O.R.A.")</f>
        <v>G.O.R.A.</v>
      </c>
      <c r="U924" s="5" t="str">
        <f>IFERROR(__xludf.DUMMYFUNCTION("""COMPUTED_VALUE"""),"Comedy")</f>
        <v>Comedy</v>
      </c>
      <c r="V924" s="5">
        <f>IFERROR(__xludf.DUMMYFUNCTION("""COMPUTED_VALUE"""),2.0)</f>
        <v>2</v>
      </c>
    </row>
    <row r="925">
      <c r="A925" s="1">
        <v>924.0</v>
      </c>
      <c r="B925" s="1" t="s">
        <v>5259</v>
      </c>
      <c r="C925" s="1" t="s">
        <v>314</v>
      </c>
      <c r="D925" s="1"/>
      <c r="E925" s="1">
        <v>924.0</v>
      </c>
      <c r="F925" s="1" t="s">
        <v>5259</v>
      </c>
      <c r="G925" s="1" t="str">
        <f>IFERROR(__xludf.DUMMYFUNCTION("SPLIT(C925, "", "")"),"Biography")</f>
        <v>Biography</v>
      </c>
      <c r="H925" s="5" t="str">
        <f>IFERROR(__xludf.DUMMYFUNCTION("""COMPUTED_VALUE"""),"Drama")</f>
        <v>Drama</v>
      </c>
      <c r="I925" s="5" t="str">
        <f>IFERROR(__xludf.DUMMYFUNCTION("""COMPUTED_VALUE"""),"Music")</f>
        <v>Music</v>
      </c>
      <c r="J925" s="5" t="str">
        <f>IFERROR(__xludf.DUMMYFUNCTION("""COMPUTED_VALUE"""),"308🤙🏼Ace in the Hole🤙🏼🤙🏼3")</f>
        <v>308🤙🏼Ace in the Hole🤙🏼🤙🏼3</v>
      </c>
      <c r="K925" s="5">
        <f>IFERROR(__xludf.DUMMYFUNCTION("SPLiT(J925, ""🤙🏼"",FALSE,FALSE)"),308.0)</f>
        <v>308</v>
      </c>
      <c r="L925" s="5" t="str">
        <f>IFERROR(__xludf.DUMMYFUNCTION("""COMPUTED_VALUE"""),"Ace in the Hole")</f>
        <v>Ace in the Hole</v>
      </c>
      <c r="M925" s="5"/>
      <c r="N925" s="5">
        <f>IFERROR(__xludf.DUMMYFUNCTION("""COMPUTED_VALUE"""),3.0)</f>
        <v>3</v>
      </c>
      <c r="S925" s="5">
        <f>IFERROR(__xludf.DUMMYFUNCTION("""COMPUTED_VALUE"""),367.0)</f>
        <v>367</v>
      </c>
      <c r="T925" s="5" t="str">
        <f>IFERROR(__xludf.DUMMYFUNCTION("""COMPUTED_VALUE"""),"G.O.R.A.")</f>
        <v>G.O.R.A.</v>
      </c>
      <c r="U925" s="5" t="str">
        <f>IFERROR(__xludf.DUMMYFUNCTION("""COMPUTED_VALUE"""),"Sci-Fi")</f>
        <v>Sci-Fi</v>
      </c>
      <c r="V925" s="5">
        <f>IFERROR(__xludf.DUMMYFUNCTION("""COMPUTED_VALUE"""),3.0)</f>
        <v>3</v>
      </c>
    </row>
    <row r="926">
      <c r="A926" s="1">
        <v>925.0</v>
      </c>
      <c r="B926" s="1" t="s">
        <v>5264</v>
      </c>
      <c r="C926" s="1" t="s">
        <v>458</v>
      </c>
      <c r="D926" s="1"/>
      <c r="E926" s="1">
        <v>925.0</v>
      </c>
      <c r="F926" s="1" t="s">
        <v>5264</v>
      </c>
      <c r="G926" s="1" t="str">
        <f>IFERROR(__xludf.DUMMYFUNCTION("SPLIT(C926, "", "")"),"Action")</f>
        <v>Action</v>
      </c>
      <c r="H926" s="5" t="str">
        <f>IFERROR(__xludf.DUMMYFUNCTION("""COMPUTED_VALUE"""),"Biography")</f>
        <v>Biography</v>
      </c>
      <c r="I926" s="5" t="str">
        <f>IFERROR(__xludf.DUMMYFUNCTION("""COMPUTED_VALUE"""),"Drama")</f>
        <v>Drama</v>
      </c>
      <c r="J926" s="5" t="str">
        <f>IFERROR(__xludf.DUMMYFUNCTION("""COMPUTED_VALUE"""),"309🤙🏼White Heat🤙🏼Action🤙🏼1")</f>
        <v>309🤙🏼White Heat🤙🏼Action🤙🏼1</v>
      </c>
      <c r="K926" s="5">
        <f>IFERROR(__xludf.DUMMYFUNCTION("SPLiT(J926, ""🤙🏼"",FALSE,FALSE)"),309.0)</f>
        <v>309</v>
      </c>
      <c r="L926" s="5" t="str">
        <f>IFERROR(__xludf.DUMMYFUNCTION("""COMPUTED_VALUE"""),"White Heat")</f>
        <v>White Heat</v>
      </c>
      <c r="M926" s="5" t="str">
        <f>IFERROR(__xludf.DUMMYFUNCTION("""COMPUTED_VALUE"""),"Action")</f>
        <v>Action</v>
      </c>
      <c r="N926" s="5">
        <f>IFERROR(__xludf.DUMMYFUNCTION("""COMPUTED_VALUE"""),1.0)</f>
        <v>1</v>
      </c>
      <c r="S926" s="5">
        <f>IFERROR(__xludf.DUMMYFUNCTION("""COMPUTED_VALUE"""),368.0)</f>
        <v>368</v>
      </c>
      <c r="T926" s="5" t="str">
        <f>IFERROR(__xludf.DUMMYFUNCTION("""COMPUTED_VALUE"""),"Ratatouille")</f>
        <v>Ratatouille</v>
      </c>
      <c r="U926" s="5" t="str">
        <f>IFERROR(__xludf.DUMMYFUNCTION("""COMPUTED_VALUE"""),"Animation")</f>
        <v>Animation</v>
      </c>
      <c r="V926" s="5">
        <f>IFERROR(__xludf.DUMMYFUNCTION("""COMPUTED_VALUE"""),1.0)</f>
        <v>1</v>
      </c>
    </row>
    <row r="927">
      <c r="A927" s="1">
        <v>926.0</v>
      </c>
      <c r="B927" s="1" t="s">
        <v>5270</v>
      </c>
      <c r="C927" s="1" t="s">
        <v>3109</v>
      </c>
      <c r="D927" s="1"/>
      <c r="E927" s="1">
        <v>926.0</v>
      </c>
      <c r="F927" s="1" t="s">
        <v>5270</v>
      </c>
      <c r="G927" s="1" t="str">
        <f>IFERROR(__xludf.DUMMYFUNCTION("SPLIT(C927, "", "")"),"Drama")</f>
        <v>Drama</v>
      </c>
      <c r="H927" s="5" t="str">
        <f>IFERROR(__xludf.DUMMYFUNCTION("""COMPUTED_VALUE"""),"Fantasy")</f>
        <v>Fantasy</v>
      </c>
      <c r="I927" s="5" t="str">
        <f>IFERROR(__xludf.DUMMYFUNCTION("""COMPUTED_VALUE"""),"Mystery")</f>
        <v>Mystery</v>
      </c>
      <c r="J927" s="5" t="str">
        <f>IFERROR(__xludf.DUMMYFUNCTION("""COMPUTED_VALUE"""),"309🤙🏼White Heat🤙🏼Crime🤙🏼2")</f>
        <v>309🤙🏼White Heat🤙🏼Crime🤙🏼2</v>
      </c>
      <c r="K927" s="5">
        <f>IFERROR(__xludf.DUMMYFUNCTION("SPLiT(J927, ""🤙🏼"",FALSE,FALSE)"),309.0)</f>
        <v>309</v>
      </c>
      <c r="L927" s="5" t="str">
        <f>IFERROR(__xludf.DUMMYFUNCTION("""COMPUTED_VALUE"""),"White Heat")</f>
        <v>White Heat</v>
      </c>
      <c r="M927" s="5" t="str">
        <f>IFERROR(__xludf.DUMMYFUNCTION("""COMPUTED_VALUE"""),"Crime")</f>
        <v>Crime</v>
      </c>
      <c r="N927" s="5">
        <f>IFERROR(__xludf.DUMMYFUNCTION("""COMPUTED_VALUE"""),2.0)</f>
        <v>2</v>
      </c>
      <c r="S927" s="5">
        <f>IFERROR(__xludf.DUMMYFUNCTION("""COMPUTED_VALUE"""),368.0)</f>
        <v>368</v>
      </c>
      <c r="T927" s="5" t="str">
        <f>IFERROR(__xludf.DUMMYFUNCTION("""COMPUTED_VALUE"""),"Ratatouille")</f>
        <v>Ratatouille</v>
      </c>
      <c r="U927" s="5" t="str">
        <f>IFERROR(__xludf.DUMMYFUNCTION("""COMPUTED_VALUE"""),"Adventure")</f>
        <v>Adventure</v>
      </c>
      <c r="V927" s="5">
        <f>IFERROR(__xludf.DUMMYFUNCTION("""COMPUTED_VALUE"""),2.0)</f>
        <v>2</v>
      </c>
    </row>
    <row r="928">
      <c r="A928" s="1">
        <v>927.0</v>
      </c>
      <c r="B928" s="1" t="s">
        <v>5275</v>
      </c>
      <c r="C928" s="1" t="s">
        <v>241</v>
      </c>
      <c r="D928" s="1"/>
      <c r="E928" s="1">
        <v>927.0</v>
      </c>
      <c r="F928" s="1" t="s">
        <v>5275</v>
      </c>
      <c r="G928" s="1" t="str">
        <f>IFERROR(__xludf.DUMMYFUNCTION("SPLIT(C928, "", "")"),"Crime")</f>
        <v>Crime</v>
      </c>
      <c r="H928" s="5" t="str">
        <f>IFERROR(__xludf.DUMMYFUNCTION("""COMPUTED_VALUE"""),"Drama")</f>
        <v>Drama</v>
      </c>
      <c r="I928" s="5" t="str">
        <f>IFERROR(__xludf.DUMMYFUNCTION("""COMPUTED_VALUE"""),"Thriller")</f>
        <v>Thriller</v>
      </c>
      <c r="J928" s="5" t="str">
        <f>IFERROR(__xludf.DUMMYFUNCTION("""COMPUTED_VALUE"""),"309🤙🏼White Heat🤙🏼Drama🤙🏼3")</f>
        <v>309🤙🏼White Heat🤙🏼Drama🤙🏼3</v>
      </c>
      <c r="K928" s="5">
        <f>IFERROR(__xludf.DUMMYFUNCTION("SPLiT(J928, ""🤙🏼"",FALSE,FALSE)"),309.0)</f>
        <v>309</v>
      </c>
      <c r="L928" s="5" t="str">
        <f>IFERROR(__xludf.DUMMYFUNCTION("""COMPUTED_VALUE"""),"White Heat")</f>
        <v>White Heat</v>
      </c>
      <c r="M928" s="5" t="str">
        <f>IFERROR(__xludf.DUMMYFUNCTION("""COMPUTED_VALUE"""),"Drama")</f>
        <v>Drama</v>
      </c>
      <c r="N928" s="5">
        <f>IFERROR(__xludf.DUMMYFUNCTION("""COMPUTED_VALUE"""),3.0)</f>
        <v>3</v>
      </c>
      <c r="S928" s="5">
        <f>IFERROR(__xludf.DUMMYFUNCTION("""COMPUTED_VALUE"""),368.0)</f>
        <v>368</v>
      </c>
      <c r="T928" s="5" t="str">
        <f>IFERROR(__xludf.DUMMYFUNCTION("""COMPUTED_VALUE"""),"Ratatouille")</f>
        <v>Ratatouille</v>
      </c>
      <c r="U928" s="5" t="str">
        <f>IFERROR(__xludf.DUMMYFUNCTION("""COMPUTED_VALUE"""),"Comedy")</f>
        <v>Comedy</v>
      </c>
      <c r="V928" s="5">
        <f>IFERROR(__xludf.DUMMYFUNCTION("""COMPUTED_VALUE"""),3.0)</f>
        <v>3</v>
      </c>
    </row>
    <row r="929">
      <c r="A929" s="1">
        <v>928.0</v>
      </c>
      <c r="B929" s="1" t="s">
        <v>5280</v>
      </c>
      <c r="C929" s="1" t="s">
        <v>5281</v>
      </c>
      <c r="D929" s="1"/>
      <c r="E929" s="1">
        <v>928.0</v>
      </c>
      <c r="F929" s="1" t="s">
        <v>5280</v>
      </c>
      <c r="G929" s="1" t="str">
        <f>IFERROR(__xludf.DUMMYFUNCTION("SPLIT(C929, "", "")"),"Action")</f>
        <v>Action</v>
      </c>
      <c r="H929" s="5" t="str">
        <f>IFERROR(__xludf.DUMMYFUNCTION("""COMPUTED_VALUE"""),"Adventure")</f>
        <v>Adventure</v>
      </c>
      <c r="I929" s="5" t="str">
        <f>IFERROR(__xludf.DUMMYFUNCTION("""COMPUTED_VALUE"""),"Family")</f>
        <v>Family</v>
      </c>
      <c r="J929" s="5" t="str">
        <f>IFERROR(__xludf.DUMMYFUNCTION("""COMPUTED_VALUE"""),"310🤙🏼The Third Man🤙🏼Film-Noir🤙🏼1")</f>
        <v>310🤙🏼The Third Man🤙🏼Film-Noir🤙🏼1</v>
      </c>
      <c r="K929" s="5">
        <f>IFERROR(__xludf.DUMMYFUNCTION("SPLiT(J929, ""🤙🏼"",FALSE,FALSE)"),310.0)</f>
        <v>310</v>
      </c>
      <c r="L929" s="5" t="str">
        <f>IFERROR(__xludf.DUMMYFUNCTION("""COMPUTED_VALUE"""),"The Third Man")</f>
        <v>The Third Man</v>
      </c>
      <c r="M929" s="5" t="str">
        <f>IFERROR(__xludf.DUMMYFUNCTION("""COMPUTED_VALUE"""),"Film-Noir")</f>
        <v>Film-Noir</v>
      </c>
      <c r="N929" s="5">
        <f>IFERROR(__xludf.DUMMYFUNCTION("""COMPUTED_VALUE"""),1.0)</f>
        <v>1</v>
      </c>
      <c r="S929" s="5">
        <f>IFERROR(__xludf.DUMMYFUNCTION("""COMPUTED_VALUE"""),369.0)</f>
        <v>369</v>
      </c>
      <c r="T929" s="5" t="str">
        <f>IFERROR(__xludf.DUMMYFUNCTION("""COMPUTED_VALUE"""),"Casino Royale")</f>
        <v>Casino Royale</v>
      </c>
      <c r="U929" s="5" t="str">
        <f>IFERROR(__xludf.DUMMYFUNCTION("""COMPUTED_VALUE"""),"Action")</f>
        <v>Action</v>
      </c>
      <c r="V929" s="5">
        <f>IFERROR(__xludf.DUMMYFUNCTION("""COMPUTED_VALUE"""),1.0)</f>
        <v>1</v>
      </c>
    </row>
    <row r="930">
      <c r="A930" s="1">
        <v>929.0</v>
      </c>
      <c r="B930" s="1">
        <v>300.0</v>
      </c>
      <c r="C930" s="1" t="s">
        <v>956</v>
      </c>
      <c r="D930" s="1"/>
      <c r="E930" s="1">
        <v>929.0</v>
      </c>
      <c r="F930" s="1">
        <v>300.0</v>
      </c>
      <c r="G930" s="1" t="str">
        <f>IFERROR(__xludf.DUMMYFUNCTION("SPLIT(C930, "", "")"),"Action")</f>
        <v>Action</v>
      </c>
      <c r="H930" s="5" t="str">
        <f>IFERROR(__xludf.DUMMYFUNCTION("""COMPUTED_VALUE"""),"Drama")</f>
        <v>Drama</v>
      </c>
      <c r="J930" s="5" t="str">
        <f>IFERROR(__xludf.DUMMYFUNCTION("""COMPUTED_VALUE"""),"310🤙🏼The Third Man🤙🏼Mystery🤙🏼2")</f>
        <v>310🤙🏼The Third Man🤙🏼Mystery🤙🏼2</v>
      </c>
      <c r="K930" s="5">
        <f>IFERROR(__xludf.DUMMYFUNCTION("SPLiT(J930, ""🤙🏼"",FALSE,FALSE)"),310.0)</f>
        <v>310</v>
      </c>
      <c r="L930" s="5" t="str">
        <f>IFERROR(__xludf.DUMMYFUNCTION("""COMPUTED_VALUE"""),"The Third Man")</f>
        <v>The Third Man</v>
      </c>
      <c r="M930" s="5" t="str">
        <f>IFERROR(__xludf.DUMMYFUNCTION("""COMPUTED_VALUE"""),"Mystery")</f>
        <v>Mystery</v>
      </c>
      <c r="N930" s="5">
        <f>IFERROR(__xludf.DUMMYFUNCTION("""COMPUTED_VALUE"""),2.0)</f>
        <v>2</v>
      </c>
      <c r="S930" s="5">
        <f>IFERROR(__xludf.DUMMYFUNCTION("""COMPUTED_VALUE"""),369.0)</f>
        <v>369</v>
      </c>
      <c r="T930" s="5" t="str">
        <f>IFERROR(__xludf.DUMMYFUNCTION("""COMPUTED_VALUE"""),"Casino Royale")</f>
        <v>Casino Royale</v>
      </c>
      <c r="U930" s="5" t="str">
        <f>IFERROR(__xludf.DUMMYFUNCTION("""COMPUTED_VALUE"""),"Adventure")</f>
        <v>Adventure</v>
      </c>
      <c r="V930" s="5">
        <f>IFERROR(__xludf.DUMMYFUNCTION("""COMPUTED_VALUE"""),2.0)</f>
        <v>2</v>
      </c>
    </row>
    <row r="931">
      <c r="A931" s="1">
        <v>930.0</v>
      </c>
      <c r="B931" s="1" t="s">
        <v>5287</v>
      </c>
      <c r="C931" s="1" t="s">
        <v>1399</v>
      </c>
      <c r="D931" s="1"/>
      <c r="E931" s="1">
        <v>930.0</v>
      </c>
      <c r="F931" s="1" t="s">
        <v>5287</v>
      </c>
      <c r="G931" s="1" t="str">
        <f>IFERROR(__xludf.DUMMYFUNCTION("SPLIT(C931, "", "")"),"Drama")</f>
        <v>Drama</v>
      </c>
      <c r="H931" s="5" t="str">
        <f>IFERROR(__xludf.DUMMYFUNCTION("""COMPUTED_VALUE"""),"Romance")</f>
        <v>Romance</v>
      </c>
      <c r="I931" s="5" t="str">
        <f>IFERROR(__xludf.DUMMYFUNCTION("""COMPUTED_VALUE"""),"Thriller")</f>
        <v>Thriller</v>
      </c>
      <c r="J931" s="5" t="str">
        <f>IFERROR(__xludf.DUMMYFUNCTION("""COMPUTED_VALUE"""),"310🤙🏼The Third Man🤙🏼Thriller🤙🏼3")</f>
        <v>310🤙🏼The Third Man🤙🏼Thriller🤙🏼3</v>
      </c>
      <c r="K931" s="5">
        <f>IFERROR(__xludf.DUMMYFUNCTION("SPLiT(J931, ""🤙🏼"",FALSE,FALSE)"),310.0)</f>
        <v>310</v>
      </c>
      <c r="L931" s="5" t="str">
        <f>IFERROR(__xludf.DUMMYFUNCTION("""COMPUTED_VALUE"""),"The Third Man")</f>
        <v>The Third Man</v>
      </c>
      <c r="M931" s="5" t="str">
        <f>IFERROR(__xludf.DUMMYFUNCTION("""COMPUTED_VALUE"""),"Thriller")</f>
        <v>Thriller</v>
      </c>
      <c r="N931" s="5">
        <f>IFERROR(__xludf.DUMMYFUNCTION("""COMPUTED_VALUE"""),3.0)</f>
        <v>3</v>
      </c>
      <c r="S931" s="5">
        <f>IFERROR(__xludf.DUMMYFUNCTION("""COMPUTED_VALUE"""),369.0)</f>
        <v>369</v>
      </c>
      <c r="T931" s="5" t="str">
        <f>IFERROR(__xludf.DUMMYFUNCTION("""COMPUTED_VALUE"""),"Casino Royale")</f>
        <v>Casino Royale</v>
      </c>
      <c r="U931" s="5" t="str">
        <f>IFERROR(__xludf.DUMMYFUNCTION("""COMPUTED_VALUE"""),"Thriller")</f>
        <v>Thriller</v>
      </c>
      <c r="V931" s="5">
        <f>IFERROR(__xludf.DUMMYFUNCTION("""COMPUTED_VALUE"""),3.0)</f>
        <v>3</v>
      </c>
    </row>
    <row r="932">
      <c r="A932" s="1">
        <v>931.0</v>
      </c>
      <c r="B932" s="1" t="s">
        <v>5290</v>
      </c>
      <c r="C932" s="1" t="s">
        <v>254</v>
      </c>
      <c r="D932" s="1"/>
      <c r="E932" s="1">
        <v>931.0</v>
      </c>
      <c r="F932" s="1" t="s">
        <v>5290</v>
      </c>
      <c r="G932" s="1" t="str">
        <f>IFERROR(__xludf.DUMMYFUNCTION("SPLIT(C932, "", "")"),"Action")</f>
        <v>Action</v>
      </c>
      <c r="H932" s="5" t="str">
        <f>IFERROR(__xludf.DUMMYFUNCTION("""COMPUTED_VALUE"""),"Drama")</f>
        <v>Drama</v>
      </c>
      <c r="I932" s="5" t="str">
        <f>IFERROR(__xludf.DUMMYFUNCTION("""COMPUTED_VALUE"""),"Mystery")</f>
        <v>Mystery</v>
      </c>
      <c r="J932" s="5" t="str">
        <f>IFERROR(__xludf.DUMMYFUNCTION("""COMPUTED_VALUE"""),"311🤙🏼The Red Shoes🤙🏼Drama🤙🏼1")</f>
        <v>311🤙🏼The Red Shoes🤙🏼Drama🤙🏼1</v>
      </c>
      <c r="K932" s="5">
        <f>IFERROR(__xludf.DUMMYFUNCTION("SPLiT(J932, ""🤙🏼"",FALSE,FALSE)"),311.0)</f>
        <v>311</v>
      </c>
      <c r="L932" s="5" t="str">
        <f>IFERROR(__xludf.DUMMYFUNCTION("""COMPUTED_VALUE"""),"The Red Shoes")</f>
        <v>The Red Shoes</v>
      </c>
      <c r="M932" s="5" t="str">
        <f>IFERROR(__xludf.DUMMYFUNCTION("""COMPUTED_VALUE"""),"Drama")</f>
        <v>Drama</v>
      </c>
      <c r="N932" s="5">
        <f>IFERROR(__xludf.DUMMYFUNCTION("""COMPUTED_VALUE"""),1.0)</f>
        <v>1</v>
      </c>
      <c r="S932" s="5">
        <f>IFERROR(__xludf.DUMMYFUNCTION("""COMPUTED_VALUE"""),370.0)</f>
        <v>370</v>
      </c>
      <c r="T932" s="5" t="str">
        <f>IFERROR(__xludf.DUMMYFUNCTION("""COMPUTED_VALUE"""),"Kill Bill: Vol. 2")</f>
        <v>Kill Bill: Vol. 2</v>
      </c>
      <c r="U932" s="5" t="str">
        <f>IFERROR(__xludf.DUMMYFUNCTION("""COMPUTED_VALUE"""),"Action")</f>
        <v>Action</v>
      </c>
      <c r="V932" s="5">
        <f>IFERROR(__xludf.DUMMYFUNCTION("""COMPUTED_VALUE"""),1.0)</f>
        <v>1</v>
      </c>
    </row>
    <row r="933">
      <c r="A933" s="1">
        <v>932.0</v>
      </c>
      <c r="B933" s="1" t="s">
        <v>5296</v>
      </c>
      <c r="C933" s="1" t="s">
        <v>39</v>
      </c>
      <c r="D933" s="1"/>
      <c r="E933" s="1">
        <v>932.0</v>
      </c>
      <c r="F933" s="1" t="s">
        <v>5296</v>
      </c>
      <c r="G933" s="1" t="str">
        <f>IFERROR(__xludf.DUMMYFUNCTION("SPLIT(C933, "", "")"),"Action")</f>
        <v>Action</v>
      </c>
      <c r="H933" s="5" t="str">
        <f>IFERROR(__xludf.DUMMYFUNCTION("""COMPUTED_VALUE"""),"Crime")</f>
        <v>Crime</v>
      </c>
      <c r="I933" s="5" t="str">
        <f>IFERROR(__xludf.DUMMYFUNCTION("""COMPUTED_VALUE"""),"Drama")</f>
        <v>Drama</v>
      </c>
      <c r="J933" s="5" t="str">
        <f>IFERROR(__xludf.DUMMYFUNCTION("""COMPUTED_VALUE"""),"311🤙🏼The Red Shoes🤙🏼Music🤙🏼2")</f>
        <v>311🤙🏼The Red Shoes🤙🏼Music🤙🏼2</v>
      </c>
      <c r="K933" s="5">
        <f>IFERROR(__xludf.DUMMYFUNCTION("SPLiT(J933, ""🤙🏼"",FALSE,FALSE)"),311.0)</f>
        <v>311</v>
      </c>
      <c r="L933" s="5" t="str">
        <f>IFERROR(__xludf.DUMMYFUNCTION("""COMPUTED_VALUE"""),"The Red Shoes")</f>
        <v>The Red Shoes</v>
      </c>
      <c r="M933" s="5" t="str">
        <f>IFERROR(__xludf.DUMMYFUNCTION("""COMPUTED_VALUE"""),"Music")</f>
        <v>Music</v>
      </c>
      <c r="N933" s="5">
        <f>IFERROR(__xludf.DUMMYFUNCTION("""COMPUTED_VALUE"""),2.0)</f>
        <v>2</v>
      </c>
      <c r="S933" s="5">
        <f>IFERROR(__xludf.DUMMYFUNCTION("""COMPUTED_VALUE"""),370.0)</f>
        <v>370</v>
      </c>
      <c r="T933" s="5" t="str">
        <f>IFERROR(__xludf.DUMMYFUNCTION("""COMPUTED_VALUE"""),"Kill Bill: Vol. 2")</f>
        <v>Kill Bill: Vol. 2</v>
      </c>
      <c r="U933" s="5" t="str">
        <f>IFERROR(__xludf.DUMMYFUNCTION("""COMPUTED_VALUE"""),"Crime")</f>
        <v>Crime</v>
      </c>
      <c r="V933" s="5">
        <f>IFERROR(__xludf.DUMMYFUNCTION("""COMPUTED_VALUE"""),2.0)</f>
        <v>2</v>
      </c>
    </row>
    <row r="934">
      <c r="A934" s="1">
        <v>933.0</v>
      </c>
      <c r="B934" s="1" t="s">
        <v>5299</v>
      </c>
      <c r="C934" s="1" t="s">
        <v>397</v>
      </c>
      <c r="D934" s="1"/>
      <c r="E934" s="1">
        <v>933.0</v>
      </c>
      <c r="F934" s="1" t="s">
        <v>5299</v>
      </c>
      <c r="G934" s="1" t="str">
        <f>IFERROR(__xludf.DUMMYFUNCTION("SPLIT(C934, "", "")"),"Horror")</f>
        <v>Horror</v>
      </c>
      <c r="H934" s="5" t="str">
        <f>IFERROR(__xludf.DUMMYFUNCTION("""COMPUTED_VALUE"""),"Mystery")</f>
        <v>Mystery</v>
      </c>
      <c r="I934" s="5" t="str">
        <f>IFERROR(__xludf.DUMMYFUNCTION("""COMPUTED_VALUE"""),"Thriller")</f>
        <v>Thriller</v>
      </c>
      <c r="J934" s="5" t="str">
        <f>IFERROR(__xludf.DUMMYFUNCTION("""COMPUTED_VALUE"""),"311🤙🏼The Red Shoes🤙🏼Romance🤙🏼3")</f>
        <v>311🤙🏼The Red Shoes🤙🏼Romance🤙🏼3</v>
      </c>
      <c r="K934" s="5">
        <f>IFERROR(__xludf.DUMMYFUNCTION("SPLiT(J934, ""🤙🏼"",FALSE,FALSE)"),311.0)</f>
        <v>311</v>
      </c>
      <c r="L934" s="5" t="str">
        <f>IFERROR(__xludf.DUMMYFUNCTION("""COMPUTED_VALUE"""),"The Red Shoes")</f>
        <v>The Red Shoes</v>
      </c>
      <c r="M934" s="5" t="str">
        <f>IFERROR(__xludf.DUMMYFUNCTION("""COMPUTED_VALUE"""),"Romance")</f>
        <v>Romance</v>
      </c>
      <c r="N934" s="5">
        <f>IFERROR(__xludf.DUMMYFUNCTION("""COMPUTED_VALUE"""),3.0)</f>
        <v>3</v>
      </c>
      <c r="S934" s="5">
        <f>IFERROR(__xludf.DUMMYFUNCTION("""COMPUTED_VALUE"""),370.0)</f>
        <v>370</v>
      </c>
      <c r="T934" s="5" t="str">
        <f>IFERROR(__xludf.DUMMYFUNCTION("""COMPUTED_VALUE"""),"Kill Bill: Vol. 2")</f>
        <v>Kill Bill: Vol. 2</v>
      </c>
      <c r="U934" s="5" t="str">
        <f>IFERROR(__xludf.DUMMYFUNCTION("""COMPUTED_VALUE"""),"Thriller")</f>
        <v>Thriller</v>
      </c>
      <c r="V934" s="5">
        <f>IFERROR(__xludf.DUMMYFUNCTION("""COMPUTED_VALUE"""),3.0)</f>
        <v>3</v>
      </c>
    </row>
    <row r="935">
      <c r="A935" s="1">
        <v>934.0</v>
      </c>
      <c r="B935" s="1" t="s">
        <v>5304</v>
      </c>
      <c r="C935" s="1" t="s">
        <v>20</v>
      </c>
      <c r="D935" s="1"/>
      <c r="E935" s="1">
        <v>934.0</v>
      </c>
      <c r="F935" s="1" t="s">
        <v>5304</v>
      </c>
      <c r="G935" s="1" t="str">
        <f>IFERROR(__xludf.DUMMYFUNCTION("SPLIT(C935, "", "")"),"Drama")</f>
        <v>Drama</v>
      </c>
      <c r="J935" s="5" t="str">
        <f>IFERROR(__xludf.DUMMYFUNCTION("""COMPUTED_VALUE"""),"312🤙🏼The Shop Around the Corner🤙🏼Comedy🤙🏼1")</f>
        <v>312🤙🏼The Shop Around the Corner🤙🏼Comedy🤙🏼1</v>
      </c>
      <c r="K935" s="5">
        <f>IFERROR(__xludf.DUMMYFUNCTION("SPLiT(J935, ""🤙🏼"",FALSE,FALSE)"),312.0)</f>
        <v>312</v>
      </c>
      <c r="L935" s="5" t="str">
        <f>IFERROR(__xludf.DUMMYFUNCTION("""COMPUTED_VALUE"""),"The Shop Around the Corner")</f>
        <v>The Shop Around the Corner</v>
      </c>
      <c r="M935" s="5" t="str">
        <f>IFERROR(__xludf.DUMMYFUNCTION("""COMPUTED_VALUE"""),"Comedy")</f>
        <v>Comedy</v>
      </c>
      <c r="N935" s="5">
        <f>IFERROR(__xludf.DUMMYFUNCTION("""COMPUTED_VALUE"""),1.0)</f>
        <v>1</v>
      </c>
      <c r="S935" s="5">
        <f>IFERROR(__xludf.DUMMYFUNCTION("""COMPUTED_VALUE"""),371.0)</f>
        <v>371</v>
      </c>
      <c r="T935" s="5" t="str">
        <f>IFERROR(__xludf.DUMMYFUNCTION("""COMPUTED_VALUE"""),"Vozvrashchenie")</f>
        <v>Vozvrashchenie</v>
      </c>
      <c r="U935" s="5" t="str">
        <f>IFERROR(__xludf.DUMMYFUNCTION("""COMPUTED_VALUE"""),"Drama")</f>
        <v>Drama</v>
      </c>
      <c r="V935" s="5">
        <f>IFERROR(__xludf.DUMMYFUNCTION("""COMPUTED_VALUE"""),1.0)</f>
        <v>1</v>
      </c>
    </row>
    <row r="936">
      <c r="A936" s="1">
        <v>935.0</v>
      </c>
      <c r="B936" s="1" t="s">
        <v>5307</v>
      </c>
      <c r="C936" s="1" t="s">
        <v>20</v>
      </c>
      <c r="D936" s="1"/>
      <c r="E936" s="1">
        <v>935.0</v>
      </c>
      <c r="F936" s="1" t="s">
        <v>5307</v>
      </c>
      <c r="G936" s="1" t="str">
        <f>IFERROR(__xludf.DUMMYFUNCTION("SPLIT(C936, "", "")"),"Drama")</f>
        <v>Drama</v>
      </c>
      <c r="J936" s="5" t="str">
        <f>IFERROR(__xludf.DUMMYFUNCTION("""COMPUTED_VALUE"""),"312🤙🏼The Shop Around the Corner🤙🏼Drama🤙🏼2")</f>
        <v>312🤙🏼The Shop Around the Corner🤙🏼Drama🤙🏼2</v>
      </c>
      <c r="K936" s="5">
        <f>IFERROR(__xludf.DUMMYFUNCTION("SPLiT(J936, ""🤙🏼"",FALSE,FALSE)"),312.0)</f>
        <v>312</v>
      </c>
      <c r="L936" s="5" t="str">
        <f>IFERROR(__xludf.DUMMYFUNCTION("""COMPUTED_VALUE"""),"The Shop Around the Corner")</f>
        <v>The Shop Around the Corner</v>
      </c>
      <c r="M936" s="5" t="str">
        <f>IFERROR(__xludf.DUMMYFUNCTION("""COMPUTED_VALUE"""),"Drama")</f>
        <v>Drama</v>
      </c>
      <c r="N936" s="5">
        <f>IFERROR(__xludf.DUMMYFUNCTION("""COMPUTED_VALUE"""),2.0)</f>
        <v>2</v>
      </c>
      <c r="S936" s="5">
        <f>IFERROR(__xludf.DUMMYFUNCTION("""COMPUTED_VALUE"""),372.0)</f>
        <v>372</v>
      </c>
      <c r="T936" s="5" t="str">
        <f>IFERROR(__xludf.DUMMYFUNCTION("""COMPUTED_VALUE"""),"Bom Yeoareum Gaeul Gyeoul Geurigo Bom")</f>
        <v>Bom Yeoareum Gaeul Gyeoul Geurigo Bom</v>
      </c>
      <c r="U936" s="5" t="str">
        <f>IFERROR(__xludf.DUMMYFUNCTION("""COMPUTED_VALUE"""),"Drama")</f>
        <v>Drama</v>
      </c>
      <c r="V936" s="5">
        <f>IFERROR(__xludf.DUMMYFUNCTION("""COMPUTED_VALUE"""),1.0)</f>
        <v>1</v>
      </c>
    </row>
    <row r="937">
      <c r="A937" s="1">
        <v>936.0</v>
      </c>
      <c r="B937" s="1" t="s">
        <v>5313</v>
      </c>
      <c r="C937" s="1" t="s">
        <v>227</v>
      </c>
      <c r="D937" s="1"/>
      <c r="E937" s="1">
        <v>936.0</v>
      </c>
      <c r="F937" s="1" t="s">
        <v>5313</v>
      </c>
      <c r="G937" s="1" t="str">
        <f>IFERROR(__xludf.DUMMYFUNCTION("SPLIT(C937, "", "")"),"Comedy")</f>
        <v>Comedy</v>
      </c>
      <c r="H937" s="5" t="str">
        <f>IFERROR(__xludf.DUMMYFUNCTION("""COMPUTED_VALUE"""),"Drama")</f>
        <v>Drama</v>
      </c>
      <c r="I937" s="5" t="str">
        <f>IFERROR(__xludf.DUMMYFUNCTION("""COMPUTED_VALUE"""),"Romance")</f>
        <v>Romance</v>
      </c>
      <c r="J937" s="5" t="str">
        <f>IFERROR(__xludf.DUMMYFUNCTION("""COMPUTED_VALUE"""),"312🤙🏼The Shop Around the Corner🤙🏼Romance🤙🏼3")</f>
        <v>312🤙🏼The Shop Around the Corner🤙🏼Romance🤙🏼3</v>
      </c>
      <c r="K937" s="5">
        <f>IFERROR(__xludf.DUMMYFUNCTION("SPLiT(J937, ""🤙🏼"",FALSE,FALSE)"),312.0)</f>
        <v>312</v>
      </c>
      <c r="L937" s="5" t="str">
        <f>IFERROR(__xludf.DUMMYFUNCTION("""COMPUTED_VALUE"""),"The Shop Around the Corner")</f>
        <v>The Shop Around the Corner</v>
      </c>
      <c r="M937" s="5" t="str">
        <f>IFERROR(__xludf.DUMMYFUNCTION("""COMPUTED_VALUE"""),"Romance")</f>
        <v>Romance</v>
      </c>
      <c r="N937" s="5">
        <f>IFERROR(__xludf.DUMMYFUNCTION("""COMPUTED_VALUE"""),3.0)</f>
        <v>3</v>
      </c>
      <c r="S937" s="5">
        <f>IFERROR(__xludf.DUMMYFUNCTION("""COMPUTED_VALUE"""),372.0)</f>
        <v>372</v>
      </c>
      <c r="T937" s="5" t="str">
        <f>IFERROR(__xludf.DUMMYFUNCTION("""COMPUTED_VALUE"""),"Bom Yeoareum Gaeul Gyeoul Geurigo Bom")</f>
        <v>Bom Yeoareum Gaeul Gyeoul Geurigo Bom</v>
      </c>
      <c r="U937" s="5" t="str">
        <f>IFERROR(__xludf.DUMMYFUNCTION("""COMPUTED_VALUE"""),"Romance")</f>
        <v>Romance</v>
      </c>
      <c r="V937" s="5">
        <f>IFERROR(__xludf.DUMMYFUNCTION("""COMPUTED_VALUE"""),2.0)</f>
        <v>2</v>
      </c>
    </row>
    <row r="938">
      <c r="A938" s="1">
        <v>937.0</v>
      </c>
      <c r="B938" s="1" t="s">
        <v>5318</v>
      </c>
      <c r="C938" s="1" t="s">
        <v>1051</v>
      </c>
      <c r="D938" s="1"/>
      <c r="E938" s="1">
        <v>937.0</v>
      </c>
      <c r="F938" s="1" t="s">
        <v>5318</v>
      </c>
      <c r="G938" s="1" t="str">
        <f>IFERROR(__xludf.DUMMYFUNCTION("SPLIT(C938, "", "")"),"Drama")</f>
        <v>Drama</v>
      </c>
      <c r="H938" s="5" t="str">
        <f>IFERROR(__xludf.DUMMYFUNCTION("""COMPUTED_VALUE"""),"Mystery")</f>
        <v>Mystery</v>
      </c>
      <c r="I938" s="5" t="str">
        <f>IFERROR(__xludf.DUMMYFUNCTION("""COMPUTED_VALUE"""),"Romance")</f>
        <v>Romance</v>
      </c>
      <c r="J938" s="5" t="str">
        <f>IFERROR(__xludf.DUMMYFUNCTION("""COMPUTED_VALUE"""),"313🤙🏼Rebecca🤙🏼Drama🤙🏼1")</f>
        <v>313🤙🏼Rebecca🤙🏼Drama🤙🏼1</v>
      </c>
      <c r="K938" s="5">
        <f>IFERROR(__xludf.DUMMYFUNCTION("SPLiT(J938, ""🤙🏼"",FALSE,FALSE)"),313.0)</f>
        <v>313</v>
      </c>
      <c r="L938" s="5" t="str">
        <f>IFERROR(__xludf.DUMMYFUNCTION("""COMPUTED_VALUE"""),"Rebecca")</f>
        <v>Rebecca</v>
      </c>
      <c r="M938" s="5" t="str">
        <f>IFERROR(__xludf.DUMMYFUNCTION("""COMPUTED_VALUE"""),"Drama")</f>
        <v>Drama</v>
      </c>
      <c r="N938" s="5">
        <f>IFERROR(__xludf.DUMMYFUNCTION("""COMPUTED_VALUE"""),1.0)</f>
        <v>1</v>
      </c>
      <c r="S938" s="5">
        <f>IFERROR(__xludf.DUMMYFUNCTION("""COMPUTED_VALUE"""),373.0)</f>
        <v>373</v>
      </c>
      <c r="T938" s="5" t="str">
        <f>IFERROR(__xludf.DUMMYFUNCTION("""COMPUTED_VALUE"""),"Mar adentro")</f>
        <v>Mar adentro</v>
      </c>
      <c r="U938" s="5" t="str">
        <f>IFERROR(__xludf.DUMMYFUNCTION("""COMPUTED_VALUE"""),"Biography")</f>
        <v>Biography</v>
      </c>
      <c r="V938" s="5">
        <f>IFERROR(__xludf.DUMMYFUNCTION("""COMPUTED_VALUE"""),1.0)</f>
        <v>1</v>
      </c>
    </row>
    <row r="939">
      <c r="A939" s="1">
        <v>938.0</v>
      </c>
      <c r="B939" s="1" t="s">
        <v>5322</v>
      </c>
      <c r="C939" s="1" t="s">
        <v>507</v>
      </c>
      <c r="D939" s="1"/>
      <c r="E939" s="1">
        <v>938.0</v>
      </c>
      <c r="F939" s="1" t="s">
        <v>5322</v>
      </c>
      <c r="G939" s="1" t="str">
        <f>IFERROR(__xludf.DUMMYFUNCTION("SPLIT(C939, "", "")"),"Comedy")</f>
        <v>Comedy</v>
      </c>
      <c r="H939" s="5" t="str">
        <f>IFERROR(__xludf.DUMMYFUNCTION("""COMPUTED_VALUE"""),"Drama")</f>
        <v>Drama</v>
      </c>
      <c r="J939" s="5" t="str">
        <f>IFERROR(__xludf.DUMMYFUNCTION("""COMPUTED_VALUE"""),"313🤙🏼Rebecca🤙🏼Mystery🤙🏼2")</f>
        <v>313🤙🏼Rebecca🤙🏼Mystery🤙🏼2</v>
      </c>
      <c r="K939" s="5">
        <f>IFERROR(__xludf.DUMMYFUNCTION("SPLiT(J939, ""🤙🏼"",FALSE,FALSE)"),313.0)</f>
        <v>313</v>
      </c>
      <c r="L939" s="5" t="str">
        <f>IFERROR(__xludf.DUMMYFUNCTION("""COMPUTED_VALUE"""),"Rebecca")</f>
        <v>Rebecca</v>
      </c>
      <c r="M939" s="5" t="str">
        <f>IFERROR(__xludf.DUMMYFUNCTION("""COMPUTED_VALUE"""),"Mystery")</f>
        <v>Mystery</v>
      </c>
      <c r="N939" s="5">
        <f>IFERROR(__xludf.DUMMYFUNCTION("""COMPUTED_VALUE"""),2.0)</f>
        <v>2</v>
      </c>
      <c r="S939" s="5">
        <f>IFERROR(__xludf.DUMMYFUNCTION("""COMPUTED_VALUE"""),373.0)</f>
        <v>373</v>
      </c>
      <c r="T939" s="5" t="str">
        <f>IFERROR(__xludf.DUMMYFUNCTION("""COMPUTED_VALUE"""),"Mar adentro")</f>
        <v>Mar adentro</v>
      </c>
      <c r="U939" s="5" t="str">
        <f>IFERROR(__xludf.DUMMYFUNCTION("""COMPUTED_VALUE"""),"Drama")</f>
        <v>Drama</v>
      </c>
      <c r="V939" s="5">
        <f>IFERROR(__xludf.DUMMYFUNCTION("""COMPUTED_VALUE"""),2.0)</f>
        <v>2</v>
      </c>
    </row>
    <row r="940">
      <c r="A940" s="1">
        <v>939.0</v>
      </c>
      <c r="B940" s="1" t="s">
        <v>5328</v>
      </c>
      <c r="C940" s="1" t="s">
        <v>241</v>
      </c>
      <c r="D940" s="1"/>
      <c r="E940" s="1">
        <v>939.0</v>
      </c>
      <c r="F940" s="1" t="s">
        <v>5328</v>
      </c>
      <c r="G940" s="1" t="str">
        <f>IFERROR(__xludf.DUMMYFUNCTION("SPLIT(C940, "", "")"),"Crime")</f>
        <v>Crime</v>
      </c>
      <c r="H940" s="5" t="str">
        <f>IFERROR(__xludf.DUMMYFUNCTION("""COMPUTED_VALUE"""),"Drama")</f>
        <v>Drama</v>
      </c>
      <c r="I940" s="5" t="str">
        <f>IFERROR(__xludf.DUMMYFUNCTION("""COMPUTED_VALUE"""),"Thriller")</f>
        <v>Thriller</v>
      </c>
      <c r="J940" s="5" t="str">
        <f>IFERROR(__xludf.DUMMYFUNCTION("""COMPUTED_VALUE"""),"313🤙🏼Rebecca🤙🏼Romance🤙🏼3")</f>
        <v>313🤙🏼Rebecca🤙🏼Romance🤙🏼3</v>
      </c>
      <c r="K940" s="5">
        <f>IFERROR(__xludf.DUMMYFUNCTION("SPLiT(J940, ""🤙🏼"",FALSE,FALSE)"),313.0)</f>
        <v>313</v>
      </c>
      <c r="L940" s="5" t="str">
        <f>IFERROR(__xludf.DUMMYFUNCTION("""COMPUTED_VALUE"""),"Rebecca")</f>
        <v>Rebecca</v>
      </c>
      <c r="M940" s="5" t="str">
        <f>IFERROR(__xludf.DUMMYFUNCTION("""COMPUTED_VALUE"""),"Romance")</f>
        <v>Romance</v>
      </c>
      <c r="N940" s="5">
        <f>IFERROR(__xludf.DUMMYFUNCTION("""COMPUTED_VALUE"""),3.0)</f>
        <v>3</v>
      </c>
      <c r="S940" s="5">
        <f>IFERROR(__xludf.DUMMYFUNCTION("""COMPUTED_VALUE"""),374.0)</f>
        <v>374</v>
      </c>
      <c r="T940" s="5" t="str">
        <f>IFERROR(__xludf.DUMMYFUNCTION("""COMPUTED_VALUE"""),"Cinderella Man")</f>
        <v>Cinderella Man</v>
      </c>
      <c r="U940" s="5" t="str">
        <f>IFERROR(__xludf.DUMMYFUNCTION("""COMPUTED_VALUE"""),"Biography")</f>
        <v>Biography</v>
      </c>
      <c r="V940" s="5">
        <f>IFERROR(__xludf.DUMMYFUNCTION("""COMPUTED_VALUE"""),1.0)</f>
        <v>1</v>
      </c>
    </row>
    <row r="941">
      <c r="A941" s="1">
        <v>940.0</v>
      </c>
      <c r="B941" s="1" t="s">
        <v>5331</v>
      </c>
      <c r="C941" s="1" t="s">
        <v>241</v>
      </c>
      <c r="D941" s="1"/>
      <c r="E941" s="1">
        <v>940.0</v>
      </c>
      <c r="F941" s="1" t="s">
        <v>5331</v>
      </c>
      <c r="G941" s="1" t="str">
        <f>IFERROR(__xludf.DUMMYFUNCTION("SPLIT(C941, "", "")"),"Crime")</f>
        <v>Crime</v>
      </c>
      <c r="H941" s="5" t="str">
        <f>IFERROR(__xludf.DUMMYFUNCTION("""COMPUTED_VALUE"""),"Drama")</f>
        <v>Drama</v>
      </c>
      <c r="I941" s="5" t="str">
        <f>IFERROR(__xludf.DUMMYFUNCTION("""COMPUTED_VALUE"""),"Thriller")</f>
        <v>Thriller</v>
      </c>
      <c r="J941" s="5" t="str">
        <f>IFERROR(__xludf.DUMMYFUNCTION("""COMPUTED_VALUE"""),"314🤙🏼Mr. Smith Goes to Washington🤙🏼Comedy🤙🏼1")</f>
        <v>314🤙🏼Mr. Smith Goes to Washington🤙🏼Comedy🤙🏼1</v>
      </c>
      <c r="K941" s="5">
        <f>IFERROR(__xludf.DUMMYFUNCTION("SPLiT(J941, ""🤙🏼"",FALSE,FALSE)"),314.0)</f>
        <v>314</v>
      </c>
      <c r="L941" s="5" t="str">
        <f>IFERROR(__xludf.DUMMYFUNCTION("""COMPUTED_VALUE"""),"Mr. Smith Goes to Washington")</f>
        <v>Mr. Smith Goes to Washington</v>
      </c>
      <c r="M941" s="5" t="str">
        <f>IFERROR(__xludf.DUMMYFUNCTION("""COMPUTED_VALUE"""),"Comedy")</f>
        <v>Comedy</v>
      </c>
      <c r="N941" s="5">
        <f>IFERROR(__xludf.DUMMYFUNCTION("""COMPUTED_VALUE"""),1.0)</f>
        <v>1</v>
      </c>
      <c r="S941" s="5">
        <f>IFERROR(__xludf.DUMMYFUNCTION("""COMPUTED_VALUE"""),374.0)</f>
        <v>374</v>
      </c>
      <c r="T941" s="5" t="str">
        <f>IFERROR(__xludf.DUMMYFUNCTION("""COMPUTED_VALUE"""),"Cinderella Man")</f>
        <v>Cinderella Man</v>
      </c>
      <c r="U941" s="5" t="str">
        <f>IFERROR(__xludf.DUMMYFUNCTION("""COMPUTED_VALUE"""),"Drama")</f>
        <v>Drama</v>
      </c>
      <c r="V941" s="5">
        <f>IFERROR(__xludf.DUMMYFUNCTION("""COMPUTED_VALUE"""),2.0)</f>
        <v>2</v>
      </c>
    </row>
    <row r="942">
      <c r="A942" s="1">
        <v>941.0</v>
      </c>
      <c r="B942" s="1" t="s">
        <v>5336</v>
      </c>
      <c r="C942" s="1" t="s">
        <v>1580</v>
      </c>
      <c r="D942" s="1"/>
      <c r="E942" s="1">
        <v>941.0</v>
      </c>
      <c r="F942" s="1" t="s">
        <v>5336</v>
      </c>
      <c r="G942" s="1" t="str">
        <f>IFERROR(__xludf.DUMMYFUNCTION("SPLIT(C942, "", "")"),"Biography")</f>
        <v>Biography</v>
      </c>
      <c r="H942" s="5" t="str">
        <f>IFERROR(__xludf.DUMMYFUNCTION("""COMPUTED_VALUE"""),"Drama")</f>
        <v>Drama</v>
      </c>
      <c r="I942" s="5" t="str">
        <f>IFERROR(__xludf.DUMMYFUNCTION("""COMPUTED_VALUE"""),"Family")</f>
        <v>Family</v>
      </c>
      <c r="J942" s="5" t="str">
        <f>IFERROR(__xludf.DUMMYFUNCTION("""COMPUTED_VALUE"""),"314🤙🏼Mr. Smith Goes to Washington🤙🏼Drama🤙🏼2")</f>
        <v>314🤙🏼Mr. Smith Goes to Washington🤙🏼Drama🤙🏼2</v>
      </c>
      <c r="K942" s="5">
        <f>IFERROR(__xludf.DUMMYFUNCTION("SPLiT(J942, ""🤙🏼"",FALSE,FALSE)"),314.0)</f>
        <v>314</v>
      </c>
      <c r="L942" s="5" t="str">
        <f>IFERROR(__xludf.DUMMYFUNCTION("""COMPUTED_VALUE"""),"Mr. Smith Goes to Washington")</f>
        <v>Mr. Smith Goes to Washington</v>
      </c>
      <c r="M942" s="5" t="str">
        <f>IFERROR(__xludf.DUMMYFUNCTION("""COMPUTED_VALUE"""),"Drama")</f>
        <v>Drama</v>
      </c>
      <c r="N942" s="5">
        <f>IFERROR(__xludf.DUMMYFUNCTION("""COMPUTED_VALUE"""),2.0)</f>
        <v>2</v>
      </c>
      <c r="S942" s="5">
        <f>IFERROR(__xludf.DUMMYFUNCTION("""COMPUTED_VALUE"""),374.0)</f>
        <v>374</v>
      </c>
      <c r="T942" s="5" t="str">
        <f>IFERROR(__xludf.DUMMYFUNCTION("""COMPUTED_VALUE"""),"Cinderella Man")</f>
        <v>Cinderella Man</v>
      </c>
      <c r="U942" s="5" t="str">
        <f>IFERROR(__xludf.DUMMYFUNCTION("""COMPUTED_VALUE"""),"History")</f>
        <v>History</v>
      </c>
      <c r="V942" s="5">
        <f>IFERROR(__xludf.DUMMYFUNCTION("""COMPUTED_VALUE"""),3.0)</f>
        <v>3</v>
      </c>
    </row>
    <row r="943">
      <c r="A943" s="1">
        <v>942.0</v>
      </c>
      <c r="B943" s="1" t="s">
        <v>5339</v>
      </c>
      <c r="C943" s="1" t="s">
        <v>20</v>
      </c>
      <c r="D943" s="1"/>
      <c r="E943" s="1">
        <v>942.0</v>
      </c>
      <c r="F943" s="1" t="s">
        <v>5339</v>
      </c>
      <c r="G943" s="1" t="str">
        <f>IFERROR(__xludf.DUMMYFUNCTION("SPLIT(C943, "", "")"),"Drama")</f>
        <v>Drama</v>
      </c>
      <c r="J943" s="5" t="str">
        <f>IFERROR(__xludf.DUMMYFUNCTION("""COMPUTED_VALUE"""),"314🤙🏼Mr. Smith Goes to Washington🤙🏼🤙🏼3")</f>
        <v>314🤙🏼Mr. Smith Goes to Washington🤙🏼🤙🏼3</v>
      </c>
      <c r="K943" s="5">
        <f>IFERROR(__xludf.DUMMYFUNCTION("SPLiT(J943, ""🤙🏼"",FALSE,FALSE)"),314.0)</f>
        <v>314</v>
      </c>
      <c r="L943" s="5" t="str">
        <f>IFERROR(__xludf.DUMMYFUNCTION("""COMPUTED_VALUE"""),"Mr. Smith Goes to Washington")</f>
        <v>Mr. Smith Goes to Washington</v>
      </c>
      <c r="M943" s="5"/>
      <c r="N943" s="5">
        <f>IFERROR(__xludf.DUMMYFUNCTION("""COMPUTED_VALUE"""),3.0)</f>
        <v>3</v>
      </c>
      <c r="S943" s="5">
        <f>IFERROR(__xludf.DUMMYFUNCTION("""COMPUTED_VALUE"""),375.0)</f>
        <v>375</v>
      </c>
      <c r="T943" s="5" t="str">
        <f>IFERROR(__xludf.DUMMYFUNCTION("""COMPUTED_VALUE"""),"Kal Ho Naa Ho")</f>
        <v>Kal Ho Naa Ho</v>
      </c>
      <c r="U943" s="5" t="str">
        <f>IFERROR(__xludf.DUMMYFUNCTION("""COMPUTED_VALUE"""),"Comedy")</f>
        <v>Comedy</v>
      </c>
      <c r="V943" s="5">
        <f>IFERROR(__xludf.DUMMYFUNCTION("""COMPUTED_VALUE"""),1.0)</f>
        <v>1</v>
      </c>
    </row>
    <row r="944">
      <c r="A944" s="1">
        <v>943.0</v>
      </c>
      <c r="B944" s="1" t="s">
        <v>5342</v>
      </c>
      <c r="C944" s="1" t="s">
        <v>3959</v>
      </c>
      <c r="D944" s="1"/>
      <c r="E944" s="1">
        <v>943.0</v>
      </c>
      <c r="F944" s="1" t="s">
        <v>5342</v>
      </c>
      <c r="G944" s="1" t="str">
        <f>IFERROR(__xludf.DUMMYFUNCTION("SPLIT(C944, "", "")"),"Drama")</f>
        <v>Drama</v>
      </c>
      <c r="H944" s="5" t="str">
        <f>IFERROR(__xludf.DUMMYFUNCTION("""COMPUTED_VALUE"""),"Sci-Fi")</f>
        <v>Sci-Fi</v>
      </c>
      <c r="I944" s="5" t="str">
        <f>IFERROR(__xludf.DUMMYFUNCTION("""COMPUTED_VALUE"""),"Thriller")</f>
        <v>Thriller</v>
      </c>
      <c r="J944" s="5" t="str">
        <f>IFERROR(__xludf.DUMMYFUNCTION("""COMPUTED_VALUE"""),"315🤙🏼Gone with the Wind🤙🏼Drama🤙🏼1")</f>
        <v>315🤙🏼Gone with the Wind🤙🏼Drama🤙🏼1</v>
      </c>
      <c r="K944" s="5">
        <f>IFERROR(__xludf.DUMMYFUNCTION("SPLiT(J944, ""🤙🏼"",FALSE,FALSE)"),315.0)</f>
        <v>315</v>
      </c>
      <c r="L944" s="5" t="str">
        <f>IFERROR(__xludf.DUMMYFUNCTION("""COMPUTED_VALUE"""),"Gone with the Wind")</f>
        <v>Gone with the Wind</v>
      </c>
      <c r="M944" s="5" t="str">
        <f>IFERROR(__xludf.DUMMYFUNCTION("""COMPUTED_VALUE"""),"Drama")</f>
        <v>Drama</v>
      </c>
      <c r="N944" s="5">
        <f>IFERROR(__xludf.DUMMYFUNCTION("""COMPUTED_VALUE"""),1.0)</f>
        <v>1</v>
      </c>
      <c r="S944" s="5">
        <f>IFERROR(__xludf.DUMMYFUNCTION("""COMPUTED_VALUE"""),375.0)</f>
        <v>375</v>
      </c>
      <c r="T944" s="5" t="str">
        <f>IFERROR(__xludf.DUMMYFUNCTION("""COMPUTED_VALUE"""),"Kal Ho Naa Ho")</f>
        <v>Kal Ho Naa Ho</v>
      </c>
      <c r="U944" s="5" t="str">
        <f>IFERROR(__xludf.DUMMYFUNCTION("""COMPUTED_VALUE"""),"Drama")</f>
        <v>Drama</v>
      </c>
      <c r="V944" s="5">
        <f>IFERROR(__xludf.DUMMYFUNCTION("""COMPUTED_VALUE"""),2.0)</f>
        <v>2</v>
      </c>
    </row>
    <row r="945">
      <c r="A945" s="1">
        <v>944.0</v>
      </c>
      <c r="B945" s="1" t="s">
        <v>5349</v>
      </c>
      <c r="C945" s="1" t="s">
        <v>4275</v>
      </c>
      <c r="D945" s="1"/>
      <c r="E945" s="1">
        <v>944.0</v>
      </c>
      <c r="F945" s="1" t="s">
        <v>5349</v>
      </c>
      <c r="G945" s="1" t="str">
        <f>IFERROR(__xludf.DUMMYFUNCTION("SPLIT(C945, "", "")"),"Drama")</f>
        <v>Drama</v>
      </c>
      <c r="H945" s="5" t="str">
        <f>IFERROR(__xludf.DUMMYFUNCTION("""COMPUTED_VALUE"""),"Horror")</f>
        <v>Horror</v>
      </c>
      <c r="I945" s="5" t="str">
        <f>IFERROR(__xludf.DUMMYFUNCTION("""COMPUTED_VALUE"""),"Sci-Fi")</f>
        <v>Sci-Fi</v>
      </c>
      <c r="J945" s="5" t="str">
        <f>IFERROR(__xludf.DUMMYFUNCTION("""COMPUTED_VALUE"""),"315🤙🏼Gone with the Wind🤙🏼History🤙🏼2")</f>
        <v>315🤙🏼Gone with the Wind🤙🏼History🤙🏼2</v>
      </c>
      <c r="K945" s="5">
        <f>IFERROR(__xludf.DUMMYFUNCTION("SPLiT(J945, ""🤙🏼"",FALSE,FALSE)"),315.0)</f>
        <v>315</v>
      </c>
      <c r="L945" s="5" t="str">
        <f>IFERROR(__xludf.DUMMYFUNCTION("""COMPUTED_VALUE"""),"Gone with the Wind")</f>
        <v>Gone with the Wind</v>
      </c>
      <c r="M945" s="5" t="str">
        <f>IFERROR(__xludf.DUMMYFUNCTION("""COMPUTED_VALUE"""),"History")</f>
        <v>History</v>
      </c>
      <c r="N945" s="5">
        <f>IFERROR(__xludf.DUMMYFUNCTION("""COMPUTED_VALUE"""),2.0)</f>
        <v>2</v>
      </c>
      <c r="S945" s="5">
        <f>IFERROR(__xludf.DUMMYFUNCTION("""COMPUTED_VALUE"""),375.0)</f>
        <v>375</v>
      </c>
      <c r="T945" s="5" t="str">
        <f>IFERROR(__xludf.DUMMYFUNCTION("""COMPUTED_VALUE"""),"Kal Ho Naa Ho")</f>
        <v>Kal Ho Naa Ho</v>
      </c>
      <c r="U945" s="5" t="str">
        <f>IFERROR(__xludf.DUMMYFUNCTION("""COMPUTED_VALUE"""),"Musical")</f>
        <v>Musical</v>
      </c>
      <c r="V945" s="5">
        <f>IFERROR(__xludf.DUMMYFUNCTION("""COMPUTED_VALUE"""),3.0)</f>
        <v>3</v>
      </c>
    </row>
    <row r="946">
      <c r="A946" s="1">
        <v>945.0</v>
      </c>
      <c r="B946" s="1" t="s">
        <v>5354</v>
      </c>
      <c r="C946" s="1" t="s">
        <v>62</v>
      </c>
      <c r="D946" s="1"/>
      <c r="E946" s="1">
        <v>945.0</v>
      </c>
      <c r="F946" s="1" t="s">
        <v>5354</v>
      </c>
      <c r="G946" s="1" t="str">
        <f>IFERROR(__xludf.DUMMYFUNCTION("SPLIT(C946, "", "")"),"Action")</f>
        <v>Action</v>
      </c>
      <c r="H946" s="5" t="str">
        <f>IFERROR(__xludf.DUMMYFUNCTION("""COMPUTED_VALUE"""),"Adventure")</f>
        <v>Adventure</v>
      </c>
      <c r="I946" s="5" t="str">
        <f>IFERROR(__xludf.DUMMYFUNCTION("""COMPUTED_VALUE"""),"Drama")</f>
        <v>Drama</v>
      </c>
      <c r="J946" s="5" t="str">
        <f>IFERROR(__xludf.DUMMYFUNCTION("""COMPUTED_VALUE"""),"315🤙🏼Gone with the Wind🤙🏼Romance🤙🏼3")</f>
        <v>315🤙🏼Gone with the Wind🤙🏼Romance🤙🏼3</v>
      </c>
      <c r="K946" s="5">
        <f>IFERROR(__xludf.DUMMYFUNCTION("SPLiT(J946, ""🤙🏼"",FALSE,FALSE)"),315.0)</f>
        <v>315</v>
      </c>
      <c r="L946" s="5" t="str">
        <f>IFERROR(__xludf.DUMMYFUNCTION("""COMPUTED_VALUE"""),"Gone with the Wind")</f>
        <v>Gone with the Wind</v>
      </c>
      <c r="M946" s="5" t="str">
        <f>IFERROR(__xludf.DUMMYFUNCTION("""COMPUTED_VALUE"""),"Romance")</f>
        <v>Romance</v>
      </c>
      <c r="N946" s="5">
        <f>IFERROR(__xludf.DUMMYFUNCTION("""COMPUTED_VALUE"""),3.0)</f>
        <v>3</v>
      </c>
      <c r="S946" s="5">
        <f>IFERROR(__xludf.DUMMYFUNCTION("""COMPUTED_VALUE"""),376.0)</f>
        <v>376</v>
      </c>
      <c r="T946" s="5" t="str">
        <f>IFERROR(__xludf.DUMMYFUNCTION("""COMPUTED_VALUE"""),"Mou gaan dou")</f>
        <v>Mou gaan dou</v>
      </c>
      <c r="U946" s="5" t="str">
        <f>IFERROR(__xludf.DUMMYFUNCTION("""COMPUTED_VALUE"""),"Action")</f>
        <v>Action</v>
      </c>
      <c r="V946" s="5">
        <f>IFERROR(__xludf.DUMMYFUNCTION("""COMPUTED_VALUE"""),1.0)</f>
        <v>1</v>
      </c>
    </row>
    <row r="947">
      <c r="A947" s="1">
        <v>946.0</v>
      </c>
      <c r="B947" s="1" t="s">
        <v>5359</v>
      </c>
      <c r="C947" s="1" t="s">
        <v>507</v>
      </c>
      <c r="D947" s="1"/>
      <c r="E947" s="1">
        <v>946.0</v>
      </c>
      <c r="F947" s="1" t="s">
        <v>5359</v>
      </c>
      <c r="G947" s="1" t="str">
        <f>IFERROR(__xludf.DUMMYFUNCTION("SPLIT(C947, "", "")"),"Comedy")</f>
        <v>Comedy</v>
      </c>
      <c r="H947" s="5" t="str">
        <f>IFERROR(__xludf.DUMMYFUNCTION("""COMPUTED_VALUE"""),"Drama")</f>
        <v>Drama</v>
      </c>
      <c r="J947" s="5" t="str">
        <f>IFERROR(__xludf.DUMMYFUNCTION("""COMPUTED_VALUE"""),"316🤙🏼La Grande Illusion🤙🏼Drama🤙🏼1")</f>
        <v>316🤙🏼La Grande Illusion🤙🏼Drama🤙🏼1</v>
      </c>
      <c r="K947" s="5">
        <f>IFERROR(__xludf.DUMMYFUNCTION("SPLiT(J947, ""🤙🏼"",FALSE,FALSE)"),316.0)</f>
        <v>316</v>
      </c>
      <c r="L947" s="5" t="str">
        <f>IFERROR(__xludf.DUMMYFUNCTION("""COMPUTED_VALUE"""),"La Grande Illusion")</f>
        <v>La Grande Illusion</v>
      </c>
      <c r="M947" s="5" t="str">
        <f>IFERROR(__xludf.DUMMYFUNCTION("""COMPUTED_VALUE"""),"Drama")</f>
        <v>Drama</v>
      </c>
      <c r="N947" s="5">
        <f>IFERROR(__xludf.DUMMYFUNCTION("""COMPUTED_VALUE"""),1.0)</f>
        <v>1</v>
      </c>
      <c r="S947" s="5">
        <f>IFERROR(__xludf.DUMMYFUNCTION("""COMPUTED_VALUE"""),376.0)</f>
        <v>376</v>
      </c>
      <c r="T947" s="5" t="str">
        <f>IFERROR(__xludf.DUMMYFUNCTION("""COMPUTED_VALUE"""),"Mou gaan dou")</f>
        <v>Mou gaan dou</v>
      </c>
      <c r="U947" s="5" t="str">
        <f>IFERROR(__xludf.DUMMYFUNCTION("""COMPUTED_VALUE"""),"Crime")</f>
        <v>Crime</v>
      </c>
      <c r="V947" s="5">
        <f>IFERROR(__xludf.DUMMYFUNCTION("""COMPUTED_VALUE"""),2.0)</f>
        <v>2</v>
      </c>
    </row>
    <row r="948">
      <c r="A948" s="1">
        <v>947.0</v>
      </c>
      <c r="B948" s="1" t="s">
        <v>5363</v>
      </c>
      <c r="C948" s="1" t="s">
        <v>20</v>
      </c>
      <c r="D948" s="1"/>
      <c r="E948" s="1">
        <v>947.0</v>
      </c>
      <c r="F948" s="1" t="s">
        <v>5363</v>
      </c>
      <c r="G948" s="1" t="str">
        <f>IFERROR(__xludf.DUMMYFUNCTION("SPLIT(C948, "", "")"),"Drama")</f>
        <v>Drama</v>
      </c>
      <c r="J948" s="5" t="str">
        <f>IFERROR(__xludf.DUMMYFUNCTION("""COMPUTED_VALUE"""),"316🤙🏼La Grande Illusion🤙🏼War🤙🏼2")</f>
        <v>316🤙🏼La Grande Illusion🤙🏼War🤙🏼2</v>
      </c>
      <c r="K948" s="5">
        <f>IFERROR(__xludf.DUMMYFUNCTION("SPLiT(J948, ""🤙🏼"",FALSE,FALSE)"),316.0)</f>
        <v>316</v>
      </c>
      <c r="L948" s="5" t="str">
        <f>IFERROR(__xludf.DUMMYFUNCTION("""COMPUTED_VALUE"""),"La Grande Illusion")</f>
        <v>La Grande Illusion</v>
      </c>
      <c r="M948" s="5" t="str">
        <f>IFERROR(__xludf.DUMMYFUNCTION("""COMPUTED_VALUE"""),"War")</f>
        <v>War</v>
      </c>
      <c r="N948" s="5">
        <f>IFERROR(__xludf.DUMMYFUNCTION("""COMPUTED_VALUE"""),2.0)</f>
        <v>2</v>
      </c>
      <c r="S948" s="5">
        <f>IFERROR(__xludf.DUMMYFUNCTION("""COMPUTED_VALUE"""),376.0)</f>
        <v>376</v>
      </c>
      <c r="T948" s="5" t="str">
        <f>IFERROR(__xludf.DUMMYFUNCTION("""COMPUTED_VALUE"""),"Mou gaan dou")</f>
        <v>Mou gaan dou</v>
      </c>
      <c r="U948" s="5" t="str">
        <f>IFERROR(__xludf.DUMMYFUNCTION("""COMPUTED_VALUE"""),"Drama")</f>
        <v>Drama</v>
      </c>
      <c r="V948" s="5">
        <f>IFERROR(__xludf.DUMMYFUNCTION("""COMPUTED_VALUE"""),3.0)</f>
        <v>3</v>
      </c>
    </row>
    <row r="949">
      <c r="A949" s="1">
        <v>948.0</v>
      </c>
      <c r="B949" s="1" t="s">
        <v>5367</v>
      </c>
      <c r="C949" s="1" t="s">
        <v>2629</v>
      </c>
      <c r="D949" s="1"/>
      <c r="E949" s="1">
        <v>948.0</v>
      </c>
      <c r="F949" s="1" t="s">
        <v>5367</v>
      </c>
      <c r="G949" s="1" t="str">
        <f>IFERROR(__xludf.DUMMYFUNCTION("SPLIT(C949, "", "")"),"Adventure")</f>
        <v>Adventure</v>
      </c>
      <c r="H949" s="5" t="str">
        <f>IFERROR(__xludf.DUMMYFUNCTION("""COMPUTED_VALUE"""),"Family")</f>
        <v>Family</v>
      </c>
      <c r="I949" s="5" t="str">
        <f>IFERROR(__xludf.DUMMYFUNCTION("""COMPUTED_VALUE"""),"Fantasy")</f>
        <v>Fantasy</v>
      </c>
      <c r="J949" s="5" t="str">
        <f>IFERROR(__xludf.DUMMYFUNCTION("""COMPUTED_VALUE"""),"316🤙🏼La Grande Illusion🤙🏼🤙🏼3")</f>
        <v>316🤙🏼La Grande Illusion🤙🏼🤙🏼3</v>
      </c>
      <c r="K949" s="5">
        <f>IFERROR(__xludf.DUMMYFUNCTION("SPLiT(J949, ""🤙🏼"",FALSE,FALSE)"),316.0)</f>
        <v>316</v>
      </c>
      <c r="L949" s="5" t="str">
        <f>IFERROR(__xludf.DUMMYFUNCTION("""COMPUTED_VALUE"""),"La Grande Illusion")</f>
        <v>La Grande Illusion</v>
      </c>
      <c r="M949" s="5"/>
      <c r="N949" s="5">
        <f>IFERROR(__xludf.DUMMYFUNCTION("""COMPUTED_VALUE"""),3.0)</f>
        <v>3</v>
      </c>
      <c r="S949" s="5">
        <f>IFERROR(__xludf.DUMMYFUNCTION("""COMPUTED_VALUE"""),377.0)</f>
        <v>377</v>
      </c>
      <c r="T949" s="5" t="str">
        <f>IFERROR(__xludf.DUMMYFUNCTION("""COMPUTED_VALUE"""),"Pirates of the Caribbean: The Curse of the Black Pearl")</f>
        <v>Pirates of the Caribbean: The Curse of the Black Pearl</v>
      </c>
      <c r="U949" s="5" t="str">
        <f>IFERROR(__xludf.DUMMYFUNCTION("""COMPUTED_VALUE"""),"Action")</f>
        <v>Action</v>
      </c>
      <c r="V949" s="5">
        <f>IFERROR(__xludf.DUMMYFUNCTION("""COMPUTED_VALUE"""),1.0)</f>
        <v>1</v>
      </c>
    </row>
    <row r="950">
      <c r="A950" s="1">
        <v>949.0</v>
      </c>
      <c r="B950" s="1" t="s">
        <v>5371</v>
      </c>
      <c r="C950" s="1" t="s">
        <v>397</v>
      </c>
      <c r="D950" s="1"/>
      <c r="E950" s="1">
        <v>949.0</v>
      </c>
      <c r="F950" s="1" t="s">
        <v>5371</v>
      </c>
      <c r="G950" s="1" t="str">
        <f>IFERROR(__xludf.DUMMYFUNCTION("SPLIT(C950, "", "")"),"Horror")</f>
        <v>Horror</v>
      </c>
      <c r="H950" s="5" t="str">
        <f>IFERROR(__xludf.DUMMYFUNCTION("""COMPUTED_VALUE"""),"Mystery")</f>
        <v>Mystery</v>
      </c>
      <c r="I950" s="5" t="str">
        <f>IFERROR(__xludf.DUMMYFUNCTION("""COMPUTED_VALUE"""),"Thriller")</f>
        <v>Thriller</v>
      </c>
      <c r="J950" s="5" t="str">
        <f>IFERROR(__xludf.DUMMYFUNCTION("""COMPUTED_VALUE"""),"317🤙🏼It Happened One Night🤙🏼Comedy🤙🏼1")</f>
        <v>317🤙🏼It Happened One Night🤙🏼Comedy🤙🏼1</v>
      </c>
      <c r="K950" s="5">
        <f>IFERROR(__xludf.DUMMYFUNCTION("SPLiT(J950, ""🤙🏼"",FALSE,FALSE)"),317.0)</f>
        <v>317</v>
      </c>
      <c r="L950" s="5" t="str">
        <f>IFERROR(__xludf.DUMMYFUNCTION("""COMPUTED_VALUE"""),"It Happened One Night")</f>
        <v>It Happened One Night</v>
      </c>
      <c r="M950" s="5" t="str">
        <f>IFERROR(__xludf.DUMMYFUNCTION("""COMPUTED_VALUE"""),"Comedy")</f>
        <v>Comedy</v>
      </c>
      <c r="N950" s="5">
        <f>IFERROR(__xludf.DUMMYFUNCTION("""COMPUTED_VALUE"""),1.0)</f>
        <v>1</v>
      </c>
      <c r="S950" s="5">
        <f>IFERROR(__xludf.DUMMYFUNCTION("""COMPUTED_VALUE"""),377.0)</f>
        <v>377</v>
      </c>
      <c r="T950" s="5" t="str">
        <f>IFERROR(__xludf.DUMMYFUNCTION("""COMPUTED_VALUE"""),"Pirates of the Caribbean: The Curse of the Black Pearl")</f>
        <v>Pirates of the Caribbean: The Curse of the Black Pearl</v>
      </c>
      <c r="U950" s="5" t="str">
        <f>IFERROR(__xludf.DUMMYFUNCTION("""COMPUTED_VALUE"""),"Adventure")</f>
        <v>Adventure</v>
      </c>
      <c r="V950" s="5">
        <f>IFERROR(__xludf.DUMMYFUNCTION("""COMPUTED_VALUE"""),2.0)</f>
        <v>2</v>
      </c>
    </row>
    <row r="951">
      <c r="A951" s="1">
        <v>950.0</v>
      </c>
      <c r="B951" s="1" t="s">
        <v>5374</v>
      </c>
      <c r="C951" s="1" t="s">
        <v>137</v>
      </c>
      <c r="D951" s="1"/>
      <c r="E951" s="1">
        <v>950.0</v>
      </c>
      <c r="F951" s="1" t="s">
        <v>5374</v>
      </c>
      <c r="G951" s="1" t="str">
        <f>IFERROR(__xludf.DUMMYFUNCTION("SPLIT(C951, "", "")"),"Biography")</f>
        <v>Biography</v>
      </c>
      <c r="H951" s="5" t="str">
        <f>IFERROR(__xludf.DUMMYFUNCTION("""COMPUTED_VALUE"""),"Crime")</f>
        <v>Crime</v>
      </c>
      <c r="I951" s="5" t="str">
        <f>IFERROR(__xludf.DUMMYFUNCTION("""COMPUTED_VALUE"""),"Drama")</f>
        <v>Drama</v>
      </c>
      <c r="J951" s="5" t="str">
        <f>IFERROR(__xludf.DUMMYFUNCTION("""COMPUTED_VALUE"""),"317🤙🏼It Happened One Night🤙🏼Romance🤙🏼2")</f>
        <v>317🤙🏼It Happened One Night🤙🏼Romance🤙🏼2</v>
      </c>
      <c r="K951" s="5">
        <f>IFERROR(__xludf.DUMMYFUNCTION("SPLiT(J951, ""🤙🏼"",FALSE,FALSE)"),317.0)</f>
        <v>317</v>
      </c>
      <c r="L951" s="5" t="str">
        <f>IFERROR(__xludf.DUMMYFUNCTION("""COMPUTED_VALUE"""),"It Happened One Night")</f>
        <v>It Happened One Night</v>
      </c>
      <c r="M951" s="5" t="str">
        <f>IFERROR(__xludf.DUMMYFUNCTION("""COMPUTED_VALUE"""),"Romance")</f>
        <v>Romance</v>
      </c>
      <c r="N951" s="5">
        <f>IFERROR(__xludf.DUMMYFUNCTION("""COMPUTED_VALUE"""),2.0)</f>
        <v>2</v>
      </c>
      <c r="S951" s="5">
        <f>IFERROR(__xludf.DUMMYFUNCTION("""COMPUTED_VALUE"""),377.0)</f>
        <v>377</v>
      </c>
      <c r="T951" s="5" t="str">
        <f>IFERROR(__xludf.DUMMYFUNCTION("""COMPUTED_VALUE"""),"Pirates of the Caribbean: The Curse of the Black Pearl")</f>
        <v>Pirates of the Caribbean: The Curse of the Black Pearl</v>
      </c>
      <c r="U951" s="5" t="str">
        <f>IFERROR(__xludf.DUMMYFUNCTION("""COMPUTED_VALUE"""),"Fantasy")</f>
        <v>Fantasy</v>
      </c>
      <c r="V951" s="5">
        <f>IFERROR(__xludf.DUMMYFUNCTION("""COMPUTED_VALUE"""),3.0)</f>
        <v>3</v>
      </c>
    </row>
    <row r="952">
      <c r="A952" s="1">
        <v>951.0</v>
      </c>
      <c r="B952" s="1" t="s">
        <v>5378</v>
      </c>
      <c r="C952" s="1" t="s">
        <v>2661</v>
      </c>
      <c r="D952" s="1"/>
      <c r="E952" s="1">
        <v>951.0</v>
      </c>
      <c r="F952" s="1" t="s">
        <v>5378</v>
      </c>
      <c r="G952" s="1" t="str">
        <f>IFERROR(__xludf.DUMMYFUNCTION("SPLIT(C952, "", "")"),"Drama")</f>
        <v>Drama</v>
      </c>
      <c r="H952" s="5" t="str">
        <f>IFERROR(__xludf.DUMMYFUNCTION("""COMPUTED_VALUE"""),"History")</f>
        <v>History</v>
      </c>
      <c r="I952" s="5" t="str">
        <f>IFERROR(__xludf.DUMMYFUNCTION("""COMPUTED_VALUE"""),"War")</f>
        <v>War</v>
      </c>
      <c r="J952" s="5" t="str">
        <f>IFERROR(__xludf.DUMMYFUNCTION("""COMPUTED_VALUE"""),"317🤙🏼It Happened One Night🤙🏼🤙🏼3")</f>
        <v>317🤙🏼It Happened One Night🤙🏼🤙🏼3</v>
      </c>
      <c r="K952" s="5">
        <f>IFERROR(__xludf.DUMMYFUNCTION("SPLiT(J952, ""🤙🏼"",FALSE,FALSE)"),317.0)</f>
        <v>317</v>
      </c>
      <c r="L952" s="5" t="str">
        <f>IFERROR(__xludf.DUMMYFUNCTION("""COMPUTED_VALUE"""),"It Happened One Night")</f>
        <v>It Happened One Night</v>
      </c>
      <c r="M952" s="5"/>
      <c r="N952" s="5">
        <f>IFERROR(__xludf.DUMMYFUNCTION("""COMPUTED_VALUE"""),3.0)</f>
        <v>3</v>
      </c>
      <c r="S952" s="5">
        <f>IFERROR(__xludf.DUMMYFUNCTION("""COMPUTED_VALUE"""),378.0)</f>
        <v>378</v>
      </c>
      <c r="T952" s="5" t="str">
        <f>IFERROR(__xludf.DUMMYFUNCTION("""COMPUTED_VALUE"""),"Big Fish")</f>
        <v>Big Fish</v>
      </c>
      <c r="U952" s="5" t="str">
        <f>IFERROR(__xludf.DUMMYFUNCTION("""COMPUTED_VALUE"""),"Adventure")</f>
        <v>Adventure</v>
      </c>
      <c r="V952" s="5">
        <f>IFERROR(__xludf.DUMMYFUNCTION("""COMPUTED_VALUE"""),1.0)</f>
        <v>1</v>
      </c>
    </row>
    <row r="953">
      <c r="A953" s="1">
        <v>952.0</v>
      </c>
      <c r="B953" s="1" t="s">
        <v>5382</v>
      </c>
      <c r="C953" s="1" t="s">
        <v>5383</v>
      </c>
      <c r="D953" s="1"/>
      <c r="E953" s="1">
        <v>952.0</v>
      </c>
      <c r="F953" s="1" t="s">
        <v>5382</v>
      </c>
      <c r="G953" s="1" t="str">
        <f>IFERROR(__xludf.DUMMYFUNCTION("SPLIT(C953, "", "")"),"Action")</f>
        <v>Action</v>
      </c>
      <c r="H953" s="5" t="str">
        <f>IFERROR(__xludf.DUMMYFUNCTION("""COMPUTED_VALUE"""),"Crime")</f>
        <v>Crime</v>
      </c>
      <c r="I953" s="5" t="str">
        <f>IFERROR(__xludf.DUMMYFUNCTION("""COMPUTED_VALUE"""),"Mystery")</f>
        <v>Mystery</v>
      </c>
      <c r="J953" s="5" t="str">
        <f>IFERROR(__xludf.DUMMYFUNCTION("""COMPUTED_VALUE"""),"318🤙🏼La passion de Jeanne d'Arc🤙🏼Biography🤙🏼1")</f>
        <v>318🤙🏼La passion de Jeanne d'Arc🤙🏼Biography🤙🏼1</v>
      </c>
      <c r="K953" s="5">
        <f>IFERROR(__xludf.DUMMYFUNCTION("SPLiT(J953, ""🤙🏼"",FALSE,FALSE)"),318.0)</f>
        <v>318</v>
      </c>
      <c r="L953" s="5" t="str">
        <f>IFERROR(__xludf.DUMMYFUNCTION("""COMPUTED_VALUE"""),"La passion de Jeanne d'Arc")</f>
        <v>La passion de Jeanne d'Arc</v>
      </c>
      <c r="M953" s="5" t="str">
        <f>IFERROR(__xludf.DUMMYFUNCTION("""COMPUTED_VALUE"""),"Biography")</f>
        <v>Biography</v>
      </c>
      <c r="N953" s="5">
        <f>IFERROR(__xludf.DUMMYFUNCTION("""COMPUTED_VALUE"""),1.0)</f>
        <v>1</v>
      </c>
      <c r="S953" s="5">
        <f>IFERROR(__xludf.DUMMYFUNCTION("""COMPUTED_VALUE"""),378.0)</f>
        <v>378</v>
      </c>
      <c r="T953" s="5" t="str">
        <f>IFERROR(__xludf.DUMMYFUNCTION("""COMPUTED_VALUE"""),"Big Fish")</f>
        <v>Big Fish</v>
      </c>
      <c r="U953" s="5" t="str">
        <f>IFERROR(__xludf.DUMMYFUNCTION("""COMPUTED_VALUE"""),"Drama")</f>
        <v>Drama</v>
      </c>
      <c r="V953" s="5">
        <f>IFERROR(__xludf.DUMMYFUNCTION("""COMPUTED_VALUE"""),2.0)</f>
        <v>2</v>
      </c>
    </row>
    <row r="954">
      <c r="A954" s="1">
        <v>953.0</v>
      </c>
      <c r="B954" s="1" t="s">
        <v>5385</v>
      </c>
      <c r="C954" s="1" t="s">
        <v>1020</v>
      </c>
      <c r="D954" s="1"/>
      <c r="E954" s="1">
        <v>953.0</v>
      </c>
      <c r="F954" s="1" t="s">
        <v>5385</v>
      </c>
      <c r="G954" s="1" t="str">
        <f>IFERROR(__xludf.DUMMYFUNCTION("SPLIT(C954, "", "")"),"Biography")</f>
        <v>Biography</v>
      </c>
      <c r="H954" s="5" t="str">
        <f>IFERROR(__xludf.DUMMYFUNCTION("""COMPUTED_VALUE"""),"Drama")</f>
        <v>Drama</v>
      </c>
      <c r="I954" s="5" t="str">
        <f>IFERROR(__xludf.DUMMYFUNCTION("""COMPUTED_VALUE"""),"Sport")</f>
        <v>Sport</v>
      </c>
      <c r="J954" s="5" t="str">
        <f>IFERROR(__xludf.DUMMYFUNCTION("""COMPUTED_VALUE"""),"318🤙🏼La passion de Jeanne d'Arc🤙🏼Drama🤙🏼2")</f>
        <v>318🤙🏼La passion de Jeanne d'Arc🤙🏼Drama🤙🏼2</v>
      </c>
      <c r="K954" s="5">
        <f>IFERROR(__xludf.DUMMYFUNCTION("SPLiT(J954, ""🤙🏼"",FALSE,FALSE)"),318.0)</f>
        <v>318</v>
      </c>
      <c r="L954" s="5" t="str">
        <f>IFERROR(__xludf.DUMMYFUNCTION("""COMPUTED_VALUE"""),"La passion de Jeanne d'Arc")</f>
        <v>La passion de Jeanne d'Arc</v>
      </c>
      <c r="M954" s="5" t="str">
        <f>IFERROR(__xludf.DUMMYFUNCTION("""COMPUTED_VALUE"""),"Drama")</f>
        <v>Drama</v>
      </c>
      <c r="N954" s="5">
        <f>IFERROR(__xludf.DUMMYFUNCTION("""COMPUTED_VALUE"""),2.0)</f>
        <v>2</v>
      </c>
      <c r="S954" s="5">
        <f>IFERROR(__xludf.DUMMYFUNCTION("""COMPUTED_VALUE"""),378.0)</f>
        <v>378</v>
      </c>
      <c r="T954" s="5" t="str">
        <f>IFERROR(__xludf.DUMMYFUNCTION("""COMPUTED_VALUE"""),"Big Fish")</f>
        <v>Big Fish</v>
      </c>
      <c r="U954" s="5" t="str">
        <f>IFERROR(__xludf.DUMMYFUNCTION("""COMPUTED_VALUE"""),"Fantasy")</f>
        <v>Fantasy</v>
      </c>
      <c r="V954" s="5">
        <f>IFERROR(__xludf.DUMMYFUNCTION("""COMPUTED_VALUE"""),3.0)</f>
        <v>3</v>
      </c>
    </row>
    <row r="955">
      <c r="A955" s="1">
        <v>954.0</v>
      </c>
      <c r="B955" s="1" t="s">
        <v>5388</v>
      </c>
      <c r="C955" s="1" t="s">
        <v>831</v>
      </c>
      <c r="D955" s="1"/>
      <c r="E955" s="1">
        <v>954.0</v>
      </c>
      <c r="F955" s="1" t="s">
        <v>5388</v>
      </c>
      <c r="G955" s="1" t="str">
        <f>IFERROR(__xludf.DUMMYFUNCTION("SPLIT(C955, "", "")"),"Comedy")</f>
        <v>Comedy</v>
      </c>
      <c r="H955" s="5" t="str">
        <f>IFERROR(__xludf.DUMMYFUNCTION("""COMPUTED_VALUE"""),"Crime")</f>
        <v>Crime</v>
      </c>
      <c r="I955" s="5" t="str">
        <f>IFERROR(__xludf.DUMMYFUNCTION("""COMPUTED_VALUE"""),"Drama")</f>
        <v>Drama</v>
      </c>
      <c r="J955" s="5" t="str">
        <f>IFERROR(__xludf.DUMMYFUNCTION("""COMPUTED_VALUE"""),"318🤙🏼La passion de Jeanne d'Arc🤙🏼History🤙🏼3")</f>
        <v>318🤙🏼La passion de Jeanne d'Arc🤙🏼History🤙🏼3</v>
      </c>
      <c r="K955" s="5">
        <f>IFERROR(__xludf.DUMMYFUNCTION("SPLiT(J955, ""🤙🏼"",FALSE,FALSE)"),318.0)</f>
        <v>318</v>
      </c>
      <c r="L955" s="5" t="str">
        <f>IFERROR(__xludf.DUMMYFUNCTION("""COMPUTED_VALUE"""),"La passion de Jeanne d'Arc")</f>
        <v>La passion de Jeanne d'Arc</v>
      </c>
      <c r="M955" s="5" t="str">
        <f>IFERROR(__xludf.DUMMYFUNCTION("""COMPUTED_VALUE"""),"History")</f>
        <v>History</v>
      </c>
      <c r="N955" s="5">
        <f>IFERROR(__xludf.DUMMYFUNCTION("""COMPUTED_VALUE"""),3.0)</f>
        <v>3</v>
      </c>
      <c r="S955" s="5">
        <f>IFERROR(__xludf.DUMMYFUNCTION("""COMPUTED_VALUE"""),379.0)</f>
        <v>379</v>
      </c>
      <c r="T955" s="5" t="str">
        <f>IFERROR(__xludf.DUMMYFUNCTION("""COMPUTED_VALUE"""),"The Incredibles")</f>
        <v>The Incredibles</v>
      </c>
      <c r="U955" s="5" t="str">
        <f>IFERROR(__xludf.DUMMYFUNCTION("""COMPUTED_VALUE"""),"Animation")</f>
        <v>Animation</v>
      </c>
      <c r="V955" s="5">
        <f>IFERROR(__xludf.DUMMYFUNCTION("""COMPUTED_VALUE"""),1.0)</f>
        <v>1</v>
      </c>
    </row>
    <row r="956">
      <c r="A956" s="1">
        <v>955.0</v>
      </c>
      <c r="B956" s="1" t="s">
        <v>5393</v>
      </c>
      <c r="C956" s="1" t="s">
        <v>241</v>
      </c>
      <c r="D956" s="1"/>
      <c r="E956" s="1">
        <v>955.0</v>
      </c>
      <c r="F956" s="1" t="s">
        <v>5393</v>
      </c>
      <c r="G956" s="1" t="str">
        <f>IFERROR(__xludf.DUMMYFUNCTION("SPLIT(C956, "", "")"),"Crime")</f>
        <v>Crime</v>
      </c>
      <c r="H956" s="5" t="str">
        <f>IFERROR(__xludf.DUMMYFUNCTION("""COMPUTED_VALUE"""),"Drama")</f>
        <v>Drama</v>
      </c>
      <c r="I956" s="5" t="str">
        <f>IFERROR(__xludf.DUMMYFUNCTION("""COMPUTED_VALUE"""),"Thriller")</f>
        <v>Thriller</v>
      </c>
      <c r="J956" s="5" t="str">
        <f>IFERROR(__xludf.DUMMYFUNCTION("""COMPUTED_VALUE"""),"319🤙🏼The Circus🤙🏼Comedy🤙🏼1")</f>
        <v>319🤙🏼The Circus🤙🏼Comedy🤙🏼1</v>
      </c>
      <c r="K956" s="5">
        <f>IFERROR(__xludf.DUMMYFUNCTION("SPLiT(J956, ""🤙🏼"",FALSE,FALSE)"),319.0)</f>
        <v>319</v>
      </c>
      <c r="L956" s="5" t="str">
        <f>IFERROR(__xludf.DUMMYFUNCTION("""COMPUTED_VALUE"""),"The Circus")</f>
        <v>The Circus</v>
      </c>
      <c r="M956" s="5" t="str">
        <f>IFERROR(__xludf.DUMMYFUNCTION("""COMPUTED_VALUE"""),"Comedy")</f>
        <v>Comedy</v>
      </c>
      <c r="N956" s="5">
        <f>IFERROR(__xludf.DUMMYFUNCTION("""COMPUTED_VALUE"""),1.0)</f>
        <v>1</v>
      </c>
      <c r="S956" s="5">
        <f>IFERROR(__xludf.DUMMYFUNCTION("""COMPUTED_VALUE"""),379.0)</f>
        <v>379</v>
      </c>
      <c r="T956" s="5" t="str">
        <f>IFERROR(__xludf.DUMMYFUNCTION("""COMPUTED_VALUE"""),"The Incredibles")</f>
        <v>The Incredibles</v>
      </c>
      <c r="U956" s="5" t="str">
        <f>IFERROR(__xludf.DUMMYFUNCTION("""COMPUTED_VALUE"""),"Action")</f>
        <v>Action</v>
      </c>
      <c r="V956" s="5">
        <f>IFERROR(__xludf.DUMMYFUNCTION("""COMPUTED_VALUE"""),2.0)</f>
        <v>2</v>
      </c>
    </row>
    <row r="957">
      <c r="A957" s="1">
        <v>956.0</v>
      </c>
      <c r="B957" s="1" t="s">
        <v>5398</v>
      </c>
      <c r="C957" s="1" t="s">
        <v>213</v>
      </c>
      <c r="D957" s="1"/>
      <c r="E957" s="1">
        <v>956.0</v>
      </c>
      <c r="F957" s="1" t="s">
        <v>5398</v>
      </c>
      <c r="G957" s="1" t="str">
        <f>IFERROR(__xludf.DUMMYFUNCTION("SPLIT(C957, "", "")"),"Drama")</f>
        <v>Drama</v>
      </c>
      <c r="H957" s="5" t="str">
        <f>IFERROR(__xludf.DUMMYFUNCTION("""COMPUTED_VALUE"""),"War")</f>
        <v>War</v>
      </c>
      <c r="J957" s="5" t="str">
        <f>IFERROR(__xludf.DUMMYFUNCTION("""COMPUTED_VALUE"""),"319🤙🏼The Circus🤙🏼Romance🤙🏼2")</f>
        <v>319🤙🏼The Circus🤙🏼Romance🤙🏼2</v>
      </c>
      <c r="K957" s="5">
        <f>IFERROR(__xludf.DUMMYFUNCTION("SPLiT(J957, ""🤙🏼"",FALSE,FALSE)"),319.0)</f>
        <v>319</v>
      </c>
      <c r="L957" s="5" t="str">
        <f>IFERROR(__xludf.DUMMYFUNCTION("""COMPUTED_VALUE"""),"The Circus")</f>
        <v>The Circus</v>
      </c>
      <c r="M957" s="5" t="str">
        <f>IFERROR(__xludf.DUMMYFUNCTION("""COMPUTED_VALUE"""),"Romance")</f>
        <v>Romance</v>
      </c>
      <c r="N957" s="5">
        <f>IFERROR(__xludf.DUMMYFUNCTION("""COMPUTED_VALUE"""),2.0)</f>
        <v>2</v>
      </c>
      <c r="S957" s="5">
        <f>IFERROR(__xludf.DUMMYFUNCTION("""COMPUTED_VALUE"""),379.0)</f>
        <v>379</v>
      </c>
      <c r="T957" s="5" t="str">
        <f>IFERROR(__xludf.DUMMYFUNCTION("""COMPUTED_VALUE"""),"The Incredibles")</f>
        <v>The Incredibles</v>
      </c>
      <c r="U957" s="5" t="str">
        <f>IFERROR(__xludf.DUMMYFUNCTION("""COMPUTED_VALUE"""),"Adventure")</f>
        <v>Adventure</v>
      </c>
      <c r="V957" s="5">
        <f>IFERROR(__xludf.DUMMYFUNCTION("""COMPUTED_VALUE"""),3.0)</f>
        <v>3</v>
      </c>
    </row>
    <row r="958">
      <c r="A958" s="1">
        <v>957.0</v>
      </c>
      <c r="B958" s="1" t="s">
        <v>5401</v>
      </c>
      <c r="C958" s="1" t="s">
        <v>204</v>
      </c>
      <c r="D958" s="1"/>
      <c r="E958" s="1">
        <v>957.0</v>
      </c>
      <c r="F958" s="1" t="s">
        <v>5401</v>
      </c>
      <c r="G958" s="1" t="str">
        <f>IFERROR(__xludf.DUMMYFUNCTION("SPLIT(C958, "", "")"),"Animation")</f>
        <v>Animation</v>
      </c>
      <c r="H958" s="5" t="str">
        <f>IFERROR(__xludf.DUMMYFUNCTION("""COMPUTED_VALUE"""),"Adventure")</f>
        <v>Adventure</v>
      </c>
      <c r="I958" s="5" t="str">
        <f>IFERROR(__xludf.DUMMYFUNCTION("""COMPUTED_VALUE"""),"Family")</f>
        <v>Family</v>
      </c>
      <c r="J958" s="5" t="str">
        <f>IFERROR(__xludf.DUMMYFUNCTION("""COMPUTED_VALUE"""),"319🤙🏼The Circus🤙🏼🤙🏼3")</f>
        <v>319🤙🏼The Circus🤙🏼🤙🏼3</v>
      </c>
      <c r="K958" s="5">
        <f>IFERROR(__xludf.DUMMYFUNCTION("SPLiT(J958, ""🤙🏼"",FALSE,FALSE)"),319.0)</f>
        <v>319</v>
      </c>
      <c r="L958" s="5" t="str">
        <f>IFERROR(__xludf.DUMMYFUNCTION("""COMPUTED_VALUE"""),"The Circus")</f>
        <v>The Circus</v>
      </c>
      <c r="M958" s="5"/>
      <c r="N958" s="5">
        <f>IFERROR(__xludf.DUMMYFUNCTION("""COMPUTED_VALUE"""),3.0)</f>
        <v>3</v>
      </c>
      <c r="S958" s="5">
        <f>IFERROR(__xludf.DUMMYFUNCTION("""COMPUTED_VALUE"""),380.0)</f>
        <v>380</v>
      </c>
      <c r="T958" s="5" t="str">
        <f>IFERROR(__xludf.DUMMYFUNCTION("""COMPUTED_VALUE"""),"Yeopgijeogin geunyeo")</f>
        <v>Yeopgijeogin geunyeo</v>
      </c>
      <c r="U958" s="5" t="str">
        <f>IFERROR(__xludf.DUMMYFUNCTION("""COMPUTED_VALUE"""),"Comedy")</f>
        <v>Comedy</v>
      </c>
      <c r="V958" s="5">
        <f>IFERROR(__xludf.DUMMYFUNCTION("""COMPUTED_VALUE"""),1.0)</f>
        <v>1</v>
      </c>
    </row>
    <row r="959">
      <c r="A959" s="1">
        <v>958.0</v>
      </c>
      <c r="B959" s="1" t="s">
        <v>5407</v>
      </c>
      <c r="C959" s="1" t="s">
        <v>1004</v>
      </c>
      <c r="D959" s="1"/>
      <c r="E959" s="1">
        <v>958.0</v>
      </c>
      <c r="F959" s="1" t="s">
        <v>5407</v>
      </c>
      <c r="G959" s="1" t="str">
        <f>IFERROR(__xludf.DUMMYFUNCTION("SPLIT(C959, "", "")"),"Adventure")</f>
        <v>Adventure</v>
      </c>
      <c r="H959" s="5" t="str">
        <f>IFERROR(__xludf.DUMMYFUNCTION("""COMPUTED_VALUE"""),"Comedy")</f>
        <v>Comedy</v>
      </c>
      <c r="I959" s="5" t="str">
        <f>IFERROR(__xludf.DUMMYFUNCTION("""COMPUTED_VALUE"""),"Drama")</f>
        <v>Drama</v>
      </c>
      <c r="J959" s="5" t="str">
        <f>IFERROR(__xludf.DUMMYFUNCTION("""COMPUTED_VALUE"""),"320🤙🏼Sunrise: A Song of Two Humans🤙🏼Drama🤙🏼1")</f>
        <v>320🤙🏼Sunrise: A Song of Two Humans🤙🏼Drama🤙🏼1</v>
      </c>
      <c r="K959" s="5">
        <f>IFERROR(__xludf.DUMMYFUNCTION("SPLiT(J959, ""🤙🏼"",FALSE,FALSE)"),320.0)</f>
        <v>320</v>
      </c>
      <c r="L959" s="5" t="str">
        <f>IFERROR(__xludf.DUMMYFUNCTION("""COMPUTED_VALUE"""),"Sunrise: A Song of Two Humans")</f>
        <v>Sunrise: A Song of Two Humans</v>
      </c>
      <c r="M959" s="5" t="str">
        <f>IFERROR(__xludf.DUMMYFUNCTION("""COMPUTED_VALUE"""),"Drama")</f>
        <v>Drama</v>
      </c>
      <c r="N959" s="5">
        <f>IFERROR(__xludf.DUMMYFUNCTION("""COMPUTED_VALUE"""),1.0)</f>
        <v>1</v>
      </c>
      <c r="S959" s="5">
        <f>IFERROR(__xludf.DUMMYFUNCTION("""COMPUTED_VALUE"""),380.0)</f>
        <v>380</v>
      </c>
      <c r="T959" s="5" t="str">
        <f>IFERROR(__xludf.DUMMYFUNCTION("""COMPUTED_VALUE"""),"Yeopgijeogin geunyeo")</f>
        <v>Yeopgijeogin geunyeo</v>
      </c>
      <c r="U959" s="5" t="str">
        <f>IFERROR(__xludf.DUMMYFUNCTION("""COMPUTED_VALUE"""),"Drama")</f>
        <v>Drama</v>
      </c>
      <c r="V959" s="5">
        <f>IFERROR(__xludf.DUMMYFUNCTION("""COMPUTED_VALUE"""),2.0)</f>
        <v>2</v>
      </c>
    </row>
    <row r="960">
      <c r="A960" s="1">
        <v>959.0</v>
      </c>
      <c r="B960" s="1" t="s">
        <v>5411</v>
      </c>
      <c r="C960" s="1" t="s">
        <v>241</v>
      </c>
      <c r="D960" s="1"/>
      <c r="E960" s="1">
        <v>959.0</v>
      </c>
      <c r="F960" s="1" t="s">
        <v>5411</v>
      </c>
      <c r="G960" s="1" t="str">
        <f>IFERROR(__xludf.DUMMYFUNCTION("SPLIT(C960, "", "")"),"Crime")</f>
        <v>Crime</v>
      </c>
      <c r="H960" s="5" t="str">
        <f>IFERROR(__xludf.DUMMYFUNCTION("""COMPUTED_VALUE"""),"Drama")</f>
        <v>Drama</v>
      </c>
      <c r="I960" s="5" t="str">
        <f>IFERROR(__xludf.DUMMYFUNCTION("""COMPUTED_VALUE"""),"Thriller")</f>
        <v>Thriller</v>
      </c>
      <c r="J960" s="5" t="str">
        <f>IFERROR(__xludf.DUMMYFUNCTION("""COMPUTED_VALUE"""),"320🤙🏼Sunrise: A Song of Two Humans🤙🏼Romance🤙🏼2")</f>
        <v>320🤙🏼Sunrise: A Song of Two Humans🤙🏼Romance🤙🏼2</v>
      </c>
      <c r="K960" s="5">
        <f>IFERROR(__xludf.DUMMYFUNCTION("SPLiT(J960, ""🤙🏼"",FALSE,FALSE)"),320.0)</f>
        <v>320</v>
      </c>
      <c r="L960" s="5" t="str">
        <f>IFERROR(__xludf.DUMMYFUNCTION("""COMPUTED_VALUE"""),"Sunrise: A Song of Two Humans")</f>
        <v>Sunrise: A Song of Two Humans</v>
      </c>
      <c r="M960" s="5" t="str">
        <f>IFERROR(__xludf.DUMMYFUNCTION("""COMPUTED_VALUE"""),"Romance")</f>
        <v>Romance</v>
      </c>
      <c r="N960" s="5">
        <f>IFERROR(__xludf.DUMMYFUNCTION("""COMPUTED_VALUE"""),2.0)</f>
        <v>2</v>
      </c>
      <c r="S960" s="5">
        <f>IFERROR(__xludf.DUMMYFUNCTION("""COMPUTED_VALUE"""),380.0)</f>
        <v>380</v>
      </c>
      <c r="T960" s="5" t="str">
        <f>IFERROR(__xludf.DUMMYFUNCTION("""COMPUTED_VALUE"""),"Yeopgijeogin geunyeo")</f>
        <v>Yeopgijeogin geunyeo</v>
      </c>
      <c r="U960" s="5" t="str">
        <f>IFERROR(__xludf.DUMMYFUNCTION("""COMPUTED_VALUE"""),"Romance")</f>
        <v>Romance</v>
      </c>
      <c r="V960" s="5">
        <f>IFERROR(__xludf.DUMMYFUNCTION("""COMPUTED_VALUE"""),3.0)</f>
        <v>3</v>
      </c>
    </row>
    <row r="961">
      <c r="A961" s="1">
        <v>960.0</v>
      </c>
      <c r="B961" s="1" t="s">
        <v>5416</v>
      </c>
      <c r="C961" s="1" t="s">
        <v>2545</v>
      </c>
      <c r="D961" s="1"/>
      <c r="E961" s="1">
        <v>960.0</v>
      </c>
      <c r="F961" s="1" t="s">
        <v>5416</v>
      </c>
      <c r="G961" s="1" t="str">
        <f>IFERROR(__xludf.DUMMYFUNCTION("SPLIT(C961, "", "")"),"Mystery")</f>
        <v>Mystery</v>
      </c>
      <c r="H961" s="5" t="str">
        <f>IFERROR(__xludf.DUMMYFUNCTION("""COMPUTED_VALUE"""),"Sci-Fi")</f>
        <v>Sci-Fi</v>
      </c>
      <c r="I961" s="5" t="str">
        <f>IFERROR(__xludf.DUMMYFUNCTION("""COMPUTED_VALUE"""),"Thriller")</f>
        <v>Thriller</v>
      </c>
      <c r="J961" s="5" t="str">
        <f>IFERROR(__xludf.DUMMYFUNCTION("""COMPUTED_VALUE"""),"320🤙🏼Sunrise: A Song of Two Humans🤙🏼🤙🏼3")</f>
        <v>320🤙🏼Sunrise: A Song of Two Humans🤙🏼🤙🏼3</v>
      </c>
      <c r="K961" s="5">
        <f>IFERROR(__xludf.DUMMYFUNCTION("SPLiT(J961, ""🤙🏼"",FALSE,FALSE)"),320.0)</f>
        <v>320</v>
      </c>
      <c r="L961" s="5" t="str">
        <f>IFERROR(__xludf.DUMMYFUNCTION("""COMPUTED_VALUE"""),"Sunrise: A Song of Two Humans")</f>
        <v>Sunrise: A Song of Two Humans</v>
      </c>
      <c r="M961" s="5"/>
      <c r="N961" s="5">
        <f>IFERROR(__xludf.DUMMYFUNCTION("""COMPUTED_VALUE"""),3.0)</f>
        <v>3</v>
      </c>
      <c r="S961" s="5">
        <f>IFERROR(__xludf.DUMMYFUNCTION("""COMPUTED_VALUE"""),381.0)</f>
        <v>381</v>
      </c>
      <c r="T961" s="5" t="str">
        <f>IFERROR(__xludf.DUMMYFUNCTION("""COMPUTED_VALUE"""),"Dogville")</f>
        <v>Dogville</v>
      </c>
      <c r="U961" s="5" t="str">
        <f>IFERROR(__xludf.DUMMYFUNCTION("""COMPUTED_VALUE"""),"Crime")</f>
        <v>Crime</v>
      </c>
      <c r="V961" s="5">
        <f>IFERROR(__xludf.DUMMYFUNCTION("""COMPUTED_VALUE"""),1.0)</f>
        <v>1</v>
      </c>
    </row>
    <row r="962">
      <c r="A962" s="1">
        <v>961.0</v>
      </c>
      <c r="B962" s="1" t="s">
        <v>5421</v>
      </c>
      <c r="C962" s="1" t="s">
        <v>241</v>
      </c>
      <c r="D962" s="1"/>
      <c r="E962" s="1">
        <v>961.0</v>
      </c>
      <c r="F962" s="1" t="s">
        <v>5421</v>
      </c>
      <c r="G962" s="1" t="str">
        <f>IFERROR(__xludf.DUMMYFUNCTION("SPLIT(C962, "", "")"),"Crime")</f>
        <v>Crime</v>
      </c>
      <c r="H962" s="5" t="str">
        <f>IFERROR(__xludf.DUMMYFUNCTION("""COMPUTED_VALUE"""),"Drama")</f>
        <v>Drama</v>
      </c>
      <c r="I962" s="5" t="str">
        <f>IFERROR(__xludf.DUMMYFUNCTION("""COMPUTED_VALUE"""),"Thriller")</f>
        <v>Thriller</v>
      </c>
      <c r="J962" s="5" t="str">
        <f>IFERROR(__xludf.DUMMYFUNCTION("""COMPUTED_VALUE"""),"321🤙🏼The General🤙🏼Action🤙🏼1")</f>
        <v>321🤙🏼The General🤙🏼Action🤙🏼1</v>
      </c>
      <c r="K962" s="5">
        <f>IFERROR(__xludf.DUMMYFUNCTION("SPLiT(J962, ""🤙🏼"",FALSE,FALSE)"),321.0)</f>
        <v>321</v>
      </c>
      <c r="L962" s="5" t="str">
        <f>IFERROR(__xludf.DUMMYFUNCTION("""COMPUTED_VALUE"""),"The General")</f>
        <v>The General</v>
      </c>
      <c r="M962" s="5" t="str">
        <f>IFERROR(__xludf.DUMMYFUNCTION("""COMPUTED_VALUE"""),"Action")</f>
        <v>Action</v>
      </c>
      <c r="N962" s="5">
        <f>IFERROR(__xludf.DUMMYFUNCTION("""COMPUTED_VALUE"""),1.0)</f>
        <v>1</v>
      </c>
      <c r="S962" s="5">
        <f>IFERROR(__xludf.DUMMYFUNCTION("""COMPUTED_VALUE"""),381.0)</f>
        <v>381</v>
      </c>
      <c r="T962" s="5" t="str">
        <f>IFERROR(__xludf.DUMMYFUNCTION("""COMPUTED_VALUE"""),"Dogville")</f>
        <v>Dogville</v>
      </c>
      <c r="U962" s="5" t="str">
        <f>IFERROR(__xludf.DUMMYFUNCTION("""COMPUTED_VALUE"""),"Drama")</f>
        <v>Drama</v>
      </c>
      <c r="V962" s="5">
        <f>IFERROR(__xludf.DUMMYFUNCTION("""COMPUTED_VALUE"""),2.0)</f>
        <v>2</v>
      </c>
    </row>
    <row r="963">
      <c r="A963" s="1">
        <v>962.0</v>
      </c>
      <c r="B963" s="1" t="s">
        <v>5424</v>
      </c>
      <c r="C963" s="1" t="s">
        <v>544</v>
      </c>
      <c r="D963" s="1"/>
      <c r="E963" s="1">
        <v>962.0</v>
      </c>
      <c r="F963" s="1" t="s">
        <v>5424</v>
      </c>
      <c r="G963" s="1" t="str">
        <f>IFERROR(__xludf.DUMMYFUNCTION("SPLIT(C963, "", "")"),"Mystery")</f>
        <v>Mystery</v>
      </c>
      <c r="H963" s="5" t="str">
        <f>IFERROR(__xludf.DUMMYFUNCTION("""COMPUTED_VALUE"""),"Thriller")</f>
        <v>Thriller</v>
      </c>
      <c r="J963" s="5" t="str">
        <f>IFERROR(__xludf.DUMMYFUNCTION("""COMPUTED_VALUE"""),"321🤙🏼The General🤙🏼Adventure🤙🏼2")</f>
        <v>321🤙🏼The General🤙🏼Adventure🤙🏼2</v>
      </c>
      <c r="K963" s="5">
        <f>IFERROR(__xludf.DUMMYFUNCTION("SPLiT(J963, ""🤙🏼"",FALSE,FALSE)"),321.0)</f>
        <v>321</v>
      </c>
      <c r="L963" s="5" t="str">
        <f>IFERROR(__xludf.DUMMYFUNCTION("""COMPUTED_VALUE"""),"The General")</f>
        <v>The General</v>
      </c>
      <c r="M963" s="5" t="str">
        <f>IFERROR(__xludf.DUMMYFUNCTION("""COMPUTED_VALUE"""),"Adventure")</f>
        <v>Adventure</v>
      </c>
      <c r="N963" s="5">
        <f>IFERROR(__xludf.DUMMYFUNCTION("""COMPUTED_VALUE"""),2.0)</f>
        <v>2</v>
      </c>
      <c r="S963" s="5">
        <f>IFERROR(__xludf.DUMMYFUNCTION("""COMPUTED_VALUE"""),382.0)</f>
        <v>382</v>
      </c>
      <c r="T963" s="5" t="str">
        <f>IFERROR(__xludf.DUMMYFUNCTION("""COMPUTED_VALUE"""),"Vizontele")</f>
        <v>Vizontele</v>
      </c>
      <c r="U963" s="5" t="str">
        <f>IFERROR(__xludf.DUMMYFUNCTION("""COMPUTED_VALUE"""),"Comedy")</f>
        <v>Comedy</v>
      </c>
      <c r="V963" s="5">
        <f>IFERROR(__xludf.DUMMYFUNCTION("""COMPUTED_VALUE"""),1.0)</f>
        <v>1</v>
      </c>
    </row>
    <row r="964">
      <c r="A964" s="1">
        <v>963.0</v>
      </c>
      <c r="B964" s="1" t="s">
        <v>5428</v>
      </c>
      <c r="C964" s="1" t="s">
        <v>107</v>
      </c>
      <c r="D964" s="1"/>
      <c r="E964" s="1">
        <v>963.0</v>
      </c>
      <c r="F964" s="1" t="s">
        <v>5428</v>
      </c>
      <c r="G964" s="1" t="str">
        <f>IFERROR(__xludf.DUMMYFUNCTION("SPLIT(C964, "", "")"),"Drama")</f>
        <v>Drama</v>
      </c>
      <c r="H964" s="5" t="str">
        <f>IFERROR(__xludf.DUMMYFUNCTION("""COMPUTED_VALUE"""),"Romance")</f>
        <v>Romance</v>
      </c>
      <c r="J964" s="5" t="str">
        <f>IFERROR(__xludf.DUMMYFUNCTION("""COMPUTED_VALUE"""),"321🤙🏼The General🤙🏼Comedy🤙🏼3")</f>
        <v>321🤙🏼The General🤙🏼Comedy🤙🏼3</v>
      </c>
      <c r="K964" s="5">
        <f>IFERROR(__xludf.DUMMYFUNCTION("SPLiT(J964, ""🤙🏼"",FALSE,FALSE)"),321.0)</f>
        <v>321</v>
      </c>
      <c r="L964" s="5" t="str">
        <f>IFERROR(__xludf.DUMMYFUNCTION("""COMPUTED_VALUE"""),"The General")</f>
        <v>The General</v>
      </c>
      <c r="M964" s="5" t="str">
        <f>IFERROR(__xludf.DUMMYFUNCTION("""COMPUTED_VALUE"""),"Comedy")</f>
        <v>Comedy</v>
      </c>
      <c r="N964" s="5">
        <f>IFERROR(__xludf.DUMMYFUNCTION("""COMPUTED_VALUE"""),3.0)</f>
        <v>3</v>
      </c>
      <c r="S964" s="5">
        <f>IFERROR(__xludf.DUMMYFUNCTION("""COMPUTED_VALUE"""),382.0)</f>
        <v>382</v>
      </c>
      <c r="T964" s="5" t="str">
        <f>IFERROR(__xludf.DUMMYFUNCTION("""COMPUTED_VALUE"""),"Vizontele")</f>
        <v>Vizontele</v>
      </c>
      <c r="U964" s="5" t="str">
        <f>IFERROR(__xludf.DUMMYFUNCTION("""COMPUTED_VALUE"""),"Drama")</f>
        <v>Drama</v>
      </c>
      <c r="V964" s="5">
        <f>IFERROR(__xludf.DUMMYFUNCTION("""COMPUTED_VALUE"""),2.0)</f>
        <v>2</v>
      </c>
    </row>
    <row r="965">
      <c r="A965" s="1">
        <v>964.0</v>
      </c>
      <c r="B965" s="1" t="s">
        <v>5431</v>
      </c>
      <c r="C965" s="1" t="s">
        <v>2406</v>
      </c>
      <c r="D965" s="1"/>
      <c r="E965" s="1">
        <v>964.0</v>
      </c>
      <c r="F965" s="1" t="s">
        <v>5431</v>
      </c>
      <c r="G965" s="1" t="str">
        <f>IFERROR(__xludf.DUMMYFUNCTION("SPLIT(C965, "", "")"),"Action")</f>
        <v>Action</v>
      </c>
      <c r="H965" s="5" t="str">
        <f>IFERROR(__xludf.DUMMYFUNCTION("""COMPUTED_VALUE"""),"Adventure")</f>
        <v>Adventure</v>
      </c>
      <c r="I965" s="5" t="str">
        <f>IFERROR(__xludf.DUMMYFUNCTION("""COMPUTED_VALUE"""),"Thriller")</f>
        <v>Thriller</v>
      </c>
      <c r="J965" s="5" t="str">
        <f>IFERROR(__xludf.DUMMYFUNCTION("""COMPUTED_VALUE"""),"322🤙🏼Das Cabinet des Dr. Caligari🤙🏼Fantasy🤙🏼1")</f>
        <v>322🤙🏼Das Cabinet des Dr. Caligari🤙🏼Fantasy🤙🏼1</v>
      </c>
      <c r="K965" s="5">
        <f>IFERROR(__xludf.DUMMYFUNCTION("SPLiT(J965, ""🤙🏼"",FALSE,FALSE)"),322.0)</f>
        <v>322</v>
      </c>
      <c r="L965" s="5" t="str">
        <f>IFERROR(__xludf.DUMMYFUNCTION("""COMPUTED_VALUE"""),"Das Cabinet des Dr. Caligari")</f>
        <v>Das Cabinet des Dr. Caligari</v>
      </c>
      <c r="M965" s="5" t="str">
        <f>IFERROR(__xludf.DUMMYFUNCTION("""COMPUTED_VALUE"""),"Fantasy")</f>
        <v>Fantasy</v>
      </c>
      <c r="N965" s="5">
        <f>IFERROR(__xludf.DUMMYFUNCTION("""COMPUTED_VALUE"""),1.0)</f>
        <v>1</v>
      </c>
      <c r="S965" s="5">
        <f>IFERROR(__xludf.DUMMYFUNCTION("""COMPUTED_VALUE"""),383.0)</f>
        <v>383</v>
      </c>
      <c r="T965" s="5" t="str">
        <f>IFERROR(__xludf.DUMMYFUNCTION("""COMPUTED_VALUE"""),"Donnie Darko")</f>
        <v>Donnie Darko</v>
      </c>
      <c r="U965" s="5" t="str">
        <f>IFERROR(__xludf.DUMMYFUNCTION("""COMPUTED_VALUE"""),"Drama")</f>
        <v>Drama</v>
      </c>
      <c r="V965" s="5">
        <f>IFERROR(__xludf.DUMMYFUNCTION("""COMPUTED_VALUE"""),1.0)</f>
        <v>1</v>
      </c>
    </row>
    <row r="966">
      <c r="A966" s="1">
        <v>965.0</v>
      </c>
      <c r="B966" s="1" t="s">
        <v>5433</v>
      </c>
      <c r="C966" s="1" t="s">
        <v>1565</v>
      </c>
      <c r="D966" s="1"/>
      <c r="E966" s="1">
        <v>965.0</v>
      </c>
      <c r="F966" s="1" t="s">
        <v>5433</v>
      </c>
      <c r="G966" s="1" t="str">
        <f>IFERROR(__xludf.DUMMYFUNCTION("SPLIT(C966, "", "")"),"Adventure")</f>
        <v>Adventure</v>
      </c>
      <c r="H966" s="5" t="str">
        <f>IFERROR(__xludf.DUMMYFUNCTION("""COMPUTED_VALUE"""),"Drama")</f>
        <v>Drama</v>
      </c>
      <c r="I966" s="5" t="str">
        <f>IFERROR(__xludf.DUMMYFUNCTION("""COMPUTED_VALUE"""),"Fantasy")</f>
        <v>Fantasy</v>
      </c>
      <c r="J966" s="5" t="str">
        <f>IFERROR(__xludf.DUMMYFUNCTION("""COMPUTED_VALUE"""),"322🤙🏼Das Cabinet des Dr. Caligari🤙🏼Horror🤙🏼2")</f>
        <v>322🤙🏼Das Cabinet des Dr. Caligari🤙🏼Horror🤙🏼2</v>
      </c>
      <c r="K966" s="5">
        <f>IFERROR(__xludf.DUMMYFUNCTION("SPLiT(J966, ""🤙🏼"",FALSE,FALSE)"),322.0)</f>
        <v>322</v>
      </c>
      <c r="L966" s="5" t="str">
        <f>IFERROR(__xludf.DUMMYFUNCTION("""COMPUTED_VALUE"""),"Das Cabinet des Dr. Caligari")</f>
        <v>Das Cabinet des Dr. Caligari</v>
      </c>
      <c r="M966" s="5" t="str">
        <f>IFERROR(__xludf.DUMMYFUNCTION("""COMPUTED_VALUE"""),"Horror")</f>
        <v>Horror</v>
      </c>
      <c r="N966" s="5">
        <f>IFERROR(__xludf.DUMMYFUNCTION("""COMPUTED_VALUE"""),2.0)</f>
        <v>2</v>
      </c>
      <c r="S966" s="5">
        <f>IFERROR(__xludf.DUMMYFUNCTION("""COMPUTED_VALUE"""),383.0)</f>
        <v>383</v>
      </c>
      <c r="T966" s="5" t="str">
        <f>IFERROR(__xludf.DUMMYFUNCTION("""COMPUTED_VALUE"""),"Donnie Darko")</f>
        <v>Donnie Darko</v>
      </c>
      <c r="U966" s="5" t="str">
        <f>IFERROR(__xludf.DUMMYFUNCTION("""COMPUTED_VALUE"""),"Mystery")</f>
        <v>Mystery</v>
      </c>
      <c r="V966" s="5">
        <f>IFERROR(__xludf.DUMMYFUNCTION("""COMPUTED_VALUE"""),2.0)</f>
        <v>2</v>
      </c>
    </row>
    <row r="967">
      <c r="A967" s="1">
        <v>966.0</v>
      </c>
      <c r="B967" s="1" t="s">
        <v>5437</v>
      </c>
      <c r="C967" s="1" t="s">
        <v>107</v>
      </c>
      <c r="D967" s="1"/>
      <c r="E967" s="1">
        <v>966.0</v>
      </c>
      <c r="F967" s="1" t="s">
        <v>5437</v>
      </c>
      <c r="G967" s="1" t="str">
        <f>IFERROR(__xludf.DUMMYFUNCTION("SPLIT(C967, "", "")"),"Drama")</f>
        <v>Drama</v>
      </c>
      <c r="H967" s="5" t="str">
        <f>IFERROR(__xludf.DUMMYFUNCTION("""COMPUTED_VALUE"""),"Romance")</f>
        <v>Romance</v>
      </c>
      <c r="J967" s="5" t="str">
        <f>IFERROR(__xludf.DUMMYFUNCTION("""COMPUTED_VALUE"""),"322🤙🏼Das Cabinet des Dr. Caligari🤙🏼Mystery🤙🏼3")</f>
        <v>322🤙🏼Das Cabinet des Dr. Caligari🤙🏼Mystery🤙🏼3</v>
      </c>
      <c r="K967" s="5">
        <f>IFERROR(__xludf.DUMMYFUNCTION("SPLiT(J967, ""🤙🏼"",FALSE,FALSE)"),322.0)</f>
        <v>322</v>
      </c>
      <c r="L967" s="5" t="str">
        <f>IFERROR(__xludf.DUMMYFUNCTION("""COMPUTED_VALUE"""),"Das Cabinet des Dr. Caligari")</f>
        <v>Das Cabinet des Dr. Caligari</v>
      </c>
      <c r="M967" s="5" t="str">
        <f>IFERROR(__xludf.DUMMYFUNCTION("""COMPUTED_VALUE"""),"Mystery")</f>
        <v>Mystery</v>
      </c>
      <c r="N967" s="5">
        <f>IFERROR(__xludf.DUMMYFUNCTION("""COMPUTED_VALUE"""),3.0)</f>
        <v>3</v>
      </c>
      <c r="S967" s="5">
        <f>IFERROR(__xludf.DUMMYFUNCTION("""COMPUTED_VALUE"""),383.0)</f>
        <v>383</v>
      </c>
      <c r="T967" s="5" t="str">
        <f>IFERROR(__xludf.DUMMYFUNCTION("""COMPUTED_VALUE"""),"Donnie Darko")</f>
        <v>Donnie Darko</v>
      </c>
      <c r="U967" s="5" t="str">
        <f>IFERROR(__xludf.DUMMYFUNCTION("""COMPUTED_VALUE"""),"Sci-Fi")</f>
        <v>Sci-Fi</v>
      </c>
      <c r="V967" s="5">
        <f>IFERROR(__xludf.DUMMYFUNCTION("""COMPUTED_VALUE"""),3.0)</f>
        <v>3</v>
      </c>
    </row>
    <row r="968">
      <c r="A968" s="1">
        <v>967.0</v>
      </c>
      <c r="B968" s="1" t="s">
        <v>5441</v>
      </c>
      <c r="C968" s="1" t="s">
        <v>1269</v>
      </c>
      <c r="D968" s="1"/>
      <c r="E968" s="1">
        <v>967.0</v>
      </c>
      <c r="F968" s="1" t="s">
        <v>5441</v>
      </c>
      <c r="G968" s="1" t="str">
        <f>IFERROR(__xludf.DUMMYFUNCTION("SPLIT(C968, "", "")"),"Adventure")</f>
        <v>Adventure</v>
      </c>
      <c r="H968" s="5" t="str">
        <f>IFERROR(__xludf.DUMMYFUNCTION("""COMPUTED_VALUE"""),"Drama")</f>
        <v>Drama</v>
      </c>
      <c r="I968" s="5" t="str">
        <f>IFERROR(__xludf.DUMMYFUNCTION("""COMPUTED_VALUE"""),"History")</f>
        <v>History</v>
      </c>
      <c r="J968" s="5" t="str">
        <f>IFERROR(__xludf.DUMMYFUNCTION("""COMPUTED_VALUE"""),"323🤙🏼Badhaai ho🤙🏼Comedy🤙🏼1")</f>
        <v>323🤙🏼Badhaai ho🤙🏼Comedy🤙🏼1</v>
      </c>
      <c r="K968" s="5">
        <f>IFERROR(__xludf.DUMMYFUNCTION("SPLiT(J968, ""🤙🏼"",FALSE,FALSE)"),323.0)</f>
        <v>323</v>
      </c>
      <c r="L968" s="5" t="str">
        <f>IFERROR(__xludf.DUMMYFUNCTION("""COMPUTED_VALUE"""),"Badhaai ho")</f>
        <v>Badhaai ho</v>
      </c>
      <c r="M968" s="5" t="str">
        <f>IFERROR(__xludf.DUMMYFUNCTION("""COMPUTED_VALUE"""),"Comedy")</f>
        <v>Comedy</v>
      </c>
      <c r="N968" s="5">
        <f>IFERROR(__xludf.DUMMYFUNCTION("""COMPUTED_VALUE"""),1.0)</f>
        <v>1</v>
      </c>
      <c r="S968" s="5">
        <f>IFERROR(__xludf.DUMMYFUNCTION("""COMPUTED_VALUE"""),384.0)</f>
        <v>384</v>
      </c>
      <c r="T968" s="5" t="str">
        <f>IFERROR(__xludf.DUMMYFUNCTION("""COMPUTED_VALUE"""),"Magnolia")</f>
        <v>Magnolia</v>
      </c>
      <c r="U968" s="5" t="str">
        <f>IFERROR(__xludf.DUMMYFUNCTION("""COMPUTED_VALUE"""),"Drama")</f>
        <v>Drama</v>
      </c>
      <c r="V968" s="5">
        <f>IFERROR(__xludf.DUMMYFUNCTION("""COMPUTED_VALUE"""),1.0)</f>
        <v>1</v>
      </c>
    </row>
    <row r="969">
      <c r="A969" s="1">
        <v>968.0</v>
      </c>
      <c r="B969" s="1" t="s">
        <v>5443</v>
      </c>
      <c r="C969" s="1" t="s">
        <v>227</v>
      </c>
      <c r="D969" s="1"/>
      <c r="E969" s="1">
        <v>968.0</v>
      </c>
      <c r="F969" s="1" t="s">
        <v>5443</v>
      </c>
      <c r="G969" s="1" t="str">
        <f>IFERROR(__xludf.DUMMYFUNCTION("SPLIT(C969, "", "")"),"Comedy")</f>
        <v>Comedy</v>
      </c>
      <c r="H969" s="5" t="str">
        <f>IFERROR(__xludf.DUMMYFUNCTION("""COMPUTED_VALUE"""),"Drama")</f>
        <v>Drama</v>
      </c>
      <c r="I969" s="5" t="str">
        <f>IFERROR(__xludf.DUMMYFUNCTION("""COMPUTED_VALUE"""),"Romance")</f>
        <v>Romance</v>
      </c>
      <c r="J969" s="5" t="str">
        <f>IFERROR(__xludf.DUMMYFUNCTION("""COMPUTED_VALUE"""),"323🤙🏼Badhaai ho🤙🏼Drama🤙🏼2")</f>
        <v>323🤙🏼Badhaai ho🤙🏼Drama🤙🏼2</v>
      </c>
      <c r="K969" s="5">
        <f>IFERROR(__xludf.DUMMYFUNCTION("SPLiT(J969, ""🤙🏼"",FALSE,FALSE)"),323.0)</f>
        <v>323</v>
      </c>
      <c r="L969" s="5" t="str">
        <f>IFERROR(__xludf.DUMMYFUNCTION("""COMPUTED_VALUE"""),"Badhaai ho")</f>
        <v>Badhaai ho</v>
      </c>
      <c r="M969" s="5" t="str">
        <f>IFERROR(__xludf.DUMMYFUNCTION("""COMPUTED_VALUE"""),"Drama")</f>
        <v>Drama</v>
      </c>
      <c r="N969" s="5">
        <f>IFERROR(__xludf.DUMMYFUNCTION("""COMPUTED_VALUE"""),2.0)</f>
        <v>2</v>
      </c>
      <c r="S969" s="5">
        <f>IFERROR(__xludf.DUMMYFUNCTION("""COMPUTED_VALUE"""),385.0)</f>
        <v>385</v>
      </c>
      <c r="T969" s="5" t="str">
        <f>IFERROR(__xludf.DUMMYFUNCTION("""COMPUTED_VALUE"""),"Dancer in the Dark")</f>
        <v>Dancer in the Dark</v>
      </c>
      <c r="U969" s="5" t="str">
        <f>IFERROR(__xludf.DUMMYFUNCTION("""COMPUTED_VALUE"""),"Crime")</f>
        <v>Crime</v>
      </c>
      <c r="V969" s="5">
        <f>IFERROR(__xludf.DUMMYFUNCTION("""COMPUTED_VALUE"""),1.0)</f>
        <v>1</v>
      </c>
    </row>
    <row r="970">
      <c r="A970" s="1">
        <v>969.0</v>
      </c>
      <c r="B970" s="1" t="s">
        <v>5447</v>
      </c>
      <c r="C970" s="1" t="s">
        <v>39</v>
      </c>
      <c r="D970" s="1"/>
      <c r="E970" s="1">
        <v>969.0</v>
      </c>
      <c r="F970" s="1" t="s">
        <v>5447</v>
      </c>
      <c r="G970" s="1" t="str">
        <f>IFERROR(__xludf.DUMMYFUNCTION("SPLIT(C970, "", "")"),"Action")</f>
        <v>Action</v>
      </c>
      <c r="H970" s="5" t="str">
        <f>IFERROR(__xludf.DUMMYFUNCTION("""COMPUTED_VALUE"""),"Crime")</f>
        <v>Crime</v>
      </c>
      <c r="I970" s="5" t="str">
        <f>IFERROR(__xludf.DUMMYFUNCTION("""COMPUTED_VALUE"""),"Drama")</f>
        <v>Drama</v>
      </c>
      <c r="J970" s="5" t="str">
        <f>IFERROR(__xludf.DUMMYFUNCTION("""COMPUTED_VALUE"""),"323🤙🏼Badhaai ho🤙🏼🤙🏼3")</f>
        <v>323🤙🏼Badhaai ho🤙🏼🤙🏼3</v>
      </c>
      <c r="K970" s="5">
        <f>IFERROR(__xludf.DUMMYFUNCTION("SPLiT(J970, ""🤙🏼"",FALSE,FALSE)"),323.0)</f>
        <v>323</v>
      </c>
      <c r="L970" s="5" t="str">
        <f>IFERROR(__xludf.DUMMYFUNCTION("""COMPUTED_VALUE"""),"Badhaai ho")</f>
        <v>Badhaai ho</v>
      </c>
      <c r="M970" s="5"/>
      <c r="N970" s="5">
        <f>IFERROR(__xludf.DUMMYFUNCTION("""COMPUTED_VALUE"""),3.0)</f>
        <v>3</v>
      </c>
      <c r="S970" s="5">
        <f>IFERROR(__xludf.DUMMYFUNCTION("""COMPUTED_VALUE"""),385.0)</f>
        <v>385</v>
      </c>
      <c r="T970" s="5" t="str">
        <f>IFERROR(__xludf.DUMMYFUNCTION("""COMPUTED_VALUE"""),"Dancer in the Dark")</f>
        <v>Dancer in the Dark</v>
      </c>
      <c r="U970" s="5" t="str">
        <f>IFERROR(__xludf.DUMMYFUNCTION("""COMPUTED_VALUE"""),"Drama")</f>
        <v>Drama</v>
      </c>
      <c r="V970" s="5">
        <f>IFERROR(__xludf.DUMMYFUNCTION("""COMPUTED_VALUE"""),2.0)</f>
        <v>2</v>
      </c>
    </row>
    <row r="971">
      <c r="A971" s="1">
        <v>970.0</v>
      </c>
      <c r="B971" s="1" t="s">
        <v>5451</v>
      </c>
      <c r="C971" s="1" t="s">
        <v>602</v>
      </c>
      <c r="D971" s="1"/>
      <c r="E971" s="1">
        <v>970.0</v>
      </c>
      <c r="F971" s="1" t="s">
        <v>5451</v>
      </c>
      <c r="G971" s="1" t="str">
        <f>IFERROR(__xludf.DUMMYFUNCTION("SPLIT(C971, "", "")"),"Comedy")</f>
        <v>Comedy</v>
      </c>
      <c r="J971" s="5" t="str">
        <f>IFERROR(__xludf.DUMMYFUNCTION("""COMPUTED_VALUE"""),"324🤙🏼Togo🤙🏼Adventure🤙🏼1")</f>
        <v>324🤙🏼Togo🤙🏼Adventure🤙🏼1</v>
      </c>
      <c r="K971" s="5">
        <f>IFERROR(__xludf.DUMMYFUNCTION("SPLiT(J971, ""🤙🏼"",FALSE,FALSE)"),324.0)</f>
        <v>324</v>
      </c>
      <c r="L971" s="5" t="str">
        <f>IFERROR(__xludf.DUMMYFUNCTION("""COMPUTED_VALUE"""),"Togo")</f>
        <v>Togo</v>
      </c>
      <c r="M971" s="5" t="str">
        <f>IFERROR(__xludf.DUMMYFUNCTION("""COMPUTED_VALUE"""),"Adventure")</f>
        <v>Adventure</v>
      </c>
      <c r="N971" s="5">
        <f>IFERROR(__xludf.DUMMYFUNCTION("""COMPUTED_VALUE"""),1.0)</f>
        <v>1</v>
      </c>
      <c r="S971" s="5">
        <f>IFERROR(__xludf.DUMMYFUNCTION("""COMPUTED_VALUE"""),385.0)</f>
        <v>385</v>
      </c>
      <c r="T971" s="5" t="str">
        <f>IFERROR(__xludf.DUMMYFUNCTION("""COMPUTED_VALUE"""),"Dancer in the Dark")</f>
        <v>Dancer in the Dark</v>
      </c>
      <c r="U971" s="5" t="str">
        <f>IFERROR(__xludf.DUMMYFUNCTION("""COMPUTED_VALUE"""),"Musical")</f>
        <v>Musical</v>
      </c>
      <c r="V971" s="5">
        <f>IFERROR(__xludf.DUMMYFUNCTION("""COMPUTED_VALUE"""),3.0)</f>
        <v>3</v>
      </c>
    </row>
    <row r="972">
      <c r="A972" s="1">
        <v>971.0</v>
      </c>
      <c r="B972" s="1" t="s">
        <v>5455</v>
      </c>
      <c r="C972" s="1" t="s">
        <v>731</v>
      </c>
      <c r="D972" s="1"/>
      <c r="E972" s="1">
        <v>971.0</v>
      </c>
      <c r="F972" s="1" t="s">
        <v>5455</v>
      </c>
      <c r="G972" s="1" t="str">
        <f>IFERROR(__xludf.DUMMYFUNCTION("SPLIT(C972, "", "")"),"Comedy")</f>
        <v>Comedy</v>
      </c>
      <c r="H972" s="5" t="str">
        <f>IFERROR(__xludf.DUMMYFUNCTION("""COMPUTED_VALUE"""),"Crime")</f>
        <v>Crime</v>
      </c>
      <c r="J972" s="5" t="str">
        <f>IFERROR(__xludf.DUMMYFUNCTION("""COMPUTED_VALUE"""),"324🤙🏼Togo🤙🏼Biography🤙🏼2")</f>
        <v>324🤙🏼Togo🤙🏼Biography🤙🏼2</v>
      </c>
      <c r="K972" s="5">
        <f>IFERROR(__xludf.DUMMYFUNCTION("SPLiT(J972, ""🤙🏼"",FALSE,FALSE)"),324.0)</f>
        <v>324</v>
      </c>
      <c r="L972" s="5" t="str">
        <f>IFERROR(__xludf.DUMMYFUNCTION("""COMPUTED_VALUE"""),"Togo")</f>
        <v>Togo</v>
      </c>
      <c r="M972" s="5" t="str">
        <f>IFERROR(__xludf.DUMMYFUNCTION("""COMPUTED_VALUE"""),"Biography")</f>
        <v>Biography</v>
      </c>
      <c r="N972" s="5">
        <f>IFERROR(__xludf.DUMMYFUNCTION("""COMPUTED_VALUE"""),2.0)</f>
        <v>2</v>
      </c>
      <c r="S972" s="5">
        <f>IFERROR(__xludf.DUMMYFUNCTION("""COMPUTED_VALUE"""),386.0)</f>
        <v>386</v>
      </c>
      <c r="T972" s="5" t="str">
        <f>IFERROR(__xludf.DUMMYFUNCTION("""COMPUTED_VALUE"""),"The Straight Story")</f>
        <v>The Straight Story</v>
      </c>
      <c r="U972" s="5" t="str">
        <f>IFERROR(__xludf.DUMMYFUNCTION("""COMPUTED_VALUE"""),"Biography")</f>
        <v>Biography</v>
      </c>
      <c r="V972" s="5">
        <f>IFERROR(__xludf.DUMMYFUNCTION("""COMPUTED_VALUE"""),1.0)</f>
        <v>1</v>
      </c>
    </row>
    <row r="973">
      <c r="A973" s="1">
        <v>972.0</v>
      </c>
      <c r="B973" s="1" t="s">
        <v>5460</v>
      </c>
      <c r="C973" s="1" t="s">
        <v>5461</v>
      </c>
      <c r="D973" s="1"/>
      <c r="E973" s="1">
        <v>972.0</v>
      </c>
      <c r="F973" s="1" t="s">
        <v>5460</v>
      </c>
      <c r="G973" s="1" t="str">
        <f>IFERROR(__xludf.DUMMYFUNCTION("SPLIT(C973, "", "")"),"Animation")</f>
        <v>Animation</v>
      </c>
      <c r="H973" s="5" t="str">
        <f>IFERROR(__xludf.DUMMYFUNCTION("""COMPUTED_VALUE"""),"Drama")</f>
        <v>Drama</v>
      </c>
      <c r="I973" s="5" t="str">
        <f>IFERROR(__xludf.DUMMYFUNCTION("""COMPUTED_VALUE"""),"Romance")</f>
        <v>Romance</v>
      </c>
      <c r="J973" s="5" t="str">
        <f>IFERROR(__xludf.DUMMYFUNCTION("""COMPUTED_VALUE"""),"324🤙🏼Togo🤙🏼Drama🤙🏼3")</f>
        <v>324🤙🏼Togo🤙🏼Drama🤙🏼3</v>
      </c>
      <c r="K973" s="5">
        <f>IFERROR(__xludf.DUMMYFUNCTION("SPLiT(J973, ""🤙🏼"",FALSE,FALSE)"),324.0)</f>
        <v>324</v>
      </c>
      <c r="L973" s="5" t="str">
        <f>IFERROR(__xludf.DUMMYFUNCTION("""COMPUTED_VALUE"""),"Togo")</f>
        <v>Togo</v>
      </c>
      <c r="M973" s="5" t="str">
        <f>IFERROR(__xludf.DUMMYFUNCTION("""COMPUTED_VALUE"""),"Drama")</f>
        <v>Drama</v>
      </c>
      <c r="N973" s="5">
        <f>IFERROR(__xludf.DUMMYFUNCTION("""COMPUTED_VALUE"""),3.0)</f>
        <v>3</v>
      </c>
      <c r="S973" s="5">
        <f>IFERROR(__xludf.DUMMYFUNCTION("""COMPUTED_VALUE"""),386.0)</f>
        <v>386</v>
      </c>
      <c r="T973" s="5" t="str">
        <f>IFERROR(__xludf.DUMMYFUNCTION("""COMPUTED_VALUE"""),"The Straight Story")</f>
        <v>The Straight Story</v>
      </c>
      <c r="U973" s="5" t="str">
        <f>IFERROR(__xludf.DUMMYFUNCTION("""COMPUTED_VALUE"""),"Drama")</f>
        <v>Drama</v>
      </c>
      <c r="V973" s="5">
        <f>IFERROR(__xludf.DUMMYFUNCTION("""COMPUTED_VALUE"""),2.0)</f>
        <v>2</v>
      </c>
    </row>
    <row r="974">
      <c r="A974" s="1">
        <v>973.0</v>
      </c>
      <c r="B974" s="1" t="s">
        <v>5466</v>
      </c>
      <c r="C974" s="1" t="s">
        <v>731</v>
      </c>
      <c r="D974" s="1"/>
      <c r="E974" s="1">
        <v>973.0</v>
      </c>
      <c r="F974" s="1" t="s">
        <v>5466</v>
      </c>
      <c r="G974" s="1" t="str">
        <f>IFERROR(__xludf.DUMMYFUNCTION("SPLIT(C974, "", "")"),"Comedy")</f>
        <v>Comedy</v>
      </c>
      <c r="H974" s="5" t="str">
        <f>IFERROR(__xludf.DUMMYFUNCTION("""COMPUTED_VALUE"""),"Crime")</f>
        <v>Crime</v>
      </c>
      <c r="J974" s="5" t="str">
        <f>IFERROR(__xludf.DUMMYFUNCTION("""COMPUTED_VALUE"""),"325🤙🏼Airlift🤙🏼Drama🤙🏼1")</f>
        <v>325🤙🏼Airlift🤙🏼Drama🤙🏼1</v>
      </c>
      <c r="K974" s="5">
        <f>IFERROR(__xludf.DUMMYFUNCTION("SPLiT(J974, ""🤙🏼"",FALSE,FALSE)"),325.0)</f>
        <v>325</v>
      </c>
      <c r="L974" s="5" t="str">
        <f>IFERROR(__xludf.DUMMYFUNCTION("""COMPUTED_VALUE"""),"Airlift")</f>
        <v>Airlift</v>
      </c>
      <c r="M974" s="5" t="str">
        <f>IFERROR(__xludf.DUMMYFUNCTION("""COMPUTED_VALUE"""),"Drama")</f>
        <v>Drama</v>
      </c>
      <c r="N974" s="5">
        <f>IFERROR(__xludf.DUMMYFUNCTION("""COMPUTED_VALUE"""),1.0)</f>
        <v>1</v>
      </c>
      <c r="S974" s="5">
        <f>IFERROR(__xludf.DUMMYFUNCTION("""COMPUTED_VALUE"""),387.0)</f>
        <v>387</v>
      </c>
      <c r="T974" s="5" t="str">
        <f>IFERROR(__xludf.DUMMYFUNCTION("""COMPUTED_VALUE"""),"Pâfekuto burû")</f>
        <v>Pâfekuto burû</v>
      </c>
      <c r="U974" s="5" t="str">
        <f>IFERROR(__xludf.DUMMYFUNCTION("""COMPUTED_VALUE"""),"Animation")</f>
        <v>Animation</v>
      </c>
      <c r="V974" s="5">
        <f>IFERROR(__xludf.DUMMYFUNCTION("""COMPUTED_VALUE"""),1.0)</f>
        <v>1</v>
      </c>
    </row>
    <row r="975">
      <c r="A975" s="1">
        <v>974.0</v>
      </c>
      <c r="B975" s="1" t="s">
        <v>5471</v>
      </c>
      <c r="C975" s="1" t="s">
        <v>3300</v>
      </c>
      <c r="D975" s="1"/>
      <c r="E975" s="1">
        <v>974.0</v>
      </c>
      <c r="F975" s="1" t="s">
        <v>5471</v>
      </c>
      <c r="G975" s="1" t="str">
        <f>IFERROR(__xludf.DUMMYFUNCTION("SPLIT(C975, "", "")"),"Comedy")</f>
        <v>Comedy</v>
      </c>
      <c r="H975" s="5" t="str">
        <f>IFERROR(__xludf.DUMMYFUNCTION("""COMPUTED_VALUE"""),"Family")</f>
        <v>Family</v>
      </c>
      <c r="J975" s="5" t="str">
        <f>IFERROR(__xludf.DUMMYFUNCTION("""COMPUTED_VALUE"""),"325🤙🏼Airlift🤙🏼History🤙🏼2")</f>
        <v>325🤙🏼Airlift🤙🏼History🤙🏼2</v>
      </c>
      <c r="K975" s="5">
        <f>IFERROR(__xludf.DUMMYFUNCTION("SPLiT(J975, ""🤙🏼"",FALSE,FALSE)"),325.0)</f>
        <v>325</v>
      </c>
      <c r="L975" s="5" t="str">
        <f>IFERROR(__xludf.DUMMYFUNCTION("""COMPUTED_VALUE"""),"Airlift")</f>
        <v>Airlift</v>
      </c>
      <c r="M975" s="5" t="str">
        <f>IFERROR(__xludf.DUMMYFUNCTION("""COMPUTED_VALUE"""),"History")</f>
        <v>History</v>
      </c>
      <c r="N975" s="5">
        <f>IFERROR(__xludf.DUMMYFUNCTION("""COMPUTED_VALUE"""),2.0)</f>
        <v>2</v>
      </c>
      <c r="S975" s="5">
        <f>IFERROR(__xludf.DUMMYFUNCTION("""COMPUTED_VALUE"""),387.0)</f>
        <v>387</v>
      </c>
      <c r="T975" s="5" t="str">
        <f>IFERROR(__xludf.DUMMYFUNCTION("""COMPUTED_VALUE"""),"Pâfekuto burû")</f>
        <v>Pâfekuto burû</v>
      </c>
      <c r="U975" s="5" t="str">
        <f>IFERROR(__xludf.DUMMYFUNCTION("""COMPUTED_VALUE"""),"Crime")</f>
        <v>Crime</v>
      </c>
      <c r="V975" s="5">
        <f>IFERROR(__xludf.DUMMYFUNCTION("""COMPUTED_VALUE"""),2.0)</f>
        <v>2</v>
      </c>
    </row>
    <row r="976">
      <c r="A976" s="1">
        <v>975.0</v>
      </c>
      <c r="B976" s="1" t="s">
        <v>5476</v>
      </c>
      <c r="C976" s="1" t="s">
        <v>29</v>
      </c>
      <c r="D976" s="1"/>
      <c r="E976" s="1">
        <v>975.0</v>
      </c>
      <c r="F976" s="1" t="s">
        <v>5476</v>
      </c>
      <c r="G976" s="1" t="str">
        <f>IFERROR(__xludf.DUMMYFUNCTION("SPLIT(C976, "", "")"),"Crime")</f>
        <v>Crime</v>
      </c>
      <c r="H976" s="5" t="str">
        <f>IFERROR(__xludf.DUMMYFUNCTION("""COMPUTED_VALUE"""),"Drama")</f>
        <v>Drama</v>
      </c>
      <c r="J976" s="5" t="str">
        <f>IFERROR(__xludf.DUMMYFUNCTION("""COMPUTED_VALUE"""),"325🤙🏼Airlift🤙🏼🤙🏼3")</f>
        <v>325🤙🏼Airlift🤙🏼🤙🏼3</v>
      </c>
      <c r="K976" s="5">
        <f>IFERROR(__xludf.DUMMYFUNCTION("SPLiT(J976, ""🤙🏼"",FALSE,FALSE)"),325.0)</f>
        <v>325</v>
      </c>
      <c r="L976" s="5" t="str">
        <f>IFERROR(__xludf.DUMMYFUNCTION("""COMPUTED_VALUE"""),"Airlift")</f>
        <v>Airlift</v>
      </c>
      <c r="M976" s="5"/>
      <c r="N976" s="5">
        <f>IFERROR(__xludf.DUMMYFUNCTION("""COMPUTED_VALUE"""),3.0)</f>
        <v>3</v>
      </c>
      <c r="S976" s="5">
        <f>IFERROR(__xludf.DUMMYFUNCTION("""COMPUTED_VALUE"""),387.0)</f>
        <v>387</v>
      </c>
      <c r="T976" s="5" t="str">
        <f>IFERROR(__xludf.DUMMYFUNCTION("""COMPUTED_VALUE"""),"Pâfekuto burû")</f>
        <v>Pâfekuto burû</v>
      </c>
      <c r="U976" s="5" t="str">
        <f>IFERROR(__xludf.DUMMYFUNCTION("""COMPUTED_VALUE"""),"Mystery")</f>
        <v>Mystery</v>
      </c>
      <c r="V976" s="5">
        <f>IFERROR(__xludf.DUMMYFUNCTION("""COMPUTED_VALUE"""),3.0)</f>
        <v>3</v>
      </c>
    </row>
    <row r="977">
      <c r="A977" s="1">
        <v>976.0</v>
      </c>
      <c r="B977" s="1" t="s">
        <v>5479</v>
      </c>
      <c r="C977" s="1" t="s">
        <v>227</v>
      </c>
      <c r="D977" s="1"/>
      <c r="E977" s="1">
        <v>976.0</v>
      </c>
      <c r="F977" s="1" t="s">
        <v>5479</v>
      </c>
      <c r="G977" s="1" t="str">
        <f>IFERROR(__xludf.DUMMYFUNCTION("SPLIT(C977, "", "")"),"Comedy")</f>
        <v>Comedy</v>
      </c>
      <c r="H977" s="5" t="str">
        <f>IFERROR(__xludf.DUMMYFUNCTION("""COMPUTED_VALUE"""),"Drama")</f>
        <v>Drama</v>
      </c>
      <c r="I977" s="5" t="str">
        <f>IFERROR(__xludf.DUMMYFUNCTION("""COMPUTED_VALUE"""),"Romance")</f>
        <v>Romance</v>
      </c>
      <c r="J977" s="5" t="str">
        <f>IFERROR(__xludf.DUMMYFUNCTION("""COMPUTED_VALUE"""),"326🤙🏼Bajrangi Bhaijaan🤙🏼Action🤙🏼1")</f>
        <v>326🤙🏼Bajrangi Bhaijaan🤙🏼Action🤙🏼1</v>
      </c>
      <c r="K977" s="5">
        <f>IFERROR(__xludf.DUMMYFUNCTION("SPLiT(J977, ""🤙🏼"",FALSE,FALSE)"),326.0)</f>
        <v>326</v>
      </c>
      <c r="L977" s="5" t="str">
        <f>IFERROR(__xludf.DUMMYFUNCTION("""COMPUTED_VALUE"""),"Bajrangi Bhaijaan")</f>
        <v>Bajrangi Bhaijaan</v>
      </c>
      <c r="M977" s="5" t="str">
        <f>IFERROR(__xludf.DUMMYFUNCTION("""COMPUTED_VALUE"""),"Action")</f>
        <v>Action</v>
      </c>
      <c r="N977" s="5">
        <f>IFERROR(__xludf.DUMMYFUNCTION("""COMPUTED_VALUE"""),1.0)</f>
        <v>1</v>
      </c>
      <c r="S977" s="5">
        <f>IFERROR(__xludf.DUMMYFUNCTION("""COMPUTED_VALUE"""),388.0)</f>
        <v>388</v>
      </c>
      <c r="T977" s="5" t="str">
        <f>IFERROR(__xludf.DUMMYFUNCTION("""COMPUTED_VALUE"""),"Festen")</f>
        <v>Festen</v>
      </c>
      <c r="U977" s="5" t="str">
        <f>IFERROR(__xludf.DUMMYFUNCTION("""COMPUTED_VALUE"""),"Drama")</f>
        <v>Drama</v>
      </c>
      <c r="V977" s="5">
        <f>IFERROR(__xludf.DUMMYFUNCTION("""COMPUTED_VALUE"""),1.0)</f>
        <v>1</v>
      </c>
    </row>
    <row r="978">
      <c r="A978" s="1">
        <v>977.0</v>
      </c>
      <c r="B978" s="1" t="s">
        <v>5482</v>
      </c>
      <c r="C978" s="1" t="s">
        <v>1207</v>
      </c>
      <c r="D978" s="1"/>
      <c r="E978" s="1">
        <v>977.0</v>
      </c>
      <c r="F978" s="1" t="s">
        <v>5482</v>
      </c>
      <c r="G978" s="1" t="str">
        <f>IFERROR(__xludf.DUMMYFUNCTION("SPLIT(C978, "", "")"),"Animation")</f>
        <v>Animation</v>
      </c>
      <c r="H978" s="5" t="str">
        <f>IFERROR(__xludf.DUMMYFUNCTION("""COMPUTED_VALUE"""),"Family")</f>
        <v>Family</v>
      </c>
      <c r="I978" s="5" t="str">
        <f>IFERROR(__xludf.DUMMYFUNCTION("""COMPUTED_VALUE"""),"Fantasy")</f>
        <v>Fantasy</v>
      </c>
      <c r="J978" s="5" t="str">
        <f>IFERROR(__xludf.DUMMYFUNCTION("""COMPUTED_VALUE"""),"326🤙🏼Bajrangi Bhaijaan🤙🏼Adventure🤙🏼2")</f>
        <v>326🤙🏼Bajrangi Bhaijaan🤙🏼Adventure🤙🏼2</v>
      </c>
      <c r="K978" s="5">
        <f>IFERROR(__xludf.DUMMYFUNCTION("SPLiT(J978, ""🤙🏼"",FALSE,FALSE)"),326.0)</f>
        <v>326</v>
      </c>
      <c r="L978" s="5" t="str">
        <f>IFERROR(__xludf.DUMMYFUNCTION("""COMPUTED_VALUE"""),"Bajrangi Bhaijaan")</f>
        <v>Bajrangi Bhaijaan</v>
      </c>
      <c r="M978" s="5" t="str">
        <f>IFERROR(__xludf.DUMMYFUNCTION("""COMPUTED_VALUE"""),"Adventure")</f>
        <v>Adventure</v>
      </c>
      <c r="N978" s="5">
        <f>IFERROR(__xludf.DUMMYFUNCTION("""COMPUTED_VALUE"""),2.0)</f>
        <v>2</v>
      </c>
      <c r="S978" s="5">
        <f>IFERROR(__xludf.DUMMYFUNCTION("""COMPUTED_VALUE"""),389.0)</f>
        <v>389</v>
      </c>
      <c r="T978" s="5" t="str">
        <f>IFERROR(__xludf.DUMMYFUNCTION("""COMPUTED_VALUE"""),"Central do Brasil")</f>
        <v>Central do Brasil</v>
      </c>
      <c r="U978" s="5" t="str">
        <f>IFERROR(__xludf.DUMMYFUNCTION("""COMPUTED_VALUE"""),"Drama")</f>
        <v>Drama</v>
      </c>
      <c r="V978" s="5">
        <f>IFERROR(__xludf.DUMMYFUNCTION("""COMPUTED_VALUE"""),1.0)</f>
        <v>1</v>
      </c>
    </row>
    <row r="979">
      <c r="A979" s="1">
        <v>978.0</v>
      </c>
      <c r="B979" s="1" t="s">
        <v>5487</v>
      </c>
      <c r="C979" s="1" t="s">
        <v>731</v>
      </c>
      <c r="D979" s="1"/>
      <c r="E979" s="1">
        <v>978.0</v>
      </c>
      <c r="F979" s="1" t="s">
        <v>5487</v>
      </c>
      <c r="G979" s="1" t="str">
        <f>IFERROR(__xludf.DUMMYFUNCTION("SPLIT(C979, "", "")"),"Comedy")</f>
        <v>Comedy</v>
      </c>
      <c r="H979" s="5" t="str">
        <f>IFERROR(__xludf.DUMMYFUNCTION("""COMPUTED_VALUE"""),"Crime")</f>
        <v>Crime</v>
      </c>
      <c r="J979" s="5" t="str">
        <f>IFERROR(__xludf.DUMMYFUNCTION("""COMPUTED_VALUE"""),"326🤙🏼Bajrangi Bhaijaan🤙🏼Comedy🤙🏼3")</f>
        <v>326🤙🏼Bajrangi Bhaijaan🤙🏼Comedy🤙🏼3</v>
      </c>
      <c r="K979" s="5">
        <f>IFERROR(__xludf.DUMMYFUNCTION("SPLiT(J979, ""🤙🏼"",FALSE,FALSE)"),326.0)</f>
        <v>326</v>
      </c>
      <c r="L979" s="5" t="str">
        <f>IFERROR(__xludf.DUMMYFUNCTION("""COMPUTED_VALUE"""),"Bajrangi Bhaijaan")</f>
        <v>Bajrangi Bhaijaan</v>
      </c>
      <c r="M979" s="5" t="str">
        <f>IFERROR(__xludf.DUMMYFUNCTION("""COMPUTED_VALUE"""),"Comedy")</f>
        <v>Comedy</v>
      </c>
      <c r="N979" s="5">
        <f>IFERROR(__xludf.DUMMYFUNCTION("""COMPUTED_VALUE"""),3.0)</f>
        <v>3</v>
      </c>
      <c r="S979" s="5">
        <f>IFERROR(__xludf.DUMMYFUNCTION("""COMPUTED_VALUE"""),390.0)</f>
        <v>390</v>
      </c>
      <c r="T979" s="5" t="str">
        <f>IFERROR(__xludf.DUMMYFUNCTION("""COMPUTED_VALUE"""),"The Iron Giant")</f>
        <v>The Iron Giant</v>
      </c>
      <c r="U979" s="5" t="str">
        <f>IFERROR(__xludf.DUMMYFUNCTION("""COMPUTED_VALUE"""),"Animation")</f>
        <v>Animation</v>
      </c>
      <c r="V979" s="5">
        <f>IFERROR(__xludf.DUMMYFUNCTION("""COMPUTED_VALUE"""),1.0)</f>
        <v>1</v>
      </c>
    </row>
    <row r="980">
      <c r="A980" s="1">
        <v>979.0</v>
      </c>
      <c r="B980" s="1" t="s">
        <v>5493</v>
      </c>
      <c r="C980" s="1" t="s">
        <v>507</v>
      </c>
      <c r="D980" s="1"/>
      <c r="E980" s="1">
        <v>979.0</v>
      </c>
      <c r="F980" s="1" t="s">
        <v>5493</v>
      </c>
      <c r="G980" s="1" t="str">
        <f>IFERROR(__xludf.DUMMYFUNCTION("SPLIT(C980, "", "")"),"Comedy")</f>
        <v>Comedy</v>
      </c>
      <c r="H980" s="5" t="str">
        <f>IFERROR(__xludf.DUMMYFUNCTION("""COMPUTED_VALUE"""),"Drama")</f>
        <v>Drama</v>
      </c>
      <c r="J980" s="5" t="str">
        <f>IFERROR(__xludf.DUMMYFUNCTION("""COMPUTED_VALUE"""),"327🤙🏼Baby🤙🏼Action🤙🏼1")</f>
        <v>327🤙🏼Baby🤙🏼Action🤙🏼1</v>
      </c>
      <c r="K980" s="5">
        <f>IFERROR(__xludf.DUMMYFUNCTION("SPLiT(J980, ""🤙🏼"",FALSE,FALSE)"),327.0)</f>
        <v>327</v>
      </c>
      <c r="L980" s="5" t="str">
        <f>IFERROR(__xludf.DUMMYFUNCTION("""COMPUTED_VALUE"""),"Baby")</f>
        <v>Baby</v>
      </c>
      <c r="M980" s="5" t="str">
        <f>IFERROR(__xludf.DUMMYFUNCTION("""COMPUTED_VALUE"""),"Action")</f>
        <v>Action</v>
      </c>
      <c r="N980" s="5">
        <f>IFERROR(__xludf.DUMMYFUNCTION("""COMPUTED_VALUE"""),1.0)</f>
        <v>1</v>
      </c>
      <c r="S980" s="5">
        <f>IFERROR(__xludf.DUMMYFUNCTION("""COMPUTED_VALUE"""),390.0)</f>
        <v>390</v>
      </c>
      <c r="T980" s="5" t="str">
        <f>IFERROR(__xludf.DUMMYFUNCTION("""COMPUTED_VALUE"""),"The Iron Giant")</f>
        <v>The Iron Giant</v>
      </c>
      <c r="U980" s="5" t="str">
        <f>IFERROR(__xludf.DUMMYFUNCTION("""COMPUTED_VALUE"""),"Action")</f>
        <v>Action</v>
      </c>
      <c r="V980" s="5">
        <f>IFERROR(__xludf.DUMMYFUNCTION("""COMPUTED_VALUE"""),2.0)</f>
        <v>2</v>
      </c>
    </row>
    <row r="981">
      <c r="A981" s="1">
        <v>980.0</v>
      </c>
      <c r="B981" s="1" t="s">
        <v>5497</v>
      </c>
      <c r="C981" s="1" t="s">
        <v>2169</v>
      </c>
      <c r="D981" s="1"/>
      <c r="E981" s="1">
        <v>980.0</v>
      </c>
      <c r="F981" s="1" t="s">
        <v>5497</v>
      </c>
      <c r="G981" s="1" t="str">
        <f>IFERROR(__xludf.DUMMYFUNCTION("SPLIT(C981, "", "")"),"Action")</f>
        <v>Action</v>
      </c>
      <c r="H981" s="5" t="str">
        <f>IFERROR(__xludf.DUMMYFUNCTION("""COMPUTED_VALUE"""),"Crime")</f>
        <v>Crime</v>
      </c>
      <c r="I981" s="5" t="str">
        <f>IFERROR(__xludf.DUMMYFUNCTION("""COMPUTED_VALUE"""),"Thriller")</f>
        <v>Thriller</v>
      </c>
      <c r="J981" s="5" t="str">
        <f>IFERROR(__xludf.DUMMYFUNCTION("""COMPUTED_VALUE"""),"327🤙🏼Baby🤙🏼Crime🤙🏼2")</f>
        <v>327🤙🏼Baby🤙🏼Crime🤙🏼2</v>
      </c>
      <c r="K981" s="5">
        <f>IFERROR(__xludf.DUMMYFUNCTION("SPLiT(J981, ""🤙🏼"",FALSE,FALSE)"),327.0)</f>
        <v>327</v>
      </c>
      <c r="L981" s="5" t="str">
        <f>IFERROR(__xludf.DUMMYFUNCTION("""COMPUTED_VALUE"""),"Baby")</f>
        <v>Baby</v>
      </c>
      <c r="M981" s="5" t="str">
        <f>IFERROR(__xludf.DUMMYFUNCTION("""COMPUTED_VALUE"""),"Crime")</f>
        <v>Crime</v>
      </c>
      <c r="N981" s="5">
        <f>IFERROR(__xludf.DUMMYFUNCTION("""COMPUTED_VALUE"""),2.0)</f>
        <v>2</v>
      </c>
      <c r="S981" s="5">
        <f>IFERROR(__xludf.DUMMYFUNCTION("""COMPUTED_VALUE"""),390.0)</f>
        <v>390</v>
      </c>
      <c r="T981" s="5" t="str">
        <f>IFERROR(__xludf.DUMMYFUNCTION("""COMPUTED_VALUE"""),"The Iron Giant")</f>
        <v>The Iron Giant</v>
      </c>
      <c r="U981" s="5" t="str">
        <f>IFERROR(__xludf.DUMMYFUNCTION("""COMPUTED_VALUE"""),"Adventure")</f>
        <v>Adventure</v>
      </c>
      <c r="V981" s="5">
        <f>IFERROR(__xludf.DUMMYFUNCTION("""COMPUTED_VALUE"""),3.0)</f>
        <v>3</v>
      </c>
    </row>
    <row r="982">
      <c r="A982" s="1">
        <v>981.0</v>
      </c>
      <c r="B982" s="1" t="s">
        <v>5501</v>
      </c>
      <c r="C982" s="1" t="s">
        <v>241</v>
      </c>
      <c r="D982" s="1"/>
      <c r="E982" s="1">
        <v>981.0</v>
      </c>
      <c r="F982" s="1" t="s">
        <v>5501</v>
      </c>
      <c r="G982" s="1" t="str">
        <f>IFERROR(__xludf.DUMMYFUNCTION("SPLIT(C982, "", "")"),"Crime")</f>
        <v>Crime</v>
      </c>
      <c r="H982" s="5" t="str">
        <f>IFERROR(__xludf.DUMMYFUNCTION("""COMPUTED_VALUE"""),"Drama")</f>
        <v>Drama</v>
      </c>
      <c r="I982" s="5" t="str">
        <f>IFERROR(__xludf.DUMMYFUNCTION("""COMPUTED_VALUE"""),"Thriller")</f>
        <v>Thriller</v>
      </c>
      <c r="J982" s="5" t="str">
        <f>IFERROR(__xludf.DUMMYFUNCTION("""COMPUTED_VALUE"""),"327🤙🏼Baby🤙🏼Thriller🤙🏼3")</f>
        <v>327🤙🏼Baby🤙🏼Thriller🤙🏼3</v>
      </c>
      <c r="K982" s="5">
        <f>IFERROR(__xludf.DUMMYFUNCTION("SPLiT(J982, ""🤙🏼"",FALSE,FALSE)"),327.0)</f>
        <v>327</v>
      </c>
      <c r="L982" s="5" t="str">
        <f>IFERROR(__xludf.DUMMYFUNCTION("""COMPUTED_VALUE"""),"Baby")</f>
        <v>Baby</v>
      </c>
      <c r="M982" s="5" t="str">
        <f>IFERROR(__xludf.DUMMYFUNCTION("""COMPUTED_VALUE"""),"Thriller")</f>
        <v>Thriller</v>
      </c>
      <c r="N982" s="5">
        <f>IFERROR(__xludf.DUMMYFUNCTION("""COMPUTED_VALUE"""),3.0)</f>
        <v>3</v>
      </c>
      <c r="S982" s="5">
        <f>IFERROR(__xludf.DUMMYFUNCTION("""COMPUTED_VALUE"""),391.0)</f>
        <v>391</v>
      </c>
      <c r="T982" s="5" t="str">
        <f>IFERROR(__xludf.DUMMYFUNCTION("""COMPUTED_VALUE"""),"Knockin' on Heaven's Door")</f>
        <v>Knockin' on Heaven's Door</v>
      </c>
      <c r="U982" s="5" t="str">
        <f>IFERROR(__xludf.DUMMYFUNCTION("""COMPUTED_VALUE"""),"Action")</f>
        <v>Action</v>
      </c>
      <c r="V982" s="5">
        <f>IFERROR(__xludf.DUMMYFUNCTION("""COMPUTED_VALUE"""),1.0)</f>
        <v>1</v>
      </c>
    </row>
    <row r="983">
      <c r="A983" s="1">
        <v>982.0</v>
      </c>
      <c r="B983" s="1" t="s">
        <v>5505</v>
      </c>
      <c r="C983" s="1" t="s">
        <v>20</v>
      </c>
      <c r="D983" s="1"/>
      <c r="E983" s="1">
        <v>982.0</v>
      </c>
      <c r="F983" s="1" t="s">
        <v>5505</v>
      </c>
      <c r="G983" s="1" t="str">
        <f>IFERROR(__xludf.DUMMYFUNCTION("SPLIT(C983, "", "")"),"Drama")</f>
        <v>Drama</v>
      </c>
      <c r="J983" s="5" t="str">
        <f>IFERROR(__xludf.DUMMYFUNCTION("""COMPUTED_VALUE"""),"328🤙🏼La La Land🤙🏼Comedy🤙🏼1")</f>
        <v>328🤙🏼La La Land🤙🏼Comedy🤙🏼1</v>
      </c>
      <c r="K983" s="5">
        <f>IFERROR(__xludf.DUMMYFUNCTION("SPLiT(J983, ""🤙🏼"",FALSE,FALSE)"),328.0)</f>
        <v>328</v>
      </c>
      <c r="L983" s="5" t="str">
        <f>IFERROR(__xludf.DUMMYFUNCTION("""COMPUTED_VALUE"""),"La La Land")</f>
        <v>La La Land</v>
      </c>
      <c r="M983" s="5" t="str">
        <f>IFERROR(__xludf.DUMMYFUNCTION("""COMPUTED_VALUE"""),"Comedy")</f>
        <v>Comedy</v>
      </c>
      <c r="N983" s="5">
        <f>IFERROR(__xludf.DUMMYFUNCTION("""COMPUTED_VALUE"""),1.0)</f>
        <v>1</v>
      </c>
      <c r="S983" s="5">
        <f>IFERROR(__xludf.DUMMYFUNCTION("""COMPUTED_VALUE"""),391.0)</f>
        <v>391</v>
      </c>
      <c r="T983" s="5" t="str">
        <f>IFERROR(__xludf.DUMMYFUNCTION("""COMPUTED_VALUE"""),"Knockin' on Heaven's Door")</f>
        <v>Knockin' on Heaven's Door</v>
      </c>
      <c r="U983" s="5" t="str">
        <f>IFERROR(__xludf.DUMMYFUNCTION("""COMPUTED_VALUE"""),"Crime")</f>
        <v>Crime</v>
      </c>
      <c r="V983" s="5">
        <f>IFERROR(__xludf.DUMMYFUNCTION("""COMPUTED_VALUE"""),2.0)</f>
        <v>2</v>
      </c>
    </row>
    <row r="984">
      <c r="A984" s="1">
        <v>983.0</v>
      </c>
      <c r="B984" s="1" t="s">
        <v>5510</v>
      </c>
      <c r="C984" s="1" t="s">
        <v>88</v>
      </c>
      <c r="D984" s="1"/>
      <c r="E984" s="1">
        <v>983.0</v>
      </c>
      <c r="F984" s="1" t="s">
        <v>5510</v>
      </c>
      <c r="G984" s="1" t="str">
        <f>IFERROR(__xludf.DUMMYFUNCTION("SPLIT(C984, "", "")"),"Action")</f>
        <v>Action</v>
      </c>
      <c r="H984" s="5" t="str">
        <f>IFERROR(__xludf.DUMMYFUNCTION("""COMPUTED_VALUE"""),"Adventure")</f>
        <v>Adventure</v>
      </c>
      <c r="I984" s="5" t="str">
        <f>IFERROR(__xludf.DUMMYFUNCTION("""COMPUTED_VALUE"""),"Sci-Fi")</f>
        <v>Sci-Fi</v>
      </c>
      <c r="J984" s="5" t="str">
        <f>IFERROR(__xludf.DUMMYFUNCTION("""COMPUTED_VALUE"""),"328🤙🏼La La Land🤙🏼Drama🤙🏼2")</f>
        <v>328🤙🏼La La Land🤙🏼Drama🤙🏼2</v>
      </c>
      <c r="K984" s="5">
        <f>IFERROR(__xludf.DUMMYFUNCTION("SPLiT(J984, ""🤙🏼"",FALSE,FALSE)"),328.0)</f>
        <v>328</v>
      </c>
      <c r="L984" s="5" t="str">
        <f>IFERROR(__xludf.DUMMYFUNCTION("""COMPUTED_VALUE"""),"La La Land")</f>
        <v>La La Land</v>
      </c>
      <c r="M984" s="5" t="str">
        <f>IFERROR(__xludf.DUMMYFUNCTION("""COMPUTED_VALUE"""),"Drama")</f>
        <v>Drama</v>
      </c>
      <c r="N984" s="5">
        <f>IFERROR(__xludf.DUMMYFUNCTION("""COMPUTED_VALUE"""),2.0)</f>
        <v>2</v>
      </c>
      <c r="S984" s="5">
        <f>IFERROR(__xludf.DUMMYFUNCTION("""COMPUTED_VALUE"""),391.0)</f>
        <v>391</v>
      </c>
      <c r="T984" s="5" t="str">
        <f>IFERROR(__xludf.DUMMYFUNCTION("""COMPUTED_VALUE"""),"Knockin' on Heaven's Door")</f>
        <v>Knockin' on Heaven's Door</v>
      </c>
      <c r="U984" s="5" t="str">
        <f>IFERROR(__xludf.DUMMYFUNCTION("""COMPUTED_VALUE"""),"Comedy")</f>
        <v>Comedy</v>
      </c>
      <c r="V984" s="5">
        <f>IFERROR(__xludf.DUMMYFUNCTION("""COMPUTED_VALUE"""),3.0)</f>
        <v>3</v>
      </c>
    </row>
    <row r="985">
      <c r="A985" s="1">
        <v>984.0</v>
      </c>
      <c r="B985" s="1" t="s">
        <v>5515</v>
      </c>
      <c r="C985" s="1" t="s">
        <v>2169</v>
      </c>
      <c r="D985" s="1"/>
      <c r="E985" s="1">
        <v>984.0</v>
      </c>
      <c r="F985" s="1" t="s">
        <v>5515</v>
      </c>
      <c r="G985" s="1" t="str">
        <f>IFERROR(__xludf.DUMMYFUNCTION("SPLIT(C985, "", "")"),"Action")</f>
        <v>Action</v>
      </c>
      <c r="H985" s="5" t="str">
        <f>IFERROR(__xludf.DUMMYFUNCTION("""COMPUTED_VALUE"""),"Crime")</f>
        <v>Crime</v>
      </c>
      <c r="I985" s="5" t="str">
        <f>IFERROR(__xludf.DUMMYFUNCTION("""COMPUTED_VALUE"""),"Thriller")</f>
        <v>Thriller</v>
      </c>
      <c r="J985" s="5" t="str">
        <f>IFERROR(__xludf.DUMMYFUNCTION("""COMPUTED_VALUE"""),"328🤙🏼La La Land🤙🏼Music🤙🏼3")</f>
        <v>328🤙🏼La La Land🤙🏼Music🤙🏼3</v>
      </c>
      <c r="K985" s="5">
        <f>IFERROR(__xludf.DUMMYFUNCTION("SPLiT(J985, ""🤙🏼"",FALSE,FALSE)"),328.0)</f>
        <v>328</v>
      </c>
      <c r="L985" s="5" t="str">
        <f>IFERROR(__xludf.DUMMYFUNCTION("""COMPUTED_VALUE"""),"La La Land")</f>
        <v>La La Land</v>
      </c>
      <c r="M985" s="5" t="str">
        <f>IFERROR(__xludf.DUMMYFUNCTION("""COMPUTED_VALUE"""),"Music")</f>
        <v>Music</v>
      </c>
      <c r="N985" s="5">
        <f>IFERROR(__xludf.DUMMYFUNCTION("""COMPUTED_VALUE"""),3.0)</f>
        <v>3</v>
      </c>
      <c r="S985" s="5">
        <f>IFERROR(__xludf.DUMMYFUNCTION("""COMPUTED_VALUE"""),392.0)</f>
        <v>392</v>
      </c>
      <c r="T985" s="5" t="str">
        <f>IFERROR(__xludf.DUMMYFUNCTION("""COMPUTED_VALUE"""),"Sling Blade")</f>
        <v>Sling Blade</v>
      </c>
      <c r="U985" s="5" t="str">
        <f>IFERROR(__xludf.DUMMYFUNCTION("""COMPUTED_VALUE"""),"Drama")</f>
        <v>Drama</v>
      </c>
      <c r="V985" s="5">
        <f>IFERROR(__xludf.DUMMYFUNCTION("""COMPUTED_VALUE"""),1.0)</f>
        <v>1</v>
      </c>
    </row>
    <row r="986">
      <c r="A986" s="1">
        <v>985.0</v>
      </c>
      <c r="B986" s="1" t="s">
        <v>5522</v>
      </c>
      <c r="C986" s="1" t="s">
        <v>3555</v>
      </c>
      <c r="D986" s="1"/>
      <c r="E986" s="1">
        <v>985.0</v>
      </c>
      <c r="F986" s="1" t="s">
        <v>5522</v>
      </c>
      <c r="G986" s="1" t="str">
        <f>IFERROR(__xludf.DUMMYFUNCTION("SPLIT(C986, "", "")"),"Adventure")</f>
        <v>Adventure</v>
      </c>
      <c r="H986" s="5" t="str">
        <f>IFERROR(__xludf.DUMMYFUNCTION("""COMPUTED_VALUE"""),"Comedy")</f>
        <v>Comedy</v>
      </c>
      <c r="I986" s="5" t="str">
        <f>IFERROR(__xludf.DUMMYFUNCTION("""COMPUTED_VALUE"""),"Family")</f>
        <v>Family</v>
      </c>
      <c r="J986" s="5" t="str">
        <f>IFERROR(__xludf.DUMMYFUNCTION("""COMPUTED_VALUE"""),"329🤙🏼Lion🤙🏼Biography🤙🏼1")</f>
        <v>329🤙🏼Lion🤙🏼Biography🤙🏼1</v>
      </c>
      <c r="K986" s="5">
        <f>IFERROR(__xludf.DUMMYFUNCTION("SPLiT(J986, ""🤙🏼"",FALSE,FALSE)"),329.0)</f>
        <v>329</v>
      </c>
      <c r="L986" s="5" t="str">
        <f>IFERROR(__xludf.DUMMYFUNCTION("""COMPUTED_VALUE"""),"Lion")</f>
        <v>Lion</v>
      </c>
      <c r="M986" s="5" t="str">
        <f>IFERROR(__xludf.DUMMYFUNCTION("""COMPUTED_VALUE"""),"Biography")</f>
        <v>Biography</v>
      </c>
      <c r="N986" s="5">
        <f>IFERROR(__xludf.DUMMYFUNCTION("""COMPUTED_VALUE"""),1.0)</f>
        <v>1</v>
      </c>
      <c r="S986" s="5">
        <f>IFERROR(__xludf.DUMMYFUNCTION("""COMPUTED_VALUE"""),393.0)</f>
        <v>393</v>
      </c>
      <c r="T986" s="5" t="str">
        <f>IFERROR(__xludf.DUMMYFUNCTION("""COMPUTED_VALUE"""),"Secrets &amp; Lies")</f>
        <v>Secrets &amp; Lies</v>
      </c>
      <c r="U986" s="5" t="str">
        <f>IFERROR(__xludf.DUMMYFUNCTION("""COMPUTED_VALUE"""),"Comedy")</f>
        <v>Comedy</v>
      </c>
      <c r="V986" s="5">
        <f>IFERROR(__xludf.DUMMYFUNCTION("""COMPUTED_VALUE"""),1.0)</f>
        <v>1</v>
      </c>
    </row>
    <row r="987">
      <c r="A987" s="1">
        <v>986.0</v>
      </c>
      <c r="B987" s="1" t="s">
        <v>5529</v>
      </c>
      <c r="C987" s="1" t="s">
        <v>1045</v>
      </c>
      <c r="D987" s="1"/>
      <c r="E987" s="1">
        <v>986.0</v>
      </c>
      <c r="F987" s="1" t="s">
        <v>5529</v>
      </c>
      <c r="G987" s="1" t="str">
        <f>IFERROR(__xludf.DUMMYFUNCTION("SPLIT(C987, "", "")"),"Action")</f>
        <v>Action</v>
      </c>
      <c r="H987" s="5" t="str">
        <f>IFERROR(__xludf.DUMMYFUNCTION("""COMPUTED_VALUE"""),"Biography")</f>
        <v>Biography</v>
      </c>
      <c r="I987" s="5" t="str">
        <f>IFERROR(__xludf.DUMMYFUNCTION("""COMPUTED_VALUE"""),"Crime")</f>
        <v>Crime</v>
      </c>
      <c r="J987" s="5" t="str">
        <f>IFERROR(__xludf.DUMMYFUNCTION("""COMPUTED_VALUE"""),"329🤙🏼Lion🤙🏼Drama🤙🏼2")</f>
        <v>329🤙🏼Lion🤙🏼Drama🤙🏼2</v>
      </c>
      <c r="K987" s="5">
        <f>IFERROR(__xludf.DUMMYFUNCTION("SPLiT(J987, ""🤙🏼"",FALSE,FALSE)"),329.0)</f>
        <v>329</v>
      </c>
      <c r="L987" s="5" t="str">
        <f>IFERROR(__xludf.DUMMYFUNCTION("""COMPUTED_VALUE"""),"Lion")</f>
        <v>Lion</v>
      </c>
      <c r="M987" s="5" t="str">
        <f>IFERROR(__xludf.DUMMYFUNCTION("""COMPUTED_VALUE"""),"Drama")</f>
        <v>Drama</v>
      </c>
      <c r="N987" s="5">
        <f>IFERROR(__xludf.DUMMYFUNCTION("""COMPUTED_VALUE"""),2.0)</f>
        <v>2</v>
      </c>
      <c r="S987" s="5">
        <f>IFERROR(__xludf.DUMMYFUNCTION("""COMPUTED_VALUE"""),393.0)</f>
        <v>393</v>
      </c>
      <c r="T987" s="5" t="str">
        <f>IFERROR(__xludf.DUMMYFUNCTION("""COMPUTED_VALUE"""),"Secrets &amp; Lies")</f>
        <v>Secrets &amp; Lies</v>
      </c>
      <c r="U987" s="5" t="str">
        <f>IFERROR(__xludf.DUMMYFUNCTION("""COMPUTED_VALUE"""),"Drama")</f>
        <v>Drama</v>
      </c>
      <c r="V987" s="5">
        <f>IFERROR(__xludf.DUMMYFUNCTION("""COMPUTED_VALUE"""),2.0)</f>
        <v>2</v>
      </c>
    </row>
    <row r="988">
      <c r="A988" s="1">
        <v>987.0</v>
      </c>
      <c r="B988" s="1" t="s">
        <v>5533</v>
      </c>
      <c r="C988" s="1" t="s">
        <v>352</v>
      </c>
      <c r="D988" s="1"/>
      <c r="E988" s="1">
        <v>987.0</v>
      </c>
      <c r="F988" s="1" t="s">
        <v>5533</v>
      </c>
      <c r="G988" s="1" t="str">
        <f>IFERROR(__xludf.DUMMYFUNCTION("SPLIT(C988, "", "")"),"Animation")</f>
        <v>Animation</v>
      </c>
      <c r="H988" s="5" t="str">
        <f>IFERROR(__xludf.DUMMYFUNCTION("""COMPUTED_VALUE"""),"Adventure")</f>
        <v>Adventure</v>
      </c>
      <c r="I988" s="5" t="str">
        <f>IFERROR(__xludf.DUMMYFUNCTION("""COMPUTED_VALUE"""),"Drama")</f>
        <v>Drama</v>
      </c>
      <c r="J988" s="5" t="str">
        <f>IFERROR(__xludf.DUMMYFUNCTION("""COMPUTED_VALUE"""),"329🤙🏼Lion🤙🏼🤙🏼3")</f>
        <v>329🤙🏼Lion🤙🏼🤙🏼3</v>
      </c>
      <c r="K988" s="5">
        <f>IFERROR(__xludf.DUMMYFUNCTION("SPLiT(J988, ""🤙🏼"",FALSE,FALSE)"),329.0)</f>
        <v>329</v>
      </c>
      <c r="L988" s="5" t="str">
        <f>IFERROR(__xludf.DUMMYFUNCTION("""COMPUTED_VALUE"""),"Lion")</f>
        <v>Lion</v>
      </c>
      <c r="M988" s="5"/>
      <c r="N988" s="5">
        <f>IFERROR(__xludf.DUMMYFUNCTION("""COMPUTED_VALUE"""),3.0)</f>
        <v>3</v>
      </c>
      <c r="S988" s="5">
        <f>IFERROR(__xludf.DUMMYFUNCTION("""COMPUTED_VALUE"""),394.0)</f>
        <v>394</v>
      </c>
      <c r="T988" s="5" t="str">
        <f>IFERROR(__xludf.DUMMYFUNCTION("""COMPUTED_VALUE"""),"Twelve Monkeys")</f>
        <v>Twelve Monkeys</v>
      </c>
      <c r="U988" s="5" t="str">
        <f>IFERROR(__xludf.DUMMYFUNCTION("""COMPUTED_VALUE"""),"Mystery")</f>
        <v>Mystery</v>
      </c>
      <c r="V988" s="5">
        <f>IFERROR(__xludf.DUMMYFUNCTION("""COMPUTED_VALUE"""),1.0)</f>
        <v>1</v>
      </c>
    </row>
    <row r="989">
      <c r="A989" s="1">
        <v>988.0</v>
      </c>
      <c r="B989" s="1" t="s">
        <v>5539</v>
      </c>
      <c r="C989" s="1" t="s">
        <v>137</v>
      </c>
      <c r="D989" s="1"/>
      <c r="E989" s="1">
        <v>988.0</v>
      </c>
      <c r="F989" s="1" t="s">
        <v>5539</v>
      </c>
      <c r="G989" s="1" t="str">
        <f>IFERROR(__xludf.DUMMYFUNCTION("SPLIT(C989, "", "")"),"Biography")</f>
        <v>Biography</v>
      </c>
      <c r="H989" s="5" t="str">
        <f>IFERROR(__xludf.DUMMYFUNCTION("""COMPUTED_VALUE"""),"Crime")</f>
        <v>Crime</v>
      </c>
      <c r="I989" s="5" t="str">
        <f>IFERROR(__xludf.DUMMYFUNCTION("""COMPUTED_VALUE"""),"Drama")</f>
        <v>Drama</v>
      </c>
      <c r="J989" s="5" t="str">
        <f>IFERROR(__xludf.DUMMYFUNCTION("""COMPUTED_VALUE"""),"330🤙🏼The Martian🤙🏼Adventure🤙🏼1")</f>
        <v>330🤙🏼The Martian🤙🏼Adventure🤙🏼1</v>
      </c>
      <c r="K989" s="5">
        <f>IFERROR(__xludf.DUMMYFUNCTION("SPLiT(J989, ""🤙🏼"",FALSE,FALSE)"),330.0)</f>
        <v>330</v>
      </c>
      <c r="L989" s="5" t="str">
        <f>IFERROR(__xludf.DUMMYFUNCTION("""COMPUTED_VALUE"""),"The Martian")</f>
        <v>The Martian</v>
      </c>
      <c r="M989" s="5" t="str">
        <f>IFERROR(__xludf.DUMMYFUNCTION("""COMPUTED_VALUE"""),"Adventure")</f>
        <v>Adventure</v>
      </c>
      <c r="N989" s="5">
        <f>IFERROR(__xludf.DUMMYFUNCTION("""COMPUTED_VALUE"""),1.0)</f>
        <v>1</v>
      </c>
      <c r="S989" s="5">
        <f>IFERROR(__xludf.DUMMYFUNCTION("""COMPUTED_VALUE"""),394.0)</f>
        <v>394</v>
      </c>
      <c r="T989" s="5" t="str">
        <f>IFERROR(__xludf.DUMMYFUNCTION("""COMPUTED_VALUE"""),"Twelve Monkeys")</f>
        <v>Twelve Monkeys</v>
      </c>
      <c r="U989" s="5" t="str">
        <f>IFERROR(__xludf.DUMMYFUNCTION("""COMPUTED_VALUE"""),"Sci-Fi")</f>
        <v>Sci-Fi</v>
      </c>
      <c r="V989" s="5">
        <f>IFERROR(__xludf.DUMMYFUNCTION("""COMPUTED_VALUE"""),2.0)</f>
        <v>2</v>
      </c>
    </row>
    <row r="990">
      <c r="A990" s="1">
        <v>989.0</v>
      </c>
      <c r="B990" s="1" t="s">
        <v>5545</v>
      </c>
      <c r="C990" s="1" t="s">
        <v>928</v>
      </c>
      <c r="D990" s="1"/>
      <c r="E990" s="1">
        <v>989.0</v>
      </c>
      <c r="F990" s="1" t="s">
        <v>5545</v>
      </c>
      <c r="G990" s="1" t="str">
        <f>IFERROR(__xludf.DUMMYFUNCTION("SPLIT(C990, "", "")"),"Drama")</f>
        <v>Drama</v>
      </c>
      <c r="H990" s="5" t="str">
        <f>IFERROR(__xludf.DUMMYFUNCTION("""COMPUTED_VALUE"""),"Sci-Fi")</f>
        <v>Sci-Fi</v>
      </c>
      <c r="J990" s="5" t="str">
        <f>IFERROR(__xludf.DUMMYFUNCTION("""COMPUTED_VALUE"""),"330🤙🏼The Martian🤙🏼Drama🤙🏼2")</f>
        <v>330🤙🏼The Martian🤙🏼Drama🤙🏼2</v>
      </c>
      <c r="K990" s="5">
        <f>IFERROR(__xludf.DUMMYFUNCTION("SPLiT(J990, ""🤙🏼"",FALSE,FALSE)"),330.0)</f>
        <v>330</v>
      </c>
      <c r="L990" s="5" t="str">
        <f>IFERROR(__xludf.DUMMYFUNCTION("""COMPUTED_VALUE"""),"The Martian")</f>
        <v>The Martian</v>
      </c>
      <c r="M990" s="5" t="str">
        <f>IFERROR(__xludf.DUMMYFUNCTION("""COMPUTED_VALUE"""),"Drama")</f>
        <v>Drama</v>
      </c>
      <c r="N990" s="5">
        <f>IFERROR(__xludf.DUMMYFUNCTION("""COMPUTED_VALUE"""),2.0)</f>
        <v>2</v>
      </c>
      <c r="S990" s="5">
        <f>IFERROR(__xludf.DUMMYFUNCTION("""COMPUTED_VALUE"""),394.0)</f>
        <v>394</v>
      </c>
      <c r="T990" s="5" t="str">
        <f>IFERROR(__xludf.DUMMYFUNCTION("""COMPUTED_VALUE"""),"Twelve Monkeys")</f>
        <v>Twelve Monkeys</v>
      </c>
      <c r="U990" s="5" t="str">
        <f>IFERROR(__xludf.DUMMYFUNCTION("""COMPUTED_VALUE"""),"Thriller")</f>
        <v>Thriller</v>
      </c>
      <c r="V990" s="5">
        <f>IFERROR(__xludf.DUMMYFUNCTION("""COMPUTED_VALUE"""),3.0)</f>
        <v>3</v>
      </c>
    </row>
    <row r="991">
      <c r="A991" s="1">
        <v>990.0</v>
      </c>
      <c r="B991" s="1" t="s">
        <v>5548</v>
      </c>
      <c r="C991" s="1" t="s">
        <v>831</v>
      </c>
      <c r="D991" s="1"/>
      <c r="E991" s="1">
        <v>990.0</v>
      </c>
      <c r="F991" s="1" t="s">
        <v>5548</v>
      </c>
      <c r="G991" s="1" t="str">
        <f>IFERROR(__xludf.DUMMYFUNCTION("SPLIT(C991, "", "")"),"Comedy")</f>
        <v>Comedy</v>
      </c>
      <c r="H991" s="5" t="str">
        <f>IFERROR(__xludf.DUMMYFUNCTION("""COMPUTED_VALUE"""),"Crime")</f>
        <v>Crime</v>
      </c>
      <c r="I991" s="5" t="str">
        <f>IFERROR(__xludf.DUMMYFUNCTION("""COMPUTED_VALUE"""),"Drama")</f>
        <v>Drama</v>
      </c>
      <c r="J991" s="5" t="str">
        <f>IFERROR(__xludf.DUMMYFUNCTION("""COMPUTED_VALUE"""),"330🤙🏼The Martian🤙🏼Sci-Fi🤙🏼3")</f>
        <v>330🤙🏼The Martian🤙🏼Sci-Fi🤙🏼3</v>
      </c>
      <c r="K991" s="5">
        <f>IFERROR(__xludf.DUMMYFUNCTION("SPLiT(J991, ""🤙🏼"",FALSE,FALSE)"),330.0)</f>
        <v>330</v>
      </c>
      <c r="L991" s="5" t="str">
        <f>IFERROR(__xludf.DUMMYFUNCTION("""COMPUTED_VALUE"""),"The Martian")</f>
        <v>The Martian</v>
      </c>
      <c r="M991" s="5" t="str">
        <f>IFERROR(__xludf.DUMMYFUNCTION("""COMPUTED_VALUE"""),"Sci-Fi")</f>
        <v>Sci-Fi</v>
      </c>
      <c r="N991" s="5">
        <f>IFERROR(__xludf.DUMMYFUNCTION("""COMPUTED_VALUE"""),3.0)</f>
        <v>3</v>
      </c>
      <c r="S991" s="5">
        <f>IFERROR(__xludf.DUMMYFUNCTION("""COMPUTED_VALUE"""),395.0)</f>
        <v>395</v>
      </c>
      <c r="T991" s="5" t="str">
        <f>IFERROR(__xludf.DUMMYFUNCTION("""COMPUTED_VALUE"""),"Kôkaku Kidôtai")</f>
        <v>Kôkaku Kidôtai</v>
      </c>
      <c r="U991" s="5" t="str">
        <f>IFERROR(__xludf.DUMMYFUNCTION("""COMPUTED_VALUE"""),"Animation")</f>
        <v>Animation</v>
      </c>
      <c r="V991" s="5">
        <f>IFERROR(__xludf.DUMMYFUNCTION("""COMPUTED_VALUE"""),1.0)</f>
        <v>1</v>
      </c>
    </row>
    <row r="992">
      <c r="A992" s="1">
        <v>991.0</v>
      </c>
      <c r="B992" s="1" t="s">
        <v>5552</v>
      </c>
      <c r="C992" s="1" t="s">
        <v>5554</v>
      </c>
      <c r="D992" s="1"/>
      <c r="E992" s="1">
        <v>991.0</v>
      </c>
      <c r="F992" s="1" t="s">
        <v>5552</v>
      </c>
      <c r="G992" s="1" t="str">
        <f>IFERROR(__xludf.DUMMYFUNCTION("SPLIT(C992, "", "")"),"Drama")</f>
        <v>Drama</v>
      </c>
      <c r="H992" s="5" t="str">
        <f>IFERROR(__xludf.DUMMYFUNCTION("""COMPUTED_VALUE"""),"War")</f>
        <v>War</v>
      </c>
      <c r="I992" s="5" t="str">
        <f>IFERROR(__xludf.DUMMYFUNCTION("""COMPUTED_VALUE"""),"Western")</f>
        <v>Western</v>
      </c>
      <c r="J992" s="5" t="str">
        <f>IFERROR(__xludf.DUMMYFUNCTION("""COMPUTED_VALUE"""),"331🤙🏼Zootopia🤙🏼Animation🤙🏼1")</f>
        <v>331🤙🏼Zootopia🤙🏼Animation🤙🏼1</v>
      </c>
      <c r="K992" s="5">
        <f>IFERROR(__xludf.DUMMYFUNCTION("SPLiT(J992, ""🤙🏼"",FALSE,FALSE)"),331.0)</f>
        <v>331</v>
      </c>
      <c r="L992" s="5" t="str">
        <f>IFERROR(__xludf.DUMMYFUNCTION("""COMPUTED_VALUE"""),"Zootopia")</f>
        <v>Zootopia</v>
      </c>
      <c r="M992" s="5" t="str">
        <f>IFERROR(__xludf.DUMMYFUNCTION("""COMPUTED_VALUE"""),"Animation")</f>
        <v>Animation</v>
      </c>
      <c r="N992" s="5">
        <f>IFERROR(__xludf.DUMMYFUNCTION("""COMPUTED_VALUE"""),1.0)</f>
        <v>1</v>
      </c>
      <c r="S992" s="5">
        <f>IFERROR(__xludf.DUMMYFUNCTION("""COMPUTED_VALUE"""),395.0)</f>
        <v>395</v>
      </c>
      <c r="T992" s="5" t="str">
        <f>IFERROR(__xludf.DUMMYFUNCTION("""COMPUTED_VALUE"""),"Kôkaku Kidôtai")</f>
        <v>Kôkaku Kidôtai</v>
      </c>
      <c r="U992" s="5" t="str">
        <f>IFERROR(__xludf.DUMMYFUNCTION("""COMPUTED_VALUE"""),"Action")</f>
        <v>Action</v>
      </c>
      <c r="V992" s="5">
        <f>IFERROR(__xludf.DUMMYFUNCTION("""COMPUTED_VALUE"""),2.0)</f>
        <v>2</v>
      </c>
    </row>
    <row r="993">
      <c r="A993" s="1">
        <v>992.0</v>
      </c>
      <c r="B993" s="1" t="s">
        <v>5558</v>
      </c>
      <c r="C993" s="1" t="s">
        <v>5559</v>
      </c>
      <c r="D993" s="1"/>
      <c r="E993" s="1">
        <v>992.0</v>
      </c>
      <c r="F993" s="1" t="s">
        <v>5558</v>
      </c>
      <c r="G993" s="1" t="str">
        <f>IFERROR(__xludf.DUMMYFUNCTION("SPLIT(C993, "", "")"),"Adventure")</f>
        <v>Adventure</v>
      </c>
      <c r="H993" s="5" t="str">
        <f>IFERROR(__xludf.DUMMYFUNCTION("""COMPUTED_VALUE"""),"Comedy")</f>
        <v>Comedy</v>
      </c>
      <c r="I993" s="5" t="str">
        <f>IFERROR(__xludf.DUMMYFUNCTION("""COMPUTED_VALUE"""),"War")</f>
        <v>War</v>
      </c>
      <c r="J993" s="5" t="str">
        <f>IFERROR(__xludf.DUMMYFUNCTION("""COMPUTED_VALUE"""),"331🤙🏼Zootopia🤙🏼Adventure🤙🏼2")</f>
        <v>331🤙🏼Zootopia🤙🏼Adventure🤙🏼2</v>
      </c>
      <c r="K993" s="5">
        <f>IFERROR(__xludf.DUMMYFUNCTION("SPLiT(J993, ""🤙🏼"",FALSE,FALSE)"),331.0)</f>
        <v>331</v>
      </c>
      <c r="L993" s="5" t="str">
        <f>IFERROR(__xludf.DUMMYFUNCTION("""COMPUTED_VALUE"""),"Zootopia")</f>
        <v>Zootopia</v>
      </c>
      <c r="M993" s="5" t="str">
        <f>IFERROR(__xludf.DUMMYFUNCTION("""COMPUTED_VALUE"""),"Adventure")</f>
        <v>Adventure</v>
      </c>
      <c r="N993" s="5">
        <f>IFERROR(__xludf.DUMMYFUNCTION("""COMPUTED_VALUE"""),2.0)</f>
        <v>2</v>
      </c>
      <c r="S993" s="5">
        <f>IFERROR(__xludf.DUMMYFUNCTION("""COMPUTED_VALUE"""),395.0)</f>
        <v>395</v>
      </c>
      <c r="T993" s="5" t="str">
        <f>IFERROR(__xludf.DUMMYFUNCTION("""COMPUTED_VALUE"""),"Kôkaku Kidôtai")</f>
        <v>Kôkaku Kidôtai</v>
      </c>
      <c r="U993" s="5" t="str">
        <f>IFERROR(__xludf.DUMMYFUNCTION("""COMPUTED_VALUE"""),"Crime")</f>
        <v>Crime</v>
      </c>
      <c r="V993" s="5">
        <f>IFERROR(__xludf.DUMMYFUNCTION("""COMPUTED_VALUE"""),3.0)</f>
        <v>3</v>
      </c>
    </row>
    <row r="994">
      <c r="A994" s="1">
        <v>993.0</v>
      </c>
      <c r="B994" s="1" t="s">
        <v>5563</v>
      </c>
      <c r="C994" s="1" t="s">
        <v>204</v>
      </c>
      <c r="D994" s="1"/>
      <c r="E994" s="1">
        <v>993.0</v>
      </c>
      <c r="F994" s="1" t="s">
        <v>5563</v>
      </c>
      <c r="G994" s="1" t="str">
        <f>IFERROR(__xludf.DUMMYFUNCTION("SPLIT(C994, "", "")"),"Animation")</f>
        <v>Animation</v>
      </c>
      <c r="H994" s="5" t="str">
        <f>IFERROR(__xludf.DUMMYFUNCTION("""COMPUTED_VALUE"""),"Adventure")</f>
        <v>Adventure</v>
      </c>
      <c r="I994" s="5" t="str">
        <f>IFERROR(__xludf.DUMMYFUNCTION("""COMPUTED_VALUE"""),"Family")</f>
        <v>Family</v>
      </c>
      <c r="J994" s="5" t="str">
        <f>IFERROR(__xludf.DUMMYFUNCTION("""COMPUTED_VALUE"""),"331🤙🏼Zootopia🤙🏼Comedy🤙🏼3")</f>
        <v>331🤙🏼Zootopia🤙🏼Comedy🤙🏼3</v>
      </c>
      <c r="K994" s="5">
        <f>IFERROR(__xludf.DUMMYFUNCTION("SPLiT(J994, ""🤙🏼"",FALSE,FALSE)"),331.0)</f>
        <v>331</v>
      </c>
      <c r="L994" s="5" t="str">
        <f>IFERROR(__xludf.DUMMYFUNCTION("""COMPUTED_VALUE"""),"Zootopia")</f>
        <v>Zootopia</v>
      </c>
      <c r="M994" s="5" t="str">
        <f>IFERROR(__xludf.DUMMYFUNCTION("""COMPUTED_VALUE"""),"Comedy")</f>
        <v>Comedy</v>
      </c>
      <c r="N994" s="5">
        <f>IFERROR(__xludf.DUMMYFUNCTION("""COMPUTED_VALUE"""),3.0)</f>
        <v>3</v>
      </c>
      <c r="S994" s="5">
        <f>IFERROR(__xludf.DUMMYFUNCTION("""COMPUTED_VALUE"""),396.0)</f>
        <v>396</v>
      </c>
      <c r="T994" s="5" t="str">
        <f>IFERROR(__xludf.DUMMYFUNCTION("""COMPUTED_VALUE"""),"The Nightmare Before Christmas")</f>
        <v>The Nightmare Before Christmas</v>
      </c>
      <c r="U994" s="5" t="str">
        <f>IFERROR(__xludf.DUMMYFUNCTION("""COMPUTED_VALUE"""),"Animation")</f>
        <v>Animation</v>
      </c>
      <c r="V994" s="5">
        <f>IFERROR(__xludf.DUMMYFUNCTION("""COMPUTED_VALUE"""),1.0)</f>
        <v>1</v>
      </c>
    </row>
    <row r="995">
      <c r="A995" s="1">
        <v>994.0</v>
      </c>
      <c r="B995" s="1" t="s">
        <v>5571</v>
      </c>
      <c r="C995" s="1" t="s">
        <v>527</v>
      </c>
      <c r="D995" s="1"/>
      <c r="E995" s="1">
        <v>994.0</v>
      </c>
      <c r="F995" s="1" t="s">
        <v>5571</v>
      </c>
      <c r="G995" s="1" t="str">
        <f>IFERROR(__xludf.DUMMYFUNCTION("SPLIT(C995, "", "")"),"Drama")</f>
        <v>Drama</v>
      </c>
      <c r="H995" s="5" t="str">
        <f>IFERROR(__xludf.DUMMYFUNCTION("""COMPUTED_VALUE"""),"Mystery")</f>
        <v>Mystery</v>
      </c>
      <c r="I995" s="5" t="str">
        <f>IFERROR(__xludf.DUMMYFUNCTION("""COMPUTED_VALUE"""),"Thriller")</f>
        <v>Thriller</v>
      </c>
      <c r="J995" s="5" t="str">
        <f>IFERROR(__xludf.DUMMYFUNCTION("""COMPUTED_VALUE"""),"332🤙🏼Bãhubali: The Beginning🤙🏼Action🤙🏼1")</f>
        <v>332🤙🏼Bãhubali: The Beginning🤙🏼Action🤙🏼1</v>
      </c>
      <c r="K995" s="5">
        <f>IFERROR(__xludf.DUMMYFUNCTION("SPLiT(J995, ""🤙🏼"",FALSE,FALSE)"),332.0)</f>
        <v>332</v>
      </c>
      <c r="L995" s="5" t="str">
        <f>IFERROR(__xludf.DUMMYFUNCTION("""COMPUTED_VALUE"""),"Bãhubali: The Beginning")</f>
        <v>Bãhubali: The Beginning</v>
      </c>
      <c r="M995" s="5" t="str">
        <f>IFERROR(__xludf.DUMMYFUNCTION("""COMPUTED_VALUE"""),"Action")</f>
        <v>Action</v>
      </c>
      <c r="N995" s="5">
        <f>IFERROR(__xludf.DUMMYFUNCTION("""COMPUTED_VALUE"""),1.0)</f>
        <v>1</v>
      </c>
      <c r="S995" s="5">
        <f>IFERROR(__xludf.DUMMYFUNCTION("""COMPUTED_VALUE"""),396.0)</f>
        <v>396</v>
      </c>
      <c r="T995" s="5" t="str">
        <f>IFERROR(__xludf.DUMMYFUNCTION("""COMPUTED_VALUE"""),"The Nightmare Before Christmas")</f>
        <v>The Nightmare Before Christmas</v>
      </c>
      <c r="U995" s="5" t="str">
        <f>IFERROR(__xludf.DUMMYFUNCTION("""COMPUTED_VALUE"""),"Family")</f>
        <v>Family</v>
      </c>
      <c r="V995" s="5">
        <f>IFERROR(__xludf.DUMMYFUNCTION("""COMPUTED_VALUE"""),2.0)</f>
        <v>2</v>
      </c>
    </row>
    <row r="996">
      <c r="A996" s="1">
        <v>995.0</v>
      </c>
      <c r="B996" s="1" t="s">
        <v>5576</v>
      </c>
      <c r="C996" s="1" t="s">
        <v>3486</v>
      </c>
      <c r="D996" s="1"/>
      <c r="E996" s="1">
        <v>995.0</v>
      </c>
      <c r="F996" s="1" t="s">
        <v>5576</v>
      </c>
      <c r="G996" s="1" t="str">
        <f>IFERROR(__xludf.DUMMYFUNCTION("SPLIT(C996, "", "")"),"Comedy")</f>
        <v>Comedy</v>
      </c>
      <c r="H996" s="5" t="str">
        <f>IFERROR(__xludf.DUMMYFUNCTION("""COMPUTED_VALUE"""),"Music")</f>
        <v>Music</v>
      </c>
      <c r="I996" s="5" t="str">
        <f>IFERROR(__xludf.DUMMYFUNCTION("""COMPUTED_VALUE"""),"Musical")</f>
        <v>Musical</v>
      </c>
      <c r="J996" s="5" t="str">
        <f>IFERROR(__xludf.DUMMYFUNCTION("""COMPUTED_VALUE"""),"332🤙🏼Bãhubali: The Beginning🤙🏼Drama🤙🏼2")</f>
        <v>332🤙🏼Bãhubali: The Beginning🤙🏼Drama🤙🏼2</v>
      </c>
      <c r="K996" s="5">
        <f>IFERROR(__xludf.DUMMYFUNCTION("SPLiT(J996, ""🤙🏼"",FALSE,FALSE)"),332.0)</f>
        <v>332</v>
      </c>
      <c r="L996" s="5" t="str">
        <f>IFERROR(__xludf.DUMMYFUNCTION("""COMPUTED_VALUE"""),"Bãhubali: The Beginning")</f>
        <v>Bãhubali: The Beginning</v>
      </c>
      <c r="M996" s="5" t="str">
        <f>IFERROR(__xludf.DUMMYFUNCTION("""COMPUTED_VALUE"""),"Drama")</f>
        <v>Drama</v>
      </c>
      <c r="N996" s="5">
        <f>IFERROR(__xludf.DUMMYFUNCTION("""COMPUTED_VALUE"""),2.0)</f>
        <v>2</v>
      </c>
      <c r="S996" s="5">
        <f>IFERROR(__xludf.DUMMYFUNCTION("""COMPUTED_VALUE"""),396.0)</f>
        <v>396</v>
      </c>
      <c r="T996" s="5" t="str">
        <f>IFERROR(__xludf.DUMMYFUNCTION("""COMPUTED_VALUE"""),"The Nightmare Before Christmas")</f>
        <v>The Nightmare Before Christmas</v>
      </c>
      <c r="U996" s="5" t="str">
        <f>IFERROR(__xludf.DUMMYFUNCTION("""COMPUTED_VALUE"""),"Fantasy")</f>
        <v>Fantasy</v>
      </c>
      <c r="V996" s="5">
        <f>IFERROR(__xludf.DUMMYFUNCTION("""COMPUTED_VALUE"""),3.0)</f>
        <v>3</v>
      </c>
    </row>
    <row r="997">
      <c r="A997" s="1">
        <v>996.0</v>
      </c>
      <c r="B997" s="1" t="s">
        <v>5583</v>
      </c>
      <c r="C997" s="1" t="s">
        <v>227</v>
      </c>
      <c r="D997" s="1"/>
      <c r="E997" s="1">
        <v>996.0</v>
      </c>
      <c r="F997" s="1" t="s">
        <v>5583</v>
      </c>
      <c r="G997" s="1" t="str">
        <f>IFERROR(__xludf.DUMMYFUNCTION("SPLIT(C997, "", "")"),"Comedy")</f>
        <v>Comedy</v>
      </c>
      <c r="H997" s="5" t="str">
        <f>IFERROR(__xludf.DUMMYFUNCTION("""COMPUTED_VALUE"""),"Drama")</f>
        <v>Drama</v>
      </c>
      <c r="I997" s="5" t="str">
        <f>IFERROR(__xludf.DUMMYFUNCTION("""COMPUTED_VALUE"""),"Romance")</f>
        <v>Romance</v>
      </c>
      <c r="J997" s="5" t="str">
        <f>IFERROR(__xludf.DUMMYFUNCTION("""COMPUTED_VALUE"""),"332🤙🏼Bãhubali: The Beginning🤙🏼🤙🏼3")</f>
        <v>332🤙🏼Bãhubali: The Beginning🤙🏼🤙🏼3</v>
      </c>
      <c r="K997" s="5">
        <f>IFERROR(__xludf.DUMMYFUNCTION("SPLiT(J997, ""🤙🏼"",FALSE,FALSE)"),332.0)</f>
        <v>332</v>
      </c>
      <c r="L997" s="5" t="str">
        <f>IFERROR(__xludf.DUMMYFUNCTION("""COMPUTED_VALUE"""),"Bãhubali: The Beginning")</f>
        <v>Bãhubali: The Beginning</v>
      </c>
      <c r="M997" s="5"/>
      <c r="N997" s="5">
        <f>IFERROR(__xludf.DUMMYFUNCTION("""COMPUTED_VALUE"""),3.0)</f>
        <v>3</v>
      </c>
      <c r="S997" s="5">
        <f>IFERROR(__xludf.DUMMYFUNCTION("""COMPUTED_VALUE"""),397.0)</f>
        <v>397</v>
      </c>
      <c r="T997" s="5" t="str">
        <f>IFERROR(__xludf.DUMMYFUNCTION("""COMPUTED_VALUE"""),"Groundhog Day")</f>
        <v>Groundhog Day</v>
      </c>
      <c r="U997" s="5" t="str">
        <f>IFERROR(__xludf.DUMMYFUNCTION("""COMPUTED_VALUE"""),"Comedy")</f>
        <v>Comedy</v>
      </c>
      <c r="V997" s="5">
        <f>IFERROR(__xludf.DUMMYFUNCTION("""COMPUTED_VALUE"""),1.0)</f>
        <v>1</v>
      </c>
    </row>
    <row r="998">
      <c r="A998" s="1">
        <v>997.0</v>
      </c>
      <c r="B998" s="1" t="s">
        <v>5588</v>
      </c>
      <c r="C998" s="1" t="s">
        <v>495</v>
      </c>
      <c r="D998" s="1"/>
      <c r="E998" s="1">
        <v>997.0</v>
      </c>
      <c r="F998" s="1" t="s">
        <v>5588</v>
      </c>
      <c r="G998" s="1" t="str">
        <f>IFERROR(__xludf.DUMMYFUNCTION("SPLIT(C998, "", "")"),"Drama")</f>
        <v>Drama</v>
      </c>
      <c r="H998" s="5" t="str">
        <f>IFERROR(__xludf.DUMMYFUNCTION("""COMPUTED_VALUE"""),"Western")</f>
        <v>Western</v>
      </c>
      <c r="J998" s="5" t="str">
        <f>IFERROR(__xludf.DUMMYFUNCTION("""COMPUTED_VALUE"""),"333🤙🏼Kaguyahime no monogatari🤙🏼Animation🤙🏼1")</f>
        <v>333🤙🏼Kaguyahime no monogatari🤙🏼Animation🤙🏼1</v>
      </c>
      <c r="K998" s="5">
        <f>IFERROR(__xludf.DUMMYFUNCTION("SPLiT(J998, ""🤙🏼"",FALSE,FALSE)"),333.0)</f>
        <v>333</v>
      </c>
      <c r="L998" s="5" t="str">
        <f>IFERROR(__xludf.DUMMYFUNCTION("""COMPUTED_VALUE"""),"Kaguyahime no monogatari")</f>
        <v>Kaguyahime no monogatari</v>
      </c>
      <c r="M998" s="5" t="str">
        <f>IFERROR(__xludf.DUMMYFUNCTION("""COMPUTED_VALUE"""),"Animation")</f>
        <v>Animation</v>
      </c>
      <c r="N998" s="5">
        <f>IFERROR(__xludf.DUMMYFUNCTION("""COMPUTED_VALUE"""),1.0)</f>
        <v>1</v>
      </c>
      <c r="S998" s="5">
        <f>IFERROR(__xludf.DUMMYFUNCTION("""COMPUTED_VALUE"""),397.0)</f>
        <v>397</v>
      </c>
      <c r="T998" s="5" t="str">
        <f>IFERROR(__xludf.DUMMYFUNCTION("""COMPUTED_VALUE"""),"Groundhog Day")</f>
        <v>Groundhog Day</v>
      </c>
      <c r="U998" s="5" t="str">
        <f>IFERROR(__xludf.DUMMYFUNCTION("""COMPUTED_VALUE"""),"Fantasy")</f>
        <v>Fantasy</v>
      </c>
      <c r="V998" s="5">
        <f>IFERROR(__xludf.DUMMYFUNCTION("""COMPUTED_VALUE"""),2.0)</f>
        <v>2</v>
      </c>
    </row>
    <row r="999">
      <c r="A999" s="1">
        <v>998.0</v>
      </c>
      <c r="B999" s="1" t="s">
        <v>5594</v>
      </c>
      <c r="C999" s="1" t="s">
        <v>406</v>
      </c>
      <c r="D999" s="1"/>
      <c r="E999" s="1">
        <v>998.0</v>
      </c>
      <c r="F999" s="1" t="s">
        <v>5594</v>
      </c>
      <c r="G999" s="1" t="str">
        <f>IFERROR(__xludf.DUMMYFUNCTION("SPLIT(C999, "", "")"),"Drama")</f>
        <v>Drama</v>
      </c>
      <c r="H999" s="5" t="str">
        <f>IFERROR(__xludf.DUMMYFUNCTION("""COMPUTED_VALUE"""),"Romance")</f>
        <v>Romance</v>
      </c>
      <c r="I999" s="5" t="str">
        <f>IFERROR(__xludf.DUMMYFUNCTION("""COMPUTED_VALUE"""),"War")</f>
        <v>War</v>
      </c>
      <c r="J999" s="5" t="str">
        <f>IFERROR(__xludf.DUMMYFUNCTION("""COMPUTED_VALUE"""),"333🤙🏼Kaguyahime no monogatari🤙🏼Adventure🤙🏼2")</f>
        <v>333🤙🏼Kaguyahime no monogatari🤙🏼Adventure🤙🏼2</v>
      </c>
      <c r="K999" s="5">
        <f>IFERROR(__xludf.DUMMYFUNCTION("SPLiT(J999, ""🤙🏼"",FALSE,FALSE)"),333.0)</f>
        <v>333</v>
      </c>
      <c r="L999" s="5" t="str">
        <f>IFERROR(__xludf.DUMMYFUNCTION("""COMPUTED_VALUE"""),"Kaguyahime no monogatari")</f>
        <v>Kaguyahime no monogatari</v>
      </c>
      <c r="M999" s="5" t="str">
        <f>IFERROR(__xludf.DUMMYFUNCTION("""COMPUTED_VALUE"""),"Adventure")</f>
        <v>Adventure</v>
      </c>
      <c r="N999" s="5">
        <f>IFERROR(__xludf.DUMMYFUNCTION("""COMPUTED_VALUE"""),2.0)</f>
        <v>2</v>
      </c>
      <c r="S999" s="5">
        <f>IFERROR(__xludf.DUMMYFUNCTION("""COMPUTED_VALUE"""),397.0)</f>
        <v>397</v>
      </c>
      <c r="T999" s="5" t="str">
        <f>IFERROR(__xludf.DUMMYFUNCTION("""COMPUTED_VALUE"""),"Groundhog Day")</f>
        <v>Groundhog Day</v>
      </c>
      <c r="U999" s="5" t="str">
        <f>IFERROR(__xludf.DUMMYFUNCTION("""COMPUTED_VALUE"""),"Romance")</f>
        <v>Romance</v>
      </c>
      <c r="V999" s="5">
        <f>IFERROR(__xludf.DUMMYFUNCTION("""COMPUTED_VALUE"""),3.0)</f>
        <v>3</v>
      </c>
    </row>
    <row r="1000">
      <c r="A1000" s="1">
        <v>999.0</v>
      </c>
      <c r="B1000" s="1" t="s">
        <v>5596</v>
      </c>
      <c r="C1000" s="1" t="s">
        <v>213</v>
      </c>
      <c r="D1000" s="1"/>
      <c r="E1000" s="1">
        <v>999.0</v>
      </c>
      <c r="F1000" s="1" t="s">
        <v>5596</v>
      </c>
      <c r="G1000" s="1" t="str">
        <f>IFERROR(__xludf.DUMMYFUNCTION("SPLIT(C1000, "", "")"),"Drama")</f>
        <v>Drama</v>
      </c>
      <c r="H1000" s="5" t="str">
        <f>IFERROR(__xludf.DUMMYFUNCTION("""COMPUTED_VALUE"""),"War")</f>
        <v>War</v>
      </c>
      <c r="J1000" s="5" t="str">
        <f>IFERROR(__xludf.DUMMYFUNCTION("""COMPUTED_VALUE"""),"333🤙🏼Kaguyahime no monogatari🤙🏼Drama🤙🏼3")</f>
        <v>333🤙🏼Kaguyahime no monogatari🤙🏼Drama🤙🏼3</v>
      </c>
      <c r="K1000" s="5">
        <f>IFERROR(__xludf.DUMMYFUNCTION("SPLiT(J1000, ""🤙🏼"",FALSE,FALSE)"),333.0)</f>
        <v>333</v>
      </c>
      <c r="L1000" s="5" t="str">
        <f>IFERROR(__xludf.DUMMYFUNCTION("""COMPUTED_VALUE"""),"Kaguyahime no monogatari")</f>
        <v>Kaguyahime no monogatari</v>
      </c>
      <c r="M1000" s="5" t="str">
        <f>IFERROR(__xludf.DUMMYFUNCTION("""COMPUTED_VALUE"""),"Drama")</f>
        <v>Drama</v>
      </c>
      <c r="N1000" s="5">
        <f>IFERROR(__xludf.DUMMYFUNCTION("""COMPUTED_VALUE"""),3.0)</f>
        <v>3</v>
      </c>
      <c r="S1000" s="5">
        <f>IFERROR(__xludf.DUMMYFUNCTION("""COMPUTED_VALUE"""),398.0)</f>
        <v>398</v>
      </c>
      <c r="T1000" s="5" t="str">
        <f>IFERROR(__xludf.DUMMYFUNCTION("""COMPUTED_VALUE"""),"Bound by Honor")</f>
        <v>Bound by Honor</v>
      </c>
      <c r="U1000" s="5" t="str">
        <f>IFERROR(__xludf.DUMMYFUNCTION("""COMPUTED_VALUE"""),"Crime")</f>
        <v>Crime</v>
      </c>
      <c r="V1000" s="5">
        <f>IFERROR(__xludf.DUMMYFUNCTION("""COMPUTED_VALUE"""),1.0)</f>
        <v>1</v>
      </c>
    </row>
    <row r="1001">
      <c r="A1001" s="1">
        <v>1000.0</v>
      </c>
      <c r="B1001" s="1" t="s">
        <v>5602</v>
      </c>
      <c r="C1001" s="1" t="s">
        <v>336</v>
      </c>
      <c r="D1001" s="1"/>
      <c r="E1001" s="1">
        <v>1000.0</v>
      </c>
      <c r="F1001" s="1" t="s">
        <v>5602</v>
      </c>
      <c r="G1001" s="1" t="str">
        <f>IFERROR(__xludf.DUMMYFUNCTION("SPLIT(C1001, "", "")"),"Crime")</f>
        <v>Crime</v>
      </c>
      <c r="H1001" s="5" t="str">
        <f>IFERROR(__xludf.DUMMYFUNCTION("""COMPUTED_VALUE"""),"Mystery")</f>
        <v>Mystery</v>
      </c>
      <c r="I1001" s="5" t="str">
        <f>IFERROR(__xludf.DUMMYFUNCTION("""COMPUTED_VALUE"""),"Thriller")</f>
        <v>Thriller</v>
      </c>
      <c r="J1001" s="5" t="str">
        <f>IFERROR(__xludf.DUMMYFUNCTION("""COMPUTED_VALUE"""),"334🤙🏼Wonder🤙🏼Drama🤙🏼1")</f>
        <v>334🤙🏼Wonder🤙🏼Drama🤙🏼1</v>
      </c>
      <c r="K1001" s="5">
        <f>IFERROR(__xludf.DUMMYFUNCTION("SPLiT(J1001, ""🤙🏼"",FALSE,FALSE)"),334.0)</f>
        <v>334</v>
      </c>
      <c r="L1001" s="5" t="str">
        <f>IFERROR(__xludf.DUMMYFUNCTION("""COMPUTED_VALUE"""),"Wonder")</f>
        <v>Wonder</v>
      </c>
      <c r="M1001" s="5" t="str">
        <f>IFERROR(__xludf.DUMMYFUNCTION("""COMPUTED_VALUE"""),"Drama")</f>
        <v>Drama</v>
      </c>
      <c r="N1001" s="5">
        <f>IFERROR(__xludf.DUMMYFUNCTION("""COMPUTED_VALUE"""),1.0)</f>
        <v>1</v>
      </c>
      <c r="S1001" s="5">
        <f>IFERROR(__xludf.DUMMYFUNCTION("""COMPUTED_VALUE"""),398.0)</f>
        <v>398</v>
      </c>
      <c r="T1001" s="5" t="str">
        <f>IFERROR(__xludf.DUMMYFUNCTION("""COMPUTED_VALUE"""),"Bound by Honor")</f>
        <v>Bound by Honor</v>
      </c>
      <c r="U1001" s="5" t="str">
        <f>IFERROR(__xludf.DUMMYFUNCTION("""COMPUTED_VALUE"""),"Drama")</f>
        <v>Drama</v>
      </c>
      <c r="V1001" s="5">
        <f>IFERROR(__xludf.DUMMYFUNCTION("""COMPUTED_VALUE"""),2.0)</f>
        <v>2</v>
      </c>
    </row>
    <row r="1002">
      <c r="J1002" s="5" t="str">
        <f>IFERROR(__xludf.DUMMYFUNCTION("""COMPUTED_VALUE"""),"334🤙🏼Wonder🤙🏼Family🤙🏼2")</f>
        <v>334🤙🏼Wonder🤙🏼Family🤙🏼2</v>
      </c>
      <c r="K1002" s="5">
        <f>IFERROR(__xludf.DUMMYFUNCTION("SPLiT(J1002, ""🤙🏼"",FALSE,FALSE)"),334.0)</f>
        <v>334</v>
      </c>
      <c r="L1002" s="5" t="str">
        <f>IFERROR(__xludf.DUMMYFUNCTION("""COMPUTED_VALUE"""),"Wonder")</f>
        <v>Wonder</v>
      </c>
      <c r="M1002" s="5" t="str">
        <f>IFERROR(__xludf.DUMMYFUNCTION("""COMPUTED_VALUE"""),"Family")</f>
        <v>Family</v>
      </c>
      <c r="N1002" s="5">
        <f>IFERROR(__xludf.DUMMYFUNCTION("""COMPUTED_VALUE"""),2.0)</f>
        <v>2</v>
      </c>
      <c r="S1002" s="5">
        <f>IFERROR(__xludf.DUMMYFUNCTION("""COMPUTED_VALUE"""),399.0)</f>
        <v>399</v>
      </c>
      <c r="T1002" s="5" t="str">
        <f>IFERROR(__xludf.DUMMYFUNCTION("""COMPUTED_VALUE"""),"Scent of a Woman")</f>
        <v>Scent of a Woman</v>
      </c>
      <c r="U1002" s="5" t="str">
        <f>IFERROR(__xludf.DUMMYFUNCTION("""COMPUTED_VALUE"""),"Drama")</f>
        <v>Drama</v>
      </c>
      <c r="V1002" s="5">
        <f>IFERROR(__xludf.DUMMYFUNCTION("""COMPUTED_VALUE"""),1.0)</f>
        <v>1</v>
      </c>
    </row>
    <row r="1003">
      <c r="J1003" s="5" t="str">
        <f>IFERROR(__xludf.DUMMYFUNCTION("""COMPUTED_VALUE"""),"334🤙🏼Wonder🤙🏼🤙🏼3")</f>
        <v>334🤙🏼Wonder🤙🏼🤙🏼3</v>
      </c>
      <c r="K1003" s="5">
        <f>IFERROR(__xludf.DUMMYFUNCTION("SPLiT(J1003, ""🤙🏼"",FALSE,FALSE)"),334.0)</f>
        <v>334</v>
      </c>
      <c r="L1003" s="5" t="str">
        <f>IFERROR(__xludf.DUMMYFUNCTION("""COMPUTED_VALUE"""),"Wonder")</f>
        <v>Wonder</v>
      </c>
      <c r="M1003" s="5"/>
      <c r="N1003" s="5">
        <f>IFERROR(__xludf.DUMMYFUNCTION("""COMPUTED_VALUE"""),3.0)</f>
        <v>3</v>
      </c>
      <c r="S1003" s="5">
        <f>IFERROR(__xludf.DUMMYFUNCTION("""COMPUTED_VALUE"""),400.0)</f>
        <v>400</v>
      </c>
      <c r="T1003" s="5" t="str">
        <f>IFERROR(__xludf.DUMMYFUNCTION("""COMPUTED_VALUE"""),"Aladdin")</f>
        <v>Aladdin</v>
      </c>
      <c r="U1003" s="5" t="str">
        <f>IFERROR(__xludf.DUMMYFUNCTION("""COMPUTED_VALUE"""),"Animation")</f>
        <v>Animation</v>
      </c>
      <c r="V1003" s="5">
        <f>IFERROR(__xludf.DUMMYFUNCTION("""COMPUTED_VALUE"""),1.0)</f>
        <v>1</v>
      </c>
    </row>
    <row r="1004">
      <c r="J1004" s="5" t="str">
        <f>IFERROR(__xludf.DUMMYFUNCTION("""COMPUTED_VALUE"""),"335🤙🏼Gully Boy🤙🏼Drama🤙🏼1")</f>
        <v>335🤙🏼Gully Boy🤙🏼Drama🤙🏼1</v>
      </c>
      <c r="K1004" s="5">
        <f>IFERROR(__xludf.DUMMYFUNCTION("SPLiT(J1004, ""🤙🏼"",FALSE,FALSE)"),335.0)</f>
        <v>335</v>
      </c>
      <c r="L1004" s="5" t="str">
        <f>IFERROR(__xludf.DUMMYFUNCTION("""COMPUTED_VALUE"""),"Gully Boy")</f>
        <v>Gully Boy</v>
      </c>
      <c r="M1004" s="5" t="str">
        <f>IFERROR(__xludf.DUMMYFUNCTION("""COMPUTED_VALUE"""),"Drama")</f>
        <v>Drama</v>
      </c>
      <c r="N1004" s="5">
        <f>IFERROR(__xludf.DUMMYFUNCTION("""COMPUTED_VALUE"""),1.0)</f>
        <v>1</v>
      </c>
      <c r="S1004" s="5">
        <f>IFERROR(__xludf.DUMMYFUNCTION("""COMPUTED_VALUE"""),400.0)</f>
        <v>400</v>
      </c>
      <c r="T1004" s="5" t="str">
        <f>IFERROR(__xludf.DUMMYFUNCTION("""COMPUTED_VALUE"""),"Aladdin")</f>
        <v>Aladdin</v>
      </c>
      <c r="U1004" s="5" t="str">
        <f>IFERROR(__xludf.DUMMYFUNCTION("""COMPUTED_VALUE"""),"Adventure")</f>
        <v>Adventure</v>
      </c>
      <c r="V1004" s="5">
        <f>IFERROR(__xludf.DUMMYFUNCTION("""COMPUTED_VALUE"""),2.0)</f>
        <v>2</v>
      </c>
    </row>
    <row r="1005">
      <c r="J1005" s="5" t="str">
        <f>IFERROR(__xludf.DUMMYFUNCTION("""COMPUTED_VALUE"""),"335🤙🏼Gully Boy🤙🏼Music🤙🏼2")</f>
        <v>335🤙🏼Gully Boy🤙🏼Music🤙🏼2</v>
      </c>
      <c r="K1005" s="5">
        <f>IFERROR(__xludf.DUMMYFUNCTION("SPLiT(J1005, ""🤙🏼"",FALSE,FALSE)"),335.0)</f>
        <v>335</v>
      </c>
      <c r="L1005" s="5" t="str">
        <f>IFERROR(__xludf.DUMMYFUNCTION("""COMPUTED_VALUE"""),"Gully Boy")</f>
        <v>Gully Boy</v>
      </c>
      <c r="M1005" s="5" t="str">
        <f>IFERROR(__xludf.DUMMYFUNCTION("""COMPUTED_VALUE"""),"Music")</f>
        <v>Music</v>
      </c>
      <c r="N1005" s="5">
        <f>IFERROR(__xludf.DUMMYFUNCTION("""COMPUTED_VALUE"""),2.0)</f>
        <v>2</v>
      </c>
      <c r="S1005" s="5">
        <f>IFERROR(__xludf.DUMMYFUNCTION("""COMPUTED_VALUE"""),400.0)</f>
        <v>400</v>
      </c>
      <c r="T1005" s="5" t="str">
        <f>IFERROR(__xludf.DUMMYFUNCTION("""COMPUTED_VALUE"""),"Aladdin")</f>
        <v>Aladdin</v>
      </c>
      <c r="U1005" s="5" t="str">
        <f>IFERROR(__xludf.DUMMYFUNCTION("""COMPUTED_VALUE"""),"Comedy")</f>
        <v>Comedy</v>
      </c>
      <c r="V1005" s="5">
        <f>IFERROR(__xludf.DUMMYFUNCTION("""COMPUTED_VALUE"""),3.0)</f>
        <v>3</v>
      </c>
    </row>
    <row r="1006">
      <c r="J1006" s="5" t="str">
        <f>IFERROR(__xludf.DUMMYFUNCTION("""COMPUTED_VALUE"""),"335🤙🏼Gully Boy🤙🏼Romance🤙🏼3")</f>
        <v>335🤙🏼Gully Boy🤙🏼Romance🤙🏼3</v>
      </c>
      <c r="K1006" s="5">
        <f>IFERROR(__xludf.DUMMYFUNCTION("SPLiT(J1006, ""🤙🏼"",FALSE,FALSE)"),335.0)</f>
        <v>335</v>
      </c>
      <c r="L1006" s="5" t="str">
        <f>IFERROR(__xludf.DUMMYFUNCTION("""COMPUTED_VALUE"""),"Gully Boy")</f>
        <v>Gully Boy</v>
      </c>
      <c r="M1006" s="5" t="str">
        <f>IFERROR(__xludf.DUMMYFUNCTION("""COMPUTED_VALUE"""),"Romance")</f>
        <v>Romance</v>
      </c>
      <c r="N1006" s="5">
        <f>IFERROR(__xludf.DUMMYFUNCTION("""COMPUTED_VALUE"""),3.0)</f>
        <v>3</v>
      </c>
      <c r="S1006" s="5">
        <f>IFERROR(__xludf.DUMMYFUNCTION("""COMPUTED_VALUE"""),401.0)</f>
        <v>401</v>
      </c>
      <c r="T1006" s="5" t="str">
        <f>IFERROR(__xludf.DUMMYFUNCTION("""COMPUTED_VALUE"""),"JFK")</f>
        <v>JFK</v>
      </c>
      <c r="U1006" s="5" t="str">
        <f>IFERROR(__xludf.DUMMYFUNCTION("""COMPUTED_VALUE"""),"Drama")</f>
        <v>Drama</v>
      </c>
      <c r="V1006" s="5">
        <f>IFERROR(__xludf.DUMMYFUNCTION("""COMPUTED_VALUE"""),1.0)</f>
        <v>1</v>
      </c>
    </row>
    <row r="1007">
      <c r="J1007" s="5" t="str">
        <f>IFERROR(__xludf.DUMMYFUNCTION("""COMPUTED_VALUE"""),"336🤙🏼Special Chabbis🤙🏼Crime🤙🏼1")</f>
        <v>336🤙🏼Special Chabbis🤙🏼Crime🤙🏼1</v>
      </c>
      <c r="K1007" s="5">
        <f>IFERROR(__xludf.DUMMYFUNCTION("SPLiT(J1007, ""🤙🏼"",FALSE,FALSE)"),336.0)</f>
        <v>336</v>
      </c>
      <c r="L1007" s="5" t="str">
        <f>IFERROR(__xludf.DUMMYFUNCTION("""COMPUTED_VALUE"""),"Special Chabbis")</f>
        <v>Special Chabbis</v>
      </c>
      <c r="M1007" s="5" t="str">
        <f>IFERROR(__xludf.DUMMYFUNCTION("""COMPUTED_VALUE"""),"Crime")</f>
        <v>Crime</v>
      </c>
      <c r="N1007" s="5">
        <f>IFERROR(__xludf.DUMMYFUNCTION("""COMPUTED_VALUE"""),1.0)</f>
        <v>1</v>
      </c>
      <c r="S1007" s="5">
        <f>IFERROR(__xludf.DUMMYFUNCTION("""COMPUTED_VALUE"""),401.0)</f>
        <v>401</v>
      </c>
      <c r="T1007" s="5" t="str">
        <f>IFERROR(__xludf.DUMMYFUNCTION("""COMPUTED_VALUE"""),"JFK")</f>
        <v>JFK</v>
      </c>
      <c r="U1007" s="5" t="str">
        <f>IFERROR(__xludf.DUMMYFUNCTION("""COMPUTED_VALUE"""),"History")</f>
        <v>History</v>
      </c>
      <c r="V1007" s="5">
        <f>IFERROR(__xludf.DUMMYFUNCTION("""COMPUTED_VALUE"""),2.0)</f>
        <v>2</v>
      </c>
    </row>
    <row r="1008">
      <c r="J1008" s="5" t="str">
        <f>IFERROR(__xludf.DUMMYFUNCTION("""COMPUTED_VALUE"""),"336🤙🏼Special Chabbis🤙🏼Drama🤙🏼2")</f>
        <v>336🤙🏼Special Chabbis🤙🏼Drama🤙🏼2</v>
      </c>
      <c r="K1008" s="5">
        <f>IFERROR(__xludf.DUMMYFUNCTION("SPLiT(J1008, ""🤙🏼"",FALSE,FALSE)"),336.0)</f>
        <v>336</v>
      </c>
      <c r="L1008" s="5" t="str">
        <f>IFERROR(__xludf.DUMMYFUNCTION("""COMPUTED_VALUE"""),"Special Chabbis")</f>
        <v>Special Chabbis</v>
      </c>
      <c r="M1008" s="5" t="str">
        <f>IFERROR(__xludf.DUMMYFUNCTION("""COMPUTED_VALUE"""),"Drama")</f>
        <v>Drama</v>
      </c>
      <c r="N1008" s="5">
        <f>IFERROR(__xludf.DUMMYFUNCTION("""COMPUTED_VALUE"""),2.0)</f>
        <v>2</v>
      </c>
      <c r="S1008" s="5">
        <f>IFERROR(__xludf.DUMMYFUNCTION("""COMPUTED_VALUE"""),401.0)</f>
        <v>401</v>
      </c>
      <c r="T1008" s="5" t="str">
        <f>IFERROR(__xludf.DUMMYFUNCTION("""COMPUTED_VALUE"""),"JFK")</f>
        <v>JFK</v>
      </c>
      <c r="U1008" s="5" t="str">
        <f>IFERROR(__xludf.DUMMYFUNCTION("""COMPUTED_VALUE"""),"Thriller")</f>
        <v>Thriller</v>
      </c>
      <c r="V1008" s="5">
        <f>IFERROR(__xludf.DUMMYFUNCTION("""COMPUTED_VALUE"""),3.0)</f>
        <v>3</v>
      </c>
    </row>
    <row r="1009">
      <c r="J1009" s="5" t="str">
        <f>IFERROR(__xludf.DUMMYFUNCTION("""COMPUTED_VALUE"""),"336🤙🏼Special Chabbis🤙🏼Thriller🤙🏼3")</f>
        <v>336🤙🏼Special Chabbis🤙🏼Thriller🤙🏼3</v>
      </c>
      <c r="K1009" s="5">
        <f>IFERROR(__xludf.DUMMYFUNCTION("SPLiT(J1009, ""🤙🏼"",FALSE,FALSE)"),336.0)</f>
        <v>336</v>
      </c>
      <c r="L1009" s="5" t="str">
        <f>IFERROR(__xludf.DUMMYFUNCTION("""COMPUTED_VALUE"""),"Special Chabbis")</f>
        <v>Special Chabbis</v>
      </c>
      <c r="M1009" s="5" t="str">
        <f>IFERROR(__xludf.DUMMYFUNCTION("""COMPUTED_VALUE"""),"Thriller")</f>
        <v>Thriller</v>
      </c>
      <c r="N1009" s="5">
        <f>IFERROR(__xludf.DUMMYFUNCTION("""COMPUTED_VALUE"""),3.0)</f>
        <v>3</v>
      </c>
      <c r="S1009" s="5">
        <f>IFERROR(__xludf.DUMMYFUNCTION("""COMPUTED_VALUE"""),402.0)</f>
        <v>402</v>
      </c>
      <c r="T1009" s="5" t="str">
        <f>IFERROR(__xludf.DUMMYFUNCTION("""COMPUTED_VALUE"""),"Beauty and the Beast")</f>
        <v>Beauty and the Beast</v>
      </c>
      <c r="U1009" s="5" t="str">
        <f>IFERROR(__xludf.DUMMYFUNCTION("""COMPUTED_VALUE"""),"Animation")</f>
        <v>Animation</v>
      </c>
      <c r="V1009" s="5">
        <f>IFERROR(__xludf.DUMMYFUNCTION("""COMPUTED_VALUE"""),1.0)</f>
        <v>1</v>
      </c>
    </row>
    <row r="1010">
      <c r="J1010" s="5" t="str">
        <f>IFERROR(__xludf.DUMMYFUNCTION("""COMPUTED_VALUE"""),"337🤙🏼Short Term 12🤙🏼Drama🤙🏼1")</f>
        <v>337🤙🏼Short Term 12🤙🏼Drama🤙🏼1</v>
      </c>
      <c r="K1010" s="5">
        <f>IFERROR(__xludf.DUMMYFUNCTION("SPLiT(J1010, ""🤙🏼"",FALSE,FALSE)"),337.0)</f>
        <v>337</v>
      </c>
      <c r="L1010" s="5" t="str">
        <f>IFERROR(__xludf.DUMMYFUNCTION("""COMPUTED_VALUE"""),"Short Term 12")</f>
        <v>Short Term 12</v>
      </c>
      <c r="M1010" s="5" t="str">
        <f>IFERROR(__xludf.DUMMYFUNCTION("""COMPUTED_VALUE"""),"Drama")</f>
        <v>Drama</v>
      </c>
      <c r="N1010" s="5">
        <f>IFERROR(__xludf.DUMMYFUNCTION("""COMPUTED_VALUE"""),1.0)</f>
        <v>1</v>
      </c>
      <c r="S1010" s="5">
        <f>IFERROR(__xludf.DUMMYFUNCTION("""COMPUTED_VALUE"""),402.0)</f>
        <v>402</v>
      </c>
      <c r="T1010" s="5" t="str">
        <f>IFERROR(__xludf.DUMMYFUNCTION("""COMPUTED_VALUE"""),"Beauty and the Beast")</f>
        <v>Beauty and the Beast</v>
      </c>
      <c r="U1010" s="5" t="str">
        <f>IFERROR(__xludf.DUMMYFUNCTION("""COMPUTED_VALUE"""),"Family")</f>
        <v>Family</v>
      </c>
      <c r="V1010" s="5">
        <f>IFERROR(__xludf.DUMMYFUNCTION("""COMPUTED_VALUE"""),2.0)</f>
        <v>2</v>
      </c>
    </row>
    <row r="1011">
      <c r="J1011" s="5" t="str">
        <f>IFERROR(__xludf.DUMMYFUNCTION("""COMPUTED_VALUE"""),"337🤙🏼Short Term 12🤙🏼🤙🏼2")</f>
        <v>337🤙🏼Short Term 12🤙🏼🤙🏼2</v>
      </c>
      <c r="K1011" s="5">
        <f>IFERROR(__xludf.DUMMYFUNCTION("SPLiT(J1011, ""🤙🏼"",FALSE,FALSE)"),337.0)</f>
        <v>337</v>
      </c>
      <c r="L1011" s="5" t="str">
        <f>IFERROR(__xludf.DUMMYFUNCTION("""COMPUTED_VALUE"""),"Short Term 12")</f>
        <v>Short Term 12</v>
      </c>
      <c r="M1011" s="5"/>
      <c r="N1011" s="5">
        <f>IFERROR(__xludf.DUMMYFUNCTION("""COMPUTED_VALUE"""),2.0)</f>
        <v>2</v>
      </c>
      <c r="S1011" s="5">
        <f>IFERROR(__xludf.DUMMYFUNCTION("""COMPUTED_VALUE"""),402.0)</f>
        <v>402</v>
      </c>
      <c r="T1011" s="5" t="str">
        <f>IFERROR(__xludf.DUMMYFUNCTION("""COMPUTED_VALUE"""),"Beauty and the Beast")</f>
        <v>Beauty and the Beast</v>
      </c>
      <c r="U1011" s="5" t="str">
        <f>IFERROR(__xludf.DUMMYFUNCTION("""COMPUTED_VALUE"""),"Fantasy")</f>
        <v>Fantasy</v>
      </c>
      <c r="V1011" s="5">
        <f>IFERROR(__xludf.DUMMYFUNCTION("""COMPUTED_VALUE"""),3.0)</f>
        <v>3</v>
      </c>
    </row>
    <row r="1012">
      <c r="J1012" s="5" t="str">
        <f>IFERROR(__xludf.DUMMYFUNCTION("""COMPUTED_VALUE"""),"337🤙🏼Short Term 12🤙🏼🤙🏼3")</f>
        <v>337🤙🏼Short Term 12🤙🏼🤙🏼3</v>
      </c>
      <c r="K1012" s="5">
        <f>IFERROR(__xludf.DUMMYFUNCTION("SPLiT(J1012, ""🤙🏼"",FALSE,FALSE)"),337.0)</f>
        <v>337</v>
      </c>
      <c r="L1012" s="5" t="str">
        <f>IFERROR(__xludf.DUMMYFUNCTION("""COMPUTED_VALUE"""),"Short Term 12")</f>
        <v>Short Term 12</v>
      </c>
      <c r="M1012" s="5"/>
      <c r="N1012" s="5">
        <f>IFERROR(__xludf.DUMMYFUNCTION("""COMPUTED_VALUE"""),3.0)</f>
        <v>3</v>
      </c>
      <c r="S1012" s="5">
        <f>IFERROR(__xludf.DUMMYFUNCTION("""COMPUTED_VALUE"""),403.0)</f>
        <v>403</v>
      </c>
      <c r="T1012" s="5" t="str">
        <f>IFERROR(__xludf.DUMMYFUNCTION("""COMPUTED_VALUE"""),"Dances with Wolves")</f>
        <v>Dances with Wolves</v>
      </c>
      <c r="U1012" s="5" t="str">
        <f>IFERROR(__xludf.DUMMYFUNCTION("""COMPUTED_VALUE"""),"Adventure")</f>
        <v>Adventure</v>
      </c>
      <c r="V1012" s="5">
        <f>IFERROR(__xludf.DUMMYFUNCTION("""COMPUTED_VALUE"""),1.0)</f>
        <v>1</v>
      </c>
    </row>
    <row r="1013">
      <c r="J1013" s="5" t="str">
        <f>IFERROR(__xludf.DUMMYFUNCTION("""COMPUTED_VALUE"""),"338🤙🏼Serbuan maut 2: Berandal🤙🏼Action🤙🏼1")</f>
        <v>338🤙🏼Serbuan maut 2: Berandal🤙🏼Action🤙🏼1</v>
      </c>
      <c r="K1013" s="5">
        <f>IFERROR(__xludf.DUMMYFUNCTION("SPLiT(J1013, ""🤙🏼"",FALSE,FALSE)"),338.0)</f>
        <v>338</v>
      </c>
      <c r="L1013" s="5" t="str">
        <f>IFERROR(__xludf.DUMMYFUNCTION("""COMPUTED_VALUE"""),"Serbuan maut 2: Berandal")</f>
        <v>Serbuan maut 2: Berandal</v>
      </c>
      <c r="M1013" s="5" t="str">
        <f>IFERROR(__xludf.DUMMYFUNCTION("""COMPUTED_VALUE"""),"Action")</f>
        <v>Action</v>
      </c>
      <c r="N1013" s="5">
        <f>IFERROR(__xludf.DUMMYFUNCTION("""COMPUTED_VALUE"""),1.0)</f>
        <v>1</v>
      </c>
      <c r="S1013" s="5">
        <f>IFERROR(__xludf.DUMMYFUNCTION("""COMPUTED_VALUE"""),403.0)</f>
        <v>403</v>
      </c>
      <c r="T1013" s="5" t="str">
        <f>IFERROR(__xludf.DUMMYFUNCTION("""COMPUTED_VALUE"""),"Dances with Wolves")</f>
        <v>Dances with Wolves</v>
      </c>
      <c r="U1013" s="5" t="str">
        <f>IFERROR(__xludf.DUMMYFUNCTION("""COMPUTED_VALUE"""),"Drama")</f>
        <v>Drama</v>
      </c>
      <c r="V1013" s="5">
        <f>IFERROR(__xludf.DUMMYFUNCTION("""COMPUTED_VALUE"""),2.0)</f>
        <v>2</v>
      </c>
    </row>
    <row r="1014">
      <c r="J1014" s="5" t="str">
        <f>IFERROR(__xludf.DUMMYFUNCTION("""COMPUTED_VALUE"""),"338🤙🏼Serbuan maut 2: Berandal🤙🏼Crime🤙🏼2")</f>
        <v>338🤙🏼Serbuan maut 2: Berandal🤙🏼Crime🤙🏼2</v>
      </c>
      <c r="K1014" s="5">
        <f>IFERROR(__xludf.DUMMYFUNCTION("SPLiT(J1014, ""🤙🏼"",FALSE,FALSE)"),338.0)</f>
        <v>338</v>
      </c>
      <c r="L1014" s="5" t="str">
        <f>IFERROR(__xludf.DUMMYFUNCTION("""COMPUTED_VALUE"""),"Serbuan maut 2: Berandal")</f>
        <v>Serbuan maut 2: Berandal</v>
      </c>
      <c r="M1014" s="5" t="str">
        <f>IFERROR(__xludf.DUMMYFUNCTION("""COMPUTED_VALUE"""),"Crime")</f>
        <v>Crime</v>
      </c>
      <c r="N1014" s="5">
        <f>IFERROR(__xludf.DUMMYFUNCTION("""COMPUTED_VALUE"""),2.0)</f>
        <v>2</v>
      </c>
      <c r="S1014" s="5">
        <f>IFERROR(__xludf.DUMMYFUNCTION("""COMPUTED_VALUE"""),403.0)</f>
        <v>403</v>
      </c>
      <c r="T1014" s="5" t="str">
        <f>IFERROR(__xludf.DUMMYFUNCTION("""COMPUTED_VALUE"""),"Dances with Wolves")</f>
        <v>Dances with Wolves</v>
      </c>
      <c r="U1014" s="5" t="str">
        <f>IFERROR(__xludf.DUMMYFUNCTION("""COMPUTED_VALUE"""),"Western")</f>
        <v>Western</v>
      </c>
      <c r="V1014" s="5">
        <f>IFERROR(__xludf.DUMMYFUNCTION("""COMPUTED_VALUE"""),3.0)</f>
        <v>3</v>
      </c>
    </row>
    <row r="1015">
      <c r="J1015" s="5" t="str">
        <f>IFERROR(__xludf.DUMMYFUNCTION("""COMPUTED_VALUE"""),"338🤙🏼Serbuan maut 2: Berandal🤙🏼Thriller🤙🏼3")</f>
        <v>338🤙🏼Serbuan maut 2: Berandal🤙🏼Thriller🤙🏼3</v>
      </c>
      <c r="K1015" s="5">
        <f>IFERROR(__xludf.DUMMYFUNCTION("SPLiT(J1015, ""🤙🏼"",FALSE,FALSE)"),338.0)</f>
        <v>338</v>
      </c>
      <c r="L1015" s="5" t="str">
        <f>IFERROR(__xludf.DUMMYFUNCTION("""COMPUTED_VALUE"""),"Serbuan maut 2: Berandal")</f>
        <v>Serbuan maut 2: Berandal</v>
      </c>
      <c r="M1015" s="5" t="str">
        <f>IFERROR(__xludf.DUMMYFUNCTION("""COMPUTED_VALUE"""),"Thriller")</f>
        <v>Thriller</v>
      </c>
      <c r="N1015" s="5">
        <f>IFERROR(__xludf.DUMMYFUNCTION("""COMPUTED_VALUE"""),3.0)</f>
        <v>3</v>
      </c>
      <c r="S1015" s="5">
        <f>IFERROR(__xludf.DUMMYFUNCTION("""COMPUTED_VALUE"""),404.0)</f>
        <v>404</v>
      </c>
      <c r="T1015" s="5" t="str">
        <f>IFERROR(__xludf.DUMMYFUNCTION("""COMPUTED_VALUE"""),"Do the Right Thing")</f>
        <v>Do the Right Thing</v>
      </c>
      <c r="U1015" s="5" t="str">
        <f>IFERROR(__xludf.DUMMYFUNCTION("""COMPUTED_VALUE"""),"Comedy")</f>
        <v>Comedy</v>
      </c>
      <c r="V1015" s="5">
        <f>IFERROR(__xludf.DUMMYFUNCTION("""COMPUTED_VALUE"""),1.0)</f>
        <v>1</v>
      </c>
    </row>
    <row r="1016">
      <c r="J1016" s="5" t="str">
        <f>IFERROR(__xludf.DUMMYFUNCTION("""COMPUTED_VALUE"""),"339🤙🏼The Imitation Game🤙🏼Biography🤙🏼1")</f>
        <v>339🤙🏼The Imitation Game🤙🏼Biography🤙🏼1</v>
      </c>
      <c r="K1016" s="5">
        <f>IFERROR(__xludf.DUMMYFUNCTION("SPLiT(J1016, ""🤙🏼"",FALSE,FALSE)"),339.0)</f>
        <v>339</v>
      </c>
      <c r="L1016" s="5" t="str">
        <f>IFERROR(__xludf.DUMMYFUNCTION("""COMPUTED_VALUE"""),"The Imitation Game")</f>
        <v>The Imitation Game</v>
      </c>
      <c r="M1016" s="5" t="str">
        <f>IFERROR(__xludf.DUMMYFUNCTION("""COMPUTED_VALUE"""),"Biography")</f>
        <v>Biography</v>
      </c>
      <c r="N1016" s="5">
        <f>IFERROR(__xludf.DUMMYFUNCTION("""COMPUTED_VALUE"""),1.0)</f>
        <v>1</v>
      </c>
      <c r="S1016" s="5">
        <f>IFERROR(__xludf.DUMMYFUNCTION("""COMPUTED_VALUE"""),404.0)</f>
        <v>404</v>
      </c>
      <c r="T1016" s="5" t="str">
        <f>IFERROR(__xludf.DUMMYFUNCTION("""COMPUTED_VALUE"""),"Do the Right Thing")</f>
        <v>Do the Right Thing</v>
      </c>
      <c r="U1016" s="5" t="str">
        <f>IFERROR(__xludf.DUMMYFUNCTION("""COMPUTED_VALUE"""),"Drama")</f>
        <v>Drama</v>
      </c>
      <c r="V1016" s="5">
        <f>IFERROR(__xludf.DUMMYFUNCTION("""COMPUTED_VALUE"""),2.0)</f>
        <v>2</v>
      </c>
    </row>
    <row r="1017">
      <c r="J1017" s="5" t="str">
        <f>IFERROR(__xludf.DUMMYFUNCTION("""COMPUTED_VALUE"""),"339🤙🏼The Imitation Game🤙🏼Drama🤙🏼2")</f>
        <v>339🤙🏼The Imitation Game🤙🏼Drama🤙🏼2</v>
      </c>
      <c r="K1017" s="5">
        <f>IFERROR(__xludf.DUMMYFUNCTION("SPLiT(J1017, ""🤙🏼"",FALSE,FALSE)"),339.0)</f>
        <v>339</v>
      </c>
      <c r="L1017" s="5" t="str">
        <f>IFERROR(__xludf.DUMMYFUNCTION("""COMPUTED_VALUE"""),"The Imitation Game")</f>
        <v>The Imitation Game</v>
      </c>
      <c r="M1017" s="5" t="str">
        <f>IFERROR(__xludf.DUMMYFUNCTION("""COMPUTED_VALUE"""),"Drama")</f>
        <v>Drama</v>
      </c>
      <c r="N1017" s="5">
        <f>IFERROR(__xludf.DUMMYFUNCTION("""COMPUTED_VALUE"""),2.0)</f>
        <v>2</v>
      </c>
      <c r="S1017" s="5">
        <f>IFERROR(__xludf.DUMMYFUNCTION("""COMPUTED_VALUE"""),405.0)</f>
        <v>405</v>
      </c>
      <c r="T1017" s="5" t="str">
        <f>IFERROR(__xludf.DUMMYFUNCTION("""COMPUTED_VALUE"""),"Rain Man")</f>
        <v>Rain Man</v>
      </c>
      <c r="U1017" s="5" t="str">
        <f>IFERROR(__xludf.DUMMYFUNCTION("""COMPUTED_VALUE"""),"Drama")</f>
        <v>Drama</v>
      </c>
      <c r="V1017" s="5">
        <f>IFERROR(__xludf.DUMMYFUNCTION("""COMPUTED_VALUE"""),1.0)</f>
        <v>1</v>
      </c>
    </row>
    <row r="1018">
      <c r="J1018" s="5" t="str">
        <f>IFERROR(__xludf.DUMMYFUNCTION("""COMPUTED_VALUE"""),"339🤙🏼The Imitation Game🤙🏼Thriller🤙🏼3")</f>
        <v>339🤙🏼The Imitation Game🤙🏼Thriller🤙🏼3</v>
      </c>
      <c r="K1018" s="5">
        <f>IFERROR(__xludf.DUMMYFUNCTION("SPLiT(J1018, ""🤙🏼"",FALSE,FALSE)"),339.0)</f>
        <v>339</v>
      </c>
      <c r="L1018" s="5" t="str">
        <f>IFERROR(__xludf.DUMMYFUNCTION("""COMPUTED_VALUE"""),"The Imitation Game")</f>
        <v>The Imitation Game</v>
      </c>
      <c r="M1018" s="5" t="str">
        <f>IFERROR(__xludf.DUMMYFUNCTION("""COMPUTED_VALUE"""),"Thriller")</f>
        <v>Thriller</v>
      </c>
      <c r="N1018" s="5">
        <f>IFERROR(__xludf.DUMMYFUNCTION("""COMPUTED_VALUE"""),3.0)</f>
        <v>3</v>
      </c>
      <c r="S1018" s="5">
        <f>IFERROR(__xludf.DUMMYFUNCTION("""COMPUTED_VALUE"""),406.0)</f>
        <v>406</v>
      </c>
      <c r="T1018" s="5" t="str">
        <f>IFERROR(__xludf.DUMMYFUNCTION("""COMPUTED_VALUE"""),"Akira")</f>
        <v>Akira</v>
      </c>
      <c r="U1018" s="5" t="str">
        <f>IFERROR(__xludf.DUMMYFUNCTION("""COMPUTED_VALUE"""),"Animation")</f>
        <v>Animation</v>
      </c>
      <c r="V1018" s="5">
        <f>IFERROR(__xludf.DUMMYFUNCTION("""COMPUTED_VALUE"""),1.0)</f>
        <v>1</v>
      </c>
    </row>
    <row r="1019">
      <c r="J1019" s="5" t="str">
        <f>IFERROR(__xludf.DUMMYFUNCTION("""COMPUTED_VALUE"""),"340🤙🏼Guardians of the Galaxy🤙🏼Action🤙🏼1")</f>
        <v>340🤙🏼Guardians of the Galaxy🤙🏼Action🤙🏼1</v>
      </c>
      <c r="K1019" s="5">
        <f>IFERROR(__xludf.DUMMYFUNCTION("SPLiT(J1019, ""🤙🏼"",FALSE,FALSE)"),340.0)</f>
        <v>340</v>
      </c>
      <c r="L1019" s="5" t="str">
        <f>IFERROR(__xludf.DUMMYFUNCTION("""COMPUTED_VALUE"""),"Guardians of the Galaxy")</f>
        <v>Guardians of the Galaxy</v>
      </c>
      <c r="M1019" s="5" t="str">
        <f>IFERROR(__xludf.DUMMYFUNCTION("""COMPUTED_VALUE"""),"Action")</f>
        <v>Action</v>
      </c>
      <c r="N1019" s="5">
        <f>IFERROR(__xludf.DUMMYFUNCTION("""COMPUTED_VALUE"""),1.0)</f>
        <v>1</v>
      </c>
      <c r="S1019" s="5">
        <f>IFERROR(__xludf.DUMMYFUNCTION("""COMPUTED_VALUE"""),406.0)</f>
        <v>406</v>
      </c>
      <c r="T1019" s="5" t="str">
        <f>IFERROR(__xludf.DUMMYFUNCTION("""COMPUTED_VALUE"""),"Akira")</f>
        <v>Akira</v>
      </c>
      <c r="U1019" s="5" t="str">
        <f>IFERROR(__xludf.DUMMYFUNCTION("""COMPUTED_VALUE"""),"Action")</f>
        <v>Action</v>
      </c>
      <c r="V1019" s="5">
        <f>IFERROR(__xludf.DUMMYFUNCTION("""COMPUTED_VALUE"""),2.0)</f>
        <v>2</v>
      </c>
    </row>
    <row r="1020">
      <c r="J1020" s="5" t="str">
        <f>IFERROR(__xludf.DUMMYFUNCTION("""COMPUTED_VALUE"""),"340🤙🏼Guardians of the Galaxy🤙🏼Adventure🤙🏼2")</f>
        <v>340🤙🏼Guardians of the Galaxy🤙🏼Adventure🤙🏼2</v>
      </c>
      <c r="K1020" s="5">
        <f>IFERROR(__xludf.DUMMYFUNCTION("SPLiT(J1020, ""🤙🏼"",FALSE,FALSE)"),340.0)</f>
        <v>340</v>
      </c>
      <c r="L1020" s="5" t="str">
        <f>IFERROR(__xludf.DUMMYFUNCTION("""COMPUTED_VALUE"""),"Guardians of the Galaxy")</f>
        <v>Guardians of the Galaxy</v>
      </c>
      <c r="M1020" s="5" t="str">
        <f>IFERROR(__xludf.DUMMYFUNCTION("""COMPUTED_VALUE"""),"Adventure")</f>
        <v>Adventure</v>
      </c>
      <c r="N1020" s="5">
        <f>IFERROR(__xludf.DUMMYFUNCTION("""COMPUTED_VALUE"""),2.0)</f>
        <v>2</v>
      </c>
      <c r="S1020" s="5">
        <f>IFERROR(__xludf.DUMMYFUNCTION("""COMPUTED_VALUE"""),406.0)</f>
        <v>406</v>
      </c>
      <c r="T1020" s="5" t="str">
        <f>IFERROR(__xludf.DUMMYFUNCTION("""COMPUTED_VALUE"""),"Akira")</f>
        <v>Akira</v>
      </c>
      <c r="U1020" s="5" t="str">
        <f>IFERROR(__xludf.DUMMYFUNCTION("""COMPUTED_VALUE"""),"Sci-Fi")</f>
        <v>Sci-Fi</v>
      </c>
      <c r="V1020" s="5">
        <f>IFERROR(__xludf.DUMMYFUNCTION("""COMPUTED_VALUE"""),3.0)</f>
        <v>3</v>
      </c>
    </row>
    <row r="1021">
      <c r="J1021" s="5" t="str">
        <f>IFERROR(__xludf.DUMMYFUNCTION("""COMPUTED_VALUE"""),"340🤙🏼Guardians of the Galaxy🤙🏼Comedy🤙🏼3")</f>
        <v>340🤙🏼Guardians of the Galaxy🤙🏼Comedy🤙🏼3</v>
      </c>
      <c r="K1021" s="5">
        <f>IFERROR(__xludf.DUMMYFUNCTION("SPLiT(J1021, ""🤙🏼"",FALSE,FALSE)"),340.0)</f>
        <v>340</v>
      </c>
      <c r="L1021" s="5" t="str">
        <f>IFERROR(__xludf.DUMMYFUNCTION("""COMPUTED_VALUE"""),"Guardians of the Galaxy")</f>
        <v>Guardians of the Galaxy</v>
      </c>
      <c r="M1021" s="5" t="str">
        <f>IFERROR(__xludf.DUMMYFUNCTION("""COMPUTED_VALUE"""),"Comedy")</f>
        <v>Comedy</v>
      </c>
      <c r="N1021" s="5">
        <f>IFERROR(__xludf.DUMMYFUNCTION("""COMPUTED_VALUE"""),3.0)</f>
        <v>3</v>
      </c>
      <c r="S1021" s="5">
        <f>IFERROR(__xludf.DUMMYFUNCTION("""COMPUTED_VALUE"""),407.0)</f>
        <v>407</v>
      </c>
      <c r="T1021" s="5" t="str">
        <f>IFERROR(__xludf.DUMMYFUNCTION("""COMPUTED_VALUE"""),"The Princess Bride")</f>
        <v>The Princess Bride</v>
      </c>
      <c r="U1021" s="5" t="str">
        <f>IFERROR(__xludf.DUMMYFUNCTION("""COMPUTED_VALUE"""),"Adventure")</f>
        <v>Adventure</v>
      </c>
      <c r="V1021" s="5">
        <f>IFERROR(__xludf.DUMMYFUNCTION("""COMPUTED_VALUE"""),1.0)</f>
        <v>1</v>
      </c>
    </row>
    <row r="1022">
      <c r="J1022" s="5" t="str">
        <f>IFERROR(__xludf.DUMMYFUNCTION("""COMPUTED_VALUE"""),"341🤙🏼Blade Runner 2049🤙🏼Action🤙🏼1")</f>
        <v>341🤙🏼Blade Runner 2049🤙🏼Action🤙🏼1</v>
      </c>
      <c r="K1022" s="5">
        <f>IFERROR(__xludf.DUMMYFUNCTION("SPLiT(J1022, ""🤙🏼"",FALSE,FALSE)"),341.0)</f>
        <v>341</v>
      </c>
      <c r="L1022" s="5" t="str">
        <f>IFERROR(__xludf.DUMMYFUNCTION("""COMPUTED_VALUE"""),"Blade Runner 2049")</f>
        <v>Blade Runner 2049</v>
      </c>
      <c r="M1022" s="5" t="str">
        <f>IFERROR(__xludf.DUMMYFUNCTION("""COMPUTED_VALUE"""),"Action")</f>
        <v>Action</v>
      </c>
      <c r="N1022" s="5">
        <f>IFERROR(__xludf.DUMMYFUNCTION("""COMPUTED_VALUE"""),1.0)</f>
        <v>1</v>
      </c>
      <c r="S1022" s="5">
        <f>IFERROR(__xludf.DUMMYFUNCTION("""COMPUTED_VALUE"""),407.0)</f>
        <v>407</v>
      </c>
      <c r="T1022" s="5" t="str">
        <f>IFERROR(__xludf.DUMMYFUNCTION("""COMPUTED_VALUE"""),"The Princess Bride")</f>
        <v>The Princess Bride</v>
      </c>
      <c r="U1022" s="5" t="str">
        <f>IFERROR(__xludf.DUMMYFUNCTION("""COMPUTED_VALUE"""),"Family")</f>
        <v>Family</v>
      </c>
      <c r="V1022" s="5">
        <f>IFERROR(__xludf.DUMMYFUNCTION("""COMPUTED_VALUE"""),2.0)</f>
        <v>2</v>
      </c>
    </row>
    <row r="1023">
      <c r="J1023" s="5" t="str">
        <f>IFERROR(__xludf.DUMMYFUNCTION("""COMPUTED_VALUE"""),"341🤙🏼Blade Runner 2049🤙🏼Drama🤙🏼2")</f>
        <v>341🤙🏼Blade Runner 2049🤙🏼Drama🤙🏼2</v>
      </c>
      <c r="K1023" s="5">
        <f>IFERROR(__xludf.DUMMYFUNCTION("SPLiT(J1023, ""🤙🏼"",FALSE,FALSE)"),341.0)</f>
        <v>341</v>
      </c>
      <c r="L1023" s="5" t="str">
        <f>IFERROR(__xludf.DUMMYFUNCTION("""COMPUTED_VALUE"""),"Blade Runner 2049")</f>
        <v>Blade Runner 2049</v>
      </c>
      <c r="M1023" s="5" t="str">
        <f>IFERROR(__xludf.DUMMYFUNCTION("""COMPUTED_VALUE"""),"Drama")</f>
        <v>Drama</v>
      </c>
      <c r="N1023" s="5">
        <f>IFERROR(__xludf.DUMMYFUNCTION("""COMPUTED_VALUE"""),2.0)</f>
        <v>2</v>
      </c>
      <c r="S1023" s="5">
        <f>IFERROR(__xludf.DUMMYFUNCTION("""COMPUTED_VALUE"""),407.0)</f>
        <v>407</v>
      </c>
      <c r="T1023" s="5" t="str">
        <f>IFERROR(__xludf.DUMMYFUNCTION("""COMPUTED_VALUE"""),"The Princess Bride")</f>
        <v>The Princess Bride</v>
      </c>
      <c r="U1023" s="5" t="str">
        <f>IFERROR(__xludf.DUMMYFUNCTION("""COMPUTED_VALUE"""),"Fantasy")</f>
        <v>Fantasy</v>
      </c>
      <c r="V1023" s="5">
        <f>IFERROR(__xludf.DUMMYFUNCTION("""COMPUTED_VALUE"""),3.0)</f>
        <v>3</v>
      </c>
    </row>
    <row r="1024">
      <c r="J1024" s="5" t="str">
        <f>IFERROR(__xludf.DUMMYFUNCTION("""COMPUTED_VALUE"""),"341🤙🏼Blade Runner 2049🤙🏼Mystery🤙🏼3")</f>
        <v>341🤙🏼Blade Runner 2049🤙🏼Mystery🤙🏼3</v>
      </c>
      <c r="K1024" s="5">
        <f>IFERROR(__xludf.DUMMYFUNCTION("SPLiT(J1024, ""🤙🏼"",FALSE,FALSE)"),341.0)</f>
        <v>341</v>
      </c>
      <c r="L1024" s="5" t="str">
        <f>IFERROR(__xludf.DUMMYFUNCTION("""COMPUTED_VALUE"""),"Blade Runner 2049")</f>
        <v>Blade Runner 2049</v>
      </c>
      <c r="M1024" s="5" t="str">
        <f>IFERROR(__xludf.DUMMYFUNCTION("""COMPUTED_VALUE"""),"Mystery")</f>
        <v>Mystery</v>
      </c>
      <c r="N1024" s="5">
        <f>IFERROR(__xludf.DUMMYFUNCTION("""COMPUTED_VALUE"""),3.0)</f>
        <v>3</v>
      </c>
      <c r="S1024" s="5">
        <f>IFERROR(__xludf.DUMMYFUNCTION("""COMPUTED_VALUE"""),408.0)</f>
        <v>408</v>
      </c>
      <c r="T1024" s="5" t="str">
        <f>IFERROR(__xludf.DUMMYFUNCTION("""COMPUTED_VALUE"""),"Der Himmel über Berlin")</f>
        <v>Der Himmel über Berlin</v>
      </c>
      <c r="U1024" s="5" t="str">
        <f>IFERROR(__xludf.DUMMYFUNCTION("""COMPUTED_VALUE"""),"Drama")</f>
        <v>Drama</v>
      </c>
      <c r="V1024" s="5">
        <f>IFERROR(__xludf.DUMMYFUNCTION("""COMPUTED_VALUE"""),1.0)</f>
        <v>1</v>
      </c>
    </row>
    <row r="1025">
      <c r="J1025" s="5" t="str">
        <f>IFERROR(__xludf.DUMMYFUNCTION("""COMPUTED_VALUE"""),"342🤙🏼Her🤙🏼Drama🤙🏼1")</f>
        <v>342🤙🏼Her🤙🏼Drama🤙🏼1</v>
      </c>
      <c r="K1025" s="5">
        <f>IFERROR(__xludf.DUMMYFUNCTION("SPLiT(J1025, ""🤙🏼"",FALSE,FALSE)"),342.0)</f>
        <v>342</v>
      </c>
      <c r="L1025" s="5" t="str">
        <f>IFERROR(__xludf.DUMMYFUNCTION("""COMPUTED_VALUE"""),"Her")</f>
        <v>Her</v>
      </c>
      <c r="M1025" s="5" t="str">
        <f>IFERROR(__xludf.DUMMYFUNCTION("""COMPUTED_VALUE"""),"Drama")</f>
        <v>Drama</v>
      </c>
      <c r="N1025" s="5">
        <f>IFERROR(__xludf.DUMMYFUNCTION("""COMPUTED_VALUE"""),1.0)</f>
        <v>1</v>
      </c>
      <c r="S1025" s="5">
        <f>IFERROR(__xludf.DUMMYFUNCTION("""COMPUTED_VALUE"""),408.0)</f>
        <v>408</v>
      </c>
      <c r="T1025" s="5" t="str">
        <f>IFERROR(__xludf.DUMMYFUNCTION("""COMPUTED_VALUE"""),"Der Himmel über Berlin")</f>
        <v>Der Himmel über Berlin</v>
      </c>
      <c r="U1025" s="5" t="str">
        <f>IFERROR(__xludf.DUMMYFUNCTION("""COMPUTED_VALUE"""),"Fantasy")</f>
        <v>Fantasy</v>
      </c>
      <c r="V1025" s="5">
        <f>IFERROR(__xludf.DUMMYFUNCTION("""COMPUTED_VALUE"""),2.0)</f>
        <v>2</v>
      </c>
    </row>
    <row r="1026">
      <c r="J1026" s="5" t="str">
        <f>IFERROR(__xludf.DUMMYFUNCTION("""COMPUTED_VALUE"""),"342🤙🏼Her🤙🏼Romance🤙🏼2")</f>
        <v>342🤙🏼Her🤙🏼Romance🤙🏼2</v>
      </c>
      <c r="K1026" s="5">
        <f>IFERROR(__xludf.DUMMYFUNCTION("SPLiT(J1026, ""🤙🏼"",FALSE,FALSE)"),342.0)</f>
        <v>342</v>
      </c>
      <c r="L1026" s="5" t="str">
        <f>IFERROR(__xludf.DUMMYFUNCTION("""COMPUTED_VALUE"""),"Her")</f>
        <v>Her</v>
      </c>
      <c r="M1026" s="5" t="str">
        <f>IFERROR(__xludf.DUMMYFUNCTION("""COMPUTED_VALUE"""),"Romance")</f>
        <v>Romance</v>
      </c>
      <c r="N1026" s="5">
        <f>IFERROR(__xludf.DUMMYFUNCTION("""COMPUTED_VALUE"""),2.0)</f>
        <v>2</v>
      </c>
      <c r="S1026" s="5">
        <f>IFERROR(__xludf.DUMMYFUNCTION("""COMPUTED_VALUE"""),408.0)</f>
        <v>408</v>
      </c>
      <c r="T1026" s="5" t="str">
        <f>IFERROR(__xludf.DUMMYFUNCTION("""COMPUTED_VALUE"""),"Der Himmel über Berlin")</f>
        <v>Der Himmel über Berlin</v>
      </c>
      <c r="U1026" s="5" t="str">
        <f>IFERROR(__xludf.DUMMYFUNCTION("""COMPUTED_VALUE"""),"Romance")</f>
        <v>Romance</v>
      </c>
      <c r="V1026" s="5">
        <f>IFERROR(__xludf.DUMMYFUNCTION("""COMPUTED_VALUE"""),3.0)</f>
        <v>3</v>
      </c>
    </row>
    <row r="1027">
      <c r="J1027" s="5" t="str">
        <f>IFERROR(__xludf.DUMMYFUNCTION("""COMPUTED_VALUE"""),"342🤙🏼Her🤙🏼Sci-Fi🤙🏼3")</f>
        <v>342🤙🏼Her🤙🏼Sci-Fi🤙🏼3</v>
      </c>
      <c r="K1027" s="5">
        <f>IFERROR(__xludf.DUMMYFUNCTION("SPLiT(J1027, ""🤙🏼"",FALSE,FALSE)"),342.0)</f>
        <v>342</v>
      </c>
      <c r="L1027" s="5" t="str">
        <f>IFERROR(__xludf.DUMMYFUNCTION("""COMPUTED_VALUE"""),"Her")</f>
        <v>Her</v>
      </c>
      <c r="M1027" s="5" t="str">
        <f>IFERROR(__xludf.DUMMYFUNCTION("""COMPUTED_VALUE"""),"Sci-Fi")</f>
        <v>Sci-Fi</v>
      </c>
      <c r="N1027" s="5">
        <f>IFERROR(__xludf.DUMMYFUNCTION("""COMPUTED_VALUE"""),3.0)</f>
        <v>3</v>
      </c>
      <c r="S1027" s="5">
        <f>IFERROR(__xludf.DUMMYFUNCTION("""COMPUTED_VALUE"""),409.0)</f>
        <v>409</v>
      </c>
      <c r="T1027" s="5" t="str">
        <f>IFERROR(__xludf.DUMMYFUNCTION("""COMPUTED_VALUE"""),"Au revoir les enfants")</f>
        <v>Au revoir les enfants</v>
      </c>
      <c r="U1027" s="5" t="str">
        <f>IFERROR(__xludf.DUMMYFUNCTION("""COMPUTED_VALUE"""),"Drama")</f>
        <v>Drama</v>
      </c>
      <c r="V1027" s="5">
        <f>IFERROR(__xludf.DUMMYFUNCTION("""COMPUTED_VALUE"""),1.0)</f>
        <v>1</v>
      </c>
    </row>
    <row r="1028">
      <c r="J1028" s="5" t="str">
        <f>IFERROR(__xludf.DUMMYFUNCTION("""COMPUTED_VALUE"""),"343🤙🏼Bohemian Rhapsody🤙🏼Biography🤙🏼1")</f>
        <v>343🤙🏼Bohemian Rhapsody🤙🏼Biography🤙🏼1</v>
      </c>
      <c r="K1028" s="5">
        <f>IFERROR(__xludf.DUMMYFUNCTION("SPLiT(J1028, ""🤙🏼"",FALSE,FALSE)"),343.0)</f>
        <v>343</v>
      </c>
      <c r="L1028" s="5" t="str">
        <f>IFERROR(__xludf.DUMMYFUNCTION("""COMPUTED_VALUE"""),"Bohemian Rhapsody")</f>
        <v>Bohemian Rhapsody</v>
      </c>
      <c r="M1028" s="5" t="str">
        <f>IFERROR(__xludf.DUMMYFUNCTION("""COMPUTED_VALUE"""),"Biography")</f>
        <v>Biography</v>
      </c>
      <c r="N1028" s="5">
        <f>IFERROR(__xludf.DUMMYFUNCTION("""COMPUTED_VALUE"""),1.0)</f>
        <v>1</v>
      </c>
      <c r="S1028" s="5">
        <f>IFERROR(__xludf.DUMMYFUNCTION("""COMPUTED_VALUE"""),409.0)</f>
        <v>409</v>
      </c>
      <c r="T1028" s="5" t="str">
        <f>IFERROR(__xludf.DUMMYFUNCTION("""COMPUTED_VALUE"""),"Au revoir les enfants")</f>
        <v>Au revoir les enfants</v>
      </c>
      <c r="U1028" s="5" t="str">
        <f>IFERROR(__xludf.DUMMYFUNCTION("""COMPUTED_VALUE"""),"War")</f>
        <v>War</v>
      </c>
      <c r="V1028" s="5">
        <f>IFERROR(__xludf.DUMMYFUNCTION("""COMPUTED_VALUE"""),2.0)</f>
        <v>2</v>
      </c>
    </row>
    <row r="1029">
      <c r="J1029" s="5" t="str">
        <f>IFERROR(__xludf.DUMMYFUNCTION("""COMPUTED_VALUE"""),"343🤙🏼Bohemian Rhapsody🤙🏼Drama🤙🏼2")</f>
        <v>343🤙🏼Bohemian Rhapsody🤙🏼Drama🤙🏼2</v>
      </c>
      <c r="K1029" s="5">
        <f>IFERROR(__xludf.DUMMYFUNCTION("SPLiT(J1029, ""🤙🏼"",FALSE,FALSE)"),343.0)</f>
        <v>343</v>
      </c>
      <c r="L1029" s="5" t="str">
        <f>IFERROR(__xludf.DUMMYFUNCTION("""COMPUTED_VALUE"""),"Bohemian Rhapsody")</f>
        <v>Bohemian Rhapsody</v>
      </c>
      <c r="M1029" s="5" t="str">
        <f>IFERROR(__xludf.DUMMYFUNCTION("""COMPUTED_VALUE"""),"Drama")</f>
        <v>Drama</v>
      </c>
      <c r="N1029" s="5">
        <f>IFERROR(__xludf.DUMMYFUNCTION("""COMPUTED_VALUE"""),2.0)</f>
        <v>2</v>
      </c>
      <c r="S1029" s="5">
        <f>IFERROR(__xludf.DUMMYFUNCTION("""COMPUTED_VALUE"""),410.0)</f>
        <v>410</v>
      </c>
      <c r="T1029" s="5" t="str">
        <f>IFERROR(__xludf.DUMMYFUNCTION("""COMPUTED_VALUE"""),"Tenkû no shiro Rapyuta")</f>
        <v>Tenkû no shiro Rapyuta</v>
      </c>
      <c r="U1029" s="5" t="str">
        <f>IFERROR(__xludf.DUMMYFUNCTION("""COMPUTED_VALUE"""),"Animation")</f>
        <v>Animation</v>
      </c>
      <c r="V1029" s="5">
        <f>IFERROR(__xludf.DUMMYFUNCTION("""COMPUTED_VALUE"""),1.0)</f>
        <v>1</v>
      </c>
    </row>
    <row r="1030">
      <c r="J1030" s="5" t="str">
        <f>IFERROR(__xludf.DUMMYFUNCTION("""COMPUTED_VALUE"""),"343🤙🏼Bohemian Rhapsody🤙🏼Music🤙🏼3")</f>
        <v>343🤙🏼Bohemian Rhapsody🤙🏼Music🤙🏼3</v>
      </c>
      <c r="K1030" s="5">
        <f>IFERROR(__xludf.DUMMYFUNCTION("SPLiT(J1030, ""🤙🏼"",FALSE,FALSE)"),343.0)</f>
        <v>343</v>
      </c>
      <c r="L1030" s="5" t="str">
        <f>IFERROR(__xludf.DUMMYFUNCTION("""COMPUTED_VALUE"""),"Bohemian Rhapsody")</f>
        <v>Bohemian Rhapsody</v>
      </c>
      <c r="M1030" s="5" t="str">
        <f>IFERROR(__xludf.DUMMYFUNCTION("""COMPUTED_VALUE"""),"Music")</f>
        <v>Music</v>
      </c>
      <c r="N1030" s="5">
        <f>IFERROR(__xludf.DUMMYFUNCTION("""COMPUTED_VALUE"""),3.0)</f>
        <v>3</v>
      </c>
      <c r="S1030" s="5">
        <f>IFERROR(__xludf.DUMMYFUNCTION("""COMPUTED_VALUE"""),410.0)</f>
        <v>410</v>
      </c>
      <c r="T1030" s="5" t="str">
        <f>IFERROR(__xludf.DUMMYFUNCTION("""COMPUTED_VALUE"""),"Tenkû no shiro Rapyuta")</f>
        <v>Tenkû no shiro Rapyuta</v>
      </c>
      <c r="U1030" s="5" t="str">
        <f>IFERROR(__xludf.DUMMYFUNCTION("""COMPUTED_VALUE"""),"Adventure")</f>
        <v>Adventure</v>
      </c>
      <c r="V1030" s="5">
        <f>IFERROR(__xludf.DUMMYFUNCTION("""COMPUTED_VALUE"""),2.0)</f>
        <v>2</v>
      </c>
    </row>
    <row r="1031">
      <c r="J1031" s="5" t="str">
        <f>IFERROR(__xludf.DUMMYFUNCTION("""COMPUTED_VALUE"""),"344🤙🏼The Revenant🤙🏼Action🤙🏼1")</f>
        <v>344🤙🏼The Revenant🤙🏼Action🤙🏼1</v>
      </c>
      <c r="K1031" s="5">
        <f>IFERROR(__xludf.DUMMYFUNCTION("SPLiT(J1031, ""🤙🏼"",FALSE,FALSE)"),344.0)</f>
        <v>344</v>
      </c>
      <c r="L1031" s="5" t="str">
        <f>IFERROR(__xludf.DUMMYFUNCTION("""COMPUTED_VALUE"""),"The Revenant")</f>
        <v>The Revenant</v>
      </c>
      <c r="M1031" s="5" t="str">
        <f>IFERROR(__xludf.DUMMYFUNCTION("""COMPUTED_VALUE"""),"Action")</f>
        <v>Action</v>
      </c>
      <c r="N1031" s="5">
        <f>IFERROR(__xludf.DUMMYFUNCTION("""COMPUTED_VALUE"""),1.0)</f>
        <v>1</v>
      </c>
      <c r="S1031" s="5">
        <f>IFERROR(__xludf.DUMMYFUNCTION("""COMPUTED_VALUE"""),410.0)</f>
        <v>410</v>
      </c>
      <c r="T1031" s="5" t="str">
        <f>IFERROR(__xludf.DUMMYFUNCTION("""COMPUTED_VALUE"""),"Tenkû no shiro Rapyuta")</f>
        <v>Tenkû no shiro Rapyuta</v>
      </c>
      <c r="U1031" s="5" t="str">
        <f>IFERROR(__xludf.DUMMYFUNCTION("""COMPUTED_VALUE"""),"Drama")</f>
        <v>Drama</v>
      </c>
      <c r="V1031" s="5">
        <f>IFERROR(__xludf.DUMMYFUNCTION("""COMPUTED_VALUE"""),3.0)</f>
        <v>3</v>
      </c>
    </row>
    <row r="1032">
      <c r="J1032" s="5" t="str">
        <f>IFERROR(__xludf.DUMMYFUNCTION("""COMPUTED_VALUE"""),"344🤙🏼The Revenant🤙🏼Adventure🤙🏼2")</f>
        <v>344🤙🏼The Revenant🤙🏼Adventure🤙🏼2</v>
      </c>
      <c r="K1032" s="5">
        <f>IFERROR(__xludf.DUMMYFUNCTION("SPLiT(J1032, ""🤙🏼"",FALSE,FALSE)"),344.0)</f>
        <v>344</v>
      </c>
      <c r="L1032" s="5" t="str">
        <f>IFERROR(__xludf.DUMMYFUNCTION("""COMPUTED_VALUE"""),"The Revenant")</f>
        <v>The Revenant</v>
      </c>
      <c r="M1032" s="5" t="str">
        <f>IFERROR(__xludf.DUMMYFUNCTION("""COMPUTED_VALUE"""),"Adventure")</f>
        <v>Adventure</v>
      </c>
      <c r="N1032" s="5">
        <f>IFERROR(__xludf.DUMMYFUNCTION("""COMPUTED_VALUE"""),2.0)</f>
        <v>2</v>
      </c>
      <c r="S1032" s="5">
        <f>IFERROR(__xludf.DUMMYFUNCTION("""COMPUTED_VALUE"""),411.0)</f>
        <v>411</v>
      </c>
      <c r="T1032" s="5" t="str">
        <f>IFERROR(__xludf.DUMMYFUNCTION("""COMPUTED_VALUE"""),"The Terminator")</f>
        <v>The Terminator</v>
      </c>
      <c r="U1032" s="5" t="str">
        <f>IFERROR(__xludf.DUMMYFUNCTION("""COMPUTED_VALUE"""),"Action")</f>
        <v>Action</v>
      </c>
      <c r="V1032" s="5">
        <f>IFERROR(__xludf.DUMMYFUNCTION("""COMPUTED_VALUE"""),1.0)</f>
        <v>1</v>
      </c>
    </row>
    <row r="1033">
      <c r="J1033" s="5" t="str">
        <f>IFERROR(__xludf.DUMMYFUNCTION("""COMPUTED_VALUE"""),"344🤙🏼The Revenant🤙🏼Drama🤙🏼3")</f>
        <v>344🤙🏼The Revenant🤙🏼Drama🤙🏼3</v>
      </c>
      <c r="K1033" s="5">
        <f>IFERROR(__xludf.DUMMYFUNCTION("SPLiT(J1033, ""🤙🏼"",FALSE,FALSE)"),344.0)</f>
        <v>344</v>
      </c>
      <c r="L1033" s="5" t="str">
        <f>IFERROR(__xludf.DUMMYFUNCTION("""COMPUTED_VALUE"""),"The Revenant")</f>
        <v>The Revenant</v>
      </c>
      <c r="M1033" s="5" t="str">
        <f>IFERROR(__xludf.DUMMYFUNCTION("""COMPUTED_VALUE"""),"Drama")</f>
        <v>Drama</v>
      </c>
      <c r="N1033" s="5">
        <f>IFERROR(__xludf.DUMMYFUNCTION("""COMPUTED_VALUE"""),3.0)</f>
        <v>3</v>
      </c>
      <c r="S1033" s="5">
        <f>IFERROR(__xludf.DUMMYFUNCTION("""COMPUTED_VALUE"""),411.0)</f>
        <v>411</v>
      </c>
      <c r="T1033" s="5" t="str">
        <f>IFERROR(__xludf.DUMMYFUNCTION("""COMPUTED_VALUE"""),"The Terminator")</f>
        <v>The Terminator</v>
      </c>
      <c r="U1033" s="5" t="str">
        <f>IFERROR(__xludf.DUMMYFUNCTION("""COMPUTED_VALUE"""),"Sci-Fi")</f>
        <v>Sci-Fi</v>
      </c>
      <c r="V1033" s="5">
        <f>IFERROR(__xludf.DUMMYFUNCTION("""COMPUTED_VALUE"""),2.0)</f>
        <v>2</v>
      </c>
    </row>
    <row r="1034">
      <c r="J1034" s="5" t="str">
        <f>IFERROR(__xludf.DUMMYFUNCTION("""COMPUTED_VALUE"""),"345🤙🏼The Perks of Being a Wallflower🤙🏼Drama🤙🏼1")</f>
        <v>345🤙🏼The Perks of Being a Wallflower🤙🏼Drama🤙🏼1</v>
      </c>
      <c r="K1034" s="5">
        <f>IFERROR(__xludf.DUMMYFUNCTION("SPLiT(J1034, ""🤙🏼"",FALSE,FALSE)"),345.0)</f>
        <v>345</v>
      </c>
      <c r="L1034" s="5" t="str">
        <f>IFERROR(__xludf.DUMMYFUNCTION("""COMPUTED_VALUE"""),"The Perks of Being a Wallflower")</f>
        <v>The Perks of Being a Wallflower</v>
      </c>
      <c r="M1034" s="5" t="str">
        <f>IFERROR(__xludf.DUMMYFUNCTION("""COMPUTED_VALUE"""),"Drama")</f>
        <v>Drama</v>
      </c>
      <c r="N1034" s="5">
        <f>IFERROR(__xludf.DUMMYFUNCTION("""COMPUTED_VALUE"""),1.0)</f>
        <v>1</v>
      </c>
      <c r="S1034" s="5">
        <f>IFERROR(__xludf.DUMMYFUNCTION("""COMPUTED_VALUE"""),412.0)</f>
        <v>412</v>
      </c>
      <c r="T1034" s="5" t="str">
        <f>IFERROR(__xludf.DUMMYFUNCTION("""COMPUTED_VALUE"""),"Gandhi")</f>
        <v>Gandhi</v>
      </c>
      <c r="U1034" s="5" t="str">
        <f>IFERROR(__xludf.DUMMYFUNCTION("""COMPUTED_VALUE"""),"Biography")</f>
        <v>Biography</v>
      </c>
      <c r="V1034" s="5">
        <f>IFERROR(__xludf.DUMMYFUNCTION("""COMPUTED_VALUE"""),1.0)</f>
        <v>1</v>
      </c>
    </row>
    <row r="1035">
      <c r="J1035" s="5" t="str">
        <f>IFERROR(__xludf.DUMMYFUNCTION("""COMPUTED_VALUE"""),"345🤙🏼The Perks of Being a Wallflower🤙🏼Romance🤙🏼2")</f>
        <v>345🤙🏼The Perks of Being a Wallflower🤙🏼Romance🤙🏼2</v>
      </c>
      <c r="K1035" s="5">
        <f>IFERROR(__xludf.DUMMYFUNCTION("SPLiT(J1035, ""🤙🏼"",FALSE,FALSE)"),345.0)</f>
        <v>345</v>
      </c>
      <c r="L1035" s="5" t="str">
        <f>IFERROR(__xludf.DUMMYFUNCTION("""COMPUTED_VALUE"""),"The Perks of Being a Wallflower")</f>
        <v>The Perks of Being a Wallflower</v>
      </c>
      <c r="M1035" s="5" t="str">
        <f>IFERROR(__xludf.DUMMYFUNCTION("""COMPUTED_VALUE"""),"Romance")</f>
        <v>Romance</v>
      </c>
      <c r="N1035" s="5">
        <f>IFERROR(__xludf.DUMMYFUNCTION("""COMPUTED_VALUE"""),2.0)</f>
        <v>2</v>
      </c>
      <c r="S1035" s="5">
        <f>IFERROR(__xludf.DUMMYFUNCTION("""COMPUTED_VALUE"""),412.0)</f>
        <v>412</v>
      </c>
      <c r="T1035" s="5" t="str">
        <f>IFERROR(__xludf.DUMMYFUNCTION("""COMPUTED_VALUE"""),"Gandhi")</f>
        <v>Gandhi</v>
      </c>
      <c r="U1035" s="5" t="str">
        <f>IFERROR(__xludf.DUMMYFUNCTION("""COMPUTED_VALUE"""),"Drama")</f>
        <v>Drama</v>
      </c>
      <c r="V1035" s="5">
        <f>IFERROR(__xludf.DUMMYFUNCTION("""COMPUTED_VALUE"""),2.0)</f>
        <v>2</v>
      </c>
    </row>
    <row r="1036">
      <c r="J1036" s="5" t="str">
        <f>IFERROR(__xludf.DUMMYFUNCTION("""COMPUTED_VALUE"""),"345🤙🏼The Perks of Being a Wallflower🤙🏼🤙🏼3")</f>
        <v>345🤙🏼The Perks of Being a Wallflower🤙🏼🤙🏼3</v>
      </c>
      <c r="K1036" s="5">
        <f>IFERROR(__xludf.DUMMYFUNCTION("SPLiT(J1036, ""🤙🏼"",FALSE,FALSE)"),345.0)</f>
        <v>345</v>
      </c>
      <c r="L1036" s="5" t="str">
        <f>IFERROR(__xludf.DUMMYFUNCTION("""COMPUTED_VALUE"""),"The Perks of Being a Wallflower")</f>
        <v>The Perks of Being a Wallflower</v>
      </c>
      <c r="M1036" s="5"/>
      <c r="N1036" s="5">
        <f>IFERROR(__xludf.DUMMYFUNCTION("""COMPUTED_VALUE"""),3.0)</f>
        <v>3</v>
      </c>
      <c r="S1036" s="5">
        <f>IFERROR(__xludf.DUMMYFUNCTION("""COMPUTED_VALUE"""),412.0)</f>
        <v>412</v>
      </c>
      <c r="T1036" s="5" t="str">
        <f>IFERROR(__xludf.DUMMYFUNCTION("""COMPUTED_VALUE"""),"Gandhi")</f>
        <v>Gandhi</v>
      </c>
      <c r="U1036" s="5" t="str">
        <f>IFERROR(__xludf.DUMMYFUNCTION("""COMPUTED_VALUE"""),"History")</f>
        <v>History</v>
      </c>
      <c r="V1036" s="5">
        <f>IFERROR(__xludf.DUMMYFUNCTION("""COMPUTED_VALUE"""),3.0)</f>
        <v>3</v>
      </c>
    </row>
    <row r="1037">
      <c r="J1037" s="5" t="str">
        <f>IFERROR(__xludf.DUMMYFUNCTION("""COMPUTED_VALUE"""),"346🤙🏼Tropa de Elite 2: O Inimigo Agora é Outro🤙🏼Action🤙🏼1")</f>
        <v>346🤙🏼Tropa de Elite 2: O Inimigo Agora é Outro🤙🏼Action🤙🏼1</v>
      </c>
      <c r="K1037" s="5">
        <f>IFERROR(__xludf.DUMMYFUNCTION("SPLiT(J1037, ""🤙🏼"",FALSE,FALSE)"),346.0)</f>
        <v>346</v>
      </c>
      <c r="L1037" s="5" t="str">
        <f>IFERROR(__xludf.DUMMYFUNCTION("""COMPUTED_VALUE"""),"Tropa de Elite 2: O Inimigo Agora é Outro")</f>
        <v>Tropa de Elite 2: O Inimigo Agora é Outro</v>
      </c>
      <c r="M1037" s="5" t="str">
        <f>IFERROR(__xludf.DUMMYFUNCTION("""COMPUTED_VALUE"""),"Action")</f>
        <v>Action</v>
      </c>
      <c r="N1037" s="5">
        <f>IFERROR(__xludf.DUMMYFUNCTION("""COMPUTED_VALUE"""),1.0)</f>
        <v>1</v>
      </c>
      <c r="S1037" s="5">
        <f>IFERROR(__xludf.DUMMYFUNCTION("""COMPUTED_VALUE"""),413.0)</f>
        <v>413</v>
      </c>
      <c r="T1037" s="5" t="str">
        <f>IFERROR(__xludf.DUMMYFUNCTION("""COMPUTED_VALUE"""),"Kagemusha")</f>
        <v>Kagemusha</v>
      </c>
      <c r="U1037" s="5" t="str">
        <f>IFERROR(__xludf.DUMMYFUNCTION("""COMPUTED_VALUE"""),"Drama")</f>
        <v>Drama</v>
      </c>
      <c r="V1037" s="5">
        <f>IFERROR(__xludf.DUMMYFUNCTION("""COMPUTED_VALUE"""),1.0)</f>
        <v>1</v>
      </c>
    </row>
    <row r="1038">
      <c r="J1038" s="5" t="str">
        <f>IFERROR(__xludf.DUMMYFUNCTION("""COMPUTED_VALUE"""),"346🤙🏼Tropa de Elite 2: O Inimigo Agora é Outro🤙🏼Crime🤙🏼2")</f>
        <v>346🤙🏼Tropa de Elite 2: O Inimigo Agora é Outro🤙🏼Crime🤙🏼2</v>
      </c>
      <c r="K1038" s="5">
        <f>IFERROR(__xludf.DUMMYFUNCTION("SPLiT(J1038, ""🤙🏼"",FALSE,FALSE)"),346.0)</f>
        <v>346</v>
      </c>
      <c r="L1038" s="5" t="str">
        <f>IFERROR(__xludf.DUMMYFUNCTION("""COMPUTED_VALUE"""),"Tropa de Elite 2: O Inimigo Agora é Outro")</f>
        <v>Tropa de Elite 2: O Inimigo Agora é Outro</v>
      </c>
      <c r="M1038" s="5" t="str">
        <f>IFERROR(__xludf.DUMMYFUNCTION("""COMPUTED_VALUE"""),"Crime")</f>
        <v>Crime</v>
      </c>
      <c r="N1038" s="5">
        <f>IFERROR(__xludf.DUMMYFUNCTION("""COMPUTED_VALUE"""),2.0)</f>
        <v>2</v>
      </c>
      <c r="S1038" s="5">
        <f>IFERROR(__xludf.DUMMYFUNCTION("""COMPUTED_VALUE"""),413.0)</f>
        <v>413</v>
      </c>
      <c r="T1038" s="5" t="str">
        <f>IFERROR(__xludf.DUMMYFUNCTION("""COMPUTED_VALUE"""),"Kagemusha")</f>
        <v>Kagemusha</v>
      </c>
      <c r="U1038" s="5" t="str">
        <f>IFERROR(__xludf.DUMMYFUNCTION("""COMPUTED_VALUE"""),"History")</f>
        <v>History</v>
      </c>
      <c r="V1038" s="5">
        <f>IFERROR(__xludf.DUMMYFUNCTION("""COMPUTED_VALUE"""),2.0)</f>
        <v>2</v>
      </c>
    </row>
    <row r="1039">
      <c r="J1039" s="5" t="str">
        <f>IFERROR(__xludf.DUMMYFUNCTION("""COMPUTED_VALUE"""),"346🤙🏼Tropa de Elite 2: O Inimigo Agora é Outro🤙🏼Drama🤙🏼3")</f>
        <v>346🤙🏼Tropa de Elite 2: O Inimigo Agora é Outro🤙🏼Drama🤙🏼3</v>
      </c>
      <c r="K1039" s="5">
        <f>IFERROR(__xludf.DUMMYFUNCTION("SPLiT(J1039, ""🤙🏼"",FALSE,FALSE)"),346.0)</f>
        <v>346</v>
      </c>
      <c r="L1039" s="5" t="str">
        <f>IFERROR(__xludf.DUMMYFUNCTION("""COMPUTED_VALUE"""),"Tropa de Elite 2: O Inimigo Agora é Outro")</f>
        <v>Tropa de Elite 2: O Inimigo Agora é Outro</v>
      </c>
      <c r="M1039" s="5" t="str">
        <f>IFERROR(__xludf.DUMMYFUNCTION("""COMPUTED_VALUE"""),"Drama")</f>
        <v>Drama</v>
      </c>
      <c r="N1039" s="5">
        <f>IFERROR(__xludf.DUMMYFUNCTION("""COMPUTED_VALUE"""),3.0)</f>
        <v>3</v>
      </c>
      <c r="S1039" s="5">
        <f>IFERROR(__xludf.DUMMYFUNCTION("""COMPUTED_VALUE"""),413.0)</f>
        <v>413</v>
      </c>
      <c r="T1039" s="5" t="str">
        <f>IFERROR(__xludf.DUMMYFUNCTION("""COMPUTED_VALUE"""),"Kagemusha")</f>
        <v>Kagemusha</v>
      </c>
      <c r="U1039" s="5" t="str">
        <f>IFERROR(__xludf.DUMMYFUNCTION("""COMPUTED_VALUE"""),"War")</f>
        <v>War</v>
      </c>
      <c r="V1039" s="5">
        <f>IFERROR(__xludf.DUMMYFUNCTION("""COMPUTED_VALUE"""),3.0)</f>
        <v>3</v>
      </c>
    </row>
    <row r="1040">
      <c r="J1040" s="5" t="str">
        <f>IFERROR(__xludf.DUMMYFUNCTION("""COMPUTED_VALUE"""),"347🤙🏼The King's Speech🤙🏼Biography🤙🏼1")</f>
        <v>347🤙🏼The King's Speech🤙🏼Biography🤙🏼1</v>
      </c>
      <c r="K1040" s="5">
        <f>IFERROR(__xludf.DUMMYFUNCTION("SPLiT(J1040, ""🤙🏼"",FALSE,FALSE)"),347.0)</f>
        <v>347</v>
      </c>
      <c r="L1040" s="5" t="str">
        <f>IFERROR(__xludf.DUMMYFUNCTION("""COMPUTED_VALUE"""),"The King's Speech")</f>
        <v>The King's Speech</v>
      </c>
      <c r="M1040" s="5" t="str">
        <f>IFERROR(__xludf.DUMMYFUNCTION("""COMPUTED_VALUE"""),"Biography")</f>
        <v>Biography</v>
      </c>
      <c r="N1040" s="5">
        <f>IFERROR(__xludf.DUMMYFUNCTION("""COMPUTED_VALUE"""),1.0)</f>
        <v>1</v>
      </c>
      <c r="S1040" s="5">
        <f>IFERROR(__xludf.DUMMYFUNCTION("""COMPUTED_VALUE"""),414.0)</f>
        <v>414</v>
      </c>
      <c r="T1040" s="5" t="str">
        <f>IFERROR(__xludf.DUMMYFUNCTION("""COMPUTED_VALUE"""),"Being There")</f>
        <v>Being There</v>
      </c>
      <c r="U1040" s="5" t="str">
        <f>IFERROR(__xludf.DUMMYFUNCTION("""COMPUTED_VALUE"""),"Comedy")</f>
        <v>Comedy</v>
      </c>
      <c r="V1040" s="5">
        <f>IFERROR(__xludf.DUMMYFUNCTION("""COMPUTED_VALUE"""),1.0)</f>
        <v>1</v>
      </c>
    </row>
    <row r="1041">
      <c r="J1041" s="5" t="str">
        <f>IFERROR(__xludf.DUMMYFUNCTION("""COMPUTED_VALUE"""),"347🤙🏼The King's Speech🤙🏼Drama🤙🏼2")</f>
        <v>347🤙🏼The King's Speech🤙🏼Drama🤙🏼2</v>
      </c>
      <c r="K1041" s="5">
        <f>IFERROR(__xludf.DUMMYFUNCTION("SPLiT(J1041, ""🤙🏼"",FALSE,FALSE)"),347.0)</f>
        <v>347</v>
      </c>
      <c r="L1041" s="5" t="str">
        <f>IFERROR(__xludf.DUMMYFUNCTION("""COMPUTED_VALUE"""),"The King's Speech")</f>
        <v>The King's Speech</v>
      </c>
      <c r="M1041" s="5" t="str">
        <f>IFERROR(__xludf.DUMMYFUNCTION("""COMPUTED_VALUE"""),"Drama")</f>
        <v>Drama</v>
      </c>
      <c r="N1041" s="5">
        <f>IFERROR(__xludf.DUMMYFUNCTION("""COMPUTED_VALUE"""),2.0)</f>
        <v>2</v>
      </c>
      <c r="S1041" s="5">
        <f>IFERROR(__xludf.DUMMYFUNCTION("""COMPUTED_VALUE"""),414.0)</f>
        <v>414</v>
      </c>
      <c r="T1041" s="5" t="str">
        <f>IFERROR(__xludf.DUMMYFUNCTION("""COMPUTED_VALUE"""),"Being There")</f>
        <v>Being There</v>
      </c>
      <c r="U1041" s="5" t="str">
        <f>IFERROR(__xludf.DUMMYFUNCTION("""COMPUTED_VALUE"""),"Drama")</f>
        <v>Drama</v>
      </c>
      <c r="V1041" s="5">
        <f>IFERROR(__xludf.DUMMYFUNCTION("""COMPUTED_VALUE"""),2.0)</f>
        <v>2</v>
      </c>
    </row>
    <row r="1042">
      <c r="J1042" s="5" t="str">
        <f>IFERROR(__xludf.DUMMYFUNCTION("""COMPUTED_VALUE"""),"347🤙🏼The King's Speech🤙🏼History🤙🏼3")</f>
        <v>347🤙🏼The King's Speech🤙🏼History🤙🏼3</v>
      </c>
      <c r="K1042" s="5">
        <f>IFERROR(__xludf.DUMMYFUNCTION("SPLiT(J1042, ""🤙🏼"",FALSE,FALSE)"),347.0)</f>
        <v>347</v>
      </c>
      <c r="L1042" s="5" t="str">
        <f>IFERROR(__xludf.DUMMYFUNCTION("""COMPUTED_VALUE"""),"The King's Speech")</f>
        <v>The King's Speech</v>
      </c>
      <c r="M1042" s="5" t="str">
        <f>IFERROR(__xludf.DUMMYFUNCTION("""COMPUTED_VALUE"""),"History")</f>
        <v>History</v>
      </c>
      <c r="N1042" s="5">
        <f>IFERROR(__xludf.DUMMYFUNCTION("""COMPUTED_VALUE"""),3.0)</f>
        <v>3</v>
      </c>
      <c r="S1042" s="5">
        <f>IFERROR(__xludf.DUMMYFUNCTION("""COMPUTED_VALUE"""),415.0)</f>
        <v>415</v>
      </c>
      <c r="T1042" s="5" t="str">
        <f>IFERROR(__xludf.DUMMYFUNCTION("""COMPUTED_VALUE"""),"Annie Hall")</f>
        <v>Annie Hall</v>
      </c>
      <c r="U1042" s="5" t="str">
        <f>IFERROR(__xludf.DUMMYFUNCTION("""COMPUTED_VALUE"""),"Comedy")</f>
        <v>Comedy</v>
      </c>
      <c r="V1042" s="5">
        <f>IFERROR(__xludf.DUMMYFUNCTION("""COMPUTED_VALUE"""),1.0)</f>
        <v>1</v>
      </c>
    </row>
    <row r="1043">
      <c r="J1043" s="5" t="str">
        <f>IFERROR(__xludf.DUMMYFUNCTION("""COMPUTED_VALUE"""),"348🤙🏼The Help🤙🏼Drama🤙🏼1")</f>
        <v>348🤙🏼The Help🤙🏼Drama🤙🏼1</v>
      </c>
      <c r="K1043" s="5">
        <f>IFERROR(__xludf.DUMMYFUNCTION("SPLiT(J1043, ""🤙🏼"",FALSE,FALSE)"),348.0)</f>
        <v>348</v>
      </c>
      <c r="L1043" s="5" t="str">
        <f>IFERROR(__xludf.DUMMYFUNCTION("""COMPUTED_VALUE"""),"The Help")</f>
        <v>The Help</v>
      </c>
      <c r="M1043" s="5" t="str">
        <f>IFERROR(__xludf.DUMMYFUNCTION("""COMPUTED_VALUE"""),"Drama")</f>
        <v>Drama</v>
      </c>
      <c r="N1043" s="5">
        <f>IFERROR(__xludf.DUMMYFUNCTION("""COMPUTED_VALUE"""),1.0)</f>
        <v>1</v>
      </c>
      <c r="S1043" s="5">
        <f>IFERROR(__xludf.DUMMYFUNCTION("""COMPUTED_VALUE"""),415.0)</f>
        <v>415</v>
      </c>
      <c r="T1043" s="5" t="str">
        <f>IFERROR(__xludf.DUMMYFUNCTION("""COMPUTED_VALUE"""),"Annie Hall")</f>
        <v>Annie Hall</v>
      </c>
      <c r="U1043" s="5" t="str">
        <f>IFERROR(__xludf.DUMMYFUNCTION("""COMPUTED_VALUE"""),"Romance")</f>
        <v>Romance</v>
      </c>
      <c r="V1043" s="5">
        <f>IFERROR(__xludf.DUMMYFUNCTION("""COMPUTED_VALUE"""),2.0)</f>
        <v>2</v>
      </c>
    </row>
    <row r="1044">
      <c r="J1044" s="5" t="str">
        <f>IFERROR(__xludf.DUMMYFUNCTION("""COMPUTED_VALUE"""),"348🤙🏼The Help🤙🏼🤙🏼2")</f>
        <v>348🤙🏼The Help🤙🏼🤙🏼2</v>
      </c>
      <c r="K1044" s="5">
        <f>IFERROR(__xludf.DUMMYFUNCTION("SPLiT(J1044, ""🤙🏼"",FALSE,FALSE)"),348.0)</f>
        <v>348</v>
      </c>
      <c r="L1044" s="5" t="str">
        <f>IFERROR(__xludf.DUMMYFUNCTION("""COMPUTED_VALUE"""),"The Help")</f>
        <v>The Help</v>
      </c>
      <c r="M1044" s="5"/>
      <c r="N1044" s="5">
        <f>IFERROR(__xludf.DUMMYFUNCTION("""COMPUTED_VALUE"""),2.0)</f>
        <v>2</v>
      </c>
      <c r="S1044" s="5">
        <f>IFERROR(__xludf.DUMMYFUNCTION("""COMPUTED_VALUE"""),416.0)</f>
        <v>416</v>
      </c>
      <c r="T1044" s="5" t="str">
        <f>IFERROR(__xludf.DUMMYFUNCTION("""COMPUTED_VALUE"""),"Jaws")</f>
        <v>Jaws</v>
      </c>
      <c r="U1044" s="5" t="str">
        <f>IFERROR(__xludf.DUMMYFUNCTION("""COMPUTED_VALUE"""),"Adventure")</f>
        <v>Adventure</v>
      </c>
      <c r="V1044" s="5">
        <f>IFERROR(__xludf.DUMMYFUNCTION("""COMPUTED_VALUE"""),1.0)</f>
        <v>1</v>
      </c>
    </row>
    <row r="1045">
      <c r="J1045" s="5" t="str">
        <f>IFERROR(__xludf.DUMMYFUNCTION("""COMPUTED_VALUE"""),"348🤙🏼The Help🤙🏼🤙🏼3")</f>
        <v>348🤙🏼The Help🤙🏼🤙🏼3</v>
      </c>
      <c r="K1045" s="5">
        <f>IFERROR(__xludf.DUMMYFUNCTION("SPLiT(J1045, ""🤙🏼"",FALSE,FALSE)"),348.0)</f>
        <v>348</v>
      </c>
      <c r="L1045" s="5" t="str">
        <f>IFERROR(__xludf.DUMMYFUNCTION("""COMPUTED_VALUE"""),"The Help")</f>
        <v>The Help</v>
      </c>
      <c r="M1045" s="5"/>
      <c r="N1045" s="5">
        <f>IFERROR(__xludf.DUMMYFUNCTION("""COMPUTED_VALUE"""),3.0)</f>
        <v>3</v>
      </c>
      <c r="S1045" s="5">
        <f>IFERROR(__xludf.DUMMYFUNCTION("""COMPUTED_VALUE"""),416.0)</f>
        <v>416</v>
      </c>
      <c r="T1045" s="5" t="str">
        <f>IFERROR(__xludf.DUMMYFUNCTION("""COMPUTED_VALUE"""),"Jaws")</f>
        <v>Jaws</v>
      </c>
      <c r="U1045" s="5" t="str">
        <f>IFERROR(__xludf.DUMMYFUNCTION("""COMPUTED_VALUE"""),"Thriller")</f>
        <v>Thriller</v>
      </c>
      <c r="V1045" s="5">
        <f>IFERROR(__xludf.DUMMYFUNCTION("""COMPUTED_VALUE"""),2.0)</f>
        <v>2</v>
      </c>
    </row>
    <row r="1046">
      <c r="J1046" s="5" t="str">
        <f>IFERROR(__xludf.DUMMYFUNCTION("""COMPUTED_VALUE"""),"349🤙🏼Deadpool🤙🏼Action🤙🏼1")</f>
        <v>349🤙🏼Deadpool🤙🏼Action🤙🏼1</v>
      </c>
      <c r="K1046" s="5">
        <f>IFERROR(__xludf.DUMMYFUNCTION("SPLiT(J1046, ""🤙🏼"",FALSE,FALSE)"),349.0)</f>
        <v>349</v>
      </c>
      <c r="L1046" s="5" t="str">
        <f>IFERROR(__xludf.DUMMYFUNCTION("""COMPUTED_VALUE"""),"Deadpool")</f>
        <v>Deadpool</v>
      </c>
      <c r="M1046" s="5" t="str">
        <f>IFERROR(__xludf.DUMMYFUNCTION("""COMPUTED_VALUE"""),"Action")</f>
        <v>Action</v>
      </c>
      <c r="N1046" s="5">
        <f>IFERROR(__xludf.DUMMYFUNCTION("""COMPUTED_VALUE"""),1.0)</f>
        <v>1</v>
      </c>
      <c r="S1046" s="5">
        <f>IFERROR(__xludf.DUMMYFUNCTION("""COMPUTED_VALUE"""),417.0)</f>
        <v>417</v>
      </c>
      <c r="T1046" s="5" t="str">
        <f>IFERROR(__xludf.DUMMYFUNCTION("""COMPUTED_VALUE"""),"Dog Day Afternoon")</f>
        <v>Dog Day Afternoon</v>
      </c>
      <c r="U1046" s="5" t="str">
        <f>IFERROR(__xludf.DUMMYFUNCTION("""COMPUTED_VALUE"""),"Biography")</f>
        <v>Biography</v>
      </c>
      <c r="V1046" s="5">
        <f>IFERROR(__xludf.DUMMYFUNCTION("""COMPUTED_VALUE"""),1.0)</f>
        <v>1</v>
      </c>
    </row>
    <row r="1047">
      <c r="J1047" s="5" t="str">
        <f>IFERROR(__xludf.DUMMYFUNCTION("""COMPUTED_VALUE"""),"349🤙🏼Deadpool🤙🏼Adventure🤙🏼2")</f>
        <v>349🤙🏼Deadpool🤙🏼Adventure🤙🏼2</v>
      </c>
      <c r="K1047" s="5">
        <f>IFERROR(__xludf.DUMMYFUNCTION("SPLiT(J1047, ""🤙🏼"",FALSE,FALSE)"),349.0)</f>
        <v>349</v>
      </c>
      <c r="L1047" s="5" t="str">
        <f>IFERROR(__xludf.DUMMYFUNCTION("""COMPUTED_VALUE"""),"Deadpool")</f>
        <v>Deadpool</v>
      </c>
      <c r="M1047" s="5" t="str">
        <f>IFERROR(__xludf.DUMMYFUNCTION("""COMPUTED_VALUE"""),"Adventure")</f>
        <v>Adventure</v>
      </c>
      <c r="N1047" s="5">
        <f>IFERROR(__xludf.DUMMYFUNCTION("""COMPUTED_VALUE"""),2.0)</f>
        <v>2</v>
      </c>
      <c r="S1047" s="5">
        <f>IFERROR(__xludf.DUMMYFUNCTION("""COMPUTED_VALUE"""),417.0)</f>
        <v>417</v>
      </c>
      <c r="T1047" s="5" t="str">
        <f>IFERROR(__xludf.DUMMYFUNCTION("""COMPUTED_VALUE"""),"Dog Day Afternoon")</f>
        <v>Dog Day Afternoon</v>
      </c>
      <c r="U1047" s="5" t="str">
        <f>IFERROR(__xludf.DUMMYFUNCTION("""COMPUTED_VALUE"""),"Crime")</f>
        <v>Crime</v>
      </c>
      <c r="V1047" s="5">
        <f>IFERROR(__xludf.DUMMYFUNCTION("""COMPUTED_VALUE"""),2.0)</f>
        <v>2</v>
      </c>
    </row>
    <row r="1048">
      <c r="J1048" s="5" t="str">
        <f>IFERROR(__xludf.DUMMYFUNCTION("""COMPUTED_VALUE"""),"349🤙🏼Deadpool🤙🏼Comedy🤙🏼3")</f>
        <v>349🤙🏼Deadpool🤙🏼Comedy🤙🏼3</v>
      </c>
      <c r="K1048" s="5">
        <f>IFERROR(__xludf.DUMMYFUNCTION("SPLiT(J1048, ""🤙🏼"",FALSE,FALSE)"),349.0)</f>
        <v>349</v>
      </c>
      <c r="L1048" s="5" t="str">
        <f>IFERROR(__xludf.DUMMYFUNCTION("""COMPUTED_VALUE"""),"Deadpool")</f>
        <v>Deadpool</v>
      </c>
      <c r="M1048" s="5" t="str">
        <f>IFERROR(__xludf.DUMMYFUNCTION("""COMPUTED_VALUE"""),"Comedy")</f>
        <v>Comedy</v>
      </c>
      <c r="N1048" s="5">
        <f>IFERROR(__xludf.DUMMYFUNCTION("""COMPUTED_VALUE"""),3.0)</f>
        <v>3</v>
      </c>
      <c r="S1048" s="5">
        <f>IFERROR(__xludf.DUMMYFUNCTION("""COMPUTED_VALUE"""),417.0)</f>
        <v>417</v>
      </c>
      <c r="T1048" s="5" t="str">
        <f>IFERROR(__xludf.DUMMYFUNCTION("""COMPUTED_VALUE"""),"Dog Day Afternoon")</f>
        <v>Dog Day Afternoon</v>
      </c>
      <c r="U1048" s="5" t="str">
        <f>IFERROR(__xludf.DUMMYFUNCTION("""COMPUTED_VALUE"""),"Drama")</f>
        <v>Drama</v>
      </c>
      <c r="V1048" s="5">
        <f>IFERROR(__xludf.DUMMYFUNCTION("""COMPUTED_VALUE"""),3.0)</f>
        <v>3</v>
      </c>
    </row>
    <row r="1049">
      <c r="J1049" s="5" t="str">
        <f>IFERROR(__xludf.DUMMYFUNCTION("""COMPUTED_VALUE"""),"350🤙🏼Darbareye Elly🤙🏼Drama🤙🏼1")</f>
        <v>350🤙🏼Darbareye Elly🤙🏼Drama🤙🏼1</v>
      </c>
      <c r="K1049" s="5">
        <f>IFERROR(__xludf.DUMMYFUNCTION("SPLiT(J1049, ""🤙🏼"",FALSE,FALSE)"),350.0)</f>
        <v>350</v>
      </c>
      <c r="L1049" s="5" t="str">
        <f>IFERROR(__xludf.DUMMYFUNCTION("""COMPUTED_VALUE"""),"Darbareye Elly")</f>
        <v>Darbareye Elly</v>
      </c>
      <c r="M1049" s="5" t="str">
        <f>IFERROR(__xludf.DUMMYFUNCTION("""COMPUTED_VALUE"""),"Drama")</f>
        <v>Drama</v>
      </c>
      <c r="N1049" s="5">
        <f>IFERROR(__xludf.DUMMYFUNCTION("""COMPUTED_VALUE"""),1.0)</f>
        <v>1</v>
      </c>
      <c r="S1049" s="5">
        <f>IFERROR(__xludf.DUMMYFUNCTION("""COMPUTED_VALUE"""),418.0)</f>
        <v>418</v>
      </c>
      <c r="T1049" s="5" t="str">
        <f>IFERROR(__xludf.DUMMYFUNCTION("""COMPUTED_VALUE"""),"Young Frankenstein")</f>
        <v>Young Frankenstein</v>
      </c>
      <c r="U1049" s="5" t="str">
        <f>IFERROR(__xludf.DUMMYFUNCTION("""COMPUTED_VALUE"""),"Comedy")</f>
        <v>Comedy</v>
      </c>
      <c r="V1049" s="5">
        <f>IFERROR(__xludf.DUMMYFUNCTION("""COMPUTED_VALUE"""),1.0)</f>
        <v>1</v>
      </c>
    </row>
    <row r="1050">
      <c r="J1050" s="5" t="str">
        <f>IFERROR(__xludf.DUMMYFUNCTION("""COMPUTED_VALUE"""),"350🤙🏼Darbareye Elly🤙🏼Mystery🤙🏼2")</f>
        <v>350🤙🏼Darbareye Elly🤙🏼Mystery🤙🏼2</v>
      </c>
      <c r="K1050" s="5">
        <f>IFERROR(__xludf.DUMMYFUNCTION("SPLiT(J1050, ""🤙🏼"",FALSE,FALSE)"),350.0)</f>
        <v>350</v>
      </c>
      <c r="L1050" s="5" t="str">
        <f>IFERROR(__xludf.DUMMYFUNCTION("""COMPUTED_VALUE"""),"Darbareye Elly")</f>
        <v>Darbareye Elly</v>
      </c>
      <c r="M1050" s="5" t="str">
        <f>IFERROR(__xludf.DUMMYFUNCTION("""COMPUTED_VALUE"""),"Mystery")</f>
        <v>Mystery</v>
      </c>
      <c r="N1050" s="5">
        <f>IFERROR(__xludf.DUMMYFUNCTION("""COMPUTED_VALUE"""),2.0)</f>
        <v>2</v>
      </c>
      <c r="S1050" s="5">
        <f>IFERROR(__xludf.DUMMYFUNCTION("""COMPUTED_VALUE"""),419.0)</f>
        <v>419</v>
      </c>
      <c r="T1050" s="5" t="str">
        <f>IFERROR(__xludf.DUMMYFUNCTION("""COMPUTED_VALUE"""),"Papillon")</f>
        <v>Papillon</v>
      </c>
      <c r="U1050" s="5" t="str">
        <f>IFERROR(__xludf.DUMMYFUNCTION("""COMPUTED_VALUE"""),"Biography")</f>
        <v>Biography</v>
      </c>
      <c r="V1050" s="5">
        <f>IFERROR(__xludf.DUMMYFUNCTION("""COMPUTED_VALUE"""),1.0)</f>
        <v>1</v>
      </c>
    </row>
    <row r="1051">
      <c r="J1051" s="5" t="str">
        <f>IFERROR(__xludf.DUMMYFUNCTION("""COMPUTED_VALUE"""),"350🤙🏼Darbareye Elly🤙🏼🤙🏼3")</f>
        <v>350🤙🏼Darbareye Elly🤙🏼🤙🏼3</v>
      </c>
      <c r="K1051" s="5">
        <f>IFERROR(__xludf.DUMMYFUNCTION("SPLiT(J1051, ""🤙🏼"",FALSE,FALSE)"),350.0)</f>
        <v>350</v>
      </c>
      <c r="L1051" s="5" t="str">
        <f>IFERROR(__xludf.DUMMYFUNCTION("""COMPUTED_VALUE"""),"Darbareye Elly")</f>
        <v>Darbareye Elly</v>
      </c>
      <c r="M1051" s="5"/>
      <c r="N1051" s="5">
        <f>IFERROR(__xludf.DUMMYFUNCTION("""COMPUTED_VALUE"""),3.0)</f>
        <v>3</v>
      </c>
      <c r="S1051" s="5">
        <f>IFERROR(__xludf.DUMMYFUNCTION("""COMPUTED_VALUE"""),419.0)</f>
        <v>419</v>
      </c>
      <c r="T1051" s="5" t="str">
        <f>IFERROR(__xludf.DUMMYFUNCTION("""COMPUTED_VALUE"""),"Papillon")</f>
        <v>Papillon</v>
      </c>
      <c r="U1051" s="5" t="str">
        <f>IFERROR(__xludf.DUMMYFUNCTION("""COMPUTED_VALUE"""),"Crime")</f>
        <v>Crime</v>
      </c>
      <c r="V1051" s="5">
        <f>IFERROR(__xludf.DUMMYFUNCTION("""COMPUTED_VALUE"""),2.0)</f>
        <v>2</v>
      </c>
    </row>
    <row r="1052">
      <c r="J1052" s="5" t="str">
        <f>IFERROR(__xludf.DUMMYFUNCTION("""COMPUTED_VALUE"""),"351🤙🏼Dev.D🤙🏼Drama🤙🏼1")</f>
        <v>351🤙🏼Dev.D🤙🏼Drama🤙🏼1</v>
      </c>
      <c r="K1052" s="5">
        <f>IFERROR(__xludf.DUMMYFUNCTION("SPLiT(J1052, ""🤙🏼"",FALSE,FALSE)"),351.0)</f>
        <v>351</v>
      </c>
      <c r="L1052" s="5" t="str">
        <f>IFERROR(__xludf.DUMMYFUNCTION("""COMPUTED_VALUE"""),"Dev.D")</f>
        <v>Dev.D</v>
      </c>
      <c r="M1052" s="5" t="str">
        <f>IFERROR(__xludf.DUMMYFUNCTION("""COMPUTED_VALUE"""),"Drama")</f>
        <v>Drama</v>
      </c>
      <c r="N1052" s="5">
        <f>IFERROR(__xludf.DUMMYFUNCTION("""COMPUTED_VALUE"""),1.0)</f>
        <v>1</v>
      </c>
      <c r="S1052" s="5">
        <f>IFERROR(__xludf.DUMMYFUNCTION("""COMPUTED_VALUE"""),419.0)</f>
        <v>419</v>
      </c>
      <c r="T1052" s="5" t="str">
        <f>IFERROR(__xludf.DUMMYFUNCTION("""COMPUTED_VALUE"""),"Papillon")</f>
        <v>Papillon</v>
      </c>
      <c r="U1052" s="5" t="str">
        <f>IFERROR(__xludf.DUMMYFUNCTION("""COMPUTED_VALUE"""),"Drama")</f>
        <v>Drama</v>
      </c>
      <c r="V1052" s="5">
        <f>IFERROR(__xludf.DUMMYFUNCTION("""COMPUTED_VALUE"""),3.0)</f>
        <v>3</v>
      </c>
    </row>
    <row r="1053">
      <c r="J1053" s="5" t="str">
        <f>IFERROR(__xludf.DUMMYFUNCTION("""COMPUTED_VALUE"""),"351🤙🏼Dev.D🤙🏼Romance🤙🏼2")</f>
        <v>351🤙🏼Dev.D🤙🏼Romance🤙🏼2</v>
      </c>
      <c r="K1053" s="5">
        <f>IFERROR(__xludf.DUMMYFUNCTION("SPLiT(J1053, ""🤙🏼"",FALSE,FALSE)"),351.0)</f>
        <v>351</v>
      </c>
      <c r="L1053" s="5" t="str">
        <f>IFERROR(__xludf.DUMMYFUNCTION("""COMPUTED_VALUE"""),"Dev.D")</f>
        <v>Dev.D</v>
      </c>
      <c r="M1053" s="5" t="str">
        <f>IFERROR(__xludf.DUMMYFUNCTION("""COMPUTED_VALUE"""),"Romance")</f>
        <v>Romance</v>
      </c>
      <c r="N1053" s="5">
        <f>IFERROR(__xludf.DUMMYFUNCTION("""COMPUTED_VALUE"""),2.0)</f>
        <v>2</v>
      </c>
      <c r="S1053" s="5">
        <f>IFERROR(__xludf.DUMMYFUNCTION("""COMPUTED_VALUE"""),420.0)</f>
        <v>420</v>
      </c>
      <c r="T1053" s="5" t="str">
        <f>IFERROR(__xludf.DUMMYFUNCTION("""COMPUTED_VALUE"""),"The Exorcist")</f>
        <v>The Exorcist</v>
      </c>
      <c r="U1053" s="5" t="str">
        <f>IFERROR(__xludf.DUMMYFUNCTION("""COMPUTED_VALUE"""),"Horror")</f>
        <v>Horror</v>
      </c>
      <c r="V1053" s="5">
        <f>IFERROR(__xludf.DUMMYFUNCTION("""COMPUTED_VALUE"""),1.0)</f>
        <v>1</v>
      </c>
    </row>
    <row r="1054">
      <c r="J1054" s="5" t="str">
        <f>IFERROR(__xludf.DUMMYFUNCTION("""COMPUTED_VALUE"""),"351🤙🏼Dev.D🤙🏼🤙🏼3")</f>
        <v>351🤙🏼Dev.D🤙🏼🤙🏼3</v>
      </c>
      <c r="K1054" s="5">
        <f>IFERROR(__xludf.DUMMYFUNCTION("SPLiT(J1054, ""🤙🏼"",FALSE,FALSE)"),351.0)</f>
        <v>351</v>
      </c>
      <c r="L1054" s="5" t="str">
        <f>IFERROR(__xludf.DUMMYFUNCTION("""COMPUTED_VALUE"""),"Dev.D")</f>
        <v>Dev.D</v>
      </c>
      <c r="M1054" s="5"/>
      <c r="N1054" s="5">
        <f>IFERROR(__xludf.DUMMYFUNCTION("""COMPUTED_VALUE"""),3.0)</f>
        <v>3</v>
      </c>
      <c r="S1054" s="5">
        <f>IFERROR(__xludf.DUMMYFUNCTION("""COMPUTED_VALUE"""),421.0)</f>
        <v>421</v>
      </c>
      <c r="T1054" s="5" t="str">
        <f>IFERROR(__xludf.DUMMYFUNCTION("""COMPUTED_VALUE"""),"Sleuth")</f>
        <v>Sleuth</v>
      </c>
      <c r="U1054" s="5" t="str">
        <f>IFERROR(__xludf.DUMMYFUNCTION("""COMPUTED_VALUE"""),"Mystery")</f>
        <v>Mystery</v>
      </c>
      <c r="V1054" s="5">
        <f>IFERROR(__xludf.DUMMYFUNCTION("""COMPUTED_VALUE"""),1.0)</f>
        <v>1</v>
      </c>
    </row>
    <row r="1055">
      <c r="J1055" s="5" t="str">
        <f>IFERROR(__xludf.DUMMYFUNCTION("""COMPUTED_VALUE"""),"352🤙🏼Yip Man🤙🏼Action🤙🏼1")</f>
        <v>352🤙🏼Yip Man🤙🏼Action🤙🏼1</v>
      </c>
      <c r="K1055" s="5">
        <f>IFERROR(__xludf.DUMMYFUNCTION("SPLiT(J1055, ""🤙🏼"",FALSE,FALSE)"),352.0)</f>
        <v>352</v>
      </c>
      <c r="L1055" s="5" t="str">
        <f>IFERROR(__xludf.DUMMYFUNCTION("""COMPUTED_VALUE"""),"Yip Man")</f>
        <v>Yip Man</v>
      </c>
      <c r="M1055" s="5" t="str">
        <f>IFERROR(__xludf.DUMMYFUNCTION("""COMPUTED_VALUE"""),"Action")</f>
        <v>Action</v>
      </c>
      <c r="N1055" s="5">
        <f>IFERROR(__xludf.DUMMYFUNCTION("""COMPUTED_VALUE"""),1.0)</f>
        <v>1</v>
      </c>
      <c r="S1055" s="5">
        <f>IFERROR(__xludf.DUMMYFUNCTION("""COMPUTED_VALUE"""),421.0)</f>
        <v>421</v>
      </c>
      <c r="T1055" s="5" t="str">
        <f>IFERROR(__xludf.DUMMYFUNCTION("""COMPUTED_VALUE"""),"Sleuth")</f>
        <v>Sleuth</v>
      </c>
      <c r="U1055" s="5" t="str">
        <f>IFERROR(__xludf.DUMMYFUNCTION("""COMPUTED_VALUE"""),"Thriller")</f>
        <v>Thriller</v>
      </c>
      <c r="V1055" s="5">
        <f>IFERROR(__xludf.DUMMYFUNCTION("""COMPUTED_VALUE"""),2.0)</f>
        <v>2</v>
      </c>
    </row>
    <row r="1056">
      <c r="J1056" s="5" t="str">
        <f>IFERROR(__xludf.DUMMYFUNCTION("""COMPUTED_VALUE"""),"352🤙🏼Yip Man🤙🏼Biography🤙🏼2")</f>
        <v>352🤙🏼Yip Man🤙🏼Biography🤙🏼2</v>
      </c>
      <c r="K1056" s="5">
        <f>IFERROR(__xludf.DUMMYFUNCTION("SPLiT(J1056, ""🤙🏼"",FALSE,FALSE)"),352.0)</f>
        <v>352</v>
      </c>
      <c r="L1056" s="5" t="str">
        <f>IFERROR(__xludf.DUMMYFUNCTION("""COMPUTED_VALUE"""),"Yip Man")</f>
        <v>Yip Man</v>
      </c>
      <c r="M1056" s="5" t="str">
        <f>IFERROR(__xludf.DUMMYFUNCTION("""COMPUTED_VALUE"""),"Biography")</f>
        <v>Biography</v>
      </c>
      <c r="N1056" s="5">
        <f>IFERROR(__xludf.DUMMYFUNCTION("""COMPUTED_VALUE"""),2.0)</f>
        <v>2</v>
      </c>
      <c r="S1056" s="5">
        <f>IFERROR(__xludf.DUMMYFUNCTION("""COMPUTED_VALUE"""),422.0)</f>
        <v>422</v>
      </c>
      <c r="T1056" s="5" t="str">
        <f>IFERROR(__xludf.DUMMYFUNCTION("""COMPUTED_VALUE"""),"The Last Picture Show")</f>
        <v>The Last Picture Show</v>
      </c>
      <c r="U1056" s="5" t="str">
        <f>IFERROR(__xludf.DUMMYFUNCTION("""COMPUTED_VALUE"""),"Drama")</f>
        <v>Drama</v>
      </c>
      <c r="V1056" s="5">
        <f>IFERROR(__xludf.DUMMYFUNCTION("""COMPUTED_VALUE"""),1.0)</f>
        <v>1</v>
      </c>
    </row>
    <row r="1057">
      <c r="J1057" s="5" t="str">
        <f>IFERROR(__xludf.DUMMYFUNCTION("""COMPUTED_VALUE"""),"352🤙🏼Yip Man🤙🏼Drama🤙🏼3")</f>
        <v>352🤙🏼Yip Man🤙🏼Drama🤙🏼3</v>
      </c>
      <c r="K1057" s="5">
        <f>IFERROR(__xludf.DUMMYFUNCTION("SPLiT(J1057, ""🤙🏼"",FALSE,FALSE)"),352.0)</f>
        <v>352</v>
      </c>
      <c r="L1057" s="5" t="str">
        <f>IFERROR(__xludf.DUMMYFUNCTION("""COMPUTED_VALUE"""),"Yip Man")</f>
        <v>Yip Man</v>
      </c>
      <c r="M1057" s="5" t="str">
        <f>IFERROR(__xludf.DUMMYFUNCTION("""COMPUTED_VALUE"""),"Drama")</f>
        <v>Drama</v>
      </c>
      <c r="N1057" s="5">
        <f>IFERROR(__xludf.DUMMYFUNCTION("""COMPUTED_VALUE"""),3.0)</f>
        <v>3</v>
      </c>
      <c r="S1057" s="5">
        <f>IFERROR(__xludf.DUMMYFUNCTION("""COMPUTED_VALUE"""),422.0)</f>
        <v>422</v>
      </c>
      <c r="T1057" s="5" t="str">
        <f>IFERROR(__xludf.DUMMYFUNCTION("""COMPUTED_VALUE"""),"The Last Picture Show")</f>
        <v>The Last Picture Show</v>
      </c>
      <c r="U1057" s="5" t="str">
        <f>IFERROR(__xludf.DUMMYFUNCTION("""COMPUTED_VALUE"""),"Romance")</f>
        <v>Romance</v>
      </c>
      <c r="V1057" s="5">
        <f>IFERROR(__xludf.DUMMYFUNCTION("""COMPUTED_VALUE"""),2.0)</f>
        <v>2</v>
      </c>
    </row>
    <row r="1058">
      <c r="J1058" s="5" t="str">
        <f>IFERROR(__xludf.DUMMYFUNCTION("""COMPUTED_VALUE"""),"353🤙🏼My Name Is Khan🤙🏼Drama🤙🏼1")</f>
        <v>353🤙🏼My Name Is Khan🤙🏼Drama🤙🏼1</v>
      </c>
      <c r="K1058" s="5">
        <f>IFERROR(__xludf.DUMMYFUNCTION("SPLiT(J1058, ""🤙🏼"",FALSE,FALSE)"),353.0)</f>
        <v>353</v>
      </c>
      <c r="L1058" s="5" t="str">
        <f>IFERROR(__xludf.DUMMYFUNCTION("""COMPUTED_VALUE"""),"My Name Is Khan")</f>
        <v>My Name Is Khan</v>
      </c>
      <c r="M1058" s="5" t="str">
        <f>IFERROR(__xludf.DUMMYFUNCTION("""COMPUTED_VALUE"""),"Drama")</f>
        <v>Drama</v>
      </c>
      <c r="N1058" s="5">
        <f>IFERROR(__xludf.DUMMYFUNCTION("""COMPUTED_VALUE"""),1.0)</f>
        <v>1</v>
      </c>
      <c r="S1058" s="5">
        <f>IFERROR(__xludf.DUMMYFUNCTION("""COMPUTED_VALUE"""),423.0)</f>
        <v>423</v>
      </c>
      <c r="T1058" s="5" t="str">
        <f>IFERROR(__xludf.DUMMYFUNCTION("""COMPUTED_VALUE"""),"Fiddler on the Roof")</f>
        <v>Fiddler on the Roof</v>
      </c>
      <c r="U1058" s="5" t="str">
        <f>IFERROR(__xludf.DUMMYFUNCTION("""COMPUTED_VALUE"""),"Drama")</f>
        <v>Drama</v>
      </c>
      <c r="V1058" s="5">
        <f>IFERROR(__xludf.DUMMYFUNCTION("""COMPUTED_VALUE"""),1.0)</f>
        <v>1</v>
      </c>
    </row>
    <row r="1059">
      <c r="J1059" s="5" t="str">
        <f>IFERROR(__xludf.DUMMYFUNCTION("""COMPUTED_VALUE"""),"353🤙🏼My Name Is Khan🤙🏼🤙🏼2")</f>
        <v>353🤙🏼My Name Is Khan🤙🏼🤙🏼2</v>
      </c>
      <c r="K1059" s="5">
        <f>IFERROR(__xludf.DUMMYFUNCTION("SPLiT(J1059, ""🤙🏼"",FALSE,FALSE)"),353.0)</f>
        <v>353</v>
      </c>
      <c r="L1059" s="5" t="str">
        <f>IFERROR(__xludf.DUMMYFUNCTION("""COMPUTED_VALUE"""),"My Name Is Khan")</f>
        <v>My Name Is Khan</v>
      </c>
      <c r="M1059" s="5"/>
      <c r="N1059" s="5">
        <f>IFERROR(__xludf.DUMMYFUNCTION("""COMPUTED_VALUE"""),2.0)</f>
        <v>2</v>
      </c>
      <c r="S1059" s="5">
        <f>IFERROR(__xludf.DUMMYFUNCTION("""COMPUTED_VALUE"""),423.0)</f>
        <v>423</v>
      </c>
      <c r="T1059" s="5" t="str">
        <f>IFERROR(__xludf.DUMMYFUNCTION("""COMPUTED_VALUE"""),"Fiddler on the Roof")</f>
        <v>Fiddler on the Roof</v>
      </c>
      <c r="U1059" s="5" t="str">
        <f>IFERROR(__xludf.DUMMYFUNCTION("""COMPUTED_VALUE"""),"Family")</f>
        <v>Family</v>
      </c>
      <c r="V1059" s="5">
        <f>IFERROR(__xludf.DUMMYFUNCTION("""COMPUTED_VALUE"""),2.0)</f>
        <v>2</v>
      </c>
    </row>
    <row r="1060">
      <c r="J1060" s="5" t="str">
        <f>IFERROR(__xludf.DUMMYFUNCTION("""COMPUTED_VALUE"""),"353🤙🏼My Name Is Khan🤙🏼🤙🏼3")</f>
        <v>353🤙🏼My Name Is Khan🤙🏼🤙🏼3</v>
      </c>
      <c r="K1060" s="5">
        <f>IFERROR(__xludf.DUMMYFUNCTION("SPLiT(J1060, ""🤙🏼"",FALSE,FALSE)"),353.0)</f>
        <v>353</v>
      </c>
      <c r="L1060" s="5" t="str">
        <f>IFERROR(__xludf.DUMMYFUNCTION("""COMPUTED_VALUE"""),"My Name Is Khan")</f>
        <v>My Name Is Khan</v>
      </c>
      <c r="M1060" s="5"/>
      <c r="N1060" s="5">
        <f>IFERROR(__xludf.DUMMYFUNCTION("""COMPUTED_VALUE"""),3.0)</f>
        <v>3</v>
      </c>
      <c r="S1060" s="5">
        <f>IFERROR(__xludf.DUMMYFUNCTION("""COMPUTED_VALUE"""),423.0)</f>
        <v>423</v>
      </c>
      <c r="T1060" s="5" t="str">
        <f>IFERROR(__xludf.DUMMYFUNCTION("""COMPUTED_VALUE"""),"Fiddler on the Roof")</f>
        <v>Fiddler on the Roof</v>
      </c>
      <c r="U1060" s="5" t="str">
        <f>IFERROR(__xludf.DUMMYFUNCTION("""COMPUTED_VALUE"""),"Musical")</f>
        <v>Musical</v>
      </c>
      <c r="V1060" s="5">
        <f>IFERROR(__xludf.DUMMYFUNCTION("""COMPUTED_VALUE"""),3.0)</f>
        <v>3</v>
      </c>
    </row>
    <row r="1061">
      <c r="J1061" s="5" t="str">
        <f>IFERROR(__xludf.DUMMYFUNCTION("""COMPUTED_VALUE"""),"354🤙🏼Nefes: Vatan Sagolsun🤙🏼Action🤙🏼1")</f>
        <v>354🤙🏼Nefes: Vatan Sagolsun🤙🏼Action🤙🏼1</v>
      </c>
      <c r="K1061" s="5">
        <f>IFERROR(__xludf.DUMMYFUNCTION("SPLiT(J1061, ""🤙🏼"",FALSE,FALSE)"),354.0)</f>
        <v>354</v>
      </c>
      <c r="L1061" s="5" t="str">
        <f>IFERROR(__xludf.DUMMYFUNCTION("""COMPUTED_VALUE"""),"Nefes: Vatan Sagolsun")</f>
        <v>Nefes: Vatan Sagolsun</v>
      </c>
      <c r="M1061" s="5" t="str">
        <f>IFERROR(__xludf.DUMMYFUNCTION("""COMPUTED_VALUE"""),"Action")</f>
        <v>Action</v>
      </c>
      <c r="N1061" s="5">
        <f>IFERROR(__xludf.DUMMYFUNCTION("""COMPUTED_VALUE"""),1.0)</f>
        <v>1</v>
      </c>
      <c r="S1061" s="5">
        <f>IFERROR(__xludf.DUMMYFUNCTION("""COMPUTED_VALUE"""),424.0)</f>
        <v>424</v>
      </c>
      <c r="T1061" s="5" t="str">
        <f>IFERROR(__xludf.DUMMYFUNCTION("""COMPUTED_VALUE"""),"Il conformista")</f>
        <v>Il conformista</v>
      </c>
      <c r="U1061" s="5" t="str">
        <f>IFERROR(__xludf.DUMMYFUNCTION("""COMPUTED_VALUE"""),"Drama")</f>
        <v>Drama</v>
      </c>
      <c r="V1061" s="5">
        <f>IFERROR(__xludf.DUMMYFUNCTION("""COMPUTED_VALUE"""),1.0)</f>
        <v>1</v>
      </c>
    </row>
    <row r="1062">
      <c r="J1062" s="5" t="str">
        <f>IFERROR(__xludf.DUMMYFUNCTION("""COMPUTED_VALUE"""),"354🤙🏼Nefes: Vatan Sagolsun🤙🏼Drama🤙🏼2")</f>
        <v>354🤙🏼Nefes: Vatan Sagolsun🤙🏼Drama🤙🏼2</v>
      </c>
      <c r="K1062" s="5">
        <f>IFERROR(__xludf.DUMMYFUNCTION("SPLiT(J1062, ""🤙🏼"",FALSE,FALSE)"),354.0)</f>
        <v>354</v>
      </c>
      <c r="L1062" s="5" t="str">
        <f>IFERROR(__xludf.DUMMYFUNCTION("""COMPUTED_VALUE"""),"Nefes: Vatan Sagolsun")</f>
        <v>Nefes: Vatan Sagolsun</v>
      </c>
      <c r="M1062" s="5" t="str">
        <f>IFERROR(__xludf.DUMMYFUNCTION("""COMPUTED_VALUE"""),"Drama")</f>
        <v>Drama</v>
      </c>
      <c r="N1062" s="5">
        <f>IFERROR(__xludf.DUMMYFUNCTION("""COMPUTED_VALUE"""),2.0)</f>
        <v>2</v>
      </c>
      <c r="S1062" s="5">
        <f>IFERROR(__xludf.DUMMYFUNCTION("""COMPUTED_VALUE"""),425.0)</f>
        <v>425</v>
      </c>
      <c r="T1062" s="5" t="str">
        <f>IFERROR(__xludf.DUMMYFUNCTION("""COMPUTED_VALUE"""),"Butch Cassidy and the Sundance Kid")</f>
        <v>Butch Cassidy and the Sundance Kid</v>
      </c>
      <c r="U1062" s="5" t="str">
        <f>IFERROR(__xludf.DUMMYFUNCTION("""COMPUTED_VALUE"""),"Biography")</f>
        <v>Biography</v>
      </c>
      <c r="V1062" s="5">
        <f>IFERROR(__xludf.DUMMYFUNCTION("""COMPUTED_VALUE"""),1.0)</f>
        <v>1</v>
      </c>
    </row>
    <row r="1063">
      <c r="J1063" s="5" t="str">
        <f>IFERROR(__xludf.DUMMYFUNCTION("""COMPUTED_VALUE"""),"354🤙🏼Nefes: Vatan Sagolsun🤙🏼Thriller🤙🏼3")</f>
        <v>354🤙🏼Nefes: Vatan Sagolsun🤙🏼Thriller🤙🏼3</v>
      </c>
      <c r="K1063" s="5">
        <f>IFERROR(__xludf.DUMMYFUNCTION("SPLiT(J1063, ""🤙🏼"",FALSE,FALSE)"),354.0)</f>
        <v>354</v>
      </c>
      <c r="L1063" s="5" t="str">
        <f>IFERROR(__xludf.DUMMYFUNCTION("""COMPUTED_VALUE"""),"Nefes: Vatan Sagolsun")</f>
        <v>Nefes: Vatan Sagolsun</v>
      </c>
      <c r="M1063" s="5" t="str">
        <f>IFERROR(__xludf.DUMMYFUNCTION("""COMPUTED_VALUE"""),"Thriller")</f>
        <v>Thriller</v>
      </c>
      <c r="N1063" s="5">
        <f>IFERROR(__xludf.DUMMYFUNCTION("""COMPUTED_VALUE"""),3.0)</f>
        <v>3</v>
      </c>
      <c r="S1063" s="5">
        <f>IFERROR(__xludf.DUMMYFUNCTION("""COMPUTED_VALUE"""),425.0)</f>
        <v>425</v>
      </c>
      <c r="T1063" s="5" t="str">
        <f>IFERROR(__xludf.DUMMYFUNCTION("""COMPUTED_VALUE"""),"Butch Cassidy and the Sundance Kid")</f>
        <v>Butch Cassidy and the Sundance Kid</v>
      </c>
      <c r="U1063" s="5" t="str">
        <f>IFERROR(__xludf.DUMMYFUNCTION("""COMPUTED_VALUE"""),"Crime")</f>
        <v>Crime</v>
      </c>
      <c r="V1063" s="5">
        <f>IFERROR(__xludf.DUMMYFUNCTION("""COMPUTED_VALUE"""),2.0)</f>
        <v>2</v>
      </c>
    </row>
    <row r="1064">
      <c r="J1064" s="5" t="str">
        <f>IFERROR(__xludf.DUMMYFUNCTION("""COMPUTED_VALUE"""),"355🤙🏼Slumdog Millionaire🤙🏼Drama🤙🏼1")</f>
        <v>355🤙🏼Slumdog Millionaire🤙🏼Drama🤙🏼1</v>
      </c>
      <c r="K1064" s="5">
        <f>IFERROR(__xludf.DUMMYFUNCTION("SPLiT(J1064, ""🤙🏼"",FALSE,FALSE)"),355.0)</f>
        <v>355</v>
      </c>
      <c r="L1064" s="5" t="str">
        <f>IFERROR(__xludf.DUMMYFUNCTION("""COMPUTED_VALUE"""),"Slumdog Millionaire")</f>
        <v>Slumdog Millionaire</v>
      </c>
      <c r="M1064" s="5" t="str">
        <f>IFERROR(__xludf.DUMMYFUNCTION("""COMPUTED_VALUE"""),"Drama")</f>
        <v>Drama</v>
      </c>
      <c r="N1064" s="5">
        <f>IFERROR(__xludf.DUMMYFUNCTION("""COMPUTED_VALUE"""),1.0)</f>
        <v>1</v>
      </c>
      <c r="S1064" s="5">
        <f>IFERROR(__xludf.DUMMYFUNCTION("""COMPUTED_VALUE"""),425.0)</f>
        <v>425</v>
      </c>
      <c r="T1064" s="5" t="str">
        <f>IFERROR(__xludf.DUMMYFUNCTION("""COMPUTED_VALUE"""),"Butch Cassidy and the Sundance Kid")</f>
        <v>Butch Cassidy and the Sundance Kid</v>
      </c>
      <c r="U1064" s="5" t="str">
        <f>IFERROR(__xludf.DUMMYFUNCTION("""COMPUTED_VALUE"""),"Drama")</f>
        <v>Drama</v>
      </c>
      <c r="V1064" s="5">
        <f>IFERROR(__xludf.DUMMYFUNCTION("""COMPUTED_VALUE"""),3.0)</f>
        <v>3</v>
      </c>
    </row>
    <row r="1065">
      <c r="J1065" s="5" t="str">
        <f>IFERROR(__xludf.DUMMYFUNCTION("""COMPUTED_VALUE"""),"355🤙🏼Slumdog Millionaire🤙🏼Romance🤙🏼2")</f>
        <v>355🤙🏼Slumdog Millionaire🤙🏼Romance🤙🏼2</v>
      </c>
      <c r="K1065" s="5">
        <f>IFERROR(__xludf.DUMMYFUNCTION("SPLiT(J1065, ""🤙🏼"",FALSE,FALSE)"),355.0)</f>
        <v>355</v>
      </c>
      <c r="L1065" s="5" t="str">
        <f>IFERROR(__xludf.DUMMYFUNCTION("""COMPUTED_VALUE"""),"Slumdog Millionaire")</f>
        <v>Slumdog Millionaire</v>
      </c>
      <c r="M1065" s="5" t="str">
        <f>IFERROR(__xludf.DUMMYFUNCTION("""COMPUTED_VALUE"""),"Romance")</f>
        <v>Romance</v>
      </c>
      <c r="N1065" s="5">
        <f>IFERROR(__xludf.DUMMYFUNCTION("""COMPUTED_VALUE"""),2.0)</f>
        <v>2</v>
      </c>
      <c r="S1065" s="5">
        <f>IFERROR(__xludf.DUMMYFUNCTION("""COMPUTED_VALUE"""),426.0)</f>
        <v>426</v>
      </c>
      <c r="T1065" s="5" t="str">
        <f>IFERROR(__xludf.DUMMYFUNCTION("""COMPUTED_VALUE"""),"Rosemary's Baby")</f>
        <v>Rosemary's Baby</v>
      </c>
      <c r="U1065" s="5" t="str">
        <f>IFERROR(__xludf.DUMMYFUNCTION("""COMPUTED_VALUE"""),"Drama")</f>
        <v>Drama</v>
      </c>
      <c r="V1065" s="5">
        <f>IFERROR(__xludf.DUMMYFUNCTION("""COMPUTED_VALUE"""),1.0)</f>
        <v>1</v>
      </c>
    </row>
    <row r="1066">
      <c r="J1066" s="5" t="str">
        <f>IFERROR(__xludf.DUMMYFUNCTION("""COMPUTED_VALUE"""),"355🤙🏼Slumdog Millionaire🤙🏼🤙🏼3")</f>
        <v>355🤙🏼Slumdog Millionaire🤙🏼🤙🏼3</v>
      </c>
      <c r="K1066" s="5">
        <f>IFERROR(__xludf.DUMMYFUNCTION("SPLiT(J1066, ""🤙🏼"",FALSE,FALSE)"),355.0)</f>
        <v>355</v>
      </c>
      <c r="L1066" s="5" t="str">
        <f>IFERROR(__xludf.DUMMYFUNCTION("""COMPUTED_VALUE"""),"Slumdog Millionaire")</f>
        <v>Slumdog Millionaire</v>
      </c>
      <c r="M1066" s="5"/>
      <c r="N1066" s="5">
        <f>IFERROR(__xludf.DUMMYFUNCTION("""COMPUTED_VALUE"""),3.0)</f>
        <v>3</v>
      </c>
      <c r="S1066" s="5">
        <f>IFERROR(__xludf.DUMMYFUNCTION("""COMPUTED_VALUE"""),426.0)</f>
        <v>426</v>
      </c>
      <c r="T1066" s="5" t="str">
        <f>IFERROR(__xludf.DUMMYFUNCTION("""COMPUTED_VALUE"""),"Rosemary's Baby")</f>
        <v>Rosemary's Baby</v>
      </c>
      <c r="U1066" s="5" t="str">
        <f>IFERROR(__xludf.DUMMYFUNCTION("""COMPUTED_VALUE"""),"Horror")</f>
        <v>Horror</v>
      </c>
      <c r="V1066" s="5">
        <f>IFERROR(__xludf.DUMMYFUNCTION("""COMPUTED_VALUE"""),2.0)</f>
        <v>2</v>
      </c>
    </row>
    <row r="1067">
      <c r="J1067" s="5" t="str">
        <f>IFERROR(__xludf.DUMMYFUNCTION("""COMPUTED_VALUE"""),"356🤙🏼Black Swan🤙🏼Drama🤙🏼1")</f>
        <v>356🤙🏼Black Swan🤙🏼Drama🤙🏼1</v>
      </c>
      <c r="K1067" s="5">
        <f>IFERROR(__xludf.DUMMYFUNCTION("SPLiT(J1067, ""🤙🏼"",FALSE,FALSE)"),356.0)</f>
        <v>356</v>
      </c>
      <c r="L1067" s="5" t="str">
        <f>IFERROR(__xludf.DUMMYFUNCTION("""COMPUTED_VALUE"""),"Black Swan")</f>
        <v>Black Swan</v>
      </c>
      <c r="M1067" s="5" t="str">
        <f>IFERROR(__xludf.DUMMYFUNCTION("""COMPUTED_VALUE"""),"Drama")</f>
        <v>Drama</v>
      </c>
      <c r="N1067" s="5">
        <f>IFERROR(__xludf.DUMMYFUNCTION("""COMPUTED_VALUE"""),1.0)</f>
        <v>1</v>
      </c>
      <c r="S1067" s="5">
        <f>IFERROR(__xludf.DUMMYFUNCTION("""COMPUTED_VALUE"""),427.0)</f>
        <v>427</v>
      </c>
      <c r="T1067" s="5" t="str">
        <f>IFERROR(__xludf.DUMMYFUNCTION("""COMPUTED_VALUE"""),"Planet of the Apes")</f>
        <v>Planet of the Apes</v>
      </c>
      <c r="U1067" s="5" t="str">
        <f>IFERROR(__xludf.DUMMYFUNCTION("""COMPUTED_VALUE"""),"Adventure")</f>
        <v>Adventure</v>
      </c>
      <c r="V1067" s="5">
        <f>IFERROR(__xludf.DUMMYFUNCTION("""COMPUTED_VALUE"""),1.0)</f>
        <v>1</v>
      </c>
    </row>
    <row r="1068">
      <c r="J1068" s="5" t="str">
        <f>IFERROR(__xludf.DUMMYFUNCTION("""COMPUTED_VALUE"""),"356🤙🏼Black Swan🤙🏼Thriller🤙🏼2")</f>
        <v>356🤙🏼Black Swan🤙🏼Thriller🤙🏼2</v>
      </c>
      <c r="K1068" s="5">
        <f>IFERROR(__xludf.DUMMYFUNCTION("SPLiT(J1068, ""🤙🏼"",FALSE,FALSE)"),356.0)</f>
        <v>356</v>
      </c>
      <c r="L1068" s="5" t="str">
        <f>IFERROR(__xludf.DUMMYFUNCTION("""COMPUTED_VALUE"""),"Black Swan")</f>
        <v>Black Swan</v>
      </c>
      <c r="M1068" s="5" t="str">
        <f>IFERROR(__xludf.DUMMYFUNCTION("""COMPUTED_VALUE"""),"Thriller")</f>
        <v>Thriller</v>
      </c>
      <c r="N1068" s="5">
        <f>IFERROR(__xludf.DUMMYFUNCTION("""COMPUTED_VALUE"""),2.0)</f>
        <v>2</v>
      </c>
      <c r="S1068" s="5">
        <f>IFERROR(__xludf.DUMMYFUNCTION("""COMPUTED_VALUE"""),427.0)</f>
        <v>427</v>
      </c>
      <c r="T1068" s="5" t="str">
        <f>IFERROR(__xludf.DUMMYFUNCTION("""COMPUTED_VALUE"""),"Planet of the Apes")</f>
        <v>Planet of the Apes</v>
      </c>
      <c r="U1068" s="5" t="str">
        <f>IFERROR(__xludf.DUMMYFUNCTION("""COMPUTED_VALUE"""),"Sci-Fi")</f>
        <v>Sci-Fi</v>
      </c>
      <c r="V1068" s="5">
        <f>IFERROR(__xludf.DUMMYFUNCTION("""COMPUTED_VALUE"""),2.0)</f>
        <v>2</v>
      </c>
    </row>
    <row r="1069">
      <c r="J1069" s="5" t="str">
        <f>IFERROR(__xludf.DUMMYFUNCTION("""COMPUTED_VALUE"""),"356🤙🏼Black Swan🤙🏼🤙🏼3")</f>
        <v>356🤙🏼Black Swan🤙🏼🤙🏼3</v>
      </c>
      <c r="K1069" s="5">
        <f>IFERROR(__xludf.DUMMYFUNCTION("SPLiT(J1069, ""🤙🏼"",FALSE,FALSE)"),356.0)</f>
        <v>356</v>
      </c>
      <c r="L1069" s="5" t="str">
        <f>IFERROR(__xludf.DUMMYFUNCTION("""COMPUTED_VALUE"""),"Black Swan")</f>
        <v>Black Swan</v>
      </c>
      <c r="M1069" s="5"/>
      <c r="N1069" s="5">
        <f>IFERROR(__xludf.DUMMYFUNCTION("""COMPUTED_VALUE"""),3.0)</f>
        <v>3</v>
      </c>
      <c r="S1069" s="5">
        <f>IFERROR(__xludf.DUMMYFUNCTION("""COMPUTED_VALUE"""),428.0)</f>
        <v>428</v>
      </c>
      <c r="T1069" s="5" t="str">
        <f>IFERROR(__xludf.DUMMYFUNCTION("""COMPUTED_VALUE"""),"The Graduate")</f>
        <v>The Graduate</v>
      </c>
      <c r="U1069" s="5" t="str">
        <f>IFERROR(__xludf.DUMMYFUNCTION("""COMPUTED_VALUE"""),"Comedy")</f>
        <v>Comedy</v>
      </c>
      <c r="V1069" s="5">
        <f>IFERROR(__xludf.DUMMYFUNCTION("""COMPUTED_VALUE"""),1.0)</f>
        <v>1</v>
      </c>
    </row>
    <row r="1070">
      <c r="J1070" s="5" t="str">
        <f>IFERROR(__xludf.DUMMYFUNCTION("""COMPUTED_VALUE"""),"357🤙🏼Tropa de Elite🤙🏼Action🤙🏼1")</f>
        <v>357🤙🏼Tropa de Elite🤙🏼Action🤙🏼1</v>
      </c>
      <c r="K1070" s="5">
        <f>IFERROR(__xludf.DUMMYFUNCTION("SPLiT(J1070, ""🤙🏼"",FALSE,FALSE)"),357.0)</f>
        <v>357</v>
      </c>
      <c r="L1070" s="5" t="str">
        <f>IFERROR(__xludf.DUMMYFUNCTION("""COMPUTED_VALUE"""),"Tropa de Elite")</f>
        <v>Tropa de Elite</v>
      </c>
      <c r="M1070" s="5" t="str">
        <f>IFERROR(__xludf.DUMMYFUNCTION("""COMPUTED_VALUE"""),"Action")</f>
        <v>Action</v>
      </c>
      <c r="N1070" s="5">
        <f>IFERROR(__xludf.DUMMYFUNCTION("""COMPUTED_VALUE"""),1.0)</f>
        <v>1</v>
      </c>
      <c r="S1070" s="5">
        <f>IFERROR(__xludf.DUMMYFUNCTION("""COMPUTED_VALUE"""),428.0)</f>
        <v>428</v>
      </c>
      <c r="T1070" s="5" t="str">
        <f>IFERROR(__xludf.DUMMYFUNCTION("""COMPUTED_VALUE"""),"The Graduate")</f>
        <v>The Graduate</v>
      </c>
      <c r="U1070" s="5" t="str">
        <f>IFERROR(__xludf.DUMMYFUNCTION("""COMPUTED_VALUE"""),"Drama")</f>
        <v>Drama</v>
      </c>
      <c r="V1070" s="5">
        <f>IFERROR(__xludf.DUMMYFUNCTION("""COMPUTED_VALUE"""),2.0)</f>
        <v>2</v>
      </c>
    </row>
    <row r="1071">
      <c r="J1071" s="5" t="str">
        <f>IFERROR(__xludf.DUMMYFUNCTION("""COMPUTED_VALUE"""),"357🤙🏼Tropa de Elite🤙🏼Crime🤙🏼2")</f>
        <v>357🤙🏼Tropa de Elite🤙🏼Crime🤙🏼2</v>
      </c>
      <c r="K1071" s="5">
        <f>IFERROR(__xludf.DUMMYFUNCTION("SPLiT(J1071, ""🤙🏼"",FALSE,FALSE)"),357.0)</f>
        <v>357</v>
      </c>
      <c r="L1071" s="5" t="str">
        <f>IFERROR(__xludf.DUMMYFUNCTION("""COMPUTED_VALUE"""),"Tropa de Elite")</f>
        <v>Tropa de Elite</v>
      </c>
      <c r="M1071" s="5" t="str">
        <f>IFERROR(__xludf.DUMMYFUNCTION("""COMPUTED_VALUE"""),"Crime")</f>
        <v>Crime</v>
      </c>
      <c r="N1071" s="5">
        <f>IFERROR(__xludf.DUMMYFUNCTION("""COMPUTED_VALUE"""),2.0)</f>
        <v>2</v>
      </c>
      <c r="S1071" s="5">
        <f>IFERROR(__xludf.DUMMYFUNCTION("""COMPUTED_VALUE"""),428.0)</f>
        <v>428</v>
      </c>
      <c r="T1071" s="5" t="str">
        <f>IFERROR(__xludf.DUMMYFUNCTION("""COMPUTED_VALUE"""),"The Graduate")</f>
        <v>The Graduate</v>
      </c>
      <c r="U1071" s="5" t="str">
        <f>IFERROR(__xludf.DUMMYFUNCTION("""COMPUTED_VALUE"""),"Romance")</f>
        <v>Romance</v>
      </c>
      <c r="V1071" s="5">
        <f>IFERROR(__xludf.DUMMYFUNCTION("""COMPUTED_VALUE"""),3.0)</f>
        <v>3</v>
      </c>
    </row>
    <row r="1072">
      <c r="J1072" s="5" t="str">
        <f>IFERROR(__xludf.DUMMYFUNCTION("""COMPUTED_VALUE"""),"357🤙🏼Tropa de Elite🤙🏼Drama🤙🏼3")</f>
        <v>357🤙🏼Tropa de Elite🤙🏼Drama🤙🏼3</v>
      </c>
      <c r="K1072" s="5">
        <f>IFERROR(__xludf.DUMMYFUNCTION("SPLiT(J1072, ""🤙🏼"",FALSE,FALSE)"),357.0)</f>
        <v>357</v>
      </c>
      <c r="L1072" s="5" t="str">
        <f>IFERROR(__xludf.DUMMYFUNCTION("""COMPUTED_VALUE"""),"Tropa de Elite")</f>
        <v>Tropa de Elite</v>
      </c>
      <c r="M1072" s="5" t="str">
        <f>IFERROR(__xludf.DUMMYFUNCTION("""COMPUTED_VALUE"""),"Drama")</f>
        <v>Drama</v>
      </c>
      <c r="N1072" s="5">
        <f>IFERROR(__xludf.DUMMYFUNCTION("""COMPUTED_VALUE"""),3.0)</f>
        <v>3</v>
      </c>
      <c r="S1072" s="5">
        <f>IFERROR(__xludf.DUMMYFUNCTION("""COMPUTED_VALUE"""),429.0)</f>
        <v>429</v>
      </c>
      <c r="T1072" s="5" t="str">
        <f>IFERROR(__xludf.DUMMYFUNCTION("""COMPUTED_VALUE"""),"Who's Afraid of Virginia Woolf?")</f>
        <v>Who's Afraid of Virginia Woolf?</v>
      </c>
      <c r="U1072" s="5" t="str">
        <f>IFERROR(__xludf.DUMMYFUNCTION("""COMPUTED_VALUE"""),"Drama")</f>
        <v>Drama</v>
      </c>
      <c r="V1072" s="5">
        <f>IFERROR(__xludf.DUMMYFUNCTION("""COMPUTED_VALUE"""),1.0)</f>
        <v>1</v>
      </c>
    </row>
    <row r="1073">
      <c r="J1073" s="5" t="str">
        <f>IFERROR(__xludf.DUMMYFUNCTION("""COMPUTED_VALUE"""),"358🤙🏼The Avengers🤙🏼Action🤙🏼1")</f>
        <v>358🤙🏼The Avengers🤙🏼Action🤙🏼1</v>
      </c>
      <c r="K1073" s="5">
        <f>IFERROR(__xludf.DUMMYFUNCTION("SPLiT(J1073, ""🤙🏼"",FALSE,FALSE)"),358.0)</f>
        <v>358</v>
      </c>
      <c r="L1073" s="5" t="str">
        <f>IFERROR(__xludf.DUMMYFUNCTION("""COMPUTED_VALUE"""),"The Avengers")</f>
        <v>The Avengers</v>
      </c>
      <c r="M1073" s="5" t="str">
        <f>IFERROR(__xludf.DUMMYFUNCTION("""COMPUTED_VALUE"""),"Action")</f>
        <v>Action</v>
      </c>
      <c r="N1073" s="5">
        <f>IFERROR(__xludf.DUMMYFUNCTION("""COMPUTED_VALUE"""),1.0)</f>
        <v>1</v>
      </c>
      <c r="S1073" s="5">
        <f>IFERROR(__xludf.DUMMYFUNCTION("""COMPUTED_VALUE"""),430.0)</f>
        <v>430</v>
      </c>
      <c r="T1073" s="5" t="str">
        <f>IFERROR(__xludf.DUMMYFUNCTION("""COMPUTED_VALUE"""),"The Sound of Music")</f>
        <v>The Sound of Music</v>
      </c>
      <c r="U1073" s="5" t="str">
        <f>IFERROR(__xludf.DUMMYFUNCTION("""COMPUTED_VALUE"""),"Biography")</f>
        <v>Biography</v>
      </c>
      <c r="V1073" s="5">
        <f>IFERROR(__xludf.DUMMYFUNCTION("""COMPUTED_VALUE"""),1.0)</f>
        <v>1</v>
      </c>
    </row>
    <row r="1074">
      <c r="J1074" s="5" t="str">
        <f>IFERROR(__xludf.DUMMYFUNCTION("""COMPUTED_VALUE"""),"358🤙🏼The Avengers🤙🏼Adventure🤙🏼2")</f>
        <v>358🤙🏼The Avengers🤙🏼Adventure🤙🏼2</v>
      </c>
      <c r="K1074" s="5">
        <f>IFERROR(__xludf.DUMMYFUNCTION("SPLiT(J1074, ""🤙🏼"",FALSE,FALSE)"),358.0)</f>
        <v>358</v>
      </c>
      <c r="L1074" s="5" t="str">
        <f>IFERROR(__xludf.DUMMYFUNCTION("""COMPUTED_VALUE"""),"The Avengers")</f>
        <v>The Avengers</v>
      </c>
      <c r="M1074" s="5" t="str">
        <f>IFERROR(__xludf.DUMMYFUNCTION("""COMPUTED_VALUE"""),"Adventure")</f>
        <v>Adventure</v>
      </c>
      <c r="N1074" s="5">
        <f>IFERROR(__xludf.DUMMYFUNCTION("""COMPUTED_VALUE"""),2.0)</f>
        <v>2</v>
      </c>
      <c r="S1074" s="5">
        <f>IFERROR(__xludf.DUMMYFUNCTION("""COMPUTED_VALUE"""),430.0)</f>
        <v>430</v>
      </c>
      <c r="T1074" s="5" t="str">
        <f>IFERROR(__xludf.DUMMYFUNCTION("""COMPUTED_VALUE"""),"The Sound of Music")</f>
        <v>The Sound of Music</v>
      </c>
      <c r="U1074" s="5" t="str">
        <f>IFERROR(__xludf.DUMMYFUNCTION("""COMPUTED_VALUE"""),"Drama")</f>
        <v>Drama</v>
      </c>
      <c r="V1074" s="5">
        <f>IFERROR(__xludf.DUMMYFUNCTION("""COMPUTED_VALUE"""),2.0)</f>
        <v>2</v>
      </c>
    </row>
    <row r="1075">
      <c r="J1075" s="5" t="str">
        <f>IFERROR(__xludf.DUMMYFUNCTION("""COMPUTED_VALUE"""),"358🤙🏼The Avengers🤙🏼Sci-Fi🤙🏼3")</f>
        <v>358🤙🏼The Avengers🤙🏼Sci-Fi🤙🏼3</v>
      </c>
      <c r="K1075" s="5">
        <f>IFERROR(__xludf.DUMMYFUNCTION("SPLiT(J1075, ""🤙🏼"",FALSE,FALSE)"),358.0)</f>
        <v>358</v>
      </c>
      <c r="L1075" s="5" t="str">
        <f>IFERROR(__xludf.DUMMYFUNCTION("""COMPUTED_VALUE"""),"The Avengers")</f>
        <v>The Avengers</v>
      </c>
      <c r="M1075" s="5" t="str">
        <f>IFERROR(__xludf.DUMMYFUNCTION("""COMPUTED_VALUE"""),"Sci-Fi")</f>
        <v>Sci-Fi</v>
      </c>
      <c r="N1075" s="5">
        <f>IFERROR(__xludf.DUMMYFUNCTION("""COMPUTED_VALUE"""),3.0)</f>
        <v>3</v>
      </c>
      <c r="S1075" s="5">
        <f>IFERROR(__xludf.DUMMYFUNCTION("""COMPUTED_VALUE"""),430.0)</f>
        <v>430</v>
      </c>
      <c r="T1075" s="5" t="str">
        <f>IFERROR(__xludf.DUMMYFUNCTION("""COMPUTED_VALUE"""),"The Sound of Music")</f>
        <v>The Sound of Music</v>
      </c>
      <c r="U1075" s="5" t="str">
        <f>IFERROR(__xludf.DUMMYFUNCTION("""COMPUTED_VALUE"""),"Family")</f>
        <v>Family</v>
      </c>
      <c r="V1075" s="5">
        <f>IFERROR(__xludf.DUMMYFUNCTION("""COMPUTED_VALUE"""),3.0)</f>
        <v>3</v>
      </c>
    </row>
    <row r="1076">
      <c r="J1076" s="5" t="str">
        <f>IFERROR(__xludf.DUMMYFUNCTION("""COMPUTED_VALUE"""),"359🤙🏼Persepolis🤙🏼Animation🤙🏼1")</f>
        <v>359🤙🏼Persepolis🤙🏼Animation🤙🏼1</v>
      </c>
      <c r="K1076" s="5">
        <f>IFERROR(__xludf.DUMMYFUNCTION("SPLiT(J1076, ""🤙🏼"",FALSE,FALSE)"),359.0)</f>
        <v>359</v>
      </c>
      <c r="L1076" s="5" t="str">
        <f>IFERROR(__xludf.DUMMYFUNCTION("""COMPUTED_VALUE"""),"Persepolis")</f>
        <v>Persepolis</v>
      </c>
      <c r="M1076" s="5" t="str">
        <f>IFERROR(__xludf.DUMMYFUNCTION("""COMPUTED_VALUE"""),"Animation")</f>
        <v>Animation</v>
      </c>
      <c r="N1076" s="5">
        <f>IFERROR(__xludf.DUMMYFUNCTION("""COMPUTED_VALUE"""),1.0)</f>
        <v>1</v>
      </c>
      <c r="S1076" s="5">
        <f>IFERROR(__xludf.DUMMYFUNCTION("""COMPUTED_VALUE"""),431.0)</f>
        <v>431</v>
      </c>
      <c r="T1076" s="5" t="str">
        <f>IFERROR(__xludf.DUMMYFUNCTION("""COMPUTED_VALUE"""),"Doctor Zhivago")</f>
        <v>Doctor Zhivago</v>
      </c>
      <c r="U1076" s="5" t="str">
        <f>IFERROR(__xludf.DUMMYFUNCTION("""COMPUTED_VALUE"""),"Drama")</f>
        <v>Drama</v>
      </c>
      <c r="V1076" s="5">
        <f>IFERROR(__xludf.DUMMYFUNCTION("""COMPUTED_VALUE"""),1.0)</f>
        <v>1</v>
      </c>
    </row>
    <row r="1077">
      <c r="J1077" s="5" t="str">
        <f>IFERROR(__xludf.DUMMYFUNCTION("""COMPUTED_VALUE"""),"359🤙🏼Persepolis🤙🏼Biography🤙🏼2")</f>
        <v>359🤙🏼Persepolis🤙🏼Biography🤙🏼2</v>
      </c>
      <c r="K1077" s="5">
        <f>IFERROR(__xludf.DUMMYFUNCTION("SPLiT(J1077, ""🤙🏼"",FALSE,FALSE)"),359.0)</f>
        <v>359</v>
      </c>
      <c r="L1077" s="5" t="str">
        <f>IFERROR(__xludf.DUMMYFUNCTION("""COMPUTED_VALUE"""),"Persepolis")</f>
        <v>Persepolis</v>
      </c>
      <c r="M1077" s="5" t="str">
        <f>IFERROR(__xludf.DUMMYFUNCTION("""COMPUTED_VALUE"""),"Biography")</f>
        <v>Biography</v>
      </c>
      <c r="N1077" s="5">
        <f>IFERROR(__xludf.DUMMYFUNCTION("""COMPUTED_VALUE"""),2.0)</f>
        <v>2</v>
      </c>
      <c r="S1077" s="5">
        <f>IFERROR(__xludf.DUMMYFUNCTION("""COMPUTED_VALUE"""),431.0)</f>
        <v>431</v>
      </c>
      <c r="T1077" s="5" t="str">
        <f>IFERROR(__xludf.DUMMYFUNCTION("""COMPUTED_VALUE"""),"Doctor Zhivago")</f>
        <v>Doctor Zhivago</v>
      </c>
      <c r="U1077" s="5" t="str">
        <f>IFERROR(__xludf.DUMMYFUNCTION("""COMPUTED_VALUE"""),"Romance")</f>
        <v>Romance</v>
      </c>
      <c r="V1077" s="5">
        <f>IFERROR(__xludf.DUMMYFUNCTION("""COMPUTED_VALUE"""),2.0)</f>
        <v>2</v>
      </c>
    </row>
    <row r="1078">
      <c r="J1078" s="5" t="str">
        <f>IFERROR(__xludf.DUMMYFUNCTION("""COMPUTED_VALUE"""),"359🤙🏼Persepolis🤙🏼Drama🤙🏼3")</f>
        <v>359🤙🏼Persepolis🤙🏼Drama🤙🏼3</v>
      </c>
      <c r="K1078" s="5">
        <f>IFERROR(__xludf.DUMMYFUNCTION("SPLiT(J1078, ""🤙🏼"",FALSE,FALSE)"),359.0)</f>
        <v>359</v>
      </c>
      <c r="L1078" s="5" t="str">
        <f>IFERROR(__xludf.DUMMYFUNCTION("""COMPUTED_VALUE"""),"Persepolis")</f>
        <v>Persepolis</v>
      </c>
      <c r="M1078" s="5" t="str">
        <f>IFERROR(__xludf.DUMMYFUNCTION("""COMPUTED_VALUE"""),"Drama")</f>
        <v>Drama</v>
      </c>
      <c r="N1078" s="5">
        <f>IFERROR(__xludf.DUMMYFUNCTION("""COMPUTED_VALUE"""),3.0)</f>
        <v>3</v>
      </c>
      <c r="S1078" s="5">
        <f>IFERROR(__xludf.DUMMYFUNCTION("""COMPUTED_VALUE"""),431.0)</f>
        <v>431</v>
      </c>
      <c r="T1078" s="5" t="str">
        <f>IFERROR(__xludf.DUMMYFUNCTION("""COMPUTED_VALUE"""),"Doctor Zhivago")</f>
        <v>Doctor Zhivago</v>
      </c>
      <c r="U1078" s="5" t="str">
        <f>IFERROR(__xludf.DUMMYFUNCTION("""COMPUTED_VALUE"""),"War")</f>
        <v>War</v>
      </c>
      <c r="V1078" s="5">
        <f>IFERROR(__xludf.DUMMYFUNCTION("""COMPUTED_VALUE"""),3.0)</f>
        <v>3</v>
      </c>
    </row>
    <row r="1079">
      <c r="J1079" s="5" t="str">
        <f>IFERROR(__xludf.DUMMYFUNCTION("""COMPUTED_VALUE"""),"360🤙🏼Dallas Buyers Club🤙🏼Biography🤙🏼1")</f>
        <v>360🤙🏼Dallas Buyers Club🤙🏼Biography🤙🏼1</v>
      </c>
      <c r="K1079" s="5">
        <f>IFERROR(__xludf.DUMMYFUNCTION("SPLiT(J1079, ""🤙🏼"",FALSE,FALSE)"),360.0)</f>
        <v>360</v>
      </c>
      <c r="L1079" s="5" t="str">
        <f>IFERROR(__xludf.DUMMYFUNCTION("""COMPUTED_VALUE"""),"Dallas Buyers Club")</f>
        <v>Dallas Buyers Club</v>
      </c>
      <c r="M1079" s="5" t="str">
        <f>IFERROR(__xludf.DUMMYFUNCTION("""COMPUTED_VALUE"""),"Biography")</f>
        <v>Biography</v>
      </c>
      <c r="N1079" s="5">
        <f>IFERROR(__xludf.DUMMYFUNCTION("""COMPUTED_VALUE"""),1.0)</f>
        <v>1</v>
      </c>
      <c r="S1079" s="5">
        <f>IFERROR(__xludf.DUMMYFUNCTION("""COMPUTED_VALUE"""),432.0)</f>
        <v>432</v>
      </c>
      <c r="T1079" s="5" t="str">
        <f>IFERROR(__xludf.DUMMYFUNCTION("""COMPUTED_VALUE"""),"Per un pugno di dollari")</f>
        <v>Per un pugno di dollari</v>
      </c>
      <c r="U1079" s="5" t="str">
        <f>IFERROR(__xludf.DUMMYFUNCTION("""COMPUTED_VALUE"""),"Action")</f>
        <v>Action</v>
      </c>
      <c r="V1079" s="5">
        <f>IFERROR(__xludf.DUMMYFUNCTION("""COMPUTED_VALUE"""),1.0)</f>
        <v>1</v>
      </c>
    </row>
    <row r="1080">
      <c r="J1080" s="5" t="str">
        <f>IFERROR(__xludf.DUMMYFUNCTION("""COMPUTED_VALUE"""),"360🤙🏼Dallas Buyers Club🤙🏼Drama🤙🏼2")</f>
        <v>360🤙🏼Dallas Buyers Club🤙🏼Drama🤙🏼2</v>
      </c>
      <c r="K1080" s="5">
        <f>IFERROR(__xludf.DUMMYFUNCTION("SPLiT(J1080, ""🤙🏼"",FALSE,FALSE)"),360.0)</f>
        <v>360</v>
      </c>
      <c r="L1080" s="5" t="str">
        <f>IFERROR(__xludf.DUMMYFUNCTION("""COMPUTED_VALUE"""),"Dallas Buyers Club")</f>
        <v>Dallas Buyers Club</v>
      </c>
      <c r="M1080" s="5" t="str">
        <f>IFERROR(__xludf.DUMMYFUNCTION("""COMPUTED_VALUE"""),"Drama")</f>
        <v>Drama</v>
      </c>
      <c r="N1080" s="5">
        <f>IFERROR(__xludf.DUMMYFUNCTION("""COMPUTED_VALUE"""),2.0)</f>
        <v>2</v>
      </c>
      <c r="S1080" s="5">
        <f>IFERROR(__xludf.DUMMYFUNCTION("""COMPUTED_VALUE"""),432.0)</f>
        <v>432</v>
      </c>
      <c r="T1080" s="5" t="str">
        <f>IFERROR(__xludf.DUMMYFUNCTION("""COMPUTED_VALUE"""),"Per un pugno di dollari")</f>
        <v>Per un pugno di dollari</v>
      </c>
      <c r="U1080" s="5" t="str">
        <f>IFERROR(__xludf.DUMMYFUNCTION("""COMPUTED_VALUE"""),"Drama")</f>
        <v>Drama</v>
      </c>
      <c r="V1080" s="5">
        <f>IFERROR(__xludf.DUMMYFUNCTION("""COMPUTED_VALUE"""),2.0)</f>
        <v>2</v>
      </c>
    </row>
    <row r="1081">
      <c r="J1081" s="5" t="str">
        <f>IFERROR(__xludf.DUMMYFUNCTION("""COMPUTED_VALUE"""),"360🤙🏼Dallas Buyers Club🤙🏼🤙🏼3")</f>
        <v>360🤙🏼Dallas Buyers Club🤙🏼🤙🏼3</v>
      </c>
      <c r="K1081" s="5">
        <f>IFERROR(__xludf.DUMMYFUNCTION("SPLiT(J1081, ""🤙🏼"",FALSE,FALSE)"),360.0)</f>
        <v>360</v>
      </c>
      <c r="L1081" s="5" t="str">
        <f>IFERROR(__xludf.DUMMYFUNCTION("""COMPUTED_VALUE"""),"Dallas Buyers Club")</f>
        <v>Dallas Buyers Club</v>
      </c>
      <c r="M1081" s="5"/>
      <c r="N1081" s="5">
        <f>IFERROR(__xludf.DUMMYFUNCTION("""COMPUTED_VALUE"""),3.0)</f>
        <v>3</v>
      </c>
      <c r="S1081" s="5">
        <f>IFERROR(__xludf.DUMMYFUNCTION("""COMPUTED_VALUE"""),432.0)</f>
        <v>432</v>
      </c>
      <c r="T1081" s="5" t="str">
        <f>IFERROR(__xludf.DUMMYFUNCTION("""COMPUTED_VALUE"""),"Per un pugno di dollari")</f>
        <v>Per un pugno di dollari</v>
      </c>
      <c r="U1081" s="5" t="str">
        <f>IFERROR(__xludf.DUMMYFUNCTION("""COMPUTED_VALUE"""),"Western")</f>
        <v>Western</v>
      </c>
      <c r="V1081" s="5">
        <f>IFERROR(__xludf.DUMMYFUNCTION("""COMPUTED_VALUE"""),3.0)</f>
        <v>3</v>
      </c>
    </row>
    <row r="1082">
      <c r="J1082" s="5" t="str">
        <f>IFERROR(__xludf.DUMMYFUNCTION("""COMPUTED_VALUE"""),"361🤙🏼The Pursuit of Happyness🤙🏼Biography🤙🏼1")</f>
        <v>361🤙🏼The Pursuit of Happyness🤙🏼Biography🤙🏼1</v>
      </c>
      <c r="K1082" s="5">
        <f>IFERROR(__xludf.DUMMYFUNCTION("SPLiT(J1082, ""🤙🏼"",FALSE,FALSE)"),361.0)</f>
        <v>361</v>
      </c>
      <c r="L1082" s="5" t="str">
        <f>IFERROR(__xludf.DUMMYFUNCTION("""COMPUTED_VALUE"""),"The Pursuit of Happyness")</f>
        <v>The Pursuit of Happyness</v>
      </c>
      <c r="M1082" s="5" t="str">
        <f>IFERROR(__xludf.DUMMYFUNCTION("""COMPUTED_VALUE"""),"Biography")</f>
        <v>Biography</v>
      </c>
      <c r="N1082" s="5">
        <f>IFERROR(__xludf.DUMMYFUNCTION("""COMPUTED_VALUE"""),1.0)</f>
        <v>1</v>
      </c>
      <c r="S1082" s="5">
        <f>IFERROR(__xludf.DUMMYFUNCTION("""COMPUTED_VALUE"""),433.0)</f>
        <v>433</v>
      </c>
      <c r="T1082" s="5" t="str">
        <f>IFERROR(__xludf.DUMMYFUNCTION("""COMPUTED_VALUE"""),"8½")</f>
        <v>8½</v>
      </c>
      <c r="U1082" s="5" t="str">
        <f>IFERROR(__xludf.DUMMYFUNCTION("""COMPUTED_VALUE"""),"Drama")</f>
        <v>Drama</v>
      </c>
      <c r="V1082" s="5">
        <f>IFERROR(__xludf.DUMMYFUNCTION("""COMPUTED_VALUE"""),1.0)</f>
        <v>1</v>
      </c>
    </row>
    <row r="1083">
      <c r="J1083" s="5" t="str">
        <f>IFERROR(__xludf.DUMMYFUNCTION("""COMPUTED_VALUE"""),"361🤙🏼The Pursuit of Happyness🤙🏼Drama🤙🏼2")</f>
        <v>361🤙🏼The Pursuit of Happyness🤙🏼Drama🤙🏼2</v>
      </c>
      <c r="K1083" s="5">
        <f>IFERROR(__xludf.DUMMYFUNCTION("SPLiT(J1083, ""🤙🏼"",FALSE,FALSE)"),361.0)</f>
        <v>361</v>
      </c>
      <c r="L1083" s="5" t="str">
        <f>IFERROR(__xludf.DUMMYFUNCTION("""COMPUTED_VALUE"""),"The Pursuit of Happyness")</f>
        <v>The Pursuit of Happyness</v>
      </c>
      <c r="M1083" s="5" t="str">
        <f>IFERROR(__xludf.DUMMYFUNCTION("""COMPUTED_VALUE"""),"Drama")</f>
        <v>Drama</v>
      </c>
      <c r="N1083" s="5">
        <f>IFERROR(__xludf.DUMMYFUNCTION("""COMPUTED_VALUE"""),2.0)</f>
        <v>2</v>
      </c>
      <c r="S1083" s="5">
        <f>IFERROR(__xludf.DUMMYFUNCTION("""COMPUTED_VALUE"""),434.0)</f>
        <v>434</v>
      </c>
      <c r="T1083" s="5" t="str">
        <f>IFERROR(__xludf.DUMMYFUNCTION("""COMPUTED_VALUE"""),"Vivre sa vie: Film en douze tableaux")</f>
        <v>Vivre sa vie: Film en douze tableaux</v>
      </c>
      <c r="U1083" s="5" t="str">
        <f>IFERROR(__xludf.DUMMYFUNCTION("""COMPUTED_VALUE"""),"Drama")</f>
        <v>Drama</v>
      </c>
      <c r="V1083" s="5">
        <f>IFERROR(__xludf.DUMMYFUNCTION("""COMPUTED_VALUE"""),1.0)</f>
        <v>1</v>
      </c>
    </row>
    <row r="1084">
      <c r="J1084" s="5" t="str">
        <f>IFERROR(__xludf.DUMMYFUNCTION("""COMPUTED_VALUE"""),"361🤙🏼The Pursuit of Happyness🤙🏼🤙🏼3")</f>
        <v>361🤙🏼The Pursuit of Happyness🤙🏼🤙🏼3</v>
      </c>
      <c r="K1084" s="5">
        <f>IFERROR(__xludf.DUMMYFUNCTION("SPLiT(J1084, ""🤙🏼"",FALSE,FALSE)"),361.0)</f>
        <v>361</v>
      </c>
      <c r="L1084" s="5" t="str">
        <f>IFERROR(__xludf.DUMMYFUNCTION("""COMPUTED_VALUE"""),"The Pursuit of Happyness")</f>
        <v>The Pursuit of Happyness</v>
      </c>
      <c r="M1084" s="5"/>
      <c r="N1084" s="5">
        <f>IFERROR(__xludf.DUMMYFUNCTION("""COMPUTED_VALUE"""),3.0)</f>
        <v>3</v>
      </c>
      <c r="S1084" s="5">
        <f>IFERROR(__xludf.DUMMYFUNCTION("""COMPUTED_VALUE"""),435.0)</f>
        <v>435</v>
      </c>
      <c r="T1084" s="5" t="str">
        <f>IFERROR(__xludf.DUMMYFUNCTION("""COMPUTED_VALUE"""),"The Hustler")</f>
        <v>The Hustler</v>
      </c>
      <c r="U1084" s="5" t="str">
        <f>IFERROR(__xludf.DUMMYFUNCTION("""COMPUTED_VALUE"""),"Drama")</f>
        <v>Drama</v>
      </c>
      <c r="V1084" s="5">
        <f>IFERROR(__xludf.DUMMYFUNCTION("""COMPUTED_VALUE"""),1.0)</f>
        <v>1</v>
      </c>
    </row>
    <row r="1085">
      <c r="J1085" s="5" t="str">
        <f>IFERROR(__xludf.DUMMYFUNCTION("""COMPUTED_VALUE"""),"362🤙🏼Blood Diamond🤙🏼Adventure🤙🏼1")</f>
        <v>362🤙🏼Blood Diamond🤙🏼Adventure🤙🏼1</v>
      </c>
      <c r="K1085" s="5">
        <f>IFERROR(__xludf.DUMMYFUNCTION("SPLiT(J1085, ""🤙🏼"",FALSE,FALSE)"),362.0)</f>
        <v>362</v>
      </c>
      <c r="L1085" s="5" t="str">
        <f>IFERROR(__xludf.DUMMYFUNCTION("""COMPUTED_VALUE"""),"Blood Diamond")</f>
        <v>Blood Diamond</v>
      </c>
      <c r="M1085" s="5" t="str">
        <f>IFERROR(__xludf.DUMMYFUNCTION("""COMPUTED_VALUE"""),"Adventure")</f>
        <v>Adventure</v>
      </c>
      <c r="N1085" s="5">
        <f>IFERROR(__xludf.DUMMYFUNCTION("""COMPUTED_VALUE"""),1.0)</f>
        <v>1</v>
      </c>
      <c r="S1085" s="5">
        <f>IFERROR(__xludf.DUMMYFUNCTION("""COMPUTED_VALUE"""),435.0)</f>
        <v>435</v>
      </c>
      <c r="T1085" s="5" t="str">
        <f>IFERROR(__xludf.DUMMYFUNCTION("""COMPUTED_VALUE"""),"The Hustler")</f>
        <v>The Hustler</v>
      </c>
      <c r="U1085" s="5" t="str">
        <f>IFERROR(__xludf.DUMMYFUNCTION("""COMPUTED_VALUE"""),"Sport")</f>
        <v>Sport</v>
      </c>
      <c r="V1085" s="5">
        <f>IFERROR(__xludf.DUMMYFUNCTION("""COMPUTED_VALUE"""),2.0)</f>
        <v>2</v>
      </c>
    </row>
    <row r="1086">
      <c r="J1086" s="5" t="str">
        <f>IFERROR(__xludf.DUMMYFUNCTION("""COMPUTED_VALUE"""),"362🤙🏼Blood Diamond🤙🏼Drama🤙🏼2")</f>
        <v>362🤙🏼Blood Diamond🤙🏼Drama🤙🏼2</v>
      </c>
      <c r="K1086" s="5">
        <f>IFERROR(__xludf.DUMMYFUNCTION("SPLiT(J1086, ""🤙🏼"",FALSE,FALSE)"),362.0)</f>
        <v>362</v>
      </c>
      <c r="L1086" s="5" t="str">
        <f>IFERROR(__xludf.DUMMYFUNCTION("""COMPUTED_VALUE"""),"Blood Diamond")</f>
        <v>Blood Diamond</v>
      </c>
      <c r="M1086" s="5" t="str">
        <f>IFERROR(__xludf.DUMMYFUNCTION("""COMPUTED_VALUE"""),"Drama")</f>
        <v>Drama</v>
      </c>
      <c r="N1086" s="5">
        <f>IFERROR(__xludf.DUMMYFUNCTION("""COMPUTED_VALUE"""),2.0)</f>
        <v>2</v>
      </c>
      <c r="S1086" s="5">
        <f>IFERROR(__xludf.DUMMYFUNCTION("""COMPUTED_VALUE"""),436.0)</f>
        <v>436</v>
      </c>
      <c r="T1086" s="5" t="str">
        <f>IFERROR(__xludf.DUMMYFUNCTION("""COMPUTED_VALUE"""),"La dolce vita")</f>
        <v>La dolce vita</v>
      </c>
      <c r="U1086" s="5" t="str">
        <f>IFERROR(__xludf.DUMMYFUNCTION("""COMPUTED_VALUE"""),"Comedy")</f>
        <v>Comedy</v>
      </c>
      <c r="V1086" s="5">
        <f>IFERROR(__xludf.DUMMYFUNCTION("""COMPUTED_VALUE"""),1.0)</f>
        <v>1</v>
      </c>
    </row>
    <row r="1087">
      <c r="J1087" s="5" t="str">
        <f>IFERROR(__xludf.DUMMYFUNCTION("""COMPUTED_VALUE"""),"362🤙🏼Blood Diamond🤙🏼Thriller🤙🏼3")</f>
        <v>362🤙🏼Blood Diamond🤙🏼Thriller🤙🏼3</v>
      </c>
      <c r="K1087" s="5">
        <f>IFERROR(__xludf.DUMMYFUNCTION("SPLiT(J1087, ""🤙🏼"",FALSE,FALSE)"),362.0)</f>
        <v>362</v>
      </c>
      <c r="L1087" s="5" t="str">
        <f>IFERROR(__xludf.DUMMYFUNCTION("""COMPUTED_VALUE"""),"Blood Diamond")</f>
        <v>Blood Diamond</v>
      </c>
      <c r="M1087" s="5" t="str">
        <f>IFERROR(__xludf.DUMMYFUNCTION("""COMPUTED_VALUE"""),"Thriller")</f>
        <v>Thriller</v>
      </c>
      <c r="N1087" s="5">
        <f>IFERROR(__xludf.DUMMYFUNCTION("""COMPUTED_VALUE"""),3.0)</f>
        <v>3</v>
      </c>
      <c r="S1087" s="5">
        <f>IFERROR(__xludf.DUMMYFUNCTION("""COMPUTED_VALUE"""),436.0)</f>
        <v>436</v>
      </c>
      <c r="T1087" s="5" t="str">
        <f>IFERROR(__xludf.DUMMYFUNCTION("""COMPUTED_VALUE"""),"La dolce vita")</f>
        <v>La dolce vita</v>
      </c>
      <c r="U1087" s="5" t="str">
        <f>IFERROR(__xludf.DUMMYFUNCTION("""COMPUTED_VALUE"""),"Drama")</f>
        <v>Drama</v>
      </c>
      <c r="V1087" s="5">
        <f>IFERROR(__xludf.DUMMYFUNCTION("""COMPUTED_VALUE"""),2.0)</f>
        <v>2</v>
      </c>
    </row>
    <row r="1088">
      <c r="J1088" s="5" t="str">
        <f>IFERROR(__xludf.DUMMYFUNCTION("""COMPUTED_VALUE"""),"363🤙🏼The Bourne Ultimatum🤙🏼Action🤙🏼1")</f>
        <v>363🤙🏼The Bourne Ultimatum🤙🏼Action🤙🏼1</v>
      </c>
      <c r="K1088" s="5">
        <f>IFERROR(__xludf.DUMMYFUNCTION("SPLiT(J1088, ""🤙🏼"",FALSE,FALSE)"),363.0)</f>
        <v>363</v>
      </c>
      <c r="L1088" s="5" t="str">
        <f>IFERROR(__xludf.DUMMYFUNCTION("""COMPUTED_VALUE"""),"The Bourne Ultimatum")</f>
        <v>The Bourne Ultimatum</v>
      </c>
      <c r="M1088" s="5" t="str">
        <f>IFERROR(__xludf.DUMMYFUNCTION("""COMPUTED_VALUE"""),"Action")</f>
        <v>Action</v>
      </c>
      <c r="N1088" s="5">
        <f>IFERROR(__xludf.DUMMYFUNCTION("""COMPUTED_VALUE"""),1.0)</f>
        <v>1</v>
      </c>
      <c r="S1088" s="5">
        <f>IFERROR(__xludf.DUMMYFUNCTION("""COMPUTED_VALUE"""),437.0)</f>
        <v>437</v>
      </c>
      <c r="T1088" s="5" t="str">
        <f>IFERROR(__xludf.DUMMYFUNCTION("""COMPUTED_VALUE"""),"Rio Bravo")</f>
        <v>Rio Bravo</v>
      </c>
      <c r="U1088" s="5" t="str">
        <f>IFERROR(__xludf.DUMMYFUNCTION("""COMPUTED_VALUE"""),"Action")</f>
        <v>Action</v>
      </c>
      <c r="V1088" s="5">
        <f>IFERROR(__xludf.DUMMYFUNCTION("""COMPUTED_VALUE"""),1.0)</f>
        <v>1</v>
      </c>
    </row>
    <row r="1089">
      <c r="J1089" s="5" t="str">
        <f>IFERROR(__xludf.DUMMYFUNCTION("""COMPUTED_VALUE"""),"363🤙🏼The Bourne Ultimatum🤙🏼Mystery🤙🏼2")</f>
        <v>363🤙🏼The Bourne Ultimatum🤙🏼Mystery🤙🏼2</v>
      </c>
      <c r="K1089" s="5">
        <f>IFERROR(__xludf.DUMMYFUNCTION("SPLiT(J1089, ""🤙🏼"",FALSE,FALSE)"),363.0)</f>
        <v>363</v>
      </c>
      <c r="L1089" s="5" t="str">
        <f>IFERROR(__xludf.DUMMYFUNCTION("""COMPUTED_VALUE"""),"The Bourne Ultimatum")</f>
        <v>The Bourne Ultimatum</v>
      </c>
      <c r="M1089" s="5" t="str">
        <f>IFERROR(__xludf.DUMMYFUNCTION("""COMPUTED_VALUE"""),"Mystery")</f>
        <v>Mystery</v>
      </c>
      <c r="N1089" s="5">
        <f>IFERROR(__xludf.DUMMYFUNCTION("""COMPUTED_VALUE"""),2.0)</f>
        <v>2</v>
      </c>
      <c r="S1089" s="5">
        <f>IFERROR(__xludf.DUMMYFUNCTION("""COMPUTED_VALUE"""),437.0)</f>
        <v>437</v>
      </c>
      <c r="T1089" s="5" t="str">
        <f>IFERROR(__xludf.DUMMYFUNCTION("""COMPUTED_VALUE"""),"Rio Bravo")</f>
        <v>Rio Bravo</v>
      </c>
      <c r="U1089" s="5" t="str">
        <f>IFERROR(__xludf.DUMMYFUNCTION("""COMPUTED_VALUE"""),"Drama")</f>
        <v>Drama</v>
      </c>
      <c r="V1089" s="5">
        <f>IFERROR(__xludf.DUMMYFUNCTION("""COMPUTED_VALUE"""),2.0)</f>
        <v>2</v>
      </c>
    </row>
    <row r="1090">
      <c r="J1090" s="5" t="str">
        <f>IFERROR(__xludf.DUMMYFUNCTION("""COMPUTED_VALUE"""),"363🤙🏼The Bourne Ultimatum🤙🏼Thriller🤙🏼3")</f>
        <v>363🤙🏼The Bourne Ultimatum🤙🏼Thriller🤙🏼3</v>
      </c>
      <c r="K1090" s="5">
        <f>IFERROR(__xludf.DUMMYFUNCTION("SPLiT(J1090, ""🤙🏼"",FALSE,FALSE)"),363.0)</f>
        <v>363</v>
      </c>
      <c r="L1090" s="5" t="str">
        <f>IFERROR(__xludf.DUMMYFUNCTION("""COMPUTED_VALUE"""),"The Bourne Ultimatum")</f>
        <v>The Bourne Ultimatum</v>
      </c>
      <c r="M1090" s="5" t="str">
        <f>IFERROR(__xludf.DUMMYFUNCTION("""COMPUTED_VALUE"""),"Thriller")</f>
        <v>Thriller</v>
      </c>
      <c r="N1090" s="5">
        <f>IFERROR(__xludf.DUMMYFUNCTION("""COMPUTED_VALUE"""),3.0)</f>
        <v>3</v>
      </c>
      <c r="S1090" s="5">
        <f>IFERROR(__xludf.DUMMYFUNCTION("""COMPUTED_VALUE"""),437.0)</f>
        <v>437</v>
      </c>
      <c r="T1090" s="5" t="str">
        <f>IFERROR(__xludf.DUMMYFUNCTION("""COMPUTED_VALUE"""),"Rio Bravo")</f>
        <v>Rio Bravo</v>
      </c>
      <c r="U1090" s="5" t="str">
        <f>IFERROR(__xludf.DUMMYFUNCTION("""COMPUTED_VALUE"""),"Western")</f>
        <v>Western</v>
      </c>
      <c r="V1090" s="5">
        <f>IFERROR(__xludf.DUMMYFUNCTION("""COMPUTED_VALUE"""),3.0)</f>
        <v>3</v>
      </c>
    </row>
    <row r="1091">
      <c r="J1091" s="5" t="str">
        <f>IFERROR(__xludf.DUMMYFUNCTION("""COMPUTED_VALUE"""),"364🤙🏼Bin-jip🤙🏼Crime🤙🏼1")</f>
        <v>364🤙🏼Bin-jip🤙🏼Crime🤙🏼1</v>
      </c>
      <c r="K1091" s="5">
        <f>IFERROR(__xludf.DUMMYFUNCTION("SPLiT(J1091, ""🤙🏼"",FALSE,FALSE)"),364.0)</f>
        <v>364</v>
      </c>
      <c r="L1091" s="5" t="str">
        <f>IFERROR(__xludf.DUMMYFUNCTION("""COMPUTED_VALUE"""),"Bin-jip")</f>
        <v>Bin-jip</v>
      </c>
      <c r="M1091" s="5" t="str">
        <f>IFERROR(__xludf.DUMMYFUNCTION("""COMPUTED_VALUE"""),"Crime")</f>
        <v>Crime</v>
      </c>
      <c r="N1091" s="5">
        <f>IFERROR(__xludf.DUMMYFUNCTION("""COMPUTED_VALUE"""),1.0)</f>
        <v>1</v>
      </c>
      <c r="S1091" s="5">
        <f>IFERROR(__xludf.DUMMYFUNCTION("""COMPUTED_VALUE"""),438.0)</f>
        <v>438</v>
      </c>
      <c r="T1091" s="5" t="str">
        <f>IFERROR(__xludf.DUMMYFUNCTION("""COMPUTED_VALUE"""),"Anatomy of a Murder")</f>
        <v>Anatomy of a Murder</v>
      </c>
      <c r="U1091" s="5" t="str">
        <f>IFERROR(__xludf.DUMMYFUNCTION("""COMPUTED_VALUE"""),"Crime")</f>
        <v>Crime</v>
      </c>
      <c r="V1091" s="5">
        <f>IFERROR(__xludf.DUMMYFUNCTION("""COMPUTED_VALUE"""),1.0)</f>
        <v>1</v>
      </c>
    </row>
    <row r="1092">
      <c r="J1092" s="5" t="str">
        <f>IFERROR(__xludf.DUMMYFUNCTION("""COMPUTED_VALUE"""),"364🤙🏼Bin-jip🤙🏼Drama🤙🏼2")</f>
        <v>364🤙🏼Bin-jip🤙🏼Drama🤙🏼2</v>
      </c>
      <c r="K1092" s="5">
        <f>IFERROR(__xludf.DUMMYFUNCTION("SPLiT(J1092, ""🤙🏼"",FALSE,FALSE)"),364.0)</f>
        <v>364</v>
      </c>
      <c r="L1092" s="5" t="str">
        <f>IFERROR(__xludf.DUMMYFUNCTION("""COMPUTED_VALUE"""),"Bin-jip")</f>
        <v>Bin-jip</v>
      </c>
      <c r="M1092" s="5" t="str">
        <f>IFERROR(__xludf.DUMMYFUNCTION("""COMPUTED_VALUE"""),"Drama")</f>
        <v>Drama</v>
      </c>
      <c r="N1092" s="5">
        <f>IFERROR(__xludf.DUMMYFUNCTION("""COMPUTED_VALUE"""),2.0)</f>
        <v>2</v>
      </c>
      <c r="S1092" s="5">
        <f>IFERROR(__xludf.DUMMYFUNCTION("""COMPUTED_VALUE"""),438.0)</f>
        <v>438</v>
      </c>
      <c r="T1092" s="5" t="str">
        <f>IFERROR(__xludf.DUMMYFUNCTION("""COMPUTED_VALUE"""),"Anatomy of a Murder")</f>
        <v>Anatomy of a Murder</v>
      </c>
      <c r="U1092" s="5" t="str">
        <f>IFERROR(__xludf.DUMMYFUNCTION("""COMPUTED_VALUE"""),"Drama")</f>
        <v>Drama</v>
      </c>
      <c r="V1092" s="5">
        <f>IFERROR(__xludf.DUMMYFUNCTION("""COMPUTED_VALUE"""),2.0)</f>
        <v>2</v>
      </c>
    </row>
    <row r="1093">
      <c r="J1093" s="5" t="str">
        <f>IFERROR(__xludf.DUMMYFUNCTION("""COMPUTED_VALUE"""),"364🤙🏼Bin-jip🤙🏼Romance🤙🏼3")</f>
        <v>364🤙🏼Bin-jip🤙🏼Romance🤙🏼3</v>
      </c>
      <c r="K1093" s="5">
        <f>IFERROR(__xludf.DUMMYFUNCTION("SPLiT(J1093, ""🤙🏼"",FALSE,FALSE)"),364.0)</f>
        <v>364</v>
      </c>
      <c r="L1093" s="5" t="str">
        <f>IFERROR(__xludf.DUMMYFUNCTION("""COMPUTED_VALUE"""),"Bin-jip")</f>
        <v>Bin-jip</v>
      </c>
      <c r="M1093" s="5" t="str">
        <f>IFERROR(__xludf.DUMMYFUNCTION("""COMPUTED_VALUE"""),"Romance")</f>
        <v>Romance</v>
      </c>
      <c r="N1093" s="5">
        <f>IFERROR(__xludf.DUMMYFUNCTION("""COMPUTED_VALUE"""),3.0)</f>
        <v>3</v>
      </c>
      <c r="S1093" s="5">
        <f>IFERROR(__xludf.DUMMYFUNCTION("""COMPUTED_VALUE"""),438.0)</f>
        <v>438</v>
      </c>
      <c r="T1093" s="5" t="str">
        <f>IFERROR(__xludf.DUMMYFUNCTION("""COMPUTED_VALUE"""),"Anatomy of a Murder")</f>
        <v>Anatomy of a Murder</v>
      </c>
      <c r="U1093" s="5" t="str">
        <f>IFERROR(__xludf.DUMMYFUNCTION("""COMPUTED_VALUE"""),"Mystery")</f>
        <v>Mystery</v>
      </c>
      <c r="V1093" s="5">
        <f>IFERROR(__xludf.DUMMYFUNCTION("""COMPUTED_VALUE"""),3.0)</f>
        <v>3</v>
      </c>
    </row>
    <row r="1094">
      <c r="J1094" s="5" t="str">
        <f>IFERROR(__xludf.DUMMYFUNCTION("""COMPUTED_VALUE"""),"365🤙🏼Sin City🤙🏼Crime🤙🏼1")</f>
        <v>365🤙🏼Sin City🤙🏼Crime🤙🏼1</v>
      </c>
      <c r="K1094" s="5">
        <f>IFERROR(__xludf.DUMMYFUNCTION("SPLiT(J1094, ""🤙🏼"",FALSE,FALSE)"),365.0)</f>
        <v>365</v>
      </c>
      <c r="L1094" s="5" t="str">
        <f>IFERROR(__xludf.DUMMYFUNCTION("""COMPUTED_VALUE"""),"Sin City")</f>
        <v>Sin City</v>
      </c>
      <c r="M1094" s="5" t="str">
        <f>IFERROR(__xludf.DUMMYFUNCTION("""COMPUTED_VALUE"""),"Crime")</f>
        <v>Crime</v>
      </c>
      <c r="N1094" s="5">
        <f>IFERROR(__xludf.DUMMYFUNCTION("""COMPUTED_VALUE"""),1.0)</f>
        <v>1</v>
      </c>
      <c r="S1094" s="5">
        <f>IFERROR(__xludf.DUMMYFUNCTION("""COMPUTED_VALUE"""),439.0)</f>
        <v>439</v>
      </c>
      <c r="T1094" s="5" t="str">
        <f>IFERROR(__xludf.DUMMYFUNCTION("""COMPUTED_VALUE"""),"Touch of Evil")</f>
        <v>Touch of Evil</v>
      </c>
      <c r="U1094" s="5" t="str">
        <f>IFERROR(__xludf.DUMMYFUNCTION("""COMPUTED_VALUE"""),"Crime")</f>
        <v>Crime</v>
      </c>
      <c r="V1094" s="5">
        <f>IFERROR(__xludf.DUMMYFUNCTION("""COMPUTED_VALUE"""),1.0)</f>
        <v>1</v>
      </c>
    </row>
    <row r="1095">
      <c r="J1095" s="5" t="str">
        <f>IFERROR(__xludf.DUMMYFUNCTION("""COMPUTED_VALUE"""),"365🤙🏼Sin City🤙🏼Thriller🤙🏼2")</f>
        <v>365🤙🏼Sin City🤙🏼Thriller🤙🏼2</v>
      </c>
      <c r="K1095" s="5">
        <f>IFERROR(__xludf.DUMMYFUNCTION("SPLiT(J1095, ""🤙🏼"",FALSE,FALSE)"),365.0)</f>
        <v>365</v>
      </c>
      <c r="L1095" s="5" t="str">
        <f>IFERROR(__xludf.DUMMYFUNCTION("""COMPUTED_VALUE"""),"Sin City")</f>
        <v>Sin City</v>
      </c>
      <c r="M1095" s="5" t="str">
        <f>IFERROR(__xludf.DUMMYFUNCTION("""COMPUTED_VALUE"""),"Thriller")</f>
        <v>Thriller</v>
      </c>
      <c r="N1095" s="5">
        <f>IFERROR(__xludf.DUMMYFUNCTION("""COMPUTED_VALUE"""),2.0)</f>
        <v>2</v>
      </c>
      <c r="S1095" s="5">
        <f>IFERROR(__xludf.DUMMYFUNCTION("""COMPUTED_VALUE"""),439.0)</f>
        <v>439</v>
      </c>
      <c r="T1095" s="5" t="str">
        <f>IFERROR(__xludf.DUMMYFUNCTION("""COMPUTED_VALUE"""),"Touch of Evil")</f>
        <v>Touch of Evil</v>
      </c>
      <c r="U1095" s="5" t="str">
        <f>IFERROR(__xludf.DUMMYFUNCTION("""COMPUTED_VALUE"""),"Drama")</f>
        <v>Drama</v>
      </c>
      <c r="V1095" s="5">
        <f>IFERROR(__xludf.DUMMYFUNCTION("""COMPUTED_VALUE"""),2.0)</f>
        <v>2</v>
      </c>
    </row>
    <row r="1096">
      <c r="J1096" s="5" t="str">
        <f>IFERROR(__xludf.DUMMYFUNCTION("""COMPUTED_VALUE"""),"365🤙🏼Sin City🤙🏼🤙🏼3")</f>
        <v>365🤙🏼Sin City🤙🏼🤙🏼3</v>
      </c>
      <c r="K1096" s="5">
        <f>IFERROR(__xludf.DUMMYFUNCTION("SPLiT(J1096, ""🤙🏼"",FALSE,FALSE)"),365.0)</f>
        <v>365</v>
      </c>
      <c r="L1096" s="5" t="str">
        <f>IFERROR(__xludf.DUMMYFUNCTION("""COMPUTED_VALUE"""),"Sin City")</f>
        <v>Sin City</v>
      </c>
      <c r="M1096" s="5"/>
      <c r="N1096" s="5">
        <f>IFERROR(__xludf.DUMMYFUNCTION("""COMPUTED_VALUE"""),3.0)</f>
        <v>3</v>
      </c>
      <c r="S1096" s="5">
        <f>IFERROR(__xludf.DUMMYFUNCTION("""COMPUTED_VALUE"""),439.0)</f>
        <v>439</v>
      </c>
      <c r="T1096" s="5" t="str">
        <f>IFERROR(__xludf.DUMMYFUNCTION("""COMPUTED_VALUE"""),"Touch of Evil")</f>
        <v>Touch of Evil</v>
      </c>
      <c r="U1096" s="5" t="str">
        <f>IFERROR(__xludf.DUMMYFUNCTION("""COMPUTED_VALUE"""),"Film-Noir")</f>
        <v>Film-Noir</v>
      </c>
      <c r="V1096" s="5">
        <f>IFERROR(__xludf.DUMMYFUNCTION("""COMPUTED_VALUE"""),3.0)</f>
        <v>3</v>
      </c>
    </row>
    <row r="1097">
      <c r="J1097" s="5" t="str">
        <f>IFERROR(__xludf.DUMMYFUNCTION("""COMPUTED_VALUE"""),"366🤙🏼Le scaphandre et le papillon🤙🏼Biography🤙🏼1")</f>
        <v>366🤙🏼Le scaphandre et le papillon🤙🏼Biography🤙🏼1</v>
      </c>
      <c r="K1097" s="5">
        <f>IFERROR(__xludf.DUMMYFUNCTION("SPLiT(J1097, ""🤙🏼"",FALSE,FALSE)"),366.0)</f>
        <v>366</v>
      </c>
      <c r="L1097" s="5" t="str">
        <f>IFERROR(__xludf.DUMMYFUNCTION("""COMPUTED_VALUE"""),"Le scaphandre et le papillon")</f>
        <v>Le scaphandre et le papillon</v>
      </c>
      <c r="M1097" s="5" t="str">
        <f>IFERROR(__xludf.DUMMYFUNCTION("""COMPUTED_VALUE"""),"Biography")</f>
        <v>Biography</v>
      </c>
      <c r="N1097" s="5">
        <f>IFERROR(__xludf.DUMMYFUNCTION("""COMPUTED_VALUE"""),1.0)</f>
        <v>1</v>
      </c>
      <c r="S1097" s="5">
        <f>IFERROR(__xludf.DUMMYFUNCTION("""COMPUTED_VALUE"""),440.0)</f>
        <v>440</v>
      </c>
      <c r="T1097" s="5" t="str">
        <f>IFERROR(__xludf.DUMMYFUNCTION("""COMPUTED_VALUE"""),"Cat on a Hot Tin Roof")</f>
        <v>Cat on a Hot Tin Roof</v>
      </c>
      <c r="U1097" s="5" t="str">
        <f>IFERROR(__xludf.DUMMYFUNCTION("""COMPUTED_VALUE"""),"Drama")</f>
        <v>Drama</v>
      </c>
      <c r="V1097" s="5">
        <f>IFERROR(__xludf.DUMMYFUNCTION("""COMPUTED_VALUE"""),1.0)</f>
        <v>1</v>
      </c>
    </row>
    <row r="1098">
      <c r="J1098" s="5" t="str">
        <f>IFERROR(__xludf.DUMMYFUNCTION("""COMPUTED_VALUE"""),"366🤙🏼Le scaphandre et le papillon🤙🏼Drama🤙🏼2")</f>
        <v>366🤙🏼Le scaphandre et le papillon🤙🏼Drama🤙🏼2</v>
      </c>
      <c r="K1098" s="5">
        <f>IFERROR(__xludf.DUMMYFUNCTION("SPLiT(J1098, ""🤙🏼"",FALSE,FALSE)"),366.0)</f>
        <v>366</v>
      </c>
      <c r="L1098" s="5" t="str">
        <f>IFERROR(__xludf.DUMMYFUNCTION("""COMPUTED_VALUE"""),"Le scaphandre et le papillon")</f>
        <v>Le scaphandre et le papillon</v>
      </c>
      <c r="M1098" s="5" t="str">
        <f>IFERROR(__xludf.DUMMYFUNCTION("""COMPUTED_VALUE"""),"Drama")</f>
        <v>Drama</v>
      </c>
      <c r="N1098" s="5">
        <f>IFERROR(__xludf.DUMMYFUNCTION("""COMPUTED_VALUE"""),2.0)</f>
        <v>2</v>
      </c>
      <c r="S1098" s="5">
        <f>IFERROR(__xludf.DUMMYFUNCTION("""COMPUTED_VALUE"""),441.0)</f>
        <v>441</v>
      </c>
      <c r="T1098" s="5" t="str">
        <f>IFERROR(__xludf.DUMMYFUNCTION("""COMPUTED_VALUE"""),"Sweet Smell of Success")</f>
        <v>Sweet Smell of Success</v>
      </c>
      <c r="U1098" s="5" t="str">
        <f>IFERROR(__xludf.DUMMYFUNCTION("""COMPUTED_VALUE"""),"Drama")</f>
        <v>Drama</v>
      </c>
      <c r="V1098" s="5">
        <f>IFERROR(__xludf.DUMMYFUNCTION("""COMPUTED_VALUE"""),1.0)</f>
        <v>1</v>
      </c>
    </row>
    <row r="1099">
      <c r="J1099" s="5" t="str">
        <f>IFERROR(__xludf.DUMMYFUNCTION("""COMPUTED_VALUE"""),"366🤙🏼Le scaphandre et le papillon🤙🏼🤙🏼3")</f>
        <v>366🤙🏼Le scaphandre et le papillon🤙🏼🤙🏼3</v>
      </c>
      <c r="K1099" s="5">
        <f>IFERROR(__xludf.DUMMYFUNCTION("SPLiT(J1099, ""🤙🏼"",FALSE,FALSE)"),366.0)</f>
        <v>366</v>
      </c>
      <c r="L1099" s="5" t="str">
        <f>IFERROR(__xludf.DUMMYFUNCTION("""COMPUTED_VALUE"""),"Le scaphandre et le papillon")</f>
        <v>Le scaphandre et le papillon</v>
      </c>
      <c r="M1099" s="5"/>
      <c r="N1099" s="5">
        <f>IFERROR(__xludf.DUMMYFUNCTION("""COMPUTED_VALUE"""),3.0)</f>
        <v>3</v>
      </c>
      <c r="S1099" s="5">
        <f>IFERROR(__xludf.DUMMYFUNCTION("""COMPUTED_VALUE"""),441.0)</f>
        <v>441</v>
      </c>
      <c r="T1099" s="5" t="str">
        <f>IFERROR(__xludf.DUMMYFUNCTION("""COMPUTED_VALUE"""),"Sweet Smell of Success")</f>
        <v>Sweet Smell of Success</v>
      </c>
      <c r="U1099" s="5" t="str">
        <f>IFERROR(__xludf.DUMMYFUNCTION("""COMPUTED_VALUE"""),"Film-Noir")</f>
        <v>Film-Noir</v>
      </c>
      <c r="V1099" s="5">
        <f>IFERROR(__xludf.DUMMYFUNCTION("""COMPUTED_VALUE"""),2.0)</f>
        <v>2</v>
      </c>
    </row>
    <row r="1100">
      <c r="J1100" s="5" t="str">
        <f>IFERROR(__xludf.DUMMYFUNCTION("""COMPUTED_VALUE"""),"367🤙🏼G.O.R.A.🤙🏼Adventure🤙🏼1")</f>
        <v>367🤙🏼G.O.R.A.🤙🏼Adventure🤙🏼1</v>
      </c>
      <c r="K1100" s="5">
        <f>IFERROR(__xludf.DUMMYFUNCTION("SPLiT(J1100, ""🤙🏼"",FALSE,FALSE)"),367.0)</f>
        <v>367</v>
      </c>
      <c r="L1100" s="5" t="str">
        <f>IFERROR(__xludf.DUMMYFUNCTION("""COMPUTED_VALUE"""),"G.O.R.A.")</f>
        <v>G.O.R.A.</v>
      </c>
      <c r="M1100" s="5" t="str">
        <f>IFERROR(__xludf.DUMMYFUNCTION("""COMPUTED_VALUE"""),"Adventure")</f>
        <v>Adventure</v>
      </c>
      <c r="N1100" s="5">
        <f>IFERROR(__xludf.DUMMYFUNCTION("""COMPUTED_VALUE"""),1.0)</f>
        <v>1</v>
      </c>
      <c r="S1100" s="5">
        <f>IFERROR(__xludf.DUMMYFUNCTION("""COMPUTED_VALUE"""),442.0)</f>
        <v>442</v>
      </c>
      <c r="T1100" s="5" t="str">
        <f>IFERROR(__xludf.DUMMYFUNCTION("""COMPUTED_VALUE"""),"The Killing")</f>
        <v>The Killing</v>
      </c>
      <c r="U1100" s="5" t="str">
        <f>IFERROR(__xludf.DUMMYFUNCTION("""COMPUTED_VALUE"""),"Crime")</f>
        <v>Crime</v>
      </c>
      <c r="V1100" s="5">
        <f>IFERROR(__xludf.DUMMYFUNCTION("""COMPUTED_VALUE"""),1.0)</f>
        <v>1</v>
      </c>
    </row>
    <row r="1101">
      <c r="J1101" s="5" t="str">
        <f>IFERROR(__xludf.DUMMYFUNCTION("""COMPUTED_VALUE"""),"367🤙🏼G.O.R.A.🤙🏼Comedy🤙🏼2")</f>
        <v>367🤙🏼G.O.R.A.🤙🏼Comedy🤙🏼2</v>
      </c>
      <c r="K1101" s="5">
        <f>IFERROR(__xludf.DUMMYFUNCTION("SPLiT(J1101, ""🤙🏼"",FALSE,FALSE)"),367.0)</f>
        <v>367</v>
      </c>
      <c r="L1101" s="5" t="str">
        <f>IFERROR(__xludf.DUMMYFUNCTION("""COMPUTED_VALUE"""),"G.O.R.A.")</f>
        <v>G.O.R.A.</v>
      </c>
      <c r="M1101" s="5" t="str">
        <f>IFERROR(__xludf.DUMMYFUNCTION("""COMPUTED_VALUE"""),"Comedy")</f>
        <v>Comedy</v>
      </c>
      <c r="N1101" s="5">
        <f>IFERROR(__xludf.DUMMYFUNCTION("""COMPUTED_VALUE"""),2.0)</f>
        <v>2</v>
      </c>
      <c r="S1101" s="5">
        <f>IFERROR(__xludf.DUMMYFUNCTION("""COMPUTED_VALUE"""),442.0)</f>
        <v>442</v>
      </c>
      <c r="T1101" s="5" t="str">
        <f>IFERROR(__xludf.DUMMYFUNCTION("""COMPUTED_VALUE"""),"The Killing")</f>
        <v>The Killing</v>
      </c>
      <c r="U1101" s="5" t="str">
        <f>IFERROR(__xludf.DUMMYFUNCTION("""COMPUTED_VALUE"""),"Drama")</f>
        <v>Drama</v>
      </c>
      <c r="V1101" s="5">
        <f>IFERROR(__xludf.DUMMYFUNCTION("""COMPUTED_VALUE"""),2.0)</f>
        <v>2</v>
      </c>
    </row>
    <row r="1102">
      <c r="J1102" s="5" t="str">
        <f>IFERROR(__xludf.DUMMYFUNCTION("""COMPUTED_VALUE"""),"367🤙🏼G.O.R.A.🤙🏼Sci-Fi🤙🏼3")</f>
        <v>367🤙🏼G.O.R.A.🤙🏼Sci-Fi🤙🏼3</v>
      </c>
      <c r="K1102" s="5">
        <f>IFERROR(__xludf.DUMMYFUNCTION("SPLiT(J1102, ""🤙🏼"",FALSE,FALSE)"),367.0)</f>
        <v>367</v>
      </c>
      <c r="L1102" s="5" t="str">
        <f>IFERROR(__xludf.DUMMYFUNCTION("""COMPUTED_VALUE"""),"G.O.R.A.")</f>
        <v>G.O.R.A.</v>
      </c>
      <c r="M1102" s="5" t="str">
        <f>IFERROR(__xludf.DUMMYFUNCTION("""COMPUTED_VALUE"""),"Sci-Fi")</f>
        <v>Sci-Fi</v>
      </c>
      <c r="N1102" s="5">
        <f>IFERROR(__xludf.DUMMYFUNCTION("""COMPUTED_VALUE"""),3.0)</f>
        <v>3</v>
      </c>
      <c r="S1102" s="5">
        <f>IFERROR(__xludf.DUMMYFUNCTION("""COMPUTED_VALUE"""),442.0)</f>
        <v>442</v>
      </c>
      <c r="T1102" s="5" t="str">
        <f>IFERROR(__xludf.DUMMYFUNCTION("""COMPUTED_VALUE"""),"The Killing")</f>
        <v>The Killing</v>
      </c>
      <c r="U1102" s="5" t="str">
        <f>IFERROR(__xludf.DUMMYFUNCTION("""COMPUTED_VALUE"""),"Film-Noir")</f>
        <v>Film-Noir</v>
      </c>
      <c r="V1102" s="5">
        <f>IFERROR(__xludf.DUMMYFUNCTION("""COMPUTED_VALUE"""),3.0)</f>
        <v>3</v>
      </c>
    </row>
    <row r="1103">
      <c r="J1103" s="5" t="str">
        <f>IFERROR(__xludf.DUMMYFUNCTION("""COMPUTED_VALUE"""),"368🤙🏼Ratatouille🤙🏼Animation🤙🏼1")</f>
        <v>368🤙🏼Ratatouille🤙🏼Animation🤙🏼1</v>
      </c>
      <c r="K1103" s="5">
        <f>IFERROR(__xludf.DUMMYFUNCTION("SPLiT(J1103, ""🤙🏼"",FALSE,FALSE)"),368.0)</f>
        <v>368</v>
      </c>
      <c r="L1103" s="5" t="str">
        <f>IFERROR(__xludf.DUMMYFUNCTION("""COMPUTED_VALUE"""),"Ratatouille")</f>
        <v>Ratatouille</v>
      </c>
      <c r="M1103" s="5" t="str">
        <f>IFERROR(__xludf.DUMMYFUNCTION("""COMPUTED_VALUE"""),"Animation")</f>
        <v>Animation</v>
      </c>
      <c r="N1103" s="5">
        <f>IFERROR(__xludf.DUMMYFUNCTION("""COMPUTED_VALUE"""),1.0)</f>
        <v>1</v>
      </c>
      <c r="S1103" s="5">
        <f>IFERROR(__xludf.DUMMYFUNCTION("""COMPUTED_VALUE"""),443.0)</f>
        <v>443</v>
      </c>
      <c r="T1103" s="5" t="str">
        <f>IFERROR(__xludf.DUMMYFUNCTION("""COMPUTED_VALUE"""),"The Night of the Hunter")</f>
        <v>The Night of the Hunter</v>
      </c>
      <c r="U1103" s="5" t="str">
        <f>IFERROR(__xludf.DUMMYFUNCTION("""COMPUTED_VALUE"""),"Crime")</f>
        <v>Crime</v>
      </c>
      <c r="V1103" s="5">
        <f>IFERROR(__xludf.DUMMYFUNCTION("""COMPUTED_VALUE"""),1.0)</f>
        <v>1</v>
      </c>
    </row>
    <row r="1104">
      <c r="J1104" s="5" t="str">
        <f>IFERROR(__xludf.DUMMYFUNCTION("""COMPUTED_VALUE"""),"368🤙🏼Ratatouille🤙🏼Adventure🤙🏼2")</f>
        <v>368🤙🏼Ratatouille🤙🏼Adventure🤙🏼2</v>
      </c>
      <c r="K1104" s="5">
        <f>IFERROR(__xludf.DUMMYFUNCTION("SPLiT(J1104, ""🤙🏼"",FALSE,FALSE)"),368.0)</f>
        <v>368</v>
      </c>
      <c r="L1104" s="5" t="str">
        <f>IFERROR(__xludf.DUMMYFUNCTION("""COMPUTED_VALUE"""),"Ratatouille")</f>
        <v>Ratatouille</v>
      </c>
      <c r="M1104" s="5" t="str">
        <f>IFERROR(__xludf.DUMMYFUNCTION("""COMPUTED_VALUE"""),"Adventure")</f>
        <v>Adventure</v>
      </c>
      <c r="N1104" s="5">
        <f>IFERROR(__xludf.DUMMYFUNCTION("""COMPUTED_VALUE"""),2.0)</f>
        <v>2</v>
      </c>
      <c r="S1104" s="5">
        <f>IFERROR(__xludf.DUMMYFUNCTION("""COMPUTED_VALUE"""),443.0)</f>
        <v>443</v>
      </c>
      <c r="T1104" s="5" t="str">
        <f>IFERROR(__xludf.DUMMYFUNCTION("""COMPUTED_VALUE"""),"The Night of the Hunter")</f>
        <v>The Night of the Hunter</v>
      </c>
      <c r="U1104" s="5" t="str">
        <f>IFERROR(__xludf.DUMMYFUNCTION("""COMPUTED_VALUE"""),"Drama")</f>
        <v>Drama</v>
      </c>
      <c r="V1104" s="5">
        <f>IFERROR(__xludf.DUMMYFUNCTION("""COMPUTED_VALUE"""),2.0)</f>
        <v>2</v>
      </c>
    </row>
    <row r="1105">
      <c r="J1105" s="5" t="str">
        <f>IFERROR(__xludf.DUMMYFUNCTION("""COMPUTED_VALUE"""),"368🤙🏼Ratatouille🤙🏼Comedy🤙🏼3")</f>
        <v>368🤙🏼Ratatouille🤙🏼Comedy🤙🏼3</v>
      </c>
      <c r="K1105" s="5">
        <f>IFERROR(__xludf.DUMMYFUNCTION("SPLiT(J1105, ""🤙🏼"",FALSE,FALSE)"),368.0)</f>
        <v>368</v>
      </c>
      <c r="L1105" s="5" t="str">
        <f>IFERROR(__xludf.DUMMYFUNCTION("""COMPUTED_VALUE"""),"Ratatouille")</f>
        <v>Ratatouille</v>
      </c>
      <c r="M1105" s="5" t="str">
        <f>IFERROR(__xludf.DUMMYFUNCTION("""COMPUTED_VALUE"""),"Comedy")</f>
        <v>Comedy</v>
      </c>
      <c r="N1105" s="5">
        <f>IFERROR(__xludf.DUMMYFUNCTION("""COMPUTED_VALUE"""),3.0)</f>
        <v>3</v>
      </c>
      <c r="S1105" s="5">
        <f>IFERROR(__xludf.DUMMYFUNCTION("""COMPUTED_VALUE"""),443.0)</f>
        <v>443</v>
      </c>
      <c r="T1105" s="5" t="str">
        <f>IFERROR(__xludf.DUMMYFUNCTION("""COMPUTED_VALUE"""),"The Night of the Hunter")</f>
        <v>The Night of the Hunter</v>
      </c>
      <c r="U1105" s="5" t="str">
        <f>IFERROR(__xludf.DUMMYFUNCTION("""COMPUTED_VALUE"""),"Film-Noir")</f>
        <v>Film-Noir</v>
      </c>
      <c r="V1105" s="5">
        <f>IFERROR(__xludf.DUMMYFUNCTION("""COMPUTED_VALUE"""),3.0)</f>
        <v>3</v>
      </c>
    </row>
    <row r="1106">
      <c r="J1106" s="5" t="str">
        <f>IFERROR(__xludf.DUMMYFUNCTION("""COMPUTED_VALUE"""),"369🤙🏼Casino Royale🤙🏼Action🤙🏼1")</f>
        <v>369🤙🏼Casino Royale🤙🏼Action🤙🏼1</v>
      </c>
      <c r="K1106" s="5">
        <f>IFERROR(__xludf.DUMMYFUNCTION("SPLiT(J1106, ""🤙🏼"",FALSE,FALSE)"),369.0)</f>
        <v>369</v>
      </c>
      <c r="L1106" s="5" t="str">
        <f>IFERROR(__xludf.DUMMYFUNCTION("""COMPUTED_VALUE"""),"Casino Royale")</f>
        <v>Casino Royale</v>
      </c>
      <c r="M1106" s="5" t="str">
        <f>IFERROR(__xludf.DUMMYFUNCTION("""COMPUTED_VALUE"""),"Action")</f>
        <v>Action</v>
      </c>
      <c r="N1106" s="5">
        <f>IFERROR(__xludf.DUMMYFUNCTION("""COMPUTED_VALUE"""),1.0)</f>
        <v>1</v>
      </c>
      <c r="S1106" s="5">
        <f>IFERROR(__xludf.DUMMYFUNCTION("""COMPUTED_VALUE"""),444.0)</f>
        <v>444</v>
      </c>
      <c r="T1106" s="5" t="str">
        <f>IFERROR(__xludf.DUMMYFUNCTION("""COMPUTED_VALUE"""),"La Strada")</f>
        <v>La Strada</v>
      </c>
      <c r="U1106" s="5" t="str">
        <f>IFERROR(__xludf.DUMMYFUNCTION("""COMPUTED_VALUE"""),"Drama")</f>
        <v>Drama</v>
      </c>
      <c r="V1106" s="5">
        <f>IFERROR(__xludf.DUMMYFUNCTION("""COMPUTED_VALUE"""),1.0)</f>
        <v>1</v>
      </c>
    </row>
    <row r="1107">
      <c r="J1107" s="5" t="str">
        <f>IFERROR(__xludf.DUMMYFUNCTION("""COMPUTED_VALUE"""),"369🤙🏼Casino Royale🤙🏼Adventure🤙🏼2")</f>
        <v>369🤙🏼Casino Royale🤙🏼Adventure🤙🏼2</v>
      </c>
      <c r="K1107" s="5">
        <f>IFERROR(__xludf.DUMMYFUNCTION("SPLiT(J1107, ""🤙🏼"",FALSE,FALSE)"),369.0)</f>
        <v>369</v>
      </c>
      <c r="L1107" s="5" t="str">
        <f>IFERROR(__xludf.DUMMYFUNCTION("""COMPUTED_VALUE"""),"Casino Royale")</f>
        <v>Casino Royale</v>
      </c>
      <c r="M1107" s="5" t="str">
        <f>IFERROR(__xludf.DUMMYFUNCTION("""COMPUTED_VALUE"""),"Adventure")</f>
        <v>Adventure</v>
      </c>
      <c r="N1107" s="5">
        <f>IFERROR(__xludf.DUMMYFUNCTION("""COMPUTED_VALUE"""),2.0)</f>
        <v>2</v>
      </c>
      <c r="S1107" s="5">
        <f>IFERROR(__xludf.DUMMYFUNCTION("""COMPUTED_VALUE"""),445.0)</f>
        <v>445</v>
      </c>
      <c r="T1107" s="5" t="str">
        <f>IFERROR(__xludf.DUMMYFUNCTION("""COMPUTED_VALUE"""),"Les diaboliques")</f>
        <v>Les diaboliques</v>
      </c>
      <c r="U1107" s="5" t="str">
        <f>IFERROR(__xludf.DUMMYFUNCTION("""COMPUTED_VALUE"""),"Crime")</f>
        <v>Crime</v>
      </c>
      <c r="V1107" s="5">
        <f>IFERROR(__xludf.DUMMYFUNCTION("""COMPUTED_VALUE"""),1.0)</f>
        <v>1</v>
      </c>
    </row>
    <row r="1108">
      <c r="J1108" s="5" t="str">
        <f>IFERROR(__xludf.DUMMYFUNCTION("""COMPUTED_VALUE"""),"369🤙🏼Casino Royale🤙🏼Thriller🤙🏼3")</f>
        <v>369🤙🏼Casino Royale🤙🏼Thriller🤙🏼3</v>
      </c>
      <c r="K1108" s="5">
        <f>IFERROR(__xludf.DUMMYFUNCTION("SPLiT(J1108, ""🤙🏼"",FALSE,FALSE)"),369.0)</f>
        <v>369</v>
      </c>
      <c r="L1108" s="5" t="str">
        <f>IFERROR(__xludf.DUMMYFUNCTION("""COMPUTED_VALUE"""),"Casino Royale")</f>
        <v>Casino Royale</v>
      </c>
      <c r="M1108" s="5" t="str">
        <f>IFERROR(__xludf.DUMMYFUNCTION("""COMPUTED_VALUE"""),"Thriller")</f>
        <v>Thriller</v>
      </c>
      <c r="N1108" s="5">
        <f>IFERROR(__xludf.DUMMYFUNCTION("""COMPUTED_VALUE"""),3.0)</f>
        <v>3</v>
      </c>
      <c r="S1108" s="5">
        <f>IFERROR(__xludf.DUMMYFUNCTION("""COMPUTED_VALUE"""),445.0)</f>
        <v>445</v>
      </c>
      <c r="T1108" s="5" t="str">
        <f>IFERROR(__xludf.DUMMYFUNCTION("""COMPUTED_VALUE"""),"Les diaboliques")</f>
        <v>Les diaboliques</v>
      </c>
      <c r="U1108" s="5" t="str">
        <f>IFERROR(__xludf.DUMMYFUNCTION("""COMPUTED_VALUE"""),"Drama")</f>
        <v>Drama</v>
      </c>
      <c r="V1108" s="5">
        <f>IFERROR(__xludf.DUMMYFUNCTION("""COMPUTED_VALUE"""),2.0)</f>
        <v>2</v>
      </c>
    </row>
    <row r="1109">
      <c r="J1109" s="5" t="str">
        <f>IFERROR(__xludf.DUMMYFUNCTION("""COMPUTED_VALUE"""),"370🤙🏼Kill Bill: Vol. 2🤙🏼Action🤙🏼1")</f>
        <v>370🤙🏼Kill Bill: Vol. 2🤙🏼Action🤙🏼1</v>
      </c>
      <c r="K1109" s="5">
        <f>IFERROR(__xludf.DUMMYFUNCTION("SPLiT(J1109, ""🤙🏼"",FALSE,FALSE)"),370.0)</f>
        <v>370</v>
      </c>
      <c r="L1109" s="5" t="str">
        <f>IFERROR(__xludf.DUMMYFUNCTION("""COMPUTED_VALUE"""),"Kill Bill: Vol. 2")</f>
        <v>Kill Bill: Vol. 2</v>
      </c>
      <c r="M1109" s="5" t="str">
        <f>IFERROR(__xludf.DUMMYFUNCTION("""COMPUTED_VALUE"""),"Action")</f>
        <v>Action</v>
      </c>
      <c r="N1109" s="5">
        <f>IFERROR(__xludf.DUMMYFUNCTION("""COMPUTED_VALUE"""),1.0)</f>
        <v>1</v>
      </c>
      <c r="S1109" s="5">
        <f>IFERROR(__xludf.DUMMYFUNCTION("""COMPUTED_VALUE"""),445.0)</f>
        <v>445</v>
      </c>
      <c r="T1109" s="5" t="str">
        <f>IFERROR(__xludf.DUMMYFUNCTION("""COMPUTED_VALUE"""),"Les diaboliques")</f>
        <v>Les diaboliques</v>
      </c>
      <c r="U1109" s="5" t="str">
        <f>IFERROR(__xludf.DUMMYFUNCTION("""COMPUTED_VALUE"""),"Horror")</f>
        <v>Horror</v>
      </c>
      <c r="V1109" s="5">
        <f>IFERROR(__xludf.DUMMYFUNCTION("""COMPUTED_VALUE"""),3.0)</f>
        <v>3</v>
      </c>
    </row>
    <row r="1110">
      <c r="J1110" s="5" t="str">
        <f>IFERROR(__xludf.DUMMYFUNCTION("""COMPUTED_VALUE"""),"370🤙🏼Kill Bill: Vol. 2🤙🏼Crime🤙🏼2")</f>
        <v>370🤙🏼Kill Bill: Vol. 2🤙🏼Crime🤙🏼2</v>
      </c>
      <c r="K1110" s="5">
        <f>IFERROR(__xludf.DUMMYFUNCTION("SPLiT(J1110, ""🤙🏼"",FALSE,FALSE)"),370.0)</f>
        <v>370</v>
      </c>
      <c r="L1110" s="5" t="str">
        <f>IFERROR(__xludf.DUMMYFUNCTION("""COMPUTED_VALUE"""),"Kill Bill: Vol. 2")</f>
        <v>Kill Bill: Vol. 2</v>
      </c>
      <c r="M1110" s="5" t="str">
        <f>IFERROR(__xludf.DUMMYFUNCTION("""COMPUTED_VALUE"""),"Crime")</f>
        <v>Crime</v>
      </c>
      <c r="N1110" s="5">
        <f>IFERROR(__xludf.DUMMYFUNCTION("""COMPUTED_VALUE"""),2.0)</f>
        <v>2</v>
      </c>
      <c r="S1110" s="5">
        <f>IFERROR(__xludf.DUMMYFUNCTION("""COMPUTED_VALUE"""),446.0)</f>
        <v>446</v>
      </c>
      <c r="T1110" s="5" t="str">
        <f>IFERROR(__xludf.DUMMYFUNCTION("""COMPUTED_VALUE"""),"Stalag 17")</f>
        <v>Stalag 17</v>
      </c>
      <c r="U1110" s="5" t="str">
        <f>IFERROR(__xludf.DUMMYFUNCTION("""COMPUTED_VALUE"""),"Comedy")</f>
        <v>Comedy</v>
      </c>
      <c r="V1110" s="5">
        <f>IFERROR(__xludf.DUMMYFUNCTION("""COMPUTED_VALUE"""),1.0)</f>
        <v>1</v>
      </c>
    </row>
    <row r="1111">
      <c r="J1111" s="5" t="str">
        <f>IFERROR(__xludf.DUMMYFUNCTION("""COMPUTED_VALUE"""),"370🤙🏼Kill Bill: Vol. 2🤙🏼Thriller🤙🏼3")</f>
        <v>370🤙🏼Kill Bill: Vol. 2🤙🏼Thriller🤙🏼3</v>
      </c>
      <c r="K1111" s="5">
        <f>IFERROR(__xludf.DUMMYFUNCTION("SPLiT(J1111, ""🤙🏼"",FALSE,FALSE)"),370.0)</f>
        <v>370</v>
      </c>
      <c r="L1111" s="5" t="str">
        <f>IFERROR(__xludf.DUMMYFUNCTION("""COMPUTED_VALUE"""),"Kill Bill: Vol. 2")</f>
        <v>Kill Bill: Vol. 2</v>
      </c>
      <c r="M1111" s="5" t="str">
        <f>IFERROR(__xludf.DUMMYFUNCTION("""COMPUTED_VALUE"""),"Thriller")</f>
        <v>Thriller</v>
      </c>
      <c r="N1111" s="5">
        <f>IFERROR(__xludf.DUMMYFUNCTION("""COMPUTED_VALUE"""),3.0)</f>
        <v>3</v>
      </c>
      <c r="S1111" s="5">
        <f>IFERROR(__xludf.DUMMYFUNCTION("""COMPUTED_VALUE"""),446.0)</f>
        <v>446</v>
      </c>
      <c r="T1111" s="5" t="str">
        <f>IFERROR(__xludf.DUMMYFUNCTION("""COMPUTED_VALUE"""),"Stalag 17")</f>
        <v>Stalag 17</v>
      </c>
      <c r="U1111" s="5" t="str">
        <f>IFERROR(__xludf.DUMMYFUNCTION("""COMPUTED_VALUE"""),"Drama")</f>
        <v>Drama</v>
      </c>
      <c r="V1111" s="5">
        <f>IFERROR(__xludf.DUMMYFUNCTION("""COMPUTED_VALUE"""),2.0)</f>
        <v>2</v>
      </c>
    </row>
    <row r="1112">
      <c r="J1112" s="5" t="str">
        <f>IFERROR(__xludf.DUMMYFUNCTION("""COMPUTED_VALUE"""),"371🤙🏼Vozvrashchenie🤙🏼Drama🤙🏼1")</f>
        <v>371🤙🏼Vozvrashchenie🤙🏼Drama🤙🏼1</v>
      </c>
      <c r="K1112" s="5">
        <f>IFERROR(__xludf.DUMMYFUNCTION("SPLiT(J1112, ""🤙🏼"",FALSE,FALSE)"),371.0)</f>
        <v>371</v>
      </c>
      <c r="L1112" s="5" t="str">
        <f>IFERROR(__xludf.DUMMYFUNCTION("""COMPUTED_VALUE"""),"Vozvrashchenie")</f>
        <v>Vozvrashchenie</v>
      </c>
      <c r="M1112" s="5" t="str">
        <f>IFERROR(__xludf.DUMMYFUNCTION("""COMPUTED_VALUE"""),"Drama")</f>
        <v>Drama</v>
      </c>
      <c r="N1112" s="5">
        <f>IFERROR(__xludf.DUMMYFUNCTION("""COMPUTED_VALUE"""),1.0)</f>
        <v>1</v>
      </c>
      <c r="S1112" s="5">
        <f>IFERROR(__xludf.DUMMYFUNCTION("""COMPUTED_VALUE"""),446.0)</f>
        <v>446</v>
      </c>
      <c r="T1112" s="5" t="str">
        <f>IFERROR(__xludf.DUMMYFUNCTION("""COMPUTED_VALUE"""),"Stalag 17")</f>
        <v>Stalag 17</v>
      </c>
      <c r="U1112" s="5" t="str">
        <f>IFERROR(__xludf.DUMMYFUNCTION("""COMPUTED_VALUE"""),"War")</f>
        <v>War</v>
      </c>
      <c r="V1112" s="5">
        <f>IFERROR(__xludf.DUMMYFUNCTION("""COMPUTED_VALUE"""),3.0)</f>
        <v>3</v>
      </c>
    </row>
    <row r="1113">
      <c r="J1113" s="5" t="str">
        <f>IFERROR(__xludf.DUMMYFUNCTION("""COMPUTED_VALUE"""),"371🤙🏼Vozvrashchenie🤙🏼🤙🏼2")</f>
        <v>371🤙🏼Vozvrashchenie🤙🏼🤙🏼2</v>
      </c>
      <c r="K1113" s="5">
        <f>IFERROR(__xludf.DUMMYFUNCTION("SPLiT(J1113, ""🤙🏼"",FALSE,FALSE)"),371.0)</f>
        <v>371</v>
      </c>
      <c r="L1113" s="5" t="str">
        <f>IFERROR(__xludf.DUMMYFUNCTION("""COMPUTED_VALUE"""),"Vozvrashchenie")</f>
        <v>Vozvrashchenie</v>
      </c>
      <c r="M1113" s="5"/>
      <c r="N1113" s="5">
        <f>IFERROR(__xludf.DUMMYFUNCTION("""COMPUTED_VALUE"""),2.0)</f>
        <v>2</v>
      </c>
      <c r="S1113" s="5">
        <f>IFERROR(__xludf.DUMMYFUNCTION("""COMPUTED_VALUE"""),447.0)</f>
        <v>447</v>
      </c>
      <c r="T1113" s="5" t="str">
        <f>IFERROR(__xludf.DUMMYFUNCTION("""COMPUTED_VALUE"""),"Roman Holiday")</f>
        <v>Roman Holiday</v>
      </c>
      <c r="U1113" s="5" t="str">
        <f>IFERROR(__xludf.DUMMYFUNCTION("""COMPUTED_VALUE"""),"Comedy")</f>
        <v>Comedy</v>
      </c>
      <c r="V1113" s="5">
        <f>IFERROR(__xludf.DUMMYFUNCTION("""COMPUTED_VALUE"""),1.0)</f>
        <v>1</v>
      </c>
    </row>
    <row r="1114">
      <c r="J1114" s="5" t="str">
        <f>IFERROR(__xludf.DUMMYFUNCTION("""COMPUTED_VALUE"""),"371🤙🏼Vozvrashchenie🤙🏼🤙🏼3")</f>
        <v>371🤙🏼Vozvrashchenie🤙🏼🤙🏼3</v>
      </c>
      <c r="K1114" s="5">
        <f>IFERROR(__xludf.DUMMYFUNCTION("SPLiT(J1114, ""🤙🏼"",FALSE,FALSE)"),371.0)</f>
        <v>371</v>
      </c>
      <c r="L1114" s="5" t="str">
        <f>IFERROR(__xludf.DUMMYFUNCTION("""COMPUTED_VALUE"""),"Vozvrashchenie")</f>
        <v>Vozvrashchenie</v>
      </c>
      <c r="M1114" s="5"/>
      <c r="N1114" s="5">
        <f>IFERROR(__xludf.DUMMYFUNCTION("""COMPUTED_VALUE"""),3.0)</f>
        <v>3</v>
      </c>
      <c r="S1114" s="5">
        <f>IFERROR(__xludf.DUMMYFUNCTION("""COMPUTED_VALUE"""),447.0)</f>
        <v>447</v>
      </c>
      <c r="T1114" s="5" t="str">
        <f>IFERROR(__xludf.DUMMYFUNCTION("""COMPUTED_VALUE"""),"Roman Holiday")</f>
        <v>Roman Holiday</v>
      </c>
      <c r="U1114" s="5" t="str">
        <f>IFERROR(__xludf.DUMMYFUNCTION("""COMPUTED_VALUE"""),"Romance")</f>
        <v>Romance</v>
      </c>
      <c r="V1114" s="5">
        <f>IFERROR(__xludf.DUMMYFUNCTION("""COMPUTED_VALUE"""),2.0)</f>
        <v>2</v>
      </c>
    </row>
    <row r="1115">
      <c r="J1115" s="5" t="str">
        <f>IFERROR(__xludf.DUMMYFUNCTION("""COMPUTED_VALUE"""),"372🤙🏼Bom Yeoareum Gaeul Gyeoul Geurigo Bom🤙🏼Drama🤙🏼1")</f>
        <v>372🤙🏼Bom Yeoareum Gaeul Gyeoul Geurigo Bom🤙🏼Drama🤙🏼1</v>
      </c>
      <c r="K1115" s="5">
        <f>IFERROR(__xludf.DUMMYFUNCTION("SPLiT(J1115, ""🤙🏼"",FALSE,FALSE)"),372.0)</f>
        <v>372</v>
      </c>
      <c r="L1115" s="5" t="str">
        <f>IFERROR(__xludf.DUMMYFUNCTION("""COMPUTED_VALUE"""),"Bom Yeoareum Gaeul Gyeoul Geurigo Bom")</f>
        <v>Bom Yeoareum Gaeul Gyeoul Geurigo Bom</v>
      </c>
      <c r="M1115" s="5" t="str">
        <f>IFERROR(__xludf.DUMMYFUNCTION("""COMPUTED_VALUE"""),"Drama")</f>
        <v>Drama</v>
      </c>
      <c r="N1115" s="5">
        <f>IFERROR(__xludf.DUMMYFUNCTION("""COMPUTED_VALUE"""),1.0)</f>
        <v>1</v>
      </c>
      <c r="S1115" s="5">
        <f>IFERROR(__xludf.DUMMYFUNCTION("""COMPUTED_VALUE"""),448.0)</f>
        <v>448</v>
      </c>
      <c r="T1115" s="5" t="str">
        <f>IFERROR(__xludf.DUMMYFUNCTION("""COMPUTED_VALUE"""),"A Streetcar Named Desire")</f>
        <v>A Streetcar Named Desire</v>
      </c>
      <c r="U1115" s="5" t="str">
        <f>IFERROR(__xludf.DUMMYFUNCTION("""COMPUTED_VALUE"""),"Drama")</f>
        <v>Drama</v>
      </c>
      <c r="V1115" s="5">
        <f>IFERROR(__xludf.DUMMYFUNCTION("""COMPUTED_VALUE"""),1.0)</f>
        <v>1</v>
      </c>
    </row>
    <row r="1116">
      <c r="J1116" s="5" t="str">
        <f>IFERROR(__xludf.DUMMYFUNCTION("""COMPUTED_VALUE"""),"372🤙🏼Bom Yeoareum Gaeul Gyeoul Geurigo Bom🤙🏼Romance🤙🏼2")</f>
        <v>372🤙🏼Bom Yeoareum Gaeul Gyeoul Geurigo Bom🤙🏼Romance🤙🏼2</v>
      </c>
      <c r="K1116" s="5">
        <f>IFERROR(__xludf.DUMMYFUNCTION("SPLiT(J1116, ""🤙🏼"",FALSE,FALSE)"),372.0)</f>
        <v>372</v>
      </c>
      <c r="L1116" s="5" t="str">
        <f>IFERROR(__xludf.DUMMYFUNCTION("""COMPUTED_VALUE"""),"Bom Yeoareum Gaeul Gyeoul Geurigo Bom")</f>
        <v>Bom Yeoareum Gaeul Gyeoul Geurigo Bom</v>
      </c>
      <c r="M1116" s="5" t="str">
        <f>IFERROR(__xludf.DUMMYFUNCTION("""COMPUTED_VALUE"""),"Romance")</f>
        <v>Romance</v>
      </c>
      <c r="N1116" s="5">
        <f>IFERROR(__xludf.DUMMYFUNCTION("""COMPUTED_VALUE"""),2.0)</f>
        <v>2</v>
      </c>
      <c r="S1116" s="5">
        <f>IFERROR(__xludf.DUMMYFUNCTION("""COMPUTED_VALUE"""),449.0)</f>
        <v>449</v>
      </c>
      <c r="T1116" s="5" t="str">
        <f>IFERROR(__xludf.DUMMYFUNCTION("""COMPUTED_VALUE"""),"In a Lonely Place")</f>
        <v>In a Lonely Place</v>
      </c>
      <c r="U1116" s="5" t="str">
        <f>IFERROR(__xludf.DUMMYFUNCTION("""COMPUTED_VALUE"""),"Drama")</f>
        <v>Drama</v>
      </c>
      <c r="V1116" s="5">
        <f>IFERROR(__xludf.DUMMYFUNCTION("""COMPUTED_VALUE"""),1.0)</f>
        <v>1</v>
      </c>
    </row>
    <row r="1117">
      <c r="J1117" s="5" t="str">
        <f>IFERROR(__xludf.DUMMYFUNCTION("""COMPUTED_VALUE"""),"372🤙🏼Bom Yeoareum Gaeul Gyeoul Geurigo Bom🤙🏼🤙🏼3")</f>
        <v>372🤙🏼Bom Yeoareum Gaeul Gyeoul Geurigo Bom🤙🏼🤙🏼3</v>
      </c>
      <c r="K1117" s="5">
        <f>IFERROR(__xludf.DUMMYFUNCTION("SPLiT(J1117, ""🤙🏼"",FALSE,FALSE)"),372.0)</f>
        <v>372</v>
      </c>
      <c r="L1117" s="5" t="str">
        <f>IFERROR(__xludf.DUMMYFUNCTION("""COMPUTED_VALUE"""),"Bom Yeoareum Gaeul Gyeoul Geurigo Bom")</f>
        <v>Bom Yeoareum Gaeul Gyeoul Geurigo Bom</v>
      </c>
      <c r="M1117" s="5"/>
      <c r="N1117" s="5">
        <f>IFERROR(__xludf.DUMMYFUNCTION("""COMPUTED_VALUE"""),3.0)</f>
        <v>3</v>
      </c>
      <c r="S1117" s="5">
        <f>IFERROR(__xludf.DUMMYFUNCTION("""COMPUTED_VALUE"""),449.0)</f>
        <v>449</v>
      </c>
      <c r="T1117" s="5" t="str">
        <f>IFERROR(__xludf.DUMMYFUNCTION("""COMPUTED_VALUE"""),"In a Lonely Place")</f>
        <v>In a Lonely Place</v>
      </c>
      <c r="U1117" s="5" t="str">
        <f>IFERROR(__xludf.DUMMYFUNCTION("""COMPUTED_VALUE"""),"Film-Noir")</f>
        <v>Film-Noir</v>
      </c>
      <c r="V1117" s="5">
        <f>IFERROR(__xludf.DUMMYFUNCTION("""COMPUTED_VALUE"""),2.0)</f>
        <v>2</v>
      </c>
    </row>
    <row r="1118">
      <c r="J1118" s="5" t="str">
        <f>IFERROR(__xludf.DUMMYFUNCTION("""COMPUTED_VALUE"""),"373🤙🏼Mar adentro🤙🏼Biography🤙🏼1")</f>
        <v>373🤙🏼Mar adentro🤙🏼Biography🤙🏼1</v>
      </c>
      <c r="K1118" s="5">
        <f>IFERROR(__xludf.DUMMYFUNCTION("SPLiT(J1118, ""🤙🏼"",FALSE,FALSE)"),373.0)</f>
        <v>373</v>
      </c>
      <c r="L1118" s="5" t="str">
        <f>IFERROR(__xludf.DUMMYFUNCTION("""COMPUTED_VALUE"""),"Mar adentro")</f>
        <v>Mar adentro</v>
      </c>
      <c r="M1118" s="5" t="str">
        <f>IFERROR(__xludf.DUMMYFUNCTION("""COMPUTED_VALUE"""),"Biography")</f>
        <v>Biography</v>
      </c>
      <c r="N1118" s="5">
        <f>IFERROR(__xludf.DUMMYFUNCTION("""COMPUTED_VALUE"""),1.0)</f>
        <v>1</v>
      </c>
      <c r="S1118" s="5">
        <f>IFERROR(__xludf.DUMMYFUNCTION("""COMPUTED_VALUE"""),449.0)</f>
        <v>449</v>
      </c>
      <c r="T1118" s="5" t="str">
        <f>IFERROR(__xludf.DUMMYFUNCTION("""COMPUTED_VALUE"""),"In a Lonely Place")</f>
        <v>In a Lonely Place</v>
      </c>
      <c r="U1118" s="5" t="str">
        <f>IFERROR(__xludf.DUMMYFUNCTION("""COMPUTED_VALUE"""),"Mystery")</f>
        <v>Mystery</v>
      </c>
      <c r="V1118" s="5">
        <f>IFERROR(__xludf.DUMMYFUNCTION("""COMPUTED_VALUE"""),3.0)</f>
        <v>3</v>
      </c>
    </row>
    <row r="1119">
      <c r="J1119" s="5" t="str">
        <f>IFERROR(__xludf.DUMMYFUNCTION("""COMPUTED_VALUE"""),"373🤙🏼Mar adentro🤙🏼Drama🤙🏼2")</f>
        <v>373🤙🏼Mar adentro🤙🏼Drama🤙🏼2</v>
      </c>
      <c r="K1119" s="5">
        <f>IFERROR(__xludf.DUMMYFUNCTION("SPLiT(J1119, ""🤙🏼"",FALSE,FALSE)"),373.0)</f>
        <v>373</v>
      </c>
      <c r="L1119" s="5" t="str">
        <f>IFERROR(__xludf.DUMMYFUNCTION("""COMPUTED_VALUE"""),"Mar adentro")</f>
        <v>Mar adentro</v>
      </c>
      <c r="M1119" s="5" t="str">
        <f>IFERROR(__xludf.DUMMYFUNCTION("""COMPUTED_VALUE"""),"Drama")</f>
        <v>Drama</v>
      </c>
      <c r="N1119" s="5">
        <f>IFERROR(__xludf.DUMMYFUNCTION("""COMPUTED_VALUE"""),2.0)</f>
        <v>2</v>
      </c>
      <c r="S1119" s="5">
        <f>IFERROR(__xludf.DUMMYFUNCTION("""COMPUTED_VALUE"""),450.0)</f>
        <v>450</v>
      </c>
      <c r="T1119" s="5" t="str">
        <f>IFERROR(__xludf.DUMMYFUNCTION("""COMPUTED_VALUE"""),"Kind Hearts and Coronets")</f>
        <v>Kind Hearts and Coronets</v>
      </c>
      <c r="U1119" s="5" t="str">
        <f>IFERROR(__xludf.DUMMYFUNCTION("""COMPUTED_VALUE"""),"Comedy")</f>
        <v>Comedy</v>
      </c>
      <c r="V1119" s="5">
        <f>IFERROR(__xludf.DUMMYFUNCTION("""COMPUTED_VALUE"""),1.0)</f>
        <v>1</v>
      </c>
    </row>
    <row r="1120">
      <c r="J1120" s="5" t="str">
        <f>IFERROR(__xludf.DUMMYFUNCTION("""COMPUTED_VALUE"""),"373🤙🏼Mar adentro🤙🏼🤙🏼3")</f>
        <v>373🤙🏼Mar adentro🤙🏼🤙🏼3</v>
      </c>
      <c r="K1120" s="5">
        <f>IFERROR(__xludf.DUMMYFUNCTION("SPLiT(J1120, ""🤙🏼"",FALSE,FALSE)"),373.0)</f>
        <v>373</v>
      </c>
      <c r="L1120" s="5" t="str">
        <f>IFERROR(__xludf.DUMMYFUNCTION("""COMPUTED_VALUE"""),"Mar adentro")</f>
        <v>Mar adentro</v>
      </c>
      <c r="M1120" s="5"/>
      <c r="N1120" s="5">
        <f>IFERROR(__xludf.DUMMYFUNCTION("""COMPUTED_VALUE"""),3.0)</f>
        <v>3</v>
      </c>
      <c r="S1120" s="5">
        <f>IFERROR(__xludf.DUMMYFUNCTION("""COMPUTED_VALUE"""),450.0)</f>
        <v>450</v>
      </c>
      <c r="T1120" s="5" t="str">
        <f>IFERROR(__xludf.DUMMYFUNCTION("""COMPUTED_VALUE"""),"Kind Hearts and Coronets")</f>
        <v>Kind Hearts and Coronets</v>
      </c>
      <c r="U1120" s="5" t="str">
        <f>IFERROR(__xludf.DUMMYFUNCTION("""COMPUTED_VALUE"""),"Crime")</f>
        <v>Crime</v>
      </c>
      <c r="V1120" s="5">
        <f>IFERROR(__xludf.DUMMYFUNCTION("""COMPUTED_VALUE"""),2.0)</f>
        <v>2</v>
      </c>
    </row>
    <row r="1121">
      <c r="J1121" s="5" t="str">
        <f>IFERROR(__xludf.DUMMYFUNCTION("""COMPUTED_VALUE"""),"374🤙🏼Cinderella Man🤙🏼Biography🤙🏼1")</f>
        <v>374🤙🏼Cinderella Man🤙🏼Biography🤙🏼1</v>
      </c>
      <c r="K1121" s="5">
        <f>IFERROR(__xludf.DUMMYFUNCTION("SPLiT(J1121, ""🤙🏼"",FALSE,FALSE)"),374.0)</f>
        <v>374</v>
      </c>
      <c r="L1121" s="5" t="str">
        <f>IFERROR(__xludf.DUMMYFUNCTION("""COMPUTED_VALUE"""),"Cinderella Man")</f>
        <v>Cinderella Man</v>
      </c>
      <c r="M1121" s="5" t="str">
        <f>IFERROR(__xludf.DUMMYFUNCTION("""COMPUTED_VALUE"""),"Biography")</f>
        <v>Biography</v>
      </c>
      <c r="N1121" s="5">
        <f>IFERROR(__xludf.DUMMYFUNCTION("""COMPUTED_VALUE"""),1.0)</f>
        <v>1</v>
      </c>
      <c r="S1121" s="5">
        <f>IFERROR(__xludf.DUMMYFUNCTION("""COMPUTED_VALUE"""),451.0)</f>
        <v>451</v>
      </c>
      <c r="T1121" s="5" t="str">
        <f>IFERROR(__xludf.DUMMYFUNCTION("""COMPUTED_VALUE"""),"Rope")</f>
        <v>Rope</v>
      </c>
      <c r="U1121" s="5" t="str">
        <f>IFERROR(__xludf.DUMMYFUNCTION("""COMPUTED_VALUE"""),"Crime")</f>
        <v>Crime</v>
      </c>
      <c r="V1121" s="5">
        <f>IFERROR(__xludf.DUMMYFUNCTION("""COMPUTED_VALUE"""),1.0)</f>
        <v>1</v>
      </c>
    </row>
    <row r="1122">
      <c r="J1122" s="5" t="str">
        <f>IFERROR(__xludf.DUMMYFUNCTION("""COMPUTED_VALUE"""),"374🤙🏼Cinderella Man🤙🏼Drama🤙🏼2")</f>
        <v>374🤙🏼Cinderella Man🤙🏼Drama🤙🏼2</v>
      </c>
      <c r="K1122" s="5">
        <f>IFERROR(__xludf.DUMMYFUNCTION("SPLiT(J1122, ""🤙🏼"",FALSE,FALSE)"),374.0)</f>
        <v>374</v>
      </c>
      <c r="L1122" s="5" t="str">
        <f>IFERROR(__xludf.DUMMYFUNCTION("""COMPUTED_VALUE"""),"Cinderella Man")</f>
        <v>Cinderella Man</v>
      </c>
      <c r="M1122" s="5" t="str">
        <f>IFERROR(__xludf.DUMMYFUNCTION("""COMPUTED_VALUE"""),"Drama")</f>
        <v>Drama</v>
      </c>
      <c r="N1122" s="5">
        <f>IFERROR(__xludf.DUMMYFUNCTION("""COMPUTED_VALUE"""),2.0)</f>
        <v>2</v>
      </c>
      <c r="S1122" s="5">
        <f>IFERROR(__xludf.DUMMYFUNCTION("""COMPUTED_VALUE"""),451.0)</f>
        <v>451</v>
      </c>
      <c r="T1122" s="5" t="str">
        <f>IFERROR(__xludf.DUMMYFUNCTION("""COMPUTED_VALUE"""),"Rope")</f>
        <v>Rope</v>
      </c>
      <c r="U1122" s="5" t="str">
        <f>IFERROR(__xludf.DUMMYFUNCTION("""COMPUTED_VALUE"""),"Drama")</f>
        <v>Drama</v>
      </c>
      <c r="V1122" s="5">
        <f>IFERROR(__xludf.DUMMYFUNCTION("""COMPUTED_VALUE"""),2.0)</f>
        <v>2</v>
      </c>
    </row>
    <row r="1123">
      <c r="J1123" s="5" t="str">
        <f>IFERROR(__xludf.DUMMYFUNCTION("""COMPUTED_VALUE"""),"374🤙🏼Cinderella Man🤙🏼History🤙🏼3")</f>
        <v>374🤙🏼Cinderella Man🤙🏼History🤙🏼3</v>
      </c>
      <c r="K1123" s="5">
        <f>IFERROR(__xludf.DUMMYFUNCTION("SPLiT(J1123, ""🤙🏼"",FALSE,FALSE)"),374.0)</f>
        <v>374</v>
      </c>
      <c r="L1123" s="5" t="str">
        <f>IFERROR(__xludf.DUMMYFUNCTION("""COMPUTED_VALUE"""),"Cinderella Man")</f>
        <v>Cinderella Man</v>
      </c>
      <c r="M1123" s="5" t="str">
        <f>IFERROR(__xludf.DUMMYFUNCTION("""COMPUTED_VALUE"""),"History")</f>
        <v>History</v>
      </c>
      <c r="N1123" s="5">
        <f>IFERROR(__xludf.DUMMYFUNCTION("""COMPUTED_VALUE"""),3.0)</f>
        <v>3</v>
      </c>
      <c r="S1123" s="5">
        <f>IFERROR(__xludf.DUMMYFUNCTION("""COMPUTED_VALUE"""),451.0)</f>
        <v>451</v>
      </c>
      <c r="T1123" s="5" t="str">
        <f>IFERROR(__xludf.DUMMYFUNCTION("""COMPUTED_VALUE"""),"Rope")</f>
        <v>Rope</v>
      </c>
      <c r="U1123" s="5" t="str">
        <f>IFERROR(__xludf.DUMMYFUNCTION("""COMPUTED_VALUE"""),"Mystery")</f>
        <v>Mystery</v>
      </c>
      <c r="V1123" s="5">
        <f>IFERROR(__xludf.DUMMYFUNCTION("""COMPUTED_VALUE"""),3.0)</f>
        <v>3</v>
      </c>
    </row>
    <row r="1124">
      <c r="J1124" s="5" t="str">
        <f>IFERROR(__xludf.DUMMYFUNCTION("""COMPUTED_VALUE"""),"375🤙🏼Kal Ho Naa Ho🤙🏼Comedy🤙🏼1")</f>
        <v>375🤙🏼Kal Ho Naa Ho🤙🏼Comedy🤙🏼1</v>
      </c>
      <c r="K1124" s="5">
        <f>IFERROR(__xludf.DUMMYFUNCTION("SPLiT(J1124, ""🤙🏼"",FALSE,FALSE)"),375.0)</f>
        <v>375</v>
      </c>
      <c r="L1124" s="5" t="str">
        <f>IFERROR(__xludf.DUMMYFUNCTION("""COMPUTED_VALUE"""),"Kal Ho Naa Ho")</f>
        <v>Kal Ho Naa Ho</v>
      </c>
      <c r="M1124" s="5" t="str">
        <f>IFERROR(__xludf.DUMMYFUNCTION("""COMPUTED_VALUE"""),"Comedy")</f>
        <v>Comedy</v>
      </c>
      <c r="N1124" s="5">
        <f>IFERROR(__xludf.DUMMYFUNCTION("""COMPUTED_VALUE"""),1.0)</f>
        <v>1</v>
      </c>
      <c r="S1124" s="5">
        <f>IFERROR(__xludf.DUMMYFUNCTION("""COMPUTED_VALUE"""),452.0)</f>
        <v>452</v>
      </c>
      <c r="T1124" s="5" t="str">
        <f>IFERROR(__xludf.DUMMYFUNCTION("""COMPUTED_VALUE"""),"Out of the Past")</f>
        <v>Out of the Past</v>
      </c>
      <c r="U1124" s="5" t="str">
        <f>IFERROR(__xludf.DUMMYFUNCTION("""COMPUTED_VALUE"""),"Crime")</f>
        <v>Crime</v>
      </c>
      <c r="V1124" s="5">
        <f>IFERROR(__xludf.DUMMYFUNCTION("""COMPUTED_VALUE"""),1.0)</f>
        <v>1</v>
      </c>
    </row>
    <row r="1125">
      <c r="J1125" s="5" t="str">
        <f>IFERROR(__xludf.DUMMYFUNCTION("""COMPUTED_VALUE"""),"375🤙🏼Kal Ho Naa Ho🤙🏼Drama🤙🏼2")</f>
        <v>375🤙🏼Kal Ho Naa Ho🤙🏼Drama🤙🏼2</v>
      </c>
      <c r="K1125" s="5">
        <f>IFERROR(__xludf.DUMMYFUNCTION("SPLiT(J1125, ""🤙🏼"",FALSE,FALSE)"),375.0)</f>
        <v>375</v>
      </c>
      <c r="L1125" s="5" t="str">
        <f>IFERROR(__xludf.DUMMYFUNCTION("""COMPUTED_VALUE"""),"Kal Ho Naa Ho")</f>
        <v>Kal Ho Naa Ho</v>
      </c>
      <c r="M1125" s="5" t="str">
        <f>IFERROR(__xludf.DUMMYFUNCTION("""COMPUTED_VALUE"""),"Drama")</f>
        <v>Drama</v>
      </c>
      <c r="N1125" s="5">
        <f>IFERROR(__xludf.DUMMYFUNCTION("""COMPUTED_VALUE"""),2.0)</f>
        <v>2</v>
      </c>
      <c r="S1125" s="5">
        <f>IFERROR(__xludf.DUMMYFUNCTION("""COMPUTED_VALUE"""),452.0)</f>
        <v>452</v>
      </c>
      <c r="T1125" s="5" t="str">
        <f>IFERROR(__xludf.DUMMYFUNCTION("""COMPUTED_VALUE"""),"Out of the Past")</f>
        <v>Out of the Past</v>
      </c>
      <c r="U1125" s="5" t="str">
        <f>IFERROR(__xludf.DUMMYFUNCTION("""COMPUTED_VALUE"""),"Drama")</f>
        <v>Drama</v>
      </c>
      <c r="V1125" s="5">
        <f>IFERROR(__xludf.DUMMYFUNCTION("""COMPUTED_VALUE"""),2.0)</f>
        <v>2</v>
      </c>
    </row>
    <row r="1126">
      <c r="J1126" s="5" t="str">
        <f>IFERROR(__xludf.DUMMYFUNCTION("""COMPUTED_VALUE"""),"375🤙🏼Kal Ho Naa Ho🤙🏼Musical🤙🏼3")</f>
        <v>375🤙🏼Kal Ho Naa Ho🤙🏼Musical🤙🏼3</v>
      </c>
      <c r="K1126" s="5">
        <f>IFERROR(__xludf.DUMMYFUNCTION("SPLiT(J1126, ""🤙🏼"",FALSE,FALSE)"),375.0)</f>
        <v>375</v>
      </c>
      <c r="L1126" s="5" t="str">
        <f>IFERROR(__xludf.DUMMYFUNCTION("""COMPUTED_VALUE"""),"Kal Ho Naa Ho")</f>
        <v>Kal Ho Naa Ho</v>
      </c>
      <c r="M1126" s="5" t="str">
        <f>IFERROR(__xludf.DUMMYFUNCTION("""COMPUTED_VALUE"""),"Musical")</f>
        <v>Musical</v>
      </c>
      <c r="N1126" s="5">
        <f>IFERROR(__xludf.DUMMYFUNCTION("""COMPUTED_VALUE"""),3.0)</f>
        <v>3</v>
      </c>
      <c r="S1126" s="5">
        <f>IFERROR(__xludf.DUMMYFUNCTION("""COMPUTED_VALUE"""),452.0)</f>
        <v>452</v>
      </c>
      <c r="T1126" s="5" t="str">
        <f>IFERROR(__xludf.DUMMYFUNCTION("""COMPUTED_VALUE"""),"Out of the Past")</f>
        <v>Out of the Past</v>
      </c>
      <c r="U1126" s="5" t="str">
        <f>IFERROR(__xludf.DUMMYFUNCTION("""COMPUTED_VALUE"""),"Film-Noir")</f>
        <v>Film-Noir</v>
      </c>
      <c r="V1126" s="5">
        <f>IFERROR(__xludf.DUMMYFUNCTION("""COMPUTED_VALUE"""),3.0)</f>
        <v>3</v>
      </c>
    </row>
    <row r="1127">
      <c r="J1127" s="5" t="str">
        <f>IFERROR(__xludf.DUMMYFUNCTION("""COMPUTED_VALUE"""),"376🤙🏼Mou gaan dou🤙🏼Action🤙🏼1")</f>
        <v>376🤙🏼Mou gaan dou🤙🏼Action🤙🏼1</v>
      </c>
      <c r="K1127" s="5">
        <f>IFERROR(__xludf.DUMMYFUNCTION("SPLiT(J1127, ""🤙🏼"",FALSE,FALSE)"),376.0)</f>
        <v>376</v>
      </c>
      <c r="L1127" s="5" t="str">
        <f>IFERROR(__xludf.DUMMYFUNCTION("""COMPUTED_VALUE"""),"Mou gaan dou")</f>
        <v>Mou gaan dou</v>
      </c>
      <c r="M1127" s="5" t="str">
        <f>IFERROR(__xludf.DUMMYFUNCTION("""COMPUTED_VALUE"""),"Action")</f>
        <v>Action</v>
      </c>
      <c r="N1127" s="5">
        <f>IFERROR(__xludf.DUMMYFUNCTION("""COMPUTED_VALUE"""),1.0)</f>
        <v>1</v>
      </c>
      <c r="S1127" s="5">
        <f>IFERROR(__xludf.DUMMYFUNCTION("""COMPUTED_VALUE"""),453.0)</f>
        <v>453</v>
      </c>
      <c r="T1127" s="5" t="str">
        <f>IFERROR(__xludf.DUMMYFUNCTION("""COMPUTED_VALUE"""),"Brief Encounter")</f>
        <v>Brief Encounter</v>
      </c>
      <c r="U1127" s="5" t="str">
        <f>IFERROR(__xludf.DUMMYFUNCTION("""COMPUTED_VALUE"""),"Drama")</f>
        <v>Drama</v>
      </c>
      <c r="V1127" s="5">
        <f>IFERROR(__xludf.DUMMYFUNCTION("""COMPUTED_VALUE"""),1.0)</f>
        <v>1</v>
      </c>
    </row>
    <row r="1128">
      <c r="J1128" s="5" t="str">
        <f>IFERROR(__xludf.DUMMYFUNCTION("""COMPUTED_VALUE"""),"376🤙🏼Mou gaan dou🤙🏼Crime🤙🏼2")</f>
        <v>376🤙🏼Mou gaan dou🤙🏼Crime🤙🏼2</v>
      </c>
      <c r="K1128" s="5">
        <f>IFERROR(__xludf.DUMMYFUNCTION("SPLiT(J1128, ""🤙🏼"",FALSE,FALSE)"),376.0)</f>
        <v>376</v>
      </c>
      <c r="L1128" s="5" t="str">
        <f>IFERROR(__xludf.DUMMYFUNCTION("""COMPUTED_VALUE"""),"Mou gaan dou")</f>
        <v>Mou gaan dou</v>
      </c>
      <c r="M1128" s="5" t="str">
        <f>IFERROR(__xludf.DUMMYFUNCTION("""COMPUTED_VALUE"""),"Crime")</f>
        <v>Crime</v>
      </c>
      <c r="N1128" s="5">
        <f>IFERROR(__xludf.DUMMYFUNCTION("""COMPUTED_VALUE"""),2.0)</f>
        <v>2</v>
      </c>
      <c r="S1128" s="5">
        <f>IFERROR(__xludf.DUMMYFUNCTION("""COMPUTED_VALUE"""),453.0)</f>
        <v>453</v>
      </c>
      <c r="T1128" s="5" t="str">
        <f>IFERROR(__xludf.DUMMYFUNCTION("""COMPUTED_VALUE"""),"Brief Encounter")</f>
        <v>Brief Encounter</v>
      </c>
      <c r="U1128" s="5" t="str">
        <f>IFERROR(__xludf.DUMMYFUNCTION("""COMPUTED_VALUE"""),"Romance")</f>
        <v>Romance</v>
      </c>
      <c r="V1128" s="5">
        <f>IFERROR(__xludf.DUMMYFUNCTION("""COMPUTED_VALUE"""),2.0)</f>
        <v>2</v>
      </c>
    </row>
    <row r="1129">
      <c r="J1129" s="5" t="str">
        <f>IFERROR(__xludf.DUMMYFUNCTION("""COMPUTED_VALUE"""),"376🤙🏼Mou gaan dou🤙🏼Drama🤙🏼3")</f>
        <v>376🤙🏼Mou gaan dou🤙🏼Drama🤙🏼3</v>
      </c>
      <c r="K1129" s="5">
        <f>IFERROR(__xludf.DUMMYFUNCTION("SPLiT(J1129, ""🤙🏼"",FALSE,FALSE)"),376.0)</f>
        <v>376</v>
      </c>
      <c r="L1129" s="5" t="str">
        <f>IFERROR(__xludf.DUMMYFUNCTION("""COMPUTED_VALUE"""),"Mou gaan dou")</f>
        <v>Mou gaan dou</v>
      </c>
      <c r="M1129" s="5" t="str">
        <f>IFERROR(__xludf.DUMMYFUNCTION("""COMPUTED_VALUE"""),"Drama")</f>
        <v>Drama</v>
      </c>
      <c r="N1129" s="5">
        <f>IFERROR(__xludf.DUMMYFUNCTION("""COMPUTED_VALUE"""),3.0)</f>
        <v>3</v>
      </c>
      <c r="S1129" s="5">
        <f>IFERROR(__xludf.DUMMYFUNCTION("""COMPUTED_VALUE"""),454.0)</f>
        <v>454</v>
      </c>
      <c r="T1129" s="5" t="str">
        <f>IFERROR(__xludf.DUMMYFUNCTION("""COMPUTED_VALUE"""),"Laura")</f>
        <v>Laura</v>
      </c>
      <c r="U1129" s="5" t="str">
        <f>IFERROR(__xludf.DUMMYFUNCTION("""COMPUTED_VALUE"""),"Drama")</f>
        <v>Drama</v>
      </c>
      <c r="V1129" s="5">
        <f>IFERROR(__xludf.DUMMYFUNCTION("""COMPUTED_VALUE"""),1.0)</f>
        <v>1</v>
      </c>
    </row>
    <row r="1130">
      <c r="J1130" s="5" t="str">
        <f>IFERROR(__xludf.DUMMYFUNCTION("""COMPUTED_VALUE"""),"377🤙🏼Pirates of the Caribbean: The Curse of the Black Pearl🤙🏼Action🤙🏼1")</f>
        <v>377🤙🏼Pirates of the Caribbean: The Curse of the Black Pearl🤙🏼Action🤙🏼1</v>
      </c>
      <c r="K1130" s="5">
        <f>IFERROR(__xludf.DUMMYFUNCTION("SPLiT(J1130, ""🤙🏼"",FALSE,FALSE)"),377.0)</f>
        <v>377</v>
      </c>
      <c r="L1130" s="5" t="str">
        <f>IFERROR(__xludf.DUMMYFUNCTION("""COMPUTED_VALUE"""),"Pirates of the Caribbean: The Curse of the Black Pearl")</f>
        <v>Pirates of the Caribbean: The Curse of the Black Pearl</v>
      </c>
      <c r="M1130" s="5" t="str">
        <f>IFERROR(__xludf.DUMMYFUNCTION("""COMPUTED_VALUE"""),"Action")</f>
        <v>Action</v>
      </c>
      <c r="N1130" s="5">
        <f>IFERROR(__xludf.DUMMYFUNCTION("""COMPUTED_VALUE"""),1.0)</f>
        <v>1</v>
      </c>
      <c r="S1130" s="5">
        <f>IFERROR(__xludf.DUMMYFUNCTION("""COMPUTED_VALUE"""),454.0)</f>
        <v>454</v>
      </c>
      <c r="T1130" s="5" t="str">
        <f>IFERROR(__xludf.DUMMYFUNCTION("""COMPUTED_VALUE"""),"Laura")</f>
        <v>Laura</v>
      </c>
      <c r="U1130" s="5" t="str">
        <f>IFERROR(__xludf.DUMMYFUNCTION("""COMPUTED_VALUE"""),"Film-Noir")</f>
        <v>Film-Noir</v>
      </c>
      <c r="V1130" s="5">
        <f>IFERROR(__xludf.DUMMYFUNCTION("""COMPUTED_VALUE"""),2.0)</f>
        <v>2</v>
      </c>
    </row>
    <row r="1131">
      <c r="J1131" s="5" t="str">
        <f>IFERROR(__xludf.DUMMYFUNCTION("""COMPUTED_VALUE"""),"377🤙🏼Pirates of the Caribbean: The Curse of the Black Pearl🤙🏼Adventure🤙🏼2")</f>
        <v>377🤙🏼Pirates of the Caribbean: The Curse of the Black Pearl🤙🏼Adventure🤙🏼2</v>
      </c>
      <c r="K1131" s="5">
        <f>IFERROR(__xludf.DUMMYFUNCTION("SPLiT(J1131, ""🤙🏼"",FALSE,FALSE)"),377.0)</f>
        <v>377</v>
      </c>
      <c r="L1131" s="5" t="str">
        <f>IFERROR(__xludf.DUMMYFUNCTION("""COMPUTED_VALUE"""),"Pirates of the Caribbean: The Curse of the Black Pearl")</f>
        <v>Pirates of the Caribbean: The Curse of the Black Pearl</v>
      </c>
      <c r="M1131" s="5" t="str">
        <f>IFERROR(__xludf.DUMMYFUNCTION("""COMPUTED_VALUE"""),"Adventure")</f>
        <v>Adventure</v>
      </c>
      <c r="N1131" s="5">
        <f>IFERROR(__xludf.DUMMYFUNCTION("""COMPUTED_VALUE"""),2.0)</f>
        <v>2</v>
      </c>
      <c r="S1131" s="5">
        <f>IFERROR(__xludf.DUMMYFUNCTION("""COMPUTED_VALUE"""),454.0)</f>
        <v>454</v>
      </c>
      <c r="T1131" s="5" t="str">
        <f>IFERROR(__xludf.DUMMYFUNCTION("""COMPUTED_VALUE"""),"Laura")</f>
        <v>Laura</v>
      </c>
      <c r="U1131" s="5" t="str">
        <f>IFERROR(__xludf.DUMMYFUNCTION("""COMPUTED_VALUE"""),"Mystery")</f>
        <v>Mystery</v>
      </c>
      <c r="V1131" s="5">
        <f>IFERROR(__xludf.DUMMYFUNCTION("""COMPUTED_VALUE"""),3.0)</f>
        <v>3</v>
      </c>
    </row>
    <row r="1132">
      <c r="J1132" s="5" t="str">
        <f>IFERROR(__xludf.DUMMYFUNCTION("""COMPUTED_VALUE"""),"377🤙🏼Pirates of the Caribbean: The Curse of the Black Pearl🤙🏼Fantasy🤙🏼3")</f>
        <v>377🤙🏼Pirates of the Caribbean: The Curse of the Black Pearl🤙🏼Fantasy🤙🏼3</v>
      </c>
      <c r="K1132" s="5">
        <f>IFERROR(__xludf.DUMMYFUNCTION("SPLiT(J1132, ""🤙🏼"",FALSE,FALSE)"),377.0)</f>
        <v>377</v>
      </c>
      <c r="L1132" s="5" t="str">
        <f>IFERROR(__xludf.DUMMYFUNCTION("""COMPUTED_VALUE"""),"Pirates of the Caribbean: The Curse of the Black Pearl")</f>
        <v>Pirates of the Caribbean: The Curse of the Black Pearl</v>
      </c>
      <c r="M1132" s="5" t="str">
        <f>IFERROR(__xludf.DUMMYFUNCTION("""COMPUTED_VALUE"""),"Fantasy")</f>
        <v>Fantasy</v>
      </c>
      <c r="N1132" s="5">
        <f>IFERROR(__xludf.DUMMYFUNCTION("""COMPUTED_VALUE"""),3.0)</f>
        <v>3</v>
      </c>
      <c r="S1132" s="5">
        <f>IFERROR(__xludf.DUMMYFUNCTION("""COMPUTED_VALUE"""),455.0)</f>
        <v>455</v>
      </c>
      <c r="T1132" s="5" t="str">
        <f>IFERROR(__xludf.DUMMYFUNCTION("""COMPUTED_VALUE"""),"The Best Years of Our Lives")</f>
        <v>The Best Years of Our Lives</v>
      </c>
      <c r="U1132" s="5" t="str">
        <f>IFERROR(__xludf.DUMMYFUNCTION("""COMPUTED_VALUE"""),"Drama")</f>
        <v>Drama</v>
      </c>
      <c r="V1132" s="5">
        <f>IFERROR(__xludf.DUMMYFUNCTION("""COMPUTED_VALUE"""),1.0)</f>
        <v>1</v>
      </c>
    </row>
    <row r="1133">
      <c r="J1133" s="5" t="str">
        <f>IFERROR(__xludf.DUMMYFUNCTION("""COMPUTED_VALUE"""),"378🤙🏼Big Fish🤙🏼Adventure🤙🏼1")</f>
        <v>378🤙🏼Big Fish🤙🏼Adventure🤙🏼1</v>
      </c>
      <c r="K1133" s="5">
        <f>IFERROR(__xludf.DUMMYFUNCTION("SPLiT(J1133, ""🤙🏼"",FALSE,FALSE)"),378.0)</f>
        <v>378</v>
      </c>
      <c r="L1133" s="5" t="str">
        <f>IFERROR(__xludf.DUMMYFUNCTION("""COMPUTED_VALUE"""),"Big Fish")</f>
        <v>Big Fish</v>
      </c>
      <c r="M1133" s="5" t="str">
        <f>IFERROR(__xludf.DUMMYFUNCTION("""COMPUTED_VALUE"""),"Adventure")</f>
        <v>Adventure</v>
      </c>
      <c r="N1133" s="5">
        <f>IFERROR(__xludf.DUMMYFUNCTION("""COMPUTED_VALUE"""),1.0)</f>
        <v>1</v>
      </c>
      <c r="S1133" s="5">
        <f>IFERROR(__xludf.DUMMYFUNCTION("""COMPUTED_VALUE"""),455.0)</f>
        <v>455</v>
      </c>
      <c r="T1133" s="5" t="str">
        <f>IFERROR(__xludf.DUMMYFUNCTION("""COMPUTED_VALUE"""),"The Best Years of Our Lives")</f>
        <v>The Best Years of Our Lives</v>
      </c>
      <c r="U1133" s="5" t="str">
        <f>IFERROR(__xludf.DUMMYFUNCTION("""COMPUTED_VALUE"""),"Romance")</f>
        <v>Romance</v>
      </c>
      <c r="V1133" s="5">
        <f>IFERROR(__xludf.DUMMYFUNCTION("""COMPUTED_VALUE"""),2.0)</f>
        <v>2</v>
      </c>
    </row>
    <row r="1134">
      <c r="J1134" s="5" t="str">
        <f>IFERROR(__xludf.DUMMYFUNCTION("""COMPUTED_VALUE"""),"378🤙🏼Big Fish🤙🏼Drama🤙🏼2")</f>
        <v>378🤙🏼Big Fish🤙🏼Drama🤙🏼2</v>
      </c>
      <c r="K1134" s="5">
        <f>IFERROR(__xludf.DUMMYFUNCTION("SPLiT(J1134, ""🤙🏼"",FALSE,FALSE)"),378.0)</f>
        <v>378</v>
      </c>
      <c r="L1134" s="5" t="str">
        <f>IFERROR(__xludf.DUMMYFUNCTION("""COMPUTED_VALUE"""),"Big Fish")</f>
        <v>Big Fish</v>
      </c>
      <c r="M1134" s="5" t="str">
        <f>IFERROR(__xludf.DUMMYFUNCTION("""COMPUTED_VALUE"""),"Drama")</f>
        <v>Drama</v>
      </c>
      <c r="N1134" s="5">
        <f>IFERROR(__xludf.DUMMYFUNCTION("""COMPUTED_VALUE"""),2.0)</f>
        <v>2</v>
      </c>
      <c r="S1134" s="5">
        <f>IFERROR(__xludf.DUMMYFUNCTION("""COMPUTED_VALUE"""),455.0)</f>
        <v>455</v>
      </c>
      <c r="T1134" s="5" t="str">
        <f>IFERROR(__xludf.DUMMYFUNCTION("""COMPUTED_VALUE"""),"The Best Years of Our Lives")</f>
        <v>The Best Years of Our Lives</v>
      </c>
      <c r="U1134" s="5" t="str">
        <f>IFERROR(__xludf.DUMMYFUNCTION("""COMPUTED_VALUE"""),"War")</f>
        <v>War</v>
      </c>
      <c r="V1134" s="5">
        <f>IFERROR(__xludf.DUMMYFUNCTION("""COMPUTED_VALUE"""),3.0)</f>
        <v>3</v>
      </c>
    </row>
    <row r="1135">
      <c r="J1135" s="5" t="str">
        <f>IFERROR(__xludf.DUMMYFUNCTION("""COMPUTED_VALUE"""),"378🤙🏼Big Fish🤙🏼Fantasy🤙🏼3")</f>
        <v>378🤙🏼Big Fish🤙🏼Fantasy🤙🏼3</v>
      </c>
      <c r="K1135" s="5">
        <f>IFERROR(__xludf.DUMMYFUNCTION("SPLiT(J1135, ""🤙🏼"",FALSE,FALSE)"),378.0)</f>
        <v>378</v>
      </c>
      <c r="L1135" s="5" t="str">
        <f>IFERROR(__xludf.DUMMYFUNCTION("""COMPUTED_VALUE"""),"Big Fish")</f>
        <v>Big Fish</v>
      </c>
      <c r="M1135" s="5" t="str">
        <f>IFERROR(__xludf.DUMMYFUNCTION("""COMPUTED_VALUE"""),"Fantasy")</f>
        <v>Fantasy</v>
      </c>
      <c r="N1135" s="5">
        <f>IFERROR(__xludf.DUMMYFUNCTION("""COMPUTED_VALUE"""),3.0)</f>
        <v>3</v>
      </c>
      <c r="S1135" s="5">
        <f>IFERROR(__xludf.DUMMYFUNCTION("""COMPUTED_VALUE"""),456.0)</f>
        <v>456</v>
      </c>
      <c r="T1135" s="5" t="str">
        <f>IFERROR(__xludf.DUMMYFUNCTION("""COMPUTED_VALUE"""),"Arsenic and Old Lace")</f>
        <v>Arsenic and Old Lace</v>
      </c>
      <c r="U1135" s="5" t="str">
        <f>IFERROR(__xludf.DUMMYFUNCTION("""COMPUTED_VALUE"""),"Comedy")</f>
        <v>Comedy</v>
      </c>
      <c r="V1135" s="5">
        <f>IFERROR(__xludf.DUMMYFUNCTION("""COMPUTED_VALUE"""),1.0)</f>
        <v>1</v>
      </c>
    </row>
    <row r="1136">
      <c r="J1136" s="5" t="str">
        <f>IFERROR(__xludf.DUMMYFUNCTION("""COMPUTED_VALUE"""),"379🤙🏼The Incredibles🤙🏼Animation🤙🏼1")</f>
        <v>379🤙🏼The Incredibles🤙🏼Animation🤙🏼1</v>
      </c>
      <c r="K1136" s="5">
        <f>IFERROR(__xludf.DUMMYFUNCTION("SPLiT(J1136, ""🤙🏼"",FALSE,FALSE)"),379.0)</f>
        <v>379</v>
      </c>
      <c r="L1136" s="5" t="str">
        <f>IFERROR(__xludf.DUMMYFUNCTION("""COMPUTED_VALUE"""),"The Incredibles")</f>
        <v>The Incredibles</v>
      </c>
      <c r="M1136" s="5" t="str">
        <f>IFERROR(__xludf.DUMMYFUNCTION("""COMPUTED_VALUE"""),"Animation")</f>
        <v>Animation</v>
      </c>
      <c r="N1136" s="5">
        <f>IFERROR(__xludf.DUMMYFUNCTION("""COMPUTED_VALUE"""),1.0)</f>
        <v>1</v>
      </c>
      <c r="S1136" s="5">
        <f>IFERROR(__xludf.DUMMYFUNCTION("""COMPUTED_VALUE"""),456.0)</f>
        <v>456</v>
      </c>
      <c r="T1136" s="5" t="str">
        <f>IFERROR(__xludf.DUMMYFUNCTION("""COMPUTED_VALUE"""),"Arsenic and Old Lace")</f>
        <v>Arsenic and Old Lace</v>
      </c>
      <c r="U1136" s="5" t="str">
        <f>IFERROR(__xludf.DUMMYFUNCTION("""COMPUTED_VALUE"""),"Crime")</f>
        <v>Crime</v>
      </c>
      <c r="V1136" s="5">
        <f>IFERROR(__xludf.DUMMYFUNCTION("""COMPUTED_VALUE"""),2.0)</f>
        <v>2</v>
      </c>
    </row>
    <row r="1137">
      <c r="J1137" s="5" t="str">
        <f>IFERROR(__xludf.DUMMYFUNCTION("""COMPUTED_VALUE"""),"379🤙🏼The Incredibles🤙🏼Action🤙🏼2")</f>
        <v>379🤙🏼The Incredibles🤙🏼Action🤙🏼2</v>
      </c>
      <c r="K1137" s="5">
        <f>IFERROR(__xludf.DUMMYFUNCTION("SPLiT(J1137, ""🤙🏼"",FALSE,FALSE)"),379.0)</f>
        <v>379</v>
      </c>
      <c r="L1137" s="5" t="str">
        <f>IFERROR(__xludf.DUMMYFUNCTION("""COMPUTED_VALUE"""),"The Incredibles")</f>
        <v>The Incredibles</v>
      </c>
      <c r="M1137" s="5" t="str">
        <f>IFERROR(__xludf.DUMMYFUNCTION("""COMPUTED_VALUE"""),"Action")</f>
        <v>Action</v>
      </c>
      <c r="N1137" s="5">
        <f>IFERROR(__xludf.DUMMYFUNCTION("""COMPUTED_VALUE"""),2.0)</f>
        <v>2</v>
      </c>
      <c r="S1137" s="5">
        <f>IFERROR(__xludf.DUMMYFUNCTION("""COMPUTED_VALUE"""),456.0)</f>
        <v>456</v>
      </c>
      <c r="T1137" s="5" t="str">
        <f>IFERROR(__xludf.DUMMYFUNCTION("""COMPUTED_VALUE"""),"Arsenic and Old Lace")</f>
        <v>Arsenic and Old Lace</v>
      </c>
      <c r="U1137" s="5" t="str">
        <f>IFERROR(__xludf.DUMMYFUNCTION("""COMPUTED_VALUE"""),"Thriller")</f>
        <v>Thriller</v>
      </c>
      <c r="V1137" s="5">
        <f>IFERROR(__xludf.DUMMYFUNCTION("""COMPUTED_VALUE"""),3.0)</f>
        <v>3</v>
      </c>
    </row>
    <row r="1138">
      <c r="J1138" s="5" t="str">
        <f>IFERROR(__xludf.DUMMYFUNCTION("""COMPUTED_VALUE"""),"379🤙🏼The Incredibles🤙🏼Adventure🤙🏼3")</f>
        <v>379🤙🏼The Incredibles🤙🏼Adventure🤙🏼3</v>
      </c>
      <c r="K1138" s="5">
        <f>IFERROR(__xludf.DUMMYFUNCTION("SPLiT(J1138, ""🤙🏼"",FALSE,FALSE)"),379.0)</f>
        <v>379</v>
      </c>
      <c r="L1138" s="5" t="str">
        <f>IFERROR(__xludf.DUMMYFUNCTION("""COMPUTED_VALUE"""),"The Incredibles")</f>
        <v>The Incredibles</v>
      </c>
      <c r="M1138" s="5" t="str">
        <f>IFERROR(__xludf.DUMMYFUNCTION("""COMPUTED_VALUE"""),"Adventure")</f>
        <v>Adventure</v>
      </c>
      <c r="N1138" s="5">
        <f>IFERROR(__xludf.DUMMYFUNCTION("""COMPUTED_VALUE"""),3.0)</f>
        <v>3</v>
      </c>
      <c r="S1138" s="5">
        <f>IFERROR(__xludf.DUMMYFUNCTION("""COMPUTED_VALUE"""),457.0)</f>
        <v>457</v>
      </c>
      <c r="T1138" s="5" t="str">
        <f>IFERROR(__xludf.DUMMYFUNCTION("""COMPUTED_VALUE"""),"The Maltese Falcon")</f>
        <v>The Maltese Falcon</v>
      </c>
      <c r="U1138" s="5" t="str">
        <f>IFERROR(__xludf.DUMMYFUNCTION("""COMPUTED_VALUE"""),"Film-Noir")</f>
        <v>Film-Noir</v>
      </c>
      <c r="V1138" s="5">
        <f>IFERROR(__xludf.DUMMYFUNCTION("""COMPUTED_VALUE"""),1.0)</f>
        <v>1</v>
      </c>
    </row>
    <row r="1139">
      <c r="J1139" s="5" t="str">
        <f>IFERROR(__xludf.DUMMYFUNCTION("""COMPUTED_VALUE"""),"380🤙🏼Yeopgijeogin geunyeo🤙🏼Comedy🤙🏼1")</f>
        <v>380🤙🏼Yeopgijeogin geunyeo🤙🏼Comedy🤙🏼1</v>
      </c>
      <c r="K1139" s="5">
        <f>IFERROR(__xludf.DUMMYFUNCTION("SPLiT(J1139, ""🤙🏼"",FALSE,FALSE)"),380.0)</f>
        <v>380</v>
      </c>
      <c r="L1139" s="5" t="str">
        <f>IFERROR(__xludf.DUMMYFUNCTION("""COMPUTED_VALUE"""),"Yeopgijeogin geunyeo")</f>
        <v>Yeopgijeogin geunyeo</v>
      </c>
      <c r="M1139" s="5" t="str">
        <f>IFERROR(__xludf.DUMMYFUNCTION("""COMPUTED_VALUE"""),"Comedy")</f>
        <v>Comedy</v>
      </c>
      <c r="N1139" s="5">
        <f>IFERROR(__xludf.DUMMYFUNCTION("""COMPUTED_VALUE"""),1.0)</f>
        <v>1</v>
      </c>
      <c r="S1139" s="5">
        <f>IFERROR(__xludf.DUMMYFUNCTION("""COMPUTED_VALUE"""),457.0)</f>
        <v>457</v>
      </c>
      <c r="T1139" s="5" t="str">
        <f>IFERROR(__xludf.DUMMYFUNCTION("""COMPUTED_VALUE"""),"The Maltese Falcon")</f>
        <v>The Maltese Falcon</v>
      </c>
      <c r="U1139" s="5" t="str">
        <f>IFERROR(__xludf.DUMMYFUNCTION("""COMPUTED_VALUE"""),"Mystery")</f>
        <v>Mystery</v>
      </c>
      <c r="V1139" s="5">
        <f>IFERROR(__xludf.DUMMYFUNCTION("""COMPUTED_VALUE"""),2.0)</f>
        <v>2</v>
      </c>
    </row>
    <row r="1140">
      <c r="J1140" s="5" t="str">
        <f>IFERROR(__xludf.DUMMYFUNCTION("""COMPUTED_VALUE"""),"380🤙🏼Yeopgijeogin geunyeo🤙🏼Drama🤙🏼2")</f>
        <v>380🤙🏼Yeopgijeogin geunyeo🤙🏼Drama🤙🏼2</v>
      </c>
      <c r="K1140" s="5">
        <f>IFERROR(__xludf.DUMMYFUNCTION("SPLiT(J1140, ""🤙🏼"",FALSE,FALSE)"),380.0)</f>
        <v>380</v>
      </c>
      <c r="L1140" s="5" t="str">
        <f>IFERROR(__xludf.DUMMYFUNCTION("""COMPUTED_VALUE"""),"Yeopgijeogin geunyeo")</f>
        <v>Yeopgijeogin geunyeo</v>
      </c>
      <c r="M1140" s="5" t="str">
        <f>IFERROR(__xludf.DUMMYFUNCTION("""COMPUTED_VALUE"""),"Drama")</f>
        <v>Drama</v>
      </c>
      <c r="N1140" s="5">
        <f>IFERROR(__xludf.DUMMYFUNCTION("""COMPUTED_VALUE"""),2.0)</f>
        <v>2</v>
      </c>
      <c r="S1140" s="5">
        <f>IFERROR(__xludf.DUMMYFUNCTION("""COMPUTED_VALUE"""),458.0)</f>
        <v>458</v>
      </c>
      <c r="T1140" s="5" t="str">
        <f>IFERROR(__xludf.DUMMYFUNCTION("""COMPUTED_VALUE"""),"The Grapes of Wrath")</f>
        <v>The Grapes of Wrath</v>
      </c>
      <c r="U1140" s="5" t="str">
        <f>IFERROR(__xludf.DUMMYFUNCTION("""COMPUTED_VALUE"""),"Drama")</f>
        <v>Drama</v>
      </c>
      <c r="V1140" s="5">
        <f>IFERROR(__xludf.DUMMYFUNCTION("""COMPUTED_VALUE"""),1.0)</f>
        <v>1</v>
      </c>
    </row>
    <row r="1141">
      <c r="J1141" s="5" t="str">
        <f>IFERROR(__xludf.DUMMYFUNCTION("""COMPUTED_VALUE"""),"380🤙🏼Yeopgijeogin geunyeo🤙🏼Romance🤙🏼3")</f>
        <v>380🤙🏼Yeopgijeogin geunyeo🤙🏼Romance🤙🏼3</v>
      </c>
      <c r="K1141" s="5">
        <f>IFERROR(__xludf.DUMMYFUNCTION("SPLiT(J1141, ""🤙🏼"",FALSE,FALSE)"),380.0)</f>
        <v>380</v>
      </c>
      <c r="L1141" s="5" t="str">
        <f>IFERROR(__xludf.DUMMYFUNCTION("""COMPUTED_VALUE"""),"Yeopgijeogin geunyeo")</f>
        <v>Yeopgijeogin geunyeo</v>
      </c>
      <c r="M1141" s="5" t="str">
        <f>IFERROR(__xludf.DUMMYFUNCTION("""COMPUTED_VALUE"""),"Romance")</f>
        <v>Romance</v>
      </c>
      <c r="N1141" s="5">
        <f>IFERROR(__xludf.DUMMYFUNCTION("""COMPUTED_VALUE"""),3.0)</f>
        <v>3</v>
      </c>
      <c r="S1141" s="5">
        <f>IFERROR(__xludf.DUMMYFUNCTION("""COMPUTED_VALUE"""),458.0)</f>
        <v>458</v>
      </c>
      <c r="T1141" s="5" t="str">
        <f>IFERROR(__xludf.DUMMYFUNCTION("""COMPUTED_VALUE"""),"The Grapes of Wrath")</f>
        <v>The Grapes of Wrath</v>
      </c>
      <c r="U1141" s="5" t="str">
        <f>IFERROR(__xludf.DUMMYFUNCTION("""COMPUTED_VALUE"""),"History")</f>
        <v>History</v>
      </c>
      <c r="V1141" s="5">
        <f>IFERROR(__xludf.DUMMYFUNCTION("""COMPUTED_VALUE"""),2.0)</f>
        <v>2</v>
      </c>
    </row>
    <row r="1142">
      <c r="J1142" s="5" t="str">
        <f>IFERROR(__xludf.DUMMYFUNCTION("""COMPUTED_VALUE"""),"381🤙🏼Dogville🤙🏼Crime🤙🏼1")</f>
        <v>381🤙🏼Dogville🤙🏼Crime🤙🏼1</v>
      </c>
      <c r="K1142" s="5">
        <f>IFERROR(__xludf.DUMMYFUNCTION("SPLiT(J1142, ""🤙🏼"",FALSE,FALSE)"),381.0)</f>
        <v>381</v>
      </c>
      <c r="L1142" s="5" t="str">
        <f>IFERROR(__xludf.DUMMYFUNCTION("""COMPUTED_VALUE"""),"Dogville")</f>
        <v>Dogville</v>
      </c>
      <c r="M1142" s="5" t="str">
        <f>IFERROR(__xludf.DUMMYFUNCTION("""COMPUTED_VALUE"""),"Crime")</f>
        <v>Crime</v>
      </c>
      <c r="N1142" s="5">
        <f>IFERROR(__xludf.DUMMYFUNCTION("""COMPUTED_VALUE"""),1.0)</f>
        <v>1</v>
      </c>
      <c r="S1142" s="5">
        <f>IFERROR(__xludf.DUMMYFUNCTION("""COMPUTED_VALUE"""),459.0)</f>
        <v>459</v>
      </c>
      <c r="T1142" s="5" t="str">
        <f>IFERROR(__xludf.DUMMYFUNCTION("""COMPUTED_VALUE"""),"The Wizard of Oz")</f>
        <v>The Wizard of Oz</v>
      </c>
      <c r="U1142" s="5" t="str">
        <f>IFERROR(__xludf.DUMMYFUNCTION("""COMPUTED_VALUE"""),"Adventure")</f>
        <v>Adventure</v>
      </c>
      <c r="V1142" s="5">
        <f>IFERROR(__xludf.DUMMYFUNCTION("""COMPUTED_VALUE"""),1.0)</f>
        <v>1</v>
      </c>
    </row>
    <row r="1143">
      <c r="J1143" s="5" t="str">
        <f>IFERROR(__xludf.DUMMYFUNCTION("""COMPUTED_VALUE"""),"381🤙🏼Dogville🤙🏼Drama🤙🏼2")</f>
        <v>381🤙🏼Dogville🤙🏼Drama🤙🏼2</v>
      </c>
      <c r="K1143" s="5">
        <f>IFERROR(__xludf.DUMMYFUNCTION("SPLiT(J1143, ""🤙🏼"",FALSE,FALSE)"),381.0)</f>
        <v>381</v>
      </c>
      <c r="L1143" s="5" t="str">
        <f>IFERROR(__xludf.DUMMYFUNCTION("""COMPUTED_VALUE"""),"Dogville")</f>
        <v>Dogville</v>
      </c>
      <c r="M1143" s="5" t="str">
        <f>IFERROR(__xludf.DUMMYFUNCTION("""COMPUTED_VALUE"""),"Drama")</f>
        <v>Drama</v>
      </c>
      <c r="N1143" s="5">
        <f>IFERROR(__xludf.DUMMYFUNCTION("""COMPUTED_VALUE"""),2.0)</f>
        <v>2</v>
      </c>
      <c r="S1143" s="5">
        <f>IFERROR(__xludf.DUMMYFUNCTION("""COMPUTED_VALUE"""),459.0)</f>
        <v>459</v>
      </c>
      <c r="T1143" s="5" t="str">
        <f>IFERROR(__xludf.DUMMYFUNCTION("""COMPUTED_VALUE"""),"The Wizard of Oz")</f>
        <v>The Wizard of Oz</v>
      </c>
      <c r="U1143" s="5" t="str">
        <f>IFERROR(__xludf.DUMMYFUNCTION("""COMPUTED_VALUE"""),"Family")</f>
        <v>Family</v>
      </c>
      <c r="V1143" s="5">
        <f>IFERROR(__xludf.DUMMYFUNCTION("""COMPUTED_VALUE"""),2.0)</f>
        <v>2</v>
      </c>
    </row>
    <row r="1144">
      <c r="J1144" s="5" t="str">
        <f>IFERROR(__xludf.DUMMYFUNCTION("""COMPUTED_VALUE"""),"381🤙🏼Dogville🤙🏼🤙🏼3")</f>
        <v>381🤙🏼Dogville🤙🏼🤙🏼3</v>
      </c>
      <c r="K1144" s="5">
        <f>IFERROR(__xludf.DUMMYFUNCTION("SPLiT(J1144, ""🤙🏼"",FALSE,FALSE)"),381.0)</f>
        <v>381</v>
      </c>
      <c r="L1144" s="5" t="str">
        <f>IFERROR(__xludf.DUMMYFUNCTION("""COMPUTED_VALUE"""),"Dogville")</f>
        <v>Dogville</v>
      </c>
      <c r="M1144" s="5"/>
      <c r="N1144" s="5">
        <f>IFERROR(__xludf.DUMMYFUNCTION("""COMPUTED_VALUE"""),3.0)</f>
        <v>3</v>
      </c>
      <c r="S1144" s="5">
        <f>IFERROR(__xludf.DUMMYFUNCTION("""COMPUTED_VALUE"""),459.0)</f>
        <v>459</v>
      </c>
      <c r="T1144" s="5" t="str">
        <f>IFERROR(__xludf.DUMMYFUNCTION("""COMPUTED_VALUE"""),"The Wizard of Oz")</f>
        <v>The Wizard of Oz</v>
      </c>
      <c r="U1144" s="5" t="str">
        <f>IFERROR(__xludf.DUMMYFUNCTION("""COMPUTED_VALUE"""),"Fantasy")</f>
        <v>Fantasy</v>
      </c>
      <c r="V1144" s="5">
        <f>IFERROR(__xludf.DUMMYFUNCTION("""COMPUTED_VALUE"""),3.0)</f>
        <v>3</v>
      </c>
    </row>
    <row r="1145">
      <c r="J1145" s="5" t="str">
        <f>IFERROR(__xludf.DUMMYFUNCTION("""COMPUTED_VALUE"""),"382🤙🏼Vizontele🤙🏼Comedy🤙🏼1")</f>
        <v>382🤙🏼Vizontele🤙🏼Comedy🤙🏼1</v>
      </c>
      <c r="K1145" s="5">
        <f>IFERROR(__xludf.DUMMYFUNCTION("SPLiT(J1145, ""🤙🏼"",FALSE,FALSE)"),382.0)</f>
        <v>382</v>
      </c>
      <c r="L1145" s="5" t="str">
        <f>IFERROR(__xludf.DUMMYFUNCTION("""COMPUTED_VALUE"""),"Vizontele")</f>
        <v>Vizontele</v>
      </c>
      <c r="M1145" s="5" t="str">
        <f>IFERROR(__xludf.DUMMYFUNCTION("""COMPUTED_VALUE"""),"Comedy")</f>
        <v>Comedy</v>
      </c>
      <c r="N1145" s="5">
        <f>IFERROR(__xludf.DUMMYFUNCTION("""COMPUTED_VALUE"""),1.0)</f>
        <v>1</v>
      </c>
      <c r="S1145" s="5">
        <f>IFERROR(__xludf.DUMMYFUNCTION("""COMPUTED_VALUE"""),460.0)</f>
        <v>460</v>
      </c>
      <c r="T1145" s="5" t="str">
        <f>IFERROR(__xludf.DUMMYFUNCTION("""COMPUTED_VALUE"""),"La règle du jeu")</f>
        <v>La règle du jeu</v>
      </c>
      <c r="U1145" s="5" t="str">
        <f>IFERROR(__xludf.DUMMYFUNCTION("""COMPUTED_VALUE"""),"Comedy")</f>
        <v>Comedy</v>
      </c>
      <c r="V1145" s="5">
        <f>IFERROR(__xludf.DUMMYFUNCTION("""COMPUTED_VALUE"""),1.0)</f>
        <v>1</v>
      </c>
    </row>
    <row r="1146">
      <c r="J1146" s="5" t="str">
        <f>IFERROR(__xludf.DUMMYFUNCTION("""COMPUTED_VALUE"""),"382🤙🏼Vizontele🤙🏼Drama🤙🏼2")</f>
        <v>382🤙🏼Vizontele🤙🏼Drama🤙🏼2</v>
      </c>
      <c r="K1146" s="5">
        <f>IFERROR(__xludf.DUMMYFUNCTION("SPLiT(J1146, ""🤙🏼"",FALSE,FALSE)"),382.0)</f>
        <v>382</v>
      </c>
      <c r="L1146" s="5" t="str">
        <f>IFERROR(__xludf.DUMMYFUNCTION("""COMPUTED_VALUE"""),"Vizontele")</f>
        <v>Vizontele</v>
      </c>
      <c r="M1146" s="5" t="str">
        <f>IFERROR(__xludf.DUMMYFUNCTION("""COMPUTED_VALUE"""),"Drama")</f>
        <v>Drama</v>
      </c>
      <c r="N1146" s="5">
        <f>IFERROR(__xludf.DUMMYFUNCTION("""COMPUTED_VALUE"""),2.0)</f>
        <v>2</v>
      </c>
      <c r="S1146" s="5">
        <f>IFERROR(__xludf.DUMMYFUNCTION("""COMPUTED_VALUE"""),460.0)</f>
        <v>460</v>
      </c>
      <c r="T1146" s="5" t="str">
        <f>IFERROR(__xludf.DUMMYFUNCTION("""COMPUTED_VALUE"""),"La règle du jeu")</f>
        <v>La règle du jeu</v>
      </c>
      <c r="U1146" s="5" t="str">
        <f>IFERROR(__xludf.DUMMYFUNCTION("""COMPUTED_VALUE"""),"Drama")</f>
        <v>Drama</v>
      </c>
      <c r="V1146" s="5">
        <f>IFERROR(__xludf.DUMMYFUNCTION("""COMPUTED_VALUE"""),2.0)</f>
        <v>2</v>
      </c>
    </row>
    <row r="1147">
      <c r="J1147" s="5" t="str">
        <f>IFERROR(__xludf.DUMMYFUNCTION("""COMPUTED_VALUE"""),"382🤙🏼Vizontele🤙🏼🤙🏼3")</f>
        <v>382🤙🏼Vizontele🤙🏼🤙🏼3</v>
      </c>
      <c r="K1147" s="5">
        <f>IFERROR(__xludf.DUMMYFUNCTION("SPLiT(J1147, ""🤙🏼"",FALSE,FALSE)"),382.0)</f>
        <v>382</v>
      </c>
      <c r="L1147" s="5" t="str">
        <f>IFERROR(__xludf.DUMMYFUNCTION("""COMPUTED_VALUE"""),"Vizontele")</f>
        <v>Vizontele</v>
      </c>
      <c r="M1147" s="5"/>
      <c r="N1147" s="5">
        <f>IFERROR(__xludf.DUMMYFUNCTION("""COMPUTED_VALUE"""),3.0)</f>
        <v>3</v>
      </c>
      <c r="S1147" s="5">
        <f>IFERROR(__xludf.DUMMYFUNCTION("""COMPUTED_VALUE"""),461.0)</f>
        <v>461</v>
      </c>
      <c r="T1147" s="5" t="str">
        <f>IFERROR(__xludf.DUMMYFUNCTION("""COMPUTED_VALUE"""),"The Thin Man")</f>
        <v>The Thin Man</v>
      </c>
      <c r="U1147" s="5" t="str">
        <f>IFERROR(__xludf.DUMMYFUNCTION("""COMPUTED_VALUE"""),"Comedy")</f>
        <v>Comedy</v>
      </c>
      <c r="V1147" s="5">
        <f>IFERROR(__xludf.DUMMYFUNCTION("""COMPUTED_VALUE"""),1.0)</f>
        <v>1</v>
      </c>
    </row>
    <row r="1148">
      <c r="J1148" s="5" t="str">
        <f>IFERROR(__xludf.DUMMYFUNCTION("""COMPUTED_VALUE"""),"383🤙🏼Donnie Darko🤙🏼Drama🤙🏼1")</f>
        <v>383🤙🏼Donnie Darko🤙🏼Drama🤙🏼1</v>
      </c>
      <c r="K1148" s="5">
        <f>IFERROR(__xludf.DUMMYFUNCTION("SPLiT(J1148, ""🤙🏼"",FALSE,FALSE)"),383.0)</f>
        <v>383</v>
      </c>
      <c r="L1148" s="5" t="str">
        <f>IFERROR(__xludf.DUMMYFUNCTION("""COMPUTED_VALUE"""),"Donnie Darko")</f>
        <v>Donnie Darko</v>
      </c>
      <c r="M1148" s="5" t="str">
        <f>IFERROR(__xludf.DUMMYFUNCTION("""COMPUTED_VALUE"""),"Drama")</f>
        <v>Drama</v>
      </c>
      <c r="N1148" s="5">
        <f>IFERROR(__xludf.DUMMYFUNCTION("""COMPUTED_VALUE"""),1.0)</f>
        <v>1</v>
      </c>
      <c r="S1148" s="5">
        <f>IFERROR(__xludf.DUMMYFUNCTION("""COMPUTED_VALUE"""),461.0)</f>
        <v>461</v>
      </c>
      <c r="T1148" s="5" t="str">
        <f>IFERROR(__xludf.DUMMYFUNCTION("""COMPUTED_VALUE"""),"The Thin Man")</f>
        <v>The Thin Man</v>
      </c>
      <c r="U1148" s="5" t="str">
        <f>IFERROR(__xludf.DUMMYFUNCTION("""COMPUTED_VALUE"""),"Crime")</f>
        <v>Crime</v>
      </c>
      <c r="V1148" s="5">
        <f>IFERROR(__xludf.DUMMYFUNCTION("""COMPUTED_VALUE"""),2.0)</f>
        <v>2</v>
      </c>
    </row>
    <row r="1149">
      <c r="J1149" s="5" t="str">
        <f>IFERROR(__xludf.DUMMYFUNCTION("""COMPUTED_VALUE"""),"383🤙🏼Donnie Darko🤙🏼Mystery🤙🏼2")</f>
        <v>383🤙🏼Donnie Darko🤙🏼Mystery🤙🏼2</v>
      </c>
      <c r="K1149" s="5">
        <f>IFERROR(__xludf.DUMMYFUNCTION("SPLiT(J1149, ""🤙🏼"",FALSE,FALSE)"),383.0)</f>
        <v>383</v>
      </c>
      <c r="L1149" s="5" t="str">
        <f>IFERROR(__xludf.DUMMYFUNCTION("""COMPUTED_VALUE"""),"Donnie Darko")</f>
        <v>Donnie Darko</v>
      </c>
      <c r="M1149" s="5" t="str">
        <f>IFERROR(__xludf.DUMMYFUNCTION("""COMPUTED_VALUE"""),"Mystery")</f>
        <v>Mystery</v>
      </c>
      <c r="N1149" s="5">
        <f>IFERROR(__xludf.DUMMYFUNCTION("""COMPUTED_VALUE"""),2.0)</f>
        <v>2</v>
      </c>
      <c r="S1149" s="5">
        <f>IFERROR(__xludf.DUMMYFUNCTION("""COMPUTED_VALUE"""),461.0)</f>
        <v>461</v>
      </c>
      <c r="T1149" s="5" t="str">
        <f>IFERROR(__xludf.DUMMYFUNCTION("""COMPUTED_VALUE"""),"The Thin Man")</f>
        <v>The Thin Man</v>
      </c>
      <c r="U1149" s="5" t="str">
        <f>IFERROR(__xludf.DUMMYFUNCTION("""COMPUTED_VALUE"""),"Mystery")</f>
        <v>Mystery</v>
      </c>
      <c r="V1149" s="5">
        <f>IFERROR(__xludf.DUMMYFUNCTION("""COMPUTED_VALUE"""),3.0)</f>
        <v>3</v>
      </c>
    </row>
    <row r="1150">
      <c r="J1150" s="5" t="str">
        <f>IFERROR(__xludf.DUMMYFUNCTION("""COMPUTED_VALUE"""),"383🤙🏼Donnie Darko🤙🏼Sci-Fi🤙🏼3")</f>
        <v>383🤙🏼Donnie Darko🤙🏼Sci-Fi🤙🏼3</v>
      </c>
      <c r="K1150" s="5">
        <f>IFERROR(__xludf.DUMMYFUNCTION("SPLiT(J1150, ""🤙🏼"",FALSE,FALSE)"),383.0)</f>
        <v>383</v>
      </c>
      <c r="L1150" s="5" t="str">
        <f>IFERROR(__xludf.DUMMYFUNCTION("""COMPUTED_VALUE"""),"Donnie Darko")</f>
        <v>Donnie Darko</v>
      </c>
      <c r="M1150" s="5" t="str">
        <f>IFERROR(__xludf.DUMMYFUNCTION("""COMPUTED_VALUE"""),"Sci-Fi")</f>
        <v>Sci-Fi</v>
      </c>
      <c r="N1150" s="5">
        <f>IFERROR(__xludf.DUMMYFUNCTION("""COMPUTED_VALUE"""),3.0)</f>
        <v>3</v>
      </c>
      <c r="S1150" s="5">
        <f>IFERROR(__xludf.DUMMYFUNCTION("""COMPUTED_VALUE"""),462.0)</f>
        <v>462</v>
      </c>
      <c r="T1150" s="5" t="str">
        <f>IFERROR(__xludf.DUMMYFUNCTION("""COMPUTED_VALUE"""),"All Quiet on the Western Front")</f>
        <v>All Quiet on the Western Front</v>
      </c>
      <c r="U1150" s="5" t="str">
        <f>IFERROR(__xludf.DUMMYFUNCTION("""COMPUTED_VALUE"""),"Drama")</f>
        <v>Drama</v>
      </c>
      <c r="V1150" s="5">
        <f>IFERROR(__xludf.DUMMYFUNCTION("""COMPUTED_VALUE"""),1.0)</f>
        <v>1</v>
      </c>
    </row>
    <row r="1151">
      <c r="J1151" s="5" t="str">
        <f>IFERROR(__xludf.DUMMYFUNCTION("""COMPUTED_VALUE"""),"384🤙🏼Magnolia🤙🏼Drama🤙🏼1")</f>
        <v>384🤙🏼Magnolia🤙🏼Drama🤙🏼1</v>
      </c>
      <c r="K1151" s="5">
        <f>IFERROR(__xludf.DUMMYFUNCTION("SPLiT(J1151, ""🤙🏼"",FALSE,FALSE)"),384.0)</f>
        <v>384</v>
      </c>
      <c r="L1151" s="5" t="str">
        <f>IFERROR(__xludf.DUMMYFUNCTION("""COMPUTED_VALUE"""),"Magnolia")</f>
        <v>Magnolia</v>
      </c>
      <c r="M1151" s="5" t="str">
        <f>IFERROR(__xludf.DUMMYFUNCTION("""COMPUTED_VALUE"""),"Drama")</f>
        <v>Drama</v>
      </c>
      <c r="N1151" s="5">
        <f>IFERROR(__xludf.DUMMYFUNCTION("""COMPUTED_VALUE"""),1.0)</f>
        <v>1</v>
      </c>
      <c r="S1151" s="5">
        <f>IFERROR(__xludf.DUMMYFUNCTION("""COMPUTED_VALUE"""),462.0)</f>
        <v>462</v>
      </c>
      <c r="T1151" s="5" t="str">
        <f>IFERROR(__xludf.DUMMYFUNCTION("""COMPUTED_VALUE"""),"All Quiet on the Western Front")</f>
        <v>All Quiet on the Western Front</v>
      </c>
      <c r="U1151" s="5" t="str">
        <f>IFERROR(__xludf.DUMMYFUNCTION("""COMPUTED_VALUE"""),"War")</f>
        <v>War</v>
      </c>
      <c r="V1151" s="5">
        <f>IFERROR(__xludf.DUMMYFUNCTION("""COMPUTED_VALUE"""),2.0)</f>
        <v>2</v>
      </c>
    </row>
    <row r="1152">
      <c r="J1152" s="5" t="str">
        <f>IFERROR(__xludf.DUMMYFUNCTION("""COMPUTED_VALUE"""),"384🤙🏼Magnolia🤙🏼🤙🏼2")</f>
        <v>384🤙🏼Magnolia🤙🏼🤙🏼2</v>
      </c>
      <c r="K1152" s="5">
        <f>IFERROR(__xludf.DUMMYFUNCTION("SPLiT(J1152, ""🤙🏼"",FALSE,FALSE)"),384.0)</f>
        <v>384</v>
      </c>
      <c r="L1152" s="5" t="str">
        <f>IFERROR(__xludf.DUMMYFUNCTION("""COMPUTED_VALUE"""),"Magnolia")</f>
        <v>Magnolia</v>
      </c>
      <c r="M1152" s="5"/>
      <c r="N1152" s="5">
        <f>IFERROR(__xludf.DUMMYFUNCTION("""COMPUTED_VALUE"""),2.0)</f>
        <v>2</v>
      </c>
      <c r="S1152" s="5">
        <f>IFERROR(__xludf.DUMMYFUNCTION("""COMPUTED_VALUE"""),463.0)</f>
        <v>463</v>
      </c>
      <c r="T1152" s="5" t="str">
        <f>IFERROR(__xludf.DUMMYFUNCTION("""COMPUTED_VALUE"""),"Bronenosets Potemkin")</f>
        <v>Bronenosets Potemkin</v>
      </c>
      <c r="U1152" s="5" t="str">
        <f>IFERROR(__xludf.DUMMYFUNCTION("""COMPUTED_VALUE"""),"Drama")</f>
        <v>Drama</v>
      </c>
      <c r="V1152" s="5">
        <f>IFERROR(__xludf.DUMMYFUNCTION("""COMPUTED_VALUE"""),1.0)</f>
        <v>1</v>
      </c>
    </row>
    <row r="1153">
      <c r="J1153" s="5" t="str">
        <f>IFERROR(__xludf.DUMMYFUNCTION("""COMPUTED_VALUE"""),"384🤙🏼Magnolia🤙🏼🤙🏼3")</f>
        <v>384🤙🏼Magnolia🤙🏼🤙🏼3</v>
      </c>
      <c r="K1153" s="5">
        <f>IFERROR(__xludf.DUMMYFUNCTION("SPLiT(J1153, ""🤙🏼"",FALSE,FALSE)"),384.0)</f>
        <v>384</v>
      </c>
      <c r="L1153" s="5" t="str">
        <f>IFERROR(__xludf.DUMMYFUNCTION("""COMPUTED_VALUE"""),"Magnolia")</f>
        <v>Magnolia</v>
      </c>
      <c r="M1153" s="5"/>
      <c r="N1153" s="5">
        <f>IFERROR(__xludf.DUMMYFUNCTION("""COMPUTED_VALUE"""),3.0)</f>
        <v>3</v>
      </c>
      <c r="S1153" s="5">
        <f>IFERROR(__xludf.DUMMYFUNCTION("""COMPUTED_VALUE"""),463.0)</f>
        <v>463</v>
      </c>
      <c r="T1153" s="5" t="str">
        <f>IFERROR(__xludf.DUMMYFUNCTION("""COMPUTED_VALUE"""),"Bronenosets Potemkin")</f>
        <v>Bronenosets Potemkin</v>
      </c>
      <c r="U1153" s="5" t="str">
        <f>IFERROR(__xludf.DUMMYFUNCTION("""COMPUTED_VALUE"""),"History")</f>
        <v>History</v>
      </c>
      <c r="V1153" s="5">
        <f>IFERROR(__xludf.DUMMYFUNCTION("""COMPUTED_VALUE"""),2.0)</f>
        <v>2</v>
      </c>
    </row>
    <row r="1154">
      <c r="J1154" s="5" t="str">
        <f>IFERROR(__xludf.DUMMYFUNCTION("""COMPUTED_VALUE"""),"385🤙🏼Dancer in the Dark🤙🏼Crime🤙🏼1")</f>
        <v>385🤙🏼Dancer in the Dark🤙🏼Crime🤙🏼1</v>
      </c>
      <c r="K1154" s="5">
        <f>IFERROR(__xludf.DUMMYFUNCTION("SPLiT(J1154, ""🤙🏼"",FALSE,FALSE)"),385.0)</f>
        <v>385</v>
      </c>
      <c r="L1154" s="5" t="str">
        <f>IFERROR(__xludf.DUMMYFUNCTION("""COMPUTED_VALUE"""),"Dancer in the Dark")</f>
        <v>Dancer in the Dark</v>
      </c>
      <c r="M1154" s="5" t="str">
        <f>IFERROR(__xludf.DUMMYFUNCTION("""COMPUTED_VALUE"""),"Crime")</f>
        <v>Crime</v>
      </c>
      <c r="N1154" s="5">
        <f>IFERROR(__xludf.DUMMYFUNCTION("""COMPUTED_VALUE"""),1.0)</f>
        <v>1</v>
      </c>
      <c r="S1154" s="5">
        <f>IFERROR(__xludf.DUMMYFUNCTION("""COMPUTED_VALUE"""),463.0)</f>
        <v>463</v>
      </c>
      <c r="T1154" s="5" t="str">
        <f>IFERROR(__xludf.DUMMYFUNCTION("""COMPUTED_VALUE"""),"Bronenosets Potemkin")</f>
        <v>Bronenosets Potemkin</v>
      </c>
      <c r="U1154" s="5" t="str">
        <f>IFERROR(__xludf.DUMMYFUNCTION("""COMPUTED_VALUE"""),"Thriller")</f>
        <v>Thriller</v>
      </c>
      <c r="V1154" s="5">
        <f>IFERROR(__xludf.DUMMYFUNCTION("""COMPUTED_VALUE"""),3.0)</f>
        <v>3</v>
      </c>
    </row>
    <row r="1155">
      <c r="J1155" s="5" t="str">
        <f>IFERROR(__xludf.DUMMYFUNCTION("""COMPUTED_VALUE"""),"385🤙🏼Dancer in the Dark🤙🏼Drama🤙🏼2")</f>
        <v>385🤙🏼Dancer in the Dark🤙🏼Drama🤙🏼2</v>
      </c>
      <c r="K1155" s="5">
        <f>IFERROR(__xludf.DUMMYFUNCTION("SPLiT(J1155, ""🤙🏼"",FALSE,FALSE)"),385.0)</f>
        <v>385</v>
      </c>
      <c r="L1155" s="5" t="str">
        <f>IFERROR(__xludf.DUMMYFUNCTION("""COMPUTED_VALUE"""),"Dancer in the Dark")</f>
        <v>Dancer in the Dark</v>
      </c>
      <c r="M1155" s="5" t="str">
        <f>IFERROR(__xludf.DUMMYFUNCTION("""COMPUTED_VALUE"""),"Drama")</f>
        <v>Drama</v>
      </c>
      <c r="N1155" s="5">
        <f>IFERROR(__xludf.DUMMYFUNCTION("""COMPUTED_VALUE"""),2.0)</f>
        <v>2</v>
      </c>
      <c r="S1155" s="5">
        <f>IFERROR(__xludf.DUMMYFUNCTION("""COMPUTED_VALUE"""),464.0)</f>
        <v>464</v>
      </c>
      <c r="T1155" s="5" t="str">
        <f>IFERROR(__xludf.DUMMYFUNCTION("""COMPUTED_VALUE"""),"Knives Out")</f>
        <v>Knives Out</v>
      </c>
      <c r="U1155" s="5" t="str">
        <f>IFERROR(__xludf.DUMMYFUNCTION("""COMPUTED_VALUE"""),"Comedy")</f>
        <v>Comedy</v>
      </c>
      <c r="V1155" s="5">
        <f>IFERROR(__xludf.DUMMYFUNCTION("""COMPUTED_VALUE"""),1.0)</f>
        <v>1</v>
      </c>
    </row>
    <row r="1156">
      <c r="J1156" s="5" t="str">
        <f>IFERROR(__xludf.DUMMYFUNCTION("""COMPUTED_VALUE"""),"385🤙🏼Dancer in the Dark🤙🏼Musical🤙🏼3")</f>
        <v>385🤙🏼Dancer in the Dark🤙🏼Musical🤙🏼3</v>
      </c>
      <c r="K1156" s="5">
        <f>IFERROR(__xludf.DUMMYFUNCTION("SPLiT(J1156, ""🤙🏼"",FALSE,FALSE)"),385.0)</f>
        <v>385</v>
      </c>
      <c r="L1156" s="5" t="str">
        <f>IFERROR(__xludf.DUMMYFUNCTION("""COMPUTED_VALUE"""),"Dancer in the Dark")</f>
        <v>Dancer in the Dark</v>
      </c>
      <c r="M1156" s="5" t="str">
        <f>IFERROR(__xludf.DUMMYFUNCTION("""COMPUTED_VALUE"""),"Musical")</f>
        <v>Musical</v>
      </c>
      <c r="N1156" s="5">
        <f>IFERROR(__xludf.DUMMYFUNCTION("""COMPUTED_VALUE"""),3.0)</f>
        <v>3</v>
      </c>
      <c r="S1156" s="5">
        <f>IFERROR(__xludf.DUMMYFUNCTION("""COMPUTED_VALUE"""),464.0)</f>
        <v>464</v>
      </c>
      <c r="T1156" s="5" t="str">
        <f>IFERROR(__xludf.DUMMYFUNCTION("""COMPUTED_VALUE"""),"Knives Out")</f>
        <v>Knives Out</v>
      </c>
      <c r="U1156" s="5" t="str">
        <f>IFERROR(__xludf.DUMMYFUNCTION("""COMPUTED_VALUE"""),"Crime")</f>
        <v>Crime</v>
      </c>
      <c r="V1156" s="5">
        <f>IFERROR(__xludf.DUMMYFUNCTION("""COMPUTED_VALUE"""),2.0)</f>
        <v>2</v>
      </c>
    </row>
    <row r="1157">
      <c r="J1157" s="5" t="str">
        <f>IFERROR(__xludf.DUMMYFUNCTION("""COMPUTED_VALUE"""),"386🤙🏼The Straight Story🤙🏼Biography🤙🏼1")</f>
        <v>386🤙🏼The Straight Story🤙🏼Biography🤙🏼1</v>
      </c>
      <c r="K1157" s="5">
        <f>IFERROR(__xludf.DUMMYFUNCTION("SPLiT(J1157, ""🤙🏼"",FALSE,FALSE)"),386.0)</f>
        <v>386</v>
      </c>
      <c r="L1157" s="5" t="str">
        <f>IFERROR(__xludf.DUMMYFUNCTION("""COMPUTED_VALUE"""),"The Straight Story")</f>
        <v>The Straight Story</v>
      </c>
      <c r="M1157" s="5" t="str">
        <f>IFERROR(__xludf.DUMMYFUNCTION("""COMPUTED_VALUE"""),"Biography")</f>
        <v>Biography</v>
      </c>
      <c r="N1157" s="5">
        <f>IFERROR(__xludf.DUMMYFUNCTION("""COMPUTED_VALUE"""),1.0)</f>
        <v>1</v>
      </c>
      <c r="S1157" s="5">
        <f>IFERROR(__xludf.DUMMYFUNCTION("""COMPUTED_VALUE"""),464.0)</f>
        <v>464</v>
      </c>
      <c r="T1157" s="5" t="str">
        <f>IFERROR(__xludf.DUMMYFUNCTION("""COMPUTED_VALUE"""),"Knives Out")</f>
        <v>Knives Out</v>
      </c>
      <c r="U1157" s="5" t="str">
        <f>IFERROR(__xludf.DUMMYFUNCTION("""COMPUTED_VALUE"""),"Drama")</f>
        <v>Drama</v>
      </c>
      <c r="V1157" s="5">
        <f>IFERROR(__xludf.DUMMYFUNCTION("""COMPUTED_VALUE"""),3.0)</f>
        <v>3</v>
      </c>
    </row>
    <row r="1158">
      <c r="J1158" s="5" t="str">
        <f>IFERROR(__xludf.DUMMYFUNCTION("""COMPUTED_VALUE"""),"386🤙🏼The Straight Story🤙🏼Drama🤙🏼2")</f>
        <v>386🤙🏼The Straight Story🤙🏼Drama🤙🏼2</v>
      </c>
      <c r="K1158" s="5">
        <f>IFERROR(__xludf.DUMMYFUNCTION("SPLiT(J1158, ""🤙🏼"",FALSE,FALSE)"),386.0)</f>
        <v>386</v>
      </c>
      <c r="L1158" s="5" t="str">
        <f>IFERROR(__xludf.DUMMYFUNCTION("""COMPUTED_VALUE"""),"The Straight Story")</f>
        <v>The Straight Story</v>
      </c>
      <c r="M1158" s="5" t="str">
        <f>IFERROR(__xludf.DUMMYFUNCTION("""COMPUTED_VALUE"""),"Drama")</f>
        <v>Drama</v>
      </c>
      <c r="N1158" s="5">
        <f>IFERROR(__xludf.DUMMYFUNCTION("""COMPUTED_VALUE"""),2.0)</f>
        <v>2</v>
      </c>
      <c r="S1158" s="5">
        <f>IFERROR(__xludf.DUMMYFUNCTION("""COMPUTED_VALUE"""),465.0)</f>
        <v>465</v>
      </c>
      <c r="T1158" s="5" t="str">
        <f>IFERROR(__xludf.DUMMYFUNCTION("""COMPUTED_VALUE"""),"Dil Bechara")</f>
        <v>Dil Bechara</v>
      </c>
      <c r="U1158" s="5" t="str">
        <f>IFERROR(__xludf.DUMMYFUNCTION("""COMPUTED_VALUE"""),"Comedy")</f>
        <v>Comedy</v>
      </c>
      <c r="V1158" s="5">
        <f>IFERROR(__xludf.DUMMYFUNCTION("""COMPUTED_VALUE"""),1.0)</f>
        <v>1</v>
      </c>
    </row>
    <row r="1159">
      <c r="J1159" s="5" t="str">
        <f>IFERROR(__xludf.DUMMYFUNCTION("""COMPUTED_VALUE"""),"386🤙🏼The Straight Story🤙🏼🤙🏼3")</f>
        <v>386🤙🏼The Straight Story🤙🏼🤙🏼3</v>
      </c>
      <c r="K1159" s="5">
        <f>IFERROR(__xludf.DUMMYFUNCTION("SPLiT(J1159, ""🤙🏼"",FALSE,FALSE)"),386.0)</f>
        <v>386</v>
      </c>
      <c r="L1159" s="5" t="str">
        <f>IFERROR(__xludf.DUMMYFUNCTION("""COMPUTED_VALUE"""),"The Straight Story")</f>
        <v>The Straight Story</v>
      </c>
      <c r="M1159" s="5"/>
      <c r="N1159" s="5">
        <f>IFERROR(__xludf.DUMMYFUNCTION("""COMPUTED_VALUE"""),3.0)</f>
        <v>3</v>
      </c>
      <c r="S1159" s="5">
        <f>IFERROR(__xludf.DUMMYFUNCTION("""COMPUTED_VALUE"""),465.0)</f>
        <v>465</v>
      </c>
      <c r="T1159" s="5" t="str">
        <f>IFERROR(__xludf.DUMMYFUNCTION("""COMPUTED_VALUE"""),"Dil Bechara")</f>
        <v>Dil Bechara</v>
      </c>
      <c r="U1159" s="5" t="str">
        <f>IFERROR(__xludf.DUMMYFUNCTION("""COMPUTED_VALUE"""),"Drama")</f>
        <v>Drama</v>
      </c>
      <c r="V1159" s="5">
        <f>IFERROR(__xludf.DUMMYFUNCTION("""COMPUTED_VALUE"""),2.0)</f>
        <v>2</v>
      </c>
    </row>
    <row r="1160">
      <c r="J1160" s="5" t="str">
        <f>IFERROR(__xludf.DUMMYFUNCTION("""COMPUTED_VALUE"""),"387🤙🏼Pâfekuto burû🤙🏼Animation🤙🏼1")</f>
        <v>387🤙🏼Pâfekuto burû🤙🏼Animation🤙🏼1</v>
      </c>
      <c r="K1160" s="5">
        <f>IFERROR(__xludf.DUMMYFUNCTION("SPLiT(J1160, ""🤙🏼"",FALSE,FALSE)"),387.0)</f>
        <v>387</v>
      </c>
      <c r="L1160" s="5" t="str">
        <f>IFERROR(__xludf.DUMMYFUNCTION("""COMPUTED_VALUE"""),"Pâfekuto burû")</f>
        <v>Pâfekuto burû</v>
      </c>
      <c r="M1160" s="5" t="str">
        <f>IFERROR(__xludf.DUMMYFUNCTION("""COMPUTED_VALUE"""),"Animation")</f>
        <v>Animation</v>
      </c>
      <c r="N1160" s="5">
        <f>IFERROR(__xludf.DUMMYFUNCTION("""COMPUTED_VALUE"""),1.0)</f>
        <v>1</v>
      </c>
      <c r="S1160" s="5">
        <f>IFERROR(__xludf.DUMMYFUNCTION("""COMPUTED_VALUE"""),465.0)</f>
        <v>465</v>
      </c>
      <c r="T1160" s="5" t="str">
        <f>IFERROR(__xludf.DUMMYFUNCTION("""COMPUTED_VALUE"""),"Dil Bechara")</f>
        <v>Dil Bechara</v>
      </c>
      <c r="U1160" s="5" t="str">
        <f>IFERROR(__xludf.DUMMYFUNCTION("""COMPUTED_VALUE"""),"Romance")</f>
        <v>Romance</v>
      </c>
      <c r="V1160" s="5">
        <f>IFERROR(__xludf.DUMMYFUNCTION("""COMPUTED_VALUE"""),3.0)</f>
        <v>3</v>
      </c>
    </row>
    <row r="1161">
      <c r="J1161" s="5" t="str">
        <f>IFERROR(__xludf.DUMMYFUNCTION("""COMPUTED_VALUE"""),"387🤙🏼Pâfekuto burû🤙🏼Crime🤙🏼2")</f>
        <v>387🤙🏼Pâfekuto burû🤙🏼Crime🤙🏼2</v>
      </c>
      <c r="K1161" s="5">
        <f>IFERROR(__xludf.DUMMYFUNCTION("SPLiT(J1161, ""🤙🏼"",FALSE,FALSE)"),387.0)</f>
        <v>387</v>
      </c>
      <c r="L1161" s="5" t="str">
        <f>IFERROR(__xludf.DUMMYFUNCTION("""COMPUTED_VALUE"""),"Pâfekuto burû")</f>
        <v>Pâfekuto burû</v>
      </c>
      <c r="M1161" s="5" t="str">
        <f>IFERROR(__xludf.DUMMYFUNCTION("""COMPUTED_VALUE"""),"Crime")</f>
        <v>Crime</v>
      </c>
      <c r="N1161" s="5">
        <f>IFERROR(__xludf.DUMMYFUNCTION("""COMPUTED_VALUE"""),2.0)</f>
        <v>2</v>
      </c>
      <c r="S1161" s="5">
        <f>IFERROR(__xludf.DUMMYFUNCTION("""COMPUTED_VALUE"""),466.0)</f>
        <v>466</v>
      </c>
      <c r="T1161" s="5" t="str">
        <f>IFERROR(__xludf.DUMMYFUNCTION("""COMPUTED_VALUE"""),"Manbiki kazoku")</f>
        <v>Manbiki kazoku</v>
      </c>
      <c r="U1161" s="5" t="str">
        <f>IFERROR(__xludf.DUMMYFUNCTION("""COMPUTED_VALUE"""),"Crime")</f>
        <v>Crime</v>
      </c>
      <c r="V1161" s="5">
        <f>IFERROR(__xludf.DUMMYFUNCTION("""COMPUTED_VALUE"""),1.0)</f>
        <v>1</v>
      </c>
    </row>
    <row r="1162">
      <c r="J1162" s="5" t="str">
        <f>IFERROR(__xludf.DUMMYFUNCTION("""COMPUTED_VALUE"""),"387🤙🏼Pâfekuto burû🤙🏼Mystery🤙🏼3")</f>
        <v>387🤙🏼Pâfekuto burû🤙🏼Mystery🤙🏼3</v>
      </c>
      <c r="K1162" s="5">
        <f>IFERROR(__xludf.DUMMYFUNCTION("SPLiT(J1162, ""🤙🏼"",FALSE,FALSE)"),387.0)</f>
        <v>387</v>
      </c>
      <c r="L1162" s="5" t="str">
        <f>IFERROR(__xludf.DUMMYFUNCTION("""COMPUTED_VALUE"""),"Pâfekuto burû")</f>
        <v>Pâfekuto burû</v>
      </c>
      <c r="M1162" s="5" t="str">
        <f>IFERROR(__xludf.DUMMYFUNCTION("""COMPUTED_VALUE"""),"Mystery")</f>
        <v>Mystery</v>
      </c>
      <c r="N1162" s="5">
        <f>IFERROR(__xludf.DUMMYFUNCTION("""COMPUTED_VALUE"""),3.0)</f>
        <v>3</v>
      </c>
      <c r="S1162" s="5">
        <f>IFERROR(__xludf.DUMMYFUNCTION("""COMPUTED_VALUE"""),466.0)</f>
        <v>466</v>
      </c>
      <c r="T1162" s="5" t="str">
        <f>IFERROR(__xludf.DUMMYFUNCTION("""COMPUTED_VALUE"""),"Manbiki kazoku")</f>
        <v>Manbiki kazoku</v>
      </c>
      <c r="U1162" s="5" t="str">
        <f>IFERROR(__xludf.DUMMYFUNCTION("""COMPUTED_VALUE"""),"Drama")</f>
        <v>Drama</v>
      </c>
      <c r="V1162" s="5">
        <f>IFERROR(__xludf.DUMMYFUNCTION("""COMPUTED_VALUE"""),2.0)</f>
        <v>2</v>
      </c>
    </row>
    <row r="1163">
      <c r="J1163" s="5" t="str">
        <f>IFERROR(__xludf.DUMMYFUNCTION("""COMPUTED_VALUE"""),"388🤙🏼Festen🤙🏼Drama🤙🏼1")</f>
        <v>388🤙🏼Festen🤙🏼Drama🤙🏼1</v>
      </c>
      <c r="K1163" s="5">
        <f>IFERROR(__xludf.DUMMYFUNCTION("SPLiT(J1163, ""🤙🏼"",FALSE,FALSE)"),388.0)</f>
        <v>388</v>
      </c>
      <c r="L1163" s="5" t="str">
        <f>IFERROR(__xludf.DUMMYFUNCTION("""COMPUTED_VALUE"""),"Festen")</f>
        <v>Festen</v>
      </c>
      <c r="M1163" s="5" t="str">
        <f>IFERROR(__xludf.DUMMYFUNCTION("""COMPUTED_VALUE"""),"Drama")</f>
        <v>Drama</v>
      </c>
      <c r="N1163" s="5">
        <f>IFERROR(__xludf.DUMMYFUNCTION("""COMPUTED_VALUE"""),1.0)</f>
        <v>1</v>
      </c>
      <c r="S1163" s="5">
        <f>IFERROR(__xludf.DUMMYFUNCTION("""COMPUTED_VALUE"""),467.0)</f>
        <v>467</v>
      </c>
      <c r="T1163" s="5" t="str">
        <f>IFERROR(__xludf.DUMMYFUNCTION("""COMPUTED_VALUE"""),"Marriage Story")</f>
        <v>Marriage Story</v>
      </c>
      <c r="U1163" s="5" t="str">
        <f>IFERROR(__xludf.DUMMYFUNCTION("""COMPUTED_VALUE"""),"Comedy")</f>
        <v>Comedy</v>
      </c>
      <c r="V1163" s="5">
        <f>IFERROR(__xludf.DUMMYFUNCTION("""COMPUTED_VALUE"""),1.0)</f>
        <v>1</v>
      </c>
    </row>
    <row r="1164">
      <c r="J1164" s="5" t="str">
        <f>IFERROR(__xludf.DUMMYFUNCTION("""COMPUTED_VALUE"""),"388🤙🏼Festen🤙🏼🤙🏼2")</f>
        <v>388🤙🏼Festen🤙🏼🤙🏼2</v>
      </c>
      <c r="K1164" s="5">
        <f>IFERROR(__xludf.DUMMYFUNCTION("SPLiT(J1164, ""🤙🏼"",FALSE,FALSE)"),388.0)</f>
        <v>388</v>
      </c>
      <c r="L1164" s="5" t="str">
        <f>IFERROR(__xludf.DUMMYFUNCTION("""COMPUTED_VALUE"""),"Festen")</f>
        <v>Festen</v>
      </c>
      <c r="M1164" s="5"/>
      <c r="N1164" s="5">
        <f>IFERROR(__xludf.DUMMYFUNCTION("""COMPUTED_VALUE"""),2.0)</f>
        <v>2</v>
      </c>
      <c r="S1164" s="5">
        <f>IFERROR(__xludf.DUMMYFUNCTION("""COMPUTED_VALUE"""),467.0)</f>
        <v>467</v>
      </c>
      <c r="T1164" s="5" t="str">
        <f>IFERROR(__xludf.DUMMYFUNCTION("""COMPUTED_VALUE"""),"Marriage Story")</f>
        <v>Marriage Story</v>
      </c>
      <c r="U1164" s="5" t="str">
        <f>IFERROR(__xludf.DUMMYFUNCTION("""COMPUTED_VALUE"""),"Drama")</f>
        <v>Drama</v>
      </c>
      <c r="V1164" s="5">
        <f>IFERROR(__xludf.DUMMYFUNCTION("""COMPUTED_VALUE"""),2.0)</f>
        <v>2</v>
      </c>
    </row>
    <row r="1165">
      <c r="J1165" s="5" t="str">
        <f>IFERROR(__xludf.DUMMYFUNCTION("""COMPUTED_VALUE"""),"388🤙🏼Festen🤙🏼🤙🏼3")</f>
        <v>388🤙🏼Festen🤙🏼🤙🏼3</v>
      </c>
      <c r="K1165" s="5">
        <f>IFERROR(__xludf.DUMMYFUNCTION("SPLiT(J1165, ""🤙🏼"",FALSE,FALSE)"),388.0)</f>
        <v>388</v>
      </c>
      <c r="L1165" s="5" t="str">
        <f>IFERROR(__xludf.DUMMYFUNCTION("""COMPUTED_VALUE"""),"Festen")</f>
        <v>Festen</v>
      </c>
      <c r="M1165" s="5"/>
      <c r="N1165" s="5">
        <f>IFERROR(__xludf.DUMMYFUNCTION("""COMPUTED_VALUE"""),3.0)</f>
        <v>3</v>
      </c>
      <c r="S1165" s="5">
        <f>IFERROR(__xludf.DUMMYFUNCTION("""COMPUTED_VALUE"""),467.0)</f>
        <v>467</v>
      </c>
      <c r="T1165" s="5" t="str">
        <f>IFERROR(__xludf.DUMMYFUNCTION("""COMPUTED_VALUE"""),"Marriage Story")</f>
        <v>Marriage Story</v>
      </c>
      <c r="U1165" s="5" t="str">
        <f>IFERROR(__xludf.DUMMYFUNCTION("""COMPUTED_VALUE"""),"Romance")</f>
        <v>Romance</v>
      </c>
      <c r="V1165" s="5">
        <f>IFERROR(__xludf.DUMMYFUNCTION("""COMPUTED_VALUE"""),3.0)</f>
        <v>3</v>
      </c>
    </row>
    <row r="1166">
      <c r="J1166" s="5" t="str">
        <f>IFERROR(__xludf.DUMMYFUNCTION("""COMPUTED_VALUE"""),"389🤙🏼Central do Brasil🤙🏼Drama🤙🏼1")</f>
        <v>389🤙🏼Central do Brasil🤙🏼Drama🤙🏼1</v>
      </c>
      <c r="K1166" s="5">
        <f>IFERROR(__xludf.DUMMYFUNCTION("SPLiT(J1166, ""🤙🏼"",FALSE,FALSE)"),389.0)</f>
        <v>389</v>
      </c>
      <c r="L1166" s="5" t="str">
        <f>IFERROR(__xludf.DUMMYFUNCTION("""COMPUTED_VALUE"""),"Central do Brasil")</f>
        <v>Central do Brasil</v>
      </c>
      <c r="M1166" s="5" t="str">
        <f>IFERROR(__xludf.DUMMYFUNCTION("""COMPUTED_VALUE"""),"Drama")</f>
        <v>Drama</v>
      </c>
      <c r="N1166" s="5">
        <f>IFERROR(__xludf.DUMMYFUNCTION("""COMPUTED_VALUE"""),1.0)</f>
        <v>1</v>
      </c>
      <c r="S1166" s="5">
        <f>IFERROR(__xludf.DUMMYFUNCTION("""COMPUTED_VALUE"""),468.0)</f>
        <v>468</v>
      </c>
      <c r="T1166" s="5" t="str">
        <f>IFERROR(__xludf.DUMMYFUNCTION("""COMPUTED_VALUE"""),"Call Me by Your Name")</f>
        <v>Call Me by Your Name</v>
      </c>
      <c r="U1166" s="5" t="str">
        <f>IFERROR(__xludf.DUMMYFUNCTION("""COMPUTED_VALUE"""),"Drama")</f>
        <v>Drama</v>
      </c>
      <c r="V1166" s="5">
        <f>IFERROR(__xludf.DUMMYFUNCTION("""COMPUTED_VALUE"""),1.0)</f>
        <v>1</v>
      </c>
    </row>
    <row r="1167">
      <c r="J1167" s="5" t="str">
        <f>IFERROR(__xludf.DUMMYFUNCTION("""COMPUTED_VALUE"""),"389🤙🏼Central do Brasil🤙🏼🤙🏼2")</f>
        <v>389🤙🏼Central do Brasil🤙🏼🤙🏼2</v>
      </c>
      <c r="K1167" s="5">
        <f>IFERROR(__xludf.DUMMYFUNCTION("SPLiT(J1167, ""🤙🏼"",FALSE,FALSE)"),389.0)</f>
        <v>389</v>
      </c>
      <c r="L1167" s="5" t="str">
        <f>IFERROR(__xludf.DUMMYFUNCTION("""COMPUTED_VALUE"""),"Central do Brasil")</f>
        <v>Central do Brasil</v>
      </c>
      <c r="M1167" s="5"/>
      <c r="N1167" s="5">
        <f>IFERROR(__xludf.DUMMYFUNCTION("""COMPUTED_VALUE"""),2.0)</f>
        <v>2</v>
      </c>
      <c r="S1167" s="5">
        <f>IFERROR(__xludf.DUMMYFUNCTION("""COMPUTED_VALUE"""),468.0)</f>
        <v>468</v>
      </c>
      <c r="T1167" s="5" t="str">
        <f>IFERROR(__xludf.DUMMYFUNCTION("""COMPUTED_VALUE"""),"Call Me by Your Name")</f>
        <v>Call Me by Your Name</v>
      </c>
      <c r="U1167" s="5" t="str">
        <f>IFERROR(__xludf.DUMMYFUNCTION("""COMPUTED_VALUE"""),"Romance")</f>
        <v>Romance</v>
      </c>
      <c r="V1167" s="5">
        <f>IFERROR(__xludf.DUMMYFUNCTION("""COMPUTED_VALUE"""),2.0)</f>
        <v>2</v>
      </c>
    </row>
    <row r="1168">
      <c r="J1168" s="5" t="str">
        <f>IFERROR(__xludf.DUMMYFUNCTION("""COMPUTED_VALUE"""),"389🤙🏼Central do Brasil🤙🏼🤙🏼3")</f>
        <v>389🤙🏼Central do Brasil🤙🏼🤙🏼3</v>
      </c>
      <c r="K1168" s="5">
        <f>IFERROR(__xludf.DUMMYFUNCTION("SPLiT(J1168, ""🤙🏼"",FALSE,FALSE)"),389.0)</f>
        <v>389</v>
      </c>
      <c r="L1168" s="5" t="str">
        <f>IFERROR(__xludf.DUMMYFUNCTION("""COMPUTED_VALUE"""),"Central do Brasil")</f>
        <v>Central do Brasil</v>
      </c>
      <c r="M1168" s="5"/>
      <c r="N1168" s="5">
        <f>IFERROR(__xludf.DUMMYFUNCTION("""COMPUTED_VALUE"""),3.0)</f>
        <v>3</v>
      </c>
      <c r="S1168" s="5">
        <f>IFERROR(__xludf.DUMMYFUNCTION("""COMPUTED_VALUE"""),469.0)</f>
        <v>469</v>
      </c>
      <c r="T1168" s="5" t="str">
        <f>IFERROR(__xludf.DUMMYFUNCTION("""COMPUTED_VALUE"""),"I, Daniel Blake")</f>
        <v>I, Daniel Blake</v>
      </c>
      <c r="U1168" s="5" t="str">
        <f>IFERROR(__xludf.DUMMYFUNCTION("""COMPUTED_VALUE"""),"Drama")</f>
        <v>Drama</v>
      </c>
      <c r="V1168" s="5">
        <f>IFERROR(__xludf.DUMMYFUNCTION("""COMPUTED_VALUE"""),1.0)</f>
        <v>1</v>
      </c>
    </row>
    <row r="1169">
      <c r="J1169" s="5" t="str">
        <f>IFERROR(__xludf.DUMMYFUNCTION("""COMPUTED_VALUE"""),"390🤙🏼The Iron Giant🤙🏼Animation🤙🏼1")</f>
        <v>390🤙🏼The Iron Giant🤙🏼Animation🤙🏼1</v>
      </c>
      <c r="K1169" s="5">
        <f>IFERROR(__xludf.DUMMYFUNCTION("SPLiT(J1169, ""🤙🏼"",FALSE,FALSE)"),390.0)</f>
        <v>390</v>
      </c>
      <c r="L1169" s="5" t="str">
        <f>IFERROR(__xludf.DUMMYFUNCTION("""COMPUTED_VALUE"""),"The Iron Giant")</f>
        <v>The Iron Giant</v>
      </c>
      <c r="M1169" s="5" t="str">
        <f>IFERROR(__xludf.DUMMYFUNCTION("""COMPUTED_VALUE"""),"Animation")</f>
        <v>Animation</v>
      </c>
      <c r="N1169" s="5">
        <f>IFERROR(__xludf.DUMMYFUNCTION("""COMPUTED_VALUE"""),1.0)</f>
        <v>1</v>
      </c>
      <c r="S1169" s="5">
        <f>IFERROR(__xludf.DUMMYFUNCTION("""COMPUTED_VALUE"""),470.0)</f>
        <v>470</v>
      </c>
      <c r="T1169" s="5" t="str">
        <f>IFERROR(__xludf.DUMMYFUNCTION("""COMPUTED_VALUE"""),"Isle of Dogs")</f>
        <v>Isle of Dogs</v>
      </c>
      <c r="U1169" s="5" t="str">
        <f>IFERROR(__xludf.DUMMYFUNCTION("""COMPUTED_VALUE"""),"Animation")</f>
        <v>Animation</v>
      </c>
      <c r="V1169" s="5">
        <f>IFERROR(__xludf.DUMMYFUNCTION("""COMPUTED_VALUE"""),1.0)</f>
        <v>1</v>
      </c>
    </row>
    <row r="1170">
      <c r="J1170" s="5" t="str">
        <f>IFERROR(__xludf.DUMMYFUNCTION("""COMPUTED_VALUE"""),"390🤙🏼The Iron Giant🤙🏼Action🤙🏼2")</f>
        <v>390🤙🏼The Iron Giant🤙🏼Action🤙🏼2</v>
      </c>
      <c r="K1170" s="5">
        <f>IFERROR(__xludf.DUMMYFUNCTION("SPLiT(J1170, ""🤙🏼"",FALSE,FALSE)"),390.0)</f>
        <v>390</v>
      </c>
      <c r="L1170" s="5" t="str">
        <f>IFERROR(__xludf.DUMMYFUNCTION("""COMPUTED_VALUE"""),"The Iron Giant")</f>
        <v>The Iron Giant</v>
      </c>
      <c r="M1170" s="5" t="str">
        <f>IFERROR(__xludf.DUMMYFUNCTION("""COMPUTED_VALUE"""),"Action")</f>
        <v>Action</v>
      </c>
      <c r="N1170" s="5">
        <f>IFERROR(__xludf.DUMMYFUNCTION("""COMPUTED_VALUE"""),2.0)</f>
        <v>2</v>
      </c>
      <c r="S1170" s="5">
        <f>IFERROR(__xludf.DUMMYFUNCTION("""COMPUTED_VALUE"""),470.0)</f>
        <v>470</v>
      </c>
      <c r="T1170" s="5" t="str">
        <f>IFERROR(__xludf.DUMMYFUNCTION("""COMPUTED_VALUE"""),"Isle of Dogs")</f>
        <v>Isle of Dogs</v>
      </c>
      <c r="U1170" s="5" t="str">
        <f>IFERROR(__xludf.DUMMYFUNCTION("""COMPUTED_VALUE"""),"Adventure")</f>
        <v>Adventure</v>
      </c>
      <c r="V1170" s="5">
        <f>IFERROR(__xludf.DUMMYFUNCTION("""COMPUTED_VALUE"""),2.0)</f>
        <v>2</v>
      </c>
    </row>
    <row r="1171">
      <c r="J1171" s="5" t="str">
        <f>IFERROR(__xludf.DUMMYFUNCTION("""COMPUTED_VALUE"""),"390🤙🏼The Iron Giant🤙🏼Adventure🤙🏼3")</f>
        <v>390🤙🏼The Iron Giant🤙🏼Adventure🤙🏼3</v>
      </c>
      <c r="K1171" s="5">
        <f>IFERROR(__xludf.DUMMYFUNCTION("SPLiT(J1171, ""🤙🏼"",FALSE,FALSE)"),390.0)</f>
        <v>390</v>
      </c>
      <c r="L1171" s="5" t="str">
        <f>IFERROR(__xludf.DUMMYFUNCTION("""COMPUTED_VALUE"""),"The Iron Giant")</f>
        <v>The Iron Giant</v>
      </c>
      <c r="M1171" s="5" t="str">
        <f>IFERROR(__xludf.DUMMYFUNCTION("""COMPUTED_VALUE"""),"Adventure")</f>
        <v>Adventure</v>
      </c>
      <c r="N1171" s="5">
        <f>IFERROR(__xludf.DUMMYFUNCTION("""COMPUTED_VALUE"""),3.0)</f>
        <v>3</v>
      </c>
      <c r="S1171" s="5">
        <f>IFERROR(__xludf.DUMMYFUNCTION("""COMPUTED_VALUE"""),470.0)</f>
        <v>470</v>
      </c>
      <c r="T1171" s="5" t="str">
        <f>IFERROR(__xludf.DUMMYFUNCTION("""COMPUTED_VALUE"""),"Isle of Dogs")</f>
        <v>Isle of Dogs</v>
      </c>
      <c r="U1171" s="5" t="str">
        <f>IFERROR(__xludf.DUMMYFUNCTION("""COMPUTED_VALUE"""),"Comedy")</f>
        <v>Comedy</v>
      </c>
      <c r="V1171" s="5">
        <f>IFERROR(__xludf.DUMMYFUNCTION("""COMPUTED_VALUE"""),3.0)</f>
        <v>3</v>
      </c>
    </row>
    <row r="1172">
      <c r="J1172" s="5" t="str">
        <f>IFERROR(__xludf.DUMMYFUNCTION("""COMPUTED_VALUE"""),"391🤙🏼Knockin' on Heaven's Door🤙🏼Action🤙🏼1")</f>
        <v>391🤙🏼Knockin' on Heaven's Door🤙🏼Action🤙🏼1</v>
      </c>
      <c r="K1172" s="5">
        <f>IFERROR(__xludf.DUMMYFUNCTION("SPLiT(J1172, ""🤙🏼"",FALSE,FALSE)"),391.0)</f>
        <v>391</v>
      </c>
      <c r="L1172" s="5" t="str">
        <f>IFERROR(__xludf.DUMMYFUNCTION("""COMPUTED_VALUE"""),"Knockin' on Heaven's Door")</f>
        <v>Knockin' on Heaven's Door</v>
      </c>
      <c r="M1172" s="5" t="str">
        <f>IFERROR(__xludf.DUMMYFUNCTION("""COMPUTED_VALUE"""),"Action")</f>
        <v>Action</v>
      </c>
      <c r="N1172" s="5">
        <f>IFERROR(__xludf.DUMMYFUNCTION("""COMPUTED_VALUE"""),1.0)</f>
        <v>1</v>
      </c>
      <c r="S1172" s="5">
        <f>IFERROR(__xludf.DUMMYFUNCTION("""COMPUTED_VALUE"""),471.0)</f>
        <v>471</v>
      </c>
      <c r="T1172" s="5" t="str">
        <f>IFERROR(__xludf.DUMMYFUNCTION("""COMPUTED_VALUE"""),"Hunt for the Wilderpeople")</f>
        <v>Hunt for the Wilderpeople</v>
      </c>
      <c r="U1172" s="5" t="str">
        <f>IFERROR(__xludf.DUMMYFUNCTION("""COMPUTED_VALUE"""),"Adventure")</f>
        <v>Adventure</v>
      </c>
      <c r="V1172" s="5">
        <f>IFERROR(__xludf.DUMMYFUNCTION("""COMPUTED_VALUE"""),1.0)</f>
        <v>1</v>
      </c>
    </row>
    <row r="1173">
      <c r="J1173" s="5" t="str">
        <f>IFERROR(__xludf.DUMMYFUNCTION("""COMPUTED_VALUE"""),"391🤙🏼Knockin' on Heaven's Door🤙🏼Crime🤙🏼2")</f>
        <v>391🤙🏼Knockin' on Heaven's Door🤙🏼Crime🤙🏼2</v>
      </c>
      <c r="K1173" s="5">
        <f>IFERROR(__xludf.DUMMYFUNCTION("SPLiT(J1173, ""🤙🏼"",FALSE,FALSE)"),391.0)</f>
        <v>391</v>
      </c>
      <c r="L1173" s="5" t="str">
        <f>IFERROR(__xludf.DUMMYFUNCTION("""COMPUTED_VALUE"""),"Knockin' on Heaven's Door")</f>
        <v>Knockin' on Heaven's Door</v>
      </c>
      <c r="M1173" s="5" t="str">
        <f>IFERROR(__xludf.DUMMYFUNCTION("""COMPUTED_VALUE"""),"Crime")</f>
        <v>Crime</v>
      </c>
      <c r="N1173" s="5">
        <f>IFERROR(__xludf.DUMMYFUNCTION("""COMPUTED_VALUE"""),2.0)</f>
        <v>2</v>
      </c>
      <c r="S1173" s="5">
        <f>IFERROR(__xludf.DUMMYFUNCTION("""COMPUTED_VALUE"""),471.0)</f>
        <v>471</v>
      </c>
      <c r="T1173" s="5" t="str">
        <f>IFERROR(__xludf.DUMMYFUNCTION("""COMPUTED_VALUE"""),"Hunt for the Wilderpeople")</f>
        <v>Hunt for the Wilderpeople</v>
      </c>
      <c r="U1173" s="5" t="str">
        <f>IFERROR(__xludf.DUMMYFUNCTION("""COMPUTED_VALUE"""),"Comedy")</f>
        <v>Comedy</v>
      </c>
      <c r="V1173" s="5">
        <f>IFERROR(__xludf.DUMMYFUNCTION("""COMPUTED_VALUE"""),2.0)</f>
        <v>2</v>
      </c>
    </row>
    <row r="1174">
      <c r="J1174" s="5" t="str">
        <f>IFERROR(__xludf.DUMMYFUNCTION("""COMPUTED_VALUE"""),"391🤙🏼Knockin' on Heaven's Door🤙🏼Comedy🤙🏼3")</f>
        <v>391🤙🏼Knockin' on Heaven's Door🤙🏼Comedy🤙🏼3</v>
      </c>
      <c r="K1174" s="5">
        <f>IFERROR(__xludf.DUMMYFUNCTION("SPLiT(J1174, ""🤙🏼"",FALSE,FALSE)"),391.0)</f>
        <v>391</v>
      </c>
      <c r="L1174" s="5" t="str">
        <f>IFERROR(__xludf.DUMMYFUNCTION("""COMPUTED_VALUE"""),"Knockin' on Heaven's Door")</f>
        <v>Knockin' on Heaven's Door</v>
      </c>
      <c r="M1174" s="5" t="str">
        <f>IFERROR(__xludf.DUMMYFUNCTION("""COMPUTED_VALUE"""),"Comedy")</f>
        <v>Comedy</v>
      </c>
      <c r="N1174" s="5">
        <f>IFERROR(__xludf.DUMMYFUNCTION("""COMPUTED_VALUE"""),3.0)</f>
        <v>3</v>
      </c>
      <c r="S1174" s="5">
        <f>IFERROR(__xludf.DUMMYFUNCTION("""COMPUTED_VALUE"""),471.0)</f>
        <v>471</v>
      </c>
      <c r="T1174" s="5" t="str">
        <f>IFERROR(__xludf.DUMMYFUNCTION("""COMPUTED_VALUE"""),"Hunt for the Wilderpeople")</f>
        <v>Hunt for the Wilderpeople</v>
      </c>
      <c r="U1174" s="5" t="str">
        <f>IFERROR(__xludf.DUMMYFUNCTION("""COMPUTED_VALUE"""),"Drama")</f>
        <v>Drama</v>
      </c>
      <c r="V1174" s="5">
        <f>IFERROR(__xludf.DUMMYFUNCTION("""COMPUTED_VALUE"""),3.0)</f>
        <v>3</v>
      </c>
    </row>
    <row r="1175">
      <c r="J1175" s="5" t="str">
        <f>IFERROR(__xludf.DUMMYFUNCTION("""COMPUTED_VALUE"""),"392🤙🏼Sling Blade🤙🏼Drama🤙🏼1")</f>
        <v>392🤙🏼Sling Blade🤙🏼Drama🤙🏼1</v>
      </c>
      <c r="K1175" s="5">
        <f>IFERROR(__xludf.DUMMYFUNCTION("SPLiT(J1175, ""🤙🏼"",FALSE,FALSE)"),392.0)</f>
        <v>392</v>
      </c>
      <c r="L1175" s="5" t="str">
        <f>IFERROR(__xludf.DUMMYFUNCTION("""COMPUTED_VALUE"""),"Sling Blade")</f>
        <v>Sling Blade</v>
      </c>
      <c r="M1175" s="5" t="str">
        <f>IFERROR(__xludf.DUMMYFUNCTION("""COMPUTED_VALUE"""),"Drama")</f>
        <v>Drama</v>
      </c>
      <c r="N1175" s="5">
        <f>IFERROR(__xludf.DUMMYFUNCTION("""COMPUTED_VALUE"""),1.0)</f>
        <v>1</v>
      </c>
      <c r="S1175" s="5">
        <f>IFERROR(__xludf.DUMMYFUNCTION("""COMPUTED_VALUE"""),472.0)</f>
        <v>472</v>
      </c>
      <c r="T1175" s="5" t="str">
        <f>IFERROR(__xludf.DUMMYFUNCTION("""COMPUTED_VALUE"""),"Captain Fantastic")</f>
        <v>Captain Fantastic</v>
      </c>
      <c r="U1175" s="5" t="str">
        <f>IFERROR(__xludf.DUMMYFUNCTION("""COMPUTED_VALUE"""),"Comedy")</f>
        <v>Comedy</v>
      </c>
      <c r="V1175" s="5">
        <f>IFERROR(__xludf.DUMMYFUNCTION("""COMPUTED_VALUE"""),1.0)</f>
        <v>1</v>
      </c>
    </row>
    <row r="1176">
      <c r="J1176" s="5" t="str">
        <f>IFERROR(__xludf.DUMMYFUNCTION("""COMPUTED_VALUE"""),"392🤙🏼Sling Blade🤙🏼🤙🏼2")</f>
        <v>392🤙🏼Sling Blade🤙🏼🤙🏼2</v>
      </c>
      <c r="K1176" s="5">
        <f>IFERROR(__xludf.DUMMYFUNCTION("SPLiT(J1176, ""🤙🏼"",FALSE,FALSE)"),392.0)</f>
        <v>392</v>
      </c>
      <c r="L1176" s="5" t="str">
        <f>IFERROR(__xludf.DUMMYFUNCTION("""COMPUTED_VALUE"""),"Sling Blade")</f>
        <v>Sling Blade</v>
      </c>
      <c r="M1176" s="5"/>
      <c r="N1176" s="5">
        <f>IFERROR(__xludf.DUMMYFUNCTION("""COMPUTED_VALUE"""),2.0)</f>
        <v>2</v>
      </c>
      <c r="S1176" s="5">
        <f>IFERROR(__xludf.DUMMYFUNCTION("""COMPUTED_VALUE"""),472.0)</f>
        <v>472</v>
      </c>
      <c r="T1176" s="5" t="str">
        <f>IFERROR(__xludf.DUMMYFUNCTION("""COMPUTED_VALUE"""),"Captain Fantastic")</f>
        <v>Captain Fantastic</v>
      </c>
      <c r="U1176" s="5" t="str">
        <f>IFERROR(__xludf.DUMMYFUNCTION("""COMPUTED_VALUE"""),"Drama")</f>
        <v>Drama</v>
      </c>
      <c r="V1176" s="5">
        <f>IFERROR(__xludf.DUMMYFUNCTION("""COMPUTED_VALUE"""),2.0)</f>
        <v>2</v>
      </c>
    </row>
    <row r="1177">
      <c r="J1177" s="5" t="str">
        <f>IFERROR(__xludf.DUMMYFUNCTION("""COMPUTED_VALUE"""),"392🤙🏼Sling Blade🤙🏼🤙🏼3")</f>
        <v>392🤙🏼Sling Blade🤙🏼🤙🏼3</v>
      </c>
      <c r="K1177" s="5">
        <f>IFERROR(__xludf.DUMMYFUNCTION("SPLiT(J1177, ""🤙🏼"",FALSE,FALSE)"),392.0)</f>
        <v>392</v>
      </c>
      <c r="L1177" s="5" t="str">
        <f>IFERROR(__xludf.DUMMYFUNCTION("""COMPUTED_VALUE"""),"Sling Blade")</f>
        <v>Sling Blade</v>
      </c>
      <c r="M1177" s="5"/>
      <c r="N1177" s="5">
        <f>IFERROR(__xludf.DUMMYFUNCTION("""COMPUTED_VALUE"""),3.0)</f>
        <v>3</v>
      </c>
      <c r="S1177" s="5">
        <f>IFERROR(__xludf.DUMMYFUNCTION("""COMPUTED_VALUE"""),473.0)</f>
        <v>473</v>
      </c>
      <c r="T1177" s="5" t="str">
        <f>IFERROR(__xludf.DUMMYFUNCTION("""COMPUTED_VALUE"""),"Sing Street")</f>
        <v>Sing Street</v>
      </c>
      <c r="U1177" s="5" t="str">
        <f>IFERROR(__xludf.DUMMYFUNCTION("""COMPUTED_VALUE"""),"Comedy")</f>
        <v>Comedy</v>
      </c>
      <c r="V1177" s="5">
        <f>IFERROR(__xludf.DUMMYFUNCTION("""COMPUTED_VALUE"""),1.0)</f>
        <v>1</v>
      </c>
    </row>
    <row r="1178">
      <c r="J1178" s="5" t="str">
        <f>IFERROR(__xludf.DUMMYFUNCTION("""COMPUTED_VALUE"""),"393🤙🏼Secrets &amp; Lies🤙🏼Comedy🤙🏼1")</f>
        <v>393🤙🏼Secrets &amp; Lies🤙🏼Comedy🤙🏼1</v>
      </c>
      <c r="K1178" s="5">
        <f>IFERROR(__xludf.DUMMYFUNCTION("SPLiT(J1178, ""🤙🏼"",FALSE,FALSE)"),393.0)</f>
        <v>393</v>
      </c>
      <c r="L1178" s="5" t="str">
        <f>IFERROR(__xludf.DUMMYFUNCTION("""COMPUTED_VALUE"""),"Secrets &amp; Lies")</f>
        <v>Secrets &amp; Lies</v>
      </c>
      <c r="M1178" s="5" t="str">
        <f>IFERROR(__xludf.DUMMYFUNCTION("""COMPUTED_VALUE"""),"Comedy")</f>
        <v>Comedy</v>
      </c>
      <c r="N1178" s="5">
        <f>IFERROR(__xludf.DUMMYFUNCTION("""COMPUTED_VALUE"""),1.0)</f>
        <v>1</v>
      </c>
      <c r="S1178" s="5">
        <f>IFERROR(__xludf.DUMMYFUNCTION("""COMPUTED_VALUE"""),473.0)</f>
        <v>473</v>
      </c>
      <c r="T1178" s="5" t="str">
        <f>IFERROR(__xludf.DUMMYFUNCTION("""COMPUTED_VALUE"""),"Sing Street")</f>
        <v>Sing Street</v>
      </c>
      <c r="U1178" s="5" t="str">
        <f>IFERROR(__xludf.DUMMYFUNCTION("""COMPUTED_VALUE"""),"Drama")</f>
        <v>Drama</v>
      </c>
      <c r="V1178" s="5">
        <f>IFERROR(__xludf.DUMMYFUNCTION("""COMPUTED_VALUE"""),2.0)</f>
        <v>2</v>
      </c>
    </row>
    <row r="1179">
      <c r="J1179" s="5" t="str">
        <f>IFERROR(__xludf.DUMMYFUNCTION("""COMPUTED_VALUE"""),"393🤙🏼Secrets &amp; Lies🤙🏼Drama🤙🏼2")</f>
        <v>393🤙🏼Secrets &amp; Lies🤙🏼Drama🤙🏼2</v>
      </c>
      <c r="K1179" s="5">
        <f>IFERROR(__xludf.DUMMYFUNCTION("SPLiT(J1179, ""🤙🏼"",FALSE,FALSE)"),393.0)</f>
        <v>393</v>
      </c>
      <c r="L1179" s="5" t="str">
        <f>IFERROR(__xludf.DUMMYFUNCTION("""COMPUTED_VALUE"""),"Secrets &amp; Lies")</f>
        <v>Secrets &amp; Lies</v>
      </c>
      <c r="M1179" s="5" t="str">
        <f>IFERROR(__xludf.DUMMYFUNCTION("""COMPUTED_VALUE"""),"Drama")</f>
        <v>Drama</v>
      </c>
      <c r="N1179" s="5">
        <f>IFERROR(__xludf.DUMMYFUNCTION("""COMPUTED_VALUE"""),2.0)</f>
        <v>2</v>
      </c>
      <c r="S1179" s="5">
        <f>IFERROR(__xludf.DUMMYFUNCTION("""COMPUTED_VALUE"""),473.0)</f>
        <v>473</v>
      </c>
      <c r="T1179" s="5" t="str">
        <f>IFERROR(__xludf.DUMMYFUNCTION("""COMPUTED_VALUE"""),"Sing Street")</f>
        <v>Sing Street</v>
      </c>
      <c r="U1179" s="5" t="str">
        <f>IFERROR(__xludf.DUMMYFUNCTION("""COMPUTED_VALUE"""),"Music")</f>
        <v>Music</v>
      </c>
      <c r="V1179" s="5">
        <f>IFERROR(__xludf.DUMMYFUNCTION("""COMPUTED_VALUE"""),3.0)</f>
        <v>3</v>
      </c>
    </row>
    <row r="1180">
      <c r="J1180" s="5" t="str">
        <f>IFERROR(__xludf.DUMMYFUNCTION("""COMPUTED_VALUE"""),"393🤙🏼Secrets &amp; Lies🤙🏼🤙🏼3")</f>
        <v>393🤙🏼Secrets &amp; Lies🤙🏼🤙🏼3</v>
      </c>
      <c r="K1180" s="5">
        <f>IFERROR(__xludf.DUMMYFUNCTION("SPLiT(J1180, ""🤙🏼"",FALSE,FALSE)"),393.0)</f>
        <v>393</v>
      </c>
      <c r="L1180" s="5" t="str">
        <f>IFERROR(__xludf.DUMMYFUNCTION("""COMPUTED_VALUE"""),"Secrets &amp; Lies")</f>
        <v>Secrets &amp; Lies</v>
      </c>
      <c r="M1180" s="5"/>
      <c r="N1180" s="5">
        <f>IFERROR(__xludf.DUMMYFUNCTION("""COMPUTED_VALUE"""),3.0)</f>
        <v>3</v>
      </c>
      <c r="S1180" s="5">
        <f>IFERROR(__xludf.DUMMYFUNCTION("""COMPUTED_VALUE"""),474.0)</f>
        <v>474</v>
      </c>
      <c r="T1180" s="5" t="str">
        <f>IFERROR(__xludf.DUMMYFUNCTION("""COMPUTED_VALUE"""),"Thor: Ragnarok")</f>
        <v>Thor: Ragnarok</v>
      </c>
      <c r="U1180" s="5" t="str">
        <f>IFERROR(__xludf.DUMMYFUNCTION("""COMPUTED_VALUE"""),"Action")</f>
        <v>Action</v>
      </c>
      <c r="V1180" s="5">
        <f>IFERROR(__xludf.DUMMYFUNCTION("""COMPUTED_VALUE"""),1.0)</f>
        <v>1</v>
      </c>
    </row>
    <row r="1181">
      <c r="J1181" s="5" t="str">
        <f>IFERROR(__xludf.DUMMYFUNCTION("""COMPUTED_VALUE"""),"394🤙🏼Twelve Monkeys🤙🏼Mystery🤙🏼1")</f>
        <v>394🤙🏼Twelve Monkeys🤙🏼Mystery🤙🏼1</v>
      </c>
      <c r="K1181" s="5">
        <f>IFERROR(__xludf.DUMMYFUNCTION("SPLiT(J1181, ""🤙🏼"",FALSE,FALSE)"),394.0)</f>
        <v>394</v>
      </c>
      <c r="L1181" s="5" t="str">
        <f>IFERROR(__xludf.DUMMYFUNCTION("""COMPUTED_VALUE"""),"Twelve Monkeys")</f>
        <v>Twelve Monkeys</v>
      </c>
      <c r="M1181" s="5" t="str">
        <f>IFERROR(__xludf.DUMMYFUNCTION("""COMPUTED_VALUE"""),"Mystery")</f>
        <v>Mystery</v>
      </c>
      <c r="N1181" s="5">
        <f>IFERROR(__xludf.DUMMYFUNCTION("""COMPUTED_VALUE"""),1.0)</f>
        <v>1</v>
      </c>
      <c r="S1181" s="5">
        <f>IFERROR(__xludf.DUMMYFUNCTION("""COMPUTED_VALUE"""),474.0)</f>
        <v>474</v>
      </c>
      <c r="T1181" s="5" t="str">
        <f>IFERROR(__xludf.DUMMYFUNCTION("""COMPUTED_VALUE"""),"Thor: Ragnarok")</f>
        <v>Thor: Ragnarok</v>
      </c>
      <c r="U1181" s="5" t="str">
        <f>IFERROR(__xludf.DUMMYFUNCTION("""COMPUTED_VALUE"""),"Adventure")</f>
        <v>Adventure</v>
      </c>
      <c r="V1181" s="5">
        <f>IFERROR(__xludf.DUMMYFUNCTION("""COMPUTED_VALUE"""),2.0)</f>
        <v>2</v>
      </c>
    </row>
    <row r="1182">
      <c r="J1182" s="5" t="str">
        <f>IFERROR(__xludf.DUMMYFUNCTION("""COMPUTED_VALUE"""),"394🤙🏼Twelve Monkeys🤙🏼Sci-Fi🤙🏼2")</f>
        <v>394🤙🏼Twelve Monkeys🤙🏼Sci-Fi🤙🏼2</v>
      </c>
      <c r="K1182" s="5">
        <f>IFERROR(__xludf.DUMMYFUNCTION("SPLiT(J1182, ""🤙🏼"",FALSE,FALSE)"),394.0)</f>
        <v>394</v>
      </c>
      <c r="L1182" s="5" t="str">
        <f>IFERROR(__xludf.DUMMYFUNCTION("""COMPUTED_VALUE"""),"Twelve Monkeys")</f>
        <v>Twelve Monkeys</v>
      </c>
      <c r="M1182" s="5" t="str">
        <f>IFERROR(__xludf.DUMMYFUNCTION("""COMPUTED_VALUE"""),"Sci-Fi")</f>
        <v>Sci-Fi</v>
      </c>
      <c r="N1182" s="5">
        <f>IFERROR(__xludf.DUMMYFUNCTION("""COMPUTED_VALUE"""),2.0)</f>
        <v>2</v>
      </c>
      <c r="S1182" s="5">
        <f>IFERROR(__xludf.DUMMYFUNCTION("""COMPUTED_VALUE"""),474.0)</f>
        <v>474</v>
      </c>
      <c r="T1182" s="5" t="str">
        <f>IFERROR(__xludf.DUMMYFUNCTION("""COMPUTED_VALUE"""),"Thor: Ragnarok")</f>
        <v>Thor: Ragnarok</v>
      </c>
      <c r="U1182" s="5" t="str">
        <f>IFERROR(__xludf.DUMMYFUNCTION("""COMPUTED_VALUE"""),"Comedy")</f>
        <v>Comedy</v>
      </c>
      <c r="V1182" s="5">
        <f>IFERROR(__xludf.DUMMYFUNCTION("""COMPUTED_VALUE"""),3.0)</f>
        <v>3</v>
      </c>
    </row>
    <row r="1183">
      <c r="J1183" s="5" t="str">
        <f>IFERROR(__xludf.DUMMYFUNCTION("""COMPUTED_VALUE"""),"394🤙🏼Twelve Monkeys🤙🏼Thriller🤙🏼3")</f>
        <v>394🤙🏼Twelve Monkeys🤙🏼Thriller🤙🏼3</v>
      </c>
      <c r="K1183" s="5">
        <f>IFERROR(__xludf.DUMMYFUNCTION("SPLiT(J1183, ""🤙🏼"",FALSE,FALSE)"),394.0)</f>
        <v>394</v>
      </c>
      <c r="L1183" s="5" t="str">
        <f>IFERROR(__xludf.DUMMYFUNCTION("""COMPUTED_VALUE"""),"Twelve Monkeys")</f>
        <v>Twelve Monkeys</v>
      </c>
      <c r="M1183" s="5" t="str">
        <f>IFERROR(__xludf.DUMMYFUNCTION("""COMPUTED_VALUE"""),"Thriller")</f>
        <v>Thriller</v>
      </c>
      <c r="N1183" s="5">
        <f>IFERROR(__xludf.DUMMYFUNCTION("""COMPUTED_VALUE"""),3.0)</f>
        <v>3</v>
      </c>
      <c r="S1183" s="5">
        <f>IFERROR(__xludf.DUMMYFUNCTION("""COMPUTED_VALUE"""),475.0)</f>
        <v>475</v>
      </c>
      <c r="T1183" s="5" t="str">
        <f>IFERROR(__xludf.DUMMYFUNCTION("""COMPUTED_VALUE"""),"Nightcrawler")</f>
        <v>Nightcrawler</v>
      </c>
      <c r="U1183" s="5" t="str">
        <f>IFERROR(__xludf.DUMMYFUNCTION("""COMPUTED_VALUE"""),"Crime")</f>
        <v>Crime</v>
      </c>
      <c r="V1183" s="5">
        <f>IFERROR(__xludf.DUMMYFUNCTION("""COMPUTED_VALUE"""),1.0)</f>
        <v>1</v>
      </c>
    </row>
    <row r="1184">
      <c r="J1184" s="5" t="str">
        <f>IFERROR(__xludf.DUMMYFUNCTION("""COMPUTED_VALUE"""),"395🤙🏼Kôkaku Kidôtai🤙🏼Animation🤙🏼1")</f>
        <v>395🤙🏼Kôkaku Kidôtai🤙🏼Animation🤙🏼1</v>
      </c>
      <c r="K1184" s="5">
        <f>IFERROR(__xludf.DUMMYFUNCTION("SPLiT(J1184, ""🤙🏼"",FALSE,FALSE)"),395.0)</f>
        <v>395</v>
      </c>
      <c r="L1184" s="5" t="str">
        <f>IFERROR(__xludf.DUMMYFUNCTION("""COMPUTED_VALUE"""),"Kôkaku Kidôtai")</f>
        <v>Kôkaku Kidôtai</v>
      </c>
      <c r="M1184" s="5" t="str">
        <f>IFERROR(__xludf.DUMMYFUNCTION("""COMPUTED_VALUE"""),"Animation")</f>
        <v>Animation</v>
      </c>
      <c r="N1184" s="5">
        <f>IFERROR(__xludf.DUMMYFUNCTION("""COMPUTED_VALUE"""),1.0)</f>
        <v>1</v>
      </c>
      <c r="S1184" s="5">
        <f>IFERROR(__xludf.DUMMYFUNCTION("""COMPUTED_VALUE"""),475.0)</f>
        <v>475</v>
      </c>
      <c r="T1184" s="5" t="str">
        <f>IFERROR(__xludf.DUMMYFUNCTION("""COMPUTED_VALUE"""),"Nightcrawler")</f>
        <v>Nightcrawler</v>
      </c>
      <c r="U1184" s="5" t="str">
        <f>IFERROR(__xludf.DUMMYFUNCTION("""COMPUTED_VALUE"""),"Drama")</f>
        <v>Drama</v>
      </c>
      <c r="V1184" s="5">
        <f>IFERROR(__xludf.DUMMYFUNCTION("""COMPUTED_VALUE"""),2.0)</f>
        <v>2</v>
      </c>
    </row>
    <row r="1185">
      <c r="J1185" s="5" t="str">
        <f>IFERROR(__xludf.DUMMYFUNCTION("""COMPUTED_VALUE"""),"395🤙🏼Kôkaku Kidôtai🤙🏼Action🤙🏼2")</f>
        <v>395🤙🏼Kôkaku Kidôtai🤙🏼Action🤙🏼2</v>
      </c>
      <c r="K1185" s="5">
        <f>IFERROR(__xludf.DUMMYFUNCTION("SPLiT(J1185, ""🤙🏼"",FALSE,FALSE)"),395.0)</f>
        <v>395</v>
      </c>
      <c r="L1185" s="5" t="str">
        <f>IFERROR(__xludf.DUMMYFUNCTION("""COMPUTED_VALUE"""),"Kôkaku Kidôtai")</f>
        <v>Kôkaku Kidôtai</v>
      </c>
      <c r="M1185" s="5" t="str">
        <f>IFERROR(__xludf.DUMMYFUNCTION("""COMPUTED_VALUE"""),"Action")</f>
        <v>Action</v>
      </c>
      <c r="N1185" s="5">
        <f>IFERROR(__xludf.DUMMYFUNCTION("""COMPUTED_VALUE"""),2.0)</f>
        <v>2</v>
      </c>
      <c r="S1185" s="5">
        <f>IFERROR(__xludf.DUMMYFUNCTION("""COMPUTED_VALUE"""),475.0)</f>
        <v>475</v>
      </c>
      <c r="T1185" s="5" t="str">
        <f>IFERROR(__xludf.DUMMYFUNCTION("""COMPUTED_VALUE"""),"Nightcrawler")</f>
        <v>Nightcrawler</v>
      </c>
      <c r="U1185" s="5" t="str">
        <f>IFERROR(__xludf.DUMMYFUNCTION("""COMPUTED_VALUE"""),"Thriller")</f>
        <v>Thriller</v>
      </c>
      <c r="V1185" s="5">
        <f>IFERROR(__xludf.DUMMYFUNCTION("""COMPUTED_VALUE"""),3.0)</f>
        <v>3</v>
      </c>
    </row>
    <row r="1186">
      <c r="J1186" s="5" t="str">
        <f>IFERROR(__xludf.DUMMYFUNCTION("""COMPUTED_VALUE"""),"395🤙🏼Kôkaku Kidôtai🤙🏼Crime🤙🏼3")</f>
        <v>395🤙🏼Kôkaku Kidôtai🤙🏼Crime🤙🏼3</v>
      </c>
      <c r="K1186" s="5">
        <f>IFERROR(__xludf.DUMMYFUNCTION("SPLiT(J1186, ""🤙🏼"",FALSE,FALSE)"),395.0)</f>
        <v>395</v>
      </c>
      <c r="L1186" s="5" t="str">
        <f>IFERROR(__xludf.DUMMYFUNCTION("""COMPUTED_VALUE"""),"Kôkaku Kidôtai")</f>
        <v>Kôkaku Kidôtai</v>
      </c>
      <c r="M1186" s="5" t="str">
        <f>IFERROR(__xludf.DUMMYFUNCTION("""COMPUTED_VALUE"""),"Crime")</f>
        <v>Crime</v>
      </c>
      <c r="N1186" s="5">
        <f>IFERROR(__xludf.DUMMYFUNCTION("""COMPUTED_VALUE"""),3.0)</f>
        <v>3</v>
      </c>
      <c r="S1186" s="5">
        <f>IFERROR(__xludf.DUMMYFUNCTION("""COMPUTED_VALUE"""),476.0)</f>
        <v>476</v>
      </c>
      <c r="T1186" s="5" t="str">
        <f>IFERROR(__xludf.DUMMYFUNCTION("""COMPUTED_VALUE"""),"Jojo Rabbit")</f>
        <v>Jojo Rabbit</v>
      </c>
      <c r="U1186" s="5" t="str">
        <f>IFERROR(__xludf.DUMMYFUNCTION("""COMPUTED_VALUE"""),"Comedy")</f>
        <v>Comedy</v>
      </c>
      <c r="V1186" s="5">
        <f>IFERROR(__xludf.DUMMYFUNCTION("""COMPUTED_VALUE"""),1.0)</f>
        <v>1</v>
      </c>
    </row>
    <row r="1187">
      <c r="J1187" s="5" t="str">
        <f>IFERROR(__xludf.DUMMYFUNCTION("""COMPUTED_VALUE"""),"396🤙🏼The Nightmare Before Christmas🤙🏼Animation🤙🏼1")</f>
        <v>396🤙🏼The Nightmare Before Christmas🤙🏼Animation🤙🏼1</v>
      </c>
      <c r="K1187" s="5">
        <f>IFERROR(__xludf.DUMMYFUNCTION("SPLiT(J1187, ""🤙🏼"",FALSE,FALSE)"),396.0)</f>
        <v>396</v>
      </c>
      <c r="L1187" s="5" t="str">
        <f>IFERROR(__xludf.DUMMYFUNCTION("""COMPUTED_VALUE"""),"The Nightmare Before Christmas")</f>
        <v>The Nightmare Before Christmas</v>
      </c>
      <c r="M1187" s="5" t="str">
        <f>IFERROR(__xludf.DUMMYFUNCTION("""COMPUTED_VALUE"""),"Animation")</f>
        <v>Animation</v>
      </c>
      <c r="N1187" s="5">
        <f>IFERROR(__xludf.DUMMYFUNCTION("""COMPUTED_VALUE"""),1.0)</f>
        <v>1</v>
      </c>
      <c r="S1187" s="5">
        <f>IFERROR(__xludf.DUMMYFUNCTION("""COMPUTED_VALUE"""),476.0)</f>
        <v>476</v>
      </c>
      <c r="T1187" s="5" t="str">
        <f>IFERROR(__xludf.DUMMYFUNCTION("""COMPUTED_VALUE"""),"Jojo Rabbit")</f>
        <v>Jojo Rabbit</v>
      </c>
      <c r="U1187" s="5" t="str">
        <f>IFERROR(__xludf.DUMMYFUNCTION("""COMPUTED_VALUE"""),"Drama")</f>
        <v>Drama</v>
      </c>
      <c r="V1187" s="5">
        <f>IFERROR(__xludf.DUMMYFUNCTION("""COMPUTED_VALUE"""),2.0)</f>
        <v>2</v>
      </c>
    </row>
    <row r="1188">
      <c r="J1188" s="5" t="str">
        <f>IFERROR(__xludf.DUMMYFUNCTION("""COMPUTED_VALUE"""),"396🤙🏼The Nightmare Before Christmas🤙🏼Family🤙🏼2")</f>
        <v>396🤙🏼The Nightmare Before Christmas🤙🏼Family🤙🏼2</v>
      </c>
      <c r="K1188" s="5">
        <f>IFERROR(__xludf.DUMMYFUNCTION("SPLiT(J1188, ""🤙🏼"",FALSE,FALSE)"),396.0)</f>
        <v>396</v>
      </c>
      <c r="L1188" s="5" t="str">
        <f>IFERROR(__xludf.DUMMYFUNCTION("""COMPUTED_VALUE"""),"The Nightmare Before Christmas")</f>
        <v>The Nightmare Before Christmas</v>
      </c>
      <c r="M1188" s="5" t="str">
        <f>IFERROR(__xludf.DUMMYFUNCTION("""COMPUTED_VALUE"""),"Family")</f>
        <v>Family</v>
      </c>
      <c r="N1188" s="5">
        <f>IFERROR(__xludf.DUMMYFUNCTION("""COMPUTED_VALUE"""),2.0)</f>
        <v>2</v>
      </c>
      <c r="S1188" s="5">
        <f>IFERROR(__xludf.DUMMYFUNCTION("""COMPUTED_VALUE"""),476.0)</f>
        <v>476</v>
      </c>
      <c r="T1188" s="5" t="str">
        <f>IFERROR(__xludf.DUMMYFUNCTION("""COMPUTED_VALUE"""),"Jojo Rabbit")</f>
        <v>Jojo Rabbit</v>
      </c>
      <c r="U1188" s="5" t="str">
        <f>IFERROR(__xludf.DUMMYFUNCTION("""COMPUTED_VALUE"""),"War")</f>
        <v>War</v>
      </c>
      <c r="V1188" s="5">
        <f>IFERROR(__xludf.DUMMYFUNCTION("""COMPUTED_VALUE"""),3.0)</f>
        <v>3</v>
      </c>
    </row>
    <row r="1189">
      <c r="J1189" s="5" t="str">
        <f>IFERROR(__xludf.DUMMYFUNCTION("""COMPUTED_VALUE"""),"396🤙🏼The Nightmare Before Christmas🤙🏼Fantasy🤙🏼3")</f>
        <v>396🤙🏼The Nightmare Before Christmas🤙🏼Fantasy🤙🏼3</v>
      </c>
      <c r="K1189" s="5">
        <f>IFERROR(__xludf.DUMMYFUNCTION("SPLiT(J1189, ""🤙🏼"",FALSE,FALSE)"),396.0)</f>
        <v>396</v>
      </c>
      <c r="L1189" s="5" t="str">
        <f>IFERROR(__xludf.DUMMYFUNCTION("""COMPUTED_VALUE"""),"The Nightmare Before Christmas")</f>
        <v>The Nightmare Before Christmas</v>
      </c>
      <c r="M1189" s="5" t="str">
        <f>IFERROR(__xludf.DUMMYFUNCTION("""COMPUTED_VALUE"""),"Fantasy")</f>
        <v>Fantasy</v>
      </c>
      <c r="N1189" s="5">
        <f>IFERROR(__xludf.DUMMYFUNCTION("""COMPUTED_VALUE"""),3.0)</f>
        <v>3</v>
      </c>
      <c r="S1189" s="5">
        <f>IFERROR(__xludf.DUMMYFUNCTION("""COMPUTED_VALUE"""),477.0)</f>
        <v>477</v>
      </c>
      <c r="T1189" s="5" t="str">
        <f>IFERROR(__xludf.DUMMYFUNCTION("""COMPUTED_VALUE"""),"Arrival")</f>
        <v>Arrival</v>
      </c>
      <c r="U1189" s="5" t="str">
        <f>IFERROR(__xludf.DUMMYFUNCTION("""COMPUTED_VALUE"""),"Drama")</f>
        <v>Drama</v>
      </c>
      <c r="V1189" s="5">
        <f>IFERROR(__xludf.DUMMYFUNCTION("""COMPUTED_VALUE"""),1.0)</f>
        <v>1</v>
      </c>
    </row>
    <row r="1190">
      <c r="J1190" s="5" t="str">
        <f>IFERROR(__xludf.DUMMYFUNCTION("""COMPUTED_VALUE"""),"397🤙🏼Groundhog Day🤙🏼Comedy🤙🏼1")</f>
        <v>397🤙🏼Groundhog Day🤙🏼Comedy🤙🏼1</v>
      </c>
      <c r="K1190" s="5">
        <f>IFERROR(__xludf.DUMMYFUNCTION("SPLiT(J1190, ""🤙🏼"",FALSE,FALSE)"),397.0)</f>
        <v>397</v>
      </c>
      <c r="L1190" s="5" t="str">
        <f>IFERROR(__xludf.DUMMYFUNCTION("""COMPUTED_VALUE"""),"Groundhog Day")</f>
        <v>Groundhog Day</v>
      </c>
      <c r="M1190" s="5" t="str">
        <f>IFERROR(__xludf.DUMMYFUNCTION("""COMPUTED_VALUE"""),"Comedy")</f>
        <v>Comedy</v>
      </c>
      <c r="N1190" s="5">
        <f>IFERROR(__xludf.DUMMYFUNCTION("""COMPUTED_VALUE"""),1.0)</f>
        <v>1</v>
      </c>
      <c r="S1190" s="5">
        <f>IFERROR(__xludf.DUMMYFUNCTION("""COMPUTED_VALUE"""),477.0)</f>
        <v>477</v>
      </c>
      <c r="T1190" s="5" t="str">
        <f>IFERROR(__xludf.DUMMYFUNCTION("""COMPUTED_VALUE"""),"Arrival")</f>
        <v>Arrival</v>
      </c>
      <c r="U1190" s="5" t="str">
        <f>IFERROR(__xludf.DUMMYFUNCTION("""COMPUTED_VALUE"""),"Sci-Fi")</f>
        <v>Sci-Fi</v>
      </c>
      <c r="V1190" s="5">
        <f>IFERROR(__xludf.DUMMYFUNCTION("""COMPUTED_VALUE"""),2.0)</f>
        <v>2</v>
      </c>
    </row>
    <row r="1191">
      <c r="J1191" s="5" t="str">
        <f>IFERROR(__xludf.DUMMYFUNCTION("""COMPUTED_VALUE"""),"397🤙🏼Groundhog Day🤙🏼Fantasy🤙🏼2")</f>
        <v>397🤙🏼Groundhog Day🤙🏼Fantasy🤙🏼2</v>
      </c>
      <c r="K1191" s="5">
        <f>IFERROR(__xludf.DUMMYFUNCTION("SPLiT(J1191, ""🤙🏼"",FALSE,FALSE)"),397.0)</f>
        <v>397</v>
      </c>
      <c r="L1191" s="5" t="str">
        <f>IFERROR(__xludf.DUMMYFUNCTION("""COMPUTED_VALUE"""),"Groundhog Day")</f>
        <v>Groundhog Day</v>
      </c>
      <c r="M1191" s="5" t="str">
        <f>IFERROR(__xludf.DUMMYFUNCTION("""COMPUTED_VALUE"""),"Fantasy")</f>
        <v>Fantasy</v>
      </c>
      <c r="N1191" s="5">
        <f>IFERROR(__xludf.DUMMYFUNCTION("""COMPUTED_VALUE"""),2.0)</f>
        <v>2</v>
      </c>
      <c r="S1191" s="5">
        <f>IFERROR(__xludf.DUMMYFUNCTION("""COMPUTED_VALUE"""),478.0)</f>
        <v>478</v>
      </c>
      <c r="T1191" s="5" t="str">
        <f>IFERROR(__xludf.DUMMYFUNCTION("""COMPUTED_VALUE"""),"Star Wars: Episode VII - The Force Awakens")</f>
        <v>Star Wars: Episode VII - The Force Awakens</v>
      </c>
      <c r="U1191" s="5" t="str">
        <f>IFERROR(__xludf.DUMMYFUNCTION("""COMPUTED_VALUE"""),"Action")</f>
        <v>Action</v>
      </c>
      <c r="V1191" s="5">
        <f>IFERROR(__xludf.DUMMYFUNCTION("""COMPUTED_VALUE"""),1.0)</f>
        <v>1</v>
      </c>
    </row>
    <row r="1192">
      <c r="J1192" s="5" t="str">
        <f>IFERROR(__xludf.DUMMYFUNCTION("""COMPUTED_VALUE"""),"397🤙🏼Groundhog Day🤙🏼Romance🤙🏼3")</f>
        <v>397🤙🏼Groundhog Day🤙🏼Romance🤙🏼3</v>
      </c>
      <c r="K1192" s="5">
        <f>IFERROR(__xludf.DUMMYFUNCTION("SPLiT(J1192, ""🤙🏼"",FALSE,FALSE)"),397.0)</f>
        <v>397</v>
      </c>
      <c r="L1192" s="5" t="str">
        <f>IFERROR(__xludf.DUMMYFUNCTION("""COMPUTED_VALUE"""),"Groundhog Day")</f>
        <v>Groundhog Day</v>
      </c>
      <c r="M1192" s="5" t="str">
        <f>IFERROR(__xludf.DUMMYFUNCTION("""COMPUTED_VALUE"""),"Romance")</f>
        <v>Romance</v>
      </c>
      <c r="N1192" s="5">
        <f>IFERROR(__xludf.DUMMYFUNCTION("""COMPUTED_VALUE"""),3.0)</f>
        <v>3</v>
      </c>
      <c r="S1192" s="5">
        <f>IFERROR(__xludf.DUMMYFUNCTION("""COMPUTED_VALUE"""),478.0)</f>
        <v>478</v>
      </c>
      <c r="T1192" s="5" t="str">
        <f>IFERROR(__xludf.DUMMYFUNCTION("""COMPUTED_VALUE"""),"Star Wars: Episode VII - The Force Awakens")</f>
        <v>Star Wars: Episode VII - The Force Awakens</v>
      </c>
      <c r="U1192" s="5" t="str">
        <f>IFERROR(__xludf.DUMMYFUNCTION("""COMPUTED_VALUE"""),"Adventure")</f>
        <v>Adventure</v>
      </c>
      <c r="V1192" s="5">
        <f>IFERROR(__xludf.DUMMYFUNCTION("""COMPUTED_VALUE"""),2.0)</f>
        <v>2</v>
      </c>
    </row>
    <row r="1193">
      <c r="J1193" s="5" t="str">
        <f>IFERROR(__xludf.DUMMYFUNCTION("""COMPUTED_VALUE"""),"398🤙🏼Bound by Honor🤙🏼Crime🤙🏼1")</f>
        <v>398🤙🏼Bound by Honor🤙🏼Crime🤙🏼1</v>
      </c>
      <c r="K1193" s="5">
        <f>IFERROR(__xludf.DUMMYFUNCTION("SPLiT(J1193, ""🤙🏼"",FALSE,FALSE)"),398.0)</f>
        <v>398</v>
      </c>
      <c r="L1193" s="5" t="str">
        <f>IFERROR(__xludf.DUMMYFUNCTION("""COMPUTED_VALUE"""),"Bound by Honor")</f>
        <v>Bound by Honor</v>
      </c>
      <c r="M1193" s="5" t="str">
        <f>IFERROR(__xludf.DUMMYFUNCTION("""COMPUTED_VALUE"""),"Crime")</f>
        <v>Crime</v>
      </c>
      <c r="N1193" s="5">
        <f>IFERROR(__xludf.DUMMYFUNCTION("""COMPUTED_VALUE"""),1.0)</f>
        <v>1</v>
      </c>
      <c r="S1193" s="5">
        <f>IFERROR(__xludf.DUMMYFUNCTION("""COMPUTED_VALUE"""),478.0)</f>
        <v>478</v>
      </c>
      <c r="T1193" s="5" t="str">
        <f>IFERROR(__xludf.DUMMYFUNCTION("""COMPUTED_VALUE"""),"Star Wars: Episode VII - The Force Awakens")</f>
        <v>Star Wars: Episode VII - The Force Awakens</v>
      </c>
      <c r="U1193" s="5" t="str">
        <f>IFERROR(__xludf.DUMMYFUNCTION("""COMPUTED_VALUE"""),"Sci-Fi")</f>
        <v>Sci-Fi</v>
      </c>
      <c r="V1193" s="5">
        <f>IFERROR(__xludf.DUMMYFUNCTION("""COMPUTED_VALUE"""),3.0)</f>
        <v>3</v>
      </c>
    </row>
    <row r="1194">
      <c r="J1194" s="5" t="str">
        <f>IFERROR(__xludf.DUMMYFUNCTION("""COMPUTED_VALUE"""),"398🤙🏼Bound by Honor🤙🏼Drama🤙🏼2")</f>
        <v>398🤙🏼Bound by Honor🤙🏼Drama🤙🏼2</v>
      </c>
      <c r="K1194" s="5">
        <f>IFERROR(__xludf.DUMMYFUNCTION("SPLiT(J1194, ""🤙🏼"",FALSE,FALSE)"),398.0)</f>
        <v>398</v>
      </c>
      <c r="L1194" s="5" t="str">
        <f>IFERROR(__xludf.DUMMYFUNCTION("""COMPUTED_VALUE"""),"Bound by Honor")</f>
        <v>Bound by Honor</v>
      </c>
      <c r="M1194" s="5" t="str">
        <f>IFERROR(__xludf.DUMMYFUNCTION("""COMPUTED_VALUE"""),"Drama")</f>
        <v>Drama</v>
      </c>
      <c r="N1194" s="5">
        <f>IFERROR(__xludf.DUMMYFUNCTION("""COMPUTED_VALUE"""),2.0)</f>
        <v>2</v>
      </c>
      <c r="S1194" s="5">
        <f>IFERROR(__xludf.DUMMYFUNCTION("""COMPUTED_VALUE"""),479.0)</f>
        <v>479</v>
      </c>
      <c r="T1194" s="5" t="str">
        <f>IFERROR(__xludf.DUMMYFUNCTION("""COMPUTED_VALUE"""),"Before Midnight")</f>
        <v>Before Midnight</v>
      </c>
      <c r="U1194" s="5" t="str">
        <f>IFERROR(__xludf.DUMMYFUNCTION("""COMPUTED_VALUE"""),"Drama")</f>
        <v>Drama</v>
      </c>
      <c r="V1194" s="5">
        <f>IFERROR(__xludf.DUMMYFUNCTION("""COMPUTED_VALUE"""),1.0)</f>
        <v>1</v>
      </c>
    </row>
    <row r="1195">
      <c r="J1195" s="5" t="str">
        <f>IFERROR(__xludf.DUMMYFUNCTION("""COMPUTED_VALUE"""),"398🤙🏼Bound by Honor🤙🏼🤙🏼3")</f>
        <v>398🤙🏼Bound by Honor🤙🏼🤙🏼3</v>
      </c>
      <c r="K1195" s="5">
        <f>IFERROR(__xludf.DUMMYFUNCTION("SPLiT(J1195, ""🤙🏼"",FALSE,FALSE)"),398.0)</f>
        <v>398</v>
      </c>
      <c r="L1195" s="5" t="str">
        <f>IFERROR(__xludf.DUMMYFUNCTION("""COMPUTED_VALUE"""),"Bound by Honor")</f>
        <v>Bound by Honor</v>
      </c>
      <c r="M1195" s="5"/>
      <c r="N1195" s="5">
        <f>IFERROR(__xludf.DUMMYFUNCTION("""COMPUTED_VALUE"""),3.0)</f>
        <v>3</v>
      </c>
      <c r="S1195" s="5">
        <f>IFERROR(__xludf.DUMMYFUNCTION("""COMPUTED_VALUE"""),479.0)</f>
        <v>479</v>
      </c>
      <c r="T1195" s="5" t="str">
        <f>IFERROR(__xludf.DUMMYFUNCTION("""COMPUTED_VALUE"""),"Before Midnight")</f>
        <v>Before Midnight</v>
      </c>
      <c r="U1195" s="5" t="str">
        <f>IFERROR(__xludf.DUMMYFUNCTION("""COMPUTED_VALUE"""),"Romance")</f>
        <v>Romance</v>
      </c>
      <c r="V1195" s="5">
        <f>IFERROR(__xludf.DUMMYFUNCTION("""COMPUTED_VALUE"""),2.0)</f>
        <v>2</v>
      </c>
    </row>
    <row r="1196">
      <c r="J1196" s="5" t="str">
        <f>IFERROR(__xludf.DUMMYFUNCTION("""COMPUTED_VALUE"""),"399🤙🏼Scent of a Woman🤙🏼Drama🤙🏼1")</f>
        <v>399🤙🏼Scent of a Woman🤙🏼Drama🤙🏼1</v>
      </c>
      <c r="K1196" s="5">
        <f>IFERROR(__xludf.DUMMYFUNCTION("SPLiT(J1196, ""🤙🏼"",FALSE,FALSE)"),399.0)</f>
        <v>399</v>
      </c>
      <c r="L1196" s="5" t="str">
        <f>IFERROR(__xludf.DUMMYFUNCTION("""COMPUTED_VALUE"""),"Scent of a Woman")</f>
        <v>Scent of a Woman</v>
      </c>
      <c r="M1196" s="5" t="str">
        <f>IFERROR(__xludf.DUMMYFUNCTION("""COMPUTED_VALUE"""),"Drama")</f>
        <v>Drama</v>
      </c>
      <c r="N1196" s="5">
        <f>IFERROR(__xludf.DUMMYFUNCTION("""COMPUTED_VALUE"""),1.0)</f>
        <v>1</v>
      </c>
      <c r="S1196" s="5">
        <f>IFERROR(__xludf.DUMMYFUNCTION("""COMPUTED_VALUE"""),480.0)</f>
        <v>480</v>
      </c>
      <c r="T1196" s="5" t="str">
        <f>IFERROR(__xludf.DUMMYFUNCTION("""COMPUTED_VALUE"""),"X-Men: Days of Future Past")</f>
        <v>X-Men: Days of Future Past</v>
      </c>
      <c r="U1196" s="5" t="str">
        <f>IFERROR(__xludf.DUMMYFUNCTION("""COMPUTED_VALUE"""),"Action")</f>
        <v>Action</v>
      </c>
      <c r="V1196" s="5">
        <f>IFERROR(__xludf.DUMMYFUNCTION("""COMPUTED_VALUE"""),1.0)</f>
        <v>1</v>
      </c>
    </row>
    <row r="1197">
      <c r="J1197" s="5" t="str">
        <f>IFERROR(__xludf.DUMMYFUNCTION("""COMPUTED_VALUE"""),"399🤙🏼Scent of a Woman🤙🏼🤙🏼2")</f>
        <v>399🤙🏼Scent of a Woman🤙🏼🤙🏼2</v>
      </c>
      <c r="K1197" s="5">
        <f>IFERROR(__xludf.DUMMYFUNCTION("SPLiT(J1197, ""🤙🏼"",FALSE,FALSE)"),399.0)</f>
        <v>399</v>
      </c>
      <c r="L1197" s="5" t="str">
        <f>IFERROR(__xludf.DUMMYFUNCTION("""COMPUTED_VALUE"""),"Scent of a Woman")</f>
        <v>Scent of a Woman</v>
      </c>
      <c r="M1197" s="5"/>
      <c r="N1197" s="5">
        <f>IFERROR(__xludf.DUMMYFUNCTION("""COMPUTED_VALUE"""),2.0)</f>
        <v>2</v>
      </c>
      <c r="S1197" s="5">
        <f>IFERROR(__xludf.DUMMYFUNCTION("""COMPUTED_VALUE"""),480.0)</f>
        <v>480</v>
      </c>
      <c r="T1197" s="5" t="str">
        <f>IFERROR(__xludf.DUMMYFUNCTION("""COMPUTED_VALUE"""),"X-Men: Days of Future Past")</f>
        <v>X-Men: Days of Future Past</v>
      </c>
      <c r="U1197" s="5" t="str">
        <f>IFERROR(__xludf.DUMMYFUNCTION("""COMPUTED_VALUE"""),"Adventure")</f>
        <v>Adventure</v>
      </c>
      <c r="V1197" s="5">
        <f>IFERROR(__xludf.DUMMYFUNCTION("""COMPUTED_VALUE"""),2.0)</f>
        <v>2</v>
      </c>
    </row>
    <row r="1198">
      <c r="J1198" s="5" t="str">
        <f>IFERROR(__xludf.DUMMYFUNCTION("""COMPUTED_VALUE"""),"399🤙🏼Scent of a Woman🤙🏼🤙🏼3")</f>
        <v>399🤙🏼Scent of a Woman🤙🏼🤙🏼3</v>
      </c>
      <c r="K1198" s="5">
        <f>IFERROR(__xludf.DUMMYFUNCTION("SPLiT(J1198, ""🤙🏼"",FALSE,FALSE)"),399.0)</f>
        <v>399</v>
      </c>
      <c r="L1198" s="5" t="str">
        <f>IFERROR(__xludf.DUMMYFUNCTION("""COMPUTED_VALUE"""),"Scent of a Woman")</f>
        <v>Scent of a Woman</v>
      </c>
      <c r="M1198" s="5"/>
      <c r="N1198" s="5">
        <f>IFERROR(__xludf.DUMMYFUNCTION("""COMPUTED_VALUE"""),3.0)</f>
        <v>3</v>
      </c>
      <c r="S1198" s="5">
        <f>IFERROR(__xludf.DUMMYFUNCTION("""COMPUTED_VALUE"""),480.0)</f>
        <v>480</v>
      </c>
      <c r="T1198" s="5" t="str">
        <f>IFERROR(__xludf.DUMMYFUNCTION("""COMPUTED_VALUE"""),"X-Men: Days of Future Past")</f>
        <v>X-Men: Days of Future Past</v>
      </c>
      <c r="U1198" s="5" t="str">
        <f>IFERROR(__xludf.DUMMYFUNCTION("""COMPUTED_VALUE"""),"Sci-Fi")</f>
        <v>Sci-Fi</v>
      </c>
      <c r="V1198" s="5">
        <f>IFERROR(__xludf.DUMMYFUNCTION("""COMPUTED_VALUE"""),3.0)</f>
        <v>3</v>
      </c>
    </row>
    <row r="1199">
      <c r="J1199" s="5" t="str">
        <f>IFERROR(__xludf.DUMMYFUNCTION("""COMPUTED_VALUE"""),"400🤙🏼Aladdin🤙🏼Animation🤙🏼1")</f>
        <v>400🤙🏼Aladdin🤙🏼Animation🤙🏼1</v>
      </c>
      <c r="K1199" s="5">
        <f>IFERROR(__xludf.DUMMYFUNCTION("SPLiT(J1199, ""🤙🏼"",FALSE,FALSE)"),400.0)</f>
        <v>400</v>
      </c>
      <c r="L1199" s="5" t="str">
        <f>IFERROR(__xludf.DUMMYFUNCTION("""COMPUTED_VALUE"""),"Aladdin")</f>
        <v>Aladdin</v>
      </c>
      <c r="M1199" s="5" t="str">
        <f>IFERROR(__xludf.DUMMYFUNCTION("""COMPUTED_VALUE"""),"Animation")</f>
        <v>Animation</v>
      </c>
      <c r="N1199" s="5">
        <f>IFERROR(__xludf.DUMMYFUNCTION("""COMPUTED_VALUE"""),1.0)</f>
        <v>1</v>
      </c>
      <c r="S1199" s="5">
        <f>IFERROR(__xludf.DUMMYFUNCTION("""COMPUTED_VALUE"""),481.0)</f>
        <v>481</v>
      </c>
      <c r="T1199" s="5" t="str">
        <f>IFERROR(__xludf.DUMMYFUNCTION("""COMPUTED_VALUE"""),"Bir Zamanlar Anadolu'da")</f>
        <v>Bir Zamanlar Anadolu'da</v>
      </c>
      <c r="U1199" s="5" t="str">
        <f>IFERROR(__xludf.DUMMYFUNCTION("""COMPUTED_VALUE"""),"Crime")</f>
        <v>Crime</v>
      </c>
      <c r="V1199" s="5">
        <f>IFERROR(__xludf.DUMMYFUNCTION("""COMPUTED_VALUE"""),1.0)</f>
        <v>1</v>
      </c>
    </row>
    <row r="1200">
      <c r="J1200" s="5" t="str">
        <f>IFERROR(__xludf.DUMMYFUNCTION("""COMPUTED_VALUE"""),"400🤙🏼Aladdin🤙🏼Adventure🤙🏼2")</f>
        <v>400🤙🏼Aladdin🤙🏼Adventure🤙🏼2</v>
      </c>
      <c r="K1200" s="5">
        <f>IFERROR(__xludf.DUMMYFUNCTION("SPLiT(J1200, ""🤙🏼"",FALSE,FALSE)"),400.0)</f>
        <v>400</v>
      </c>
      <c r="L1200" s="5" t="str">
        <f>IFERROR(__xludf.DUMMYFUNCTION("""COMPUTED_VALUE"""),"Aladdin")</f>
        <v>Aladdin</v>
      </c>
      <c r="M1200" s="5" t="str">
        <f>IFERROR(__xludf.DUMMYFUNCTION("""COMPUTED_VALUE"""),"Adventure")</f>
        <v>Adventure</v>
      </c>
      <c r="N1200" s="5">
        <f>IFERROR(__xludf.DUMMYFUNCTION("""COMPUTED_VALUE"""),2.0)</f>
        <v>2</v>
      </c>
      <c r="S1200" s="5">
        <f>IFERROR(__xludf.DUMMYFUNCTION("""COMPUTED_VALUE"""),481.0)</f>
        <v>481</v>
      </c>
      <c r="T1200" s="5" t="str">
        <f>IFERROR(__xludf.DUMMYFUNCTION("""COMPUTED_VALUE"""),"Bir Zamanlar Anadolu'da")</f>
        <v>Bir Zamanlar Anadolu'da</v>
      </c>
      <c r="U1200" s="5" t="str">
        <f>IFERROR(__xludf.DUMMYFUNCTION("""COMPUTED_VALUE"""),"Drama")</f>
        <v>Drama</v>
      </c>
      <c r="V1200" s="5">
        <f>IFERROR(__xludf.DUMMYFUNCTION("""COMPUTED_VALUE"""),2.0)</f>
        <v>2</v>
      </c>
    </row>
    <row r="1201">
      <c r="J1201" s="5" t="str">
        <f>IFERROR(__xludf.DUMMYFUNCTION("""COMPUTED_VALUE"""),"400🤙🏼Aladdin🤙🏼Comedy🤙🏼3")</f>
        <v>400🤙🏼Aladdin🤙🏼Comedy🤙🏼3</v>
      </c>
      <c r="K1201" s="5">
        <f>IFERROR(__xludf.DUMMYFUNCTION("SPLiT(J1201, ""🤙🏼"",FALSE,FALSE)"),400.0)</f>
        <v>400</v>
      </c>
      <c r="L1201" s="5" t="str">
        <f>IFERROR(__xludf.DUMMYFUNCTION("""COMPUTED_VALUE"""),"Aladdin")</f>
        <v>Aladdin</v>
      </c>
      <c r="M1201" s="5" t="str">
        <f>IFERROR(__xludf.DUMMYFUNCTION("""COMPUTED_VALUE"""),"Comedy")</f>
        <v>Comedy</v>
      </c>
      <c r="N1201" s="5">
        <f>IFERROR(__xludf.DUMMYFUNCTION("""COMPUTED_VALUE"""),3.0)</f>
        <v>3</v>
      </c>
      <c r="S1201" s="5">
        <f>IFERROR(__xludf.DUMMYFUNCTION("""COMPUTED_VALUE"""),482.0)</f>
        <v>482</v>
      </c>
      <c r="T1201" s="5" t="str">
        <f>IFERROR(__xludf.DUMMYFUNCTION("""COMPUTED_VALUE"""),"The Artist")</f>
        <v>The Artist</v>
      </c>
      <c r="U1201" s="5" t="str">
        <f>IFERROR(__xludf.DUMMYFUNCTION("""COMPUTED_VALUE"""),"Comedy")</f>
        <v>Comedy</v>
      </c>
      <c r="V1201" s="5">
        <f>IFERROR(__xludf.DUMMYFUNCTION("""COMPUTED_VALUE"""),1.0)</f>
        <v>1</v>
      </c>
    </row>
    <row r="1202">
      <c r="J1202" s="5" t="str">
        <f>IFERROR(__xludf.DUMMYFUNCTION("""COMPUTED_VALUE"""),"401🤙🏼JFK🤙🏼Drama🤙🏼1")</f>
        <v>401🤙🏼JFK🤙🏼Drama🤙🏼1</v>
      </c>
      <c r="K1202" s="5">
        <f>IFERROR(__xludf.DUMMYFUNCTION("SPLiT(J1202, ""🤙🏼"",FALSE,FALSE)"),401.0)</f>
        <v>401</v>
      </c>
      <c r="L1202" s="5" t="str">
        <f>IFERROR(__xludf.DUMMYFUNCTION("""COMPUTED_VALUE"""),"JFK")</f>
        <v>JFK</v>
      </c>
      <c r="M1202" s="5" t="str">
        <f>IFERROR(__xludf.DUMMYFUNCTION("""COMPUTED_VALUE"""),"Drama")</f>
        <v>Drama</v>
      </c>
      <c r="N1202" s="5">
        <f>IFERROR(__xludf.DUMMYFUNCTION("""COMPUTED_VALUE"""),1.0)</f>
        <v>1</v>
      </c>
      <c r="S1202" s="5">
        <f>IFERROR(__xludf.DUMMYFUNCTION("""COMPUTED_VALUE"""),482.0)</f>
        <v>482</v>
      </c>
      <c r="T1202" s="5" t="str">
        <f>IFERROR(__xludf.DUMMYFUNCTION("""COMPUTED_VALUE"""),"The Artist")</f>
        <v>The Artist</v>
      </c>
      <c r="U1202" s="5" t="str">
        <f>IFERROR(__xludf.DUMMYFUNCTION("""COMPUTED_VALUE"""),"Drama")</f>
        <v>Drama</v>
      </c>
      <c r="V1202" s="5">
        <f>IFERROR(__xludf.DUMMYFUNCTION("""COMPUTED_VALUE"""),2.0)</f>
        <v>2</v>
      </c>
    </row>
    <row r="1203">
      <c r="J1203" s="5" t="str">
        <f>IFERROR(__xludf.DUMMYFUNCTION("""COMPUTED_VALUE"""),"401🤙🏼JFK🤙🏼History🤙🏼2")</f>
        <v>401🤙🏼JFK🤙🏼History🤙🏼2</v>
      </c>
      <c r="K1203" s="5">
        <f>IFERROR(__xludf.DUMMYFUNCTION("SPLiT(J1203, ""🤙🏼"",FALSE,FALSE)"),401.0)</f>
        <v>401</v>
      </c>
      <c r="L1203" s="5" t="str">
        <f>IFERROR(__xludf.DUMMYFUNCTION("""COMPUTED_VALUE"""),"JFK")</f>
        <v>JFK</v>
      </c>
      <c r="M1203" s="5" t="str">
        <f>IFERROR(__xludf.DUMMYFUNCTION("""COMPUTED_VALUE"""),"History")</f>
        <v>History</v>
      </c>
      <c r="N1203" s="5">
        <f>IFERROR(__xludf.DUMMYFUNCTION("""COMPUTED_VALUE"""),2.0)</f>
        <v>2</v>
      </c>
      <c r="S1203" s="5">
        <f>IFERROR(__xludf.DUMMYFUNCTION("""COMPUTED_VALUE"""),482.0)</f>
        <v>482</v>
      </c>
      <c r="T1203" s="5" t="str">
        <f>IFERROR(__xludf.DUMMYFUNCTION("""COMPUTED_VALUE"""),"The Artist")</f>
        <v>The Artist</v>
      </c>
      <c r="U1203" s="5" t="str">
        <f>IFERROR(__xludf.DUMMYFUNCTION("""COMPUTED_VALUE"""),"Romance")</f>
        <v>Romance</v>
      </c>
      <c r="V1203" s="5">
        <f>IFERROR(__xludf.DUMMYFUNCTION("""COMPUTED_VALUE"""),3.0)</f>
        <v>3</v>
      </c>
    </row>
    <row r="1204">
      <c r="J1204" s="5" t="str">
        <f>IFERROR(__xludf.DUMMYFUNCTION("""COMPUTED_VALUE"""),"401🤙🏼JFK🤙🏼Thriller🤙🏼3")</f>
        <v>401🤙🏼JFK🤙🏼Thriller🤙🏼3</v>
      </c>
      <c r="K1204" s="5">
        <f>IFERROR(__xludf.DUMMYFUNCTION("SPLiT(J1204, ""🤙🏼"",FALSE,FALSE)"),401.0)</f>
        <v>401</v>
      </c>
      <c r="L1204" s="5" t="str">
        <f>IFERROR(__xludf.DUMMYFUNCTION("""COMPUTED_VALUE"""),"JFK")</f>
        <v>JFK</v>
      </c>
      <c r="M1204" s="5" t="str">
        <f>IFERROR(__xludf.DUMMYFUNCTION("""COMPUTED_VALUE"""),"Thriller")</f>
        <v>Thriller</v>
      </c>
      <c r="N1204" s="5">
        <f>IFERROR(__xludf.DUMMYFUNCTION("""COMPUTED_VALUE"""),3.0)</f>
        <v>3</v>
      </c>
      <c r="S1204" s="5">
        <f>IFERROR(__xludf.DUMMYFUNCTION("""COMPUTED_VALUE"""),483.0)</f>
        <v>483</v>
      </c>
      <c r="T1204" s="5" t="str">
        <f>IFERROR(__xludf.DUMMYFUNCTION("""COMPUTED_VALUE"""),"Edge of Tomorrow")</f>
        <v>Edge of Tomorrow</v>
      </c>
      <c r="U1204" s="5" t="str">
        <f>IFERROR(__xludf.DUMMYFUNCTION("""COMPUTED_VALUE"""),"Action")</f>
        <v>Action</v>
      </c>
      <c r="V1204" s="5">
        <f>IFERROR(__xludf.DUMMYFUNCTION("""COMPUTED_VALUE"""),1.0)</f>
        <v>1</v>
      </c>
    </row>
    <row r="1205">
      <c r="J1205" s="5" t="str">
        <f>IFERROR(__xludf.DUMMYFUNCTION("""COMPUTED_VALUE"""),"402🤙🏼Beauty and the Beast🤙🏼Animation🤙🏼1")</f>
        <v>402🤙🏼Beauty and the Beast🤙🏼Animation🤙🏼1</v>
      </c>
      <c r="K1205" s="5">
        <f>IFERROR(__xludf.DUMMYFUNCTION("SPLiT(J1205, ""🤙🏼"",FALSE,FALSE)"),402.0)</f>
        <v>402</v>
      </c>
      <c r="L1205" s="5" t="str">
        <f>IFERROR(__xludf.DUMMYFUNCTION("""COMPUTED_VALUE"""),"Beauty and the Beast")</f>
        <v>Beauty and the Beast</v>
      </c>
      <c r="M1205" s="5" t="str">
        <f>IFERROR(__xludf.DUMMYFUNCTION("""COMPUTED_VALUE"""),"Animation")</f>
        <v>Animation</v>
      </c>
      <c r="N1205" s="5">
        <f>IFERROR(__xludf.DUMMYFUNCTION("""COMPUTED_VALUE"""),1.0)</f>
        <v>1</v>
      </c>
      <c r="S1205" s="5">
        <f>IFERROR(__xludf.DUMMYFUNCTION("""COMPUTED_VALUE"""),483.0)</f>
        <v>483</v>
      </c>
      <c r="T1205" s="5" t="str">
        <f>IFERROR(__xludf.DUMMYFUNCTION("""COMPUTED_VALUE"""),"Edge of Tomorrow")</f>
        <v>Edge of Tomorrow</v>
      </c>
      <c r="U1205" s="5" t="str">
        <f>IFERROR(__xludf.DUMMYFUNCTION("""COMPUTED_VALUE"""),"Adventure")</f>
        <v>Adventure</v>
      </c>
      <c r="V1205" s="5">
        <f>IFERROR(__xludf.DUMMYFUNCTION("""COMPUTED_VALUE"""),2.0)</f>
        <v>2</v>
      </c>
    </row>
    <row r="1206">
      <c r="J1206" s="5" t="str">
        <f>IFERROR(__xludf.DUMMYFUNCTION("""COMPUTED_VALUE"""),"402🤙🏼Beauty and the Beast🤙🏼Family🤙🏼2")</f>
        <v>402🤙🏼Beauty and the Beast🤙🏼Family🤙🏼2</v>
      </c>
      <c r="K1206" s="5">
        <f>IFERROR(__xludf.DUMMYFUNCTION("SPLiT(J1206, ""🤙🏼"",FALSE,FALSE)"),402.0)</f>
        <v>402</v>
      </c>
      <c r="L1206" s="5" t="str">
        <f>IFERROR(__xludf.DUMMYFUNCTION("""COMPUTED_VALUE"""),"Beauty and the Beast")</f>
        <v>Beauty and the Beast</v>
      </c>
      <c r="M1206" s="5" t="str">
        <f>IFERROR(__xludf.DUMMYFUNCTION("""COMPUTED_VALUE"""),"Family")</f>
        <v>Family</v>
      </c>
      <c r="N1206" s="5">
        <f>IFERROR(__xludf.DUMMYFUNCTION("""COMPUTED_VALUE"""),2.0)</f>
        <v>2</v>
      </c>
      <c r="S1206" s="5">
        <f>IFERROR(__xludf.DUMMYFUNCTION("""COMPUTED_VALUE"""),483.0)</f>
        <v>483</v>
      </c>
      <c r="T1206" s="5" t="str">
        <f>IFERROR(__xludf.DUMMYFUNCTION("""COMPUTED_VALUE"""),"Edge of Tomorrow")</f>
        <v>Edge of Tomorrow</v>
      </c>
      <c r="U1206" s="5" t="str">
        <f>IFERROR(__xludf.DUMMYFUNCTION("""COMPUTED_VALUE"""),"Sci-Fi")</f>
        <v>Sci-Fi</v>
      </c>
      <c r="V1206" s="5">
        <f>IFERROR(__xludf.DUMMYFUNCTION("""COMPUTED_VALUE"""),3.0)</f>
        <v>3</v>
      </c>
    </row>
    <row r="1207">
      <c r="J1207" s="5" t="str">
        <f>IFERROR(__xludf.DUMMYFUNCTION("""COMPUTED_VALUE"""),"402🤙🏼Beauty and the Beast🤙🏼Fantasy🤙🏼3")</f>
        <v>402🤙🏼Beauty and the Beast🤙🏼Fantasy🤙🏼3</v>
      </c>
      <c r="K1207" s="5">
        <f>IFERROR(__xludf.DUMMYFUNCTION("SPLiT(J1207, ""🤙🏼"",FALSE,FALSE)"),402.0)</f>
        <v>402</v>
      </c>
      <c r="L1207" s="5" t="str">
        <f>IFERROR(__xludf.DUMMYFUNCTION("""COMPUTED_VALUE"""),"Beauty and the Beast")</f>
        <v>Beauty and the Beast</v>
      </c>
      <c r="M1207" s="5" t="str">
        <f>IFERROR(__xludf.DUMMYFUNCTION("""COMPUTED_VALUE"""),"Fantasy")</f>
        <v>Fantasy</v>
      </c>
      <c r="N1207" s="5">
        <f>IFERROR(__xludf.DUMMYFUNCTION("""COMPUTED_VALUE"""),3.0)</f>
        <v>3</v>
      </c>
      <c r="S1207" s="5">
        <f>IFERROR(__xludf.DUMMYFUNCTION("""COMPUTED_VALUE"""),484.0)</f>
        <v>484</v>
      </c>
      <c r="T1207" s="5" t="str">
        <f>IFERROR(__xludf.DUMMYFUNCTION("""COMPUTED_VALUE"""),"Amour")</f>
        <v>Amour</v>
      </c>
      <c r="U1207" s="5" t="str">
        <f>IFERROR(__xludf.DUMMYFUNCTION("""COMPUTED_VALUE"""),"Drama")</f>
        <v>Drama</v>
      </c>
      <c r="V1207" s="5">
        <f>IFERROR(__xludf.DUMMYFUNCTION("""COMPUTED_VALUE"""),1.0)</f>
        <v>1</v>
      </c>
    </row>
    <row r="1208">
      <c r="J1208" s="5" t="str">
        <f>IFERROR(__xludf.DUMMYFUNCTION("""COMPUTED_VALUE"""),"403🤙🏼Dances with Wolves🤙🏼Adventure🤙🏼1")</f>
        <v>403🤙🏼Dances with Wolves🤙🏼Adventure🤙🏼1</v>
      </c>
      <c r="K1208" s="5">
        <f>IFERROR(__xludf.DUMMYFUNCTION("SPLiT(J1208, ""🤙🏼"",FALSE,FALSE)"),403.0)</f>
        <v>403</v>
      </c>
      <c r="L1208" s="5" t="str">
        <f>IFERROR(__xludf.DUMMYFUNCTION("""COMPUTED_VALUE"""),"Dances with Wolves")</f>
        <v>Dances with Wolves</v>
      </c>
      <c r="M1208" s="5" t="str">
        <f>IFERROR(__xludf.DUMMYFUNCTION("""COMPUTED_VALUE"""),"Adventure")</f>
        <v>Adventure</v>
      </c>
      <c r="N1208" s="5">
        <f>IFERROR(__xludf.DUMMYFUNCTION("""COMPUTED_VALUE"""),1.0)</f>
        <v>1</v>
      </c>
      <c r="S1208" s="5">
        <f>IFERROR(__xludf.DUMMYFUNCTION("""COMPUTED_VALUE"""),484.0)</f>
        <v>484</v>
      </c>
      <c r="T1208" s="5" t="str">
        <f>IFERROR(__xludf.DUMMYFUNCTION("""COMPUTED_VALUE"""),"Amour")</f>
        <v>Amour</v>
      </c>
      <c r="U1208" s="5" t="str">
        <f>IFERROR(__xludf.DUMMYFUNCTION("""COMPUTED_VALUE"""),"Romance")</f>
        <v>Romance</v>
      </c>
      <c r="V1208" s="5">
        <f>IFERROR(__xludf.DUMMYFUNCTION("""COMPUTED_VALUE"""),2.0)</f>
        <v>2</v>
      </c>
    </row>
    <row r="1209">
      <c r="J1209" s="5" t="str">
        <f>IFERROR(__xludf.DUMMYFUNCTION("""COMPUTED_VALUE"""),"403🤙🏼Dances with Wolves🤙🏼Drama🤙🏼2")</f>
        <v>403🤙🏼Dances with Wolves🤙🏼Drama🤙🏼2</v>
      </c>
      <c r="K1209" s="5">
        <f>IFERROR(__xludf.DUMMYFUNCTION("SPLiT(J1209, ""🤙🏼"",FALSE,FALSE)"),403.0)</f>
        <v>403</v>
      </c>
      <c r="L1209" s="5" t="str">
        <f>IFERROR(__xludf.DUMMYFUNCTION("""COMPUTED_VALUE"""),"Dances with Wolves")</f>
        <v>Dances with Wolves</v>
      </c>
      <c r="M1209" s="5" t="str">
        <f>IFERROR(__xludf.DUMMYFUNCTION("""COMPUTED_VALUE"""),"Drama")</f>
        <v>Drama</v>
      </c>
      <c r="N1209" s="5">
        <f>IFERROR(__xludf.DUMMYFUNCTION("""COMPUTED_VALUE"""),2.0)</f>
        <v>2</v>
      </c>
      <c r="S1209" s="5">
        <f>IFERROR(__xludf.DUMMYFUNCTION("""COMPUTED_VALUE"""),485.0)</f>
        <v>485</v>
      </c>
      <c r="T1209" s="5" t="str">
        <f>IFERROR(__xludf.DUMMYFUNCTION("""COMPUTED_VALUE"""),"The Irishman")</f>
        <v>The Irishman</v>
      </c>
      <c r="U1209" s="5" t="str">
        <f>IFERROR(__xludf.DUMMYFUNCTION("""COMPUTED_VALUE"""),"Biography")</f>
        <v>Biography</v>
      </c>
      <c r="V1209" s="5">
        <f>IFERROR(__xludf.DUMMYFUNCTION("""COMPUTED_VALUE"""),1.0)</f>
        <v>1</v>
      </c>
    </row>
    <row r="1210">
      <c r="J1210" s="5" t="str">
        <f>IFERROR(__xludf.DUMMYFUNCTION("""COMPUTED_VALUE"""),"403🤙🏼Dances with Wolves🤙🏼Western🤙🏼3")</f>
        <v>403🤙🏼Dances with Wolves🤙🏼Western🤙🏼3</v>
      </c>
      <c r="K1210" s="5">
        <f>IFERROR(__xludf.DUMMYFUNCTION("SPLiT(J1210, ""🤙🏼"",FALSE,FALSE)"),403.0)</f>
        <v>403</v>
      </c>
      <c r="L1210" s="5" t="str">
        <f>IFERROR(__xludf.DUMMYFUNCTION("""COMPUTED_VALUE"""),"Dances with Wolves")</f>
        <v>Dances with Wolves</v>
      </c>
      <c r="M1210" s="5" t="str">
        <f>IFERROR(__xludf.DUMMYFUNCTION("""COMPUTED_VALUE"""),"Western")</f>
        <v>Western</v>
      </c>
      <c r="N1210" s="5">
        <f>IFERROR(__xludf.DUMMYFUNCTION("""COMPUTED_VALUE"""),3.0)</f>
        <v>3</v>
      </c>
      <c r="S1210" s="5">
        <f>IFERROR(__xludf.DUMMYFUNCTION("""COMPUTED_VALUE"""),485.0)</f>
        <v>485</v>
      </c>
      <c r="T1210" s="5" t="str">
        <f>IFERROR(__xludf.DUMMYFUNCTION("""COMPUTED_VALUE"""),"The Irishman")</f>
        <v>The Irishman</v>
      </c>
      <c r="U1210" s="5" t="str">
        <f>IFERROR(__xludf.DUMMYFUNCTION("""COMPUTED_VALUE"""),"Crime")</f>
        <v>Crime</v>
      </c>
      <c r="V1210" s="5">
        <f>IFERROR(__xludf.DUMMYFUNCTION("""COMPUTED_VALUE"""),2.0)</f>
        <v>2</v>
      </c>
    </row>
    <row r="1211">
      <c r="J1211" s="5" t="str">
        <f>IFERROR(__xludf.DUMMYFUNCTION("""COMPUTED_VALUE"""),"404🤙🏼Do the Right Thing🤙🏼Comedy🤙🏼1")</f>
        <v>404🤙🏼Do the Right Thing🤙🏼Comedy🤙🏼1</v>
      </c>
      <c r="K1211" s="5">
        <f>IFERROR(__xludf.DUMMYFUNCTION("SPLiT(J1211, ""🤙🏼"",FALSE,FALSE)"),404.0)</f>
        <v>404</v>
      </c>
      <c r="L1211" s="5" t="str">
        <f>IFERROR(__xludf.DUMMYFUNCTION("""COMPUTED_VALUE"""),"Do the Right Thing")</f>
        <v>Do the Right Thing</v>
      </c>
      <c r="M1211" s="5" t="str">
        <f>IFERROR(__xludf.DUMMYFUNCTION("""COMPUTED_VALUE"""),"Comedy")</f>
        <v>Comedy</v>
      </c>
      <c r="N1211" s="5">
        <f>IFERROR(__xludf.DUMMYFUNCTION("""COMPUTED_VALUE"""),1.0)</f>
        <v>1</v>
      </c>
      <c r="S1211" s="5">
        <f>IFERROR(__xludf.DUMMYFUNCTION("""COMPUTED_VALUE"""),485.0)</f>
        <v>485</v>
      </c>
      <c r="T1211" s="5" t="str">
        <f>IFERROR(__xludf.DUMMYFUNCTION("""COMPUTED_VALUE"""),"The Irishman")</f>
        <v>The Irishman</v>
      </c>
      <c r="U1211" s="5" t="str">
        <f>IFERROR(__xludf.DUMMYFUNCTION("""COMPUTED_VALUE"""),"Drama")</f>
        <v>Drama</v>
      </c>
      <c r="V1211" s="5">
        <f>IFERROR(__xludf.DUMMYFUNCTION("""COMPUTED_VALUE"""),3.0)</f>
        <v>3</v>
      </c>
    </row>
    <row r="1212">
      <c r="J1212" s="5" t="str">
        <f>IFERROR(__xludf.DUMMYFUNCTION("""COMPUTED_VALUE"""),"404🤙🏼Do the Right Thing🤙🏼Drama🤙🏼2")</f>
        <v>404🤙🏼Do the Right Thing🤙🏼Drama🤙🏼2</v>
      </c>
      <c r="K1212" s="5">
        <f>IFERROR(__xludf.DUMMYFUNCTION("SPLiT(J1212, ""🤙🏼"",FALSE,FALSE)"),404.0)</f>
        <v>404</v>
      </c>
      <c r="L1212" s="5" t="str">
        <f>IFERROR(__xludf.DUMMYFUNCTION("""COMPUTED_VALUE"""),"Do the Right Thing")</f>
        <v>Do the Right Thing</v>
      </c>
      <c r="M1212" s="5" t="str">
        <f>IFERROR(__xludf.DUMMYFUNCTION("""COMPUTED_VALUE"""),"Drama")</f>
        <v>Drama</v>
      </c>
      <c r="N1212" s="5">
        <f>IFERROR(__xludf.DUMMYFUNCTION("""COMPUTED_VALUE"""),2.0)</f>
        <v>2</v>
      </c>
      <c r="S1212" s="5">
        <f>IFERROR(__xludf.DUMMYFUNCTION("""COMPUTED_VALUE"""),486.0)</f>
        <v>486</v>
      </c>
      <c r="T1212" s="5" t="str">
        <f>IFERROR(__xludf.DUMMYFUNCTION("""COMPUTED_VALUE"""),"Un prophète")</f>
        <v>Un prophète</v>
      </c>
      <c r="U1212" s="5" t="str">
        <f>IFERROR(__xludf.DUMMYFUNCTION("""COMPUTED_VALUE"""),"Crime")</f>
        <v>Crime</v>
      </c>
      <c r="V1212" s="5">
        <f>IFERROR(__xludf.DUMMYFUNCTION("""COMPUTED_VALUE"""),1.0)</f>
        <v>1</v>
      </c>
    </row>
    <row r="1213">
      <c r="J1213" s="5" t="str">
        <f>IFERROR(__xludf.DUMMYFUNCTION("""COMPUTED_VALUE"""),"404🤙🏼Do the Right Thing🤙🏼🤙🏼3")</f>
        <v>404🤙🏼Do the Right Thing🤙🏼🤙🏼3</v>
      </c>
      <c r="K1213" s="5">
        <f>IFERROR(__xludf.DUMMYFUNCTION("SPLiT(J1213, ""🤙🏼"",FALSE,FALSE)"),404.0)</f>
        <v>404</v>
      </c>
      <c r="L1213" s="5" t="str">
        <f>IFERROR(__xludf.DUMMYFUNCTION("""COMPUTED_VALUE"""),"Do the Right Thing")</f>
        <v>Do the Right Thing</v>
      </c>
      <c r="M1213" s="5"/>
      <c r="N1213" s="5">
        <f>IFERROR(__xludf.DUMMYFUNCTION("""COMPUTED_VALUE"""),3.0)</f>
        <v>3</v>
      </c>
      <c r="S1213" s="5">
        <f>IFERROR(__xludf.DUMMYFUNCTION("""COMPUTED_VALUE"""),486.0)</f>
        <v>486</v>
      </c>
      <c r="T1213" s="5" t="str">
        <f>IFERROR(__xludf.DUMMYFUNCTION("""COMPUTED_VALUE"""),"Un prophète")</f>
        <v>Un prophète</v>
      </c>
      <c r="U1213" s="5" t="str">
        <f>IFERROR(__xludf.DUMMYFUNCTION("""COMPUTED_VALUE"""),"Drama")</f>
        <v>Drama</v>
      </c>
      <c r="V1213" s="5">
        <f>IFERROR(__xludf.DUMMYFUNCTION("""COMPUTED_VALUE"""),2.0)</f>
        <v>2</v>
      </c>
    </row>
    <row r="1214">
      <c r="J1214" s="5" t="str">
        <f>IFERROR(__xludf.DUMMYFUNCTION("""COMPUTED_VALUE"""),"405🤙🏼Rain Man🤙🏼Drama🤙🏼1")</f>
        <v>405🤙🏼Rain Man🤙🏼Drama🤙🏼1</v>
      </c>
      <c r="K1214" s="5">
        <f>IFERROR(__xludf.DUMMYFUNCTION("SPLiT(J1214, ""🤙🏼"",FALSE,FALSE)"),405.0)</f>
        <v>405</v>
      </c>
      <c r="L1214" s="5" t="str">
        <f>IFERROR(__xludf.DUMMYFUNCTION("""COMPUTED_VALUE"""),"Rain Man")</f>
        <v>Rain Man</v>
      </c>
      <c r="M1214" s="5" t="str">
        <f>IFERROR(__xludf.DUMMYFUNCTION("""COMPUTED_VALUE"""),"Drama")</f>
        <v>Drama</v>
      </c>
      <c r="N1214" s="5">
        <f>IFERROR(__xludf.DUMMYFUNCTION("""COMPUTED_VALUE"""),1.0)</f>
        <v>1</v>
      </c>
      <c r="S1214" s="5">
        <f>IFERROR(__xludf.DUMMYFUNCTION("""COMPUTED_VALUE"""),487.0)</f>
        <v>487</v>
      </c>
      <c r="T1214" s="5" t="str">
        <f>IFERROR(__xludf.DUMMYFUNCTION("""COMPUTED_VALUE"""),"Moon")</f>
        <v>Moon</v>
      </c>
      <c r="U1214" s="5" t="str">
        <f>IFERROR(__xludf.DUMMYFUNCTION("""COMPUTED_VALUE"""),"Drama")</f>
        <v>Drama</v>
      </c>
      <c r="V1214" s="5">
        <f>IFERROR(__xludf.DUMMYFUNCTION("""COMPUTED_VALUE"""),1.0)</f>
        <v>1</v>
      </c>
    </row>
    <row r="1215">
      <c r="J1215" s="5" t="str">
        <f>IFERROR(__xludf.DUMMYFUNCTION("""COMPUTED_VALUE"""),"405🤙🏼Rain Man🤙🏼🤙🏼2")</f>
        <v>405🤙🏼Rain Man🤙🏼🤙🏼2</v>
      </c>
      <c r="K1215" s="5">
        <f>IFERROR(__xludf.DUMMYFUNCTION("SPLiT(J1215, ""🤙🏼"",FALSE,FALSE)"),405.0)</f>
        <v>405</v>
      </c>
      <c r="L1215" s="5" t="str">
        <f>IFERROR(__xludf.DUMMYFUNCTION("""COMPUTED_VALUE"""),"Rain Man")</f>
        <v>Rain Man</v>
      </c>
      <c r="M1215" s="5"/>
      <c r="N1215" s="5">
        <f>IFERROR(__xludf.DUMMYFUNCTION("""COMPUTED_VALUE"""),2.0)</f>
        <v>2</v>
      </c>
      <c r="S1215" s="5">
        <f>IFERROR(__xludf.DUMMYFUNCTION("""COMPUTED_VALUE"""),487.0)</f>
        <v>487</v>
      </c>
      <c r="T1215" s="5" t="str">
        <f>IFERROR(__xludf.DUMMYFUNCTION("""COMPUTED_VALUE"""),"Moon")</f>
        <v>Moon</v>
      </c>
      <c r="U1215" s="5" t="str">
        <f>IFERROR(__xludf.DUMMYFUNCTION("""COMPUTED_VALUE"""),"Mystery")</f>
        <v>Mystery</v>
      </c>
      <c r="V1215" s="5">
        <f>IFERROR(__xludf.DUMMYFUNCTION("""COMPUTED_VALUE"""),2.0)</f>
        <v>2</v>
      </c>
    </row>
    <row r="1216">
      <c r="J1216" s="5" t="str">
        <f>IFERROR(__xludf.DUMMYFUNCTION("""COMPUTED_VALUE"""),"405🤙🏼Rain Man🤙🏼🤙🏼3")</f>
        <v>405🤙🏼Rain Man🤙🏼🤙🏼3</v>
      </c>
      <c r="K1216" s="5">
        <f>IFERROR(__xludf.DUMMYFUNCTION("SPLiT(J1216, ""🤙🏼"",FALSE,FALSE)"),405.0)</f>
        <v>405</v>
      </c>
      <c r="L1216" s="5" t="str">
        <f>IFERROR(__xludf.DUMMYFUNCTION("""COMPUTED_VALUE"""),"Rain Man")</f>
        <v>Rain Man</v>
      </c>
      <c r="M1216" s="5"/>
      <c r="N1216" s="5">
        <f>IFERROR(__xludf.DUMMYFUNCTION("""COMPUTED_VALUE"""),3.0)</f>
        <v>3</v>
      </c>
      <c r="S1216" s="5">
        <f>IFERROR(__xludf.DUMMYFUNCTION("""COMPUTED_VALUE"""),487.0)</f>
        <v>487</v>
      </c>
      <c r="T1216" s="5" t="str">
        <f>IFERROR(__xludf.DUMMYFUNCTION("""COMPUTED_VALUE"""),"Moon")</f>
        <v>Moon</v>
      </c>
      <c r="U1216" s="5" t="str">
        <f>IFERROR(__xludf.DUMMYFUNCTION("""COMPUTED_VALUE"""),"Sci-Fi")</f>
        <v>Sci-Fi</v>
      </c>
      <c r="V1216" s="5">
        <f>IFERROR(__xludf.DUMMYFUNCTION("""COMPUTED_VALUE"""),3.0)</f>
        <v>3</v>
      </c>
    </row>
    <row r="1217">
      <c r="J1217" s="5" t="str">
        <f>IFERROR(__xludf.DUMMYFUNCTION("""COMPUTED_VALUE"""),"406🤙🏼Akira🤙🏼Animation🤙🏼1")</f>
        <v>406🤙🏼Akira🤙🏼Animation🤙🏼1</v>
      </c>
      <c r="K1217" s="5">
        <f>IFERROR(__xludf.DUMMYFUNCTION("SPLiT(J1217, ""🤙🏼"",FALSE,FALSE)"),406.0)</f>
        <v>406</v>
      </c>
      <c r="L1217" s="5" t="str">
        <f>IFERROR(__xludf.DUMMYFUNCTION("""COMPUTED_VALUE"""),"Akira")</f>
        <v>Akira</v>
      </c>
      <c r="M1217" s="5" t="str">
        <f>IFERROR(__xludf.DUMMYFUNCTION("""COMPUTED_VALUE"""),"Animation")</f>
        <v>Animation</v>
      </c>
      <c r="N1217" s="5">
        <f>IFERROR(__xludf.DUMMYFUNCTION("""COMPUTED_VALUE"""),1.0)</f>
        <v>1</v>
      </c>
      <c r="S1217" s="5">
        <f>IFERROR(__xludf.DUMMYFUNCTION("""COMPUTED_VALUE"""),488.0)</f>
        <v>488</v>
      </c>
      <c r="T1217" s="5" t="str">
        <f>IFERROR(__xludf.DUMMYFUNCTION("""COMPUTED_VALUE"""),"Låt den rätte komma in")</f>
        <v>Låt den rätte komma in</v>
      </c>
      <c r="U1217" s="5" t="str">
        <f>IFERROR(__xludf.DUMMYFUNCTION("""COMPUTED_VALUE"""),"Crime")</f>
        <v>Crime</v>
      </c>
      <c r="V1217" s="5">
        <f>IFERROR(__xludf.DUMMYFUNCTION("""COMPUTED_VALUE"""),1.0)</f>
        <v>1</v>
      </c>
    </row>
    <row r="1218">
      <c r="J1218" s="5" t="str">
        <f>IFERROR(__xludf.DUMMYFUNCTION("""COMPUTED_VALUE"""),"406🤙🏼Akira🤙🏼Action🤙🏼2")</f>
        <v>406🤙🏼Akira🤙🏼Action🤙🏼2</v>
      </c>
      <c r="K1218" s="5">
        <f>IFERROR(__xludf.DUMMYFUNCTION("SPLiT(J1218, ""🤙🏼"",FALSE,FALSE)"),406.0)</f>
        <v>406</v>
      </c>
      <c r="L1218" s="5" t="str">
        <f>IFERROR(__xludf.DUMMYFUNCTION("""COMPUTED_VALUE"""),"Akira")</f>
        <v>Akira</v>
      </c>
      <c r="M1218" s="5" t="str">
        <f>IFERROR(__xludf.DUMMYFUNCTION("""COMPUTED_VALUE"""),"Action")</f>
        <v>Action</v>
      </c>
      <c r="N1218" s="5">
        <f>IFERROR(__xludf.DUMMYFUNCTION("""COMPUTED_VALUE"""),2.0)</f>
        <v>2</v>
      </c>
      <c r="S1218" s="5">
        <f>IFERROR(__xludf.DUMMYFUNCTION("""COMPUTED_VALUE"""),488.0)</f>
        <v>488</v>
      </c>
      <c r="T1218" s="5" t="str">
        <f>IFERROR(__xludf.DUMMYFUNCTION("""COMPUTED_VALUE"""),"Låt den rätte komma in")</f>
        <v>Låt den rätte komma in</v>
      </c>
      <c r="U1218" s="5" t="str">
        <f>IFERROR(__xludf.DUMMYFUNCTION("""COMPUTED_VALUE"""),"Drama")</f>
        <v>Drama</v>
      </c>
      <c r="V1218" s="5">
        <f>IFERROR(__xludf.DUMMYFUNCTION("""COMPUTED_VALUE"""),2.0)</f>
        <v>2</v>
      </c>
    </row>
    <row r="1219">
      <c r="J1219" s="5" t="str">
        <f>IFERROR(__xludf.DUMMYFUNCTION("""COMPUTED_VALUE"""),"406🤙🏼Akira🤙🏼Sci-Fi🤙🏼3")</f>
        <v>406🤙🏼Akira🤙🏼Sci-Fi🤙🏼3</v>
      </c>
      <c r="K1219" s="5">
        <f>IFERROR(__xludf.DUMMYFUNCTION("SPLiT(J1219, ""🤙🏼"",FALSE,FALSE)"),406.0)</f>
        <v>406</v>
      </c>
      <c r="L1219" s="5" t="str">
        <f>IFERROR(__xludf.DUMMYFUNCTION("""COMPUTED_VALUE"""),"Akira")</f>
        <v>Akira</v>
      </c>
      <c r="M1219" s="5" t="str">
        <f>IFERROR(__xludf.DUMMYFUNCTION("""COMPUTED_VALUE"""),"Sci-Fi")</f>
        <v>Sci-Fi</v>
      </c>
      <c r="N1219" s="5">
        <f>IFERROR(__xludf.DUMMYFUNCTION("""COMPUTED_VALUE"""),3.0)</f>
        <v>3</v>
      </c>
      <c r="S1219" s="5">
        <f>IFERROR(__xludf.DUMMYFUNCTION("""COMPUTED_VALUE"""),488.0)</f>
        <v>488</v>
      </c>
      <c r="T1219" s="5" t="str">
        <f>IFERROR(__xludf.DUMMYFUNCTION("""COMPUTED_VALUE"""),"Låt den rätte komma in")</f>
        <v>Låt den rätte komma in</v>
      </c>
      <c r="U1219" s="5" t="str">
        <f>IFERROR(__xludf.DUMMYFUNCTION("""COMPUTED_VALUE"""),"Fantasy")</f>
        <v>Fantasy</v>
      </c>
      <c r="V1219" s="5">
        <f>IFERROR(__xludf.DUMMYFUNCTION("""COMPUTED_VALUE"""),3.0)</f>
        <v>3</v>
      </c>
    </row>
    <row r="1220">
      <c r="J1220" s="5" t="str">
        <f>IFERROR(__xludf.DUMMYFUNCTION("""COMPUTED_VALUE"""),"407🤙🏼The Princess Bride🤙🏼Adventure🤙🏼1")</f>
        <v>407🤙🏼The Princess Bride🤙🏼Adventure🤙🏼1</v>
      </c>
      <c r="K1220" s="5">
        <f>IFERROR(__xludf.DUMMYFUNCTION("SPLiT(J1220, ""🤙🏼"",FALSE,FALSE)"),407.0)</f>
        <v>407</v>
      </c>
      <c r="L1220" s="5" t="str">
        <f>IFERROR(__xludf.DUMMYFUNCTION("""COMPUTED_VALUE"""),"The Princess Bride")</f>
        <v>The Princess Bride</v>
      </c>
      <c r="M1220" s="5" t="str">
        <f>IFERROR(__xludf.DUMMYFUNCTION("""COMPUTED_VALUE"""),"Adventure")</f>
        <v>Adventure</v>
      </c>
      <c r="N1220" s="5">
        <f>IFERROR(__xludf.DUMMYFUNCTION("""COMPUTED_VALUE"""),1.0)</f>
        <v>1</v>
      </c>
      <c r="S1220" s="5">
        <f>IFERROR(__xludf.DUMMYFUNCTION("""COMPUTED_VALUE"""),489.0)</f>
        <v>489</v>
      </c>
      <c r="T1220" s="5" t="str">
        <f>IFERROR(__xludf.DUMMYFUNCTION("""COMPUTED_VALUE"""),"District 9")</f>
        <v>District 9</v>
      </c>
      <c r="U1220" s="5" t="str">
        <f>IFERROR(__xludf.DUMMYFUNCTION("""COMPUTED_VALUE"""),"Action")</f>
        <v>Action</v>
      </c>
      <c r="V1220" s="5">
        <f>IFERROR(__xludf.DUMMYFUNCTION("""COMPUTED_VALUE"""),1.0)</f>
        <v>1</v>
      </c>
    </row>
    <row r="1221">
      <c r="J1221" s="5" t="str">
        <f>IFERROR(__xludf.DUMMYFUNCTION("""COMPUTED_VALUE"""),"407🤙🏼The Princess Bride🤙🏼Family🤙🏼2")</f>
        <v>407🤙🏼The Princess Bride🤙🏼Family🤙🏼2</v>
      </c>
      <c r="K1221" s="5">
        <f>IFERROR(__xludf.DUMMYFUNCTION("SPLiT(J1221, ""🤙🏼"",FALSE,FALSE)"),407.0)</f>
        <v>407</v>
      </c>
      <c r="L1221" s="5" t="str">
        <f>IFERROR(__xludf.DUMMYFUNCTION("""COMPUTED_VALUE"""),"The Princess Bride")</f>
        <v>The Princess Bride</v>
      </c>
      <c r="M1221" s="5" t="str">
        <f>IFERROR(__xludf.DUMMYFUNCTION("""COMPUTED_VALUE"""),"Family")</f>
        <v>Family</v>
      </c>
      <c r="N1221" s="5">
        <f>IFERROR(__xludf.DUMMYFUNCTION("""COMPUTED_VALUE"""),2.0)</f>
        <v>2</v>
      </c>
      <c r="S1221" s="5">
        <f>IFERROR(__xludf.DUMMYFUNCTION("""COMPUTED_VALUE"""),489.0)</f>
        <v>489</v>
      </c>
      <c r="T1221" s="5" t="str">
        <f>IFERROR(__xludf.DUMMYFUNCTION("""COMPUTED_VALUE"""),"District 9")</f>
        <v>District 9</v>
      </c>
      <c r="U1221" s="5" t="str">
        <f>IFERROR(__xludf.DUMMYFUNCTION("""COMPUTED_VALUE"""),"Sci-Fi")</f>
        <v>Sci-Fi</v>
      </c>
      <c r="V1221" s="5">
        <f>IFERROR(__xludf.DUMMYFUNCTION("""COMPUTED_VALUE"""),2.0)</f>
        <v>2</v>
      </c>
    </row>
    <row r="1222">
      <c r="J1222" s="5" t="str">
        <f>IFERROR(__xludf.DUMMYFUNCTION("""COMPUTED_VALUE"""),"407🤙🏼The Princess Bride🤙🏼Fantasy🤙🏼3")</f>
        <v>407🤙🏼The Princess Bride🤙🏼Fantasy🤙🏼3</v>
      </c>
      <c r="K1222" s="5">
        <f>IFERROR(__xludf.DUMMYFUNCTION("SPLiT(J1222, ""🤙🏼"",FALSE,FALSE)"),407.0)</f>
        <v>407</v>
      </c>
      <c r="L1222" s="5" t="str">
        <f>IFERROR(__xludf.DUMMYFUNCTION("""COMPUTED_VALUE"""),"The Princess Bride")</f>
        <v>The Princess Bride</v>
      </c>
      <c r="M1222" s="5" t="str">
        <f>IFERROR(__xludf.DUMMYFUNCTION("""COMPUTED_VALUE"""),"Fantasy")</f>
        <v>Fantasy</v>
      </c>
      <c r="N1222" s="5">
        <f>IFERROR(__xludf.DUMMYFUNCTION("""COMPUTED_VALUE"""),3.0)</f>
        <v>3</v>
      </c>
      <c r="S1222" s="5">
        <f>IFERROR(__xludf.DUMMYFUNCTION("""COMPUTED_VALUE"""),489.0)</f>
        <v>489</v>
      </c>
      <c r="T1222" s="5" t="str">
        <f>IFERROR(__xludf.DUMMYFUNCTION("""COMPUTED_VALUE"""),"District 9")</f>
        <v>District 9</v>
      </c>
      <c r="U1222" s="5" t="str">
        <f>IFERROR(__xludf.DUMMYFUNCTION("""COMPUTED_VALUE"""),"Thriller")</f>
        <v>Thriller</v>
      </c>
      <c r="V1222" s="5">
        <f>IFERROR(__xludf.DUMMYFUNCTION("""COMPUTED_VALUE"""),3.0)</f>
        <v>3</v>
      </c>
    </row>
    <row r="1223">
      <c r="J1223" s="5" t="str">
        <f>IFERROR(__xludf.DUMMYFUNCTION("""COMPUTED_VALUE"""),"408🤙🏼Der Himmel über Berlin🤙🏼Drama🤙🏼1")</f>
        <v>408🤙🏼Der Himmel über Berlin🤙🏼Drama🤙🏼1</v>
      </c>
      <c r="K1223" s="5">
        <f>IFERROR(__xludf.DUMMYFUNCTION("SPLiT(J1223, ""🤙🏼"",FALSE,FALSE)"),408.0)</f>
        <v>408</v>
      </c>
      <c r="L1223" s="5" t="str">
        <f>IFERROR(__xludf.DUMMYFUNCTION("""COMPUTED_VALUE"""),"Der Himmel über Berlin")</f>
        <v>Der Himmel über Berlin</v>
      </c>
      <c r="M1223" s="5" t="str">
        <f>IFERROR(__xludf.DUMMYFUNCTION("""COMPUTED_VALUE"""),"Drama")</f>
        <v>Drama</v>
      </c>
      <c r="N1223" s="5">
        <f>IFERROR(__xludf.DUMMYFUNCTION("""COMPUTED_VALUE"""),1.0)</f>
        <v>1</v>
      </c>
      <c r="S1223" s="5">
        <f>IFERROR(__xludf.DUMMYFUNCTION("""COMPUTED_VALUE"""),490.0)</f>
        <v>490</v>
      </c>
      <c r="T1223" s="5" t="str">
        <f>IFERROR(__xludf.DUMMYFUNCTION("""COMPUTED_VALUE"""),"The Wrestler")</f>
        <v>The Wrestler</v>
      </c>
      <c r="U1223" s="5" t="str">
        <f>IFERROR(__xludf.DUMMYFUNCTION("""COMPUTED_VALUE"""),"Drama")</f>
        <v>Drama</v>
      </c>
      <c r="V1223" s="5">
        <f>IFERROR(__xludf.DUMMYFUNCTION("""COMPUTED_VALUE"""),1.0)</f>
        <v>1</v>
      </c>
    </row>
    <row r="1224">
      <c r="J1224" s="5" t="str">
        <f>IFERROR(__xludf.DUMMYFUNCTION("""COMPUTED_VALUE"""),"408🤙🏼Der Himmel über Berlin🤙🏼Fantasy🤙🏼2")</f>
        <v>408🤙🏼Der Himmel über Berlin🤙🏼Fantasy🤙🏼2</v>
      </c>
      <c r="K1224" s="5">
        <f>IFERROR(__xludf.DUMMYFUNCTION("SPLiT(J1224, ""🤙🏼"",FALSE,FALSE)"),408.0)</f>
        <v>408</v>
      </c>
      <c r="L1224" s="5" t="str">
        <f>IFERROR(__xludf.DUMMYFUNCTION("""COMPUTED_VALUE"""),"Der Himmel über Berlin")</f>
        <v>Der Himmel über Berlin</v>
      </c>
      <c r="M1224" s="5" t="str">
        <f>IFERROR(__xludf.DUMMYFUNCTION("""COMPUTED_VALUE"""),"Fantasy")</f>
        <v>Fantasy</v>
      </c>
      <c r="N1224" s="5">
        <f>IFERROR(__xludf.DUMMYFUNCTION("""COMPUTED_VALUE"""),2.0)</f>
        <v>2</v>
      </c>
      <c r="S1224" s="5">
        <f>IFERROR(__xludf.DUMMYFUNCTION("""COMPUTED_VALUE"""),490.0)</f>
        <v>490</v>
      </c>
      <c r="T1224" s="5" t="str">
        <f>IFERROR(__xludf.DUMMYFUNCTION("""COMPUTED_VALUE"""),"The Wrestler")</f>
        <v>The Wrestler</v>
      </c>
      <c r="U1224" s="5" t="str">
        <f>IFERROR(__xludf.DUMMYFUNCTION("""COMPUTED_VALUE"""),"Sport")</f>
        <v>Sport</v>
      </c>
      <c r="V1224" s="5">
        <f>IFERROR(__xludf.DUMMYFUNCTION("""COMPUTED_VALUE"""),2.0)</f>
        <v>2</v>
      </c>
    </row>
    <row r="1225">
      <c r="J1225" s="5" t="str">
        <f>IFERROR(__xludf.DUMMYFUNCTION("""COMPUTED_VALUE"""),"408🤙🏼Der Himmel über Berlin🤙🏼Romance🤙🏼3")</f>
        <v>408🤙🏼Der Himmel über Berlin🤙🏼Romance🤙🏼3</v>
      </c>
      <c r="K1225" s="5">
        <f>IFERROR(__xludf.DUMMYFUNCTION("SPLiT(J1225, ""🤙🏼"",FALSE,FALSE)"),408.0)</f>
        <v>408</v>
      </c>
      <c r="L1225" s="5" t="str">
        <f>IFERROR(__xludf.DUMMYFUNCTION("""COMPUTED_VALUE"""),"Der Himmel über Berlin")</f>
        <v>Der Himmel über Berlin</v>
      </c>
      <c r="M1225" s="5" t="str">
        <f>IFERROR(__xludf.DUMMYFUNCTION("""COMPUTED_VALUE"""),"Romance")</f>
        <v>Romance</v>
      </c>
      <c r="N1225" s="5">
        <f>IFERROR(__xludf.DUMMYFUNCTION("""COMPUTED_VALUE"""),3.0)</f>
        <v>3</v>
      </c>
      <c r="S1225" s="5">
        <f>IFERROR(__xludf.DUMMYFUNCTION("""COMPUTED_VALUE"""),491.0)</f>
        <v>491</v>
      </c>
      <c r="T1225" s="5" t="str">
        <f>IFERROR(__xludf.DUMMYFUNCTION("""COMPUTED_VALUE"""),"Jab We Met")</f>
        <v>Jab We Met</v>
      </c>
      <c r="U1225" s="5" t="str">
        <f>IFERROR(__xludf.DUMMYFUNCTION("""COMPUTED_VALUE"""),"Comedy")</f>
        <v>Comedy</v>
      </c>
      <c r="V1225" s="5">
        <f>IFERROR(__xludf.DUMMYFUNCTION("""COMPUTED_VALUE"""),1.0)</f>
        <v>1</v>
      </c>
    </row>
    <row r="1226">
      <c r="J1226" s="5" t="str">
        <f>IFERROR(__xludf.DUMMYFUNCTION("""COMPUTED_VALUE"""),"409🤙🏼Au revoir les enfants🤙🏼Drama🤙🏼1")</f>
        <v>409🤙🏼Au revoir les enfants🤙🏼Drama🤙🏼1</v>
      </c>
      <c r="K1226" s="5">
        <f>IFERROR(__xludf.DUMMYFUNCTION("SPLiT(J1226, ""🤙🏼"",FALSE,FALSE)"),409.0)</f>
        <v>409</v>
      </c>
      <c r="L1226" s="5" t="str">
        <f>IFERROR(__xludf.DUMMYFUNCTION("""COMPUTED_VALUE"""),"Au revoir les enfants")</f>
        <v>Au revoir les enfants</v>
      </c>
      <c r="M1226" s="5" t="str">
        <f>IFERROR(__xludf.DUMMYFUNCTION("""COMPUTED_VALUE"""),"Drama")</f>
        <v>Drama</v>
      </c>
      <c r="N1226" s="5">
        <f>IFERROR(__xludf.DUMMYFUNCTION("""COMPUTED_VALUE"""),1.0)</f>
        <v>1</v>
      </c>
      <c r="S1226" s="5">
        <f>IFERROR(__xludf.DUMMYFUNCTION("""COMPUTED_VALUE"""),491.0)</f>
        <v>491</v>
      </c>
      <c r="T1226" s="5" t="str">
        <f>IFERROR(__xludf.DUMMYFUNCTION("""COMPUTED_VALUE"""),"Jab We Met")</f>
        <v>Jab We Met</v>
      </c>
      <c r="U1226" s="5" t="str">
        <f>IFERROR(__xludf.DUMMYFUNCTION("""COMPUTED_VALUE"""),"Drama")</f>
        <v>Drama</v>
      </c>
      <c r="V1226" s="5">
        <f>IFERROR(__xludf.DUMMYFUNCTION("""COMPUTED_VALUE"""),2.0)</f>
        <v>2</v>
      </c>
    </row>
    <row r="1227">
      <c r="J1227" s="5" t="str">
        <f>IFERROR(__xludf.DUMMYFUNCTION("""COMPUTED_VALUE"""),"409🤙🏼Au revoir les enfants🤙🏼War🤙🏼2")</f>
        <v>409🤙🏼Au revoir les enfants🤙🏼War🤙🏼2</v>
      </c>
      <c r="K1227" s="5">
        <f>IFERROR(__xludf.DUMMYFUNCTION("SPLiT(J1227, ""🤙🏼"",FALSE,FALSE)"),409.0)</f>
        <v>409</v>
      </c>
      <c r="L1227" s="5" t="str">
        <f>IFERROR(__xludf.DUMMYFUNCTION("""COMPUTED_VALUE"""),"Au revoir les enfants")</f>
        <v>Au revoir les enfants</v>
      </c>
      <c r="M1227" s="5" t="str">
        <f>IFERROR(__xludf.DUMMYFUNCTION("""COMPUTED_VALUE"""),"War")</f>
        <v>War</v>
      </c>
      <c r="N1227" s="5">
        <f>IFERROR(__xludf.DUMMYFUNCTION("""COMPUTED_VALUE"""),2.0)</f>
        <v>2</v>
      </c>
      <c r="S1227" s="5">
        <f>IFERROR(__xludf.DUMMYFUNCTION("""COMPUTED_VALUE"""),491.0)</f>
        <v>491</v>
      </c>
      <c r="T1227" s="5" t="str">
        <f>IFERROR(__xludf.DUMMYFUNCTION("""COMPUTED_VALUE"""),"Jab We Met")</f>
        <v>Jab We Met</v>
      </c>
      <c r="U1227" s="5" t="str">
        <f>IFERROR(__xludf.DUMMYFUNCTION("""COMPUTED_VALUE"""),"Romance")</f>
        <v>Romance</v>
      </c>
      <c r="V1227" s="5">
        <f>IFERROR(__xludf.DUMMYFUNCTION("""COMPUTED_VALUE"""),3.0)</f>
        <v>3</v>
      </c>
    </row>
    <row r="1228">
      <c r="J1228" s="5" t="str">
        <f>IFERROR(__xludf.DUMMYFUNCTION("""COMPUTED_VALUE"""),"409🤙🏼Au revoir les enfants🤙🏼🤙🏼3")</f>
        <v>409🤙🏼Au revoir les enfants🤙🏼🤙🏼3</v>
      </c>
      <c r="K1228" s="5">
        <f>IFERROR(__xludf.DUMMYFUNCTION("SPLiT(J1228, ""🤙🏼"",FALSE,FALSE)"),409.0)</f>
        <v>409</v>
      </c>
      <c r="L1228" s="5" t="str">
        <f>IFERROR(__xludf.DUMMYFUNCTION("""COMPUTED_VALUE"""),"Au revoir les enfants")</f>
        <v>Au revoir les enfants</v>
      </c>
      <c r="M1228" s="5"/>
      <c r="N1228" s="5">
        <f>IFERROR(__xludf.DUMMYFUNCTION("""COMPUTED_VALUE"""),3.0)</f>
        <v>3</v>
      </c>
      <c r="S1228" s="5">
        <f>IFERROR(__xludf.DUMMYFUNCTION("""COMPUTED_VALUE"""),492.0)</f>
        <v>492</v>
      </c>
      <c r="T1228" s="5" t="str">
        <f>IFERROR(__xludf.DUMMYFUNCTION("""COMPUTED_VALUE"""),"Boyhood")</f>
        <v>Boyhood</v>
      </c>
      <c r="U1228" s="5" t="str">
        <f>IFERROR(__xludf.DUMMYFUNCTION("""COMPUTED_VALUE"""),"Drama")</f>
        <v>Drama</v>
      </c>
      <c r="V1228" s="5">
        <f>IFERROR(__xludf.DUMMYFUNCTION("""COMPUTED_VALUE"""),1.0)</f>
        <v>1</v>
      </c>
    </row>
    <row r="1229">
      <c r="J1229" s="5" t="str">
        <f>IFERROR(__xludf.DUMMYFUNCTION("""COMPUTED_VALUE"""),"410🤙🏼Tenkû no shiro Rapyuta🤙🏼Animation🤙🏼1")</f>
        <v>410🤙🏼Tenkû no shiro Rapyuta🤙🏼Animation🤙🏼1</v>
      </c>
      <c r="K1229" s="5">
        <f>IFERROR(__xludf.DUMMYFUNCTION("SPLiT(J1229, ""🤙🏼"",FALSE,FALSE)"),410.0)</f>
        <v>410</v>
      </c>
      <c r="L1229" s="5" t="str">
        <f>IFERROR(__xludf.DUMMYFUNCTION("""COMPUTED_VALUE"""),"Tenkû no shiro Rapyuta")</f>
        <v>Tenkû no shiro Rapyuta</v>
      </c>
      <c r="M1229" s="5" t="str">
        <f>IFERROR(__xludf.DUMMYFUNCTION("""COMPUTED_VALUE"""),"Animation")</f>
        <v>Animation</v>
      </c>
      <c r="N1229" s="5">
        <f>IFERROR(__xludf.DUMMYFUNCTION("""COMPUTED_VALUE"""),1.0)</f>
        <v>1</v>
      </c>
      <c r="S1229" s="5">
        <f>IFERROR(__xludf.DUMMYFUNCTION("""COMPUTED_VALUE"""),493.0)</f>
        <v>493</v>
      </c>
      <c r="T1229" s="5" t="str">
        <f>IFERROR(__xludf.DUMMYFUNCTION("""COMPUTED_VALUE"""),"4 luni, 3 saptamâni si 2 zile")</f>
        <v>4 luni, 3 saptamâni si 2 zile</v>
      </c>
      <c r="U1229" s="5" t="str">
        <f>IFERROR(__xludf.DUMMYFUNCTION("""COMPUTED_VALUE"""),"Drama")</f>
        <v>Drama</v>
      </c>
      <c r="V1229" s="5">
        <f>IFERROR(__xludf.DUMMYFUNCTION("""COMPUTED_VALUE"""),1.0)</f>
        <v>1</v>
      </c>
    </row>
    <row r="1230">
      <c r="J1230" s="5" t="str">
        <f>IFERROR(__xludf.DUMMYFUNCTION("""COMPUTED_VALUE"""),"410🤙🏼Tenkû no shiro Rapyuta🤙🏼Adventure🤙🏼2")</f>
        <v>410🤙🏼Tenkû no shiro Rapyuta🤙🏼Adventure🤙🏼2</v>
      </c>
      <c r="K1230" s="5">
        <f>IFERROR(__xludf.DUMMYFUNCTION("SPLiT(J1230, ""🤙🏼"",FALSE,FALSE)"),410.0)</f>
        <v>410</v>
      </c>
      <c r="L1230" s="5" t="str">
        <f>IFERROR(__xludf.DUMMYFUNCTION("""COMPUTED_VALUE"""),"Tenkû no shiro Rapyuta")</f>
        <v>Tenkû no shiro Rapyuta</v>
      </c>
      <c r="M1230" s="5" t="str">
        <f>IFERROR(__xludf.DUMMYFUNCTION("""COMPUTED_VALUE"""),"Adventure")</f>
        <v>Adventure</v>
      </c>
      <c r="N1230" s="5">
        <f>IFERROR(__xludf.DUMMYFUNCTION("""COMPUTED_VALUE"""),2.0)</f>
        <v>2</v>
      </c>
      <c r="S1230" s="5">
        <f>IFERROR(__xludf.DUMMYFUNCTION("""COMPUTED_VALUE"""),494.0)</f>
        <v>494</v>
      </c>
      <c r="T1230" s="5" t="str">
        <f>IFERROR(__xludf.DUMMYFUNCTION("""COMPUTED_VALUE"""),"Star Trek")</f>
        <v>Star Trek</v>
      </c>
      <c r="U1230" s="5" t="str">
        <f>IFERROR(__xludf.DUMMYFUNCTION("""COMPUTED_VALUE"""),"Action")</f>
        <v>Action</v>
      </c>
      <c r="V1230" s="5">
        <f>IFERROR(__xludf.DUMMYFUNCTION("""COMPUTED_VALUE"""),1.0)</f>
        <v>1</v>
      </c>
    </row>
    <row r="1231">
      <c r="J1231" s="5" t="str">
        <f>IFERROR(__xludf.DUMMYFUNCTION("""COMPUTED_VALUE"""),"410🤙🏼Tenkû no shiro Rapyuta🤙🏼Drama🤙🏼3")</f>
        <v>410🤙🏼Tenkû no shiro Rapyuta🤙🏼Drama🤙🏼3</v>
      </c>
      <c r="K1231" s="5">
        <f>IFERROR(__xludf.DUMMYFUNCTION("SPLiT(J1231, ""🤙🏼"",FALSE,FALSE)"),410.0)</f>
        <v>410</v>
      </c>
      <c r="L1231" s="5" t="str">
        <f>IFERROR(__xludf.DUMMYFUNCTION("""COMPUTED_VALUE"""),"Tenkû no shiro Rapyuta")</f>
        <v>Tenkû no shiro Rapyuta</v>
      </c>
      <c r="M1231" s="5" t="str">
        <f>IFERROR(__xludf.DUMMYFUNCTION("""COMPUTED_VALUE"""),"Drama")</f>
        <v>Drama</v>
      </c>
      <c r="N1231" s="5">
        <f>IFERROR(__xludf.DUMMYFUNCTION("""COMPUTED_VALUE"""),3.0)</f>
        <v>3</v>
      </c>
      <c r="S1231" s="5">
        <f>IFERROR(__xludf.DUMMYFUNCTION("""COMPUTED_VALUE"""),494.0)</f>
        <v>494</v>
      </c>
      <c r="T1231" s="5" t="str">
        <f>IFERROR(__xludf.DUMMYFUNCTION("""COMPUTED_VALUE"""),"Star Trek")</f>
        <v>Star Trek</v>
      </c>
      <c r="U1231" s="5" t="str">
        <f>IFERROR(__xludf.DUMMYFUNCTION("""COMPUTED_VALUE"""),"Adventure")</f>
        <v>Adventure</v>
      </c>
      <c r="V1231" s="5">
        <f>IFERROR(__xludf.DUMMYFUNCTION("""COMPUTED_VALUE"""),2.0)</f>
        <v>2</v>
      </c>
    </row>
    <row r="1232">
      <c r="J1232" s="5" t="str">
        <f>IFERROR(__xludf.DUMMYFUNCTION("""COMPUTED_VALUE"""),"411🤙🏼The Terminator🤙🏼Action🤙🏼1")</f>
        <v>411🤙🏼The Terminator🤙🏼Action🤙🏼1</v>
      </c>
      <c r="K1232" s="5">
        <f>IFERROR(__xludf.DUMMYFUNCTION("SPLiT(J1232, ""🤙🏼"",FALSE,FALSE)"),411.0)</f>
        <v>411</v>
      </c>
      <c r="L1232" s="5" t="str">
        <f>IFERROR(__xludf.DUMMYFUNCTION("""COMPUTED_VALUE"""),"The Terminator")</f>
        <v>The Terminator</v>
      </c>
      <c r="M1232" s="5" t="str">
        <f>IFERROR(__xludf.DUMMYFUNCTION("""COMPUTED_VALUE"""),"Action")</f>
        <v>Action</v>
      </c>
      <c r="N1232" s="5">
        <f>IFERROR(__xludf.DUMMYFUNCTION("""COMPUTED_VALUE"""),1.0)</f>
        <v>1</v>
      </c>
      <c r="S1232" s="5">
        <f>IFERROR(__xludf.DUMMYFUNCTION("""COMPUTED_VALUE"""),494.0)</f>
        <v>494</v>
      </c>
      <c r="T1232" s="5" t="str">
        <f>IFERROR(__xludf.DUMMYFUNCTION("""COMPUTED_VALUE"""),"Star Trek")</f>
        <v>Star Trek</v>
      </c>
      <c r="U1232" s="5" t="str">
        <f>IFERROR(__xludf.DUMMYFUNCTION("""COMPUTED_VALUE"""),"Sci-Fi")</f>
        <v>Sci-Fi</v>
      </c>
      <c r="V1232" s="5">
        <f>IFERROR(__xludf.DUMMYFUNCTION("""COMPUTED_VALUE"""),3.0)</f>
        <v>3</v>
      </c>
    </row>
    <row r="1233">
      <c r="J1233" s="5" t="str">
        <f>IFERROR(__xludf.DUMMYFUNCTION("""COMPUTED_VALUE"""),"411🤙🏼The Terminator🤙🏼Sci-Fi🤙🏼2")</f>
        <v>411🤙🏼The Terminator🤙🏼Sci-Fi🤙🏼2</v>
      </c>
      <c r="K1233" s="5">
        <f>IFERROR(__xludf.DUMMYFUNCTION("SPLiT(J1233, ""🤙🏼"",FALSE,FALSE)"),411.0)</f>
        <v>411</v>
      </c>
      <c r="L1233" s="5" t="str">
        <f>IFERROR(__xludf.DUMMYFUNCTION("""COMPUTED_VALUE"""),"The Terminator")</f>
        <v>The Terminator</v>
      </c>
      <c r="M1233" s="5" t="str">
        <f>IFERROR(__xludf.DUMMYFUNCTION("""COMPUTED_VALUE"""),"Sci-Fi")</f>
        <v>Sci-Fi</v>
      </c>
      <c r="N1233" s="5">
        <f>IFERROR(__xludf.DUMMYFUNCTION("""COMPUTED_VALUE"""),2.0)</f>
        <v>2</v>
      </c>
      <c r="S1233" s="5">
        <f>IFERROR(__xludf.DUMMYFUNCTION("""COMPUTED_VALUE"""),495.0)</f>
        <v>495</v>
      </c>
      <c r="T1233" s="5" t="str">
        <f>IFERROR(__xludf.DUMMYFUNCTION("""COMPUTED_VALUE"""),"In Bruges")</f>
        <v>In Bruges</v>
      </c>
      <c r="U1233" s="5" t="str">
        <f>IFERROR(__xludf.DUMMYFUNCTION("""COMPUTED_VALUE"""),"Comedy")</f>
        <v>Comedy</v>
      </c>
      <c r="V1233" s="5">
        <f>IFERROR(__xludf.DUMMYFUNCTION("""COMPUTED_VALUE"""),1.0)</f>
        <v>1</v>
      </c>
    </row>
    <row r="1234">
      <c r="J1234" s="5" t="str">
        <f>IFERROR(__xludf.DUMMYFUNCTION("""COMPUTED_VALUE"""),"411🤙🏼The Terminator🤙🏼🤙🏼3")</f>
        <v>411🤙🏼The Terminator🤙🏼🤙🏼3</v>
      </c>
      <c r="K1234" s="5">
        <f>IFERROR(__xludf.DUMMYFUNCTION("SPLiT(J1234, ""🤙🏼"",FALSE,FALSE)"),411.0)</f>
        <v>411</v>
      </c>
      <c r="L1234" s="5" t="str">
        <f>IFERROR(__xludf.DUMMYFUNCTION("""COMPUTED_VALUE"""),"The Terminator")</f>
        <v>The Terminator</v>
      </c>
      <c r="M1234" s="5"/>
      <c r="N1234" s="5">
        <f>IFERROR(__xludf.DUMMYFUNCTION("""COMPUTED_VALUE"""),3.0)</f>
        <v>3</v>
      </c>
      <c r="S1234" s="5">
        <f>IFERROR(__xludf.DUMMYFUNCTION("""COMPUTED_VALUE"""),495.0)</f>
        <v>495</v>
      </c>
      <c r="T1234" s="5" t="str">
        <f>IFERROR(__xludf.DUMMYFUNCTION("""COMPUTED_VALUE"""),"In Bruges")</f>
        <v>In Bruges</v>
      </c>
      <c r="U1234" s="5" t="str">
        <f>IFERROR(__xludf.DUMMYFUNCTION("""COMPUTED_VALUE"""),"Crime")</f>
        <v>Crime</v>
      </c>
      <c r="V1234" s="5">
        <f>IFERROR(__xludf.DUMMYFUNCTION("""COMPUTED_VALUE"""),2.0)</f>
        <v>2</v>
      </c>
    </row>
    <row r="1235">
      <c r="J1235" s="5" t="str">
        <f>IFERROR(__xludf.DUMMYFUNCTION("""COMPUTED_VALUE"""),"412🤙🏼Gandhi🤙🏼Biography🤙🏼1")</f>
        <v>412🤙🏼Gandhi🤙🏼Biography🤙🏼1</v>
      </c>
      <c r="K1235" s="5">
        <f>IFERROR(__xludf.DUMMYFUNCTION("SPLiT(J1235, ""🤙🏼"",FALSE,FALSE)"),412.0)</f>
        <v>412</v>
      </c>
      <c r="L1235" s="5" t="str">
        <f>IFERROR(__xludf.DUMMYFUNCTION("""COMPUTED_VALUE"""),"Gandhi")</f>
        <v>Gandhi</v>
      </c>
      <c r="M1235" s="5" t="str">
        <f>IFERROR(__xludf.DUMMYFUNCTION("""COMPUTED_VALUE"""),"Biography")</f>
        <v>Biography</v>
      </c>
      <c r="N1235" s="5">
        <f>IFERROR(__xludf.DUMMYFUNCTION("""COMPUTED_VALUE"""),1.0)</f>
        <v>1</v>
      </c>
      <c r="S1235" s="5">
        <f>IFERROR(__xludf.DUMMYFUNCTION("""COMPUTED_VALUE"""),495.0)</f>
        <v>495</v>
      </c>
      <c r="T1235" s="5" t="str">
        <f>IFERROR(__xludf.DUMMYFUNCTION("""COMPUTED_VALUE"""),"In Bruges")</f>
        <v>In Bruges</v>
      </c>
      <c r="U1235" s="5" t="str">
        <f>IFERROR(__xludf.DUMMYFUNCTION("""COMPUTED_VALUE"""),"Drama")</f>
        <v>Drama</v>
      </c>
      <c r="V1235" s="5">
        <f>IFERROR(__xludf.DUMMYFUNCTION("""COMPUTED_VALUE"""),3.0)</f>
        <v>3</v>
      </c>
    </row>
    <row r="1236">
      <c r="J1236" s="5" t="str">
        <f>IFERROR(__xludf.DUMMYFUNCTION("""COMPUTED_VALUE"""),"412🤙🏼Gandhi🤙🏼Drama🤙🏼2")</f>
        <v>412🤙🏼Gandhi🤙🏼Drama🤙🏼2</v>
      </c>
      <c r="K1236" s="5">
        <f>IFERROR(__xludf.DUMMYFUNCTION("SPLiT(J1236, ""🤙🏼"",FALSE,FALSE)"),412.0)</f>
        <v>412</v>
      </c>
      <c r="L1236" s="5" t="str">
        <f>IFERROR(__xludf.DUMMYFUNCTION("""COMPUTED_VALUE"""),"Gandhi")</f>
        <v>Gandhi</v>
      </c>
      <c r="M1236" s="5" t="str">
        <f>IFERROR(__xludf.DUMMYFUNCTION("""COMPUTED_VALUE"""),"Drama")</f>
        <v>Drama</v>
      </c>
      <c r="N1236" s="5">
        <f>IFERROR(__xludf.DUMMYFUNCTION("""COMPUTED_VALUE"""),2.0)</f>
        <v>2</v>
      </c>
      <c r="S1236" s="5">
        <f>IFERROR(__xludf.DUMMYFUNCTION("""COMPUTED_VALUE"""),496.0)</f>
        <v>496</v>
      </c>
      <c r="T1236" s="5" t="str">
        <f>IFERROR(__xludf.DUMMYFUNCTION("""COMPUTED_VALUE"""),"The Man from Earth")</f>
        <v>The Man from Earth</v>
      </c>
      <c r="U1236" s="5" t="str">
        <f>IFERROR(__xludf.DUMMYFUNCTION("""COMPUTED_VALUE"""),"Drama")</f>
        <v>Drama</v>
      </c>
      <c r="V1236" s="5">
        <f>IFERROR(__xludf.DUMMYFUNCTION("""COMPUTED_VALUE"""),1.0)</f>
        <v>1</v>
      </c>
    </row>
    <row r="1237">
      <c r="J1237" s="5" t="str">
        <f>IFERROR(__xludf.DUMMYFUNCTION("""COMPUTED_VALUE"""),"412🤙🏼Gandhi🤙🏼History🤙🏼3")</f>
        <v>412🤙🏼Gandhi🤙🏼History🤙🏼3</v>
      </c>
      <c r="K1237" s="5">
        <f>IFERROR(__xludf.DUMMYFUNCTION("SPLiT(J1237, ""🤙🏼"",FALSE,FALSE)"),412.0)</f>
        <v>412</v>
      </c>
      <c r="L1237" s="5" t="str">
        <f>IFERROR(__xludf.DUMMYFUNCTION("""COMPUTED_VALUE"""),"Gandhi")</f>
        <v>Gandhi</v>
      </c>
      <c r="M1237" s="5" t="str">
        <f>IFERROR(__xludf.DUMMYFUNCTION("""COMPUTED_VALUE"""),"History")</f>
        <v>History</v>
      </c>
      <c r="N1237" s="5">
        <f>IFERROR(__xludf.DUMMYFUNCTION("""COMPUTED_VALUE"""),3.0)</f>
        <v>3</v>
      </c>
      <c r="S1237" s="5">
        <f>IFERROR(__xludf.DUMMYFUNCTION("""COMPUTED_VALUE"""),496.0)</f>
        <v>496</v>
      </c>
      <c r="T1237" s="5" t="str">
        <f>IFERROR(__xludf.DUMMYFUNCTION("""COMPUTED_VALUE"""),"The Man from Earth")</f>
        <v>The Man from Earth</v>
      </c>
      <c r="U1237" s="5" t="str">
        <f>IFERROR(__xludf.DUMMYFUNCTION("""COMPUTED_VALUE"""),"Fantasy")</f>
        <v>Fantasy</v>
      </c>
      <c r="V1237" s="5">
        <f>IFERROR(__xludf.DUMMYFUNCTION("""COMPUTED_VALUE"""),2.0)</f>
        <v>2</v>
      </c>
    </row>
    <row r="1238">
      <c r="J1238" s="5" t="str">
        <f>IFERROR(__xludf.DUMMYFUNCTION("""COMPUTED_VALUE"""),"413🤙🏼Kagemusha🤙🏼Drama🤙🏼1")</f>
        <v>413🤙🏼Kagemusha🤙🏼Drama🤙🏼1</v>
      </c>
      <c r="K1238" s="5">
        <f>IFERROR(__xludf.DUMMYFUNCTION("SPLiT(J1238, ""🤙🏼"",FALSE,FALSE)"),413.0)</f>
        <v>413</v>
      </c>
      <c r="L1238" s="5" t="str">
        <f>IFERROR(__xludf.DUMMYFUNCTION("""COMPUTED_VALUE"""),"Kagemusha")</f>
        <v>Kagemusha</v>
      </c>
      <c r="M1238" s="5" t="str">
        <f>IFERROR(__xludf.DUMMYFUNCTION("""COMPUTED_VALUE"""),"Drama")</f>
        <v>Drama</v>
      </c>
      <c r="N1238" s="5">
        <f>IFERROR(__xludf.DUMMYFUNCTION("""COMPUTED_VALUE"""),1.0)</f>
        <v>1</v>
      </c>
      <c r="S1238" s="5">
        <f>IFERROR(__xludf.DUMMYFUNCTION("""COMPUTED_VALUE"""),496.0)</f>
        <v>496</v>
      </c>
      <c r="T1238" s="5" t="str">
        <f>IFERROR(__xludf.DUMMYFUNCTION("""COMPUTED_VALUE"""),"The Man from Earth")</f>
        <v>The Man from Earth</v>
      </c>
      <c r="U1238" s="5" t="str">
        <f>IFERROR(__xludf.DUMMYFUNCTION("""COMPUTED_VALUE"""),"Mystery")</f>
        <v>Mystery</v>
      </c>
      <c r="V1238" s="5">
        <f>IFERROR(__xludf.DUMMYFUNCTION("""COMPUTED_VALUE"""),3.0)</f>
        <v>3</v>
      </c>
    </row>
    <row r="1239">
      <c r="J1239" s="5" t="str">
        <f>IFERROR(__xludf.DUMMYFUNCTION("""COMPUTED_VALUE"""),"413🤙🏼Kagemusha🤙🏼History🤙🏼2")</f>
        <v>413🤙🏼Kagemusha🤙🏼History🤙🏼2</v>
      </c>
      <c r="K1239" s="5">
        <f>IFERROR(__xludf.DUMMYFUNCTION("SPLiT(J1239, ""🤙🏼"",FALSE,FALSE)"),413.0)</f>
        <v>413</v>
      </c>
      <c r="L1239" s="5" t="str">
        <f>IFERROR(__xludf.DUMMYFUNCTION("""COMPUTED_VALUE"""),"Kagemusha")</f>
        <v>Kagemusha</v>
      </c>
      <c r="M1239" s="5" t="str">
        <f>IFERROR(__xludf.DUMMYFUNCTION("""COMPUTED_VALUE"""),"History")</f>
        <v>History</v>
      </c>
      <c r="N1239" s="5">
        <f>IFERROR(__xludf.DUMMYFUNCTION("""COMPUTED_VALUE"""),2.0)</f>
        <v>2</v>
      </c>
      <c r="S1239" s="5">
        <f>IFERROR(__xludf.DUMMYFUNCTION("""COMPUTED_VALUE"""),497.0)</f>
        <v>497</v>
      </c>
      <c r="T1239" s="5" t="str">
        <f>IFERROR(__xludf.DUMMYFUNCTION("""COMPUTED_VALUE"""),"Letters from Iwo Jima")</f>
        <v>Letters from Iwo Jima</v>
      </c>
      <c r="U1239" s="5" t="str">
        <f>IFERROR(__xludf.DUMMYFUNCTION("""COMPUTED_VALUE"""),"Action")</f>
        <v>Action</v>
      </c>
      <c r="V1239" s="5">
        <f>IFERROR(__xludf.DUMMYFUNCTION("""COMPUTED_VALUE"""),1.0)</f>
        <v>1</v>
      </c>
    </row>
    <row r="1240">
      <c r="J1240" s="5" t="str">
        <f>IFERROR(__xludf.DUMMYFUNCTION("""COMPUTED_VALUE"""),"413🤙🏼Kagemusha🤙🏼War🤙🏼3")</f>
        <v>413🤙🏼Kagemusha🤙🏼War🤙🏼3</v>
      </c>
      <c r="K1240" s="5">
        <f>IFERROR(__xludf.DUMMYFUNCTION("SPLiT(J1240, ""🤙🏼"",FALSE,FALSE)"),413.0)</f>
        <v>413</v>
      </c>
      <c r="L1240" s="5" t="str">
        <f>IFERROR(__xludf.DUMMYFUNCTION("""COMPUTED_VALUE"""),"Kagemusha")</f>
        <v>Kagemusha</v>
      </c>
      <c r="M1240" s="5" t="str">
        <f>IFERROR(__xludf.DUMMYFUNCTION("""COMPUTED_VALUE"""),"War")</f>
        <v>War</v>
      </c>
      <c r="N1240" s="5">
        <f>IFERROR(__xludf.DUMMYFUNCTION("""COMPUTED_VALUE"""),3.0)</f>
        <v>3</v>
      </c>
      <c r="S1240" s="5">
        <f>IFERROR(__xludf.DUMMYFUNCTION("""COMPUTED_VALUE"""),497.0)</f>
        <v>497</v>
      </c>
      <c r="T1240" s="5" t="str">
        <f>IFERROR(__xludf.DUMMYFUNCTION("""COMPUTED_VALUE"""),"Letters from Iwo Jima")</f>
        <v>Letters from Iwo Jima</v>
      </c>
      <c r="U1240" s="5" t="str">
        <f>IFERROR(__xludf.DUMMYFUNCTION("""COMPUTED_VALUE"""),"Adventure")</f>
        <v>Adventure</v>
      </c>
      <c r="V1240" s="5">
        <f>IFERROR(__xludf.DUMMYFUNCTION("""COMPUTED_VALUE"""),2.0)</f>
        <v>2</v>
      </c>
    </row>
    <row r="1241">
      <c r="J1241" s="5" t="str">
        <f>IFERROR(__xludf.DUMMYFUNCTION("""COMPUTED_VALUE"""),"414🤙🏼Being There🤙🏼Comedy🤙🏼1")</f>
        <v>414🤙🏼Being There🤙🏼Comedy🤙🏼1</v>
      </c>
      <c r="K1241" s="5">
        <f>IFERROR(__xludf.DUMMYFUNCTION("SPLiT(J1241, ""🤙🏼"",FALSE,FALSE)"),414.0)</f>
        <v>414</v>
      </c>
      <c r="L1241" s="5" t="str">
        <f>IFERROR(__xludf.DUMMYFUNCTION("""COMPUTED_VALUE"""),"Being There")</f>
        <v>Being There</v>
      </c>
      <c r="M1241" s="5" t="str">
        <f>IFERROR(__xludf.DUMMYFUNCTION("""COMPUTED_VALUE"""),"Comedy")</f>
        <v>Comedy</v>
      </c>
      <c r="N1241" s="5">
        <f>IFERROR(__xludf.DUMMYFUNCTION("""COMPUTED_VALUE"""),1.0)</f>
        <v>1</v>
      </c>
      <c r="S1241" s="5">
        <f>IFERROR(__xludf.DUMMYFUNCTION("""COMPUTED_VALUE"""),497.0)</f>
        <v>497</v>
      </c>
      <c r="T1241" s="5" t="str">
        <f>IFERROR(__xludf.DUMMYFUNCTION("""COMPUTED_VALUE"""),"Letters from Iwo Jima")</f>
        <v>Letters from Iwo Jima</v>
      </c>
      <c r="U1241" s="5" t="str">
        <f>IFERROR(__xludf.DUMMYFUNCTION("""COMPUTED_VALUE"""),"Drama")</f>
        <v>Drama</v>
      </c>
      <c r="V1241" s="5">
        <f>IFERROR(__xludf.DUMMYFUNCTION("""COMPUTED_VALUE"""),3.0)</f>
        <v>3</v>
      </c>
    </row>
    <row r="1242">
      <c r="J1242" s="5" t="str">
        <f>IFERROR(__xludf.DUMMYFUNCTION("""COMPUTED_VALUE"""),"414🤙🏼Being There🤙🏼Drama🤙🏼2")</f>
        <v>414🤙🏼Being There🤙🏼Drama🤙🏼2</v>
      </c>
      <c r="K1242" s="5">
        <f>IFERROR(__xludf.DUMMYFUNCTION("SPLiT(J1242, ""🤙🏼"",FALSE,FALSE)"),414.0)</f>
        <v>414</v>
      </c>
      <c r="L1242" s="5" t="str">
        <f>IFERROR(__xludf.DUMMYFUNCTION("""COMPUTED_VALUE"""),"Being There")</f>
        <v>Being There</v>
      </c>
      <c r="M1242" s="5" t="str">
        <f>IFERROR(__xludf.DUMMYFUNCTION("""COMPUTED_VALUE"""),"Drama")</f>
        <v>Drama</v>
      </c>
      <c r="N1242" s="5">
        <f>IFERROR(__xludf.DUMMYFUNCTION("""COMPUTED_VALUE"""),2.0)</f>
        <v>2</v>
      </c>
      <c r="S1242" s="5">
        <f>IFERROR(__xludf.DUMMYFUNCTION("""COMPUTED_VALUE"""),498.0)</f>
        <v>498</v>
      </c>
      <c r="T1242" s="5" t="str">
        <f>IFERROR(__xludf.DUMMYFUNCTION("""COMPUTED_VALUE"""),"The Fall")</f>
        <v>The Fall</v>
      </c>
      <c r="U1242" s="5" t="str">
        <f>IFERROR(__xludf.DUMMYFUNCTION("""COMPUTED_VALUE"""),"Adventure")</f>
        <v>Adventure</v>
      </c>
      <c r="V1242" s="5">
        <f>IFERROR(__xludf.DUMMYFUNCTION("""COMPUTED_VALUE"""),1.0)</f>
        <v>1</v>
      </c>
    </row>
    <row r="1243">
      <c r="J1243" s="5" t="str">
        <f>IFERROR(__xludf.DUMMYFUNCTION("""COMPUTED_VALUE"""),"414🤙🏼Being There🤙🏼🤙🏼3")</f>
        <v>414🤙🏼Being There🤙🏼🤙🏼3</v>
      </c>
      <c r="K1243" s="5">
        <f>IFERROR(__xludf.DUMMYFUNCTION("SPLiT(J1243, ""🤙🏼"",FALSE,FALSE)"),414.0)</f>
        <v>414</v>
      </c>
      <c r="L1243" s="5" t="str">
        <f>IFERROR(__xludf.DUMMYFUNCTION("""COMPUTED_VALUE"""),"Being There")</f>
        <v>Being There</v>
      </c>
      <c r="M1243" s="5"/>
      <c r="N1243" s="5">
        <f>IFERROR(__xludf.DUMMYFUNCTION("""COMPUTED_VALUE"""),3.0)</f>
        <v>3</v>
      </c>
      <c r="S1243" s="5">
        <f>IFERROR(__xludf.DUMMYFUNCTION("""COMPUTED_VALUE"""),498.0)</f>
        <v>498</v>
      </c>
      <c r="T1243" s="5" t="str">
        <f>IFERROR(__xludf.DUMMYFUNCTION("""COMPUTED_VALUE"""),"The Fall")</f>
        <v>The Fall</v>
      </c>
      <c r="U1243" s="5" t="str">
        <f>IFERROR(__xludf.DUMMYFUNCTION("""COMPUTED_VALUE"""),"Drama")</f>
        <v>Drama</v>
      </c>
      <c r="V1243" s="5">
        <f>IFERROR(__xludf.DUMMYFUNCTION("""COMPUTED_VALUE"""),2.0)</f>
        <v>2</v>
      </c>
    </row>
    <row r="1244">
      <c r="J1244" s="5" t="str">
        <f>IFERROR(__xludf.DUMMYFUNCTION("""COMPUTED_VALUE"""),"415🤙🏼Annie Hall🤙🏼Comedy🤙🏼1")</f>
        <v>415🤙🏼Annie Hall🤙🏼Comedy🤙🏼1</v>
      </c>
      <c r="K1244" s="5">
        <f>IFERROR(__xludf.DUMMYFUNCTION("SPLiT(J1244, ""🤙🏼"",FALSE,FALSE)"),415.0)</f>
        <v>415</v>
      </c>
      <c r="L1244" s="5" t="str">
        <f>IFERROR(__xludf.DUMMYFUNCTION("""COMPUTED_VALUE"""),"Annie Hall")</f>
        <v>Annie Hall</v>
      </c>
      <c r="M1244" s="5" t="str">
        <f>IFERROR(__xludf.DUMMYFUNCTION("""COMPUTED_VALUE"""),"Comedy")</f>
        <v>Comedy</v>
      </c>
      <c r="N1244" s="5">
        <f>IFERROR(__xludf.DUMMYFUNCTION("""COMPUTED_VALUE"""),1.0)</f>
        <v>1</v>
      </c>
      <c r="S1244" s="5">
        <f>IFERROR(__xludf.DUMMYFUNCTION("""COMPUTED_VALUE"""),498.0)</f>
        <v>498</v>
      </c>
      <c r="T1244" s="5" t="str">
        <f>IFERROR(__xludf.DUMMYFUNCTION("""COMPUTED_VALUE"""),"The Fall")</f>
        <v>The Fall</v>
      </c>
      <c r="U1244" s="5" t="str">
        <f>IFERROR(__xludf.DUMMYFUNCTION("""COMPUTED_VALUE"""),"Fantasy")</f>
        <v>Fantasy</v>
      </c>
      <c r="V1244" s="5">
        <f>IFERROR(__xludf.DUMMYFUNCTION("""COMPUTED_VALUE"""),3.0)</f>
        <v>3</v>
      </c>
    </row>
    <row r="1245">
      <c r="J1245" s="5" t="str">
        <f>IFERROR(__xludf.DUMMYFUNCTION("""COMPUTED_VALUE"""),"415🤙🏼Annie Hall🤙🏼Romance🤙🏼2")</f>
        <v>415🤙🏼Annie Hall🤙🏼Romance🤙🏼2</v>
      </c>
      <c r="K1245" s="5">
        <f>IFERROR(__xludf.DUMMYFUNCTION("SPLiT(J1245, ""🤙🏼"",FALSE,FALSE)"),415.0)</f>
        <v>415</v>
      </c>
      <c r="L1245" s="5" t="str">
        <f>IFERROR(__xludf.DUMMYFUNCTION("""COMPUTED_VALUE"""),"Annie Hall")</f>
        <v>Annie Hall</v>
      </c>
      <c r="M1245" s="5" t="str">
        <f>IFERROR(__xludf.DUMMYFUNCTION("""COMPUTED_VALUE"""),"Romance")</f>
        <v>Romance</v>
      </c>
      <c r="N1245" s="5">
        <f>IFERROR(__xludf.DUMMYFUNCTION("""COMPUTED_VALUE"""),2.0)</f>
        <v>2</v>
      </c>
      <c r="S1245" s="5">
        <f>IFERROR(__xludf.DUMMYFUNCTION("""COMPUTED_VALUE"""),499.0)</f>
        <v>499</v>
      </c>
      <c r="T1245" s="5" t="str">
        <f>IFERROR(__xludf.DUMMYFUNCTION("""COMPUTED_VALUE"""),"Life of Pi")</f>
        <v>Life of Pi</v>
      </c>
      <c r="U1245" s="5" t="str">
        <f>IFERROR(__xludf.DUMMYFUNCTION("""COMPUTED_VALUE"""),"Adventure")</f>
        <v>Adventure</v>
      </c>
      <c r="V1245" s="5">
        <f>IFERROR(__xludf.DUMMYFUNCTION("""COMPUTED_VALUE"""),1.0)</f>
        <v>1</v>
      </c>
    </row>
    <row r="1246">
      <c r="J1246" s="5" t="str">
        <f>IFERROR(__xludf.DUMMYFUNCTION("""COMPUTED_VALUE"""),"415🤙🏼Annie Hall🤙🏼🤙🏼3")</f>
        <v>415🤙🏼Annie Hall🤙🏼🤙🏼3</v>
      </c>
      <c r="K1246" s="5">
        <f>IFERROR(__xludf.DUMMYFUNCTION("SPLiT(J1246, ""🤙🏼"",FALSE,FALSE)"),415.0)</f>
        <v>415</v>
      </c>
      <c r="L1246" s="5" t="str">
        <f>IFERROR(__xludf.DUMMYFUNCTION("""COMPUTED_VALUE"""),"Annie Hall")</f>
        <v>Annie Hall</v>
      </c>
      <c r="M1246" s="5"/>
      <c r="N1246" s="5">
        <f>IFERROR(__xludf.DUMMYFUNCTION("""COMPUTED_VALUE"""),3.0)</f>
        <v>3</v>
      </c>
      <c r="S1246" s="5">
        <f>IFERROR(__xludf.DUMMYFUNCTION("""COMPUTED_VALUE"""),499.0)</f>
        <v>499</v>
      </c>
      <c r="T1246" s="5" t="str">
        <f>IFERROR(__xludf.DUMMYFUNCTION("""COMPUTED_VALUE"""),"Life of Pi")</f>
        <v>Life of Pi</v>
      </c>
      <c r="U1246" s="5" t="str">
        <f>IFERROR(__xludf.DUMMYFUNCTION("""COMPUTED_VALUE"""),"Drama")</f>
        <v>Drama</v>
      </c>
      <c r="V1246" s="5">
        <f>IFERROR(__xludf.DUMMYFUNCTION("""COMPUTED_VALUE"""),2.0)</f>
        <v>2</v>
      </c>
    </row>
    <row r="1247">
      <c r="J1247" s="5" t="str">
        <f>IFERROR(__xludf.DUMMYFUNCTION("""COMPUTED_VALUE"""),"416🤙🏼Jaws🤙🏼Adventure🤙🏼1")</f>
        <v>416🤙🏼Jaws🤙🏼Adventure🤙🏼1</v>
      </c>
      <c r="K1247" s="5">
        <f>IFERROR(__xludf.DUMMYFUNCTION("SPLiT(J1247, ""🤙🏼"",FALSE,FALSE)"),416.0)</f>
        <v>416</v>
      </c>
      <c r="L1247" s="5" t="str">
        <f>IFERROR(__xludf.DUMMYFUNCTION("""COMPUTED_VALUE"""),"Jaws")</f>
        <v>Jaws</v>
      </c>
      <c r="M1247" s="5" t="str">
        <f>IFERROR(__xludf.DUMMYFUNCTION("""COMPUTED_VALUE"""),"Adventure")</f>
        <v>Adventure</v>
      </c>
      <c r="N1247" s="5">
        <f>IFERROR(__xludf.DUMMYFUNCTION("""COMPUTED_VALUE"""),1.0)</f>
        <v>1</v>
      </c>
      <c r="S1247" s="5">
        <f>IFERROR(__xludf.DUMMYFUNCTION("""COMPUTED_VALUE"""),499.0)</f>
        <v>499</v>
      </c>
      <c r="T1247" s="5" t="str">
        <f>IFERROR(__xludf.DUMMYFUNCTION("""COMPUTED_VALUE"""),"Life of Pi")</f>
        <v>Life of Pi</v>
      </c>
      <c r="U1247" s="5" t="str">
        <f>IFERROR(__xludf.DUMMYFUNCTION("""COMPUTED_VALUE"""),"Fantasy")</f>
        <v>Fantasy</v>
      </c>
      <c r="V1247" s="5">
        <f>IFERROR(__xludf.DUMMYFUNCTION("""COMPUTED_VALUE"""),3.0)</f>
        <v>3</v>
      </c>
    </row>
    <row r="1248">
      <c r="J1248" s="5" t="str">
        <f>IFERROR(__xludf.DUMMYFUNCTION("""COMPUTED_VALUE"""),"416🤙🏼Jaws🤙🏼Thriller🤙🏼2")</f>
        <v>416🤙🏼Jaws🤙🏼Thriller🤙🏼2</v>
      </c>
      <c r="K1248" s="5">
        <f>IFERROR(__xludf.DUMMYFUNCTION("SPLiT(J1248, ""🤙🏼"",FALSE,FALSE)"),416.0)</f>
        <v>416</v>
      </c>
      <c r="L1248" s="5" t="str">
        <f>IFERROR(__xludf.DUMMYFUNCTION("""COMPUTED_VALUE"""),"Jaws")</f>
        <v>Jaws</v>
      </c>
      <c r="M1248" s="5" t="str">
        <f>IFERROR(__xludf.DUMMYFUNCTION("""COMPUTED_VALUE"""),"Thriller")</f>
        <v>Thriller</v>
      </c>
      <c r="N1248" s="5">
        <f>IFERROR(__xludf.DUMMYFUNCTION("""COMPUTED_VALUE"""),2.0)</f>
        <v>2</v>
      </c>
      <c r="S1248" s="5">
        <f>IFERROR(__xludf.DUMMYFUNCTION("""COMPUTED_VALUE"""),500.0)</f>
        <v>500</v>
      </c>
      <c r="T1248" s="5" t="str">
        <f>IFERROR(__xludf.DUMMYFUNCTION("""COMPUTED_VALUE"""),"Fantastic Mr. Fox")</f>
        <v>Fantastic Mr. Fox</v>
      </c>
      <c r="U1248" s="5" t="str">
        <f>IFERROR(__xludf.DUMMYFUNCTION("""COMPUTED_VALUE"""),"Animation")</f>
        <v>Animation</v>
      </c>
      <c r="V1248" s="5">
        <f>IFERROR(__xludf.DUMMYFUNCTION("""COMPUTED_VALUE"""),1.0)</f>
        <v>1</v>
      </c>
    </row>
    <row r="1249">
      <c r="J1249" s="5" t="str">
        <f>IFERROR(__xludf.DUMMYFUNCTION("""COMPUTED_VALUE"""),"416🤙🏼Jaws🤙🏼🤙🏼3")</f>
        <v>416🤙🏼Jaws🤙🏼🤙🏼3</v>
      </c>
      <c r="K1249" s="5">
        <f>IFERROR(__xludf.DUMMYFUNCTION("SPLiT(J1249, ""🤙🏼"",FALSE,FALSE)"),416.0)</f>
        <v>416</v>
      </c>
      <c r="L1249" s="5" t="str">
        <f>IFERROR(__xludf.DUMMYFUNCTION("""COMPUTED_VALUE"""),"Jaws")</f>
        <v>Jaws</v>
      </c>
      <c r="M1249" s="5"/>
      <c r="N1249" s="5">
        <f>IFERROR(__xludf.DUMMYFUNCTION("""COMPUTED_VALUE"""),3.0)</f>
        <v>3</v>
      </c>
      <c r="S1249" s="5">
        <f>IFERROR(__xludf.DUMMYFUNCTION("""COMPUTED_VALUE"""),500.0)</f>
        <v>500</v>
      </c>
      <c r="T1249" s="5" t="str">
        <f>IFERROR(__xludf.DUMMYFUNCTION("""COMPUTED_VALUE"""),"Fantastic Mr. Fox")</f>
        <v>Fantastic Mr. Fox</v>
      </c>
      <c r="U1249" s="5" t="str">
        <f>IFERROR(__xludf.DUMMYFUNCTION("""COMPUTED_VALUE"""),"Adventure")</f>
        <v>Adventure</v>
      </c>
      <c r="V1249" s="5">
        <f>IFERROR(__xludf.DUMMYFUNCTION("""COMPUTED_VALUE"""),2.0)</f>
        <v>2</v>
      </c>
    </row>
    <row r="1250">
      <c r="J1250" s="5" t="str">
        <f>IFERROR(__xludf.DUMMYFUNCTION("""COMPUTED_VALUE"""),"417🤙🏼Dog Day Afternoon🤙🏼Biography🤙🏼1")</f>
        <v>417🤙🏼Dog Day Afternoon🤙🏼Biography🤙🏼1</v>
      </c>
      <c r="K1250" s="5">
        <f>IFERROR(__xludf.DUMMYFUNCTION("SPLiT(J1250, ""🤙🏼"",FALSE,FALSE)"),417.0)</f>
        <v>417</v>
      </c>
      <c r="L1250" s="5" t="str">
        <f>IFERROR(__xludf.DUMMYFUNCTION("""COMPUTED_VALUE"""),"Dog Day Afternoon")</f>
        <v>Dog Day Afternoon</v>
      </c>
      <c r="M1250" s="5" t="str">
        <f>IFERROR(__xludf.DUMMYFUNCTION("""COMPUTED_VALUE"""),"Biography")</f>
        <v>Biography</v>
      </c>
      <c r="N1250" s="5">
        <f>IFERROR(__xludf.DUMMYFUNCTION("""COMPUTED_VALUE"""),1.0)</f>
        <v>1</v>
      </c>
      <c r="S1250" s="5">
        <f>IFERROR(__xludf.DUMMYFUNCTION("""COMPUTED_VALUE"""),500.0)</f>
        <v>500</v>
      </c>
      <c r="T1250" s="5" t="str">
        <f>IFERROR(__xludf.DUMMYFUNCTION("""COMPUTED_VALUE"""),"Fantastic Mr. Fox")</f>
        <v>Fantastic Mr. Fox</v>
      </c>
      <c r="U1250" s="5" t="str">
        <f>IFERROR(__xludf.DUMMYFUNCTION("""COMPUTED_VALUE"""),"Comedy")</f>
        <v>Comedy</v>
      </c>
      <c r="V1250" s="5">
        <f>IFERROR(__xludf.DUMMYFUNCTION("""COMPUTED_VALUE"""),3.0)</f>
        <v>3</v>
      </c>
    </row>
    <row r="1251">
      <c r="J1251" s="5" t="str">
        <f>IFERROR(__xludf.DUMMYFUNCTION("""COMPUTED_VALUE"""),"417🤙🏼Dog Day Afternoon🤙🏼Crime🤙🏼2")</f>
        <v>417🤙🏼Dog Day Afternoon🤙🏼Crime🤙🏼2</v>
      </c>
      <c r="K1251" s="5">
        <f>IFERROR(__xludf.DUMMYFUNCTION("SPLiT(J1251, ""🤙🏼"",FALSE,FALSE)"),417.0)</f>
        <v>417</v>
      </c>
      <c r="L1251" s="5" t="str">
        <f>IFERROR(__xludf.DUMMYFUNCTION("""COMPUTED_VALUE"""),"Dog Day Afternoon")</f>
        <v>Dog Day Afternoon</v>
      </c>
      <c r="M1251" s="5" t="str">
        <f>IFERROR(__xludf.DUMMYFUNCTION("""COMPUTED_VALUE"""),"Crime")</f>
        <v>Crime</v>
      </c>
      <c r="N1251" s="5">
        <f>IFERROR(__xludf.DUMMYFUNCTION("""COMPUTED_VALUE"""),2.0)</f>
        <v>2</v>
      </c>
      <c r="S1251" s="5">
        <f>IFERROR(__xludf.DUMMYFUNCTION("""COMPUTED_VALUE"""),501.0)</f>
        <v>501</v>
      </c>
      <c r="T1251" s="5" t="str">
        <f>IFERROR(__xludf.DUMMYFUNCTION("""COMPUTED_VALUE"""),"C.R.A.Z.Y.")</f>
        <v>C.R.A.Z.Y.</v>
      </c>
      <c r="U1251" s="5" t="str">
        <f>IFERROR(__xludf.DUMMYFUNCTION("""COMPUTED_VALUE"""),"Comedy")</f>
        <v>Comedy</v>
      </c>
      <c r="V1251" s="5">
        <f>IFERROR(__xludf.DUMMYFUNCTION("""COMPUTED_VALUE"""),1.0)</f>
        <v>1</v>
      </c>
    </row>
    <row r="1252">
      <c r="J1252" s="5" t="str">
        <f>IFERROR(__xludf.DUMMYFUNCTION("""COMPUTED_VALUE"""),"417🤙🏼Dog Day Afternoon🤙🏼Drama🤙🏼3")</f>
        <v>417🤙🏼Dog Day Afternoon🤙🏼Drama🤙🏼3</v>
      </c>
      <c r="K1252" s="5">
        <f>IFERROR(__xludf.DUMMYFUNCTION("SPLiT(J1252, ""🤙🏼"",FALSE,FALSE)"),417.0)</f>
        <v>417</v>
      </c>
      <c r="L1252" s="5" t="str">
        <f>IFERROR(__xludf.DUMMYFUNCTION("""COMPUTED_VALUE"""),"Dog Day Afternoon")</f>
        <v>Dog Day Afternoon</v>
      </c>
      <c r="M1252" s="5" t="str">
        <f>IFERROR(__xludf.DUMMYFUNCTION("""COMPUTED_VALUE"""),"Drama")</f>
        <v>Drama</v>
      </c>
      <c r="N1252" s="5">
        <f>IFERROR(__xludf.DUMMYFUNCTION("""COMPUTED_VALUE"""),3.0)</f>
        <v>3</v>
      </c>
      <c r="S1252" s="5">
        <f>IFERROR(__xludf.DUMMYFUNCTION("""COMPUTED_VALUE"""),501.0)</f>
        <v>501</v>
      </c>
      <c r="T1252" s="5" t="str">
        <f>IFERROR(__xludf.DUMMYFUNCTION("""COMPUTED_VALUE"""),"C.R.A.Z.Y.")</f>
        <v>C.R.A.Z.Y.</v>
      </c>
      <c r="U1252" s="5" t="str">
        <f>IFERROR(__xludf.DUMMYFUNCTION("""COMPUTED_VALUE"""),"Drama")</f>
        <v>Drama</v>
      </c>
      <c r="V1252" s="5">
        <f>IFERROR(__xludf.DUMMYFUNCTION("""COMPUTED_VALUE"""),2.0)</f>
        <v>2</v>
      </c>
    </row>
    <row r="1253">
      <c r="J1253" s="5" t="str">
        <f>IFERROR(__xludf.DUMMYFUNCTION("""COMPUTED_VALUE"""),"418🤙🏼Young Frankenstein🤙🏼Comedy🤙🏼1")</f>
        <v>418🤙🏼Young Frankenstein🤙🏼Comedy🤙🏼1</v>
      </c>
      <c r="K1253" s="5">
        <f>IFERROR(__xludf.DUMMYFUNCTION("SPLiT(J1253, ""🤙🏼"",FALSE,FALSE)"),418.0)</f>
        <v>418</v>
      </c>
      <c r="L1253" s="5" t="str">
        <f>IFERROR(__xludf.DUMMYFUNCTION("""COMPUTED_VALUE"""),"Young Frankenstein")</f>
        <v>Young Frankenstein</v>
      </c>
      <c r="M1253" s="5" t="str">
        <f>IFERROR(__xludf.DUMMYFUNCTION("""COMPUTED_VALUE"""),"Comedy")</f>
        <v>Comedy</v>
      </c>
      <c r="N1253" s="5">
        <f>IFERROR(__xludf.DUMMYFUNCTION("""COMPUTED_VALUE"""),1.0)</f>
        <v>1</v>
      </c>
      <c r="S1253" s="5">
        <f>IFERROR(__xludf.DUMMYFUNCTION("""COMPUTED_VALUE"""),502.0)</f>
        <v>502</v>
      </c>
      <c r="T1253" s="5" t="str">
        <f>IFERROR(__xludf.DUMMYFUNCTION("""COMPUTED_VALUE"""),"Les choristes")</f>
        <v>Les choristes</v>
      </c>
      <c r="U1253" s="5" t="str">
        <f>IFERROR(__xludf.DUMMYFUNCTION("""COMPUTED_VALUE"""),"Drama")</f>
        <v>Drama</v>
      </c>
      <c r="V1253" s="5">
        <f>IFERROR(__xludf.DUMMYFUNCTION("""COMPUTED_VALUE"""),1.0)</f>
        <v>1</v>
      </c>
    </row>
    <row r="1254">
      <c r="J1254" s="5" t="str">
        <f>IFERROR(__xludf.DUMMYFUNCTION("""COMPUTED_VALUE"""),"418🤙🏼Young Frankenstein🤙🏼🤙🏼2")</f>
        <v>418🤙🏼Young Frankenstein🤙🏼🤙🏼2</v>
      </c>
      <c r="K1254" s="5">
        <f>IFERROR(__xludf.DUMMYFUNCTION("SPLiT(J1254, ""🤙🏼"",FALSE,FALSE)"),418.0)</f>
        <v>418</v>
      </c>
      <c r="L1254" s="5" t="str">
        <f>IFERROR(__xludf.DUMMYFUNCTION("""COMPUTED_VALUE"""),"Young Frankenstein")</f>
        <v>Young Frankenstein</v>
      </c>
      <c r="M1254" s="5"/>
      <c r="N1254" s="5">
        <f>IFERROR(__xludf.DUMMYFUNCTION("""COMPUTED_VALUE"""),2.0)</f>
        <v>2</v>
      </c>
      <c r="S1254" s="5">
        <f>IFERROR(__xludf.DUMMYFUNCTION("""COMPUTED_VALUE"""),502.0)</f>
        <v>502</v>
      </c>
      <c r="T1254" s="5" t="str">
        <f>IFERROR(__xludf.DUMMYFUNCTION("""COMPUTED_VALUE"""),"Les choristes")</f>
        <v>Les choristes</v>
      </c>
      <c r="U1254" s="5" t="str">
        <f>IFERROR(__xludf.DUMMYFUNCTION("""COMPUTED_VALUE"""),"Music")</f>
        <v>Music</v>
      </c>
      <c r="V1254" s="5">
        <f>IFERROR(__xludf.DUMMYFUNCTION("""COMPUTED_VALUE"""),2.0)</f>
        <v>2</v>
      </c>
    </row>
    <row r="1255">
      <c r="J1255" s="5" t="str">
        <f>IFERROR(__xludf.DUMMYFUNCTION("""COMPUTED_VALUE"""),"418🤙🏼Young Frankenstein🤙🏼🤙🏼3")</f>
        <v>418🤙🏼Young Frankenstein🤙🏼🤙🏼3</v>
      </c>
      <c r="K1255" s="5">
        <f>IFERROR(__xludf.DUMMYFUNCTION("SPLiT(J1255, ""🤙🏼"",FALSE,FALSE)"),418.0)</f>
        <v>418</v>
      </c>
      <c r="L1255" s="5" t="str">
        <f>IFERROR(__xludf.DUMMYFUNCTION("""COMPUTED_VALUE"""),"Young Frankenstein")</f>
        <v>Young Frankenstein</v>
      </c>
      <c r="M1255" s="5"/>
      <c r="N1255" s="5">
        <f>IFERROR(__xludf.DUMMYFUNCTION("""COMPUTED_VALUE"""),3.0)</f>
        <v>3</v>
      </c>
      <c r="S1255" s="5">
        <f>IFERROR(__xludf.DUMMYFUNCTION("""COMPUTED_VALUE"""),503.0)</f>
        <v>503</v>
      </c>
      <c r="T1255" s="5" t="str">
        <f>IFERROR(__xludf.DUMMYFUNCTION("""COMPUTED_VALUE"""),"Iron Man")</f>
        <v>Iron Man</v>
      </c>
      <c r="U1255" s="5" t="str">
        <f>IFERROR(__xludf.DUMMYFUNCTION("""COMPUTED_VALUE"""),"Action")</f>
        <v>Action</v>
      </c>
      <c r="V1255" s="5">
        <f>IFERROR(__xludf.DUMMYFUNCTION("""COMPUTED_VALUE"""),1.0)</f>
        <v>1</v>
      </c>
    </row>
    <row r="1256">
      <c r="J1256" s="5" t="str">
        <f>IFERROR(__xludf.DUMMYFUNCTION("""COMPUTED_VALUE"""),"419🤙🏼Papillon🤙🏼Biography🤙🏼1")</f>
        <v>419🤙🏼Papillon🤙🏼Biography🤙🏼1</v>
      </c>
      <c r="K1256" s="5">
        <f>IFERROR(__xludf.DUMMYFUNCTION("SPLiT(J1256, ""🤙🏼"",FALSE,FALSE)"),419.0)</f>
        <v>419</v>
      </c>
      <c r="L1256" s="5" t="str">
        <f>IFERROR(__xludf.DUMMYFUNCTION("""COMPUTED_VALUE"""),"Papillon")</f>
        <v>Papillon</v>
      </c>
      <c r="M1256" s="5" t="str">
        <f>IFERROR(__xludf.DUMMYFUNCTION("""COMPUTED_VALUE"""),"Biography")</f>
        <v>Biography</v>
      </c>
      <c r="N1256" s="5">
        <f>IFERROR(__xludf.DUMMYFUNCTION("""COMPUTED_VALUE"""),1.0)</f>
        <v>1</v>
      </c>
      <c r="S1256" s="5">
        <f>IFERROR(__xludf.DUMMYFUNCTION("""COMPUTED_VALUE"""),503.0)</f>
        <v>503</v>
      </c>
      <c r="T1256" s="5" t="str">
        <f>IFERROR(__xludf.DUMMYFUNCTION("""COMPUTED_VALUE"""),"Iron Man")</f>
        <v>Iron Man</v>
      </c>
      <c r="U1256" s="5" t="str">
        <f>IFERROR(__xludf.DUMMYFUNCTION("""COMPUTED_VALUE"""),"Adventure")</f>
        <v>Adventure</v>
      </c>
      <c r="V1256" s="5">
        <f>IFERROR(__xludf.DUMMYFUNCTION("""COMPUTED_VALUE"""),2.0)</f>
        <v>2</v>
      </c>
    </row>
    <row r="1257">
      <c r="J1257" s="5" t="str">
        <f>IFERROR(__xludf.DUMMYFUNCTION("""COMPUTED_VALUE"""),"419🤙🏼Papillon🤙🏼Crime🤙🏼2")</f>
        <v>419🤙🏼Papillon🤙🏼Crime🤙🏼2</v>
      </c>
      <c r="K1257" s="5">
        <f>IFERROR(__xludf.DUMMYFUNCTION("SPLiT(J1257, ""🤙🏼"",FALSE,FALSE)"),419.0)</f>
        <v>419</v>
      </c>
      <c r="L1257" s="5" t="str">
        <f>IFERROR(__xludf.DUMMYFUNCTION("""COMPUTED_VALUE"""),"Papillon")</f>
        <v>Papillon</v>
      </c>
      <c r="M1257" s="5" t="str">
        <f>IFERROR(__xludf.DUMMYFUNCTION("""COMPUTED_VALUE"""),"Crime")</f>
        <v>Crime</v>
      </c>
      <c r="N1257" s="5">
        <f>IFERROR(__xludf.DUMMYFUNCTION("""COMPUTED_VALUE"""),2.0)</f>
        <v>2</v>
      </c>
      <c r="S1257" s="5">
        <f>IFERROR(__xludf.DUMMYFUNCTION("""COMPUTED_VALUE"""),503.0)</f>
        <v>503</v>
      </c>
      <c r="T1257" s="5" t="str">
        <f>IFERROR(__xludf.DUMMYFUNCTION("""COMPUTED_VALUE"""),"Iron Man")</f>
        <v>Iron Man</v>
      </c>
      <c r="U1257" s="5" t="str">
        <f>IFERROR(__xludf.DUMMYFUNCTION("""COMPUTED_VALUE"""),"Sci-Fi")</f>
        <v>Sci-Fi</v>
      </c>
      <c r="V1257" s="5">
        <f>IFERROR(__xludf.DUMMYFUNCTION("""COMPUTED_VALUE"""),3.0)</f>
        <v>3</v>
      </c>
    </row>
    <row r="1258">
      <c r="J1258" s="5" t="str">
        <f>IFERROR(__xludf.DUMMYFUNCTION("""COMPUTED_VALUE"""),"419🤙🏼Papillon🤙🏼Drama🤙🏼3")</f>
        <v>419🤙🏼Papillon🤙🏼Drama🤙🏼3</v>
      </c>
      <c r="K1258" s="5">
        <f>IFERROR(__xludf.DUMMYFUNCTION("SPLiT(J1258, ""🤙🏼"",FALSE,FALSE)"),419.0)</f>
        <v>419</v>
      </c>
      <c r="L1258" s="5" t="str">
        <f>IFERROR(__xludf.DUMMYFUNCTION("""COMPUTED_VALUE"""),"Papillon")</f>
        <v>Papillon</v>
      </c>
      <c r="M1258" s="5" t="str">
        <f>IFERROR(__xludf.DUMMYFUNCTION("""COMPUTED_VALUE"""),"Drama")</f>
        <v>Drama</v>
      </c>
      <c r="N1258" s="5">
        <f>IFERROR(__xludf.DUMMYFUNCTION("""COMPUTED_VALUE"""),3.0)</f>
        <v>3</v>
      </c>
      <c r="S1258" s="5">
        <f>IFERROR(__xludf.DUMMYFUNCTION("""COMPUTED_VALUE"""),504.0)</f>
        <v>504</v>
      </c>
      <c r="T1258" s="5" t="str">
        <f>IFERROR(__xludf.DUMMYFUNCTION("""COMPUTED_VALUE"""),"Shaun of the Dead")</f>
        <v>Shaun of the Dead</v>
      </c>
      <c r="U1258" s="5" t="str">
        <f>IFERROR(__xludf.DUMMYFUNCTION("""COMPUTED_VALUE"""),"Comedy")</f>
        <v>Comedy</v>
      </c>
      <c r="V1258" s="5">
        <f>IFERROR(__xludf.DUMMYFUNCTION("""COMPUTED_VALUE"""),1.0)</f>
        <v>1</v>
      </c>
    </row>
    <row r="1259">
      <c r="J1259" s="5" t="str">
        <f>IFERROR(__xludf.DUMMYFUNCTION("""COMPUTED_VALUE"""),"420🤙🏼The Exorcist🤙🏼Horror🤙🏼1")</f>
        <v>420🤙🏼The Exorcist🤙🏼Horror🤙🏼1</v>
      </c>
      <c r="K1259" s="5">
        <f>IFERROR(__xludf.DUMMYFUNCTION("SPLiT(J1259, ""🤙🏼"",FALSE,FALSE)"),420.0)</f>
        <v>420</v>
      </c>
      <c r="L1259" s="5" t="str">
        <f>IFERROR(__xludf.DUMMYFUNCTION("""COMPUTED_VALUE"""),"The Exorcist")</f>
        <v>The Exorcist</v>
      </c>
      <c r="M1259" s="5" t="str">
        <f>IFERROR(__xludf.DUMMYFUNCTION("""COMPUTED_VALUE"""),"Horror")</f>
        <v>Horror</v>
      </c>
      <c r="N1259" s="5">
        <f>IFERROR(__xludf.DUMMYFUNCTION("""COMPUTED_VALUE"""),1.0)</f>
        <v>1</v>
      </c>
      <c r="S1259" s="5">
        <f>IFERROR(__xludf.DUMMYFUNCTION("""COMPUTED_VALUE"""),504.0)</f>
        <v>504</v>
      </c>
      <c r="T1259" s="5" t="str">
        <f>IFERROR(__xludf.DUMMYFUNCTION("""COMPUTED_VALUE"""),"Shaun of the Dead")</f>
        <v>Shaun of the Dead</v>
      </c>
      <c r="U1259" s="5" t="str">
        <f>IFERROR(__xludf.DUMMYFUNCTION("""COMPUTED_VALUE"""),"Horror")</f>
        <v>Horror</v>
      </c>
      <c r="V1259" s="5">
        <f>IFERROR(__xludf.DUMMYFUNCTION("""COMPUTED_VALUE"""),2.0)</f>
        <v>2</v>
      </c>
    </row>
    <row r="1260">
      <c r="J1260" s="5" t="str">
        <f>IFERROR(__xludf.DUMMYFUNCTION("""COMPUTED_VALUE"""),"420🤙🏼The Exorcist🤙🏼🤙🏼2")</f>
        <v>420🤙🏼The Exorcist🤙🏼🤙🏼2</v>
      </c>
      <c r="K1260" s="5">
        <f>IFERROR(__xludf.DUMMYFUNCTION("SPLiT(J1260, ""🤙🏼"",FALSE,FALSE)"),420.0)</f>
        <v>420</v>
      </c>
      <c r="L1260" s="5" t="str">
        <f>IFERROR(__xludf.DUMMYFUNCTION("""COMPUTED_VALUE"""),"The Exorcist")</f>
        <v>The Exorcist</v>
      </c>
      <c r="M1260" s="5"/>
      <c r="N1260" s="5">
        <f>IFERROR(__xludf.DUMMYFUNCTION("""COMPUTED_VALUE"""),2.0)</f>
        <v>2</v>
      </c>
      <c r="S1260" s="5">
        <f>IFERROR(__xludf.DUMMYFUNCTION("""COMPUTED_VALUE"""),505.0)</f>
        <v>505</v>
      </c>
      <c r="T1260" s="5" t="str">
        <f>IFERROR(__xludf.DUMMYFUNCTION("""COMPUTED_VALUE"""),"Gegen die Wand")</f>
        <v>Gegen die Wand</v>
      </c>
      <c r="U1260" s="5" t="str">
        <f>IFERROR(__xludf.DUMMYFUNCTION("""COMPUTED_VALUE"""),"Drama")</f>
        <v>Drama</v>
      </c>
      <c r="V1260" s="5">
        <f>IFERROR(__xludf.DUMMYFUNCTION("""COMPUTED_VALUE"""),1.0)</f>
        <v>1</v>
      </c>
    </row>
    <row r="1261">
      <c r="J1261" s="5" t="str">
        <f>IFERROR(__xludf.DUMMYFUNCTION("""COMPUTED_VALUE"""),"420🤙🏼The Exorcist🤙🏼🤙🏼3")</f>
        <v>420🤙🏼The Exorcist🤙🏼🤙🏼3</v>
      </c>
      <c r="K1261" s="5">
        <f>IFERROR(__xludf.DUMMYFUNCTION("SPLiT(J1261, ""🤙🏼"",FALSE,FALSE)"),420.0)</f>
        <v>420</v>
      </c>
      <c r="L1261" s="5" t="str">
        <f>IFERROR(__xludf.DUMMYFUNCTION("""COMPUTED_VALUE"""),"The Exorcist")</f>
        <v>The Exorcist</v>
      </c>
      <c r="M1261" s="5"/>
      <c r="N1261" s="5">
        <f>IFERROR(__xludf.DUMMYFUNCTION("""COMPUTED_VALUE"""),3.0)</f>
        <v>3</v>
      </c>
      <c r="S1261" s="5">
        <f>IFERROR(__xludf.DUMMYFUNCTION("""COMPUTED_VALUE"""),505.0)</f>
        <v>505</v>
      </c>
      <c r="T1261" s="5" t="str">
        <f>IFERROR(__xludf.DUMMYFUNCTION("""COMPUTED_VALUE"""),"Gegen die Wand")</f>
        <v>Gegen die Wand</v>
      </c>
      <c r="U1261" s="5" t="str">
        <f>IFERROR(__xludf.DUMMYFUNCTION("""COMPUTED_VALUE"""),"Romance")</f>
        <v>Romance</v>
      </c>
      <c r="V1261" s="5">
        <f>IFERROR(__xludf.DUMMYFUNCTION("""COMPUTED_VALUE"""),2.0)</f>
        <v>2</v>
      </c>
    </row>
    <row r="1262">
      <c r="J1262" s="5" t="str">
        <f>IFERROR(__xludf.DUMMYFUNCTION("""COMPUTED_VALUE"""),"421🤙🏼Sleuth🤙🏼Mystery🤙🏼1")</f>
        <v>421🤙🏼Sleuth🤙🏼Mystery🤙🏼1</v>
      </c>
      <c r="K1262" s="5">
        <f>IFERROR(__xludf.DUMMYFUNCTION("SPLiT(J1262, ""🤙🏼"",FALSE,FALSE)"),421.0)</f>
        <v>421</v>
      </c>
      <c r="L1262" s="5" t="str">
        <f>IFERROR(__xludf.DUMMYFUNCTION("""COMPUTED_VALUE"""),"Sleuth")</f>
        <v>Sleuth</v>
      </c>
      <c r="M1262" s="5" t="str">
        <f>IFERROR(__xludf.DUMMYFUNCTION("""COMPUTED_VALUE"""),"Mystery")</f>
        <v>Mystery</v>
      </c>
      <c r="N1262" s="5">
        <f>IFERROR(__xludf.DUMMYFUNCTION("""COMPUTED_VALUE"""),1.0)</f>
        <v>1</v>
      </c>
      <c r="S1262" s="5">
        <f>IFERROR(__xludf.DUMMYFUNCTION("""COMPUTED_VALUE"""),506.0)</f>
        <v>506</v>
      </c>
      <c r="T1262" s="5" t="str">
        <f>IFERROR(__xludf.DUMMYFUNCTION("""COMPUTED_VALUE"""),"Mystic River")</f>
        <v>Mystic River</v>
      </c>
      <c r="U1262" s="5" t="str">
        <f>IFERROR(__xludf.DUMMYFUNCTION("""COMPUTED_VALUE"""),"Crime")</f>
        <v>Crime</v>
      </c>
      <c r="V1262" s="5">
        <f>IFERROR(__xludf.DUMMYFUNCTION("""COMPUTED_VALUE"""),1.0)</f>
        <v>1</v>
      </c>
    </row>
    <row r="1263">
      <c r="J1263" s="5" t="str">
        <f>IFERROR(__xludf.DUMMYFUNCTION("""COMPUTED_VALUE"""),"421🤙🏼Sleuth🤙🏼Thriller🤙🏼2")</f>
        <v>421🤙🏼Sleuth🤙🏼Thriller🤙🏼2</v>
      </c>
      <c r="K1263" s="5">
        <f>IFERROR(__xludf.DUMMYFUNCTION("SPLiT(J1263, ""🤙🏼"",FALSE,FALSE)"),421.0)</f>
        <v>421</v>
      </c>
      <c r="L1263" s="5" t="str">
        <f>IFERROR(__xludf.DUMMYFUNCTION("""COMPUTED_VALUE"""),"Sleuth")</f>
        <v>Sleuth</v>
      </c>
      <c r="M1263" s="5" t="str">
        <f>IFERROR(__xludf.DUMMYFUNCTION("""COMPUTED_VALUE"""),"Thriller")</f>
        <v>Thriller</v>
      </c>
      <c r="N1263" s="5">
        <f>IFERROR(__xludf.DUMMYFUNCTION("""COMPUTED_VALUE"""),2.0)</f>
        <v>2</v>
      </c>
      <c r="S1263" s="5">
        <f>IFERROR(__xludf.DUMMYFUNCTION("""COMPUTED_VALUE"""),506.0)</f>
        <v>506</v>
      </c>
      <c r="T1263" s="5" t="str">
        <f>IFERROR(__xludf.DUMMYFUNCTION("""COMPUTED_VALUE"""),"Mystic River")</f>
        <v>Mystic River</v>
      </c>
      <c r="U1263" s="5" t="str">
        <f>IFERROR(__xludf.DUMMYFUNCTION("""COMPUTED_VALUE"""),"Drama")</f>
        <v>Drama</v>
      </c>
      <c r="V1263" s="5">
        <f>IFERROR(__xludf.DUMMYFUNCTION("""COMPUTED_VALUE"""),2.0)</f>
        <v>2</v>
      </c>
    </row>
    <row r="1264">
      <c r="J1264" s="5" t="str">
        <f>IFERROR(__xludf.DUMMYFUNCTION("""COMPUTED_VALUE"""),"421🤙🏼Sleuth🤙🏼🤙🏼3")</f>
        <v>421🤙🏼Sleuth🤙🏼🤙🏼3</v>
      </c>
      <c r="K1264" s="5">
        <f>IFERROR(__xludf.DUMMYFUNCTION("SPLiT(J1264, ""🤙🏼"",FALSE,FALSE)"),421.0)</f>
        <v>421</v>
      </c>
      <c r="L1264" s="5" t="str">
        <f>IFERROR(__xludf.DUMMYFUNCTION("""COMPUTED_VALUE"""),"Sleuth")</f>
        <v>Sleuth</v>
      </c>
      <c r="M1264" s="5"/>
      <c r="N1264" s="5">
        <f>IFERROR(__xludf.DUMMYFUNCTION("""COMPUTED_VALUE"""),3.0)</f>
        <v>3</v>
      </c>
      <c r="S1264" s="5">
        <f>IFERROR(__xludf.DUMMYFUNCTION("""COMPUTED_VALUE"""),506.0)</f>
        <v>506</v>
      </c>
      <c r="T1264" s="5" t="str">
        <f>IFERROR(__xludf.DUMMYFUNCTION("""COMPUTED_VALUE"""),"Mystic River")</f>
        <v>Mystic River</v>
      </c>
      <c r="U1264" s="5" t="str">
        <f>IFERROR(__xludf.DUMMYFUNCTION("""COMPUTED_VALUE"""),"Mystery")</f>
        <v>Mystery</v>
      </c>
      <c r="V1264" s="5">
        <f>IFERROR(__xludf.DUMMYFUNCTION("""COMPUTED_VALUE"""),3.0)</f>
        <v>3</v>
      </c>
    </row>
    <row r="1265">
      <c r="J1265" s="5" t="str">
        <f>IFERROR(__xludf.DUMMYFUNCTION("""COMPUTED_VALUE"""),"422🤙🏼The Last Picture Show🤙🏼Drama🤙🏼1")</f>
        <v>422🤙🏼The Last Picture Show🤙🏼Drama🤙🏼1</v>
      </c>
      <c r="K1265" s="5">
        <f>IFERROR(__xludf.DUMMYFUNCTION("SPLiT(J1265, ""🤙🏼"",FALSE,FALSE)"),422.0)</f>
        <v>422</v>
      </c>
      <c r="L1265" s="5" t="str">
        <f>IFERROR(__xludf.DUMMYFUNCTION("""COMPUTED_VALUE"""),"The Last Picture Show")</f>
        <v>The Last Picture Show</v>
      </c>
      <c r="M1265" s="5" t="str">
        <f>IFERROR(__xludf.DUMMYFUNCTION("""COMPUTED_VALUE"""),"Drama")</f>
        <v>Drama</v>
      </c>
      <c r="N1265" s="5">
        <f>IFERROR(__xludf.DUMMYFUNCTION("""COMPUTED_VALUE"""),1.0)</f>
        <v>1</v>
      </c>
      <c r="S1265" s="5">
        <f>IFERROR(__xludf.DUMMYFUNCTION("""COMPUTED_VALUE"""),507.0)</f>
        <v>507</v>
      </c>
      <c r="T1265" s="5" t="str">
        <f>IFERROR(__xludf.DUMMYFUNCTION("""COMPUTED_VALUE"""),"Harry Potter and the Prisoner of Azkaban")</f>
        <v>Harry Potter and the Prisoner of Azkaban</v>
      </c>
      <c r="U1265" s="5" t="str">
        <f>IFERROR(__xludf.DUMMYFUNCTION("""COMPUTED_VALUE"""),"Adventure")</f>
        <v>Adventure</v>
      </c>
      <c r="V1265" s="5">
        <f>IFERROR(__xludf.DUMMYFUNCTION("""COMPUTED_VALUE"""),1.0)</f>
        <v>1</v>
      </c>
    </row>
    <row r="1266">
      <c r="J1266" s="5" t="str">
        <f>IFERROR(__xludf.DUMMYFUNCTION("""COMPUTED_VALUE"""),"422🤙🏼The Last Picture Show🤙🏼Romance🤙🏼2")</f>
        <v>422🤙🏼The Last Picture Show🤙🏼Romance🤙🏼2</v>
      </c>
      <c r="K1266" s="5">
        <f>IFERROR(__xludf.DUMMYFUNCTION("SPLiT(J1266, ""🤙🏼"",FALSE,FALSE)"),422.0)</f>
        <v>422</v>
      </c>
      <c r="L1266" s="5" t="str">
        <f>IFERROR(__xludf.DUMMYFUNCTION("""COMPUTED_VALUE"""),"The Last Picture Show")</f>
        <v>The Last Picture Show</v>
      </c>
      <c r="M1266" s="5" t="str">
        <f>IFERROR(__xludf.DUMMYFUNCTION("""COMPUTED_VALUE"""),"Romance")</f>
        <v>Romance</v>
      </c>
      <c r="N1266" s="5">
        <f>IFERROR(__xludf.DUMMYFUNCTION("""COMPUTED_VALUE"""),2.0)</f>
        <v>2</v>
      </c>
      <c r="S1266" s="5">
        <f>IFERROR(__xludf.DUMMYFUNCTION("""COMPUTED_VALUE"""),507.0)</f>
        <v>507</v>
      </c>
      <c r="T1266" s="5" t="str">
        <f>IFERROR(__xludf.DUMMYFUNCTION("""COMPUTED_VALUE"""),"Harry Potter and the Prisoner of Azkaban")</f>
        <v>Harry Potter and the Prisoner of Azkaban</v>
      </c>
      <c r="U1266" s="5" t="str">
        <f>IFERROR(__xludf.DUMMYFUNCTION("""COMPUTED_VALUE"""),"Family")</f>
        <v>Family</v>
      </c>
      <c r="V1266" s="5">
        <f>IFERROR(__xludf.DUMMYFUNCTION("""COMPUTED_VALUE"""),2.0)</f>
        <v>2</v>
      </c>
    </row>
    <row r="1267">
      <c r="J1267" s="5" t="str">
        <f>IFERROR(__xludf.DUMMYFUNCTION("""COMPUTED_VALUE"""),"422🤙🏼The Last Picture Show🤙🏼🤙🏼3")</f>
        <v>422🤙🏼The Last Picture Show🤙🏼🤙🏼3</v>
      </c>
      <c r="K1267" s="5">
        <f>IFERROR(__xludf.DUMMYFUNCTION("SPLiT(J1267, ""🤙🏼"",FALSE,FALSE)"),422.0)</f>
        <v>422</v>
      </c>
      <c r="L1267" s="5" t="str">
        <f>IFERROR(__xludf.DUMMYFUNCTION("""COMPUTED_VALUE"""),"The Last Picture Show")</f>
        <v>The Last Picture Show</v>
      </c>
      <c r="M1267" s="5"/>
      <c r="N1267" s="5">
        <f>IFERROR(__xludf.DUMMYFUNCTION("""COMPUTED_VALUE"""),3.0)</f>
        <v>3</v>
      </c>
      <c r="S1267" s="5">
        <f>IFERROR(__xludf.DUMMYFUNCTION("""COMPUTED_VALUE"""),507.0)</f>
        <v>507</v>
      </c>
      <c r="T1267" s="5" t="str">
        <f>IFERROR(__xludf.DUMMYFUNCTION("""COMPUTED_VALUE"""),"Harry Potter and the Prisoner of Azkaban")</f>
        <v>Harry Potter and the Prisoner of Azkaban</v>
      </c>
      <c r="U1267" s="5" t="str">
        <f>IFERROR(__xludf.DUMMYFUNCTION("""COMPUTED_VALUE"""),"Fantasy")</f>
        <v>Fantasy</v>
      </c>
      <c r="V1267" s="5">
        <f>IFERROR(__xludf.DUMMYFUNCTION("""COMPUTED_VALUE"""),3.0)</f>
        <v>3</v>
      </c>
    </row>
    <row r="1268">
      <c r="J1268" s="5" t="str">
        <f>IFERROR(__xludf.DUMMYFUNCTION("""COMPUTED_VALUE"""),"423🤙🏼Fiddler on the Roof🤙🏼Drama🤙🏼1")</f>
        <v>423🤙🏼Fiddler on the Roof🤙🏼Drama🤙🏼1</v>
      </c>
      <c r="K1268" s="5">
        <f>IFERROR(__xludf.DUMMYFUNCTION("SPLiT(J1268, ""🤙🏼"",FALSE,FALSE)"),423.0)</f>
        <v>423</v>
      </c>
      <c r="L1268" s="5" t="str">
        <f>IFERROR(__xludf.DUMMYFUNCTION("""COMPUTED_VALUE"""),"Fiddler on the Roof")</f>
        <v>Fiddler on the Roof</v>
      </c>
      <c r="M1268" s="5" t="str">
        <f>IFERROR(__xludf.DUMMYFUNCTION("""COMPUTED_VALUE"""),"Drama")</f>
        <v>Drama</v>
      </c>
      <c r="N1268" s="5">
        <f>IFERROR(__xludf.DUMMYFUNCTION("""COMPUTED_VALUE"""),1.0)</f>
        <v>1</v>
      </c>
      <c r="S1268" s="5">
        <f>IFERROR(__xludf.DUMMYFUNCTION("""COMPUTED_VALUE"""),508.0)</f>
        <v>508</v>
      </c>
      <c r="T1268" s="5" t="str">
        <f>IFERROR(__xludf.DUMMYFUNCTION("""COMPUTED_VALUE"""),"Ying xiong")</f>
        <v>Ying xiong</v>
      </c>
      <c r="U1268" s="5" t="str">
        <f>IFERROR(__xludf.DUMMYFUNCTION("""COMPUTED_VALUE"""),"Action")</f>
        <v>Action</v>
      </c>
      <c r="V1268" s="5">
        <f>IFERROR(__xludf.DUMMYFUNCTION("""COMPUTED_VALUE"""),1.0)</f>
        <v>1</v>
      </c>
    </row>
    <row r="1269">
      <c r="J1269" s="5" t="str">
        <f>IFERROR(__xludf.DUMMYFUNCTION("""COMPUTED_VALUE"""),"423🤙🏼Fiddler on the Roof🤙🏼Family🤙🏼2")</f>
        <v>423🤙🏼Fiddler on the Roof🤙🏼Family🤙🏼2</v>
      </c>
      <c r="K1269" s="5">
        <f>IFERROR(__xludf.DUMMYFUNCTION("SPLiT(J1269, ""🤙🏼"",FALSE,FALSE)"),423.0)</f>
        <v>423</v>
      </c>
      <c r="L1269" s="5" t="str">
        <f>IFERROR(__xludf.DUMMYFUNCTION("""COMPUTED_VALUE"""),"Fiddler on the Roof")</f>
        <v>Fiddler on the Roof</v>
      </c>
      <c r="M1269" s="5" t="str">
        <f>IFERROR(__xludf.DUMMYFUNCTION("""COMPUTED_VALUE"""),"Family")</f>
        <v>Family</v>
      </c>
      <c r="N1269" s="5">
        <f>IFERROR(__xludf.DUMMYFUNCTION("""COMPUTED_VALUE"""),2.0)</f>
        <v>2</v>
      </c>
      <c r="S1269" s="5">
        <f>IFERROR(__xludf.DUMMYFUNCTION("""COMPUTED_VALUE"""),508.0)</f>
        <v>508</v>
      </c>
      <c r="T1269" s="5" t="str">
        <f>IFERROR(__xludf.DUMMYFUNCTION("""COMPUTED_VALUE"""),"Ying xiong")</f>
        <v>Ying xiong</v>
      </c>
      <c r="U1269" s="5" t="str">
        <f>IFERROR(__xludf.DUMMYFUNCTION("""COMPUTED_VALUE"""),"Adventure")</f>
        <v>Adventure</v>
      </c>
      <c r="V1269" s="5">
        <f>IFERROR(__xludf.DUMMYFUNCTION("""COMPUTED_VALUE"""),2.0)</f>
        <v>2</v>
      </c>
    </row>
    <row r="1270">
      <c r="J1270" s="5" t="str">
        <f>IFERROR(__xludf.DUMMYFUNCTION("""COMPUTED_VALUE"""),"423🤙🏼Fiddler on the Roof🤙🏼Musical🤙🏼3")</f>
        <v>423🤙🏼Fiddler on the Roof🤙🏼Musical🤙🏼3</v>
      </c>
      <c r="K1270" s="5">
        <f>IFERROR(__xludf.DUMMYFUNCTION("SPLiT(J1270, ""🤙🏼"",FALSE,FALSE)"),423.0)</f>
        <v>423</v>
      </c>
      <c r="L1270" s="5" t="str">
        <f>IFERROR(__xludf.DUMMYFUNCTION("""COMPUTED_VALUE"""),"Fiddler on the Roof")</f>
        <v>Fiddler on the Roof</v>
      </c>
      <c r="M1270" s="5" t="str">
        <f>IFERROR(__xludf.DUMMYFUNCTION("""COMPUTED_VALUE"""),"Musical")</f>
        <v>Musical</v>
      </c>
      <c r="N1270" s="5">
        <f>IFERROR(__xludf.DUMMYFUNCTION("""COMPUTED_VALUE"""),3.0)</f>
        <v>3</v>
      </c>
      <c r="S1270" s="5">
        <f>IFERROR(__xludf.DUMMYFUNCTION("""COMPUTED_VALUE"""),508.0)</f>
        <v>508</v>
      </c>
      <c r="T1270" s="5" t="str">
        <f>IFERROR(__xludf.DUMMYFUNCTION("""COMPUTED_VALUE"""),"Ying xiong")</f>
        <v>Ying xiong</v>
      </c>
      <c r="U1270" s="5" t="str">
        <f>IFERROR(__xludf.DUMMYFUNCTION("""COMPUTED_VALUE"""),"History")</f>
        <v>History</v>
      </c>
      <c r="V1270" s="5">
        <f>IFERROR(__xludf.DUMMYFUNCTION("""COMPUTED_VALUE"""),3.0)</f>
        <v>3</v>
      </c>
    </row>
    <row r="1271">
      <c r="J1271" s="5" t="str">
        <f>IFERROR(__xludf.DUMMYFUNCTION("""COMPUTED_VALUE"""),"424🤙🏼Il conformista🤙🏼Drama🤙🏼1")</f>
        <v>424🤙🏼Il conformista🤙🏼Drama🤙🏼1</v>
      </c>
      <c r="K1271" s="5">
        <f>IFERROR(__xludf.DUMMYFUNCTION("SPLiT(J1271, ""🤙🏼"",FALSE,FALSE)"),424.0)</f>
        <v>424</v>
      </c>
      <c r="L1271" s="5" t="str">
        <f>IFERROR(__xludf.DUMMYFUNCTION("""COMPUTED_VALUE"""),"Il conformista")</f>
        <v>Il conformista</v>
      </c>
      <c r="M1271" s="5" t="str">
        <f>IFERROR(__xludf.DUMMYFUNCTION("""COMPUTED_VALUE"""),"Drama")</f>
        <v>Drama</v>
      </c>
      <c r="N1271" s="5">
        <f>IFERROR(__xludf.DUMMYFUNCTION("""COMPUTED_VALUE"""),1.0)</f>
        <v>1</v>
      </c>
      <c r="S1271" s="5">
        <f>IFERROR(__xludf.DUMMYFUNCTION("""COMPUTED_VALUE"""),509.0)</f>
        <v>509</v>
      </c>
      <c r="T1271" s="5" t="str">
        <f>IFERROR(__xludf.DUMMYFUNCTION("""COMPUTED_VALUE"""),"Hable con ella")</f>
        <v>Hable con ella</v>
      </c>
      <c r="U1271" s="5" t="str">
        <f>IFERROR(__xludf.DUMMYFUNCTION("""COMPUTED_VALUE"""),"Drama")</f>
        <v>Drama</v>
      </c>
      <c r="V1271" s="5">
        <f>IFERROR(__xludf.DUMMYFUNCTION("""COMPUTED_VALUE"""),1.0)</f>
        <v>1</v>
      </c>
    </row>
    <row r="1272">
      <c r="J1272" s="5" t="str">
        <f>IFERROR(__xludf.DUMMYFUNCTION("""COMPUTED_VALUE"""),"424🤙🏼Il conformista🤙🏼🤙🏼2")</f>
        <v>424🤙🏼Il conformista🤙🏼🤙🏼2</v>
      </c>
      <c r="K1272" s="5">
        <f>IFERROR(__xludf.DUMMYFUNCTION("SPLiT(J1272, ""🤙🏼"",FALSE,FALSE)"),424.0)</f>
        <v>424</v>
      </c>
      <c r="L1272" s="5" t="str">
        <f>IFERROR(__xludf.DUMMYFUNCTION("""COMPUTED_VALUE"""),"Il conformista")</f>
        <v>Il conformista</v>
      </c>
      <c r="M1272" s="5"/>
      <c r="N1272" s="5">
        <f>IFERROR(__xludf.DUMMYFUNCTION("""COMPUTED_VALUE"""),2.0)</f>
        <v>2</v>
      </c>
      <c r="S1272" s="5">
        <f>IFERROR(__xludf.DUMMYFUNCTION("""COMPUTED_VALUE"""),509.0)</f>
        <v>509</v>
      </c>
      <c r="T1272" s="5" t="str">
        <f>IFERROR(__xludf.DUMMYFUNCTION("""COMPUTED_VALUE"""),"Hable con ella")</f>
        <v>Hable con ella</v>
      </c>
      <c r="U1272" s="5" t="str">
        <f>IFERROR(__xludf.DUMMYFUNCTION("""COMPUTED_VALUE"""),"Mystery")</f>
        <v>Mystery</v>
      </c>
      <c r="V1272" s="5">
        <f>IFERROR(__xludf.DUMMYFUNCTION("""COMPUTED_VALUE"""),2.0)</f>
        <v>2</v>
      </c>
    </row>
    <row r="1273">
      <c r="J1273" s="5" t="str">
        <f>IFERROR(__xludf.DUMMYFUNCTION("""COMPUTED_VALUE"""),"424🤙🏼Il conformista🤙🏼🤙🏼3")</f>
        <v>424🤙🏼Il conformista🤙🏼🤙🏼3</v>
      </c>
      <c r="K1273" s="5">
        <f>IFERROR(__xludf.DUMMYFUNCTION("SPLiT(J1273, ""🤙🏼"",FALSE,FALSE)"),424.0)</f>
        <v>424</v>
      </c>
      <c r="L1273" s="5" t="str">
        <f>IFERROR(__xludf.DUMMYFUNCTION("""COMPUTED_VALUE"""),"Il conformista")</f>
        <v>Il conformista</v>
      </c>
      <c r="M1273" s="5"/>
      <c r="N1273" s="5">
        <f>IFERROR(__xludf.DUMMYFUNCTION("""COMPUTED_VALUE"""),3.0)</f>
        <v>3</v>
      </c>
      <c r="S1273" s="5">
        <f>IFERROR(__xludf.DUMMYFUNCTION("""COMPUTED_VALUE"""),509.0)</f>
        <v>509</v>
      </c>
      <c r="T1273" s="5" t="str">
        <f>IFERROR(__xludf.DUMMYFUNCTION("""COMPUTED_VALUE"""),"Hable con ella")</f>
        <v>Hable con ella</v>
      </c>
      <c r="U1273" s="5" t="str">
        <f>IFERROR(__xludf.DUMMYFUNCTION("""COMPUTED_VALUE"""),"Romance")</f>
        <v>Romance</v>
      </c>
      <c r="V1273" s="5">
        <f>IFERROR(__xludf.DUMMYFUNCTION("""COMPUTED_VALUE"""),3.0)</f>
        <v>3</v>
      </c>
    </row>
    <row r="1274">
      <c r="J1274" s="5" t="str">
        <f>IFERROR(__xludf.DUMMYFUNCTION("""COMPUTED_VALUE"""),"425🤙🏼Butch Cassidy and the Sundance Kid🤙🏼Biography🤙🏼1")</f>
        <v>425🤙🏼Butch Cassidy and the Sundance Kid🤙🏼Biography🤙🏼1</v>
      </c>
      <c r="K1274" s="5">
        <f>IFERROR(__xludf.DUMMYFUNCTION("SPLiT(J1274, ""🤙🏼"",FALSE,FALSE)"),425.0)</f>
        <v>425</v>
      </c>
      <c r="L1274" s="5" t="str">
        <f>IFERROR(__xludf.DUMMYFUNCTION("""COMPUTED_VALUE"""),"Butch Cassidy and the Sundance Kid")</f>
        <v>Butch Cassidy and the Sundance Kid</v>
      </c>
      <c r="M1274" s="5" t="str">
        <f>IFERROR(__xludf.DUMMYFUNCTION("""COMPUTED_VALUE"""),"Biography")</f>
        <v>Biography</v>
      </c>
      <c r="N1274" s="5">
        <f>IFERROR(__xludf.DUMMYFUNCTION("""COMPUTED_VALUE"""),1.0)</f>
        <v>1</v>
      </c>
      <c r="S1274" s="5">
        <f>IFERROR(__xludf.DUMMYFUNCTION("""COMPUTED_VALUE"""),510.0)</f>
        <v>510</v>
      </c>
      <c r="T1274" s="5" t="str">
        <f>IFERROR(__xludf.DUMMYFUNCTION("""COMPUTED_VALUE"""),"No Man's Land")</f>
        <v>No Man's Land</v>
      </c>
      <c r="U1274" s="5" t="str">
        <f>IFERROR(__xludf.DUMMYFUNCTION("""COMPUTED_VALUE"""),"Comedy")</f>
        <v>Comedy</v>
      </c>
      <c r="V1274" s="5">
        <f>IFERROR(__xludf.DUMMYFUNCTION("""COMPUTED_VALUE"""),1.0)</f>
        <v>1</v>
      </c>
    </row>
    <row r="1275">
      <c r="J1275" s="5" t="str">
        <f>IFERROR(__xludf.DUMMYFUNCTION("""COMPUTED_VALUE"""),"425🤙🏼Butch Cassidy and the Sundance Kid🤙🏼Crime🤙🏼2")</f>
        <v>425🤙🏼Butch Cassidy and the Sundance Kid🤙🏼Crime🤙🏼2</v>
      </c>
      <c r="K1275" s="5">
        <f>IFERROR(__xludf.DUMMYFUNCTION("SPLiT(J1275, ""🤙🏼"",FALSE,FALSE)"),425.0)</f>
        <v>425</v>
      </c>
      <c r="L1275" s="5" t="str">
        <f>IFERROR(__xludf.DUMMYFUNCTION("""COMPUTED_VALUE"""),"Butch Cassidy and the Sundance Kid")</f>
        <v>Butch Cassidy and the Sundance Kid</v>
      </c>
      <c r="M1275" s="5" t="str">
        <f>IFERROR(__xludf.DUMMYFUNCTION("""COMPUTED_VALUE"""),"Crime")</f>
        <v>Crime</v>
      </c>
      <c r="N1275" s="5">
        <f>IFERROR(__xludf.DUMMYFUNCTION("""COMPUTED_VALUE"""),2.0)</f>
        <v>2</v>
      </c>
      <c r="S1275" s="5">
        <f>IFERROR(__xludf.DUMMYFUNCTION("""COMPUTED_VALUE"""),510.0)</f>
        <v>510</v>
      </c>
      <c r="T1275" s="5" t="str">
        <f>IFERROR(__xludf.DUMMYFUNCTION("""COMPUTED_VALUE"""),"No Man's Land")</f>
        <v>No Man's Land</v>
      </c>
      <c r="U1275" s="5" t="str">
        <f>IFERROR(__xludf.DUMMYFUNCTION("""COMPUTED_VALUE"""),"Drama")</f>
        <v>Drama</v>
      </c>
      <c r="V1275" s="5">
        <f>IFERROR(__xludf.DUMMYFUNCTION("""COMPUTED_VALUE"""),2.0)</f>
        <v>2</v>
      </c>
    </row>
    <row r="1276">
      <c r="J1276" s="5" t="str">
        <f>IFERROR(__xludf.DUMMYFUNCTION("""COMPUTED_VALUE"""),"425🤙🏼Butch Cassidy and the Sundance Kid🤙🏼Drama🤙🏼3")</f>
        <v>425🤙🏼Butch Cassidy and the Sundance Kid🤙🏼Drama🤙🏼3</v>
      </c>
      <c r="K1276" s="5">
        <f>IFERROR(__xludf.DUMMYFUNCTION("SPLiT(J1276, ""🤙🏼"",FALSE,FALSE)"),425.0)</f>
        <v>425</v>
      </c>
      <c r="L1276" s="5" t="str">
        <f>IFERROR(__xludf.DUMMYFUNCTION("""COMPUTED_VALUE"""),"Butch Cassidy and the Sundance Kid")</f>
        <v>Butch Cassidy and the Sundance Kid</v>
      </c>
      <c r="M1276" s="5" t="str">
        <f>IFERROR(__xludf.DUMMYFUNCTION("""COMPUTED_VALUE"""),"Drama")</f>
        <v>Drama</v>
      </c>
      <c r="N1276" s="5">
        <f>IFERROR(__xludf.DUMMYFUNCTION("""COMPUTED_VALUE"""),3.0)</f>
        <v>3</v>
      </c>
      <c r="S1276" s="5">
        <f>IFERROR(__xludf.DUMMYFUNCTION("""COMPUTED_VALUE"""),510.0)</f>
        <v>510</v>
      </c>
      <c r="T1276" s="5" t="str">
        <f>IFERROR(__xludf.DUMMYFUNCTION("""COMPUTED_VALUE"""),"No Man's Land")</f>
        <v>No Man's Land</v>
      </c>
      <c r="U1276" s="5" t="str">
        <f>IFERROR(__xludf.DUMMYFUNCTION("""COMPUTED_VALUE"""),"War")</f>
        <v>War</v>
      </c>
      <c r="V1276" s="5">
        <f>IFERROR(__xludf.DUMMYFUNCTION("""COMPUTED_VALUE"""),3.0)</f>
        <v>3</v>
      </c>
    </row>
    <row r="1277">
      <c r="J1277" s="5" t="str">
        <f>IFERROR(__xludf.DUMMYFUNCTION("""COMPUTED_VALUE"""),"426🤙🏼Rosemary's Baby🤙🏼Drama🤙🏼1")</f>
        <v>426🤙🏼Rosemary's Baby🤙🏼Drama🤙🏼1</v>
      </c>
      <c r="K1277" s="5">
        <f>IFERROR(__xludf.DUMMYFUNCTION("SPLiT(J1277, ""🤙🏼"",FALSE,FALSE)"),426.0)</f>
        <v>426</v>
      </c>
      <c r="L1277" s="5" t="str">
        <f>IFERROR(__xludf.DUMMYFUNCTION("""COMPUTED_VALUE"""),"Rosemary's Baby")</f>
        <v>Rosemary's Baby</v>
      </c>
      <c r="M1277" s="5" t="str">
        <f>IFERROR(__xludf.DUMMYFUNCTION("""COMPUTED_VALUE"""),"Drama")</f>
        <v>Drama</v>
      </c>
      <c r="N1277" s="5">
        <f>IFERROR(__xludf.DUMMYFUNCTION("""COMPUTED_VALUE"""),1.0)</f>
        <v>1</v>
      </c>
      <c r="S1277" s="5">
        <f>IFERROR(__xludf.DUMMYFUNCTION("""COMPUTED_VALUE"""),511.0)</f>
        <v>511</v>
      </c>
      <c r="T1277" s="5" t="str">
        <f>IFERROR(__xludf.DUMMYFUNCTION("""COMPUTED_VALUE"""),"Cowboy Bebop: Tengoku no tobira")</f>
        <v>Cowboy Bebop: Tengoku no tobira</v>
      </c>
      <c r="U1277" s="5" t="str">
        <f>IFERROR(__xludf.DUMMYFUNCTION("""COMPUTED_VALUE"""),"Animation")</f>
        <v>Animation</v>
      </c>
      <c r="V1277" s="5">
        <f>IFERROR(__xludf.DUMMYFUNCTION("""COMPUTED_VALUE"""),1.0)</f>
        <v>1</v>
      </c>
    </row>
    <row r="1278">
      <c r="J1278" s="5" t="str">
        <f>IFERROR(__xludf.DUMMYFUNCTION("""COMPUTED_VALUE"""),"426🤙🏼Rosemary's Baby🤙🏼Horror🤙🏼2")</f>
        <v>426🤙🏼Rosemary's Baby🤙🏼Horror🤙🏼2</v>
      </c>
      <c r="K1278" s="5">
        <f>IFERROR(__xludf.DUMMYFUNCTION("SPLiT(J1278, ""🤙🏼"",FALSE,FALSE)"),426.0)</f>
        <v>426</v>
      </c>
      <c r="L1278" s="5" t="str">
        <f>IFERROR(__xludf.DUMMYFUNCTION("""COMPUTED_VALUE"""),"Rosemary's Baby")</f>
        <v>Rosemary's Baby</v>
      </c>
      <c r="M1278" s="5" t="str">
        <f>IFERROR(__xludf.DUMMYFUNCTION("""COMPUTED_VALUE"""),"Horror")</f>
        <v>Horror</v>
      </c>
      <c r="N1278" s="5">
        <f>IFERROR(__xludf.DUMMYFUNCTION("""COMPUTED_VALUE"""),2.0)</f>
        <v>2</v>
      </c>
      <c r="S1278" s="5">
        <f>IFERROR(__xludf.DUMMYFUNCTION("""COMPUTED_VALUE"""),511.0)</f>
        <v>511</v>
      </c>
      <c r="T1278" s="5" t="str">
        <f>IFERROR(__xludf.DUMMYFUNCTION("""COMPUTED_VALUE"""),"Cowboy Bebop: Tengoku no tobira")</f>
        <v>Cowboy Bebop: Tengoku no tobira</v>
      </c>
      <c r="U1278" s="5" t="str">
        <f>IFERROR(__xludf.DUMMYFUNCTION("""COMPUTED_VALUE"""),"Action")</f>
        <v>Action</v>
      </c>
      <c r="V1278" s="5">
        <f>IFERROR(__xludf.DUMMYFUNCTION("""COMPUTED_VALUE"""),2.0)</f>
        <v>2</v>
      </c>
    </row>
    <row r="1279">
      <c r="J1279" s="5" t="str">
        <f>IFERROR(__xludf.DUMMYFUNCTION("""COMPUTED_VALUE"""),"426🤙🏼Rosemary's Baby🤙🏼🤙🏼3")</f>
        <v>426🤙🏼Rosemary's Baby🤙🏼🤙🏼3</v>
      </c>
      <c r="K1279" s="5">
        <f>IFERROR(__xludf.DUMMYFUNCTION("SPLiT(J1279, ""🤙🏼"",FALSE,FALSE)"),426.0)</f>
        <v>426</v>
      </c>
      <c r="L1279" s="5" t="str">
        <f>IFERROR(__xludf.DUMMYFUNCTION("""COMPUTED_VALUE"""),"Rosemary's Baby")</f>
        <v>Rosemary's Baby</v>
      </c>
      <c r="M1279" s="5"/>
      <c r="N1279" s="5">
        <f>IFERROR(__xludf.DUMMYFUNCTION("""COMPUTED_VALUE"""),3.0)</f>
        <v>3</v>
      </c>
      <c r="S1279" s="5">
        <f>IFERROR(__xludf.DUMMYFUNCTION("""COMPUTED_VALUE"""),511.0)</f>
        <v>511</v>
      </c>
      <c r="T1279" s="5" t="str">
        <f>IFERROR(__xludf.DUMMYFUNCTION("""COMPUTED_VALUE"""),"Cowboy Bebop: Tengoku no tobira")</f>
        <v>Cowboy Bebop: Tengoku no tobira</v>
      </c>
      <c r="U1279" s="5" t="str">
        <f>IFERROR(__xludf.DUMMYFUNCTION("""COMPUTED_VALUE"""),"Crime")</f>
        <v>Crime</v>
      </c>
      <c r="V1279" s="5">
        <f>IFERROR(__xludf.DUMMYFUNCTION("""COMPUTED_VALUE"""),3.0)</f>
        <v>3</v>
      </c>
    </row>
    <row r="1280">
      <c r="J1280" s="5" t="str">
        <f>IFERROR(__xludf.DUMMYFUNCTION("""COMPUTED_VALUE"""),"427🤙🏼Planet of the Apes🤙🏼Adventure🤙🏼1")</f>
        <v>427🤙🏼Planet of the Apes🤙🏼Adventure🤙🏼1</v>
      </c>
      <c r="K1280" s="5">
        <f>IFERROR(__xludf.DUMMYFUNCTION("SPLiT(J1280, ""🤙🏼"",FALSE,FALSE)"),427.0)</f>
        <v>427</v>
      </c>
      <c r="L1280" s="5" t="str">
        <f>IFERROR(__xludf.DUMMYFUNCTION("""COMPUTED_VALUE"""),"Planet of the Apes")</f>
        <v>Planet of the Apes</v>
      </c>
      <c r="M1280" s="5" t="str">
        <f>IFERROR(__xludf.DUMMYFUNCTION("""COMPUTED_VALUE"""),"Adventure")</f>
        <v>Adventure</v>
      </c>
      <c r="N1280" s="5">
        <f>IFERROR(__xludf.DUMMYFUNCTION("""COMPUTED_VALUE"""),1.0)</f>
        <v>1</v>
      </c>
      <c r="S1280" s="5">
        <f>IFERROR(__xludf.DUMMYFUNCTION("""COMPUTED_VALUE"""),512.0)</f>
        <v>512</v>
      </c>
      <c r="T1280" s="5" t="str">
        <f>IFERROR(__xludf.DUMMYFUNCTION("""COMPUTED_VALUE"""),"The Bourne Identity")</f>
        <v>The Bourne Identity</v>
      </c>
      <c r="U1280" s="5" t="str">
        <f>IFERROR(__xludf.DUMMYFUNCTION("""COMPUTED_VALUE"""),"Action")</f>
        <v>Action</v>
      </c>
      <c r="V1280" s="5">
        <f>IFERROR(__xludf.DUMMYFUNCTION("""COMPUTED_VALUE"""),1.0)</f>
        <v>1</v>
      </c>
    </row>
    <row r="1281">
      <c r="J1281" s="5" t="str">
        <f>IFERROR(__xludf.DUMMYFUNCTION("""COMPUTED_VALUE"""),"427🤙🏼Planet of the Apes🤙🏼Sci-Fi🤙🏼2")</f>
        <v>427🤙🏼Planet of the Apes🤙🏼Sci-Fi🤙🏼2</v>
      </c>
      <c r="K1281" s="5">
        <f>IFERROR(__xludf.DUMMYFUNCTION("SPLiT(J1281, ""🤙🏼"",FALSE,FALSE)"),427.0)</f>
        <v>427</v>
      </c>
      <c r="L1281" s="5" t="str">
        <f>IFERROR(__xludf.DUMMYFUNCTION("""COMPUTED_VALUE"""),"Planet of the Apes")</f>
        <v>Planet of the Apes</v>
      </c>
      <c r="M1281" s="5" t="str">
        <f>IFERROR(__xludf.DUMMYFUNCTION("""COMPUTED_VALUE"""),"Sci-Fi")</f>
        <v>Sci-Fi</v>
      </c>
      <c r="N1281" s="5">
        <f>IFERROR(__xludf.DUMMYFUNCTION("""COMPUTED_VALUE"""),2.0)</f>
        <v>2</v>
      </c>
      <c r="S1281" s="5">
        <f>IFERROR(__xludf.DUMMYFUNCTION("""COMPUTED_VALUE"""),512.0)</f>
        <v>512</v>
      </c>
      <c r="T1281" s="5" t="str">
        <f>IFERROR(__xludf.DUMMYFUNCTION("""COMPUTED_VALUE"""),"The Bourne Identity")</f>
        <v>The Bourne Identity</v>
      </c>
      <c r="U1281" s="5" t="str">
        <f>IFERROR(__xludf.DUMMYFUNCTION("""COMPUTED_VALUE"""),"Mystery")</f>
        <v>Mystery</v>
      </c>
      <c r="V1281" s="5">
        <f>IFERROR(__xludf.DUMMYFUNCTION("""COMPUTED_VALUE"""),2.0)</f>
        <v>2</v>
      </c>
    </row>
    <row r="1282">
      <c r="J1282" s="5" t="str">
        <f>IFERROR(__xludf.DUMMYFUNCTION("""COMPUTED_VALUE"""),"427🤙🏼Planet of the Apes🤙🏼🤙🏼3")</f>
        <v>427🤙🏼Planet of the Apes🤙🏼🤙🏼3</v>
      </c>
      <c r="K1282" s="5">
        <f>IFERROR(__xludf.DUMMYFUNCTION("SPLiT(J1282, ""🤙🏼"",FALSE,FALSE)"),427.0)</f>
        <v>427</v>
      </c>
      <c r="L1282" s="5" t="str">
        <f>IFERROR(__xludf.DUMMYFUNCTION("""COMPUTED_VALUE"""),"Planet of the Apes")</f>
        <v>Planet of the Apes</v>
      </c>
      <c r="M1282" s="5"/>
      <c r="N1282" s="5">
        <f>IFERROR(__xludf.DUMMYFUNCTION("""COMPUTED_VALUE"""),3.0)</f>
        <v>3</v>
      </c>
      <c r="S1282" s="5">
        <f>IFERROR(__xludf.DUMMYFUNCTION("""COMPUTED_VALUE"""),512.0)</f>
        <v>512</v>
      </c>
      <c r="T1282" s="5" t="str">
        <f>IFERROR(__xludf.DUMMYFUNCTION("""COMPUTED_VALUE"""),"The Bourne Identity")</f>
        <v>The Bourne Identity</v>
      </c>
      <c r="U1282" s="5" t="str">
        <f>IFERROR(__xludf.DUMMYFUNCTION("""COMPUTED_VALUE"""),"Thriller")</f>
        <v>Thriller</v>
      </c>
      <c r="V1282" s="5">
        <f>IFERROR(__xludf.DUMMYFUNCTION("""COMPUTED_VALUE"""),3.0)</f>
        <v>3</v>
      </c>
    </row>
    <row r="1283">
      <c r="J1283" s="5" t="str">
        <f>IFERROR(__xludf.DUMMYFUNCTION("""COMPUTED_VALUE"""),"428🤙🏼The Graduate🤙🏼Comedy🤙🏼1")</f>
        <v>428🤙🏼The Graduate🤙🏼Comedy🤙🏼1</v>
      </c>
      <c r="K1283" s="5">
        <f>IFERROR(__xludf.DUMMYFUNCTION("SPLiT(J1283, ""🤙🏼"",FALSE,FALSE)"),428.0)</f>
        <v>428</v>
      </c>
      <c r="L1283" s="5" t="str">
        <f>IFERROR(__xludf.DUMMYFUNCTION("""COMPUTED_VALUE"""),"The Graduate")</f>
        <v>The Graduate</v>
      </c>
      <c r="M1283" s="5" t="str">
        <f>IFERROR(__xludf.DUMMYFUNCTION("""COMPUTED_VALUE"""),"Comedy")</f>
        <v>Comedy</v>
      </c>
      <c r="N1283" s="5">
        <f>IFERROR(__xludf.DUMMYFUNCTION("""COMPUTED_VALUE"""),1.0)</f>
        <v>1</v>
      </c>
      <c r="S1283" s="5">
        <f>IFERROR(__xludf.DUMMYFUNCTION("""COMPUTED_VALUE"""),513.0)</f>
        <v>513</v>
      </c>
      <c r="T1283" s="5" t="str">
        <f>IFERROR(__xludf.DUMMYFUNCTION("""COMPUTED_VALUE"""),"Nueve reinas")</f>
        <v>Nueve reinas</v>
      </c>
      <c r="U1283" s="5" t="str">
        <f>IFERROR(__xludf.DUMMYFUNCTION("""COMPUTED_VALUE"""),"Crime")</f>
        <v>Crime</v>
      </c>
      <c r="V1283" s="5">
        <f>IFERROR(__xludf.DUMMYFUNCTION("""COMPUTED_VALUE"""),1.0)</f>
        <v>1</v>
      </c>
    </row>
    <row r="1284">
      <c r="J1284" s="5" t="str">
        <f>IFERROR(__xludf.DUMMYFUNCTION("""COMPUTED_VALUE"""),"428🤙🏼The Graduate🤙🏼Drama🤙🏼2")</f>
        <v>428🤙🏼The Graduate🤙🏼Drama🤙🏼2</v>
      </c>
      <c r="K1284" s="5">
        <f>IFERROR(__xludf.DUMMYFUNCTION("SPLiT(J1284, ""🤙🏼"",FALSE,FALSE)"),428.0)</f>
        <v>428</v>
      </c>
      <c r="L1284" s="5" t="str">
        <f>IFERROR(__xludf.DUMMYFUNCTION("""COMPUTED_VALUE"""),"The Graduate")</f>
        <v>The Graduate</v>
      </c>
      <c r="M1284" s="5" t="str">
        <f>IFERROR(__xludf.DUMMYFUNCTION("""COMPUTED_VALUE"""),"Drama")</f>
        <v>Drama</v>
      </c>
      <c r="N1284" s="5">
        <f>IFERROR(__xludf.DUMMYFUNCTION("""COMPUTED_VALUE"""),2.0)</f>
        <v>2</v>
      </c>
      <c r="S1284" s="5">
        <f>IFERROR(__xludf.DUMMYFUNCTION("""COMPUTED_VALUE"""),513.0)</f>
        <v>513</v>
      </c>
      <c r="T1284" s="5" t="str">
        <f>IFERROR(__xludf.DUMMYFUNCTION("""COMPUTED_VALUE"""),"Nueve reinas")</f>
        <v>Nueve reinas</v>
      </c>
      <c r="U1284" s="5" t="str">
        <f>IFERROR(__xludf.DUMMYFUNCTION("""COMPUTED_VALUE"""),"Drama")</f>
        <v>Drama</v>
      </c>
      <c r="V1284" s="5">
        <f>IFERROR(__xludf.DUMMYFUNCTION("""COMPUTED_VALUE"""),2.0)</f>
        <v>2</v>
      </c>
    </row>
    <row r="1285">
      <c r="J1285" s="5" t="str">
        <f>IFERROR(__xludf.DUMMYFUNCTION("""COMPUTED_VALUE"""),"428🤙🏼The Graduate🤙🏼Romance🤙🏼3")</f>
        <v>428🤙🏼The Graduate🤙🏼Romance🤙🏼3</v>
      </c>
      <c r="K1285" s="5">
        <f>IFERROR(__xludf.DUMMYFUNCTION("SPLiT(J1285, ""🤙🏼"",FALSE,FALSE)"),428.0)</f>
        <v>428</v>
      </c>
      <c r="L1285" s="5" t="str">
        <f>IFERROR(__xludf.DUMMYFUNCTION("""COMPUTED_VALUE"""),"The Graduate")</f>
        <v>The Graduate</v>
      </c>
      <c r="M1285" s="5" t="str">
        <f>IFERROR(__xludf.DUMMYFUNCTION("""COMPUTED_VALUE"""),"Romance")</f>
        <v>Romance</v>
      </c>
      <c r="N1285" s="5">
        <f>IFERROR(__xludf.DUMMYFUNCTION("""COMPUTED_VALUE"""),3.0)</f>
        <v>3</v>
      </c>
      <c r="S1285" s="5">
        <f>IFERROR(__xludf.DUMMYFUNCTION("""COMPUTED_VALUE"""),513.0)</f>
        <v>513</v>
      </c>
      <c r="T1285" s="5" t="str">
        <f>IFERROR(__xludf.DUMMYFUNCTION("""COMPUTED_VALUE"""),"Nueve reinas")</f>
        <v>Nueve reinas</v>
      </c>
      <c r="U1285" s="5" t="str">
        <f>IFERROR(__xludf.DUMMYFUNCTION("""COMPUTED_VALUE"""),"Thriller")</f>
        <v>Thriller</v>
      </c>
      <c r="V1285" s="5">
        <f>IFERROR(__xludf.DUMMYFUNCTION("""COMPUTED_VALUE"""),3.0)</f>
        <v>3</v>
      </c>
    </row>
    <row r="1286">
      <c r="J1286" s="5" t="str">
        <f>IFERROR(__xludf.DUMMYFUNCTION("""COMPUTED_VALUE"""),"429🤙🏼Who's Afraid of Virginia Woolf?🤙🏼Drama🤙🏼1")</f>
        <v>429🤙🏼Who's Afraid of Virginia Woolf?🤙🏼Drama🤙🏼1</v>
      </c>
      <c r="K1286" s="5">
        <f>IFERROR(__xludf.DUMMYFUNCTION("SPLiT(J1286, ""🤙🏼"",FALSE,FALSE)"),429.0)</f>
        <v>429</v>
      </c>
      <c r="L1286" s="5" t="str">
        <f>IFERROR(__xludf.DUMMYFUNCTION("""COMPUTED_VALUE"""),"Who's Afraid of Virginia Woolf?")</f>
        <v>Who's Afraid of Virginia Woolf?</v>
      </c>
      <c r="M1286" s="5" t="str">
        <f>IFERROR(__xludf.DUMMYFUNCTION("""COMPUTED_VALUE"""),"Drama")</f>
        <v>Drama</v>
      </c>
      <c r="N1286" s="5">
        <f>IFERROR(__xludf.DUMMYFUNCTION("""COMPUTED_VALUE"""),1.0)</f>
        <v>1</v>
      </c>
      <c r="S1286" s="5">
        <f>IFERROR(__xludf.DUMMYFUNCTION("""COMPUTED_VALUE"""),514.0)</f>
        <v>514</v>
      </c>
      <c r="T1286" s="5" t="str">
        <f>IFERROR(__xludf.DUMMYFUNCTION("""COMPUTED_VALUE"""),"Children of Men")</f>
        <v>Children of Men</v>
      </c>
      <c r="U1286" s="5" t="str">
        <f>IFERROR(__xludf.DUMMYFUNCTION("""COMPUTED_VALUE"""),"Adventure")</f>
        <v>Adventure</v>
      </c>
      <c r="V1286" s="5">
        <f>IFERROR(__xludf.DUMMYFUNCTION("""COMPUTED_VALUE"""),1.0)</f>
        <v>1</v>
      </c>
    </row>
    <row r="1287">
      <c r="J1287" s="5" t="str">
        <f>IFERROR(__xludf.DUMMYFUNCTION("""COMPUTED_VALUE"""),"429🤙🏼Who's Afraid of Virginia Woolf?🤙🏼🤙🏼2")</f>
        <v>429🤙🏼Who's Afraid of Virginia Woolf?🤙🏼🤙🏼2</v>
      </c>
      <c r="K1287" s="5">
        <f>IFERROR(__xludf.DUMMYFUNCTION("SPLiT(J1287, ""🤙🏼"",FALSE,FALSE)"),429.0)</f>
        <v>429</v>
      </c>
      <c r="L1287" s="5" t="str">
        <f>IFERROR(__xludf.DUMMYFUNCTION("""COMPUTED_VALUE"""),"Who's Afraid of Virginia Woolf?")</f>
        <v>Who's Afraid of Virginia Woolf?</v>
      </c>
      <c r="M1287" s="5"/>
      <c r="N1287" s="5">
        <f>IFERROR(__xludf.DUMMYFUNCTION("""COMPUTED_VALUE"""),2.0)</f>
        <v>2</v>
      </c>
      <c r="S1287" s="5">
        <f>IFERROR(__xludf.DUMMYFUNCTION("""COMPUTED_VALUE"""),514.0)</f>
        <v>514</v>
      </c>
      <c r="T1287" s="5" t="str">
        <f>IFERROR(__xludf.DUMMYFUNCTION("""COMPUTED_VALUE"""),"Children of Men")</f>
        <v>Children of Men</v>
      </c>
      <c r="U1287" s="5" t="str">
        <f>IFERROR(__xludf.DUMMYFUNCTION("""COMPUTED_VALUE"""),"Drama")</f>
        <v>Drama</v>
      </c>
      <c r="V1287" s="5">
        <f>IFERROR(__xludf.DUMMYFUNCTION("""COMPUTED_VALUE"""),2.0)</f>
        <v>2</v>
      </c>
    </row>
    <row r="1288">
      <c r="J1288" s="5" t="str">
        <f>IFERROR(__xludf.DUMMYFUNCTION("""COMPUTED_VALUE"""),"429🤙🏼Who's Afraid of Virginia Woolf?🤙🏼🤙🏼3")</f>
        <v>429🤙🏼Who's Afraid of Virginia Woolf?🤙🏼🤙🏼3</v>
      </c>
      <c r="K1288" s="5">
        <f>IFERROR(__xludf.DUMMYFUNCTION("SPLiT(J1288, ""🤙🏼"",FALSE,FALSE)"),429.0)</f>
        <v>429</v>
      </c>
      <c r="L1288" s="5" t="str">
        <f>IFERROR(__xludf.DUMMYFUNCTION("""COMPUTED_VALUE"""),"Who's Afraid of Virginia Woolf?")</f>
        <v>Who's Afraid of Virginia Woolf?</v>
      </c>
      <c r="M1288" s="5"/>
      <c r="N1288" s="5">
        <f>IFERROR(__xludf.DUMMYFUNCTION("""COMPUTED_VALUE"""),3.0)</f>
        <v>3</v>
      </c>
      <c r="S1288" s="5">
        <f>IFERROR(__xludf.DUMMYFUNCTION("""COMPUTED_VALUE"""),514.0)</f>
        <v>514</v>
      </c>
      <c r="T1288" s="5" t="str">
        <f>IFERROR(__xludf.DUMMYFUNCTION("""COMPUTED_VALUE"""),"Children of Men")</f>
        <v>Children of Men</v>
      </c>
      <c r="U1288" s="5" t="str">
        <f>IFERROR(__xludf.DUMMYFUNCTION("""COMPUTED_VALUE"""),"Sci-Fi")</f>
        <v>Sci-Fi</v>
      </c>
      <c r="V1288" s="5">
        <f>IFERROR(__xludf.DUMMYFUNCTION("""COMPUTED_VALUE"""),3.0)</f>
        <v>3</v>
      </c>
    </row>
    <row r="1289">
      <c r="J1289" s="5" t="str">
        <f>IFERROR(__xludf.DUMMYFUNCTION("""COMPUTED_VALUE"""),"430🤙🏼The Sound of Music🤙🏼Biography🤙🏼1")</f>
        <v>430🤙🏼The Sound of Music🤙🏼Biography🤙🏼1</v>
      </c>
      <c r="K1289" s="5">
        <f>IFERROR(__xludf.DUMMYFUNCTION("SPLiT(J1289, ""🤙🏼"",FALSE,FALSE)"),430.0)</f>
        <v>430</v>
      </c>
      <c r="L1289" s="5" t="str">
        <f>IFERROR(__xludf.DUMMYFUNCTION("""COMPUTED_VALUE"""),"The Sound of Music")</f>
        <v>The Sound of Music</v>
      </c>
      <c r="M1289" s="5" t="str">
        <f>IFERROR(__xludf.DUMMYFUNCTION("""COMPUTED_VALUE"""),"Biography")</f>
        <v>Biography</v>
      </c>
      <c r="N1289" s="5">
        <f>IFERROR(__xludf.DUMMYFUNCTION("""COMPUTED_VALUE"""),1.0)</f>
        <v>1</v>
      </c>
      <c r="S1289" s="5">
        <f>IFERROR(__xludf.DUMMYFUNCTION("""COMPUTED_VALUE"""),515.0)</f>
        <v>515</v>
      </c>
      <c r="T1289" s="5" t="str">
        <f>IFERROR(__xludf.DUMMYFUNCTION("""COMPUTED_VALUE"""),"Almost Famous")</f>
        <v>Almost Famous</v>
      </c>
      <c r="U1289" s="5" t="str">
        <f>IFERROR(__xludf.DUMMYFUNCTION("""COMPUTED_VALUE"""),"Adventure")</f>
        <v>Adventure</v>
      </c>
      <c r="V1289" s="5">
        <f>IFERROR(__xludf.DUMMYFUNCTION("""COMPUTED_VALUE"""),1.0)</f>
        <v>1</v>
      </c>
    </row>
    <row r="1290">
      <c r="J1290" s="5" t="str">
        <f>IFERROR(__xludf.DUMMYFUNCTION("""COMPUTED_VALUE"""),"430🤙🏼The Sound of Music🤙🏼Drama🤙🏼2")</f>
        <v>430🤙🏼The Sound of Music🤙🏼Drama🤙🏼2</v>
      </c>
      <c r="K1290" s="5">
        <f>IFERROR(__xludf.DUMMYFUNCTION("SPLiT(J1290, ""🤙🏼"",FALSE,FALSE)"),430.0)</f>
        <v>430</v>
      </c>
      <c r="L1290" s="5" t="str">
        <f>IFERROR(__xludf.DUMMYFUNCTION("""COMPUTED_VALUE"""),"The Sound of Music")</f>
        <v>The Sound of Music</v>
      </c>
      <c r="M1290" s="5" t="str">
        <f>IFERROR(__xludf.DUMMYFUNCTION("""COMPUTED_VALUE"""),"Drama")</f>
        <v>Drama</v>
      </c>
      <c r="N1290" s="5">
        <f>IFERROR(__xludf.DUMMYFUNCTION("""COMPUTED_VALUE"""),2.0)</f>
        <v>2</v>
      </c>
      <c r="S1290" s="5">
        <f>IFERROR(__xludf.DUMMYFUNCTION("""COMPUTED_VALUE"""),515.0)</f>
        <v>515</v>
      </c>
      <c r="T1290" s="5" t="str">
        <f>IFERROR(__xludf.DUMMYFUNCTION("""COMPUTED_VALUE"""),"Almost Famous")</f>
        <v>Almost Famous</v>
      </c>
      <c r="U1290" s="5" t="str">
        <f>IFERROR(__xludf.DUMMYFUNCTION("""COMPUTED_VALUE"""),"Comedy")</f>
        <v>Comedy</v>
      </c>
      <c r="V1290" s="5">
        <f>IFERROR(__xludf.DUMMYFUNCTION("""COMPUTED_VALUE"""),2.0)</f>
        <v>2</v>
      </c>
    </row>
    <row r="1291">
      <c r="J1291" s="5" t="str">
        <f>IFERROR(__xludf.DUMMYFUNCTION("""COMPUTED_VALUE"""),"430🤙🏼The Sound of Music🤙🏼Family🤙🏼3")</f>
        <v>430🤙🏼The Sound of Music🤙🏼Family🤙🏼3</v>
      </c>
      <c r="K1291" s="5">
        <f>IFERROR(__xludf.DUMMYFUNCTION("SPLiT(J1291, ""🤙🏼"",FALSE,FALSE)"),430.0)</f>
        <v>430</v>
      </c>
      <c r="L1291" s="5" t="str">
        <f>IFERROR(__xludf.DUMMYFUNCTION("""COMPUTED_VALUE"""),"The Sound of Music")</f>
        <v>The Sound of Music</v>
      </c>
      <c r="M1291" s="5" t="str">
        <f>IFERROR(__xludf.DUMMYFUNCTION("""COMPUTED_VALUE"""),"Family")</f>
        <v>Family</v>
      </c>
      <c r="N1291" s="5">
        <f>IFERROR(__xludf.DUMMYFUNCTION("""COMPUTED_VALUE"""),3.0)</f>
        <v>3</v>
      </c>
      <c r="S1291" s="5">
        <f>IFERROR(__xludf.DUMMYFUNCTION("""COMPUTED_VALUE"""),515.0)</f>
        <v>515</v>
      </c>
      <c r="T1291" s="5" t="str">
        <f>IFERROR(__xludf.DUMMYFUNCTION("""COMPUTED_VALUE"""),"Almost Famous")</f>
        <v>Almost Famous</v>
      </c>
      <c r="U1291" s="5" t="str">
        <f>IFERROR(__xludf.DUMMYFUNCTION("""COMPUTED_VALUE"""),"Drama")</f>
        <v>Drama</v>
      </c>
      <c r="V1291" s="5">
        <f>IFERROR(__xludf.DUMMYFUNCTION("""COMPUTED_VALUE"""),3.0)</f>
        <v>3</v>
      </c>
    </row>
    <row r="1292">
      <c r="J1292" s="5" t="str">
        <f>IFERROR(__xludf.DUMMYFUNCTION("""COMPUTED_VALUE"""),"431🤙🏼Doctor Zhivago🤙🏼Drama🤙🏼1")</f>
        <v>431🤙🏼Doctor Zhivago🤙🏼Drama🤙🏼1</v>
      </c>
      <c r="K1292" s="5">
        <f>IFERROR(__xludf.DUMMYFUNCTION("SPLiT(J1292, ""🤙🏼"",FALSE,FALSE)"),431.0)</f>
        <v>431</v>
      </c>
      <c r="L1292" s="5" t="str">
        <f>IFERROR(__xludf.DUMMYFUNCTION("""COMPUTED_VALUE"""),"Doctor Zhivago")</f>
        <v>Doctor Zhivago</v>
      </c>
      <c r="M1292" s="5" t="str">
        <f>IFERROR(__xludf.DUMMYFUNCTION("""COMPUTED_VALUE"""),"Drama")</f>
        <v>Drama</v>
      </c>
      <c r="N1292" s="5">
        <f>IFERROR(__xludf.DUMMYFUNCTION("""COMPUTED_VALUE"""),1.0)</f>
        <v>1</v>
      </c>
      <c r="S1292" s="5">
        <f>IFERROR(__xludf.DUMMYFUNCTION("""COMPUTED_VALUE"""),516.0)</f>
        <v>516</v>
      </c>
      <c r="T1292" s="5" t="str">
        <f>IFERROR(__xludf.DUMMYFUNCTION("""COMPUTED_VALUE"""),"Mulholland Dr.")</f>
        <v>Mulholland Dr.</v>
      </c>
      <c r="U1292" s="5" t="str">
        <f>IFERROR(__xludf.DUMMYFUNCTION("""COMPUTED_VALUE"""),"Drama")</f>
        <v>Drama</v>
      </c>
      <c r="V1292" s="5">
        <f>IFERROR(__xludf.DUMMYFUNCTION("""COMPUTED_VALUE"""),1.0)</f>
        <v>1</v>
      </c>
    </row>
    <row r="1293">
      <c r="J1293" s="5" t="str">
        <f>IFERROR(__xludf.DUMMYFUNCTION("""COMPUTED_VALUE"""),"431🤙🏼Doctor Zhivago🤙🏼Romance🤙🏼2")</f>
        <v>431🤙🏼Doctor Zhivago🤙🏼Romance🤙🏼2</v>
      </c>
      <c r="K1293" s="5">
        <f>IFERROR(__xludf.DUMMYFUNCTION("SPLiT(J1293, ""🤙🏼"",FALSE,FALSE)"),431.0)</f>
        <v>431</v>
      </c>
      <c r="L1293" s="5" t="str">
        <f>IFERROR(__xludf.DUMMYFUNCTION("""COMPUTED_VALUE"""),"Doctor Zhivago")</f>
        <v>Doctor Zhivago</v>
      </c>
      <c r="M1293" s="5" t="str">
        <f>IFERROR(__xludf.DUMMYFUNCTION("""COMPUTED_VALUE"""),"Romance")</f>
        <v>Romance</v>
      </c>
      <c r="N1293" s="5">
        <f>IFERROR(__xludf.DUMMYFUNCTION("""COMPUTED_VALUE"""),2.0)</f>
        <v>2</v>
      </c>
      <c r="S1293" s="5">
        <f>IFERROR(__xludf.DUMMYFUNCTION("""COMPUTED_VALUE"""),516.0)</f>
        <v>516</v>
      </c>
      <c r="T1293" s="5" t="str">
        <f>IFERROR(__xludf.DUMMYFUNCTION("""COMPUTED_VALUE"""),"Mulholland Dr.")</f>
        <v>Mulholland Dr.</v>
      </c>
      <c r="U1293" s="5" t="str">
        <f>IFERROR(__xludf.DUMMYFUNCTION("""COMPUTED_VALUE"""),"Mystery")</f>
        <v>Mystery</v>
      </c>
      <c r="V1293" s="5">
        <f>IFERROR(__xludf.DUMMYFUNCTION("""COMPUTED_VALUE"""),2.0)</f>
        <v>2</v>
      </c>
    </row>
    <row r="1294">
      <c r="J1294" s="5" t="str">
        <f>IFERROR(__xludf.DUMMYFUNCTION("""COMPUTED_VALUE"""),"431🤙🏼Doctor Zhivago🤙🏼War🤙🏼3")</f>
        <v>431🤙🏼Doctor Zhivago🤙🏼War🤙🏼3</v>
      </c>
      <c r="K1294" s="5">
        <f>IFERROR(__xludf.DUMMYFUNCTION("SPLiT(J1294, ""🤙🏼"",FALSE,FALSE)"),431.0)</f>
        <v>431</v>
      </c>
      <c r="L1294" s="5" t="str">
        <f>IFERROR(__xludf.DUMMYFUNCTION("""COMPUTED_VALUE"""),"Doctor Zhivago")</f>
        <v>Doctor Zhivago</v>
      </c>
      <c r="M1294" s="5" t="str">
        <f>IFERROR(__xludf.DUMMYFUNCTION("""COMPUTED_VALUE"""),"War")</f>
        <v>War</v>
      </c>
      <c r="N1294" s="5">
        <f>IFERROR(__xludf.DUMMYFUNCTION("""COMPUTED_VALUE"""),3.0)</f>
        <v>3</v>
      </c>
      <c r="S1294" s="5">
        <f>IFERROR(__xludf.DUMMYFUNCTION("""COMPUTED_VALUE"""),516.0)</f>
        <v>516</v>
      </c>
      <c r="T1294" s="5" t="str">
        <f>IFERROR(__xludf.DUMMYFUNCTION("""COMPUTED_VALUE"""),"Mulholland Dr.")</f>
        <v>Mulholland Dr.</v>
      </c>
      <c r="U1294" s="5" t="str">
        <f>IFERROR(__xludf.DUMMYFUNCTION("""COMPUTED_VALUE"""),"Thriller")</f>
        <v>Thriller</v>
      </c>
      <c r="V1294" s="5">
        <f>IFERROR(__xludf.DUMMYFUNCTION("""COMPUTED_VALUE"""),3.0)</f>
        <v>3</v>
      </c>
    </row>
    <row r="1295">
      <c r="J1295" s="5" t="str">
        <f>IFERROR(__xludf.DUMMYFUNCTION("""COMPUTED_VALUE"""),"432🤙🏼Per un pugno di dollari🤙🏼Action🤙🏼1")</f>
        <v>432🤙🏼Per un pugno di dollari🤙🏼Action🤙🏼1</v>
      </c>
      <c r="K1295" s="5">
        <f>IFERROR(__xludf.DUMMYFUNCTION("SPLiT(J1295, ""🤙🏼"",FALSE,FALSE)"),432.0)</f>
        <v>432</v>
      </c>
      <c r="L1295" s="5" t="str">
        <f>IFERROR(__xludf.DUMMYFUNCTION("""COMPUTED_VALUE"""),"Per un pugno di dollari")</f>
        <v>Per un pugno di dollari</v>
      </c>
      <c r="M1295" s="5" t="str">
        <f>IFERROR(__xludf.DUMMYFUNCTION("""COMPUTED_VALUE"""),"Action")</f>
        <v>Action</v>
      </c>
      <c r="N1295" s="5">
        <f>IFERROR(__xludf.DUMMYFUNCTION("""COMPUTED_VALUE"""),1.0)</f>
        <v>1</v>
      </c>
      <c r="S1295" s="5">
        <f>IFERROR(__xludf.DUMMYFUNCTION("""COMPUTED_VALUE"""),517.0)</f>
        <v>517</v>
      </c>
      <c r="T1295" s="5" t="str">
        <f>IFERROR(__xludf.DUMMYFUNCTION("""COMPUTED_VALUE"""),"Toy Story 2")</f>
        <v>Toy Story 2</v>
      </c>
      <c r="U1295" s="5" t="str">
        <f>IFERROR(__xludf.DUMMYFUNCTION("""COMPUTED_VALUE"""),"Animation")</f>
        <v>Animation</v>
      </c>
      <c r="V1295" s="5">
        <f>IFERROR(__xludf.DUMMYFUNCTION("""COMPUTED_VALUE"""),1.0)</f>
        <v>1</v>
      </c>
    </row>
    <row r="1296">
      <c r="J1296" s="5" t="str">
        <f>IFERROR(__xludf.DUMMYFUNCTION("""COMPUTED_VALUE"""),"432🤙🏼Per un pugno di dollari🤙🏼Drama🤙🏼2")</f>
        <v>432🤙🏼Per un pugno di dollari🤙🏼Drama🤙🏼2</v>
      </c>
      <c r="K1296" s="5">
        <f>IFERROR(__xludf.DUMMYFUNCTION("SPLiT(J1296, ""🤙🏼"",FALSE,FALSE)"),432.0)</f>
        <v>432</v>
      </c>
      <c r="L1296" s="5" t="str">
        <f>IFERROR(__xludf.DUMMYFUNCTION("""COMPUTED_VALUE"""),"Per un pugno di dollari")</f>
        <v>Per un pugno di dollari</v>
      </c>
      <c r="M1296" s="5" t="str">
        <f>IFERROR(__xludf.DUMMYFUNCTION("""COMPUTED_VALUE"""),"Drama")</f>
        <v>Drama</v>
      </c>
      <c r="N1296" s="5">
        <f>IFERROR(__xludf.DUMMYFUNCTION("""COMPUTED_VALUE"""),2.0)</f>
        <v>2</v>
      </c>
      <c r="S1296" s="5">
        <f>IFERROR(__xludf.DUMMYFUNCTION("""COMPUTED_VALUE"""),517.0)</f>
        <v>517</v>
      </c>
      <c r="T1296" s="5" t="str">
        <f>IFERROR(__xludf.DUMMYFUNCTION("""COMPUTED_VALUE"""),"Toy Story 2")</f>
        <v>Toy Story 2</v>
      </c>
      <c r="U1296" s="5" t="str">
        <f>IFERROR(__xludf.DUMMYFUNCTION("""COMPUTED_VALUE"""),"Adventure")</f>
        <v>Adventure</v>
      </c>
      <c r="V1296" s="5">
        <f>IFERROR(__xludf.DUMMYFUNCTION("""COMPUTED_VALUE"""),2.0)</f>
        <v>2</v>
      </c>
    </row>
    <row r="1297">
      <c r="J1297" s="5" t="str">
        <f>IFERROR(__xludf.DUMMYFUNCTION("""COMPUTED_VALUE"""),"432🤙🏼Per un pugno di dollari🤙🏼Western🤙🏼3")</f>
        <v>432🤙🏼Per un pugno di dollari🤙🏼Western🤙🏼3</v>
      </c>
      <c r="K1297" s="5">
        <f>IFERROR(__xludf.DUMMYFUNCTION("SPLiT(J1297, ""🤙🏼"",FALSE,FALSE)"),432.0)</f>
        <v>432</v>
      </c>
      <c r="L1297" s="5" t="str">
        <f>IFERROR(__xludf.DUMMYFUNCTION("""COMPUTED_VALUE"""),"Per un pugno di dollari")</f>
        <v>Per un pugno di dollari</v>
      </c>
      <c r="M1297" s="5" t="str">
        <f>IFERROR(__xludf.DUMMYFUNCTION("""COMPUTED_VALUE"""),"Western")</f>
        <v>Western</v>
      </c>
      <c r="N1297" s="5">
        <f>IFERROR(__xludf.DUMMYFUNCTION("""COMPUTED_VALUE"""),3.0)</f>
        <v>3</v>
      </c>
      <c r="S1297" s="5">
        <f>IFERROR(__xludf.DUMMYFUNCTION("""COMPUTED_VALUE"""),517.0)</f>
        <v>517</v>
      </c>
      <c r="T1297" s="5" t="str">
        <f>IFERROR(__xludf.DUMMYFUNCTION("""COMPUTED_VALUE"""),"Toy Story 2")</f>
        <v>Toy Story 2</v>
      </c>
      <c r="U1297" s="5" t="str">
        <f>IFERROR(__xludf.DUMMYFUNCTION("""COMPUTED_VALUE"""),"Comedy")</f>
        <v>Comedy</v>
      </c>
      <c r="V1297" s="5">
        <f>IFERROR(__xludf.DUMMYFUNCTION("""COMPUTED_VALUE"""),3.0)</f>
        <v>3</v>
      </c>
    </row>
    <row r="1298">
      <c r="J1298" s="5" t="str">
        <f>IFERROR(__xludf.DUMMYFUNCTION("""COMPUTED_VALUE"""),"433🤙🏼8½🤙🏼Drama🤙🏼1")</f>
        <v>433🤙🏼8½🤙🏼Drama🤙🏼1</v>
      </c>
      <c r="K1298" s="5">
        <f>IFERROR(__xludf.DUMMYFUNCTION("SPLiT(J1298, ""🤙🏼"",FALSE,FALSE)"),433.0)</f>
        <v>433</v>
      </c>
      <c r="L1298" s="5" t="str">
        <f>IFERROR(__xludf.DUMMYFUNCTION("""COMPUTED_VALUE"""),"8½")</f>
        <v>8½</v>
      </c>
      <c r="M1298" s="5" t="str">
        <f>IFERROR(__xludf.DUMMYFUNCTION("""COMPUTED_VALUE"""),"Drama")</f>
        <v>Drama</v>
      </c>
      <c r="N1298" s="5">
        <f>IFERROR(__xludf.DUMMYFUNCTION("""COMPUTED_VALUE"""),1.0)</f>
        <v>1</v>
      </c>
      <c r="S1298" s="5">
        <f>IFERROR(__xludf.DUMMYFUNCTION("""COMPUTED_VALUE"""),518.0)</f>
        <v>518</v>
      </c>
      <c r="T1298" s="5" t="str">
        <f>IFERROR(__xludf.DUMMYFUNCTION("""COMPUTED_VALUE"""),"Boogie Nights")</f>
        <v>Boogie Nights</v>
      </c>
      <c r="U1298" s="5" t="str">
        <f>IFERROR(__xludf.DUMMYFUNCTION("""COMPUTED_VALUE"""),"Drama")</f>
        <v>Drama</v>
      </c>
      <c r="V1298" s="5">
        <f>IFERROR(__xludf.DUMMYFUNCTION("""COMPUTED_VALUE"""),1.0)</f>
        <v>1</v>
      </c>
    </row>
    <row r="1299">
      <c r="J1299" s="5" t="str">
        <f>IFERROR(__xludf.DUMMYFUNCTION("""COMPUTED_VALUE"""),"433🤙🏼8½🤙🏼🤙🏼2")</f>
        <v>433🤙🏼8½🤙🏼🤙🏼2</v>
      </c>
      <c r="K1299" s="5">
        <f>IFERROR(__xludf.DUMMYFUNCTION("SPLiT(J1299, ""🤙🏼"",FALSE,FALSE)"),433.0)</f>
        <v>433</v>
      </c>
      <c r="L1299" s="5" t="str">
        <f>IFERROR(__xludf.DUMMYFUNCTION("""COMPUTED_VALUE"""),"8½")</f>
        <v>8½</v>
      </c>
      <c r="M1299" s="5"/>
      <c r="N1299" s="5">
        <f>IFERROR(__xludf.DUMMYFUNCTION("""COMPUTED_VALUE"""),2.0)</f>
        <v>2</v>
      </c>
      <c r="S1299" s="5">
        <f>IFERROR(__xludf.DUMMYFUNCTION("""COMPUTED_VALUE"""),519.0)</f>
        <v>519</v>
      </c>
      <c r="T1299" s="5" t="str">
        <f>IFERROR(__xludf.DUMMYFUNCTION("""COMPUTED_VALUE"""),"Mimi wo sumaseba")</f>
        <v>Mimi wo sumaseba</v>
      </c>
      <c r="U1299" s="5" t="str">
        <f>IFERROR(__xludf.DUMMYFUNCTION("""COMPUTED_VALUE"""),"Animation")</f>
        <v>Animation</v>
      </c>
      <c r="V1299" s="5">
        <f>IFERROR(__xludf.DUMMYFUNCTION("""COMPUTED_VALUE"""),1.0)</f>
        <v>1</v>
      </c>
    </row>
    <row r="1300">
      <c r="J1300" s="5" t="str">
        <f>IFERROR(__xludf.DUMMYFUNCTION("""COMPUTED_VALUE"""),"433🤙🏼8½🤙🏼🤙🏼3")</f>
        <v>433🤙🏼8½🤙🏼🤙🏼3</v>
      </c>
      <c r="K1300" s="5">
        <f>IFERROR(__xludf.DUMMYFUNCTION("SPLiT(J1300, ""🤙🏼"",FALSE,FALSE)"),433.0)</f>
        <v>433</v>
      </c>
      <c r="L1300" s="5" t="str">
        <f>IFERROR(__xludf.DUMMYFUNCTION("""COMPUTED_VALUE"""),"8½")</f>
        <v>8½</v>
      </c>
      <c r="M1300" s="5"/>
      <c r="N1300" s="5">
        <f>IFERROR(__xludf.DUMMYFUNCTION("""COMPUTED_VALUE"""),3.0)</f>
        <v>3</v>
      </c>
      <c r="S1300" s="5">
        <f>IFERROR(__xludf.DUMMYFUNCTION("""COMPUTED_VALUE"""),519.0)</f>
        <v>519</v>
      </c>
      <c r="T1300" s="5" t="str">
        <f>IFERROR(__xludf.DUMMYFUNCTION("""COMPUTED_VALUE"""),"Mimi wo sumaseba")</f>
        <v>Mimi wo sumaseba</v>
      </c>
      <c r="U1300" s="5" t="str">
        <f>IFERROR(__xludf.DUMMYFUNCTION("""COMPUTED_VALUE"""),"Drama")</f>
        <v>Drama</v>
      </c>
      <c r="V1300" s="5">
        <f>IFERROR(__xludf.DUMMYFUNCTION("""COMPUTED_VALUE"""),2.0)</f>
        <v>2</v>
      </c>
    </row>
    <row r="1301">
      <c r="J1301" s="5" t="str">
        <f>IFERROR(__xludf.DUMMYFUNCTION("""COMPUTED_VALUE"""),"434🤙🏼Vivre sa vie: Film en douze tableaux🤙🏼Drama🤙🏼1")</f>
        <v>434🤙🏼Vivre sa vie: Film en douze tableaux🤙🏼Drama🤙🏼1</v>
      </c>
      <c r="K1301" s="5">
        <f>IFERROR(__xludf.DUMMYFUNCTION("SPLiT(J1301, ""🤙🏼"",FALSE,FALSE)"),434.0)</f>
        <v>434</v>
      </c>
      <c r="L1301" s="5" t="str">
        <f>IFERROR(__xludf.DUMMYFUNCTION("""COMPUTED_VALUE"""),"Vivre sa vie: Film en douze tableaux")</f>
        <v>Vivre sa vie: Film en douze tableaux</v>
      </c>
      <c r="M1301" s="5" t="str">
        <f>IFERROR(__xludf.DUMMYFUNCTION("""COMPUTED_VALUE"""),"Drama")</f>
        <v>Drama</v>
      </c>
      <c r="N1301" s="5">
        <f>IFERROR(__xludf.DUMMYFUNCTION("""COMPUTED_VALUE"""),1.0)</f>
        <v>1</v>
      </c>
      <c r="S1301" s="5">
        <f>IFERROR(__xludf.DUMMYFUNCTION("""COMPUTED_VALUE"""),519.0)</f>
        <v>519</v>
      </c>
      <c r="T1301" s="5" t="str">
        <f>IFERROR(__xludf.DUMMYFUNCTION("""COMPUTED_VALUE"""),"Mimi wo sumaseba")</f>
        <v>Mimi wo sumaseba</v>
      </c>
      <c r="U1301" s="5" t="str">
        <f>IFERROR(__xludf.DUMMYFUNCTION("""COMPUTED_VALUE"""),"Family")</f>
        <v>Family</v>
      </c>
      <c r="V1301" s="5">
        <f>IFERROR(__xludf.DUMMYFUNCTION("""COMPUTED_VALUE"""),3.0)</f>
        <v>3</v>
      </c>
    </row>
    <row r="1302">
      <c r="J1302" s="5" t="str">
        <f>IFERROR(__xludf.DUMMYFUNCTION("""COMPUTED_VALUE"""),"434🤙🏼Vivre sa vie: Film en douze tableaux🤙🏼🤙🏼2")</f>
        <v>434🤙🏼Vivre sa vie: Film en douze tableaux🤙🏼🤙🏼2</v>
      </c>
      <c r="K1302" s="5">
        <f>IFERROR(__xludf.DUMMYFUNCTION("SPLiT(J1302, ""🤙🏼"",FALSE,FALSE)"),434.0)</f>
        <v>434</v>
      </c>
      <c r="L1302" s="5" t="str">
        <f>IFERROR(__xludf.DUMMYFUNCTION("""COMPUTED_VALUE"""),"Vivre sa vie: Film en douze tableaux")</f>
        <v>Vivre sa vie: Film en douze tableaux</v>
      </c>
      <c r="M1302" s="5"/>
      <c r="N1302" s="5">
        <f>IFERROR(__xludf.DUMMYFUNCTION("""COMPUTED_VALUE"""),2.0)</f>
        <v>2</v>
      </c>
      <c r="S1302" s="5">
        <f>IFERROR(__xludf.DUMMYFUNCTION("""COMPUTED_VALUE"""),520.0)</f>
        <v>520</v>
      </c>
      <c r="T1302" s="5" t="str">
        <f>IFERROR(__xludf.DUMMYFUNCTION("""COMPUTED_VALUE"""),"Once Were Warriors")</f>
        <v>Once Were Warriors</v>
      </c>
      <c r="U1302" s="5" t="str">
        <f>IFERROR(__xludf.DUMMYFUNCTION("""COMPUTED_VALUE"""),"Crime")</f>
        <v>Crime</v>
      </c>
      <c r="V1302" s="5">
        <f>IFERROR(__xludf.DUMMYFUNCTION("""COMPUTED_VALUE"""),1.0)</f>
        <v>1</v>
      </c>
    </row>
    <row r="1303">
      <c r="J1303" s="5" t="str">
        <f>IFERROR(__xludf.DUMMYFUNCTION("""COMPUTED_VALUE"""),"434🤙🏼Vivre sa vie: Film en douze tableaux🤙🏼🤙🏼3")</f>
        <v>434🤙🏼Vivre sa vie: Film en douze tableaux🤙🏼🤙🏼3</v>
      </c>
      <c r="K1303" s="5">
        <f>IFERROR(__xludf.DUMMYFUNCTION("SPLiT(J1303, ""🤙🏼"",FALSE,FALSE)"),434.0)</f>
        <v>434</v>
      </c>
      <c r="L1303" s="5" t="str">
        <f>IFERROR(__xludf.DUMMYFUNCTION("""COMPUTED_VALUE"""),"Vivre sa vie: Film en douze tableaux")</f>
        <v>Vivre sa vie: Film en douze tableaux</v>
      </c>
      <c r="M1303" s="5"/>
      <c r="N1303" s="5">
        <f>IFERROR(__xludf.DUMMYFUNCTION("""COMPUTED_VALUE"""),3.0)</f>
        <v>3</v>
      </c>
      <c r="S1303" s="5">
        <f>IFERROR(__xludf.DUMMYFUNCTION("""COMPUTED_VALUE"""),520.0)</f>
        <v>520</v>
      </c>
      <c r="T1303" s="5" t="str">
        <f>IFERROR(__xludf.DUMMYFUNCTION("""COMPUTED_VALUE"""),"Once Were Warriors")</f>
        <v>Once Were Warriors</v>
      </c>
      <c r="U1303" s="5" t="str">
        <f>IFERROR(__xludf.DUMMYFUNCTION("""COMPUTED_VALUE"""),"Drama")</f>
        <v>Drama</v>
      </c>
      <c r="V1303" s="5">
        <f>IFERROR(__xludf.DUMMYFUNCTION("""COMPUTED_VALUE"""),2.0)</f>
        <v>2</v>
      </c>
    </row>
    <row r="1304">
      <c r="J1304" s="5" t="str">
        <f>IFERROR(__xludf.DUMMYFUNCTION("""COMPUTED_VALUE"""),"435🤙🏼The Hustler🤙🏼Drama🤙🏼1")</f>
        <v>435🤙🏼The Hustler🤙🏼Drama🤙🏼1</v>
      </c>
      <c r="K1304" s="5">
        <f>IFERROR(__xludf.DUMMYFUNCTION("SPLiT(J1304, ""🤙🏼"",FALSE,FALSE)"),435.0)</f>
        <v>435</v>
      </c>
      <c r="L1304" s="5" t="str">
        <f>IFERROR(__xludf.DUMMYFUNCTION("""COMPUTED_VALUE"""),"The Hustler")</f>
        <v>The Hustler</v>
      </c>
      <c r="M1304" s="5" t="str">
        <f>IFERROR(__xludf.DUMMYFUNCTION("""COMPUTED_VALUE"""),"Drama")</f>
        <v>Drama</v>
      </c>
      <c r="N1304" s="5">
        <f>IFERROR(__xludf.DUMMYFUNCTION("""COMPUTED_VALUE"""),1.0)</f>
        <v>1</v>
      </c>
      <c r="S1304" s="5">
        <f>IFERROR(__xludf.DUMMYFUNCTION("""COMPUTED_VALUE"""),521.0)</f>
        <v>521</v>
      </c>
      <c r="T1304" s="5" t="str">
        <f>IFERROR(__xludf.DUMMYFUNCTION("""COMPUTED_VALUE"""),"True Romance")</f>
        <v>True Romance</v>
      </c>
      <c r="U1304" s="5" t="str">
        <f>IFERROR(__xludf.DUMMYFUNCTION("""COMPUTED_VALUE"""),"Crime")</f>
        <v>Crime</v>
      </c>
      <c r="V1304" s="5">
        <f>IFERROR(__xludf.DUMMYFUNCTION("""COMPUTED_VALUE"""),1.0)</f>
        <v>1</v>
      </c>
    </row>
    <row r="1305">
      <c r="J1305" s="5" t="str">
        <f>IFERROR(__xludf.DUMMYFUNCTION("""COMPUTED_VALUE"""),"435🤙🏼The Hustler🤙🏼Sport🤙🏼2")</f>
        <v>435🤙🏼The Hustler🤙🏼Sport🤙🏼2</v>
      </c>
      <c r="K1305" s="5">
        <f>IFERROR(__xludf.DUMMYFUNCTION("SPLiT(J1305, ""🤙🏼"",FALSE,FALSE)"),435.0)</f>
        <v>435</v>
      </c>
      <c r="L1305" s="5" t="str">
        <f>IFERROR(__xludf.DUMMYFUNCTION("""COMPUTED_VALUE"""),"The Hustler")</f>
        <v>The Hustler</v>
      </c>
      <c r="M1305" s="5" t="str">
        <f>IFERROR(__xludf.DUMMYFUNCTION("""COMPUTED_VALUE"""),"Sport")</f>
        <v>Sport</v>
      </c>
      <c r="N1305" s="5">
        <f>IFERROR(__xludf.DUMMYFUNCTION("""COMPUTED_VALUE"""),2.0)</f>
        <v>2</v>
      </c>
      <c r="S1305" s="5">
        <f>IFERROR(__xludf.DUMMYFUNCTION("""COMPUTED_VALUE"""),521.0)</f>
        <v>521</v>
      </c>
      <c r="T1305" s="5" t="str">
        <f>IFERROR(__xludf.DUMMYFUNCTION("""COMPUTED_VALUE"""),"True Romance")</f>
        <v>True Romance</v>
      </c>
      <c r="U1305" s="5" t="str">
        <f>IFERROR(__xludf.DUMMYFUNCTION("""COMPUTED_VALUE"""),"Drama")</f>
        <v>Drama</v>
      </c>
      <c r="V1305" s="5">
        <f>IFERROR(__xludf.DUMMYFUNCTION("""COMPUTED_VALUE"""),2.0)</f>
        <v>2</v>
      </c>
    </row>
    <row r="1306">
      <c r="J1306" s="5" t="str">
        <f>IFERROR(__xludf.DUMMYFUNCTION("""COMPUTED_VALUE"""),"435🤙🏼The Hustler🤙🏼🤙🏼3")</f>
        <v>435🤙🏼The Hustler🤙🏼🤙🏼3</v>
      </c>
      <c r="K1306" s="5">
        <f>IFERROR(__xludf.DUMMYFUNCTION("SPLiT(J1306, ""🤙🏼"",FALSE,FALSE)"),435.0)</f>
        <v>435</v>
      </c>
      <c r="L1306" s="5" t="str">
        <f>IFERROR(__xludf.DUMMYFUNCTION("""COMPUTED_VALUE"""),"The Hustler")</f>
        <v>The Hustler</v>
      </c>
      <c r="M1306" s="5"/>
      <c r="N1306" s="5">
        <f>IFERROR(__xludf.DUMMYFUNCTION("""COMPUTED_VALUE"""),3.0)</f>
        <v>3</v>
      </c>
      <c r="S1306" s="5">
        <f>IFERROR(__xludf.DUMMYFUNCTION("""COMPUTED_VALUE"""),521.0)</f>
        <v>521</v>
      </c>
      <c r="T1306" s="5" t="str">
        <f>IFERROR(__xludf.DUMMYFUNCTION("""COMPUTED_VALUE"""),"True Romance")</f>
        <v>True Romance</v>
      </c>
      <c r="U1306" s="5" t="str">
        <f>IFERROR(__xludf.DUMMYFUNCTION("""COMPUTED_VALUE"""),"Romance")</f>
        <v>Romance</v>
      </c>
      <c r="V1306" s="5">
        <f>IFERROR(__xludf.DUMMYFUNCTION("""COMPUTED_VALUE"""),3.0)</f>
        <v>3</v>
      </c>
    </row>
    <row r="1307">
      <c r="J1307" s="5" t="str">
        <f>IFERROR(__xludf.DUMMYFUNCTION("""COMPUTED_VALUE"""),"436🤙🏼La dolce vita🤙🏼Comedy🤙🏼1")</f>
        <v>436🤙🏼La dolce vita🤙🏼Comedy🤙🏼1</v>
      </c>
      <c r="K1307" s="5">
        <f>IFERROR(__xludf.DUMMYFUNCTION("SPLiT(J1307, ""🤙🏼"",FALSE,FALSE)"),436.0)</f>
        <v>436</v>
      </c>
      <c r="L1307" s="5" t="str">
        <f>IFERROR(__xludf.DUMMYFUNCTION("""COMPUTED_VALUE"""),"La dolce vita")</f>
        <v>La dolce vita</v>
      </c>
      <c r="M1307" s="5" t="str">
        <f>IFERROR(__xludf.DUMMYFUNCTION("""COMPUTED_VALUE"""),"Comedy")</f>
        <v>Comedy</v>
      </c>
      <c r="N1307" s="5">
        <f>IFERROR(__xludf.DUMMYFUNCTION("""COMPUTED_VALUE"""),1.0)</f>
        <v>1</v>
      </c>
      <c r="S1307" s="5">
        <f>IFERROR(__xludf.DUMMYFUNCTION("""COMPUTED_VALUE"""),522.0)</f>
        <v>522</v>
      </c>
      <c r="T1307" s="5" t="str">
        <f>IFERROR(__xludf.DUMMYFUNCTION("""COMPUTED_VALUE"""),"Trois couleurs: Bleu")</f>
        <v>Trois couleurs: Bleu</v>
      </c>
      <c r="U1307" s="5" t="str">
        <f>IFERROR(__xludf.DUMMYFUNCTION("""COMPUTED_VALUE"""),"Drama")</f>
        <v>Drama</v>
      </c>
      <c r="V1307" s="5">
        <f>IFERROR(__xludf.DUMMYFUNCTION("""COMPUTED_VALUE"""),1.0)</f>
        <v>1</v>
      </c>
    </row>
    <row r="1308">
      <c r="J1308" s="5" t="str">
        <f>IFERROR(__xludf.DUMMYFUNCTION("""COMPUTED_VALUE"""),"436🤙🏼La dolce vita🤙🏼Drama🤙🏼2")</f>
        <v>436🤙🏼La dolce vita🤙🏼Drama🤙🏼2</v>
      </c>
      <c r="K1308" s="5">
        <f>IFERROR(__xludf.DUMMYFUNCTION("SPLiT(J1308, ""🤙🏼"",FALSE,FALSE)"),436.0)</f>
        <v>436</v>
      </c>
      <c r="L1308" s="5" t="str">
        <f>IFERROR(__xludf.DUMMYFUNCTION("""COMPUTED_VALUE"""),"La dolce vita")</f>
        <v>La dolce vita</v>
      </c>
      <c r="M1308" s="5" t="str">
        <f>IFERROR(__xludf.DUMMYFUNCTION("""COMPUTED_VALUE"""),"Drama")</f>
        <v>Drama</v>
      </c>
      <c r="N1308" s="5">
        <f>IFERROR(__xludf.DUMMYFUNCTION("""COMPUTED_VALUE"""),2.0)</f>
        <v>2</v>
      </c>
      <c r="S1308" s="5">
        <f>IFERROR(__xludf.DUMMYFUNCTION("""COMPUTED_VALUE"""),522.0)</f>
        <v>522</v>
      </c>
      <c r="T1308" s="5" t="str">
        <f>IFERROR(__xludf.DUMMYFUNCTION("""COMPUTED_VALUE"""),"Trois couleurs: Bleu")</f>
        <v>Trois couleurs: Bleu</v>
      </c>
      <c r="U1308" s="5" t="str">
        <f>IFERROR(__xludf.DUMMYFUNCTION("""COMPUTED_VALUE"""),"Music")</f>
        <v>Music</v>
      </c>
      <c r="V1308" s="5">
        <f>IFERROR(__xludf.DUMMYFUNCTION("""COMPUTED_VALUE"""),2.0)</f>
        <v>2</v>
      </c>
    </row>
    <row r="1309">
      <c r="J1309" s="5" t="str">
        <f>IFERROR(__xludf.DUMMYFUNCTION("""COMPUTED_VALUE"""),"436🤙🏼La dolce vita🤙🏼🤙🏼3")</f>
        <v>436🤙🏼La dolce vita🤙🏼🤙🏼3</v>
      </c>
      <c r="K1309" s="5">
        <f>IFERROR(__xludf.DUMMYFUNCTION("SPLiT(J1309, ""🤙🏼"",FALSE,FALSE)"),436.0)</f>
        <v>436</v>
      </c>
      <c r="L1309" s="5" t="str">
        <f>IFERROR(__xludf.DUMMYFUNCTION("""COMPUTED_VALUE"""),"La dolce vita")</f>
        <v>La dolce vita</v>
      </c>
      <c r="M1309" s="5"/>
      <c r="N1309" s="5">
        <f>IFERROR(__xludf.DUMMYFUNCTION("""COMPUTED_VALUE"""),3.0)</f>
        <v>3</v>
      </c>
      <c r="S1309" s="5">
        <f>IFERROR(__xludf.DUMMYFUNCTION("""COMPUTED_VALUE"""),522.0)</f>
        <v>522</v>
      </c>
      <c r="T1309" s="5" t="str">
        <f>IFERROR(__xludf.DUMMYFUNCTION("""COMPUTED_VALUE"""),"Trois couleurs: Bleu")</f>
        <v>Trois couleurs: Bleu</v>
      </c>
      <c r="U1309" s="5" t="str">
        <f>IFERROR(__xludf.DUMMYFUNCTION("""COMPUTED_VALUE"""),"Mystery")</f>
        <v>Mystery</v>
      </c>
      <c r="V1309" s="5">
        <f>IFERROR(__xludf.DUMMYFUNCTION("""COMPUTED_VALUE"""),3.0)</f>
        <v>3</v>
      </c>
    </row>
    <row r="1310">
      <c r="J1310" s="5" t="str">
        <f>IFERROR(__xludf.DUMMYFUNCTION("""COMPUTED_VALUE"""),"437🤙🏼Rio Bravo🤙🏼Action🤙🏼1")</f>
        <v>437🤙🏼Rio Bravo🤙🏼Action🤙🏼1</v>
      </c>
      <c r="K1310" s="5">
        <f>IFERROR(__xludf.DUMMYFUNCTION("SPLiT(J1310, ""🤙🏼"",FALSE,FALSE)"),437.0)</f>
        <v>437</v>
      </c>
      <c r="L1310" s="5" t="str">
        <f>IFERROR(__xludf.DUMMYFUNCTION("""COMPUTED_VALUE"""),"Rio Bravo")</f>
        <v>Rio Bravo</v>
      </c>
      <c r="M1310" s="5" t="str">
        <f>IFERROR(__xludf.DUMMYFUNCTION("""COMPUTED_VALUE"""),"Action")</f>
        <v>Action</v>
      </c>
      <c r="N1310" s="5">
        <f>IFERROR(__xludf.DUMMYFUNCTION("""COMPUTED_VALUE"""),1.0)</f>
        <v>1</v>
      </c>
      <c r="S1310" s="5">
        <f>IFERROR(__xludf.DUMMYFUNCTION("""COMPUTED_VALUE"""),523.0)</f>
        <v>523</v>
      </c>
      <c r="T1310" s="5" t="str">
        <f>IFERROR(__xludf.DUMMYFUNCTION("""COMPUTED_VALUE"""),"Jûbê ninpûchô")</f>
        <v>Jûbê ninpûchô</v>
      </c>
      <c r="U1310" s="5" t="str">
        <f>IFERROR(__xludf.DUMMYFUNCTION("""COMPUTED_VALUE"""),"Animation")</f>
        <v>Animation</v>
      </c>
      <c r="V1310" s="5">
        <f>IFERROR(__xludf.DUMMYFUNCTION("""COMPUTED_VALUE"""),1.0)</f>
        <v>1</v>
      </c>
    </row>
    <row r="1311">
      <c r="J1311" s="5" t="str">
        <f>IFERROR(__xludf.DUMMYFUNCTION("""COMPUTED_VALUE"""),"437🤙🏼Rio Bravo🤙🏼Drama🤙🏼2")</f>
        <v>437🤙🏼Rio Bravo🤙🏼Drama🤙🏼2</v>
      </c>
      <c r="K1311" s="5">
        <f>IFERROR(__xludf.DUMMYFUNCTION("SPLiT(J1311, ""🤙🏼"",FALSE,FALSE)"),437.0)</f>
        <v>437</v>
      </c>
      <c r="L1311" s="5" t="str">
        <f>IFERROR(__xludf.DUMMYFUNCTION("""COMPUTED_VALUE"""),"Rio Bravo")</f>
        <v>Rio Bravo</v>
      </c>
      <c r="M1311" s="5" t="str">
        <f>IFERROR(__xludf.DUMMYFUNCTION("""COMPUTED_VALUE"""),"Drama")</f>
        <v>Drama</v>
      </c>
      <c r="N1311" s="5">
        <f>IFERROR(__xludf.DUMMYFUNCTION("""COMPUTED_VALUE"""),2.0)</f>
        <v>2</v>
      </c>
      <c r="S1311" s="5">
        <f>IFERROR(__xludf.DUMMYFUNCTION("""COMPUTED_VALUE"""),523.0)</f>
        <v>523</v>
      </c>
      <c r="T1311" s="5" t="str">
        <f>IFERROR(__xludf.DUMMYFUNCTION("""COMPUTED_VALUE"""),"Jûbê ninpûchô")</f>
        <v>Jûbê ninpûchô</v>
      </c>
      <c r="U1311" s="5" t="str">
        <f>IFERROR(__xludf.DUMMYFUNCTION("""COMPUTED_VALUE"""),"Action")</f>
        <v>Action</v>
      </c>
      <c r="V1311" s="5">
        <f>IFERROR(__xludf.DUMMYFUNCTION("""COMPUTED_VALUE"""),2.0)</f>
        <v>2</v>
      </c>
    </row>
    <row r="1312">
      <c r="J1312" s="5" t="str">
        <f>IFERROR(__xludf.DUMMYFUNCTION("""COMPUTED_VALUE"""),"437🤙🏼Rio Bravo🤙🏼Western🤙🏼3")</f>
        <v>437🤙🏼Rio Bravo🤙🏼Western🤙🏼3</v>
      </c>
      <c r="K1312" s="5">
        <f>IFERROR(__xludf.DUMMYFUNCTION("SPLiT(J1312, ""🤙🏼"",FALSE,FALSE)"),437.0)</f>
        <v>437</v>
      </c>
      <c r="L1312" s="5" t="str">
        <f>IFERROR(__xludf.DUMMYFUNCTION("""COMPUTED_VALUE"""),"Rio Bravo")</f>
        <v>Rio Bravo</v>
      </c>
      <c r="M1312" s="5" t="str">
        <f>IFERROR(__xludf.DUMMYFUNCTION("""COMPUTED_VALUE"""),"Western")</f>
        <v>Western</v>
      </c>
      <c r="N1312" s="5">
        <f>IFERROR(__xludf.DUMMYFUNCTION("""COMPUTED_VALUE"""),3.0)</f>
        <v>3</v>
      </c>
      <c r="S1312" s="5">
        <f>IFERROR(__xludf.DUMMYFUNCTION("""COMPUTED_VALUE"""),523.0)</f>
        <v>523</v>
      </c>
      <c r="T1312" s="5" t="str">
        <f>IFERROR(__xludf.DUMMYFUNCTION("""COMPUTED_VALUE"""),"Jûbê ninpûchô")</f>
        <v>Jûbê ninpûchô</v>
      </c>
      <c r="U1312" s="5" t="str">
        <f>IFERROR(__xludf.DUMMYFUNCTION("""COMPUTED_VALUE"""),"Adventure")</f>
        <v>Adventure</v>
      </c>
      <c r="V1312" s="5">
        <f>IFERROR(__xludf.DUMMYFUNCTION("""COMPUTED_VALUE"""),3.0)</f>
        <v>3</v>
      </c>
    </row>
    <row r="1313">
      <c r="J1313" s="5" t="str">
        <f>IFERROR(__xludf.DUMMYFUNCTION("""COMPUTED_VALUE"""),"438🤙🏼Anatomy of a Murder🤙🏼Crime🤙🏼1")</f>
        <v>438🤙🏼Anatomy of a Murder🤙🏼Crime🤙🏼1</v>
      </c>
      <c r="K1313" s="5">
        <f>IFERROR(__xludf.DUMMYFUNCTION("SPLiT(J1313, ""🤙🏼"",FALSE,FALSE)"),438.0)</f>
        <v>438</v>
      </c>
      <c r="L1313" s="5" t="str">
        <f>IFERROR(__xludf.DUMMYFUNCTION("""COMPUTED_VALUE"""),"Anatomy of a Murder")</f>
        <v>Anatomy of a Murder</v>
      </c>
      <c r="M1313" s="5" t="str">
        <f>IFERROR(__xludf.DUMMYFUNCTION("""COMPUTED_VALUE"""),"Crime")</f>
        <v>Crime</v>
      </c>
      <c r="N1313" s="5">
        <f>IFERROR(__xludf.DUMMYFUNCTION("""COMPUTED_VALUE"""),1.0)</f>
        <v>1</v>
      </c>
      <c r="S1313" s="5">
        <f>IFERROR(__xludf.DUMMYFUNCTION("""COMPUTED_VALUE"""),524.0)</f>
        <v>524</v>
      </c>
      <c r="T1313" s="5" t="str">
        <f>IFERROR(__xludf.DUMMYFUNCTION("""COMPUTED_VALUE"""),"Carlito's Way")</f>
        <v>Carlito's Way</v>
      </c>
      <c r="U1313" s="5" t="str">
        <f>IFERROR(__xludf.DUMMYFUNCTION("""COMPUTED_VALUE"""),"Crime")</f>
        <v>Crime</v>
      </c>
      <c r="V1313" s="5">
        <f>IFERROR(__xludf.DUMMYFUNCTION("""COMPUTED_VALUE"""),1.0)</f>
        <v>1</v>
      </c>
    </row>
    <row r="1314">
      <c r="J1314" s="5" t="str">
        <f>IFERROR(__xludf.DUMMYFUNCTION("""COMPUTED_VALUE"""),"438🤙🏼Anatomy of a Murder🤙🏼Drama🤙🏼2")</f>
        <v>438🤙🏼Anatomy of a Murder🤙🏼Drama🤙🏼2</v>
      </c>
      <c r="K1314" s="5">
        <f>IFERROR(__xludf.DUMMYFUNCTION("SPLiT(J1314, ""🤙🏼"",FALSE,FALSE)"),438.0)</f>
        <v>438</v>
      </c>
      <c r="L1314" s="5" t="str">
        <f>IFERROR(__xludf.DUMMYFUNCTION("""COMPUTED_VALUE"""),"Anatomy of a Murder")</f>
        <v>Anatomy of a Murder</v>
      </c>
      <c r="M1314" s="5" t="str">
        <f>IFERROR(__xludf.DUMMYFUNCTION("""COMPUTED_VALUE"""),"Drama")</f>
        <v>Drama</v>
      </c>
      <c r="N1314" s="5">
        <f>IFERROR(__xludf.DUMMYFUNCTION("""COMPUTED_VALUE"""),2.0)</f>
        <v>2</v>
      </c>
      <c r="S1314" s="5">
        <f>IFERROR(__xludf.DUMMYFUNCTION("""COMPUTED_VALUE"""),524.0)</f>
        <v>524</v>
      </c>
      <c r="T1314" s="5" t="str">
        <f>IFERROR(__xludf.DUMMYFUNCTION("""COMPUTED_VALUE"""),"Carlito's Way")</f>
        <v>Carlito's Way</v>
      </c>
      <c r="U1314" s="5" t="str">
        <f>IFERROR(__xludf.DUMMYFUNCTION("""COMPUTED_VALUE"""),"Drama")</f>
        <v>Drama</v>
      </c>
      <c r="V1314" s="5">
        <f>IFERROR(__xludf.DUMMYFUNCTION("""COMPUTED_VALUE"""),2.0)</f>
        <v>2</v>
      </c>
    </row>
    <row r="1315">
      <c r="J1315" s="5" t="str">
        <f>IFERROR(__xludf.DUMMYFUNCTION("""COMPUTED_VALUE"""),"438🤙🏼Anatomy of a Murder🤙🏼Mystery🤙🏼3")</f>
        <v>438🤙🏼Anatomy of a Murder🤙🏼Mystery🤙🏼3</v>
      </c>
      <c r="K1315" s="5">
        <f>IFERROR(__xludf.DUMMYFUNCTION("SPLiT(J1315, ""🤙🏼"",FALSE,FALSE)"),438.0)</f>
        <v>438</v>
      </c>
      <c r="L1315" s="5" t="str">
        <f>IFERROR(__xludf.DUMMYFUNCTION("""COMPUTED_VALUE"""),"Anatomy of a Murder")</f>
        <v>Anatomy of a Murder</v>
      </c>
      <c r="M1315" s="5" t="str">
        <f>IFERROR(__xludf.DUMMYFUNCTION("""COMPUTED_VALUE"""),"Mystery")</f>
        <v>Mystery</v>
      </c>
      <c r="N1315" s="5">
        <f>IFERROR(__xludf.DUMMYFUNCTION("""COMPUTED_VALUE"""),3.0)</f>
        <v>3</v>
      </c>
      <c r="S1315" s="5">
        <f>IFERROR(__xludf.DUMMYFUNCTION("""COMPUTED_VALUE"""),524.0)</f>
        <v>524</v>
      </c>
      <c r="T1315" s="5" t="str">
        <f>IFERROR(__xludf.DUMMYFUNCTION("""COMPUTED_VALUE"""),"Carlito's Way")</f>
        <v>Carlito's Way</v>
      </c>
      <c r="U1315" s="5" t="str">
        <f>IFERROR(__xludf.DUMMYFUNCTION("""COMPUTED_VALUE"""),"Thriller")</f>
        <v>Thriller</v>
      </c>
      <c r="V1315" s="5">
        <f>IFERROR(__xludf.DUMMYFUNCTION("""COMPUTED_VALUE"""),3.0)</f>
        <v>3</v>
      </c>
    </row>
    <row r="1316">
      <c r="J1316" s="5" t="str">
        <f>IFERROR(__xludf.DUMMYFUNCTION("""COMPUTED_VALUE"""),"439🤙🏼Touch of Evil🤙🏼Crime🤙🏼1")</f>
        <v>439🤙🏼Touch of Evil🤙🏼Crime🤙🏼1</v>
      </c>
      <c r="K1316" s="5">
        <f>IFERROR(__xludf.DUMMYFUNCTION("SPLiT(J1316, ""🤙🏼"",FALSE,FALSE)"),439.0)</f>
        <v>439</v>
      </c>
      <c r="L1316" s="5" t="str">
        <f>IFERROR(__xludf.DUMMYFUNCTION("""COMPUTED_VALUE"""),"Touch of Evil")</f>
        <v>Touch of Evil</v>
      </c>
      <c r="M1316" s="5" t="str">
        <f>IFERROR(__xludf.DUMMYFUNCTION("""COMPUTED_VALUE"""),"Crime")</f>
        <v>Crime</v>
      </c>
      <c r="N1316" s="5">
        <f>IFERROR(__xludf.DUMMYFUNCTION("""COMPUTED_VALUE"""),1.0)</f>
        <v>1</v>
      </c>
      <c r="S1316" s="5">
        <f>IFERROR(__xludf.DUMMYFUNCTION("""COMPUTED_VALUE"""),525.0)</f>
        <v>525</v>
      </c>
      <c r="T1316" s="5" t="str">
        <f>IFERROR(__xludf.DUMMYFUNCTION("""COMPUTED_VALUE"""),"Edward Scissorhands")</f>
        <v>Edward Scissorhands</v>
      </c>
      <c r="U1316" s="5" t="str">
        <f>IFERROR(__xludf.DUMMYFUNCTION("""COMPUTED_VALUE"""),"Drama")</f>
        <v>Drama</v>
      </c>
      <c r="V1316" s="5">
        <f>IFERROR(__xludf.DUMMYFUNCTION("""COMPUTED_VALUE"""),1.0)</f>
        <v>1</v>
      </c>
    </row>
    <row r="1317">
      <c r="J1317" s="5" t="str">
        <f>IFERROR(__xludf.DUMMYFUNCTION("""COMPUTED_VALUE"""),"439🤙🏼Touch of Evil🤙🏼Drama🤙🏼2")</f>
        <v>439🤙🏼Touch of Evil🤙🏼Drama🤙🏼2</v>
      </c>
      <c r="K1317" s="5">
        <f>IFERROR(__xludf.DUMMYFUNCTION("SPLiT(J1317, ""🤙🏼"",FALSE,FALSE)"),439.0)</f>
        <v>439</v>
      </c>
      <c r="L1317" s="5" t="str">
        <f>IFERROR(__xludf.DUMMYFUNCTION("""COMPUTED_VALUE"""),"Touch of Evil")</f>
        <v>Touch of Evil</v>
      </c>
      <c r="M1317" s="5" t="str">
        <f>IFERROR(__xludf.DUMMYFUNCTION("""COMPUTED_VALUE"""),"Drama")</f>
        <v>Drama</v>
      </c>
      <c r="N1317" s="5">
        <f>IFERROR(__xludf.DUMMYFUNCTION("""COMPUTED_VALUE"""),2.0)</f>
        <v>2</v>
      </c>
      <c r="S1317" s="5">
        <f>IFERROR(__xludf.DUMMYFUNCTION("""COMPUTED_VALUE"""),525.0)</f>
        <v>525</v>
      </c>
      <c r="T1317" s="5" t="str">
        <f>IFERROR(__xludf.DUMMYFUNCTION("""COMPUTED_VALUE"""),"Edward Scissorhands")</f>
        <v>Edward Scissorhands</v>
      </c>
      <c r="U1317" s="5" t="str">
        <f>IFERROR(__xludf.DUMMYFUNCTION("""COMPUTED_VALUE"""),"Fantasy")</f>
        <v>Fantasy</v>
      </c>
      <c r="V1317" s="5">
        <f>IFERROR(__xludf.DUMMYFUNCTION("""COMPUTED_VALUE"""),2.0)</f>
        <v>2</v>
      </c>
    </row>
    <row r="1318">
      <c r="J1318" s="5" t="str">
        <f>IFERROR(__xludf.DUMMYFUNCTION("""COMPUTED_VALUE"""),"439🤙🏼Touch of Evil🤙🏼Film-Noir🤙🏼3")</f>
        <v>439🤙🏼Touch of Evil🤙🏼Film-Noir🤙🏼3</v>
      </c>
      <c r="K1318" s="5">
        <f>IFERROR(__xludf.DUMMYFUNCTION("SPLiT(J1318, ""🤙🏼"",FALSE,FALSE)"),439.0)</f>
        <v>439</v>
      </c>
      <c r="L1318" s="5" t="str">
        <f>IFERROR(__xludf.DUMMYFUNCTION("""COMPUTED_VALUE"""),"Touch of Evil")</f>
        <v>Touch of Evil</v>
      </c>
      <c r="M1318" s="5" t="str">
        <f>IFERROR(__xludf.DUMMYFUNCTION("""COMPUTED_VALUE"""),"Film-Noir")</f>
        <v>Film-Noir</v>
      </c>
      <c r="N1318" s="5">
        <f>IFERROR(__xludf.DUMMYFUNCTION("""COMPUTED_VALUE"""),3.0)</f>
        <v>3</v>
      </c>
      <c r="S1318" s="5">
        <f>IFERROR(__xludf.DUMMYFUNCTION("""COMPUTED_VALUE"""),525.0)</f>
        <v>525</v>
      </c>
      <c r="T1318" s="5" t="str">
        <f>IFERROR(__xludf.DUMMYFUNCTION("""COMPUTED_VALUE"""),"Edward Scissorhands")</f>
        <v>Edward Scissorhands</v>
      </c>
      <c r="U1318" s="5" t="str">
        <f>IFERROR(__xludf.DUMMYFUNCTION("""COMPUTED_VALUE"""),"Romance")</f>
        <v>Romance</v>
      </c>
      <c r="V1318" s="5">
        <f>IFERROR(__xludf.DUMMYFUNCTION("""COMPUTED_VALUE"""),3.0)</f>
        <v>3</v>
      </c>
    </row>
    <row r="1319">
      <c r="J1319" s="5" t="str">
        <f>IFERROR(__xludf.DUMMYFUNCTION("""COMPUTED_VALUE"""),"440🤙🏼Cat on a Hot Tin Roof🤙🏼Drama🤙🏼1")</f>
        <v>440🤙🏼Cat on a Hot Tin Roof🤙🏼Drama🤙🏼1</v>
      </c>
      <c r="K1319" s="5">
        <f>IFERROR(__xludf.DUMMYFUNCTION("SPLiT(J1319, ""🤙🏼"",FALSE,FALSE)"),440.0)</f>
        <v>440</v>
      </c>
      <c r="L1319" s="5" t="str">
        <f>IFERROR(__xludf.DUMMYFUNCTION("""COMPUTED_VALUE"""),"Cat on a Hot Tin Roof")</f>
        <v>Cat on a Hot Tin Roof</v>
      </c>
      <c r="M1319" s="5" t="str">
        <f>IFERROR(__xludf.DUMMYFUNCTION("""COMPUTED_VALUE"""),"Drama")</f>
        <v>Drama</v>
      </c>
      <c r="N1319" s="5">
        <f>IFERROR(__xludf.DUMMYFUNCTION("""COMPUTED_VALUE"""),1.0)</f>
        <v>1</v>
      </c>
      <c r="S1319" s="5">
        <f>IFERROR(__xludf.DUMMYFUNCTION("""COMPUTED_VALUE"""),526.0)</f>
        <v>526</v>
      </c>
      <c r="T1319" s="5" t="str">
        <f>IFERROR(__xludf.DUMMYFUNCTION("""COMPUTED_VALUE"""),"My Left Foot: The Story of Christy Brown")</f>
        <v>My Left Foot: The Story of Christy Brown</v>
      </c>
      <c r="U1319" s="5" t="str">
        <f>IFERROR(__xludf.DUMMYFUNCTION("""COMPUTED_VALUE"""),"Biography")</f>
        <v>Biography</v>
      </c>
      <c r="V1319" s="5">
        <f>IFERROR(__xludf.DUMMYFUNCTION("""COMPUTED_VALUE"""),1.0)</f>
        <v>1</v>
      </c>
    </row>
    <row r="1320">
      <c r="J1320" s="5" t="str">
        <f>IFERROR(__xludf.DUMMYFUNCTION("""COMPUTED_VALUE"""),"440🤙🏼Cat on a Hot Tin Roof🤙🏼🤙🏼2")</f>
        <v>440🤙🏼Cat on a Hot Tin Roof🤙🏼🤙🏼2</v>
      </c>
      <c r="K1320" s="5">
        <f>IFERROR(__xludf.DUMMYFUNCTION("SPLiT(J1320, ""🤙🏼"",FALSE,FALSE)"),440.0)</f>
        <v>440</v>
      </c>
      <c r="L1320" s="5" t="str">
        <f>IFERROR(__xludf.DUMMYFUNCTION("""COMPUTED_VALUE"""),"Cat on a Hot Tin Roof")</f>
        <v>Cat on a Hot Tin Roof</v>
      </c>
      <c r="M1320" s="5"/>
      <c r="N1320" s="5">
        <f>IFERROR(__xludf.DUMMYFUNCTION("""COMPUTED_VALUE"""),2.0)</f>
        <v>2</v>
      </c>
      <c r="S1320" s="5">
        <f>IFERROR(__xludf.DUMMYFUNCTION("""COMPUTED_VALUE"""),526.0)</f>
        <v>526</v>
      </c>
      <c r="T1320" s="5" t="str">
        <f>IFERROR(__xludf.DUMMYFUNCTION("""COMPUTED_VALUE"""),"My Left Foot: The Story of Christy Brown")</f>
        <v>My Left Foot: The Story of Christy Brown</v>
      </c>
      <c r="U1320" s="5" t="str">
        <f>IFERROR(__xludf.DUMMYFUNCTION("""COMPUTED_VALUE"""),"Drama")</f>
        <v>Drama</v>
      </c>
      <c r="V1320" s="5">
        <f>IFERROR(__xludf.DUMMYFUNCTION("""COMPUTED_VALUE"""),2.0)</f>
        <v>2</v>
      </c>
    </row>
    <row r="1321">
      <c r="J1321" s="5" t="str">
        <f>IFERROR(__xludf.DUMMYFUNCTION("""COMPUTED_VALUE"""),"440🤙🏼Cat on a Hot Tin Roof🤙🏼🤙🏼3")</f>
        <v>440🤙🏼Cat on a Hot Tin Roof🤙🏼🤙🏼3</v>
      </c>
      <c r="K1321" s="5">
        <f>IFERROR(__xludf.DUMMYFUNCTION("SPLiT(J1321, ""🤙🏼"",FALSE,FALSE)"),440.0)</f>
        <v>440</v>
      </c>
      <c r="L1321" s="5" t="str">
        <f>IFERROR(__xludf.DUMMYFUNCTION("""COMPUTED_VALUE"""),"Cat on a Hot Tin Roof")</f>
        <v>Cat on a Hot Tin Roof</v>
      </c>
      <c r="M1321" s="5"/>
      <c r="N1321" s="5">
        <f>IFERROR(__xludf.DUMMYFUNCTION("""COMPUTED_VALUE"""),3.0)</f>
        <v>3</v>
      </c>
      <c r="S1321" s="5">
        <f>IFERROR(__xludf.DUMMYFUNCTION("""COMPUTED_VALUE"""),527.0)</f>
        <v>527</v>
      </c>
      <c r="T1321" s="5" t="str">
        <f>IFERROR(__xludf.DUMMYFUNCTION("""COMPUTED_VALUE"""),"Crimes and Misdemeanors")</f>
        <v>Crimes and Misdemeanors</v>
      </c>
      <c r="U1321" s="5" t="str">
        <f>IFERROR(__xludf.DUMMYFUNCTION("""COMPUTED_VALUE"""),"Comedy")</f>
        <v>Comedy</v>
      </c>
      <c r="V1321" s="5">
        <f>IFERROR(__xludf.DUMMYFUNCTION("""COMPUTED_VALUE"""),1.0)</f>
        <v>1</v>
      </c>
    </row>
    <row r="1322">
      <c r="J1322" s="5" t="str">
        <f>IFERROR(__xludf.DUMMYFUNCTION("""COMPUTED_VALUE"""),"441🤙🏼Sweet Smell of Success🤙🏼Drama🤙🏼1")</f>
        <v>441🤙🏼Sweet Smell of Success🤙🏼Drama🤙🏼1</v>
      </c>
      <c r="K1322" s="5">
        <f>IFERROR(__xludf.DUMMYFUNCTION("SPLiT(J1322, ""🤙🏼"",FALSE,FALSE)"),441.0)</f>
        <v>441</v>
      </c>
      <c r="L1322" s="5" t="str">
        <f>IFERROR(__xludf.DUMMYFUNCTION("""COMPUTED_VALUE"""),"Sweet Smell of Success")</f>
        <v>Sweet Smell of Success</v>
      </c>
      <c r="M1322" s="5" t="str">
        <f>IFERROR(__xludf.DUMMYFUNCTION("""COMPUTED_VALUE"""),"Drama")</f>
        <v>Drama</v>
      </c>
      <c r="N1322" s="5">
        <f>IFERROR(__xludf.DUMMYFUNCTION("""COMPUTED_VALUE"""),1.0)</f>
        <v>1</v>
      </c>
      <c r="S1322" s="5">
        <f>IFERROR(__xludf.DUMMYFUNCTION("""COMPUTED_VALUE"""),527.0)</f>
        <v>527</v>
      </c>
      <c r="T1322" s="5" t="str">
        <f>IFERROR(__xludf.DUMMYFUNCTION("""COMPUTED_VALUE"""),"Crimes and Misdemeanors")</f>
        <v>Crimes and Misdemeanors</v>
      </c>
      <c r="U1322" s="5" t="str">
        <f>IFERROR(__xludf.DUMMYFUNCTION("""COMPUTED_VALUE"""),"Drama")</f>
        <v>Drama</v>
      </c>
      <c r="V1322" s="5">
        <f>IFERROR(__xludf.DUMMYFUNCTION("""COMPUTED_VALUE"""),2.0)</f>
        <v>2</v>
      </c>
    </row>
    <row r="1323">
      <c r="J1323" s="5" t="str">
        <f>IFERROR(__xludf.DUMMYFUNCTION("""COMPUTED_VALUE"""),"441🤙🏼Sweet Smell of Success🤙🏼Film-Noir🤙🏼2")</f>
        <v>441🤙🏼Sweet Smell of Success🤙🏼Film-Noir🤙🏼2</v>
      </c>
      <c r="K1323" s="5">
        <f>IFERROR(__xludf.DUMMYFUNCTION("SPLiT(J1323, ""🤙🏼"",FALSE,FALSE)"),441.0)</f>
        <v>441</v>
      </c>
      <c r="L1323" s="5" t="str">
        <f>IFERROR(__xludf.DUMMYFUNCTION("""COMPUTED_VALUE"""),"Sweet Smell of Success")</f>
        <v>Sweet Smell of Success</v>
      </c>
      <c r="M1323" s="5" t="str">
        <f>IFERROR(__xludf.DUMMYFUNCTION("""COMPUTED_VALUE"""),"Film-Noir")</f>
        <v>Film-Noir</v>
      </c>
      <c r="N1323" s="5">
        <f>IFERROR(__xludf.DUMMYFUNCTION("""COMPUTED_VALUE"""),2.0)</f>
        <v>2</v>
      </c>
      <c r="S1323" s="5">
        <f>IFERROR(__xludf.DUMMYFUNCTION("""COMPUTED_VALUE"""),528.0)</f>
        <v>528</v>
      </c>
      <c r="T1323" s="5" t="str">
        <f>IFERROR(__xludf.DUMMYFUNCTION("""COMPUTED_VALUE"""),"The Untouchables")</f>
        <v>The Untouchables</v>
      </c>
      <c r="U1323" s="5" t="str">
        <f>IFERROR(__xludf.DUMMYFUNCTION("""COMPUTED_VALUE"""),"Crime")</f>
        <v>Crime</v>
      </c>
      <c r="V1323" s="5">
        <f>IFERROR(__xludf.DUMMYFUNCTION("""COMPUTED_VALUE"""),1.0)</f>
        <v>1</v>
      </c>
    </row>
    <row r="1324">
      <c r="J1324" s="5" t="str">
        <f>IFERROR(__xludf.DUMMYFUNCTION("""COMPUTED_VALUE"""),"441🤙🏼Sweet Smell of Success🤙🏼🤙🏼3")</f>
        <v>441🤙🏼Sweet Smell of Success🤙🏼🤙🏼3</v>
      </c>
      <c r="K1324" s="5">
        <f>IFERROR(__xludf.DUMMYFUNCTION("SPLiT(J1324, ""🤙🏼"",FALSE,FALSE)"),441.0)</f>
        <v>441</v>
      </c>
      <c r="L1324" s="5" t="str">
        <f>IFERROR(__xludf.DUMMYFUNCTION("""COMPUTED_VALUE"""),"Sweet Smell of Success")</f>
        <v>Sweet Smell of Success</v>
      </c>
      <c r="M1324" s="5"/>
      <c r="N1324" s="5">
        <f>IFERROR(__xludf.DUMMYFUNCTION("""COMPUTED_VALUE"""),3.0)</f>
        <v>3</v>
      </c>
      <c r="S1324" s="5">
        <f>IFERROR(__xludf.DUMMYFUNCTION("""COMPUTED_VALUE"""),528.0)</f>
        <v>528</v>
      </c>
      <c r="T1324" s="5" t="str">
        <f>IFERROR(__xludf.DUMMYFUNCTION("""COMPUTED_VALUE"""),"The Untouchables")</f>
        <v>The Untouchables</v>
      </c>
      <c r="U1324" s="5" t="str">
        <f>IFERROR(__xludf.DUMMYFUNCTION("""COMPUTED_VALUE"""),"Drama")</f>
        <v>Drama</v>
      </c>
      <c r="V1324" s="5">
        <f>IFERROR(__xludf.DUMMYFUNCTION("""COMPUTED_VALUE"""),2.0)</f>
        <v>2</v>
      </c>
    </row>
    <row r="1325">
      <c r="J1325" s="5" t="str">
        <f>IFERROR(__xludf.DUMMYFUNCTION("""COMPUTED_VALUE"""),"442🤙🏼The Killing🤙🏼Crime🤙🏼1")</f>
        <v>442🤙🏼The Killing🤙🏼Crime🤙🏼1</v>
      </c>
      <c r="K1325" s="5">
        <f>IFERROR(__xludf.DUMMYFUNCTION("SPLiT(J1325, ""🤙🏼"",FALSE,FALSE)"),442.0)</f>
        <v>442</v>
      </c>
      <c r="L1325" s="5" t="str">
        <f>IFERROR(__xludf.DUMMYFUNCTION("""COMPUTED_VALUE"""),"The Killing")</f>
        <v>The Killing</v>
      </c>
      <c r="M1325" s="5" t="str">
        <f>IFERROR(__xludf.DUMMYFUNCTION("""COMPUTED_VALUE"""),"Crime")</f>
        <v>Crime</v>
      </c>
      <c r="N1325" s="5">
        <f>IFERROR(__xludf.DUMMYFUNCTION("""COMPUTED_VALUE"""),1.0)</f>
        <v>1</v>
      </c>
      <c r="S1325" s="5">
        <f>IFERROR(__xludf.DUMMYFUNCTION("""COMPUTED_VALUE"""),528.0)</f>
        <v>528</v>
      </c>
      <c r="T1325" s="5" t="str">
        <f>IFERROR(__xludf.DUMMYFUNCTION("""COMPUTED_VALUE"""),"The Untouchables")</f>
        <v>The Untouchables</v>
      </c>
      <c r="U1325" s="5" t="str">
        <f>IFERROR(__xludf.DUMMYFUNCTION("""COMPUTED_VALUE"""),"Thriller")</f>
        <v>Thriller</v>
      </c>
      <c r="V1325" s="5">
        <f>IFERROR(__xludf.DUMMYFUNCTION("""COMPUTED_VALUE"""),3.0)</f>
        <v>3</v>
      </c>
    </row>
    <row r="1326">
      <c r="J1326" s="5" t="str">
        <f>IFERROR(__xludf.DUMMYFUNCTION("""COMPUTED_VALUE"""),"442🤙🏼The Killing🤙🏼Drama🤙🏼2")</f>
        <v>442🤙🏼The Killing🤙🏼Drama🤙🏼2</v>
      </c>
      <c r="K1326" s="5">
        <f>IFERROR(__xludf.DUMMYFUNCTION("SPLiT(J1326, ""🤙🏼"",FALSE,FALSE)"),442.0)</f>
        <v>442</v>
      </c>
      <c r="L1326" s="5" t="str">
        <f>IFERROR(__xludf.DUMMYFUNCTION("""COMPUTED_VALUE"""),"The Killing")</f>
        <v>The Killing</v>
      </c>
      <c r="M1326" s="5" t="str">
        <f>IFERROR(__xludf.DUMMYFUNCTION("""COMPUTED_VALUE"""),"Drama")</f>
        <v>Drama</v>
      </c>
      <c r="N1326" s="5">
        <f>IFERROR(__xludf.DUMMYFUNCTION("""COMPUTED_VALUE"""),2.0)</f>
        <v>2</v>
      </c>
      <c r="S1326" s="5">
        <f>IFERROR(__xludf.DUMMYFUNCTION("""COMPUTED_VALUE"""),529.0)</f>
        <v>529</v>
      </c>
      <c r="T1326" s="5" t="str">
        <f>IFERROR(__xludf.DUMMYFUNCTION("""COMPUTED_VALUE"""),"Hannah and Her Sisters")</f>
        <v>Hannah and Her Sisters</v>
      </c>
      <c r="U1326" s="5" t="str">
        <f>IFERROR(__xludf.DUMMYFUNCTION("""COMPUTED_VALUE"""),"Comedy")</f>
        <v>Comedy</v>
      </c>
      <c r="V1326" s="5">
        <f>IFERROR(__xludf.DUMMYFUNCTION("""COMPUTED_VALUE"""),1.0)</f>
        <v>1</v>
      </c>
    </row>
    <row r="1327">
      <c r="J1327" s="5" t="str">
        <f>IFERROR(__xludf.DUMMYFUNCTION("""COMPUTED_VALUE"""),"442🤙🏼The Killing🤙🏼Film-Noir🤙🏼3")</f>
        <v>442🤙🏼The Killing🤙🏼Film-Noir🤙🏼3</v>
      </c>
      <c r="K1327" s="5">
        <f>IFERROR(__xludf.DUMMYFUNCTION("SPLiT(J1327, ""🤙🏼"",FALSE,FALSE)"),442.0)</f>
        <v>442</v>
      </c>
      <c r="L1327" s="5" t="str">
        <f>IFERROR(__xludf.DUMMYFUNCTION("""COMPUTED_VALUE"""),"The Killing")</f>
        <v>The Killing</v>
      </c>
      <c r="M1327" s="5" t="str">
        <f>IFERROR(__xludf.DUMMYFUNCTION("""COMPUTED_VALUE"""),"Film-Noir")</f>
        <v>Film-Noir</v>
      </c>
      <c r="N1327" s="5">
        <f>IFERROR(__xludf.DUMMYFUNCTION("""COMPUTED_VALUE"""),3.0)</f>
        <v>3</v>
      </c>
      <c r="S1327" s="5">
        <f>IFERROR(__xludf.DUMMYFUNCTION("""COMPUTED_VALUE"""),529.0)</f>
        <v>529</v>
      </c>
      <c r="T1327" s="5" t="str">
        <f>IFERROR(__xludf.DUMMYFUNCTION("""COMPUTED_VALUE"""),"Hannah and Her Sisters")</f>
        <v>Hannah and Her Sisters</v>
      </c>
      <c r="U1327" s="5" t="str">
        <f>IFERROR(__xludf.DUMMYFUNCTION("""COMPUTED_VALUE"""),"Drama")</f>
        <v>Drama</v>
      </c>
      <c r="V1327" s="5">
        <f>IFERROR(__xludf.DUMMYFUNCTION("""COMPUTED_VALUE"""),2.0)</f>
        <v>2</v>
      </c>
    </row>
    <row r="1328">
      <c r="J1328" s="5" t="str">
        <f>IFERROR(__xludf.DUMMYFUNCTION("""COMPUTED_VALUE"""),"443🤙🏼The Night of the Hunter🤙🏼Crime🤙🏼1")</f>
        <v>443🤙🏼The Night of the Hunter🤙🏼Crime🤙🏼1</v>
      </c>
      <c r="K1328" s="5">
        <f>IFERROR(__xludf.DUMMYFUNCTION("SPLiT(J1328, ""🤙🏼"",FALSE,FALSE)"),443.0)</f>
        <v>443</v>
      </c>
      <c r="L1328" s="5" t="str">
        <f>IFERROR(__xludf.DUMMYFUNCTION("""COMPUTED_VALUE"""),"The Night of the Hunter")</f>
        <v>The Night of the Hunter</v>
      </c>
      <c r="M1328" s="5" t="str">
        <f>IFERROR(__xludf.DUMMYFUNCTION("""COMPUTED_VALUE"""),"Crime")</f>
        <v>Crime</v>
      </c>
      <c r="N1328" s="5">
        <f>IFERROR(__xludf.DUMMYFUNCTION("""COMPUTED_VALUE"""),1.0)</f>
        <v>1</v>
      </c>
      <c r="S1328" s="5">
        <f>IFERROR(__xludf.DUMMYFUNCTION("""COMPUTED_VALUE"""),530.0)</f>
        <v>530</v>
      </c>
      <c r="T1328" s="5" t="str">
        <f>IFERROR(__xludf.DUMMYFUNCTION("""COMPUTED_VALUE"""),"Brazil")</f>
        <v>Brazil</v>
      </c>
      <c r="U1328" s="5" t="str">
        <f>IFERROR(__xludf.DUMMYFUNCTION("""COMPUTED_VALUE"""),"Drama")</f>
        <v>Drama</v>
      </c>
      <c r="V1328" s="5">
        <f>IFERROR(__xludf.DUMMYFUNCTION("""COMPUTED_VALUE"""),1.0)</f>
        <v>1</v>
      </c>
    </row>
    <row r="1329">
      <c r="J1329" s="5" t="str">
        <f>IFERROR(__xludf.DUMMYFUNCTION("""COMPUTED_VALUE"""),"443🤙🏼The Night of the Hunter🤙🏼Drama🤙🏼2")</f>
        <v>443🤙🏼The Night of the Hunter🤙🏼Drama🤙🏼2</v>
      </c>
      <c r="K1329" s="5">
        <f>IFERROR(__xludf.DUMMYFUNCTION("SPLiT(J1329, ""🤙🏼"",FALSE,FALSE)"),443.0)</f>
        <v>443</v>
      </c>
      <c r="L1329" s="5" t="str">
        <f>IFERROR(__xludf.DUMMYFUNCTION("""COMPUTED_VALUE"""),"The Night of the Hunter")</f>
        <v>The Night of the Hunter</v>
      </c>
      <c r="M1329" s="5" t="str">
        <f>IFERROR(__xludf.DUMMYFUNCTION("""COMPUTED_VALUE"""),"Drama")</f>
        <v>Drama</v>
      </c>
      <c r="N1329" s="5">
        <f>IFERROR(__xludf.DUMMYFUNCTION("""COMPUTED_VALUE"""),2.0)</f>
        <v>2</v>
      </c>
      <c r="S1329" s="5">
        <f>IFERROR(__xludf.DUMMYFUNCTION("""COMPUTED_VALUE"""),530.0)</f>
        <v>530</v>
      </c>
      <c r="T1329" s="5" t="str">
        <f>IFERROR(__xludf.DUMMYFUNCTION("""COMPUTED_VALUE"""),"Brazil")</f>
        <v>Brazil</v>
      </c>
      <c r="U1329" s="5" t="str">
        <f>IFERROR(__xludf.DUMMYFUNCTION("""COMPUTED_VALUE"""),"Sci-Fi")</f>
        <v>Sci-Fi</v>
      </c>
      <c r="V1329" s="5">
        <f>IFERROR(__xludf.DUMMYFUNCTION("""COMPUTED_VALUE"""),2.0)</f>
        <v>2</v>
      </c>
    </row>
    <row r="1330">
      <c r="J1330" s="5" t="str">
        <f>IFERROR(__xludf.DUMMYFUNCTION("""COMPUTED_VALUE"""),"443🤙🏼The Night of the Hunter🤙🏼Film-Noir🤙🏼3")</f>
        <v>443🤙🏼The Night of the Hunter🤙🏼Film-Noir🤙🏼3</v>
      </c>
      <c r="K1330" s="5">
        <f>IFERROR(__xludf.DUMMYFUNCTION("SPLiT(J1330, ""🤙🏼"",FALSE,FALSE)"),443.0)</f>
        <v>443</v>
      </c>
      <c r="L1330" s="5" t="str">
        <f>IFERROR(__xludf.DUMMYFUNCTION("""COMPUTED_VALUE"""),"The Night of the Hunter")</f>
        <v>The Night of the Hunter</v>
      </c>
      <c r="M1330" s="5" t="str">
        <f>IFERROR(__xludf.DUMMYFUNCTION("""COMPUTED_VALUE"""),"Film-Noir")</f>
        <v>Film-Noir</v>
      </c>
      <c r="N1330" s="5">
        <f>IFERROR(__xludf.DUMMYFUNCTION("""COMPUTED_VALUE"""),3.0)</f>
        <v>3</v>
      </c>
      <c r="S1330" s="5">
        <f>IFERROR(__xludf.DUMMYFUNCTION("""COMPUTED_VALUE"""),531.0)</f>
        <v>531</v>
      </c>
      <c r="T1330" s="5" t="str">
        <f>IFERROR(__xludf.DUMMYFUNCTION("""COMPUTED_VALUE"""),"This Is Spinal Tap")</f>
        <v>This Is Spinal Tap</v>
      </c>
      <c r="U1330" s="5" t="str">
        <f>IFERROR(__xludf.DUMMYFUNCTION("""COMPUTED_VALUE"""),"Comedy")</f>
        <v>Comedy</v>
      </c>
      <c r="V1330" s="5">
        <f>IFERROR(__xludf.DUMMYFUNCTION("""COMPUTED_VALUE"""),1.0)</f>
        <v>1</v>
      </c>
    </row>
    <row r="1331">
      <c r="J1331" s="5" t="str">
        <f>IFERROR(__xludf.DUMMYFUNCTION("""COMPUTED_VALUE"""),"444🤙🏼La Strada🤙🏼Drama🤙🏼1")</f>
        <v>444🤙🏼La Strada🤙🏼Drama🤙🏼1</v>
      </c>
      <c r="K1331" s="5">
        <f>IFERROR(__xludf.DUMMYFUNCTION("SPLiT(J1331, ""🤙🏼"",FALSE,FALSE)"),444.0)</f>
        <v>444</v>
      </c>
      <c r="L1331" s="5" t="str">
        <f>IFERROR(__xludf.DUMMYFUNCTION("""COMPUTED_VALUE"""),"La Strada")</f>
        <v>La Strada</v>
      </c>
      <c r="M1331" s="5" t="str">
        <f>IFERROR(__xludf.DUMMYFUNCTION("""COMPUTED_VALUE"""),"Drama")</f>
        <v>Drama</v>
      </c>
      <c r="N1331" s="5">
        <f>IFERROR(__xludf.DUMMYFUNCTION("""COMPUTED_VALUE"""),1.0)</f>
        <v>1</v>
      </c>
      <c r="S1331" s="5">
        <f>IFERROR(__xludf.DUMMYFUNCTION("""COMPUTED_VALUE"""),531.0)</f>
        <v>531</v>
      </c>
      <c r="T1331" s="5" t="str">
        <f>IFERROR(__xludf.DUMMYFUNCTION("""COMPUTED_VALUE"""),"This Is Spinal Tap")</f>
        <v>This Is Spinal Tap</v>
      </c>
      <c r="U1331" s="5" t="str">
        <f>IFERROR(__xludf.DUMMYFUNCTION("""COMPUTED_VALUE"""),"Music")</f>
        <v>Music</v>
      </c>
      <c r="V1331" s="5">
        <f>IFERROR(__xludf.DUMMYFUNCTION("""COMPUTED_VALUE"""),2.0)</f>
        <v>2</v>
      </c>
    </row>
    <row r="1332">
      <c r="J1332" s="5" t="str">
        <f>IFERROR(__xludf.DUMMYFUNCTION("""COMPUTED_VALUE"""),"444🤙🏼La Strada🤙🏼🤙🏼2")</f>
        <v>444🤙🏼La Strada🤙🏼🤙🏼2</v>
      </c>
      <c r="K1332" s="5">
        <f>IFERROR(__xludf.DUMMYFUNCTION("SPLiT(J1332, ""🤙🏼"",FALSE,FALSE)"),444.0)</f>
        <v>444</v>
      </c>
      <c r="L1332" s="5" t="str">
        <f>IFERROR(__xludf.DUMMYFUNCTION("""COMPUTED_VALUE"""),"La Strada")</f>
        <v>La Strada</v>
      </c>
      <c r="M1332" s="5"/>
      <c r="N1332" s="5">
        <f>IFERROR(__xludf.DUMMYFUNCTION("""COMPUTED_VALUE"""),2.0)</f>
        <v>2</v>
      </c>
      <c r="S1332" s="5">
        <f>IFERROR(__xludf.DUMMYFUNCTION("""COMPUTED_VALUE"""),532.0)</f>
        <v>532</v>
      </c>
      <c r="T1332" s="5" t="str">
        <f>IFERROR(__xludf.DUMMYFUNCTION("""COMPUTED_VALUE"""),"A Christmas Story")</f>
        <v>A Christmas Story</v>
      </c>
      <c r="U1332" s="5" t="str">
        <f>IFERROR(__xludf.DUMMYFUNCTION("""COMPUTED_VALUE"""),"Comedy")</f>
        <v>Comedy</v>
      </c>
      <c r="V1332" s="5">
        <f>IFERROR(__xludf.DUMMYFUNCTION("""COMPUTED_VALUE"""),1.0)</f>
        <v>1</v>
      </c>
    </row>
    <row r="1333">
      <c r="J1333" s="5" t="str">
        <f>IFERROR(__xludf.DUMMYFUNCTION("""COMPUTED_VALUE"""),"444🤙🏼La Strada🤙🏼🤙🏼3")</f>
        <v>444🤙🏼La Strada🤙🏼🤙🏼3</v>
      </c>
      <c r="K1333" s="5">
        <f>IFERROR(__xludf.DUMMYFUNCTION("SPLiT(J1333, ""🤙🏼"",FALSE,FALSE)"),444.0)</f>
        <v>444</v>
      </c>
      <c r="L1333" s="5" t="str">
        <f>IFERROR(__xludf.DUMMYFUNCTION("""COMPUTED_VALUE"""),"La Strada")</f>
        <v>La Strada</v>
      </c>
      <c r="M1333" s="5"/>
      <c r="N1333" s="5">
        <f>IFERROR(__xludf.DUMMYFUNCTION("""COMPUTED_VALUE"""),3.0)</f>
        <v>3</v>
      </c>
      <c r="S1333" s="5">
        <f>IFERROR(__xludf.DUMMYFUNCTION("""COMPUTED_VALUE"""),532.0)</f>
        <v>532</v>
      </c>
      <c r="T1333" s="5" t="str">
        <f>IFERROR(__xludf.DUMMYFUNCTION("""COMPUTED_VALUE"""),"A Christmas Story")</f>
        <v>A Christmas Story</v>
      </c>
      <c r="U1333" s="5" t="str">
        <f>IFERROR(__xludf.DUMMYFUNCTION("""COMPUTED_VALUE"""),"Family")</f>
        <v>Family</v>
      </c>
      <c r="V1333" s="5">
        <f>IFERROR(__xludf.DUMMYFUNCTION("""COMPUTED_VALUE"""),2.0)</f>
        <v>2</v>
      </c>
    </row>
    <row r="1334">
      <c r="J1334" s="5" t="str">
        <f>IFERROR(__xludf.DUMMYFUNCTION("""COMPUTED_VALUE"""),"445🤙🏼Les diaboliques🤙🏼Crime🤙🏼1")</f>
        <v>445🤙🏼Les diaboliques🤙🏼Crime🤙🏼1</v>
      </c>
      <c r="K1334" s="5">
        <f>IFERROR(__xludf.DUMMYFUNCTION("SPLiT(J1334, ""🤙🏼"",FALSE,FALSE)"),445.0)</f>
        <v>445</v>
      </c>
      <c r="L1334" s="5" t="str">
        <f>IFERROR(__xludf.DUMMYFUNCTION("""COMPUTED_VALUE"""),"Les diaboliques")</f>
        <v>Les diaboliques</v>
      </c>
      <c r="M1334" s="5" t="str">
        <f>IFERROR(__xludf.DUMMYFUNCTION("""COMPUTED_VALUE"""),"Crime")</f>
        <v>Crime</v>
      </c>
      <c r="N1334" s="5">
        <f>IFERROR(__xludf.DUMMYFUNCTION("""COMPUTED_VALUE"""),1.0)</f>
        <v>1</v>
      </c>
      <c r="S1334" s="5">
        <f>IFERROR(__xludf.DUMMYFUNCTION("""COMPUTED_VALUE"""),533.0)</f>
        <v>533</v>
      </c>
      <c r="T1334" s="5" t="str">
        <f>IFERROR(__xludf.DUMMYFUNCTION("""COMPUTED_VALUE"""),"The Blues Brothers")</f>
        <v>The Blues Brothers</v>
      </c>
      <c r="U1334" s="5" t="str">
        <f>IFERROR(__xludf.DUMMYFUNCTION("""COMPUTED_VALUE"""),"Action")</f>
        <v>Action</v>
      </c>
      <c r="V1334" s="5">
        <f>IFERROR(__xludf.DUMMYFUNCTION("""COMPUTED_VALUE"""),1.0)</f>
        <v>1</v>
      </c>
    </row>
    <row r="1335">
      <c r="J1335" s="5" t="str">
        <f>IFERROR(__xludf.DUMMYFUNCTION("""COMPUTED_VALUE"""),"445🤙🏼Les diaboliques🤙🏼Drama🤙🏼2")</f>
        <v>445🤙🏼Les diaboliques🤙🏼Drama🤙🏼2</v>
      </c>
      <c r="K1335" s="5">
        <f>IFERROR(__xludf.DUMMYFUNCTION("SPLiT(J1335, ""🤙🏼"",FALSE,FALSE)"),445.0)</f>
        <v>445</v>
      </c>
      <c r="L1335" s="5" t="str">
        <f>IFERROR(__xludf.DUMMYFUNCTION("""COMPUTED_VALUE"""),"Les diaboliques")</f>
        <v>Les diaboliques</v>
      </c>
      <c r="M1335" s="5" t="str">
        <f>IFERROR(__xludf.DUMMYFUNCTION("""COMPUTED_VALUE"""),"Drama")</f>
        <v>Drama</v>
      </c>
      <c r="N1335" s="5">
        <f>IFERROR(__xludf.DUMMYFUNCTION("""COMPUTED_VALUE"""),2.0)</f>
        <v>2</v>
      </c>
      <c r="S1335" s="5">
        <f>IFERROR(__xludf.DUMMYFUNCTION("""COMPUTED_VALUE"""),533.0)</f>
        <v>533</v>
      </c>
      <c r="T1335" s="5" t="str">
        <f>IFERROR(__xludf.DUMMYFUNCTION("""COMPUTED_VALUE"""),"The Blues Brothers")</f>
        <v>The Blues Brothers</v>
      </c>
      <c r="U1335" s="5" t="str">
        <f>IFERROR(__xludf.DUMMYFUNCTION("""COMPUTED_VALUE"""),"Adventure")</f>
        <v>Adventure</v>
      </c>
      <c r="V1335" s="5">
        <f>IFERROR(__xludf.DUMMYFUNCTION("""COMPUTED_VALUE"""),2.0)</f>
        <v>2</v>
      </c>
    </row>
    <row r="1336">
      <c r="J1336" s="5" t="str">
        <f>IFERROR(__xludf.DUMMYFUNCTION("""COMPUTED_VALUE"""),"445🤙🏼Les diaboliques🤙🏼Horror🤙🏼3")</f>
        <v>445🤙🏼Les diaboliques🤙🏼Horror🤙🏼3</v>
      </c>
      <c r="K1336" s="5">
        <f>IFERROR(__xludf.DUMMYFUNCTION("SPLiT(J1336, ""🤙🏼"",FALSE,FALSE)"),445.0)</f>
        <v>445</v>
      </c>
      <c r="L1336" s="5" t="str">
        <f>IFERROR(__xludf.DUMMYFUNCTION("""COMPUTED_VALUE"""),"Les diaboliques")</f>
        <v>Les diaboliques</v>
      </c>
      <c r="M1336" s="5" t="str">
        <f>IFERROR(__xludf.DUMMYFUNCTION("""COMPUTED_VALUE"""),"Horror")</f>
        <v>Horror</v>
      </c>
      <c r="N1336" s="5">
        <f>IFERROR(__xludf.DUMMYFUNCTION("""COMPUTED_VALUE"""),3.0)</f>
        <v>3</v>
      </c>
      <c r="S1336" s="5">
        <f>IFERROR(__xludf.DUMMYFUNCTION("""COMPUTED_VALUE"""),533.0)</f>
        <v>533</v>
      </c>
      <c r="T1336" s="5" t="str">
        <f>IFERROR(__xludf.DUMMYFUNCTION("""COMPUTED_VALUE"""),"The Blues Brothers")</f>
        <v>The Blues Brothers</v>
      </c>
      <c r="U1336" s="5" t="str">
        <f>IFERROR(__xludf.DUMMYFUNCTION("""COMPUTED_VALUE"""),"Comedy")</f>
        <v>Comedy</v>
      </c>
      <c r="V1336" s="5">
        <f>IFERROR(__xludf.DUMMYFUNCTION("""COMPUTED_VALUE"""),3.0)</f>
        <v>3</v>
      </c>
    </row>
    <row r="1337">
      <c r="J1337" s="5" t="str">
        <f>IFERROR(__xludf.DUMMYFUNCTION("""COMPUTED_VALUE"""),"446🤙🏼Stalag 17🤙🏼Comedy🤙🏼1")</f>
        <v>446🤙🏼Stalag 17🤙🏼Comedy🤙🏼1</v>
      </c>
      <c r="K1337" s="5">
        <f>IFERROR(__xludf.DUMMYFUNCTION("SPLiT(J1337, ""🤙🏼"",FALSE,FALSE)"),446.0)</f>
        <v>446</v>
      </c>
      <c r="L1337" s="5" t="str">
        <f>IFERROR(__xludf.DUMMYFUNCTION("""COMPUTED_VALUE"""),"Stalag 17")</f>
        <v>Stalag 17</v>
      </c>
      <c r="M1337" s="5" t="str">
        <f>IFERROR(__xludf.DUMMYFUNCTION("""COMPUTED_VALUE"""),"Comedy")</f>
        <v>Comedy</v>
      </c>
      <c r="N1337" s="5">
        <f>IFERROR(__xludf.DUMMYFUNCTION("""COMPUTED_VALUE"""),1.0)</f>
        <v>1</v>
      </c>
      <c r="S1337" s="5">
        <f>IFERROR(__xludf.DUMMYFUNCTION("""COMPUTED_VALUE"""),534.0)</f>
        <v>534</v>
      </c>
      <c r="T1337" s="5" t="str">
        <f>IFERROR(__xludf.DUMMYFUNCTION("""COMPUTED_VALUE"""),"Manhattan")</f>
        <v>Manhattan</v>
      </c>
      <c r="U1337" s="5" t="str">
        <f>IFERROR(__xludf.DUMMYFUNCTION("""COMPUTED_VALUE"""),"Comedy")</f>
        <v>Comedy</v>
      </c>
      <c r="V1337" s="5">
        <f>IFERROR(__xludf.DUMMYFUNCTION("""COMPUTED_VALUE"""),1.0)</f>
        <v>1</v>
      </c>
    </row>
    <row r="1338">
      <c r="J1338" s="5" t="str">
        <f>IFERROR(__xludf.DUMMYFUNCTION("""COMPUTED_VALUE"""),"446🤙🏼Stalag 17🤙🏼Drama🤙🏼2")</f>
        <v>446🤙🏼Stalag 17🤙🏼Drama🤙🏼2</v>
      </c>
      <c r="K1338" s="5">
        <f>IFERROR(__xludf.DUMMYFUNCTION("SPLiT(J1338, ""🤙🏼"",FALSE,FALSE)"),446.0)</f>
        <v>446</v>
      </c>
      <c r="L1338" s="5" t="str">
        <f>IFERROR(__xludf.DUMMYFUNCTION("""COMPUTED_VALUE"""),"Stalag 17")</f>
        <v>Stalag 17</v>
      </c>
      <c r="M1338" s="5" t="str">
        <f>IFERROR(__xludf.DUMMYFUNCTION("""COMPUTED_VALUE"""),"Drama")</f>
        <v>Drama</v>
      </c>
      <c r="N1338" s="5">
        <f>IFERROR(__xludf.DUMMYFUNCTION("""COMPUTED_VALUE"""),2.0)</f>
        <v>2</v>
      </c>
      <c r="S1338" s="5">
        <f>IFERROR(__xludf.DUMMYFUNCTION("""COMPUTED_VALUE"""),534.0)</f>
        <v>534</v>
      </c>
      <c r="T1338" s="5" t="str">
        <f>IFERROR(__xludf.DUMMYFUNCTION("""COMPUTED_VALUE"""),"Manhattan")</f>
        <v>Manhattan</v>
      </c>
      <c r="U1338" s="5" t="str">
        <f>IFERROR(__xludf.DUMMYFUNCTION("""COMPUTED_VALUE"""),"Drama")</f>
        <v>Drama</v>
      </c>
      <c r="V1338" s="5">
        <f>IFERROR(__xludf.DUMMYFUNCTION("""COMPUTED_VALUE"""),2.0)</f>
        <v>2</v>
      </c>
    </row>
    <row r="1339">
      <c r="J1339" s="5" t="str">
        <f>IFERROR(__xludf.DUMMYFUNCTION("""COMPUTED_VALUE"""),"446🤙🏼Stalag 17🤙🏼War🤙🏼3")</f>
        <v>446🤙🏼Stalag 17🤙🏼War🤙🏼3</v>
      </c>
      <c r="K1339" s="5">
        <f>IFERROR(__xludf.DUMMYFUNCTION("SPLiT(J1339, ""🤙🏼"",FALSE,FALSE)"),446.0)</f>
        <v>446</v>
      </c>
      <c r="L1339" s="5" t="str">
        <f>IFERROR(__xludf.DUMMYFUNCTION("""COMPUTED_VALUE"""),"Stalag 17")</f>
        <v>Stalag 17</v>
      </c>
      <c r="M1339" s="5" t="str">
        <f>IFERROR(__xludf.DUMMYFUNCTION("""COMPUTED_VALUE"""),"War")</f>
        <v>War</v>
      </c>
      <c r="N1339" s="5">
        <f>IFERROR(__xludf.DUMMYFUNCTION("""COMPUTED_VALUE"""),3.0)</f>
        <v>3</v>
      </c>
      <c r="S1339" s="5">
        <f>IFERROR(__xludf.DUMMYFUNCTION("""COMPUTED_VALUE"""),534.0)</f>
        <v>534</v>
      </c>
      <c r="T1339" s="5" t="str">
        <f>IFERROR(__xludf.DUMMYFUNCTION("""COMPUTED_VALUE"""),"Manhattan")</f>
        <v>Manhattan</v>
      </c>
      <c r="U1339" s="5" t="str">
        <f>IFERROR(__xludf.DUMMYFUNCTION("""COMPUTED_VALUE"""),"Romance")</f>
        <v>Romance</v>
      </c>
      <c r="V1339" s="5">
        <f>IFERROR(__xludf.DUMMYFUNCTION("""COMPUTED_VALUE"""),3.0)</f>
        <v>3</v>
      </c>
    </row>
    <row r="1340">
      <c r="J1340" s="5" t="str">
        <f>IFERROR(__xludf.DUMMYFUNCTION("""COMPUTED_VALUE"""),"447🤙🏼Roman Holiday🤙🏼Comedy🤙🏼1")</f>
        <v>447🤙🏼Roman Holiday🤙🏼Comedy🤙🏼1</v>
      </c>
      <c r="K1340" s="5">
        <f>IFERROR(__xludf.DUMMYFUNCTION("SPLiT(J1340, ""🤙🏼"",FALSE,FALSE)"),447.0)</f>
        <v>447</v>
      </c>
      <c r="L1340" s="5" t="str">
        <f>IFERROR(__xludf.DUMMYFUNCTION("""COMPUTED_VALUE"""),"Roman Holiday")</f>
        <v>Roman Holiday</v>
      </c>
      <c r="M1340" s="5" t="str">
        <f>IFERROR(__xludf.DUMMYFUNCTION("""COMPUTED_VALUE"""),"Comedy")</f>
        <v>Comedy</v>
      </c>
      <c r="N1340" s="5">
        <f>IFERROR(__xludf.DUMMYFUNCTION("""COMPUTED_VALUE"""),1.0)</f>
        <v>1</v>
      </c>
      <c r="S1340" s="5">
        <f>IFERROR(__xludf.DUMMYFUNCTION("""COMPUTED_VALUE"""),535.0)</f>
        <v>535</v>
      </c>
      <c r="T1340" s="5" t="str">
        <f>IFERROR(__xludf.DUMMYFUNCTION("""COMPUTED_VALUE"""),"All That Jazz")</f>
        <v>All That Jazz</v>
      </c>
      <c r="U1340" s="5" t="str">
        <f>IFERROR(__xludf.DUMMYFUNCTION("""COMPUTED_VALUE"""),"Drama")</f>
        <v>Drama</v>
      </c>
      <c r="V1340" s="5">
        <f>IFERROR(__xludf.DUMMYFUNCTION("""COMPUTED_VALUE"""),1.0)</f>
        <v>1</v>
      </c>
    </row>
    <row r="1341">
      <c r="J1341" s="5" t="str">
        <f>IFERROR(__xludf.DUMMYFUNCTION("""COMPUTED_VALUE"""),"447🤙🏼Roman Holiday🤙🏼Romance🤙🏼2")</f>
        <v>447🤙🏼Roman Holiday🤙🏼Romance🤙🏼2</v>
      </c>
      <c r="K1341" s="5">
        <f>IFERROR(__xludf.DUMMYFUNCTION("SPLiT(J1341, ""🤙🏼"",FALSE,FALSE)"),447.0)</f>
        <v>447</v>
      </c>
      <c r="L1341" s="5" t="str">
        <f>IFERROR(__xludf.DUMMYFUNCTION("""COMPUTED_VALUE"""),"Roman Holiday")</f>
        <v>Roman Holiday</v>
      </c>
      <c r="M1341" s="5" t="str">
        <f>IFERROR(__xludf.DUMMYFUNCTION("""COMPUTED_VALUE"""),"Romance")</f>
        <v>Romance</v>
      </c>
      <c r="N1341" s="5">
        <f>IFERROR(__xludf.DUMMYFUNCTION("""COMPUTED_VALUE"""),2.0)</f>
        <v>2</v>
      </c>
      <c r="S1341" s="5">
        <f>IFERROR(__xludf.DUMMYFUNCTION("""COMPUTED_VALUE"""),535.0)</f>
        <v>535</v>
      </c>
      <c r="T1341" s="5" t="str">
        <f>IFERROR(__xludf.DUMMYFUNCTION("""COMPUTED_VALUE"""),"All That Jazz")</f>
        <v>All That Jazz</v>
      </c>
      <c r="U1341" s="5" t="str">
        <f>IFERROR(__xludf.DUMMYFUNCTION("""COMPUTED_VALUE"""),"Music")</f>
        <v>Music</v>
      </c>
      <c r="V1341" s="5">
        <f>IFERROR(__xludf.DUMMYFUNCTION("""COMPUTED_VALUE"""),2.0)</f>
        <v>2</v>
      </c>
    </row>
    <row r="1342">
      <c r="J1342" s="5" t="str">
        <f>IFERROR(__xludf.DUMMYFUNCTION("""COMPUTED_VALUE"""),"447🤙🏼Roman Holiday🤙🏼🤙🏼3")</f>
        <v>447🤙🏼Roman Holiday🤙🏼🤙🏼3</v>
      </c>
      <c r="K1342" s="5">
        <f>IFERROR(__xludf.DUMMYFUNCTION("SPLiT(J1342, ""🤙🏼"",FALSE,FALSE)"),447.0)</f>
        <v>447</v>
      </c>
      <c r="L1342" s="5" t="str">
        <f>IFERROR(__xludf.DUMMYFUNCTION("""COMPUTED_VALUE"""),"Roman Holiday")</f>
        <v>Roman Holiday</v>
      </c>
      <c r="M1342" s="5"/>
      <c r="N1342" s="5">
        <f>IFERROR(__xludf.DUMMYFUNCTION("""COMPUTED_VALUE"""),3.0)</f>
        <v>3</v>
      </c>
      <c r="S1342" s="5">
        <f>IFERROR(__xludf.DUMMYFUNCTION("""COMPUTED_VALUE"""),535.0)</f>
        <v>535</v>
      </c>
      <c r="T1342" s="5" t="str">
        <f>IFERROR(__xludf.DUMMYFUNCTION("""COMPUTED_VALUE"""),"All That Jazz")</f>
        <v>All That Jazz</v>
      </c>
      <c r="U1342" s="5" t="str">
        <f>IFERROR(__xludf.DUMMYFUNCTION("""COMPUTED_VALUE"""),"Musical")</f>
        <v>Musical</v>
      </c>
      <c r="V1342" s="5">
        <f>IFERROR(__xludf.DUMMYFUNCTION("""COMPUTED_VALUE"""),3.0)</f>
        <v>3</v>
      </c>
    </row>
    <row r="1343">
      <c r="J1343" s="5" t="str">
        <f>IFERROR(__xludf.DUMMYFUNCTION("""COMPUTED_VALUE"""),"448🤙🏼A Streetcar Named Desire🤙🏼Drama🤙🏼1")</f>
        <v>448🤙🏼A Streetcar Named Desire🤙🏼Drama🤙🏼1</v>
      </c>
      <c r="K1343" s="5">
        <f>IFERROR(__xludf.DUMMYFUNCTION("SPLiT(J1343, ""🤙🏼"",FALSE,FALSE)"),448.0)</f>
        <v>448</v>
      </c>
      <c r="L1343" s="5" t="str">
        <f>IFERROR(__xludf.DUMMYFUNCTION("""COMPUTED_VALUE"""),"A Streetcar Named Desire")</f>
        <v>A Streetcar Named Desire</v>
      </c>
      <c r="M1343" s="5" t="str">
        <f>IFERROR(__xludf.DUMMYFUNCTION("""COMPUTED_VALUE"""),"Drama")</f>
        <v>Drama</v>
      </c>
      <c r="N1343" s="5">
        <f>IFERROR(__xludf.DUMMYFUNCTION("""COMPUTED_VALUE"""),1.0)</f>
        <v>1</v>
      </c>
      <c r="S1343" s="5">
        <f>IFERROR(__xludf.DUMMYFUNCTION("""COMPUTED_VALUE"""),536.0)</f>
        <v>536</v>
      </c>
      <c r="T1343" s="5" t="str">
        <f>IFERROR(__xludf.DUMMYFUNCTION("""COMPUTED_VALUE"""),"Dawn of the Dead")</f>
        <v>Dawn of the Dead</v>
      </c>
      <c r="U1343" s="5" t="str">
        <f>IFERROR(__xludf.DUMMYFUNCTION("""COMPUTED_VALUE"""),"Action")</f>
        <v>Action</v>
      </c>
      <c r="V1343" s="5">
        <f>IFERROR(__xludf.DUMMYFUNCTION("""COMPUTED_VALUE"""),1.0)</f>
        <v>1</v>
      </c>
    </row>
    <row r="1344">
      <c r="J1344" s="5" t="str">
        <f>IFERROR(__xludf.DUMMYFUNCTION("""COMPUTED_VALUE"""),"448🤙🏼A Streetcar Named Desire🤙🏼🤙🏼2")</f>
        <v>448🤙🏼A Streetcar Named Desire🤙🏼🤙🏼2</v>
      </c>
      <c r="K1344" s="5">
        <f>IFERROR(__xludf.DUMMYFUNCTION("SPLiT(J1344, ""🤙🏼"",FALSE,FALSE)"),448.0)</f>
        <v>448</v>
      </c>
      <c r="L1344" s="5" t="str">
        <f>IFERROR(__xludf.DUMMYFUNCTION("""COMPUTED_VALUE"""),"A Streetcar Named Desire")</f>
        <v>A Streetcar Named Desire</v>
      </c>
      <c r="M1344" s="5"/>
      <c r="N1344" s="5">
        <f>IFERROR(__xludf.DUMMYFUNCTION("""COMPUTED_VALUE"""),2.0)</f>
        <v>2</v>
      </c>
      <c r="S1344" s="5">
        <f>IFERROR(__xludf.DUMMYFUNCTION("""COMPUTED_VALUE"""),536.0)</f>
        <v>536</v>
      </c>
      <c r="T1344" s="5" t="str">
        <f>IFERROR(__xludf.DUMMYFUNCTION("""COMPUTED_VALUE"""),"Dawn of the Dead")</f>
        <v>Dawn of the Dead</v>
      </c>
      <c r="U1344" s="5" t="str">
        <f>IFERROR(__xludf.DUMMYFUNCTION("""COMPUTED_VALUE"""),"Adventure")</f>
        <v>Adventure</v>
      </c>
      <c r="V1344" s="5">
        <f>IFERROR(__xludf.DUMMYFUNCTION("""COMPUTED_VALUE"""),2.0)</f>
        <v>2</v>
      </c>
    </row>
    <row r="1345">
      <c r="J1345" s="5" t="str">
        <f>IFERROR(__xludf.DUMMYFUNCTION("""COMPUTED_VALUE"""),"448🤙🏼A Streetcar Named Desire🤙🏼🤙🏼3")</f>
        <v>448🤙🏼A Streetcar Named Desire🤙🏼🤙🏼3</v>
      </c>
      <c r="K1345" s="5">
        <f>IFERROR(__xludf.DUMMYFUNCTION("SPLiT(J1345, ""🤙🏼"",FALSE,FALSE)"),448.0)</f>
        <v>448</v>
      </c>
      <c r="L1345" s="5" t="str">
        <f>IFERROR(__xludf.DUMMYFUNCTION("""COMPUTED_VALUE"""),"A Streetcar Named Desire")</f>
        <v>A Streetcar Named Desire</v>
      </c>
      <c r="M1345" s="5"/>
      <c r="N1345" s="5">
        <f>IFERROR(__xludf.DUMMYFUNCTION("""COMPUTED_VALUE"""),3.0)</f>
        <v>3</v>
      </c>
      <c r="S1345" s="5">
        <f>IFERROR(__xludf.DUMMYFUNCTION("""COMPUTED_VALUE"""),536.0)</f>
        <v>536</v>
      </c>
      <c r="T1345" s="5" t="str">
        <f>IFERROR(__xludf.DUMMYFUNCTION("""COMPUTED_VALUE"""),"Dawn of the Dead")</f>
        <v>Dawn of the Dead</v>
      </c>
      <c r="U1345" s="5" t="str">
        <f>IFERROR(__xludf.DUMMYFUNCTION("""COMPUTED_VALUE"""),"Horror")</f>
        <v>Horror</v>
      </c>
      <c r="V1345" s="5">
        <f>IFERROR(__xludf.DUMMYFUNCTION("""COMPUTED_VALUE"""),3.0)</f>
        <v>3</v>
      </c>
    </row>
    <row r="1346">
      <c r="J1346" s="5" t="str">
        <f>IFERROR(__xludf.DUMMYFUNCTION("""COMPUTED_VALUE"""),"449🤙🏼In a Lonely Place🤙🏼Drama🤙🏼1")</f>
        <v>449🤙🏼In a Lonely Place🤙🏼Drama🤙🏼1</v>
      </c>
      <c r="K1346" s="5">
        <f>IFERROR(__xludf.DUMMYFUNCTION("SPLiT(J1346, ""🤙🏼"",FALSE,FALSE)"),449.0)</f>
        <v>449</v>
      </c>
      <c r="L1346" s="5" t="str">
        <f>IFERROR(__xludf.DUMMYFUNCTION("""COMPUTED_VALUE"""),"In a Lonely Place")</f>
        <v>In a Lonely Place</v>
      </c>
      <c r="M1346" s="5" t="str">
        <f>IFERROR(__xludf.DUMMYFUNCTION("""COMPUTED_VALUE"""),"Drama")</f>
        <v>Drama</v>
      </c>
      <c r="N1346" s="5">
        <f>IFERROR(__xludf.DUMMYFUNCTION("""COMPUTED_VALUE"""),1.0)</f>
        <v>1</v>
      </c>
      <c r="S1346" s="5">
        <f>IFERROR(__xludf.DUMMYFUNCTION("""COMPUTED_VALUE"""),537.0)</f>
        <v>537</v>
      </c>
      <c r="T1346" s="5" t="str">
        <f>IFERROR(__xludf.DUMMYFUNCTION("""COMPUTED_VALUE"""),"All the President's Men")</f>
        <v>All the President's Men</v>
      </c>
      <c r="U1346" s="5" t="str">
        <f>IFERROR(__xludf.DUMMYFUNCTION("""COMPUTED_VALUE"""),"Biography")</f>
        <v>Biography</v>
      </c>
      <c r="V1346" s="5">
        <f>IFERROR(__xludf.DUMMYFUNCTION("""COMPUTED_VALUE"""),1.0)</f>
        <v>1</v>
      </c>
    </row>
    <row r="1347">
      <c r="J1347" s="5" t="str">
        <f>IFERROR(__xludf.DUMMYFUNCTION("""COMPUTED_VALUE"""),"449🤙🏼In a Lonely Place🤙🏼Film-Noir🤙🏼2")</f>
        <v>449🤙🏼In a Lonely Place🤙🏼Film-Noir🤙🏼2</v>
      </c>
      <c r="K1347" s="5">
        <f>IFERROR(__xludf.DUMMYFUNCTION("SPLiT(J1347, ""🤙🏼"",FALSE,FALSE)"),449.0)</f>
        <v>449</v>
      </c>
      <c r="L1347" s="5" t="str">
        <f>IFERROR(__xludf.DUMMYFUNCTION("""COMPUTED_VALUE"""),"In a Lonely Place")</f>
        <v>In a Lonely Place</v>
      </c>
      <c r="M1347" s="5" t="str">
        <f>IFERROR(__xludf.DUMMYFUNCTION("""COMPUTED_VALUE"""),"Film-Noir")</f>
        <v>Film-Noir</v>
      </c>
      <c r="N1347" s="5">
        <f>IFERROR(__xludf.DUMMYFUNCTION("""COMPUTED_VALUE"""),2.0)</f>
        <v>2</v>
      </c>
      <c r="S1347" s="5">
        <f>IFERROR(__xludf.DUMMYFUNCTION("""COMPUTED_VALUE"""),537.0)</f>
        <v>537</v>
      </c>
      <c r="T1347" s="5" t="str">
        <f>IFERROR(__xludf.DUMMYFUNCTION("""COMPUTED_VALUE"""),"All the President's Men")</f>
        <v>All the President's Men</v>
      </c>
      <c r="U1347" s="5" t="str">
        <f>IFERROR(__xludf.DUMMYFUNCTION("""COMPUTED_VALUE"""),"Drama")</f>
        <v>Drama</v>
      </c>
      <c r="V1347" s="5">
        <f>IFERROR(__xludf.DUMMYFUNCTION("""COMPUTED_VALUE"""),2.0)</f>
        <v>2</v>
      </c>
    </row>
    <row r="1348">
      <c r="J1348" s="5" t="str">
        <f>IFERROR(__xludf.DUMMYFUNCTION("""COMPUTED_VALUE"""),"449🤙🏼In a Lonely Place🤙🏼Mystery🤙🏼3")</f>
        <v>449🤙🏼In a Lonely Place🤙🏼Mystery🤙🏼3</v>
      </c>
      <c r="K1348" s="5">
        <f>IFERROR(__xludf.DUMMYFUNCTION("SPLiT(J1348, ""🤙🏼"",FALSE,FALSE)"),449.0)</f>
        <v>449</v>
      </c>
      <c r="L1348" s="5" t="str">
        <f>IFERROR(__xludf.DUMMYFUNCTION("""COMPUTED_VALUE"""),"In a Lonely Place")</f>
        <v>In a Lonely Place</v>
      </c>
      <c r="M1348" s="5" t="str">
        <f>IFERROR(__xludf.DUMMYFUNCTION("""COMPUTED_VALUE"""),"Mystery")</f>
        <v>Mystery</v>
      </c>
      <c r="N1348" s="5">
        <f>IFERROR(__xludf.DUMMYFUNCTION("""COMPUTED_VALUE"""),3.0)</f>
        <v>3</v>
      </c>
      <c r="S1348" s="5">
        <f>IFERROR(__xludf.DUMMYFUNCTION("""COMPUTED_VALUE"""),537.0)</f>
        <v>537</v>
      </c>
      <c r="T1348" s="5" t="str">
        <f>IFERROR(__xludf.DUMMYFUNCTION("""COMPUTED_VALUE"""),"All the President's Men")</f>
        <v>All the President's Men</v>
      </c>
      <c r="U1348" s="5" t="str">
        <f>IFERROR(__xludf.DUMMYFUNCTION("""COMPUTED_VALUE"""),"History")</f>
        <v>History</v>
      </c>
      <c r="V1348" s="5">
        <f>IFERROR(__xludf.DUMMYFUNCTION("""COMPUTED_VALUE"""),3.0)</f>
        <v>3</v>
      </c>
    </row>
    <row r="1349">
      <c r="J1349" s="5" t="str">
        <f>IFERROR(__xludf.DUMMYFUNCTION("""COMPUTED_VALUE"""),"450🤙🏼Kind Hearts and Coronets🤙🏼Comedy🤙🏼1")</f>
        <v>450🤙🏼Kind Hearts and Coronets🤙🏼Comedy🤙🏼1</v>
      </c>
      <c r="K1349" s="5">
        <f>IFERROR(__xludf.DUMMYFUNCTION("SPLiT(J1349, ""🤙🏼"",FALSE,FALSE)"),450.0)</f>
        <v>450</v>
      </c>
      <c r="L1349" s="5" t="str">
        <f>IFERROR(__xludf.DUMMYFUNCTION("""COMPUTED_VALUE"""),"Kind Hearts and Coronets")</f>
        <v>Kind Hearts and Coronets</v>
      </c>
      <c r="M1349" s="5" t="str">
        <f>IFERROR(__xludf.DUMMYFUNCTION("""COMPUTED_VALUE"""),"Comedy")</f>
        <v>Comedy</v>
      </c>
      <c r="N1349" s="5">
        <f>IFERROR(__xludf.DUMMYFUNCTION("""COMPUTED_VALUE"""),1.0)</f>
        <v>1</v>
      </c>
      <c r="S1349" s="5">
        <f>IFERROR(__xludf.DUMMYFUNCTION("""COMPUTED_VALUE"""),538.0)</f>
        <v>538</v>
      </c>
      <c r="T1349" s="5" t="str">
        <f>IFERROR(__xludf.DUMMYFUNCTION("""COMPUTED_VALUE"""),"La montaña sagrada")</f>
        <v>La montaña sagrada</v>
      </c>
      <c r="U1349" s="5" t="str">
        <f>IFERROR(__xludf.DUMMYFUNCTION("""COMPUTED_VALUE"""),"Adventure")</f>
        <v>Adventure</v>
      </c>
      <c r="V1349" s="5">
        <f>IFERROR(__xludf.DUMMYFUNCTION("""COMPUTED_VALUE"""),1.0)</f>
        <v>1</v>
      </c>
    </row>
    <row r="1350">
      <c r="J1350" s="5" t="str">
        <f>IFERROR(__xludf.DUMMYFUNCTION("""COMPUTED_VALUE"""),"450🤙🏼Kind Hearts and Coronets🤙🏼Crime🤙🏼2")</f>
        <v>450🤙🏼Kind Hearts and Coronets🤙🏼Crime🤙🏼2</v>
      </c>
      <c r="K1350" s="5">
        <f>IFERROR(__xludf.DUMMYFUNCTION("SPLiT(J1350, ""🤙🏼"",FALSE,FALSE)"),450.0)</f>
        <v>450</v>
      </c>
      <c r="L1350" s="5" t="str">
        <f>IFERROR(__xludf.DUMMYFUNCTION("""COMPUTED_VALUE"""),"Kind Hearts and Coronets")</f>
        <v>Kind Hearts and Coronets</v>
      </c>
      <c r="M1350" s="5" t="str">
        <f>IFERROR(__xludf.DUMMYFUNCTION("""COMPUTED_VALUE"""),"Crime")</f>
        <v>Crime</v>
      </c>
      <c r="N1350" s="5">
        <f>IFERROR(__xludf.DUMMYFUNCTION("""COMPUTED_VALUE"""),2.0)</f>
        <v>2</v>
      </c>
      <c r="S1350" s="5">
        <f>IFERROR(__xludf.DUMMYFUNCTION("""COMPUTED_VALUE"""),538.0)</f>
        <v>538</v>
      </c>
      <c r="T1350" s="5" t="str">
        <f>IFERROR(__xludf.DUMMYFUNCTION("""COMPUTED_VALUE"""),"La montaña sagrada")</f>
        <v>La montaña sagrada</v>
      </c>
      <c r="U1350" s="5" t="str">
        <f>IFERROR(__xludf.DUMMYFUNCTION("""COMPUTED_VALUE"""),"Drama")</f>
        <v>Drama</v>
      </c>
      <c r="V1350" s="5">
        <f>IFERROR(__xludf.DUMMYFUNCTION("""COMPUTED_VALUE"""),2.0)</f>
        <v>2</v>
      </c>
    </row>
    <row r="1351">
      <c r="J1351" s="5" t="str">
        <f>IFERROR(__xludf.DUMMYFUNCTION("""COMPUTED_VALUE"""),"450🤙🏼Kind Hearts and Coronets🤙🏼🤙🏼3")</f>
        <v>450🤙🏼Kind Hearts and Coronets🤙🏼🤙🏼3</v>
      </c>
      <c r="K1351" s="5">
        <f>IFERROR(__xludf.DUMMYFUNCTION("SPLiT(J1351, ""🤙🏼"",FALSE,FALSE)"),450.0)</f>
        <v>450</v>
      </c>
      <c r="L1351" s="5" t="str">
        <f>IFERROR(__xludf.DUMMYFUNCTION("""COMPUTED_VALUE"""),"Kind Hearts and Coronets")</f>
        <v>Kind Hearts and Coronets</v>
      </c>
      <c r="M1351" s="5"/>
      <c r="N1351" s="5">
        <f>IFERROR(__xludf.DUMMYFUNCTION("""COMPUTED_VALUE"""),3.0)</f>
        <v>3</v>
      </c>
      <c r="S1351" s="5">
        <f>IFERROR(__xludf.DUMMYFUNCTION("""COMPUTED_VALUE"""),538.0)</f>
        <v>538</v>
      </c>
      <c r="T1351" s="5" t="str">
        <f>IFERROR(__xludf.DUMMYFUNCTION("""COMPUTED_VALUE"""),"La montaña sagrada")</f>
        <v>La montaña sagrada</v>
      </c>
      <c r="U1351" s="5" t="str">
        <f>IFERROR(__xludf.DUMMYFUNCTION("""COMPUTED_VALUE"""),"Fantasy")</f>
        <v>Fantasy</v>
      </c>
      <c r="V1351" s="5">
        <f>IFERROR(__xludf.DUMMYFUNCTION("""COMPUTED_VALUE"""),3.0)</f>
        <v>3</v>
      </c>
    </row>
    <row r="1352">
      <c r="J1352" s="5" t="str">
        <f>IFERROR(__xludf.DUMMYFUNCTION("""COMPUTED_VALUE"""),"451🤙🏼Rope🤙🏼Crime🤙🏼1")</f>
        <v>451🤙🏼Rope🤙🏼Crime🤙🏼1</v>
      </c>
      <c r="K1352" s="5">
        <f>IFERROR(__xludf.DUMMYFUNCTION("SPLiT(J1352, ""🤙🏼"",FALSE,FALSE)"),451.0)</f>
        <v>451</v>
      </c>
      <c r="L1352" s="5" t="str">
        <f>IFERROR(__xludf.DUMMYFUNCTION("""COMPUTED_VALUE"""),"Rope")</f>
        <v>Rope</v>
      </c>
      <c r="M1352" s="5" t="str">
        <f>IFERROR(__xludf.DUMMYFUNCTION("""COMPUTED_VALUE"""),"Crime")</f>
        <v>Crime</v>
      </c>
      <c r="N1352" s="5">
        <f>IFERROR(__xludf.DUMMYFUNCTION("""COMPUTED_VALUE"""),1.0)</f>
        <v>1</v>
      </c>
      <c r="S1352" s="5">
        <f>IFERROR(__xludf.DUMMYFUNCTION("""COMPUTED_VALUE"""),539.0)</f>
        <v>539</v>
      </c>
      <c r="T1352" s="5" t="str">
        <f>IFERROR(__xludf.DUMMYFUNCTION("""COMPUTED_VALUE"""),"Amarcord")</f>
        <v>Amarcord</v>
      </c>
      <c r="U1352" s="5" t="str">
        <f>IFERROR(__xludf.DUMMYFUNCTION("""COMPUTED_VALUE"""),"Comedy")</f>
        <v>Comedy</v>
      </c>
      <c r="V1352" s="5">
        <f>IFERROR(__xludf.DUMMYFUNCTION("""COMPUTED_VALUE"""),1.0)</f>
        <v>1</v>
      </c>
    </row>
    <row r="1353">
      <c r="J1353" s="5" t="str">
        <f>IFERROR(__xludf.DUMMYFUNCTION("""COMPUTED_VALUE"""),"451🤙🏼Rope🤙🏼Drama🤙🏼2")</f>
        <v>451🤙🏼Rope🤙🏼Drama🤙🏼2</v>
      </c>
      <c r="K1353" s="5">
        <f>IFERROR(__xludf.DUMMYFUNCTION("SPLiT(J1353, ""🤙🏼"",FALSE,FALSE)"),451.0)</f>
        <v>451</v>
      </c>
      <c r="L1353" s="5" t="str">
        <f>IFERROR(__xludf.DUMMYFUNCTION("""COMPUTED_VALUE"""),"Rope")</f>
        <v>Rope</v>
      </c>
      <c r="M1353" s="5" t="str">
        <f>IFERROR(__xludf.DUMMYFUNCTION("""COMPUTED_VALUE"""),"Drama")</f>
        <v>Drama</v>
      </c>
      <c r="N1353" s="5">
        <f>IFERROR(__xludf.DUMMYFUNCTION("""COMPUTED_VALUE"""),2.0)</f>
        <v>2</v>
      </c>
      <c r="S1353" s="5">
        <f>IFERROR(__xludf.DUMMYFUNCTION("""COMPUTED_VALUE"""),539.0)</f>
        <v>539</v>
      </c>
      <c r="T1353" s="5" t="str">
        <f>IFERROR(__xludf.DUMMYFUNCTION("""COMPUTED_VALUE"""),"Amarcord")</f>
        <v>Amarcord</v>
      </c>
      <c r="U1353" s="5" t="str">
        <f>IFERROR(__xludf.DUMMYFUNCTION("""COMPUTED_VALUE"""),"Drama")</f>
        <v>Drama</v>
      </c>
      <c r="V1353" s="5">
        <f>IFERROR(__xludf.DUMMYFUNCTION("""COMPUTED_VALUE"""),2.0)</f>
        <v>2</v>
      </c>
    </row>
    <row r="1354">
      <c r="J1354" s="5" t="str">
        <f>IFERROR(__xludf.DUMMYFUNCTION("""COMPUTED_VALUE"""),"451🤙🏼Rope🤙🏼Mystery🤙🏼3")</f>
        <v>451🤙🏼Rope🤙🏼Mystery🤙🏼3</v>
      </c>
      <c r="K1354" s="5">
        <f>IFERROR(__xludf.DUMMYFUNCTION("SPLiT(J1354, ""🤙🏼"",FALSE,FALSE)"),451.0)</f>
        <v>451</v>
      </c>
      <c r="L1354" s="5" t="str">
        <f>IFERROR(__xludf.DUMMYFUNCTION("""COMPUTED_VALUE"""),"Rope")</f>
        <v>Rope</v>
      </c>
      <c r="M1354" s="5" t="str">
        <f>IFERROR(__xludf.DUMMYFUNCTION("""COMPUTED_VALUE"""),"Mystery")</f>
        <v>Mystery</v>
      </c>
      <c r="N1354" s="5">
        <f>IFERROR(__xludf.DUMMYFUNCTION("""COMPUTED_VALUE"""),3.0)</f>
        <v>3</v>
      </c>
      <c r="S1354" s="5">
        <f>IFERROR(__xludf.DUMMYFUNCTION("""COMPUTED_VALUE"""),539.0)</f>
        <v>539</v>
      </c>
      <c r="T1354" s="5" t="str">
        <f>IFERROR(__xludf.DUMMYFUNCTION("""COMPUTED_VALUE"""),"Amarcord")</f>
        <v>Amarcord</v>
      </c>
      <c r="U1354" s="5" t="str">
        <f>IFERROR(__xludf.DUMMYFUNCTION("""COMPUTED_VALUE"""),"Family")</f>
        <v>Family</v>
      </c>
      <c r="V1354" s="5">
        <f>IFERROR(__xludf.DUMMYFUNCTION("""COMPUTED_VALUE"""),3.0)</f>
        <v>3</v>
      </c>
    </row>
    <row r="1355">
      <c r="J1355" s="5" t="str">
        <f>IFERROR(__xludf.DUMMYFUNCTION("""COMPUTED_VALUE"""),"452🤙🏼Out of the Past🤙🏼Crime🤙🏼1")</f>
        <v>452🤙🏼Out of the Past🤙🏼Crime🤙🏼1</v>
      </c>
      <c r="K1355" s="5">
        <f>IFERROR(__xludf.DUMMYFUNCTION("SPLiT(J1355, ""🤙🏼"",FALSE,FALSE)"),452.0)</f>
        <v>452</v>
      </c>
      <c r="L1355" s="5" t="str">
        <f>IFERROR(__xludf.DUMMYFUNCTION("""COMPUTED_VALUE"""),"Out of the Past")</f>
        <v>Out of the Past</v>
      </c>
      <c r="M1355" s="5" t="str">
        <f>IFERROR(__xludf.DUMMYFUNCTION("""COMPUTED_VALUE"""),"Crime")</f>
        <v>Crime</v>
      </c>
      <c r="N1355" s="5">
        <f>IFERROR(__xludf.DUMMYFUNCTION("""COMPUTED_VALUE"""),1.0)</f>
        <v>1</v>
      </c>
      <c r="S1355" s="5">
        <f>IFERROR(__xludf.DUMMYFUNCTION("""COMPUTED_VALUE"""),540.0)</f>
        <v>540</v>
      </c>
      <c r="T1355" s="5" t="str">
        <f>IFERROR(__xludf.DUMMYFUNCTION("""COMPUTED_VALUE"""),"Le charme discret de la bourgeoisie")</f>
        <v>Le charme discret de la bourgeoisie</v>
      </c>
      <c r="U1355" s="5" t="str">
        <f>IFERROR(__xludf.DUMMYFUNCTION("""COMPUTED_VALUE"""),"Comedy")</f>
        <v>Comedy</v>
      </c>
      <c r="V1355" s="5">
        <f>IFERROR(__xludf.DUMMYFUNCTION("""COMPUTED_VALUE"""),1.0)</f>
        <v>1</v>
      </c>
    </row>
    <row r="1356">
      <c r="J1356" s="5" t="str">
        <f>IFERROR(__xludf.DUMMYFUNCTION("""COMPUTED_VALUE"""),"452🤙🏼Out of the Past🤙🏼Drama🤙🏼2")</f>
        <v>452🤙🏼Out of the Past🤙🏼Drama🤙🏼2</v>
      </c>
      <c r="K1356" s="5">
        <f>IFERROR(__xludf.DUMMYFUNCTION("SPLiT(J1356, ""🤙🏼"",FALSE,FALSE)"),452.0)</f>
        <v>452</v>
      </c>
      <c r="L1356" s="5" t="str">
        <f>IFERROR(__xludf.DUMMYFUNCTION("""COMPUTED_VALUE"""),"Out of the Past")</f>
        <v>Out of the Past</v>
      </c>
      <c r="M1356" s="5" t="str">
        <f>IFERROR(__xludf.DUMMYFUNCTION("""COMPUTED_VALUE"""),"Drama")</f>
        <v>Drama</v>
      </c>
      <c r="N1356" s="5">
        <f>IFERROR(__xludf.DUMMYFUNCTION("""COMPUTED_VALUE"""),2.0)</f>
        <v>2</v>
      </c>
      <c r="S1356" s="5">
        <f>IFERROR(__xludf.DUMMYFUNCTION("""COMPUTED_VALUE"""),541.0)</f>
        <v>541</v>
      </c>
      <c r="T1356" s="5" t="str">
        <f>IFERROR(__xludf.DUMMYFUNCTION("""COMPUTED_VALUE"""),"Aguirre, der Zorn Gottes")</f>
        <v>Aguirre, der Zorn Gottes</v>
      </c>
      <c r="U1356" s="5" t="str">
        <f>IFERROR(__xludf.DUMMYFUNCTION("""COMPUTED_VALUE"""),"Action")</f>
        <v>Action</v>
      </c>
      <c r="V1356" s="5">
        <f>IFERROR(__xludf.DUMMYFUNCTION("""COMPUTED_VALUE"""),1.0)</f>
        <v>1</v>
      </c>
    </row>
    <row r="1357">
      <c r="J1357" s="5" t="str">
        <f>IFERROR(__xludf.DUMMYFUNCTION("""COMPUTED_VALUE"""),"452🤙🏼Out of the Past🤙🏼Film-Noir🤙🏼3")</f>
        <v>452🤙🏼Out of the Past🤙🏼Film-Noir🤙🏼3</v>
      </c>
      <c r="K1357" s="5">
        <f>IFERROR(__xludf.DUMMYFUNCTION("SPLiT(J1357, ""🤙🏼"",FALSE,FALSE)"),452.0)</f>
        <v>452</v>
      </c>
      <c r="L1357" s="5" t="str">
        <f>IFERROR(__xludf.DUMMYFUNCTION("""COMPUTED_VALUE"""),"Out of the Past")</f>
        <v>Out of the Past</v>
      </c>
      <c r="M1357" s="5" t="str">
        <f>IFERROR(__xludf.DUMMYFUNCTION("""COMPUTED_VALUE"""),"Film-Noir")</f>
        <v>Film-Noir</v>
      </c>
      <c r="N1357" s="5">
        <f>IFERROR(__xludf.DUMMYFUNCTION("""COMPUTED_VALUE"""),3.0)</f>
        <v>3</v>
      </c>
      <c r="S1357" s="5">
        <f>IFERROR(__xludf.DUMMYFUNCTION("""COMPUTED_VALUE"""),541.0)</f>
        <v>541</v>
      </c>
      <c r="T1357" s="5" t="str">
        <f>IFERROR(__xludf.DUMMYFUNCTION("""COMPUTED_VALUE"""),"Aguirre, der Zorn Gottes")</f>
        <v>Aguirre, der Zorn Gottes</v>
      </c>
      <c r="U1357" s="5" t="str">
        <f>IFERROR(__xludf.DUMMYFUNCTION("""COMPUTED_VALUE"""),"Adventure")</f>
        <v>Adventure</v>
      </c>
      <c r="V1357" s="5">
        <f>IFERROR(__xludf.DUMMYFUNCTION("""COMPUTED_VALUE"""),2.0)</f>
        <v>2</v>
      </c>
    </row>
    <row r="1358">
      <c r="J1358" s="5" t="str">
        <f>IFERROR(__xludf.DUMMYFUNCTION("""COMPUTED_VALUE"""),"453🤙🏼Brief Encounter🤙🏼Drama🤙🏼1")</f>
        <v>453🤙🏼Brief Encounter🤙🏼Drama🤙🏼1</v>
      </c>
      <c r="K1358" s="5">
        <f>IFERROR(__xludf.DUMMYFUNCTION("SPLiT(J1358, ""🤙🏼"",FALSE,FALSE)"),453.0)</f>
        <v>453</v>
      </c>
      <c r="L1358" s="5" t="str">
        <f>IFERROR(__xludf.DUMMYFUNCTION("""COMPUTED_VALUE"""),"Brief Encounter")</f>
        <v>Brief Encounter</v>
      </c>
      <c r="M1358" s="5" t="str">
        <f>IFERROR(__xludf.DUMMYFUNCTION("""COMPUTED_VALUE"""),"Drama")</f>
        <v>Drama</v>
      </c>
      <c r="N1358" s="5">
        <f>IFERROR(__xludf.DUMMYFUNCTION("""COMPUTED_VALUE"""),1.0)</f>
        <v>1</v>
      </c>
      <c r="S1358" s="5">
        <f>IFERROR(__xludf.DUMMYFUNCTION("""COMPUTED_VALUE"""),541.0)</f>
        <v>541</v>
      </c>
      <c r="T1358" s="5" t="str">
        <f>IFERROR(__xludf.DUMMYFUNCTION("""COMPUTED_VALUE"""),"Aguirre, der Zorn Gottes")</f>
        <v>Aguirre, der Zorn Gottes</v>
      </c>
      <c r="U1358" s="5" t="str">
        <f>IFERROR(__xludf.DUMMYFUNCTION("""COMPUTED_VALUE"""),"Biography")</f>
        <v>Biography</v>
      </c>
      <c r="V1358" s="5">
        <f>IFERROR(__xludf.DUMMYFUNCTION("""COMPUTED_VALUE"""),3.0)</f>
        <v>3</v>
      </c>
    </row>
    <row r="1359">
      <c r="J1359" s="5" t="str">
        <f>IFERROR(__xludf.DUMMYFUNCTION("""COMPUTED_VALUE"""),"453🤙🏼Brief Encounter🤙🏼Romance🤙🏼2")</f>
        <v>453🤙🏼Brief Encounter🤙🏼Romance🤙🏼2</v>
      </c>
      <c r="K1359" s="5">
        <f>IFERROR(__xludf.DUMMYFUNCTION("SPLiT(J1359, ""🤙🏼"",FALSE,FALSE)"),453.0)</f>
        <v>453</v>
      </c>
      <c r="L1359" s="5" t="str">
        <f>IFERROR(__xludf.DUMMYFUNCTION("""COMPUTED_VALUE"""),"Brief Encounter")</f>
        <v>Brief Encounter</v>
      </c>
      <c r="M1359" s="5" t="str">
        <f>IFERROR(__xludf.DUMMYFUNCTION("""COMPUTED_VALUE"""),"Romance")</f>
        <v>Romance</v>
      </c>
      <c r="N1359" s="5">
        <f>IFERROR(__xludf.DUMMYFUNCTION("""COMPUTED_VALUE"""),2.0)</f>
        <v>2</v>
      </c>
      <c r="S1359" s="5">
        <f>IFERROR(__xludf.DUMMYFUNCTION("""COMPUTED_VALUE"""),542.0)</f>
        <v>542</v>
      </c>
      <c r="T1359" s="5" t="str">
        <f>IFERROR(__xludf.DUMMYFUNCTION("""COMPUTED_VALUE"""),"Harold and Maude")</f>
        <v>Harold and Maude</v>
      </c>
      <c r="U1359" s="5" t="str">
        <f>IFERROR(__xludf.DUMMYFUNCTION("""COMPUTED_VALUE"""),"Comedy")</f>
        <v>Comedy</v>
      </c>
      <c r="V1359" s="5">
        <f>IFERROR(__xludf.DUMMYFUNCTION("""COMPUTED_VALUE"""),1.0)</f>
        <v>1</v>
      </c>
    </row>
    <row r="1360">
      <c r="J1360" s="5" t="str">
        <f>IFERROR(__xludf.DUMMYFUNCTION("""COMPUTED_VALUE"""),"453🤙🏼Brief Encounter🤙🏼🤙🏼3")</f>
        <v>453🤙🏼Brief Encounter🤙🏼🤙🏼3</v>
      </c>
      <c r="K1360" s="5">
        <f>IFERROR(__xludf.DUMMYFUNCTION("SPLiT(J1360, ""🤙🏼"",FALSE,FALSE)"),453.0)</f>
        <v>453</v>
      </c>
      <c r="L1360" s="5" t="str">
        <f>IFERROR(__xludf.DUMMYFUNCTION("""COMPUTED_VALUE"""),"Brief Encounter")</f>
        <v>Brief Encounter</v>
      </c>
      <c r="M1360" s="5"/>
      <c r="N1360" s="5">
        <f>IFERROR(__xludf.DUMMYFUNCTION("""COMPUTED_VALUE"""),3.0)</f>
        <v>3</v>
      </c>
      <c r="S1360" s="5">
        <f>IFERROR(__xludf.DUMMYFUNCTION("""COMPUTED_VALUE"""),542.0)</f>
        <v>542</v>
      </c>
      <c r="T1360" s="5" t="str">
        <f>IFERROR(__xludf.DUMMYFUNCTION("""COMPUTED_VALUE"""),"Harold and Maude")</f>
        <v>Harold and Maude</v>
      </c>
      <c r="U1360" s="5" t="str">
        <f>IFERROR(__xludf.DUMMYFUNCTION("""COMPUTED_VALUE"""),"Drama")</f>
        <v>Drama</v>
      </c>
      <c r="V1360" s="5">
        <f>IFERROR(__xludf.DUMMYFUNCTION("""COMPUTED_VALUE"""),2.0)</f>
        <v>2</v>
      </c>
    </row>
    <row r="1361">
      <c r="J1361" s="5" t="str">
        <f>IFERROR(__xludf.DUMMYFUNCTION("""COMPUTED_VALUE"""),"454🤙🏼Laura🤙🏼Drama🤙🏼1")</f>
        <v>454🤙🏼Laura🤙🏼Drama🤙🏼1</v>
      </c>
      <c r="K1361" s="5">
        <f>IFERROR(__xludf.DUMMYFUNCTION("SPLiT(J1361, ""🤙🏼"",FALSE,FALSE)"),454.0)</f>
        <v>454</v>
      </c>
      <c r="L1361" s="5" t="str">
        <f>IFERROR(__xludf.DUMMYFUNCTION("""COMPUTED_VALUE"""),"Laura")</f>
        <v>Laura</v>
      </c>
      <c r="M1361" s="5" t="str">
        <f>IFERROR(__xludf.DUMMYFUNCTION("""COMPUTED_VALUE"""),"Drama")</f>
        <v>Drama</v>
      </c>
      <c r="N1361" s="5">
        <f>IFERROR(__xludf.DUMMYFUNCTION("""COMPUTED_VALUE"""),1.0)</f>
        <v>1</v>
      </c>
      <c r="S1361" s="5">
        <f>IFERROR(__xludf.DUMMYFUNCTION("""COMPUTED_VALUE"""),542.0)</f>
        <v>542</v>
      </c>
      <c r="T1361" s="5" t="str">
        <f>IFERROR(__xludf.DUMMYFUNCTION("""COMPUTED_VALUE"""),"Harold and Maude")</f>
        <v>Harold and Maude</v>
      </c>
      <c r="U1361" s="5" t="str">
        <f>IFERROR(__xludf.DUMMYFUNCTION("""COMPUTED_VALUE"""),"Romance")</f>
        <v>Romance</v>
      </c>
      <c r="V1361" s="5">
        <f>IFERROR(__xludf.DUMMYFUNCTION("""COMPUTED_VALUE"""),3.0)</f>
        <v>3</v>
      </c>
    </row>
    <row r="1362">
      <c r="J1362" s="5" t="str">
        <f>IFERROR(__xludf.DUMMYFUNCTION("""COMPUTED_VALUE"""),"454🤙🏼Laura🤙🏼Film-Noir🤙🏼2")</f>
        <v>454🤙🏼Laura🤙🏼Film-Noir🤙🏼2</v>
      </c>
      <c r="K1362" s="5">
        <f>IFERROR(__xludf.DUMMYFUNCTION("SPLiT(J1362, ""🤙🏼"",FALSE,FALSE)"),454.0)</f>
        <v>454</v>
      </c>
      <c r="L1362" s="5" t="str">
        <f>IFERROR(__xludf.DUMMYFUNCTION("""COMPUTED_VALUE"""),"Laura")</f>
        <v>Laura</v>
      </c>
      <c r="M1362" s="5" t="str">
        <f>IFERROR(__xludf.DUMMYFUNCTION("""COMPUTED_VALUE"""),"Film-Noir")</f>
        <v>Film-Noir</v>
      </c>
      <c r="N1362" s="5">
        <f>IFERROR(__xludf.DUMMYFUNCTION("""COMPUTED_VALUE"""),2.0)</f>
        <v>2</v>
      </c>
      <c r="S1362" s="5">
        <f>IFERROR(__xludf.DUMMYFUNCTION("""COMPUTED_VALUE"""),543.0)</f>
        <v>543</v>
      </c>
      <c r="T1362" s="5" t="str">
        <f>IFERROR(__xludf.DUMMYFUNCTION("""COMPUTED_VALUE"""),"Patton")</f>
        <v>Patton</v>
      </c>
      <c r="U1362" s="5" t="str">
        <f>IFERROR(__xludf.DUMMYFUNCTION("""COMPUTED_VALUE"""),"Biography")</f>
        <v>Biography</v>
      </c>
      <c r="V1362" s="5">
        <f>IFERROR(__xludf.DUMMYFUNCTION("""COMPUTED_VALUE"""),1.0)</f>
        <v>1</v>
      </c>
    </row>
    <row r="1363">
      <c r="J1363" s="5" t="str">
        <f>IFERROR(__xludf.DUMMYFUNCTION("""COMPUTED_VALUE"""),"454🤙🏼Laura🤙🏼Mystery🤙🏼3")</f>
        <v>454🤙🏼Laura🤙🏼Mystery🤙🏼3</v>
      </c>
      <c r="K1363" s="5">
        <f>IFERROR(__xludf.DUMMYFUNCTION("SPLiT(J1363, ""🤙🏼"",FALSE,FALSE)"),454.0)</f>
        <v>454</v>
      </c>
      <c r="L1363" s="5" t="str">
        <f>IFERROR(__xludf.DUMMYFUNCTION("""COMPUTED_VALUE"""),"Laura")</f>
        <v>Laura</v>
      </c>
      <c r="M1363" s="5" t="str">
        <f>IFERROR(__xludf.DUMMYFUNCTION("""COMPUTED_VALUE"""),"Mystery")</f>
        <v>Mystery</v>
      </c>
      <c r="N1363" s="5">
        <f>IFERROR(__xludf.DUMMYFUNCTION("""COMPUTED_VALUE"""),3.0)</f>
        <v>3</v>
      </c>
      <c r="S1363" s="5">
        <f>IFERROR(__xludf.DUMMYFUNCTION("""COMPUTED_VALUE"""),543.0)</f>
        <v>543</v>
      </c>
      <c r="T1363" s="5" t="str">
        <f>IFERROR(__xludf.DUMMYFUNCTION("""COMPUTED_VALUE"""),"Patton")</f>
        <v>Patton</v>
      </c>
      <c r="U1363" s="5" t="str">
        <f>IFERROR(__xludf.DUMMYFUNCTION("""COMPUTED_VALUE"""),"Drama")</f>
        <v>Drama</v>
      </c>
      <c r="V1363" s="5">
        <f>IFERROR(__xludf.DUMMYFUNCTION("""COMPUTED_VALUE"""),2.0)</f>
        <v>2</v>
      </c>
    </row>
    <row r="1364">
      <c r="J1364" s="5" t="str">
        <f>IFERROR(__xludf.DUMMYFUNCTION("""COMPUTED_VALUE"""),"455🤙🏼The Best Years of Our Lives🤙🏼Drama🤙🏼1")</f>
        <v>455🤙🏼The Best Years of Our Lives🤙🏼Drama🤙🏼1</v>
      </c>
      <c r="K1364" s="5">
        <f>IFERROR(__xludf.DUMMYFUNCTION("SPLiT(J1364, ""🤙🏼"",FALSE,FALSE)"),455.0)</f>
        <v>455</v>
      </c>
      <c r="L1364" s="5" t="str">
        <f>IFERROR(__xludf.DUMMYFUNCTION("""COMPUTED_VALUE"""),"The Best Years of Our Lives")</f>
        <v>The Best Years of Our Lives</v>
      </c>
      <c r="M1364" s="5" t="str">
        <f>IFERROR(__xludf.DUMMYFUNCTION("""COMPUTED_VALUE"""),"Drama")</f>
        <v>Drama</v>
      </c>
      <c r="N1364" s="5">
        <f>IFERROR(__xludf.DUMMYFUNCTION("""COMPUTED_VALUE"""),1.0)</f>
        <v>1</v>
      </c>
      <c r="S1364" s="5">
        <f>IFERROR(__xludf.DUMMYFUNCTION("""COMPUTED_VALUE"""),543.0)</f>
        <v>543</v>
      </c>
      <c r="T1364" s="5" t="str">
        <f>IFERROR(__xludf.DUMMYFUNCTION("""COMPUTED_VALUE"""),"Patton")</f>
        <v>Patton</v>
      </c>
      <c r="U1364" s="5" t="str">
        <f>IFERROR(__xludf.DUMMYFUNCTION("""COMPUTED_VALUE"""),"War")</f>
        <v>War</v>
      </c>
      <c r="V1364" s="5">
        <f>IFERROR(__xludf.DUMMYFUNCTION("""COMPUTED_VALUE"""),3.0)</f>
        <v>3</v>
      </c>
    </row>
    <row r="1365">
      <c r="J1365" s="5" t="str">
        <f>IFERROR(__xludf.DUMMYFUNCTION("""COMPUTED_VALUE"""),"455🤙🏼The Best Years of Our Lives🤙🏼Romance🤙🏼2")</f>
        <v>455🤙🏼The Best Years of Our Lives🤙🏼Romance🤙🏼2</v>
      </c>
      <c r="K1365" s="5">
        <f>IFERROR(__xludf.DUMMYFUNCTION("SPLiT(J1365, ""🤙🏼"",FALSE,FALSE)"),455.0)</f>
        <v>455</v>
      </c>
      <c r="L1365" s="5" t="str">
        <f>IFERROR(__xludf.DUMMYFUNCTION("""COMPUTED_VALUE"""),"The Best Years of Our Lives")</f>
        <v>The Best Years of Our Lives</v>
      </c>
      <c r="M1365" s="5" t="str">
        <f>IFERROR(__xludf.DUMMYFUNCTION("""COMPUTED_VALUE"""),"Romance")</f>
        <v>Romance</v>
      </c>
      <c r="N1365" s="5">
        <f>IFERROR(__xludf.DUMMYFUNCTION("""COMPUTED_VALUE"""),2.0)</f>
        <v>2</v>
      </c>
      <c r="S1365" s="5">
        <f>IFERROR(__xludf.DUMMYFUNCTION("""COMPUTED_VALUE"""),544.0)</f>
        <v>544</v>
      </c>
      <c r="T1365" s="5" t="str">
        <f>IFERROR(__xludf.DUMMYFUNCTION("""COMPUTED_VALUE"""),"The Wild Bunch")</f>
        <v>The Wild Bunch</v>
      </c>
      <c r="U1365" s="5" t="str">
        <f>IFERROR(__xludf.DUMMYFUNCTION("""COMPUTED_VALUE"""),"Action")</f>
        <v>Action</v>
      </c>
      <c r="V1365" s="5">
        <f>IFERROR(__xludf.DUMMYFUNCTION("""COMPUTED_VALUE"""),1.0)</f>
        <v>1</v>
      </c>
    </row>
    <row r="1366">
      <c r="J1366" s="5" t="str">
        <f>IFERROR(__xludf.DUMMYFUNCTION("""COMPUTED_VALUE"""),"455🤙🏼The Best Years of Our Lives🤙🏼War🤙🏼3")</f>
        <v>455🤙🏼The Best Years of Our Lives🤙🏼War🤙🏼3</v>
      </c>
      <c r="K1366" s="5">
        <f>IFERROR(__xludf.DUMMYFUNCTION("SPLiT(J1366, ""🤙🏼"",FALSE,FALSE)"),455.0)</f>
        <v>455</v>
      </c>
      <c r="L1366" s="5" t="str">
        <f>IFERROR(__xludf.DUMMYFUNCTION("""COMPUTED_VALUE"""),"The Best Years of Our Lives")</f>
        <v>The Best Years of Our Lives</v>
      </c>
      <c r="M1366" s="5" t="str">
        <f>IFERROR(__xludf.DUMMYFUNCTION("""COMPUTED_VALUE"""),"War")</f>
        <v>War</v>
      </c>
      <c r="N1366" s="5">
        <f>IFERROR(__xludf.DUMMYFUNCTION("""COMPUTED_VALUE"""),3.0)</f>
        <v>3</v>
      </c>
      <c r="S1366" s="5">
        <f>IFERROR(__xludf.DUMMYFUNCTION("""COMPUTED_VALUE"""),544.0)</f>
        <v>544</v>
      </c>
      <c r="T1366" s="5" t="str">
        <f>IFERROR(__xludf.DUMMYFUNCTION("""COMPUTED_VALUE"""),"The Wild Bunch")</f>
        <v>The Wild Bunch</v>
      </c>
      <c r="U1366" s="5" t="str">
        <f>IFERROR(__xludf.DUMMYFUNCTION("""COMPUTED_VALUE"""),"Adventure")</f>
        <v>Adventure</v>
      </c>
      <c r="V1366" s="5">
        <f>IFERROR(__xludf.DUMMYFUNCTION("""COMPUTED_VALUE"""),2.0)</f>
        <v>2</v>
      </c>
    </row>
    <row r="1367">
      <c r="J1367" s="5" t="str">
        <f>IFERROR(__xludf.DUMMYFUNCTION("""COMPUTED_VALUE"""),"456🤙🏼Arsenic and Old Lace🤙🏼Comedy🤙🏼1")</f>
        <v>456🤙🏼Arsenic and Old Lace🤙🏼Comedy🤙🏼1</v>
      </c>
      <c r="K1367" s="5">
        <f>IFERROR(__xludf.DUMMYFUNCTION("SPLiT(J1367, ""🤙🏼"",FALSE,FALSE)"),456.0)</f>
        <v>456</v>
      </c>
      <c r="L1367" s="5" t="str">
        <f>IFERROR(__xludf.DUMMYFUNCTION("""COMPUTED_VALUE"""),"Arsenic and Old Lace")</f>
        <v>Arsenic and Old Lace</v>
      </c>
      <c r="M1367" s="5" t="str">
        <f>IFERROR(__xludf.DUMMYFUNCTION("""COMPUTED_VALUE"""),"Comedy")</f>
        <v>Comedy</v>
      </c>
      <c r="N1367" s="5">
        <f>IFERROR(__xludf.DUMMYFUNCTION("""COMPUTED_VALUE"""),1.0)</f>
        <v>1</v>
      </c>
      <c r="S1367" s="5">
        <f>IFERROR(__xludf.DUMMYFUNCTION("""COMPUTED_VALUE"""),544.0)</f>
        <v>544</v>
      </c>
      <c r="T1367" s="5" t="str">
        <f>IFERROR(__xludf.DUMMYFUNCTION("""COMPUTED_VALUE"""),"The Wild Bunch")</f>
        <v>The Wild Bunch</v>
      </c>
      <c r="U1367" s="5" t="str">
        <f>IFERROR(__xludf.DUMMYFUNCTION("""COMPUTED_VALUE"""),"Western")</f>
        <v>Western</v>
      </c>
      <c r="V1367" s="5">
        <f>IFERROR(__xludf.DUMMYFUNCTION("""COMPUTED_VALUE"""),3.0)</f>
        <v>3</v>
      </c>
    </row>
    <row r="1368">
      <c r="J1368" s="5" t="str">
        <f>IFERROR(__xludf.DUMMYFUNCTION("""COMPUTED_VALUE"""),"456🤙🏼Arsenic and Old Lace🤙🏼Crime🤙🏼2")</f>
        <v>456🤙🏼Arsenic and Old Lace🤙🏼Crime🤙🏼2</v>
      </c>
      <c r="K1368" s="5">
        <f>IFERROR(__xludf.DUMMYFUNCTION("SPLiT(J1368, ""🤙🏼"",FALSE,FALSE)"),456.0)</f>
        <v>456</v>
      </c>
      <c r="L1368" s="5" t="str">
        <f>IFERROR(__xludf.DUMMYFUNCTION("""COMPUTED_VALUE"""),"Arsenic and Old Lace")</f>
        <v>Arsenic and Old Lace</v>
      </c>
      <c r="M1368" s="5" t="str">
        <f>IFERROR(__xludf.DUMMYFUNCTION("""COMPUTED_VALUE"""),"Crime")</f>
        <v>Crime</v>
      </c>
      <c r="N1368" s="5">
        <f>IFERROR(__xludf.DUMMYFUNCTION("""COMPUTED_VALUE"""),2.0)</f>
        <v>2</v>
      </c>
      <c r="S1368" s="5">
        <f>IFERROR(__xludf.DUMMYFUNCTION("""COMPUTED_VALUE"""),545.0)</f>
        <v>545</v>
      </c>
      <c r="T1368" s="5" t="str">
        <f>IFERROR(__xludf.DUMMYFUNCTION("""COMPUTED_VALUE"""),"Night of the Living Dead")</f>
        <v>Night of the Living Dead</v>
      </c>
      <c r="U1368" s="5" t="str">
        <f>IFERROR(__xludf.DUMMYFUNCTION("""COMPUTED_VALUE"""),"Horror")</f>
        <v>Horror</v>
      </c>
      <c r="V1368" s="5">
        <f>IFERROR(__xludf.DUMMYFUNCTION("""COMPUTED_VALUE"""),1.0)</f>
        <v>1</v>
      </c>
    </row>
    <row r="1369">
      <c r="J1369" s="5" t="str">
        <f>IFERROR(__xludf.DUMMYFUNCTION("""COMPUTED_VALUE"""),"456🤙🏼Arsenic and Old Lace🤙🏼Thriller🤙🏼3")</f>
        <v>456🤙🏼Arsenic and Old Lace🤙🏼Thriller🤙🏼3</v>
      </c>
      <c r="K1369" s="5">
        <f>IFERROR(__xludf.DUMMYFUNCTION("SPLiT(J1369, ""🤙🏼"",FALSE,FALSE)"),456.0)</f>
        <v>456</v>
      </c>
      <c r="L1369" s="5" t="str">
        <f>IFERROR(__xludf.DUMMYFUNCTION("""COMPUTED_VALUE"""),"Arsenic and Old Lace")</f>
        <v>Arsenic and Old Lace</v>
      </c>
      <c r="M1369" s="5" t="str">
        <f>IFERROR(__xludf.DUMMYFUNCTION("""COMPUTED_VALUE"""),"Thriller")</f>
        <v>Thriller</v>
      </c>
      <c r="N1369" s="5">
        <f>IFERROR(__xludf.DUMMYFUNCTION("""COMPUTED_VALUE"""),3.0)</f>
        <v>3</v>
      </c>
      <c r="S1369" s="5">
        <f>IFERROR(__xludf.DUMMYFUNCTION("""COMPUTED_VALUE"""),545.0)</f>
        <v>545</v>
      </c>
      <c r="T1369" s="5" t="str">
        <f>IFERROR(__xludf.DUMMYFUNCTION("""COMPUTED_VALUE"""),"Night of the Living Dead")</f>
        <v>Night of the Living Dead</v>
      </c>
      <c r="U1369" s="5" t="str">
        <f>IFERROR(__xludf.DUMMYFUNCTION("""COMPUTED_VALUE"""),"Thriller")</f>
        <v>Thriller</v>
      </c>
      <c r="V1369" s="5">
        <f>IFERROR(__xludf.DUMMYFUNCTION("""COMPUTED_VALUE"""),2.0)</f>
        <v>2</v>
      </c>
    </row>
    <row r="1370">
      <c r="J1370" s="5" t="str">
        <f>IFERROR(__xludf.DUMMYFUNCTION("""COMPUTED_VALUE"""),"457🤙🏼The Maltese Falcon🤙🏼Film-Noir🤙🏼1")</f>
        <v>457🤙🏼The Maltese Falcon🤙🏼Film-Noir🤙🏼1</v>
      </c>
      <c r="K1370" s="5">
        <f>IFERROR(__xludf.DUMMYFUNCTION("SPLiT(J1370, ""🤙🏼"",FALSE,FALSE)"),457.0)</f>
        <v>457</v>
      </c>
      <c r="L1370" s="5" t="str">
        <f>IFERROR(__xludf.DUMMYFUNCTION("""COMPUTED_VALUE"""),"The Maltese Falcon")</f>
        <v>The Maltese Falcon</v>
      </c>
      <c r="M1370" s="5" t="str">
        <f>IFERROR(__xludf.DUMMYFUNCTION("""COMPUTED_VALUE"""),"Film-Noir")</f>
        <v>Film-Noir</v>
      </c>
      <c r="N1370" s="5">
        <f>IFERROR(__xludf.DUMMYFUNCTION("""COMPUTED_VALUE"""),1.0)</f>
        <v>1</v>
      </c>
      <c r="S1370" s="5">
        <f>IFERROR(__xludf.DUMMYFUNCTION("""COMPUTED_VALUE"""),546.0)</f>
        <v>546</v>
      </c>
      <c r="T1370" s="5" t="str">
        <f>IFERROR(__xludf.DUMMYFUNCTION("""COMPUTED_VALUE"""),"The Lion in Winter")</f>
        <v>The Lion in Winter</v>
      </c>
      <c r="U1370" s="5" t="str">
        <f>IFERROR(__xludf.DUMMYFUNCTION("""COMPUTED_VALUE"""),"Biography")</f>
        <v>Biography</v>
      </c>
      <c r="V1370" s="5">
        <f>IFERROR(__xludf.DUMMYFUNCTION("""COMPUTED_VALUE"""),1.0)</f>
        <v>1</v>
      </c>
    </row>
    <row r="1371">
      <c r="J1371" s="5" t="str">
        <f>IFERROR(__xludf.DUMMYFUNCTION("""COMPUTED_VALUE"""),"457🤙🏼The Maltese Falcon🤙🏼Mystery🤙🏼2")</f>
        <v>457🤙🏼The Maltese Falcon🤙🏼Mystery🤙🏼2</v>
      </c>
      <c r="K1371" s="5">
        <f>IFERROR(__xludf.DUMMYFUNCTION("SPLiT(J1371, ""🤙🏼"",FALSE,FALSE)"),457.0)</f>
        <v>457</v>
      </c>
      <c r="L1371" s="5" t="str">
        <f>IFERROR(__xludf.DUMMYFUNCTION("""COMPUTED_VALUE"""),"The Maltese Falcon")</f>
        <v>The Maltese Falcon</v>
      </c>
      <c r="M1371" s="5" t="str">
        <f>IFERROR(__xludf.DUMMYFUNCTION("""COMPUTED_VALUE"""),"Mystery")</f>
        <v>Mystery</v>
      </c>
      <c r="N1371" s="5">
        <f>IFERROR(__xludf.DUMMYFUNCTION("""COMPUTED_VALUE"""),2.0)</f>
        <v>2</v>
      </c>
      <c r="S1371" s="5">
        <f>IFERROR(__xludf.DUMMYFUNCTION("""COMPUTED_VALUE"""),546.0)</f>
        <v>546</v>
      </c>
      <c r="T1371" s="5" t="str">
        <f>IFERROR(__xludf.DUMMYFUNCTION("""COMPUTED_VALUE"""),"The Lion in Winter")</f>
        <v>The Lion in Winter</v>
      </c>
      <c r="U1371" s="5" t="str">
        <f>IFERROR(__xludf.DUMMYFUNCTION("""COMPUTED_VALUE"""),"Drama")</f>
        <v>Drama</v>
      </c>
      <c r="V1371" s="5">
        <f>IFERROR(__xludf.DUMMYFUNCTION("""COMPUTED_VALUE"""),2.0)</f>
        <v>2</v>
      </c>
    </row>
    <row r="1372">
      <c r="J1372" s="5" t="str">
        <f>IFERROR(__xludf.DUMMYFUNCTION("""COMPUTED_VALUE"""),"457🤙🏼The Maltese Falcon🤙🏼🤙🏼3")</f>
        <v>457🤙🏼The Maltese Falcon🤙🏼🤙🏼3</v>
      </c>
      <c r="K1372" s="5">
        <f>IFERROR(__xludf.DUMMYFUNCTION("SPLiT(J1372, ""🤙🏼"",FALSE,FALSE)"),457.0)</f>
        <v>457</v>
      </c>
      <c r="L1372" s="5" t="str">
        <f>IFERROR(__xludf.DUMMYFUNCTION("""COMPUTED_VALUE"""),"The Maltese Falcon")</f>
        <v>The Maltese Falcon</v>
      </c>
      <c r="M1372" s="5"/>
      <c r="N1372" s="5">
        <f>IFERROR(__xludf.DUMMYFUNCTION("""COMPUTED_VALUE"""),3.0)</f>
        <v>3</v>
      </c>
      <c r="S1372" s="5">
        <f>IFERROR(__xludf.DUMMYFUNCTION("""COMPUTED_VALUE"""),546.0)</f>
        <v>546</v>
      </c>
      <c r="T1372" s="5" t="str">
        <f>IFERROR(__xludf.DUMMYFUNCTION("""COMPUTED_VALUE"""),"The Lion in Winter")</f>
        <v>The Lion in Winter</v>
      </c>
      <c r="U1372" s="5" t="str">
        <f>IFERROR(__xludf.DUMMYFUNCTION("""COMPUTED_VALUE"""),"History")</f>
        <v>History</v>
      </c>
      <c r="V1372" s="5">
        <f>IFERROR(__xludf.DUMMYFUNCTION("""COMPUTED_VALUE"""),3.0)</f>
        <v>3</v>
      </c>
    </row>
    <row r="1373">
      <c r="J1373" s="5" t="str">
        <f>IFERROR(__xludf.DUMMYFUNCTION("""COMPUTED_VALUE"""),"458🤙🏼The Grapes of Wrath🤙🏼Drama🤙🏼1")</f>
        <v>458🤙🏼The Grapes of Wrath🤙🏼Drama🤙🏼1</v>
      </c>
      <c r="K1373" s="5">
        <f>IFERROR(__xludf.DUMMYFUNCTION("SPLiT(J1373, ""🤙🏼"",FALSE,FALSE)"),458.0)</f>
        <v>458</v>
      </c>
      <c r="L1373" s="5" t="str">
        <f>IFERROR(__xludf.DUMMYFUNCTION("""COMPUTED_VALUE"""),"The Grapes of Wrath")</f>
        <v>The Grapes of Wrath</v>
      </c>
      <c r="M1373" s="5" t="str">
        <f>IFERROR(__xludf.DUMMYFUNCTION("""COMPUTED_VALUE"""),"Drama")</f>
        <v>Drama</v>
      </c>
      <c r="N1373" s="5">
        <f>IFERROR(__xludf.DUMMYFUNCTION("""COMPUTED_VALUE"""),1.0)</f>
        <v>1</v>
      </c>
      <c r="S1373" s="5">
        <f>IFERROR(__xludf.DUMMYFUNCTION("""COMPUTED_VALUE"""),547.0)</f>
        <v>547</v>
      </c>
      <c r="T1373" s="5" t="str">
        <f>IFERROR(__xludf.DUMMYFUNCTION("""COMPUTED_VALUE"""),"In the Heat of the Night")</f>
        <v>In the Heat of the Night</v>
      </c>
      <c r="U1373" s="5" t="str">
        <f>IFERROR(__xludf.DUMMYFUNCTION("""COMPUTED_VALUE"""),"Crime")</f>
        <v>Crime</v>
      </c>
      <c r="V1373" s="5">
        <f>IFERROR(__xludf.DUMMYFUNCTION("""COMPUTED_VALUE"""),1.0)</f>
        <v>1</v>
      </c>
    </row>
    <row r="1374">
      <c r="J1374" s="5" t="str">
        <f>IFERROR(__xludf.DUMMYFUNCTION("""COMPUTED_VALUE"""),"458🤙🏼The Grapes of Wrath🤙🏼History🤙🏼2")</f>
        <v>458🤙🏼The Grapes of Wrath🤙🏼History🤙🏼2</v>
      </c>
      <c r="K1374" s="5">
        <f>IFERROR(__xludf.DUMMYFUNCTION("SPLiT(J1374, ""🤙🏼"",FALSE,FALSE)"),458.0)</f>
        <v>458</v>
      </c>
      <c r="L1374" s="5" t="str">
        <f>IFERROR(__xludf.DUMMYFUNCTION("""COMPUTED_VALUE"""),"The Grapes of Wrath")</f>
        <v>The Grapes of Wrath</v>
      </c>
      <c r="M1374" s="5" t="str">
        <f>IFERROR(__xludf.DUMMYFUNCTION("""COMPUTED_VALUE"""),"History")</f>
        <v>History</v>
      </c>
      <c r="N1374" s="5">
        <f>IFERROR(__xludf.DUMMYFUNCTION("""COMPUTED_VALUE"""),2.0)</f>
        <v>2</v>
      </c>
      <c r="S1374" s="5">
        <f>IFERROR(__xludf.DUMMYFUNCTION("""COMPUTED_VALUE"""),547.0)</f>
        <v>547</v>
      </c>
      <c r="T1374" s="5" t="str">
        <f>IFERROR(__xludf.DUMMYFUNCTION("""COMPUTED_VALUE"""),"In the Heat of the Night")</f>
        <v>In the Heat of the Night</v>
      </c>
      <c r="U1374" s="5" t="str">
        <f>IFERROR(__xludf.DUMMYFUNCTION("""COMPUTED_VALUE"""),"Drama")</f>
        <v>Drama</v>
      </c>
      <c r="V1374" s="5">
        <f>IFERROR(__xludf.DUMMYFUNCTION("""COMPUTED_VALUE"""),2.0)</f>
        <v>2</v>
      </c>
    </row>
    <row r="1375">
      <c r="J1375" s="5" t="str">
        <f>IFERROR(__xludf.DUMMYFUNCTION("""COMPUTED_VALUE"""),"458🤙🏼The Grapes of Wrath🤙🏼🤙🏼3")</f>
        <v>458🤙🏼The Grapes of Wrath🤙🏼🤙🏼3</v>
      </c>
      <c r="K1375" s="5">
        <f>IFERROR(__xludf.DUMMYFUNCTION("SPLiT(J1375, ""🤙🏼"",FALSE,FALSE)"),458.0)</f>
        <v>458</v>
      </c>
      <c r="L1375" s="5" t="str">
        <f>IFERROR(__xludf.DUMMYFUNCTION("""COMPUTED_VALUE"""),"The Grapes of Wrath")</f>
        <v>The Grapes of Wrath</v>
      </c>
      <c r="M1375" s="5"/>
      <c r="N1375" s="5">
        <f>IFERROR(__xludf.DUMMYFUNCTION("""COMPUTED_VALUE"""),3.0)</f>
        <v>3</v>
      </c>
      <c r="S1375" s="5">
        <f>IFERROR(__xludf.DUMMYFUNCTION("""COMPUTED_VALUE"""),547.0)</f>
        <v>547</v>
      </c>
      <c r="T1375" s="5" t="str">
        <f>IFERROR(__xludf.DUMMYFUNCTION("""COMPUTED_VALUE"""),"In the Heat of the Night")</f>
        <v>In the Heat of the Night</v>
      </c>
      <c r="U1375" s="5" t="str">
        <f>IFERROR(__xludf.DUMMYFUNCTION("""COMPUTED_VALUE"""),"Mystery")</f>
        <v>Mystery</v>
      </c>
      <c r="V1375" s="5">
        <f>IFERROR(__xludf.DUMMYFUNCTION("""COMPUTED_VALUE"""),3.0)</f>
        <v>3</v>
      </c>
    </row>
    <row r="1376">
      <c r="J1376" s="5" t="str">
        <f>IFERROR(__xludf.DUMMYFUNCTION("""COMPUTED_VALUE"""),"459🤙🏼The Wizard of Oz🤙🏼Adventure🤙🏼1")</f>
        <v>459🤙🏼The Wizard of Oz🤙🏼Adventure🤙🏼1</v>
      </c>
      <c r="K1376" s="5">
        <f>IFERROR(__xludf.DUMMYFUNCTION("SPLiT(J1376, ""🤙🏼"",FALSE,FALSE)"),459.0)</f>
        <v>459</v>
      </c>
      <c r="L1376" s="5" t="str">
        <f>IFERROR(__xludf.DUMMYFUNCTION("""COMPUTED_VALUE"""),"The Wizard of Oz")</f>
        <v>The Wizard of Oz</v>
      </c>
      <c r="M1376" s="5" t="str">
        <f>IFERROR(__xludf.DUMMYFUNCTION("""COMPUTED_VALUE"""),"Adventure")</f>
        <v>Adventure</v>
      </c>
      <c r="N1376" s="5">
        <f>IFERROR(__xludf.DUMMYFUNCTION("""COMPUTED_VALUE"""),1.0)</f>
        <v>1</v>
      </c>
      <c r="S1376" s="5">
        <f>IFERROR(__xludf.DUMMYFUNCTION("""COMPUTED_VALUE"""),548.0)</f>
        <v>548</v>
      </c>
      <c r="T1376" s="5" t="str">
        <f>IFERROR(__xludf.DUMMYFUNCTION("""COMPUTED_VALUE"""),"Charade")</f>
        <v>Charade</v>
      </c>
      <c r="U1376" s="5" t="str">
        <f>IFERROR(__xludf.DUMMYFUNCTION("""COMPUTED_VALUE"""),"Comedy")</f>
        <v>Comedy</v>
      </c>
      <c r="V1376" s="5">
        <f>IFERROR(__xludf.DUMMYFUNCTION("""COMPUTED_VALUE"""),1.0)</f>
        <v>1</v>
      </c>
    </row>
    <row r="1377">
      <c r="J1377" s="5" t="str">
        <f>IFERROR(__xludf.DUMMYFUNCTION("""COMPUTED_VALUE"""),"459🤙🏼The Wizard of Oz🤙🏼Family🤙🏼2")</f>
        <v>459🤙🏼The Wizard of Oz🤙🏼Family🤙🏼2</v>
      </c>
      <c r="K1377" s="5">
        <f>IFERROR(__xludf.DUMMYFUNCTION("SPLiT(J1377, ""🤙🏼"",FALSE,FALSE)"),459.0)</f>
        <v>459</v>
      </c>
      <c r="L1377" s="5" t="str">
        <f>IFERROR(__xludf.DUMMYFUNCTION("""COMPUTED_VALUE"""),"The Wizard of Oz")</f>
        <v>The Wizard of Oz</v>
      </c>
      <c r="M1377" s="5" t="str">
        <f>IFERROR(__xludf.DUMMYFUNCTION("""COMPUTED_VALUE"""),"Family")</f>
        <v>Family</v>
      </c>
      <c r="N1377" s="5">
        <f>IFERROR(__xludf.DUMMYFUNCTION("""COMPUTED_VALUE"""),2.0)</f>
        <v>2</v>
      </c>
      <c r="S1377" s="5">
        <f>IFERROR(__xludf.DUMMYFUNCTION("""COMPUTED_VALUE"""),548.0)</f>
        <v>548</v>
      </c>
      <c r="T1377" s="5" t="str">
        <f>IFERROR(__xludf.DUMMYFUNCTION("""COMPUTED_VALUE"""),"Charade")</f>
        <v>Charade</v>
      </c>
      <c r="U1377" s="5" t="str">
        <f>IFERROR(__xludf.DUMMYFUNCTION("""COMPUTED_VALUE"""),"Mystery")</f>
        <v>Mystery</v>
      </c>
      <c r="V1377" s="5">
        <f>IFERROR(__xludf.DUMMYFUNCTION("""COMPUTED_VALUE"""),2.0)</f>
        <v>2</v>
      </c>
    </row>
    <row r="1378">
      <c r="J1378" s="5" t="str">
        <f>IFERROR(__xludf.DUMMYFUNCTION("""COMPUTED_VALUE"""),"459🤙🏼The Wizard of Oz🤙🏼Fantasy🤙🏼3")</f>
        <v>459🤙🏼The Wizard of Oz🤙🏼Fantasy🤙🏼3</v>
      </c>
      <c r="K1378" s="5">
        <f>IFERROR(__xludf.DUMMYFUNCTION("SPLiT(J1378, ""🤙🏼"",FALSE,FALSE)"),459.0)</f>
        <v>459</v>
      </c>
      <c r="L1378" s="5" t="str">
        <f>IFERROR(__xludf.DUMMYFUNCTION("""COMPUTED_VALUE"""),"The Wizard of Oz")</f>
        <v>The Wizard of Oz</v>
      </c>
      <c r="M1378" s="5" t="str">
        <f>IFERROR(__xludf.DUMMYFUNCTION("""COMPUTED_VALUE"""),"Fantasy")</f>
        <v>Fantasy</v>
      </c>
      <c r="N1378" s="5">
        <f>IFERROR(__xludf.DUMMYFUNCTION("""COMPUTED_VALUE"""),3.0)</f>
        <v>3</v>
      </c>
      <c r="S1378" s="5">
        <f>IFERROR(__xludf.DUMMYFUNCTION("""COMPUTED_VALUE"""),548.0)</f>
        <v>548</v>
      </c>
      <c r="T1378" s="5" t="str">
        <f>IFERROR(__xludf.DUMMYFUNCTION("""COMPUTED_VALUE"""),"Charade")</f>
        <v>Charade</v>
      </c>
      <c r="U1378" s="5" t="str">
        <f>IFERROR(__xludf.DUMMYFUNCTION("""COMPUTED_VALUE"""),"Romance")</f>
        <v>Romance</v>
      </c>
      <c r="V1378" s="5">
        <f>IFERROR(__xludf.DUMMYFUNCTION("""COMPUTED_VALUE"""),3.0)</f>
        <v>3</v>
      </c>
    </row>
    <row r="1379">
      <c r="J1379" s="5" t="str">
        <f>IFERROR(__xludf.DUMMYFUNCTION("""COMPUTED_VALUE"""),"460🤙🏼La règle du jeu🤙🏼Comedy🤙🏼1")</f>
        <v>460🤙🏼La règle du jeu🤙🏼Comedy🤙🏼1</v>
      </c>
      <c r="K1379" s="5">
        <f>IFERROR(__xludf.DUMMYFUNCTION("SPLiT(J1379, ""🤙🏼"",FALSE,FALSE)"),460.0)</f>
        <v>460</v>
      </c>
      <c r="L1379" s="5" t="str">
        <f>IFERROR(__xludf.DUMMYFUNCTION("""COMPUTED_VALUE"""),"La règle du jeu")</f>
        <v>La règle du jeu</v>
      </c>
      <c r="M1379" s="5" t="str">
        <f>IFERROR(__xludf.DUMMYFUNCTION("""COMPUTED_VALUE"""),"Comedy")</f>
        <v>Comedy</v>
      </c>
      <c r="N1379" s="5">
        <f>IFERROR(__xludf.DUMMYFUNCTION("""COMPUTED_VALUE"""),1.0)</f>
        <v>1</v>
      </c>
      <c r="S1379" s="5">
        <f>IFERROR(__xludf.DUMMYFUNCTION("""COMPUTED_VALUE"""),549.0)</f>
        <v>549</v>
      </c>
      <c r="T1379" s="5" t="str">
        <f>IFERROR(__xludf.DUMMYFUNCTION("""COMPUTED_VALUE"""),"The Manchurian Candidate")</f>
        <v>The Manchurian Candidate</v>
      </c>
      <c r="U1379" s="5" t="str">
        <f>IFERROR(__xludf.DUMMYFUNCTION("""COMPUTED_VALUE"""),"Drama")</f>
        <v>Drama</v>
      </c>
      <c r="V1379" s="5">
        <f>IFERROR(__xludf.DUMMYFUNCTION("""COMPUTED_VALUE"""),1.0)</f>
        <v>1</v>
      </c>
    </row>
    <row r="1380">
      <c r="J1380" s="5" t="str">
        <f>IFERROR(__xludf.DUMMYFUNCTION("""COMPUTED_VALUE"""),"460🤙🏼La règle du jeu🤙🏼Drama🤙🏼2")</f>
        <v>460🤙🏼La règle du jeu🤙🏼Drama🤙🏼2</v>
      </c>
      <c r="K1380" s="5">
        <f>IFERROR(__xludf.DUMMYFUNCTION("SPLiT(J1380, ""🤙🏼"",FALSE,FALSE)"),460.0)</f>
        <v>460</v>
      </c>
      <c r="L1380" s="5" t="str">
        <f>IFERROR(__xludf.DUMMYFUNCTION("""COMPUTED_VALUE"""),"La règle du jeu")</f>
        <v>La règle du jeu</v>
      </c>
      <c r="M1380" s="5" t="str">
        <f>IFERROR(__xludf.DUMMYFUNCTION("""COMPUTED_VALUE"""),"Drama")</f>
        <v>Drama</v>
      </c>
      <c r="N1380" s="5">
        <f>IFERROR(__xludf.DUMMYFUNCTION("""COMPUTED_VALUE"""),2.0)</f>
        <v>2</v>
      </c>
      <c r="S1380" s="5">
        <f>IFERROR(__xludf.DUMMYFUNCTION("""COMPUTED_VALUE"""),549.0)</f>
        <v>549</v>
      </c>
      <c r="T1380" s="5" t="str">
        <f>IFERROR(__xludf.DUMMYFUNCTION("""COMPUTED_VALUE"""),"The Manchurian Candidate")</f>
        <v>The Manchurian Candidate</v>
      </c>
      <c r="U1380" s="5" t="str">
        <f>IFERROR(__xludf.DUMMYFUNCTION("""COMPUTED_VALUE"""),"Thriller")</f>
        <v>Thriller</v>
      </c>
      <c r="V1380" s="5">
        <f>IFERROR(__xludf.DUMMYFUNCTION("""COMPUTED_VALUE"""),2.0)</f>
        <v>2</v>
      </c>
    </row>
    <row r="1381">
      <c r="J1381" s="5" t="str">
        <f>IFERROR(__xludf.DUMMYFUNCTION("""COMPUTED_VALUE"""),"460🤙🏼La règle du jeu🤙🏼🤙🏼3")</f>
        <v>460🤙🏼La règle du jeu🤙🏼🤙🏼3</v>
      </c>
      <c r="K1381" s="5">
        <f>IFERROR(__xludf.DUMMYFUNCTION("SPLiT(J1381, ""🤙🏼"",FALSE,FALSE)"),460.0)</f>
        <v>460</v>
      </c>
      <c r="L1381" s="5" t="str">
        <f>IFERROR(__xludf.DUMMYFUNCTION("""COMPUTED_VALUE"""),"La règle du jeu")</f>
        <v>La règle du jeu</v>
      </c>
      <c r="M1381" s="5"/>
      <c r="N1381" s="5">
        <f>IFERROR(__xludf.DUMMYFUNCTION("""COMPUTED_VALUE"""),3.0)</f>
        <v>3</v>
      </c>
      <c r="S1381" s="5">
        <f>IFERROR(__xludf.DUMMYFUNCTION("""COMPUTED_VALUE"""),550.0)</f>
        <v>550</v>
      </c>
      <c r="T1381" s="5" t="str">
        <f>IFERROR(__xludf.DUMMYFUNCTION("""COMPUTED_VALUE"""),"Spartacus")</f>
        <v>Spartacus</v>
      </c>
      <c r="U1381" s="5" t="str">
        <f>IFERROR(__xludf.DUMMYFUNCTION("""COMPUTED_VALUE"""),"Adventure")</f>
        <v>Adventure</v>
      </c>
      <c r="V1381" s="5">
        <f>IFERROR(__xludf.DUMMYFUNCTION("""COMPUTED_VALUE"""),1.0)</f>
        <v>1</v>
      </c>
    </row>
    <row r="1382">
      <c r="J1382" s="5" t="str">
        <f>IFERROR(__xludf.DUMMYFUNCTION("""COMPUTED_VALUE"""),"461🤙🏼The Thin Man🤙🏼Comedy🤙🏼1")</f>
        <v>461🤙🏼The Thin Man🤙🏼Comedy🤙🏼1</v>
      </c>
      <c r="K1382" s="5">
        <f>IFERROR(__xludf.DUMMYFUNCTION("SPLiT(J1382, ""🤙🏼"",FALSE,FALSE)"),461.0)</f>
        <v>461</v>
      </c>
      <c r="L1382" s="5" t="str">
        <f>IFERROR(__xludf.DUMMYFUNCTION("""COMPUTED_VALUE"""),"The Thin Man")</f>
        <v>The Thin Man</v>
      </c>
      <c r="M1382" s="5" t="str">
        <f>IFERROR(__xludf.DUMMYFUNCTION("""COMPUTED_VALUE"""),"Comedy")</f>
        <v>Comedy</v>
      </c>
      <c r="N1382" s="5">
        <f>IFERROR(__xludf.DUMMYFUNCTION("""COMPUTED_VALUE"""),1.0)</f>
        <v>1</v>
      </c>
      <c r="S1382" s="5">
        <f>IFERROR(__xludf.DUMMYFUNCTION("""COMPUTED_VALUE"""),550.0)</f>
        <v>550</v>
      </c>
      <c r="T1382" s="5" t="str">
        <f>IFERROR(__xludf.DUMMYFUNCTION("""COMPUTED_VALUE"""),"Spartacus")</f>
        <v>Spartacus</v>
      </c>
      <c r="U1382" s="5" t="str">
        <f>IFERROR(__xludf.DUMMYFUNCTION("""COMPUTED_VALUE"""),"Biography")</f>
        <v>Biography</v>
      </c>
      <c r="V1382" s="5">
        <f>IFERROR(__xludf.DUMMYFUNCTION("""COMPUTED_VALUE"""),2.0)</f>
        <v>2</v>
      </c>
    </row>
    <row r="1383">
      <c r="J1383" s="5" t="str">
        <f>IFERROR(__xludf.DUMMYFUNCTION("""COMPUTED_VALUE"""),"461🤙🏼The Thin Man🤙🏼Crime🤙🏼2")</f>
        <v>461🤙🏼The Thin Man🤙🏼Crime🤙🏼2</v>
      </c>
      <c r="K1383" s="5">
        <f>IFERROR(__xludf.DUMMYFUNCTION("SPLiT(J1383, ""🤙🏼"",FALSE,FALSE)"),461.0)</f>
        <v>461</v>
      </c>
      <c r="L1383" s="5" t="str">
        <f>IFERROR(__xludf.DUMMYFUNCTION("""COMPUTED_VALUE"""),"The Thin Man")</f>
        <v>The Thin Man</v>
      </c>
      <c r="M1383" s="5" t="str">
        <f>IFERROR(__xludf.DUMMYFUNCTION("""COMPUTED_VALUE"""),"Crime")</f>
        <v>Crime</v>
      </c>
      <c r="N1383" s="5">
        <f>IFERROR(__xludf.DUMMYFUNCTION("""COMPUTED_VALUE"""),2.0)</f>
        <v>2</v>
      </c>
      <c r="S1383" s="5">
        <f>IFERROR(__xludf.DUMMYFUNCTION("""COMPUTED_VALUE"""),550.0)</f>
        <v>550</v>
      </c>
      <c r="T1383" s="5" t="str">
        <f>IFERROR(__xludf.DUMMYFUNCTION("""COMPUTED_VALUE"""),"Spartacus")</f>
        <v>Spartacus</v>
      </c>
      <c r="U1383" s="5" t="str">
        <f>IFERROR(__xludf.DUMMYFUNCTION("""COMPUTED_VALUE"""),"Drama")</f>
        <v>Drama</v>
      </c>
      <c r="V1383" s="5">
        <f>IFERROR(__xludf.DUMMYFUNCTION("""COMPUTED_VALUE"""),3.0)</f>
        <v>3</v>
      </c>
    </row>
    <row r="1384">
      <c r="J1384" s="5" t="str">
        <f>IFERROR(__xludf.DUMMYFUNCTION("""COMPUTED_VALUE"""),"461🤙🏼The Thin Man🤙🏼Mystery🤙🏼3")</f>
        <v>461🤙🏼The Thin Man🤙🏼Mystery🤙🏼3</v>
      </c>
      <c r="K1384" s="5">
        <f>IFERROR(__xludf.DUMMYFUNCTION("SPLiT(J1384, ""🤙🏼"",FALSE,FALSE)"),461.0)</f>
        <v>461</v>
      </c>
      <c r="L1384" s="5" t="str">
        <f>IFERROR(__xludf.DUMMYFUNCTION("""COMPUTED_VALUE"""),"The Thin Man")</f>
        <v>The Thin Man</v>
      </c>
      <c r="M1384" s="5" t="str">
        <f>IFERROR(__xludf.DUMMYFUNCTION("""COMPUTED_VALUE"""),"Mystery")</f>
        <v>Mystery</v>
      </c>
      <c r="N1384" s="5">
        <f>IFERROR(__xludf.DUMMYFUNCTION("""COMPUTED_VALUE"""),3.0)</f>
        <v>3</v>
      </c>
      <c r="S1384" s="5">
        <f>IFERROR(__xludf.DUMMYFUNCTION("""COMPUTED_VALUE"""),551.0)</f>
        <v>551</v>
      </c>
      <c r="T1384" s="5" t="str">
        <f>IFERROR(__xludf.DUMMYFUNCTION("""COMPUTED_VALUE"""),"L'avventura")</f>
        <v>L'avventura</v>
      </c>
      <c r="U1384" s="5" t="str">
        <f>IFERROR(__xludf.DUMMYFUNCTION("""COMPUTED_VALUE"""),"Drama")</f>
        <v>Drama</v>
      </c>
      <c r="V1384" s="5">
        <f>IFERROR(__xludf.DUMMYFUNCTION("""COMPUTED_VALUE"""),1.0)</f>
        <v>1</v>
      </c>
    </row>
    <row r="1385">
      <c r="J1385" s="5" t="str">
        <f>IFERROR(__xludf.DUMMYFUNCTION("""COMPUTED_VALUE"""),"462🤙🏼All Quiet on the Western Front🤙🏼Drama🤙🏼1")</f>
        <v>462🤙🏼All Quiet on the Western Front🤙🏼Drama🤙🏼1</v>
      </c>
      <c r="K1385" s="5">
        <f>IFERROR(__xludf.DUMMYFUNCTION("SPLiT(J1385, ""🤙🏼"",FALSE,FALSE)"),462.0)</f>
        <v>462</v>
      </c>
      <c r="L1385" s="5" t="str">
        <f>IFERROR(__xludf.DUMMYFUNCTION("""COMPUTED_VALUE"""),"All Quiet on the Western Front")</f>
        <v>All Quiet on the Western Front</v>
      </c>
      <c r="M1385" s="5" t="str">
        <f>IFERROR(__xludf.DUMMYFUNCTION("""COMPUTED_VALUE"""),"Drama")</f>
        <v>Drama</v>
      </c>
      <c r="N1385" s="5">
        <f>IFERROR(__xludf.DUMMYFUNCTION("""COMPUTED_VALUE"""),1.0)</f>
        <v>1</v>
      </c>
      <c r="S1385" s="5">
        <f>IFERROR(__xludf.DUMMYFUNCTION("""COMPUTED_VALUE"""),551.0)</f>
        <v>551</v>
      </c>
      <c r="T1385" s="5" t="str">
        <f>IFERROR(__xludf.DUMMYFUNCTION("""COMPUTED_VALUE"""),"L'avventura")</f>
        <v>L'avventura</v>
      </c>
      <c r="U1385" s="5" t="str">
        <f>IFERROR(__xludf.DUMMYFUNCTION("""COMPUTED_VALUE"""),"Mystery")</f>
        <v>Mystery</v>
      </c>
      <c r="V1385" s="5">
        <f>IFERROR(__xludf.DUMMYFUNCTION("""COMPUTED_VALUE"""),2.0)</f>
        <v>2</v>
      </c>
    </row>
    <row r="1386">
      <c r="J1386" s="5" t="str">
        <f>IFERROR(__xludf.DUMMYFUNCTION("""COMPUTED_VALUE"""),"462🤙🏼All Quiet on the Western Front🤙🏼War🤙🏼2")</f>
        <v>462🤙🏼All Quiet on the Western Front🤙🏼War🤙🏼2</v>
      </c>
      <c r="K1386" s="5">
        <f>IFERROR(__xludf.DUMMYFUNCTION("SPLiT(J1386, ""🤙🏼"",FALSE,FALSE)"),462.0)</f>
        <v>462</v>
      </c>
      <c r="L1386" s="5" t="str">
        <f>IFERROR(__xludf.DUMMYFUNCTION("""COMPUTED_VALUE"""),"All Quiet on the Western Front")</f>
        <v>All Quiet on the Western Front</v>
      </c>
      <c r="M1386" s="5" t="str">
        <f>IFERROR(__xludf.DUMMYFUNCTION("""COMPUTED_VALUE"""),"War")</f>
        <v>War</v>
      </c>
      <c r="N1386" s="5">
        <f>IFERROR(__xludf.DUMMYFUNCTION("""COMPUTED_VALUE"""),2.0)</f>
        <v>2</v>
      </c>
      <c r="S1386" s="5">
        <f>IFERROR(__xludf.DUMMYFUNCTION("""COMPUTED_VALUE"""),552.0)</f>
        <v>552</v>
      </c>
      <c r="T1386" s="5" t="str">
        <f>IFERROR(__xludf.DUMMYFUNCTION("""COMPUTED_VALUE"""),"Hiroshima mon amour")</f>
        <v>Hiroshima mon amour</v>
      </c>
      <c r="U1386" s="5" t="str">
        <f>IFERROR(__xludf.DUMMYFUNCTION("""COMPUTED_VALUE"""),"Drama")</f>
        <v>Drama</v>
      </c>
      <c r="V1386" s="5">
        <f>IFERROR(__xludf.DUMMYFUNCTION("""COMPUTED_VALUE"""),1.0)</f>
        <v>1</v>
      </c>
    </row>
    <row r="1387">
      <c r="J1387" s="5" t="str">
        <f>IFERROR(__xludf.DUMMYFUNCTION("""COMPUTED_VALUE"""),"462🤙🏼All Quiet on the Western Front🤙🏼🤙🏼3")</f>
        <v>462🤙🏼All Quiet on the Western Front🤙🏼🤙🏼3</v>
      </c>
      <c r="K1387" s="5">
        <f>IFERROR(__xludf.DUMMYFUNCTION("SPLiT(J1387, ""🤙🏼"",FALSE,FALSE)"),462.0)</f>
        <v>462</v>
      </c>
      <c r="L1387" s="5" t="str">
        <f>IFERROR(__xludf.DUMMYFUNCTION("""COMPUTED_VALUE"""),"All Quiet on the Western Front")</f>
        <v>All Quiet on the Western Front</v>
      </c>
      <c r="M1387" s="5"/>
      <c r="N1387" s="5">
        <f>IFERROR(__xludf.DUMMYFUNCTION("""COMPUTED_VALUE"""),3.0)</f>
        <v>3</v>
      </c>
      <c r="S1387" s="5">
        <f>IFERROR(__xludf.DUMMYFUNCTION("""COMPUTED_VALUE"""),552.0)</f>
        <v>552</v>
      </c>
      <c r="T1387" s="5" t="str">
        <f>IFERROR(__xludf.DUMMYFUNCTION("""COMPUTED_VALUE"""),"Hiroshima mon amour")</f>
        <v>Hiroshima mon amour</v>
      </c>
      <c r="U1387" s="5" t="str">
        <f>IFERROR(__xludf.DUMMYFUNCTION("""COMPUTED_VALUE"""),"Romance")</f>
        <v>Romance</v>
      </c>
      <c r="V1387" s="5">
        <f>IFERROR(__xludf.DUMMYFUNCTION("""COMPUTED_VALUE"""),2.0)</f>
        <v>2</v>
      </c>
    </row>
    <row r="1388">
      <c r="J1388" s="5" t="str">
        <f>IFERROR(__xludf.DUMMYFUNCTION("""COMPUTED_VALUE"""),"463🤙🏼Bronenosets Potemkin🤙🏼Drama🤙🏼1")</f>
        <v>463🤙🏼Bronenosets Potemkin🤙🏼Drama🤙🏼1</v>
      </c>
      <c r="K1388" s="5">
        <f>IFERROR(__xludf.DUMMYFUNCTION("SPLiT(J1388, ""🤙🏼"",FALSE,FALSE)"),463.0)</f>
        <v>463</v>
      </c>
      <c r="L1388" s="5" t="str">
        <f>IFERROR(__xludf.DUMMYFUNCTION("""COMPUTED_VALUE"""),"Bronenosets Potemkin")</f>
        <v>Bronenosets Potemkin</v>
      </c>
      <c r="M1388" s="5" t="str">
        <f>IFERROR(__xludf.DUMMYFUNCTION("""COMPUTED_VALUE"""),"Drama")</f>
        <v>Drama</v>
      </c>
      <c r="N1388" s="5">
        <f>IFERROR(__xludf.DUMMYFUNCTION("""COMPUTED_VALUE"""),1.0)</f>
        <v>1</v>
      </c>
      <c r="S1388" s="5">
        <f>IFERROR(__xludf.DUMMYFUNCTION("""COMPUTED_VALUE"""),553.0)</f>
        <v>553</v>
      </c>
      <c r="T1388" s="5" t="str">
        <f>IFERROR(__xludf.DUMMYFUNCTION("""COMPUTED_VALUE"""),"The Ten Commandments")</f>
        <v>The Ten Commandments</v>
      </c>
      <c r="U1388" s="5" t="str">
        <f>IFERROR(__xludf.DUMMYFUNCTION("""COMPUTED_VALUE"""),"Adventure")</f>
        <v>Adventure</v>
      </c>
      <c r="V1388" s="5">
        <f>IFERROR(__xludf.DUMMYFUNCTION("""COMPUTED_VALUE"""),1.0)</f>
        <v>1</v>
      </c>
    </row>
    <row r="1389">
      <c r="J1389" s="5" t="str">
        <f>IFERROR(__xludf.DUMMYFUNCTION("""COMPUTED_VALUE"""),"463🤙🏼Bronenosets Potemkin🤙🏼History🤙🏼2")</f>
        <v>463🤙🏼Bronenosets Potemkin🤙🏼History🤙🏼2</v>
      </c>
      <c r="K1389" s="5">
        <f>IFERROR(__xludf.DUMMYFUNCTION("SPLiT(J1389, ""🤙🏼"",FALSE,FALSE)"),463.0)</f>
        <v>463</v>
      </c>
      <c r="L1389" s="5" t="str">
        <f>IFERROR(__xludf.DUMMYFUNCTION("""COMPUTED_VALUE"""),"Bronenosets Potemkin")</f>
        <v>Bronenosets Potemkin</v>
      </c>
      <c r="M1389" s="5" t="str">
        <f>IFERROR(__xludf.DUMMYFUNCTION("""COMPUTED_VALUE"""),"History")</f>
        <v>History</v>
      </c>
      <c r="N1389" s="5">
        <f>IFERROR(__xludf.DUMMYFUNCTION("""COMPUTED_VALUE"""),2.0)</f>
        <v>2</v>
      </c>
      <c r="S1389" s="5">
        <f>IFERROR(__xludf.DUMMYFUNCTION("""COMPUTED_VALUE"""),553.0)</f>
        <v>553</v>
      </c>
      <c r="T1389" s="5" t="str">
        <f>IFERROR(__xludf.DUMMYFUNCTION("""COMPUTED_VALUE"""),"The Ten Commandments")</f>
        <v>The Ten Commandments</v>
      </c>
      <c r="U1389" s="5" t="str">
        <f>IFERROR(__xludf.DUMMYFUNCTION("""COMPUTED_VALUE"""),"Drama")</f>
        <v>Drama</v>
      </c>
      <c r="V1389" s="5">
        <f>IFERROR(__xludf.DUMMYFUNCTION("""COMPUTED_VALUE"""),2.0)</f>
        <v>2</v>
      </c>
    </row>
    <row r="1390">
      <c r="J1390" s="5" t="str">
        <f>IFERROR(__xludf.DUMMYFUNCTION("""COMPUTED_VALUE"""),"463🤙🏼Bronenosets Potemkin🤙🏼Thriller🤙🏼3")</f>
        <v>463🤙🏼Bronenosets Potemkin🤙🏼Thriller🤙🏼3</v>
      </c>
      <c r="K1390" s="5">
        <f>IFERROR(__xludf.DUMMYFUNCTION("SPLiT(J1390, ""🤙🏼"",FALSE,FALSE)"),463.0)</f>
        <v>463</v>
      </c>
      <c r="L1390" s="5" t="str">
        <f>IFERROR(__xludf.DUMMYFUNCTION("""COMPUTED_VALUE"""),"Bronenosets Potemkin")</f>
        <v>Bronenosets Potemkin</v>
      </c>
      <c r="M1390" s="5" t="str">
        <f>IFERROR(__xludf.DUMMYFUNCTION("""COMPUTED_VALUE"""),"Thriller")</f>
        <v>Thriller</v>
      </c>
      <c r="N1390" s="5">
        <f>IFERROR(__xludf.DUMMYFUNCTION("""COMPUTED_VALUE"""),3.0)</f>
        <v>3</v>
      </c>
      <c r="S1390" s="5">
        <f>IFERROR(__xludf.DUMMYFUNCTION("""COMPUTED_VALUE"""),554.0)</f>
        <v>554</v>
      </c>
      <c r="T1390" s="5" t="str">
        <f>IFERROR(__xludf.DUMMYFUNCTION("""COMPUTED_VALUE"""),"The Searchers")</f>
        <v>The Searchers</v>
      </c>
      <c r="U1390" s="5" t="str">
        <f>IFERROR(__xludf.DUMMYFUNCTION("""COMPUTED_VALUE"""),"Adventure")</f>
        <v>Adventure</v>
      </c>
      <c r="V1390" s="5">
        <f>IFERROR(__xludf.DUMMYFUNCTION("""COMPUTED_VALUE"""),1.0)</f>
        <v>1</v>
      </c>
    </row>
    <row r="1391">
      <c r="J1391" s="5" t="str">
        <f>IFERROR(__xludf.DUMMYFUNCTION("""COMPUTED_VALUE"""),"464🤙🏼Knives Out🤙🏼Comedy🤙🏼1")</f>
        <v>464🤙🏼Knives Out🤙🏼Comedy🤙🏼1</v>
      </c>
      <c r="K1391" s="5">
        <f>IFERROR(__xludf.DUMMYFUNCTION("SPLiT(J1391, ""🤙🏼"",FALSE,FALSE)"),464.0)</f>
        <v>464</v>
      </c>
      <c r="L1391" s="5" t="str">
        <f>IFERROR(__xludf.DUMMYFUNCTION("""COMPUTED_VALUE"""),"Knives Out")</f>
        <v>Knives Out</v>
      </c>
      <c r="M1391" s="5" t="str">
        <f>IFERROR(__xludf.DUMMYFUNCTION("""COMPUTED_VALUE"""),"Comedy")</f>
        <v>Comedy</v>
      </c>
      <c r="N1391" s="5">
        <f>IFERROR(__xludf.DUMMYFUNCTION("""COMPUTED_VALUE"""),1.0)</f>
        <v>1</v>
      </c>
      <c r="S1391" s="5">
        <f>IFERROR(__xludf.DUMMYFUNCTION("""COMPUTED_VALUE"""),554.0)</f>
        <v>554</v>
      </c>
      <c r="T1391" s="5" t="str">
        <f>IFERROR(__xludf.DUMMYFUNCTION("""COMPUTED_VALUE"""),"The Searchers")</f>
        <v>The Searchers</v>
      </c>
      <c r="U1391" s="5" t="str">
        <f>IFERROR(__xludf.DUMMYFUNCTION("""COMPUTED_VALUE"""),"Drama")</f>
        <v>Drama</v>
      </c>
      <c r="V1391" s="5">
        <f>IFERROR(__xludf.DUMMYFUNCTION("""COMPUTED_VALUE"""),2.0)</f>
        <v>2</v>
      </c>
    </row>
    <row r="1392">
      <c r="J1392" s="5" t="str">
        <f>IFERROR(__xludf.DUMMYFUNCTION("""COMPUTED_VALUE"""),"464🤙🏼Knives Out🤙🏼Crime🤙🏼2")</f>
        <v>464🤙🏼Knives Out🤙🏼Crime🤙🏼2</v>
      </c>
      <c r="K1392" s="5">
        <f>IFERROR(__xludf.DUMMYFUNCTION("SPLiT(J1392, ""🤙🏼"",FALSE,FALSE)"),464.0)</f>
        <v>464</v>
      </c>
      <c r="L1392" s="5" t="str">
        <f>IFERROR(__xludf.DUMMYFUNCTION("""COMPUTED_VALUE"""),"Knives Out")</f>
        <v>Knives Out</v>
      </c>
      <c r="M1392" s="5" t="str">
        <f>IFERROR(__xludf.DUMMYFUNCTION("""COMPUTED_VALUE"""),"Crime")</f>
        <v>Crime</v>
      </c>
      <c r="N1392" s="5">
        <f>IFERROR(__xludf.DUMMYFUNCTION("""COMPUTED_VALUE"""),2.0)</f>
        <v>2</v>
      </c>
      <c r="S1392" s="5">
        <f>IFERROR(__xludf.DUMMYFUNCTION("""COMPUTED_VALUE"""),554.0)</f>
        <v>554</v>
      </c>
      <c r="T1392" s="5" t="str">
        <f>IFERROR(__xludf.DUMMYFUNCTION("""COMPUTED_VALUE"""),"The Searchers")</f>
        <v>The Searchers</v>
      </c>
      <c r="U1392" s="5" t="str">
        <f>IFERROR(__xludf.DUMMYFUNCTION("""COMPUTED_VALUE"""),"Western")</f>
        <v>Western</v>
      </c>
      <c r="V1392" s="5">
        <f>IFERROR(__xludf.DUMMYFUNCTION("""COMPUTED_VALUE"""),3.0)</f>
        <v>3</v>
      </c>
    </row>
    <row r="1393">
      <c r="J1393" s="5" t="str">
        <f>IFERROR(__xludf.DUMMYFUNCTION("""COMPUTED_VALUE"""),"464🤙🏼Knives Out🤙🏼Drama🤙🏼3")</f>
        <v>464🤙🏼Knives Out🤙🏼Drama🤙🏼3</v>
      </c>
      <c r="K1393" s="5">
        <f>IFERROR(__xludf.DUMMYFUNCTION("SPLiT(J1393, ""🤙🏼"",FALSE,FALSE)"),464.0)</f>
        <v>464</v>
      </c>
      <c r="L1393" s="5" t="str">
        <f>IFERROR(__xludf.DUMMYFUNCTION("""COMPUTED_VALUE"""),"Knives Out")</f>
        <v>Knives Out</v>
      </c>
      <c r="M1393" s="5" t="str">
        <f>IFERROR(__xludf.DUMMYFUNCTION("""COMPUTED_VALUE"""),"Drama")</f>
        <v>Drama</v>
      </c>
      <c r="N1393" s="5">
        <f>IFERROR(__xludf.DUMMYFUNCTION("""COMPUTED_VALUE"""),3.0)</f>
        <v>3</v>
      </c>
      <c r="S1393" s="5">
        <f>IFERROR(__xludf.DUMMYFUNCTION("""COMPUTED_VALUE"""),555.0)</f>
        <v>555</v>
      </c>
      <c r="T1393" s="5" t="str">
        <f>IFERROR(__xludf.DUMMYFUNCTION("""COMPUTED_VALUE"""),"East of Eden")</f>
        <v>East of Eden</v>
      </c>
      <c r="U1393" s="5" t="str">
        <f>IFERROR(__xludf.DUMMYFUNCTION("""COMPUTED_VALUE"""),"Drama")</f>
        <v>Drama</v>
      </c>
      <c r="V1393" s="5">
        <f>IFERROR(__xludf.DUMMYFUNCTION("""COMPUTED_VALUE"""),1.0)</f>
        <v>1</v>
      </c>
    </row>
    <row r="1394">
      <c r="J1394" s="5" t="str">
        <f>IFERROR(__xludf.DUMMYFUNCTION("""COMPUTED_VALUE"""),"465🤙🏼Dil Bechara🤙🏼Comedy🤙🏼1")</f>
        <v>465🤙🏼Dil Bechara🤙🏼Comedy🤙🏼1</v>
      </c>
      <c r="K1394" s="5">
        <f>IFERROR(__xludf.DUMMYFUNCTION("SPLiT(J1394, ""🤙🏼"",FALSE,FALSE)"),465.0)</f>
        <v>465</v>
      </c>
      <c r="L1394" s="5" t="str">
        <f>IFERROR(__xludf.DUMMYFUNCTION("""COMPUTED_VALUE"""),"Dil Bechara")</f>
        <v>Dil Bechara</v>
      </c>
      <c r="M1394" s="5" t="str">
        <f>IFERROR(__xludf.DUMMYFUNCTION("""COMPUTED_VALUE"""),"Comedy")</f>
        <v>Comedy</v>
      </c>
      <c r="N1394" s="5">
        <f>IFERROR(__xludf.DUMMYFUNCTION("""COMPUTED_VALUE"""),1.0)</f>
        <v>1</v>
      </c>
      <c r="S1394" s="5">
        <f>IFERROR(__xludf.DUMMYFUNCTION("""COMPUTED_VALUE"""),556.0)</f>
        <v>556</v>
      </c>
      <c r="T1394" s="5" t="str">
        <f>IFERROR(__xludf.DUMMYFUNCTION("""COMPUTED_VALUE"""),"High Noon")</f>
        <v>High Noon</v>
      </c>
      <c r="U1394" s="5" t="str">
        <f>IFERROR(__xludf.DUMMYFUNCTION("""COMPUTED_VALUE"""),"Drama")</f>
        <v>Drama</v>
      </c>
      <c r="V1394" s="5">
        <f>IFERROR(__xludf.DUMMYFUNCTION("""COMPUTED_VALUE"""),1.0)</f>
        <v>1</v>
      </c>
    </row>
    <row r="1395">
      <c r="J1395" s="5" t="str">
        <f>IFERROR(__xludf.DUMMYFUNCTION("""COMPUTED_VALUE"""),"465🤙🏼Dil Bechara🤙🏼Drama🤙🏼2")</f>
        <v>465🤙🏼Dil Bechara🤙🏼Drama🤙🏼2</v>
      </c>
      <c r="K1395" s="5">
        <f>IFERROR(__xludf.DUMMYFUNCTION("SPLiT(J1395, ""🤙🏼"",FALSE,FALSE)"),465.0)</f>
        <v>465</v>
      </c>
      <c r="L1395" s="5" t="str">
        <f>IFERROR(__xludf.DUMMYFUNCTION("""COMPUTED_VALUE"""),"Dil Bechara")</f>
        <v>Dil Bechara</v>
      </c>
      <c r="M1395" s="5" t="str">
        <f>IFERROR(__xludf.DUMMYFUNCTION("""COMPUTED_VALUE"""),"Drama")</f>
        <v>Drama</v>
      </c>
      <c r="N1395" s="5">
        <f>IFERROR(__xludf.DUMMYFUNCTION("""COMPUTED_VALUE"""),2.0)</f>
        <v>2</v>
      </c>
      <c r="S1395" s="5">
        <f>IFERROR(__xludf.DUMMYFUNCTION("""COMPUTED_VALUE"""),556.0)</f>
        <v>556</v>
      </c>
      <c r="T1395" s="5" t="str">
        <f>IFERROR(__xludf.DUMMYFUNCTION("""COMPUTED_VALUE"""),"High Noon")</f>
        <v>High Noon</v>
      </c>
      <c r="U1395" s="5" t="str">
        <f>IFERROR(__xludf.DUMMYFUNCTION("""COMPUTED_VALUE"""),"Thriller")</f>
        <v>Thriller</v>
      </c>
      <c r="V1395" s="5">
        <f>IFERROR(__xludf.DUMMYFUNCTION("""COMPUTED_VALUE"""),2.0)</f>
        <v>2</v>
      </c>
    </row>
    <row r="1396">
      <c r="J1396" s="5" t="str">
        <f>IFERROR(__xludf.DUMMYFUNCTION("""COMPUTED_VALUE"""),"465🤙🏼Dil Bechara🤙🏼Romance🤙🏼3")</f>
        <v>465🤙🏼Dil Bechara🤙🏼Romance🤙🏼3</v>
      </c>
      <c r="K1396" s="5">
        <f>IFERROR(__xludf.DUMMYFUNCTION("SPLiT(J1396, ""🤙🏼"",FALSE,FALSE)"),465.0)</f>
        <v>465</v>
      </c>
      <c r="L1396" s="5" t="str">
        <f>IFERROR(__xludf.DUMMYFUNCTION("""COMPUTED_VALUE"""),"Dil Bechara")</f>
        <v>Dil Bechara</v>
      </c>
      <c r="M1396" s="5" t="str">
        <f>IFERROR(__xludf.DUMMYFUNCTION("""COMPUTED_VALUE"""),"Romance")</f>
        <v>Romance</v>
      </c>
      <c r="N1396" s="5">
        <f>IFERROR(__xludf.DUMMYFUNCTION("""COMPUTED_VALUE"""),3.0)</f>
        <v>3</v>
      </c>
      <c r="S1396" s="5">
        <f>IFERROR(__xludf.DUMMYFUNCTION("""COMPUTED_VALUE"""),556.0)</f>
        <v>556</v>
      </c>
      <c r="T1396" s="5" t="str">
        <f>IFERROR(__xludf.DUMMYFUNCTION("""COMPUTED_VALUE"""),"High Noon")</f>
        <v>High Noon</v>
      </c>
      <c r="U1396" s="5" t="str">
        <f>IFERROR(__xludf.DUMMYFUNCTION("""COMPUTED_VALUE"""),"Western")</f>
        <v>Western</v>
      </c>
      <c r="V1396" s="5">
        <f>IFERROR(__xludf.DUMMYFUNCTION("""COMPUTED_VALUE"""),3.0)</f>
        <v>3</v>
      </c>
    </row>
    <row r="1397">
      <c r="J1397" s="5" t="str">
        <f>IFERROR(__xludf.DUMMYFUNCTION("""COMPUTED_VALUE"""),"466🤙🏼Manbiki kazoku🤙🏼Crime🤙🏼1")</f>
        <v>466🤙🏼Manbiki kazoku🤙🏼Crime🤙🏼1</v>
      </c>
      <c r="K1397" s="5">
        <f>IFERROR(__xludf.DUMMYFUNCTION("SPLiT(J1397, ""🤙🏼"",FALSE,FALSE)"),466.0)</f>
        <v>466</v>
      </c>
      <c r="L1397" s="5" t="str">
        <f>IFERROR(__xludf.DUMMYFUNCTION("""COMPUTED_VALUE"""),"Manbiki kazoku")</f>
        <v>Manbiki kazoku</v>
      </c>
      <c r="M1397" s="5" t="str">
        <f>IFERROR(__xludf.DUMMYFUNCTION("""COMPUTED_VALUE"""),"Crime")</f>
        <v>Crime</v>
      </c>
      <c r="N1397" s="5">
        <f>IFERROR(__xludf.DUMMYFUNCTION("""COMPUTED_VALUE"""),1.0)</f>
        <v>1</v>
      </c>
      <c r="S1397" s="5">
        <f>IFERROR(__xludf.DUMMYFUNCTION("""COMPUTED_VALUE"""),557.0)</f>
        <v>557</v>
      </c>
      <c r="T1397" s="5" t="str">
        <f>IFERROR(__xludf.DUMMYFUNCTION("""COMPUTED_VALUE"""),"Strangers on a Train")</f>
        <v>Strangers on a Train</v>
      </c>
      <c r="U1397" s="5" t="str">
        <f>IFERROR(__xludf.DUMMYFUNCTION("""COMPUTED_VALUE"""),"Crime")</f>
        <v>Crime</v>
      </c>
      <c r="V1397" s="5">
        <f>IFERROR(__xludf.DUMMYFUNCTION("""COMPUTED_VALUE"""),1.0)</f>
        <v>1</v>
      </c>
    </row>
    <row r="1398">
      <c r="J1398" s="5" t="str">
        <f>IFERROR(__xludf.DUMMYFUNCTION("""COMPUTED_VALUE"""),"466🤙🏼Manbiki kazoku🤙🏼Drama🤙🏼2")</f>
        <v>466🤙🏼Manbiki kazoku🤙🏼Drama🤙🏼2</v>
      </c>
      <c r="K1398" s="5">
        <f>IFERROR(__xludf.DUMMYFUNCTION("SPLiT(J1398, ""🤙🏼"",FALSE,FALSE)"),466.0)</f>
        <v>466</v>
      </c>
      <c r="L1398" s="5" t="str">
        <f>IFERROR(__xludf.DUMMYFUNCTION("""COMPUTED_VALUE"""),"Manbiki kazoku")</f>
        <v>Manbiki kazoku</v>
      </c>
      <c r="M1398" s="5" t="str">
        <f>IFERROR(__xludf.DUMMYFUNCTION("""COMPUTED_VALUE"""),"Drama")</f>
        <v>Drama</v>
      </c>
      <c r="N1398" s="5">
        <f>IFERROR(__xludf.DUMMYFUNCTION("""COMPUTED_VALUE"""),2.0)</f>
        <v>2</v>
      </c>
      <c r="S1398" s="5">
        <f>IFERROR(__xludf.DUMMYFUNCTION("""COMPUTED_VALUE"""),557.0)</f>
        <v>557</v>
      </c>
      <c r="T1398" s="5" t="str">
        <f>IFERROR(__xludf.DUMMYFUNCTION("""COMPUTED_VALUE"""),"Strangers on a Train")</f>
        <v>Strangers on a Train</v>
      </c>
      <c r="U1398" s="5" t="str">
        <f>IFERROR(__xludf.DUMMYFUNCTION("""COMPUTED_VALUE"""),"Film-Noir")</f>
        <v>Film-Noir</v>
      </c>
      <c r="V1398" s="5">
        <f>IFERROR(__xludf.DUMMYFUNCTION("""COMPUTED_VALUE"""),2.0)</f>
        <v>2</v>
      </c>
    </row>
    <row r="1399">
      <c r="J1399" s="5" t="str">
        <f>IFERROR(__xludf.DUMMYFUNCTION("""COMPUTED_VALUE"""),"466🤙🏼Manbiki kazoku🤙🏼🤙🏼3")</f>
        <v>466🤙🏼Manbiki kazoku🤙🏼🤙🏼3</v>
      </c>
      <c r="K1399" s="5">
        <f>IFERROR(__xludf.DUMMYFUNCTION("SPLiT(J1399, ""🤙🏼"",FALSE,FALSE)"),466.0)</f>
        <v>466</v>
      </c>
      <c r="L1399" s="5" t="str">
        <f>IFERROR(__xludf.DUMMYFUNCTION("""COMPUTED_VALUE"""),"Manbiki kazoku")</f>
        <v>Manbiki kazoku</v>
      </c>
      <c r="M1399" s="5"/>
      <c r="N1399" s="5">
        <f>IFERROR(__xludf.DUMMYFUNCTION("""COMPUTED_VALUE"""),3.0)</f>
        <v>3</v>
      </c>
      <c r="S1399" s="5">
        <f>IFERROR(__xludf.DUMMYFUNCTION("""COMPUTED_VALUE"""),557.0)</f>
        <v>557</v>
      </c>
      <c r="T1399" s="5" t="str">
        <f>IFERROR(__xludf.DUMMYFUNCTION("""COMPUTED_VALUE"""),"Strangers on a Train")</f>
        <v>Strangers on a Train</v>
      </c>
      <c r="U1399" s="5" t="str">
        <f>IFERROR(__xludf.DUMMYFUNCTION("""COMPUTED_VALUE"""),"Thriller")</f>
        <v>Thriller</v>
      </c>
      <c r="V1399" s="5">
        <f>IFERROR(__xludf.DUMMYFUNCTION("""COMPUTED_VALUE"""),3.0)</f>
        <v>3</v>
      </c>
    </row>
    <row r="1400">
      <c r="J1400" s="5" t="str">
        <f>IFERROR(__xludf.DUMMYFUNCTION("""COMPUTED_VALUE"""),"467🤙🏼Marriage Story🤙🏼Comedy🤙🏼1")</f>
        <v>467🤙🏼Marriage Story🤙🏼Comedy🤙🏼1</v>
      </c>
      <c r="K1400" s="5">
        <f>IFERROR(__xludf.DUMMYFUNCTION("SPLiT(J1400, ""🤙🏼"",FALSE,FALSE)"),467.0)</f>
        <v>467</v>
      </c>
      <c r="L1400" s="5" t="str">
        <f>IFERROR(__xludf.DUMMYFUNCTION("""COMPUTED_VALUE"""),"Marriage Story")</f>
        <v>Marriage Story</v>
      </c>
      <c r="M1400" s="5" t="str">
        <f>IFERROR(__xludf.DUMMYFUNCTION("""COMPUTED_VALUE"""),"Comedy")</f>
        <v>Comedy</v>
      </c>
      <c r="N1400" s="5">
        <f>IFERROR(__xludf.DUMMYFUNCTION("""COMPUTED_VALUE"""),1.0)</f>
        <v>1</v>
      </c>
      <c r="S1400" s="5">
        <f>IFERROR(__xludf.DUMMYFUNCTION("""COMPUTED_VALUE"""),558.0)</f>
        <v>558</v>
      </c>
      <c r="T1400" s="5" t="str">
        <f>IFERROR(__xludf.DUMMYFUNCTION("""COMPUTED_VALUE"""),"Harvey")</f>
        <v>Harvey</v>
      </c>
      <c r="U1400" s="5" t="str">
        <f>IFERROR(__xludf.DUMMYFUNCTION("""COMPUTED_VALUE"""),"Comedy")</f>
        <v>Comedy</v>
      </c>
      <c r="V1400" s="5">
        <f>IFERROR(__xludf.DUMMYFUNCTION("""COMPUTED_VALUE"""),1.0)</f>
        <v>1</v>
      </c>
    </row>
    <row r="1401">
      <c r="J1401" s="5" t="str">
        <f>IFERROR(__xludf.DUMMYFUNCTION("""COMPUTED_VALUE"""),"467🤙🏼Marriage Story🤙🏼Drama🤙🏼2")</f>
        <v>467🤙🏼Marriage Story🤙🏼Drama🤙🏼2</v>
      </c>
      <c r="K1401" s="5">
        <f>IFERROR(__xludf.DUMMYFUNCTION("SPLiT(J1401, ""🤙🏼"",FALSE,FALSE)"),467.0)</f>
        <v>467</v>
      </c>
      <c r="L1401" s="5" t="str">
        <f>IFERROR(__xludf.DUMMYFUNCTION("""COMPUTED_VALUE"""),"Marriage Story")</f>
        <v>Marriage Story</v>
      </c>
      <c r="M1401" s="5" t="str">
        <f>IFERROR(__xludf.DUMMYFUNCTION("""COMPUTED_VALUE"""),"Drama")</f>
        <v>Drama</v>
      </c>
      <c r="N1401" s="5">
        <f>IFERROR(__xludf.DUMMYFUNCTION("""COMPUTED_VALUE"""),2.0)</f>
        <v>2</v>
      </c>
      <c r="S1401" s="5">
        <f>IFERROR(__xludf.DUMMYFUNCTION("""COMPUTED_VALUE"""),558.0)</f>
        <v>558</v>
      </c>
      <c r="T1401" s="5" t="str">
        <f>IFERROR(__xludf.DUMMYFUNCTION("""COMPUTED_VALUE"""),"Harvey")</f>
        <v>Harvey</v>
      </c>
      <c r="U1401" s="5" t="str">
        <f>IFERROR(__xludf.DUMMYFUNCTION("""COMPUTED_VALUE"""),"Drama")</f>
        <v>Drama</v>
      </c>
      <c r="V1401" s="5">
        <f>IFERROR(__xludf.DUMMYFUNCTION("""COMPUTED_VALUE"""),2.0)</f>
        <v>2</v>
      </c>
    </row>
    <row r="1402">
      <c r="J1402" s="5" t="str">
        <f>IFERROR(__xludf.DUMMYFUNCTION("""COMPUTED_VALUE"""),"467🤙🏼Marriage Story🤙🏼Romance🤙🏼3")</f>
        <v>467🤙🏼Marriage Story🤙🏼Romance🤙🏼3</v>
      </c>
      <c r="K1402" s="5">
        <f>IFERROR(__xludf.DUMMYFUNCTION("SPLiT(J1402, ""🤙🏼"",FALSE,FALSE)"),467.0)</f>
        <v>467</v>
      </c>
      <c r="L1402" s="5" t="str">
        <f>IFERROR(__xludf.DUMMYFUNCTION("""COMPUTED_VALUE"""),"Marriage Story")</f>
        <v>Marriage Story</v>
      </c>
      <c r="M1402" s="5" t="str">
        <f>IFERROR(__xludf.DUMMYFUNCTION("""COMPUTED_VALUE"""),"Romance")</f>
        <v>Romance</v>
      </c>
      <c r="N1402" s="5">
        <f>IFERROR(__xludf.DUMMYFUNCTION("""COMPUTED_VALUE"""),3.0)</f>
        <v>3</v>
      </c>
      <c r="S1402" s="5">
        <f>IFERROR(__xludf.DUMMYFUNCTION("""COMPUTED_VALUE"""),558.0)</f>
        <v>558</v>
      </c>
      <c r="T1402" s="5" t="str">
        <f>IFERROR(__xludf.DUMMYFUNCTION("""COMPUTED_VALUE"""),"Harvey")</f>
        <v>Harvey</v>
      </c>
      <c r="U1402" s="5" t="str">
        <f>IFERROR(__xludf.DUMMYFUNCTION("""COMPUTED_VALUE"""),"Fantasy")</f>
        <v>Fantasy</v>
      </c>
      <c r="V1402" s="5">
        <f>IFERROR(__xludf.DUMMYFUNCTION("""COMPUTED_VALUE"""),3.0)</f>
        <v>3</v>
      </c>
    </row>
    <row r="1403">
      <c r="J1403" s="5" t="str">
        <f>IFERROR(__xludf.DUMMYFUNCTION("""COMPUTED_VALUE"""),"468🤙🏼Call Me by Your Name🤙🏼Drama🤙🏼1")</f>
        <v>468🤙🏼Call Me by Your Name🤙🏼Drama🤙🏼1</v>
      </c>
      <c r="K1403" s="5">
        <f>IFERROR(__xludf.DUMMYFUNCTION("SPLiT(J1403, ""🤙🏼"",FALSE,FALSE)"),468.0)</f>
        <v>468</v>
      </c>
      <c r="L1403" s="5" t="str">
        <f>IFERROR(__xludf.DUMMYFUNCTION("""COMPUTED_VALUE"""),"Call Me by Your Name")</f>
        <v>Call Me by Your Name</v>
      </c>
      <c r="M1403" s="5" t="str">
        <f>IFERROR(__xludf.DUMMYFUNCTION("""COMPUTED_VALUE"""),"Drama")</f>
        <v>Drama</v>
      </c>
      <c r="N1403" s="5">
        <f>IFERROR(__xludf.DUMMYFUNCTION("""COMPUTED_VALUE"""),1.0)</f>
        <v>1</v>
      </c>
      <c r="S1403" s="5">
        <f>IFERROR(__xludf.DUMMYFUNCTION("""COMPUTED_VALUE"""),559.0)</f>
        <v>559</v>
      </c>
      <c r="T1403" s="5" t="str">
        <f>IFERROR(__xludf.DUMMYFUNCTION("""COMPUTED_VALUE"""),"Miracle on 34th Street")</f>
        <v>Miracle on 34th Street</v>
      </c>
      <c r="U1403" s="5" t="str">
        <f>IFERROR(__xludf.DUMMYFUNCTION("""COMPUTED_VALUE"""),"Comedy")</f>
        <v>Comedy</v>
      </c>
      <c r="V1403" s="5">
        <f>IFERROR(__xludf.DUMMYFUNCTION("""COMPUTED_VALUE"""),1.0)</f>
        <v>1</v>
      </c>
    </row>
    <row r="1404">
      <c r="J1404" s="5" t="str">
        <f>IFERROR(__xludf.DUMMYFUNCTION("""COMPUTED_VALUE"""),"468🤙🏼Call Me by Your Name🤙🏼Romance🤙🏼2")</f>
        <v>468🤙🏼Call Me by Your Name🤙🏼Romance🤙🏼2</v>
      </c>
      <c r="K1404" s="5">
        <f>IFERROR(__xludf.DUMMYFUNCTION("SPLiT(J1404, ""🤙🏼"",FALSE,FALSE)"),468.0)</f>
        <v>468</v>
      </c>
      <c r="L1404" s="5" t="str">
        <f>IFERROR(__xludf.DUMMYFUNCTION("""COMPUTED_VALUE"""),"Call Me by Your Name")</f>
        <v>Call Me by Your Name</v>
      </c>
      <c r="M1404" s="5" t="str">
        <f>IFERROR(__xludf.DUMMYFUNCTION("""COMPUTED_VALUE"""),"Romance")</f>
        <v>Romance</v>
      </c>
      <c r="N1404" s="5">
        <f>IFERROR(__xludf.DUMMYFUNCTION("""COMPUTED_VALUE"""),2.0)</f>
        <v>2</v>
      </c>
      <c r="S1404" s="5">
        <f>IFERROR(__xludf.DUMMYFUNCTION("""COMPUTED_VALUE"""),559.0)</f>
        <v>559</v>
      </c>
      <c r="T1404" s="5" t="str">
        <f>IFERROR(__xludf.DUMMYFUNCTION("""COMPUTED_VALUE"""),"Miracle on 34th Street")</f>
        <v>Miracle on 34th Street</v>
      </c>
      <c r="U1404" s="5" t="str">
        <f>IFERROR(__xludf.DUMMYFUNCTION("""COMPUTED_VALUE"""),"Drama")</f>
        <v>Drama</v>
      </c>
      <c r="V1404" s="5">
        <f>IFERROR(__xludf.DUMMYFUNCTION("""COMPUTED_VALUE"""),2.0)</f>
        <v>2</v>
      </c>
    </row>
    <row r="1405">
      <c r="J1405" s="5" t="str">
        <f>IFERROR(__xludf.DUMMYFUNCTION("""COMPUTED_VALUE"""),"468🤙🏼Call Me by Your Name🤙🏼🤙🏼3")</f>
        <v>468🤙🏼Call Me by Your Name🤙🏼🤙🏼3</v>
      </c>
      <c r="K1405" s="5">
        <f>IFERROR(__xludf.DUMMYFUNCTION("SPLiT(J1405, ""🤙🏼"",FALSE,FALSE)"),468.0)</f>
        <v>468</v>
      </c>
      <c r="L1405" s="5" t="str">
        <f>IFERROR(__xludf.DUMMYFUNCTION("""COMPUTED_VALUE"""),"Call Me by Your Name")</f>
        <v>Call Me by Your Name</v>
      </c>
      <c r="M1405" s="5"/>
      <c r="N1405" s="5">
        <f>IFERROR(__xludf.DUMMYFUNCTION("""COMPUTED_VALUE"""),3.0)</f>
        <v>3</v>
      </c>
      <c r="S1405" s="5">
        <f>IFERROR(__xludf.DUMMYFUNCTION("""COMPUTED_VALUE"""),559.0)</f>
        <v>559</v>
      </c>
      <c r="T1405" s="5" t="str">
        <f>IFERROR(__xludf.DUMMYFUNCTION("""COMPUTED_VALUE"""),"Miracle on 34th Street")</f>
        <v>Miracle on 34th Street</v>
      </c>
      <c r="U1405" s="5" t="str">
        <f>IFERROR(__xludf.DUMMYFUNCTION("""COMPUTED_VALUE"""),"Family")</f>
        <v>Family</v>
      </c>
      <c r="V1405" s="5">
        <f>IFERROR(__xludf.DUMMYFUNCTION("""COMPUTED_VALUE"""),3.0)</f>
        <v>3</v>
      </c>
    </row>
    <row r="1406">
      <c r="J1406" s="5" t="str">
        <f>IFERROR(__xludf.DUMMYFUNCTION("""COMPUTED_VALUE"""),"469🤙🏼I, Daniel Blake🤙🏼Drama🤙🏼1")</f>
        <v>469🤙🏼I, Daniel Blake🤙🏼Drama🤙🏼1</v>
      </c>
      <c r="K1406" s="5">
        <f>IFERROR(__xludf.DUMMYFUNCTION("SPLiT(J1406, ""🤙🏼"",FALSE,FALSE)"),469.0)</f>
        <v>469</v>
      </c>
      <c r="L1406" s="5" t="str">
        <f>IFERROR(__xludf.DUMMYFUNCTION("""COMPUTED_VALUE"""),"I, Daniel Blake")</f>
        <v>I, Daniel Blake</v>
      </c>
      <c r="M1406" s="5" t="str">
        <f>IFERROR(__xludf.DUMMYFUNCTION("""COMPUTED_VALUE"""),"Drama")</f>
        <v>Drama</v>
      </c>
      <c r="N1406" s="5">
        <f>IFERROR(__xludf.DUMMYFUNCTION("""COMPUTED_VALUE"""),1.0)</f>
        <v>1</v>
      </c>
      <c r="S1406" s="5">
        <f>IFERROR(__xludf.DUMMYFUNCTION("""COMPUTED_VALUE"""),560.0)</f>
        <v>560</v>
      </c>
      <c r="T1406" s="5" t="str">
        <f>IFERROR(__xludf.DUMMYFUNCTION("""COMPUTED_VALUE"""),"Notorious")</f>
        <v>Notorious</v>
      </c>
      <c r="U1406" s="5" t="str">
        <f>IFERROR(__xludf.DUMMYFUNCTION("""COMPUTED_VALUE"""),"Drama")</f>
        <v>Drama</v>
      </c>
      <c r="V1406" s="5">
        <f>IFERROR(__xludf.DUMMYFUNCTION("""COMPUTED_VALUE"""),1.0)</f>
        <v>1</v>
      </c>
    </row>
    <row r="1407">
      <c r="J1407" s="5" t="str">
        <f>IFERROR(__xludf.DUMMYFUNCTION("""COMPUTED_VALUE"""),"469🤙🏼I, Daniel Blake🤙🏼🤙🏼2")</f>
        <v>469🤙🏼I, Daniel Blake🤙🏼🤙🏼2</v>
      </c>
      <c r="K1407" s="5">
        <f>IFERROR(__xludf.DUMMYFUNCTION("SPLiT(J1407, ""🤙🏼"",FALSE,FALSE)"),469.0)</f>
        <v>469</v>
      </c>
      <c r="L1407" s="5" t="str">
        <f>IFERROR(__xludf.DUMMYFUNCTION("""COMPUTED_VALUE"""),"I, Daniel Blake")</f>
        <v>I, Daniel Blake</v>
      </c>
      <c r="M1407" s="5"/>
      <c r="N1407" s="5">
        <f>IFERROR(__xludf.DUMMYFUNCTION("""COMPUTED_VALUE"""),2.0)</f>
        <v>2</v>
      </c>
      <c r="S1407" s="5">
        <f>IFERROR(__xludf.DUMMYFUNCTION("""COMPUTED_VALUE"""),560.0)</f>
        <v>560</v>
      </c>
      <c r="T1407" s="5" t="str">
        <f>IFERROR(__xludf.DUMMYFUNCTION("""COMPUTED_VALUE"""),"Notorious")</f>
        <v>Notorious</v>
      </c>
      <c r="U1407" s="5" t="str">
        <f>IFERROR(__xludf.DUMMYFUNCTION("""COMPUTED_VALUE"""),"Film-Noir")</f>
        <v>Film-Noir</v>
      </c>
      <c r="V1407" s="5">
        <f>IFERROR(__xludf.DUMMYFUNCTION("""COMPUTED_VALUE"""),2.0)</f>
        <v>2</v>
      </c>
    </row>
    <row r="1408">
      <c r="J1408" s="5" t="str">
        <f>IFERROR(__xludf.DUMMYFUNCTION("""COMPUTED_VALUE"""),"469🤙🏼I, Daniel Blake🤙🏼🤙🏼3")</f>
        <v>469🤙🏼I, Daniel Blake🤙🏼🤙🏼3</v>
      </c>
      <c r="K1408" s="5">
        <f>IFERROR(__xludf.DUMMYFUNCTION("SPLiT(J1408, ""🤙🏼"",FALSE,FALSE)"),469.0)</f>
        <v>469</v>
      </c>
      <c r="L1408" s="5" t="str">
        <f>IFERROR(__xludf.DUMMYFUNCTION("""COMPUTED_VALUE"""),"I, Daniel Blake")</f>
        <v>I, Daniel Blake</v>
      </c>
      <c r="M1408" s="5"/>
      <c r="N1408" s="5">
        <f>IFERROR(__xludf.DUMMYFUNCTION("""COMPUTED_VALUE"""),3.0)</f>
        <v>3</v>
      </c>
      <c r="S1408" s="5">
        <f>IFERROR(__xludf.DUMMYFUNCTION("""COMPUTED_VALUE"""),560.0)</f>
        <v>560</v>
      </c>
      <c r="T1408" s="5" t="str">
        <f>IFERROR(__xludf.DUMMYFUNCTION("""COMPUTED_VALUE"""),"Notorious")</f>
        <v>Notorious</v>
      </c>
      <c r="U1408" s="5" t="str">
        <f>IFERROR(__xludf.DUMMYFUNCTION("""COMPUTED_VALUE"""),"Romance")</f>
        <v>Romance</v>
      </c>
      <c r="V1408" s="5">
        <f>IFERROR(__xludf.DUMMYFUNCTION("""COMPUTED_VALUE"""),3.0)</f>
        <v>3</v>
      </c>
    </row>
    <row r="1409">
      <c r="J1409" s="5" t="str">
        <f>IFERROR(__xludf.DUMMYFUNCTION("""COMPUTED_VALUE"""),"470🤙🏼Isle of Dogs🤙🏼Animation🤙🏼1")</f>
        <v>470🤙🏼Isle of Dogs🤙🏼Animation🤙🏼1</v>
      </c>
      <c r="K1409" s="5">
        <f>IFERROR(__xludf.DUMMYFUNCTION("SPLiT(J1409, ""🤙🏼"",FALSE,FALSE)"),470.0)</f>
        <v>470</v>
      </c>
      <c r="L1409" s="5" t="str">
        <f>IFERROR(__xludf.DUMMYFUNCTION("""COMPUTED_VALUE"""),"Isle of Dogs")</f>
        <v>Isle of Dogs</v>
      </c>
      <c r="M1409" s="5" t="str">
        <f>IFERROR(__xludf.DUMMYFUNCTION("""COMPUTED_VALUE"""),"Animation")</f>
        <v>Animation</v>
      </c>
      <c r="N1409" s="5">
        <f>IFERROR(__xludf.DUMMYFUNCTION("""COMPUTED_VALUE"""),1.0)</f>
        <v>1</v>
      </c>
      <c r="S1409" s="5">
        <f>IFERROR(__xludf.DUMMYFUNCTION("""COMPUTED_VALUE"""),561.0)</f>
        <v>561</v>
      </c>
      <c r="T1409" s="5" t="str">
        <f>IFERROR(__xludf.DUMMYFUNCTION("""COMPUTED_VALUE"""),"The Big Sleep")</f>
        <v>The Big Sleep</v>
      </c>
      <c r="U1409" s="5" t="str">
        <f>IFERROR(__xludf.DUMMYFUNCTION("""COMPUTED_VALUE"""),"Crime")</f>
        <v>Crime</v>
      </c>
      <c r="V1409" s="5">
        <f>IFERROR(__xludf.DUMMYFUNCTION("""COMPUTED_VALUE"""),1.0)</f>
        <v>1</v>
      </c>
    </row>
    <row r="1410">
      <c r="J1410" s="5" t="str">
        <f>IFERROR(__xludf.DUMMYFUNCTION("""COMPUTED_VALUE"""),"470🤙🏼Isle of Dogs🤙🏼Adventure🤙🏼2")</f>
        <v>470🤙🏼Isle of Dogs🤙🏼Adventure🤙🏼2</v>
      </c>
      <c r="K1410" s="5">
        <f>IFERROR(__xludf.DUMMYFUNCTION("SPLiT(J1410, ""🤙🏼"",FALSE,FALSE)"),470.0)</f>
        <v>470</v>
      </c>
      <c r="L1410" s="5" t="str">
        <f>IFERROR(__xludf.DUMMYFUNCTION("""COMPUTED_VALUE"""),"Isle of Dogs")</f>
        <v>Isle of Dogs</v>
      </c>
      <c r="M1410" s="5" t="str">
        <f>IFERROR(__xludf.DUMMYFUNCTION("""COMPUTED_VALUE"""),"Adventure")</f>
        <v>Adventure</v>
      </c>
      <c r="N1410" s="5">
        <f>IFERROR(__xludf.DUMMYFUNCTION("""COMPUTED_VALUE"""),2.0)</f>
        <v>2</v>
      </c>
      <c r="S1410" s="5">
        <f>IFERROR(__xludf.DUMMYFUNCTION("""COMPUTED_VALUE"""),561.0)</f>
        <v>561</v>
      </c>
      <c r="T1410" s="5" t="str">
        <f>IFERROR(__xludf.DUMMYFUNCTION("""COMPUTED_VALUE"""),"The Big Sleep")</f>
        <v>The Big Sleep</v>
      </c>
      <c r="U1410" s="5" t="str">
        <f>IFERROR(__xludf.DUMMYFUNCTION("""COMPUTED_VALUE"""),"Film-Noir")</f>
        <v>Film-Noir</v>
      </c>
      <c r="V1410" s="5">
        <f>IFERROR(__xludf.DUMMYFUNCTION("""COMPUTED_VALUE"""),2.0)</f>
        <v>2</v>
      </c>
    </row>
    <row r="1411">
      <c r="J1411" s="5" t="str">
        <f>IFERROR(__xludf.DUMMYFUNCTION("""COMPUTED_VALUE"""),"470🤙🏼Isle of Dogs🤙🏼Comedy🤙🏼3")</f>
        <v>470🤙🏼Isle of Dogs🤙🏼Comedy🤙🏼3</v>
      </c>
      <c r="K1411" s="5">
        <f>IFERROR(__xludf.DUMMYFUNCTION("SPLiT(J1411, ""🤙🏼"",FALSE,FALSE)"),470.0)</f>
        <v>470</v>
      </c>
      <c r="L1411" s="5" t="str">
        <f>IFERROR(__xludf.DUMMYFUNCTION("""COMPUTED_VALUE"""),"Isle of Dogs")</f>
        <v>Isle of Dogs</v>
      </c>
      <c r="M1411" s="5" t="str">
        <f>IFERROR(__xludf.DUMMYFUNCTION("""COMPUTED_VALUE"""),"Comedy")</f>
        <v>Comedy</v>
      </c>
      <c r="N1411" s="5">
        <f>IFERROR(__xludf.DUMMYFUNCTION("""COMPUTED_VALUE"""),3.0)</f>
        <v>3</v>
      </c>
      <c r="S1411" s="5">
        <f>IFERROR(__xludf.DUMMYFUNCTION("""COMPUTED_VALUE"""),561.0)</f>
        <v>561</v>
      </c>
      <c r="T1411" s="5" t="str">
        <f>IFERROR(__xludf.DUMMYFUNCTION("""COMPUTED_VALUE"""),"The Big Sleep")</f>
        <v>The Big Sleep</v>
      </c>
      <c r="U1411" s="5" t="str">
        <f>IFERROR(__xludf.DUMMYFUNCTION("""COMPUTED_VALUE"""),"Mystery")</f>
        <v>Mystery</v>
      </c>
      <c r="V1411" s="5">
        <f>IFERROR(__xludf.DUMMYFUNCTION("""COMPUTED_VALUE"""),3.0)</f>
        <v>3</v>
      </c>
    </row>
    <row r="1412">
      <c r="J1412" s="5" t="str">
        <f>IFERROR(__xludf.DUMMYFUNCTION("""COMPUTED_VALUE"""),"471🤙🏼Hunt for the Wilderpeople🤙🏼Adventure🤙🏼1")</f>
        <v>471🤙🏼Hunt for the Wilderpeople🤙🏼Adventure🤙🏼1</v>
      </c>
      <c r="K1412" s="5">
        <f>IFERROR(__xludf.DUMMYFUNCTION("SPLiT(J1412, ""🤙🏼"",FALSE,FALSE)"),471.0)</f>
        <v>471</v>
      </c>
      <c r="L1412" s="5" t="str">
        <f>IFERROR(__xludf.DUMMYFUNCTION("""COMPUTED_VALUE"""),"Hunt for the Wilderpeople")</f>
        <v>Hunt for the Wilderpeople</v>
      </c>
      <c r="M1412" s="5" t="str">
        <f>IFERROR(__xludf.DUMMYFUNCTION("""COMPUTED_VALUE"""),"Adventure")</f>
        <v>Adventure</v>
      </c>
      <c r="N1412" s="5">
        <f>IFERROR(__xludf.DUMMYFUNCTION("""COMPUTED_VALUE"""),1.0)</f>
        <v>1</v>
      </c>
      <c r="S1412" s="5">
        <f>IFERROR(__xludf.DUMMYFUNCTION("""COMPUTED_VALUE"""),562.0)</f>
        <v>562</v>
      </c>
      <c r="T1412" s="5" t="str">
        <f>IFERROR(__xludf.DUMMYFUNCTION("""COMPUTED_VALUE"""),"The Lost Weekend")</f>
        <v>The Lost Weekend</v>
      </c>
      <c r="U1412" s="5" t="str">
        <f>IFERROR(__xludf.DUMMYFUNCTION("""COMPUTED_VALUE"""),"Drama")</f>
        <v>Drama</v>
      </c>
      <c r="V1412" s="5">
        <f>IFERROR(__xludf.DUMMYFUNCTION("""COMPUTED_VALUE"""),1.0)</f>
        <v>1</v>
      </c>
    </row>
    <row r="1413">
      <c r="J1413" s="5" t="str">
        <f>IFERROR(__xludf.DUMMYFUNCTION("""COMPUTED_VALUE"""),"471🤙🏼Hunt for the Wilderpeople🤙🏼Comedy🤙🏼2")</f>
        <v>471🤙🏼Hunt for the Wilderpeople🤙🏼Comedy🤙🏼2</v>
      </c>
      <c r="K1413" s="5">
        <f>IFERROR(__xludf.DUMMYFUNCTION("SPLiT(J1413, ""🤙🏼"",FALSE,FALSE)"),471.0)</f>
        <v>471</v>
      </c>
      <c r="L1413" s="5" t="str">
        <f>IFERROR(__xludf.DUMMYFUNCTION("""COMPUTED_VALUE"""),"Hunt for the Wilderpeople")</f>
        <v>Hunt for the Wilderpeople</v>
      </c>
      <c r="M1413" s="5" t="str">
        <f>IFERROR(__xludf.DUMMYFUNCTION("""COMPUTED_VALUE"""),"Comedy")</f>
        <v>Comedy</v>
      </c>
      <c r="N1413" s="5">
        <f>IFERROR(__xludf.DUMMYFUNCTION("""COMPUTED_VALUE"""),2.0)</f>
        <v>2</v>
      </c>
      <c r="S1413" s="5">
        <f>IFERROR(__xludf.DUMMYFUNCTION("""COMPUTED_VALUE"""),562.0)</f>
        <v>562</v>
      </c>
      <c r="T1413" s="5" t="str">
        <f>IFERROR(__xludf.DUMMYFUNCTION("""COMPUTED_VALUE"""),"The Lost Weekend")</f>
        <v>The Lost Weekend</v>
      </c>
      <c r="U1413" s="5" t="str">
        <f>IFERROR(__xludf.DUMMYFUNCTION("""COMPUTED_VALUE"""),"Film-Noir")</f>
        <v>Film-Noir</v>
      </c>
      <c r="V1413" s="5">
        <f>IFERROR(__xludf.DUMMYFUNCTION("""COMPUTED_VALUE"""),2.0)</f>
        <v>2</v>
      </c>
    </row>
    <row r="1414">
      <c r="J1414" s="5" t="str">
        <f>IFERROR(__xludf.DUMMYFUNCTION("""COMPUTED_VALUE"""),"471🤙🏼Hunt for the Wilderpeople🤙🏼Drama🤙🏼3")</f>
        <v>471🤙🏼Hunt for the Wilderpeople🤙🏼Drama🤙🏼3</v>
      </c>
      <c r="K1414" s="5">
        <f>IFERROR(__xludf.DUMMYFUNCTION("SPLiT(J1414, ""🤙🏼"",FALSE,FALSE)"),471.0)</f>
        <v>471</v>
      </c>
      <c r="L1414" s="5" t="str">
        <f>IFERROR(__xludf.DUMMYFUNCTION("""COMPUTED_VALUE"""),"Hunt for the Wilderpeople")</f>
        <v>Hunt for the Wilderpeople</v>
      </c>
      <c r="M1414" s="5" t="str">
        <f>IFERROR(__xludf.DUMMYFUNCTION("""COMPUTED_VALUE"""),"Drama")</f>
        <v>Drama</v>
      </c>
      <c r="N1414" s="5">
        <f>IFERROR(__xludf.DUMMYFUNCTION("""COMPUTED_VALUE"""),3.0)</f>
        <v>3</v>
      </c>
      <c r="S1414" s="5">
        <f>IFERROR(__xludf.DUMMYFUNCTION("""COMPUTED_VALUE"""),563.0)</f>
        <v>563</v>
      </c>
      <c r="T1414" s="5" t="str">
        <f>IFERROR(__xludf.DUMMYFUNCTION("""COMPUTED_VALUE"""),"The Philadelphia Story")</f>
        <v>The Philadelphia Story</v>
      </c>
      <c r="U1414" s="5" t="str">
        <f>IFERROR(__xludf.DUMMYFUNCTION("""COMPUTED_VALUE"""),"Comedy")</f>
        <v>Comedy</v>
      </c>
      <c r="V1414" s="5">
        <f>IFERROR(__xludf.DUMMYFUNCTION("""COMPUTED_VALUE"""),1.0)</f>
        <v>1</v>
      </c>
    </row>
    <row r="1415">
      <c r="J1415" s="5" t="str">
        <f>IFERROR(__xludf.DUMMYFUNCTION("""COMPUTED_VALUE"""),"472🤙🏼Captain Fantastic🤙🏼Comedy🤙🏼1")</f>
        <v>472🤙🏼Captain Fantastic🤙🏼Comedy🤙🏼1</v>
      </c>
      <c r="K1415" s="5">
        <f>IFERROR(__xludf.DUMMYFUNCTION("SPLiT(J1415, ""🤙🏼"",FALSE,FALSE)"),472.0)</f>
        <v>472</v>
      </c>
      <c r="L1415" s="5" t="str">
        <f>IFERROR(__xludf.DUMMYFUNCTION("""COMPUTED_VALUE"""),"Captain Fantastic")</f>
        <v>Captain Fantastic</v>
      </c>
      <c r="M1415" s="5" t="str">
        <f>IFERROR(__xludf.DUMMYFUNCTION("""COMPUTED_VALUE"""),"Comedy")</f>
        <v>Comedy</v>
      </c>
      <c r="N1415" s="5">
        <f>IFERROR(__xludf.DUMMYFUNCTION("""COMPUTED_VALUE"""),1.0)</f>
        <v>1</v>
      </c>
      <c r="S1415" s="5">
        <f>IFERROR(__xludf.DUMMYFUNCTION("""COMPUTED_VALUE"""),563.0)</f>
        <v>563</v>
      </c>
      <c r="T1415" s="5" t="str">
        <f>IFERROR(__xludf.DUMMYFUNCTION("""COMPUTED_VALUE"""),"The Philadelphia Story")</f>
        <v>The Philadelphia Story</v>
      </c>
      <c r="U1415" s="5" t="str">
        <f>IFERROR(__xludf.DUMMYFUNCTION("""COMPUTED_VALUE"""),"Romance")</f>
        <v>Romance</v>
      </c>
      <c r="V1415" s="5">
        <f>IFERROR(__xludf.DUMMYFUNCTION("""COMPUTED_VALUE"""),2.0)</f>
        <v>2</v>
      </c>
    </row>
    <row r="1416">
      <c r="J1416" s="5" t="str">
        <f>IFERROR(__xludf.DUMMYFUNCTION("""COMPUTED_VALUE"""),"472🤙🏼Captain Fantastic🤙🏼Drama🤙🏼2")</f>
        <v>472🤙🏼Captain Fantastic🤙🏼Drama🤙🏼2</v>
      </c>
      <c r="K1416" s="5">
        <f>IFERROR(__xludf.DUMMYFUNCTION("SPLiT(J1416, ""🤙🏼"",FALSE,FALSE)"),472.0)</f>
        <v>472</v>
      </c>
      <c r="L1416" s="5" t="str">
        <f>IFERROR(__xludf.DUMMYFUNCTION("""COMPUTED_VALUE"""),"Captain Fantastic")</f>
        <v>Captain Fantastic</v>
      </c>
      <c r="M1416" s="5" t="str">
        <f>IFERROR(__xludf.DUMMYFUNCTION("""COMPUTED_VALUE"""),"Drama")</f>
        <v>Drama</v>
      </c>
      <c r="N1416" s="5">
        <f>IFERROR(__xludf.DUMMYFUNCTION("""COMPUTED_VALUE"""),2.0)</f>
        <v>2</v>
      </c>
      <c r="S1416" s="5">
        <f>IFERROR(__xludf.DUMMYFUNCTION("""COMPUTED_VALUE"""),564.0)</f>
        <v>564</v>
      </c>
      <c r="T1416" s="5" t="str">
        <f>IFERROR(__xludf.DUMMYFUNCTION("""COMPUTED_VALUE"""),"His Girl Friday")</f>
        <v>His Girl Friday</v>
      </c>
      <c r="U1416" s="5" t="str">
        <f>IFERROR(__xludf.DUMMYFUNCTION("""COMPUTED_VALUE"""),"Comedy")</f>
        <v>Comedy</v>
      </c>
      <c r="V1416" s="5">
        <f>IFERROR(__xludf.DUMMYFUNCTION("""COMPUTED_VALUE"""),1.0)</f>
        <v>1</v>
      </c>
    </row>
    <row r="1417">
      <c r="J1417" s="5" t="str">
        <f>IFERROR(__xludf.DUMMYFUNCTION("""COMPUTED_VALUE"""),"472🤙🏼Captain Fantastic🤙🏼🤙🏼3")</f>
        <v>472🤙🏼Captain Fantastic🤙🏼🤙🏼3</v>
      </c>
      <c r="K1417" s="5">
        <f>IFERROR(__xludf.DUMMYFUNCTION("SPLiT(J1417, ""🤙🏼"",FALSE,FALSE)"),472.0)</f>
        <v>472</v>
      </c>
      <c r="L1417" s="5" t="str">
        <f>IFERROR(__xludf.DUMMYFUNCTION("""COMPUTED_VALUE"""),"Captain Fantastic")</f>
        <v>Captain Fantastic</v>
      </c>
      <c r="M1417" s="5"/>
      <c r="N1417" s="5">
        <f>IFERROR(__xludf.DUMMYFUNCTION("""COMPUTED_VALUE"""),3.0)</f>
        <v>3</v>
      </c>
      <c r="S1417" s="5">
        <f>IFERROR(__xludf.DUMMYFUNCTION("""COMPUTED_VALUE"""),564.0)</f>
        <v>564</v>
      </c>
      <c r="T1417" s="5" t="str">
        <f>IFERROR(__xludf.DUMMYFUNCTION("""COMPUTED_VALUE"""),"His Girl Friday")</f>
        <v>His Girl Friday</v>
      </c>
      <c r="U1417" s="5" t="str">
        <f>IFERROR(__xludf.DUMMYFUNCTION("""COMPUTED_VALUE"""),"Drama")</f>
        <v>Drama</v>
      </c>
      <c r="V1417" s="5">
        <f>IFERROR(__xludf.DUMMYFUNCTION("""COMPUTED_VALUE"""),2.0)</f>
        <v>2</v>
      </c>
    </row>
    <row r="1418">
      <c r="J1418" s="5" t="str">
        <f>IFERROR(__xludf.DUMMYFUNCTION("""COMPUTED_VALUE"""),"473🤙🏼Sing Street🤙🏼Comedy🤙🏼1")</f>
        <v>473🤙🏼Sing Street🤙🏼Comedy🤙🏼1</v>
      </c>
      <c r="K1418" s="5">
        <f>IFERROR(__xludf.DUMMYFUNCTION("SPLiT(J1418, ""🤙🏼"",FALSE,FALSE)"),473.0)</f>
        <v>473</v>
      </c>
      <c r="L1418" s="5" t="str">
        <f>IFERROR(__xludf.DUMMYFUNCTION("""COMPUTED_VALUE"""),"Sing Street")</f>
        <v>Sing Street</v>
      </c>
      <c r="M1418" s="5" t="str">
        <f>IFERROR(__xludf.DUMMYFUNCTION("""COMPUTED_VALUE"""),"Comedy")</f>
        <v>Comedy</v>
      </c>
      <c r="N1418" s="5">
        <f>IFERROR(__xludf.DUMMYFUNCTION("""COMPUTED_VALUE"""),1.0)</f>
        <v>1</v>
      </c>
      <c r="S1418" s="5">
        <f>IFERROR(__xludf.DUMMYFUNCTION("""COMPUTED_VALUE"""),564.0)</f>
        <v>564</v>
      </c>
      <c r="T1418" s="5" t="str">
        <f>IFERROR(__xludf.DUMMYFUNCTION("""COMPUTED_VALUE"""),"His Girl Friday")</f>
        <v>His Girl Friday</v>
      </c>
      <c r="U1418" s="5" t="str">
        <f>IFERROR(__xludf.DUMMYFUNCTION("""COMPUTED_VALUE"""),"Romance")</f>
        <v>Romance</v>
      </c>
      <c r="V1418" s="5">
        <f>IFERROR(__xludf.DUMMYFUNCTION("""COMPUTED_VALUE"""),3.0)</f>
        <v>3</v>
      </c>
    </row>
    <row r="1419">
      <c r="J1419" s="5" t="str">
        <f>IFERROR(__xludf.DUMMYFUNCTION("""COMPUTED_VALUE"""),"473🤙🏼Sing Street🤙🏼Drama🤙🏼2")</f>
        <v>473🤙🏼Sing Street🤙🏼Drama🤙🏼2</v>
      </c>
      <c r="K1419" s="5">
        <f>IFERROR(__xludf.DUMMYFUNCTION("SPLiT(J1419, ""🤙🏼"",FALSE,FALSE)"),473.0)</f>
        <v>473</v>
      </c>
      <c r="L1419" s="5" t="str">
        <f>IFERROR(__xludf.DUMMYFUNCTION("""COMPUTED_VALUE"""),"Sing Street")</f>
        <v>Sing Street</v>
      </c>
      <c r="M1419" s="5" t="str">
        <f>IFERROR(__xludf.DUMMYFUNCTION("""COMPUTED_VALUE"""),"Drama")</f>
        <v>Drama</v>
      </c>
      <c r="N1419" s="5">
        <f>IFERROR(__xludf.DUMMYFUNCTION("""COMPUTED_VALUE"""),2.0)</f>
        <v>2</v>
      </c>
      <c r="S1419" s="5">
        <f>IFERROR(__xludf.DUMMYFUNCTION("""COMPUTED_VALUE"""),565.0)</f>
        <v>565</v>
      </c>
      <c r="T1419" s="5" t="str">
        <f>IFERROR(__xludf.DUMMYFUNCTION("""COMPUTED_VALUE"""),"The Adventures of Robin Hood")</f>
        <v>The Adventures of Robin Hood</v>
      </c>
      <c r="U1419" s="5" t="str">
        <f>IFERROR(__xludf.DUMMYFUNCTION("""COMPUTED_VALUE"""),"Action")</f>
        <v>Action</v>
      </c>
      <c r="V1419" s="5">
        <f>IFERROR(__xludf.DUMMYFUNCTION("""COMPUTED_VALUE"""),1.0)</f>
        <v>1</v>
      </c>
    </row>
    <row r="1420">
      <c r="J1420" s="5" t="str">
        <f>IFERROR(__xludf.DUMMYFUNCTION("""COMPUTED_VALUE"""),"473🤙🏼Sing Street🤙🏼Music🤙🏼3")</f>
        <v>473🤙🏼Sing Street🤙🏼Music🤙🏼3</v>
      </c>
      <c r="K1420" s="5">
        <f>IFERROR(__xludf.DUMMYFUNCTION("SPLiT(J1420, ""🤙🏼"",FALSE,FALSE)"),473.0)</f>
        <v>473</v>
      </c>
      <c r="L1420" s="5" t="str">
        <f>IFERROR(__xludf.DUMMYFUNCTION("""COMPUTED_VALUE"""),"Sing Street")</f>
        <v>Sing Street</v>
      </c>
      <c r="M1420" s="5" t="str">
        <f>IFERROR(__xludf.DUMMYFUNCTION("""COMPUTED_VALUE"""),"Music")</f>
        <v>Music</v>
      </c>
      <c r="N1420" s="5">
        <f>IFERROR(__xludf.DUMMYFUNCTION("""COMPUTED_VALUE"""),3.0)</f>
        <v>3</v>
      </c>
      <c r="S1420" s="5">
        <f>IFERROR(__xludf.DUMMYFUNCTION("""COMPUTED_VALUE"""),565.0)</f>
        <v>565</v>
      </c>
      <c r="T1420" s="5" t="str">
        <f>IFERROR(__xludf.DUMMYFUNCTION("""COMPUTED_VALUE"""),"The Adventures of Robin Hood")</f>
        <v>The Adventures of Robin Hood</v>
      </c>
      <c r="U1420" s="5" t="str">
        <f>IFERROR(__xludf.DUMMYFUNCTION("""COMPUTED_VALUE"""),"Adventure")</f>
        <v>Adventure</v>
      </c>
      <c r="V1420" s="5">
        <f>IFERROR(__xludf.DUMMYFUNCTION("""COMPUTED_VALUE"""),2.0)</f>
        <v>2</v>
      </c>
    </row>
    <row r="1421">
      <c r="J1421" s="5" t="str">
        <f>IFERROR(__xludf.DUMMYFUNCTION("""COMPUTED_VALUE"""),"474🤙🏼Thor: Ragnarok🤙🏼Action🤙🏼1")</f>
        <v>474🤙🏼Thor: Ragnarok🤙🏼Action🤙🏼1</v>
      </c>
      <c r="K1421" s="5">
        <f>IFERROR(__xludf.DUMMYFUNCTION("SPLiT(J1421, ""🤙🏼"",FALSE,FALSE)"),474.0)</f>
        <v>474</v>
      </c>
      <c r="L1421" s="5" t="str">
        <f>IFERROR(__xludf.DUMMYFUNCTION("""COMPUTED_VALUE"""),"Thor: Ragnarok")</f>
        <v>Thor: Ragnarok</v>
      </c>
      <c r="M1421" s="5" t="str">
        <f>IFERROR(__xludf.DUMMYFUNCTION("""COMPUTED_VALUE"""),"Action")</f>
        <v>Action</v>
      </c>
      <c r="N1421" s="5">
        <f>IFERROR(__xludf.DUMMYFUNCTION("""COMPUTED_VALUE"""),1.0)</f>
        <v>1</v>
      </c>
      <c r="S1421" s="5">
        <f>IFERROR(__xludf.DUMMYFUNCTION("""COMPUTED_VALUE"""),565.0)</f>
        <v>565</v>
      </c>
      <c r="T1421" s="5" t="str">
        <f>IFERROR(__xludf.DUMMYFUNCTION("""COMPUTED_VALUE"""),"The Adventures of Robin Hood")</f>
        <v>The Adventures of Robin Hood</v>
      </c>
      <c r="U1421" s="5" t="str">
        <f>IFERROR(__xludf.DUMMYFUNCTION("""COMPUTED_VALUE"""),"Romance")</f>
        <v>Romance</v>
      </c>
      <c r="V1421" s="5">
        <f>IFERROR(__xludf.DUMMYFUNCTION("""COMPUTED_VALUE"""),3.0)</f>
        <v>3</v>
      </c>
    </row>
    <row r="1422">
      <c r="J1422" s="5" t="str">
        <f>IFERROR(__xludf.DUMMYFUNCTION("""COMPUTED_VALUE"""),"474🤙🏼Thor: Ragnarok🤙🏼Adventure🤙🏼2")</f>
        <v>474🤙🏼Thor: Ragnarok🤙🏼Adventure🤙🏼2</v>
      </c>
      <c r="K1422" s="5">
        <f>IFERROR(__xludf.DUMMYFUNCTION("SPLiT(J1422, ""🤙🏼"",FALSE,FALSE)"),474.0)</f>
        <v>474</v>
      </c>
      <c r="L1422" s="5" t="str">
        <f>IFERROR(__xludf.DUMMYFUNCTION("""COMPUTED_VALUE"""),"Thor: Ragnarok")</f>
        <v>Thor: Ragnarok</v>
      </c>
      <c r="M1422" s="5" t="str">
        <f>IFERROR(__xludf.DUMMYFUNCTION("""COMPUTED_VALUE"""),"Adventure")</f>
        <v>Adventure</v>
      </c>
      <c r="N1422" s="5">
        <f>IFERROR(__xludf.DUMMYFUNCTION("""COMPUTED_VALUE"""),2.0)</f>
        <v>2</v>
      </c>
      <c r="S1422" s="5">
        <f>IFERROR(__xludf.DUMMYFUNCTION("""COMPUTED_VALUE"""),566.0)</f>
        <v>566</v>
      </c>
      <c r="T1422" s="5" t="str">
        <f>IFERROR(__xludf.DUMMYFUNCTION("""COMPUTED_VALUE"""),"A Night at the Opera")</f>
        <v>A Night at the Opera</v>
      </c>
      <c r="U1422" s="5" t="str">
        <f>IFERROR(__xludf.DUMMYFUNCTION("""COMPUTED_VALUE"""),"Comedy")</f>
        <v>Comedy</v>
      </c>
      <c r="V1422" s="5">
        <f>IFERROR(__xludf.DUMMYFUNCTION("""COMPUTED_VALUE"""),1.0)</f>
        <v>1</v>
      </c>
    </row>
    <row r="1423">
      <c r="J1423" s="5" t="str">
        <f>IFERROR(__xludf.DUMMYFUNCTION("""COMPUTED_VALUE"""),"474🤙🏼Thor: Ragnarok🤙🏼Comedy🤙🏼3")</f>
        <v>474🤙🏼Thor: Ragnarok🤙🏼Comedy🤙🏼3</v>
      </c>
      <c r="K1423" s="5">
        <f>IFERROR(__xludf.DUMMYFUNCTION("SPLiT(J1423, ""🤙🏼"",FALSE,FALSE)"),474.0)</f>
        <v>474</v>
      </c>
      <c r="L1423" s="5" t="str">
        <f>IFERROR(__xludf.DUMMYFUNCTION("""COMPUTED_VALUE"""),"Thor: Ragnarok")</f>
        <v>Thor: Ragnarok</v>
      </c>
      <c r="M1423" s="5" t="str">
        <f>IFERROR(__xludf.DUMMYFUNCTION("""COMPUTED_VALUE"""),"Comedy")</f>
        <v>Comedy</v>
      </c>
      <c r="N1423" s="5">
        <f>IFERROR(__xludf.DUMMYFUNCTION("""COMPUTED_VALUE"""),3.0)</f>
        <v>3</v>
      </c>
      <c r="S1423" s="5">
        <f>IFERROR(__xludf.DUMMYFUNCTION("""COMPUTED_VALUE"""),566.0)</f>
        <v>566</v>
      </c>
      <c r="T1423" s="5" t="str">
        <f>IFERROR(__xludf.DUMMYFUNCTION("""COMPUTED_VALUE"""),"A Night at the Opera")</f>
        <v>A Night at the Opera</v>
      </c>
      <c r="U1423" s="5" t="str">
        <f>IFERROR(__xludf.DUMMYFUNCTION("""COMPUTED_VALUE"""),"Music")</f>
        <v>Music</v>
      </c>
      <c r="V1423" s="5">
        <f>IFERROR(__xludf.DUMMYFUNCTION("""COMPUTED_VALUE"""),2.0)</f>
        <v>2</v>
      </c>
    </row>
    <row r="1424">
      <c r="J1424" s="5" t="str">
        <f>IFERROR(__xludf.DUMMYFUNCTION("""COMPUTED_VALUE"""),"475🤙🏼Nightcrawler🤙🏼Crime🤙🏼1")</f>
        <v>475🤙🏼Nightcrawler🤙🏼Crime🤙🏼1</v>
      </c>
      <c r="K1424" s="5">
        <f>IFERROR(__xludf.DUMMYFUNCTION("SPLiT(J1424, ""🤙🏼"",FALSE,FALSE)"),475.0)</f>
        <v>475</v>
      </c>
      <c r="L1424" s="5" t="str">
        <f>IFERROR(__xludf.DUMMYFUNCTION("""COMPUTED_VALUE"""),"Nightcrawler")</f>
        <v>Nightcrawler</v>
      </c>
      <c r="M1424" s="5" t="str">
        <f>IFERROR(__xludf.DUMMYFUNCTION("""COMPUTED_VALUE"""),"Crime")</f>
        <v>Crime</v>
      </c>
      <c r="N1424" s="5">
        <f>IFERROR(__xludf.DUMMYFUNCTION("""COMPUTED_VALUE"""),1.0)</f>
        <v>1</v>
      </c>
      <c r="S1424" s="5">
        <f>IFERROR(__xludf.DUMMYFUNCTION("""COMPUTED_VALUE"""),566.0)</f>
        <v>566</v>
      </c>
      <c r="T1424" s="5" t="str">
        <f>IFERROR(__xludf.DUMMYFUNCTION("""COMPUTED_VALUE"""),"A Night at the Opera")</f>
        <v>A Night at the Opera</v>
      </c>
      <c r="U1424" s="5" t="str">
        <f>IFERROR(__xludf.DUMMYFUNCTION("""COMPUTED_VALUE"""),"Musical")</f>
        <v>Musical</v>
      </c>
      <c r="V1424" s="5">
        <f>IFERROR(__xludf.DUMMYFUNCTION("""COMPUTED_VALUE"""),3.0)</f>
        <v>3</v>
      </c>
    </row>
    <row r="1425">
      <c r="J1425" s="5" t="str">
        <f>IFERROR(__xludf.DUMMYFUNCTION("""COMPUTED_VALUE"""),"475🤙🏼Nightcrawler🤙🏼Drama🤙🏼2")</f>
        <v>475🤙🏼Nightcrawler🤙🏼Drama🤙🏼2</v>
      </c>
      <c r="K1425" s="5">
        <f>IFERROR(__xludf.DUMMYFUNCTION("SPLiT(J1425, ""🤙🏼"",FALSE,FALSE)"),475.0)</f>
        <v>475</v>
      </c>
      <c r="L1425" s="5" t="str">
        <f>IFERROR(__xludf.DUMMYFUNCTION("""COMPUTED_VALUE"""),"Nightcrawler")</f>
        <v>Nightcrawler</v>
      </c>
      <c r="M1425" s="5" t="str">
        <f>IFERROR(__xludf.DUMMYFUNCTION("""COMPUTED_VALUE"""),"Drama")</f>
        <v>Drama</v>
      </c>
      <c r="N1425" s="5">
        <f>IFERROR(__xludf.DUMMYFUNCTION("""COMPUTED_VALUE"""),2.0)</f>
        <v>2</v>
      </c>
      <c r="S1425" s="5">
        <f>IFERROR(__xludf.DUMMYFUNCTION("""COMPUTED_VALUE"""),567.0)</f>
        <v>567</v>
      </c>
      <c r="T1425" s="5" t="str">
        <f>IFERROR(__xludf.DUMMYFUNCTION("""COMPUTED_VALUE"""),"King Kong")</f>
        <v>King Kong</v>
      </c>
      <c r="U1425" s="5" t="str">
        <f>IFERROR(__xludf.DUMMYFUNCTION("""COMPUTED_VALUE"""),"Adventure")</f>
        <v>Adventure</v>
      </c>
      <c r="V1425" s="5">
        <f>IFERROR(__xludf.DUMMYFUNCTION("""COMPUTED_VALUE"""),1.0)</f>
        <v>1</v>
      </c>
    </row>
    <row r="1426">
      <c r="J1426" s="5" t="str">
        <f>IFERROR(__xludf.DUMMYFUNCTION("""COMPUTED_VALUE"""),"475🤙🏼Nightcrawler🤙🏼Thriller🤙🏼3")</f>
        <v>475🤙🏼Nightcrawler🤙🏼Thriller🤙🏼3</v>
      </c>
      <c r="K1426" s="5">
        <f>IFERROR(__xludf.DUMMYFUNCTION("SPLiT(J1426, ""🤙🏼"",FALSE,FALSE)"),475.0)</f>
        <v>475</v>
      </c>
      <c r="L1426" s="5" t="str">
        <f>IFERROR(__xludf.DUMMYFUNCTION("""COMPUTED_VALUE"""),"Nightcrawler")</f>
        <v>Nightcrawler</v>
      </c>
      <c r="M1426" s="5" t="str">
        <f>IFERROR(__xludf.DUMMYFUNCTION("""COMPUTED_VALUE"""),"Thriller")</f>
        <v>Thriller</v>
      </c>
      <c r="N1426" s="5">
        <f>IFERROR(__xludf.DUMMYFUNCTION("""COMPUTED_VALUE"""),3.0)</f>
        <v>3</v>
      </c>
      <c r="S1426" s="5">
        <f>IFERROR(__xludf.DUMMYFUNCTION("""COMPUTED_VALUE"""),567.0)</f>
        <v>567</v>
      </c>
      <c r="T1426" s="5" t="str">
        <f>IFERROR(__xludf.DUMMYFUNCTION("""COMPUTED_VALUE"""),"King Kong")</f>
        <v>King Kong</v>
      </c>
      <c r="U1426" s="5" t="str">
        <f>IFERROR(__xludf.DUMMYFUNCTION("""COMPUTED_VALUE"""),"Horror")</f>
        <v>Horror</v>
      </c>
      <c r="V1426" s="5">
        <f>IFERROR(__xludf.DUMMYFUNCTION("""COMPUTED_VALUE"""),2.0)</f>
        <v>2</v>
      </c>
    </row>
    <row r="1427">
      <c r="J1427" s="5" t="str">
        <f>IFERROR(__xludf.DUMMYFUNCTION("""COMPUTED_VALUE"""),"476🤙🏼Jojo Rabbit🤙🏼Comedy🤙🏼1")</f>
        <v>476🤙🏼Jojo Rabbit🤙🏼Comedy🤙🏼1</v>
      </c>
      <c r="K1427" s="5">
        <f>IFERROR(__xludf.DUMMYFUNCTION("SPLiT(J1427, ""🤙🏼"",FALSE,FALSE)"),476.0)</f>
        <v>476</v>
      </c>
      <c r="L1427" s="5" t="str">
        <f>IFERROR(__xludf.DUMMYFUNCTION("""COMPUTED_VALUE"""),"Jojo Rabbit")</f>
        <v>Jojo Rabbit</v>
      </c>
      <c r="M1427" s="5" t="str">
        <f>IFERROR(__xludf.DUMMYFUNCTION("""COMPUTED_VALUE"""),"Comedy")</f>
        <v>Comedy</v>
      </c>
      <c r="N1427" s="5">
        <f>IFERROR(__xludf.DUMMYFUNCTION("""COMPUTED_VALUE"""),1.0)</f>
        <v>1</v>
      </c>
      <c r="S1427" s="5">
        <f>IFERROR(__xludf.DUMMYFUNCTION("""COMPUTED_VALUE"""),567.0)</f>
        <v>567</v>
      </c>
      <c r="T1427" s="5" t="str">
        <f>IFERROR(__xludf.DUMMYFUNCTION("""COMPUTED_VALUE"""),"King Kong")</f>
        <v>King Kong</v>
      </c>
      <c r="U1427" s="5" t="str">
        <f>IFERROR(__xludf.DUMMYFUNCTION("""COMPUTED_VALUE"""),"Sci-Fi")</f>
        <v>Sci-Fi</v>
      </c>
      <c r="V1427" s="5">
        <f>IFERROR(__xludf.DUMMYFUNCTION("""COMPUTED_VALUE"""),3.0)</f>
        <v>3</v>
      </c>
    </row>
    <row r="1428">
      <c r="J1428" s="5" t="str">
        <f>IFERROR(__xludf.DUMMYFUNCTION("""COMPUTED_VALUE"""),"476🤙🏼Jojo Rabbit🤙🏼Drama🤙🏼2")</f>
        <v>476🤙🏼Jojo Rabbit🤙🏼Drama🤙🏼2</v>
      </c>
      <c r="K1428" s="5">
        <f>IFERROR(__xludf.DUMMYFUNCTION("SPLiT(J1428, ""🤙🏼"",FALSE,FALSE)"),476.0)</f>
        <v>476</v>
      </c>
      <c r="L1428" s="5" t="str">
        <f>IFERROR(__xludf.DUMMYFUNCTION("""COMPUTED_VALUE"""),"Jojo Rabbit")</f>
        <v>Jojo Rabbit</v>
      </c>
      <c r="M1428" s="5" t="str">
        <f>IFERROR(__xludf.DUMMYFUNCTION("""COMPUTED_VALUE"""),"Drama")</f>
        <v>Drama</v>
      </c>
      <c r="N1428" s="5">
        <f>IFERROR(__xludf.DUMMYFUNCTION("""COMPUTED_VALUE"""),2.0)</f>
        <v>2</v>
      </c>
      <c r="S1428" s="5">
        <f>IFERROR(__xludf.DUMMYFUNCTION("""COMPUTED_VALUE"""),568.0)</f>
        <v>568</v>
      </c>
      <c r="T1428" s="5" t="str">
        <f>IFERROR(__xludf.DUMMYFUNCTION("""COMPUTED_VALUE"""),"Freaks")</f>
        <v>Freaks</v>
      </c>
      <c r="U1428" s="5" t="str">
        <f>IFERROR(__xludf.DUMMYFUNCTION("""COMPUTED_VALUE"""),"Drama")</f>
        <v>Drama</v>
      </c>
      <c r="V1428" s="5">
        <f>IFERROR(__xludf.DUMMYFUNCTION("""COMPUTED_VALUE"""),1.0)</f>
        <v>1</v>
      </c>
    </row>
    <row r="1429">
      <c r="J1429" s="5" t="str">
        <f>IFERROR(__xludf.DUMMYFUNCTION("""COMPUTED_VALUE"""),"476🤙🏼Jojo Rabbit🤙🏼War🤙🏼3")</f>
        <v>476🤙🏼Jojo Rabbit🤙🏼War🤙🏼3</v>
      </c>
      <c r="K1429" s="5">
        <f>IFERROR(__xludf.DUMMYFUNCTION("SPLiT(J1429, ""🤙🏼"",FALSE,FALSE)"),476.0)</f>
        <v>476</v>
      </c>
      <c r="L1429" s="5" t="str">
        <f>IFERROR(__xludf.DUMMYFUNCTION("""COMPUTED_VALUE"""),"Jojo Rabbit")</f>
        <v>Jojo Rabbit</v>
      </c>
      <c r="M1429" s="5" t="str">
        <f>IFERROR(__xludf.DUMMYFUNCTION("""COMPUTED_VALUE"""),"War")</f>
        <v>War</v>
      </c>
      <c r="N1429" s="5">
        <f>IFERROR(__xludf.DUMMYFUNCTION("""COMPUTED_VALUE"""),3.0)</f>
        <v>3</v>
      </c>
      <c r="S1429" s="5">
        <f>IFERROR(__xludf.DUMMYFUNCTION("""COMPUTED_VALUE"""),568.0)</f>
        <v>568</v>
      </c>
      <c r="T1429" s="5" t="str">
        <f>IFERROR(__xludf.DUMMYFUNCTION("""COMPUTED_VALUE"""),"Freaks")</f>
        <v>Freaks</v>
      </c>
      <c r="U1429" s="5" t="str">
        <f>IFERROR(__xludf.DUMMYFUNCTION("""COMPUTED_VALUE"""),"Horror")</f>
        <v>Horror</v>
      </c>
      <c r="V1429" s="5">
        <f>IFERROR(__xludf.DUMMYFUNCTION("""COMPUTED_VALUE"""),2.0)</f>
        <v>2</v>
      </c>
    </row>
    <row r="1430">
      <c r="J1430" s="5" t="str">
        <f>IFERROR(__xludf.DUMMYFUNCTION("""COMPUTED_VALUE"""),"477🤙🏼Arrival🤙🏼Drama🤙🏼1")</f>
        <v>477🤙🏼Arrival🤙🏼Drama🤙🏼1</v>
      </c>
      <c r="K1430" s="5">
        <f>IFERROR(__xludf.DUMMYFUNCTION("SPLiT(J1430, ""🤙🏼"",FALSE,FALSE)"),477.0)</f>
        <v>477</v>
      </c>
      <c r="L1430" s="5" t="str">
        <f>IFERROR(__xludf.DUMMYFUNCTION("""COMPUTED_VALUE"""),"Arrival")</f>
        <v>Arrival</v>
      </c>
      <c r="M1430" s="5" t="str">
        <f>IFERROR(__xludf.DUMMYFUNCTION("""COMPUTED_VALUE"""),"Drama")</f>
        <v>Drama</v>
      </c>
      <c r="N1430" s="5">
        <f>IFERROR(__xludf.DUMMYFUNCTION("""COMPUTED_VALUE"""),1.0)</f>
        <v>1</v>
      </c>
      <c r="S1430" s="5">
        <f>IFERROR(__xludf.DUMMYFUNCTION("""COMPUTED_VALUE"""),569.0)</f>
        <v>569</v>
      </c>
      <c r="T1430" s="5" t="str">
        <f>IFERROR(__xludf.DUMMYFUNCTION("""COMPUTED_VALUE"""),"Nosferatu")</f>
        <v>Nosferatu</v>
      </c>
      <c r="U1430" s="5" t="str">
        <f>IFERROR(__xludf.DUMMYFUNCTION("""COMPUTED_VALUE"""),"Fantasy")</f>
        <v>Fantasy</v>
      </c>
      <c r="V1430" s="5">
        <f>IFERROR(__xludf.DUMMYFUNCTION("""COMPUTED_VALUE"""),1.0)</f>
        <v>1</v>
      </c>
    </row>
    <row r="1431">
      <c r="J1431" s="5" t="str">
        <f>IFERROR(__xludf.DUMMYFUNCTION("""COMPUTED_VALUE"""),"477🤙🏼Arrival🤙🏼Sci-Fi🤙🏼2")</f>
        <v>477🤙🏼Arrival🤙🏼Sci-Fi🤙🏼2</v>
      </c>
      <c r="K1431" s="5">
        <f>IFERROR(__xludf.DUMMYFUNCTION("SPLiT(J1431, ""🤙🏼"",FALSE,FALSE)"),477.0)</f>
        <v>477</v>
      </c>
      <c r="L1431" s="5" t="str">
        <f>IFERROR(__xludf.DUMMYFUNCTION("""COMPUTED_VALUE"""),"Arrival")</f>
        <v>Arrival</v>
      </c>
      <c r="M1431" s="5" t="str">
        <f>IFERROR(__xludf.DUMMYFUNCTION("""COMPUTED_VALUE"""),"Sci-Fi")</f>
        <v>Sci-Fi</v>
      </c>
      <c r="N1431" s="5">
        <f>IFERROR(__xludf.DUMMYFUNCTION("""COMPUTED_VALUE"""),2.0)</f>
        <v>2</v>
      </c>
      <c r="S1431" s="5">
        <f>IFERROR(__xludf.DUMMYFUNCTION("""COMPUTED_VALUE"""),569.0)</f>
        <v>569</v>
      </c>
      <c r="T1431" s="5" t="str">
        <f>IFERROR(__xludf.DUMMYFUNCTION("""COMPUTED_VALUE"""),"Nosferatu")</f>
        <v>Nosferatu</v>
      </c>
      <c r="U1431" s="5" t="str">
        <f>IFERROR(__xludf.DUMMYFUNCTION("""COMPUTED_VALUE"""),"Horror")</f>
        <v>Horror</v>
      </c>
      <c r="V1431" s="5">
        <f>IFERROR(__xludf.DUMMYFUNCTION("""COMPUTED_VALUE"""),2.0)</f>
        <v>2</v>
      </c>
    </row>
    <row r="1432">
      <c r="J1432" s="5" t="str">
        <f>IFERROR(__xludf.DUMMYFUNCTION("""COMPUTED_VALUE"""),"477🤙🏼Arrival🤙🏼🤙🏼3")</f>
        <v>477🤙🏼Arrival🤙🏼🤙🏼3</v>
      </c>
      <c r="K1432" s="5">
        <f>IFERROR(__xludf.DUMMYFUNCTION("SPLiT(J1432, ""🤙🏼"",FALSE,FALSE)"),477.0)</f>
        <v>477</v>
      </c>
      <c r="L1432" s="5" t="str">
        <f>IFERROR(__xludf.DUMMYFUNCTION("""COMPUTED_VALUE"""),"Arrival")</f>
        <v>Arrival</v>
      </c>
      <c r="M1432" s="5"/>
      <c r="N1432" s="5">
        <f>IFERROR(__xludf.DUMMYFUNCTION("""COMPUTED_VALUE"""),3.0)</f>
        <v>3</v>
      </c>
      <c r="S1432" s="5">
        <f>IFERROR(__xludf.DUMMYFUNCTION("""COMPUTED_VALUE"""),570.0)</f>
        <v>570</v>
      </c>
      <c r="T1432" s="5" t="str">
        <f>IFERROR(__xludf.DUMMYFUNCTION("""COMPUTED_VALUE"""),"The Gentlemen")</f>
        <v>The Gentlemen</v>
      </c>
      <c r="U1432" s="5" t="str">
        <f>IFERROR(__xludf.DUMMYFUNCTION("""COMPUTED_VALUE"""),"Action")</f>
        <v>Action</v>
      </c>
      <c r="V1432" s="5">
        <f>IFERROR(__xludf.DUMMYFUNCTION("""COMPUTED_VALUE"""),1.0)</f>
        <v>1</v>
      </c>
    </row>
    <row r="1433">
      <c r="J1433" s="5" t="str">
        <f>IFERROR(__xludf.DUMMYFUNCTION("""COMPUTED_VALUE"""),"478🤙🏼Star Wars: Episode VII - The Force Awakens🤙🏼Action🤙🏼1")</f>
        <v>478🤙🏼Star Wars: Episode VII - The Force Awakens🤙🏼Action🤙🏼1</v>
      </c>
      <c r="K1433" s="5">
        <f>IFERROR(__xludf.DUMMYFUNCTION("SPLiT(J1433, ""🤙🏼"",FALSE,FALSE)"),478.0)</f>
        <v>478</v>
      </c>
      <c r="L1433" s="5" t="str">
        <f>IFERROR(__xludf.DUMMYFUNCTION("""COMPUTED_VALUE"""),"Star Wars: Episode VII - The Force Awakens")</f>
        <v>Star Wars: Episode VII - The Force Awakens</v>
      </c>
      <c r="M1433" s="5" t="str">
        <f>IFERROR(__xludf.DUMMYFUNCTION("""COMPUTED_VALUE"""),"Action")</f>
        <v>Action</v>
      </c>
      <c r="N1433" s="5">
        <f>IFERROR(__xludf.DUMMYFUNCTION("""COMPUTED_VALUE"""),1.0)</f>
        <v>1</v>
      </c>
      <c r="S1433" s="5">
        <f>IFERROR(__xludf.DUMMYFUNCTION("""COMPUTED_VALUE"""),570.0)</f>
        <v>570</v>
      </c>
      <c r="T1433" s="5" t="str">
        <f>IFERROR(__xludf.DUMMYFUNCTION("""COMPUTED_VALUE"""),"The Gentlemen")</f>
        <v>The Gentlemen</v>
      </c>
      <c r="U1433" s="5" t="str">
        <f>IFERROR(__xludf.DUMMYFUNCTION("""COMPUTED_VALUE"""),"Comedy")</f>
        <v>Comedy</v>
      </c>
      <c r="V1433" s="5">
        <f>IFERROR(__xludf.DUMMYFUNCTION("""COMPUTED_VALUE"""),2.0)</f>
        <v>2</v>
      </c>
    </row>
    <row r="1434">
      <c r="J1434" s="5" t="str">
        <f>IFERROR(__xludf.DUMMYFUNCTION("""COMPUTED_VALUE"""),"478🤙🏼Star Wars: Episode VII - The Force Awakens🤙🏼Adventure🤙🏼2")</f>
        <v>478🤙🏼Star Wars: Episode VII - The Force Awakens🤙🏼Adventure🤙🏼2</v>
      </c>
      <c r="K1434" s="5">
        <f>IFERROR(__xludf.DUMMYFUNCTION("SPLiT(J1434, ""🤙🏼"",FALSE,FALSE)"),478.0)</f>
        <v>478</v>
      </c>
      <c r="L1434" s="5" t="str">
        <f>IFERROR(__xludf.DUMMYFUNCTION("""COMPUTED_VALUE"""),"Star Wars: Episode VII - The Force Awakens")</f>
        <v>Star Wars: Episode VII - The Force Awakens</v>
      </c>
      <c r="M1434" s="5" t="str">
        <f>IFERROR(__xludf.DUMMYFUNCTION("""COMPUTED_VALUE"""),"Adventure")</f>
        <v>Adventure</v>
      </c>
      <c r="N1434" s="5">
        <f>IFERROR(__xludf.DUMMYFUNCTION("""COMPUTED_VALUE"""),2.0)</f>
        <v>2</v>
      </c>
      <c r="S1434" s="5">
        <f>IFERROR(__xludf.DUMMYFUNCTION("""COMPUTED_VALUE"""),570.0)</f>
        <v>570</v>
      </c>
      <c r="T1434" s="5" t="str">
        <f>IFERROR(__xludf.DUMMYFUNCTION("""COMPUTED_VALUE"""),"The Gentlemen")</f>
        <v>The Gentlemen</v>
      </c>
      <c r="U1434" s="5" t="str">
        <f>IFERROR(__xludf.DUMMYFUNCTION("""COMPUTED_VALUE"""),"Crime")</f>
        <v>Crime</v>
      </c>
      <c r="V1434" s="5">
        <f>IFERROR(__xludf.DUMMYFUNCTION("""COMPUTED_VALUE"""),3.0)</f>
        <v>3</v>
      </c>
    </row>
    <row r="1435">
      <c r="J1435" s="5" t="str">
        <f>IFERROR(__xludf.DUMMYFUNCTION("""COMPUTED_VALUE"""),"478🤙🏼Star Wars: Episode VII - The Force Awakens🤙🏼Sci-Fi🤙🏼3")</f>
        <v>478🤙🏼Star Wars: Episode VII - The Force Awakens🤙🏼Sci-Fi🤙🏼3</v>
      </c>
      <c r="K1435" s="5">
        <f>IFERROR(__xludf.DUMMYFUNCTION("SPLiT(J1435, ""🤙🏼"",FALSE,FALSE)"),478.0)</f>
        <v>478</v>
      </c>
      <c r="L1435" s="5" t="str">
        <f>IFERROR(__xludf.DUMMYFUNCTION("""COMPUTED_VALUE"""),"Star Wars: Episode VII - The Force Awakens")</f>
        <v>Star Wars: Episode VII - The Force Awakens</v>
      </c>
      <c r="M1435" s="5" t="str">
        <f>IFERROR(__xludf.DUMMYFUNCTION("""COMPUTED_VALUE"""),"Sci-Fi")</f>
        <v>Sci-Fi</v>
      </c>
      <c r="N1435" s="5">
        <f>IFERROR(__xludf.DUMMYFUNCTION("""COMPUTED_VALUE"""),3.0)</f>
        <v>3</v>
      </c>
      <c r="S1435" s="5">
        <f>IFERROR(__xludf.DUMMYFUNCTION("""COMPUTED_VALUE"""),571.0)</f>
        <v>571</v>
      </c>
      <c r="T1435" s="5" t="str">
        <f>IFERROR(__xludf.DUMMYFUNCTION("""COMPUTED_VALUE"""),"Raazi")</f>
        <v>Raazi</v>
      </c>
      <c r="U1435" s="5" t="str">
        <f>IFERROR(__xludf.DUMMYFUNCTION("""COMPUTED_VALUE"""),"Action")</f>
        <v>Action</v>
      </c>
      <c r="V1435" s="5">
        <f>IFERROR(__xludf.DUMMYFUNCTION("""COMPUTED_VALUE"""),1.0)</f>
        <v>1</v>
      </c>
    </row>
    <row r="1436">
      <c r="J1436" s="5" t="str">
        <f>IFERROR(__xludf.DUMMYFUNCTION("""COMPUTED_VALUE"""),"479🤙🏼Before Midnight🤙🏼Drama🤙🏼1")</f>
        <v>479🤙🏼Before Midnight🤙🏼Drama🤙🏼1</v>
      </c>
      <c r="K1436" s="5">
        <f>IFERROR(__xludf.DUMMYFUNCTION("SPLiT(J1436, ""🤙🏼"",FALSE,FALSE)"),479.0)</f>
        <v>479</v>
      </c>
      <c r="L1436" s="5" t="str">
        <f>IFERROR(__xludf.DUMMYFUNCTION("""COMPUTED_VALUE"""),"Before Midnight")</f>
        <v>Before Midnight</v>
      </c>
      <c r="M1436" s="5" t="str">
        <f>IFERROR(__xludf.DUMMYFUNCTION("""COMPUTED_VALUE"""),"Drama")</f>
        <v>Drama</v>
      </c>
      <c r="N1436" s="5">
        <f>IFERROR(__xludf.DUMMYFUNCTION("""COMPUTED_VALUE"""),1.0)</f>
        <v>1</v>
      </c>
      <c r="S1436" s="5">
        <f>IFERROR(__xludf.DUMMYFUNCTION("""COMPUTED_VALUE"""),571.0)</f>
        <v>571</v>
      </c>
      <c r="T1436" s="5" t="str">
        <f>IFERROR(__xludf.DUMMYFUNCTION("""COMPUTED_VALUE"""),"Raazi")</f>
        <v>Raazi</v>
      </c>
      <c r="U1436" s="5" t="str">
        <f>IFERROR(__xludf.DUMMYFUNCTION("""COMPUTED_VALUE"""),"Drama")</f>
        <v>Drama</v>
      </c>
      <c r="V1436" s="5">
        <f>IFERROR(__xludf.DUMMYFUNCTION("""COMPUTED_VALUE"""),2.0)</f>
        <v>2</v>
      </c>
    </row>
    <row r="1437">
      <c r="J1437" s="5" t="str">
        <f>IFERROR(__xludf.DUMMYFUNCTION("""COMPUTED_VALUE"""),"479🤙🏼Before Midnight🤙🏼Romance🤙🏼2")</f>
        <v>479🤙🏼Before Midnight🤙🏼Romance🤙🏼2</v>
      </c>
      <c r="K1437" s="5">
        <f>IFERROR(__xludf.DUMMYFUNCTION("SPLiT(J1437, ""🤙🏼"",FALSE,FALSE)"),479.0)</f>
        <v>479</v>
      </c>
      <c r="L1437" s="5" t="str">
        <f>IFERROR(__xludf.DUMMYFUNCTION("""COMPUTED_VALUE"""),"Before Midnight")</f>
        <v>Before Midnight</v>
      </c>
      <c r="M1437" s="5" t="str">
        <f>IFERROR(__xludf.DUMMYFUNCTION("""COMPUTED_VALUE"""),"Romance")</f>
        <v>Romance</v>
      </c>
      <c r="N1437" s="5">
        <f>IFERROR(__xludf.DUMMYFUNCTION("""COMPUTED_VALUE"""),2.0)</f>
        <v>2</v>
      </c>
      <c r="S1437" s="5">
        <f>IFERROR(__xludf.DUMMYFUNCTION("""COMPUTED_VALUE"""),571.0)</f>
        <v>571</v>
      </c>
      <c r="T1437" s="5" t="str">
        <f>IFERROR(__xludf.DUMMYFUNCTION("""COMPUTED_VALUE"""),"Raazi")</f>
        <v>Raazi</v>
      </c>
      <c r="U1437" s="5" t="str">
        <f>IFERROR(__xludf.DUMMYFUNCTION("""COMPUTED_VALUE"""),"Thriller")</f>
        <v>Thriller</v>
      </c>
      <c r="V1437" s="5">
        <f>IFERROR(__xludf.DUMMYFUNCTION("""COMPUTED_VALUE"""),3.0)</f>
        <v>3</v>
      </c>
    </row>
    <row r="1438">
      <c r="J1438" s="5" t="str">
        <f>IFERROR(__xludf.DUMMYFUNCTION("""COMPUTED_VALUE"""),"479🤙🏼Before Midnight🤙🏼🤙🏼3")</f>
        <v>479🤙🏼Before Midnight🤙🏼🤙🏼3</v>
      </c>
      <c r="K1438" s="5">
        <f>IFERROR(__xludf.DUMMYFUNCTION("SPLiT(J1438, ""🤙🏼"",FALSE,FALSE)"),479.0)</f>
        <v>479</v>
      </c>
      <c r="L1438" s="5" t="str">
        <f>IFERROR(__xludf.DUMMYFUNCTION("""COMPUTED_VALUE"""),"Before Midnight")</f>
        <v>Before Midnight</v>
      </c>
      <c r="M1438" s="5"/>
      <c r="N1438" s="5">
        <f>IFERROR(__xludf.DUMMYFUNCTION("""COMPUTED_VALUE"""),3.0)</f>
        <v>3</v>
      </c>
      <c r="S1438" s="5">
        <f>IFERROR(__xludf.DUMMYFUNCTION("""COMPUTED_VALUE"""),572.0)</f>
        <v>572</v>
      </c>
      <c r="T1438" s="5" t="str">
        <f>IFERROR(__xludf.DUMMYFUNCTION("""COMPUTED_VALUE"""),"Sound of Metal")</f>
        <v>Sound of Metal</v>
      </c>
      <c r="U1438" s="5" t="str">
        <f>IFERROR(__xludf.DUMMYFUNCTION("""COMPUTED_VALUE"""),"Drama")</f>
        <v>Drama</v>
      </c>
      <c r="V1438" s="5">
        <f>IFERROR(__xludf.DUMMYFUNCTION("""COMPUTED_VALUE"""),1.0)</f>
        <v>1</v>
      </c>
    </row>
    <row r="1439">
      <c r="J1439" s="5" t="str">
        <f>IFERROR(__xludf.DUMMYFUNCTION("""COMPUTED_VALUE"""),"480🤙🏼X-Men: Days of Future Past🤙🏼Action🤙🏼1")</f>
        <v>480🤙🏼X-Men: Days of Future Past🤙🏼Action🤙🏼1</v>
      </c>
      <c r="K1439" s="5">
        <f>IFERROR(__xludf.DUMMYFUNCTION("SPLiT(J1439, ""🤙🏼"",FALSE,FALSE)"),480.0)</f>
        <v>480</v>
      </c>
      <c r="L1439" s="5" t="str">
        <f>IFERROR(__xludf.DUMMYFUNCTION("""COMPUTED_VALUE"""),"X-Men: Days of Future Past")</f>
        <v>X-Men: Days of Future Past</v>
      </c>
      <c r="M1439" s="5" t="str">
        <f>IFERROR(__xludf.DUMMYFUNCTION("""COMPUTED_VALUE"""),"Action")</f>
        <v>Action</v>
      </c>
      <c r="N1439" s="5">
        <f>IFERROR(__xludf.DUMMYFUNCTION("""COMPUTED_VALUE"""),1.0)</f>
        <v>1</v>
      </c>
      <c r="S1439" s="5">
        <f>IFERROR(__xludf.DUMMYFUNCTION("""COMPUTED_VALUE"""),572.0)</f>
        <v>572</v>
      </c>
      <c r="T1439" s="5" t="str">
        <f>IFERROR(__xludf.DUMMYFUNCTION("""COMPUTED_VALUE"""),"Sound of Metal")</f>
        <v>Sound of Metal</v>
      </c>
      <c r="U1439" s="5" t="str">
        <f>IFERROR(__xludf.DUMMYFUNCTION("""COMPUTED_VALUE"""),"Music")</f>
        <v>Music</v>
      </c>
      <c r="V1439" s="5">
        <f>IFERROR(__xludf.DUMMYFUNCTION("""COMPUTED_VALUE"""),2.0)</f>
        <v>2</v>
      </c>
    </row>
    <row r="1440">
      <c r="J1440" s="5" t="str">
        <f>IFERROR(__xludf.DUMMYFUNCTION("""COMPUTED_VALUE"""),"480🤙🏼X-Men: Days of Future Past🤙🏼Adventure🤙🏼2")</f>
        <v>480🤙🏼X-Men: Days of Future Past🤙🏼Adventure🤙🏼2</v>
      </c>
      <c r="K1440" s="5">
        <f>IFERROR(__xludf.DUMMYFUNCTION("SPLiT(J1440, ""🤙🏼"",FALSE,FALSE)"),480.0)</f>
        <v>480</v>
      </c>
      <c r="L1440" s="5" t="str">
        <f>IFERROR(__xludf.DUMMYFUNCTION("""COMPUTED_VALUE"""),"X-Men: Days of Future Past")</f>
        <v>X-Men: Days of Future Past</v>
      </c>
      <c r="M1440" s="5" t="str">
        <f>IFERROR(__xludf.DUMMYFUNCTION("""COMPUTED_VALUE"""),"Adventure")</f>
        <v>Adventure</v>
      </c>
      <c r="N1440" s="5">
        <f>IFERROR(__xludf.DUMMYFUNCTION("""COMPUTED_VALUE"""),2.0)</f>
        <v>2</v>
      </c>
      <c r="S1440" s="5">
        <f>IFERROR(__xludf.DUMMYFUNCTION("""COMPUTED_VALUE"""),573.0)</f>
        <v>573</v>
      </c>
      <c r="T1440" s="5" t="str">
        <f>IFERROR(__xludf.DUMMYFUNCTION("""COMPUTED_VALUE"""),"Forushande")</f>
        <v>Forushande</v>
      </c>
      <c r="U1440" s="5" t="str">
        <f>IFERROR(__xludf.DUMMYFUNCTION("""COMPUTED_VALUE"""),"Drama")</f>
        <v>Drama</v>
      </c>
      <c r="V1440" s="5">
        <f>IFERROR(__xludf.DUMMYFUNCTION("""COMPUTED_VALUE"""),1.0)</f>
        <v>1</v>
      </c>
    </row>
    <row r="1441">
      <c r="J1441" s="5" t="str">
        <f>IFERROR(__xludf.DUMMYFUNCTION("""COMPUTED_VALUE"""),"480🤙🏼X-Men: Days of Future Past🤙🏼Sci-Fi🤙🏼3")</f>
        <v>480🤙🏼X-Men: Days of Future Past🤙🏼Sci-Fi🤙🏼3</v>
      </c>
      <c r="K1441" s="5">
        <f>IFERROR(__xludf.DUMMYFUNCTION("SPLiT(J1441, ""🤙🏼"",FALSE,FALSE)"),480.0)</f>
        <v>480</v>
      </c>
      <c r="L1441" s="5" t="str">
        <f>IFERROR(__xludf.DUMMYFUNCTION("""COMPUTED_VALUE"""),"X-Men: Days of Future Past")</f>
        <v>X-Men: Days of Future Past</v>
      </c>
      <c r="M1441" s="5" t="str">
        <f>IFERROR(__xludf.DUMMYFUNCTION("""COMPUTED_VALUE"""),"Sci-Fi")</f>
        <v>Sci-Fi</v>
      </c>
      <c r="N1441" s="5">
        <f>IFERROR(__xludf.DUMMYFUNCTION("""COMPUTED_VALUE"""),3.0)</f>
        <v>3</v>
      </c>
      <c r="S1441" s="5">
        <f>IFERROR(__xludf.DUMMYFUNCTION("""COMPUTED_VALUE"""),574.0)</f>
        <v>574</v>
      </c>
      <c r="T1441" s="5" t="str">
        <f>IFERROR(__xludf.DUMMYFUNCTION("""COMPUTED_VALUE"""),"Dunkirk")</f>
        <v>Dunkirk</v>
      </c>
      <c r="U1441" s="5" t="str">
        <f>IFERROR(__xludf.DUMMYFUNCTION("""COMPUTED_VALUE"""),"Action")</f>
        <v>Action</v>
      </c>
      <c r="V1441" s="5">
        <f>IFERROR(__xludf.DUMMYFUNCTION("""COMPUTED_VALUE"""),1.0)</f>
        <v>1</v>
      </c>
    </row>
    <row r="1442">
      <c r="J1442" s="5" t="str">
        <f>IFERROR(__xludf.DUMMYFUNCTION("""COMPUTED_VALUE"""),"481🤙🏼Bir Zamanlar Anadolu'da🤙🏼Crime🤙🏼1")</f>
        <v>481🤙🏼Bir Zamanlar Anadolu'da🤙🏼Crime🤙🏼1</v>
      </c>
      <c r="K1442" s="5">
        <f>IFERROR(__xludf.DUMMYFUNCTION("SPLiT(J1442, ""🤙🏼"",FALSE,FALSE)"),481.0)</f>
        <v>481</v>
      </c>
      <c r="L1442" s="5" t="str">
        <f>IFERROR(__xludf.DUMMYFUNCTION("""COMPUTED_VALUE"""),"Bir Zamanlar Anadolu'da")</f>
        <v>Bir Zamanlar Anadolu'da</v>
      </c>
      <c r="M1442" s="5" t="str">
        <f>IFERROR(__xludf.DUMMYFUNCTION("""COMPUTED_VALUE"""),"Crime")</f>
        <v>Crime</v>
      </c>
      <c r="N1442" s="5">
        <f>IFERROR(__xludf.DUMMYFUNCTION("""COMPUTED_VALUE"""),1.0)</f>
        <v>1</v>
      </c>
      <c r="S1442" s="5">
        <f>IFERROR(__xludf.DUMMYFUNCTION("""COMPUTED_VALUE"""),574.0)</f>
        <v>574</v>
      </c>
      <c r="T1442" s="5" t="str">
        <f>IFERROR(__xludf.DUMMYFUNCTION("""COMPUTED_VALUE"""),"Dunkirk")</f>
        <v>Dunkirk</v>
      </c>
      <c r="U1442" s="5" t="str">
        <f>IFERROR(__xludf.DUMMYFUNCTION("""COMPUTED_VALUE"""),"Drama")</f>
        <v>Drama</v>
      </c>
      <c r="V1442" s="5">
        <f>IFERROR(__xludf.DUMMYFUNCTION("""COMPUTED_VALUE"""),2.0)</f>
        <v>2</v>
      </c>
    </row>
    <row r="1443">
      <c r="J1443" s="5" t="str">
        <f>IFERROR(__xludf.DUMMYFUNCTION("""COMPUTED_VALUE"""),"481🤙🏼Bir Zamanlar Anadolu'da🤙🏼Drama🤙🏼2")</f>
        <v>481🤙🏼Bir Zamanlar Anadolu'da🤙🏼Drama🤙🏼2</v>
      </c>
      <c r="K1443" s="5">
        <f>IFERROR(__xludf.DUMMYFUNCTION("SPLiT(J1443, ""🤙🏼"",FALSE,FALSE)"),481.0)</f>
        <v>481</v>
      </c>
      <c r="L1443" s="5" t="str">
        <f>IFERROR(__xludf.DUMMYFUNCTION("""COMPUTED_VALUE"""),"Bir Zamanlar Anadolu'da")</f>
        <v>Bir Zamanlar Anadolu'da</v>
      </c>
      <c r="M1443" s="5" t="str">
        <f>IFERROR(__xludf.DUMMYFUNCTION("""COMPUTED_VALUE"""),"Drama")</f>
        <v>Drama</v>
      </c>
      <c r="N1443" s="5">
        <f>IFERROR(__xludf.DUMMYFUNCTION("""COMPUTED_VALUE"""),2.0)</f>
        <v>2</v>
      </c>
      <c r="S1443" s="5">
        <f>IFERROR(__xludf.DUMMYFUNCTION("""COMPUTED_VALUE"""),574.0)</f>
        <v>574</v>
      </c>
      <c r="T1443" s="5" t="str">
        <f>IFERROR(__xludf.DUMMYFUNCTION("""COMPUTED_VALUE"""),"Dunkirk")</f>
        <v>Dunkirk</v>
      </c>
      <c r="U1443" s="5" t="str">
        <f>IFERROR(__xludf.DUMMYFUNCTION("""COMPUTED_VALUE"""),"History")</f>
        <v>History</v>
      </c>
      <c r="V1443" s="5">
        <f>IFERROR(__xludf.DUMMYFUNCTION("""COMPUTED_VALUE"""),3.0)</f>
        <v>3</v>
      </c>
    </row>
    <row r="1444">
      <c r="J1444" s="5" t="str">
        <f>IFERROR(__xludf.DUMMYFUNCTION("""COMPUTED_VALUE"""),"481🤙🏼Bir Zamanlar Anadolu'da🤙🏼🤙🏼3")</f>
        <v>481🤙🏼Bir Zamanlar Anadolu'da🤙🏼🤙🏼3</v>
      </c>
      <c r="K1444" s="5">
        <f>IFERROR(__xludf.DUMMYFUNCTION("SPLiT(J1444, ""🤙🏼"",FALSE,FALSE)"),481.0)</f>
        <v>481</v>
      </c>
      <c r="L1444" s="5" t="str">
        <f>IFERROR(__xludf.DUMMYFUNCTION("""COMPUTED_VALUE"""),"Bir Zamanlar Anadolu'da")</f>
        <v>Bir Zamanlar Anadolu'da</v>
      </c>
      <c r="M1444" s="5"/>
      <c r="N1444" s="5">
        <f>IFERROR(__xludf.DUMMYFUNCTION("""COMPUTED_VALUE"""),3.0)</f>
        <v>3</v>
      </c>
      <c r="S1444" s="5">
        <f>IFERROR(__xludf.DUMMYFUNCTION("""COMPUTED_VALUE"""),575.0)</f>
        <v>575</v>
      </c>
      <c r="T1444" s="5" t="str">
        <f>IFERROR(__xludf.DUMMYFUNCTION("""COMPUTED_VALUE"""),"Perfetti sconosciuti")</f>
        <v>Perfetti sconosciuti</v>
      </c>
      <c r="U1444" s="5" t="str">
        <f>IFERROR(__xludf.DUMMYFUNCTION("""COMPUTED_VALUE"""),"Comedy")</f>
        <v>Comedy</v>
      </c>
      <c r="V1444" s="5">
        <f>IFERROR(__xludf.DUMMYFUNCTION("""COMPUTED_VALUE"""),1.0)</f>
        <v>1</v>
      </c>
    </row>
    <row r="1445">
      <c r="J1445" s="5" t="str">
        <f>IFERROR(__xludf.DUMMYFUNCTION("""COMPUTED_VALUE"""),"482🤙🏼The Artist🤙🏼Comedy🤙🏼1")</f>
        <v>482🤙🏼The Artist🤙🏼Comedy🤙🏼1</v>
      </c>
      <c r="K1445" s="5">
        <f>IFERROR(__xludf.DUMMYFUNCTION("SPLiT(J1445, ""🤙🏼"",FALSE,FALSE)"),482.0)</f>
        <v>482</v>
      </c>
      <c r="L1445" s="5" t="str">
        <f>IFERROR(__xludf.DUMMYFUNCTION("""COMPUTED_VALUE"""),"The Artist")</f>
        <v>The Artist</v>
      </c>
      <c r="M1445" s="5" t="str">
        <f>IFERROR(__xludf.DUMMYFUNCTION("""COMPUTED_VALUE"""),"Comedy")</f>
        <v>Comedy</v>
      </c>
      <c r="N1445" s="5">
        <f>IFERROR(__xludf.DUMMYFUNCTION("""COMPUTED_VALUE"""),1.0)</f>
        <v>1</v>
      </c>
      <c r="S1445" s="5">
        <f>IFERROR(__xludf.DUMMYFUNCTION("""COMPUTED_VALUE"""),575.0)</f>
        <v>575</v>
      </c>
      <c r="T1445" s="5" t="str">
        <f>IFERROR(__xludf.DUMMYFUNCTION("""COMPUTED_VALUE"""),"Perfetti sconosciuti")</f>
        <v>Perfetti sconosciuti</v>
      </c>
      <c r="U1445" s="5" t="str">
        <f>IFERROR(__xludf.DUMMYFUNCTION("""COMPUTED_VALUE"""),"Drama")</f>
        <v>Drama</v>
      </c>
      <c r="V1445" s="5">
        <f>IFERROR(__xludf.DUMMYFUNCTION("""COMPUTED_VALUE"""),2.0)</f>
        <v>2</v>
      </c>
    </row>
    <row r="1446">
      <c r="J1446" s="5" t="str">
        <f>IFERROR(__xludf.DUMMYFUNCTION("""COMPUTED_VALUE"""),"482🤙🏼The Artist🤙🏼Drama🤙🏼2")</f>
        <v>482🤙🏼The Artist🤙🏼Drama🤙🏼2</v>
      </c>
      <c r="K1446" s="5">
        <f>IFERROR(__xludf.DUMMYFUNCTION("SPLiT(J1446, ""🤙🏼"",FALSE,FALSE)"),482.0)</f>
        <v>482</v>
      </c>
      <c r="L1446" s="5" t="str">
        <f>IFERROR(__xludf.DUMMYFUNCTION("""COMPUTED_VALUE"""),"The Artist")</f>
        <v>The Artist</v>
      </c>
      <c r="M1446" s="5" t="str">
        <f>IFERROR(__xludf.DUMMYFUNCTION("""COMPUTED_VALUE"""),"Drama")</f>
        <v>Drama</v>
      </c>
      <c r="N1446" s="5">
        <f>IFERROR(__xludf.DUMMYFUNCTION("""COMPUTED_VALUE"""),2.0)</f>
        <v>2</v>
      </c>
      <c r="S1446" s="5">
        <f>IFERROR(__xludf.DUMMYFUNCTION("""COMPUTED_VALUE"""),576.0)</f>
        <v>576</v>
      </c>
      <c r="T1446" s="5" t="str">
        <f>IFERROR(__xludf.DUMMYFUNCTION("""COMPUTED_VALUE"""),"Hidden Figures")</f>
        <v>Hidden Figures</v>
      </c>
      <c r="U1446" s="5" t="str">
        <f>IFERROR(__xludf.DUMMYFUNCTION("""COMPUTED_VALUE"""),"Biography")</f>
        <v>Biography</v>
      </c>
      <c r="V1446" s="5">
        <f>IFERROR(__xludf.DUMMYFUNCTION("""COMPUTED_VALUE"""),1.0)</f>
        <v>1</v>
      </c>
    </row>
    <row r="1447">
      <c r="J1447" s="5" t="str">
        <f>IFERROR(__xludf.DUMMYFUNCTION("""COMPUTED_VALUE"""),"482🤙🏼The Artist🤙🏼Romance🤙🏼3")</f>
        <v>482🤙🏼The Artist🤙🏼Romance🤙🏼3</v>
      </c>
      <c r="K1447" s="5">
        <f>IFERROR(__xludf.DUMMYFUNCTION("SPLiT(J1447, ""🤙🏼"",FALSE,FALSE)"),482.0)</f>
        <v>482</v>
      </c>
      <c r="L1447" s="5" t="str">
        <f>IFERROR(__xludf.DUMMYFUNCTION("""COMPUTED_VALUE"""),"The Artist")</f>
        <v>The Artist</v>
      </c>
      <c r="M1447" s="5" t="str">
        <f>IFERROR(__xludf.DUMMYFUNCTION("""COMPUTED_VALUE"""),"Romance")</f>
        <v>Romance</v>
      </c>
      <c r="N1447" s="5">
        <f>IFERROR(__xludf.DUMMYFUNCTION("""COMPUTED_VALUE"""),3.0)</f>
        <v>3</v>
      </c>
      <c r="S1447" s="5">
        <f>IFERROR(__xludf.DUMMYFUNCTION("""COMPUTED_VALUE"""),576.0)</f>
        <v>576</v>
      </c>
      <c r="T1447" s="5" t="str">
        <f>IFERROR(__xludf.DUMMYFUNCTION("""COMPUTED_VALUE"""),"Hidden Figures")</f>
        <v>Hidden Figures</v>
      </c>
      <c r="U1447" s="5" t="str">
        <f>IFERROR(__xludf.DUMMYFUNCTION("""COMPUTED_VALUE"""),"Drama")</f>
        <v>Drama</v>
      </c>
      <c r="V1447" s="5">
        <f>IFERROR(__xludf.DUMMYFUNCTION("""COMPUTED_VALUE"""),2.0)</f>
        <v>2</v>
      </c>
    </row>
    <row r="1448">
      <c r="J1448" s="5" t="str">
        <f>IFERROR(__xludf.DUMMYFUNCTION("""COMPUTED_VALUE"""),"483🤙🏼Edge of Tomorrow🤙🏼Action🤙🏼1")</f>
        <v>483🤙🏼Edge of Tomorrow🤙🏼Action🤙🏼1</v>
      </c>
      <c r="K1448" s="5">
        <f>IFERROR(__xludf.DUMMYFUNCTION("SPLiT(J1448, ""🤙🏼"",FALSE,FALSE)"),483.0)</f>
        <v>483</v>
      </c>
      <c r="L1448" s="5" t="str">
        <f>IFERROR(__xludf.DUMMYFUNCTION("""COMPUTED_VALUE"""),"Edge of Tomorrow")</f>
        <v>Edge of Tomorrow</v>
      </c>
      <c r="M1448" s="5" t="str">
        <f>IFERROR(__xludf.DUMMYFUNCTION("""COMPUTED_VALUE"""),"Action")</f>
        <v>Action</v>
      </c>
      <c r="N1448" s="5">
        <f>IFERROR(__xludf.DUMMYFUNCTION("""COMPUTED_VALUE"""),1.0)</f>
        <v>1</v>
      </c>
      <c r="S1448" s="5">
        <f>IFERROR(__xludf.DUMMYFUNCTION("""COMPUTED_VALUE"""),576.0)</f>
        <v>576</v>
      </c>
      <c r="T1448" s="5" t="str">
        <f>IFERROR(__xludf.DUMMYFUNCTION("""COMPUTED_VALUE"""),"Hidden Figures")</f>
        <v>Hidden Figures</v>
      </c>
      <c r="U1448" s="5" t="str">
        <f>IFERROR(__xludf.DUMMYFUNCTION("""COMPUTED_VALUE"""),"History")</f>
        <v>History</v>
      </c>
      <c r="V1448" s="5">
        <f>IFERROR(__xludf.DUMMYFUNCTION("""COMPUTED_VALUE"""),3.0)</f>
        <v>3</v>
      </c>
    </row>
    <row r="1449">
      <c r="J1449" s="5" t="str">
        <f>IFERROR(__xludf.DUMMYFUNCTION("""COMPUTED_VALUE"""),"483🤙🏼Edge of Tomorrow🤙🏼Adventure🤙🏼2")</f>
        <v>483🤙🏼Edge of Tomorrow🤙🏼Adventure🤙🏼2</v>
      </c>
      <c r="K1449" s="5">
        <f>IFERROR(__xludf.DUMMYFUNCTION("SPLiT(J1449, ""🤙🏼"",FALSE,FALSE)"),483.0)</f>
        <v>483</v>
      </c>
      <c r="L1449" s="5" t="str">
        <f>IFERROR(__xludf.DUMMYFUNCTION("""COMPUTED_VALUE"""),"Edge of Tomorrow")</f>
        <v>Edge of Tomorrow</v>
      </c>
      <c r="M1449" s="5" t="str">
        <f>IFERROR(__xludf.DUMMYFUNCTION("""COMPUTED_VALUE"""),"Adventure")</f>
        <v>Adventure</v>
      </c>
      <c r="N1449" s="5">
        <f>IFERROR(__xludf.DUMMYFUNCTION("""COMPUTED_VALUE"""),2.0)</f>
        <v>2</v>
      </c>
      <c r="S1449" s="5">
        <f>IFERROR(__xludf.DUMMYFUNCTION("""COMPUTED_VALUE"""),577.0)</f>
        <v>577</v>
      </c>
      <c r="T1449" s="5" t="str">
        <f>IFERROR(__xludf.DUMMYFUNCTION("""COMPUTED_VALUE"""),"Paddington 2")</f>
        <v>Paddington 2</v>
      </c>
      <c r="U1449" s="5" t="str">
        <f>IFERROR(__xludf.DUMMYFUNCTION("""COMPUTED_VALUE"""),"Adventure")</f>
        <v>Adventure</v>
      </c>
      <c r="V1449" s="5">
        <f>IFERROR(__xludf.DUMMYFUNCTION("""COMPUTED_VALUE"""),1.0)</f>
        <v>1</v>
      </c>
    </row>
    <row r="1450">
      <c r="J1450" s="5" t="str">
        <f>IFERROR(__xludf.DUMMYFUNCTION("""COMPUTED_VALUE"""),"483🤙🏼Edge of Tomorrow🤙🏼Sci-Fi🤙🏼3")</f>
        <v>483🤙🏼Edge of Tomorrow🤙🏼Sci-Fi🤙🏼3</v>
      </c>
      <c r="K1450" s="5">
        <f>IFERROR(__xludf.DUMMYFUNCTION("SPLiT(J1450, ""🤙🏼"",FALSE,FALSE)"),483.0)</f>
        <v>483</v>
      </c>
      <c r="L1450" s="5" t="str">
        <f>IFERROR(__xludf.DUMMYFUNCTION("""COMPUTED_VALUE"""),"Edge of Tomorrow")</f>
        <v>Edge of Tomorrow</v>
      </c>
      <c r="M1450" s="5" t="str">
        <f>IFERROR(__xludf.DUMMYFUNCTION("""COMPUTED_VALUE"""),"Sci-Fi")</f>
        <v>Sci-Fi</v>
      </c>
      <c r="N1450" s="5">
        <f>IFERROR(__xludf.DUMMYFUNCTION("""COMPUTED_VALUE"""),3.0)</f>
        <v>3</v>
      </c>
      <c r="S1450" s="5">
        <f>IFERROR(__xludf.DUMMYFUNCTION("""COMPUTED_VALUE"""),577.0)</f>
        <v>577</v>
      </c>
      <c r="T1450" s="5" t="str">
        <f>IFERROR(__xludf.DUMMYFUNCTION("""COMPUTED_VALUE"""),"Paddington 2")</f>
        <v>Paddington 2</v>
      </c>
      <c r="U1450" s="5" t="str">
        <f>IFERROR(__xludf.DUMMYFUNCTION("""COMPUTED_VALUE"""),"Comedy")</f>
        <v>Comedy</v>
      </c>
      <c r="V1450" s="5">
        <f>IFERROR(__xludf.DUMMYFUNCTION("""COMPUTED_VALUE"""),2.0)</f>
        <v>2</v>
      </c>
    </row>
    <row r="1451">
      <c r="J1451" s="5" t="str">
        <f>IFERROR(__xludf.DUMMYFUNCTION("""COMPUTED_VALUE"""),"484🤙🏼Amour🤙🏼Drama🤙🏼1")</f>
        <v>484🤙🏼Amour🤙🏼Drama🤙🏼1</v>
      </c>
      <c r="K1451" s="5">
        <f>IFERROR(__xludf.DUMMYFUNCTION("SPLiT(J1451, ""🤙🏼"",FALSE,FALSE)"),484.0)</f>
        <v>484</v>
      </c>
      <c r="L1451" s="5" t="str">
        <f>IFERROR(__xludf.DUMMYFUNCTION("""COMPUTED_VALUE"""),"Amour")</f>
        <v>Amour</v>
      </c>
      <c r="M1451" s="5" t="str">
        <f>IFERROR(__xludf.DUMMYFUNCTION("""COMPUTED_VALUE"""),"Drama")</f>
        <v>Drama</v>
      </c>
      <c r="N1451" s="5">
        <f>IFERROR(__xludf.DUMMYFUNCTION("""COMPUTED_VALUE"""),1.0)</f>
        <v>1</v>
      </c>
      <c r="S1451" s="5">
        <f>IFERROR(__xludf.DUMMYFUNCTION("""COMPUTED_VALUE"""),577.0)</f>
        <v>577</v>
      </c>
      <c r="T1451" s="5" t="str">
        <f>IFERROR(__xludf.DUMMYFUNCTION("""COMPUTED_VALUE"""),"Paddington 2")</f>
        <v>Paddington 2</v>
      </c>
      <c r="U1451" s="5" t="str">
        <f>IFERROR(__xludf.DUMMYFUNCTION("""COMPUTED_VALUE"""),"Family")</f>
        <v>Family</v>
      </c>
      <c r="V1451" s="5">
        <f>IFERROR(__xludf.DUMMYFUNCTION("""COMPUTED_VALUE"""),3.0)</f>
        <v>3</v>
      </c>
    </row>
    <row r="1452">
      <c r="J1452" s="5" t="str">
        <f>IFERROR(__xludf.DUMMYFUNCTION("""COMPUTED_VALUE"""),"484🤙🏼Amour🤙🏼Romance🤙🏼2")</f>
        <v>484🤙🏼Amour🤙🏼Romance🤙🏼2</v>
      </c>
      <c r="K1452" s="5">
        <f>IFERROR(__xludf.DUMMYFUNCTION("SPLiT(J1452, ""🤙🏼"",FALSE,FALSE)"),484.0)</f>
        <v>484</v>
      </c>
      <c r="L1452" s="5" t="str">
        <f>IFERROR(__xludf.DUMMYFUNCTION("""COMPUTED_VALUE"""),"Amour")</f>
        <v>Amour</v>
      </c>
      <c r="M1452" s="5" t="str">
        <f>IFERROR(__xludf.DUMMYFUNCTION("""COMPUTED_VALUE"""),"Romance")</f>
        <v>Romance</v>
      </c>
      <c r="N1452" s="5">
        <f>IFERROR(__xludf.DUMMYFUNCTION("""COMPUTED_VALUE"""),2.0)</f>
        <v>2</v>
      </c>
      <c r="S1452" s="5">
        <f>IFERROR(__xludf.DUMMYFUNCTION("""COMPUTED_VALUE"""),578.0)</f>
        <v>578</v>
      </c>
      <c r="T1452" s="5" t="str">
        <f>IFERROR(__xludf.DUMMYFUNCTION("""COMPUTED_VALUE"""),"Udta Punjab")</f>
        <v>Udta Punjab</v>
      </c>
      <c r="U1452" s="5" t="str">
        <f>IFERROR(__xludf.DUMMYFUNCTION("""COMPUTED_VALUE"""),"Action")</f>
        <v>Action</v>
      </c>
      <c r="V1452" s="5">
        <f>IFERROR(__xludf.DUMMYFUNCTION("""COMPUTED_VALUE"""),1.0)</f>
        <v>1</v>
      </c>
    </row>
    <row r="1453">
      <c r="J1453" s="5" t="str">
        <f>IFERROR(__xludf.DUMMYFUNCTION("""COMPUTED_VALUE"""),"484🤙🏼Amour🤙🏼🤙🏼3")</f>
        <v>484🤙🏼Amour🤙🏼🤙🏼3</v>
      </c>
      <c r="K1453" s="5">
        <f>IFERROR(__xludf.DUMMYFUNCTION("SPLiT(J1453, ""🤙🏼"",FALSE,FALSE)"),484.0)</f>
        <v>484</v>
      </c>
      <c r="L1453" s="5" t="str">
        <f>IFERROR(__xludf.DUMMYFUNCTION("""COMPUTED_VALUE"""),"Amour")</f>
        <v>Amour</v>
      </c>
      <c r="M1453" s="5"/>
      <c r="N1453" s="5">
        <f>IFERROR(__xludf.DUMMYFUNCTION("""COMPUTED_VALUE"""),3.0)</f>
        <v>3</v>
      </c>
      <c r="S1453" s="5">
        <f>IFERROR(__xludf.DUMMYFUNCTION("""COMPUTED_VALUE"""),578.0)</f>
        <v>578</v>
      </c>
      <c r="T1453" s="5" t="str">
        <f>IFERROR(__xludf.DUMMYFUNCTION("""COMPUTED_VALUE"""),"Udta Punjab")</f>
        <v>Udta Punjab</v>
      </c>
      <c r="U1453" s="5" t="str">
        <f>IFERROR(__xludf.DUMMYFUNCTION("""COMPUTED_VALUE"""),"Crime")</f>
        <v>Crime</v>
      </c>
      <c r="V1453" s="5">
        <f>IFERROR(__xludf.DUMMYFUNCTION("""COMPUTED_VALUE"""),2.0)</f>
        <v>2</v>
      </c>
    </row>
    <row r="1454">
      <c r="J1454" s="5" t="str">
        <f>IFERROR(__xludf.DUMMYFUNCTION("""COMPUTED_VALUE"""),"485🤙🏼The Irishman🤙🏼Biography🤙🏼1")</f>
        <v>485🤙🏼The Irishman🤙🏼Biography🤙🏼1</v>
      </c>
      <c r="K1454" s="5">
        <f>IFERROR(__xludf.DUMMYFUNCTION("SPLiT(J1454, ""🤙🏼"",FALSE,FALSE)"),485.0)</f>
        <v>485</v>
      </c>
      <c r="L1454" s="5" t="str">
        <f>IFERROR(__xludf.DUMMYFUNCTION("""COMPUTED_VALUE"""),"The Irishman")</f>
        <v>The Irishman</v>
      </c>
      <c r="M1454" s="5" t="str">
        <f>IFERROR(__xludf.DUMMYFUNCTION("""COMPUTED_VALUE"""),"Biography")</f>
        <v>Biography</v>
      </c>
      <c r="N1454" s="5">
        <f>IFERROR(__xludf.DUMMYFUNCTION("""COMPUTED_VALUE"""),1.0)</f>
        <v>1</v>
      </c>
      <c r="S1454" s="5">
        <f>IFERROR(__xludf.DUMMYFUNCTION("""COMPUTED_VALUE"""),578.0)</f>
        <v>578</v>
      </c>
      <c r="T1454" s="5" t="str">
        <f>IFERROR(__xludf.DUMMYFUNCTION("""COMPUTED_VALUE"""),"Udta Punjab")</f>
        <v>Udta Punjab</v>
      </c>
      <c r="U1454" s="5" t="str">
        <f>IFERROR(__xludf.DUMMYFUNCTION("""COMPUTED_VALUE"""),"Drama")</f>
        <v>Drama</v>
      </c>
      <c r="V1454" s="5">
        <f>IFERROR(__xludf.DUMMYFUNCTION("""COMPUTED_VALUE"""),3.0)</f>
        <v>3</v>
      </c>
    </row>
    <row r="1455">
      <c r="J1455" s="5" t="str">
        <f>IFERROR(__xludf.DUMMYFUNCTION("""COMPUTED_VALUE"""),"485🤙🏼The Irishman🤙🏼Crime🤙🏼2")</f>
        <v>485🤙🏼The Irishman🤙🏼Crime🤙🏼2</v>
      </c>
      <c r="K1455" s="5">
        <f>IFERROR(__xludf.DUMMYFUNCTION("SPLiT(J1455, ""🤙🏼"",FALSE,FALSE)"),485.0)</f>
        <v>485</v>
      </c>
      <c r="L1455" s="5" t="str">
        <f>IFERROR(__xludf.DUMMYFUNCTION("""COMPUTED_VALUE"""),"The Irishman")</f>
        <v>The Irishman</v>
      </c>
      <c r="M1455" s="5" t="str">
        <f>IFERROR(__xludf.DUMMYFUNCTION("""COMPUTED_VALUE"""),"Crime")</f>
        <v>Crime</v>
      </c>
      <c r="N1455" s="5">
        <f>IFERROR(__xludf.DUMMYFUNCTION("""COMPUTED_VALUE"""),2.0)</f>
        <v>2</v>
      </c>
      <c r="S1455" s="5">
        <f>IFERROR(__xludf.DUMMYFUNCTION("""COMPUTED_VALUE"""),579.0)</f>
        <v>579</v>
      </c>
      <c r="T1455" s="5" t="str">
        <f>IFERROR(__xludf.DUMMYFUNCTION("""COMPUTED_VALUE"""),"Kubo and the Two Strings")</f>
        <v>Kubo and the Two Strings</v>
      </c>
      <c r="U1455" s="5" t="str">
        <f>IFERROR(__xludf.DUMMYFUNCTION("""COMPUTED_VALUE"""),"Animation")</f>
        <v>Animation</v>
      </c>
      <c r="V1455" s="5">
        <f>IFERROR(__xludf.DUMMYFUNCTION("""COMPUTED_VALUE"""),1.0)</f>
        <v>1</v>
      </c>
    </row>
    <row r="1456">
      <c r="J1456" s="5" t="str">
        <f>IFERROR(__xludf.DUMMYFUNCTION("""COMPUTED_VALUE"""),"485🤙🏼The Irishman🤙🏼Drama🤙🏼3")</f>
        <v>485🤙🏼The Irishman🤙🏼Drama🤙🏼3</v>
      </c>
      <c r="K1456" s="5">
        <f>IFERROR(__xludf.DUMMYFUNCTION("SPLiT(J1456, ""🤙🏼"",FALSE,FALSE)"),485.0)</f>
        <v>485</v>
      </c>
      <c r="L1456" s="5" t="str">
        <f>IFERROR(__xludf.DUMMYFUNCTION("""COMPUTED_VALUE"""),"The Irishman")</f>
        <v>The Irishman</v>
      </c>
      <c r="M1456" s="5" t="str">
        <f>IFERROR(__xludf.DUMMYFUNCTION("""COMPUTED_VALUE"""),"Drama")</f>
        <v>Drama</v>
      </c>
      <c r="N1456" s="5">
        <f>IFERROR(__xludf.DUMMYFUNCTION("""COMPUTED_VALUE"""),3.0)</f>
        <v>3</v>
      </c>
      <c r="S1456" s="5">
        <f>IFERROR(__xludf.DUMMYFUNCTION("""COMPUTED_VALUE"""),579.0)</f>
        <v>579</v>
      </c>
      <c r="T1456" s="5" t="str">
        <f>IFERROR(__xludf.DUMMYFUNCTION("""COMPUTED_VALUE"""),"Kubo and the Two Strings")</f>
        <v>Kubo and the Two Strings</v>
      </c>
      <c r="U1456" s="5" t="str">
        <f>IFERROR(__xludf.DUMMYFUNCTION("""COMPUTED_VALUE"""),"Action")</f>
        <v>Action</v>
      </c>
      <c r="V1456" s="5">
        <f>IFERROR(__xludf.DUMMYFUNCTION("""COMPUTED_VALUE"""),2.0)</f>
        <v>2</v>
      </c>
    </row>
    <row r="1457">
      <c r="J1457" s="5" t="str">
        <f>IFERROR(__xludf.DUMMYFUNCTION("""COMPUTED_VALUE"""),"486🤙🏼Un prophète🤙🏼Crime🤙🏼1")</f>
        <v>486🤙🏼Un prophète🤙🏼Crime🤙🏼1</v>
      </c>
      <c r="K1457" s="5">
        <f>IFERROR(__xludf.DUMMYFUNCTION("SPLiT(J1457, ""🤙🏼"",FALSE,FALSE)"),486.0)</f>
        <v>486</v>
      </c>
      <c r="L1457" s="5" t="str">
        <f>IFERROR(__xludf.DUMMYFUNCTION("""COMPUTED_VALUE"""),"Un prophète")</f>
        <v>Un prophète</v>
      </c>
      <c r="M1457" s="5" t="str">
        <f>IFERROR(__xludf.DUMMYFUNCTION("""COMPUTED_VALUE"""),"Crime")</f>
        <v>Crime</v>
      </c>
      <c r="N1457" s="5">
        <f>IFERROR(__xludf.DUMMYFUNCTION("""COMPUTED_VALUE"""),1.0)</f>
        <v>1</v>
      </c>
      <c r="S1457" s="5">
        <f>IFERROR(__xludf.DUMMYFUNCTION("""COMPUTED_VALUE"""),579.0)</f>
        <v>579</v>
      </c>
      <c r="T1457" s="5" t="str">
        <f>IFERROR(__xludf.DUMMYFUNCTION("""COMPUTED_VALUE"""),"Kubo and the Two Strings")</f>
        <v>Kubo and the Two Strings</v>
      </c>
      <c r="U1457" s="5" t="str">
        <f>IFERROR(__xludf.DUMMYFUNCTION("""COMPUTED_VALUE"""),"Adventure")</f>
        <v>Adventure</v>
      </c>
      <c r="V1457" s="5">
        <f>IFERROR(__xludf.DUMMYFUNCTION("""COMPUTED_VALUE"""),3.0)</f>
        <v>3</v>
      </c>
    </row>
    <row r="1458">
      <c r="J1458" s="5" t="str">
        <f>IFERROR(__xludf.DUMMYFUNCTION("""COMPUTED_VALUE"""),"486🤙🏼Un prophète🤙🏼Drama🤙🏼2")</f>
        <v>486🤙🏼Un prophète🤙🏼Drama🤙🏼2</v>
      </c>
      <c r="K1458" s="5">
        <f>IFERROR(__xludf.DUMMYFUNCTION("SPLiT(J1458, ""🤙🏼"",FALSE,FALSE)"),486.0)</f>
        <v>486</v>
      </c>
      <c r="L1458" s="5" t="str">
        <f>IFERROR(__xludf.DUMMYFUNCTION("""COMPUTED_VALUE"""),"Un prophète")</f>
        <v>Un prophète</v>
      </c>
      <c r="M1458" s="5" t="str">
        <f>IFERROR(__xludf.DUMMYFUNCTION("""COMPUTED_VALUE"""),"Drama")</f>
        <v>Drama</v>
      </c>
      <c r="N1458" s="5">
        <f>IFERROR(__xludf.DUMMYFUNCTION("""COMPUTED_VALUE"""),2.0)</f>
        <v>2</v>
      </c>
      <c r="S1458" s="5">
        <f>IFERROR(__xludf.DUMMYFUNCTION("""COMPUTED_VALUE"""),580.0)</f>
        <v>580</v>
      </c>
      <c r="T1458" s="5" t="str">
        <f>IFERROR(__xludf.DUMMYFUNCTION("""COMPUTED_VALUE"""),"M.S. Dhoni: The Untold Story")</f>
        <v>M.S. Dhoni: The Untold Story</v>
      </c>
      <c r="U1458" s="5" t="str">
        <f>IFERROR(__xludf.DUMMYFUNCTION("""COMPUTED_VALUE"""),"Biography")</f>
        <v>Biography</v>
      </c>
      <c r="V1458" s="5">
        <f>IFERROR(__xludf.DUMMYFUNCTION("""COMPUTED_VALUE"""),1.0)</f>
        <v>1</v>
      </c>
    </row>
    <row r="1459">
      <c r="J1459" s="5" t="str">
        <f>IFERROR(__xludf.DUMMYFUNCTION("""COMPUTED_VALUE"""),"486🤙🏼Un prophète🤙🏼🤙🏼3")</f>
        <v>486🤙🏼Un prophète🤙🏼🤙🏼3</v>
      </c>
      <c r="K1459" s="5">
        <f>IFERROR(__xludf.DUMMYFUNCTION("SPLiT(J1459, ""🤙🏼"",FALSE,FALSE)"),486.0)</f>
        <v>486</v>
      </c>
      <c r="L1459" s="5" t="str">
        <f>IFERROR(__xludf.DUMMYFUNCTION("""COMPUTED_VALUE"""),"Un prophète")</f>
        <v>Un prophète</v>
      </c>
      <c r="M1459" s="5"/>
      <c r="N1459" s="5">
        <f>IFERROR(__xludf.DUMMYFUNCTION("""COMPUTED_VALUE"""),3.0)</f>
        <v>3</v>
      </c>
      <c r="S1459" s="5">
        <f>IFERROR(__xludf.DUMMYFUNCTION("""COMPUTED_VALUE"""),580.0)</f>
        <v>580</v>
      </c>
      <c r="T1459" s="5" t="str">
        <f>IFERROR(__xludf.DUMMYFUNCTION("""COMPUTED_VALUE"""),"M.S. Dhoni: The Untold Story")</f>
        <v>M.S. Dhoni: The Untold Story</v>
      </c>
      <c r="U1459" s="5" t="str">
        <f>IFERROR(__xludf.DUMMYFUNCTION("""COMPUTED_VALUE"""),"Drama")</f>
        <v>Drama</v>
      </c>
      <c r="V1459" s="5">
        <f>IFERROR(__xludf.DUMMYFUNCTION("""COMPUTED_VALUE"""),2.0)</f>
        <v>2</v>
      </c>
    </row>
    <row r="1460">
      <c r="J1460" s="5" t="str">
        <f>IFERROR(__xludf.DUMMYFUNCTION("""COMPUTED_VALUE"""),"487🤙🏼Moon🤙🏼Drama🤙🏼1")</f>
        <v>487🤙🏼Moon🤙🏼Drama🤙🏼1</v>
      </c>
      <c r="K1460" s="5">
        <f>IFERROR(__xludf.DUMMYFUNCTION("SPLiT(J1460, ""🤙🏼"",FALSE,FALSE)"),487.0)</f>
        <v>487</v>
      </c>
      <c r="L1460" s="5" t="str">
        <f>IFERROR(__xludf.DUMMYFUNCTION("""COMPUTED_VALUE"""),"Moon")</f>
        <v>Moon</v>
      </c>
      <c r="M1460" s="5" t="str">
        <f>IFERROR(__xludf.DUMMYFUNCTION("""COMPUTED_VALUE"""),"Drama")</f>
        <v>Drama</v>
      </c>
      <c r="N1460" s="5">
        <f>IFERROR(__xludf.DUMMYFUNCTION("""COMPUTED_VALUE"""),1.0)</f>
        <v>1</v>
      </c>
      <c r="S1460" s="5">
        <f>IFERROR(__xludf.DUMMYFUNCTION("""COMPUTED_VALUE"""),580.0)</f>
        <v>580</v>
      </c>
      <c r="T1460" s="5" t="str">
        <f>IFERROR(__xludf.DUMMYFUNCTION("""COMPUTED_VALUE"""),"M.S. Dhoni: The Untold Story")</f>
        <v>M.S. Dhoni: The Untold Story</v>
      </c>
      <c r="U1460" s="5" t="str">
        <f>IFERROR(__xludf.DUMMYFUNCTION("""COMPUTED_VALUE"""),"Sport")</f>
        <v>Sport</v>
      </c>
      <c r="V1460" s="5">
        <f>IFERROR(__xludf.DUMMYFUNCTION("""COMPUTED_VALUE"""),3.0)</f>
        <v>3</v>
      </c>
    </row>
    <row r="1461">
      <c r="J1461" s="5" t="str">
        <f>IFERROR(__xludf.DUMMYFUNCTION("""COMPUTED_VALUE"""),"487🤙🏼Moon🤙🏼Mystery🤙🏼2")</f>
        <v>487🤙🏼Moon🤙🏼Mystery🤙🏼2</v>
      </c>
      <c r="K1461" s="5">
        <f>IFERROR(__xludf.DUMMYFUNCTION("SPLiT(J1461, ""🤙🏼"",FALSE,FALSE)"),487.0)</f>
        <v>487</v>
      </c>
      <c r="L1461" s="5" t="str">
        <f>IFERROR(__xludf.DUMMYFUNCTION("""COMPUTED_VALUE"""),"Moon")</f>
        <v>Moon</v>
      </c>
      <c r="M1461" s="5" t="str">
        <f>IFERROR(__xludf.DUMMYFUNCTION("""COMPUTED_VALUE"""),"Mystery")</f>
        <v>Mystery</v>
      </c>
      <c r="N1461" s="5">
        <f>IFERROR(__xludf.DUMMYFUNCTION("""COMPUTED_VALUE"""),2.0)</f>
        <v>2</v>
      </c>
      <c r="S1461" s="5">
        <f>IFERROR(__xludf.DUMMYFUNCTION("""COMPUTED_VALUE"""),581.0)</f>
        <v>581</v>
      </c>
      <c r="T1461" s="5" t="str">
        <f>IFERROR(__xludf.DUMMYFUNCTION("""COMPUTED_VALUE"""),"Manchester by the Sea")</f>
        <v>Manchester by the Sea</v>
      </c>
      <c r="U1461" s="5" t="str">
        <f>IFERROR(__xludf.DUMMYFUNCTION("""COMPUTED_VALUE"""),"Drama")</f>
        <v>Drama</v>
      </c>
      <c r="V1461" s="5">
        <f>IFERROR(__xludf.DUMMYFUNCTION("""COMPUTED_VALUE"""),1.0)</f>
        <v>1</v>
      </c>
    </row>
    <row r="1462">
      <c r="J1462" s="5" t="str">
        <f>IFERROR(__xludf.DUMMYFUNCTION("""COMPUTED_VALUE"""),"487🤙🏼Moon🤙🏼Sci-Fi🤙🏼3")</f>
        <v>487🤙🏼Moon🤙🏼Sci-Fi🤙🏼3</v>
      </c>
      <c r="K1462" s="5">
        <f>IFERROR(__xludf.DUMMYFUNCTION("SPLiT(J1462, ""🤙🏼"",FALSE,FALSE)"),487.0)</f>
        <v>487</v>
      </c>
      <c r="L1462" s="5" t="str">
        <f>IFERROR(__xludf.DUMMYFUNCTION("""COMPUTED_VALUE"""),"Moon")</f>
        <v>Moon</v>
      </c>
      <c r="M1462" s="5" t="str">
        <f>IFERROR(__xludf.DUMMYFUNCTION("""COMPUTED_VALUE"""),"Sci-Fi")</f>
        <v>Sci-Fi</v>
      </c>
      <c r="N1462" s="5">
        <f>IFERROR(__xludf.DUMMYFUNCTION("""COMPUTED_VALUE"""),3.0)</f>
        <v>3</v>
      </c>
      <c r="S1462" s="5">
        <f>IFERROR(__xludf.DUMMYFUNCTION("""COMPUTED_VALUE"""),582.0)</f>
        <v>582</v>
      </c>
      <c r="T1462" s="5" t="str">
        <f>IFERROR(__xludf.DUMMYFUNCTION("""COMPUTED_VALUE"""),"Under sandet")</f>
        <v>Under sandet</v>
      </c>
      <c r="U1462" s="5" t="str">
        <f>IFERROR(__xludf.DUMMYFUNCTION("""COMPUTED_VALUE"""),"Drama")</f>
        <v>Drama</v>
      </c>
      <c r="V1462" s="5">
        <f>IFERROR(__xludf.DUMMYFUNCTION("""COMPUTED_VALUE"""),1.0)</f>
        <v>1</v>
      </c>
    </row>
    <row r="1463">
      <c r="J1463" s="5" t="str">
        <f>IFERROR(__xludf.DUMMYFUNCTION("""COMPUTED_VALUE"""),"488🤙🏼Låt den rätte komma in🤙🏼Crime🤙🏼1")</f>
        <v>488🤙🏼Låt den rätte komma in🤙🏼Crime🤙🏼1</v>
      </c>
      <c r="K1463" s="5">
        <f>IFERROR(__xludf.DUMMYFUNCTION("SPLiT(J1463, ""🤙🏼"",FALSE,FALSE)"),488.0)</f>
        <v>488</v>
      </c>
      <c r="L1463" s="5" t="str">
        <f>IFERROR(__xludf.DUMMYFUNCTION("""COMPUTED_VALUE"""),"Låt den rätte komma in")</f>
        <v>Låt den rätte komma in</v>
      </c>
      <c r="M1463" s="5" t="str">
        <f>IFERROR(__xludf.DUMMYFUNCTION("""COMPUTED_VALUE"""),"Crime")</f>
        <v>Crime</v>
      </c>
      <c r="N1463" s="5">
        <f>IFERROR(__xludf.DUMMYFUNCTION("""COMPUTED_VALUE"""),1.0)</f>
        <v>1</v>
      </c>
      <c r="S1463" s="5">
        <f>IFERROR(__xludf.DUMMYFUNCTION("""COMPUTED_VALUE"""),582.0)</f>
        <v>582</v>
      </c>
      <c r="T1463" s="5" t="str">
        <f>IFERROR(__xludf.DUMMYFUNCTION("""COMPUTED_VALUE"""),"Under sandet")</f>
        <v>Under sandet</v>
      </c>
      <c r="U1463" s="5" t="str">
        <f>IFERROR(__xludf.DUMMYFUNCTION("""COMPUTED_VALUE"""),"History")</f>
        <v>History</v>
      </c>
      <c r="V1463" s="5">
        <f>IFERROR(__xludf.DUMMYFUNCTION("""COMPUTED_VALUE"""),2.0)</f>
        <v>2</v>
      </c>
    </row>
    <row r="1464">
      <c r="J1464" s="5" t="str">
        <f>IFERROR(__xludf.DUMMYFUNCTION("""COMPUTED_VALUE"""),"488🤙🏼Låt den rätte komma in🤙🏼Drama🤙🏼2")</f>
        <v>488🤙🏼Låt den rätte komma in🤙🏼Drama🤙🏼2</v>
      </c>
      <c r="K1464" s="5">
        <f>IFERROR(__xludf.DUMMYFUNCTION("SPLiT(J1464, ""🤙🏼"",FALSE,FALSE)"),488.0)</f>
        <v>488</v>
      </c>
      <c r="L1464" s="5" t="str">
        <f>IFERROR(__xludf.DUMMYFUNCTION("""COMPUTED_VALUE"""),"Låt den rätte komma in")</f>
        <v>Låt den rätte komma in</v>
      </c>
      <c r="M1464" s="5" t="str">
        <f>IFERROR(__xludf.DUMMYFUNCTION("""COMPUTED_VALUE"""),"Drama")</f>
        <v>Drama</v>
      </c>
      <c r="N1464" s="5">
        <f>IFERROR(__xludf.DUMMYFUNCTION("""COMPUTED_VALUE"""),2.0)</f>
        <v>2</v>
      </c>
      <c r="S1464" s="5">
        <f>IFERROR(__xludf.DUMMYFUNCTION("""COMPUTED_VALUE"""),582.0)</f>
        <v>582</v>
      </c>
      <c r="T1464" s="5" t="str">
        <f>IFERROR(__xludf.DUMMYFUNCTION("""COMPUTED_VALUE"""),"Under sandet")</f>
        <v>Under sandet</v>
      </c>
      <c r="U1464" s="5" t="str">
        <f>IFERROR(__xludf.DUMMYFUNCTION("""COMPUTED_VALUE"""),"War")</f>
        <v>War</v>
      </c>
      <c r="V1464" s="5">
        <f>IFERROR(__xludf.DUMMYFUNCTION("""COMPUTED_VALUE"""),3.0)</f>
        <v>3</v>
      </c>
    </row>
    <row r="1465">
      <c r="J1465" s="5" t="str">
        <f>IFERROR(__xludf.DUMMYFUNCTION("""COMPUTED_VALUE"""),"488🤙🏼Låt den rätte komma in🤙🏼Fantasy🤙🏼3")</f>
        <v>488🤙🏼Låt den rätte komma in🤙🏼Fantasy🤙🏼3</v>
      </c>
      <c r="K1465" s="5">
        <f>IFERROR(__xludf.DUMMYFUNCTION("SPLiT(J1465, ""🤙🏼"",FALSE,FALSE)"),488.0)</f>
        <v>488</v>
      </c>
      <c r="L1465" s="5" t="str">
        <f>IFERROR(__xludf.DUMMYFUNCTION("""COMPUTED_VALUE"""),"Låt den rätte komma in")</f>
        <v>Låt den rätte komma in</v>
      </c>
      <c r="M1465" s="5" t="str">
        <f>IFERROR(__xludf.DUMMYFUNCTION("""COMPUTED_VALUE"""),"Fantasy")</f>
        <v>Fantasy</v>
      </c>
      <c r="N1465" s="5">
        <f>IFERROR(__xludf.DUMMYFUNCTION("""COMPUTED_VALUE"""),3.0)</f>
        <v>3</v>
      </c>
      <c r="S1465" s="5">
        <f>IFERROR(__xludf.DUMMYFUNCTION("""COMPUTED_VALUE"""),583.0)</f>
        <v>583</v>
      </c>
      <c r="T1465" s="5" t="str">
        <f>IFERROR(__xludf.DUMMYFUNCTION("""COMPUTED_VALUE"""),"Rogue One")</f>
        <v>Rogue One</v>
      </c>
      <c r="U1465" s="5" t="str">
        <f>IFERROR(__xludf.DUMMYFUNCTION("""COMPUTED_VALUE"""),"Action")</f>
        <v>Action</v>
      </c>
      <c r="V1465" s="5">
        <f>IFERROR(__xludf.DUMMYFUNCTION("""COMPUTED_VALUE"""),1.0)</f>
        <v>1</v>
      </c>
    </row>
    <row r="1466">
      <c r="J1466" s="5" t="str">
        <f>IFERROR(__xludf.DUMMYFUNCTION("""COMPUTED_VALUE"""),"489🤙🏼District 9🤙🏼Action🤙🏼1")</f>
        <v>489🤙🏼District 9🤙🏼Action🤙🏼1</v>
      </c>
      <c r="K1466" s="5">
        <f>IFERROR(__xludf.DUMMYFUNCTION("SPLiT(J1466, ""🤙🏼"",FALSE,FALSE)"),489.0)</f>
        <v>489</v>
      </c>
      <c r="L1466" s="5" t="str">
        <f>IFERROR(__xludf.DUMMYFUNCTION("""COMPUTED_VALUE"""),"District 9")</f>
        <v>District 9</v>
      </c>
      <c r="M1466" s="5" t="str">
        <f>IFERROR(__xludf.DUMMYFUNCTION("""COMPUTED_VALUE"""),"Action")</f>
        <v>Action</v>
      </c>
      <c r="N1466" s="5">
        <f>IFERROR(__xludf.DUMMYFUNCTION("""COMPUTED_VALUE"""),1.0)</f>
        <v>1</v>
      </c>
      <c r="S1466" s="5">
        <f>IFERROR(__xludf.DUMMYFUNCTION("""COMPUTED_VALUE"""),583.0)</f>
        <v>583</v>
      </c>
      <c r="T1466" s="5" t="str">
        <f>IFERROR(__xludf.DUMMYFUNCTION("""COMPUTED_VALUE"""),"Rogue One")</f>
        <v>Rogue One</v>
      </c>
      <c r="U1466" s="5" t="str">
        <f>IFERROR(__xludf.DUMMYFUNCTION("""COMPUTED_VALUE"""),"Adventure")</f>
        <v>Adventure</v>
      </c>
      <c r="V1466" s="5">
        <f>IFERROR(__xludf.DUMMYFUNCTION("""COMPUTED_VALUE"""),2.0)</f>
        <v>2</v>
      </c>
    </row>
    <row r="1467">
      <c r="J1467" s="5" t="str">
        <f>IFERROR(__xludf.DUMMYFUNCTION("""COMPUTED_VALUE"""),"489🤙🏼District 9🤙🏼Sci-Fi🤙🏼2")</f>
        <v>489🤙🏼District 9🤙🏼Sci-Fi🤙🏼2</v>
      </c>
      <c r="K1467" s="5">
        <f>IFERROR(__xludf.DUMMYFUNCTION("SPLiT(J1467, ""🤙🏼"",FALSE,FALSE)"),489.0)</f>
        <v>489</v>
      </c>
      <c r="L1467" s="5" t="str">
        <f>IFERROR(__xludf.DUMMYFUNCTION("""COMPUTED_VALUE"""),"District 9")</f>
        <v>District 9</v>
      </c>
      <c r="M1467" s="5" t="str">
        <f>IFERROR(__xludf.DUMMYFUNCTION("""COMPUTED_VALUE"""),"Sci-Fi")</f>
        <v>Sci-Fi</v>
      </c>
      <c r="N1467" s="5">
        <f>IFERROR(__xludf.DUMMYFUNCTION("""COMPUTED_VALUE"""),2.0)</f>
        <v>2</v>
      </c>
      <c r="S1467" s="5">
        <f>IFERROR(__xludf.DUMMYFUNCTION("""COMPUTED_VALUE"""),583.0)</f>
        <v>583</v>
      </c>
      <c r="T1467" s="5" t="str">
        <f>IFERROR(__xludf.DUMMYFUNCTION("""COMPUTED_VALUE"""),"Rogue One")</f>
        <v>Rogue One</v>
      </c>
      <c r="U1467" s="5" t="str">
        <f>IFERROR(__xludf.DUMMYFUNCTION("""COMPUTED_VALUE"""),"Sci-Fi")</f>
        <v>Sci-Fi</v>
      </c>
      <c r="V1467" s="5">
        <f>IFERROR(__xludf.DUMMYFUNCTION("""COMPUTED_VALUE"""),3.0)</f>
        <v>3</v>
      </c>
    </row>
    <row r="1468">
      <c r="J1468" s="5" t="str">
        <f>IFERROR(__xludf.DUMMYFUNCTION("""COMPUTED_VALUE"""),"489🤙🏼District 9🤙🏼Thriller🤙🏼3")</f>
        <v>489🤙🏼District 9🤙🏼Thriller🤙🏼3</v>
      </c>
      <c r="K1468" s="5">
        <f>IFERROR(__xludf.DUMMYFUNCTION("SPLiT(J1468, ""🤙🏼"",FALSE,FALSE)"),489.0)</f>
        <v>489</v>
      </c>
      <c r="L1468" s="5" t="str">
        <f>IFERROR(__xludf.DUMMYFUNCTION("""COMPUTED_VALUE"""),"District 9")</f>
        <v>District 9</v>
      </c>
      <c r="M1468" s="5" t="str">
        <f>IFERROR(__xludf.DUMMYFUNCTION("""COMPUTED_VALUE"""),"Thriller")</f>
        <v>Thriller</v>
      </c>
      <c r="N1468" s="5">
        <f>IFERROR(__xludf.DUMMYFUNCTION("""COMPUTED_VALUE"""),3.0)</f>
        <v>3</v>
      </c>
      <c r="S1468" s="5">
        <f>IFERROR(__xludf.DUMMYFUNCTION("""COMPUTED_VALUE"""),584.0)</f>
        <v>584</v>
      </c>
      <c r="T1468" s="5" t="str">
        <f>IFERROR(__xludf.DUMMYFUNCTION("""COMPUTED_VALUE"""),"Captain America: Civil War")</f>
        <v>Captain America: Civil War</v>
      </c>
      <c r="U1468" s="5" t="str">
        <f>IFERROR(__xludf.DUMMYFUNCTION("""COMPUTED_VALUE"""),"Action")</f>
        <v>Action</v>
      </c>
      <c r="V1468" s="5">
        <f>IFERROR(__xludf.DUMMYFUNCTION("""COMPUTED_VALUE"""),1.0)</f>
        <v>1</v>
      </c>
    </row>
    <row r="1469">
      <c r="J1469" s="5" t="str">
        <f>IFERROR(__xludf.DUMMYFUNCTION("""COMPUTED_VALUE"""),"490🤙🏼The Wrestler🤙🏼Drama🤙🏼1")</f>
        <v>490🤙🏼The Wrestler🤙🏼Drama🤙🏼1</v>
      </c>
      <c r="K1469" s="5">
        <f>IFERROR(__xludf.DUMMYFUNCTION("SPLiT(J1469, ""🤙🏼"",FALSE,FALSE)"),490.0)</f>
        <v>490</v>
      </c>
      <c r="L1469" s="5" t="str">
        <f>IFERROR(__xludf.DUMMYFUNCTION("""COMPUTED_VALUE"""),"The Wrestler")</f>
        <v>The Wrestler</v>
      </c>
      <c r="M1469" s="5" t="str">
        <f>IFERROR(__xludf.DUMMYFUNCTION("""COMPUTED_VALUE"""),"Drama")</f>
        <v>Drama</v>
      </c>
      <c r="N1469" s="5">
        <f>IFERROR(__xludf.DUMMYFUNCTION("""COMPUTED_VALUE"""),1.0)</f>
        <v>1</v>
      </c>
      <c r="S1469" s="5">
        <f>IFERROR(__xludf.DUMMYFUNCTION("""COMPUTED_VALUE"""),584.0)</f>
        <v>584</v>
      </c>
      <c r="T1469" s="5" t="str">
        <f>IFERROR(__xludf.DUMMYFUNCTION("""COMPUTED_VALUE"""),"Captain America: Civil War")</f>
        <v>Captain America: Civil War</v>
      </c>
      <c r="U1469" s="5" t="str">
        <f>IFERROR(__xludf.DUMMYFUNCTION("""COMPUTED_VALUE"""),"Adventure")</f>
        <v>Adventure</v>
      </c>
      <c r="V1469" s="5">
        <f>IFERROR(__xludf.DUMMYFUNCTION("""COMPUTED_VALUE"""),2.0)</f>
        <v>2</v>
      </c>
    </row>
    <row r="1470">
      <c r="J1470" s="5" t="str">
        <f>IFERROR(__xludf.DUMMYFUNCTION("""COMPUTED_VALUE"""),"490🤙🏼The Wrestler🤙🏼Sport🤙🏼2")</f>
        <v>490🤙🏼The Wrestler🤙🏼Sport🤙🏼2</v>
      </c>
      <c r="K1470" s="5">
        <f>IFERROR(__xludf.DUMMYFUNCTION("SPLiT(J1470, ""🤙🏼"",FALSE,FALSE)"),490.0)</f>
        <v>490</v>
      </c>
      <c r="L1470" s="5" t="str">
        <f>IFERROR(__xludf.DUMMYFUNCTION("""COMPUTED_VALUE"""),"The Wrestler")</f>
        <v>The Wrestler</v>
      </c>
      <c r="M1470" s="5" t="str">
        <f>IFERROR(__xludf.DUMMYFUNCTION("""COMPUTED_VALUE"""),"Sport")</f>
        <v>Sport</v>
      </c>
      <c r="N1470" s="5">
        <f>IFERROR(__xludf.DUMMYFUNCTION("""COMPUTED_VALUE"""),2.0)</f>
        <v>2</v>
      </c>
      <c r="S1470" s="5">
        <f>IFERROR(__xludf.DUMMYFUNCTION("""COMPUTED_VALUE"""),584.0)</f>
        <v>584</v>
      </c>
      <c r="T1470" s="5" t="str">
        <f>IFERROR(__xludf.DUMMYFUNCTION("""COMPUTED_VALUE"""),"Captain America: Civil War")</f>
        <v>Captain America: Civil War</v>
      </c>
      <c r="U1470" s="5" t="str">
        <f>IFERROR(__xludf.DUMMYFUNCTION("""COMPUTED_VALUE"""),"Sci-Fi")</f>
        <v>Sci-Fi</v>
      </c>
      <c r="V1470" s="5">
        <f>IFERROR(__xludf.DUMMYFUNCTION("""COMPUTED_VALUE"""),3.0)</f>
        <v>3</v>
      </c>
    </row>
    <row r="1471">
      <c r="J1471" s="5" t="str">
        <f>IFERROR(__xludf.DUMMYFUNCTION("""COMPUTED_VALUE"""),"490🤙🏼The Wrestler🤙🏼🤙🏼3")</f>
        <v>490🤙🏼The Wrestler🤙🏼🤙🏼3</v>
      </c>
      <c r="K1471" s="5">
        <f>IFERROR(__xludf.DUMMYFUNCTION("SPLiT(J1471, ""🤙🏼"",FALSE,FALSE)"),490.0)</f>
        <v>490</v>
      </c>
      <c r="L1471" s="5" t="str">
        <f>IFERROR(__xludf.DUMMYFUNCTION("""COMPUTED_VALUE"""),"The Wrestler")</f>
        <v>The Wrestler</v>
      </c>
      <c r="M1471" s="5"/>
      <c r="N1471" s="5">
        <f>IFERROR(__xludf.DUMMYFUNCTION("""COMPUTED_VALUE"""),3.0)</f>
        <v>3</v>
      </c>
      <c r="S1471" s="5">
        <f>IFERROR(__xludf.DUMMYFUNCTION("""COMPUTED_VALUE"""),585.0)</f>
        <v>585</v>
      </c>
      <c r="T1471" s="5" t="str">
        <f>IFERROR(__xludf.DUMMYFUNCTION("""COMPUTED_VALUE"""),"The Hateful Eight")</f>
        <v>The Hateful Eight</v>
      </c>
      <c r="U1471" s="5" t="str">
        <f>IFERROR(__xludf.DUMMYFUNCTION("""COMPUTED_VALUE"""),"Crime")</f>
        <v>Crime</v>
      </c>
      <c r="V1471" s="5">
        <f>IFERROR(__xludf.DUMMYFUNCTION("""COMPUTED_VALUE"""),1.0)</f>
        <v>1</v>
      </c>
    </row>
    <row r="1472">
      <c r="J1472" s="5" t="str">
        <f>IFERROR(__xludf.DUMMYFUNCTION("""COMPUTED_VALUE"""),"491🤙🏼Jab We Met🤙🏼Comedy🤙🏼1")</f>
        <v>491🤙🏼Jab We Met🤙🏼Comedy🤙🏼1</v>
      </c>
      <c r="K1472" s="5">
        <f>IFERROR(__xludf.DUMMYFUNCTION("SPLiT(J1472, ""🤙🏼"",FALSE,FALSE)"),491.0)</f>
        <v>491</v>
      </c>
      <c r="L1472" s="5" t="str">
        <f>IFERROR(__xludf.DUMMYFUNCTION("""COMPUTED_VALUE"""),"Jab We Met")</f>
        <v>Jab We Met</v>
      </c>
      <c r="M1472" s="5" t="str">
        <f>IFERROR(__xludf.DUMMYFUNCTION("""COMPUTED_VALUE"""),"Comedy")</f>
        <v>Comedy</v>
      </c>
      <c r="N1472" s="5">
        <f>IFERROR(__xludf.DUMMYFUNCTION("""COMPUTED_VALUE"""),1.0)</f>
        <v>1</v>
      </c>
      <c r="S1472" s="5">
        <f>IFERROR(__xludf.DUMMYFUNCTION("""COMPUTED_VALUE"""),585.0)</f>
        <v>585</v>
      </c>
      <c r="T1472" s="5" t="str">
        <f>IFERROR(__xludf.DUMMYFUNCTION("""COMPUTED_VALUE"""),"The Hateful Eight")</f>
        <v>The Hateful Eight</v>
      </c>
      <c r="U1472" s="5" t="str">
        <f>IFERROR(__xludf.DUMMYFUNCTION("""COMPUTED_VALUE"""),"Drama")</f>
        <v>Drama</v>
      </c>
      <c r="V1472" s="5">
        <f>IFERROR(__xludf.DUMMYFUNCTION("""COMPUTED_VALUE"""),2.0)</f>
        <v>2</v>
      </c>
    </row>
    <row r="1473">
      <c r="J1473" s="5" t="str">
        <f>IFERROR(__xludf.DUMMYFUNCTION("""COMPUTED_VALUE"""),"491🤙🏼Jab We Met🤙🏼Drama🤙🏼2")</f>
        <v>491🤙🏼Jab We Met🤙🏼Drama🤙🏼2</v>
      </c>
      <c r="K1473" s="5">
        <f>IFERROR(__xludf.DUMMYFUNCTION("SPLiT(J1473, ""🤙🏼"",FALSE,FALSE)"),491.0)</f>
        <v>491</v>
      </c>
      <c r="L1473" s="5" t="str">
        <f>IFERROR(__xludf.DUMMYFUNCTION("""COMPUTED_VALUE"""),"Jab We Met")</f>
        <v>Jab We Met</v>
      </c>
      <c r="M1473" s="5" t="str">
        <f>IFERROR(__xludf.DUMMYFUNCTION("""COMPUTED_VALUE"""),"Drama")</f>
        <v>Drama</v>
      </c>
      <c r="N1473" s="5">
        <f>IFERROR(__xludf.DUMMYFUNCTION("""COMPUTED_VALUE"""),2.0)</f>
        <v>2</v>
      </c>
      <c r="S1473" s="5">
        <f>IFERROR(__xludf.DUMMYFUNCTION("""COMPUTED_VALUE"""),585.0)</f>
        <v>585</v>
      </c>
      <c r="T1473" s="5" t="str">
        <f>IFERROR(__xludf.DUMMYFUNCTION("""COMPUTED_VALUE"""),"The Hateful Eight")</f>
        <v>The Hateful Eight</v>
      </c>
      <c r="U1473" s="5" t="str">
        <f>IFERROR(__xludf.DUMMYFUNCTION("""COMPUTED_VALUE"""),"Mystery")</f>
        <v>Mystery</v>
      </c>
      <c r="V1473" s="5">
        <f>IFERROR(__xludf.DUMMYFUNCTION("""COMPUTED_VALUE"""),3.0)</f>
        <v>3</v>
      </c>
    </row>
    <row r="1474">
      <c r="J1474" s="5" t="str">
        <f>IFERROR(__xludf.DUMMYFUNCTION("""COMPUTED_VALUE"""),"491🤙🏼Jab We Met🤙🏼Romance🤙🏼3")</f>
        <v>491🤙🏼Jab We Met🤙🏼Romance🤙🏼3</v>
      </c>
      <c r="K1474" s="5">
        <f>IFERROR(__xludf.DUMMYFUNCTION("SPLiT(J1474, ""🤙🏼"",FALSE,FALSE)"),491.0)</f>
        <v>491</v>
      </c>
      <c r="L1474" s="5" t="str">
        <f>IFERROR(__xludf.DUMMYFUNCTION("""COMPUTED_VALUE"""),"Jab We Met")</f>
        <v>Jab We Met</v>
      </c>
      <c r="M1474" s="5" t="str">
        <f>IFERROR(__xludf.DUMMYFUNCTION("""COMPUTED_VALUE"""),"Romance")</f>
        <v>Romance</v>
      </c>
      <c r="N1474" s="5">
        <f>IFERROR(__xludf.DUMMYFUNCTION("""COMPUTED_VALUE"""),3.0)</f>
        <v>3</v>
      </c>
      <c r="S1474" s="5">
        <f>IFERROR(__xludf.DUMMYFUNCTION("""COMPUTED_VALUE"""),586.0)</f>
        <v>586</v>
      </c>
      <c r="T1474" s="5" t="str">
        <f>IFERROR(__xludf.DUMMYFUNCTION("""COMPUTED_VALUE"""),"Little Women")</f>
        <v>Little Women</v>
      </c>
      <c r="U1474" s="5" t="str">
        <f>IFERROR(__xludf.DUMMYFUNCTION("""COMPUTED_VALUE"""),"Drama")</f>
        <v>Drama</v>
      </c>
      <c r="V1474" s="5">
        <f>IFERROR(__xludf.DUMMYFUNCTION("""COMPUTED_VALUE"""),1.0)</f>
        <v>1</v>
      </c>
    </row>
    <row r="1475">
      <c r="J1475" s="5" t="str">
        <f>IFERROR(__xludf.DUMMYFUNCTION("""COMPUTED_VALUE"""),"492🤙🏼Boyhood🤙🏼Drama🤙🏼1")</f>
        <v>492🤙🏼Boyhood🤙🏼Drama🤙🏼1</v>
      </c>
      <c r="K1475" s="5">
        <f>IFERROR(__xludf.DUMMYFUNCTION("SPLiT(J1475, ""🤙🏼"",FALSE,FALSE)"),492.0)</f>
        <v>492</v>
      </c>
      <c r="L1475" s="5" t="str">
        <f>IFERROR(__xludf.DUMMYFUNCTION("""COMPUTED_VALUE"""),"Boyhood")</f>
        <v>Boyhood</v>
      </c>
      <c r="M1475" s="5" t="str">
        <f>IFERROR(__xludf.DUMMYFUNCTION("""COMPUTED_VALUE"""),"Drama")</f>
        <v>Drama</v>
      </c>
      <c r="N1475" s="5">
        <f>IFERROR(__xludf.DUMMYFUNCTION("""COMPUTED_VALUE"""),1.0)</f>
        <v>1</v>
      </c>
      <c r="S1475" s="5">
        <f>IFERROR(__xludf.DUMMYFUNCTION("""COMPUTED_VALUE"""),586.0)</f>
        <v>586</v>
      </c>
      <c r="T1475" s="5" t="str">
        <f>IFERROR(__xludf.DUMMYFUNCTION("""COMPUTED_VALUE"""),"Little Women")</f>
        <v>Little Women</v>
      </c>
      <c r="U1475" s="5" t="str">
        <f>IFERROR(__xludf.DUMMYFUNCTION("""COMPUTED_VALUE"""),"Romance")</f>
        <v>Romance</v>
      </c>
      <c r="V1475" s="5">
        <f>IFERROR(__xludf.DUMMYFUNCTION("""COMPUTED_VALUE"""),2.0)</f>
        <v>2</v>
      </c>
    </row>
    <row r="1476">
      <c r="J1476" s="5" t="str">
        <f>IFERROR(__xludf.DUMMYFUNCTION("""COMPUTED_VALUE"""),"492🤙🏼Boyhood🤙🏼🤙🏼2")</f>
        <v>492🤙🏼Boyhood🤙🏼🤙🏼2</v>
      </c>
      <c r="K1476" s="5">
        <f>IFERROR(__xludf.DUMMYFUNCTION("SPLiT(J1476, ""🤙🏼"",FALSE,FALSE)"),492.0)</f>
        <v>492</v>
      </c>
      <c r="L1476" s="5" t="str">
        <f>IFERROR(__xludf.DUMMYFUNCTION("""COMPUTED_VALUE"""),"Boyhood")</f>
        <v>Boyhood</v>
      </c>
      <c r="M1476" s="5"/>
      <c r="N1476" s="5">
        <f>IFERROR(__xludf.DUMMYFUNCTION("""COMPUTED_VALUE"""),2.0)</f>
        <v>2</v>
      </c>
      <c r="S1476" s="5">
        <f>IFERROR(__xludf.DUMMYFUNCTION("""COMPUTED_VALUE"""),587.0)</f>
        <v>587</v>
      </c>
      <c r="T1476" s="5" t="str">
        <f>IFERROR(__xludf.DUMMYFUNCTION("""COMPUTED_VALUE"""),"Loving Vincent")</f>
        <v>Loving Vincent</v>
      </c>
      <c r="U1476" s="5" t="str">
        <f>IFERROR(__xludf.DUMMYFUNCTION("""COMPUTED_VALUE"""),"Animation")</f>
        <v>Animation</v>
      </c>
      <c r="V1476" s="5">
        <f>IFERROR(__xludf.DUMMYFUNCTION("""COMPUTED_VALUE"""),1.0)</f>
        <v>1</v>
      </c>
    </row>
    <row r="1477">
      <c r="J1477" s="5" t="str">
        <f>IFERROR(__xludf.DUMMYFUNCTION("""COMPUTED_VALUE"""),"492🤙🏼Boyhood🤙🏼🤙🏼3")</f>
        <v>492🤙🏼Boyhood🤙🏼🤙🏼3</v>
      </c>
      <c r="K1477" s="5">
        <f>IFERROR(__xludf.DUMMYFUNCTION("SPLiT(J1477, ""🤙🏼"",FALSE,FALSE)"),492.0)</f>
        <v>492</v>
      </c>
      <c r="L1477" s="5" t="str">
        <f>IFERROR(__xludf.DUMMYFUNCTION("""COMPUTED_VALUE"""),"Boyhood")</f>
        <v>Boyhood</v>
      </c>
      <c r="M1477" s="5"/>
      <c r="N1477" s="5">
        <f>IFERROR(__xludf.DUMMYFUNCTION("""COMPUTED_VALUE"""),3.0)</f>
        <v>3</v>
      </c>
      <c r="S1477" s="5">
        <f>IFERROR(__xludf.DUMMYFUNCTION("""COMPUTED_VALUE"""),587.0)</f>
        <v>587</v>
      </c>
      <c r="T1477" s="5" t="str">
        <f>IFERROR(__xludf.DUMMYFUNCTION("""COMPUTED_VALUE"""),"Loving Vincent")</f>
        <v>Loving Vincent</v>
      </c>
      <c r="U1477" s="5" t="str">
        <f>IFERROR(__xludf.DUMMYFUNCTION("""COMPUTED_VALUE"""),"Biography")</f>
        <v>Biography</v>
      </c>
      <c r="V1477" s="5">
        <f>IFERROR(__xludf.DUMMYFUNCTION("""COMPUTED_VALUE"""),2.0)</f>
        <v>2</v>
      </c>
    </row>
    <row r="1478">
      <c r="J1478" s="5" t="str">
        <f>IFERROR(__xludf.DUMMYFUNCTION("""COMPUTED_VALUE"""),"493🤙🏼4 luni, 3 saptamâni si 2 zile🤙🏼Drama🤙🏼1")</f>
        <v>493🤙🏼4 luni, 3 saptamâni si 2 zile🤙🏼Drama🤙🏼1</v>
      </c>
      <c r="K1478" s="5">
        <f>IFERROR(__xludf.DUMMYFUNCTION("SPLiT(J1478, ""🤙🏼"",FALSE,FALSE)"),493.0)</f>
        <v>493</v>
      </c>
      <c r="L1478" s="5" t="str">
        <f>IFERROR(__xludf.DUMMYFUNCTION("""COMPUTED_VALUE"""),"4 luni, 3 saptamâni si 2 zile")</f>
        <v>4 luni, 3 saptamâni si 2 zile</v>
      </c>
      <c r="M1478" s="5" t="str">
        <f>IFERROR(__xludf.DUMMYFUNCTION("""COMPUTED_VALUE"""),"Drama")</f>
        <v>Drama</v>
      </c>
      <c r="N1478" s="5">
        <f>IFERROR(__xludf.DUMMYFUNCTION("""COMPUTED_VALUE"""),1.0)</f>
        <v>1</v>
      </c>
      <c r="S1478" s="5">
        <f>IFERROR(__xludf.DUMMYFUNCTION("""COMPUTED_VALUE"""),587.0)</f>
        <v>587</v>
      </c>
      <c r="T1478" s="5" t="str">
        <f>IFERROR(__xludf.DUMMYFUNCTION("""COMPUTED_VALUE"""),"Loving Vincent")</f>
        <v>Loving Vincent</v>
      </c>
      <c r="U1478" s="5" t="str">
        <f>IFERROR(__xludf.DUMMYFUNCTION("""COMPUTED_VALUE"""),"Crime")</f>
        <v>Crime</v>
      </c>
      <c r="V1478" s="5">
        <f>IFERROR(__xludf.DUMMYFUNCTION("""COMPUTED_VALUE"""),3.0)</f>
        <v>3</v>
      </c>
    </row>
    <row r="1479">
      <c r="J1479" s="5" t="str">
        <f>IFERROR(__xludf.DUMMYFUNCTION("""COMPUTED_VALUE"""),"493🤙🏼4 luni, 3 saptamâni si 2 zile🤙🏼🤙🏼2")</f>
        <v>493🤙🏼4 luni, 3 saptamâni si 2 zile🤙🏼🤙🏼2</v>
      </c>
      <c r="K1479" s="5">
        <f>IFERROR(__xludf.DUMMYFUNCTION("SPLiT(J1479, ""🤙🏼"",FALSE,FALSE)"),493.0)</f>
        <v>493</v>
      </c>
      <c r="L1479" s="5" t="str">
        <f>IFERROR(__xludf.DUMMYFUNCTION("""COMPUTED_VALUE"""),"4 luni, 3 saptamâni si 2 zile")</f>
        <v>4 luni, 3 saptamâni si 2 zile</v>
      </c>
      <c r="M1479" s="5"/>
      <c r="N1479" s="5">
        <f>IFERROR(__xludf.DUMMYFUNCTION("""COMPUTED_VALUE"""),2.0)</f>
        <v>2</v>
      </c>
      <c r="S1479" s="5">
        <f>IFERROR(__xludf.DUMMYFUNCTION("""COMPUTED_VALUE"""),588.0)</f>
        <v>588</v>
      </c>
      <c r="T1479" s="5" t="str">
        <f>IFERROR(__xludf.DUMMYFUNCTION("""COMPUTED_VALUE"""),"Pride")</f>
        <v>Pride</v>
      </c>
      <c r="U1479" s="5" t="str">
        <f>IFERROR(__xludf.DUMMYFUNCTION("""COMPUTED_VALUE"""),"Biography")</f>
        <v>Biography</v>
      </c>
      <c r="V1479" s="5">
        <f>IFERROR(__xludf.DUMMYFUNCTION("""COMPUTED_VALUE"""),1.0)</f>
        <v>1</v>
      </c>
    </row>
    <row r="1480">
      <c r="J1480" s="5" t="str">
        <f>IFERROR(__xludf.DUMMYFUNCTION("""COMPUTED_VALUE"""),"493🤙🏼4 luni, 3 saptamâni si 2 zile🤙🏼🤙🏼3")</f>
        <v>493🤙🏼4 luni, 3 saptamâni si 2 zile🤙🏼🤙🏼3</v>
      </c>
      <c r="K1480" s="5">
        <f>IFERROR(__xludf.DUMMYFUNCTION("SPLiT(J1480, ""🤙🏼"",FALSE,FALSE)"),493.0)</f>
        <v>493</v>
      </c>
      <c r="L1480" s="5" t="str">
        <f>IFERROR(__xludf.DUMMYFUNCTION("""COMPUTED_VALUE"""),"4 luni, 3 saptamâni si 2 zile")</f>
        <v>4 luni, 3 saptamâni si 2 zile</v>
      </c>
      <c r="M1480" s="5"/>
      <c r="N1480" s="5">
        <f>IFERROR(__xludf.DUMMYFUNCTION("""COMPUTED_VALUE"""),3.0)</f>
        <v>3</v>
      </c>
      <c r="S1480" s="5">
        <f>IFERROR(__xludf.DUMMYFUNCTION("""COMPUTED_VALUE"""),588.0)</f>
        <v>588</v>
      </c>
      <c r="T1480" s="5" t="str">
        <f>IFERROR(__xludf.DUMMYFUNCTION("""COMPUTED_VALUE"""),"Pride")</f>
        <v>Pride</v>
      </c>
      <c r="U1480" s="5" t="str">
        <f>IFERROR(__xludf.DUMMYFUNCTION("""COMPUTED_VALUE"""),"Comedy")</f>
        <v>Comedy</v>
      </c>
      <c r="V1480" s="5">
        <f>IFERROR(__xludf.DUMMYFUNCTION("""COMPUTED_VALUE"""),2.0)</f>
        <v>2</v>
      </c>
    </row>
    <row r="1481">
      <c r="J1481" s="5" t="str">
        <f>IFERROR(__xludf.DUMMYFUNCTION("""COMPUTED_VALUE"""),"494🤙🏼Star Trek🤙🏼Action🤙🏼1")</f>
        <v>494🤙🏼Star Trek🤙🏼Action🤙🏼1</v>
      </c>
      <c r="K1481" s="5">
        <f>IFERROR(__xludf.DUMMYFUNCTION("SPLiT(J1481, ""🤙🏼"",FALSE,FALSE)"),494.0)</f>
        <v>494</v>
      </c>
      <c r="L1481" s="5" t="str">
        <f>IFERROR(__xludf.DUMMYFUNCTION("""COMPUTED_VALUE"""),"Star Trek")</f>
        <v>Star Trek</v>
      </c>
      <c r="M1481" s="5" t="str">
        <f>IFERROR(__xludf.DUMMYFUNCTION("""COMPUTED_VALUE"""),"Action")</f>
        <v>Action</v>
      </c>
      <c r="N1481" s="5">
        <f>IFERROR(__xludf.DUMMYFUNCTION("""COMPUTED_VALUE"""),1.0)</f>
        <v>1</v>
      </c>
      <c r="S1481" s="5">
        <f>IFERROR(__xludf.DUMMYFUNCTION("""COMPUTED_VALUE"""),588.0)</f>
        <v>588</v>
      </c>
      <c r="T1481" s="5" t="str">
        <f>IFERROR(__xludf.DUMMYFUNCTION("""COMPUTED_VALUE"""),"Pride")</f>
        <v>Pride</v>
      </c>
      <c r="U1481" s="5" t="str">
        <f>IFERROR(__xludf.DUMMYFUNCTION("""COMPUTED_VALUE"""),"Drama")</f>
        <v>Drama</v>
      </c>
      <c r="V1481" s="5">
        <f>IFERROR(__xludf.DUMMYFUNCTION("""COMPUTED_VALUE"""),3.0)</f>
        <v>3</v>
      </c>
    </row>
    <row r="1482">
      <c r="J1482" s="5" t="str">
        <f>IFERROR(__xludf.DUMMYFUNCTION("""COMPUTED_VALUE"""),"494🤙🏼Star Trek🤙🏼Adventure🤙🏼2")</f>
        <v>494🤙🏼Star Trek🤙🏼Adventure🤙🏼2</v>
      </c>
      <c r="K1482" s="5">
        <f>IFERROR(__xludf.DUMMYFUNCTION("SPLiT(J1482, ""🤙🏼"",FALSE,FALSE)"),494.0)</f>
        <v>494</v>
      </c>
      <c r="L1482" s="5" t="str">
        <f>IFERROR(__xludf.DUMMYFUNCTION("""COMPUTED_VALUE"""),"Star Trek")</f>
        <v>Star Trek</v>
      </c>
      <c r="M1482" s="5" t="str">
        <f>IFERROR(__xludf.DUMMYFUNCTION("""COMPUTED_VALUE"""),"Adventure")</f>
        <v>Adventure</v>
      </c>
      <c r="N1482" s="5">
        <f>IFERROR(__xludf.DUMMYFUNCTION("""COMPUTED_VALUE"""),2.0)</f>
        <v>2</v>
      </c>
      <c r="S1482" s="5">
        <f>IFERROR(__xludf.DUMMYFUNCTION("""COMPUTED_VALUE"""),589.0)</f>
        <v>589</v>
      </c>
      <c r="T1482" s="5" t="str">
        <f>IFERROR(__xludf.DUMMYFUNCTION("""COMPUTED_VALUE"""),"Le passé")</f>
        <v>Le passé</v>
      </c>
      <c r="U1482" s="5" t="str">
        <f>IFERROR(__xludf.DUMMYFUNCTION("""COMPUTED_VALUE"""),"Drama")</f>
        <v>Drama</v>
      </c>
      <c r="V1482" s="5">
        <f>IFERROR(__xludf.DUMMYFUNCTION("""COMPUTED_VALUE"""),1.0)</f>
        <v>1</v>
      </c>
    </row>
    <row r="1483">
      <c r="J1483" s="5" t="str">
        <f>IFERROR(__xludf.DUMMYFUNCTION("""COMPUTED_VALUE"""),"494🤙🏼Star Trek🤙🏼Sci-Fi🤙🏼3")</f>
        <v>494🤙🏼Star Trek🤙🏼Sci-Fi🤙🏼3</v>
      </c>
      <c r="K1483" s="5">
        <f>IFERROR(__xludf.DUMMYFUNCTION("SPLiT(J1483, ""🤙🏼"",FALSE,FALSE)"),494.0)</f>
        <v>494</v>
      </c>
      <c r="L1483" s="5" t="str">
        <f>IFERROR(__xludf.DUMMYFUNCTION("""COMPUTED_VALUE"""),"Star Trek")</f>
        <v>Star Trek</v>
      </c>
      <c r="M1483" s="5" t="str">
        <f>IFERROR(__xludf.DUMMYFUNCTION("""COMPUTED_VALUE"""),"Sci-Fi")</f>
        <v>Sci-Fi</v>
      </c>
      <c r="N1483" s="5">
        <f>IFERROR(__xludf.DUMMYFUNCTION("""COMPUTED_VALUE"""),3.0)</f>
        <v>3</v>
      </c>
      <c r="S1483" s="5">
        <f>IFERROR(__xludf.DUMMYFUNCTION("""COMPUTED_VALUE"""),589.0)</f>
        <v>589</v>
      </c>
      <c r="T1483" s="5" t="str">
        <f>IFERROR(__xludf.DUMMYFUNCTION("""COMPUTED_VALUE"""),"Le passé")</f>
        <v>Le passé</v>
      </c>
      <c r="U1483" s="5" t="str">
        <f>IFERROR(__xludf.DUMMYFUNCTION("""COMPUTED_VALUE"""),"Mystery")</f>
        <v>Mystery</v>
      </c>
      <c r="V1483" s="5">
        <f>IFERROR(__xludf.DUMMYFUNCTION("""COMPUTED_VALUE"""),2.0)</f>
        <v>2</v>
      </c>
    </row>
    <row r="1484">
      <c r="J1484" s="5" t="str">
        <f>IFERROR(__xludf.DUMMYFUNCTION("""COMPUTED_VALUE"""),"495🤙🏼In Bruges🤙🏼Comedy🤙🏼1")</f>
        <v>495🤙🏼In Bruges🤙🏼Comedy🤙🏼1</v>
      </c>
      <c r="K1484" s="5">
        <f>IFERROR(__xludf.DUMMYFUNCTION("SPLiT(J1484, ""🤙🏼"",FALSE,FALSE)"),495.0)</f>
        <v>495</v>
      </c>
      <c r="L1484" s="5" t="str">
        <f>IFERROR(__xludf.DUMMYFUNCTION("""COMPUTED_VALUE"""),"In Bruges")</f>
        <v>In Bruges</v>
      </c>
      <c r="M1484" s="5" t="str">
        <f>IFERROR(__xludf.DUMMYFUNCTION("""COMPUTED_VALUE"""),"Comedy")</f>
        <v>Comedy</v>
      </c>
      <c r="N1484" s="5">
        <f>IFERROR(__xludf.DUMMYFUNCTION("""COMPUTED_VALUE"""),1.0)</f>
        <v>1</v>
      </c>
      <c r="S1484" s="5">
        <f>IFERROR(__xludf.DUMMYFUNCTION("""COMPUTED_VALUE"""),590.0)</f>
        <v>590</v>
      </c>
      <c r="T1484" s="5" t="str">
        <f>IFERROR(__xludf.DUMMYFUNCTION("""COMPUTED_VALUE"""),"La grande bellezza")</f>
        <v>La grande bellezza</v>
      </c>
      <c r="U1484" s="5" t="str">
        <f>IFERROR(__xludf.DUMMYFUNCTION("""COMPUTED_VALUE"""),"Drama")</f>
        <v>Drama</v>
      </c>
      <c r="V1484" s="5">
        <f>IFERROR(__xludf.DUMMYFUNCTION("""COMPUTED_VALUE"""),1.0)</f>
        <v>1</v>
      </c>
    </row>
    <row r="1485">
      <c r="J1485" s="5" t="str">
        <f>IFERROR(__xludf.DUMMYFUNCTION("""COMPUTED_VALUE"""),"495🤙🏼In Bruges🤙🏼Crime🤙🏼2")</f>
        <v>495🤙🏼In Bruges🤙🏼Crime🤙🏼2</v>
      </c>
      <c r="K1485" s="5">
        <f>IFERROR(__xludf.DUMMYFUNCTION("SPLiT(J1485, ""🤙🏼"",FALSE,FALSE)"),495.0)</f>
        <v>495</v>
      </c>
      <c r="L1485" s="5" t="str">
        <f>IFERROR(__xludf.DUMMYFUNCTION("""COMPUTED_VALUE"""),"In Bruges")</f>
        <v>In Bruges</v>
      </c>
      <c r="M1485" s="5" t="str">
        <f>IFERROR(__xludf.DUMMYFUNCTION("""COMPUTED_VALUE"""),"Crime")</f>
        <v>Crime</v>
      </c>
      <c r="N1485" s="5">
        <f>IFERROR(__xludf.DUMMYFUNCTION("""COMPUTED_VALUE"""),2.0)</f>
        <v>2</v>
      </c>
      <c r="S1485" s="5">
        <f>IFERROR(__xludf.DUMMYFUNCTION("""COMPUTED_VALUE"""),591.0)</f>
        <v>591</v>
      </c>
      <c r="T1485" s="5" t="str">
        <f>IFERROR(__xludf.DUMMYFUNCTION("""COMPUTED_VALUE"""),"The Lunchbox")</f>
        <v>The Lunchbox</v>
      </c>
      <c r="U1485" s="5" t="str">
        <f>IFERROR(__xludf.DUMMYFUNCTION("""COMPUTED_VALUE"""),"Drama")</f>
        <v>Drama</v>
      </c>
      <c r="V1485" s="5">
        <f>IFERROR(__xludf.DUMMYFUNCTION("""COMPUTED_VALUE"""),1.0)</f>
        <v>1</v>
      </c>
    </row>
    <row r="1486">
      <c r="J1486" s="5" t="str">
        <f>IFERROR(__xludf.DUMMYFUNCTION("""COMPUTED_VALUE"""),"495🤙🏼In Bruges🤙🏼Drama🤙🏼3")</f>
        <v>495🤙🏼In Bruges🤙🏼Drama🤙🏼3</v>
      </c>
      <c r="K1486" s="5">
        <f>IFERROR(__xludf.DUMMYFUNCTION("SPLiT(J1486, ""🤙🏼"",FALSE,FALSE)"),495.0)</f>
        <v>495</v>
      </c>
      <c r="L1486" s="5" t="str">
        <f>IFERROR(__xludf.DUMMYFUNCTION("""COMPUTED_VALUE"""),"In Bruges")</f>
        <v>In Bruges</v>
      </c>
      <c r="M1486" s="5" t="str">
        <f>IFERROR(__xludf.DUMMYFUNCTION("""COMPUTED_VALUE"""),"Drama")</f>
        <v>Drama</v>
      </c>
      <c r="N1486" s="5">
        <f>IFERROR(__xludf.DUMMYFUNCTION("""COMPUTED_VALUE"""),3.0)</f>
        <v>3</v>
      </c>
      <c r="S1486" s="5">
        <f>IFERROR(__xludf.DUMMYFUNCTION("""COMPUTED_VALUE"""),591.0)</f>
        <v>591</v>
      </c>
      <c r="T1486" s="5" t="str">
        <f>IFERROR(__xludf.DUMMYFUNCTION("""COMPUTED_VALUE"""),"The Lunchbox")</f>
        <v>The Lunchbox</v>
      </c>
      <c r="U1486" s="5" t="str">
        <f>IFERROR(__xludf.DUMMYFUNCTION("""COMPUTED_VALUE"""),"Romance")</f>
        <v>Romance</v>
      </c>
      <c r="V1486" s="5">
        <f>IFERROR(__xludf.DUMMYFUNCTION("""COMPUTED_VALUE"""),2.0)</f>
        <v>2</v>
      </c>
    </row>
    <row r="1487">
      <c r="J1487" s="5" t="str">
        <f>IFERROR(__xludf.DUMMYFUNCTION("""COMPUTED_VALUE"""),"496🤙🏼The Man from Earth🤙🏼Drama🤙🏼1")</f>
        <v>496🤙🏼The Man from Earth🤙🏼Drama🤙🏼1</v>
      </c>
      <c r="K1487" s="5">
        <f>IFERROR(__xludf.DUMMYFUNCTION("SPLiT(J1487, ""🤙🏼"",FALSE,FALSE)"),496.0)</f>
        <v>496</v>
      </c>
      <c r="L1487" s="5" t="str">
        <f>IFERROR(__xludf.DUMMYFUNCTION("""COMPUTED_VALUE"""),"The Man from Earth")</f>
        <v>The Man from Earth</v>
      </c>
      <c r="M1487" s="5" t="str">
        <f>IFERROR(__xludf.DUMMYFUNCTION("""COMPUTED_VALUE"""),"Drama")</f>
        <v>Drama</v>
      </c>
      <c r="N1487" s="5">
        <f>IFERROR(__xludf.DUMMYFUNCTION("""COMPUTED_VALUE"""),1.0)</f>
        <v>1</v>
      </c>
      <c r="S1487" s="5">
        <f>IFERROR(__xludf.DUMMYFUNCTION("""COMPUTED_VALUE"""),592.0)</f>
        <v>592</v>
      </c>
      <c r="T1487" s="5" t="str">
        <f>IFERROR(__xludf.DUMMYFUNCTION("""COMPUTED_VALUE"""),"Vicky Donor")</f>
        <v>Vicky Donor</v>
      </c>
      <c r="U1487" s="5" t="str">
        <f>IFERROR(__xludf.DUMMYFUNCTION("""COMPUTED_VALUE"""),"Comedy")</f>
        <v>Comedy</v>
      </c>
      <c r="V1487" s="5">
        <f>IFERROR(__xludf.DUMMYFUNCTION("""COMPUTED_VALUE"""),1.0)</f>
        <v>1</v>
      </c>
    </row>
    <row r="1488">
      <c r="J1488" s="5" t="str">
        <f>IFERROR(__xludf.DUMMYFUNCTION("""COMPUTED_VALUE"""),"496🤙🏼The Man from Earth🤙🏼Fantasy🤙🏼2")</f>
        <v>496🤙🏼The Man from Earth🤙🏼Fantasy🤙🏼2</v>
      </c>
      <c r="K1488" s="5">
        <f>IFERROR(__xludf.DUMMYFUNCTION("SPLiT(J1488, ""🤙🏼"",FALSE,FALSE)"),496.0)</f>
        <v>496</v>
      </c>
      <c r="L1488" s="5" t="str">
        <f>IFERROR(__xludf.DUMMYFUNCTION("""COMPUTED_VALUE"""),"The Man from Earth")</f>
        <v>The Man from Earth</v>
      </c>
      <c r="M1488" s="5" t="str">
        <f>IFERROR(__xludf.DUMMYFUNCTION("""COMPUTED_VALUE"""),"Fantasy")</f>
        <v>Fantasy</v>
      </c>
      <c r="N1488" s="5">
        <f>IFERROR(__xludf.DUMMYFUNCTION("""COMPUTED_VALUE"""),2.0)</f>
        <v>2</v>
      </c>
      <c r="S1488" s="5">
        <f>IFERROR(__xludf.DUMMYFUNCTION("""COMPUTED_VALUE"""),592.0)</f>
        <v>592</v>
      </c>
      <c r="T1488" s="5" t="str">
        <f>IFERROR(__xludf.DUMMYFUNCTION("""COMPUTED_VALUE"""),"Vicky Donor")</f>
        <v>Vicky Donor</v>
      </c>
      <c r="U1488" s="5" t="str">
        <f>IFERROR(__xludf.DUMMYFUNCTION("""COMPUTED_VALUE"""),"Romance")</f>
        <v>Romance</v>
      </c>
      <c r="V1488" s="5">
        <f>IFERROR(__xludf.DUMMYFUNCTION("""COMPUTED_VALUE"""),2.0)</f>
        <v>2</v>
      </c>
    </row>
    <row r="1489">
      <c r="J1489" s="5" t="str">
        <f>IFERROR(__xludf.DUMMYFUNCTION("""COMPUTED_VALUE"""),"496🤙🏼The Man from Earth🤙🏼Mystery🤙🏼3")</f>
        <v>496🤙🏼The Man from Earth🤙🏼Mystery🤙🏼3</v>
      </c>
      <c r="K1489" s="5">
        <f>IFERROR(__xludf.DUMMYFUNCTION("SPLiT(J1489, ""🤙🏼"",FALSE,FALSE)"),496.0)</f>
        <v>496</v>
      </c>
      <c r="L1489" s="5" t="str">
        <f>IFERROR(__xludf.DUMMYFUNCTION("""COMPUTED_VALUE"""),"The Man from Earth")</f>
        <v>The Man from Earth</v>
      </c>
      <c r="M1489" s="5" t="str">
        <f>IFERROR(__xludf.DUMMYFUNCTION("""COMPUTED_VALUE"""),"Mystery")</f>
        <v>Mystery</v>
      </c>
      <c r="N1489" s="5">
        <f>IFERROR(__xludf.DUMMYFUNCTION("""COMPUTED_VALUE"""),3.0)</f>
        <v>3</v>
      </c>
      <c r="S1489" s="5">
        <f>IFERROR(__xludf.DUMMYFUNCTION("""COMPUTED_VALUE"""),593.0)</f>
        <v>593</v>
      </c>
      <c r="T1489" s="5" t="str">
        <f>IFERROR(__xludf.DUMMYFUNCTION("""COMPUTED_VALUE"""),"Big Hero 6")</f>
        <v>Big Hero 6</v>
      </c>
      <c r="U1489" s="5" t="str">
        <f>IFERROR(__xludf.DUMMYFUNCTION("""COMPUTED_VALUE"""),"Animation")</f>
        <v>Animation</v>
      </c>
      <c r="V1489" s="5">
        <f>IFERROR(__xludf.DUMMYFUNCTION("""COMPUTED_VALUE"""),1.0)</f>
        <v>1</v>
      </c>
    </row>
    <row r="1490">
      <c r="J1490" s="5" t="str">
        <f>IFERROR(__xludf.DUMMYFUNCTION("""COMPUTED_VALUE"""),"497🤙🏼Letters from Iwo Jima🤙🏼Action🤙🏼1")</f>
        <v>497🤙🏼Letters from Iwo Jima🤙🏼Action🤙🏼1</v>
      </c>
      <c r="K1490" s="5">
        <f>IFERROR(__xludf.DUMMYFUNCTION("SPLiT(J1490, ""🤙🏼"",FALSE,FALSE)"),497.0)</f>
        <v>497</v>
      </c>
      <c r="L1490" s="5" t="str">
        <f>IFERROR(__xludf.DUMMYFUNCTION("""COMPUTED_VALUE"""),"Letters from Iwo Jima")</f>
        <v>Letters from Iwo Jima</v>
      </c>
      <c r="M1490" s="5" t="str">
        <f>IFERROR(__xludf.DUMMYFUNCTION("""COMPUTED_VALUE"""),"Action")</f>
        <v>Action</v>
      </c>
      <c r="N1490" s="5">
        <f>IFERROR(__xludf.DUMMYFUNCTION("""COMPUTED_VALUE"""),1.0)</f>
        <v>1</v>
      </c>
      <c r="S1490" s="5">
        <f>IFERROR(__xludf.DUMMYFUNCTION("""COMPUTED_VALUE"""),593.0)</f>
        <v>593</v>
      </c>
      <c r="T1490" s="5" t="str">
        <f>IFERROR(__xludf.DUMMYFUNCTION("""COMPUTED_VALUE"""),"Big Hero 6")</f>
        <v>Big Hero 6</v>
      </c>
      <c r="U1490" s="5" t="str">
        <f>IFERROR(__xludf.DUMMYFUNCTION("""COMPUTED_VALUE"""),"Action")</f>
        <v>Action</v>
      </c>
      <c r="V1490" s="5">
        <f>IFERROR(__xludf.DUMMYFUNCTION("""COMPUTED_VALUE"""),2.0)</f>
        <v>2</v>
      </c>
    </row>
    <row r="1491">
      <c r="J1491" s="5" t="str">
        <f>IFERROR(__xludf.DUMMYFUNCTION("""COMPUTED_VALUE"""),"497🤙🏼Letters from Iwo Jima🤙🏼Adventure🤙🏼2")</f>
        <v>497🤙🏼Letters from Iwo Jima🤙🏼Adventure🤙🏼2</v>
      </c>
      <c r="K1491" s="5">
        <f>IFERROR(__xludf.DUMMYFUNCTION("SPLiT(J1491, ""🤙🏼"",FALSE,FALSE)"),497.0)</f>
        <v>497</v>
      </c>
      <c r="L1491" s="5" t="str">
        <f>IFERROR(__xludf.DUMMYFUNCTION("""COMPUTED_VALUE"""),"Letters from Iwo Jima")</f>
        <v>Letters from Iwo Jima</v>
      </c>
      <c r="M1491" s="5" t="str">
        <f>IFERROR(__xludf.DUMMYFUNCTION("""COMPUTED_VALUE"""),"Adventure")</f>
        <v>Adventure</v>
      </c>
      <c r="N1491" s="5">
        <f>IFERROR(__xludf.DUMMYFUNCTION("""COMPUTED_VALUE"""),2.0)</f>
        <v>2</v>
      </c>
      <c r="S1491" s="5">
        <f>IFERROR(__xludf.DUMMYFUNCTION("""COMPUTED_VALUE"""),593.0)</f>
        <v>593</v>
      </c>
      <c r="T1491" s="5" t="str">
        <f>IFERROR(__xludf.DUMMYFUNCTION("""COMPUTED_VALUE"""),"Big Hero 6")</f>
        <v>Big Hero 6</v>
      </c>
      <c r="U1491" s="5" t="str">
        <f>IFERROR(__xludf.DUMMYFUNCTION("""COMPUTED_VALUE"""),"Adventure")</f>
        <v>Adventure</v>
      </c>
      <c r="V1491" s="5">
        <f>IFERROR(__xludf.DUMMYFUNCTION("""COMPUTED_VALUE"""),3.0)</f>
        <v>3</v>
      </c>
    </row>
    <row r="1492">
      <c r="J1492" s="5" t="str">
        <f>IFERROR(__xludf.DUMMYFUNCTION("""COMPUTED_VALUE"""),"497🤙🏼Letters from Iwo Jima🤙🏼Drama🤙🏼3")</f>
        <v>497🤙🏼Letters from Iwo Jima🤙🏼Drama🤙🏼3</v>
      </c>
      <c r="K1492" s="5">
        <f>IFERROR(__xludf.DUMMYFUNCTION("SPLiT(J1492, ""🤙🏼"",FALSE,FALSE)"),497.0)</f>
        <v>497</v>
      </c>
      <c r="L1492" s="5" t="str">
        <f>IFERROR(__xludf.DUMMYFUNCTION("""COMPUTED_VALUE"""),"Letters from Iwo Jima")</f>
        <v>Letters from Iwo Jima</v>
      </c>
      <c r="M1492" s="5" t="str">
        <f>IFERROR(__xludf.DUMMYFUNCTION("""COMPUTED_VALUE"""),"Drama")</f>
        <v>Drama</v>
      </c>
      <c r="N1492" s="5">
        <f>IFERROR(__xludf.DUMMYFUNCTION("""COMPUTED_VALUE"""),3.0)</f>
        <v>3</v>
      </c>
      <c r="S1492" s="5">
        <f>IFERROR(__xludf.DUMMYFUNCTION("""COMPUTED_VALUE"""),594.0)</f>
        <v>594</v>
      </c>
      <c r="T1492" s="5" t="str">
        <f>IFERROR(__xludf.DUMMYFUNCTION("""COMPUTED_VALUE"""),"About Time")</f>
        <v>About Time</v>
      </c>
      <c r="U1492" s="5" t="str">
        <f>IFERROR(__xludf.DUMMYFUNCTION("""COMPUTED_VALUE"""),"Comedy")</f>
        <v>Comedy</v>
      </c>
      <c r="V1492" s="5">
        <f>IFERROR(__xludf.DUMMYFUNCTION("""COMPUTED_VALUE"""),1.0)</f>
        <v>1</v>
      </c>
    </row>
    <row r="1493">
      <c r="J1493" s="5" t="str">
        <f>IFERROR(__xludf.DUMMYFUNCTION("""COMPUTED_VALUE"""),"498🤙🏼The Fall🤙🏼Adventure🤙🏼1")</f>
        <v>498🤙🏼The Fall🤙🏼Adventure🤙🏼1</v>
      </c>
      <c r="K1493" s="5">
        <f>IFERROR(__xludf.DUMMYFUNCTION("SPLiT(J1493, ""🤙🏼"",FALSE,FALSE)"),498.0)</f>
        <v>498</v>
      </c>
      <c r="L1493" s="5" t="str">
        <f>IFERROR(__xludf.DUMMYFUNCTION("""COMPUTED_VALUE"""),"The Fall")</f>
        <v>The Fall</v>
      </c>
      <c r="M1493" s="5" t="str">
        <f>IFERROR(__xludf.DUMMYFUNCTION("""COMPUTED_VALUE"""),"Adventure")</f>
        <v>Adventure</v>
      </c>
      <c r="N1493" s="5">
        <f>IFERROR(__xludf.DUMMYFUNCTION("""COMPUTED_VALUE"""),1.0)</f>
        <v>1</v>
      </c>
      <c r="S1493" s="5">
        <f>IFERROR(__xludf.DUMMYFUNCTION("""COMPUTED_VALUE"""),594.0)</f>
        <v>594</v>
      </c>
      <c r="T1493" s="5" t="str">
        <f>IFERROR(__xludf.DUMMYFUNCTION("""COMPUTED_VALUE"""),"About Time")</f>
        <v>About Time</v>
      </c>
      <c r="U1493" s="5" t="str">
        <f>IFERROR(__xludf.DUMMYFUNCTION("""COMPUTED_VALUE"""),"Drama")</f>
        <v>Drama</v>
      </c>
      <c r="V1493" s="5">
        <f>IFERROR(__xludf.DUMMYFUNCTION("""COMPUTED_VALUE"""),2.0)</f>
        <v>2</v>
      </c>
    </row>
    <row r="1494">
      <c r="J1494" s="5" t="str">
        <f>IFERROR(__xludf.DUMMYFUNCTION("""COMPUTED_VALUE"""),"498🤙🏼The Fall🤙🏼Drama🤙🏼2")</f>
        <v>498🤙🏼The Fall🤙🏼Drama🤙🏼2</v>
      </c>
      <c r="K1494" s="5">
        <f>IFERROR(__xludf.DUMMYFUNCTION("SPLiT(J1494, ""🤙🏼"",FALSE,FALSE)"),498.0)</f>
        <v>498</v>
      </c>
      <c r="L1494" s="5" t="str">
        <f>IFERROR(__xludf.DUMMYFUNCTION("""COMPUTED_VALUE"""),"The Fall")</f>
        <v>The Fall</v>
      </c>
      <c r="M1494" s="5" t="str">
        <f>IFERROR(__xludf.DUMMYFUNCTION("""COMPUTED_VALUE"""),"Drama")</f>
        <v>Drama</v>
      </c>
      <c r="N1494" s="5">
        <f>IFERROR(__xludf.DUMMYFUNCTION("""COMPUTED_VALUE"""),2.0)</f>
        <v>2</v>
      </c>
      <c r="S1494" s="5">
        <f>IFERROR(__xludf.DUMMYFUNCTION("""COMPUTED_VALUE"""),594.0)</f>
        <v>594</v>
      </c>
      <c r="T1494" s="5" t="str">
        <f>IFERROR(__xludf.DUMMYFUNCTION("""COMPUTED_VALUE"""),"About Time")</f>
        <v>About Time</v>
      </c>
      <c r="U1494" s="5" t="str">
        <f>IFERROR(__xludf.DUMMYFUNCTION("""COMPUTED_VALUE"""),"Fantasy")</f>
        <v>Fantasy</v>
      </c>
      <c r="V1494" s="5">
        <f>IFERROR(__xludf.DUMMYFUNCTION("""COMPUTED_VALUE"""),3.0)</f>
        <v>3</v>
      </c>
    </row>
    <row r="1495">
      <c r="J1495" s="5" t="str">
        <f>IFERROR(__xludf.DUMMYFUNCTION("""COMPUTED_VALUE"""),"498🤙🏼The Fall🤙🏼Fantasy🤙🏼3")</f>
        <v>498🤙🏼The Fall🤙🏼Fantasy🤙🏼3</v>
      </c>
      <c r="K1495" s="5">
        <f>IFERROR(__xludf.DUMMYFUNCTION("SPLiT(J1495, ""🤙🏼"",FALSE,FALSE)"),498.0)</f>
        <v>498</v>
      </c>
      <c r="L1495" s="5" t="str">
        <f>IFERROR(__xludf.DUMMYFUNCTION("""COMPUTED_VALUE"""),"The Fall")</f>
        <v>The Fall</v>
      </c>
      <c r="M1495" s="5" t="str">
        <f>IFERROR(__xludf.DUMMYFUNCTION("""COMPUTED_VALUE"""),"Fantasy")</f>
        <v>Fantasy</v>
      </c>
      <c r="N1495" s="5">
        <f>IFERROR(__xludf.DUMMYFUNCTION("""COMPUTED_VALUE"""),3.0)</f>
        <v>3</v>
      </c>
      <c r="S1495" s="5">
        <f>IFERROR(__xludf.DUMMYFUNCTION("""COMPUTED_VALUE"""),595.0)</f>
        <v>595</v>
      </c>
      <c r="T1495" s="5" t="str">
        <f>IFERROR(__xludf.DUMMYFUNCTION("""COMPUTED_VALUE"""),"English Vinglish")</f>
        <v>English Vinglish</v>
      </c>
      <c r="U1495" s="5" t="str">
        <f>IFERROR(__xludf.DUMMYFUNCTION("""COMPUTED_VALUE"""),"Comedy")</f>
        <v>Comedy</v>
      </c>
      <c r="V1495" s="5">
        <f>IFERROR(__xludf.DUMMYFUNCTION("""COMPUTED_VALUE"""),1.0)</f>
        <v>1</v>
      </c>
    </row>
    <row r="1496">
      <c r="J1496" s="5" t="str">
        <f>IFERROR(__xludf.DUMMYFUNCTION("""COMPUTED_VALUE"""),"499🤙🏼Life of Pi🤙🏼Adventure🤙🏼1")</f>
        <v>499🤙🏼Life of Pi🤙🏼Adventure🤙🏼1</v>
      </c>
      <c r="K1496" s="5">
        <f>IFERROR(__xludf.DUMMYFUNCTION("SPLiT(J1496, ""🤙🏼"",FALSE,FALSE)"),499.0)</f>
        <v>499</v>
      </c>
      <c r="L1496" s="5" t="str">
        <f>IFERROR(__xludf.DUMMYFUNCTION("""COMPUTED_VALUE"""),"Life of Pi")</f>
        <v>Life of Pi</v>
      </c>
      <c r="M1496" s="5" t="str">
        <f>IFERROR(__xludf.DUMMYFUNCTION("""COMPUTED_VALUE"""),"Adventure")</f>
        <v>Adventure</v>
      </c>
      <c r="N1496" s="5">
        <f>IFERROR(__xludf.DUMMYFUNCTION("""COMPUTED_VALUE"""),1.0)</f>
        <v>1</v>
      </c>
      <c r="S1496" s="5">
        <f>IFERROR(__xludf.DUMMYFUNCTION("""COMPUTED_VALUE"""),595.0)</f>
        <v>595</v>
      </c>
      <c r="T1496" s="5" t="str">
        <f>IFERROR(__xludf.DUMMYFUNCTION("""COMPUTED_VALUE"""),"English Vinglish")</f>
        <v>English Vinglish</v>
      </c>
      <c r="U1496" s="5" t="str">
        <f>IFERROR(__xludf.DUMMYFUNCTION("""COMPUTED_VALUE"""),"Drama")</f>
        <v>Drama</v>
      </c>
      <c r="V1496" s="5">
        <f>IFERROR(__xludf.DUMMYFUNCTION("""COMPUTED_VALUE"""),2.0)</f>
        <v>2</v>
      </c>
    </row>
    <row r="1497">
      <c r="J1497" s="5" t="str">
        <f>IFERROR(__xludf.DUMMYFUNCTION("""COMPUTED_VALUE"""),"499🤙🏼Life of Pi🤙🏼Drama🤙🏼2")</f>
        <v>499🤙🏼Life of Pi🤙🏼Drama🤙🏼2</v>
      </c>
      <c r="K1497" s="5">
        <f>IFERROR(__xludf.DUMMYFUNCTION("SPLiT(J1497, ""🤙🏼"",FALSE,FALSE)"),499.0)</f>
        <v>499</v>
      </c>
      <c r="L1497" s="5" t="str">
        <f>IFERROR(__xludf.DUMMYFUNCTION("""COMPUTED_VALUE"""),"Life of Pi")</f>
        <v>Life of Pi</v>
      </c>
      <c r="M1497" s="5" t="str">
        <f>IFERROR(__xludf.DUMMYFUNCTION("""COMPUTED_VALUE"""),"Drama")</f>
        <v>Drama</v>
      </c>
      <c r="N1497" s="5">
        <f>IFERROR(__xludf.DUMMYFUNCTION("""COMPUTED_VALUE"""),2.0)</f>
        <v>2</v>
      </c>
      <c r="S1497" s="5">
        <f>IFERROR(__xludf.DUMMYFUNCTION("""COMPUTED_VALUE"""),595.0)</f>
        <v>595</v>
      </c>
      <c r="T1497" s="5" t="str">
        <f>IFERROR(__xludf.DUMMYFUNCTION("""COMPUTED_VALUE"""),"English Vinglish")</f>
        <v>English Vinglish</v>
      </c>
      <c r="U1497" s="5" t="str">
        <f>IFERROR(__xludf.DUMMYFUNCTION("""COMPUTED_VALUE"""),"Family")</f>
        <v>Family</v>
      </c>
      <c r="V1497" s="5">
        <f>IFERROR(__xludf.DUMMYFUNCTION("""COMPUTED_VALUE"""),3.0)</f>
        <v>3</v>
      </c>
    </row>
    <row r="1498">
      <c r="J1498" s="5" t="str">
        <f>IFERROR(__xludf.DUMMYFUNCTION("""COMPUTED_VALUE"""),"499🤙🏼Life of Pi🤙🏼Fantasy🤙🏼3")</f>
        <v>499🤙🏼Life of Pi🤙🏼Fantasy🤙🏼3</v>
      </c>
      <c r="K1498" s="5">
        <f>IFERROR(__xludf.DUMMYFUNCTION("SPLiT(J1498, ""🤙🏼"",FALSE,FALSE)"),499.0)</f>
        <v>499</v>
      </c>
      <c r="L1498" s="5" t="str">
        <f>IFERROR(__xludf.DUMMYFUNCTION("""COMPUTED_VALUE"""),"Life of Pi")</f>
        <v>Life of Pi</v>
      </c>
      <c r="M1498" s="5" t="str">
        <f>IFERROR(__xludf.DUMMYFUNCTION("""COMPUTED_VALUE"""),"Fantasy")</f>
        <v>Fantasy</v>
      </c>
      <c r="N1498" s="5">
        <f>IFERROR(__xludf.DUMMYFUNCTION("""COMPUTED_VALUE"""),3.0)</f>
        <v>3</v>
      </c>
      <c r="S1498" s="5">
        <f>IFERROR(__xludf.DUMMYFUNCTION("""COMPUTED_VALUE"""),596.0)</f>
        <v>596</v>
      </c>
      <c r="T1498" s="5" t="str">
        <f>IFERROR(__xludf.DUMMYFUNCTION("""COMPUTED_VALUE"""),"Kaze tachinu")</f>
        <v>Kaze tachinu</v>
      </c>
      <c r="U1498" s="5" t="str">
        <f>IFERROR(__xludf.DUMMYFUNCTION("""COMPUTED_VALUE"""),"Animation")</f>
        <v>Animation</v>
      </c>
      <c r="V1498" s="5">
        <f>IFERROR(__xludf.DUMMYFUNCTION("""COMPUTED_VALUE"""),1.0)</f>
        <v>1</v>
      </c>
    </row>
    <row r="1499">
      <c r="J1499" s="5" t="str">
        <f>IFERROR(__xludf.DUMMYFUNCTION("""COMPUTED_VALUE"""),"500🤙🏼Fantastic Mr. Fox🤙🏼Animation🤙🏼1")</f>
        <v>500🤙🏼Fantastic Mr. Fox🤙🏼Animation🤙🏼1</v>
      </c>
      <c r="K1499" s="5">
        <f>IFERROR(__xludf.DUMMYFUNCTION("SPLiT(J1499, ""🤙🏼"",FALSE,FALSE)"),500.0)</f>
        <v>500</v>
      </c>
      <c r="L1499" s="5" t="str">
        <f>IFERROR(__xludf.DUMMYFUNCTION("""COMPUTED_VALUE"""),"Fantastic Mr. Fox")</f>
        <v>Fantastic Mr. Fox</v>
      </c>
      <c r="M1499" s="5" t="str">
        <f>IFERROR(__xludf.DUMMYFUNCTION("""COMPUTED_VALUE"""),"Animation")</f>
        <v>Animation</v>
      </c>
      <c r="N1499" s="5">
        <f>IFERROR(__xludf.DUMMYFUNCTION("""COMPUTED_VALUE"""),1.0)</f>
        <v>1</v>
      </c>
      <c r="S1499" s="5">
        <f>IFERROR(__xludf.DUMMYFUNCTION("""COMPUTED_VALUE"""),596.0)</f>
        <v>596</v>
      </c>
      <c r="T1499" s="5" t="str">
        <f>IFERROR(__xludf.DUMMYFUNCTION("""COMPUTED_VALUE"""),"Kaze tachinu")</f>
        <v>Kaze tachinu</v>
      </c>
      <c r="U1499" s="5" t="str">
        <f>IFERROR(__xludf.DUMMYFUNCTION("""COMPUTED_VALUE"""),"Biography")</f>
        <v>Biography</v>
      </c>
      <c r="V1499" s="5">
        <f>IFERROR(__xludf.DUMMYFUNCTION("""COMPUTED_VALUE"""),2.0)</f>
        <v>2</v>
      </c>
    </row>
    <row r="1500">
      <c r="J1500" s="5" t="str">
        <f>IFERROR(__xludf.DUMMYFUNCTION("""COMPUTED_VALUE"""),"500🤙🏼Fantastic Mr. Fox🤙🏼Adventure🤙🏼2")</f>
        <v>500🤙🏼Fantastic Mr. Fox🤙🏼Adventure🤙🏼2</v>
      </c>
      <c r="K1500" s="5">
        <f>IFERROR(__xludf.DUMMYFUNCTION("SPLiT(J1500, ""🤙🏼"",FALSE,FALSE)"),500.0)</f>
        <v>500</v>
      </c>
      <c r="L1500" s="5" t="str">
        <f>IFERROR(__xludf.DUMMYFUNCTION("""COMPUTED_VALUE"""),"Fantastic Mr. Fox")</f>
        <v>Fantastic Mr. Fox</v>
      </c>
      <c r="M1500" s="5" t="str">
        <f>IFERROR(__xludf.DUMMYFUNCTION("""COMPUTED_VALUE"""),"Adventure")</f>
        <v>Adventure</v>
      </c>
      <c r="N1500" s="5">
        <f>IFERROR(__xludf.DUMMYFUNCTION("""COMPUTED_VALUE"""),2.0)</f>
        <v>2</v>
      </c>
      <c r="S1500" s="5">
        <f>IFERROR(__xludf.DUMMYFUNCTION("""COMPUTED_VALUE"""),596.0)</f>
        <v>596</v>
      </c>
      <c r="T1500" s="5" t="str">
        <f>IFERROR(__xludf.DUMMYFUNCTION("""COMPUTED_VALUE"""),"Kaze tachinu")</f>
        <v>Kaze tachinu</v>
      </c>
      <c r="U1500" s="5" t="str">
        <f>IFERROR(__xludf.DUMMYFUNCTION("""COMPUTED_VALUE"""),"Drama")</f>
        <v>Drama</v>
      </c>
      <c r="V1500" s="5">
        <f>IFERROR(__xludf.DUMMYFUNCTION("""COMPUTED_VALUE"""),3.0)</f>
        <v>3</v>
      </c>
    </row>
    <row r="1501">
      <c r="J1501" s="5" t="str">
        <f>IFERROR(__xludf.DUMMYFUNCTION("""COMPUTED_VALUE"""),"500🤙🏼Fantastic Mr. Fox🤙🏼Comedy🤙🏼3")</f>
        <v>500🤙🏼Fantastic Mr. Fox🤙🏼Comedy🤙🏼3</v>
      </c>
      <c r="K1501" s="5">
        <f>IFERROR(__xludf.DUMMYFUNCTION("SPLiT(J1501, ""🤙🏼"",FALSE,FALSE)"),500.0)</f>
        <v>500</v>
      </c>
      <c r="L1501" s="5" t="str">
        <f>IFERROR(__xludf.DUMMYFUNCTION("""COMPUTED_VALUE"""),"Fantastic Mr. Fox")</f>
        <v>Fantastic Mr. Fox</v>
      </c>
      <c r="M1501" s="5" t="str">
        <f>IFERROR(__xludf.DUMMYFUNCTION("""COMPUTED_VALUE"""),"Comedy")</f>
        <v>Comedy</v>
      </c>
      <c r="N1501" s="5">
        <f>IFERROR(__xludf.DUMMYFUNCTION("""COMPUTED_VALUE"""),3.0)</f>
        <v>3</v>
      </c>
      <c r="S1501" s="5">
        <f>IFERROR(__xludf.DUMMYFUNCTION("""COMPUTED_VALUE"""),597.0)</f>
        <v>597</v>
      </c>
      <c r="T1501" s="5" t="str">
        <f>IFERROR(__xludf.DUMMYFUNCTION("""COMPUTED_VALUE"""),"Toy Story 4")</f>
        <v>Toy Story 4</v>
      </c>
      <c r="U1501" s="5" t="str">
        <f>IFERROR(__xludf.DUMMYFUNCTION("""COMPUTED_VALUE"""),"Animation")</f>
        <v>Animation</v>
      </c>
      <c r="V1501" s="5">
        <f>IFERROR(__xludf.DUMMYFUNCTION("""COMPUTED_VALUE"""),1.0)</f>
        <v>1</v>
      </c>
    </row>
    <row r="1502">
      <c r="J1502" s="5" t="str">
        <f>IFERROR(__xludf.DUMMYFUNCTION("""COMPUTED_VALUE"""),"501🤙🏼C.R.A.Z.Y.🤙🏼Comedy🤙🏼1")</f>
        <v>501🤙🏼C.R.A.Z.Y.🤙🏼Comedy🤙🏼1</v>
      </c>
      <c r="K1502" s="5">
        <f>IFERROR(__xludf.DUMMYFUNCTION("SPLiT(J1502, ""🤙🏼"",FALSE,FALSE)"),501.0)</f>
        <v>501</v>
      </c>
      <c r="L1502" s="5" t="str">
        <f>IFERROR(__xludf.DUMMYFUNCTION("""COMPUTED_VALUE"""),"C.R.A.Z.Y.")</f>
        <v>C.R.A.Z.Y.</v>
      </c>
      <c r="M1502" s="5" t="str">
        <f>IFERROR(__xludf.DUMMYFUNCTION("""COMPUTED_VALUE"""),"Comedy")</f>
        <v>Comedy</v>
      </c>
      <c r="N1502" s="5">
        <f>IFERROR(__xludf.DUMMYFUNCTION("""COMPUTED_VALUE"""),1.0)</f>
        <v>1</v>
      </c>
      <c r="S1502" s="5">
        <f>IFERROR(__xludf.DUMMYFUNCTION("""COMPUTED_VALUE"""),597.0)</f>
        <v>597</v>
      </c>
      <c r="T1502" s="5" t="str">
        <f>IFERROR(__xludf.DUMMYFUNCTION("""COMPUTED_VALUE"""),"Toy Story 4")</f>
        <v>Toy Story 4</v>
      </c>
      <c r="U1502" s="5" t="str">
        <f>IFERROR(__xludf.DUMMYFUNCTION("""COMPUTED_VALUE"""),"Adventure")</f>
        <v>Adventure</v>
      </c>
      <c r="V1502" s="5">
        <f>IFERROR(__xludf.DUMMYFUNCTION("""COMPUTED_VALUE"""),2.0)</f>
        <v>2</v>
      </c>
    </row>
    <row r="1503">
      <c r="J1503" s="5" t="str">
        <f>IFERROR(__xludf.DUMMYFUNCTION("""COMPUTED_VALUE"""),"501🤙🏼C.R.A.Z.Y.🤙🏼Drama🤙🏼2")</f>
        <v>501🤙🏼C.R.A.Z.Y.🤙🏼Drama🤙🏼2</v>
      </c>
      <c r="K1503" s="5">
        <f>IFERROR(__xludf.DUMMYFUNCTION("SPLiT(J1503, ""🤙🏼"",FALSE,FALSE)"),501.0)</f>
        <v>501</v>
      </c>
      <c r="L1503" s="5" t="str">
        <f>IFERROR(__xludf.DUMMYFUNCTION("""COMPUTED_VALUE"""),"C.R.A.Z.Y.")</f>
        <v>C.R.A.Z.Y.</v>
      </c>
      <c r="M1503" s="5" t="str">
        <f>IFERROR(__xludf.DUMMYFUNCTION("""COMPUTED_VALUE"""),"Drama")</f>
        <v>Drama</v>
      </c>
      <c r="N1503" s="5">
        <f>IFERROR(__xludf.DUMMYFUNCTION("""COMPUTED_VALUE"""),2.0)</f>
        <v>2</v>
      </c>
      <c r="S1503" s="5">
        <f>IFERROR(__xludf.DUMMYFUNCTION("""COMPUTED_VALUE"""),597.0)</f>
        <v>597</v>
      </c>
      <c r="T1503" s="5" t="str">
        <f>IFERROR(__xludf.DUMMYFUNCTION("""COMPUTED_VALUE"""),"Toy Story 4")</f>
        <v>Toy Story 4</v>
      </c>
      <c r="U1503" s="5" t="str">
        <f>IFERROR(__xludf.DUMMYFUNCTION("""COMPUTED_VALUE"""),"Comedy")</f>
        <v>Comedy</v>
      </c>
      <c r="V1503" s="5">
        <f>IFERROR(__xludf.DUMMYFUNCTION("""COMPUTED_VALUE"""),3.0)</f>
        <v>3</v>
      </c>
    </row>
    <row r="1504">
      <c r="J1504" s="5" t="str">
        <f>IFERROR(__xludf.DUMMYFUNCTION("""COMPUTED_VALUE"""),"501🤙🏼C.R.A.Z.Y.🤙🏼🤙🏼3")</f>
        <v>501🤙🏼C.R.A.Z.Y.🤙🏼🤙🏼3</v>
      </c>
      <c r="K1504" s="5">
        <f>IFERROR(__xludf.DUMMYFUNCTION("SPLiT(J1504, ""🤙🏼"",FALSE,FALSE)"),501.0)</f>
        <v>501</v>
      </c>
      <c r="L1504" s="5" t="str">
        <f>IFERROR(__xludf.DUMMYFUNCTION("""COMPUTED_VALUE"""),"C.R.A.Z.Y.")</f>
        <v>C.R.A.Z.Y.</v>
      </c>
      <c r="M1504" s="5"/>
      <c r="N1504" s="5">
        <f>IFERROR(__xludf.DUMMYFUNCTION("""COMPUTED_VALUE"""),3.0)</f>
        <v>3</v>
      </c>
      <c r="S1504" s="5">
        <f>IFERROR(__xludf.DUMMYFUNCTION("""COMPUTED_VALUE"""),598.0)</f>
        <v>598</v>
      </c>
      <c r="T1504" s="5" t="str">
        <f>IFERROR(__xludf.DUMMYFUNCTION("""COMPUTED_VALUE"""),"La migliore offerta")</f>
        <v>La migliore offerta</v>
      </c>
      <c r="U1504" s="5" t="str">
        <f>IFERROR(__xludf.DUMMYFUNCTION("""COMPUTED_VALUE"""),"Crime")</f>
        <v>Crime</v>
      </c>
      <c r="V1504" s="5">
        <f>IFERROR(__xludf.DUMMYFUNCTION("""COMPUTED_VALUE"""),1.0)</f>
        <v>1</v>
      </c>
    </row>
    <row r="1505">
      <c r="J1505" s="5" t="str">
        <f>IFERROR(__xludf.DUMMYFUNCTION("""COMPUTED_VALUE"""),"502🤙🏼Les choristes🤙🏼Drama🤙🏼1")</f>
        <v>502🤙🏼Les choristes🤙🏼Drama🤙🏼1</v>
      </c>
      <c r="K1505" s="5">
        <f>IFERROR(__xludf.DUMMYFUNCTION("SPLiT(J1505, ""🤙🏼"",FALSE,FALSE)"),502.0)</f>
        <v>502</v>
      </c>
      <c r="L1505" s="5" t="str">
        <f>IFERROR(__xludf.DUMMYFUNCTION("""COMPUTED_VALUE"""),"Les choristes")</f>
        <v>Les choristes</v>
      </c>
      <c r="M1505" s="5" t="str">
        <f>IFERROR(__xludf.DUMMYFUNCTION("""COMPUTED_VALUE"""),"Drama")</f>
        <v>Drama</v>
      </c>
      <c r="N1505" s="5">
        <f>IFERROR(__xludf.DUMMYFUNCTION("""COMPUTED_VALUE"""),1.0)</f>
        <v>1</v>
      </c>
      <c r="S1505" s="5">
        <f>IFERROR(__xludf.DUMMYFUNCTION("""COMPUTED_VALUE"""),598.0)</f>
        <v>598</v>
      </c>
      <c r="T1505" s="5" t="str">
        <f>IFERROR(__xludf.DUMMYFUNCTION("""COMPUTED_VALUE"""),"La migliore offerta")</f>
        <v>La migliore offerta</v>
      </c>
      <c r="U1505" s="5" t="str">
        <f>IFERROR(__xludf.DUMMYFUNCTION("""COMPUTED_VALUE"""),"Drama")</f>
        <v>Drama</v>
      </c>
      <c r="V1505" s="5">
        <f>IFERROR(__xludf.DUMMYFUNCTION("""COMPUTED_VALUE"""),2.0)</f>
        <v>2</v>
      </c>
    </row>
    <row r="1506">
      <c r="J1506" s="5" t="str">
        <f>IFERROR(__xludf.DUMMYFUNCTION("""COMPUTED_VALUE"""),"502🤙🏼Les choristes🤙🏼Music🤙🏼2")</f>
        <v>502🤙🏼Les choristes🤙🏼Music🤙🏼2</v>
      </c>
      <c r="K1506" s="5">
        <f>IFERROR(__xludf.DUMMYFUNCTION("SPLiT(J1506, ""🤙🏼"",FALSE,FALSE)"),502.0)</f>
        <v>502</v>
      </c>
      <c r="L1506" s="5" t="str">
        <f>IFERROR(__xludf.DUMMYFUNCTION("""COMPUTED_VALUE"""),"Les choristes")</f>
        <v>Les choristes</v>
      </c>
      <c r="M1506" s="5" t="str">
        <f>IFERROR(__xludf.DUMMYFUNCTION("""COMPUTED_VALUE"""),"Music")</f>
        <v>Music</v>
      </c>
      <c r="N1506" s="5">
        <f>IFERROR(__xludf.DUMMYFUNCTION("""COMPUTED_VALUE"""),2.0)</f>
        <v>2</v>
      </c>
      <c r="S1506" s="5">
        <f>IFERROR(__xludf.DUMMYFUNCTION("""COMPUTED_VALUE"""),598.0)</f>
        <v>598</v>
      </c>
      <c r="T1506" s="5" t="str">
        <f>IFERROR(__xludf.DUMMYFUNCTION("""COMPUTED_VALUE"""),"La migliore offerta")</f>
        <v>La migliore offerta</v>
      </c>
      <c r="U1506" s="5" t="str">
        <f>IFERROR(__xludf.DUMMYFUNCTION("""COMPUTED_VALUE"""),"Mystery")</f>
        <v>Mystery</v>
      </c>
      <c r="V1506" s="5">
        <f>IFERROR(__xludf.DUMMYFUNCTION("""COMPUTED_VALUE"""),3.0)</f>
        <v>3</v>
      </c>
    </row>
    <row r="1507">
      <c r="J1507" s="5" t="str">
        <f>IFERROR(__xludf.DUMMYFUNCTION("""COMPUTED_VALUE"""),"502🤙🏼Les choristes🤙🏼🤙🏼3")</f>
        <v>502🤙🏼Les choristes🤙🏼🤙🏼3</v>
      </c>
      <c r="K1507" s="5">
        <f>IFERROR(__xludf.DUMMYFUNCTION("SPLiT(J1507, ""🤙🏼"",FALSE,FALSE)"),502.0)</f>
        <v>502</v>
      </c>
      <c r="L1507" s="5" t="str">
        <f>IFERROR(__xludf.DUMMYFUNCTION("""COMPUTED_VALUE"""),"Les choristes")</f>
        <v>Les choristes</v>
      </c>
      <c r="M1507" s="5"/>
      <c r="N1507" s="5">
        <f>IFERROR(__xludf.DUMMYFUNCTION("""COMPUTED_VALUE"""),3.0)</f>
        <v>3</v>
      </c>
      <c r="S1507" s="5">
        <f>IFERROR(__xludf.DUMMYFUNCTION("""COMPUTED_VALUE"""),599.0)</f>
        <v>599</v>
      </c>
      <c r="T1507" s="5" t="str">
        <f>IFERROR(__xludf.DUMMYFUNCTION("""COMPUTED_VALUE"""),"Moonrise Kingdom")</f>
        <v>Moonrise Kingdom</v>
      </c>
      <c r="U1507" s="5" t="str">
        <f>IFERROR(__xludf.DUMMYFUNCTION("""COMPUTED_VALUE"""),"Comedy")</f>
        <v>Comedy</v>
      </c>
      <c r="V1507" s="5">
        <f>IFERROR(__xludf.DUMMYFUNCTION("""COMPUTED_VALUE"""),1.0)</f>
        <v>1</v>
      </c>
    </row>
    <row r="1508">
      <c r="J1508" s="5" t="str">
        <f>IFERROR(__xludf.DUMMYFUNCTION("""COMPUTED_VALUE"""),"503🤙🏼Iron Man🤙🏼Action🤙🏼1")</f>
        <v>503🤙🏼Iron Man🤙🏼Action🤙🏼1</v>
      </c>
      <c r="K1508" s="5">
        <f>IFERROR(__xludf.DUMMYFUNCTION("SPLiT(J1508, ""🤙🏼"",FALSE,FALSE)"),503.0)</f>
        <v>503</v>
      </c>
      <c r="L1508" s="5" t="str">
        <f>IFERROR(__xludf.DUMMYFUNCTION("""COMPUTED_VALUE"""),"Iron Man")</f>
        <v>Iron Man</v>
      </c>
      <c r="M1508" s="5" t="str">
        <f>IFERROR(__xludf.DUMMYFUNCTION("""COMPUTED_VALUE"""),"Action")</f>
        <v>Action</v>
      </c>
      <c r="N1508" s="5">
        <f>IFERROR(__xludf.DUMMYFUNCTION("""COMPUTED_VALUE"""),1.0)</f>
        <v>1</v>
      </c>
      <c r="S1508" s="5">
        <f>IFERROR(__xludf.DUMMYFUNCTION("""COMPUTED_VALUE"""),599.0)</f>
        <v>599</v>
      </c>
      <c r="T1508" s="5" t="str">
        <f>IFERROR(__xludf.DUMMYFUNCTION("""COMPUTED_VALUE"""),"Moonrise Kingdom")</f>
        <v>Moonrise Kingdom</v>
      </c>
      <c r="U1508" s="5" t="str">
        <f>IFERROR(__xludf.DUMMYFUNCTION("""COMPUTED_VALUE"""),"Drama")</f>
        <v>Drama</v>
      </c>
      <c r="V1508" s="5">
        <f>IFERROR(__xludf.DUMMYFUNCTION("""COMPUTED_VALUE"""),2.0)</f>
        <v>2</v>
      </c>
    </row>
    <row r="1509">
      <c r="J1509" s="5" t="str">
        <f>IFERROR(__xludf.DUMMYFUNCTION("""COMPUTED_VALUE"""),"503🤙🏼Iron Man🤙🏼Adventure🤙🏼2")</f>
        <v>503🤙🏼Iron Man🤙🏼Adventure🤙🏼2</v>
      </c>
      <c r="K1509" s="5">
        <f>IFERROR(__xludf.DUMMYFUNCTION("SPLiT(J1509, ""🤙🏼"",FALSE,FALSE)"),503.0)</f>
        <v>503</v>
      </c>
      <c r="L1509" s="5" t="str">
        <f>IFERROR(__xludf.DUMMYFUNCTION("""COMPUTED_VALUE"""),"Iron Man")</f>
        <v>Iron Man</v>
      </c>
      <c r="M1509" s="5" t="str">
        <f>IFERROR(__xludf.DUMMYFUNCTION("""COMPUTED_VALUE"""),"Adventure")</f>
        <v>Adventure</v>
      </c>
      <c r="N1509" s="5">
        <f>IFERROR(__xludf.DUMMYFUNCTION("""COMPUTED_VALUE"""),2.0)</f>
        <v>2</v>
      </c>
      <c r="S1509" s="5">
        <f>IFERROR(__xludf.DUMMYFUNCTION("""COMPUTED_VALUE"""),599.0)</f>
        <v>599</v>
      </c>
      <c r="T1509" s="5" t="str">
        <f>IFERROR(__xludf.DUMMYFUNCTION("""COMPUTED_VALUE"""),"Moonrise Kingdom")</f>
        <v>Moonrise Kingdom</v>
      </c>
      <c r="U1509" s="5" t="str">
        <f>IFERROR(__xludf.DUMMYFUNCTION("""COMPUTED_VALUE"""),"Romance")</f>
        <v>Romance</v>
      </c>
      <c r="V1509" s="5">
        <f>IFERROR(__xludf.DUMMYFUNCTION("""COMPUTED_VALUE"""),3.0)</f>
        <v>3</v>
      </c>
    </row>
    <row r="1510">
      <c r="J1510" s="5" t="str">
        <f>IFERROR(__xludf.DUMMYFUNCTION("""COMPUTED_VALUE"""),"503🤙🏼Iron Man🤙🏼Sci-Fi🤙🏼3")</f>
        <v>503🤙🏼Iron Man🤙🏼Sci-Fi🤙🏼3</v>
      </c>
      <c r="K1510" s="5">
        <f>IFERROR(__xludf.DUMMYFUNCTION("SPLiT(J1510, ""🤙🏼"",FALSE,FALSE)"),503.0)</f>
        <v>503</v>
      </c>
      <c r="L1510" s="5" t="str">
        <f>IFERROR(__xludf.DUMMYFUNCTION("""COMPUTED_VALUE"""),"Iron Man")</f>
        <v>Iron Man</v>
      </c>
      <c r="M1510" s="5" t="str">
        <f>IFERROR(__xludf.DUMMYFUNCTION("""COMPUTED_VALUE"""),"Sci-Fi")</f>
        <v>Sci-Fi</v>
      </c>
      <c r="N1510" s="5">
        <f>IFERROR(__xludf.DUMMYFUNCTION("""COMPUTED_VALUE"""),3.0)</f>
        <v>3</v>
      </c>
      <c r="S1510" s="5">
        <f>IFERROR(__xludf.DUMMYFUNCTION("""COMPUTED_VALUE"""),600.0)</f>
        <v>600</v>
      </c>
      <c r="T1510" s="5" t="str">
        <f>IFERROR(__xludf.DUMMYFUNCTION("""COMPUTED_VALUE"""),"How to Train Your Dragon 2")</f>
        <v>How to Train Your Dragon 2</v>
      </c>
      <c r="U1510" s="5" t="str">
        <f>IFERROR(__xludf.DUMMYFUNCTION("""COMPUTED_VALUE"""),"Animation")</f>
        <v>Animation</v>
      </c>
      <c r="V1510" s="5">
        <f>IFERROR(__xludf.DUMMYFUNCTION("""COMPUTED_VALUE"""),1.0)</f>
        <v>1</v>
      </c>
    </row>
    <row r="1511">
      <c r="J1511" s="5" t="str">
        <f>IFERROR(__xludf.DUMMYFUNCTION("""COMPUTED_VALUE"""),"504🤙🏼Shaun of the Dead🤙🏼Comedy🤙🏼1")</f>
        <v>504🤙🏼Shaun of the Dead🤙🏼Comedy🤙🏼1</v>
      </c>
      <c r="K1511" s="5">
        <f>IFERROR(__xludf.DUMMYFUNCTION("SPLiT(J1511, ""🤙🏼"",FALSE,FALSE)"),504.0)</f>
        <v>504</v>
      </c>
      <c r="L1511" s="5" t="str">
        <f>IFERROR(__xludf.DUMMYFUNCTION("""COMPUTED_VALUE"""),"Shaun of the Dead")</f>
        <v>Shaun of the Dead</v>
      </c>
      <c r="M1511" s="5" t="str">
        <f>IFERROR(__xludf.DUMMYFUNCTION("""COMPUTED_VALUE"""),"Comedy")</f>
        <v>Comedy</v>
      </c>
      <c r="N1511" s="5">
        <f>IFERROR(__xludf.DUMMYFUNCTION("""COMPUTED_VALUE"""),1.0)</f>
        <v>1</v>
      </c>
      <c r="S1511" s="5">
        <f>IFERROR(__xludf.DUMMYFUNCTION("""COMPUTED_VALUE"""),600.0)</f>
        <v>600</v>
      </c>
      <c r="T1511" s="5" t="str">
        <f>IFERROR(__xludf.DUMMYFUNCTION("""COMPUTED_VALUE"""),"How to Train Your Dragon 2")</f>
        <v>How to Train Your Dragon 2</v>
      </c>
      <c r="U1511" s="5" t="str">
        <f>IFERROR(__xludf.DUMMYFUNCTION("""COMPUTED_VALUE"""),"Action")</f>
        <v>Action</v>
      </c>
      <c r="V1511" s="5">
        <f>IFERROR(__xludf.DUMMYFUNCTION("""COMPUTED_VALUE"""),2.0)</f>
        <v>2</v>
      </c>
    </row>
    <row r="1512">
      <c r="J1512" s="5" t="str">
        <f>IFERROR(__xludf.DUMMYFUNCTION("""COMPUTED_VALUE"""),"504🤙🏼Shaun of the Dead🤙🏼Horror🤙🏼2")</f>
        <v>504🤙🏼Shaun of the Dead🤙🏼Horror🤙🏼2</v>
      </c>
      <c r="K1512" s="5">
        <f>IFERROR(__xludf.DUMMYFUNCTION("SPLiT(J1512, ""🤙🏼"",FALSE,FALSE)"),504.0)</f>
        <v>504</v>
      </c>
      <c r="L1512" s="5" t="str">
        <f>IFERROR(__xludf.DUMMYFUNCTION("""COMPUTED_VALUE"""),"Shaun of the Dead")</f>
        <v>Shaun of the Dead</v>
      </c>
      <c r="M1512" s="5" t="str">
        <f>IFERROR(__xludf.DUMMYFUNCTION("""COMPUTED_VALUE"""),"Horror")</f>
        <v>Horror</v>
      </c>
      <c r="N1512" s="5">
        <f>IFERROR(__xludf.DUMMYFUNCTION("""COMPUTED_VALUE"""),2.0)</f>
        <v>2</v>
      </c>
      <c r="S1512" s="5">
        <f>IFERROR(__xludf.DUMMYFUNCTION("""COMPUTED_VALUE"""),600.0)</f>
        <v>600</v>
      </c>
      <c r="T1512" s="5" t="str">
        <f>IFERROR(__xludf.DUMMYFUNCTION("""COMPUTED_VALUE"""),"How to Train Your Dragon 2")</f>
        <v>How to Train Your Dragon 2</v>
      </c>
      <c r="U1512" s="5" t="str">
        <f>IFERROR(__xludf.DUMMYFUNCTION("""COMPUTED_VALUE"""),"Adventure")</f>
        <v>Adventure</v>
      </c>
      <c r="V1512" s="5">
        <f>IFERROR(__xludf.DUMMYFUNCTION("""COMPUTED_VALUE"""),3.0)</f>
        <v>3</v>
      </c>
    </row>
    <row r="1513">
      <c r="J1513" s="5" t="str">
        <f>IFERROR(__xludf.DUMMYFUNCTION("""COMPUTED_VALUE"""),"504🤙🏼Shaun of the Dead🤙🏼🤙🏼3")</f>
        <v>504🤙🏼Shaun of the Dead🤙🏼🤙🏼3</v>
      </c>
      <c r="K1513" s="5">
        <f>IFERROR(__xludf.DUMMYFUNCTION("SPLiT(J1513, ""🤙🏼"",FALSE,FALSE)"),504.0)</f>
        <v>504</v>
      </c>
      <c r="L1513" s="5" t="str">
        <f>IFERROR(__xludf.DUMMYFUNCTION("""COMPUTED_VALUE"""),"Shaun of the Dead")</f>
        <v>Shaun of the Dead</v>
      </c>
      <c r="M1513" s="5"/>
      <c r="N1513" s="5">
        <f>IFERROR(__xludf.DUMMYFUNCTION("""COMPUTED_VALUE"""),3.0)</f>
        <v>3</v>
      </c>
      <c r="S1513" s="5">
        <f>IFERROR(__xludf.DUMMYFUNCTION("""COMPUTED_VALUE"""),601.0)</f>
        <v>601</v>
      </c>
      <c r="T1513" s="5" t="str">
        <f>IFERROR(__xludf.DUMMYFUNCTION("""COMPUTED_VALUE"""),"The Big Short")</f>
        <v>The Big Short</v>
      </c>
      <c r="U1513" s="5" t="str">
        <f>IFERROR(__xludf.DUMMYFUNCTION("""COMPUTED_VALUE"""),"Biography")</f>
        <v>Biography</v>
      </c>
      <c r="V1513" s="5">
        <f>IFERROR(__xludf.DUMMYFUNCTION("""COMPUTED_VALUE"""),1.0)</f>
        <v>1</v>
      </c>
    </row>
    <row r="1514">
      <c r="J1514" s="5" t="str">
        <f>IFERROR(__xludf.DUMMYFUNCTION("""COMPUTED_VALUE"""),"505🤙🏼Gegen die Wand🤙🏼Drama🤙🏼1")</f>
        <v>505🤙🏼Gegen die Wand🤙🏼Drama🤙🏼1</v>
      </c>
      <c r="K1514" s="5">
        <f>IFERROR(__xludf.DUMMYFUNCTION("SPLiT(J1514, ""🤙🏼"",FALSE,FALSE)"),505.0)</f>
        <v>505</v>
      </c>
      <c r="L1514" s="5" t="str">
        <f>IFERROR(__xludf.DUMMYFUNCTION("""COMPUTED_VALUE"""),"Gegen die Wand")</f>
        <v>Gegen die Wand</v>
      </c>
      <c r="M1514" s="5" t="str">
        <f>IFERROR(__xludf.DUMMYFUNCTION("""COMPUTED_VALUE"""),"Drama")</f>
        <v>Drama</v>
      </c>
      <c r="N1514" s="5">
        <f>IFERROR(__xludf.DUMMYFUNCTION("""COMPUTED_VALUE"""),1.0)</f>
        <v>1</v>
      </c>
      <c r="S1514" s="5">
        <f>IFERROR(__xludf.DUMMYFUNCTION("""COMPUTED_VALUE"""),601.0)</f>
        <v>601</v>
      </c>
      <c r="T1514" s="5" t="str">
        <f>IFERROR(__xludf.DUMMYFUNCTION("""COMPUTED_VALUE"""),"The Big Short")</f>
        <v>The Big Short</v>
      </c>
      <c r="U1514" s="5" t="str">
        <f>IFERROR(__xludf.DUMMYFUNCTION("""COMPUTED_VALUE"""),"Comedy")</f>
        <v>Comedy</v>
      </c>
      <c r="V1514" s="5">
        <f>IFERROR(__xludf.DUMMYFUNCTION("""COMPUTED_VALUE"""),2.0)</f>
        <v>2</v>
      </c>
    </row>
    <row r="1515">
      <c r="J1515" s="5" t="str">
        <f>IFERROR(__xludf.DUMMYFUNCTION("""COMPUTED_VALUE"""),"505🤙🏼Gegen die Wand🤙🏼Romance🤙🏼2")</f>
        <v>505🤙🏼Gegen die Wand🤙🏼Romance🤙🏼2</v>
      </c>
      <c r="K1515" s="5">
        <f>IFERROR(__xludf.DUMMYFUNCTION("SPLiT(J1515, ""🤙🏼"",FALSE,FALSE)"),505.0)</f>
        <v>505</v>
      </c>
      <c r="L1515" s="5" t="str">
        <f>IFERROR(__xludf.DUMMYFUNCTION("""COMPUTED_VALUE"""),"Gegen die Wand")</f>
        <v>Gegen die Wand</v>
      </c>
      <c r="M1515" s="5" t="str">
        <f>IFERROR(__xludf.DUMMYFUNCTION("""COMPUTED_VALUE"""),"Romance")</f>
        <v>Romance</v>
      </c>
      <c r="N1515" s="5">
        <f>IFERROR(__xludf.DUMMYFUNCTION("""COMPUTED_VALUE"""),2.0)</f>
        <v>2</v>
      </c>
      <c r="S1515" s="5">
        <f>IFERROR(__xludf.DUMMYFUNCTION("""COMPUTED_VALUE"""),601.0)</f>
        <v>601</v>
      </c>
      <c r="T1515" s="5" t="str">
        <f>IFERROR(__xludf.DUMMYFUNCTION("""COMPUTED_VALUE"""),"The Big Short")</f>
        <v>The Big Short</v>
      </c>
      <c r="U1515" s="5" t="str">
        <f>IFERROR(__xludf.DUMMYFUNCTION("""COMPUTED_VALUE"""),"Drama")</f>
        <v>Drama</v>
      </c>
      <c r="V1515" s="5">
        <f>IFERROR(__xludf.DUMMYFUNCTION("""COMPUTED_VALUE"""),3.0)</f>
        <v>3</v>
      </c>
    </row>
    <row r="1516">
      <c r="J1516" s="5" t="str">
        <f>IFERROR(__xludf.DUMMYFUNCTION("""COMPUTED_VALUE"""),"505🤙🏼Gegen die Wand🤙🏼🤙🏼3")</f>
        <v>505🤙🏼Gegen die Wand🤙🏼🤙🏼3</v>
      </c>
      <c r="K1516" s="5">
        <f>IFERROR(__xludf.DUMMYFUNCTION("SPLiT(J1516, ""🤙🏼"",FALSE,FALSE)"),505.0)</f>
        <v>505</v>
      </c>
      <c r="L1516" s="5" t="str">
        <f>IFERROR(__xludf.DUMMYFUNCTION("""COMPUTED_VALUE"""),"Gegen die Wand")</f>
        <v>Gegen die Wand</v>
      </c>
      <c r="M1516" s="5"/>
      <c r="N1516" s="5">
        <f>IFERROR(__xludf.DUMMYFUNCTION("""COMPUTED_VALUE"""),3.0)</f>
        <v>3</v>
      </c>
      <c r="S1516" s="5">
        <f>IFERROR(__xludf.DUMMYFUNCTION("""COMPUTED_VALUE"""),602.0)</f>
        <v>602</v>
      </c>
      <c r="T1516" s="5" t="str">
        <f>IFERROR(__xludf.DUMMYFUNCTION("""COMPUTED_VALUE"""),"Kokuhaku")</f>
        <v>Kokuhaku</v>
      </c>
      <c r="U1516" s="5" t="str">
        <f>IFERROR(__xludf.DUMMYFUNCTION("""COMPUTED_VALUE"""),"Drama")</f>
        <v>Drama</v>
      </c>
      <c r="V1516" s="5">
        <f>IFERROR(__xludf.DUMMYFUNCTION("""COMPUTED_VALUE"""),1.0)</f>
        <v>1</v>
      </c>
    </row>
    <row r="1517">
      <c r="J1517" s="5" t="str">
        <f>IFERROR(__xludf.DUMMYFUNCTION("""COMPUTED_VALUE"""),"506🤙🏼Mystic River🤙🏼Crime🤙🏼1")</f>
        <v>506🤙🏼Mystic River🤙🏼Crime🤙🏼1</v>
      </c>
      <c r="K1517" s="5">
        <f>IFERROR(__xludf.DUMMYFUNCTION("SPLiT(J1517, ""🤙🏼"",FALSE,FALSE)"),506.0)</f>
        <v>506</v>
      </c>
      <c r="L1517" s="5" t="str">
        <f>IFERROR(__xludf.DUMMYFUNCTION("""COMPUTED_VALUE"""),"Mystic River")</f>
        <v>Mystic River</v>
      </c>
      <c r="M1517" s="5" t="str">
        <f>IFERROR(__xludf.DUMMYFUNCTION("""COMPUTED_VALUE"""),"Crime")</f>
        <v>Crime</v>
      </c>
      <c r="N1517" s="5">
        <f>IFERROR(__xludf.DUMMYFUNCTION("""COMPUTED_VALUE"""),1.0)</f>
        <v>1</v>
      </c>
      <c r="S1517" s="5">
        <f>IFERROR(__xludf.DUMMYFUNCTION("""COMPUTED_VALUE"""),602.0)</f>
        <v>602</v>
      </c>
      <c r="T1517" s="5" t="str">
        <f>IFERROR(__xludf.DUMMYFUNCTION("""COMPUTED_VALUE"""),"Kokuhaku")</f>
        <v>Kokuhaku</v>
      </c>
      <c r="U1517" s="5" t="str">
        <f>IFERROR(__xludf.DUMMYFUNCTION("""COMPUTED_VALUE"""),"Thriller")</f>
        <v>Thriller</v>
      </c>
      <c r="V1517" s="5">
        <f>IFERROR(__xludf.DUMMYFUNCTION("""COMPUTED_VALUE"""),2.0)</f>
        <v>2</v>
      </c>
    </row>
    <row r="1518">
      <c r="J1518" s="5" t="str">
        <f>IFERROR(__xludf.DUMMYFUNCTION("""COMPUTED_VALUE"""),"506🤙🏼Mystic River🤙🏼Drama🤙🏼2")</f>
        <v>506🤙🏼Mystic River🤙🏼Drama🤙🏼2</v>
      </c>
      <c r="K1518" s="5">
        <f>IFERROR(__xludf.DUMMYFUNCTION("SPLiT(J1518, ""🤙🏼"",FALSE,FALSE)"),506.0)</f>
        <v>506</v>
      </c>
      <c r="L1518" s="5" t="str">
        <f>IFERROR(__xludf.DUMMYFUNCTION("""COMPUTED_VALUE"""),"Mystic River")</f>
        <v>Mystic River</v>
      </c>
      <c r="M1518" s="5" t="str">
        <f>IFERROR(__xludf.DUMMYFUNCTION("""COMPUTED_VALUE"""),"Drama")</f>
        <v>Drama</v>
      </c>
      <c r="N1518" s="5">
        <f>IFERROR(__xludf.DUMMYFUNCTION("""COMPUTED_VALUE"""),2.0)</f>
        <v>2</v>
      </c>
      <c r="S1518" s="5">
        <f>IFERROR(__xludf.DUMMYFUNCTION("""COMPUTED_VALUE"""),603.0)</f>
        <v>603</v>
      </c>
      <c r="T1518" s="5" t="str">
        <f>IFERROR(__xludf.DUMMYFUNCTION("""COMPUTED_VALUE"""),"Ang-ma-reul bo-at-da")</f>
        <v>Ang-ma-reul bo-at-da</v>
      </c>
      <c r="U1518" s="5" t="str">
        <f>IFERROR(__xludf.DUMMYFUNCTION("""COMPUTED_VALUE"""),"Action")</f>
        <v>Action</v>
      </c>
      <c r="V1518" s="5">
        <f>IFERROR(__xludf.DUMMYFUNCTION("""COMPUTED_VALUE"""),1.0)</f>
        <v>1</v>
      </c>
    </row>
    <row r="1519">
      <c r="J1519" s="5" t="str">
        <f>IFERROR(__xludf.DUMMYFUNCTION("""COMPUTED_VALUE"""),"506🤙🏼Mystic River🤙🏼Mystery🤙🏼3")</f>
        <v>506🤙🏼Mystic River🤙🏼Mystery🤙🏼3</v>
      </c>
      <c r="K1519" s="5">
        <f>IFERROR(__xludf.DUMMYFUNCTION("SPLiT(J1519, ""🤙🏼"",FALSE,FALSE)"),506.0)</f>
        <v>506</v>
      </c>
      <c r="L1519" s="5" t="str">
        <f>IFERROR(__xludf.DUMMYFUNCTION("""COMPUTED_VALUE"""),"Mystic River")</f>
        <v>Mystic River</v>
      </c>
      <c r="M1519" s="5" t="str">
        <f>IFERROR(__xludf.DUMMYFUNCTION("""COMPUTED_VALUE"""),"Mystery")</f>
        <v>Mystery</v>
      </c>
      <c r="N1519" s="5">
        <f>IFERROR(__xludf.DUMMYFUNCTION("""COMPUTED_VALUE"""),3.0)</f>
        <v>3</v>
      </c>
      <c r="S1519" s="5">
        <f>IFERROR(__xludf.DUMMYFUNCTION("""COMPUTED_VALUE"""),603.0)</f>
        <v>603</v>
      </c>
      <c r="T1519" s="5" t="str">
        <f>IFERROR(__xludf.DUMMYFUNCTION("""COMPUTED_VALUE"""),"Ang-ma-reul bo-at-da")</f>
        <v>Ang-ma-reul bo-at-da</v>
      </c>
      <c r="U1519" s="5" t="str">
        <f>IFERROR(__xludf.DUMMYFUNCTION("""COMPUTED_VALUE"""),"Crime")</f>
        <v>Crime</v>
      </c>
      <c r="V1519" s="5">
        <f>IFERROR(__xludf.DUMMYFUNCTION("""COMPUTED_VALUE"""),2.0)</f>
        <v>2</v>
      </c>
    </row>
    <row r="1520">
      <c r="J1520" s="5" t="str">
        <f>IFERROR(__xludf.DUMMYFUNCTION("""COMPUTED_VALUE"""),"507🤙🏼Harry Potter and the Prisoner of Azkaban🤙🏼Adventure🤙🏼1")</f>
        <v>507🤙🏼Harry Potter and the Prisoner of Azkaban🤙🏼Adventure🤙🏼1</v>
      </c>
      <c r="K1520" s="5">
        <f>IFERROR(__xludf.DUMMYFUNCTION("SPLiT(J1520, ""🤙🏼"",FALSE,FALSE)"),507.0)</f>
        <v>507</v>
      </c>
      <c r="L1520" s="5" t="str">
        <f>IFERROR(__xludf.DUMMYFUNCTION("""COMPUTED_VALUE"""),"Harry Potter and the Prisoner of Azkaban")</f>
        <v>Harry Potter and the Prisoner of Azkaban</v>
      </c>
      <c r="M1520" s="5" t="str">
        <f>IFERROR(__xludf.DUMMYFUNCTION("""COMPUTED_VALUE"""),"Adventure")</f>
        <v>Adventure</v>
      </c>
      <c r="N1520" s="5">
        <f>IFERROR(__xludf.DUMMYFUNCTION("""COMPUTED_VALUE"""),1.0)</f>
        <v>1</v>
      </c>
      <c r="S1520" s="5">
        <f>IFERROR(__xludf.DUMMYFUNCTION("""COMPUTED_VALUE"""),603.0)</f>
        <v>603</v>
      </c>
      <c r="T1520" s="5" t="str">
        <f>IFERROR(__xludf.DUMMYFUNCTION("""COMPUTED_VALUE"""),"Ang-ma-reul bo-at-da")</f>
        <v>Ang-ma-reul bo-at-da</v>
      </c>
      <c r="U1520" s="5" t="str">
        <f>IFERROR(__xludf.DUMMYFUNCTION("""COMPUTED_VALUE"""),"Drama")</f>
        <v>Drama</v>
      </c>
      <c r="V1520" s="5">
        <f>IFERROR(__xludf.DUMMYFUNCTION("""COMPUTED_VALUE"""),3.0)</f>
        <v>3</v>
      </c>
    </row>
    <row r="1521">
      <c r="J1521" s="5" t="str">
        <f>IFERROR(__xludf.DUMMYFUNCTION("""COMPUTED_VALUE"""),"507🤙🏼Harry Potter and the Prisoner of Azkaban🤙🏼Family🤙🏼2")</f>
        <v>507🤙🏼Harry Potter and the Prisoner of Azkaban🤙🏼Family🤙🏼2</v>
      </c>
      <c r="K1521" s="5">
        <f>IFERROR(__xludf.DUMMYFUNCTION("SPLiT(J1521, ""🤙🏼"",FALSE,FALSE)"),507.0)</f>
        <v>507</v>
      </c>
      <c r="L1521" s="5" t="str">
        <f>IFERROR(__xludf.DUMMYFUNCTION("""COMPUTED_VALUE"""),"Harry Potter and the Prisoner of Azkaban")</f>
        <v>Harry Potter and the Prisoner of Azkaban</v>
      </c>
      <c r="M1521" s="5" t="str">
        <f>IFERROR(__xludf.DUMMYFUNCTION("""COMPUTED_VALUE"""),"Family")</f>
        <v>Family</v>
      </c>
      <c r="N1521" s="5">
        <f>IFERROR(__xludf.DUMMYFUNCTION("""COMPUTED_VALUE"""),2.0)</f>
        <v>2</v>
      </c>
      <c r="S1521" s="5">
        <f>IFERROR(__xludf.DUMMYFUNCTION("""COMPUTED_VALUE"""),604.0)</f>
        <v>604</v>
      </c>
      <c r="T1521" s="5" t="str">
        <f>IFERROR(__xludf.DUMMYFUNCTION("""COMPUTED_VALUE"""),"The Girl with the Dragon Tattoo")</f>
        <v>The Girl with the Dragon Tattoo</v>
      </c>
      <c r="U1521" s="5" t="str">
        <f>IFERROR(__xludf.DUMMYFUNCTION("""COMPUTED_VALUE"""),"Crime")</f>
        <v>Crime</v>
      </c>
      <c r="V1521" s="5">
        <f>IFERROR(__xludf.DUMMYFUNCTION("""COMPUTED_VALUE"""),1.0)</f>
        <v>1</v>
      </c>
    </row>
    <row r="1522">
      <c r="J1522" s="5" t="str">
        <f>IFERROR(__xludf.DUMMYFUNCTION("""COMPUTED_VALUE"""),"507🤙🏼Harry Potter and the Prisoner of Azkaban🤙🏼Fantasy🤙🏼3")</f>
        <v>507🤙🏼Harry Potter and the Prisoner of Azkaban🤙🏼Fantasy🤙🏼3</v>
      </c>
      <c r="K1522" s="5">
        <f>IFERROR(__xludf.DUMMYFUNCTION("SPLiT(J1522, ""🤙🏼"",FALSE,FALSE)"),507.0)</f>
        <v>507</v>
      </c>
      <c r="L1522" s="5" t="str">
        <f>IFERROR(__xludf.DUMMYFUNCTION("""COMPUTED_VALUE"""),"Harry Potter and the Prisoner of Azkaban")</f>
        <v>Harry Potter and the Prisoner of Azkaban</v>
      </c>
      <c r="M1522" s="5" t="str">
        <f>IFERROR(__xludf.DUMMYFUNCTION("""COMPUTED_VALUE"""),"Fantasy")</f>
        <v>Fantasy</v>
      </c>
      <c r="N1522" s="5">
        <f>IFERROR(__xludf.DUMMYFUNCTION("""COMPUTED_VALUE"""),3.0)</f>
        <v>3</v>
      </c>
      <c r="S1522" s="5">
        <f>IFERROR(__xludf.DUMMYFUNCTION("""COMPUTED_VALUE"""),604.0)</f>
        <v>604</v>
      </c>
      <c r="T1522" s="5" t="str">
        <f>IFERROR(__xludf.DUMMYFUNCTION("""COMPUTED_VALUE"""),"The Girl with the Dragon Tattoo")</f>
        <v>The Girl with the Dragon Tattoo</v>
      </c>
      <c r="U1522" s="5" t="str">
        <f>IFERROR(__xludf.DUMMYFUNCTION("""COMPUTED_VALUE"""),"Drama")</f>
        <v>Drama</v>
      </c>
      <c r="V1522" s="5">
        <f>IFERROR(__xludf.DUMMYFUNCTION("""COMPUTED_VALUE"""),2.0)</f>
        <v>2</v>
      </c>
    </row>
    <row r="1523">
      <c r="J1523" s="5" t="str">
        <f>IFERROR(__xludf.DUMMYFUNCTION("""COMPUTED_VALUE"""),"508🤙🏼Ying xiong🤙🏼Action🤙🏼1")</f>
        <v>508🤙🏼Ying xiong🤙🏼Action🤙🏼1</v>
      </c>
      <c r="K1523" s="5">
        <f>IFERROR(__xludf.DUMMYFUNCTION("SPLiT(J1523, ""🤙🏼"",FALSE,FALSE)"),508.0)</f>
        <v>508</v>
      </c>
      <c r="L1523" s="5" t="str">
        <f>IFERROR(__xludf.DUMMYFUNCTION("""COMPUTED_VALUE"""),"Ying xiong")</f>
        <v>Ying xiong</v>
      </c>
      <c r="M1523" s="5" t="str">
        <f>IFERROR(__xludf.DUMMYFUNCTION("""COMPUTED_VALUE"""),"Action")</f>
        <v>Action</v>
      </c>
      <c r="N1523" s="5">
        <f>IFERROR(__xludf.DUMMYFUNCTION("""COMPUTED_VALUE"""),1.0)</f>
        <v>1</v>
      </c>
      <c r="S1523" s="5">
        <f>IFERROR(__xludf.DUMMYFUNCTION("""COMPUTED_VALUE"""),604.0)</f>
        <v>604</v>
      </c>
      <c r="T1523" s="5" t="str">
        <f>IFERROR(__xludf.DUMMYFUNCTION("""COMPUTED_VALUE"""),"The Girl with the Dragon Tattoo")</f>
        <v>The Girl with the Dragon Tattoo</v>
      </c>
      <c r="U1523" s="5" t="str">
        <f>IFERROR(__xludf.DUMMYFUNCTION("""COMPUTED_VALUE"""),"Mystery")</f>
        <v>Mystery</v>
      </c>
      <c r="V1523" s="5">
        <f>IFERROR(__xludf.DUMMYFUNCTION("""COMPUTED_VALUE"""),3.0)</f>
        <v>3</v>
      </c>
    </row>
    <row r="1524">
      <c r="J1524" s="5" t="str">
        <f>IFERROR(__xludf.DUMMYFUNCTION("""COMPUTED_VALUE"""),"508🤙🏼Ying xiong🤙🏼Adventure🤙🏼2")</f>
        <v>508🤙🏼Ying xiong🤙🏼Adventure🤙🏼2</v>
      </c>
      <c r="K1524" s="5">
        <f>IFERROR(__xludf.DUMMYFUNCTION("SPLiT(J1524, ""🤙🏼"",FALSE,FALSE)"),508.0)</f>
        <v>508</v>
      </c>
      <c r="L1524" s="5" t="str">
        <f>IFERROR(__xludf.DUMMYFUNCTION("""COMPUTED_VALUE"""),"Ying xiong")</f>
        <v>Ying xiong</v>
      </c>
      <c r="M1524" s="5" t="str">
        <f>IFERROR(__xludf.DUMMYFUNCTION("""COMPUTED_VALUE"""),"Adventure")</f>
        <v>Adventure</v>
      </c>
      <c r="N1524" s="5">
        <f>IFERROR(__xludf.DUMMYFUNCTION("""COMPUTED_VALUE"""),2.0)</f>
        <v>2</v>
      </c>
      <c r="S1524" s="5">
        <f>IFERROR(__xludf.DUMMYFUNCTION("""COMPUTED_VALUE"""),605.0)</f>
        <v>605</v>
      </c>
      <c r="T1524" s="5" t="str">
        <f>IFERROR(__xludf.DUMMYFUNCTION("""COMPUTED_VALUE"""),"Captain Phillips")</f>
        <v>Captain Phillips</v>
      </c>
      <c r="U1524" s="5" t="str">
        <f>IFERROR(__xludf.DUMMYFUNCTION("""COMPUTED_VALUE"""),"Adventure")</f>
        <v>Adventure</v>
      </c>
      <c r="V1524" s="5">
        <f>IFERROR(__xludf.DUMMYFUNCTION("""COMPUTED_VALUE"""),1.0)</f>
        <v>1</v>
      </c>
    </row>
    <row r="1525">
      <c r="J1525" s="5" t="str">
        <f>IFERROR(__xludf.DUMMYFUNCTION("""COMPUTED_VALUE"""),"508🤙🏼Ying xiong🤙🏼History🤙🏼3")</f>
        <v>508🤙🏼Ying xiong🤙🏼History🤙🏼3</v>
      </c>
      <c r="K1525" s="5">
        <f>IFERROR(__xludf.DUMMYFUNCTION("SPLiT(J1525, ""🤙🏼"",FALSE,FALSE)"),508.0)</f>
        <v>508</v>
      </c>
      <c r="L1525" s="5" t="str">
        <f>IFERROR(__xludf.DUMMYFUNCTION("""COMPUTED_VALUE"""),"Ying xiong")</f>
        <v>Ying xiong</v>
      </c>
      <c r="M1525" s="5" t="str">
        <f>IFERROR(__xludf.DUMMYFUNCTION("""COMPUTED_VALUE"""),"History")</f>
        <v>History</v>
      </c>
      <c r="N1525" s="5">
        <f>IFERROR(__xludf.DUMMYFUNCTION("""COMPUTED_VALUE"""),3.0)</f>
        <v>3</v>
      </c>
      <c r="S1525" s="5">
        <f>IFERROR(__xludf.DUMMYFUNCTION("""COMPUTED_VALUE"""),605.0)</f>
        <v>605</v>
      </c>
      <c r="T1525" s="5" t="str">
        <f>IFERROR(__xludf.DUMMYFUNCTION("""COMPUTED_VALUE"""),"Captain Phillips")</f>
        <v>Captain Phillips</v>
      </c>
      <c r="U1525" s="5" t="str">
        <f>IFERROR(__xludf.DUMMYFUNCTION("""COMPUTED_VALUE"""),"Biography")</f>
        <v>Biography</v>
      </c>
      <c r="V1525" s="5">
        <f>IFERROR(__xludf.DUMMYFUNCTION("""COMPUTED_VALUE"""),2.0)</f>
        <v>2</v>
      </c>
    </row>
    <row r="1526">
      <c r="J1526" s="5" t="str">
        <f>IFERROR(__xludf.DUMMYFUNCTION("""COMPUTED_VALUE"""),"509🤙🏼Hable con ella🤙🏼Drama🤙🏼1")</f>
        <v>509🤙🏼Hable con ella🤙🏼Drama🤙🏼1</v>
      </c>
      <c r="K1526" s="5">
        <f>IFERROR(__xludf.DUMMYFUNCTION("SPLiT(J1526, ""🤙🏼"",FALSE,FALSE)"),509.0)</f>
        <v>509</v>
      </c>
      <c r="L1526" s="5" t="str">
        <f>IFERROR(__xludf.DUMMYFUNCTION("""COMPUTED_VALUE"""),"Hable con ella")</f>
        <v>Hable con ella</v>
      </c>
      <c r="M1526" s="5" t="str">
        <f>IFERROR(__xludf.DUMMYFUNCTION("""COMPUTED_VALUE"""),"Drama")</f>
        <v>Drama</v>
      </c>
      <c r="N1526" s="5">
        <f>IFERROR(__xludf.DUMMYFUNCTION("""COMPUTED_VALUE"""),1.0)</f>
        <v>1</v>
      </c>
      <c r="S1526" s="5">
        <f>IFERROR(__xludf.DUMMYFUNCTION("""COMPUTED_VALUE"""),605.0)</f>
        <v>605</v>
      </c>
      <c r="T1526" s="5" t="str">
        <f>IFERROR(__xludf.DUMMYFUNCTION("""COMPUTED_VALUE"""),"Captain Phillips")</f>
        <v>Captain Phillips</v>
      </c>
      <c r="U1526" s="5" t="str">
        <f>IFERROR(__xludf.DUMMYFUNCTION("""COMPUTED_VALUE"""),"Crime")</f>
        <v>Crime</v>
      </c>
      <c r="V1526" s="5">
        <f>IFERROR(__xludf.DUMMYFUNCTION("""COMPUTED_VALUE"""),3.0)</f>
        <v>3</v>
      </c>
    </row>
    <row r="1527">
      <c r="J1527" s="5" t="str">
        <f>IFERROR(__xludf.DUMMYFUNCTION("""COMPUTED_VALUE"""),"509🤙🏼Hable con ella🤙🏼Mystery🤙🏼2")</f>
        <v>509🤙🏼Hable con ella🤙🏼Mystery🤙🏼2</v>
      </c>
      <c r="K1527" s="5">
        <f>IFERROR(__xludf.DUMMYFUNCTION("SPLiT(J1527, ""🤙🏼"",FALSE,FALSE)"),509.0)</f>
        <v>509</v>
      </c>
      <c r="L1527" s="5" t="str">
        <f>IFERROR(__xludf.DUMMYFUNCTION("""COMPUTED_VALUE"""),"Hable con ella")</f>
        <v>Hable con ella</v>
      </c>
      <c r="M1527" s="5" t="str">
        <f>IFERROR(__xludf.DUMMYFUNCTION("""COMPUTED_VALUE"""),"Mystery")</f>
        <v>Mystery</v>
      </c>
      <c r="N1527" s="5">
        <f>IFERROR(__xludf.DUMMYFUNCTION("""COMPUTED_VALUE"""),2.0)</f>
        <v>2</v>
      </c>
      <c r="S1527" s="5">
        <f>IFERROR(__xludf.DUMMYFUNCTION("""COMPUTED_VALUE"""),606.0)</f>
        <v>606</v>
      </c>
      <c r="T1527" s="5" t="str">
        <f>IFERROR(__xludf.DUMMYFUNCTION("""COMPUTED_VALUE"""),"Ajeossi")</f>
        <v>Ajeossi</v>
      </c>
      <c r="U1527" s="5" t="str">
        <f>IFERROR(__xludf.DUMMYFUNCTION("""COMPUTED_VALUE"""),"Action")</f>
        <v>Action</v>
      </c>
      <c r="V1527" s="5">
        <f>IFERROR(__xludf.DUMMYFUNCTION("""COMPUTED_VALUE"""),1.0)</f>
        <v>1</v>
      </c>
    </row>
    <row r="1528">
      <c r="J1528" s="5" t="str">
        <f>IFERROR(__xludf.DUMMYFUNCTION("""COMPUTED_VALUE"""),"509🤙🏼Hable con ella🤙🏼Romance🤙🏼3")</f>
        <v>509🤙🏼Hable con ella🤙🏼Romance🤙🏼3</v>
      </c>
      <c r="K1528" s="5">
        <f>IFERROR(__xludf.DUMMYFUNCTION("SPLiT(J1528, ""🤙🏼"",FALSE,FALSE)"),509.0)</f>
        <v>509</v>
      </c>
      <c r="L1528" s="5" t="str">
        <f>IFERROR(__xludf.DUMMYFUNCTION("""COMPUTED_VALUE"""),"Hable con ella")</f>
        <v>Hable con ella</v>
      </c>
      <c r="M1528" s="5" t="str">
        <f>IFERROR(__xludf.DUMMYFUNCTION("""COMPUTED_VALUE"""),"Romance")</f>
        <v>Romance</v>
      </c>
      <c r="N1528" s="5">
        <f>IFERROR(__xludf.DUMMYFUNCTION("""COMPUTED_VALUE"""),3.0)</f>
        <v>3</v>
      </c>
      <c r="S1528" s="5">
        <f>IFERROR(__xludf.DUMMYFUNCTION("""COMPUTED_VALUE"""),606.0)</f>
        <v>606</v>
      </c>
      <c r="T1528" s="5" t="str">
        <f>IFERROR(__xludf.DUMMYFUNCTION("""COMPUTED_VALUE"""),"Ajeossi")</f>
        <v>Ajeossi</v>
      </c>
      <c r="U1528" s="5" t="str">
        <f>IFERROR(__xludf.DUMMYFUNCTION("""COMPUTED_VALUE"""),"Crime")</f>
        <v>Crime</v>
      </c>
      <c r="V1528" s="5">
        <f>IFERROR(__xludf.DUMMYFUNCTION("""COMPUTED_VALUE"""),2.0)</f>
        <v>2</v>
      </c>
    </row>
    <row r="1529">
      <c r="J1529" s="5" t="str">
        <f>IFERROR(__xludf.DUMMYFUNCTION("""COMPUTED_VALUE"""),"510🤙🏼No Man's Land🤙🏼Comedy🤙🏼1")</f>
        <v>510🤙🏼No Man's Land🤙🏼Comedy🤙🏼1</v>
      </c>
      <c r="K1529" s="5">
        <f>IFERROR(__xludf.DUMMYFUNCTION("SPLiT(J1529, ""🤙🏼"",FALSE,FALSE)"),510.0)</f>
        <v>510</v>
      </c>
      <c r="L1529" s="5" t="str">
        <f>IFERROR(__xludf.DUMMYFUNCTION("""COMPUTED_VALUE"""),"No Man's Land")</f>
        <v>No Man's Land</v>
      </c>
      <c r="M1529" s="5" t="str">
        <f>IFERROR(__xludf.DUMMYFUNCTION("""COMPUTED_VALUE"""),"Comedy")</f>
        <v>Comedy</v>
      </c>
      <c r="N1529" s="5">
        <f>IFERROR(__xludf.DUMMYFUNCTION("""COMPUTED_VALUE"""),1.0)</f>
        <v>1</v>
      </c>
      <c r="S1529" s="5">
        <f>IFERROR(__xludf.DUMMYFUNCTION("""COMPUTED_VALUE"""),606.0)</f>
        <v>606</v>
      </c>
      <c r="T1529" s="5" t="str">
        <f>IFERROR(__xludf.DUMMYFUNCTION("""COMPUTED_VALUE"""),"Ajeossi")</f>
        <v>Ajeossi</v>
      </c>
      <c r="U1529" s="5" t="str">
        <f>IFERROR(__xludf.DUMMYFUNCTION("""COMPUTED_VALUE"""),"Drama")</f>
        <v>Drama</v>
      </c>
      <c r="V1529" s="5">
        <f>IFERROR(__xludf.DUMMYFUNCTION("""COMPUTED_VALUE"""),3.0)</f>
        <v>3</v>
      </c>
    </row>
    <row r="1530">
      <c r="J1530" s="5" t="str">
        <f>IFERROR(__xludf.DUMMYFUNCTION("""COMPUTED_VALUE"""),"510🤙🏼No Man's Land🤙🏼Drama🤙🏼2")</f>
        <v>510🤙🏼No Man's Land🤙🏼Drama🤙🏼2</v>
      </c>
      <c r="K1530" s="5">
        <f>IFERROR(__xludf.DUMMYFUNCTION("SPLiT(J1530, ""🤙🏼"",FALSE,FALSE)"),510.0)</f>
        <v>510</v>
      </c>
      <c r="L1530" s="5" t="str">
        <f>IFERROR(__xludf.DUMMYFUNCTION("""COMPUTED_VALUE"""),"No Man's Land")</f>
        <v>No Man's Land</v>
      </c>
      <c r="M1530" s="5" t="str">
        <f>IFERROR(__xludf.DUMMYFUNCTION("""COMPUTED_VALUE"""),"Drama")</f>
        <v>Drama</v>
      </c>
      <c r="N1530" s="5">
        <f>IFERROR(__xludf.DUMMYFUNCTION("""COMPUTED_VALUE"""),2.0)</f>
        <v>2</v>
      </c>
      <c r="S1530" s="5">
        <f>IFERROR(__xludf.DUMMYFUNCTION("""COMPUTED_VALUE"""),607.0)</f>
        <v>607</v>
      </c>
      <c r="T1530" s="5" t="str">
        <f>IFERROR(__xludf.DUMMYFUNCTION("""COMPUTED_VALUE"""),"Straight Outta Compton")</f>
        <v>Straight Outta Compton</v>
      </c>
      <c r="U1530" s="5" t="str">
        <f>IFERROR(__xludf.DUMMYFUNCTION("""COMPUTED_VALUE"""),"Biography")</f>
        <v>Biography</v>
      </c>
      <c r="V1530" s="5">
        <f>IFERROR(__xludf.DUMMYFUNCTION("""COMPUTED_VALUE"""),1.0)</f>
        <v>1</v>
      </c>
    </row>
    <row r="1531">
      <c r="J1531" s="5" t="str">
        <f>IFERROR(__xludf.DUMMYFUNCTION("""COMPUTED_VALUE"""),"510🤙🏼No Man's Land🤙🏼War🤙🏼3")</f>
        <v>510🤙🏼No Man's Land🤙🏼War🤙🏼3</v>
      </c>
      <c r="K1531" s="5">
        <f>IFERROR(__xludf.DUMMYFUNCTION("SPLiT(J1531, ""🤙🏼"",FALSE,FALSE)"),510.0)</f>
        <v>510</v>
      </c>
      <c r="L1531" s="5" t="str">
        <f>IFERROR(__xludf.DUMMYFUNCTION("""COMPUTED_VALUE"""),"No Man's Land")</f>
        <v>No Man's Land</v>
      </c>
      <c r="M1531" s="5" t="str">
        <f>IFERROR(__xludf.DUMMYFUNCTION("""COMPUTED_VALUE"""),"War")</f>
        <v>War</v>
      </c>
      <c r="N1531" s="5">
        <f>IFERROR(__xludf.DUMMYFUNCTION("""COMPUTED_VALUE"""),3.0)</f>
        <v>3</v>
      </c>
      <c r="S1531" s="5">
        <f>IFERROR(__xludf.DUMMYFUNCTION("""COMPUTED_VALUE"""),607.0)</f>
        <v>607</v>
      </c>
      <c r="T1531" s="5" t="str">
        <f>IFERROR(__xludf.DUMMYFUNCTION("""COMPUTED_VALUE"""),"Straight Outta Compton")</f>
        <v>Straight Outta Compton</v>
      </c>
      <c r="U1531" s="5" t="str">
        <f>IFERROR(__xludf.DUMMYFUNCTION("""COMPUTED_VALUE"""),"Drama")</f>
        <v>Drama</v>
      </c>
      <c r="V1531" s="5">
        <f>IFERROR(__xludf.DUMMYFUNCTION("""COMPUTED_VALUE"""),2.0)</f>
        <v>2</v>
      </c>
    </row>
    <row r="1532">
      <c r="J1532" s="5" t="str">
        <f>IFERROR(__xludf.DUMMYFUNCTION("""COMPUTED_VALUE"""),"511🤙🏼Cowboy Bebop: Tengoku no tobira🤙🏼Animation🤙🏼1")</f>
        <v>511🤙🏼Cowboy Bebop: Tengoku no tobira🤙🏼Animation🤙🏼1</v>
      </c>
      <c r="K1532" s="5">
        <f>IFERROR(__xludf.DUMMYFUNCTION("SPLiT(J1532, ""🤙🏼"",FALSE,FALSE)"),511.0)</f>
        <v>511</v>
      </c>
      <c r="L1532" s="5" t="str">
        <f>IFERROR(__xludf.DUMMYFUNCTION("""COMPUTED_VALUE"""),"Cowboy Bebop: Tengoku no tobira")</f>
        <v>Cowboy Bebop: Tengoku no tobira</v>
      </c>
      <c r="M1532" s="5" t="str">
        <f>IFERROR(__xludf.DUMMYFUNCTION("""COMPUTED_VALUE"""),"Animation")</f>
        <v>Animation</v>
      </c>
      <c r="N1532" s="5">
        <f>IFERROR(__xludf.DUMMYFUNCTION("""COMPUTED_VALUE"""),1.0)</f>
        <v>1</v>
      </c>
      <c r="S1532" s="5">
        <f>IFERROR(__xludf.DUMMYFUNCTION("""COMPUTED_VALUE"""),607.0)</f>
        <v>607</v>
      </c>
      <c r="T1532" s="5" t="str">
        <f>IFERROR(__xludf.DUMMYFUNCTION("""COMPUTED_VALUE"""),"Straight Outta Compton")</f>
        <v>Straight Outta Compton</v>
      </c>
      <c r="U1532" s="5" t="str">
        <f>IFERROR(__xludf.DUMMYFUNCTION("""COMPUTED_VALUE"""),"History")</f>
        <v>History</v>
      </c>
      <c r="V1532" s="5">
        <f>IFERROR(__xludf.DUMMYFUNCTION("""COMPUTED_VALUE"""),3.0)</f>
        <v>3</v>
      </c>
    </row>
    <row r="1533">
      <c r="J1533" s="5" t="str">
        <f>IFERROR(__xludf.DUMMYFUNCTION("""COMPUTED_VALUE"""),"511🤙🏼Cowboy Bebop: Tengoku no tobira🤙🏼Action🤙🏼2")</f>
        <v>511🤙🏼Cowboy Bebop: Tengoku no tobira🤙🏼Action🤙🏼2</v>
      </c>
      <c r="K1533" s="5">
        <f>IFERROR(__xludf.DUMMYFUNCTION("SPLiT(J1533, ""🤙🏼"",FALSE,FALSE)"),511.0)</f>
        <v>511</v>
      </c>
      <c r="L1533" s="5" t="str">
        <f>IFERROR(__xludf.DUMMYFUNCTION("""COMPUTED_VALUE"""),"Cowboy Bebop: Tengoku no tobira")</f>
        <v>Cowboy Bebop: Tengoku no tobira</v>
      </c>
      <c r="M1533" s="5" t="str">
        <f>IFERROR(__xludf.DUMMYFUNCTION("""COMPUTED_VALUE"""),"Action")</f>
        <v>Action</v>
      </c>
      <c r="N1533" s="5">
        <f>IFERROR(__xludf.DUMMYFUNCTION("""COMPUTED_VALUE"""),2.0)</f>
        <v>2</v>
      </c>
      <c r="S1533" s="5">
        <f>IFERROR(__xludf.DUMMYFUNCTION("""COMPUTED_VALUE"""),608.0)</f>
        <v>608</v>
      </c>
      <c r="T1533" s="5" t="str">
        <f>IFERROR(__xludf.DUMMYFUNCTION("""COMPUTED_VALUE"""),"Madeo")</f>
        <v>Madeo</v>
      </c>
      <c r="U1533" s="5" t="str">
        <f>IFERROR(__xludf.DUMMYFUNCTION("""COMPUTED_VALUE"""),"Crime")</f>
        <v>Crime</v>
      </c>
      <c r="V1533" s="5">
        <f>IFERROR(__xludf.DUMMYFUNCTION("""COMPUTED_VALUE"""),1.0)</f>
        <v>1</v>
      </c>
    </row>
    <row r="1534">
      <c r="J1534" s="5" t="str">
        <f>IFERROR(__xludf.DUMMYFUNCTION("""COMPUTED_VALUE"""),"511🤙🏼Cowboy Bebop: Tengoku no tobira🤙🏼Crime🤙🏼3")</f>
        <v>511🤙🏼Cowboy Bebop: Tengoku no tobira🤙🏼Crime🤙🏼3</v>
      </c>
      <c r="K1534" s="5">
        <f>IFERROR(__xludf.DUMMYFUNCTION("SPLiT(J1534, ""🤙🏼"",FALSE,FALSE)"),511.0)</f>
        <v>511</v>
      </c>
      <c r="L1534" s="5" t="str">
        <f>IFERROR(__xludf.DUMMYFUNCTION("""COMPUTED_VALUE"""),"Cowboy Bebop: Tengoku no tobira")</f>
        <v>Cowboy Bebop: Tengoku no tobira</v>
      </c>
      <c r="M1534" s="5" t="str">
        <f>IFERROR(__xludf.DUMMYFUNCTION("""COMPUTED_VALUE"""),"Crime")</f>
        <v>Crime</v>
      </c>
      <c r="N1534" s="5">
        <f>IFERROR(__xludf.DUMMYFUNCTION("""COMPUTED_VALUE"""),3.0)</f>
        <v>3</v>
      </c>
      <c r="S1534" s="5">
        <f>IFERROR(__xludf.DUMMYFUNCTION("""COMPUTED_VALUE"""),608.0)</f>
        <v>608</v>
      </c>
      <c r="T1534" s="5" t="str">
        <f>IFERROR(__xludf.DUMMYFUNCTION("""COMPUTED_VALUE"""),"Madeo")</f>
        <v>Madeo</v>
      </c>
      <c r="U1534" s="5" t="str">
        <f>IFERROR(__xludf.DUMMYFUNCTION("""COMPUTED_VALUE"""),"Drama")</f>
        <v>Drama</v>
      </c>
      <c r="V1534" s="5">
        <f>IFERROR(__xludf.DUMMYFUNCTION("""COMPUTED_VALUE"""),2.0)</f>
        <v>2</v>
      </c>
    </row>
    <row r="1535">
      <c r="J1535" s="5" t="str">
        <f>IFERROR(__xludf.DUMMYFUNCTION("""COMPUTED_VALUE"""),"512🤙🏼The Bourne Identity🤙🏼Action🤙🏼1")</f>
        <v>512🤙🏼The Bourne Identity🤙🏼Action🤙🏼1</v>
      </c>
      <c r="K1535" s="5">
        <f>IFERROR(__xludf.DUMMYFUNCTION("SPLiT(J1535, ""🤙🏼"",FALSE,FALSE)"),512.0)</f>
        <v>512</v>
      </c>
      <c r="L1535" s="5" t="str">
        <f>IFERROR(__xludf.DUMMYFUNCTION("""COMPUTED_VALUE"""),"The Bourne Identity")</f>
        <v>The Bourne Identity</v>
      </c>
      <c r="M1535" s="5" t="str">
        <f>IFERROR(__xludf.DUMMYFUNCTION("""COMPUTED_VALUE"""),"Action")</f>
        <v>Action</v>
      </c>
      <c r="N1535" s="5">
        <f>IFERROR(__xludf.DUMMYFUNCTION("""COMPUTED_VALUE"""),1.0)</f>
        <v>1</v>
      </c>
      <c r="S1535" s="5">
        <f>IFERROR(__xludf.DUMMYFUNCTION("""COMPUTED_VALUE"""),608.0)</f>
        <v>608</v>
      </c>
      <c r="T1535" s="5" t="str">
        <f>IFERROR(__xludf.DUMMYFUNCTION("""COMPUTED_VALUE"""),"Madeo")</f>
        <v>Madeo</v>
      </c>
      <c r="U1535" s="5" t="str">
        <f>IFERROR(__xludf.DUMMYFUNCTION("""COMPUTED_VALUE"""),"Mystery")</f>
        <v>Mystery</v>
      </c>
      <c r="V1535" s="5">
        <f>IFERROR(__xludf.DUMMYFUNCTION("""COMPUTED_VALUE"""),3.0)</f>
        <v>3</v>
      </c>
    </row>
    <row r="1536">
      <c r="J1536" s="5" t="str">
        <f>IFERROR(__xludf.DUMMYFUNCTION("""COMPUTED_VALUE"""),"512🤙🏼The Bourne Identity🤙🏼Mystery🤙🏼2")</f>
        <v>512🤙🏼The Bourne Identity🤙🏼Mystery🤙🏼2</v>
      </c>
      <c r="K1536" s="5">
        <f>IFERROR(__xludf.DUMMYFUNCTION("SPLiT(J1536, ""🤙🏼"",FALSE,FALSE)"),512.0)</f>
        <v>512</v>
      </c>
      <c r="L1536" s="5" t="str">
        <f>IFERROR(__xludf.DUMMYFUNCTION("""COMPUTED_VALUE"""),"The Bourne Identity")</f>
        <v>The Bourne Identity</v>
      </c>
      <c r="M1536" s="5" t="str">
        <f>IFERROR(__xludf.DUMMYFUNCTION("""COMPUTED_VALUE"""),"Mystery")</f>
        <v>Mystery</v>
      </c>
      <c r="N1536" s="5">
        <f>IFERROR(__xludf.DUMMYFUNCTION("""COMPUTED_VALUE"""),2.0)</f>
        <v>2</v>
      </c>
      <c r="S1536" s="5">
        <f>IFERROR(__xludf.DUMMYFUNCTION("""COMPUTED_VALUE"""),609.0)</f>
        <v>609</v>
      </c>
      <c r="T1536" s="5" t="str">
        <f>IFERROR(__xludf.DUMMYFUNCTION("""COMPUTED_VALUE"""),"Chugyeokja")</f>
        <v>Chugyeokja</v>
      </c>
      <c r="U1536" s="5" t="str">
        <f>IFERROR(__xludf.DUMMYFUNCTION("""COMPUTED_VALUE"""),"Action")</f>
        <v>Action</v>
      </c>
      <c r="V1536" s="5">
        <f>IFERROR(__xludf.DUMMYFUNCTION("""COMPUTED_VALUE"""),1.0)</f>
        <v>1</v>
      </c>
    </row>
    <row r="1537">
      <c r="J1537" s="5" t="str">
        <f>IFERROR(__xludf.DUMMYFUNCTION("""COMPUTED_VALUE"""),"512🤙🏼The Bourne Identity🤙🏼Thriller🤙🏼3")</f>
        <v>512🤙🏼The Bourne Identity🤙🏼Thriller🤙🏼3</v>
      </c>
      <c r="K1537" s="5">
        <f>IFERROR(__xludf.DUMMYFUNCTION("SPLiT(J1537, ""🤙🏼"",FALSE,FALSE)"),512.0)</f>
        <v>512</v>
      </c>
      <c r="L1537" s="5" t="str">
        <f>IFERROR(__xludf.DUMMYFUNCTION("""COMPUTED_VALUE"""),"The Bourne Identity")</f>
        <v>The Bourne Identity</v>
      </c>
      <c r="M1537" s="5" t="str">
        <f>IFERROR(__xludf.DUMMYFUNCTION("""COMPUTED_VALUE"""),"Thriller")</f>
        <v>Thriller</v>
      </c>
      <c r="N1537" s="5">
        <f>IFERROR(__xludf.DUMMYFUNCTION("""COMPUTED_VALUE"""),3.0)</f>
        <v>3</v>
      </c>
      <c r="S1537" s="5">
        <f>IFERROR(__xludf.DUMMYFUNCTION("""COMPUTED_VALUE"""),609.0)</f>
        <v>609</v>
      </c>
      <c r="T1537" s="5" t="str">
        <f>IFERROR(__xludf.DUMMYFUNCTION("""COMPUTED_VALUE"""),"Chugyeokja")</f>
        <v>Chugyeokja</v>
      </c>
      <c r="U1537" s="5" t="str">
        <f>IFERROR(__xludf.DUMMYFUNCTION("""COMPUTED_VALUE"""),"Crime")</f>
        <v>Crime</v>
      </c>
      <c r="V1537" s="5">
        <f>IFERROR(__xludf.DUMMYFUNCTION("""COMPUTED_VALUE"""),2.0)</f>
        <v>2</v>
      </c>
    </row>
    <row r="1538">
      <c r="J1538" s="5" t="str">
        <f>IFERROR(__xludf.DUMMYFUNCTION("""COMPUTED_VALUE"""),"513🤙🏼Nueve reinas🤙🏼Crime🤙🏼1")</f>
        <v>513🤙🏼Nueve reinas🤙🏼Crime🤙🏼1</v>
      </c>
      <c r="K1538" s="5">
        <f>IFERROR(__xludf.DUMMYFUNCTION("SPLiT(J1538, ""🤙🏼"",FALSE,FALSE)"),513.0)</f>
        <v>513</v>
      </c>
      <c r="L1538" s="5" t="str">
        <f>IFERROR(__xludf.DUMMYFUNCTION("""COMPUTED_VALUE"""),"Nueve reinas")</f>
        <v>Nueve reinas</v>
      </c>
      <c r="M1538" s="5" t="str">
        <f>IFERROR(__xludf.DUMMYFUNCTION("""COMPUTED_VALUE"""),"Crime")</f>
        <v>Crime</v>
      </c>
      <c r="N1538" s="5">
        <f>IFERROR(__xludf.DUMMYFUNCTION("""COMPUTED_VALUE"""),1.0)</f>
        <v>1</v>
      </c>
      <c r="S1538" s="5">
        <f>IFERROR(__xludf.DUMMYFUNCTION("""COMPUTED_VALUE"""),609.0)</f>
        <v>609</v>
      </c>
      <c r="T1538" s="5" t="str">
        <f>IFERROR(__xludf.DUMMYFUNCTION("""COMPUTED_VALUE"""),"Chugyeokja")</f>
        <v>Chugyeokja</v>
      </c>
      <c r="U1538" s="5" t="str">
        <f>IFERROR(__xludf.DUMMYFUNCTION("""COMPUTED_VALUE"""),"Thriller")</f>
        <v>Thriller</v>
      </c>
      <c r="V1538" s="5">
        <f>IFERROR(__xludf.DUMMYFUNCTION("""COMPUTED_VALUE"""),3.0)</f>
        <v>3</v>
      </c>
    </row>
    <row r="1539">
      <c r="J1539" s="5" t="str">
        <f>IFERROR(__xludf.DUMMYFUNCTION("""COMPUTED_VALUE"""),"513🤙🏼Nueve reinas🤙🏼Drama🤙🏼2")</f>
        <v>513🤙🏼Nueve reinas🤙🏼Drama🤙🏼2</v>
      </c>
      <c r="K1539" s="5">
        <f>IFERROR(__xludf.DUMMYFUNCTION("SPLiT(J1539, ""🤙🏼"",FALSE,FALSE)"),513.0)</f>
        <v>513</v>
      </c>
      <c r="L1539" s="5" t="str">
        <f>IFERROR(__xludf.DUMMYFUNCTION("""COMPUTED_VALUE"""),"Nueve reinas")</f>
        <v>Nueve reinas</v>
      </c>
      <c r="M1539" s="5" t="str">
        <f>IFERROR(__xludf.DUMMYFUNCTION("""COMPUTED_VALUE"""),"Drama")</f>
        <v>Drama</v>
      </c>
      <c r="N1539" s="5">
        <f>IFERROR(__xludf.DUMMYFUNCTION("""COMPUTED_VALUE"""),2.0)</f>
        <v>2</v>
      </c>
      <c r="S1539" s="5">
        <f>IFERROR(__xludf.DUMMYFUNCTION("""COMPUTED_VALUE"""),610.0)</f>
        <v>610</v>
      </c>
      <c r="T1539" s="5" t="str">
        <f>IFERROR(__xludf.DUMMYFUNCTION("""COMPUTED_VALUE"""),"The Hobbit: The Desolation of Smaug")</f>
        <v>The Hobbit: The Desolation of Smaug</v>
      </c>
      <c r="U1539" s="5" t="str">
        <f>IFERROR(__xludf.DUMMYFUNCTION("""COMPUTED_VALUE"""),"Adventure")</f>
        <v>Adventure</v>
      </c>
      <c r="V1539" s="5">
        <f>IFERROR(__xludf.DUMMYFUNCTION("""COMPUTED_VALUE"""),1.0)</f>
        <v>1</v>
      </c>
    </row>
    <row r="1540">
      <c r="J1540" s="5" t="str">
        <f>IFERROR(__xludf.DUMMYFUNCTION("""COMPUTED_VALUE"""),"513🤙🏼Nueve reinas🤙🏼Thriller🤙🏼3")</f>
        <v>513🤙🏼Nueve reinas🤙🏼Thriller🤙🏼3</v>
      </c>
      <c r="K1540" s="5">
        <f>IFERROR(__xludf.DUMMYFUNCTION("SPLiT(J1540, ""🤙🏼"",FALSE,FALSE)"),513.0)</f>
        <v>513</v>
      </c>
      <c r="L1540" s="5" t="str">
        <f>IFERROR(__xludf.DUMMYFUNCTION("""COMPUTED_VALUE"""),"Nueve reinas")</f>
        <v>Nueve reinas</v>
      </c>
      <c r="M1540" s="5" t="str">
        <f>IFERROR(__xludf.DUMMYFUNCTION("""COMPUTED_VALUE"""),"Thriller")</f>
        <v>Thriller</v>
      </c>
      <c r="N1540" s="5">
        <f>IFERROR(__xludf.DUMMYFUNCTION("""COMPUTED_VALUE"""),3.0)</f>
        <v>3</v>
      </c>
      <c r="S1540" s="5">
        <f>IFERROR(__xludf.DUMMYFUNCTION("""COMPUTED_VALUE"""),610.0)</f>
        <v>610</v>
      </c>
      <c r="T1540" s="5" t="str">
        <f>IFERROR(__xludf.DUMMYFUNCTION("""COMPUTED_VALUE"""),"The Hobbit: The Desolation of Smaug")</f>
        <v>The Hobbit: The Desolation of Smaug</v>
      </c>
      <c r="U1540" s="5" t="str">
        <f>IFERROR(__xludf.DUMMYFUNCTION("""COMPUTED_VALUE"""),"Fantasy")</f>
        <v>Fantasy</v>
      </c>
      <c r="V1540" s="5">
        <f>IFERROR(__xludf.DUMMYFUNCTION("""COMPUTED_VALUE"""),2.0)</f>
        <v>2</v>
      </c>
    </row>
    <row r="1541">
      <c r="J1541" s="5" t="str">
        <f>IFERROR(__xludf.DUMMYFUNCTION("""COMPUTED_VALUE"""),"514🤙🏼Children of Men🤙🏼Adventure🤙🏼1")</f>
        <v>514🤙🏼Children of Men🤙🏼Adventure🤙🏼1</v>
      </c>
      <c r="K1541" s="5">
        <f>IFERROR(__xludf.DUMMYFUNCTION("SPLiT(J1541, ""🤙🏼"",FALSE,FALSE)"),514.0)</f>
        <v>514</v>
      </c>
      <c r="L1541" s="5" t="str">
        <f>IFERROR(__xludf.DUMMYFUNCTION("""COMPUTED_VALUE"""),"Children of Men")</f>
        <v>Children of Men</v>
      </c>
      <c r="M1541" s="5" t="str">
        <f>IFERROR(__xludf.DUMMYFUNCTION("""COMPUTED_VALUE"""),"Adventure")</f>
        <v>Adventure</v>
      </c>
      <c r="N1541" s="5">
        <f>IFERROR(__xludf.DUMMYFUNCTION("""COMPUTED_VALUE"""),1.0)</f>
        <v>1</v>
      </c>
      <c r="S1541" s="5">
        <f>IFERROR(__xludf.DUMMYFUNCTION("""COMPUTED_VALUE"""),611.0)</f>
        <v>611</v>
      </c>
      <c r="T1541" s="5" t="str">
        <f>IFERROR(__xludf.DUMMYFUNCTION("""COMPUTED_VALUE"""),"Das weiße Band - Eine deutsche Kindergeschichte")</f>
        <v>Das weiße Band - Eine deutsche Kindergeschichte</v>
      </c>
      <c r="U1541" s="5" t="str">
        <f>IFERROR(__xludf.DUMMYFUNCTION("""COMPUTED_VALUE"""),"Drama")</f>
        <v>Drama</v>
      </c>
      <c r="V1541" s="5">
        <f>IFERROR(__xludf.DUMMYFUNCTION("""COMPUTED_VALUE"""),1.0)</f>
        <v>1</v>
      </c>
    </row>
    <row r="1542">
      <c r="J1542" s="5" t="str">
        <f>IFERROR(__xludf.DUMMYFUNCTION("""COMPUTED_VALUE"""),"514🤙🏼Children of Men🤙🏼Drama🤙🏼2")</f>
        <v>514🤙🏼Children of Men🤙🏼Drama🤙🏼2</v>
      </c>
      <c r="K1542" s="5">
        <f>IFERROR(__xludf.DUMMYFUNCTION("SPLiT(J1542, ""🤙🏼"",FALSE,FALSE)"),514.0)</f>
        <v>514</v>
      </c>
      <c r="L1542" s="5" t="str">
        <f>IFERROR(__xludf.DUMMYFUNCTION("""COMPUTED_VALUE"""),"Children of Men")</f>
        <v>Children of Men</v>
      </c>
      <c r="M1542" s="5" t="str">
        <f>IFERROR(__xludf.DUMMYFUNCTION("""COMPUTED_VALUE"""),"Drama")</f>
        <v>Drama</v>
      </c>
      <c r="N1542" s="5">
        <f>IFERROR(__xludf.DUMMYFUNCTION("""COMPUTED_VALUE"""),2.0)</f>
        <v>2</v>
      </c>
      <c r="S1542" s="5">
        <f>IFERROR(__xludf.DUMMYFUNCTION("""COMPUTED_VALUE"""),611.0)</f>
        <v>611</v>
      </c>
      <c r="T1542" s="5" t="str">
        <f>IFERROR(__xludf.DUMMYFUNCTION("""COMPUTED_VALUE"""),"Das weiße Band - Eine deutsche Kindergeschichte")</f>
        <v>Das weiße Band - Eine deutsche Kindergeschichte</v>
      </c>
      <c r="U1542" s="5" t="str">
        <f>IFERROR(__xludf.DUMMYFUNCTION("""COMPUTED_VALUE"""),"History")</f>
        <v>History</v>
      </c>
      <c r="V1542" s="5">
        <f>IFERROR(__xludf.DUMMYFUNCTION("""COMPUTED_VALUE"""),2.0)</f>
        <v>2</v>
      </c>
    </row>
    <row r="1543">
      <c r="J1543" s="5" t="str">
        <f>IFERROR(__xludf.DUMMYFUNCTION("""COMPUTED_VALUE"""),"514🤙🏼Children of Men🤙🏼Sci-Fi🤙🏼3")</f>
        <v>514🤙🏼Children of Men🤙🏼Sci-Fi🤙🏼3</v>
      </c>
      <c r="K1543" s="5">
        <f>IFERROR(__xludf.DUMMYFUNCTION("SPLiT(J1543, ""🤙🏼"",FALSE,FALSE)"),514.0)</f>
        <v>514</v>
      </c>
      <c r="L1543" s="5" t="str">
        <f>IFERROR(__xludf.DUMMYFUNCTION("""COMPUTED_VALUE"""),"Children of Men")</f>
        <v>Children of Men</v>
      </c>
      <c r="M1543" s="5" t="str">
        <f>IFERROR(__xludf.DUMMYFUNCTION("""COMPUTED_VALUE"""),"Sci-Fi")</f>
        <v>Sci-Fi</v>
      </c>
      <c r="N1543" s="5">
        <f>IFERROR(__xludf.DUMMYFUNCTION("""COMPUTED_VALUE"""),3.0)</f>
        <v>3</v>
      </c>
      <c r="S1543" s="5">
        <f>IFERROR(__xludf.DUMMYFUNCTION("""COMPUTED_VALUE"""),611.0)</f>
        <v>611</v>
      </c>
      <c r="T1543" s="5" t="str">
        <f>IFERROR(__xludf.DUMMYFUNCTION("""COMPUTED_VALUE"""),"Das weiße Band - Eine deutsche Kindergeschichte")</f>
        <v>Das weiße Band - Eine deutsche Kindergeschichte</v>
      </c>
      <c r="U1543" s="5" t="str">
        <f>IFERROR(__xludf.DUMMYFUNCTION("""COMPUTED_VALUE"""),"Mystery")</f>
        <v>Mystery</v>
      </c>
      <c r="V1543" s="5">
        <f>IFERROR(__xludf.DUMMYFUNCTION("""COMPUTED_VALUE"""),3.0)</f>
        <v>3</v>
      </c>
    </row>
    <row r="1544">
      <c r="J1544" s="5" t="str">
        <f>IFERROR(__xludf.DUMMYFUNCTION("""COMPUTED_VALUE"""),"515🤙🏼Almost Famous🤙🏼Adventure🤙🏼1")</f>
        <v>515🤙🏼Almost Famous🤙🏼Adventure🤙🏼1</v>
      </c>
      <c r="K1544" s="5">
        <f>IFERROR(__xludf.DUMMYFUNCTION("SPLiT(J1544, ""🤙🏼"",FALSE,FALSE)"),515.0)</f>
        <v>515</v>
      </c>
      <c r="L1544" s="5" t="str">
        <f>IFERROR(__xludf.DUMMYFUNCTION("""COMPUTED_VALUE"""),"Almost Famous")</f>
        <v>Almost Famous</v>
      </c>
      <c r="M1544" s="5" t="str">
        <f>IFERROR(__xludf.DUMMYFUNCTION("""COMPUTED_VALUE"""),"Adventure")</f>
        <v>Adventure</v>
      </c>
      <c r="N1544" s="5">
        <f>IFERROR(__xludf.DUMMYFUNCTION("""COMPUTED_VALUE"""),1.0)</f>
        <v>1</v>
      </c>
      <c r="S1544" s="5">
        <f>IFERROR(__xludf.DUMMYFUNCTION("""COMPUTED_VALUE"""),612.0)</f>
        <v>612</v>
      </c>
      <c r="T1544" s="5" t="str">
        <f>IFERROR(__xludf.DUMMYFUNCTION("""COMPUTED_VALUE"""),"Män som hatar kvinnor")</f>
        <v>Män som hatar kvinnor</v>
      </c>
      <c r="U1544" s="5" t="str">
        <f>IFERROR(__xludf.DUMMYFUNCTION("""COMPUTED_VALUE"""),"Crime")</f>
        <v>Crime</v>
      </c>
      <c r="V1544" s="5">
        <f>IFERROR(__xludf.DUMMYFUNCTION("""COMPUTED_VALUE"""),1.0)</f>
        <v>1</v>
      </c>
    </row>
    <row r="1545">
      <c r="J1545" s="5" t="str">
        <f>IFERROR(__xludf.DUMMYFUNCTION("""COMPUTED_VALUE"""),"515🤙🏼Almost Famous🤙🏼Comedy🤙🏼2")</f>
        <v>515🤙🏼Almost Famous🤙🏼Comedy🤙🏼2</v>
      </c>
      <c r="K1545" s="5">
        <f>IFERROR(__xludf.DUMMYFUNCTION("SPLiT(J1545, ""🤙🏼"",FALSE,FALSE)"),515.0)</f>
        <v>515</v>
      </c>
      <c r="L1545" s="5" t="str">
        <f>IFERROR(__xludf.DUMMYFUNCTION("""COMPUTED_VALUE"""),"Almost Famous")</f>
        <v>Almost Famous</v>
      </c>
      <c r="M1545" s="5" t="str">
        <f>IFERROR(__xludf.DUMMYFUNCTION("""COMPUTED_VALUE"""),"Comedy")</f>
        <v>Comedy</v>
      </c>
      <c r="N1545" s="5">
        <f>IFERROR(__xludf.DUMMYFUNCTION("""COMPUTED_VALUE"""),2.0)</f>
        <v>2</v>
      </c>
      <c r="S1545" s="5">
        <f>IFERROR(__xludf.DUMMYFUNCTION("""COMPUTED_VALUE"""),612.0)</f>
        <v>612</v>
      </c>
      <c r="T1545" s="5" t="str">
        <f>IFERROR(__xludf.DUMMYFUNCTION("""COMPUTED_VALUE"""),"Män som hatar kvinnor")</f>
        <v>Män som hatar kvinnor</v>
      </c>
      <c r="U1545" s="5" t="str">
        <f>IFERROR(__xludf.DUMMYFUNCTION("""COMPUTED_VALUE"""),"Drama")</f>
        <v>Drama</v>
      </c>
      <c r="V1545" s="5">
        <f>IFERROR(__xludf.DUMMYFUNCTION("""COMPUTED_VALUE"""),2.0)</f>
        <v>2</v>
      </c>
    </row>
    <row r="1546">
      <c r="J1546" s="5" t="str">
        <f>IFERROR(__xludf.DUMMYFUNCTION("""COMPUTED_VALUE"""),"515🤙🏼Almost Famous🤙🏼Drama🤙🏼3")</f>
        <v>515🤙🏼Almost Famous🤙🏼Drama🤙🏼3</v>
      </c>
      <c r="K1546" s="5">
        <f>IFERROR(__xludf.DUMMYFUNCTION("SPLiT(J1546, ""🤙🏼"",FALSE,FALSE)"),515.0)</f>
        <v>515</v>
      </c>
      <c r="L1546" s="5" t="str">
        <f>IFERROR(__xludf.DUMMYFUNCTION("""COMPUTED_VALUE"""),"Almost Famous")</f>
        <v>Almost Famous</v>
      </c>
      <c r="M1546" s="5" t="str">
        <f>IFERROR(__xludf.DUMMYFUNCTION("""COMPUTED_VALUE"""),"Drama")</f>
        <v>Drama</v>
      </c>
      <c r="N1546" s="5">
        <f>IFERROR(__xludf.DUMMYFUNCTION("""COMPUTED_VALUE"""),3.0)</f>
        <v>3</v>
      </c>
      <c r="S1546" s="5">
        <f>IFERROR(__xludf.DUMMYFUNCTION("""COMPUTED_VALUE"""),612.0)</f>
        <v>612</v>
      </c>
      <c r="T1546" s="5" t="str">
        <f>IFERROR(__xludf.DUMMYFUNCTION("""COMPUTED_VALUE"""),"Män som hatar kvinnor")</f>
        <v>Män som hatar kvinnor</v>
      </c>
      <c r="U1546" s="5" t="str">
        <f>IFERROR(__xludf.DUMMYFUNCTION("""COMPUTED_VALUE"""),"Mystery")</f>
        <v>Mystery</v>
      </c>
      <c r="V1546" s="5">
        <f>IFERROR(__xludf.DUMMYFUNCTION("""COMPUTED_VALUE"""),3.0)</f>
        <v>3</v>
      </c>
    </row>
    <row r="1547">
      <c r="J1547" s="5" t="str">
        <f>IFERROR(__xludf.DUMMYFUNCTION("""COMPUTED_VALUE"""),"516🤙🏼Mulholland Dr.🤙🏼Drama🤙🏼1")</f>
        <v>516🤙🏼Mulholland Dr.🤙🏼Drama🤙🏼1</v>
      </c>
      <c r="K1547" s="5">
        <f>IFERROR(__xludf.DUMMYFUNCTION("SPLiT(J1547, ""🤙🏼"",FALSE,FALSE)"),516.0)</f>
        <v>516</v>
      </c>
      <c r="L1547" s="5" t="str">
        <f>IFERROR(__xludf.DUMMYFUNCTION("""COMPUTED_VALUE"""),"Mulholland Dr.")</f>
        <v>Mulholland Dr.</v>
      </c>
      <c r="M1547" s="5" t="str">
        <f>IFERROR(__xludf.DUMMYFUNCTION("""COMPUTED_VALUE"""),"Drama")</f>
        <v>Drama</v>
      </c>
      <c r="N1547" s="5">
        <f>IFERROR(__xludf.DUMMYFUNCTION("""COMPUTED_VALUE"""),1.0)</f>
        <v>1</v>
      </c>
      <c r="S1547" s="5">
        <f>IFERROR(__xludf.DUMMYFUNCTION("""COMPUTED_VALUE"""),613.0)</f>
        <v>613</v>
      </c>
      <c r="T1547" s="5" t="str">
        <f>IFERROR(__xludf.DUMMYFUNCTION("""COMPUTED_VALUE"""),"The Trial of the Chicago 7")</f>
        <v>The Trial of the Chicago 7</v>
      </c>
      <c r="U1547" s="5" t="str">
        <f>IFERROR(__xludf.DUMMYFUNCTION("""COMPUTED_VALUE"""),"Drama")</f>
        <v>Drama</v>
      </c>
      <c r="V1547" s="5">
        <f>IFERROR(__xludf.DUMMYFUNCTION("""COMPUTED_VALUE"""),1.0)</f>
        <v>1</v>
      </c>
    </row>
    <row r="1548">
      <c r="J1548" s="5" t="str">
        <f>IFERROR(__xludf.DUMMYFUNCTION("""COMPUTED_VALUE"""),"516🤙🏼Mulholland Dr.🤙🏼Mystery🤙🏼2")</f>
        <v>516🤙🏼Mulholland Dr.🤙🏼Mystery🤙🏼2</v>
      </c>
      <c r="K1548" s="5">
        <f>IFERROR(__xludf.DUMMYFUNCTION("SPLiT(J1548, ""🤙🏼"",FALSE,FALSE)"),516.0)</f>
        <v>516</v>
      </c>
      <c r="L1548" s="5" t="str">
        <f>IFERROR(__xludf.DUMMYFUNCTION("""COMPUTED_VALUE"""),"Mulholland Dr.")</f>
        <v>Mulholland Dr.</v>
      </c>
      <c r="M1548" s="5" t="str">
        <f>IFERROR(__xludf.DUMMYFUNCTION("""COMPUTED_VALUE"""),"Mystery")</f>
        <v>Mystery</v>
      </c>
      <c r="N1548" s="5">
        <f>IFERROR(__xludf.DUMMYFUNCTION("""COMPUTED_VALUE"""),2.0)</f>
        <v>2</v>
      </c>
      <c r="S1548" s="5">
        <f>IFERROR(__xludf.DUMMYFUNCTION("""COMPUTED_VALUE"""),613.0)</f>
        <v>613</v>
      </c>
      <c r="T1548" s="5" t="str">
        <f>IFERROR(__xludf.DUMMYFUNCTION("""COMPUTED_VALUE"""),"The Trial of the Chicago 7")</f>
        <v>The Trial of the Chicago 7</v>
      </c>
      <c r="U1548" s="5" t="str">
        <f>IFERROR(__xludf.DUMMYFUNCTION("""COMPUTED_VALUE"""),"History")</f>
        <v>History</v>
      </c>
      <c r="V1548" s="5">
        <f>IFERROR(__xludf.DUMMYFUNCTION("""COMPUTED_VALUE"""),2.0)</f>
        <v>2</v>
      </c>
    </row>
    <row r="1549">
      <c r="J1549" s="5" t="str">
        <f>IFERROR(__xludf.DUMMYFUNCTION("""COMPUTED_VALUE"""),"516🤙🏼Mulholland Dr.🤙🏼Thriller🤙🏼3")</f>
        <v>516🤙🏼Mulholland Dr.🤙🏼Thriller🤙🏼3</v>
      </c>
      <c r="K1549" s="5">
        <f>IFERROR(__xludf.DUMMYFUNCTION("SPLiT(J1549, ""🤙🏼"",FALSE,FALSE)"),516.0)</f>
        <v>516</v>
      </c>
      <c r="L1549" s="5" t="str">
        <f>IFERROR(__xludf.DUMMYFUNCTION("""COMPUTED_VALUE"""),"Mulholland Dr.")</f>
        <v>Mulholland Dr.</v>
      </c>
      <c r="M1549" s="5" t="str">
        <f>IFERROR(__xludf.DUMMYFUNCTION("""COMPUTED_VALUE"""),"Thriller")</f>
        <v>Thriller</v>
      </c>
      <c r="N1549" s="5">
        <f>IFERROR(__xludf.DUMMYFUNCTION("""COMPUTED_VALUE"""),3.0)</f>
        <v>3</v>
      </c>
      <c r="S1549" s="5">
        <f>IFERROR(__xludf.DUMMYFUNCTION("""COMPUTED_VALUE"""),613.0)</f>
        <v>613</v>
      </c>
      <c r="T1549" s="5" t="str">
        <f>IFERROR(__xludf.DUMMYFUNCTION("""COMPUTED_VALUE"""),"The Trial of the Chicago 7")</f>
        <v>The Trial of the Chicago 7</v>
      </c>
      <c r="U1549" s="5" t="str">
        <f>IFERROR(__xludf.DUMMYFUNCTION("""COMPUTED_VALUE"""),"Thriller")</f>
        <v>Thriller</v>
      </c>
      <c r="V1549" s="5">
        <f>IFERROR(__xludf.DUMMYFUNCTION("""COMPUTED_VALUE"""),3.0)</f>
        <v>3</v>
      </c>
    </row>
    <row r="1550">
      <c r="J1550" s="5" t="str">
        <f>IFERROR(__xludf.DUMMYFUNCTION("""COMPUTED_VALUE"""),"517🤙🏼Toy Story 2🤙🏼Animation🤙🏼1")</f>
        <v>517🤙🏼Toy Story 2🤙🏼Animation🤙🏼1</v>
      </c>
      <c r="K1550" s="5">
        <f>IFERROR(__xludf.DUMMYFUNCTION("SPLiT(J1550, ""🤙🏼"",FALSE,FALSE)"),517.0)</f>
        <v>517</v>
      </c>
      <c r="L1550" s="5" t="str">
        <f>IFERROR(__xludf.DUMMYFUNCTION("""COMPUTED_VALUE"""),"Toy Story 2")</f>
        <v>Toy Story 2</v>
      </c>
      <c r="M1550" s="5" t="str">
        <f>IFERROR(__xludf.DUMMYFUNCTION("""COMPUTED_VALUE"""),"Animation")</f>
        <v>Animation</v>
      </c>
      <c r="N1550" s="5">
        <f>IFERROR(__xludf.DUMMYFUNCTION("""COMPUTED_VALUE"""),1.0)</f>
        <v>1</v>
      </c>
      <c r="S1550" s="5">
        <f>IFERROR(__xludf.DUMMYFUNCTION("""COMPUTED_VALUE"""),614.0)</f>
        <v>614</v>
      </c>
      <c r="T1550" s="5" t="str">
        <f>IFERROR(__xludf.DUMMYFUNCTION("""COMPUTED_VALUE"""),"Druk")</f>
        <v>Druk</v>
      </c>
      <c r="U1550" s="5" t="str">
        <f>IFERROR(__xludf.DUMMYFUNCTION("""COMPUTED_VALUE"""),"Comedy")</f>
        <v>Comedy</v>
      </c>
      <c r="V1550" s="5">
        <f>IFERROR(__xludf.DUMMYFUNCTION("""COMPUTED_VALUE"""),1.0)</f>
        <v>1</v>
      </c>
    </row>
    <row r="1551">
      <c r="J1551" s="5" t="str">
        <f>IFERROR(__xludf.DUMMYFUNCTION("""COMPUTED_VALUE"""),"517🤙🏼Toy Story 2🤙🏼Adventure🤙🏼2")</f>
        <v>517🤙🏼Toy Story 2🤙🏼Adventure🤙🏼2</v>
      </c>
      <c r="K1551" s="5">
        <f>IFERROR(__xludf.DUMMYFUNCTION("SPLiT(J1551, ""🤙🏼"",FALSE,FALSE)"),517.0)</f>
        <v>517</v>
      </c>
      <c r="L1551" s="5" t="str">
        <f>IFERROR(__xludf.DUMMYFUNCTION("""COMPUTED_VALUE"""),"Toy Story 2")</f>
        <v>Toy Story 2</v>
      </c>
      <c r="M1551" s="5" t="str">
        <f>IFERROR(__xludf.DUMMYFUNCTION("""COMPUTED_VALUE"""),"Adventure")</f>
        <v>Adventure</v>
      </c>
      <c r="N1551" s="5">
        <f>IFERROR(__xludf.DUMMYFUNCTION("""COMPUTED_VALUE"""),2.0)</f>
        <v>2</v>
      </c>
      <c r="S1551" s="5">
        <f>IFERROR(__xludf.DUMMYFUNCTION("""COMPUTED_VALUE"""),614.0)</f>
        <v>614</v>
      </c>
      <c r="T1551" s="5" t="str">
        <f>IFERROR(__xludf.DUMMYFUNCTION("""COMPUTED_VALUE"""),"Druk")</f>
        <v>Druk</v>
      </c>
      <c r="U1551" s="5" t="str">
        <f>IFERROR(__xludf.DUMMYFUNCTION("""COMPUTED_VALUE"""),"Drama")</f>
        <v>Drama</v>
      </c>
      <c r="V1551" s="5">
        <f>IFERROR(__xludf.DUMMYFUNCTION("""COMPUTED_VALUE"""),2.0)</f>
        <v>2</v>
      </c>
    </row>
    <row r="1552">
      <c r="J1552" s="5" t="str">
        <f>IFERROR(__xludf.DUMMYFUNCTION("""COMPUTED_VALUE"""),"517🤙🏼Toy Story 2🤙🏼Comedy🤙🏼3")</f>
        <v>517🤙🏼Toy Story 2🤙🏼Comedy🤙🏼3</v>
      </c>
      <c r="K1552" s="5">
        <f>IFERROR(__xludf.DUMMYFUNCTION("SPLiT(J1552, ""🤙🏼"",FALSE,FALSE)"),517.0)</f>
        <v>517</v>
      </c>
      <c r="L1552" s="5" t="str">
        <f>IFERROR(__xludf.DUMMYFUNCTION("""COMPUTED_VALUE"""),"Toy Story 2")</f>
        <v>Toy Story 2</v>
      </c>
      <c r="M1552" s="5" t="str">
        <f>IFERROR(__xludf.DUMMYFUNCTION("""COMPUTED_VALUE"""),"Comedy")</f>
        <v>Comedy</v>
      </c>
      <c r="N1552" s="5">
        <f>IFERROR(__xludf.DUMMYFUNCTION("""COMPUTED_VALUE"""),3.0)</f>
        <v>3</v>
      </c>
      <c r="S1552" s="5">
        <f>IFERROR(__xludf.DUMMYFUNCTION("""COMPUTED_VALUE"""),615.0)</f>
        <v>615</v>
      </c>
      <c r="T1552" s="5" t="str">
        <f>IFERROR(__xludf.DUMMYFUNCTION("""COMPUTED_VALUE"""),"The Fighter")</f>
        <v>The Fighter</v>
      </c>
      <c r="U1552" s="5" t="str">
        <f>IFERROR(__xludf.DUMMYFUNCTION("""COMPUTED_VALUE"""),"Biography")</f>
        <v>Biography</v>
      </c>
      <c r="V1552" s="5">
        <f>IFERROR(__xludf.DUMMYFUNCTION("""COMPUTED_VALUE"""),1.0)</f>
        <v>1</v>
      </c>
    </row>
    <row r="1553">
      <c r="J1553" s="5" t="str">
        <f>IFERROR(__xludf.DUMMYFUNCTION("""COMPUTED_VALUE"""),"518🤙🏼Boogie Nights🤙🏼Drama🤙🏼1")</f>
        <v>518🤙🏼Boogie Nights🤙🏼Drama🤙🏼1</v>
      </c>
      <c r="K1553" s="5">
        <f>IFERROR(__xludf.DUMMYFUNCTION("SPLiT(J1553, ""🤙🏼"",FALSE,FALSE)"),518.0)</f>
        <v>518</v>
      </c>
      <c r="L1553" s="5" t="str">
        <f>IFERROR(__xludf.DUMMYFUNCTION("""COMPUTED_VALUE"""),"Boogie Nights")</f>
        <v>Boogie Nights</v>
      </c>
      <c r="M1553" s="5" t="str">
        <f>IFERROR(__xludf.DUMMYFUNCTION("""COMPUTED_VALUE"""),"Drama")</f>
        <v>Drama</v>
      </c>
      <c r="N1553" s="5">
        <f>IFERROR(__xludf.DUMMYFUNCTION("""COMPUTED_VALUE"""),1.0)</f>
        <v>1</v>
      </c>
      <c r="S1553" s="5">
        <f>IFERROR(__xludf.DUMMYFUNCTION("""COMPUTED_VALUE"""),615.0)</f>
        <v>615</v>
      </c>
      <c r="T1553" s="5" t="str">
        <f>IFERROR(__xludf.DUMMYFUNCTION("""COMPUTED_VALUE"""),"The Fighter")</f>
        <v>The Fighter</v>
      </c>
      <c r="U1553" s="5" t="str">
        <f>IFERROR(__xludf.DUMMYFUNCTION("""COMPUTED_VALUE"""),"Drama")</f>
        <v>Drama</v>
      </c>
      <c r="V1553" s="5">
        <f>IFERROR(__xludf.DUMMYFUNCTION("""COMPUTED_VALUE"""),2.0)</f>
        <v>2</v>
      </c>
    </row>
    <row r="1554">
      <c r="J1554" s="5" t="str">
        <f>IFERROR(__xludf.DUMMYFUNCTION("""COMPUTED_VALUE"""),"518🤙🏼Boogie Nights🤙🏼🤙🏼2")</f>
        <v>518🤙🏼Boogie Nights🤙🏼🤙🏼2</v>
      </c>
      <c r="K1554" s="5">
        <f>IFERROR(__xludf.DUMMYFUNCTION("SPLiT(J1554, ""🤙🏼"",FALSE,FALSE)"),518.0)</f>
        <v>518</v>
      </c>
      <c r="L1554" s="5" t="str">
        <f>IFERROR(__xludf.DUMMYFUNCTION("""COMPUTED_VALUE"""),"Boogie Nights")</f>
        <v>Boogie Nights</v>
      </c>
      <c r="M1554" s="5"/>
      <c r="N1554" s="5">
        <f>IFERROR(__xludf.DUMMYFUNCTION("""COMPUTED_VALUE"""),2.0)</f>
        <v>2</v>
      </c>
      <c r="S1554" s="5">
        <f>IFERROR(__xludf.DUMMYFUNCTION("""COMPUTED_VALUE"""),615.0)</f>
        <v>615</v>
      </c>
      <c r="T1554" s="5" t="str">
        <f>IFERROR(__xludf.DUMMYFUNCTION("""COMPUTED_VALUE"""),"The Fighter")</f>
        <v>The Fighter</v>
      </c>
      <c r="U1554" s="5" t="str">
        <f>IFERROR(__xludf.DUMMYFUNCTION("""COMPUTED_VALUE"""),"Sport")</f>
        <v>Sport</v>
      </c>
      <c r="V1554" s="5">
        <f>IFERROR(__xludf.DUMMYFUNCTION("""COMPUTED_VALUE"""),3.0)</f>
        <v>3</v>
      </c>
    </row>
    <row r="1555">
      <c r="J1555" s="5" t="str">
        <f>IFERROR(__xludf.DUMMYFUNCTION("""COMPUTED_VALUE"""),"518🤙🏼Boogie Nights🤙🏼🤙🏼3")</f>
        <v>518🤙🏼Boogie Nights🤙🏼🤙🏼3</v>
      </c>
      <c r="K1555" s="5">
        <f>IFERROR(__xludf.DUMMYFUNCTION("SPLiT(J1555, ""🤙🏼"",FALSE,FALSE)"),518.0)</f>
        <v>518</v>
      </c>
      <c r="L1555" s="5" t="str">
        <f>IFERROR(__xludf.DUMMYFUNCTION("""COMPUTED_VALUE"""),"Boogie Nights")</f>
        <v>Boogie Nights</v>
      </c>
      <c r="M1555" s="5"/>
      <c r="N1555" s="5">
        <f>IFERROR(__xludf.DUMMYFUNCTION("""COMPUTED_VALUE"""),3.0)</f>
        <v>3</v>
      </c>
      <c r="S1555" s="5">
        <f>IFERROR(__xludf.DUMMYFUNCTION("""COMPUTED_VALUE"""),616.0)</f>
        <v>616</v>
      </c>
      <c r="T1555" s="5" t="str">
        <f>IFERROR(__xludf.DUMMYFUNCTION("""COMPUTED_VALUE"""),"Taken")</f>
        <v>Taken</v>
      </c>
      <c r="U1555" s="5" t="str">
        <f>IFERROR(__xludf.DUMMYFUNCTION("""COMPUTED_VALUE"""),"Action")</f>
        <v>Action</v>
      </c>
      <c r="V1555" s="5">
        <f>IFERROR(__xludf.DUMMYFUNCTION("""COMPUTED_VALUE"""),1.0)</f>
        <v>1</v>
      </c>
    </row>
    <row r="1556">
      <c r="J1556" s="5" t="str">
        <f>IFERROR(__xludf.DUMMYFUNCTION("""COMPUTED_VALUE"""),"519🤙🏼Mimi wo sumaseba🤙🏼Animation🤙🏼1")</f>
        <v>519🤙🏼Mimi wo sumaseba🤙🏼Animation🤙🏼1</v>
      </c>
      <c r="K1556" s="5">
        <f>IFERROR(__xludf.DUMMYFUNCTION("SPLiT(J1556, ""🤙🏼"",FALSE,FALSE)"),519.0)</f>
        <v>519</v>
      </c>
      <c r="L1556" s="5" t="str">
        <f>IFERROR(__xludf.DUMMYFUNCTION("""COMPUTED_VALUE"""),"Mimi wo sumaseba")</f>
        <v>Mimi wo sumaseba</v>
      </c>
      <c r="M1556" s="5" t="str">
        <f>IFERROR(__xludf.DUMMYFUNCTION("""COMPUTED_VALUE"""),"Animation")</f>
        <v>Animation</v>
      </c>
      <c r="N1556" s="5">
        <f>IFERROR(__xludf.DUMMYFUNCTION("""COMPUTED_VALUE"""),1.0)</f>
        <v>1</v>
      </c>
      <c r="S1556" s="5">
        <f>IFERROR(__xludf.DUMMYFUNCTION("""COMPUTED_VALUE"""),616.0)</f>
        <v>616</v>
      </c>
      <c r="T1556" s="5" t="str">
        <f>IFERROR(__xludf.DUMMYFUNCTION("""COMPUTED_VALUE"""),"Taken")</f>
        <v>Taken</v>
      </c>
      <c r="U1556" s="5" t="str">
        <f>IFERROR(__xludf.DUMMYFUNCTION("""COMPUTED_VALUE"""),"Thriller")</f>
        <v>Thriller</v>
      </c>
      <c r="V1556" s="5">
        <f>IFERROR(__xludf.DUMMYFUNCTION("""COMPUTED_VALUE"""),2.0)</f>
        <v>2</v>
      </c>
    </row>
    <row r="1557">
      <c r="J1557" s="5" t="str">
        <f>IFERROR(__xludf.DUMMYFUNCTION("""COMPUTED_VALUE"""),"519🤙🏼Mimi wo sumaseba🤙🏼Drama🤙🏼2")</f>
        <v>519🤙🏼Mimi wo sumaseba🤙🏼Drama🤙🏼2</v>
      </c>
      <c r="K1557" s="5">
        <f>IFERROR(__xludf.DUMMYFUNCTION("SPLiT(J1557, ""🤙🏼"",FALSE,FALSE)"),519.0)</f>
        <v>519</v>
      </c>
      <c r="L1557" s="5" t="str">
        <f>IFERROR(__xludf.DUMMYFUNCTION("""COMPUTED_VALUE"""),"Mimi wo sumaseba")</f>
        <v>Mimi wo sumaseba</v>
      </c>
      <c r="M1557" s="5" t="str">
        <f>IFERROR(__xludf.DUMMYFUNCTION("""COMPUTED_VALUE"""),"Drama")</f>
        <v>Drama</v>
      </c>
      <c r="N1557" s="5">
        <f>IFERROR(__xludf.DUMMYFUNCTION("""COMPUTED_VALUE"""),2.0)</f>
        <v>2</v>
      </c>
      <c r="S1557" s="5">
        <f>IFERROR(__xludf.DUMMYFUNCTION("""COMPUTED_VALUE"""),617.0)</f>
        <v>617</v>
      </c>
      <c r="T1557" s="5" t="str">
        <f>IFERROR(__xludf.DUMMYFUNCTION("""COMPUTED_VALUE"""),"The Boy in the Striped Pyjamas")</f>
        <v>The Boy in the Striped Pyjamas</v>
      </c>
      <c r="U1557" s="5" t="str">
        <f>IFERROR(__xludf.DUMMYFUNCTION("""COMPUTED_VALUE"""),"Drama")</f>
        <v>Drama</v>
      </c>
      <c r="V1557" s="5">
        <f>IFERROR(__xludf.DUMMYFUNCTION("""COMPUTED_VALUE"""),1.0)</f>
        <v>1</v>
      </c>
    </row>
    <row r="1558">
      <c r="J1558" s="5" t="str">
        <f>IFERROR(__xludf.DUMMYFUNCTION("""COMPUTED_VALUE"""),"519🤙🏼Mimi wo sumaseba🤙🏼Family🤙🏼3")</f>
        <v>519🤙🏼Mimi wo sumaseba🤙🏼Family🤙🏼3</v>
      </c>
      <c r="K1558" s="5">
        <f>IFERROR(__xludf.DUMMYFUNCTION("SPLiT(J1558, ""🤙🏼"",FALSE,FALSE)"),519.0)</f>
        <v>519</v>
      </c>
      <c r="L1558" s="5" t="str">
        <f>IFERROR(__xludf.DUMMYFUNCTION("""COMPUTED_VALUE"""),"Mimi wo sumaseba")</f>
        <v>Mimi wo sumaseba</v>
      </c>
      <c r="M1558" s="5" t="str">
        <f>IFERROR(__xludf.DUMMYFUNCTION("""COMPUTED_VALUE"""),"Family")</f>
        <v>Family</v>
      </c>
      <c r="N1558" s="5">
        <f>IFERROR(__xludf.DUMMYFUNCTION("""COMPUTED_VALUE"""),3.0)</f>
        <v>3</v>
      </c>
      <c r="S1558" s="5">
        <f>IFERROR(__xludf.DUMMYFUNCTION("""COMPUTED_VALUE"""),617.0)</f>
        <v>617</v>
      </c>
      <c r="T1558" s="5" t="str">
        <f>IFERROR(__xludf.DUMMYFUNCTION("""COMPUTED_VALUE"""),"The Boy in the Striped Pyjamas")</f>
        <v>The Boy in the Striped Pyjamas</v>
      </c>
      <c r="U1558" s="5" t="str">
        <f>IFERROR(__xludf.DUMMYFUNCTION("""COMPUTED_VALUE"""),"History")</f>
        <v>History</v>
      </c>
      <c r="V1558" s="5">
        <f>IFERROR(__xludf.DUMMYFUNCTION("""COMPUTED_VALUE"""),2.0)</f>
        <v>2</v>
      </c>
    </row>
    <row r="1559">
      <c r="J1559" s="5" t="str">
        <f>IFERROR(__xludf.DUMMYFUNCTION("""COMPUTED_VALUE"""),"520🤙🏼Once Were Warriors🤙🏼Crime🤙🏼1")</f>
        <v>520🤙🏼Once Were Warriors🤙🏼Crime🤙🏼1</v>
      </c>
      <c r="K1559" s="5">
        <f>IFERROR(__xludf.DUMMYFUNCTION("SPLiT(J1559, ""🤙🏼"",FALSE,FALSE)"),520.0)</f>
        <v>520</v>
      </c>
      <c r="L1559" s="5" t="str">
        <f>IFERROR(__xludf.DUMMYFUNCTION("""COMPUTED_VALUE"""),"Once Were Warriors")</f>
        <v>Once Were Warriors</v>
      </c>
      <c r="M1559" s="5" t="str">
        <f>IFERROR(__xludf.DUMMYFUNCTION("""COMPUTED_VALUE"""),"Crime")</f>
        <v>Crime</v>
      </c>
      <c r="N1559" s="5">
        <f>IFERROR(__xludf.DUMMYFUNCTION("""COMPUTED_VALUE"""),1.0)</f>
        <v>1</v>
      </c>
      <c r="S1559" s="5">
        <f>IFERROR(__xludf.DUMMYFUNCTION("""COMPUTED_VALUE"""),617.0)</f>
        <v>617</v>
      </c>
      <c r="T1559" s="5" t="str">
        <f>IFERROR(__xludf.DUMMYFUNCTION("""COMPUTED_VALUE"""),"The Boy in the Striped Pyjamas")</f>
        <v>The Boy in the Striped Pyjamas</v>
      </c>
      <c r="U1559" s="5" t="str">
        <f>IFERROR(__xludf.DUMMYFUNCTION("""COMPUTED_VALUE"""),"War")</f>
        <v>War</v>
      </c>
      <c r="V1559" s="5">
        <f>IFERROR(__xludf.DUMMYFUNCTION("""COMPUTED_VALUE"""),3.0)</f>
        <v>3</v>
      </c>
    </row>
    <row r="1560">
      <c r="J1560" s="5" t="str">
        <f>IFERROR(__xludf.DUMMYFUNCTION("""COMPUTED_VALUE"""),"520🤙🏼Once Were Warriors🤙🏼Drama🤙🏼2")</f>
        <v>520🤙🏼Once Were Warriors🤙🏼Drama🤙🏼2</v>
      </c>
      <c r="K1560" s="5">
        <f>IFERROR(__xludf.DUMMYFUNCTION("SPLiT(J1560, ""🤙🏼"",FALSE,FALSE)"),520.0)</f>
        <v>520</v>
      </c>
      <c r="L1560" s="5" t="str">
        <f>IFERROR(__xludf.DUMMYFUNCTION("""COMPUTED_VALUE"""),"Once Were Warriors")</f>
        <v>Once Were Warriors</v>
      </c>
      <c r="M1560" s="5" t="str">
        <f>IFERROR(__xludf.DUMMYFUNCTION("""COMPUTED_VALUE"""),"Drama")</f>
        <v>Drama</v>
      </c>
      <c r="N1560" s="5">
        <f>IFERROR(__xludf.DUMMYFUNCTION("""COMPUTED_VALUE"""),2.0)</f>
        <v>2</v>
      </c>
      <c r="S1560" s="5">
        <f>IFERROR(__xludf.DUMMYFUNCTION("""COMPUTED_VALUE"""),618.0)</f>
        <v>618</v>
      </c>
      <c r="T1560" s="5" t="str">
        <f>IFERROR(__xludf.DUMMYFUNCTION("""COMPUTED_VALUE"""),"Once")</f>
        <v>Once</v>
      </c>
      <c r="U1560" s="5" t="str">
        <f>IFERROR(__xludf.DUMMYFUNCTION("""COMPUTED_VALUE"""),"Drama")</f>
        <v>Drama</v>
      </c>
      <c r="V1560" s="5">
        <f>IFERROR(__xludf.DUMMYFUNCTION("""COMPUTED_VALUE"""),1.0)</f>
        <v>1</v>
      </c>
    </row>
    <row r="1561">
      <c r="J1561" s="5" t="str">
        <f>IFERROR(__xludf.DUMMYFUNCTION("""COMPUTED_VALUE"""),"520🤙🏼Once Were Warriors🤙🏼🤙🏼3")</f>
        <v>520🤙🏼Once Were Warriors🤙🏼🤙🏼3</v>
      </c>
      <c r="K1561" s="5">
        <f>IFERROR(__xludf.DUMMYFUNCTION("SPLiT(J1561, ""🤙🏼"",FALSE,FALSE)"),520.0)</f>
        <v>520</v>
      </c>
      <c r="L1561" s="5" t="str">
        <f>IFERROR(__xludf.DUMMYFUNCTION("""COMPUTED_VALUE"""),"Once Were Warriors")</f>
        <v>Once Were Warriors</v>
      </c>
      <c r="M1561" s="5"/>
      <c r="N1561" s="5">
        <f>IFERROR(__xludf.DUMMYFUNCTION("""COMPUTED_VALUE"""),3.0)</f>
        <v>3</v>
      </c>
      <c r="S1561" s="5">
        <f>IFERROR(__xludf.DUMMYFUNCTION("""COMPUTED_VALUE"""),618.0)</f>
        <v>618</v>
      </c>
      <c r="T1561" s="5" t="str">
        <f>IFERROR(__xludf.DUMMYFUNCTION("""COMPUTED_VALUE"""),"Once")</f>
        <v>Once</v>
      </c>
      <c r="U1561" s="5" t="str">
        <f>IFERROR(__xludf.DUMMYFUNCTION("""COMPUTED_VALUE"""),"Music")</f>
        <v>Music</v>
      </c>
      <c r="V1561" s="5">
        <f>IFERROR(__xludf.DUMMYFUNCTION("""COMPUTED_VALUE"""),2.0)</f>
        <v>2</v>
      </c>
    </row>
    <row r="1562">
      <c r="J1562" s="5" t="str">
        <f>IFERROR(__xludf.DUMMYFUNCTION("""COMPUTED_VALUE"""),"521🤙🏼True Romance🤙🏼Crime🤙🏼1")</f>
        <v>521🤙🏼True Romance🤙🏼Crime🤙🏼1</v>
      </c>
      <c r="K1562" s="5">
        <f>IFERROR(__xludf.DUMMYFUNCTION("SPLiT(J1562, ""🤙🏼"",FALSE,FALSE)"),521.0)</f>
        <v>521</v>
      </c>
      <c r="L1562" s="5" t="str">
        <f>IFERROR(__xludf.DUMMYFUNCTION("""COMPUTED_VALUE"""),"True Romance")</f>
        <v>True Romance</v>
      </c>
      <c r="M1562" s="5" t="str">
        <f>IFERROR(__xludf.DUMMYFUNCTION("""COMPUTED_VALUE"""),"Crime")</f>
        <v>Crime</v>
      </c>
      <c r="N1562" s="5">
        <f>IFERROR(__xludf.DUMMYFUNCTION("""COMPUTED_VALUE"""),1.0)</f>
        <v>1</v>
      </c>
      <c r="S1562" s="5">
        <f>IFERROR(__xludf.DUMMYFUNCTION("""COMPUTED_VALUE"""),618.0)</f>
        <v>618</v>
      </c>
      <c r="T1562" s="5" t="str">
        <f>IFERROR(__xludf.DUMMYFUNCTION("""COMPUTED_VALUE"""),"Once")</f>
        <v>Once</v>
      </c>
      <c r="U1562" s="5" t="str">
        <f>IFERROR(__xludf.DUMMYFUNCTION("""COMPUTED_VALUE"""),"Romance")</f>
        <v>Romance</v>
      </c>
      <c r="V1562" s="5">
        <f>IFERROR(__xludf.DUMMYFUNCTION("""COMPUTED_VALUE"""),3.0)</f>
        <v>3</v>
      </c>
    </row>
    <row r="1563">
      <c r="J1563" s="5" t="str">
        <f>IFERROR(__xludf.DUMMYFUNCTION("""COMPUTED_VALUE"""),"521🤙🏼True Romance🤙🏼Drama🤙🏼2")</f>
        <v>521🤙🏼True Romance🤙🏼Drama🤙🏼2</v>
      </c>
      <c r="K1563" s="5">
        <f>IFERROR(__xludf.DUMMYFUNCTION("SPLiT(J1563, ""🤙🏼"",FALSE,FALSE)"),521.0)</f>
        <v>521</v>
      </c>
      <c r="L1563" s="5" t="str">
        <f>IFERROR(__xludf.DUMMYFUNCTION("""COMPUTED_VALUE"""),"True Romance")</f>
        <v>True Romance</v>
      </c>
      <c r="M1563" s="5" t="str">
        <f>IFERROR(__xludf.DUMMYFUNCTION("""COMPUTED_VALUE"""),"Drama")</f>
        <v>Drama</v>
      </c>
      <c r="N1563" s="5">
        <f>IFERROR(__xludf.DUMMYFUNCTION("""COMPUTED_VALUE"""),2.0)</f>
        <v>2</v>
      </c>
      <c r="S1563" s="5">
        <f>IFERROR(__xludf.DUMMYFUNCTION("""COMPUTED_VALUE"""),619.0)</f>
        <v>619</v>
      </c>
      <c r="T1563" s="5" t="str">
        <f>IFERROR(__xludf.DUMMYFUNCTION("""COMPUTED_VALUE"""),"The Hobbit: An Unexpected Journey")</f>
        <v>The Hobbit: An Unexpected Journey</v>
      </c>
      <c r="U1563" s="5" t="str">
        <f>IFERROR(__xludf.DUMMYFUNCTION("""COMPUTED_VALUE"""),"Adventure")</f>
        <v>Adventure</v>
      </c>
      <c r="V1563" s="5">
        <f>IFERROR(__xludf.DUMMYFUNCTION("""COMPUTED_VALUE"""),1.0)</f>
        <v>1</v>
      </c>
    </row>
    <row r="1564">
      <c r="J1564" s="5" t="str">
        <f>IFERROR(__xludf.DUMMYFUNCTION("""COMPUTED_VALUE"""),"521🤙🏼True Romance🤙🏼Romance🤙🏼3")</f>
        <v>521🤙🏼True Romance🤙🏼Romance🤙🏼3</v>
      </c>
      <c r="K1564" s="5">
        <f>IFERROR(__xludf.DUMMYFUNCTION("SPLiT(J1564, ""🤙🏼"",FALSE,FALSE)"),521.0)</f>
        <v>521</v>
      </c>
      <c r="L1564" s="5" t="str">
        <f>IFERROR(__xludf.DUMMYFUNCTION("""COMPUTED_VALUE"""),"True Romance")</f>
        <v>True Romance</v>
      </c>
      <c r="M1564" s="5" t="str">
        <f>IFERROR(__xludf.DUMMYFUNCTION("""COMPUTED_VALUE"""),"Romance")</f>
        <v>Romance</v>
      </c>
      <c r="N1564" s="5">
        <f>IFERROR(__xludf.DUMMYFUNCTION("""COMPUTED_VALUE"""),3.0)</f>
        <v>3</v>
      </c>
      <c r="S1564" s="5">
        <f>IFERROR(__xludf.DUMMYFUNCTION("""COMPUTED_VALUE"""),619.0)</f>
        <v>619</v>
      </c>
      <c r="T1564" s="5" t="str">
        <f>IFERROR(__xludf.DUMMYFUNCTION("""COMPUTED_VALUE"""),"The Hobbit: An Unexpected Journey")</f>
        <v>The Hobbit: An Unexpected Journey</v>
      </c>
      <c r="U1564" s="5" t="str">
        <f>IFERROR(__xludf.DUMMYFUNCTION("""COMPUTED_VALUE"""),"Fantasy")</f>
        <v>Fantasy</v>
      </c>
      <c r="V1564" s="5">
        <f>IFERROR(__xludf.DUMMYFUNCTION("""COMPUTED_VALUE"""),2.0)</f>
        <v>2</v>
      </c>
    </row>
    <row r="1565">
      <c r="J1565" s="5" t="str">
        <f>IFERROR(__xludf.DUMMYFUNCTION("""COMPUTED_VALUE"""),"522🤙🏼Trois couleurs: Bleu🤙🏼Drama🤙🏼1")</f>
        <v>522🤙🏼Trois couleurs: Bleu🤙🏼Drama🤙🏼1</v>
      </c>
      <c r="K1565" s="5">
        <f>IFERROR(__xludf.DUMMYFUNCTION("SPLiT(J1565, ""🤙🏼"",FALSE,FALSE)"),522.0)</f>
        <v>522</v>
      </c>
      <c r="L1565" s="5" t="str">
        <f>IFERROR(__xludf.DUMMYFUNCTION("""COMPUTED_VALUE"""),"Trois couleurs: Bleu")</f>
        <v>Trois couleurs: Bleu</v>
      </c>
      <c r="M1565" s="5" t="str">
        <f>IFERROR(__xludf.DUMMYFUNCTION("""COMPUTED_VALUE"""),"Drama")</f>
        <v>Drama</v>
      </c>
      <c r="N1565" s="5">
        <f>IFERROR(__xludf.DUMMYFUNCTION("""COMPUTED_VALUE"""),1.0)</f>
        <v>1</v>
      </c>
      <c r="S1565" s="5">
        <f>IFERROR(__xludf.DUMMYFUNCTION("""COMPUTED_VALUE"""),620.0)</f>
        <v>620</v>
      </c>
      <c r="T1565" s="5" t="str">
        <f>IFERROR(__xludf.DUMMYFUNCTION("""COMPUTED_VALUE"""),"Auf der anderen Seite")</f>
        <v>Auf der anderen Seite</v>
      </c>
      <c r="U1565" s="5" t="str">
        <f>IFERROR(__xludf.DUMMYFUNCTION("""COMPUTED_VALUE"""),"Drama")</f>
        <v>Drama</v>
      </c>
      <c r="V1565" s="5">
        <f>IFERROR(__xludf.DUMMYFUNCTION("""COMPUTED_VALUE"""),1.0)</f>
        <v>1</v>
      </c>
    </row>
    <row r="1566">
      <c r="J1566" s="5" t="str">
        <f>IFERROR(__xludf.DUMMYFUNCTION("""COMPUTED_VALUE"""),"522🤙🏼Trois couleurs: Bleu🤙🏼Music🤙🏼2")</f>
        <v>522🤙🏼Trois couleurs: Bleu🤙🏼Music🤙🏼2</v>
      </c>
      <c r="K1566" s="5">
        <f>IFERROR(__xludf.DUMMYFUNCTION("SPLiT(J1566, ""🤙🏼"",FALSE,FALSE)"),522.0)</f>
        <v>522</v>
      </c>
      <c r="L1566" s="5" t="str">
        <f>IFERROR(__xludf.DUMMYFUNCTION("""COMPUTED_VALUE"""),"Trois couleurs: Bleu")</f>
        <v>Trois couleurs: Bleu</v>
      </c>
      <c r="M1566" s="5" t="str">
        <f>IFERROR(__xludf.DUMMYFUNCTION("""COMPUTED_VALUE"""),"Music")</f>
        <v>Music</v>
      </c>
      <c r="N1566" s="5">
        <f>IFERROR(__xludf.DUMMYFUNCTION("""COMPUTED_VALUE"""),2.0)</f>
        <v>2</v>
      </c>
      <c r="S1566" s="5">
        <f>IFERROR(__xludf.DUMMYFUNCTION("""COMPUTED_VALUE"""),621.0)</f>
        <v>621</v>
      </c>
      <c r="T1566" s="5" t="str">
        <f>IFERROR(__xludf.DUMMYFUNCTION("""COMPUTED_VALUE"""),"Atonement")</f>
        <v>Atonement</v>
      </c>
      <c r="U1566" s="5" t="str">
        <f>IFERROR(__xludf.DUMMYFUNCTION("""COMPUTED_VALUE"""),"Drama")</f>
        <v>Drama</v>
      </c>
      <c r="V1566" s="5">
        <f>IFERROR(__xludf.DUMMYFUNCTION("""COMPUTED_VALUE"""),1.0)</f>
        <v>1</v>
      </c>
    </row>
    <row r="1567">
      <c r="J1567" s="5" t="str">
        <f>IFERROR(__xludf.DUMMYFUNCTION("""COMPUTED_VALUE"""),"522🤙🏼Trois couleurs: Bleu🤙🏼Mystery🤙🏼3")</f>
        <v>522🤙🏼Trois couleurs: Bleu🤙🏼Mystery🤙🏼3</v>
      </c>
      <c r="K1567" s="5">
        <f>IFERROR(__xludf.DUMMYFUNCTION("SPLiT(J1567, ""🤙🏼"",FALSE,FALSE)"),522.0)</f>
        <v>522</v>
      </c>
      <c r="L1567" s="5" t="str">
        <f>IFERROR(__xludf.DUMMYFUNCTION("""COMPUTED_VALUE"""),"Trois couleurs: Bleu")</f>
        <v>Trois couleurs: Bleu</v>
      </c>
      <c r="M1567" s="5" t="str">
        <f>IFERROR(__xludf.DUMMYFUNCTION("""COMPUTED_VALUE"""),"Mystery")</f>
        <v>Mystery</v>
      </c>
      <c r="N1567" s="5">
        <f>IFERROR(__xludf.DUMMYFUNCTION("""COMPUTED_VALUE"""),3.0)</f>
        <v>3</v>
      </c>
      <c r="S1567" s="5">
        <f>IFERROR(__xludf.DUMMYFUNCTION("""COMPUTED_VALUE"""),621.0)</f>
        <v>621</v>
      </c>
      <c r="T1567" s="5" t="str">
        <f>IFERROR(__xludf.DUMMYFUNCTION("""COMPUTED_VALUE"""),"Atonement")</f>
        <v>Atonement</v>
      </c>
      <c r="U1567" s="5" t="str">
        <f>IFERROR(__xludf.DUMMYFUNCTION("""COMPUTED_VALUE"""),"Mystery")</f>
        <v>Mystery</v>
      </c>
      <c r="V1567" s="5">
        <f>IFERROR(__xludf.DUMMYFUNCTION("""COMPUTED_VALUE"""),2.0)</f>
        <v>2</v>
      </c>
    </row>
    <row r="1568">
      <c r="J1568" s="5" t="str">
        <f>IFERROR(__xludf.DUMMYFUNCTION("""COMPUTED_VALUE"""),"523🤙🏼Jûbê ninpûchô🤙🏼Animation🤙🏼1")</f>
        <v>523🤙🏼Jûbê ninpûchô🤙🏼Animation🤙🏼1</v>
      </c>
      <c r="K1568" s="5">
        <f>IFERROR(__xludf.DUMMYFUNCTION("SPLiT(J1568, ""🤙🏼"",FALSE,FALSE)"),523.0)</f>
        <v>523</v>
      </c>
      <c r="L1568" s="5" t="str">
        <f>IFERROR(__xludf.DUMMYFUNCTION("""COMPUTED_VALUE"""),"Jûbê ninpûchô")</f>
        <v>Jûbê ninpûchô</v>
      </c>
      <c r="M1568" s="5" t="str">
        <f>IFERROR(__xludf.DUMMYFUNCTION("""COMPUTED_VALUE"""),"Animation")</f>
        <v>Animation</v>
      </c>
      <c r="N1568" s="5">
        <f>IFERROR(__xludf.DUMMYFUNCTION("""COMPUTED_VALUE"""),1.0)</f>
        <v>1</v>
      </c>
      <c r="S1568" s="5">
        <f>IFERROR(__xludf.DUMMYFUNCTION("""COMPUTED_VALUE"""),621.0)</f>
        <v>621</v>
      </c>
      <c r="T1568" s="5" t="str">
        <f>IFERROR(__xludf.DUMMYFUNCTION("""COMPUTED_VALUE"""),"Atonement")</f>
        <v>Atonement</v>
      </c>
      <c r="U1568" s="5" t="str">
        <f>IFERROR(__xludf.DUMMYFUNCTION("""COMPUTED_VALUE"""),"Romance")</f>
        <v>Romance</v>
      </c>
      <c r="V1568" s="5">
        <f>IFERROR(__xludf.DUMMYFUNCTION("""COMPUTED_VALUE"""),3.0)</f>
        <v>3</v>
      </c>
    </row>
    <row r="1569">
      <c r="J1569" s="5" t="str">
        <f>IFERROR(__xludf.DUMMYFUNCTION("""COMPUTED_VALUE"""),"523🤙🏼Jûbê ninpûchô🤙🏼Action🤙🏼2")</f>
        <v>523🤙🏼Jûbê ninpûchô🤙🏼Action🤙🏼2</v>
      </c>
      <c r="K1569" s="5">
        <f>IFERROR(__xludf.DUMMYFUNCTION("SPLiT(J1569, ""🤙🏼"",FALSE,FALSE)"),523.0)</f>
        <v>523</v>
      </c>
      <c r="L1569" s="5" t="str">
        <f>IFERROR(__xludf.DUMMYFUNCTION("""COMPUTED_VALUE"""),"Jûbê ninpûchô")</f>
        <v>Jûbê ninpûchô</v>
      </c>
      <c r="M1569" s="5" t="str">
        <f>IFERROR(__xludf.DUMMYFUNCTION("""COMPUTED_VALUE"""),"Action")</f>
        <v>Action</v>
      </c>
      <c r="N1569" s="5">
        <f>IFERROR(__xludf.DUMMYFUNCTION("""COMPUTED_VALUE"""),2.0)</f>
        <v>2</v>
      </c>
      <c r="S1569" s="5">
        <f>IFERROR(__xludf.DUMMYFUNCTION("""COMPUTED_VALUE"""),622.0)</f>
        <v>622</v>
      </c>
      <c r="T1569" s="5" t="str">
        <f>IFERROR(__xludf.DUMMYFUNCTION("""COMPUTED_VALUE"""),"Drive")</f>
        <v>Drive</v>
      </c>
      <c r="U1569" s="5" t="str">
        <f>IFERROR(__xludf.DUMMYFUNCTION("""COMPUTED_VALUE"""),"Crime")</f>
        <v>Crime</v>
      </c>
      <c r="V1569" s="5">
        <f>IFERROR(__xludf.DUMMYFUNCTION("""COMPUTED_VALUE"""),1.0)</f>
        <v>1</v>
      </c>
    </row>
    <row r="1570">
      <c r="J1570" s="5" t="str">
        <f>IFERROR(__xludf.DUMMYFUNCTION("""COMPUTED_VALUE"""),"523🤙🏼Jûbê ninpûchô🤙🏼Adventure🤙🏼3")</f>
        <v>523🤙🏼Jûbê ninpûchô🤙🏼Adventure🤙🏼3</v>
      </c>
      <c r="K1570" s="5">
        <f>IFERROR(__xludf.DUMMYFUNCTION("SPLiT(J1570, ""🤙🏼"",FALSE,FALSE)"),523.0)</f>
        <v>523</v>
      </c>
      <c r="L1570" s="5" t="str">
        <f>IFERROR(__xludf.DUMMYFUNCTION("""COMPUTED_VALUE"""),"Jûbê ninpûchô")</f>
        <v>Jûbê ninpûchô</v>
      </c>
      <c r="M1570" s="5" t="str">
        <f>IFERROR(__xludf.DUMMYFUNCTION("""COMPUTED_VALUE"""),"Adventure")</f>
        <v>Adventure</v>
      </c>
      <c r="N1570" s="5">
        <f>IFERROR(__xludf.DUMMYFUNCTION("""COMPUTED_VALUE"""),3.0)</f>
        <v>3</v>
      </c>
      <c r="S1570" s="5">
        <f>IFERROR(__xludf.DUMMYFUNCTION("""COMPUTED_VALUE"""),622.0)</f>
        <v>622</v>
      </c>
      <c r="T1570" s="5" t="str">
        <f>IFERROR(__xludf.DUMMYFUNCTION("""COMPUTED_VALUE"""),"Drive")</f>
        <v>Drive</v>
      </c>
      <c r="U1570" s="5" t="str">
        <f>IFERROR(__xludf.DUMMYFUNCTION("""COMPUTED_VALUE"""),"Drama")</f>
        <v>Drama</v>
      </c>
      <c r="V1570" s="5">
        <f>IFERROR(__xludf.DUMMYFUNCTION("""COMPUTED_VALUE"""),2.0)</f>
        <v>2</v>
      </c>
    </row>
    <row r="1571">
      <c r="J1571" s="5" t="str">
        <f>IFERROR(__xludf.DUMMYFUNCTION("""COMPUTED_VALUE"""),"524🤙🏼Carlito's Way🤙🏼Crime🤙🏼1")</f>
        <v>524🤙🏼Carlito's Way🤙🏼Crime🤙🏼1</v>
      </c>
      <c r="K1571" s="5">
        <f>IFERROR(__xludf.DUMMYFUNCTION("SPLiT(J1571, ""🤙🏼"",FALSE,FALSE)"),524.0)</f>
        <v>524</v>
      </c>
      <c r="L1571" s="5" t="str">
        <f>IFERROR(__xludf.DUMMYFUNCTION("""COMPUTED_VALUE"""),"Carlito's Way")</f>
        <v>Carlito's Way</v>
      </c>
      <c r="M1571" s="5" t="str">
        <f>IFERROR(__xludf.DUMMYFUNCTION("""COMPUTED_VALUE"""),"Crime")</f>
        <v>Crime</v>
      </c>
      <c r="N1571" s="5">
        <f>IFERROR(__xludf.DUMMYFUNCTION("""COMPUTED_VALUE"""),1.0)</f>
        <v>1</v>
      </c>
      <c r="S1571" s="5">
        <f>IFERROR(__xludf.DUMMYFUNCTION("""COMPUTED_VALUE"""),623.0)</f>
        <v>623</v>
      </c>
      <c r="T1571" s="5" t="str">
        <f>IFERROR(__xludf.DUMMYFUNCTION("""COMPUTED_VALUE"""),"American Gangster")</f>
        <v>American Gangster</v>
      </c>
      <c r="U1571" s="5" t="str">
        <f>IFERROR(__xludf.DUMMYFUNCTION("""COMPUTED_VALUE"""),"Biography")</f>
        <v>Biography</v>
      </c>
      <c r="V1571" s="5">
        <f>IFERROR(__xludf.DUMMYFUNCTION("""COMPUTED_VALUE"""),1.0)</f>
        <v>1</v>
      </c>
    </row>
    <row r="1572">
      <c r="J1572" s="5" t="str">
        <f>IFERROR(__xludf.DUMMYFUNCTION("""COMPUTED_VALUE"""),"524🤙🏼Carlito's Way🤙🏼Drama🤙🏼2")</f>
        <v>524🤙🏼Carlito's Way🤙🏼Drama🤙🏼2</v>
      </c>
      <c r="K1572" s="5">
        <f>IFERROR(__xludf.DUMMYFUNCTION("SPLiT(J1572, ""🤙🏼"",FALSE,FALSE)"),524.0)</f>
        <v>524</v>
      </c>
      <c r="L1572" s="5" t="str">
        <f>IFERROR(__xludf.DUMMYFUNCTION("""COMPUTED_VALUE"""),"Carlito's Way")</f>
        <v>Carlito's Way</v>
      </c>
      <c r="M1572" s="5" t="str">
        <f>IFERROR(__xludf.DUMMYFUNCTION("""COMPUTED_VALUE"""),"Drama")</f>
        <v>Drama</v>
      </c>
      <c r="N1572" s="5">
        <f>IFERROR(__xludf.DUMMYFUNCTION("""COMPUTED_VALUE"""),2.0)</f>
        <v>2</v>
      </c>
      <c r="S1572" s="5">
        <f>IFERROR(__xludf.DUMMYFUNCTION("""COMPUTED_VALUE"""),623.0)</f>
        <v>623</v>
      </c>
      <c r="T1572" s="5" t="str">
        <f>IFERROR(__xludf.DUMMYFUNCTION("""COMPUTED_VALUE"""),"American Gangster")</f>
        <v>American Gangster</v>
      </c>
      <c r="U1572" s="5" t="str">
        <f>IFERROR(__xludf.DUMMYFUNCTION("""COMPUTED_VALUE"""),"Crime")</f>
        <v>Crime</v>
      </c>
      <c r="V1572" s="5">
        <f>IFERROR(__xludf.DUMMYFUNCTION("""COMPUTED_VALUE"""),2.0)</f>
        <v>2</v>
      </c>
    </row>
    <row r="1573">
      <c r="J1573" s="5" t="str">
        <f>IFERROR(__xludf.DUMMYFUNCTION("""COMPUTED_VALUE"""),"524🤙🏼Carlito's Way🤙🏼Thriller🤙🏼3")</f>
        <v>524🤙🏼Carlito's Way🤙🏼Thriller🤙🏼3</v>
      </c>
      <c r="K1573" s="5">
        <f>IFERROR(__xludf.DUMMYFUNCTION("SPLiT(J1573, ""🤙🏼"",FALSE,FALSE)"),524.0)</f>
        <v>524</v>
      </c>
      <c r="L1573" s="5" t="str">
        <f>IFERROR(__xludf.DUMMYFUNCTION("""COMPUTED_VALUE"""),"Carlito's Way")</f>
        <v>Carlito's Way</v>
      </c>
      <c r="M1573" s="5" t="str">
        <f>IFERROR(__xludf.DUMMYFUNCTION("""COMPUTED_VALUE"""),"Thriller")</f>
        <v>Thriller</v>
      </c>
      <c r="N1573" s="5">
        <f>IFERROR(__xludf.DUMMYFUNCTION("""COMPUTED_VALUE"""),3.0)</f>
        <v>3</v>
      </c>
      <c r="S1573" s="5">
        <f>IFERROR(__xludf.DUMMYFUNCTION("""COMPUTED_VALUE"""),623.0)</f>
        <v>623</v>
      </c>
      <c r="T1573" s="5" t="str">
        <f>IFERROR(__xludf.DUMMYFUNCTION("""COMPUTED_VALUE"""),"American Gangster")</f>
        <v>American Gangster</v>
      </c>
      <c r="U1573" s="5" t="str">
        <f>IFERROR(__xludf.DUMMYFUNCTION("""COMPUTED_VALUE"""),"Drama")</f>
        <v>Drama</v>
      </c>
      <c r="V1573" s="5">
        <f>IFERROR(__xludf.DUMMYFUNCTION("""COMPUTED_VALUE"""),3.0)</f>
        <v>3</v>
      </c>
    </row>
    <row r="1574">
      <c r="J1574" s="5" t="str">
        <f>IFERROR(__xludf.DUMMYFUNCTION("""COMPUTED_VALUE"""),"525🤙🏼Edward Scissorhands🤙🏼Drama🤙🏼1")</f>
        <v>525🤙🏼Edward Scissorhands🤙🏼Drama🤙🏼1</v>
      </c>
      <c r="K1574" s="5">
        <f>IFERROR(__xludf.DUMMYFUNCTION("SPLiT(J1574, ""🤙🏼"",FALSE,FALSE)"),525.0)</f>
        <v>525</v>
      </c>
      <c r="L1574" s="5" t="str">
        <f>IFERROR(__xludf.DUMMYFUNCTION("""COMPUTED_VALUE"""),"Edward Scissorhands")</f>
        <v>Edward Scissorhands</v>
      </c>
      <c r="M1574" s="5" t="str">
        <f>IFERROR(__xludf.DUMMYFUNCTION("""COMPUTED_VALUE"""),"Drama")</f>
        <v>Drama</v>
      </c>
      <c r="N1574" s="5">
        <f>IFERROR(__xludf.DUMMYFUNCTION("""COMPUTED_VALUE"""),1.0)</f>
        <v>1</v>
      </c>
      <c r="S1574" s="5">
        <f>IFERROR(__xludf.DUMMYFUNCTION("""COMPUTED_VALUE"""),624.0)</f>
        <v>624</v>
      </c>
      <c r="T1574" s="5" t="str">
        <f>IFERROR(__xludf.DUMMYFUNCTION("""COMPUTED_VALUE"""),"Avatar")</f>
        <v>Avatar</v>
      </c>
      <c r="U1574" s="5" t="str">
        <f>IFERROR(__xludf.DUMMYFUNCTION("""COMPUTED_VALUE"""),"Action")</f>
        <v>Action</v>
      </c>
      <c r="V1574" s="5">
        <f>IFERROR(__xludf.DUMMYFUNCTION("""COMPUTED_VALUE"""),1.0)</f>
        <v>1</v>
      </c>
    </row>
    <row r="1575">
      <c r="J1575" s="5" t="str">
        <f>IFERROR(__xludf.DUMMYFUNCTION("""COMPUTED_VALUE"""),"525🤙🏼Edward Scissorhands🤙🏼Fantasy🤙🏼2")</f>
        <v>525🤙🏼Edward Scissorhands🤙🏼Fantasy🤙🏼2</v>
      </c>
      <c r="K1575" s="5">
        <f>IFERROR(__xludf.DUMMYFUNCTION("SPLiT(J1575, ""🤙🏼"",FALSE,FALSE)"),525.0)</f>
        <v>525</v>
      </c>
      <c r="L1575" s="5" t="str">
        <f>IFERROR(__xludf.DUMMYFUNCTION("""COMPUTED_VALUE"""),"Edward Scissorhands")</f>
        <v>Edward Scissorhands</v>
      </c>
      <c r="M1575" s="5" t="str">
        <f>IFERROR(__xludf.DUMMYFUNCTION("""COMPUTED_VALUE"""),"Fantasy")</f>
        <v>Fantasy</v>
      </c>
      <c r="N1575" s="5">
        <f>IFERROR(__xludf.DUMMYFUNCTION("""COMPUTED_VALUE"""),2.0)</f>
        <v>2</v>
      </c>
      <c r="S1575" s="5">
        <f>IFERROR(__xludf.DUMMYFUNCTION("""COMPUTED_VALUE"""),624.0)</f>
        <v>624</v>
      </c>
      <c r="T1575" s="5" t="str">
        <f>IFERROR(__xludf.DUMMYFUNCTION("""COMPUTED_VALUE"""),"Avatar")</f>
        <v>Avatar</v>
      </c>
      <c r="U1575" s="5" t="str">
        <f>IFERROR(__xludf.DUMMYFUNCTION("""COMPUTED_VALUE"""),"Adventure")</f>
        <v>Adventure</v>
      </c>
      <c r="V1575" s="5">
        <f>IFERROR(__xludf.DUMMYFUNCTION("""COMPUTED_VALUE"""),2.0)</f>
        <v>2</v>
      </c>
    </row>
    <row r="1576">
      <c r="J1576" s="5" t="str">
        <f>IFERROR(__xludf.DUMMYFUNCTION("""COMPUTED_VALUE"""),"525🤙🏼Edward Scissorhands🤙🏼Romance🤙🏼3")</f>
        <v>525🤙🏼Edward Scissorhands🤙🏼Romance🤙🏼3</v>
      </c>
      <c r="K1576" s="5">
        <f>IFERROR(__xludf.DUMMYFUNCTION("SPLiT(J1576, ""🤙🏼"",FALSE,FALSE)"),525.0)</f>
        <v>525</v>
      </c>
      <c r="L1576" s="5" t="str">
        <f>IFERROR(__xludf.DUMMYFUNCTION("""COMPUTED_VALUE"""),"Edward Scissorhands")</f>
        <v>Edward Scissorhands</v>
      </c>
      <c r="M1576" s="5" t="str">
        <f>IFERROR(__xludf.DUMMYFUNCTION("""COMPUTED_VALUE"""),"Romance")</f>
        <v>Romance</v>
      </c>
      <c r="N1576" s="5">
        <f>IFERROR(__xludf.DUMMYFUNCTION("""COMPUTED_VALUE"""),3.0)</f>
        <v>3</v>
      </c>
      <c r="S1576" s="5">
        <f>IFERROR(__xludf.DUMMYFUNCTION("""COMPUTED_VALUE"""),624.0)</f>
        <v>624</v>
      </c>
      <c r="T1576" s="5" t="str">
        <f>IFERROR(__xludf.DUMMYFUNCTION("""COMPUTED_VALUE"""),"Avatar")</f>
        <v>Avatar</v>
      </c>
      <c r="U1576" s="5" t="str">
        <f>IFERROR(__xludf.DUMMYFUNCTION("""COMPUTED_VALUE"""),"Fantasy")</f>
        <v>Fantasy</v>
      </c>
      <c r="V1576" s="5">
        <f>IFERROR(__xludf.DUMMYFUNCTION("""COMPUTED_VALUE"""),3.0)</f>
        <v>3</v>
      </c>
    </row>
    <row r="1577">
      <c r="J1577" s="5" t="str">
        <f>IFERROR(__xludf.DUMMYFUNCTION("""COMPUTED_VALUE"""),"526🤙🏼My Left Foot: The Story of Christy Brown🤙🏼Biography🤙🏼1")</f>
        <v>526🤙🏼My Left Foot: The Story of Christy Brown🤙🏼Biography🤙🏼1</v>
      </c>
      <c r="K1577" s="5">
        <f>IFERROR(__xludf.DUMMYFUNCTION("SPLiT(J1577, ""🤙🏼"",FALSE,FALSE)"),526.0)</f>
        <v>526</v>
      </c>
      <c r="L1577" s="5" t="str">
        <f>IFERROR(__xludf.DUMMYFUNCTION("""COMPUTED_VALUE"""),"My Left Foot: The Story of Christy Brown")</f>
        <v>My Left Foot: The Story of Christy Brown</v>
      </c>
      <c r="M1577" s="5" t="str">
        <f>IFERROR(__xludf.DUMMYFUNCTION("""COMPUTED_VALUE"""),"Biography")</f>
        <v>Biography</v>
      </c>
      <c r="N1577" s="5">
        <f>IFERROR(__xludf.DUMMYFUNCTION("""COMPUTED_VALUE"""),1.0)</f>
        <v>1</v>
      </c>
      <c r="S1577" s="5">
        <f>IFERROR(__xludf.DUMMYFUNCTION("""COMPUTED_VALUE"""),625.0)</f>
        <v>625</v>
      </c>
      <c r="T1577" s="5" t="str">
        <f>IFERROR(__xludf.DUMMYFUNCTION("""COMPUTED_VALUE"""),"Mr. Nobody")</f>
        <v>Mr. Nobody</v>
      </c>
      <c r="U1577" s="5" t="str">
        <f>IFERROR(__xludf.DUMMYFUNCTION("""COMPUTED_VALUE"""),"Drama")</f>
        <v>Drama</v>
      </c>
      <c r="V1577" s="5">
        <f>IFERROR(__xludf.DUMMYFUNCTION("""COMPUTED_VALUE"""),1.0)</f>
        <v>1</v>
      </c>
    </row>
    <row r="1578">
      <c r="J1578" s="5" t="str">
        <f>IFERROR(__xludf.DUMMYFUNCTION("""COMPUTED_VALUE"""),"526🤙🏼My Left Foot: The Story of Christy Brown🤙🏼Drama🤙🏼2")</f>
        <v>526🤙🏼My Left Foot: The Story of Christy Brown🤙🏼Drama🤙🏼2</v>
      </c>
      <c r="K1578" s="5">
        <f>IFERROR(__xludf.DUMMYFUNCTION("SPLiT(J1578, ""🤙🏼"",FALSE,FALSE)"),526.0)</f>
        <v>526</v>
      </c>
      <c r="L1578" s="5" t="str">
        <f>IFERROR(__xludf.DUMMYFUNCTION("""COMPUTED_VALUE"""),"My Left Foot: The Story of Christy Brown")</f>
        <v>My Left Foot: The Story of Christy Brown</v>
      </c>
      <c r="M1578" s="5" t="str">
        <f>IFERROR(__xludf.DUMMYFUNCTION("""COMPUTED_VALUE"""),"Drama")</f>
        <v>Drama</v>
      </c>
      <c r="N1578" s="5">
        <f>IFERROR(__xludf.DUMMYFUNCTION("""COMPUTED_VALUE"""),2.0)</f>
        <v>2</v>
      </c>
      <c r="S1578" s="5">
        <f>IFERROR(__xludf.DUMMYFUNCTION("""COMPUTED_VALUE"""),625.0)</f>
        <v>625</v>
      </c>
      <c r="T1578" s="5" t="str">
        <f>IFERROR(__xludf.DUMMYFUNCTION("""COMPUTED_VALUE"""),"Mr. Nobody")</f>
        <v>Mr. Nobody</v>
      </c>
      <c r="U1578" s="5" t="str">
        <f>IFERROR(__xludf.DUMMYFUNCTION("""COMPUTED_VALUE"""),"Fantasy")</f>
        <v>Fantasy</v>
      </c>
      <c r="V1578" s="5">
        <f>IFERROR(__xludf.DUMMYFUNCTION("""COMPUTED_VALUE"""),2.0)</f>
        <v>2</v>
      </c>
    </row>
    <row r="1579">
      <c r="J1579" s="5" t="str">
        <f>IFERROR(__xludf.DUMMYFUNCTION("""COMPUTED_VALUE"""),"526🤙🏼My Left Foot: The Story of Christy Brown🤙🏼🤙🏼3")</f>
        <v>526🤙🏼My Left Foot: The Story of Christy Brown🤙🏼🤙🏼3</v>
      </c>
      <c r="K1579" s="5">
        <f>IFERROR(__xludf.DUMMYFUNCTION("SPLiT(J1579, ""🤙🏼"",FALSE,FALSE)"),526.0)</f>
        <v>526</v>
      </c>
      <c r="L1579" s="5" t="str">
        <f>IFERROR(__xludf.DUMMYFUNCTION("""COMPUTED_VALUE"""),"My Left Foot: The Story of Christy Brown")</f>
        <v>My Left Foot: The Story of Christy Brown</v>
      </c>
      <c r="M1579" s="5"/>
      <c r="N1579" s="5">
        <f>IFERROR(__xludf.DUMMYFUNCTION("""COMPUTED_VALUE"""),3.0)</f>
        <v>3</v>
      </c>
      <c r="S1579" s="5">
        <f>IFERROR(__xludf.DUMMYFUNCTION("""COMPUTED_VALUE"""),625.0)</f>
        <v>625</v>
      </c>
      <c r="T1579" s="5" t="str">
        <f>IFERROR(__xludf.DUMMYFUNCTION("""COMPUTED_VALUE"""),"Mr. Nobody")</f>
        <v>Mr. Nobody</v>
      </c>
      <c r="U1579" s="5" t="str">
        <f>IFERROR(__xludf.DUMMYFUNCTION("""COMPUTED_VALUE"""),"Romance")</f>
        <v>Romance</v>
      </c>
      <c r="V1579" s="5">
        <f>IFERROR(__xludf.DUMMYFUNCTION("""COMPUTED_VALUE"""),3.0)</f>
        <v>3</v>
      </c>
    </row>
    <row r="1580">
      <c r="J1580" s="5" t="str">
        <f>IFERROR(__xludf.DUMMYFUNCTION("""COMPUTED_VALUE"""),"527🤙🏼Crimes and Misdemeanors🤙🏼Comedy🤙🏼1")</f>
        <v>527🤙🏼Crimes and Misdemeanors🤙🏼Comedy🤙🏼1</v>
      </c>
      <c r="K1580" s="5">
        <f>IFERROR(__xludf.DUMMYFUNCTION("SPLiT(J1580, ""🤙🏼"",FALSE,FALSE)"),527.0)</f>
        <v>527</v>
      </c>
      <c r="L1580" s="5" t="str">
        <f>IFERROR(__xludf.DUMMYFUNCTION("""COMPUTED_VALUE"""),"Crimes and Misdemeanors")</f>
        <v>Crimes and Misdemeanors</v>
      </c>
      <c r="M1580" s="5" t="str">
        <f>IFERROR(__xludf.DUMMYFUNCTION("""COMPUTED_VALUE"""),"Comedy")</f>
        <v>Comedy</v>
      </c>
      <c r="N1580" s="5">
        <f>IFERROR(__xludf.DUMMYFUNCTION("""COMPUTED_VALUE"""),1.0)</f>
        <v>1</v>
      </c>
      <c r="S1580" s="5">
        <f>IFERROR(__xludf.DUMMYFUNCTION("""COMPUTED_VALUE"""),626.0)</f>
        <v>626</v>
      </c>
      <c r="T1580" s="5" t="str">
        <f>IFERROR(__xludf.DUMMYFUNCTION("""COMPUTED_VALUE"""),"Apocalypto")</f>
        <v>Apocalypto</v>
      </c>
      <c r="U1580" s="5" t="str">
        <f>IFERROR(__xludf.DUMMYFUNCTION("""COMPUTED_VALUE"""),"Action")</f>
        <v>Action</v>
      </c>
      <c r="V1580" s="5">
        <f>IFERROR(__xludf.DUMMYFUNCTION("""COMPUTED_VALUE"""),1.0)</f>
        <v>1</v>
      </c>
    </row>
    <row r="1581">
      <c r="J1581" s="5" t="str">
        <f>IFERROR(__xludf.DUMMYFUNCTION("""COMPUTED_VALUE"""),"527🤙🏼Crimes and Misdemeanors🤙🏼Drama🤙🏼2")</f>
        <v>527🤙🏼Crimes and Misdemeanors🤙🏼Drama🤙🏼2</v>
      </c>
      <c r="K1581" s="5">
        <f>IFERROR(__xludf.DUMMYFUNCTION("SPLiT(J1581, ""🤙🏼"",FALSE,FALSE)"),527.0)</f>
        <v>527</v>
      </c>
      <c r="L1581" s="5" t="str">
        <f>IFERROR(__xludf.DUMMYFUNCTION("""COMPUTED_VALUE"""),"Crimes and Misdemeanors")</f>
        <v>Crimes and Misdemeanors</v>
      </c>
      <c r="M1581" s="5" t="str">
        <f>IFERROR(__xludf.DUMMYFUNCTION("""COMPUTED_VALUE"""),"Drama")</f>
        <v>Drama</v>
      </c>
      <c r="N1581" s="5">
        <f>IFERROR(__xludf.DUMMYFUNCTION("""COMPUTED_VALUE"""),2.0)</f>
        <v>2</v>
      </c>
      <c r="S1581" s="5">
        <f>IFERROR(__xludf.DUMMYFUNCTION("""COMPUTED_VALUE"""),626.0)</f>
        <v>626</v>
      </c>
      <c r="T1581" s="5" t="str">
        <f>IFERROR(__xludf.DUMMYFUNCTION("""COMPUTED_VALUE"""),"Apocalypto")</f>
        <v>Apocalypto</v>
      </c>
      <c r="U1581" s="5" t="str">
        <f>IFERROR(__xludf.DUMMYFUNCTION("""COMPUTED_VALUE"""),"Adventure")</f>
        <v>Adventure</v>
      </c>
      <c r="V1581" s="5">
        <f>IFERROR(__xludf.DUMMYFUNCTION("""COMPUTED_VALUE"""),2.0)</f>
        <v>2</v>
      </c>
    </row>
    <row r="1582">
      <c r="J1582" s="5" t="str">
        <f>IFERROR(__xludf.DUMMYFUNCTION("""COMPUTED_VALUE"""),"527🤙🏼Crimes and Misdemeanors🤙🏼🤙🏼3")</f>
        <v>527🤙🏼Crimes and Misdemeanors🤙🏼🤙🏼3</v>
      </c>
      <c r="K1582" s="5">
        <f>IFERROR(__xludf.DUMMYFUNCTION("SPLiT(J1582, ""🤙🏼"",FALSE,FALSE)"),527.0)</f>
        <v>527</v>
      </c>
      <c r="L1582" s="5" t="str">
        <f>IFERROR(__xludf.DUMMYFUNCTION("""COMPUTED_VALUE"""),"Crimes and Misdemeanors")</f>
        <v>Crimes and Misdemeanors</v>
      </c>
      <c r="M1582" s="5"/>
      <c r="N1582" s="5">
        <f>IFERROR(__xludf.DUMMYFUNCTION("""COMPUTED_VALUE"""),3.0)</f>
        <v>3</v>
      </c>
      <c r="S1582" s="5">
        <f>IFERROR(__xludf.DUMMYFUNCTION("""COMPUTED_VALUE"""),626.0)</f>
        <v>626</v>
      </c>
      <c r="T1582" s="5" t="str">
        <f>IFERROR(__xludf.DUMMYFUNCTION("""COMPUTED_VALUE"""),"Apocalypto")</f>
        <v>Apocalypto</v>
      </c>
      <c r="U1582" s="5" t="str">
        <f>IFERROR(__xludf.DUMMYFUNCTION("""COMPUTED_VALUE"""),"Drama")</f>
        <v>Drama</v>
      </c>
      <c r="V1582" s="5">
        <f>IFERROR(__xludf.DUMMYFUNCTION("""COMPUTED_VALUE"""),3.0)</f>
        <v>3</v>
      </c>
    </row>
    <row r="1583">
      <c r="J1583" s="5" t="str">
        <f>IFERROR(__xludf.DUMMYFUNCTION("""COMPUTED_VALUE"""),"528🤙🏼The Untouchables🤙🏼Crime🤙🏼1")</f>
        <v>528🤙🏼The Untouchables🤙🏼Crime🤙🏼1</v>
      </c>
      <c r="K1583" s="5">
        <f>IFERROR(__xludf.DUMMYFUNCTION("SPLiT(J1583, ""🤙🏼"",FALSE,FALSE)"),528.0)</f>
        <v>528</v>
      </c>
      <c r="L1583" s="5" t="str">
        <f>IFERROR(__xludf.DUMMYFUNCTION("""COMPUTED_VALUE"""),"The Untouchables")</f>
        <v>The Untouchables</v>
      </c>
      <c r="M1583" s="5" t="str">
        <f>IFERROR(__xludf.DUMMYFUNCTION("""COMPUTED_VALUE"""),"Crime")</f>
        <v>Crime</v>
      </c>
      <c r="N1583" s="5">
        <f>IFERROR(__xludf.DUMMYFUNCTION("""COMPUTED_VALUE"""),1.0)</f>
        <v>1</v>
      </c>
      <c r="S1583" s="5">
        <f>IFERROR(__xludf.DUMMYFUNCTION("""COMPUTED_VALUE"""),627.0)</f>
        <v>627</v>
      </c>
      <c r="T1583" s="5" t="str">
        <f>IFERROR(__xludf.DUMMYFUNCTION("""COMPUTED_VALUE"""),"Little Miss Sunshine")</f>
        <v>Little Miss Sunshine</v>
      </c>
      <c r="U1583" s="5" t="str">
        <f>IFERROR(__xludf.DUMMYFUNCTION("""COMPUTED_VALUE"""),"Comedy")</f>
        <v>Comedy</v>
      </c>
      <c r="V1583" s="5">
        <f>IFERROR(__xludf.DUMMYFUNCTION("""COMPUTED_VALUE"""),1.0)</f>
        <v>1</v>
      </c>
    </row>
    <row r="1584">
      <c r="J1584" s="5" t="str">
        <f>IFERROR(__xludf.DUMMYFUNCTION("""COMPUTED_VALUE"""),"528🤙🏼The Untouchables🤙🏼Drama🤙🏼2")</f>
        <v>528🤙🏼The Untouchables🤙🏼Drama🤙🏼2</v>
      </c>
      <c r="K1584" s="5">
        <f>IFERROR(__xludf.DUMMYFUNCTION("SPLiT(J1584, ""🤙🏼"",FALSE,FALSE)"),528.0)</f>
        <v>528</v>
      </c>
      <c r="L1584" s="5" t="str">
        <f>IFERROR(__xludf.DUMMYFUNCTION("""COMPUTED_VALUE"""),"The Untouchables")</f>
        <v>The Untouchables</v>
      </c>
      <c r="M1584" s="5" t="str">
        <f>IFERROR(__xludf.DUMMYFUNCTION("""COMPUTED_VALUE"""),"Drama")</f>
        <v>Drama</v>
      </c>
      <c r="N1584" s="5">
        <f>IFERROR(__xludf.DUMMYFUNCTION("""COMPUTED_VALUE"""),2.0)</f>
        <v>2</v>
      </c>
      <c r="S1584" s="5">
        <f>IFERROR(__xludf.DUMMYFUNCTION("""COMPUTED_VALUE"""),627.0)</f>
        <v>627</v>
      </c>
      <c r="T1584" s="5" t="str">
        <f>IFERROR(__xludf.DUMMYFUNCTION("""COMPUTED_VALUE"""),"Little Miss Sunshine")</f>
        <v>Little Miss Sunshine</v>
      </c>
      <c r="U1584" s="5" t="str">
        <f>IFERROR(__xludf.DUMMYFUNCTION("""COMPUTED_VALUE"""),"Drama")</f>
        <v>Drama</v>
      </c>
      <c r="V1584" s="5">
        <f>IFERROR(__xludf.DUMMYFUNCTION("""COMPUTED_VALUE"""),2.0)</f>
        <v>2</v>
      </c>
    </row>
    <row r="1585">
      <c r="J1585" s="5" t="str">
        <f>IFERROR(__xludf.DUMMYFUNCTION("""COMPUTED_VALUE"""),"528🤙🏼The Untouchables🤙🏼Thriller🤙🏼3")</f>
        <v>528🤙🏼The Untouchables🤙🏼Thriller🤙🏼3</v>
      </c>
      <c r="K1585" s="5">
        <f>IFERROR(__xludf.DUMMYFUNCTION("SPLiT(J1585, ""🤙🏼"",FALSE,FALSE)"),528.0)</f>
        <v>528</v>
      </c>
      <c r="L1585" s="5" t="str">
        <f>IFERROR(__xludf.DUMMYFUNCTION("""COMPUTED_VALUE"""),"The Untouchables")</f>
        <v>The Untouchables</v>
      </c>
      <c r="M1585" s="5" t="str">
        <f>IFERROR(__xludf.DUMMYFUNCTION("""COMPUTED_VALUE"""),"Thriller")</f>
        <v>Thriller</v>
      </c>
      <c r="N1585" s="5">
        <f>IFERROR(__xludf.DUMMYFUNCTION("""COMPUTED_VALUE"""),3.0)</f>
        <v>3</v>
      </c>
      <c r="S1585" s="5">
        <f>IFERROR(__xludf.DUMMYFUNCTION("""COMPUTED_VALUE"""),628.0)</f>
        <v>628</v>
      </c>
      <c r="T1585" s="5" t="str">
        <f>IFERROR(__xludf.DUMMYFUNCTION("""COMPUTED_VALUE"""),"Hot Fuzz")</f>
        <v>Hot Fuzz</v>
      </c>
      <c r="U1585" s="5" t="str">
        <f>IFERROR(__xludf.DUMMYFUNCTION("""COMPUTED_VALUE"""),"Action")</f>
        <v>Action</v>
      </c>
      <c r="V1585" s="5">
        <f>IFERROR(__xludf.DUMMYFUNCTION("""COMPUTED_VALUE"""),1.0)</f>
        <v>1</v>
      </c>
    </row>
    <row r="1586">
      <c r="J1586" s="5" t="str">
        <f>IFERROR(__xludf.DUMMYFUNCTION("""COMPUTED_VALUE"""),"529🤙🏼Hannah and Her Sisters🤙🏼Comedy🤙🏼1")</f>
        <v>529🤙🏼Hannah and Her Sisters🤙🏼Comedy🤙🏼1</v>
      </c>
      <c r="K1586" s="5">
        <f>IFERROR(__xludf.DUMMYFUNCTION("SPLiT(J1586, ""🤙🏼"",FALSE,FALSE)"),529.0)</f>
        <v>529</v>
      </c>
      <c r="L1586" s="5" t="str">
        <f>IFERROR(__xludf.DUMMYFUNCTION("""COMPUTED_VALUE"""),"Hannah and Her Sisters")</f>
        <v>Hannah and Her Sisters</v>
      </c>
      <c r="M1586" s="5" t="str">
        <f>IFERROR(__xludf.DUMMYFUNCTION("""COMPUTED_VALUE"""),"Comedy")</f>
        <v>Comedy</v>
      </c>
      <c r="N1586" s="5">
        <f>IFERROR(__xludf.DUMMYFUNCTION("""COMPUTED_VALUE"""),1.0)</f>
        <v>1</v>
      </c>
      <c r="S1586" s="5">
        <f>IFERROR(__xludf.DUMMYFUNCTION("""COMPUTED_VALUE"""),628.0)</f>
        <v>628</v>
      </c>
      <c r="T1586" s="5" t="str">
        <f>IFERROR(__xludf.DUMMYFUNCTION("""COMPUTED_VALUE"""),"Hot Fuzz")</f>
        <v>Hot Fuzz</v>
      </c>
      <c r="U1586" s="5" t="str">
        <f>IFERROR(__xludf.DUMMYFUNCTION("""COMPUTED_VALUE"""),"Comedy")</f>
        <v>Comedy</v>
      </c>
      <c r="V1586" s="5">
        <f>IFERROR(__xludf.DUMMYFUNCTION("""COMPUTED_VALUE"""),2.0)</f>
        <v>2</v>
      </c>
    </row>
    <row r="1587">
      <c r="J1587" s="5" t="str">
        <f>IFERROR(__xludf.DUMMYFUNCTION("""COMPUTED_VALUE"""),"529🤙🏼Hannah and Her Sisters🤙🏼Drama🤙🏼2")</f>
        <v>529🤙🏼Hannah and Her Sisters🤙🏼Drama🤙🏼2</v>
      </c>
      <c r="K1587" s="5">
        <f>IFERROR(__xludf.DUMMYFUNCTION("SPLiT(J1587, ""🤙🏼"",FALSE,FALSE)"),529.0)</f>
        <v>529</v>
      </c>
      <c r="L1587" s="5" t="str">
        <f>IFERROR(__xludf.DUMMYFUNCTION("""COMPUTED_VALUE"""),"Hannah and Her Sisters")</f>
        <v>Hannah and Her Sisters</v>
      </c>
      <c r="M1587" s="5" t="str">
        <f>IFERROR(__xludf.DUMMYFUNCTION("""COMPUTED_VALUE"""),"Drama")</f>
        <v>Drama</v>
      </c>
      <c r="N1587" s="5">
        <f>IFERROR(__xludf.DUMMYFUNCTION("""COMPUTED_VALUE"""),2.0)</f>
        <v>2</v>
      </c>
      <c r="S1587" s="5">
        <f>IFERROR(__xludf.DUMMYFUNCTION("""COMPUTED_VALUE"""),628.0)</f>
        <v>628</v>
      </c>
      <c r="T1587" s="5" t="str">
        <f>IFERROR(__xludf.DUMMYFUNCTION("""COMPUTED_VALUE"""),"Hot Fuzz")</f>
        <v>Hot Fuzz</v>
      </c>
      <c r="U1587" s="5" t="str">
        <f>IFERROR(__xludf.DUMMYFUNCTION("""COMPUTED_VALUE"""),"Mystery")</f>
        <v>Mystery</v>
      </c>
      <c r="V1587" s="5">
        <f>IFERROR(__xludf.DUMMYFUNCTION("""COMPUTED_VALUE"""),3.0)</f>
        <v>3</v>
      </c>
    </row>
    <row r="1588">
      <c r="J1588" s="5" t="str">
        <f>IFERROR(__xludf.DUMMYFUNCTION("""COMPUTED_VALUE"""),"529🤙🏼Hannah and Her Sisters🤙🏼🤙🏼3")</f>
        <v>529🤙🏼Hannah and Her Sisters🤙🏼🤙🏼3</v>
      </c>
      <c r="K1588" s="5">
        <f>IFERROR(__xludf.DUMMYFUNCTION("SPLiT(J1588, ""🤙🏼"",FALSE,FALSE)"),529.0)</f>
        <v>529</v>
      </c>
      <c r="L1588" s="5" t="str">
        <f>IFERROR(__xludf.DUMMYFUNCTION("""COMPUTED_VALUE"""),"Hannah and Her Sisters")</f>
        <v>Hannah and Her Sisters</v>
      </c>
      <c r="M1588" s="5"/>
      <c r="N1588" s="5">
        <f>IFERROR(__xludf.DUMMYFUNCTION("""COMPUTED_VALUE"""),3.0)</f>
        <v>3</v>
      </c>
      <c r="S1588" s="5">
        <f>IFERROR(__xludf.DUMMYFUNCTION("""COMPUTED_VALUE"""),629.0)</f>
        <v>629</v>
      </c>
      <c r="T1588" s="5" t="str">
        <f>IFERROR(__xludf.DUMMYFUNCTION("""COMPUTED_VALUE"""),"The Curious Case of Benjamin Button")</f>
        <v>The Curious Case of Benjamin Button</v>
      </c>
      <c r="U1588" s="5" t="str">
        <f>IFERROR(__xludf.DUMMYFUNCTION("""COMPUTED_VALUE"""),"Drama")</f>
        <v>Drama</v>
      </c>
      <c r="V1588" s="5">
        <f>IFERROR(__xludf.DUMMYFUNCTION("""COMPUTED_VALUE"""),1.0)</f>
        <v>1</v>
      </c>
    </row>
    <row r="1589">
      <c r="J1589" s="5" t="str">
        <f>IFERROR(__xludf.DUMMYFUNCTION("""COMPUTED_VALUE"""),"530🤙🏼Brazil🤙🏼Drama🤙🏼1")</f>
        <v>530🤙🏼Brazil🤙🏼Drama🤙🏼1</v>
      </c>
      <c r="K1589" s="5">
        <f>IFERROR(__xludf.DUMMYFUNCTION("SPLiT(J1589, ""🤙🏼"",FALSE,FALSE)"),530.0)</f>
        <v>530</v>
      </c>
      <c r="L1589" s="5" t="str">
        <f>IFERROR(__xludf.DUMMYFUNCTION("""COMPUTED_VALUE"""),"Brazil")</f>
        <v>Brazil</v>
      </c>
      <c r="M1589" s="5" t="str">
        <f>IFERROR(__xludf.DUMMYFUNCTION("""COMPUTED_VALUE"""),"Drama")</f>
        <v>Drama</v>
      </c>
      <c r="N1589" s="5">
        <f>IFERROR(__xludf.DUMMYFUNCTION("""COMPUTED_VALUE"""),1.0)</f>
        <v>1</v>
      </c>
      <c r="S1589" s="5">
        <f>IFERROR(__xludf.DUMMYFUNCTION("""COMPUTED_VALUE"""),629.0)</f>
        <v>629</v>
      </c>
      <c r="T1589" s="5" t="str">
        <f>IFERROR(__xludf.DUMMYFUNCTION("""COMPUTED_VALUE"""),"The Curious Case of Benjamin Button")</f>
        <v>The Curious Case of Benjamin Button</v>
      </c>
      <c r="U1589" s="5" t="str">
        <f>IFERROR(__xludf.DUMMYFUNCTION("""COMPUTED_VALUE"""),"Fantasy")</f>
        <v>Fantasy</v>
      </c>
      <c r="V1589" s="5">
        <f>IFERROR(__xludf.DUMMYFUNCTION("""COMPUTED_VALUE"""),2.0)</f>
        <v>2</v>
      </c>
    </row>
    <row r="1590">
      <c r="J1590" s="5" t="str">
        <f>IFERROR(__xludf.DUMMYFUNCTION("""COMPUTED_VALUE"""),"530🤙🏼Brazil🤙🏼Sci-Fi🤙🏼2")</f>
        <v>530🤙🏼Brazil🤙🏼Sci-Fi🤙🏼2</v>
      </c>
      <c r="K1590" s="5">
        <f>IFERROR(__xludf.DUMMYFUNCTION("SPLiT(J1590, ""🤙🏼"",FALSE,FALSE)"),530.0)</f>
        <v>530</v>
      </c>
      <c r="L1590" s="5" t="str">
        <f>IFERROR(__xludf.DUMMYFUNCTION("""COMPUTED_VALUE"""),"Brazil")</f>
        <v>Brazil</v>
      </c>
      <c r="M1590" s="5" t="str">
        <f>IFERROR(__xludf.DUMMYFUNCTION("""COMPUTED_VALUE"""),"Sci-Fi")</f>
        <v>Sci-Fi</v>
      </c>
      <c r="N1590" s="5">
        <f>IFERROR(__xludf.DUMMYFUNCTION("""COMPUTED_VALUE"""),2.0)</f>
        <v>2</v>
      </c>
      <c r="S1590" s="5">
        <f>IFERROR(__xludf.DUMMYFUNCTION("""COMPUTED_VALUE"""),629.0)</f>
        <v>629</v>
      </c>
      <c r="T1590" s="5" t="str">
        <f>IFERROR(__xludf.DUMMYFUNCTION("""COMPUTED_VALUE"""),"The Curious Case of Benjamin Button")</f>
        <v>The Curious Case of Benjamin Button</v>
      </c>
      <c r="U1590" s="5" t="str">
        <f>IFERROR(__xludf.DUMMYFUNCTION("""COMPUTED_VALUE"""),"Romance")</f>
        <v>Romance</v>
      </c>
      <c r="V1590" s="5">
        <f>IFERROR(__xludf.DUMMYFUNCTION("""COMPUTED_VALUE"""),3.0)</f>
        <v>3</v>
      </c>
    </row>
    <row r="1591">
      <c r="J1591" s="5" t="str">
        <f>IFERROR(__xludf.DUMMYFUNCTION("""COMPUTED_VALUE"""),"530🤙🏼Brazil🤙🏼🤙🏼3")</f>
        <v>530🤙🏼Brazil🤙🏼🤙🏼3</v>
      </c>
      <c r="K1591" s="5">
        <f>IFERROR(__xludf.DUMMYFUNCTION("SPLiT(J1591, ""🤙🏼"",FALSE,FALSE)"),530.0)</f>
        <v>530</v>
      </c>
      <c r="L1591" s="5" t="str">
        <f>IFERROR(__xludf.DUMMYFUNCTION("""COMPUTED_VALUE"""),"Brazil")</f>
        <v>Brazil</v>
      </c>
      <c r="M1591" s="5"/>
      <c r="N1591" s="5">
        <f>IFERROR(__xludf.DUMMYFUNCTION("""COMPUTED_VALUE"""),3.0)</f>
        <v>3</v>
      </c>
      <c r="S1591" s="5">
        <f>IFERROR(__xludf.DUMMYFUNCTION("""COMPUTED_VALUE"""),630.0)</f>
        <v>630</v>
      </c>
      <c r="T1591" s="5" t="str">
        <f>IFERROR(__xludf.DUMMYFUNCTION("""COMPUTED_VALUE"""),"Veer-Zaara")</f>
        <v>Veer-Zaara</v>
      </c>
      <c r="U1591" s="5" t="str">
        <f>IFERROR(__xludf.DUMMYFUNCTION("""COMPUTED_VALUE"""),"Drama")</f>
        <v>Drama</v>
      </c>
      <c r="V1591" s="5">
        <f>IFERROR(__xludf.DUMMYFUNCTION("""COMPUTED_VALUE"""),1.0)</f>
        <v>1</v>
      </c>
    </row>
    <row r="1592">
      <c r="J1592" s="5" t="str">
        <f>IFERROR(__xludf.DUMMYFUNCTION("""COMPUTED_VALUE"""),"531🤙🏼This Is Spinal Tap🤙🏼Comedy🤙🏼1")</f>
        <v>531🤙🏼This Is Spinal Tap🤙🏼Comedy🤙🏼1</v>
      </c>
      <c r="K1592" s="5">
        <f>IFERROR(__xludf.DUMMYFUNCTION("SPLiT(J1592, ""🤙🏼"",FALSE,FALSE)"),531.0)</f>
        <v>531</v>
      </c>
      <c r="L1592" s="5" t="str">
        <f>IFERROR(__xludf.DUMMYFUNCTION("""COMPUTED_VALUE"""),"This Is Spinal Tap")</f>
        <v>This Is Spinal Tap</v>
      </c>
      <c r="M1592" s="5" t="str">
        <f>IFERROR(__xludf.DUMMYFUNCTION("""COMPUTED_VALUE"""),"Comedy")</f>
        <v>Comedy</v>
      </c>
      <c r="N1592" s="5">
        <f>IFERROR(__xludf.DUMMYFUNCTION("""COMPUTED_VALUE"""),1.0)</f>
        <v>1</v>
      </c>
      <c r="S1592" s="5">
        <f>IFERROR(__xludf.DUMMYFUNCTION("""COMPUTED_VALUE"""),630.0)</f>
        <v>630</v>
      </c>
      <c r="T1592" s="5" t="str">
        <f>IFERROR(__xludf.DUMMYFUNCTION("""COMPUTED_VALUE"""),"Veer-Zaara")</f>
        <v>Veer-Zaara</v>
      </c>
      <c r="U1592" s="5" t="str">
        <f>IFERROR(__xludf.DUMMYFUNCTION("""COMPUTED_VALUE"""),"Family")</f>
        <v>Family</v>
      </c>
      <c r="V1592" s="5">
        <f>IFERROR(__xludf.DUMMYFUNCTION("""COMPUTED_VALUE"""),2.0)</f>
        <v>2</v>
      </c>
    </row>
    <row r="1593">
      <c r="J1593" s="5" t="str">
        <f>IFERROR(__xludf.DUMMYFUNCTION("""COMPUTED_VALUE"""),"531🤙🏼This Is Spinal Tap🤙🏼Music🤙🏼2")</f>
        <v>531🤙🏼This Is Spinal Tap🤙🏼Music🤙🏼2</v>
      </c>
      <c r="K1593" s="5">
        <f>IFERROR(__xludf.DUMMYFUNCTION("SPLiT(J1593, ""🤙🏼"",FALSE,FALSE)"),531.0)</f>
        <v>531</v>
      </c>
      <c r="L1593" s="5" t="str">
        <f>IFERROR(__xludf.DUMMYFUNCTION("""COMPUTED_VALUE"""),"This Is Spinal Tap")</f>
        <v>This Is Spinal Tap</v>
      </c>
      <c r="M1593" s="5" t="str">
        <f>IFERROR(__xludf.DUMMYFUNCTION("""COMPUTED_VALUE"""),"Music")</f>
        <v>Music</v>
      </c>
      <c r="N1593" s="5">
        <f>IFERROR(__xludf.DUMMYFUNCTION("""COMPUTED_VALUE"""),2.0)</f>
        <v>2</v>
      </c>
      <c r="S1593" s="5">
        <f>IFERROR(__xludf.DUMMYFUNCTION("""COMPUTED_VALUE"""),630.0)</f>
        <v>630</v>
      </c>
      <c r="T1593" s="5" t="str">
        <f>IFERROR(__xludf.DUMMYFUNCTION("""COMPUTED_VALUE"""),"Veer-Zaara")</f>
        <v>Veer-Zaara</v>
      </c>
      <c r="U1593" s="5" t="str">
        <f>IFERROR(__xludf.DUMMYFUNCTION("""COMPUTED_VALUE"""),"Musical")</f>
        <v>Musical</v>
      </c>
      <c r="V1593" s="5">
        <f>IFERROR(__xludf.DUMMYFUNCTION("""COMPUTED_VALUE"""),3.0)</f>
        <v>3</v>
      </c>
    </row>
    <row r="1594">
      <c r="J1594" s="5" t="str">
        <f>IFERROR(__xludf.DUMMYFUNCTION("""COMPUTED_VALUE"""),"531🤙🏼This Is Spinal Tap🤙🏼🤙🏼3")</f>
        <v>531🤙🏼This Is Spinal Tap🤙🏼🤙🏼3</v>
      </c>
      <c r="K1594" s="5">
        <f>IFERROR(__xludf.DUMMYFUNCTION("SPLiT(J1594, ""🤙🏼"",FALSE,FALSE)"),531.0)</f>
        <v>531</v>
      </c>
      <c r="L1594" s="5" t="str">
        <f>IFERROR(__xludf.DUMMYFUNCTION("""COMPUTED_VALUE"""),"This Is Spinal Tap")</f>
        <v>This Is Spinal Tap</v>
      </c>
      <c r="M1594" s="5"/>
      <c r="N1594" s="5">
        <f>IFERROR(__xludf.DUMMYFUNCTION("""COMPUTED_VALUE"""),3.0)</f>
        <v>3</v>
      </c>
      <c r="S1594" s="5">
        <f>IFERROR(__xludf.DUMMYFUNCTION("""COMPUTED_VALUE"""),631.0)</f>
        <v>631</v>
      </c>
      <c r="T1594" s="5" t="str">
        <f>IFERROR(__xludf.DUMMYFUNCTION("""COMPUTED_VALUE"""),"Adams æbler")</f>
        <v>Adams æbler</v>
      </c>
      <c r="U1594" s="5" t="str">
        <f>IFERROR(__xludf.DUMMYFUNCTION("""COMPUTED_VALUE"""),"Comedy")</f>
        <v>Comedy</v>
      </c>
      <c r="V1594" s="5">
        <f>IFERROR(__xludf.DUMMYFUNCTION("""COMPUTED_VALUE"""),1.0)</f>
        <v>1</v>
      </c>
    </row>
    <row r="1595">
      <c r="J1595" s="5" t="str">
        <f>IFERROR(__xludf.DUMMYFUNCTION("""COMPUTED_VALUE"""),"532🤙🏼A Christmas Story🤙🏼Comedy🤙🏼1")</f>
        <v>532🤙🏼A Christmas Story🤙🏼Comedy🤙🏼1</v>
      </c>
      <c r="K1595" s="5">
        <f>IFERROR(__xludf.DUMMYFUNCTION("SPLiT(J1595, ""🤙🏼"",FALSE,FALSE)"),532.0)</f>
        <v>532</v>
      </c>
      <c r="L1595" s="5" t="str">
        <f>IFERROR(__xludf.DUMMYFUNCTION("""COMPUTED_VALUE"""),"A Christmas Story")</f>
        <v>A Christmas Story</v>
      </c>
      <c r="M1595" s="5" t="str">
        <f>IFERROR(__xludf.DUMMYFUNCTION("""COMPUTED_VALUE"""),"Comedy")</f>
        <v>Comedy</v>
      </c>
      <c r="N1595" s="5">
        <f>IFERROR(__xludf.DUMMYFUNCTION("""COMPUTED_VALUE"""),1.0)</f>
        <v>1</v>
      </c>
      <c r="S1595" s="5">
        <f>IFERROR(__xludf.DUMMYFUNCTION("""COMPUTED_VALUE"""),631.0)</f>
        <v>631</v>
      </c>
      <c r="T1595" s="5" t="str">
        <f>IFERROR(__xludf.DUMMYFUNCTION("""COMPUTED_VALUE"""),"Adams æbler")</f>
        <v>Adams æbler</v>
      </c>
      <c r="U1595" s="5" t="str">
        <f>IFERROR(__xludf.DUMMYFUNCTION("""COMPUTED_VALUE"""),"Crime")</f>
        <v>Crime</v>
      </c>
      <c r="V1595" s="5">
        <f>IFERROR(__xludf.DUMMYFUNCTION("""COMPUTED_VALUE"""),2.0)</f>
        <v>2</v>
      </c>
    </row>
    <row r="1596">
      <c r="J1596" s="5" t="str">
        <f>IFERROR(__xludf.DUMMYFUNCTION("""COMPUTED_VALUE"""),"532🤙🏼A Christmas Story🤙🏼Family🤙🏼2")</f>
        <v>532🤙🏼A Christmas Story🤙🏼Family🤙🏼2</v>
      </c>
      <c r="K1596" s="5">
        <f>IFERROR(__xludf.DUMMYFUNCTION("SPLiT(J1596, ""🤙🏼"",FALSE,FALSE)"),532.0)</f>
        <v>532</v>
      </c>
      <c r="L1596" s="5" t="str">
        <f>IFERROR(__xludf.DUMMYFUNCTION("""COMPUTED_VALUE"""),"A Christmas Story")</f>
        <v>A Christmas Story</v>
      </c>
      <c r="M1596" s="5" t="str">
        <f>IFERROR(__xludf.DUMMYFUNCTION("""COMPUTED_VALUE"""),"Family")</f>
        <v>Family</v>
      </c>
      <c r="N1596" s="5">
        <f>IFERROR(__xludf.DUMMYFUNCTION("""COMPUTED_VALUE"""),2.0)</f>
        <v>2</v>
      </c>
      <c r="S1596" s="5">
        <f>IFERROR(__xludf.DUMMYFUNCTION("""COMPUTED_VALUE"""),631.0)</f>
        <v>631</v>
      </c>
      <c r="T1596" s="5" t="str">
        <f>IFERROR(__xludf.DUMMYFUNCTION("""COMPUTED_VALUE"""),"Adams æbler")</f>
        <v>Adams æbler</v>
      </c>
      <c r="U1596" s="5" t="str">
        <f>IFERROR(__xludf.DUMMYFUNCTION("""COMPUTED_VALUE"""),"Drama")</f>
        <v>Drama</v>
      </c>
      <c r="V1596" s="5">
        <f>IFERROR(__xludf.DUMMYFUNCTION("""COMPUTED_VALUE"""),3.0)</f>
        <v>3</v>
      </c>
    </row>
    <row r="1597">
      <c r="J1597" s="5" t="str">
        <f>IFERROR(__xludf.DUMMYFUNCTION("""COMPUTED_VALUE"""),"532🤙🏼A Christmas Story🤙🏼🤙🏼3")</f>
        <v>532🤙🏼A Christmas Story🤙🏼🤙🏼3</v>
      </c>
      <c r="K1597" s="5">
        <f>IFERROR(__xludf.DUMMYFUNCTION("SPLiT(J1597, ""🤙🏼"",FALSE,FALSE)"),532.0)</f>
        <v>532</v>
      </c>
      <c r="L1597" s="5" t="str">
        <f>IFERROR(__xludf.DUMMYFUNCTION("""COMPUTED_VALUE"""),"A Christmas Story")</f>
        <v>A Christmas Story</v>
      </c>
      <c r="M1597" s="5"/>
      <c r="N1597" s="5">
        <f>IFERROR(__xludf.DUMMYFUNCTION("""COMPUTED_VALUE"""),3.0)</f>
        <v>3</v>
      </c>
      <c r="S1597" s="5">
        <f>IFERROR(__xludf.DUMMYFUNCTION("""COMPUTED_VALUE"""),632.0)</f>
        <v>632</v>
      </c>
      <c r="T1597" s="5" t="str">
        <f>IFERROR(__xludf.DUMMYFUNCTION("""COMPUTED_VALUE"""),"Pride &amp; Prejudice")</f>
        <v>Pride &amp; Prejudice</v>
      </c>
      <c r="U1597" s="5" t="str">
        <f>IFERROR(__xludf.DUMMYFUNCTION("""COMPUTED_VALUE"""),"Drama")</f>
        <v>Drama</v>
      </c>
      <c r="V1597" s="5">
        <f>IFERROR(__xludf.DUMMYFUNCTION("""COMPUTED_VALUE"""),1.0)</f>
        <v>1</v>
      </c>
    </row>
    <row r="1598">
      <c r="J1598" s="5" t="str">
        <f>IFERROR(__xludf.DUMMYFUNCTION("""COMPUTED_VALUE"""),"533🤙🏼The Blues Brothers🤙🏼Action🤙🏼1")</f>
        <v>533🤙🏼The Blues Brothers🤙🏼Action🤙🏼1</v>
      </c>
      <c r="K1598" s="5">
        <f>IFERROR(__xludf.DUMMYFUNCTION("SPLiT(J1598, ""🤙🏼"",FALSE,FALSE)"),533.0)</f>
        <v>533</v>
      </c>
      <c r="L1598" s="5" t="str">
        <f>IFERROR(__xludf.DUMMYFUNCTION("""COMPUTED_VALUE"""),"The Blues Brothers")</f>
        <v>The Blues Brothers</v>
      </c>
      <c r="M1598" s="5" t="str">
        <f>IFERROR(__xludf.DUMMYFUNCTION("""COMPUTED_VALUE"""),"Action")</f>
        <v>Action</v>
      </c>
      <c r="N1598" s="5">
        <f>IFERROR(__xludf.DUMMYFUNCTION("""COMPUTED_VALUE"""),1.0)</f>
        <v>1</v>
      </c>
      <c r="S1598" s="5">
        <f>IFERROR(__xludf.DUMMYFUNCTION("""COMPUTED_VALUE"""),632.0)</f>
        <v>632</v>
      </c>
      <c r="T1598" s="5" t="str">
        <f>IFERROR(__xludf.DUMMYFUNCTION("""COMPUTED_VALUE"""),"Pride &amp; Prejudice")</f>
        <v>Pride &amp; Prejudice</v>
      </c>
      <c r="U1598" s="5" t="str">
        <f>IFERROR(__xludf.DUMMYFUNCTION("""COMPUTED_VALUE"""),"Romance")</f>
        <v>Romance</v>
      </c>
      <c r="V1598" s="5">
        <f>IFERROR(__xludf.DUMMYFUNCTION("""COMPUTED_VALUE"""),2.0)</f>
        <v>2</v>
      </c>
    </row>
    <row r="1599">
      <c r="J1599" s="5" t="str">
        <f>IFERROR(__xludf.DUMMYFUNCTION("""COMPUTED_VALUE"""),"533🤙🏼The Blues Brothers🤙🏼Adventure🤙🏼2")</f>
        <v>533🤙🏼The Blues Brothers🤙🏼Adventure🤙🏼2</v>
      </c>
      <c r="K1599" s="5">
        <f>IFERROR(__xludf.DUMMYFUNCTION("SPLiT(J1599, ""🤙🏼"",FALSE,FALSE)"),533.0)</f>
        <v>533</v>
      </c>
      <c r="L1599" s="5" t="str">
        <f>IFERROR(__xludf.DUMMYFUNCTION("""COMPUTED_VALUE"""),"The Blues Brothers")</f>
        <v>The Blues Brothers</v>
      </c>
      <c r="M1599" s="5" t="str">
        <f>IFERROR(__xludf.DUMMYFUNCTION("""COMPUTED_VALUE"""),"Adventure")</f>
        <v>Adventure</v>
      </c>
      <c r="N1599" s="5">
        <f>IFERROR(__xludf.DUMMYFUNCTION("""COMPUTED_VALUE"""),2.0)</f>
        <v>2</v>
      </c>
      <c r="S1599" s="5">
        <f>IFERROR(__xludf.DUMMYFUNCTION("""COMPUTED_VALUE"""),633.0)</f>
        <v>633</v>
      </c>
      <c r="T1599" s="5" t="str">
        <f>IFERROR(__xludf.DUMMYFUNCTION("""COMPUTED_VALUE"""),"The World's Fastest Indian")</f>
        <v>The World's Fastest Indian</v>
      </c>
      <c r="U1599" s="5" t="str">
        <f>IFERROR(__xludf.DUMMYFUNCTION("""COMPUTED_VALUE"""),"Biography")</f>
        <v>Biography</v>
      </c>
      <c r="V1599" s="5">
        <f>IFERROR(__xludf.DUMMYFUNCTION("""COMPUTED_VALUE"""),1.0)</f>
        <v>1</v>
      </c>
    </row>
    <row r="1600">
      <c r="J1600" s="5" t="str">
        <f>IFERROR(__xludf.DUMMYFUNCTION("""COMPUTED_VALUE"""),"533🤙🏼The Blues Brothers🤙🏼Comedy🤙🏼3")</f>
        <v>533🤙🏼The Blues Brothers🤙🏼Comedy🤙🏼3</v>
      </c>
      <c r="K1600" s="5">
        <f>IFERROR(__xludf.DUMMYFUNCTION("SPLiT(J1600, ""🤙🏼"",FALSE,FALSE)"),533.0)</f>
        <v>533</v>
      </c>
      <c r="L1600" s="5" t="str">
        <f>IFERROR(__xludf.DUMMYFUNCTION("""COMPUTED_VALUE"""),"The Blues Brothers")</f>
        <v>The Blues Brothers</v>
      </c>
      <c r="M1600" s="5" t="str">
        <f>IFERROR(__xludf.DUMMYFUNCTION("""COMPUTED_VALUE"""),"Comedy")</f>
        <v>Comedy</v>
      </c>
      <c r="N1600" s="5">
        <f>IFERROR(__xludf.DUMMYFUNCTION("""COMPUTED_VALUE"""),3.0)</f>
        <v>3</v>
      </c>
      <c r="S1600" s="5">
        <f>IFERROR(__xludf.DUMMYFUNCTION("""COMPUTED_VALUE"""),633.0)</f>
        <v>633</v>
      </c>
      <c r="T1600" s="5" t="str">
        <f>IFERROR(__xludf.DUMMYFUNCTION("""COMPUTED_VALUE"""),"The World's Fastest Indian")</f>
        <v>The World's Fastest Indian</v>
      </c>
      <c r="U1600" s="5" t="str">
        <f>IFERROR(__xludf.DUMMYFUNCTION("""COMPUTED_VALUE"""),"Drama")</f>
        <v>Drama</v>
      </c>
      <c r="V1600" s="5">
        <f>IFERROR(__xludf.DUMMYFUNCTION("""COMPUTED_VALUE"""),2.0)</f>
        <v>2</v>
      </c>
    </row>
    <row r="1601">
      <c r="J1601" s="5" t="str">
        <f>IFERROR(__xludf.DUMMYFUNCTION("""COMPUTED_VALUE"""),"534🤙🏼Manhattan🤙🏼Comedy🤙🏼1")</f>
        <v>534🤙🏼Manhattan🤙🏼Comedy🤙🏼1</v>
      </c>
      <c r="K1601" s="5">
        <f>IFERROR(__xludf.DUMMYFUNCTION("SPLiT(J1601, ""🤙🏼"",FALSE,FALSE)"),534.0)</f>
        <v>534</v>
      </c>
      <c r="L1601" s="5" t="str">
        <f>IFERROR(__xludf.DUMMYFUNCTION("""COMPUTED_VALUE"""),"Manhattan")</f>
        <v>Manhattan</v>
      </c>
      <c r="M1601" s="5" t="str">
        <f>IFERROR(__xludf.DUMMYFUNCTION("""COMPUTED_VALUE"""),"Comedy")</f>
        <v>Comedy</v>
      </c>
      <c r="N1601" s="5">
        <f>IFERROR(__xludf.DUMMYFUNCTION("""COMPUTED_VALUE"""),1.0)</f>
        <v>1</v>
      </c>
      <c r="S1601" s="5">
        <f>IFERROR(__xludf.DUMMYFUNCTION("""COMPUTED_VALUE"""),633.0)</f>
        <v>633</v>
      </c>
      <c r="T1601" s="5" t="str">
        <f>IFERROR(__xludf.DUMMYFUNCTION("""COMPUTED_VALUE"""),"The World's Fastest Indian")</f>
        <v>The World's Fastest Indian</v>
      </c>
      <c r="U1601" s="5" t="str">
        <f>IFERROR(__xludf.DUMMYFUNCTION("""COMPUTED_VALUE"""),"Sport")</f>
        <v>Sport</v>
      </c>
      <c r="V1601" s="5">
        <f>IFERROR(__xludf.DUMMYFUNCTION("""COMPUTED_VALUE"""),3.0)</f>
        <v>3</v>
      </c>
    </row>
    <row r="1602">
      <c r="J1602" s="5" t="str">
        <f>IFERROR(__xludf.DUMMYFUNCTION("""COMPUTED_VALUE"""),"534🤙🏼Manhattan🤙🏼Drama🤙🏼2")</f>
        <v>534🤙🏼Manhattan🤙🏼Drama🤙🏼2</v>
      </c>
      <c r="K1602" s="5">
        <f>IFERROR(__xludf.DUMMYFUNCTION("SPLiT(J1602, ""🤙🏼"",FALSE,FALSE)"),534.0)</f>
        <v>534</v>
      </c>
      <c r="L1602" s="5" t="str">
        <f>IFERROR(__xludf.DUMMYFUNCTION("""COMPUTED_VALUE"""),"Manhattan")</f>
        <v>Manhattan</v>
      </c>
      <c r="M1602" s="5" t="str">
        <f>IFERROR(__xludf.DUMMYFUNCTION("""COMPUTED_VALUE"""),"Drama")</f>
        <v>Drama</v>
      </c>
      <c r="N1602" s="5">
        <f>IFERROR(__xludf.DUMMYFUNCTION("""COMPUTED_VALUE"""),2.0)</f>
        <v>2</v>
      </c>
      <c r="S1602" s="5">
        <f>IFERROR(__xludf.DUMMYFUNCTION("""COMPUTED_VALUE"""),634.0)</f>
        <v>634</v>
      </c>
      <c r="T1602" s="5" t="str">
        <f>IFERROR(__xludf.DUMMYFUNCTION("""COMPUTED_VALUE"""),"Tôkyô goddofâzâzu")</f>
        <v>Tôkyô goddofâzâzu</v>
      </c>
      <c r="U1602" s="5" t="str">
        <f>IFERROR(__xludf.DUMMYFUNCTION("""COMPUTED_VALUE"""),"Animation")</f>
        <v>Animation</v>
      </c>
      <c r="V1602" s="5">
        <f>IFERROR(__xludf.DUMMYFUNCTION("""COMPUTED_VALUE"""),1.0)</f>
        <v>1</v>
      </c>
    </row>
    <row r="1603">
      <c r="J1603" s="5" t="str">
        <f>IFERROR(__xludf.DUMMYFUNCTION("""COMPUTED_VALUE"""),"534🤙🏼Manhattan🤙🏼Romance🤙🏼3")</f>
        <v>534🤙🏼Manhattan🤙🏼Romance🤙🏼3</v>
      </c>
      <c r="K1603" s="5">
        <f>IFERROR(__xludf.DUMMYFUNCTION("SPLiT(J1603, ""🤙🏼"",FALSE,FALSE)"),534.0)</f>
        <v>534</v>
      </c>
      <c r="L1603" s="5" t="str">
        <f>IFERROR(__xludf.DUMMYFUNCTION("""COMPUTED_VALUE"""),"Manhattan")</f>
        <v>Manhattan</v>
      </c>
      <c r="M1603" s="5" t="str">
        <f>IFERROR(__xludf.DUMMYFUNCTION("""COMPUTED_VALUE"""),"Romance")</f>
        <v>Romance</v>
      </c>
      <c r="N1603" s="5">
        <f>IFERROR(__xludf.DUMMYFUNCTION("""COMPUTED_VALUE"""),3.0)</f>
        <v>3</v>
      </c>
      <c r="S1603" s="5">
        <f>IFERROR(__xludf.DUMMYFUNCTION("""COMPUTED_VALUE"""),634.0)</f>
        <v>634</v>
      </c>
      <c r="T1603" s="5" t="str">
        <f>IFERROR(__xludf.DUMMYFUNCTION("""COMPUTED_VALUE"""),"Tôkyô goddofâzâzu")</f>
        <v>Tôkyô goddofâzâzu</v>
      </c>
      <c r="U1603" s="5" t="str">
        <f>IFERROR(__xludf.DUMMYFUNCTION("""COMPUTED_VALUE"""),"Adventure")</f>
        <v>Adventure</v>
      </c>
      <c r="V1603" s="5">
        <f>IFERROR(__xludf.DUMMYFUNCTION("""COMPUTED_VALUE"""),2.0)</f>
        <v>2</v>
      </c>
    </row>
    <row r="1604">
      <c r="J1604" s="5" t="str">
        <f>IFERROR(__xludf.DUMMYFUNCTION("""COMPUTED_VALUE"""),"535🤙🏼All That Jazz🤙🏼Drama🤙🏼1")</f>
        <v>535🤙🏼All That Jazz🤙🏼Drama🤙🏼1</v>
      </c>
      <c r="K1604" s="5">
        <f>IFERROR(__xludf.DUMMYFUNCTION("SPLiT(J1604, ""🤙🏼"",FALSE,FALSE)"),535.0)</f>
        <v>535</v>
      </c>
      <c r="L1604" s="5" t="str">
        <f>IFERROR(__xludf.DUMMYFUNCTION("""COMPUTED_VALUE"""),"All That Jazz")</f>
        <v>All That Jazz</v>
      </c>
      <c r="M1604" s="5" t="str">
        <f>IFERROR(__xludf.DUMMYFUNCTION("""COMPUTED_VALUE"""),"Drama")</f>
        <v>Drama</v>
      </c>
      <c r="N1604" s="5">
        <f>IFERROR(__xludf.DUMMYFUNCTION("""COMPUTED_VALUE"""),1.0)</f>
        <v>1</v>
      </c>
      <c r="S1604" s="5">
        <f>IFERROR(__xludf.DUMMYFUNCTION("""COMPUTED_VALUE"""),634.0)</f>
        <v>634</v>
      </c>
      <c r="T1604" s="5" t="str">
        <f>IFERROR(__xludf.DUMMYFUNCTION("""COMPUTED_VALUE"""),"Tôkyô goddofâzâzu")</f>
        <v>Tôkyô goddofâzâzu</v>
      </c>
      <c r="U1604" s="5" t="str">
        <f>IFERROR(__xludf.DUMMYFUNCTION("""COMPUTED_VALUE"""),"Comedy")</f>
        <v>Comedy</v>
      </c>
      <c r="V1604" s="5">
        <f>IFERROR(__xludf.DUMMYFUNCTION("""COMPUTED_VALUE"""),3.0)</f>
        <v>3</v>
      </c>
    </row>
    <row r="1605">
      <c r="J1605" s="5" t="str">
        <f>IFERROR(__xludf.DUMMYFUNCTION("""COMPUTED_VALUE"""),"535🤙🏼All That Jazz🤙🏼Music🤙🏼2")</f>
        <v>535🤙🏼All That Jazz🤙🏼Music🤙🏼2</v>
      </c>
      <c r="K1605" s="5">
        <f>IFERROR(__xludf.DUMMYFUNCTION("SPLiT(J1605, ""🤙🏼"",FALSE,FALSE)"),535.0)</f>
        <v>535</v>
      </c>
      <c r="L1605" s="5" t="str">
        <f>IFERROR(__xludf.DUMMYFUNCTION("""COMPUTED_VALUE"""),"All That Jazz")</f>
        <v>All That Jazz</v>
      </c>
      <c r="M1605" s="5" t="str">
        <f>IFERROR(__xludf.DUMMYFUNCTION("""COMPUTED_VALUE"""),"Music")</f>
        <v>Music</v>
      </c>
      <c r="N1605" s="5">
        <f>IFERROR(__xludf.DUMMYFUNCTION("""COMPUTED_VALUE"""),2.0)</f>
        <v>2</v>
      </c>
      <c r="S1605" s="5">
        <f>IFERROR(__xludf.DUMMYFUNCTION("""COMPUTED_VALUE"""),635.0)</f>
        <v>635</v>
      </c>
      <c r="T1605" s="5" t="str">
        <f>IFERROR(__xludf.DUMMYFUNCTION("""COMPUTED_VALUE"""),"Serenity")</f>
        <v>Serenity</v>
      </c>
      <c r="U1605" s="5" t="str">
        <f>IFERROR(__xludf.DUMMYFUNCTION("""COMPUTED_VALUE"""),"Action")</f>
        <v>Action</v>
      </c>
      <c r="V1605" s="5">
        <f>IFERROR(__xludf.DUMMYFUNCTION("""COMPUTED_VALUE"""),1.0)</f>
        <v>1</v>
      </c>
    </row>
    <row r="1606">
      <c r="J1606" s="5" t="str">
        <f>IFERROR(__xludf.DUMMYFUNCTION("""COMPUTED_VALUE"""),"535🤙🏼All That Jazz🤙🏼Musical🤙🏼3")</f>
        <v>535🤙🏼All That Jazz🤙🏼Musical🤙🏼3</v>
      </c>
      <c r="K1606" s="5">
        <f>IFERROR(__xludf.DUMMYFUNCTION("SPLiT(J1606, ""🤙🏼"",FALSE,FALSE)"),535.0)</f>
        <v>535</v>
      </c>
      <c r="L1606" s="5" t="str">
        <f>IFERROR(__xludf.DUMMYFUNCTION("""COMPUTED_VALUE"""),"All That Jazz")</f>
        <v>All That Jazz</v>
      </c>
      <c r="M1606" s="5" t="str">
        <f>IFERROR(__xludf.DUMMYFUNCTION("""COMPUTED_VALUE"""),"Musical")</f>
        <v>Musical</v>
      </c>
      <c r="N1606" s="5">
        <f>IFERROR(__xludf.DUMMYFUNCTION("""COMPUTED_VALUE"""),3.0)</f>
        <v>3</v>
      </c>
      <c r="S1606" s="5">
        <f>IFERROR(__xludf.DUMMYFUNCTION("""COMPUTED_VALUE"""),635.0)</f>
        <v>635</v>
      </c>
      <c r="T1606" s="5" t="str">
        <f>IFERROR(__xludf.DUMMYFUNCTION("""COMPUTED_VALUE"""),"Serenity")</f>
        <v>Serenity</v>
      </c>
      <c r="U1606" s="5" t="str">
        <f>IFERROR(__xludf.DUMMYFUNCTION("""COMPUTED_VALUE"""),"Adventure")</f>
        <v>Adventure</v>
      </c>
      <c r="V1606" s="5">
        <f>IFERROR(__xludf.DUMMYFUNCTION("""COMPUTED_VALUE"""),2.0)</f>
        <v>2</v>
      </c>
    </row>
    <row r="1607">
      <c r="J1607" s="5" t="str">
        <f>IFERROR(__xludf.DUMMYFUNCTION("""COMPUTED_VALUE"""),"536🤙🏼Dawn of the Dead🤙🏼Action🤙🏼1")</f>
        <v>536🤙🏼Dawn of the Dead🤙🏼Action🤙🏼1</v>
      </c>
      <c r="K1607" s="5">
        <f>IFERROR(__xludf.DUMMYFUNCTION("SPLiT(J1607, ""🤙🏼"",FALSE,FALSE)"),536.0)</f>
        <v>536</v>
      </c>
      <c r="L1607" s="5" t="str">
        <f>IFERROR(__xludf.DUMMYFUNCTION("""COMPUTED_VALUE"""),"Dawn of the Dead")</f>
        <v>Dawn of the Dead</v>
      </c>
      <c r="M1607" s="5" t="str">
        <f>IFERROR(__xludf.DUMMYFUNCTION("""COMPUTED_VALUE"""),"Action")</f>
        <v>Action</v>
      </c>
      <c r="N1607" s="5">
        <f>IFERROR(__xludf.DUMMYFUNCTION("""COMPUTED_VALUE"""),1.0)</f>
        <v>1</v>
      </c>
      <c r="S1607" s="5">
        <f>IFERROR(__xludf.DUMMYFUNCTION("""COMPUTED_VALUE"""),635.0)</f>
        <v>635</v>
      </c>
      <c r="T1607" s="5" t="str">
        <f>IFERROR(__xludf.DUMMYFUNCTION("""COMPUTED_VALUE"""),"Serenity")</f>
        <v>Serenity</v>
      </c>
      <c r="U1607" s="5" t="str">
        <f>IFERROR(__xludf.DUMMYFUNCTION("""COMPUTED_VALUE"""),"Sci-Fi")</f>
        <v>Sci-Fi</v>
      </c>
      <c r="V1607" s="5">
        <f>IFERROR(__xludf.DUMMYFUNCTION("""COMPUTED_VALUE"""),3.0)</f>
        <v>3</v>
      </c>
    </row>
    <row r="1608">
      <c r="J1608" s="5" t="str">
        <f>IFERROR(__xludf.DUMMYFUNCTION("""COMPUTED_VALUE"""),"536🤙🏼Dawn of the Dead🤙🏼Adventure🤙🏼2")</f>
        <v>536🤙🏼Dawn of the Dead🤙🏼Adventure🤙🏼2</v>
      </c>
      <c r="K1608" s="5">
        <f>IFERROR(__xludf.DUMMYFUNCTION("SPLiT(J1608, ""🤙🏼"",FALSE,FALSE)"),536.0)</f>
        <v>536</v>
      </c>
      <c r="L1608" s="5" t="str">
        <f>IFERROR(__xludf.DUMMYFUNCTION("""COMPUTED_VALUE"""),"Dawn of the Dead")</f>
        <v>Dawn of the Dead</v>
      </c>
      <c r="M1608" s="5" t="str">
        <f>IFERROR(__xludf.DUMMYFUNCTION("""COMPUTED_VALUE"""),"Adventure")</f>
        <v>Adventure</v>
      </c>
      <c r="N1608" s="5">
        <f>IFERROR(__xludf.DUMMYFUNCTION("""COMPUTED_VALUE"""),2.0)</f>
        <v>2</v>
      </c>
      <c r="S1608" s="5">
        <f>IFERROR(__xludf.DUMMYFUNCTION("""COMPUTED_VALUE"""),636.0)</f>
        <v>636</v>
      </c>
      <c r="T1608" s="5" t="str">
        <f>IFERROR(__xludf.DUMMYFUNCTION("""COMPUTED_VALUE"""),"Walk the Line")</f>
        <v>Walk the Line</v>
      </c>
      <c r="U1608" s="5" t="str">
        <f>IFERROR(__xludf.DUMMYFUNCTION("""COMPUTED_VALUE"""),"Biography")</f>
        <v>Biography</v>
      </c>
      <c r="V1608" s="5">
        <f>IFERROR(__xludf.DUMMYFUNCTION("""COMPUTED_VALUE"""),1.0)</f>
        <v>1</v>
      </c>
    </row>
    <row r="1609">
      <c r="J1609" s="5" t="str">
        <f>IFERROR(__xludf.DUMMYFUNCTION("""COMPUTED_VALUE"""),"536🤙🏼Dawn of the Dead🤙🏼Horror🤙🏼3")</f>
        <v>536🤙🏼Dawn of the Dead🤙🏼Horror🤙🏼3</v>
      </c>
      <c r="K1609" s="5">
        <f>IFERROR(__xludf.DUMMYFUNCTION("SPLiT(J1609, ""🤙🏼"",FALSE,FALSE)"),536.0)</f>
        <v>536</v>
      </c>
      <c r="L1609" s="5" t="str">
        <f>IFERROR(__xludf.DUMMYFUNCTION("""COMPUTED_VALUE"""),"Dawn of the Dead")</f>
        <v>Dawn of the Dead</v>
      </c>
      <c r="M1609" s="5" t="str">
        <f>IFERROR(__xludf.DUMMYFUNCTION("""COMPUTED_VALUE"""),"Horror")</f>
        <v>Horror</v>
      </c>
      <c r="N1609" s="5">
        <f>IFERROR(__xludf.DUMMYFUNCTION("""COMPUTED_VALUE"""),3.0)</f>
        <v>3</v>
      </c>
      <c r="S1609" s="5">
        <f>IFERROR(__xludf.DUMMYFUNCTION("""COMPUTED_VALUE"""),636.0)</f>
        <v>636</v>
      </c>
      <c r="T1609" s="5" t="str">
        <f>IFERROR(__xludf.DUMMYFUNCTION("""COMPUTED_VALUE"""),"Walk the Line")</f>
        <v>Walk the Line</v>
      </c>
      <c r="U1609" s="5" t="str">
        <f>IFERROR(__xludf.DUMMYFUNCTION("""COMPUTED_VALUE"""),"Drama")</f>
        <v>Drama</v>
      </c>
      <c r="V1609" s="5">
        <f>IFERROR(__xludf.DUMMYFUNCTION("""COMPUTED_VALUE"""),2.0)</f>
        <v>2</v>
      </c>
    </row>
    <row r="1610">
      <c r="J1610" s="5" t="str">
        <f>IFERROR(__xludf.DUMMYFUNCTION("""COMPUTED_VALUE"""),"537🤙🏼All the President's Men🤙🏼Biography🤙🏼1")</f>
        <v>537🤙🏼All the President's Men🤙🏼Biography🤙🏼1</v>
      </c>
      <c r="K1610" s="5">
        <f>IFERROR(__xludf.DUMMYFUNCTION("SPLiT(J1610, ""🤙🏼"",FALSE,FALSE)"),537.0)</f>
        <v>537</v>
      </c>
      <c r="L1610" s="5" t="str">
        <f>IFERROR(__xludf.DUMMYFUNCTION("""COMPUTED_VALUE"""),"All the President's Men")</f>
        <v>All the President's Men</v>
      </c>
      <c r="M1610" s="5" t="str">
        <f>IFERROR(__xludf.DUMMYFUNCTION("""COMPUTED_VALUE"""),"Biography")</f>
        <v>Biography</v>
      </c>
      <c r="N1610" s="5">
        <f>IFERROR(__xludf.DUMMYFUNCTION("""COMPUTED_VALUE"""),1.0)</f>
        <v>1</v>
      </c>
      <c r="S1610" s="5">
        <f>IFERROR(__xludf.DUMMYFUNCTION("""COMPUTED_VALUE"""),636.0)</f>
        <v>636</v>
      </c>
      <c r="T1610" s="5" t="str">
        <f>IFERROR(__xludf.DUMMYFUNCTION("""COMPUTED_VALUE"""),"Walk the Line")</f>
        <v>Walk the Line</v>
      </c>
      <c r="U1610" s="5" t="str">
        <f>IFERROR(__xludf.DUMMYFUNCTION("""COMPUTED_VALUE"""),"Music")</f>
        <v>Music</v>
      </c>
      <c r="V1610" s="5">
        <f>IFERROR(__xludf.DUMMYFUNCTION("""COMPUTED_VALUE"""),3.0)</f>
        <v>3</v>
      </c>
    </row>
    <row r="1611">
      <c r="J1611" s="5" t="str">
        <f>IFERROR(__xludf.DUMMYFUNCTION("""COMPUTED_VALUE"""),"537🤙🏼All the President's Men🤙🏼Drama🤙🏼2")</f>
        <v>537🤙🏼All the President's Men🤙🏼Drama🤙🏼2</v>
      </c>
      <c r="K1611" s="5">
        <f>IFERROR(__xludf.DUMMYFUNCTION("SPLiT(J1611, ""🤙🏼"",FALSE,FALSE)"),537.0)</f>
        <v>537</v>
      </c>
      <c r="L1611" s="5" t="str">
        <f>IFERROR(__xludf.DUMMYFUNCTION("""COMPUTED_VALUE"""),"All the President's Men")</f>
        <v>All the President's Men</v>
      </c>
      <c r="M1611" s="5" t="str">
        <f>IFERROR(__xludf.DUMMYFUNCTION("""COMPUTED_VALUE"""),"Drama")</f>
        <v>Drama</v>
      </c>
      <c r="N1611" s="5">
        <f>IFERROR(__xludf.DUMMYFUNCTION("""COMPUTED_VALUE"""),2.0)</f>
        <v>2</v>
      </c>
      <c r="S1611" s="5">
        <f>IFERROR(__xludf.DUMMYFUNCTION("""COMPUTED_VALUE"""),637.0)</f>
        <v>637</v>
      </c>
      <c r="T1611" s="5" t="str">
        <f>IFERROR(__xludf.DUMMYFUNCTION("""COMPUTED_VALUE"""),"Ondskan")</f>
        <v>Ondskan</v>
      </c>
      <c r="U1611" s="5" t="str">
        <f>IFERROR(__xludf.DUMMYFUNCTION("""COMPUTED_VALUE"""),"Drama")</f>
        <v>Drama</v>
      </c>
      <c r="V1611" s="5">
        <f>IFERROR(__xludf.DUMMYFUNCTION("""COMPUTED_VALUE"""),1.0)</f>
        <v>1</v>
      </c>
    </row>
    <row r="1612">
      <c r="J1612" s="5" t="str">
        <f>IFERROR(__xludf.DUMMYFUNCTION("""COMPUTED_VALUE"""),"537🤙🏼All the President's Men🤙🏼History🤙🏼3")</f>
        <v>537🤙🏼All the President's Men🤙🏼History🤙🏼3</v>
      </c>
      <c r="K1612" s="5">
        <f>IFERROR(__xludf.DUMMYFUNCTION("SPLiT(J1612, ""🤙🏼"",FALSE,FALSE)"),537.0)</f>
        <v>537</v>
      </c>
      <c r="L1612" s="5" t="str">
        <f>IFERROR(__xludf.DUMMYFUNCTION("""COMPUTED_VALUE"""),"All the President's Men")</f>
        <v>All the President's Men</v>
      </c>
      <c r="M1612" s="5" t="str">
        <f>IFERROR(__xludf.DUMMYFUNCTION("""COMPUTED_VALUE"""),"History")</f>
        <v>History</v>
      </c>
      <c r="N1612" s="5">
        <f>IFERROR(__xludf.DUMMYFUNCTION("""COMPUTED_VALUE"""),3.0)</f>
        <v>3</v>
      </c>
      <c r="S1612" s="5">
        <f>IFERROR(__xludf.DUMMYFUNCTION("""COMPUTED_VALUE"""),638.0)</f>
        <v>638</v>
      </c>
      <c r="T1612" s="5" t="str">
        <f>IFERROR(__xludf.DUMMYFUNCTION("""COMPUTED_VALUE"""),"The Notebook")</f>
        <v>The Notebook</v>
      </c>
      <c r="U1612" s="5" t="str">
        <f>IFERROR(__xludf.DUMMYFUNCTION("""COMPUTED_VALUE"""),"Drama")</f>
        <v>Drama</v>
      </c>
      <c r="V1612" s="5">
        <f>IFERROR(__xludf.DUMMYFUNCTION("""COMPUTED_VALUE"""),1.0)</f>
        <v>1</v>
      </c>
    </row>
    <row r="1613">
      <c r="J1613" s="5" t="str">
        <f>IFERROR(__xludf.DUMMYFUNCTION("""COMPUTED_VALUE"""),"538🤙🏼La montaña sagrada🤙🏼Adventure🤙🏼1")</f>
        <v>538🤙🏼La montaña sagrada🤙🏼Adventure🤙🏼1</v>
      </c>
      <c r="K1613" s="5">
        <f>IFERROR(__xludf.DUMMYFUNCTION("SPLiT(J1613, ""🤙🏼"",FALSE,FALSE)"),538.0)</f>
        <v>538</v>
      </c>
      <c r="L1613" s="5" t="str">
        <f>IFERROR(__xludf.DUMMYFUNCTION("""COMPUTED_VALUE"""),"La montaña sagrada")</f>
        <v>La montaña sagrada</v>
      </c>
      <c r="M1613" s="5" t="str">
        <f>IFERROR(__xludf.DUMMYFUNCTION("""COMPUTED_VALUE"""),"Adventure")</f>
        <v>Adventure</v>
      </c>
      <c r="N1613" s="5">
        <f>IFERROR(__xludf.DUMMYFUNCTION("""COMPUTED_VALUE"""),1.0)</f>
        <v>1</v>
      </c>
      <c r="S1613" s="5">
        <f>IFERROR(__xludf.DUMMYFUNCTION("""COMPUTED_VALUE"""),638.0)</f>
        <v>638</v>
      </c>
      <c r="T1613" s="5" t="str">
        <f>IFERROR(__xludf.DUMMYFUNCTION("""COMPUTED_VALUE"""),"The Notebook")</f>
        <v>The Notebook</v>
      </c>
      <c r="U1613" s="5" t="str">
        <f>IFERROR(__xludf.DUMMYFUNCTION("""COMPUTED_VALUE"""),"Romance")</f>
        <v>Romance</v>
      </c>
      <c r="V1613" s="5">
        <f>IFERROR(__xludf.DUMMYFUNCTION("""COMPUTED_VALUE"""),2.0)</f>
        <v>2</v>
      </c>
    </row>
    <row r="1614">
      <c r="J1614" s="5" t="str">
        <f>IFERROR(__xludf.DUMMYFUNCTION("""COMPUTED_VALUE"""),"538🤙🏼La montaña sagrada🤙🏼Drama🤙🏼2")</f>
        <v>538🤙🏼La montaña sagrada🤙🏼Drama🤙🏼2</v>
      </c>
      <c r="K1614" s="5">
        <f>IFERROR(__xludf.DUMMYFUNCTION("SPLiT(J1614, ""🤙🏼"",FALSE,FALSE)"),538.0)</f>
        <v>538</v>
      </c>
      <c r="L1614" s="5" t="str">
        <f>IFERROR(__xludf.DUMMYFUNCTION("""COMPUTED_VALUE"""),"La montaña sagrada")</f>
        <v>La montaña sagrada</v>
      </c>
      <c r="M1614" s="5" t="str">
        <f>IFERROR(__xludf.DUMMYFUNCTION("""COMPUTED_VALUE"""),"Drama")</f>
        <v>Drama</v>
      </c>
      <c r="N1614" s="5">
        <f>IFERROR(__xludf.DUMMYFUNCTION("""COMPUTED_VALUE"""),2.0)</f>
        <v>2</v>
      </c>
      <c r="S1614" s="5">
        <f>IFERROR(__xludf.DUMMYFUNCTION("""COMPUTED_VALUE"""),639.0)</f>
        <v>639</v>
      </c>
      <c r="T1614" s="5" t="str">
        <f>IFERROR(__xludf.DUMMYFUNCTION("""COMPUTED_VALUE"""),"Diarios de motocicleta")</f>
        <v>Diarios de motocicleta</v>
      </c>
      <c r="U1614" s="5" t="str">
        <f>IFERROR(__xludf.DUMMYFUNCTION("""COMPUTED_VALUE"""),"Adventure")</f>
        <v>Adventure</v>
      </c>
      <c r="V1614" s="5">
        <f>IFERROR(__xludf.DUMMYFUNCTION("""COMPUTED_VALUE"""),1.0)</f>
        <v>1</v>
      </c>
    </row>
    <row r="1615">
      <c r="J1615" s="5" t="str">
        <f>IFERROR(__xludf.DUMMYFUNCTION("""COMPUTED_VALUE"""),"538🤙🏼La montaña sagrada🤙🏼Fantasy🤙🏼3")</f>
        <v>538🤙🏼La montaña sagrada🤙🏼Fantasy🤙🏼3</v>
      </c>
      <c r="K1615" s="5">
        <f>IFERROR(__xludf.DUMMYFUNCTION("SPLiT(J1615, ""🤙🏼"",FALSE,FALSE)"),538.0)</f>
        <v>538</v>
      </c>
      <c r="L1615" s="5" t="str">
        <f>IFERROR(__xludf.DUMMYFUNCTION("""COMPUTED_VALUE"""),"La montaña sagrada")</f>
        <v>La montaña sagrada</v>
      </c>
      <c r="M1615" s="5" t="str">
        <f>IFERROR(__xludf.DUMMYFUNCTION("""COMPUTED_VALUE"""),"Fantasy")</f>
        <v>Fantasy</v>
      </c>
      <c r="N1615" s="5">
        <f>IFERROR(__xludf.DUMMYFUNCTION("""COMPUTED_VALUE"""),3.0)</f>
        <v>3</v>
      </c>
      <c r="S1615" s="5">
        <f>IFERROR(__xludf.DUMMYFUNCTION("""COMPUTED_VALUE"""),639.0)</f>
        <v>639</v>
      </c>
      <c r="T1615" s="5" t="str">
        <f>IFERROR(__xludf.DUMMYFUNCTION("""COMPUTED_VALUE"""),"Diarios de motocicleta")</f>
        <v>Diarios de motocicleta</v>
      </c>
      <c r="U1615" s="5" t="str">
        <f>IFERROR(__xludf.DUMMYFUNCTION("""COMPUTED_VALUE"""),"Biography")</f>
        <v>Biography</v>
      </c>
      <c r="V1615" s="5">
        <f>IFERROR(__xludf.DUMMYFUNCTION("""COMPUTED_VALUE"""),2.0)</f>
        <v>2</v>
      </c>
    </row>
    <row r="1616">
      <c r="J1616" s="5" t="str">
        <f>IFERROR(__xludf.DUMMYFUNCTION("""COMPUTED_VALUE"""),"539🤙🏼Amarcord🤙🏼Comedy🤙🏼1")</f>
        <v>539🤙🏼Amarcord🤙🏼Comedy🤙🏼1</v>
      </c>
      <c r="K1616" s="5">
        <f>IFERROR(__xludf.DUMMYFUNCTION("SPLiT(J1616, ""🤙🏼"",FALSE,FALSE)"),539.0)</f>
        <v>539</v>
      </c>
      <c r="L1616" s="5" t="str">
        <f>IFERROR(__xludf.DUMMYFUNCTION("""COMPUTED_VALUE"""),"Amarcord")</f>
        <v>Amarcord</v>
      </c>
      <c r="M1616" s="5" t="str">
        <f>IFERROR(__xludf.DUMMYFUNCTION("""COMPUTED_VALUE"""),"Comedy")</f>
        <v>Comedy</v>
      </c>
      <c r="N1616" s="5">
        <f>IFERROR(__xludf.DUMMYFUNCTION("""COMPUTED_VALUE"""),1.0)</f>
        <v>1</v>
      </c>
      <c r="S1616" s="5">
        <f>IFERROR(__xludf.DUMMYFUNCTION("""COMPUTED_VALUE"""),639.0)</f>
        <v>639</v>
      </c>
      <c r="T1616" s="5" t="str">
        <f>IFERROR(__xludf.DUMMYFUNCTION("""COMPUTED_VALUE"""),"Diarios de motocicleta")</f>
        <v>Diarios de motocicleta</v>
      </c>
      <c r="U1616" s="5" t="str">
        <f>IFERROR(__xludf.DUMMYFUNCTION("""COMPUTED_VALUE"""),"Drama")</f>
        <v>Drama</v>
      </c>
      <c r="V1616" s="5">
        <f>IFERROR(__xludf.DUMMYFUNCTION("""COMPUTED_VALUE"""),3.0)</f>
        <v>3</v>
      </c>
    </row>
    <row r="1617">
      <c r="J1617" s="5" t="str">
        <f>IFERROR(__xludf.DUMMYFUNCTION("""COMPUTED_VALUE"""),"539🤙🏼Amarcord🤙🏼Drama🤙🏼2")</f>
        <v>539🤙🏼Amarcord🤙🏼Drama🤙🏼2</v>
      </c>
      <c r="K1617" s="5">
        <f>IFERROR(__xludf.DUMMYFUNCTION("SPLiT(J1617, ""🤙🏼"",FALSE,FALSE)"),539.0)</f>
        <v>539</v>
      </c>
      <c r="L1617" s="5" t="str">
        <f>IFERROR(__xludf.DUMMYFUNCTION("""COMPUTED_VALUE"""),"Amarcord")</f>
        <v>Amarcord</v>
      </c>
      <c r="M1617" s="5" t="str">
        <f>IFERROR(__xludf.DUMMYFUNCTION("""COMPUTED_VALUE"""),"Drama")</f>
        <v>Drama</v>
      </c>
      <c r="N1617" s="5">
        <f>IFERROR(__xludf.DUMMYFUNCTION("""COMPUTED_VALUE"""),2.0)</f>
        <v>2</v>
      </c>
      <c r="S1617" s="5">
        <f>IFERROR(__xludf.DUMMYFUNCTION("""COMPUTED_VALUE"""),640.0)</f>
        <v>640</v>
      </c>
      <c r="T1617" s="5" t="str">
        <f>IFERROR(__xludf.DUMMYFUNCTION("""COMPUTED_VALUE"""),"Lilja 4-ever")</f>
        <v>Lilja 4-ever</v>
      </c>
      <c r="U1617" s="5" t="str">
        <f>IFERROR(__xludf.DUMMYFUNCTION("""COMPUTED_VALUE"""),"Crime")</f>
        <v>Crime</v>
      </c>
      <c r="V1617" s="5">
        <f>IFERROR(__xludf.DUMMYFUNCTION("""COMPUTED_VALUE"""),1.0)</f>
        <v>1</v>
      </c>
    </row>
    <row r="1618">
      <c r="J1618" s="5" t="str">
        <f>IFERROR(__xludf.DUMMYFUNCTION("""COMPUTED_VALUE"""),"539🤙🏼Amarcord🤙🏼Family🤙🏼3")</f>
        <v>539🤙🏼Amarcord🤙🏼Family🤙🏼3</v>
      </c>
      <c r="K1618" s="5">
        <f>IFERROR(__xludf.DUMMYFUNCTION("SPLiT(J1618, ""🤙🏼"",FALSE,FALSE)"),539.0)</f>
        <v>539</v>
      </c>
      <c r="L1618" s="5" t="str">
        <f>IFERROR(__xludf.DUMMYFUNCTION("""COMPUTED_VALUE"""),"Amarcord")</f>
        <v>Amarcord</v>
      </c>
      <c r="M1618" s="5" t="str">
        <f>IFERROR(__xludf.DUMMYFUNCTION("""COMPUTED_VALUE"""),"Family")</f>
        <v>Family</v>
      </c>
      <c r="N1618" s="5">
        <f>IFERROR(__xludf.DUMMYFUNCTION("""COMPUTED_VALUE"""),3.0)</f>
        <v>3</v>
      </c>
      <c r="S1618" s="5">
        <f>IFERROR(__xludf.DUMMYFUNCTION("""COMPUTED_VALUE"""),640.0)</f>
        <v>640</v>
      </c>
      <c r="T1618" s="5" t="str">
        <f>IFERROR(__xludf.DUMMYFUNCTION("""COMPUTED_VALUE"""),"Lilja 4-ever")</f>
        <v>Lilja 4-ever</v>
      </c>
      <c r="U1618" s="5" t="str">
        <f>IFERROR(__xludf.DUMMYFUNCTION("""COMPUTED_VALUE"""),"Drama")</f>
        <v>Drama</v>
      </c>
      <c r="V1618" s="5">
        <f>IFERROR(__xludf.DUMMYFUNCTION("""COMPUTED_VALUE"""),2.0)</f>
        <v>2</v>
      </c>
    </row>
    <row r="1619">
      <c r="J1619" s="5" t="str">
        <f>IFERROR(__xludf.DUMMYFUNCTION("""COMPUTED_VALUE"""),"540🤙🏼Le charme discret de la bourgeoisie🤙🏼Comedy🤙🏼1")</f>
        <v>540🤙🏼Le charme discret de la bourgeoisie🤙🏼Comedy🤙🏼1</v>
      </c>
      <c r="K1619" s="5">
        <f>IFERROR(__xludf.DUMMYFUNCTION("SPLiT(J1619, ""🤙🏼"",FALSE,FALSE)"),540.0)</f>
        <v>540</v>
      </c>
      <c r="L1619" s="5" t="str">
        <f>IFERROR(__xludf.DUMMYFUNCTION("""COMPUTED_VALUE"""),"Le charme discret de la bourgeoisie")</f>
        <v>Le charme discret de la bourgeoisie</v>
      </c>
      <c r="M1619" s="5" t="str">
        <f>IFERROR(__xludf.DUMMYFUNCTION("""COMPUTED_VALUE"""),"Comedy")</f>
        <v>Comedy</v>
      </c>
      <c r="N1619" s="5">
        <f>IFERROR(__xludf.DUMMYFUNCTION("""COMPUTED_VALUE"""),1.0)</f>
        <v>1</v>
      </c>
      <c r="S1619" s="5">
        <f>IFERROR(__xludf.DUMMYFUNCTION("""COMPUTED_VALUE"""),641.0)</f>
        <v>641</v>
      </c>
      <c r="T1619" s="5" t="str">
        <f>IFERROR(__xludf.DUMMYFUNCTION("""COMPUTED_VALUE"""),"Les triplettes de Belleville")</f>
        <v>Les triplettes de Belleville</v>
      </c>
      <c r="U1619" s="5" t="str">
        <f>IFERROR(__xludf.DUMMYFUNCTION("""COMPUTED_VALUE"""),"Animation")</f>
        <v>Animation</v>
      </c>
      <c r="V1619" s="5">
        <f>IFERROR(__xludf.DUMMYFUNCTION("""COMPUTED_VALUE"""),1.0)</f>
        <v>1</v>
      </c>
    </row>
    <row r="1620">
      <c r="J1620" s="5" t="str">
        <f>IFERROR(__xludf.DUMMYFUNCTION("""COMPUTED_VALUE"""),"540🤙🏼Le charme discret de la bourgeoisie🤙🏼🤙🏼2")</f>
        <v>540🤙🏼Le charme discret de la bourgeoisie🤙🏼🤙🏼2</v>
      </c>
      <c r="K1620" s="5">
        <f>IFERROR(__xludf.DUMMYFUNCTION("SPLiT(J1620, ""🤙🏼"",FALSE,FALSE)"),540.0)</f>
        <v>540</v>
      </c>
      <c r="L1620" s="5" t="str">
        <f>IFERROR(__xludf.DUMMYFUNCTION("""COMPUTED_VALUE"""),"Le charme discret de la bourgeoisie")</f>
        <v>Le charme discret de la bourgeoisie</v>
      </c>
      <c r="M1620" s="5"/>
      <c r="N1620" s="5">
        <f>IFERROR(__xludf.DUMMYFUNCTION("""COMPUTED_VALUE"""),2.0)</f>
        <v>2</v>
      </c>
      <c r="S1620" s="5">
        <f>IFERROR(__xludf.DUMMYFUNCTION("""COMPUTED_VALUE"""),641.0)</f>
        <v>641</v>
      </c>
      <c r="T1620" s="5" t="str">
        <f>IFERROR(__xludf.DUMMYFUNCTION("""COMPUTED_VALUE"""),"Les triplettes de Belleville")</f>
        <v>Les triplettes de Belleville</v>
      </c>
      <c r="U1620" s="5" t="str">
        <f>IFERROR(__xludf.DUMMYFUNCTION("""COMPUTED_VALUE"""),"Comedy")</f>
        <v>Comedy</v>
      </c>
      <c r="V1620" s="5">
        <f>IFERROR(__xludf.DUMMYFUNCTION("""COMPUTED_VALUE"""),2.0)</f>
        <v>2</v>
      </c>
    </row>
    <row r="1621">
      <c r="J1621" s="5" t="str">
        <f>IFERROR(__xludf.DUMMYFUNCTION("""COMPUTED_VALUE"""),"540🤙🏼Le charme discret de la bourgeoisie🤙🏼🤙🏼3")</f>
        <v>540🤙🏼Le charme discret de la bourgeoisie🤙🏼🤙🏼3</v>
      </c>
      <c r="K1621" s="5">
        <f>IFERROR(__xludf.DUMMYFUNCTION("SPLiT(J1621, ""🤙🏼"",FALSE,FALSE)"),540.0)</f>
        <v>540</v>
      </c>
      <c r="L1621" s="5" t="str">
        <f>IFERROR(__xludf.DUMMYFUNCTION("""COMPUTED_VALUE"""),"Le charme discret de la bourgeoisie")</f>
        <v>Le charme discret de la bourgeoisie</v>
      </c>
      <c r="M1621" s="5"/>
      <c r="N1621" s="5">
        <f>IFERROR(__xludf.DUMMYFUNCTION("""COMPUTED_VALUE"""),3.0)</f>
        <v>3</v>
      </c>
      <c r="S1621" s="5">
        <f>IFERROR(__xludf.DUMMYFUNCTION("""COMPUTED_VALUE"""),641.0)</f>
        <v>641</v>
      </c>
      <c r="T1621" s="5" t="str">
        <f>IFERROR(__xludf.DUMMYFUNCTION("""COMPUTED_VALUE"""),"Les triplettes de Belleville")</f>
        <v>Les triplettes de Belleville</v>
      </c>
      <c r="U1621" s="5" t="str">
        <f>IFERROR(__xludf.DUMMYFUNCTION("""COMPUTED_VALUE"""),"Drama")</f>
        <v>Drama</v>
      </c>
      <c r="V1621" s="5">
        <f>IFERROR(__xludf.DUMMYFUNCTION("""COMPUTED_VALUE"""),3.0)</f>
        <v>3</v>
      </c>
    </row>
    <row r="1622">
      <c r="J1622" s="5" t="str">
        <f>IFERROR(__xludf.DUMMYFUNCTION("""COMPUTED_VALUE"""),"541🤙🏼Aguirre, der Zorn Gottes🤙🏼Action🤙🏼1")</f>
        <v>541🤙🏼Aguirre, der Zorn Gottes🤙🏼Action🤙🏼1</v>
      </c>
      <c r="K1622" s="5">
        <f>IFERROR(__xludf.DUMMYFUNCTION("SPLiT(J1622, ""🤙🏼"",FALSE,FALSE)"),541.0)</f>
        <v>541</v>
      </c>
      <c r="L1622" s="5" t="str">
        <f>IFERROR(__xludf.DUMMYFUNCTION("""COMPUTED_VALUE"""),"Aguirre, der Zorn Gottes")</f>
        <v>Aguirre, der Zorn Gottes</v>
      </c>
      <c r="M1622" s="5" t="str">
        <f>IFERROR(__xludf.DUMMYFUNCTION("""COMPUTED_VALUE"""),"Action")</f>
        <v>Action</v>
      </c>
      <c r="N1622" s="5">
        <f>IFERROR(__xludf.DUMMYFUNCTION("""COMPUTED_VALUE"""),1.0)</f>
        <v>1</v>
      </c>
      <c r="S1622" s="5">
        <f>IFERROR(__xludf.DUMMYFUNCTION("""COMPUTED_VALUE"""),642.0)</f>
        <v>642</v>
      </c>
      <c r="T1622" s="5" t="str">
        <f>IFERROR(__xludf.DUMMYFUNCTION("""COMPUTED_VALUE"""),"Gongdong gyeongbi guyeok JSA")</f>
        <v>Gongdong gyeongbi guyeok JSA</v>
      </c>
      <c r="U1622" s="5" t="str">
        <f>IFERROR(__xludf.DUMMYFUNCTION("""COMPUTED_VALUE"""),"Action")</f>
        <v>Action</v>
      </c>
      <c r="V1622" s="5">
        <f>IFERROR(__xludf.DUMMYFUNCTION("""COMPUTED_VALUE"""),1.0)</f>
        <v>1</v>
      </c>
    </row>
    <row r="1623">
      <c r="J1623" s="5" t="str">
        <f>IFERROR(__xludf.DUMMYFUNCTION("""COMPUTED_VALUE"""),"541🤙🏼Aguirre, der Zorn Gottes🤙🏼Adventure🤙🏼2")</f>
        <v>541🤙🏼Aguirre, der Zorn Gottes🤙🏼Adventure🤙🏼2</v>
      </c>
      <c r="K1623" s="5">
        <f>IFERROR(__xludf.DUMMYFUNCTION("SPLiT(J1623, ""🤙🏼"",FALSE,FALSE)"),541.0)</f>
        <v>541</v>
      </c>
      <c r="L1623" s="5" t="str">
        <f>IFERROR(__xludf.DUMMYFUNCTION("""COMPUTED_VALUE"""),"Aguirre, der Zorn Gottes")</f>
        <v>Aguirre, der Zorn Gottes</v>
      </c>
      <c r="M1623" s="5" t="str">
        <f>IFERROR(__xludf.DUMMYFUNCTION("""COMPUTED_VALUE"""),"Adventure")</f>
        <v>Adventure</v>
      </c>
      <c r="N1623" s="5">
        <f>IFERROR(__xludf.DUMMYFUNCTION("""COMPUTED_VALUE"""),2.0)</f>
        <v>2</v>
      </c>
      <c r="S1623" s="5">
        <f>IFERROR(__xludf.DUMMYFUNCTION("""COMPUTED_VALUE"""),642.0)</f>
        <v>642</v>
      </c>
      <c r="T1623" s="5" t="str">
        <f>IFERROR(__xludf.DUMMYFUNCTION("""COMPUTED_VALUE"""),"Gongdong gyeongbi guyeok JSA")</f>
        <v>Gongdong gyeongbi guyeok JSA</v>
      </c>
      <c r="U1623" s="5" t="str">
        <f>IFERROR(__xludf.DUMMYFUNCTION("""COMPUTED_VALUE"""),"Drama")</f>
        <v>Drama</v>
      </c>
      <c r="V1623" s="5">
        <f>IFERROR(__xludf.DUMMYFUNCTION("""COMPUTED_VALUE"""),2.0)</f>
        <v>2</v>
      </c>
    </row>
    <row r="1624">
      <c r="J1624" s="5" t="str">
        <f>IFERROR(__xludf.DUMMYFUNCTION("""COMPUTED_VALUE"""),"541🤙🏼Aguirre, der Zorn Gottes🤙🏼Biography🤙🏼3")</f>
        <v>541🤙🏼Aguirre, der Zorn Gottes🤙🏼Biography🤙🏼3</v>
      </c>
      <c r="K1624" s="5">
        <f>IFERROR(__xludf.DUMMYFUNCTION("SPLiT(J1624, ""🤙🏼"",FALSE,FALSE)"),541.0)</f>
        <v>541</v>
      </c>
      <c r="L1624" s="5" t="str">
        <f>IFERROR(__xludf.DUMMYFUNCTION("""COMPUTED_VALUE"""),"Aguirre, der Zorn Gottes")</f>
        <v>Aguirre, der Zorn Gottes</v>
      </c>
      <c r="M1624" s="5" t="str">
        <f>IFERROR(__xludf.DUMMYFUNCTION("""COMPUTED_VALUE"""),"Biography")</f>
        <v>Biography</v>
      </c>
      <c r="N1624" s="5">
        <f>IFERROR(__xludf.DUMMYFUNCTION("""COMPUTED_VALUE"""),3.0)</f>
        <v>3</v>
      </c>
      <c r="S1624" s="5">
        <f>IFERROR(__xludf.DUMMYFUNCTION("""COMPUTED_VALUE"""),642.0)</f>
        <v>642</v>
      </c>
      <c r="T1624" s="5" t="str">
        <f>IFERROR(__xludf.DUMMYFUNCTION("""COMPUTED_VALUE"""),"Gongdong gyeongbi guyeok JSA")</f>
        <v>Gongdong gyeongbi guyeok JSA</v>
      </c>
      <c r="U1624" s="5" t="str">
        <f>IFERROR(__xludf.DUMMYFUNCTION("""COMPUTED_VALUE"""),"Thriller")</f>
        <v>Thriller</v>
      </c>
      <c r="V1624" s="5">
        <f>IFERROR(__xludf.DUMMYFUNCTION("""COMPUTED_VALUE"""),3.0)</f>
        <v>3</v>
      </c>
    </row>
    <row r="1625">
      <c r="J1625" s="5" t="str">
        <f>IFERROR(__xludf.DUMMYFUNCTION("""COMPUTED_VALUE"""),"542🤙🏼Harold and Maude🤙🏼Comedy🤙🏼1")</f>
        <v>542🤙🏼Harold and Maude🤙🏼Comedy🤙🏼1</v>
      </c>
      <c r="K1625" s="5">
        <f>IFERROR(__xludf.DUMMYFUNCTION("SPLiT(J1625, ""🤙🏼"",FALSE,FALSE)"),542.0)</f>
        <v>542</v>
      </c>
      <c r="L1625" s="5" t="str">
        <f>IFERROR(__xludf.DUMMYFUNCTION("""COMPUTED_VALUE"""),"Harold and Maude")</f>
        <v>Harold and Maude</v>
      </c>
      <c r="M1625" s="5" t="str">
        <f>IFERROR(__xludf.DUMMYFUNCTION("""COMPUTED_VALUE"""),"Comedy")</f>
        <v>Comedy</v>
      </c>
      <c r="N1625" s="5">
        <f>IFERROR(__xludf.DUMMYFUNCTION("""COMPUTED_VALUE"""),1.0)</f>
        <v>1</v>
      </c>
      <c r="S1625" s="5">
        <f>IFERROR(__xludf.DUMMYFUNCTION("""COMPUTED_VALUE"""),643.0)</f>
        <v>643</v>
      </c>
      <c r="T1625" s="5" t="str">
        <f>IFERROR(__xludf.DUMMYFUNCTION("""COMPUTED_VALUE"""),"The Count of Monte Cristo")</f>
        <v>The Count of Monte Cristo</v>
      </c>
      <c r="U1625" s="5" t="str">
        <f>IFERROR(__xludf.DUMMYFUNCTION("""COMPUTED_VALUE"""),"Action")</f>
        <v>Action</v>
      </c>
      <c r="V1625" s="5">
        <f>IFERROR(__xludf.DUMMYFUNCTION("""COMPUTED_VALUE"""),1.0)</f>
        <v>1</v>
      </c>
    </row>
    <row r="1626">
      <c r="J1626" s="5" t="str">
        <f>IFERROR(__xludf.DUMMYFUNCTION("""COMPUTED_VALUE"""),"542🤙🏼Harold and Maude🤙🏼Drama🤙🏼2")</f>
        <v>542🤙🏼Harold and Maude🤙🏼Drama🤙🏼2</v>
      </c>
      <c r="K1626" s="5">
        <f>IFERROR(__xludf.DUMMYFUNCTION("SPLiT(J1626, ""🤙🏼"",FALSE,FALSE)"),542.0)</f>
        <v>542</v>
      </c>
      <c r="L1626" s="5" t="str">
        <f>IFERROR(__xludf.DUMMYFUNCTION("""COMPUTED_VALUE"""),"Harold and Maude")</f>
        <v>Harold and Maude</v>
      </c>
      <c r="M1626" s="5" t="str">
        <f>IFERROR(__xludf.DUMMYFUNCTION("""COMPUTED_VALUE"""),"Drama")</f>
        <v>Drama</v>
      </c>
      <c r="N1626" s="5">
        <f>IFERROR(__xludf.DUMMYFUNCTION("""COMPUTED_VALUE"""),2.0)</f>
        <v>2</v>
      </c>
      <c r="S1626" s="5">
        <f>IFERROR(__xludf.DUMMYFUNCTION("""COMPUTED_VALUE"""),643.0)</f>
        <v>643</v>
      </c>
      <c r="T1626" s="5" t="str">
        <f>IFERROR(__xludf.DUMMYFUNCTION("""COMPUTED_VALUE"""),"The Count of Monte Cristo")</f>
        <v>The Count of Monte Cristo</v>
      </c>
      <c r="U1626" s="5" t="str">
        <f>IFERROR(__xludf.DUMMYFUNCTION("""COMPUTED_VALUE"""),"Adventure")</f>
        <v>Adventure</v>
      </c>
      <c r="V1626" s="5">
        <f>IFERROR(__xludf.DUMMYFUNCTION("""COMPUTED_VALUE"""),2.0)</f>
        <v>2</v>
      </c>
    </row>
    <row r="1627">
      <c r="J1627" s="5" t="str">
        <f>IFERROR(__xludf.DUMMYFUNCTION("""COMPUTED_VALUE"""),"542🤙🏼Harold and Maude🤙🏼Romance🤙🏼3")</f>
        <v>542🤙🏼Harold and Maude🤙🏼Romance🤙🏼3</v>
      </c>
      <c r="K1627" s="5">
        <f>IFERROR(__xludf.DUMMYFUNCTION("SPLiT(J1627, ""🤙🏼"",FALSE,FALSE)"),542.0)</f>
        <v>542</v>
      </c>
      <c r="L1627" s="5" t="str">
        <f>IFERROR(__xludf.DUMMYFUNCTION("""COMPUTED_VALUE"""),"Harold and Maude")</f>
        <v>Harold and Maude</v>
      </c>
      <c r="M1627" s="5" t="str">
        <f>IFERROR(__xludf.DUMMYFUNCTION("""COMPUTED_VALUE"""),"Romance")</f>
        <v>Romance</v>
      </c>
      <c r="N1627" s="5">
        <f>IFERROR(__xludf.DUMMYFUNCTION("""COMPUTED_VALUE"""),3.0)</f>
        <v>3</v>
      </c>
      <c r="S1627" s="5">
        <f>IFERROR(__xludf.DUMMYFUNCTION("""COMPUTED_VALUE"""),643.0)</f>
        <v>643</v>
      </c>
      <c r="T1627" s="5" t="str">
        <f>IFERROR(__xludf.DUMMYFUNCTION("""COMPUTED_VALUE"""),"The Count of Monte Cristo")</f>
        <v>The Count of Monte Cristo</v>
      </c>
      <c r="U1627" s="5" t="str">
        <f>IFERROR(__xludf.DUMMYFUNCTION("""COMPUTED_VALUE"""),"Drama")</f>
        <v>Drama</v>
      </c>
      <c r="V1627" s="5">
        <f>IFERROR(__xludf.DUMMYFUNCTION("""COMPUTED_VALUE"""),3.0)</f>
        <v>3</v>
      </c>
    </row>
    <row r="1628">
      <c r="J1628" s="5" t="str">
        <f>IFERROR(__xludf.DUMMYFUNCTION("""COMPUTED_VALUE"""),"543🤙🏼Patton🤙🏼Biography🤙🏼1")</f>
        <v>543🤙🏼Patton🤙🏼Biography🤙🏼1</v>
      </c>
      <c r="K1628" s="5">
        <f>IFERROR(__xludf.DUMMYFUNCTION("SPLiT(J1628, ""🤙🏼"",FALSE,FALSE)"),543.0)</f>
        <v>543</v>
      </c>
      <c r="L1628" s="5" t="str">
        <f>IFERROR(__xludf.DUMMYFUNCTION("""COMPUTED_VALUE"""),"Patton")</f>
        <v>Patton</v>
      </c>
      <c r="M1628" s="5" t="str">
        <f>IFERROR(__xludf.DUMMYFUNCTION("""COMPUTED_VALUE"""),"Biography")</f>
        <v>Biography</v>
      </c>
      <c r="N1628" s="5">
        <f>IFERROR(__xludf.DUMMYFUNCTION("""COMPUTED_VALUE"""),1.0)</f>
        <v>1</v>
      </c>
      <c r="S1628" s="5">
        <f>IFERROR(__xludf.DUMMYFUNCTION("""COMPUTED_VALUE"""),644.0)</f>
        <v>644</v>
      </c>
      <c r="T1628" s="5" t="str">
        <f>IFERROR(__xludf.DUMMYFUNCTION("""COMPUTED_VALUE"""),"Waking Life")</f>
        <v>Waking Life</v>
      </c>
      <c r="U1628" s="5" t="str">
        <f>IFERROR(__xludf.DUMMYFUNCTION("""COMPUTED_VALUE"""),"Animation")</f>
        <v>Animation</v>
      </c>
      <c r="V1628" s="5">
        <f>IFERROR(__xludf.DUMMYFUNCTION("""COMPUTED_VALUE"""),1.0)</f>
        <v>1</v>
      </c>
    </row>
    <row r="1629">
      <c r="J1629" s="5" t="str">
        <f>IFERROR(__xludf.DUMMYFUNCTION("""COMPUTED_VALUE"""),"543🤙🏼Patton🤙🏼Drama🤙🏼2")</f>
        <v>543🤙🏼Patton🤙🏼Drama🤙🏼2</v>
      </c>
      <c r="K1629" s="5">
        <f>IFERROR(__xludf.DUMMYFUNCTION("SPLiT(J1629, ""🤙🏼"",FALSE,FALSE)"),543.0)</f>
        <v>543</v>
      </c>
      <c r="L1629" s="5" t="str">
        <f>IFERROR(__xludf.DUMMYFUNCTION("""COMPUTED_VALUE"""),"Patton")</f>
        <v>Patton</v>
      </c>
      <c r="M1629" s="5" t="str">
        <f>IFERROR(__xludf.DUMMYFUNCTION("""COMPUTED_VALUE"""),"Drama")</f>
        <v>Drama</v>
      </c>
      <c r="N1629" s="5">
        <f>IFERROR(__xludf.DUMMYFUNCTION("""COMPUTED_VALUE"""),2.0)</f>
        <v>2</v>
      </c>
      <c r="S1629" s="5">
        <f>IFERROR(__xludf.DUMMYFUNCTION("""COMPUTED_VALUE"""),644.0)</f>
        <v>644</v>
      </c>
      <c r="T1629" s="5" t="str">
        <f>IFERROR(__xludf.DUMMYFUNCTION("""COMPUTED_VALUE"""),"Waking Life")</f>
        <v>Waking Life</v>
      </c>
      <c r="U1629" s="5" t="str">
        <f>IFERROR(__xludf.DUMMYFUNCTION("""COMPUTED_VALUE"""),"Drama")</f>
        <v>Drama</v>
      </c>
      <c r="V1629" s="5">
        <f>IFERROR(__xludf.DUMMYFUNCTION("""COMPUTED_VALUE"""),2.0)</f>
        <v>2</v>
      </c>
    </row>
    <row r="1630">
      <c r="J1630" s="5" t="str">
        <f>IFERROR(__xludf.DUMMYFUNCTION("""COMPUTED_VALUE"""),"543🤙🏼Patton🤙🏼War🤙🏼3")</f>
        <v>543🤙🏼Patton🤙🏼War🤙🏼3</v>
      </c>
      <c r="K1630" s="5">
        <f>IFERROR(__xludf.DUMMYFUNCTION("SPLiT(J1630, ""🤙🏼"",FALSE,FALSE)"),543.0)</f>
        <v>543</v>
      </c>
      <c r="L1630" s="5" t="str">
        <f>IFERROR(__xludf.DUMMYFUNCTION("""COMPUTED_VALUE"""),"Patton")</f>
        <v>Patton</v>
      </c>
      <c r="M1630" s="5" t="str">
        <f>IFERROR(__xludf.DUMMYFUNCTION("""COMPUTED_VALUE"""),"War")</f>
        <v>War</v>
      </c>
      <c r="N1630" s="5">
        <f>IFERROR(__xludf.DUMMYFUNCTION("""COMPUTED_VALUE"""),3.0)</f>
        <v>3</v>
      </c>
      <c r="S1630" s="5">
        <f>IFERROR(__xludf.DUMMYFUNCTION("""COMPUTED_VALUE"""),644.0)</f>
        <v>644</v>
      </c>
      <c r="T1630" s="5" t="str">
        <f>IFERROR(__xludf.DUMMYFUNCTION("""COMPUTED_VALUE"""),"Waking Life")</f>
        <v>Waking Life</v>
      </c>
      <c r="U1630" s="5" t="str">
        <f>IFERROR(__xludf.DUMMYFUNCTION("""COMPUTED_VALUE"""),"Fantasy")</f>
        <v>Fantasy</v>
      </c>
      <c r="V1630" s="5">
        <f>IFERROR(__xludf.DUMMYFUNCTION("""COMPUTED_VALUE"""),3.0)</f>
        <v>3</v>
      </c>
    </row>
    <row r="1631">
      <c r="J1631" s="5" t="str">
        <f>IFERROR(__xludf.DUMMYFUNCTION("""COMPUTED_VALUE"""),"544🤙🏼The Wild Bunch🤙🏼Action🤙🏼1")</f>
        <v>544🤙🏼The Wild Bunch🤙🏼Action🤙🏼1</v>
      </c>
      <c r="K1631" s="5">
        <f>IFERROR(__xludf.DUMMYFUNCTION("SPLiT(J1631, ""🤙🏼"",FALSE,FALSE)"),544.0)</f>
        <v>544</v>
      </c>
      <c r="L1631" s="5" t="str">
        <f>IFERROR(__xludf.DUMMYFUNCTION("""COMPUTED_VALUE"""),"The Wild Bunch")</f>
        <v>The Wild Bunch</v>
      </c>
      <c r="M1631" s="5" t="str">
        <f>IFERROR(__xludf.DUMMYFUNCTION("""COMPUTED_VALUE"""),"Action")</f>
        <v>Action</v>
      </c>
      <c r="N1631" s="5">
        <f>IFERROR(__xludf.DUMMYFUNCTION("""COMPUTED_VALUE"""),1.0)</f>
        <v>1</v>
      </c>
      <c r="S1631" s="5">
        <f>IFERROR(__xludf.DUMMYFUNCTION("""COMPUTED_VALUE"""),645.0)</f>
        <v>645</v>
      </c>
      <c r="T1631" s="5" t="str">
        <f>IFERROR(__xludf.DUMMYFUNCTION("""COMPUTED_VALUE"""),"Remember the Titans")</f>
        <v>Remember the Titans</v>
      </c>
      <c r="U1631" s="5" t="str">
        <f>IFERROR(__xludf.DUMMYFUNCTION("""COMPUTED_VALUE"""),"Biography")</f>
        <v>Biography</v>
      </c>
      <c r="V1631" s="5">
        <f>IFERROR(__xludf.DUMMYFUNCTION("""COMPUTED_VALUE"""),1.0)</f>
        <v>1</v>
      </c>
    </row>
    <row r="1632">
      <c r="J1632" s="5" t="str">
        <f>IFERROR(__xludf.DUMMYFUNCTION("""COMPUTED_VALUE"""),"544🤙🏼The Wild Bunch🤙🏼Adventure🤙🏼2")</f>
        <v>544🤙🏼The Wild Bunch🤙🏼Adventure🤙🏼2</v>
      </c>
      <c r="K1632" s="5">
        <f>IFERROR(__xludf.DUMMYFUNCTION("SPLiT(J1632, ""🤙🏼"",FALSE,FALSE)"),544.0)</f>
        <v>544</v>
      </c>
      <c r="L1632" s="5" t="str">
        <f>IFERROR(__xludf.DUMMYFUNCTION("""COMPUTED_VALUE"""),"The Wild Bunch")</f>
        <v>The Wild Bunch</v>
      </c>
      <c r="M1632" s="5" t="str">
        <f>IFERROR(__xludf.DUMMYFUNCTION("""COMPUTED_VALUE"""),"Adventure")</f>
        <v>Adventure</v>
      </c>
      <c r="N1632" s="5">
        <f>IFERROR(__xludf.DUMMYFUNCTION("""COMPUTED_VALUE"""),2.0)</f>
        <v>2</v>
      </c>
      <c r="S1632" s="5">
        <f>IFERROR(__xludf.DUMMYFUNCTION("""COMPUTED_VALUE"""),645.0)</f>
        <v>645</v>
      </c>
      <c r="T1632" s="5" t="str">
        <f>IFERROR(__xludf.DUMMYFUNCTION("""COMPUTED_VALUE"""),"Remember the Titans")</f>
        <v>Remember the Titans</v>
      </c>
      <c r="U1632" s="5" t="str">
        <f>IFERROR(__xludf.DUMMYFUNCTION("""COMPUTED_VALUE"""),"Drama")</f>
        <v>Drama</v>
      </c>
      <c r="V1632" s="5">
        <f>IFERROR(__xludf.DUMMYFUNCTION("""COMPUTED_VALUE"""),2.0)</f>
        <v>2</v>
      </c>
    </row>
    <row r="1633">
      <c r="J1633" s="5" t="str">
        <f>IFERROR(__xludf.DUMMYFUNCTION("""COMPUTED_VALUE"""),"544🤙🏼The Wild Bunch🤙🏼Western🤙🏼3")</f>
        <v>544🤙🏼The Wild Bunch🤙🏼Western🤙🏼3</v>
      </c>
      <c r="K1633" s="5">
        <f>IFERROR(__xludf.DUMMYFUNCTION("SPLiT(J1633, ""🤙🏼"",FALSE,FALSE)"),544.0)</f>
        <v>544</v>
      </c>
      <c r="L1633" s="5" t="str">
        <f>IFERROR(__xludf.DUMMYFUNCTION("""COMPUTED_VALUE"""),"The Wild Bunch")</f>
        <v>The Wild Bunch</v>
      </c>
      <c r="M1633" s="5" t="str">
        <f>IFERROR(__xludf.DUMMYFUNCTION("""COMPUTED_VALUE"""),"Western")</f>
        <v>Western</v>
      </c>
      <c r="N1633" s="5">
        <f>IFERROR(__xludf.DUMMYFUNCTION("""COMPUTED_VALUE"""),3.0)</f>
        <v>3</v>
      </c>
      <c r="S1633" s="5">
        <f>IFERROR(__xludf.DUMMYFUNCTION("""COMPUTED_VALUE"""),645.0)</f>
        <v>645</v>
      </c>
      <c r="T1633" s="5" t="str">
        <f>IFERROR(__xludf.DUMMYFUNCTION("""COMPUTED_VALUE"""),"Remember the Titans")</f>
        <v>Remember the Titans</v>
      </c>
      <c r="U1633" s="5" t="str">
        <f>IFERROR(__xludf.DUMMYFUNCTION("""COMPUTED_VALUE"""),"Sport")</f>
        <v>Sport</v>
      </c>
      <c r="V1633" s="5">
        <f>IFERROR(__xludf.DUMMYFUNCTION("""COMPUTED_VALUE"""),3.0)</f>
        <v>3</v>
      </c>
    </row>
    <row r="1634">
      <c r="J1634" s="5" t="str">
        <f>IFERROR(__xludf.DUMMYFUNCTION("""COMPUTED_VALUE"""),"545🤙🏼Night of the Living Dead🤙🏼Horror🤙🏼1")</f>
        <v>545🤙🏼Night of the Living Dead🤙🏼Horror🤙🏼1</v>
      </c>
      <c r="K1634" s="5">
        <f>IFERROR(__xludf.DUMMYFUNCTION("SPLiT(J1634, ""🤙🏼"",FALSE,FALSE)"),545.0)</f>
        <v>545</v>
      </c>
      <c r="L1634" s="5" t="str">
        <f>IFERROR(__xludf.DUMMYFUNCTION("""COMPUTED_VALUE"""),"Night of the Living Dead")</f>
        <v>Night of the Living Dead</v>
      </c>
      <c r="M1634" s="5" t="str">
        <f>IFERROR(__xludf.DUMMYFUNCTION("""COMPUTED_VALUE"""),"Horror")</f>
        <v>Horror</v>
      </c>
      <c r="N1634" s="5">
        <f>IFERROR(__xludf.DUMMYFUNCTION("""COMPUTED_VALUE"""),1.0)</f>
        <v>1</v>
      </c>
      <c r="S1634" s="5">
        <f>IFERROR(__xludf.DUMMYFUNCTION("""COMPUTED_VALUE"""),646.0)</f>
        <v>646</v>
      </c>
      <c r="T1634" s="5" t="str">
        <f>IFERROR(__xludf.DUMMYFUNCTION("""COMPUTED_VALUE"""),"Wo hu cang long")</f>
        <v>Wo hu cang long</v>
      </c>
      <c r="U1634" s="5" t="str">
        <f>IFERROR(__xludf.DUMMYFUNCTION("""COMPUTED_VALUE"""),"Action")</f>
        <v>Action</v>
      </c>
      <c r="V1634" s="5">
        <f>IFERROR(__xludf.DUMMYFUNCTION("""COMPUTED_VALUE"""),1.0)</f>
        <v>1</v>
      </c>
    </row>
    <row r="1635">
      <c r="J1635" s="5" t="str">
        <f>IFERROR(__xludf.DUMMYFUNCTION("""COMPUTED_VALUE"""),"545🤙🏼Night of the Living Dead🤙🏼Thriller🤙🏼2")</f>
        <v>545🤙🏼Night of the Living Dead🤙🏼Thriller🤙🏼2</v>
      </c>
      <c r="K1635" s="5">
        <f>IFERROR(__xludf.DUMMYFUNCTION("SPLiT(J1635, ""🤙🏼"",FALSE,FALSE)"),545.0)</f>
        <v>545</v>
      </c>
      <c r="L1635" s="5" t="str">
        <f>IFERROR(__xludf.DUMMYFUNCTION("""COMPUTED_VALUE"""),"Night of the Living Dead")</f>
        <v>Night of the Living Dead</v>
      </c>
      <c r="M1635" s="5" t="str">
        <f>IFERROR(__xludf.DUMMYFUNCTION("""COMPUTED_VALUE"""),"Thriller")</f>
        <v>Thriller</v>
      </c>
      <c r="N1635" s="5">
        <f>IFERROR(__xludf.DUMMYFUNCTION("""COMPUTED_VALUE"""),2.0)</f>
        <v>2</v>
      </c>
      <c r="S1635" s="5">
        <f>IFERROR(__xludf.DUMMYFUNCTION("""COMPUTED_VALUE"""),646.0)</f>
        <v>646</v>
      </c>
      <c r="T1635" s="5" t="str">
        <f>IFERROR(__xludf.DUMMYFUNCTION("""COMPUTED_VALUE"""),"Wo hu cang long")</f>
        <v>Wo hu cang long</v>
      </c>
      <c r="U1635" s="5" t="str">
        <f>IFERROR(__xludf.DUMMYFUNCTION("""COMPUTED_VALUE"""),"Adventure")</f>
        <v>Adventure</v>
      </c>
      <c r="V1635" s="5">
        <f>IFERROR(__xludf.DUMMYFUNCTION("""COMPUTED_VALUE"""),2.0)</f>
        <v>2</v>
      </c>
    </row>
    <row r="1636">
      <c r="J1636" s="5" t="str">
        <f>IFERROR(__xludf.DUMMYFUNCTION("""COMPUTED_VALUE"""),"545🤙🏼Night of the Living Dead🤙🏼🤙🏼3")</f>
        <v>545🤙🏼Night of the Living Dead🤙🏼🤙🏼3</v>
      </c>
      <c r="K1636" s="5">
        <f>IFERROR(__xludf.DUMMYFUNCTION("SPLiT(J1636, ""🤙🏼"",FALSE,FALSE)"),545.0)</f>
        <v>545</v>
      </c>
      <c r="L1636" s="5" t="str">
        <f>IFERROR(__xludf.DUMMYFUNCTION("""COMPUTED_VALUE"""),"Night of the Living Dead")</f>
        <v>Night of the Living Dead</v>
      </c>
      <c r="M1636" s="5"/>
      <c r="N1636" s="5">
        <f>IFERROR(__xludf.DUMMYFUNCTION("""COMPUTED_VALUE"""),3.0)</f>
        <v>3</v>
      </c>
      <c r="S1636" s="5">
        <f>IFERROR(__xludf.DUMMYFUNCTION("""COMPUTED_VALUE"""),646.0)</f>
        <v>646</v>
      </c>
      <c r="T1636" s="5" t="str">
        <f>IFERROR(__xludf.DUMMYFUNCTION("""COMPUTED_VALUE"""),"Wo hu cang long")</f>
        <v>Wo hu cang long</v>
      </c>
      <c r="U1636" s="5" t="str">
        <f>IFERROR(__xludf.DUMMYFUNCTION("""COMPUTED_VALUE"""),"Fantasy")</f>
        <v>Fantasy</v>
      </c>
      <c r="V1636" s="5">
        <f>IFERROR(__xludf.DUMMYFUNCTION("""COMPUTED_VALUE"""),3.0)</f>
        <v>3</v>
      </c>
    </row>
    <row r="1637">
      <c r="J1637" s="5" t="str">
        <f>IFERROR(__xludf.DUMMYFUNCTION("""COMPUTED_VALUE"""),"546🤙🏼The Lion in Winter🤙🏼Biography🤙🏼1")</f>
        <v>546🤙🏼The Lion in Winter🤙🏼Biography🤙🏼1</v>
      </c>
      <c r="K1637" s="5">
        <f>IFERROR(__xludf.DUMMYFUNCTION("SPLiT(J1637, ""🤙🏼"",FALSE,FALSE)"),546.0)</f>
        <v>546</v>
      </c>
      <c r="L1637" s="5" t="str">
        <f>IFERROR(__xludf.DUMMYFUNCTION("""COMPUTED_VALUE"""),"The Lion in Winter")</f>
        <v>The Lion in Winter</v>
      </c>
      <c r="M1637" s="5" t="str">
        <f>IFERROR(__xludf.DUMMYFUNCTION("""COMPUTED_VALUE"""),"Biography")</f>
        <v>Biography</v>
      </c>
      <c r="N1637" s="5">
        <f>IFERROR(__xludf.DUMMYFUNCTION("""COMPUTED_VALUE"""),1.0)</f>
        <v>1</v>
      </c>
      <c r="S1637" s="5">
        <f>IFERROR(__xludf.DUMMYFUNCTION("""COMPUTED_VALUE"""),647.0)</f>
        <v>647</v>
      </c>
      <c r="T1637" s="5" t="str">
        <f>IFERROR(__xludf.DUMMYFUNCTION("""COMPUTED_VALUE"""),"Todo sobre mi madre")</f>
        <v>Todo sobre mi madre</v>
      </c>
      <c r="U1637" s="5" t="str">
        <f>IFERROR(__xludf.DUMMYFUNCTION("""COMPUTED_VALUE"""),"Drama")</f>
        <v>Drama</v>
      </c>
      <c r="V1637" s="5">
        <f>IFERROR(__xludf.DUMMYFUNCTION("""COMPUTED_VALUE"""),1.0)</f>
        <v>1</v>
      </c>
    </row>
    <row r="1638">
      <c r="J1638" s="5" t="str">
        <f>IFERROR(__xludf.DUMMYFUNCTION("""COMPUTED_VALUE"""),"546🤙🏼The Lion in Winter🤙🏼Drama🤙🏼2")</f>
        <v>546🤙🏼The Lion in Winter🤙🏼Drama🤙🏼2</v>
      </c>
      <c r="K1638" s="5">
        <f>IFERROR(__xludf.DUMMYFUNCTION("SPLiT(J1638, ""🤙🏼"",FALSE,FALSE)"),546.0)</f>
        <v>546</v>
      </c>
      <c r="L1638" s="5" t="str">
        <f>IFERROR(__xludf.DUMMYFUNCTION("""COMPUTED_VALUE"""),"The Lion in Winter")</f>
        <v>The Lion in Winter</v>
      </c>
      <c r="M1638" s="5" t="str">
        <f>IFERROR(__xludf.DUMMYFUNCTION("""COMPUTED_VALUE"""),"Drama")</f>
        <v>Drama</v>
      </c>
      <c r="N1638" s="5">
        <f>IFERROR(__xludf.DUMMYFUNCTION("""COMPUTED_VALUE"""),2.0)</f>
        <v>2</v>
      </c>
      <c r="S1638" s="5">
        <f>IFERROR(__xludf.DUMMYFUNCTION("""COMPUTED_VALUE"""),648.0)</f>
        <v>648</v>
      </c>
      <c r="T1638" s="5" t="str">
        <f>IFERROR(__xludf.DUMMYFUNCTION("""COMPUTED_VALUE"""),"Cast Away")</f>
        <v>Cast Away</v>
      </c>
      <c r="U1638" s="5" t="str">
        <f>IFERROR(__xludf.DUMMYFUNCTION("""COMPUTED_VALUE"""),"Adventure")</f>
        <v>Adventure</v>
      </c>
      <c r="V1638" s="5">
        <f>IFERROR(__xludf.DUMMYFUNCTION("""COMPUTED_VALUE"""),1.0)</f>
        <v>1</v>
      </c>
    </row>
    <row r="1639">
      <c r="J1639" s="5" t="str">
        <f>IFERROR(__xludf.DUMMYFUNCTION("""COMPUTED_VALUE"""),"546🤙🏼The Lion in Winter🤙🏼History🤙🏼3")</f>
        <v>546🤙🏼The Lion in Winter🤙🏼History🤙🏼3</v>
      </c>
      <c r="K1639" s="5">
        <f>IFERROR(__xludf.DUMMYFUNCTION("SPLiT(J1639, ""🤙🏼"",FALSE,FALSE)"),546.0)</f>
        <v>546</v>
      </c>
      <c r="L1639" s="5" t="str">
        <f>IFERROR(__xludf.DUMMYFUNCTION("""COMPUTED_VALUE"""),"The Lion in Winter")</f>
        <v>The Lion in Winter</v>
      </c>
      <c r="M1639" s="5" t="str">
        <f>IFERROR(__xludf.DUMMYFUNCTION("""COMPUTED_VALUE"""),"History")</f>
        <v>History</v>
      </c>
      <c r="N1639" s="5">
        <f>IFERROR(__xludf.DUMMYFUNCTION("""COMPUTED_VALUE"""),3.0)</f>
        <v>3</v>
      </c>
      <c r="S1639" s="5">
        <f>IFERROR(__xludf.DUMMYFUNCTION("""COMPUTED_VALUE"""),648.0)</f>
        <v>648</v>
      </c>
      <c r="T1639" s="5" t="str">
        <f>IFERROR(__xludf.DUMMYFUNCTION("""COMPUTED_VALUE"""),"Cast Away")</f>
        <v>Cast Away</v>
      </c>
      <c r="U1639" s="5" t="str">
        <f>IFERROR(__xludf.DUMMYFUNCTION("""COMPUTED_VALUE"""),"Drama")</f>
        <v>Drama</v>
      </c>
      <c r="V1639" s="5">
        <f>IFERROR(__xludf.DUMMYFUNCTION("""COMPUTED_VALUE"""),2.0)</f>
        <v>2</v>
      </c>
    </row>
    <row r="1640">
      <c r="J1640" s="5" t="str">
        <f>IFERROR(__xludf.DUMMYFUNCTION("""COMPUTED_VALUE"""),"547🤙🏼In the Heat of the Night🤙🏼Crime🤙🏼1")</f>
        <v>547🤙🏼In the Heat of the Night🤙🏼Crime🤙🏼1</v>
      </c>
      <c r="K1640" s="5">
        <f>IFERROR(__xludf.DUMMYFUNCTION("SPLiT(J1640, ""🤙🏼"",FALSE,FALSE)"),547.0)</f>
        <v>547</v>
      </c>
      <c r="L1640" s="5" t="str">
        <f>IFERROR(__xludf.DUMMYFUNCTION("""COMPUTED_VALUE"""),"In the Heat of the Night")</f>
        <v>In the Heat of the Night</v>
      </c>
      <c r="M1640" s="5" t="str">
        <f>IFERROR(__xludf.DUMMYFUNCTION("""COMPUTED_VALUE"""),"Crime")</f>
        <v>Crime</v>
      </c>
      <c r="N1640" s="5">
        <f>IFERROR(__xludf.DUMMYFUNCTION("""COMPUTED_VALUE"""),1.0)</f>
        <v>1</v>
      </c>
      <c r="S1640" s="5">
        <f>IFERROR(__xludf.DUMMYFUNCTION("""COMPUTED_VALUE"""),648.0)</f>
        <v>648</v>
      </c>
      <c r="T1640" s="5" t="str">
        <f>IFERROR(__xludf.DUMMYFUNCTION("""COMPUTED_VALUE"""),"Cast Away")</f>
        <v>Cast Away</v>
      </c>
      <c r="U1640" s="5" t="str">
        <f>IFERROR(__xludf.DUMMYFUNCTION("""COMPUTED_VALUE"""),"Romance")</f>
        <v>Romance</v>
      </c>
      <c r="V1640" s="5">
        <f>IFERROR(__xludf.DUMMYFUNCTION("""COMPUTED_VALUE"""),3.0)</f>
        <v>3</v>
      </c>
    </row>
    <row r="1641">
      <c r="J1641" s="5" t="str">
        <f>IFERROR(__xludf.DUMMYFUNCTION("""COMPUTED_VALUE"""),"547🤙🏼In the Heat of the Night🤙🏼Drama🤙🏼2")</f>
        <v>547🤙🏼In the Heat of the Night🤙🏼Drama🤙🏼2</v>
      </c>
      <c r="K1641" s="5">
        <f>IFERROR(__xludf.DUMMYFUNCTION("SPLiT(J1641, ""🤙🏼"",FALSE,FALSE)"),547.0)</f>
        <v>547</v>
      </c>
      <c r="L1641" s="5" t="str">
        <f>IFERROR(__xludf.DUMMYFUNCTION("""COMPUTED_VALUE"""),"In the Heat of the Night")</f>
        <v>In the Heat of the Night</v>
      </c>
      <c r="M1641" s="5" t="str">
        <f>IFERROR(__xludf.DUMMYFUNCTION("""COMPUTED_VALUE"""),"Drama")</f>
        <v>Drama</v>
      </c>
      <c r="N1641" s="5">
        <f>IFERROR(__xludf.DUMMYFUNCTION("""COMPUTED_VALUE"""),2.0)</f>
        <v>2</v>
      </c>
      <c r="S1641" s="5">
        <f>IFERROR(__xludf.DUMMYFUNCTION("""COMPUTED_VALUE"""),649.0)</f>
        <v>649</v>
      </c>
      <c r="T1641" s="5" t="str">
        <f>IFERROR(__xludf.DUMMYFUNCTION("""COMPUTED_VALUE"""),"The Boondock Saints")</f>
        <v>The Boondock Saints</v>
      </c>
      <c r="U1641" s="5" t="str">
        <f>IFERROR(__xludf.DUMMYFUNCTION("""COMPUTED_VALUE"""),"Action")</f>
        <v>Action</v>
      </c>
      <c r="V1641" s="5">
        <f>IFERROR(__xludf.DUMMYFUNCTION("""COMPUTED_VALUE"""),1.0)</f>
        <v>1</v>
      </c>
    </row>
    <row r="1642">
      <c r="J1642" s="5" t="str">
        <f>IFERROR(__xludf.DUMMYFUNCTION("""COMPUTED_VALUE"""),"547🤙🏼In the Heat of the Night🤙🏼Mystery🤙🏼3")</f>
        <v>547🤙🏼In the Heat of the Night🤙🏼Mystery🤙🏼3</v>
      </c>
      <c r="K1642" s="5">
        <f>IFERROR(__xludf.DUMMYFUNCTION("SPLiT(J1642, ""🤙🏼"",FALSE,FALSE)"),547.0)</f>
        <v>547</v>
      </c>
      <c r="L1642" s="5" t="str">
        <f>IFERROR(__xludf.DUMMYFUNCTION("""COMPUTED_VALUE"""),"In the Heat of the Night")</f>
        <v>In the Heat of the Night</v>
      </c>
      <c r="M1642" s="5" t="str">
        <f>IFERROR(__xludf.DUMMYFUNCTION("""COMPUTED_VALUE"""),"Mystery")</f>
        <v>Mystery</v>
      </c>
      <c r="N1642" s="5">
        <f>IFERROR(__xludf.DUMMYFUNCTION("""COMPUTED_VALUE"""),3.0)</f>
        <v>3</v>
      </c>
      <c r="S1642" s="5">
        <f>IFERROR(__xludf.DUMMYFUNCTION("""COMPUTED_VALUE"""),649.0)</f>
        <v>649</v>
      </c>
      <c r="T1642" s="5" t="str">
        <f>IFERROR(__xludf.DUMMYFUNCTION("""COMPUTED_VALUE"""),"The Boondock Saints")</f>
        <v>The Boondock Saints</v>
      </c>
      <c r="U1642" s="5" t="str">
        <f>IFERROR(__xludf.DUMMYFUNCTION("""COMPUTED_VALUE"""),"Crime")</f>
        <v>Crime</v>
      </c>
      <c r="V1642" s="5">
        <f>IFERROR(__xludf.DUMMYFUNCTION("""COMPUTED_VALUE"""),2.0)</f>
        <v>2</v>
      </c>
    </row>
    <row r="1643">
      <c r="J1643" s="5" t="str">
        <f>IFERROR(__xludf.DUMMYFUNCTION("""COMPUTED_VALUE"""),"548🤙🏼Charade🤙🏼Comedy🤙🏼1")</f>
        <v>548🤙🏼Charade🤙🏼Comedy🤙🏼1</v>
      </c>
      <c r="K1643" s="5">
        <f>IFERROR(__xludf.DUMMYFUNCTION("SPLiT(J1643, ""🤙🏼"",FALSE,FALSE)"),548.0)</f>
        <v>548</v>
      </c>
      <c r="L1643" s="5" t="str">
        <f>IFERROR(__xludf.DUMMYFUNCTION("""COMPUTED_VALUE"""),"Charade")</f>
        <v>Charade</v>
      </c>
      <c r="M1643" s="5" t="str">
        <f>IFERROR(__xludf.DUMMYFUNCTION("""COMPUTED_VALUE"""),"Comedy")</f>
        <v>Comedy</v>
      </c>
      <c r="N1643" s="5">
        <f>IFERROR(__xludf.DUMMYFUNCTION("""COMPUTED_VALUE"""),1.0)</f>
        <v>1</v>
      </c>
      <c r="S1643" s="5">
        <f>IFERROR(__xludf.DUMMYFUNCTION("""COMPUTED_VALUE"""),649.0)</f>
        <v>649</v>
      </c>
      <c r="T1643" s="5" t="str">
        <f>IFERROR(__xludf.DUMMYFUNCTION("""COMPUTED_VALUE"""),"The Boondock Saints")</f>
        <v>The Boondock Saints</v>
      </c>
      <c r="U1643" s="5" t="str">
        <f>IFERROR(__xludf.DUMMYFUNCTION("""COMPUTED_VALUE"""),"Thriller")</f>
        <v>Thriller</v>
      </c>
      <c r="V1643" s="5">
        <f>IFERROR(__xludf.DUMMYFUNCTION("""COMPUTED_VALUE"""),3.0)</f>
        <v>3</v>
      </c>
    </row>
    <row r="1644">
      <c r="J1644" s="5" t="str">
        <f>IFERROR(__xludf.DUMMYFUNCTION("""COMPUTED_VALUE"""),"548🤙🏼Charade🤙🏼Mystery🤙🏼2")</f>
        <v>548🤙🏼Charade🤙🏼Mystery🤙🏼2</v>
      </c>
      <c r="K1644" s="5">
        <f>IFERROR(__xludf.DUMMYFUNCTION("SPLiT(J1644, ""🤙🏼"",FALSE,FALSE)"),548.0)</f>
        <v>548</v>
      </c>
      <c r="L1644" s="5" t="str">
        <f>IFERROR(__xludf.DUMMYFUNCTION("""COMPUTED_VALUE"""),"Charade")</f>
        <v>Charade</v>
      </c>
      <c r="M1644" s="5" t="str">
        <f>IFERROR(__xludf.DUMMYFUNCTION("""COMPUTED_VALUE"""),"Mystery")</f>
        <v>Mystery</v>
      </c>
      <c r="N1644" s="5">
        <f>IFERROR(__xludf.DUMMYFUNCTION("""COMPUTED_VALUE"""),2.0)</f>
        <v>2</v>
      </c>
      <c r="S1644" s="5">
        <f>IFERROR(__xludf.DUMMYFUNCTION("""COMPUTED_VALUE"""),650.0)</f>
        <v>650</v>
      </c>
      <c r="T1644" s="5" t="str">
        <f>IFERROR(__xludf.DUMMYFUNCTION("""COMPUTED_VALUE"""),"The Insider")</f>
        <v>The Insider</v>
      </c>
      <c r="U1644" s="5" t="str">
        <f>IFERROR(__xludf.DUMMYFUNCTION("""COMPUTED_VALUE"""),"Biography")</f>
        <v>Biography</v>
      </c>
      <c r="V1644" s="5">
        <f>IFERROR(__xludf.DUMMYFUNCTION("""COMPUTED_VALUE"""),1.0)</f>
        <v>1</v>
      </c>
    </row>
    <row r="1645">
      <c r="J1645" s="5" t="str">
        <f>IFERROR(__xludf.DUMMYFUNCTION("""COMPUTED_VALUE"""),"548🤙🏼Charade🤙🏼Romance🤙🏼3")</f>
        <v>548🤙🏼Charade🤙🏼Romance🤙🏼3</v>
      </c>
      <c r="K1645" s="5">
        <f>IFERROR(__xludf.DUMMYFUNCTION("SPLiT(J1645, ""🤙🏼"",FALSE,FALSE)"),548.0)</f>
        <v>548</v>
      </c>
      <c r="L1645" s="5" t="str">
        <f>IFERROR(__xludf.DUMMYFUNCTION("""COMPUTED_VALUE"""),"Charade")</f>
        <v>Charade</v>
      </c>
      <c r="M1645" s="5" t="str">
        <f>IFERROR(__xludf.DUMMYFUNCTION("""COMPUTED_VALUE"""),"Romance")</f>
        <v>Romance</v>
      </c>
      <c r="N1645" s="5">
        <f>IFERROR(__xludf.DUMMYFUNCTION("""COMPUTED_VALUE"""),3.0)</f>
        <v>3</v>
      </c>
      <c r="S1645" s="5">
        <f>IFERROR(__xludf.DUMMYFUNCTION("""COMPUTED_VALUE"""),650.0)</f>
        <v>650</v>
      </c>
      <c r="T1645" s="5" t="str">
        <f>IFERROR(__xludf.DUMMYFUNCTION("""COMPUTED_VALUE"""),"The Insider")</f>
        <v>The Insider</v>
      </c>
      <c r="U1645" s="5" t="str">
        <f>IFERROR(__xludf.DUMMYFUNCTION("""COMPUTED_VALUE"""),"Drama")</f>
        <v>Drama</v>
      </c>
      <c r="V1645" s="5">
        <f>IFERROR(__xludf.DUMMYFUNCTION("""COMPUTED_VALUE"""),2.0)</f>
        <v>2</v>
      </c>
    </row>
    <row r="1646">
      <c r="J1646" s="5" t="str">
        <f>IFERROR(__xludf.DUMMYFUNCTION("""COMPUTED_VALUE"""),"549🤙🏼The Manchurian Candidate🤙🏼Drama🤙🏼1")</f>
        <v>549🤙🏼The Manchurian Candidate🤙🏼Drama🤙🏼1</v>
      </c>
      <c r="K1646" s="5">
        <f>IFERROR(__xludf.DUMMYFUNCTION("SPLiT(J1646, ""🤙🏼"",FALSE,FALSE)"),549.0)</f>
        <v>549</v>
      </c>
      <c r="L1646" s="5" t="str">
        <f>IFERROR(__xludf.DUMMYFUNCTION("""COMPUTED_VALUE"""),"The Manchurian Candidate")</f>
        <v>The Manchurian Candidate</v>
      </c>
      <c r="M1646" s="5" t="str">
        <f>IFERROR(__xludf.DUMMYFUNCTION("""COMPUTED_VALUE"""),"Drama")</f>
        <v>Drama</v>
      </c>
      <c r="N1646" s="5">
        <f>IFERROR(__xludf.DUMMYFUNCTION("""COMPUTED_VALUE"""),1.0)</f>
        <v>1</v>
      </c>
      <c r="S1646" s="5">
        <f>IFERROR(__xludf.DUMMYFUNCTION("""COMPUTED_VALUE"""),650.0)</f>
        <v>650</v>
      </c>
      <c r="T1646" s="5" t="str">
        <f>IFERROR(__xludf.DUMMYFUNCTION("""COMPUTED_VALUE"""),"The Insider")</f>
        <v>The Insider</v>
      </c>
      <c r="U1646" s="5" t="str">
        <f>IFERROR(__xludf.DUMMYFUNCTION("""COMPUTED_VALUE"""),"Thriller")</f>
        <v>Thriller</v>
      </c>
      <c r="V1646" s="5">
        <f>IFERROR(__xludf.DUMMYFUNCTION("""COMPUTED_VALUE"""),3.0)</f>
        <v>3</v>
      </c>
    </row>
    <row r="1647">
      <c r="J1647" s="5" t="str">
        <f>IFERROR(__xludf.DUMMYFUNCTION("""COMPUTED_VALUE"""),"549🤙🏼The Manchurian Candidate🤙🏼Thriller🤙🏼2")</f>
        <v>549🤙🏼The Manchurian Candidate🤙🏼Thriller🤙🏼2</v>
      </c>
      <c r="K1647" s="5">
        <f>IFERROR(__xludf.DUMMYFUNCTION("SPLiT(J1647, ""🤙🏼"",FALSE,FALSE)"),549.0)</f>
        <v>549</v>
      </c>
      <c r="L1647" s="5" t="str">
        <f>IFERROR(__xludf.DUMMYFUNCTION("""COMPUTED_VALUE"""),"The Manchurian Candidate")</f>
        <v>The Manchurian Candidate</v>
      </c>
      <c r="M1647" s="5" t="str">
        <f>IFERROR(__xludf.DUMMYFUNCTION("""COMPUTED_VALUE"""),"Thriller")</f>
        <v>Thriller</v>
      </c>
      <c r="N1647" s="5">
        <f>IFERROR(__xludf.DUMMYFUNCTION("""COMPUTED_VALUE"""),2.0)</f>
        <v>2</v>
      </c>
      <c r="S1647" s="5">
        <f>IFERROR(__xludf.DUMMYFUNCTION("""COMPUTED_VALUE"""),651.0)</f>
        <v>651</v>
      </c>
      <c r="T1647" s="5" t="str">
        <f>IFERROR(__xludf.DUMMYFUNCTION("""COMPUTED_VALUE"""),"October Sky")</f>
        <v>October Sky</v>
      </c>
      <c r="U1647" s="5" t="str">
        <f>IFERROR(__xludf.DUMMYFUNCTION("""COMPUTED_VALUE"""),"Biography")</f>
        <v>Biography</v>
      </c>
      <c r="V1647" s="5">
        <f>IFERROR(__xludf.DUMMYFUNCTION("""COMPUTED_VALUE"""),1.0)</f>
        <v>1</v>
      </c>
    </row>
    <row r="1648">
      <c r="J1648" s="5" t="str">
        <f>IFERROR(__xludf.DUMMYFUNCTION("""COMPUTED_VALUE"""),"549🤙🏼The Manchurian Candidate🤙🏼🤙🏼3")</f>
        <v>549🤙🏼The Manchurian Candidate🤙🏼🤙🏼3</v>
      </c>
      <c r="K1648" s="5">
        <f>IFERROR(__xludf.DUMMYFUNCTION("SPLiT(J1648, ""🤙🏼"",FALSE,FALSE)"),549.0)</f>
        <v>549</v>
      </c>
      <c r="L1648" s="5" t="str">
        <f>IFERROR(__xludf.DUMMYFUNCTION("""COMPUTED_VALUE"""),"The Manchurian Candidate")</f>
        <v>The Manchurian Candidate</v>
      </c>
      <c r="M1648" s="5"/>
      <c r="N1648" s="5">
        <f>IFERROR(__xludf.DUMMYFUNCTION("""COMPUTED_VALUE"""),3.0)</f>
        <v>3</v>
      </c>
      <c r="S1648" s="5">
        <f>IFERROR(__xludf.DUMMYFUNCTION("""COMPUTED_VALUE"""),651.0)</f>
        <v>651</v>
      </c>
      <c r="T1648" s="5" t="str">
        <f>IFERROR(__xludf.DUMMYFUNCTION("""COMPUTED_VALUE"""),"October Sky")</f>
        <v>October Sky</v>
      </c>
      <c r="U1648" s="5" t="str">
        <f>IFERROR(__xludf.DUMMYFUNCTION("""COMPUTED_VALUE"""),"Drama")</f>
        <v>Drama</v>
      </c>
      <c r="V1648" s="5">
        <f>IFERROR(__xludf.DUMMYFUNCTION("""COMPUTED_VALUE"""),2.0)</f>
        <v>2</v>
      </c>
    </row>
    <row r="1649">
      <c r="J1649" s="5" t="str">
        <f>IFERROR(__xludf.DUMMYFUNCTION("""COMPUTED_VALUE"""),"550🤙🏼Spartacus🤙🏼Adventure🤙🏼1")</f>
        <v>550🤙🏼Spartacus🤙🏼Adventure🤙🏼1</v>
      </c>
      <c r="K1649" s="5">
        <f>IFERROR(__xludf.DUMMYFUNCTION("SPLiT(J1649, ""🤙🏼"",FALSE,FALSE)"),550.0)</f>
        <v>550</v>
      </c>
      <c r="L1649" s="5" t="str">
        <f>IFERROR(__xludf.DUMMYFUNCTION("""COMPUTED_VALUE"""),"Spartacus")</f>
        <v>Spartacus</v>
      </c>
      <c r="M1649" s="5" t="str">
        <f>IFERROR(__xludf.DUMMYFUNCTION("""COMPUTED_VALUE"""),"Adventure")</f>
        <v>Adventure</v>
      </c>
      <c r="N1649" s="5">
        <f>IFERROR(__xludf.DUMMYFUNCTION("""COMPUTED_VALUE"""),1.0)</f>
        <v>1</v>
      </c>
      <c r="S1649" s="5">
        <f>IFERROR(__xludf.DUMMYFUNCTION("""COMPUTED_VALUE"""),651.0)</f>
        <v>651</v>
      </c>
      <c r="T1649" s="5" t="str">
        <f>IFERROR(__xludf.DUMMYFUNCTION("""COMPUTED_VALUE"""),"October Sky")</f>
        <v>October Sky</v>
      </c>
      <c r="U1649" s="5" t="str">
        <f>IFERROR(__xludf.DUMMYFUNCTION("""COMPUTED_VALUE"""),"Family")</f>
        <v>Family</v>
      </c>
      <c r="V1649" s="5">
        <f>IFERROR(__xludf.DUMMYFUNCTION("""COMPUTED_VALUE"""),3.0)</f>
        <v>3</v>
      </c>
    </row>
    <row r="1650">
      <c r="J1650" s="5" t="str">
        <f>IFERROR(__xludf.DUMMYFUNCTION("""COMPUTED_VALUE"""),"550🤙🏼Spartacus🤙🏼Biography🤙🏼2")</f>
        <v>550🤙🏼Spartacus🤙🏼Biography🤙🏼2</v>
      </c>
      <c r="K1650" s="5">
        <f>IFERROR(__xludf.DUMMYFUNCTION("SPLiT(J1650, ""🤙🏼"",FALSE,FALSE)"),550.0)</f>
        <v>550</v>
      </c>
      <c r="L1650" s="5" t="str">
        <f>IFERROR(__xludf.DUMMYFUNCTION("""COMPUTED_VALUE"""),"Spartacus")</f>
        <v>Spartacus</v>
      </c>
      <c r="M1650" s="5" t="str">
        <f>IFERROR(__xludf.DUMMYFUNCTION("""COMPUTED_VALUE"""),"Biography")</f>
        <v>Biography</v>
      </c>
      <c r="N1650" s="5">
        <f>IFERROR(__xludf.DUMMYFUNCTION("""COMPUTED_VALUE"""),2.0)</f>
        <v>2</v>
      </c>
      <c r="S1650" s="5">
        <f>IFERROR(__xludf.DUMMYFUNCTION("""COMPUTED_VALUE"""),652.0)</f>
        <v>652</v>
      </c>
      <c r="T1650" s="5" t="str">
        <f>IFERROR(__xludf.DUMMYFUNCTION("""COMPUTED_VALUE"""),"Shrek")</f>
        <v>Shrek</v>
      </c>
      <c r="U1650" s="5" t="str">
        <f>IFERROR(__xludf.DUMMYFUNCTION("""COMPUTED_VALUE"""),"Animation")</f>
        <v>Animation</v>
      </c>
      <c r="V1650" s="5">
        <f>IFERROR(__xludf.DUMMYFUNCTION("""COMPUTED_VALUE"""),1.0)</f>
        <v>1</v>
      </c>
    </row>
    <row r="1651">
      <c r="J1651" s="5" t="str">
        <f>IFERROR(__xludf.DUMMYFUNCTION("""COMPUTED_VALUE"""),"550🤙🏼Spartacus🤙🏼Drama🤙🏼3")</f>
        <v>550🤙🏼Spartacus🤙🏼Drama🤙🏼3</v>
      </c>
      <c r="K1651" s="5">
        <f>IFERROR(__xludf.DUMMYFUNCTION("SPLiT(J1651, ""🤙🏼"",FALSE,FALSE)"),550.0)</f>
        <v>550</v>
      </c>
      <c r="L1651" s="5" t="str">
        <f>IFERROR(__xludf.DUMMYFUNCTION("""COMPUTED_VALUE"""),"Spartacus")</f>
        <v>Spartacus</v>
      </c>
      <c r="M1651" s="5" t="str">
        <f>IFERROR(__xludf.DUMMYFUNCTION("""COMPUTED_VALUE"""),"Drama")</f>
        <v>Drama</v>
      </c>
      <c r="N1651" s="5">
        <f>IFERROR(__xludf.DUMMYFUNCTION("""COMPUTED_VALUE"""),3.0)</f>
        <v>3</v>
      </c>
      <c r="S1651" s="5">
        <f>IFERROR(__xludf.DUMMYFUNCTION("""COMPUTED_VALUE"""),652.0)</f>
        <v>652</v>
      </c>
      <c r="T1651" s="5" t="str">
        <f>IFERROR(__xludf.DUMMYFUNCTION("""COMPUTED_VALUE"""),"Shrek")</f>
        <v>Shrek</v>
      </c>
      <c r="U1651" s="5" t="str">
        <f>IFERROR(__xludf.DUMMYFUNCTION("""COMPUTED_VALUE"""),"Adventure")</f>
        <v>Adventure</v>
      </c>
      <c r="V1651" s="5">
        <f>IFERROR(__xludf.DUMMYFUNCTION("""COMPUTED_VALUE"""),2.0)</f>
        <v>2</v>
      </c>
    </row>
    <row r="1652">
      <c r="J1652" s="5" t="str">
        <f>IFERROR(__xludf.DUMMYFUNCTION("""COMPUTED_VALUE"""),"551🤙🏼L'avventura🤙🏼Drama🤙🏼1")</f>
        <v>551🤙🏼L'avventura🤙🏼Drama🤙🏼1</v>
      </c>
      <c r="K1652" s="5">
        <f>IFERROR(__xludf.DUMMYFUNCTION("SPLiT(J1652, ""🤙🏼"",FALSE,FALSE)"),551.0)</f>
        <v>551</v>
      </c>
      <c r="L1652" s="5" t="str">
        <f>IFERROR(__xludf.DUMMYFUNCTION("""COMPUTED_VALUE"""),"L'avventura")</f>
        <v>L'avventura</v>
      </c>
      <c r="M1652" s="5" t="str">
        <f>IFERROR(__xludf.DUMMYFUNCTION("""COMPUTED_VALUE"""),"Drama")</f>
        <v>Drama</v>
      </c>
      <c r="N1652" s="5">
        <f>IFERROR(__xludf.DUMMYFUNCTION("""COMPUTED_VALUE"""),1.0)</f>
        <v>1</v>
      </c>
      <c r="S1652" s="5">
        <f>IFERROR(__xludf.DUMMYFUNCTION("""COMPUTED_VALUE"""),652.0)</f>
        <v>652</v>
      </c>
      <c r="T1652" s="5" t="str">
        <f>IFERROR(__xludf.DUMMYFUNCTION("""COMPUTED_VALUE"""),"Shrek")</f>
        <v>Shrek</v>
      </c>
      <c r="U1652" s="5" t="str">
        <f>IFERROR(__xludf.DUMMYFUNCTION("""COMPUTED_VALUE"""),"Comedy")</f>
        <v>Comedy</v>
      </c>
      <c r="V1652" s="5">
        <f>IFERROR(__xludf.DUMMYFUNCTION("""COMPUTED_VALUE"""),3.0)</f>
        <v>3</v>
      </c>
    </row>
    <row r="1653">
      <c r="J1653" s="5" t="str">
        <f>IFERROR(__xludf.DUMMYFUNCTION("""COMPUTED_VALUE"""),"551🤙🏼L'avventura🤙🏼Mystery🤙🏼2")</f>
        <v>551🤙🏼L'avventura🤙🏼Mystery🤙🏼2</v>
      </c>
      <c r="K1653" s="5">
        <f>IFERROR(__xludf.DUMMYFUNCTION("SPLiT(J1653, ""🤙🏼"",FALSE,FALSE)"),551.0)</f>
        <v>551</v>
      </c>
      <c r="L1653" s="5" t="str">
        <f>IFERROR(__xludf.DUMMYFUNCTION("""COMPUTED_VALUE"""),"L'avventura")</f>
        <v>L'avventura</v>
      </c>
      <c r="M1653" s="5" t="str">
        <f>IFERROR(__xludf.DUMMYFUNCTION("""COMPUTED_VALUE"""),"Mystery")</f>
        <v>Mystery</v>
      </c>
      <c r="N1653" s="5">
        <f>IFERROR(__xludf.DUMMYFUNCTION("""COMPUTED_VALUE"""),2.0)</f>
        <v>2</v>
      </c>
      <c r="S1653" s="5">
        <f>IFERROR(__xludf.DUMMYFUNCTION("""COMPUTED_VALUE"""),653.0)</f>
        <v>653</v>
      </c>
      <c r="T1653" s="5" t="str">
        <f>IFERROR(__xludf.DUMMYFUNCTION("""COMPUTED_VALUE"""),"Titanic")</f>
        <v>Titanic</v>
      </c>
      <c r="U1653" s="5" t="str">
        <f>IFERROR(__xludf.DUMMYFUNCTION("""COMPUTED_VALUE"""),"Drama")</f>
        <v>Drama</v>
      </c>
      <c r="V1653" s="5">
        <f>IFERROR(__xludf.DUMMYFUNCTION("""COMPUTED_VALUE"""),1.0)</f>
        <v>1</v>
      </c>
    </row>
    <row r="1654">
      <c r="J1654" s="5" t="str">
        <f>IFERROR(__xludf.DUMMYFUNCTION("""COMPUTED_VALUE"""),"551🤙🏼L'avventura🤙🏼🤙🏼3")</f>
        <v>551🤙🏼L'avventura🤙🏼🤙🏼3</v>
      </c>
      <c r="K1654" s="5">
        <f>IFERROR(__xludf.DUMMYFUNCTION("SPLiT(J1654, ""🤙🏼"",FALSE,FALSE)"),551.0)</f>
        <v>551</v>
      </c>
      <c r="L1654" s="5" t="str">
        <f>IFERROR(__xludf.DUMMYFUNCTION("""COMPUTED_VALUE"""),"L'avventura")</f>
        <v>L'avventura</v>
      </c>
      <c r="M1654" s="5"/>
      <c r="N1654" s="5">
        <f>IFERROR(__xludf.DUMMYFUNCTION("""COMPUTED_VALUE"""),3.0)</f>
        <v>3</v>
      </c>
      <c r="S1654" s="5">
        <f>IFERROR(__xludf.DUMMYFUNCTION("""COMPUTED_VALUE"""),653.0)</f>
        <v>653</v>
      </c>
      <c r="T1654" s="5" t="str">
        <f>IFERROR(__xludf.DUMMYFUNCTION("""COMPUTED_VALUE"""),"Titanic")</f>
        <v>Titanic</v>
      </c>
      <c r="U1654" s="5" t="str">
        <f>IFERROR(__xludf.DUMMYFUNCTION("""COMPUTED_VALUE"""),"Romance")</f>
        <v>Romance</v>
      </c>
      <c r="V1654" s="5">
        <f>IFERROR(__xludf.DUMMYFUNCTION("""COMPUTED_VALUE"""),2.0)</f>
        <v>2</v>
      </c>
    </row>
    <row r="1655">
      <c r="J1655" s="5" t="str">
        <f>IFERROR(__xludf.DUMMYFUNCTION("""COMPUTED_VALUE"""),"552🤙🏼Hiroshima mon amour🤙🏼Drama🤙🏼1")</f>
        <v>552🤙🏼Hiroshima mon amour🤙🏼Drama🤙🏼1</v>
      </c>
      <c r="K1655" s="5">
        <f>IFERROR(__xludf.DUMMYFUNCTION("SPLiT(J1655, ""🤙🏼"",FALSE,FALSE)"),552.0)</f>
        <v>552</v>
      </c>
      <c r="L1655" s="5" t="str">
        <f>IFERROR(__xludf.DUMMYFUNCTION("""COMPUTED_VALUE"""),"Hiroshima mon amour")</f>
        <v>Hiroshima mon amour</v>
      </c>
      <c r="M1655" s="5" t="str">
        <f>IFERROR(__xludf.DUMMYFUNCTION("""COMPUTED_VALUE"""),"Drama")</f>
        <v>Drama</v>
      </c>
      <c r="N1655" s="5">
        <f>IFERROR(__xludf.DUMMYFUNCTION("""COMPUTED_VALUE"""),1.0)</f>
        <v>1</v>
      </c>
      <c r="S1655" s="5">
        <f>IFERROR(__xludf.DUMMYFUNCTION("""COMPUTED_VALUE"""),654.0)</f>
        <v>654</v>
      </c>
      <c r="T1655" s="5" t="str">
        <f>IFERROR(__xludf.DUMMYFUNCTION("""COMPUTED_VALUE"""),"Hana-bi")</f>
        <v>Hana-bi</v>
      </c>
      <c r="U1655" s="5" t="str">
        <f>IFERROR(__xludf.DUMMYFUNCTION("""COMPUTED_VALUE"""),"Crime")</f>
        <v>Crime</v>
      </c>
      <c r="V1655" s="5">
        <f>IFERROR(__xludf.DUMMYFUNCTION("""COMPUTED_VALUE"""),1.0)</f>
        <v>1</v>
      </c>
    </row>
    <row r="1656">
      <c r="J1656" s="5" t="str">
        <f>IFERROR(__xludf.DUMMYFUNCTION("""COMPUTED_VALUE"""),"552🤙🏼Hiroshima mon amour🤙🏼Romance🤙🏼2")</f>
        <v>552🤙🏼Hiroshima mon amour🤙🏼Romance🤙🏼2</v>
      </c>
      <c r="K1656" s="5">
        <f>IFERROR(__xludf.DUMMYFUNCTION("SPLiT(J1656, ""🤙🏼"",FALSE,FALSE)"),552.0)</f>
        <v>552</v>
      </c>
      <c r="L1656" s="5" t="str">
        <f>IFERROR(__xludf.DUMMYFUNCTION("""COMPUTED_VALUE"""),"Hiroshima mon amour")</f>
        <v>Hiroshima mon amour</v>
      </c>
      <c r="M1656" s="5" t="str">
        <f>IFERROR(__xludf.DUMMYFUNCTION("""COMPUTED_VALUE"""),"Romance")</f>
        <v>Romance</v>
      </c>
      <c r="N1656" s="5">
        <f>IFERROR(__xludf.DUMMYFUNCTION("""COMPUTED_VALUE"""),2.0)</f>
        <v>2</v>
      </c>
      <c r="S1656" s="5">
        <f>IFERROR(__xludf.DUMMYFUNCTION("""COMPUTED_VALUE"""),654.0)</f>
        <v>654</v>
      </c>
      <c r="T1656" s="5" t="str">
        <f>IFERROR(__xludf.DUMMYFUNCTION("""COMPUTED_VALUE"""),"Hana-bi")</f>
        <v>Hana-bi</v>
      </c>
      <c r="U1656" s="5" t="str">
        <f>IFERROR(__xludf.DUMMYFUNCTION("""COMPUTED_VALUE"""),"Drama")</f>
        <v>Drama</v>
      </c>
      <c r="V1656" s="5">
        <f>IFERROR(__xludf.DUMMYFUNCTION("""COMPUTED_VALUE"""),2.0)</f>
        <v>2</v>
      </c>
    </row>
    <row r="1657">
      <c r="J1657" s="5" t="str">
        <f>IFERROR(__xludf.DUMMYFUNCTION("""COMPUTED_VALUE"""),"552🤙🏼Hiroshima mon amour🤙🏼🤙🏼3")</f>
        <v>552🤙🏼Hiroshima mon amour🤙🏼🤙🏼3</v>
      </c>
      <c r="K1657" s="5">
        <f>IFERROR(__xludf.DUMMYFUNCTION("SPLiT(J1657, ""🤙🏼"",FALSE,FALSE)"),552.0)</f>
        <v>552</v>
      </c>
      <c r="L1657" s="5" t="str">
        <f>IFERROR(__xludf.DUMMYFUNCTION("""COMPUTED_VALUE"""),"Hiroshima mon amour")</f>
        <v>Hiroshima mon amour</v>
      </c>
      <c r="M1657" s="5"/>
      <c r="N1657" s="5">
        <f>IFERROR(__xludf.DUMMYFUNCTION("""COMPUTED_VALUE"""),3.0)</f>
        <v>3</v>
      </c>
      <c r="S1657" s="5">
        <f>IFERROR(__xludf.DUMMYFUNCTION("""COMPUTED_VALUE"""),654.0)</f>
        <v>654</v>
      </c>
      <c r="T1657" s="5" t="str">
        <f>IFERROR(__xludf.DUMMYFUNCTION("""COMPUTED_VALUE"""),"Hana-bi")</f>
        <v>Hana-bi</v>
      </c>
      <c r="U1657" s="5" t="str">
        <f>IFERROR(__xludf.DUMMYFUNCTION("""COMPUTED_VALUE"""),"Romance")</f>
        <v>Romance</v>
      </c>
      <c r="V1657" s="5">
        <f>IFERROR(__xludf.DUMMYFUNCTION("""COMPUTED_VALUE"""),3.0)</f>
        <v>3</v>
      </c>
    </row>
    <row r="1658">
      <c r="J1658" s="5" t="str">
        <f>IFERROR(__xludf.DUMMYFUNCTION("""COMPUTED_VALUE"""),"553🤙🏼The Ten Commandments🤙🏼Adventure🤙🏼1")</f>
        <v>553🤙🏼The Ten Commandments🤙🏼Adventure🤙🏼1</v>
      </c>
      <c r="K1658" s="5">
        <f>IFERROR(__xludf.DUMMYFUNCTION("SPLiT(J1658, ""🤙🏼"",FALSE,FALSE)"),553.0)</f>
        <v>553</v>
      </c>
      <c r="L1658" s="5" t="str">
        <f>IFERROR(__xludf.DUMMYFUNCTION("""COMPUTED_VALUE"""),"The Ten Commandments")</f>
        <v>The Ten Commandments</v>
      </c>
      <c r="M1658" s="5" t="str">
        <f>IFERROR(__xludf.DUMMYFUNCTION("""COMPUTED_VALUE"""),"Adventure")</f>
        <v>Adventure</v>
      </c>
      <c r="N1658" s="5">
        <f>IFERROR(__xludf.DUMMYFUNCTION("""COMPUTED_VALUE"""),1.0)</f>
        <v>1</v>
      </c>
      <c r="S1658" s="5">
        <f>IFERROR(__xludf.DUMMYFUNCTION("""COMPUTED_VALUE"""),655.0)</f>
        <v>655</v>
      </c>
      <c r="T1658" s="5" t="str">
        <f>IFERROR(__xludf.DUMMYFUNCTION("""COMPUTED_VALUE"""),"Gattaca")</f>
        <v>Gattaca</v>
      </c>
      <c r="U1658" s="5" t="str">
        <f>IFERROR(__xludf.DUMMYFUNCTION("""COMPUTED_VALUE"""),"Drama")</f>
        <v>Drama</v>
      </c>
      <c r="V1658" s="5">
        <f>IFERROR(__xludf.DUMMYFUNCTION("""COMPUTED_VALUE"""),1.0)</f>
        <v>1</v>
      </c>
    </row>
    <row r="1659">
      <c r="J1659" s="5" t="str">
        <f>IFERROR(__xludf.DUMMYFUNCTION("""COMPUTED_VALUE"""),"553🤙🏼The Ten Commandments🤙🏼Drama🤙🏼2")</f>
        <v>553🤙🏼The Ten Commandments🤙🏼Drama🤙🏼2</v>
      </c>
      <c r="K1659" s="5">
        <f>IFERROR(__xludf.DUMMYFUNCTION("SPLiT(J1659, ""🤙🏼"",FALSE,FALSE)"),553.0)</f>
        <v>553</v>
      </c>
      <c r="L1659" s="5" t="str">
        <f>IFERROR(__xludf.DUMMYFUNCTION("""COMPUTED_VALUE"""),"The Ten Commandments")</f>
        <v>The Ten Commandments</v>
      </c>
      <c r="M1659" s="5" t="str">
        <f>IFERROR(__xludf.DUMMYFUNCTION("""COMPUTED_VALUE"""),"Drama")</f>
        <v>Drama</v>
      </c>
      <c r="N1659" s="5">
        <f>IFERROR(__xludf.DUMMYFUNCTION("""COMPUTED_VALUE"""),2.0)</f>
        <v>2</v>
      </c>
      <c r="S1659" s="5">
        <f>IFERROR(__xludf.DUMMYFUNCTION("""COMPUTED_VALUE"""),655.0)</f>
        <v>655</v>
      </c>
      <c r="T1659" s="5" t="str">
        <f>IFERROR(__xludf.DUMMYFUNCTION("""COMPUTED_VALUE"""),"Gattaca")</f>
        <v>Gattaca</v>
      </c>
      <c r="U1659" s="5" t="str">
        <f>IFERROR(__xludf.DUMMYFUNCTION("""COMPUTED_VALUE"""),"Sci-Fi")</f>
        <v>Sci-Fi</v>
      </c>
      <c r="V1659" s="5">
        <f>IFERROR(__xludf.DUMMYFUNCTION("""COMPUTED_VALUE"""),2.0)</f>
        <v>2</v>
      </c>
    </row>
    <row r="1660">
      <c r="J1660" s="5" t="str">
        <f>IFERROR(__xludf.DUMMYFUNCTION("""COMPUTED_VALUE"""),"553🤙🏼The Ten Commandments🤙🏼🤙🏼3")</f>
        <v>553🤙🏼The Ten Commandments🤙🏼🤙🏼3</v>
      </c>
      <c r="K1660" s="5">
        <f>IFERROR(__xludf.DUMMYFUNCTION("SPLiT(J1660, ""🤙🏼"",FALSE,FALSE)"),553.0)</f>
        <v>553</v>
      </c>
      <c r="L1660" s="5" t="str">
        <f>IFERROR(__xludf.DUMMYFUNCTION("""COMPUTED_VALUE"""),"The Ten Commandments")</f>
        <v>The Ten Commandments</v>
      </c>
      <c r="M1660" s="5"/>
      <c r="N1660" s="5">
        <f>IFERROR(__xludf.DUMMYFUNCTION("""COMPUTED_VALUE"""),3.0)</f>
        <v>3</v>
      </c>
      <c r="S1660" s="5">
        <f>IFERROR(__xludf.DUMMYFUNCTION("""COMPUTED_VALUE"""),655.0)</f>
        <v>655</v>
      </c>
      <c r="T1660" s="5" t="str">
        <f>IFERROR(__xludf.DUMMYFUNCTION("""COMPUTED_VALUE"""),"Gattaca")</f>
        <v>Gattaca</v>
      </c>
      <c r="U1660" s="5" t="str">
        <f>IFERROR(__xludf.DUMMYFUNCTION("""COMPUTED_VALUE"""),"Thriller")</f>
        <v>Thriller</v>
      </c>
      <c r="V1660" s="5">
        <f>IFERROR(__xludf.DUMMYFUNCTION("""COMPUTED_VALUE"""),3.0)</f>
        <v>3</v>
      </c>
    </row>
    <row r="1661">
      <c r="J1661" s="5" t="str">
        <f>IFERROR(__xludf.DUMMYFUNCTION("""COMPUTED_VALUE"""),"554🤙🏼The Searchers🤙🏼Adventure🤙🏼1")</f>
        <v>554🤙🏼The Searchers🤙🏼Adventure🤙🏼1</v>
      </c>
      <c r="K1661" s="5">
        <f>IFERROR(__xludf.DUMMYFUNCTION("SPLiT(J1661, ""🤙🏼"",FALSE,FALSE)"),554.0)</f>
        <v>554</v>
      </c>
      <c r="L1661" s="5" t="str">
        <f>IFERROR(__xludf.DUMMYFUNCTION("""COMPUTED_VALUE"""),"The Searchers")</f>
        <v>The Searchers</v>
      </c>
      <c r="M1661" s="5" t="str">
        <f>IFERROR(__xludf.DUMMYFUNCTION("""COMPUTED_VALUE"""),"Adventure")</f>
        <v>Adventure</v>
      </c>
      <c r="N1661" s="5">
        <f>IFERROR(__xludf.DUMMYFUNCTION("""COMPUTED_VALUE"""),1.0)</f>
        <v>1</v>
      </c>
      <c r="S1661" s="5">
        <f>IFERROR(__xludf.DUMMYFUNCTION("""COMPUTED_VALUE"""),656.0)</f>
        <v>656</v>
      </c>
      <c r="T1661" s="5" t="str">
        <f>IFERROR(__xludf.DUMMYFUNCTION("""COMPUTED_VALUE"""),"The Game")</f>
        <v>The Game</v>
      </c>
      <c r="U1661" s="5" t="str">
        <f>IFERROR(__xludf.DUMMYFUNCTION("""COMPUTED_VALUE"""),"Action")</f>
        <v>Action</v>
      </c>
      <c r="V1661" s="5">
        <f>IFERROR(__xludf.DUMMYFUNCTION("""COMPUTED_VALUE"""),1.0)</f>
        <v>1</v>
      </c>
    </row>
    <row r="1662">
      <c r="J1662" s="5" t="str">
        <f>IFERROR(__xludf.DUMMYFUNCTION("""COMPUTED_VALUE"""),"554🤙🏼The Searchers🤙🏼Drama🤙🏼2")</f>
        <v>554🤙🏼The Searchers🤙🏼Drama🤙🏼2</v>
      </c>
      <c r="K1662" s="5">
        <f>IFERROR(__xludf.DUMMYFUNCTION("SPLiT(J1662, ""🤙🏼"",FALSE,FALSE)"),554.0)</f>
        <v>554</v>
      </c>
      <c r="L1662" s="5" t="str">
        <f>IFERROR(__xludf.DUMMYFUNCTION("""COMPUTED_VALUE"""),"The Searchers")</f>
        <v>The Searchers</v>
      </c>
      <c r="M1662" s="5" t="str">
        <f>IFERROR(__xludf.DUMMYFUNCTION("""COMPUTED_VALUE"""),"Drama")</f>
        <v>Drama</v>
      </c>
      <c r="N1662" s="5">
        <f>IFERROR(__xludf.DUMMYFUNCTION("""COMPUTED_VALUE"""),2.0)</f>
        <v>2</v>
      </c>
      <c r="S1662" s="5">
        <f>IFERROR(__xludf.DUMMYFUNCTION("""COMPUTED_VALUE"""),656.0)</f>
        <v>656</v>
      </c>
      <c r="T1662" s="5" t="str">
        <f>IFERROR(__xludf.DUMMYFUNCTION("""COMPUTED_VALUE"""),"The Game")</f>
        <v>The Game</v>
      </c>
      <c r="U1662" s="5" t="str">
        <f>IFERROR(__xludf.DUMMYFUNCTION("""COMPUTED_VALUE"""),"Drama")</f>
        <v>Drama</v>
      </c>
      <c r="V1662" s="5">
        <f>IFERROR(__xludf.DUMMYFUNCTION("""COMPUTED_VALUE"""),2.0)</f>
        <v>2</v>
      </c>
    </row>
    <row r="1663">
      <c r="J1663" s="5" t="str">
        <f>IFERROR(__xludf.DUMMYFUNCTION("""COMPUTED_VALUE"""),"554🤙🏼The Searchers🤙🏼Western🤙🏼3")</f>
        <v>554🤙🏼The Searchers🤙🏼Western🤙🏼3</v>
      </c>
      <c r="K1663" s="5">
        <f>IFERROR(__xludf.DUMMYFUNCTION("SPLiT(J1663, ""🤙🏼"",FALSE,FALSE)"),554.0)</f>
        <v>554</v>
      </c>
      <c r="L1663" s="5" t="str">
        <f>IFERROR(__xludf.DUMMYFUNCTION("""COMPUTED_VALUE"""),"The Searchers")</f>
        <v>The Searchers</v>
      </c>
      <c r="M1663" s="5" t="str">
        <f>IFERROR(__xludf.DUMMYFUNCTION("""COMPUTED_VALUE"""),"Western")</f>
        <v>Western</v>
      </c>
      <c r="N1663" s="5">
        <f>IFERROR(__xludf.DUMMYFUNCTION("""COMPUTED_VALUE"""),3.0)</f>
        <v>3</v>
      </c>
      <c r="S1663" s="5">
        <f>IFERROR(__xludf.DUMMYFUNCTION("""COMPUTED_VALUE"""),656.0)</f>
        <v>656</v>
      </c>
      <c r="T1663" s="5" t="str">
        <f>IFERROR(__xludf.DUMMYFUNCTION("""COMPUTED_VALUE"""),"The Game")</f>
        <v>The Game</v>
      </c>
      <c r="U1663" s="5" t="str">
        <f>IFERROR(__xludf.DUMMYFUNCTION("""COMPUTED_VALUE"""),"Mystery")</f>
        <v>Mystery</v>
      </c>
      <c r="V1663" s="5">
        <f>IFERROR(__xludf.DUMMYFUNCTION("""COMPUTED_VALUE"""),3.0)</f>
        <v>3</v>
      </c>
    </row>
    <row r="1664">
      <c r="J1664" s="5" t="str">
        <f>IFERROR(__xludf.DUMMYFUNCTION("""COMPUTED_VALUE"""),"555🤙🏼East of Eden🤙🏼Drama🤙🏼1")</f>
        <v>555🤙🏼East of Eden🤙🏼Drama🤙🏼1</v>
      </c>
      <c r="K1664" s="5">
        <f>IFERROR(__xludf.DUMMYFUNCTION("SPLiT(J1664, ""🤙🏼"",FALSE,FALSE)"),555.0)</f>
        <v>555</v>
      </c>
      <c r="L1664" s="5" t="str">
        <f>IFERROR(__xludf.DUMMYFUNCTION("""COMPUTED_VALUE"""),"East of Eden")</f>
        <v>East of Eden</v>
      </c>
      <c r="M1664" s="5" t="str">
        <f>IFERROR(__xludf.DUMMYFUNCTION("""COMPUTED_VALUE"""),"Drama")</f>
        <v>Drama</v>
      </c>
      <c r="N1664" s="5">
        <f>IFERROR(__xludf.DUMMYFUNCTION("""COMPUTED_VALUE"""),1.0)</f>
        <v>1</v>
      </c>
      <c r="S1664" s="5">
        <f>IFERROR(__xludf.DUMMYFUNCTION("""COMPUTED_VALUE"""),657.0)</f>
        <v>657</v>
      </c>
      <c r="T1664" s="5" t="str">
        <f>IFERROR(__xludf.DUMMYFUNCTION("""COMPUTED_VALUE"""),"Breaking the Waves")</f>
        <v>Breaking the Waves</v>
      </c>
      <c r="U1664" s="5" t="str">
        <f>IFERROR(__xludf.DUMMYFUNCTION("""COMPUTED_VALUE"""),"Drama")</f>
        <v>Drama</v>
      </c>
      <c r="V1664" s="5">
        <f>IFERROR(__xludf.DUMMYFUNCTION("""COMPUTED_VALUE"""),1.0)</f>
        <v>1</v>
      </c>
    </row>
    <row r="1665">
      <c r="J1665" s="5" t="str">
        <f>IFERROR(__xludf.DUMMYFUNCTION("""COMPUTED_VALUE"""),"555🤙🏼East of Eden🤙🏼🤙🏼2")</f>
        <v>555🤙🏼East of Eden🤙🏼🤙🏼2</v>
      </c>
      <c r="K1665" s="5">
        <f>IFERROR(__xludf.DUMMYFUNCTION("SPLiT(J1665, ""🤙🏼"",FALSE,FALSE)"),555.0)</f>
        <v>555</v>
      </c>
      <c r="L1665" s="5" t="str">
        <f>IFERROR(__xludf.DUMMYFUNCTION("""COMPUTED_VALUE"""),"East of Eden")</f>
        <v>East of Eden</v>
      </c>
      <c r="M1665" s="5"/>
      <c r="N1665" s="5">
        <f>IFERROR(__xludf.DUMMYFUNCTION("""COMPUTED_VALUE"""),2.0)</f>
        <v>2</v>
      </c>
      <c r="S1665" s="5">
        <f>IFERROR(__xludf.DUMMYFUNCTION("""COMPUTED_VALUE"""),658.0)</f>
        <v>658</v>
      </c>
      <c r="T1665" s="5" t="str">
        <f>IFERROR(__xludf.DUMMYFUNCTION("""COMPUTED_VALUE"""),"Ed Wood")</f>
        <v>Ed Wood</v>
      </c>
      <c r="U1665" s="5" t="str">
        <f>IFERROR(__xludf.DUMMYFUNCTION("""COMPUTED_VALUE"""),"Biography")</f>
        <v>Biography</v>
      </c>
      <c r="V1665" s="5">
        <f>IFERROR(__xludf.DUMMYFUNCTION("""COMPUTED_VALUE"""),1.0)</f>
        <v>1</v>
      </c>
    </row>
    <row r="1666">
      <c r="J1666" s="5" t="str">
        <f>IFERROR(__xludf.DUMMYFUNCTION("""COMPUTED_VALUE"""),"555🤙🏼East of Eden🤙🏼🤙🏼3")</f>
        <v>555🤙🏼East of Eden🤙🏼🤙🏼3</v>
      </c>
      <c r="K1666" s="5">
        <f>IFERROR(__xludf.DUMMYFUNCTION("SPLiT(J1666, ""🤙🏼"",FALSE,FALSE)"),555.0)</f>
        <v>555</v>
      </c>
      <c r="L1666" s="5" t="str">
        <f>IFERROR(__xludf.DUMMYFUNCTION("""COMPUTED_VALUE"""),"East of Eden")</f>
        <v>East of Eden</v>
      </c>
      <c r="M1666" s="5"/>
      <c r="N1666" s="5">
        <f>IFERROR(__xludf.DUMMYFUNCTION("""COMPUTED_VALUE"""),3.0)</f>
        <v>3</v>
      </c>
      <c r="S1666" s="5">
        <f>IFERROR(__xludf.DUMMYFUNCTION("""COMPUTED_VALUE"""),658.0)</f>
        <v>658</v>
      </c>
      <c r="T1666" s="5" t="str">
        <f>IFERROR(__xludf.DUMMYFUNCTION("""COMPUTED_VALUE"""),"Ed Wood")</f>
        <v>Ed Wood</v>
      </c>
      <c r="U1666" s="5" t="str">
        <f>IFERROR(__xludf.DUMMYFUNCTION("""COMPUTED_VALUE"""),"Comedy")</f>
        <v>Comedy</v>
      </c>
      <c r="V1666" s="5">
        <f>IFERROR(__xludf.DUMMYFUNCTION("""COMPUTED_VALUE"""),2.0)</f>
        <v>2</v>
      </c>
    </row>
    <row r="1667">
      <c r="J1667" s="5" t="str">
        <f>IFERROR(__xludf.DUMMYFUNCTION("""COMPUTED_VALUE"""),"556🤙🏼High Noon🤙🏼Drama🤙🏼1")</f>
        <v>556🤙🏼High Noon🤙🏼Drama🤙🏼1</v>
      </c>
      <c r="K1667" s="5">
        <f>IFERROR(__xludf.DUMMYFUNCTION("SPLiT(J1667, ""🤙🏼"",FALSE,FALSE)"),556.0)</f>
        <v>556</v>
      </c>
      <c r="L1667" s="5" t="str">
        <f>IFERROR(__xludf.DUMMYFUNCTION("""COMPUTED_VALUE"""),"High Noon")</f>
        <v>High Noon</v>
      </c>
      <c r="M1667" s="5" t="str">
        <f>IFERROR(__xludf.DUMMYFUNCTION("""COMPUTED_VALUE"""),"Drama")</f>
        <v>Drama</v>
      </c>
      <c r="N1667" s="5">
        <f>IFERROR(__xludf.DUMMYFUNCTION("""COMPUTED_VALUE"""),1.0)</f>
        <v>1</v>
      </c>
      <c r="S1667" s="5">
        <f>IFERROR(__xludf.DUMMYFUNCTION("""COMPUTED_VALUE"""),658.0)</f>
        <v>658</v>
      </c>
      <c r="T1667" s="5" t="str">
        <f>IFERROR(__xludf.DUMMYFUNCTION("""COMPUTED_VALUE"""),"Ed Wood")</f>
        <v>Ed Wood</v>
      </c>
      <c r="U1667" s="5" t="str">
        <f>IFERROR(__xludf.DUMMYFUNCTION("""COMPUTED_VALUE"""),"Drama")</f>
        <v>Drama</v>
      </c>
      <c r="V1667" s="5">
        <f>IFERROR(__xludf.DUMMYFUNCTION("""COMPUTED_VALUE"""),3.0)</f>
        <v>3</v>
      </c>
    </row>
    <row r="1668">
      <c r="J1668" s="5" t="str">
        <f>IFERROR(__xludf.DUMMYFUNCTION("""COMPUTED_VALUE"""),"556🤙🏼High Noon🤙🏼Thriller🤙🏼2")</f>
        <v>556🤙🏼High Noon🤙🏼Thriller🤙🏼2</v>
      </c>
      <c r="K1668" s="5">
        <f>IFERROR(__xludf.DUMMYFUNCTION("SPLiT(J1668, ""🤙🏼"",FALSE,FALSE)"),556.0)</f>
        <v>556</v>
      </c>
      <c r="L1668" s="5" t="str">
        <f>IFERROR(__xludf.DUMMYFUNCTION("""COMPUTED_VALUE"""),"High Noon")</f>
        <v>High Noon</v>
      </c>
      <c r="M1668" s="5" t="str">
        <f>IFERROR(__xludf.DUMMYFUNCTION("""COMPUTED_VALUE"""),"Thriller")</f>
        <v>Thriller</v>
      </c>
      <c r="N1668" s="5">
        <f>IFERROR(__xludf.DUMMYFUNCTION("""COMPUTED_VALUE"""),2.0)</f>
        <v>2</v>
      </c>
      <c r="S1668" s="5">
        <f>IFERROR(__xludf.DUMMYFUNCTION("""COMPUTED_VALUE"""),659.0)</f>
        <v>659</v>
      </c>
      <c r="T1668" s="5" t="str">
        <f>IFERROR(__xludf.DUMMYFUNCTION("""COMPUTED_VALUE"""),"What's Eating Gilbert Grape")</f>
        <v>What's Eating Gilbert Grape</v>
      </c>
      <c r="U1668" s="5" t="str">
        <f>IFERROR(__xludf.DUMMYFUNCTION("""COMPUTED_VALUE"""),"Drama")</f>
        <v>Drama</v>
      </c>
      <c r="V1668" s="5">
        <f>IFERROR(__xludf.DUMMYFUNCTION("""COMPUTED_VALUE"""),1.0)</f>
        <v>1</v>
      </c>
    </row>
    <row r="1669">
      <c r="J1669" s="5" t="str">
        <f>IFERROR(__xludf.DUMMYFUNCTION("""COMPUTED_VALUE"""),"556🤙🏼High Noon🤙🏼Western🤙🏼3")</f>
        <v>556🤙🏼High Noon🤙🏼Western🤙🏼3</v>
      </c>
      <c r="K1669" s="5">
        <f>IFERROR(__xludf.DUMMYFUNCTION("SPLiT(J1669, ""🤙🏼"",FALSE,FALSE)"),556.0)</f>
        <v>556</v>
      </c>
      <c r="L1669" s="5" t="str">
        <f>IFERROR(__xludf.DUMMYFUNCTION("""COMPUTED_VALUE"""),"High Noon")</f>
        <v>High Noon</v>
      </c>
      <c r="M1669" s="5" t="str">
        <f>IFERROR(__xludf.DUMMYFUNCTION("""COMPUTED_VALUE"""),"Western")</f>
        <v>Western</v>
      </c>
      <c r="N1669" s="5">
        <f>IFERROR(__xludf.DUMMYFUNCTION("""COMPUTED_VALUE"""),3.0)</f>
        <v>3</v>
      </c>
      <c r="S1669" s="5">
        <f>IFERROR(__xludf.DUMMYFUNCTION("""COMPUTED_VALUE"""),660.0)</f>
        <v>660</v>
      </c>
      <c r="T1669" s="5" t="str">
        <f>IFERROR(__xludf.DUMMYFUNCTION("""COMPUTED_VALUE"""),"Tombstone")</f>
        <v>Tombstone</v>
      </c>
      <c r="U1669" s="5" t="str">
        <f>IFERROR(__xludf.DUMMYFUNCTION("""COMPUTED_VALUE"""),"Action")</f>
        <v>Action</v>
      </c>
      <c r="V1669" s="5">
        <f>IFERROR(__xludf.DUMMYFUNCTION("""COMPUTED_VALUE"""),1.0)</f>
        <v>1</v>
      </c>
    </row>
    <row r="1670">
      <c r="J1670" s="5" t="str">
        <f>IFERROR(__xludf.DUMMYFUNCTION("""COMPUTED_VALUE"""),"557🤙🏼Strangers on a Train🤙🏼Crime🤙🏼1")</f>
        <v>557🤙🏼Strangers on a Train🤙🏼Crime🤙🏼1</v>
      </c>
      <c r="K1670" s="5">
        <f>IFERROR(__xludf.DUMMYFUNCTION("SPLiT(J1670, ""🤙🏼"",FALSE,FALSE)"),557.0)</f>
        <v>557</v>
      </c>
      <c r="L1670" s="5" t="str">
        <f>IFERROR(__xludf.DUMMYFUNCTION("""COMPUTED_VALUE"""),"Strangers on a Train")</f>
        <v>Strangers on a Train</v>
      </c>
      <c r="M1670" s="5" t="str">
        <f>IFERROR(__xludf.DUMMYFUNCTION("""COMPUTED_VALUE"""),"Crime")</f>
        <v>Crime</v>
      </c>
      <c r="N1670" s="5">
        <f>IFERROR(__xludf.DUMMYFUNCTION("""COMPUTED_VALUE"""),1.0)</f>
        <v>1</v>
      </c>
      <c r="S1670" s="5">
        <f>IFERROR(__xludf.DUMMYFUNCTION("""COMPUTED_VALUE"""),660.0)</f>
        <v>660</v>
      </c>
      <c r="T1670" s="5" t="str">
        <f>IFERROR(__xludf.DUMMYFUNCTION("""COMPUTED_VALUE"""),"Tombstone")</f>
        <v>Tombstone</v>
      </c>
      <c r="U1670" s="5" t="str">
        <f>IFERROR(__xludf.DUMMYFUNCTION("""COMPUTED_VALUE"""),"Biography")</f>
        <v>Biography</v>
      </c>
      <c r="V1670" s="5">
        <f>IFERROR(__xludf.DUMMYFUNCTION("""COMPUTED_VALUE"""),2.0)</f>
        <v>2</v>
      </c>
    </row>
    <row r="1671">
      <c r="J1671" s="5" t="str">
        <f>IFERROR(__xludf.DUMMYFUNCTION("""COMPUTED_VALUE"""),"557🤙🏼Strangers on a Train🤙🏼Film-Noir🤙🏼2")</f>
        <v>557🤙🏼Strangers on a Train🤙🏼Film-Noir🤙🏼2</v>
      </c>
      <c r="K1671" s="5">
        <f>IFERROR(__xludf.DUMMYFUNCTION("SPLiT(J1671, ""🤙🏼"",FALSE,FALSE)"),557.0)</f>
        <v>557</v>
      </c>
      <c r="L1671" s="5" t="str">
        <f>IFERROR(__xludf.DUMMYFUNCTION("""COMPUTED_VALUE"""),"Strangers on a Train")</f>
        <v>Strangers on a Train</v>
      </c>
      <c r="M1671" s="5" t="str">
        <f>IFERROR(__xludf.DUMMYFUNCTION("""COMPUTED_VALUE"""),"Film-Noir")</f>
        <v>Film-Noir</v>
      </c>
      <c r="N1671" s="5">
        <f>IFERROR(__xludf.DUMMYFUNCTION("""COMPUTED_VALUE"""),2.0)</f>
        <v>2</v>
      </c>
      <c r="S1671" s="5">
        <f>IFERROR(__xludf.DUMMYFUNCTION("""COMPUTED_VALUE"""),660.0)</f>
        <v>660</v>
      </c>
      <c r="T1671" s="5" t="str">
        <f>IFERROR(__xludf.DUMMYFUNCTION("""COMPUTED_VALUE"""),"Tombstone")</f>
        <v>Tombstone</v>
      </c>
      <c r="U1671" s="5" t="str">
        <f>IFERROR(__xludf.DUMMYFUNCTION("""COMPUTED_VALUE"""),"Drama")</f>
        <v>Drama</v>
      </c>
      <c r="V1671" s="5">
        <f>IFERROR(__xludf.DUMMYFUNCTION("""COMPUTED_VALUE"""),3.0)</f>
        <v>3</v>
      </c>
    </row>
    <row r="1672">
      <c r="J1672" s="5" t="str">
        <f>IFERROR(__xludf.DUMMYFUNCTION("""COMPUTED_VALUE"""),"557🤙🏼Strangers on a Train🤙🏼Thriller🤙🏼3")</f>
        <v>557🤙🏼Strangers on a Train🤙🏼Thriller🤙🏼3</v>
      </c>
      <c r="K1672" s="5">
        <f>IFERROR(__xludf.DUMMYFUNCTION("SPLiT(J1672, ""🤙🏼"",FALSE,FALSE)"),557.0)</f>
        <v>557</v>
      </c>
      <c r="L1672" s="5" t="str">
        <f>IFERROR(__xludf.DUMMYFUNCTION("""COMPUTED_VALUE"""),"Strangers on a Train")</f>
        <v>Strangers on a Train</v>
      </c>
      <c r="M1672" s="5" t="str">
        <f>IFERROR(__xludf.DUMMYFUNCTION("""COMPUTED_VALUE"""),"Thriller")</f>
        <v>Thriller</v>
      </c>
      <c r="N1672" s="5">
        <f>IFERROR(__xludf.DUMMYFUNCTION("""COMPUTED_VALUE"""),3.0)</f>
        <v>3</v>
      </c>
      <c r="S1672" s="5">
        <f>IFERROR(__xludf.DUMMYFUNCTION("""COMPUTED_VALUE"""),661.0)</f>
        <v>661</v>
      </c>
      <c r="T1672" s="5" t="str">
        <f>IFERROR(__xludf.DUMMYFUNCTION("""COMPUTED_VALUE"""),"The Sandlot")</f>
        <v>The Sandlot</v>
      </c>
      <c r="U1672" s="5" t="str">
        <f>IFERROR(__xludf.DUMMYFUNCTION("""COMPUTED_VALUE"""),"Comedy")</f>
        <v>Comedy</v>
      </c>
      <c r="V1672" s="5">
        <f>IFERROR(__xludf.DUMMYFUNCTION("""COMPUTED_VALUE"""),1.0)</f>
        <v>1</v>
      </c>
    </row>
    <row r="1673">
      <c r="J1673" s="5" t="str">
        <f>IFERROR(__xludf.DUMMYFUNCTION("""COMPUTED_VALUE"""),"558🤙🏼Harvey🤙🏼Comedy🤙🏼1")</f>
        <v>558🤙🏼Harvey🤙🏼Comedy🤙🏼1</v>
      </c>
      <c r="K1673" s="5">
        <f>IFERROR(__xludf.DUMMYFUNCTION("SPLiT(J1673, ""🤙🏼"",FALSE,FALSE)"),558.0)</f>
        <v>558</v>
      </c>
      <c r="L1673" s="5" t="str">
        <f>IFERROR(__xludf.DUMMYFUNCTION("""COMPUTED_VALUE"""),"Harvey")</f>
        <v>Harvey</v>
      </c>
      <c r="M1673" s="5" t="str">
        <f>IFERROR(__xludf.DUMMYFUNCTION("""COMPUTED_VALUE"""),"Comedy")</f>
        <v>Comedy</v>
      </c>
      <c r="N1673" s="5">
        <f>IFERROR(__xludf.DUMMYFUNCTION("""COMPUTED_VALUE"""),1.0)</f>
        <v>1</v>
      </c>
      <c r="S1673" s="5">
        <f>IFERROR(__xludf.DUMMYFUNCTION("""COMPUTED_VALUE"""),661.0)</f>
        <v>661</v>
      </c>
      <c r="T1673" s="5" t="str">
        <f>IFERROR(__xludf.DUMMYFUNCTION("""COMPUTED_VALUE"""),"The Sandlot")</f>
        <v>The Sandlot</v>
      </c>
      <c r="U1673" s="5" t="str">
        <f>IFERROR(__xludf.DUMMYFUNCTION("""COMPUTED_VALUE"""),"Drama")</f>
        <v>Drama</v>
      </c>
      <c r="V1673" s="5">
        <f>IFERROR(__xludf.DUMMYFUNCTION("""COMPUTED_VALUE"""),2.0)</f>
        <v>2</v>
      </c>
    </row>
    <row r="1674">
      <c r="J1674" s="5" t="str">
        <f>IFERROR(__xludf.DUMMYFUNCTION("""COMPUTED_VALUE"""),"558🤙🏼Harvey🤙🏼Drama🤙🏼2")</f>
        <v>558🤙🏼Harvey🤙🏼Drama🤙🏼2</v>
      </c>
      <c r="K1674" s="5">
        <f>IFERROR(__xludf.DUMMYFUNCTION("SPLiT(J1674, ""🤙🏼"",FALSE,FALSE)"),558.0)</f>
        <v>558</v>
      </c>
      <c r="L1674" s="5" t="str">
        <f>IFERROR(__xludf.DUMMYFUNCTION("""COMPUTED_VALUE"""),"Harvey")</f>
        <v>Harvey</v>
      </c>
      <c r="M1674" s="5" t="str">
        <f>IFERROR(__xludf.DUMMYFUNCTION("""COMPUTED_VALUE"""),"Drama")</f>
        <v>Drama</v>
      </c>
      <c r="N1674" s="5">
        <f>IFERROR(__xludf.DUMMYFUNCTION("""COMPUTED_VALUE"""),2.0)</f>
        <v>2</v>
      </c>
      <c r="S1674" s="5">
        <f>IFERROR(__xludf.DUMMYFUNCTION("""COMPUTED_VALUE"""),661.0)</f>
        <v>661</v>
      </c>
      <c r="T1674" s="5" t="str">
        <f>IFERROR(__xludf.DUMMYFUNCTION("""COMPUTED_VALUE"""),"The Sandlot")</f>
        <v>The Sandlot</v>
      </c>
      <c r="U1674" s="5" t="str">
        <f>IFERROR(__xludf.DUMMYFUNCTION("""COMPUTED_VALUE"""),"Family")</f>
        <v>Family</v>
      </c>
      <c r="V1674" s="5">
        <f>IFERROR(__xludf.DUMMYFUNCTION("""COMPUTED_VALUE"""),3.0)</f>
        <v>3</v>
      </c>
    </row>
    <row r="1675">
      <c r="J1675" s="5" t="str">
        <f>IFERROR(__xludf.DUMMYFUNCTION("""COMPUTED_VALUE"""),"558🤙🏼Harvey🤙🏼Fantasy🤙🏼3")</f>
        <v>558🤙🏼Harvey🤙🏼Fantasy🤙🏼3</v>
      </c>
      <c r="K1675" s="5">
        <f>IFERROR(__xludf.DUMMYFUNCTION("SPLiT(J1675, ""🤙🏼"",FALSE,FALSE)"),558.0)</f>
        <v>558</v>
      </c>
      <c r="L1675" s="5" t="str">
        <f>IFERROR(__xludf.DUMMYFUNCTION("""COMPUTED_VALUE"""),"Harvey")</f>
        <v>Harvey</v>
      </c>
      <c r="M1675" s="5" t="str">
        <f>IFERROR(__xludf.DUMMYFUNCTION("""COMPUTED_VALUE"""),"Fantasy")</f>
        <v>Fantasy</v>
      </c>
      <c r="N1675" s="5">
        <f>IFERROR(__xludf.DUMMYFUNCTION("""COMPUTED_VALUE"""),3.0)</f>
        <v>3</v>
      </c>
      <c r="S1675" s="5">
        <f>IFERROR(__xludf.DUMMYFUNCTION("""COMPUTED_VALUE"""),662.0)</f>
        <v>662</v>
      </c>
      <c r="T1675" s="5" t="str">
        <f>IFERROR(__xludf.DUMMYFUNCTION("""COMPUTED_VALUE"""),"The Remains of the Day")</f>
        <v>The Remains of the Day</v>
      </c>
      <c r="U1675" s="5" t="str">
        <f>IFERROR(__xludf.DUMMYFUNCTION("""COMPUTED_VALUE"""),"Drama")</f>
        <v>Drama</v>
      </c>
      <c r="V1675" s="5">
        <f>IFERROR(__xludf.DUMMYFUNCTION("""COMPUTED_VALUE"""),1.0)</f>
        <v>1</v>
      </c>
    </row>
    <row r="1676">
      <c r="J1676" s="5" t="str">
        <f>IFERROR(__xludf.DUMMYFUNCTION("""COMPUTED_VALUE"""),"559🤙🏼Miracle on 34th Street🤙🏼Comedy🤙🏼1")</f>
        <v>559🤙🏼Miracle on 34th Street🤙🏼Comedy🤙🏼1</v>
      </c>
      <c r="K1676" s="5">
        <f>IFERROR(__xludf.DUMMYFUNCTION("SPLiT(J1676, ""🤙🏼"",FALSE,FALSE)"),559.0)</f>
        <v>559</v>
      </c>
      <c r="L1676" s="5" t="str">
        <f>IFERROR(__xludf.DUMMYFUNCTION("""COMPUTED_VALUE"""),"Miracle on 34th Street")</f>
        <v>Miracle on 34th Street</v>
      </c>
      <c r="M1676" s="5" t="str">
        <f>IFERROR(__xludf.DUMMYFUNCTION("""COMPUTED_VALUE"""),"Comedy")</f>
        <v>Comedy</v>
      </c>
      <c r="N1676" s="5">
        <f>IFERROR(__xludf.DUMMYFUNCTION("""COMPUTED_VALUE"""),1.0)</f>
        <v>1</v>
      </c>
      <c r="S1676" s="5">
        <f>IFERROR(__xludf.DUMMYFUNCTION("""COMPUTED_VALUE"""),662.0)</f>
        <v>662</v>
      </c>
      <c r="T1676" s="5" t="str">
        <f>IFERROR(__xludf.DUMMYFUNCTION("""COMPUTED_VALUE"""),"The Remains of the Day")</f>
        <v>The Remains of the Day</v>
      </c>
      <c r="U1676" s="5" t="str">
        <f>IFERROR(__xludf.DUMMYFUNCTION("""COMPUTED_VALUE"""),"Romance")</f>
        <v>Romance</v>
      </c>
      <c r="V1676" s="5">
        <f>IFERROR(__xludf.DUMMYFUNCTION("""COMPUTED_VALUE"""),2.0)</f>
        <v>2</v>
      </c>
    </row>
    <row r="1677">
      <c r="J1677" s="5" t="str">
        <f>IFERROR(__xludf.DUMMYFUNCTION("""COMPUTED_VALUE"""),"559🤙🏼Miracle on 34th Street🤙🏼Drama🤙🏼2")</f>
        <v>559🤙🏼Miracle on 34th Street🤙🏼Drama🤙🏼2</v>
      </c>
      <c r="K1677" s="5">
        <f>IFERROR(__xludf.DUMMYFUNCTION("SPLiT(J1677, ""🤙🏼"",FALSE,FALSE)"),559.0)</f>
        <v>559</v>
      </c>
      <c r="L1677" s="5" t="str">
        <f>IFERROR(__xludf.DUMMYFUNCTION("""COMPUTED_VALUE"""),"Miracle on 34th Street")</f>
        <v>Miracle on 34th Street</v>
      </c>
      <c r="M1677" s="5" t="str">
        <f>IFERROR(__xludf.DUMMYFUNCTION("""COMPUTED_VALUE"""),"Drama")</f>
        <v>Drama</v>
      </c>
      <c r="N1677" s="5">
        <f>IFERROR(__xludf.DUMMYFUNCTION("""COMPUTED_VALUE"""),2.0)</f>
        <v>2</v>
      </c>
      <c r="S1677" s="5">
        <f>IFERROR(__xludf.DUMMYFUNCTION("""COMPUTED_VALUE"""),663.0)</f>
        <v>663</v>
      </c>
      <c r="T1677" s="5" t="str">
        <f>IFERROR(__xludf.DUMMYFUNCTION("""COMPUTED_VALUE"""),"Naked")</f>
        <v>Naked</v>
      </c>
      <c r="U1677" s="5" t="str">
        <f>IFERROR(__xludf.DUMMYFUNCTION("""COMPUTED_VALUE"""),"Comedy")</f>
        <v>Comedy</v>
      </c>
      <c r="V1677" s="5">
        <f>IFERROR(__xludf.DUMMYFUNCTION("""COMPUTED_VALUE"""),1.0)</f>
        <v>1</v>
      </c>
    </row>
    <row r="1678">
      <c r="J1678" s="5" t="str">
        <f>IFERROR(__xludf.DUMMYFUNCTION("""COMPUTED_VALUE"""),"559🤙🏼Miracle on 34th Street🤙🏼Family🤙🏼3")</f>
        <v>559🤙🏼Miracle on 34th Street🤙🏼Family🤙🏼3</v>
      </c>
      <c r="K1678" s="5">
        <f>IFERROR(__xludf.DUMMYFUNCTION("SPLiT(J1678, ""🤙🏼"",FALSE,FALSE)"),559.0)</f>
        <v>559</v>
      </c>
      <c r="L1678" s="5" t="str">
        <f>IFERROR(__xludf.DUMMYFUNCTION("""COMPUTED_VALUE"""),"Miracle on 34th Street")</f>
        <v>Miracle on 34th Street</v>
      </c>
      <c r="M1678" s="5" t="str">
        <f>IFERROR(__xludf.DUMMYFUNCTION("""COMPUTED_VALUE"""),"Family")</f>
        <v>Family</v>
      </c>
      <c r="N1678" s="5">
        <f>IFERROR(__xludf.DUMMYFUNCTION("""COMPUTED_VALUE"""),3.0)</f>
        <v>3</v>
      </c>
      <c r="S1678" s="5">
        <f>IFERROR(__xludf.DUMMYFUNCTION("""COMPUTED_VALUE"""),663.0)</f>
        <v>663</v>
      </c>
      <c r="T1678" s="5" t="str">
        <f>IFERROR(__xludf.DUMMYFUNCTION("""COMPUTED_VALUE"""),"Naked")</f>
        <v>Naked</v>
      </c>
      <c r="U1678" s="5" t="str">
        <f>IFERROR(__xludf.DUMMYFUNCTION("""COMPUTED_VALUE"""),"Drama")</f>
        <v>Drama</v>
      </c>
      <c r="V1678" s="5">
        <f>IFERROR(__xludf.DUMMYFUNCTION("""COMPUTED_VALUE"""),2.0)</f>
        <v>2</v>
      </c>
    </row>
    <row r="1679">
      <c r="J1679" s="5" t="str">
        <f>IFERROR(__xludf.DUMMYFUNCTION("""COMPUTED_VALUE"""),"560🤙🏼Notorious🤙🏼Drama🤙🏼1")</f>
        <v>560🤙🏼Notorious🤙🏼Drama🤙🏼1</v>
      </c>
      <c r="K1679" s="5">
        <f>IFERROR(__xludf.DUMMYFUNCTION("SPLiT(J1679, ""🤙🏼"",FALSE,FALSE)"),560.0)</f>
        <v>560</v>
      </c>
      <c r="L1679" s="5" t="str">
        <f>IFERROR(__xludf.DUMMYFUNCTION("""COMPUTED_VALUE"""),"Notorious")</f>
        <v>Notorious</v>
      </c>
      <c r="M1679" s="5" t="str">
        <f>IFERROR(__xludf.DUMMYFUNCTION("""COMPUTED_VALUE"""),"Drama")</f>
        <v>Drama</v>
      </c>
      <c r="N1679" s="5">
        <f>IFERROR(__xludf.DUMMYFUNCTION("""COMPUTED_VALUE"""),1.0)</f>
        <v>1</v>
      </c>
      <c r="S1679" s="5">
        <f>IFERROR(__xludf.DUMMYFUNCTION("""COMPUTED_VALUE"""),664.0)</f>
        <v>664</v>
      </c>
      <c r="T1679" s="5" t="str">
        <f>IFERROR(__xludf.DUMMYFUNCTION("""COMPUTED_VALUE"""),"The Fugitive")</f>
        <v>The Fugitive</v>
      </c>
      <c r="U1679" s="5" t="str">
        <f>IFERROR(__xludf.DUMMYFUNCTION("""COMPUTED_VALUE"""),"Action")</f>
        <v>Action</v>
      </c>
      <c r="V1679" s="5">
        <f>IFERROR(__xludf.DUMMYFUNCTION("""COMPUTED_VALUE"""),1.0)</f>
        <v>1</v>
      </c>
    </row>
    <row r="1680">
      <c r="J1680" s="5" t="str">
        <f>IFERROR(__xludf.DUMMYFUNCTION("""COMPUTED_VALUE"""),"560🤙🏼Notorious🤙🏼Film-Noir🤙🏼2")</f>
        <v>560🤙🏼Notorious🤙🏼Film-Noir🤙🏼2</v>
      </c>
      <c r="K1680" s="5">
        <f>IFERROR(__xludf.DUMMYFUNCTION("SPLiT(J1680, ""🤙🏼"",FALSE,FALSE)"),560.0)</f>
        <v>560</v>
      </c>
      <c r="L1680" s="5" t="str">
        <f>IFERROR(__xludf.DUMMYFUNCTION("""COMPUTED_VALUE"""),"Notorious")</f>
        <v>Notorious</v>
      </c>
      <c r="M1680" s="5" t="str">
        <f>IFERROR(__xludf.DUMMYFUNCTION("""COMPUTED_VALUE"""),"Film-Noir")</f>
        <v>Film-Noir</v>
      </c>
      <c r="N1680" s="5">
        <f>IFERROR(__xludf.DUMMYFUNCTION("""COMPUTED_VALUE"""),2.0)</f>
        <v>2</v>
      </c>
      <c r="S1680" s="5">
        <f>IFERROR(__xludf.DUMMYFUNCTION("""COMPUTED_VALUE"""),664.0)</f>
        <v>664</v>
      </c>
      <c r="T1680" s="5" t="str">
        <f>IFERROR(__xludf.DUMMYFUNCTION("""COMPUTED_VALUE"""),"The Fugitive")</f>
        <v>The Fugitive</v>
      </c>
      <c r="U1680" s="5" t="str">
        <f>IFERROR(__xludf.DUMMYFUNCTION("""COMPUTED_VALUE"""),"Crime")</f>
        <v>Crime</v>
      </c>
      <c r="V1680" s="5">
        <f>IFERROR(__xludf.DUMMYFUNCTION("""COMPUTED_VALUE"""),2.0)</f>
        <v>2</v>
      </c>
    </row>
    <row r="1681">
      <c r="J1681" s="5" t="str">
        <f>IFERROR(__xludf.DUMMYFUNCTION("""COMPUTED_VALUE"""),"560🤙🏼Notorious🤙🏼Romance🤙🏼3")</f>
        <v>560🤙🏼Notorious🤙🏼Romance🤙🏼3</v>
      </c>
      <c r="K1681" s="5">
        <f>IFERROR(__xludf.DUMMYFUNCTION("SPLiT(J1681, ""🤙🏼"",FALSE,FALSE)"),560.0)</f>
        <v>560</v>
      </c>
      <c r="L1681" s="5" t="str">
        <f>IFERROR(__xludf.DUMMYFUNCTION("""COMPUTED_VALUE"""),"Notorious")</f>
        <v>Notorious</v>
      </c>
      <c r="M1681" s="5" t="str">
        <f>IFERROR(__xludf.DUMMYFUNCTION("""COMPUTED_VALUE"""),"Romance")</f>
        <v>Romance</v>
      </c>
      <c r="N1681" s="5">
        <f>IFERROR(__xludf.DUMMYFUNCTION("""COMPUTED_VALUE"""),3.0)</f>
        <v>3</v>
      </c>
      <c r="S1681" s="5">
        <f>IFERROR(__xludf.DUMMYFUNCTION("""COMPUTED_VALUE"""),664.0)</f>
        <v>664</v>
      </c>
      <c r="T1681" s="5" t="str">
        <f>IFERROR(__xludf.DUMMYFUNCTION("""COMPUTED_VALUE"""),"The Fugitive")</f>
        <v>The Fugitive</v>
      </c>
      <c r="U1681" s="5" t="str">
        <f>IFERROR(__xludf.DUMMYFUNCTION("""COMPUTED_VALUE"""),"Drama")</f>
        <v>Drama</v>
      </c>
      <c r="V1681" s="5">
        <f>IFERROR(__xludf.DUMMYFUNCTION("""COMPUTED_VALUE"""),3.0)</f>
        <v>3</v>
      </c>
    </row>
    <row r="1682">
      <c r="J1682" s="5" t="str">
        <f>IFERROR(__xludf.DUMMYFUNCTION("""COMPUTED_VALUE"""),"561🤙🏼The Big Sleep🤙🏼Crime🤙🏼1")</f>
        <v>561🤙🏼The Big Sleep🤙🏼Crime🤙🏼1</v>
      </c>
      <c r="K1682" s="5">
        <f>IFERROR(__xludf.DUMMYFUNCTION("SPLiT(J1682, ""🤙🏼"",FALSE,FALSE)"),561.0)</f>
        <v>561</v>
      </c>
      <c r="L1682" s="5" t="str">
        <f>IFERROR(__xludf.DUMMYFUNCTION("""COMPUTED_VALUE"""),"The Big Sleep")</f>
        <v>The Big Sleep</v>
      </c>
      <c r="M1682" s="5" t="str">
        <f>IFERROR(__xludf.DUMMYFUNCTION("""COMPUTED_VALUE"""),"Crime")</f>
        <v>Crime</v>
      </c>
      <c r="N1682" s="5">
        <f>IFERROR(__xludf.DUMMYFUNCTION("""COMPUTED_VALUE"""),1.0)</f>
        <v>1</v>
      </c>
      <c r="S1682" s="5">
        <f>IFERROR(__xludf.DUMMYFUNCTION("""COMPUTED_VALUE"""),665.0)</f>
        <v>665</v>
      </c>
      <c r="T1682" s="5" t="str">
        <f>IFERROR(__xludf.DUMMYFUNCTION("""COMPUTED_VALUE"""),"A Bronx Tale")</f>
        <v>A Bronx Tale</v>
      </c>
      <c r="U1682" s="5" t="str">
        <f>IFERROR(__xludf.DUMMYFUNCTION("""COMPUTED_VALUE"""),"Crime")</f>
        <v>Crime</v>
      </c>
      <c r="V1682" s="5">
        <f>IFERROR(__xludf.DUMMYFUNCTION("""COMPUTED_VALUE"""),1.0)</f>
        <v>1</v>
      </c>
    </row>
    <row r="1683">
      <c r="J1683" s="5" t="str">
        <f>IFERROR(__xludf.DUMMYFUNCTION("""COMPUTED_VALUE"""),"561🤙🏼The Big Sleep🤙🏼Film-Noir🤙🏼2")</f>
        <v>561🤙🏼The Big Sleep🤙🏼Film-Noir🤙🏼2</v>
      </c>
      <c r="K1683" s="5">
        <f>IFERROR(__xludf.DUMMYFUNCTION("SPLiT(J1683, ""🤙🏼"",FALSE,FALSE)"),561.0)</f>
        <v>561</v>
      </c>
      <c r="L1683" s="5" t="str">
        <f>IFERROR(__xludf.DUMMYFUNCTION("""COMPUTED_VALUE"""),"The Big Sleep")</f>
        <v>The Big Sleep</v>
      </c>
      <c r="M1683" s="5" t="str">
        <f>IFERROR(__xludf.DUMMYFUNCTION("""COMPUTED_VALUE"""),"Film-Noir")</f>
        <v>Film-Noir</v>
      </c>
      <c r="N1683" s="5">
        <f>IFERROR(__xludf.DUMMYFUNCTION("""COMPUTED_VALUE"""),2.0)</f>
        <v>2</v>
      </c>
      <c r="S1683" s="5">
        <f>IFERROR(__xludf.DUMMYFUNCTION("""COMPUTED_VALUE"""),665.0)</f>
        <v>665</v>
      </c>
      <c r="T1683" s="5" t="str">
        <f>IFERROR(__xludf.DUMMYFUNCTION("""COMPUTED_VALUE"""),"A Bronx Tale")</f>
        <v>A Bronx Tale</v>
      </c>
      <c r="U1683" s="5" t="str">
        <f>IFERROR(__xludf.DUMMYFUNCTION("""COMPUTED_VALUE"""),"Drama")</f>
        <v>Drama</v>
      </c>
      <c r="V1683" s="5">
        <f>IFERROR(__xludf.DUMMYFUNCTION("""COMPUTED_VALUE"""),2.0)</f>
        <v>2</v>
      </c>
    </row>
    <row r="1684">
      <c r="J1684" s="5" t="str">
        <f>IFERROR(__xludf.DUMMYFUNCTION("""COMPUTED_VALUE"""),"561🤙🏼The Big Sleep🤙🏼Mystery🤙🏼3")</f>
        <v>561🤙🏼The Big Sleep🤙🏼Mystery🤙🏼3</v>
      </c>
      <c r="K1684" s="5">
        <f>IFERROR(__xludf.DUMMYFUNCTION("SPLiT(J1684, ""🤙🏼"",FALSE,FALSE)"),561.0)</f>
        <v>561</v>
      </c>
      <c r="L1684" s="5" t="str">
        <f>IFERROR(__xludf.DUMMYFUNCTION("""COMPUTED_VALUE"""),"The Big Sleep")</f>
        <v>The Big Sleep</v>
      </c>
      <c r="M1684" s="5" t="str">
        <f>IFERROR(__xludf.DUMMYFUNCTION("""COMPUTED_VALUE"""),"Mystery")</f>
        <v>Mystery</v>
      </c>
      <c r="N1684" s="5">
        <f>IFERROR(__xludf.DUMMYFUNCTION("""COMPUTED_VALUE"""),3.0)</f>
        <v>3</v>
      </c>
      <c r="S1684" s="5">
        <f>IFERROR(__xludf.DUMMYFUNCTION("""COMPUTED_VALUE"""),665.0)</f>
        <v>665</v>
      </c>
      <c r="T1684" s="5" t="str">
        <f>IFERROR(__xludf.DUMMYFUNCTION("""COMPUTED_VALUE"""),"A Bronx Tale")</f>
        <v>A Bronx Tale</v>
      </c>
      <c r="U1684" s="5" t="str">
        <f>IFERROR(__xludf.DUMMYFUNCTION("""COMPUTED_VALUE"""),"Romance")</f>
        <v>Romance</v>
      </c>
      <c r="V1684" s="5">
        <f>IFERROR(__xludf.DUMMYFUNCTION("""COMPUTED_VALUE"""),3.0)</f>
        <v>3</v>
      </c>
    </row>
    <row r="1685">
      <c r="J1685" s="5" t="str">
        <f>IFERROR(__xludf.DUMMYFUNCTION("""COMPUTED_VALUE"""),"562🤙🏼The Lost Weekend🤙🏼Drama🤙🏼1")</f>
        <v>562🤙🏼The Lost Weekend🤙🏼Drama🤙🏼1</v>
      </c>
      <c r="K1685" s="5">
        <f>IFERROR(__xludf.DUMMYFUNCTION("SPLiT(J1685, ""🤙🏼"",FALSE,FALSE)"),562.0)</f>
        <v>562</v>
      </c>
      <c r="L1685" s="5" t="str">
        <f>IFERROR(__xludf.DUMMYFUNCTION("""COMPUTED_VALUE"""),"The Lost Weekend")</f>
        <v>The Lost Weekend</v>
      </c>
      <c r="M1685" s="5" t="str">
        <f>IFERROR(__xludf.DUMMYFUNCTION("""COMPUTED_VALUE"""),"Drama")</f>
        <v>Drama</v>
      </c>
      <c r="N1685" s="5">
        <f>IFERROR(__xludf.DUMMYFUNCTION("""COMPUTED_VALUE"""),1.0)</f>
        <v>1</v>
      </c>
      <c r="S1685" s="5">
        <f>IFERROR(__xludf.DUMMYFUNCTION("""COMPUTED_VALUE"""),666.0)</f>
        <v>666</v>
      </c>
      <c r="T1685" s="5" t="str">
        <f>IFERROR(__xludf.DUMMYFUNCTION("""COMPUTED_VALUE"""),"Batman: Mask of the Phantasm")</f>
        <v>Batman: Mask of the Phantasm</v>
      </c>
      <c r="U1685" s="5" t="str">
        <f>IFERROR(__xludf.DUMMYFUNCTION("""COMPUTED_VALUE"""),"Animation")</f>
        <v>Animation</v>
      </c>
      <c r="V1685" s="5">
        <f>IFERROR(__xludf.DUMMYFUNCTION("""COMPUTED_VALUE"""),1.0)</f>
        <v>1</v>
      </c>
    </row>
    <row r="1686">
      <c r="J1686" s="5" t="str">
        <f>IFERROR(__xludf.DUMMYFUNCTION("""COMPUTED_VALUE"""),"562🤙🏼The Lost Weekend🤙🏼Film-Noir🤙🏼2")</f>
        <v>562🤙🏼The Lost Weekend🤙🏼Film-Noir🤙🏼2</v>
      </c>
      <c r="K1686" s="5">
        <f>IFERROR(__xludf.DUMMYFUNCTION("SPLiT(J1686, ""🤙🏼"",FALSE,FALSE)"),562.0)</f>
        <v>562</v>
      </c>
      <c r="L1686" s="5" t="str">
        <f>IFERROR(__xludf.DUMMYFUNCTION("""COMPUTED_VALUE"""),"The Lost Weekend")</f>
        <v>The Lost Weekend</v>
      </c>
      <c r="M1686" s="5" t="str">
        <f>IFERROR(__xludf.DUMMYFUNCTION("""COMPUTED_VALUE"""),"Film-Noir")</f>
        <v>Film-Noir</v>
      </c>
      <c r="N1686" s="5">
        <f>IFERROR(__xludf.DUMMYFUNCTION("""COMPUTED_VALUE"""),2.0)</f>
        <v>2</v>
      </c>
      <c r="S1686" s="5">
        <f>IFERROR(__xludf.DUMMYFUNCTION("""COMPUTED_VALUE"""),666.0)</f>
        <v>666</v>
      </c>
      <c r="T1686" s="5" t="str">
        <f>IFERROR(__xludf.DUMMYFUNCTION("""COMPUTED_VALUE"""),"Batman: Mask of the Phantasm")</f>
        <v>Batman: Mask of the Phantasm</v>
      </c>
      <c r="U1686" s="5" t="str">
        <f>IFERROR(__xludf.DUMMYFUNCTION("""COMPUTED_VALUE"""),"Action")</f>
        <v>Action</v>
      </c>
      <c r="V1686" s="5">
        <f>IFERROR(__xludf.DUMMYFUNCTION("""COMPUTED_VALUE"""),2.0)</f>
        <v>2</v>
      </c>
    </row>
    <row r="1687">
      <c r="J1687" s="5" t="str">
        <f>IFERROR(__xludf.DUMMYFUNCTION("""COMPUTED_VALUE"""),"562🤙🏼The Lost Weekend🤙🏼🤙🏼3")</f>
        <v>562🤙🏼The Lost Weekend🤙🏼🤙🏼3</v>
      </c>
      <c r="K1687" s="5">
        <f>IFERROR(__xludf.DUMMYFUNCTION("SPLiT(J1687, ""🤙🏼"",FALSE,FALSE)"),562.0)</f>
        <v>562</v>
      </c>
      <c r="L1687" s="5" t="str">
        <f>IFERROR(__xludf.DUMMYFUNCTION("""COMPUTED_VALUE"""),"The Lost Weekend")</f>
        <v>The Lost Weekend</v>
      </c>
      <c r="M1687" s="5"/>
      <c r="N1687" s="5">
        <f>IFERROR(__xludf.DUMMYFUNCTION("""COMPUTED_VALUE"""),3.0)</f>
        <v>3</v>
      </c>
      <c r="S1687" s="5">
        <f>IFERROR(__xludf.DUMMYFUNCTION("""COMPUTED_VALUE"""),666.0)</f>
        <v>666</v>
      </c>
      <c r="T1687" s="5" t="str">
        <f>IFERROR(__xludf.DUMMYFUNCTION("""COMPUTED_VALUE"""),"Batman: Mask of the Phantasm")</f>
        <v>Batman: Mask of the Phantasm</v>
      </c>
      <c r="U1687" s="5" t="str">
        <f>IFERROR(__xludf.DUMMYFUNCTION("""COMPUTED_VALUE"""),"Crime")</f>
        <v>Crime</v>
      </c>
      <c r="V1687" s="5">
        <f>IFERROR(__xludf.DUMMYFUNCTION("""COMPUTED_VALUE"""),3.0)</f>
        <v>3</v>
      </c>
    </row>
    <row r="1688">
      <c r="J1688" s="5" t="str">
        <f>IFERROR(__xludf.DUMMYFUNCTION("""COMPUTED_VALUE"""),"563🤙🏼The Philadelphia Story🤙🏼Comedy🤙🏼1")</f>
        <v>563🤙🏼The Philadelphia Story🤙🏼Comedy🤙🏼1</v>
      </c>
      <c r="K1688" s="5">
        <f>IFERROR(__xludf.DUMMYFUNCTION("SPLiT(J1688, ""🤙🏼"",FALSE,FALSE)"),563.0)</f>
        <v>563</v>
      </c>
      <c r="L1688" s="5" t="str">
        <f>IFERROR(__xludf.DUMMYFUNCTION("""COMPUTED_VALUE"""),"The Philadelphia Story")</f>
        <v>The Philadelphia Story</v>
      </c>
      <c r="M1688" s="5" t="str">
        <f>IFERROR(__xludf.DUMMYFUNCTION("""COMPUTED_VALUE"""),"Comedy")</f>
        <v>Comedy</v>
      </c>
      <c r="N1688" s="5">
        <f>IFERROR(__xludf.DUMMYFUNCTION("""COMPUTED_VALUE"""),1.0)</f>
        <v>1</v>
      </c>
      <c r="S1688" s="5">
        <f>IFERROR(__xludf.DUMMYFUNCTION("""COMPUTED_VALUE"""),667.0)</f>
        <v>667</v>
      </c>
      <c r="T1688" s="5" t="str">
        <f>IFERROR(__xludf.DUMMYFUNCTION("""COMPUTED_VALUE"""),"Lat sau san taam")</f>
        <v>Lat sau san taam</v>
      </c>
      <c r="U1688" s="5" t="str">
        <f>IFERROR(__xludf.DUMMYFUNCTION("""COMPUTED_VALUE"""),"Action")</f>
        <v>Action</v>
      </c>
      <c r="V1688" s="5">
        <f>IFERROR(__xludf.DUMMYFUNCTION("""COMPUTED_VALUE"""),1.0)</f>
        <v>1</v>
      </c>
    </row>
    <row r="1689">
      <c r="J1689" s="5" t="str">
        <f>IFERROR(__xludf.DUMMYFUNCTION("""COMPUTED_VALUE"""),"563🤙🏼The Philadelphia Story🤙🏼Romance🤙🏼2")</f>
        <v>563🤙🏼The Philadelphia Story🤙🏼Romance🤙🏼2</v>
      </c>
      <c r="K1689" s="5">
        <f>IFERROR(__xludf.DUMMYFUNCTION("SPLiT(J1689, ""🤙🏼"",FALSE,FALSE)"),563.0)</f>
        <v>563</v>
      </c>
      <c r="L1689" s="5" t="str">
        <f>IFERROR(__xludf.DUMMYFUNCTION("""COMPUTED_VALUE"""),"The Philadelphia Story")</f>
        <v>The Philadelphia Story</v>
      </c>
      <c r="M1689" s="5" t="str">
        <f>IFERROR(__xludf.DUMMYFUNCTION("""COMPUTED_VALUE"""),"Romance")</f>
        <v>Romance</v>
      </c>
      <c r="N1689" s="5">
        <f>IFERROR(__xludf.DUMMYFUNCTION("""COMPUTED_VALUE"""),2.0)</f>
        <v>2</v>
      </c>
      <c r="S1689" s="5">
        <f>IFERROR(__xludf.DUMMYFUNCTION("""COMPUTED_VALUE"""),667.0)</f>
        <v>667</v>
      </c>
      <c r="T1689" s="5" t="str">
        <f>IFERROR(__xludf.DUMMYFUNCTION("""COMPUTED_VALUE"""),"Lat sau san taam")</f>
        <v>Lat sau san taam</v>
      </c>
      <c r="U1689" s="5" t="str">
        <f>IFERROR(__xludf.DUMMYFUNCTION("""COMPUTED_VALUE"""),"Crime")</f>
        <v>Crime</v>
      </c>
      <c r="V1689" s="5">
        <f>IFERROR(__xludf.DUMMYFUNCTION("""COMPUTED_VALUE"""),2.0)</f>
        <v>2</v>
      </c>
    </row>
    <row r="1690">
      <c r="J1690" s="5" t="str">
        <f>IFERROR(__xludf.DUMMYFUNCTION("""COMPUTED_VALUE"""),"563🤙🏼The Philadelphia Story🤙🏼🤙🏼3")</f>
        <v>563🤙🏼The Philadelphia Story🤙🏼🤙🏼3</v>
      </c>
      <c r="K1690" s="5">
        <f>IFERROR(__xludf.DUMMYFUNCTION("SPLiT(J1690, ""🤙🏼"",FALSE,FALSE)"),563.0)</f>
        <v>563</v>
      </c>
      <c r="L1690" s="5" t="str">
        <f>IFERROR(__xludf.DUMMYFUNCTION("""COMPUTED_VALUE"""),"The Philadelphia Story")</f>
        <v>The Philadelphia Story</v>
      </c>
      <c r="M1690" s="5"/>
      <c r="N1690" s="5">
        <f>IFERROR(__xludf.DUMMYFUNCTION("""COMPUTED_VALUE"""),3.0)</f>
        <v>3</v>
      </c>
      <c r="S1690" s="5">
        <f>IFERROR(__xludf.DUMMYFUNCTION("""COMPUTED_VALUE"""),667.0)</f>
        <v>667</v>
      </c>
      <c r="T1690" s="5" t="str">
        <f>IFERROR(__xludf.DUMMYFUNCTION("""COMPUTED_VALUE"""),"Lat sau san taam")</f>
        <v>Lat sau san taam</v>
      </c>
      <c r="U1690" s="5" t="str">
        <f>IFERROR(__xludf.DUMMYFUNCTION("""COMPUTED_VALUE"""),"Thriller")</f>
        <v>Thriller</v>
      </c>
      <c r="V1690" s="5">
        <f>IFERROR(__xludf.DUMMYFUNCTION("""COMPUTED_VALUE"""),3.0)</f>
        <v>3</v>
      </c>
    </row>
    <row r="1691">
      <c r="J1691" s="5" t="str">
        <f>IFERROR(__xludf.DUMMYFUNCTION("""COMPUTED_VALUE"""),"564🤙🏼His Girl Friday🤙🏼Comedy🤙🏼1")</f>
        <v>564🤙🏼His Girl Friday🤙🏼Comedy🤙🏼1</v>
      </c>
      <c r="K1691" s="5">
        <f>IFERROR(__xludf.DUMMYFUNCTION("SPLiT(J1691, ""🤙🏼"",FALSE,FALSE)"),564.0)</f>
        <v>564</v>
      </c>
      <c r="L1691" s="5" t="str">
        <f>IFERROR(__xludf.DUMMYFUNCTION("""COMPUTED_VALUE"""),"His Girl Friday")</f>
        <v>His Girl Friday</v>
      </c>
      <c r="M1691" s="5" t="str">
        <f>IFERROR(__xludf.DUMMYFUNCTION("""COMPUTED_VALUE"""),"Comedy")</f>
        <v>Comedy</v>
      </c>
      <c r="N1691" s="5">
        <f>IFERROR(__xludf.DUMMYFUNCTION("""COMPUTED_VALUE"""),1.0)</f>
        <v>1</v>
      </c>
      <c r="S1691" s="5">
        <f>IFERROR(__xludf.DUMMYFUNCTION("""COMPUTED_VALUE"""),668.0)</f>
        <v>668</v>
      </c>
      <c r="T1691" s="5" t="str">
        <f>IFERROR(__xludf.DUMMYFUNCTION("""COMPUTED_VALUE"""),"Night on Earth")</f>
        <v>Night on Earth</v>
      </c>
      <c r="U1691" s="5" t="str">
        <f>IFERROR(__xludf.DUMMYFUNCTION("""COMPUTED_VALUE"""),"Comedy")</f>
        <v>Comedy</v>
      </c>
      <c r="V1691" s="5">
        <f>IFERROR(__xludf.DUMMYFUNCTION("""COMPUTED_VALUE"""),1.0)</f>
        <v>1</v>
      </c>
    </row>
    <row r="1692">
      <c r="J1692" s="5" t="str">
        <f>IFERROR(__xludf.DUMMYFUNCTION("""COMPUTED_VALUE"""),"564🤙🏼His Girl Friday🤙🏼Drama🤙🏼2")</f>
        <v>564🤙🏼His Girl Friday🤙🏼Drama🤙🏼2</v>
      </c>
      <c r="K1692" s="5">
        <f>IFERROR(__xludf.DUMMYFUNCTION("SPLiT(J1692, ""🤙🏼"",FALSE,FALSE)"),564.0)</f>
        <v>564</v>
      </c>
      <c r="L1692" s="5" t="str">
        <f>IFERROR(__xludf.DUMMYFUNCTION("""COMPUTED_VALUE"""),"His Girl Friday")</f>
        <v>His Girl Friday</v>
      </c>
      <c r="M1692" s="5" t="str">
        <f>IFERROR(__xludf.DUMMYFUNCTION("""COMPUTED_VALUE"""),"Drama")</f>
        <v>Drama</v>
      </c>
      <c r="N1692" s="5">
        <f>IFERROR(__xludf.DUMMYFUNCTION("""COMPUTED_VALUE"""),2.0)</f>
        <v>2</v>
      </c>
      <c r="S1692" s="5">
        <f>IFERROR(__xludf.DUMMYFUNCTION("""COMPUTED_VALUE"""),668.0)</f>
        <v>668</v>
      </c>
      <c r="T1692" s="5" t="str">
        <f>IFERROR(__xludf.DUMMYFUNCTION("""COMPUTED_VALUE"""),"Night on Earth")</f>
        <v>Night on Earth</v>
      </c>
      <c r="U1692" s="5" t="str">
        <f>IFERROR(__xludf.DUMMYFUNCTION("""COMPUTED_VALUE"""),"Drama")</f>
        <v>Drama</v>
      </c>
      <c r="V1692" s="5">
        <f>IFERROR(__xludf.DUMMYFUNCTION("""COMPUTED_VALUE"""),2.0)</f>
        <v>2</v>
      </c>
    </row>
    <row r="1693">
      <c r="J1693" s="5" t="str">
        <f>IFERROR(__xludf.DUMMYFUNCTION("""COMPUTED_VALUE"""),"564🤙🏼His Girl Friday🤙🏼Romance🤙🏼3")</f>
        <v>564🤙🏼His Girl Friday🤙🏼Romance🤙🏼3</v>
      </c>
      <c r="K1693" s="5">
        <f>IFERROR(__xludf.DUMMYFUNCTION("SPLiT(J1693, ""🤙🏼"",FALSE,FALSE)"),564.0)</f>
        <v>564</v>
      </c>
      <c r="L1693" s="5" t="str">
        <f>IFERROR(__xludf.DUMMYFUNCTION("""COMPUTED_VALUE"""),"His Girl Friday")</f>
        <v>His Girl Friday</v>
      </c>
      <c r="M1693" s="5" t="str">
        <f>IFERROR(__xludf.DUMMYFUNCTION("""COMPUTED_VALUE"""),"Romance")</f>
        <v>Romance</v>
      </c>
      <c r="N1693" s="5">
        <f>IFERROR(__xludf.DUMMYFUNCTION("""COMPUTED_VALUE"""),3.0)</f>
        <v>3</v>
      </c>
      <c r="S1693" s="5">
        <f>IFERROR(__xludf.DUMMYFUNCTION("""COMPUTED_VALUE"""),669.0)</f>
        <v>669</v>
      </c>
      <c r="T1693" s="5" t="str">
        <f>IFERROR(__xludf.DUMMYFUNCTION("""COMPUTED_VALUE"""),"La double vie de Véronique")</f>
        <v>La double vie de Véronique</v>
      </c>
      <c r="U1693" s="5" t="str">
        <f>IFERROR(__xludf.DUMMYFUNCTION("""COMPUTED_VALUE"""),"Drama")</f>
        <v>Drama</v>
      </c>
      <c r="V1693" s="5">
        <f>IFERROR(__xludf.DUMMYFUNCTION("""COMPUTED_VALUE"""),1.0)</f>
        <v>1</v>
      </c>
    </row>
    <row r="1694">
      <c r="J1694" s="5" t="str">
        <f>IFERROR(__xludf.DUMMYFUNCTION("""COMPUTED_VALUE"""),"565🤙🏼The Adventures of Robin Hood🤙🏼Action🤙🏼1")</f>
        <v>565🤙🏼The Adventures of Robin Hood🤙🏼Action🤙🏼1</v>
      </c>
      <c r="K1694" s="5">
        <f>IFERROR(__xludf.DUMMYFUNCTION("SPLiT(J1694, ""🤙🏼"",FALSE,FALSE)"),565.0)</f>
        <v>565</v>
      </c>
      <c r="L1694" s="5" t="str">
        <f>IFERROR(__xludf.DUMMYFUNCTION("""COMPUTED_VALUE"""),"The Adventures of Robin Hood")</f>
        <v>The Adventures of Robin Hood</v>
      </c>
      <c r="M1694" s="5" t="str">
        <f>IFERROR(__xludf.DUMMYFUNCTION("""COMPUTED_VALUE"""),"Action")</f>
        <v>Action</v>
      </c>
      <c r="N1694" s="5">
        <f>IFERROR(__xludf.DUMMYFUNCTION("""COMPUTED_VALUE"""),1.0)</f>
        <v>1</v>
      </c>
      <c r="S1694" s="5">
        <f>IFERROR(__xludf.DUMMYFUNCTION("""COMPUTED_VALUE"""),669.0)</f>
        <v>669</v>
      </c>
      <c r="T1694" s="5" t="str">
        <f>IFERROR(__xludf.DUMMYFUNCTION("""COMPUTED_VALUE"""),"La double vie de Véronique")</f>
        <v>La double vie de Véronique</v>
      </c>
      <c r="U1694" s="5" t="str">
        <f>IFERROR(__xludf.DUMMYFUNCTION("""COMPUTED_VALUE"""),"Fantasy")</f>
        <v>Fantasy</v>
      </c>
      <c r="V1694" s="5">
        <f>IFERROR(__xludf.DUMMYFUNCTION("""COMPUTED_VALUE"""),2.0)</f>
        <v>2</v>
      </c>
    </row>
    <row r="1695">
      <c r="J1695" s="5" t="str">
        <f>IFERROR(__xludf.DUMMYFUNCTION("""COMPUTED_VALUE"""),"565🤙🏼The Adventures of Robin Hood🤙🏼Adventure🤙🏼2")</f>
        <v>565🤙🏼The Adventures of Robin Hood🤙🏼Adventure🤙🏼2</v>
      </c>
      <c r="K1695" s="5">
        <f>IFERROR(__xludf.DUMMYFUNCTION("SPLiT(J1695, ""🤙🏼"",FALSE,FALSE)"),565.0)</f>
        <v>565</v>
      </c>
      <c r="L1695" s="5" t="str">
        <f>IFERROR(__xludf.DUMMYFUNCTION("""COMPUTED_VALUE"""),"The Adventures of Robin Hood")</f>
        <v>The Adventures of Robin Hood</v>
      </c>
      <c r="M1695" s="5" t="str">
        <f>IFERROR(__xludf.DUMMYFUNCTION("""COMPUTED_VALUE"""),"Adventure")</f>
        <v>Adventure</v>
      </c>
      <c r="N1695" s="5">
        <f>IFERROR(__xludf.DUMMYFUNCTION("""COMPUTED_VALUE"""),2.0)</f>
        <v>2</v>
      </c>
      <c r="S1695" s="5">
        <f>IFERROR(__xludf.DUMMYFUNCTION("""COMPUTED_VALUE"""),669.0)</f>
        <v>669</v>
      </c>
      <c r="T1695" s="5" t="str">
        <f>IFERROR(__xludf.DUMMYFUNCTION("""COMPUTED_VALUE"""),"La double vie de Véronique")</f>
        <v>La double vie de Véronique</v>
      </c>
      <c r="U1695" s="5" t="str">
        <f>IFERROR(__xludf.DUMMYFUNCTION("""COMPUTED_VALUE"""),"Music")</f>
        <v>Music</v>
      </c>
      <c r="V1695" s="5">
        <f>IFERROR(__xludf.DUMMYFUNCTION("""COMPUTED_VALUE"""),3.0)</f>
        <v>3</v>
      </c>
    </row>
    <row r="1696">
      <c r="J1696" s="5" t="str">
        <f>IFERROR(__xludf.DUMMYFUNCTION("""COMPUTED_VALUE"""),"565🤙🏼The Adventures of Robin Hood🤙🏼Romance🤙🏼3")</f>
        <v>565🤙🏼The Adventures of Robin Hood🤙🏼Romance🤙🏼3</v>
      </c>
      <c r="K1696" s="5">
        <f>IFERROR(__xludf.DUMMYFUNCTION("SPLiT(J1696, ""🤙🏼"",FALSE,FALSE)"),565.0)</f>
        <v>565</v>
      </c>
      <c r="L1696" s="5" t="str">
        <f>IFERROR(__xludf.DUMMYFUNCTION("""COMPUTED_VALUE"""),"The Adventures of Robin Hood")</f>
        <v>The Adventures of Robin Hood</v>
      </c>
      <c r="M1696" s="5" t="str">
        <f>IFERROR(__xludf.DUMMYFUNCTION("""COMPUTED_VALUE"""),"Romance")</f>
        <v>Romance</v>
      </c>
      <c r="N1696" s="5">
        <f>IFERROR(__xludf.DUMMYFUNCTION("""COMPUTED_VALUE"""),3.0)</f>
        <v>3</v>
      </c>
      <c r="S1696" s="5">
        <f>IFERROR(__xludf.DUMMYFUNCTION("""COMPUTED_VALUE"""),670.0)</f>
        <v>670</v>
      </c>
      <c r="T1696" s="5" t="str">
        <f>IFERROR(__xludf.DUMMYFUNCTION("""COMPUTED_VALUE"""),"Boyz n the Hood")</f>
        <v>Boyz n the Hood</v>
      </c>
      <c r="U1696" s="5" t="str">
        <f>IFERROR(__xludf.DUMMYFUNCTION("""COMPUTED_VALUE"""),"Crime")</f>
        <v>Crime</v>
      </c>
      <c r="V1696" s="5">
        <f>IFERROR(__xludf.DUMMYFUNCTION("""COMPUTED_VALUE"""),1.0)</f>
        <v>1</v>
      </c>
    </row>
    <row r="1697">
      <c r="J1697" s="5" t="str">
        <f>IFERROR(__xludf.DUMMYFUNCTION("""COMPUTED_VALUE"""),"566🤙🏼A Night at the Opera🤙🏼Comedy🤙🏼1")</f>
        <v>566🤙🏼A Night at the Opera🤙🏼Comedy🤙🏼1</v>
      </c>
      <c r="K1697" s="5">
        <f>IFERROR(__xludf.DUMMYFUNCTION("SPLiT(J1697, ""🤙🏼"",FALSE,FALSE)"),566.0)</f>
        <v>566</v>
      </c>
      <c r="L1697" s="5" t="str">
        <f>IFERROR(__xludf.DUMMYFUNCTION("""COMPUTED_VALUE"""),"A Night at the Opera")</f>
        <v>A Night at the Opera</v>
      </c>
      <c r="M1697" s="5" t="str">
        <f>IFERROR(__xludf.DUMMYFUNCTION("""COMPUTED_VALUE"""),"Comedy")</f>
        <v>Comedy</v>
      </c>
      <c r="N1697" s="5">
        <f>IFERROR(__xludf.DUMMYFUNCTION("""COMPUTED_VALUE"""),1.0)</f>
        <v>1</v>
      </c>
      <c r="S1697" s="5">
        <f>IFERROR(__xludf.DUMMYFUNCTION("""COMPUTED_VALUE"""),670.0)</f>
        <v>670</v>
      </c>
      <c r="T1697" s="5" t="str">
        <f>IFERROR(__xludf.DUMMYFUNCTION("""COMPUTED_VALUE"""),"Boyz n the Hood")</f>
        <v>Boyz n the Hood</v>
      </c>
      <c r="U1697" s="5" t="str">
        <f>IFERROR(__xludf.DUMMYFUNCTION("""COMPUTED_VALUE"""),"Drama")</f>
        <v>Drama</v>
      </c>
      <c r="V1697" s="5">
        <f>IFERROR(__xludf.DUMMYFUNCTION("""COMPUTED_VALUE"""),2.0)</f>
        <v>2</v>
      </c>
    </row>
    <row r="1698">
      <c r="J1698" s="5" t="str">
        <f>IFERROR(__xludf.DUMMYFUNCTION("""COMPUTED_VALUE"""),"566🤙🏼A Night at the Opera🤙🏼Music🤙🏼2")</f>
        <v>566🤙🏼A Night at the Opera🤙🏼Music🤙🏼2</v>
      </c>
      <c r="K1698" s="5">
        <f>IFERROR(__xludf.DUMMYFUNCTION("SPLiT(J1698, ""🤙🏼"",FALSE,FALSE)"),566.0)</f>
        <v>566</v>
      </c>
      <c r="L1698" s="5" t="str">
        <f>IFERROR(__xludf.DUMMYFUNCTION("""COMPUTED_VALUE"""),"A Night at the Opera")</f>
        <v>A Night at the Opera</v>
      </c>
      <c r="M1698" s="5" t="str">
        <f>IFERROR(__xludf.DUMMYFUNCTION("""COMPUTED_VALUE"""),"Music")</f>
        <v>Music</v>
      </c>
      <c r="N1698" s="5">
        <f>IFERROR(__xludf.DUMMYFUNCTION("""COMPUTED_VALUE"""),2.0)</f>
        <v>2</v>
      </c>
      <c r="S1698" s="5">
        <f>IFERROR(__xludf.DUMMYFUNCTION("""COMPUTED_VALUE"""),671.0)</f>
        <v>671</v>
      </c>
      <c r="T1698" s="5" t="str">
        <f>IFERROR(__xludf.DUMMYFUNCTION("""COMPUTED_VALUE"""),"Misery")</f>
        <v>Misery</v>
      </c>
      <c r="U1698" s="5" t="str">
        <f>IFERROR(__xludf.DUMMYFUNCTION("""COMPUTED_VALUE"""),"Drama")</f>
        <v>Drama</v>
      </c>
      <c r="V1698" s="5">
        <f>IFERROR(__xludf.DUMMYFUNCTION("""COMPUTED_VALUE"""),1.0)</f>
        <v>1</v>
      </c>
    </row>
    <row r="1699">
      <c r="J1699" s="5" t="str">
        <f>IFERROR(__xludf.DUMMYFUNCTION("""COMPUTED_VALUE"""),"566🤙🏼A Night at the Opera🤙🏼Musical🤙🏼3")</f>
        <v>566🤙🏼A Night at the Opera🤙🏼Musical🤙🏼3</v>
      </c>
      <c r="K1699" s="5">
        <f>IFERROR(__xludf.DUMMYFUNCTION("SPLiT(J1699, ""🤙🏼"",FALSE,FALSE)"),566.0)</f>
        <v>566</v>
      </c>
      <c r="L1699" s="5" t="str">
        <f>IFERROR(__xludf.DUMMYFUNCTION("""COMPUTED_VALUE"""),"A Night at the Opera")</f>
        <v>A Night at the Opera</v>
      </c>
      <c r="M1699" s="5" t="str">
        <f>IFERROR(__xludf.DUMMYFUNCTION("""COMPUTED_VALUE"""),"Musical")</f>
        <v>Musical</v>
      </c>
      <c r="N1699" s="5">
        <f>IFERROR(__xludf.DUMMYFUNCTION("""COMPUTED_VALUE"""),3.0)</f>
        <v>3</v>
      </c>
      <c r="S1699" s="5">
        <f>IFERROR(__xludf.DUMMYFUNCTION("""COMPUTED_VALUE"""),671.0)</f>
        <v>671</v>
      </c>
      <c r="T1699" s="5" t="str">
        <f>IFERROR(__xludf.DUMMYFUNCTION("""COMPUTED_VALUE"""),"Misery")</f>
        <v>Misery</v>
      </c>
      <c r="U1699" s="5" t="str">
        <f>IFERROR(__xludf.DUMMYFUNCTION("""COMPUTED_VALUE"""),"Thriller")</f>
        <v>Thriller</v>
      </c>
      <c r="V1699" s="5">
        <f>IFERROR(__xludf.DUMMYFUNCTION("""COMPUTED_VALUE"""),2.0)</f>
        <v>2</v>
      </c>
    </row>
    <row r="1700">
      <c r="J1700" s="5" t="str">
        <f>IFERROR(__xludf.DUMMYFUNCTION("""COMPUTED_VALUE"""),"567🤙🏼King Kong🤙🏼Adventure🤙🏼1")</f>
        <v>567🤙🏼King Kong🤙🏼Adventure🤙🏼1</v>
      </c>
      <c r="K1700" s="5">
        <f>IFERROR(__xludf.DUMMYFUNCTION("SPLiT(J1700, ""🤙🏼"",FALSE,FALSE)"),567.0)</f>
        <v>567</v>
      </c>
      <c r="L1700" s="5" t="str">
        <f>IFERROR(__xludf.DUMMYFUNCTION("""COMPUTED_VALUE"""),"King Kong")</f>
        <v>King Kong</v>
      </c>
      <c r="M1700" s="5" t="str">
        <f>IFERROR(__xludf.DUMMYFUNCTION("""COMPUTED_VALUE"""),"Adventure")</f>
        <v>Adventure</v>
      </c>
      <c r="N1700" s="5">
        <f>IFERROR(__xludf.DUMMYFUNCTION("""COMPUTED_VALUE"""),1.0)</f>
        <v>1</v>
      </c>
      <c r="S1700" s="5">
        <f>IFERROR(__xludf.DUMMYFUNCTION("""COMPUTED_VALUE"""),672.0)</f>
        <v>672</v>
      </c>
      <c r="T1700" s="5" t="str">
        <f>IFERROR(__xludf.DUMMYFUNCTION("""COMPUTED_VALUE"""),"Awakenings")</f>
        <v>Awakenings</v>
      </c>
      <c r="U1700" s="5" t="str">
        <f>IFERROR(__xludf.DUMMYFUNCTION("""COMPUTED_VALUE"""),"Biography")</f>
        <v>Biography</v>
      </c>
      <c r="V1700" s="5">
        <f>IFERROR(__xludf.DUMMYFUNCTION("""COMPUTED_VALUE"""),1.0)</f>
        <v>1</v>
      </c>
    </row>
    <row r="1701">
      <c r="J1701" s="5" t="str">
        <f>IFERROR(__xludf.DUMMYFUNCTION("""COMPUTED_VALUE"""),"567🤙🏼King Kong🤙🏼Horror🤙🏼2")</f>
        <v>567🤙🏼King Kong🤙🏼Horror🤙🏼2</v>
      </c>
      <c r="K1701" s="5">
        <f>IFERROR(__xludf.DUMMYFUNCTION("SPLiT(J1701, ""🤙🏼"",FALSE,FALSE)"),567.0)</f>
        <v>567</v>
      </c>
      <c r="L1701" s="5" t="str">
        <f>IFERROR(__xludf.DUMMYFUNCTION("""COMPUTED_VALUE"""),"King Kong")</f>
        <v>King Kong</v>
      </c>
      <c r="M1701" s="5" t="str">
        <f>IFERROR(__xludf.DUMMYFUNCTION("""COMPUTED_VALUE"""),"Horror")</f>
        <v>Horror</v>
      </c>
      <c r="N1701" s="5">
        <f>IFERROR(__xludf.DUMMYFUNCTION("""COMPUTED_VALUE"""),2.0)</f>
        <v>2</v>
      </c>
      <c r="S1701" s="5">
        <f>IFERROR(__xludf.DUMMYFUNCTION("""COMPUTED_VALUE"""),672.0)</f>
        <v>672</v>
      </c>
      <c r="T1701" s="5" t="str">
        <f>IFERROR(__xludf.DUMMYFUNCTION("""COMPUTED_VALUE"""),"Awakenings")</f>
        <v>Awakenings</v>
      </c>
      <c r="U1701" s="5" t="str">
        <f>IFERROR(__xludf.DUMMYFUNCTION("""COMPUTED_VALUE"""),"Drama")</f>
        <v>Drama</v>
      </c>
      <c r="V1701" s="5">
        <f>IFERROR(__xludf.DUMMYFUNCTION("""COMPUTED_VALUE"""),2.0)</f>
        <v>2</v>
      </c>
    </row>
    <row r="1702">
      <c r="J1702" s="5" t="str">
        <f>IFERROR(__xludf.DUMMYFUNCTION("""COMPUTED_VALUE"""),"567🤙🏼King Kong🤙🏼Sci-Fi🤙🏼3")</f>
        <v>567🤙🏼King Kong🤙🏼Sci-Fi🤙🏼3</v>
      </c>
      <c r="K1702" s="5">
        <f>IFERROR(__xludf.DUMMYFUNCTION("SPLiT(J1702, ""🤙🏼"",FALSE,FALSE)"),567.0)</f>
        <v>567</v>
      </c>
      <c r="L1702" s="5" t="str">
        <f>IFERROR(__xludf.DUMMYFUNCTION("""COMPUTED_VALUE"""),"King Kong")</f>
        <v>King Kong</v>
      </c>
      <c r="M1702" s="5" t="str">
        <f>IFERROR(__xludf.DUMMYFUNCTION("""COMPUTED_VALUE"""),"Sci-Fi")</f>
        <v>Sci-Fi</v>
      </c>
      <c r="N1702" s="5">
        <f>IFERROR(__xludf.DUMMYFUNCTION("""COMPUTED_VALUE"""),3.0)</f>
        <v>3</v>
      </c>
      <c r="S1702" s="5">
        <f>IFERROR(__xludf.DUMMYFUNCTION("""COMPUTED_VALUE"""),673.0)</f>
        <v>673</v>
      </c>
      <c r="T1702" s="5" t="str">
        <f>IFERROR(__xludf.DUMMYFUNCTION("""COMPUTED_VALUE"""),"Majo no takkyûbin")</f>
        <v>Majo no takkyûbin</v>
      </c>
      <c r="U1702" s="5" t="str">
        <f>IFERROR(__xludf.DUMMYFUNCTION("""COMPUTED_VALUE"""),"Animation")</f>
        <v>Animation</v>
      </c>
      <c r="V1702" s="5">
        <f>IFERROR(__xludf.DUMMYFUNCTION("""COMPUTED_VALUE"""),1.0)</f>
        <v>1</v>
      </c>
    </row>
    <row r="1703">
      <c r="J1703" s="5" t="str">
        <f>IFERROR(__xludf.DUMMYFUNCTION("""COMPUTED_VALUE"""),"568🤙🏼Freaks🤙🏼Drama🤙🏼1")</f>
        <v>568🤙🏼Freaks🤙🏼Drama🤙🏼1</v>
      </c>
      <c r="K1703" s="5">
        <f>IFERROR(__xludf.DUMMYFUNCTION("SPLiT(J1703, ""🤙🏼"",FALSE,FALSE)"),568.0)</f>
        <v>568</v>
      </c>
      <c r="L1703" s="5" t="str">
        <f>IFERROR(__xludf.DUMMYFUNCTION("""COMPUTED_VALUE"""),"Freaks")</f>
        <v>Freaks</v>
      </c>
      <c r="M1703" s="5" t="str">
        <f>IFERROR(__xludf.DUMMYFUNCTION("""COMPUTED_VALUE"""),"Drama")</f>
        <v>Drama</v>
      </c>
      <c r="N1703" s="5">
        <f>IFERROR(__xludf.DUMMYFUNCTION("""COMPUTED_VALUE"""),1.0)</f>
        <v>1</v>
      </c>
      <c r="S1703" s="5">
        <f>IFERROR(__xludf.DUMMYFUNCTION("""COMPUTED_VALUE"""),673.0)</f>
        <v>673</v>
      </c>
      <c r="T1703" s="5" t="str">
        <f>IFERROR(__xludf.DUMMYFUNCTION("""COMPUTED_VALUE"""),"Majo no takkyûbin")</f>
        <v>Majo no takkyûbin</v>
      </c>
      <c r="U1703" s="5" t="str">
        <f>IFERROR(__xludf.DUMMYFUNCTION("""COMPUTED_VALUE"""),"Adventure")</f>
        <v>Adventure</v>
      </c>
      <c r="V1703" s="5">
        <f>IFERROR(__xludf.DUMMYFUNCTION("""COMPUTED_VALUE"""),2.0)</f>
        <v>2</v>
      </c>
    </row>
    <row r="1704">
      <c r="J1704" s="5" t="str">
        <f>IFERROR(__xludf.DUMMYFUNCTION("""COMPUTED_VALUE"""),"568🤙🏼Freaks🤙🏼Horror🤙🏼2")</f>
        <v>568🤙🏼Freaks🤙🏼Horror🤙🏼2</v>
      </c>
      <c r="K1704" s="5">
        <f>IFERROR(__xludf.DUMMYFUNCTION("SPLiT(J1704, ""🤙🏼"",FALSE,FALSE)"),568.0)</f>
        <v>568</v>
      </c>
      <c r="L1704" s="5" t="str">
        <f>IFERROR(__xludf.DUMMYFUNCTION("""COMPUTED_VALUE"""),"Freaks")</f>
        <v>Freaks</v>
      </c>
      <c r="M1704" s="5" t="str">
        <f>IFERROR(__xludf.DUMMYFUNCTION("""COMPUTED_VALUE"""),"Horror")</f>
        <v>Horror</v>
      </c>
      <c r="N1704" s="5">
        <f>IFERROR(__xludf.DUMMYFUNCTION("""COMPUTED_VALUE"""),2.0)</f>
        <v>2</v>
      </c>
      <c r="S1704" s="5">
        <f>IFERROR(__xludf.DUMMYFUNCTION("""COMPUTED_VALUE"""),673.0)</f>
        <v>673</v>
      </c>
      <c r="T1704" s="5" t="str">
        <f>IFERROR(__xludf.DUMMYFUNCTION("""COMPUTED_VALUE"""),"Majo no takkyûbin")</f>
        <v>Majo no takkyûbin</v>
      </c>
      <c r="U1704" s="5" t="str">
        <f>IFERROR(__xludf.DUMMYFUNCTION("""COMPUTED_VALUE"""),"Drama")</f>
        <v>Drama</v>
      </c>
      <c r="V1704" s="5">
        <f>IFERROR(__xludf.DUMMYFUNCTION("""COMPUTED_VALUE"""),3.0)</f>
        <v>3</v>
      </c>
    </row>
    <row r="1705">
      <c r="J1705" s="5" t="str">
        <f>IFERROR(__xludf.DUMMYFUNCTION("""COMPUTED_VALUE"""),"568🤙🏼Freaks🤙🏼🤙🏼3")</f>
        <v>568🤙🏼Freaks🤙🏼🤙🏼3</v>
      </c>
      <c r="K1705" s="5">
        <f>IFERROR(__xludf.DUMMYFUNCTION("SPLiT(J1705, ""🤙🏼"",FALSE,FALSE)"),568.0)</f>
        <v>568</v>
      </c>
      <c r="L1705" s="5" t="str">
        <f>IFERROR(__xludf.DUMMYFUNCTION("""COMPUTED_VALUE"""),"Freaks")</f>
        <v>Freaks</v>
      </c>
      <c r="M1705" s="5"/>
      <c r="N1705" s="5">
        <f>IFERROR(__xludf.DUMMYFUNCTION("""COMPUTED_VALUE"""),3.0)</f>
        <v>3</v>
      </c>
      <c r="S1705" s="5">
        <f>IFERROR(__xludf.DUMMYFUNCTION("""COMPUTED_VALUE"""),674.0)</f>
        <v>674</v>
      </c>
      <c r="T1705" s="5" t="str">
        <f>IFERROR(__xludf.DUMMYFUNCTION("""COMPUTED_VALUE"""),"Glory")</f>
        <v>Glory</v>
      </c>
      <c r="U1705" s="5" t="str">
        <f>IFERROR(__xludf.DUMMYFUNCTION("""COMPUTED_VALUE"""),"Biography")</f>
        <v>Biography</v>
      </c>
      <c r="V1705" s="5">
        <f>IFERROR(__xludf.DUMMYFUNCTION("""COMPUTED_VALUE"""),1.0)</f>
        <v>1</v>
      </c>
    </row>
    <row r="1706">
      <c r="J1706" s="5" t="str">
        <f>IFERROR(__xludf.DUMMYFUNCTION("""COMPUTED_VALUE"""),"569🤙🏼Nosferatu🤙🏼Fantasy🤙🏼1")</f>
        <v>569🤙🏼Nosferatu🤙🏼Fantasy🤙🏼1</v>
      </c>
      <c r="K1706" s="5">
        <f>IFERROR(__xludf.DUMMYFUNCTION("SPLiT(J1706, ""🤙🏼"",FALSE,FALSE)"),569.0)</f>
        <v>569</v>
      </c>
      <c r="L1706" s="5" t="str">
        <f>IFERROR(__xludf.DUMMYFUNCTION("""COMPUTED_VALUE"""),"Nosferatu")</f>
        <v>Nosferatu</v>
      </c>
      <c r="M1706" s="5" t="str">
        <f>IFERROR(__xludf.DUMMYFUNCTION("""COMPUTED_VALUE"""),"Fantasy")</f>
        <v>Fantasy</v>
      </c>
      <c r="N1706" s="5">
        <f>IFERROR(__xludf.DUMMYFUNCTION("""COMPUTED_VALUE"""),1.0)</f>
        <v>1</v>
      </c>
      <c r="S1706" s="5">
        <f>IFERROR(__xludf.DUMMYFUNCTION("""COMPUTED_VALUE"""),674.0)</f>
        <v>674</v>
      </c>
      <c r="T1706" s="5" t="str">
        <f>IFERROR(__xludf.DUMMYFUNCTION("""COMPUTED_VALUE"""),"Glory")</f>
        <v>Glory</v>
      </c>
      <c r="U1706" s="5" t="str">
        <f>IFERROR(__xludf.DUMMYFUNCTION("""COMPUTED_VALUE"""),"Drama")</f>
        <v>Drama</v>
      </c>
      <c r="V1706" s="5">
        <f>IFERROR(__xludf.DUMMYFUNCTION("""COMPUTED_VALUE"""),2.0)</f>
        <v>2</v>
      </c>
    </row>
    <row r="1707">
      <c r="J1707" s="5" t="str">
        <f>IFERROR(__xludf.DUMMYFUNCTION("""COMPUTED_VALUE"""),"569🤙🏼Nosferatu🤙🏼Horror🤙🏼2")</f>
        <v>569🤙🏼Nosferatu🤙🏼Horror🤙🏼2</v>
      </c>
      <c r="K1707" s="5">
        <f>IFERROR(__xludf.DUMMYFUNCTION("SPLiT(J1707, ""🤙🏼"",FALSE,FALSE)"),569.0)</f>
        <v>569</v>
      </c>
      <c r="L1707" s="5" t="str">
        <f>IFERROR(__xludf.DUMMYFUNCTION("""COMPUTED_VALUE"""),"Nosferatu")</f>
        <v>Nosferatu</v>
      </c>
      <c r="M1707" s="5" t="str">
        <f>IFERROR(__xludf.DUMMYFUNCTION("""COMPUTED_VALUE"""),"Horror")</f>
        <v>Horror</v>
      </c>
      <c r="N1707" s="5">
        <f>IFERROR(__xludf.DUMMYFUNCTION("""COMPUTED_VALUE"""),2.0)</f>
        <v>2</v>
      </c>
      <c r="S1707" s="5">
        <f>IFERROR(__xludf.DUMMYFUNCTION("""COMPUTED_VALUE"""),674.0)</f>
        <v>674</v>
      </c>
      <c r="T1707" s="5" t="str">
        <f>IFERROR(__xludf.DUMMYFUNCTION("""COMPUTED_VALUE"""),"Glory")</f>
        <v>Glory</v>
      </c>
      <c r="U1707" s="5" t="str">
        <f>IFERROR(__xludf.DUMMYFUNCTION("""COMPUTED_VALUE"""),"History")</f>
        <v>History</v>
      </c>
      <c r="V1707" s="5">
        <f>IFERROR(__xludf.DUMMYFUNCTION("""COMPUTED_VALUE"""),3.0)</f>
        <v>3</v>
      </c>
    </row>
    <row r="1708">
      <c r="J1708" s="5" t="str">
        <f>IFERROR(__xludf.DUMMYFUNCTION("""COMPUTED_VALUE"""),"569🤙🏼Nosferatu🤙🏼🤙🏼3")</f>
        <v>569🤙🏼Nosferatu🤙🏼🤙🏼3</v>
      </c>
      <c r="K1708" s="5">
        <f>IFERROR(__xludf.DUMMYFUNCTION("SPLiT(J1708, ""🤙🏼"",FALSE,FALSE)"),569.0)</f>
        <v>569</v>
      </c>
      <c r="L1708" s="5" t="str">
        <f>IFERROR(__xludf.DUMMYFUNCTION("""COMPUTED_VALUE"""),"Nosferatu")</f>
        <v>Nosferatu</v>
      </c>
      <c r="M1708" s="5"/>
      <c r="N1708" s="5">
        <f>IFERROR(__xludf.DUMMYFUNCTION("""COMPUTED_VALUE"""),3.0)</f>
        <v>3</v>
      </c>
      <c r="S1708" s="5">
        <f>IFERROR(__xludf.DUMMYFUNCTION("""COMPUTED_VALUE"""),675.0)</f>
        <v>675</v>
      </c>
      <c r="T1708" s="5" t="str">
        <f>IFERROR(__xludf.DUMMYFUNCTION("""COMPUTED_VALUE"""),"Dip huet seung hung")</f>
        <v>Dip huet seung hung</v>
      </c>
      <c r="U1708" s="5" t="str">
        <f>IFERROR(__xludf.DUMMYFUNCTION("""COMPUTED_VALUE"""),"Action")</f>
        <v>Action</v>
      </c>
      <c r="V1708" s="5">
        <f>IFERROR(__xludf.DUMMYFUNCTION("""COMPUTED_VALUE"""),1.0)</f>
        <v>1</v>
      </c>
    </row>
    <row r="1709">
      <c r="J1709" s="5" t="str">
        <f>IFERROR(__xludf.DUMMYFUNCTION("""COMPUTED_VALUE"""),"570🤙🏼The Gentlemen🤙🏼Action🤙🏼1")</f>
        <v>570🤙🏼The Gentlemen🤙🏼Action🤙🏼1</v>
      </c>
      <c r="K1709" s="5">
        <f>IFERROR(__xludf.DUMMYFUNCTION("SPLiT(J1709, ""🤙🏼"",FALSE,FALSE)"),570.0)</f>
        <v>570</v>
      </c>
      <c r="L1709" s="5" t="str">
        <f>IFERROR(__xludf.DUMMYFUNCTION("""COMPUTED_VALUE"""),"The Gentlemen")</f>
        <v>The Gentlemen</v>
      </c>
      <c r="M1709" s="5" t="str">
        <f>IFERROR(__xludf.DUMMYFUNCTION("""COMPUTED_VALUE"""),"Action")</f>
        <v>Action</v>
      </c>
      <c r="N1709" s="5">
        <f>IFERROR(__xludf.DUMMYFUNCTION("""COMPUTED_VALUE"""),1.0)</f>
        <v>1</v>
      </c>
      <c r="S1709" s="5">
        <f>IFERROR(__xludf.DUMMYFUNCTION("""COMPUTED_VALUE"""),675.0)</f>
        <v>675</v>
      </c>
      <c r="T1709" s="5" t="str">
        <f>IFERROR(__xludf.DUMMYFUNCTION("""COMPUTED_VALUE"""),"Dip huet seung hung")</f>
        <v>Dip huet seung hung</v>
      </c>
      <c r="U1709" s="5" t="str">
        <f>IFERROR(__xludf.DUMMYFUNCTION("""COMPUTED_VALUE"""),"Crime")</f>
        <v>Crime</v>
      </c>
      <c r="V1709" s="5">
        <f>IFERROR(__xludf.DUMMYFUNCTION("""COMPUTED_VALUE"""),2.0)</f>
        <v>2</v>
      </c>
    </row>
    <row r="1710">
      <c r="J1710" s="5" t="str">
        <f>IFERROR(__xludf.DUMMYFUNCTION("""COMPUTED_VALUE"""),"570🤙🏼The Gentlemen🤙🏼Comedy🤙🏼2")</f>
        <v>570🤙🏼The Gentlemen🤙🏼Comedy🤙🏼2</v>
      </c>
      <c r="K1710" s="5">
        <f>IFERROR(__xludf.DUMMYFUNCTION("SPLiT(J1710, ""🤙🏼"",FALSE,FALSE)"),570.0)</f>
        <v>570</v>
      </c>
      <c r="L1710" s="5" t="str">
        <f>IFERROR(__xludf.DUMMYFUNCTION("""COMPUTED_VALUE"""),"The Gentlemen")</f>
        <v>The Gentlemen</v>
      </c>
      <c r="M1710" s="5" t="str">
        <f>IFERROR(__xludf.DUMMYFUNCTION("""COMPUTED_VALUE"""),"Comedy")</f>
        <v>Comedy</v>
      </c>
      <c r="N1710" s="5">
        <f>IFERROR(__xludf.DUMMYFUNCTION("""COMPUTED_VALUE"""),2.0)</f>
        <v>2</v>
      </c>
      <c r="S1710" s="5">
        <f>IFERROR(__xludf.DUMMYFUNCTION("""COMPUTED_VALUE"""),675.0)</f>
        <v>675</v>
      </c>
      <c r="T1710" s="5" t="str">
        <f>IFERROR(__xludf.DUMMYFUNCTION("""COMPUTED_VALUE"""),"Dip huet seung hung")</f>
        <v>Dip huet seung hung</v>
      </c>
      <c r="U1710" s="5" t="str">
        <f>IFERROR(__xludf.DUMMYFUNCTION("""COMPUTED_VALUE"""),"Drama")</f>
        <v>Drama</v>
      </c>
      <c r="V1710" s="5">
        <f>IFERROR(__xludf.DUMMYFUNCTION("""COMPUTED_VALUE"""),3.0)</f>
        <v>3</v>
      </c>
    </row>
    <row r="1711">
      <c r="J1711" s="5" t="str">
        <f>IFERROR(__xludf.DUMMYFUNCTION("""COMPUTED_VALUE"""),"570🤙🏼The Gentlemen🤙🏼Crime🤙🏼3")</f>
        <v>570🤙🏼The Gentlemen🤙🏼Crime🤙🏼3</v>
      </c>
      <c r="K1711" s="5">
        <f>IFERROR(__xludf.DUMMYFUNCTION("SPLiT(J1711, ""🤙🏼"",FALSE,FALSE)"),570.0)</f>
        <v>570</v>
      </c>
      <c r="L1711" s="5" t="str">
        <f>IFERROR(__xludf.DUMMYFUNCTION("""COMPUTED_VALUE"""),"The Gentlemen")</f>
        <v>The Gentlemen</v>
      </c>
      <c r="M1711" s="5" t="str">
        <f>IFERROR(__xludf.DUMMYFUNCTION("""COMPUTED_VALUE"""),"Crime")</f>
        <v>Crime</v>
      </c>
      <c r="N1711" s="5">
        <f>IFERROR(__xludf.DUMMYFUNCTION("""COMPUTED_VALUE"""),3.0)</f>
        <v>3</v>
      </c>
      <c r="S1711" s="5">
        <f>IFERROR(__xludf.DUMMYFUNCTION("""COMPUTED_VALUE"""),676.0)</f>
        <v>676</v>
      </c>
      <c r="T1711" s="5" t="str">
        <f>IFERROR(__xludf.DUMMYFUNCTION("""COMPUTED_VALUE"""),"Back to the Future Part II")</f>
        <v>Back to the Future Part II</v>
      </c>
      <c r="U1711" s="5" t="str">
        <f>IFERROR(__xludf.DUMMYFUNCTION("""COMPUTED_VALUE"""),"Adventure")</f>
        <v>Adventure</v>
      </c>
      <c r="V1711" s="5">
        <f>IFERROR(__xludf.DUMMYFUNCTION("""COMPUTED_VALUE"""),1.0)</f>
        <v>1</v>
      </c>
    </row>
    <row r="1712">
      <c r="J1712" s="5" t="str">
        <f>IFERROR(__xludf.DUMMYFUNCTION("""COMPUTED_VALUE"""),"571🤙🏼Raazi🤙🏼Action🤙🏼1")</f>
        <v>571🤙🏼Raazi🤙🏼Action🤙🏼1</v>
      </c>
      <c r="K1712" s="5">
        <f>IFERROR(__xludf.DUMMYFUNCTION("SPLiT(J1712, ""🤙🏼"",FALSE,FALSE)"),571.0)</f>
        <v>571</v>
      </c>
      <c r="L1712" s="5" t="str">
        <f>IFERROR(__xludf.DUMMYFUNCTION("""COMPUTED_VALUE"""),"Raazi")</f>
        <v>Raazi</v>
      </c>
      <c r="M1712" s="5" t="str">
        <f>IFERROR(__xludf.DUMMYFUNCTION("""COMPUTED_VALUE"""),"Action")</f>
        <v>Action</v>
      </c>
      <c r="N1712" s="5">
        <f>IFERROR(__xludf.DUMMYFUNCTION("""COMPUTED_VALUE"""),1.0)</f>
        <v>1</v>
      </c>
      <c r="S1712" s="5">
        <f>IFERROR(__xludf.DUMMYFUNCTION("""COMPUTED_VALUE"""),676.0)</f>
        <v>676</v>
      </c>
      <c r="T1712" s="5" t="str">
        <f>IFERROR(__xludf.DUMMYFUNCTION("""COMPUTED_VALUE"""),"Back to the Future Part II")</f>
        <v>Back to the Future Part II</v>
      </c>
      <c r="U1712" s="5" t="str">
        <f>IFERROR(__xludf.DUMMYFUNCTION("""COMPUTED_VALUE"""),"Comedy")</f>
        <v>Comedy</v>
      </c>
      <c r="V1712" s="5">
        <f>IFERROR(__xludf.DUMMYFUNCTION("""COMPUTED_VALUE"""),2.0)</f>
        <v>2</v>
      </c>
    </row>
    <row r="1713">
      <c r="J1713" s="5" t="str">
        <f>IFERROR(__xludf.DUMMYFUNCTION("""COMPUTED_VALUE"""),"571🤙🏼Raazi🤙🏼Drama🤙🏼2")</f>
        <v>571🤙🏼Raazi🤙🏼Drama🤙🏼2</v>
      </c>
      <c r="K1713" s="5">
        <f>IFERROR(__xludf.DUMMYFUNCTION("SPLiT(J1713, ""🤙🏼"",FALSE,FALSE)"),571.0)</f>
        <v>571</v>
      </c>
      <c r="L1713" s="5" t="str">
        <f>IFERROR(__xludf.DUMMYFUNCTION("""COMPUTED_VALUE"""),"Raazi")</f>
        <v>Raazi</v>
      </c>
      <c r="M1713" s="5" t="str">
        <f>IFERROR(__xludf.DUMMYFUNCTION("""COMPUTED_VALUE"""),"Drama")</f>
        <v>Drama</v>
      </c>
      <c r="N1713" s="5">
        <f>IFERROR(__xludf.DUMMYFUNCTION("""COMPUTED_VALUE"""),2.0)</f>
        <v>2</v>
      </c>
      <c r="S1713" s="5">
        <f>IFERROR(__xludf.DUMMYFUNCTION("""COMPUTED_VALUE"""),676.0)</f>
        <v>676</v>
      </c>
      <c r="T1713" s="5" t="str">
        <f>IFERROR(__xludf.DUMMYFUNCTION("""COMPUTED_VALUE"""),"Back to the Future Part II")</f>
        <v>Back to the Future Part II</v>
      </c>
      <c r="U1713" s="5" t="str">
        <f>IFERROR(__xludf.DUMMYFUNCTION("""COMPUTED_VALUE"""),"Sci-Fi")</f>
        <v>Sci-Fi</v>
      </c>
      <c r="V1713" s="5">
        <f>IFERROR(__xludf.DUMMYFUNCTION("""COMPUTED_VALUE"""),3.0)</f>
        <v>3</v>
      </c>
    </row>
    <row r="1714">
      <c r="J1714" s="5" t="str">
        <f>IFERROR(__xludf.DUMMYFUNCTION("""COMPUTED_VALUE"""),"571🤙🏼Raazi🤙🏼Thriller🤙🏼3")</f>
        <v>571🤙🏼Raazi🤙🏼Thriller🤙🏼3</v>
      </c>
      <c r="K1714" s="5">
        <f>IFERROR(__xludf.DUMMYFUNCTION("SPLiT(J1714, ""🤙🏼"",FALSE,FALSE)"),571.0)</f>
        <v>571</v>
      </c>
      <c r="L1714" s="5" t="str">
        <f>IFERROR(__xludf.DUMMYFUNCTION("""COMPUTED_VALUE"""),"Raazi")</f>
        <v>Raazi</v>
      </c>
      <c r="M1714" s="5" t="str">
        <f>IFERROR(__xludf.DUMMYFUNCTION("""COMPUTED_VALUE"""),"Thriller")</f>
        <v>Thriller</v>
      </c>
      <c r="N1714" s="5">
        <f>IFERROR(__xludf.DUMMYFUNCTION("""COMPUTED_VALUE"""),3.0)</f>
        <v>3</v>
      </c>
      <c r="S1714" s="5">
        <f>IFERROR(__xludf.DUMMYFUNCTION("""COMPUTED_VALUE"""),677.0)</f>
        <v>677</v>
      </c>
      <c r="T1714" s="5" t="str">
        <f>IFERROR(__xludf.DUMMYFUNCTION("""COMPUTED_VALUE"""),"Mississippi Burning")</f>
        <v>Mississippi Burning</v>
      </c>
      <c r="U1714" s="5" t="str">
        <f>IFERROR(__xludf.DUMMYFUNCTION("""COMPUTED_VALUE"""),"Crime")</f>
        <v>Crime</v>
      </c>
      <c r="V1714" s="5">
        <f>IFERROR(__xludf.DUMMYFUNCTION("""COMPUTED_VALUE"""),1.0)</f>
        <v>1</v>
      </c>
    </row>
    <row r="1715">
      <c r="J1715" s="5" t="str">
        <f>IFERROR(__xludf.DUMMYFUNCTION("""COMPUTED_VALUE"""),"572🤙🏼Sound of Metal🤙🏼Drama🤙🏼1")</f>
        <v>572🤙🏼Sound of Metal🤙🏼Drama🤙🏼1</v>
      </c>
      <c r="K1715" s="5">
        <f>IFERROR(__xludf.DUMMYFUNCTION("SPLiT(J1715, ""🤙🏼"",FALSE,FALSE)"),572.0)</f>
        <v>572</v>
      </c>
      <c r="L1715" s="5" t="str">
        <f>IFERROR(__xludf.DUMMYFUNCTION("""COMPUTED_VALUE"""),"Sound of Metal")</f>
        <v>Sound of Metal</v>
      </c>
      <c r="M1715" s="5" t="str">
        <f>IFERROR(__xludf.DUMMYFUNCTION("""COMPUTED_VALUE"""),"Drama")</f>
        <v>Drama</v>
      </c>
      <c r="N1715" s="5">
        <f>IFERROR(__xludf.DUMMYFUNCTION("""COMPUTED_VALUE"""),1.0)</f>
        <v>1</v>
      </c>
      <c r="S1715" s="5">
        <f>IFERROR(__xludf.DUMMYFUNCTION("""COMPUTED_VALUE"""),677.0)</f>
        <v>677</v>
      </c>
      <c r="T1715" s="5" t="str">
        <f>IFERROR(__xludf.DUMMYFUNCTION("""COMPUTED_VALUE"""),"Mississippi Burning")</f>
        <v>Mississippi Burning</v>
      </c>
      <c r="U1715" s="5" t="str">
        <f>IFERROR(__xludf.DUMMYFUNCTION("""COMPUTED_VALUE"""),"Drama")</f>
        <v>Drama</v>
      </c>
      <c r="V1715" s="5">
        <f>IFERROR(__xludf.DUMMYFUNCTION("""COMPUTED_VALUE"""),2.0)</f>
        <v>2</v>
      </c>
    </row>
    <row r="1716">
      <c r="J1716" s="5" t="str">
        <f>IFERROR(__xludf.DUMMYFUNCTION("""COMPUTED_VALUE"""),"572🤙🏼Sound of Metal🤙🏼Music🤙🏼2")</f>
        <v>572🤙🏼Sound of Metal🤙🏼Music🤙🏼2</v>
      </c>
      <c r="K1716" s="5">
        <f>IFERROR(__xludf.DUMMYFUNCTION("SPLiT(J1716, ""🤙🏼"",FALSE,FALSE)"),572.0)</f>
        <v>572</v>
      </c>
      <c r="L1716" s="5" t="str">
        <f>IFERROR(__xludf.DUMMYFUNCTION("""COMPUTED_VALUE"""),"Sound of Metal")</f>
        <v>Sound of Metal</v>
      </c>
      <c r="M1716" s="5" t="str">
        <f>IFERROR(__xludf.DUMMYFUNCTION("""COMPUTED_VALUE"""),"Music")</f>
        <v>Music</v>
      </c>
      <c r="N1716" s="5">
        <f>IFERROR(__xludf.DUMMYFUNCTION("""COMPUTED_VALUE"""),2.0)</f>
        <v>2</v>
      </c>
      <c r="S1716" s="5">
        <f>IFERROR(__xludf.DUMMYFUNCTION("""COMPUTED_VALUE"""),677.0)</f>
        <v>677</v>
      </c>
      <c r="T1716" s="5" t="str">
        <f>IFERROR(__xludf.DUMMYFUNCTION("""COMPUTED_VALUE"""),"Mississippi Burning")</f>
        <v>Mississippi Burning</v>
      </c>
      <c r="U1716" s="5" t="str">
        <f>IFERROR(__xludf.DUMMYFUNCTION("""COMPUTED_VALUE"""),"History")</f>
        <v>History</v>
      </c>
      <c r="V1716" s="5">
        <f>IFERROR(__xludf.DUMMYFUNCTION("""COMPUTED_VALUE"""),3.0)</f>
        <v>3</v>
      </c>
    </row>
    <row r="1717">
      <c r="J1717" s="5" t="str">
        <f>IFERROR(__xludf.DUMMYFUNCTION("""COMPUTED_VALUE"""),"572🤙🏼Sound of Metal🤙🏼🤙🏼3")</f>
        <v>572🤙🏼Sound of Metal🤙🏼🤙🏼3</v>
      </c>
      <c r="K1717" s="5">
        <f>IFERROR(__xludf.DUMMYFUNCTION("SPLiT(J1717, ""🤙🏼"",FALSE,FALSE)"),572.0)</f>
        <v>572</v>
      </c>
      <c r="L1717" s="5" t="str">
        <f>IFERROR(__xludf.DUMMYFUNCTION("""COMPUTED_VALUE"""),"Sound of Metal")</f>
        <v>Sound of Metal</v>
      </c>
      <c r="M1717" s="5"/>
      <c r="N1717" s="5">
        <f>IFERROR(__xludf.DUMMYFUNCTION("""COMPUTED_VALUE"""),3.0)</f>
        <v>3</v>
      </c>
      <c r="S1717" s="5">
        <f>IFERROR(__xludf.DUMMYFUNCTION("""COMPUTED_VALUE"""),678.0)</f>
        <v>678</v>
      </c>
      <c r="T1717" s="5" t="str">
        <f>IFERROR(__xludf.DUMMYFUNCTION("""COMPUTED_VALUE"""),"Predator")</f>
        <v>Predator</v>
      </c>
      <c r="U1717" s="5" t="str">
        <f>IFERROR(__xludf.DUMMYFUNCTION("""COMPUTED_VALUE"""),"Action")</f>
        <v>Action</v>
      </c>
      <c r="V1717" s="5">
        <f>IFERROR(__xludf.DUMMYFUNCTION("""COMPUTED_VALUE"""),1.0)</f>
        <v>1</v>
      </c>
    </row>
    <row r="1718">
      <c r="J1718" s="5" t="str">
        <f>IFERROR(__xludf.DUMMYFUNCTION("""COMPUTED_VALUE"""),"573🤙🏼Forushande🤙🏼Drama🤙🏼1")</f>
        <v>573🤙🏼Forushande🤙🏼Drama🤙🏼1</v>
      </c>
      <c r="K1718" s="5">
        <f>IFERROR(__xludf.DUMMYFUNCTION("SPLiT(J1718, ""🤙🏼"",FALSE,FALSE)"),573.0)</f>
        <v>573</v>
      </c>
      <c r="L1718" s="5" t="str">
        <f>IFERROR(__xludf.DUMMYFUNCTION("""COMPUTED_VALUE"""),"Forushande")</f>
        <v>Forushande</v>
      </c>
      <c r="M1718" s="5" t="str">
        <f>IFERROR(__xludf.DUMMYFUNCTION("""COMPUTED_VALUE"""),"Drama")</f>
        <v>Drama</v>
      </c>
      <c r="N1718" s="5">
        <f>IFERROR(__xludf.DUMMYFUNCTION("""COMPUTED_VALUE"""),1.0)</f>
        <v>1</v>
      </c>
      <c r="S1718" s="5">
        <f>IFERROR(__xludf.DUMMYFUNCTION("""COMPUTED_VALUE"""),678.0)</f>
        <v>678</v>
      </c>
      <c r="T1718" s="5" t="str">
        <f>IFERROR(__xludf.DUMMYFUNCTION("""COMPUTED_VALUE"""),"Predator")</f>
        <v>Predator</v>
      </c>
      <c r="U1718" s="5" t="str">
        <f>IFERROR(__xludf.DUMMYFUNCTION("""COMPUTED_VALUE"""),"Adventure")</f>
        <v>Adventure</v>
      </c>
      <c r="V1718" s="5">
        <f>IFERROR(__xludf.DUMMYFUNCTION("""COMPUTED_VALUE"""),2.0)</f>
        <v>2</v>
      </c>
    </row>
    <row r="1719">
      <c r="J1719" s="5" t="str">
        <f>IFERROR(__xludf.DUMMYFUNCTION("""COMPUTED_VALUE"""),"573🤙🏼Forushande🤙🏼🤙🏼2")</f>
        <v>573🤙🏼Forushande🤙🏼🤙🏼2</v>
      </c>
      <c r="K1719" s="5">
        <f>IFERROR(__xludf.DUMMYFUNCTION("SPLiT(J1719, ""🤙🏼"",FALSE,FALSE)"),573.0)</f>
        <v>573</v>
      </c>
      <c r="L1719" s="5" t="str">
        <f>IFERROR(__xludf.DUMMYFUNCTION("""COMPUTED_VALUE"""),"Forushande")</f>
        <v>Forushande</v>
      </c>
      <c r="M1719" s="5"/>
      <c r="N1719" s="5">
        <f>IFERROR(__xludf.DUMMYFUNCTION("""COMPUTED_VALUE"""),2.0)</f>
        <v>2</v>
      </c>
      <c r="S1719" s="5">
        <f>IFERROR(__xludf.DUMMYFUNCTION("""COMPUTED_VALUE"""),678.0)</f>
        <v>678</v>
      </c>
      <c r="T1719" s="5" t="str">
        <f>IFERROR(__xludf.DUMMYFUNCTION("""COMPUTED_VALUE"""),"Predator")</f>
        <v>Predator</v>
      </c>
      <c r="U1719" s="5" t="str">
        <f>IFERROR(__xludf.DUMMYFUNCTION("""COMPUTED_VALUE"""),"Sci-Fi")</f>
        <v>Sci-Fi</v>
      </c>
      <c r="V1719" s="5">
        <f>IFERROR(__xludf.DUMMYFUNCTION("""COMPUTED_VALUE"""),3.0)</f>
        <v>3</v>
      </c>
    </row>
    <row r="1720">
      <c r="J1720" s="5" t="str">
        <f>IFERROR(__xludf.DUMMYFUNCTION("""COMPUTED_VALUE"""),"573🤙🏼Forushande🤙🏼🤙🏼3")</f>
        <v>573🤙🏼Forushande🤙🏼🤙🏼3</v>
      </c>
      <c r="K1720" s="5">
        <f>IFERROR(__xludf.DUMMYFUNCTION("SPLiT(J1720, ""🤙🏼"",FALSE,FALSE)"),573.0)</f>
        <v>573</v>
      </c>
      <c r="L1720" s="5" t="str">
        <f>IFERROR(__xludf.DUMMYFUNCTION("""COMPUTED_VALUE"""),"Forushande")</f>
        <v>Forushande</v>
      </c>
      <c r="M1720" s="5"/>
      <c r="N1720" s="5">
        <f>IFERROR(__xludf.DUMMYFUNCTION("""COMPUTED_VALUE"""),3.0)</f>
        <v>3</v>
      </c>
      <c r="S1720" s="5">
        <f>IFERROR(__xludf.DUMMYFUNCTION("""COMPUTED_VALUE"""),679.0)</f>
        <v>679</v>
      </c>
      <c r="T1720" s="5" t="str">
        <f>IFERROR(__xludf.DUMMYFUNCTION("""COMPUTED_VALUE"""),"Evil Dead II")</f>
        <v>Evil Dead II</v>
      </c>
      <c r="U1720" s="5" t="str">
        <f>IFERROR(__xludf.DUMMYFUNCTION("""COMPUTED_VALUE"""),"Action")</f>
        <v>Action</v>
      </c>
      <c r="V1720" s="5">
        <f>IFERROR(__xludf.DUMMYFUNCTION("""COMPUTED_VALUE"""),1.0)</f>
        <v>1</v>
      </c>
    </row>
    <row r="1721">
      <c r="J1721" s="5" t="str">
        <f>IFERROR(__xludf.DUMMYFUNCTION("""COMPUTED_VALUE"""),"574🤙🏼Dunkirk🤙🏼Action🤙🏼1")</f>
        <v>574🤙🏼Dunkirk🤙🏼Action🤙🏼1</v>
      </c>
      <c r="K1721" s="5">
        <f>IFERROR(__xludf.DUMMYFUNCTION("SPLiT(J1721, ""🤙🏼"",FALSE,FALSE)"),574.0)</f>
        <v>574</v>
      </c>
      <c r="L1721" s="5" t="str">
        <f>IFERROR(__xludf.DUMMYFUNCTION("""COMPUTED_VALUE"""),"Dunkirk")</f>
        <v>Dunkirk</v>
      </c>
      <c r="M1721" s="5" t="str">
        <f>IFERROR(__xludf.DUMMYFUNCTION("""COMPUTED_VALUE"""),"Action")</f>
        <v>Action</v>
      </c>
      <c r="N1721" s="5">
        <f>IFERROR(__xludf.DUMMYFUNCTION("""COMPUTED_VALUE"""),1.0)</f>
        <v>1</v>
      </c>
      <c r="S1721" s="5">
        <f>IFERROR(__xludf.DUMMYFUNCTION("""COMPUTED_VALUE"""),679.0)</f>
        <v>679</v>
      </c>
      <c r="T1721" s="5" t="str">
        <f>IFERROR(__xludf.DUMMYFUNCTION("""COMPUTED_VALUE"""),"Evil Dead II")</f>
        <v>Evil Dead II</v>
      </c>
      <c r="U1721" s="5" t="str">
        <f>IFERROR(__xludf.DUMMYFUNCTION("""COMPUTED_VALUE"""),"Comedy")</f>
        <v>Comedy</v>
      </c>
      <c r="V1721" s="5">
        <f>IFERROR(__xludf.DUMMYFUNCTION("""COMPUTED_VALUE"""),2.0)</f>
        <v>2</v>
      </c>
    </row>
    <row r="1722">
      <c r="J1722" s="5" t="str">
        <f>IFERROR(__xludf.DUMMYFUNCTION("""COMPUTED_VALUE"""),"574🤙🏼Dunkirk🤙🏼Drama🤙🏼2")</f>
        <v>574🤙🏼Dunkirk🤙🏼Drama🤙🏼2</v>
      </c>
      <c r="K1722" s="5">
        <f>IFERROR(__xludf.DUMMYFUNCTION("SPLiT(J1722, ""🤙🏼"",FALSE,FALSE)"),574.0)</f>
        <v>574</v>
      </c>
      <c r="L1722" s="5" t="str">
        <f>IFERROR(__xludf.DUMMYFUNCTION("""COMPUTED_VALUE"""),"Dunkirk")</f>
        <v>Dunkirk</v>
      </c>
      <c r="M1722" s="5" t="str">
        <f>IFERROR(__xludf.DUMMYFUNCTION("""COMPUTED_VALUE"""),"Drama")</f>
        <v>Drama</v>
      </c>
      <c r="N1722" s="5">
        <f>IFERROR(__xludf.DUMMYFUNCTION("""COMPUTED_VALUE"""),2.0)</f>
        <v>2</v>
      </c>
      <c r="S1722" s="5">
        <f>IFERROR(__xludf.DUMMYFUNCTION("""COMPUTED_VALUE"""),679.0)</f>
        <v>679</v>
      </c>
      <c r="T1722" s="5" t="str">
        <f>IFERROR(__xludf.DUMMYFUNCTION("""COMPUTED_VALUE"""),"Evil Dead II")</f>
        <v>Evil Dead II</v>
      </c>
      <c r="U1722" s="5" t="str">
        <f>IFERROR(__xludf.DUMMYFUNCTION("""COMPUTED_VALUE"""),"Fantasy")</f>
        <v>Fantasy</v>
      </c>
      <c r="V1722" s="5">
        <f>IFERROR(__xludf.DUMMYFUNCTION("""COMPUTED_VALUE"""),3.0)</f>
        <v>3</v>
      </c>
    </row>
    <row r="1723">
      <c r="J1723" s="5" t="str">
        <f>IFERROR(__xludf.DUMMYFUNCTION("""COMPUTED_VALUE"""),"574🤙🏼Dunkirk🤙🏼History🤙🏼3")</f>
        <v>574🤙🏼Dunkirk🤙🏼History🤙🏼3</v>
      </c>
      <c r="K1723" s="5">
        <f>IFERROR(__xludf.DUMMYFUNCTION("SPLiT(J1723, ""🤙🏼"",FALSE,FALSE)"),574.0)</f>
        <v>574</v>
      </c>
      <c r="L1723" s="5" t="str">
        <f>IFERROR(__xludf.DUMMYFUNCTION("""COMPUTED_VALUE"""),"Dunkirk")</f>
        <v>Dunkirk</v>
      </c>
      <c r="M1723" s="5" t="str">
        <f>IFERROR(__xludf.DUMMYFUNCTION("""COMPUTED_VALUE"""),"History")</f>
        <v>History</v>
      </c>
      <c r="N1723" s="5">
        <f>IFERROR(__xludf.DUMMYFUNCTION("""COMPUTED_VALUE"""),3.0)</f>
        <v>3</v>
      </c>
      <c r="S1723" s="5">
        <f>IFERROR(__xludf.DUMMYFUNCTION("""COMPUTED_VALUE"""),680.0)</f>
        <v>680</v>
      </c>
      <c r="T1723" s="5" t="str">
        <f>IFERROR(__xludf.DUMMYFUNCTION("""COMPUTED_VALUE"""),"Ferris Bueller's Day Off")</f>
        <v>Ferris Bueller's Day Off</v>
      </c>
      <c r="U1723" s="5" t="str">
        <f>IFERROR(__xludf.DUMMYFUNCTION("""COMPUTED_VALUE"""),"Comedy")</f>
        <v>Comedy</v>
      </c>
      <c r="V1723" s="5">
        <f>IFERROR(__xludf.DUMMYFUNCTION("""COMPUTED_VALUE"""),1.0)</f>
        <v>1</v>
      </c>
    </row>
    <row r="1724">
      <c r="J1724" s="5" t="str">
        <f>IFERROR(__xludf.DUMMYFUNCTION("""COMPUTED_VALUE"""),"575🤙🏼Perfetti sconosciuti🤙🏼Comedy🤙🏼1")</f>
        <v>575🤙🏼Perfetti sconosciuti🤙🏼Comedy🤙🏼1</v>
      </c>
      <c r="K1724" s="5">
        <f>IFERROR(__xludf.DUMMYFUNCTION("SPLiT(J1724, ""🤙🏼"",FALSE,FALSE)"),575.0)</f>
        <v>575</v>
      </c>
      <c r="L1724" s="5" t="str">
        <f>IFERROR(__xludf.DUMMYFUNCTION("""COMPUTED_VALUE"""),"Perfetti sconosciuti")</f>
        <v>Perfetti sconosciuti</v>
      </c>
      <c r="M1724" s="5" t="str">
        <f>IFERROR(__xludf.DUMMYFUNCTION("""COMPUTED_VALUE"""),"Comedy")</f>
        <v>Comedy</v>
      </c>
      <c r="N1724" s="5">
        <f>IFERROR(__xludf.DUMMYFUNCTION("""COMPUTED_VALUE"""),1.0)</f>
        <v>1</v>
      </c>
      <c r="S1724" s="5">
        <f>IFERROR(__xludf.DUMMYFUNCTION("""COMPUTED_VALUE"""),681.0)</f>
        <v>681</v>
      </c>
      <c r="T1724" s="5" t="str">
        <f>IFERROR(__xludf.DUMMYFUNCTION("""COMPUTED_VALUE"""),"Down by Law")</f>
        <v>Down by Law</v>
      </c>
      <c r="U1724" s="5" t="str">
        <f>IFERROR(__xludf.DUMMYFUNCTION("""COMPUTED_VALUE"""),"Comedy")</f>
        <v>Comedy</v>
      </c>
      <c r="V1724" s="5">
        <f>IFERROR(__xludf.DUMMYFUNCTION("""COMPUTED_VALUE"""),1.0)</f>
        <v>1</v>
      </c>
    </row>
    <row r="1725">
      <c r="J1725" s="5" t="str">
        <f>IFERROR(__xludf.DUMMYFUNCTION("""COMPUTED_VALUE"""),"575🤙🏼Perfetti sconosciuti🤙🏼Drama🤙🏼2")</f>
        <v>575🤙🏼Perfetti sconosciuti🤙🏼Drama🤙🏼2</v>
      </c>
      <c r="K1725" s="5">
        <f>IFERROR(__xludf.DUMMYFUNCTION("SPLiT(J1725, ""🤙🏼"",FALSE,FALSE)"),575.0)</f>
        <v>575</v>
      </c>
      <c r="L1725" s="5" t="str">
        <f>IFERROR(__xludf.DUMMYFUNCTION("""COMPUTED_VALUE"""),"Perfetti sconosciuti")</f>
        <v>Perfetti sconosciuti</v>
      </c>
      <c r="M1725" s="5" t="str">
        <f>IFERROR(__xludf.DUMMYFUNCTION("""COMPUTED_VALUE"""),"Drama")</f>
        <v>Drama</v>
      </c>
      <c r="N1725" s="5">
        <f>IFERROR(__xludf.DUMMYFUNCTION("""COMPUTED_VALUE"""),2.0)</f>
        <v>2</v>
      </c>
      <c r="S1725" s="5">
        <f>IFERROR(__xludf.DUMMYFUNCTION("""COMPUTED_VALUE"""),681.0)</f>
        <v>681</v>
      </c>
      <c r="T1725" s="5" t="str">
        <f>IFERROR(__xludf.DUMMYFUNCTION("""COMPUTED_VALUE"""),"Down by Law")</f>
        <v>Down by Law</v>
      </c>
      <c r="U1725" s="5" t="str">
        <f>IFERROR(__xludf.DUMMYFUNCTION("""COMPUTED_VALUE"""),"Crime")</f>
        <v>Crime</v>
      </c>
      <c r="V1725" s="5">
        <f>IFERROR(__xludf.DUMMYFUNCTION("""COMPUTED_VALUE"""),2.0)</f>
        <v>2</v>
      </c>
    </row>
    <row r="1726">
      <c r="J1726" s="5" t="str">
        <f>IFERROR(__xludf.DUMMYFUNCTION("""COMPUTED_VALUE"""),"575🤙🏼Perfetti sconosciuti🤙🏼🤙🏼3")</f>
        <v>575🤙🏼Perfetti sconosciuti🤙🏼🤙🏼3</v>
      </c>
      <c r="K1726" s="5">
        <f>IFERROR(__xludf.DUMMYFUNCTION("SPLiT(J1726, ""🤙🏼"",FALSE,FALSE)"),575.0)</f>
        <v>575</v>
      </c>
      <c r="L1726" s="5" t="str">
        <f>IFERROR(__xludf.DUMMYFUNCTION("""COMPUTED_VALUE"""),"Perfetti sconosciuti")</f>
        <v>Perfetti sconosciuti</v>
      </c>
      <c r="M1726" s="5"/>
      <c r="N1726" s="5">
        <f>IFERROR(__xludf.DUMMYFUNCTION("""COMPUTED_VALUE"""),3.0)</f>
        <v>3</v>
      </c>
      <c r="S1726" s="5">
        <f>IFERROR(__xludf.DUMMYFUNCTION("""COMPUTED_VALUE"""),681.0)</f>
        <v>681</v>
      </c>
      <c r="T1726" s="5" t="str">
        <f>IFERROR(__xludf.DUMMYFUNCTION("""COMPUTED_VALUE"""),"Down by Law")</f>
        <v>Down by Law</v>
      </c>
      <c r="U1726" s="5" t="str">
        <f>IFERROR(__xludf.DUMMYFUNCTION("""COMPUTED_VALUE"""),"Drama")</f>
        <v>Drama</v>
      </c>
      <c r="V1726" s="5">
        <f>IFERROR(__xludf.DUMMYFUNCTION("""COMPUTED_VALUE"""),3.0)</f>
        <v>3</v>
      </c>
    </row>
    <row r="1727">
      <c r="J1727" s="5" t="str">
        <f>IFERROR(__xludf.DUMMYFUNCTION("""COMPUTED_VALUE"""),"576🤙🏼Hidden Figures🤙🏼Biography🤙🏼1")</f>
        <v>576🤙🏼Hidden Figures🤙🏼Biography🤙🏼1</v>
      </c>
      <c r="K1727" s="5">
        <f>IFERROR(__xludf.DUMMYFUNCTION("SPLiT(J1727, ""🤙🏼"",FALSE,FALSE)"),576.0)</f>
        <v>576</v>
      </c>
      <c r="L1727" s="5" t="str">
        <f>IFERROR(__xludf.DUMMYFUNCTION("""COMPUTED_VALUE"""),"Hidden Figures")</f>
        <v>Hidden Figures</v>
      </c>
      <c r="M1727" s="5" t="str">
        <f>IFERROR(__xludf.DUMMYFUNCTION("""COMPUTED_VALUE"""),"Biography")</f>
        <v>Biography</v>
      </c>
      <c r="N1727" s="5">
        <f>IFERROR(__xludf.DUMMYFUNCTION("""COMPUTED_VALUE"""),1.0)</f>
        <v>1</v>
      </c>
      <c r="S1727" s="5">
        <f>IFERROR(__xludf.DUMMYFUNCTION("""COMPUTED_VALUE"""),682.0)</f>
        <v>682</v>
      </c>
      <c r="T1727" s="5" t="str">
        <f>IFERROR(__xludf.DUMMYFUNCTION("""COMPUTED_VALUE"""),"The Goonies")</f>
        <v>The Goonies</v>
      </c>
      <c r="U1727" s="5" t="str">
        <f>IFERROR(__xludf.DUMMYFUNCTION("""COMPUTED_VALUE"""),"Adventure")</f>
        <v>Adventure</v>
      </c>
      <c r="V1727" s="5">
        <f>IFERROR(__xludf.DUMMYFUNCTION("""COMPUTED_VALUE"""),1.0)</f>
        <v>1</v>
      </c>
    </row>
    <row r="1728">
      <c r="J1728" s="5" t="str">
        <f>IFERROR(__xludf.DUMMYFUNCTION("""COMPUTED_VALUE"""),"576🤙🏼Hidden Figures🤙🏼Drama🤙🏼2")</f>
        <v>576🤙🏼Hidden Figures🤙🏼Drama🤙🏼2</v>
      </c>
      <c r="K1728" s="5">
        <f>IFERROR(__xludf.DUMMYFUNCTION("SPLiT(J1728, ""🤙🏼"",FALSE,FALSE)"),576.0)</f>
        <v>576</v>
      </c>
      <c r="L1728" s="5" t="str">
        <f>IFERROR(__xludf.DUMMYFUNCTION("""COMPUTED_VALUE"""),"Hidden Figures")</f>
        <v>Hidden Figures</v>
      </c>
      <c r="M1728" s="5" t="str">
        <f>IFERROR(__xludf.DUMMYFUNCTION("""COMPUTED_VALUE"""),"Drama")</f>
        <v>Drama</v>
      </c>
      <c r="N1728" s="5">
        <f>IFERROR(__xludf.DUMMYFUNCTION("""COMPUTED_VALUE"""),2.0)</f>
        <v>2</v>
      </c>
      <c r="S1728" s="5">
        <f>IFERROR(__xludf.DUMMYFUNCTION("""COMPUTED_VALUE"""),682.0)</f>
        <v>682</v>
      </c>
      <c r="T1728" s="5" t="str">
        <f>IFERROR(__xludf.DUMMYFUNCTION("""COMPUTED_VALUE"""),"The Goonies")</f>
        <v>The Goonies</v>
      </c>
      <c r="U1728" s="5" t="str">
        <f>IFERROR(__xludf.DUMMYFUNCTION("""COMPUTED_VALUE"""),"Comedy")</f>
        <v>Comedy</v>
      </c>
      <c r="V1728" s="5">
        <f>IFERROR(__xludf.DUMMYFUNCTION("""COMPUTED_VALUE"""),2.0)</f>
        <v>2</v>
      </c>
    </row>
    <row r="1729">
      <c r="J1729" s="5" t="str">
        <f>IFERROR(__xludf.DUMMYFUNCTION("""COMPUTED_VALUE"""),"576🤙🏼Hidden Figures🤙🏼History🤙🏼3")</f>
        <v>576🤙🏼Hidden Figures🤙🏼History🤙🏼3</v>
      </c>
      <c r="K1729" s="5">
        <f>IFERROR(__xludf.DUMMYFUNCTION("SPLiT(J1729, ""🤙🏼"",FALSE,FALSE)"),576.0)</f>
        <v>576</v>
      </c>
      <c r="L1729" s="5" t="str">
        <f>IFERROR(__xludf.DUMMYFUNCTION("""COMPUTED_VALUE"""),"Hidden Figures")</f>
        <v>Hidden Figures</v>
      </c>
      <c r="M1729" s="5" t="str">
        <f>IFERROR(__xludf.DUMMYFUNCTION("""COMPUTED_VALUE"""),"History")</f>
        <v>History</v>
      </c>
      <c r="N1729" s="5">
        <f>IFERROR(__xludf.DUMMYFUNCTION("""COMPUTED_VALUE"""),3.0)</f>
        <v>3</v>
      </c>
      <c r="S1729" s="5">
        <f>IFERROR(__xludf.DUMMYFUNCTION("""COMPUTED_VALUE"""),682.0)</f>
        <v>682</v>
      </c>
      <c r="T1729" s="5" t="str">
        <f>IFERROR(__xludf.DUMMYFUNCTION("""COMPUTED_VALUE"""),"The Goonies")</f>
        <v>The Goonies</v>
      </c>
      <c r="U1729" s="5" t="str">
        <f>IFERROR(__xludf.DUMMYFUNCTION("""COMPUTED_VALUE"""),"Family")</f>
        <v>Family</v>
      </c>
      <c r="V1729" s="5">
        <f>IFERROR(__xludf.DUMMYFUNCTION("""COMPUTED_VALUE"""),3.0)</f>
        <v>3</v>
      </c>
    </row>
    <row r="1730">
      <c r="J1730" s="5" t="str">
        <f>IFERROR(__xludf.DUMMYFUNCTION("""COMPUTED_VALUE"""),"577🤙🏼Paddington 2🤙🏼Adventure🤙🏼1")</f>
        <v>577🤙🏼Paddington 2🤙🏼Adventure🤙🏼1</v>
      </c>
      <c r="K1730" s="5">
        <f>IFERROR(__xludf.DUMMYFUNCTION("SPLiT(J1730, ""🤙🏼"",FALSE,FALSE)"),577.0)</f>
        <v>577</v>
      </c>
      <c r="L1730" s="5" t="str">
        <f>IFERROR(__xludf.DUMMYFUNCTION("""COMPUTED_VALUE"""),"Paddington 2")</f>
        <v>Paddington 2</v>
      </c>
      <c r="M1730" s="5" t="str">
        <f>IFERROR(__xludf.DUMMYFUNCTION("""COMPUTED_VALUE"""),"Adventure")</f>
        <v>Adventure</v>
      </c>
      <c r="N1730" s="5">
        <f>IFERROR(__xludf.DUMMYFUNCTION("""COMPUTED_VALUE"""),1.0)</f>
        <v>1</v>
      </c>
      <c r="S1730" s="5">
        <f>IFERROR(__xludf.DUMMYFUNCTION("""COMPUTED_VALUE"""),683.0)</f>
        <v>683</v>
      </c>
      <c r="T1730" s="5" t="str">
        <f>IFERROR(__xludf.DUMMYFUNCTION("""COMPUTED_VALUE"""),"The Color Purple")</f>
        <v>The Color Purple</v>
      </c>
      <c r="U1730" s="5" t="str">
        <f>IFERROR(__xludf.DUMMYFUNCTION("""COMPUTED_VALUE"""),"Drama")</f>
        <v>Drama</v>
      </c>
      <c r="V1730" s="5">
        <f>IFERROR(__xludf.DUMMYFUNCTION("""COMPUTED_VALUE"""),1.0)</f>
        <v>1</v>
      </c>
    </row>
    <row r="1731">
      <c r="J1731" s="5" t="str">
        <f>IFERROR(__xludf.DUMMYFUNCTION("""COMPUTED_VALUE"""),"577🤙🏼Paddington 2🤙🏼Comedy🤙🏼2")</f>
        <v>577🤙🏼Paddington 2🤙🏼Comedy🤙🏼2</v>
      </c>
      <c r="K1731" s="5">
        <f>IFERROR(__xludf.DUMMYFUNCTION("SPLiT(J1731, ""🤙🏼"",FALSE,FALSE)"),577.0)</f>
        <v>577</v>
      </c>
      <c r="L1731" s="5" t="str">
        <f>IFERROR(__xludf.DUMMYFUNCTION("""COMPUTED_VALUE"""),"Paddington 2")</f>
        <v>Paddington 2</v>
      </c>
      <c r="M1731" s="5" t="str">
        <f>IFERROR(__xludf.DUMMYFUNCTION("""COMPUTED_VALUE"""),"Comedy")</f>
        <v>Comedy</v>
      </c>
      <c r="N1731" s="5">
        <f>IFERROR(__xludf.DUMMYFUNCTION("""COMPUTED_VALUE"""),2.0)</f>
        <v>2</v>
      </c>
      <c r="S1731" s="5">
        <f>IFERROR(__xludf.DUMMYFUNCTION("""COMPUTED_VALUE"""),684.0)</f>
        <v>684</v>
      </c>
      <c r="T1731" s="5" t="str">
        <f>IFERROR(__xludf.DUMMYFUNCTION("""COMPUTED_VALUE"""),"The Breakfast Club")</f>
        <v>The Breakfast Club</v>
      </c>
      <c r="U1731" s="5" t="str">
        <f>IFERROR(__xludf.DUMMYFUNCTION("""COMPUTED_VALUE"""),"Comedy")</f>
        <v>Comedy</v>
      </c>
      <c r="V1731" s="5">
        <f>IFERROR(__xludf.DUMMYFUNCTION("""COMPUTED_VALUE"""),1.0)</f>
        <v>1</v>
      </c>
    </row>
    <row r="1732">
      <c r="J1732" s="5" t="str">
        <f>IFERROR(__xludf.DUMMYFUNCTION("""COMPUTED_VALUE"""),"577🤙🏼Paddington 2🤙🏼Family🤙🏼3")</f>
        <v>577🤙🏼Paddington 2🤙🏼Family🤙🏼3</v>
      </c>
      <c r="K1732" s="5">
        <f>IFERROR(__xludf.DUMMYFUNCTION("SPLiT(J1732, ""🤙🏼"",FALSE,FALSE)"),577.0)</f>
        <v>577</v>
      </c>
      <c r="L1732" s="5" t="str">
        <f>IFERROR(__xludf.DUMMYFUNCTION("""COMPUTED_VALUE"""),"Paddington 2")</f>
        <v>Paddington 2</v>
      </c>
      <c r="M1732" s="5" t="str">
        <f>IFERROR(__xludf.DUMMYFUNCTION("""COMPUTED_VALUE"""),"Family")</f>
        <v>Family</v>
      </c>
      <c r="N1732" s="5">
        <f>IFERROR(__xludf.DUMMYFUNCTION("""COMPUTED_VALUE"""),3.0)</f>
        <v>3</v>
      </c>
      <c r="S1732" s="5">
        <f>IFERROR(__xludf.DUMMYFUNCTION("""COMPUTED_VALUE"""),684.0)</f>
        <v>684</v>
      </c>
      <c r="T1732" s="5" t="str">
        <f>IFERROR(__xludf.DUMMYFUNCTION("""COMPUTED_VALUE"""),"The Breakfast Club")</f>
        <v>The Breakfast Club</v>
      </c>
      <c r="U1732" s="5" t="str">
        <f>IFERROR(__xludf.DUMMYFUNCTION("""COMPUTED_VALUE"""),"Drama")</f>
        <v>Drama</v>
      </c>
      <c r="V1732" s="5">
        <f>IFERROR(__xludf.DUMMYFUNCTION("""COMPUTED_VALUE"""),2.0)</f>
        <v>2</v>
      </c>
    </row>
    <row r="1733">
      <c r="J1733" s="5" t="str">
        <f>IFERROR(__xludf.DUMMYFUNCTION("""COMPUTED_VALUE"""),"578🤙🏼Udta Punjab🤙🏼Action🤙🏼1")</f>
        <v>578🤙🏼Udta Punjab🤙🏼Action🤙🏼1</v>
      </c>
      <c r="K1733" s="5">
        <f>IFERROR(__xludf.DUMMYFUNCTION("SPLiT(J1733, ""🤙🏼"",FALSE,FALSE)"),578.0)</f>
        <v>578</v>
      </c>
      <c r="L1733" s="5" t="str">
        <f>IFERROR(__xludf.DUMMYFUNCTION("""COMPUTED_VALUE"""),"Udta Punjab")</f>
        <v>Udta Punjab</v>
      </c>
      <c r="M1733" s="5" t="str">
        <f>IFERROR(__xludf.DUMMYFUNCTION("""COMPUTED_VALUE"""),"Action")</f>
        <v>Action</v>
      </c>
      <c r="N1733" s="5">
        <f>IFERROR(__xludf.DUMMYFUNCTION("""COMPUTED_VALUE"""),1.0)</f>
        <v>1</v>
      </c>
      <c r="S1733" s="5">
        <f>IFERROR(__xludf.DUMMYFUNCTION("""COMPUTED_VALUE"""),685.0)</f>
        <v>685</v>
      </c>
      <c r="T1733" s="5" t="str">
        <f>IFERROR(__xludf.DUMMYFUNCTION("""COMPUTED_VALUE"""),"The Killing Fields")</f>
        <v>The Killing Fields</v>
      </c>
      <c r="U1733" s="5" t="str">
        <f>IFERROR(__xludf.DUMMYFUNCTION("""COMPUTED_VALUE"""),"Biography")</f>
        <v>Biography</v>
      </c>
      <c r="V1733" s="5">
        <f>IFERROR(__xludf.DUMMYFUNCTION("""COMPUTED_VALUE"""),1.0)</f>
        <v>1</v>
      </c>
    </row>
    <row r="1734">
      <c r="J1734" s="5" t="str">
        <f>IFERROR(__xludf.DUMMYFUNCTION("""COMPUTED_VALUE"""),"578🤙🏼Udta Punjab🤙🏼Crime🤙🏼2")</f>
        <v>578🤙🏼Udta Punjab🤙🏼Crime🤙🏼2</v>
      </c>
      <c r="K1734" s="5">
        <f>IFERROR(__xludf.DUMMYFUNCTION("SPLiT(J1734, ""🤙🏼"",FALSE,FALSE)"),578.0)</f>
        <v>578</v>
      </c>
      <c r="L1734" s="5" t="str">
        <f>IFERROR(__xludf.DUMMYFUNCTION("""COMPUTED_VALUE"""),"Udta Punjab")</f>
        <v>Udta Punjab</v>
      </c>
      <c r="M1734" s="5" t="str">
        <f>IFERROR(__xludf.DUMMYFUNCTION("""COMPUTED_VALUE"""),"Crime")</f>
        <v>Crime</v>
      </c>
      <c r="N1734" s="5">
        <f>IFERROR(__xludf.DUMMYFUNCTION("""COMPUTED_VALUE"""),2.0)</f>
        <v>2</v>
      </c>
      <c r="S1734" s="5">
        <f>IFERROR(__xludf.DUMMYFUNCTION("""COMPUTED_VALUE"""),685.0)</f>
        <v>685</v>
      </c>
      <c r="T1734" s="5" t="str">
        <f>IFERROR(__xludf.DUMMYFUNCTION("""COMPUTED_VALUE"""),"The Killing Fields")</f>
        <v>The Killing Fields</v>
      </c>
      <c r="U1734" s="5" t="str">
        <f>IFERROR(__xludf.DUMMYFUNCTION("""COMPUTED_VALUE"""),"Drama")</f>
        <v>Drama</v>
      </c>
      <c r="V1734" s="5">
        <f>IFERROR(__xludf.DUMMYFUNCTION("""COMPUTED_VALUE"""),2.0)</f>
        <v>2</v>
      </c>
    </row>
    <row r="1735">
      <c r="J1735" s="5" t="str">
        <f>IFERROR(__xludf.DUMMYFUNCTION("""COMPUTED_VALUE"""),"578🤙🏼Udta Punjab🤙🏼Drama🤙🏼3")</f>
        <v>578🤙🏼Udta Punjab🤙🏼Drama🤙🏼3</v>
      </c>
      <c r="K1735" s="5">
        <f>IFERROR(__xludf.DUMMYFUNCTION("SPLiT(J1735, ""🤙🏼"",FALSE,FALSE)"),578.0)</f>
        <v>578</v>
      </c>
      <c r="L1735" s="5" t="str">
        <f>IFERROR(__xludf.DUMMYFUNCTION("""COMPUTED_VALUE"""),"Udta Punjab")</f>
        <v>Udta Punjab</v>
      </c>
      <c r="M1735" s="5" t="str">
        <f>IFERROR(__xludf.DUMMYFUNCTION("""COMPUTED_VALUE"""),"Drama")</f>
        <v>Drama</v>
      </c>
      <c r="N1735" s="5">
        <f>IFERROR(__xludf.DUMMYFUNCTION("""COMPUTED_VALUE"""),3.0)</f>
        <v>3</v>
      </c>
      <c r="S1735" s="5">
        <f>IFERROR(__xludf.DUMMYFUNCTION("""COMPUTED_VALUE"""),685.0)</f>
        <v>685</v>
      </c>
      <c r="T1735" s="5" t="str">
        <f>IFERROR(__xludf.DUMMYFUNCTION("""COMPUTED_VALUE"""),"The Killing Fields")</f>
        <v>The Killing Fields</v>
      </c>
      <c r="U1735" s="5" t="str">
        <f>IFERROR(__xludf.DUMMYFUNCTION("""COMPUTED_VALUE"""),"History")</f>
        <v>History</v>
      </c>
      <c r="V1735" s="5">
        <f>IFERROR(__xludf.DUMMYFUNCTION("""COMPUTED_VALUE"""),3.0)</f>
        <v>3</v>
      </c>
    </row>
    <row r="1736">
      <c r="J1736" s="5" t="str">
        <f>IFERROR(__xludf.DUMMYFUNCTION("""COMPUTED_VALUE"""),"579🤙🏼Kubo and the Two Strings🤙🏼Animation🤙🏼1")</f>
        <v>579🤙🏼Kubo and the Two Strings🤙🏼Animation🤙🏼1</v>
      </c>
      <c r="K1736" s="5">
        <f>IFERROR(__xludf.DUMMYFUNCTION("SPLiT(J1736, ""🤙🏼"",FALSE,FALSE)"),579.0)</f>
        <v>579</v>
      </c>
      <c r="L1736" s="5" t="str">
        <f>IFERROR(__xludf.DUMMYFUNCTION("""COMPUTED_VALUE"""),"Kubo and the Two Strings")</f>
        <v>Kubo and the Two Strings</v>
      </c>
      <c r="M1736" s="5" t="str">
        <f>IFERROR(__xludf.DUMMYFUNCTION("""COMPUTED_VALUE"""),"Animation")</f>
        <v>Animation</v>
      </c>
      <c r="N1736" s="5">
        <f>IFERROR(__xludf.DUMMYFUNCTION("""COMPUTED_VALUE"""),1.0)</f>
        <v>1</v>
      </c>
      <c r="S1736" s="5">
        <f>IFERROR(__xludf.DUMMYFUNCTION("""COMPUTED_VALUE"""),686.0)</f>
        <v>686</v>
      </c>
      <c r="T1736" s="5" t="str">
        <f>IFERROR(__xludf.DUMMYFUNCTION("""COMPUTED_VALUE"""),"Ghostbusters")</f>
        <v>Ghostbusters</v>
      </c>
      <c r="U1736" s="5" t="str">
        <f>IFERROR(__xludf.DUMMYFUNCTION("""COMPUTED_VALUE"""),"Action")</f>
        <v>Action</v>
      </c>
      <c r="V1736" s="5">
        <f>IFERROR(__xludf.DUMMYFUNCTION("""COMPUTED_VALUE"""),1.0)</f>
        <v>1</v>
      </c>
    </row>
    <row r="1737">
      <c r="J1737" s="5" t="str">
        <f>IFERROR(__xludf.DUMMYFUNCTION("""COMPUTED_VALUE"""),"579🤙🏼Kubo and the Two Strings🤙🏼Action🤙🏼2")</f>
        <v>579🤙🏼Kubo and the Two Strings🤙🏼Action🤙🏼2</v>
      </c>
      <c r="K1737" s="5">
        <f>IFERROR(__xludf.DUMMYFUNCTION("SPLiT(J1737, ""🤙🏼"",FALSE,FALSE)"),579.0)</f>
        <v>579</v>
      </c>
      <c r="L1737" s="5" t="str">
        <f>IFERROR(__xludf.DUMMYFUNCTION("""COMPUTED_VALUE"""),"Kubo and the Two Strings")</f>
        <v>Kubo and the Two Strings</v>
      </c>
      <c r="M1737" s="5" t="str">
        <f>IFERROR(__xludf.DUMMYFUNCTION("""COMPUTED_VALUE"""),"Action")</f>
        <v>Action</v>
      </c>
      <c r="N1737" s="5">
        <f>IFERROR(__xludf.DUMMYFUNCTION("""COMPUTED_VALUE"""),2.0)</f>
        <v>2</v>
      </c>
      <c r="S1737" s="5">
        <f>IFERROR(__xludf.DUMMYFUNCTION("""COMPUTED_VALUE"""),686.0)</f>
        <v>686</v>
      </c>
      <c r="T1737" s="5" t="str">
        <f>IFERROR(__xludf.DUMMYFUNCTION("""COMPUTED_VALUE"""),"Ghostbusters")</f>
        <v>Ghostbusters</v>
      </c>
      <c r="U1737" s="5" t="str">
        <f>IFERROR(__xludf.DUMMYFUNCTION("""COMPUTED_VALUE"""),"Comedy")</f>
        <v>Comedy</v>
      </c>
      <c r="V1737" s="5">
        <f>IFERROR(__xludf.DUMMYFUNCTION("""COMPUTED_VALUE"""),2.0)</f>
        <v>2</v>
      </c>
    </row>
    <row r="1738">
      <c r="J1738" s="5" t="str">
        <f>IFERROR(__xludf.DUMMYFUNCTION("""COMPUTED_VALUE"""),"579🤙🏼Kubo and the Two Strings🤙🏼Adventure🤙🏼3")</f>
        <v>579🤙🏼Kubo and the Two Strings🤙🏼Adventure🤙🏼3</v>
      </c>
      <c r="K1738" s="5">
        <f>IFERROR(__xludf.DUMMYFUNCTION("SPLiT(J1738, ""🤙🏼"",FALSE,FALSE)"),579.0)</f>
        <v>579</v>
      </c>
      <c r="L1738" s="5" t="str">
        <f>IFERROR(__xludf.DUMMYFUNCTION("""COMPUTED_VALUE"""),"Kubo and the Two Strings")</f>
        <v>Kubo and the Two Strings</v>
      </c>
      <c r="M1738" s="5" t="str">
        <f>IFERROR(__xludf.DUMMYFUNCTION("""COMPUTED_VALUE"""),"Adventure")</f>
        <v>Adventure</v>
      </c>
      <c r="N1738" s="5">
        <f>IFERROR(__xludf.DUMMYFUNCTION("""COMPUTED_VALUE"""),3.0)</f>
        <v>3</v>
      </c>
      <c r="S1738" s="5">
        <f>IFERROR(__xludf.DUMMYFUNCTION("""COMPUTED_VALUE"""),686.0)</f>
        <v>686</v>
      </c>
      <c r="T1738" s="5" t="str">
        <f>IFERROR(__xludf.DUMMYFUNCTION("""COMPUTED_VALUE"""),"Ghostbusters")</f>
        <v>Ghostbusters</v>
      </c>
      <c r="U1738" s="5" t="str">
        <f>IFERROR(__xludf.DUMMYFUNCTION("""COMPUTED_VALUE"""),"Fantasy")</f>
        <v>Fantasy</v>
      </c>
      <c r="V1738" s="5">
        <f>IFERROR(__xludf.DUMMYFUNCTION("""COMPUTED_VALUE"""),3.0)</f>
        <v>3</v>
      </c>
    </row>
    <row r="1739">
      <c r="J1739" s="5" t="str">
        <f>IFERROR(__xludf.DUMMYFUNCTION("""COMPUTED_VALUE"""),"580🤙🏼M.S. Dhoni: The Untold Story🤙🏼Biography🤙🏼1")</f>
        <v>580🤙🏼M.S. Dhoni: The Untold Story🤙🏼Biography🤙🏼1</v>
      </c>
      <c r="K1739" s="5">
        <f>IFERROR(__xludf.DUMMYFUNCTION("SPLiT(J1739, ""🤙🏼"",FALSE,FALSE)"),580.0)</f>
        <v>580</v>
      </c>
      <c r="L1739" s="5" t="str">
        <f>IFERROR(__xludf.DUMMYFUNCTION("""COMPUTED_VALUE"""),"M.S. Dhoni: The Untold Story")</f>
        <v>M.S. Dhoni: The Untold Story</v>
      </c>
      <c r="M1739" s="5" t="str">
        <f>IFERROR(__xludf.DUMMYFUNCTION("""COMPUTED_VALUE"""),"Biography")</f>
        <v>Biography</v>
      </c>
      <c r="N1739" s="5">
        <f>IFERROR(__xludf.DUMMYFUNCTION("""COMPUTED_VALUE"""),1.0)</f>
        <v>1</v>
      </c>
      <c r="S1739" s="5">
        <f>IFERROR(__xludf.DUMMYFUNCTION("""COMPUTED_VALUE"""),687.0)</f>
        <v>687</v>
      </c>
      <c r="T1739" s="5" t="str">
        <f>IFERROR(__xludf.DUMMYFUNCTION("""COMPUTED_VALUE"""),"The Right Stuff")</f>
        <v>The Right Stuff</v>
      </c>
      <c r="U1739" s="5" t="str">
        <f>IFERROR(__xludf.DUMMYFUNCTION("""COMPUTED_VALUE"""),"Adventure")</f>
        <v>Adventure</v>
      </c>
      <c r="V1739" s="5">
        <f>IFERROR(__xludf.DUMMYFUNCTION("""COMPUTED_VALUE"""),1.0)</f>
        <v>1</v>
      </c>
    </row>
    <row r="1740">
      <c r="J1740" s="5" t="str">
        <f>IFERROR(__xludf.DUMMYFUNCTION("""COMPUTED_VALUE"""),"580🤙🏼M.S. Dhoni: The Untold Story🤙🏼Drama🤙🏼2")</f>
        <v>580🤙🏼M.S. Dhoni: The Untold Story🤙🏼Drama🤙🏼2</v>
      </c>
      <c r="K1740" s="5">
        <f>IFERROR(__xludf.DUMMYFUNCTION("SPLiT(J1740, ""🤙🏼"",FALSE,FALSE)"),580.0)</f>
        <v>580</v>
      </c>
      <c r="L1740" s="5" t="str">
        <f>IFERROR(__xludf.DUMMYFUNCTION("""COMPUTED_VALUE"""),"M.S. Dhoni: The Untold Story")</f>
        <v>M.S. Dhoni: The Untold Story</v>
      </c>
      <c r="M1740" s="5" t="str">
        <f>IFERROR(__xludf.DUMMYFUNCTION("""COMPUTED_VALUE"""),"Drama")</f>
        <v>Drama</v>
      </c>
      <c r="N1740" s="5">
        <f>IFERROR(__xludf.DUMMYFUNCTION("""COMPUTED_VALUE"""),2.0)</f>
        <v>2</v>
      </c>
      <c r="S1740" s="5">
        <f>IFERROR(__xludf.DUMMYFUNCTION("""COMPUTED_VALUE"""),687.0)</f>
        <v>687</v>
      </c>
      <c r="T1740" s="5" t="str">
        <f>IFERROR(__xludf.DUMMYFUNCTION("""COMPUTED_VALUE"""),"The Right Stuff")</f>
        <v>The Right Stuff</v>
      </c>
      <c r="U1740" s="5" t="str">
        <f>IFERROR(__xludf.DUMMYFUNCTION("""COMPUTED_VALUE"""),"Biography")</f>
        <v>Biography</v>
      </c>
      <c r="V1740" s="5">
        <f>IFERROR(__xludf.DUMMYFUNCTION("""COMPUTED_VALUE"""),2.0)</f>
        <v>2</v>
      </c>
    </row>
    <row r="1741">
      <c r="J1741" s="5" t="str">
        <f>IFERROR(__xludf.DUMMYFUNCTION("""COMPUTED_VALUE"""),"580🤙🏼M.S. Dhoni: The Untold Story🤙🏼Sport🤙🏼3")</f>
        <v>580🤙🏼M.S. Dhoni: The Untold Story🤙🏼Sport🤙🏼3</v>
      </c>
      <c r="K1741" s="5">
        <f>IFERROR(__xludf.DUMMYFUNCTION("SPLiT(J1741, ""🤙🏼"",FALSE,FALSE)"),580.0)</f>
        <v>580</v>
      </c>
      <c r="L1741" s="5" t="str">
        <f>IFERROR(__xludf.DUMMYFUNCTION("""COMPUTED_VALUE"""),"M.S. Dhoni: The Untold Story")</f>
        <v>M.S. Dhoni: The Untold Story</v>
      </c>
      <c r="M1741" s="5" t="str">
        <f>IFERROR(__xludf.DUMMYFUNCTION("""COMPUTED_VALUE"""),"Sport")</f>
        <v>Sport</v>
      </c>
      <c r="N1741" s="5">
        <f>IFERROR(__xludf.DUMMYFUNCTION("""COMPUTED_VALUE"""),3.0)</f>
        <v>3</v>
      </c>
      <c r="S1741" s="5">
        <f>IFERROR(__xludf.DUMMYFUNCTION("""COMPUTED_VALUE"""),687.0)</f>
        <v>687</v>
      </c>
      <c r="T1741" s="5" t="str">
        <f>IFERROR(__xludf.DUMMYFUNCTION("""COMPUTED_VALUE"""),"The Right Stuff")</f>
        <v>The Right Stuff</v>
      </c>
      <c r="U1741" s="5" t="str">
        <f>IFERROR(__xludf.DUMMYFUNCTION("""COMPUTED_VALUE"""),"Drama")</f>
        <v>Drama</v>
      </c>
      <c r="V1741" s="5">
        <f>IFERROR(__xludf.DUMMYFUNCTION("""COMPUTED_VALUE"""),3.0)</f>
        <v>3</v>
      </c>
    </row>
    <row r="1742">
      <c r="J1742" s="5" t="str">
        <f>IFERROR(__xludf.DUMMYFUNCTION("""COMPUTED_VALUE"""),"581🤙🏼Manchester by the Sea🤙🏼Drama🤙🏼1")</f>
        <v>581🤙🏼Manchester by the Sea🤙🏼Drama🤙🏼1</v>
      </c>
      <c r="K1742" s="5">
        <f>IFERROR(__xludf.DUMMYFUNCTION("SPLiT(J1742, ""🤙🏼"",FALSE,FALSE)"),581.0)</f>
        <v>581</v>
      </c>
      <c r="L1742" s="5" t="str">
        <f>IFERROR(__xludf.DUMMYFUNCTION("""COMPUTED_VALUE"""),"Manchester by the Sea")</f>
        <v>Manchester by the Sea</v>
      </c>
      <c r="M1742" s="5" t="str">
        <f>IFERROR(__xludf.DUMMYFUNCTION("""COMPUTED_VALUE"""),"Drama")</f>
        <v>Drama</v>
      </c>
      <c r="N1742" s="5">
        <f>IFERROR(__xludf.DUMMYFUNCTION("""COMPUTED_VALUE"""),1.0)</f>
        <v>1</v>
      </c>
      <c r="S1742" s="5">
        <f>IFERROR(__xludf.DUMMYFUNCTION("""COMPUTED_VALUE"""),688.0)</f>
        <v>688</v>
      </c>
      <c r="T1742" s="5" t="str">
        <f>IFERROR(__xludf.DUMMYFUNCTION("""COMPUTED_VALUE"""),"The King of Comedy")</f>
        <v>The King of Comedy</v>
      </c>
      <c r="U1742" s="5" t="str">
        <f>IFERROR(__xludf.DUMMYFUNCTION("""COMPUTED_VALUE"""),"Comedy")</f>
        <v>Comedy</v>
      </c>
      <c r="V1742" s="5">
        <f>IFERROR(__xludf.DUMMYFUNCTION("""COMPUTED_VALUE"""),1.0)</f>
        <v>1</v>
      </c>
    </row>
    <row r="1743">
      <c r="J1743" s="5" t="str">
        <f>IFERROR(__xludf.DUMMYFUNCTION("""COMPUTED_VALUE"""),"581🤙🏼Manchester by the Sea🤙🏼🤙🏼2")</f>
        <v>581🤙🏼Manchester by the Sea🤙🏼🤙🏼2</v>
      </c>
      <c r="K1743" s="5">
        <f>IFERROR(__xludf.DUMMYFUNCTION("SPLiT(J1743, ""🤙🏼"",FALSE,FALSE)"),581.0)</f>
        <v>581</v>
      </c>
      <c r="L1743" s="5" t="str">
        <f>IFERROR(__xludf.DUMMYFUNCTION("""COMPUTED_VALUE"""),"Manchester by the Sea")</f>
        <v>Manchester by the Sea</v>
      </c>
      <c r="M1743" s="5"/>
      <c r="N1743" s="5">
        <f>IFERROR(__xludf.DUMMYFUNCTION("""COMPUTED_VALUE"""),2.0)</f>
        <v>2</v>
      </c>
      <c r="S1743" s="5">
        <f>IFERROR(__xludf.DUMMYFUNCTION("""COMPUTED_VALUE"""),688.0)</f>
        <v>688</v>
      </c>
      <c r="T1743" s="5" t="str">
        <f>IFERROR(__xludf.DUMMYFUNCTION("""COMPUTED_VALUE"""),"The King of Comedy")</f>
        <v>The King of Comedy</v>
      </c>
      <c r="U1743" s="5" t="str">
        <f>IFERROR(__xludf.DUMMYFUNCTION("""COMPUTED_VALUE"""),"Crime")</f>
        <v>Crime</v>
      </c>
      <c r="V1743" s="5">
        <f>IFERROR(__xludf.DUMMYFUNCTION("""COMPUTED_VALUE"""),2.0)</f>
        <v>2</v>
      </c>
    </row>
    <row r="1744">
      <c r="J1744" s="5" t="str">
        <f>IFERROR(__xludf.DUMMYFUNCTION("""COMPUTED_VALUE"""),"581🤙🏼Manchester by the Sea🤙🏼🤙🏼3")</f>
        <v>581🤙🏼Manchester by the Sea🤙🏼🤙🏼3</v>
      </c>
      <c r="K1744" s="5">
        <f>IFERROR(__xludf.DUMMYFUNCTION("SPLiT(J1744, ""🤙🏼"",FALSE,FALSE)"),581.0)</f>
        <v>581</v>
      </c>
      <c r="L1744" s="5" t="str">
        <f>IFERROR(__xludf.DUMMYFUNCTION("""COMPUTED_VALUE"""),"Manchester by the Sea")</f>
        <v>Manchester by the Sea</v>
      </c>
      <c r="M1744" s="5"/>
      <c r="N1744" s="5">
        <f>IFERROR(__xludf.DUMMYFUNCTION("""COMPUTED_VALUE"""),3.0)</f>
        <v>3</v>
      </c>
      <c r="S1744" s="5">
        <f>IFERROR(__xludf.DUMMYFUNCTION("""COMPUTED_VALUE"""),688.0)</f>
        <v>688</v>
      </c>
      <c r="T1744" s="5" t="str">
        <f>IFERROR(__xludf.DUMMYFUNCTION("""COMPUTED_VALUE"""),"The King of Comedy")</f>
        <v>The King of Comedy</v>
      </c>
      <c r="U1744" s="5" t="str">
        <f>IFERROR(__xludf.DUMMYFUNCTION("""COMPUTED_VALUE"""),"Drama")</f>
        <v>Drama</v>
      </c>
      <c r="V1744" s="5">
        <f>IFERROR(__xludf.DUMMYFUNCTION("""COMPUTED_VALUE"""),3.0)</f>
        <v>3</v>
      </c>
    </row>
    <row r="1745">
      <c r="J1745" s="5" t="str">
        <f>IFERROR(__xludf.DUMMYFUNCTION("""COMPUTED_VALUE"""),"582🤙🏼Under sandet🤙🏼Drama🤙🏼1")</f>
        <v>582🤙🏼Under sandet🤙🏼Drama🤙🏼1</v>
      </c>
      <c r="K1745" s="5">
        <f>IFERROR(__xludf.DUMMYFUNCTION("SPLiT(J1745, ""🤙🏼"",FALSE,FALSE)"),582.0)</f>
        <v>582</v>
      </c>
      <c r="L1745" s="5" t="str">
        <f>IFERROR(__xludf.DUMMYFUNCTION("""COMPUTED_VALUE"""),"Under sandet")</f>
        <v>Under sandet</v>
      </c>
      <c r="M1745" s="5" t="str">
        <f>IFERROR(__xludf.DUMMYFUNCTION("""COMPUTED_VALUE"""),"Drama")</f>
        <v>Drama</v>
      </c>
      <c r="N1745" s="5">
        <f>IFERROR(__xludf.DUMMYFUNCTION("""COMPUTED_VALUE"""),1.0)</f>
        <v>1</v>
      </c>
      <c r="S1745" s="5">
        <f>IFERROR(__xludf.DUMMYFUNCTION("""COMPUTED_VALUE"""),689.0)</f>
        <v>689</v>
      </c>
      <c r="T1745" s="5" t="str">
        <f>IFERROR(__xludf.DUMMYFUNCTION("""COMPUTED_VALUE"""),"E.T. the Extra-Terrestrial")</f>
        <v>E.T. the Extra-Terrestrial</v>
      </c>
      <c r="U1745" s="5" t="str">
        <f>IFERROR(__xludf.DUMMYFUNCTION("""COMPUTED_VALUE"""),"Family")</f>
        <v>Family</v>
      </c>
      <c r="V1745" s="5">
        <f>IFERROR(__xludf.DUMMYFUNCTION("""COMPUTED_VALUE"""),1.0)</f>
        <v>1</v>
      </c>
    </row>
    <row r="1746">
      <c r="J1746" s="5" t="str">
        <f>IFERROR(__xludf.DUMMYFUNCTION("""COMPUTED_VALUE"""),"582🤙🏼Under sandet🤙🏼History🤙🏼2")</f>
        <v>582🤙🏼Under sandet🤙🏼History🤙🏼2</v>
      </c>
      <c r="K1746" s="5">
        <f>IFERROR(__xludf.DUMMYFUNCTION("SPLiT(J1746, ""🤙🏼"",FALSE,FALSE)"),582.0)</f>
        <v>582</v>
      </c>
      <c r="L1746" s="5" t="str">
        <f>IFERROR(__xludf.DUMMYFUNCTION("""COMPUTED_VALUE"""),"Under sandet")</f>
        <v>Under sandet</v>
      </c>
      <c r="M1746" s="5" t="str">
        <f>IFERROR(__xludf.DUMMYFUNCTION("""COMPUTED_VALUE"""),"History")</f>
        <v>History</v>
      </c>
      <c r="N1746" s="5">
        <f>IFERROR(__xludf.DUMMYFUNCTION("""COMPUTED_VALUE"""),2.0)</f>
        <v>2</v>
      </c>
      <c r="S1746" s="5">
        <f>IFERROR(__xludf.DUMMYFUNCTION("""COMPUTED_VALUE"""),689.0)</f>
        <v>689</v>
      </c>
      <c r="T1746" s="5" t="str">
        <f>IFERROR(__xludf.DUMMYFUNCTION("""COMPUTED_VALUE"""),"E.T. the Extra-Terrestrial")</f>
        <v>E.T. the Extra-Terrestrial</v>
      </c>
      <c r="U1746" s="5" t="str">
        <f>IFERROR(__xludf.DUMMYFUNCTION("""COMPUTED_VALUE"""),"Sci-Fi")</f>
        <v>Sci-Fi</v>
      </c>
      <c r="V1746" s="5">
        <f>IFERROR(__xludf.DUMMYFUNCTION("""COMPUTED_VALUE"""),2.0)</f>
        <v>2</v>
      </c>
    </row>
    <row r="1747">
      <c r="J1747" s="5" t="str">
        <f>IFERROR(__xludf.DUMMYFUNCTION("""COMPUTED_VALUE"""),"582🤙🏼Under sandet🤙🏼War🤙🏼3")</f>
        <v>582🤙🏼Under sandet🤙🏼War🤙🏼3</v>
      </c>
      <c r="K1747" s="5">
        <f>IFERROR(__xludf.DUMMYFUNCTION("SPLiT(J1747, ""🤙🏼"",FALSE,FALSE)"),582.0)</f>
        <v>582</v>
      </c>
      <c r="L1747" s="5" t="str">
        <f>IFERROR(__xludf.DUMMYFUNCTION("""COMPUTED_VALUE"""),"Under sandet")</f>
        <v>Under sandet</v>
      </c>
      <c r="M1747" s="5" t="str">
        <f>IFERROR(__xludf.DUMMYFUNCTION("""COMPUTED_VALUE"""),"War")</f>
        <v>War</v>
      </c>
      <c r="N1747" s="5">
        <f>IFERROR(__xludf.DUMMYFUNCTION("""COMPUTED_VALUE"""),3.0)</f>
        <v>3</v>
      </c>
      <c r="S1747" s="5">
        <f>IFERROR(__xludf.DUMMYFUNCTION("""COMPUTED_VALUE"""),690.0)</f>
        <v>690</v>
      </c>
      <c r="T1747" s="5" t="str">
        <f>IFERROR(__xludf.DUMMYFUNCTION("""COMPUTED_VALUE"""),"Kramer vs. Kramer")</f>
        <v>Kramer vs. Kramer</v>
      </c>
      <c r="U1747" s="5" t="str">
        <f>IFERROR(__xludf.DUMMYFUNCTION("""COMPUTED_VALUE"""),"Drama")</f>
        <v>Drama</v>
      </c>
      <c r="V1747" s="5">
        <f>IFERROR(__xludf.DUMMYFUNCTION("""COMPUTED_VALUE"""),1.0)</f>
        <v>1</v>
      </c>
    </row>
    <row r="1748">
      <c r="J1748" s="5" t="str">
        <f>IFERROR(__xludf.DUMMYFUNCTION("""COMPUTED_VALUE"""),"583🤙🏼Rogue One🤙🏼Action🤙🏼1")</f>
        <v>583🤙🏼Rogue One🤙🏼Action🤙🏼1</v>
      </c>
      <c r="K1748" s="5">
        <f>IFERROR(__xludf.DUMMYFUNCTION("SPLiT(J1748, ""🤙🏼"",FALSE,FALSE)"),583.0)</f>
        <v>583</v>
      </c>
      <c r="L1748" s="5" t="str">
        <f>IFERROR(__xludf.DUMMYFUNCTION("""COMPUTED_VALUE"""),"Rogue One")</f>
        <v>Rogue One</v>
      </c>
      <c r="M1748" s="5" t="str">
        <f>IFERROR(__xludf.DUMMYFUNCTION("""COMPUTED_VALUE"""),"Action")</f>
        <v>Action</v>
      </c>
      <c r="N1748" s="5">
        <f>IFERROR(__xludf.DUMMYFUNCTION("""COMPUTED_VALUE"""),1.0)</f>
        <v>1</v>
      </c>
      <c r="S1748" s="5">
        <f>IFERROR(__xludf.DUMMYFUNCTION("""COMPUTED_VALUE"""),691.0)</f>
        <v>691</v>
      </c>
      <c r="T1748" s="5" t="str">
        <f>IFERROR(__xludf.DUMMYFUNCTION("""COMPUTED_VALUE"""),"Days of Heaven")</f>
        <v>Days of Heaven</v>
      </c>
      <c r="U1748" s="5" t="str">
        <f>IFERROR(__xludf.DUMMYFUNCTION("""COMPUTED_VALUE"""),"Drama")</f>
        <v>Drama</v>
      </c>
      <c r="V1748" s="5">
        <f>IFERROR(__xludf.DUMMYFUNCTION("""COMPUTED_VALUE"""),1.0)</f>
        <v>1</v>
      </c>
    </row>
    <row r="1749">
      <c r="J1749" s="5" t="str">
        <f>IFERROR(__xludf.DUMMYFUNCTION("""COMPUTED_VALUE"""),"583🤙🏼Rogue One🤙🏼Adventure🤙🏼2")</f>
        <v>583🤙🏼Rogue One🤙🏼Adventure🤙🏼2</v>
      </c>
      <c r="K1749" s="5">
        <f>IFERROR(__xludf.DUMMYFUNCTION("SPLiT(J1749, ""🤙🏼"",FALSE,FALSE)"),583.0)</f>
        <v>583</v>
      </c>
      <c r="L1749" s="5" t="str">
        <f>IFERROR(__xludf.DUMMYFUNCTION("""COMPUTED_VALUE"""),"Rogue One")</f>
        <v>Rogue One</v>
      </c>
      <c r="M1749" s="5" t="str">
        <f>IFERROR(__xludf.DUMMYFUNCTION("""COMPUTED_VALUE"""),"Adventure")</f>
        <v>Adventure</v>
      </c>
      <c r="N1749" s="5">
        <f>IFERROR(__xludf.DUMMYFUNCTION("""COMPUTED_VALUE"""),2.0)</f>
        <v>2</v>
      </c>
      <c r="S1749" s="5">
        <f>IFERROR(__xludf.DUMMYFUNCTION("""COMPUTED_VALUE"""),691.0)</f>
        <v>691</v>
      </c>
      <c r="T1749" s="5" t="str">
        <f>IFERROR(__xludf.DUMMYFUNCTION("""COMPUTED_VALUE"""),"Days of Heaven")</f>
        <v>Days of Heaven</v>
      </c>
      <c r="U1749" s="5" t="str">
        <f>IFERROR(__xludf.DUMMYFUNCTION("""COMPUTED_VALUE"""),"Romance")</f>
        <v>Romance</v>
      </c>
      <c r="V1749" s="5">
        <f>IFERROR(__xludf.DUMMYFUNCTION("""COMPUTED_VALUE"""),2.0)</f>
        <v>2</v>
      </c>
    </row>
    <row r="1750">
      <c r="J1750" s="5" t="str">
        <f>IFERROR(__xludf.DUMMYFUNCTION("""COMPUTED_VALUE"""),"583🤙🏼Rogue One🤙🏼Sci-Fi🤙🏼3")</f>
        <v>583🤙🏼Rogue One🤙🏼Sci-Fi🤙🏼3</v>
      </c>
      <c r="K1750" s="5">
        <f>IFERROR(__xludf.DUMMYFUNCTION("SPLiT(J1750, ""🤙🏼"",FALSE,FALSE)"),583.0)</f>
        <v>583</v>
      </c>
      <c r="L1750" s="5" t="str">
        <f>IFERROR(__xludf.DUMMYFUNCTION("""COMPUTED_VALUE"""),"Rogue One")</f>
        <v>Rogue One</v>
      </c>
      <c r="M1750" s="5" t="str">
        <f>IFERROR(__xludf.DUMMYFUNCTION("""COMPUTED_VALUE"""),"Sci-Fi")</f>
        <v>Sci-Fi</v>
      </c>
      <c r="N1750" s="5">
        <f>IFERROR(__xludf.DUMMYFUNCTION("""COMPUTED_VALUE"""),3.0)</f>
        <v>3</v>
      </c>
      <c r="S1750" s="5">
        <f>IFERROR(__xludf.DUMMYFUNCTION("""COMPUTED_VALUE"""),692.0)</f>
        <v>692</v>
      </c>
      <c r="T1750" s="5" t="str">
        <f>IFERROR(__xludf.DUMMYFUNCTION("""COMPUTED_VALUE"""),"The Outlaw Josey Wales")</f>
        <v>The Outlaw Josey Wales</v>
      </c>
      <c r="U1750" s="5" t="str">
        <f>IFERROR(__xludf.DUMMYFUNCTION("""COMPUTED_VALUE"""),"Western")</f>
        <v>Western</v>
      </c>
      <c r="V1750" s="5">
        <f>IFERROR(__xludf.DUMMYFUNCTION("""COMPUTED_VALUE"""),1.0)</f>
        <v>1</v>
      </c>
    </row>
    <row r="1751">
      <c r="J1751" s="5" t="str">
        <f>IFERROR(__xludf.DUMMYFUNCTION("""COMPUTED_VALUE"""),"584🤙🏼Captain America: Civil War🤙🏼Action🤙🏼1")</f>
        <v>584🤙🏼Captain America: Civil War🤙🏼Action🤙🏼1</v>
      </c>
      <c r="K1751" s="5">
        <f>IFERROR(__xludf.DUMMYFUNCTION("SPLiT(J1751, ""🤙🏼"",FALSE,FALSE)"),584.0)</f>
        <v>584</v>
      </c>
      <c r="L1751" s="5" t="str">
        <f>IFERROR(__xludf.DUMMYFUNCTION("""COMPUTED_VALUE"""),"Captain America: Civil War")</f>
        <v>Captain America: Civil War</v>
      </c>
      <c r="M1751" s="5" t="str">
        <f>IFERROR(__xludf.DUMMYFUNCTION("""COMPUTED_VALUE"""),"Action")</f>
        <v>Action</v>
      </c>
      <c r="N1751" s="5">
        <f>IFERROR(__xludf.DUMMYFUNCTION("""COMPUTED_VALUE"""),1.0)</f>
        <v>1</v>
      </c>
      <c r="S1751" s="5">
        <f>IFERROR(__xludf.DUMMYFUNCTION("""COMPUTED_VALUE"""),693.0)</f>
        <v>693</v>
      </c>
      <c r="T1751" s="5" t="str">
        <f>IFERROR(__xludf.DUMMYFUNCTION("""COMPUTED_VALUE"""),"The Man Who Would Be King")</f>
        <v>The Man Who Would Be King</v>
      </c>
      <c r="U1751" s="5" t="str">
        <f>IFERROR(__xludf.DUMMYFUNCTION("""COMPUTED_VALUE"""),"Adventure")</f>
        <v>Adventure</v>
      </c>
      <c r="V1751" s="5">
        <f>IFERROR(__xludf.DUMMYFUNCTION("""COMPUTED_VALUE"""),1.0)</f>
        <v>1</v>
      </c>
    </row>
    <row r="1752">
      <c r="J1752" s="5" t="str">
        <f>IFERROR(__xludf.DUMMYFUNCTION("""COMPUTED_VALUE"""),"584🤙🏼Captain America: Civil War🤙🏼Adventure🤙🏼2")</f>
        <v>584🤙🏼Captain America: Civil War🤙🏼Adventure🤙🏼2</v>
      </c>
      <c r="K1752" s="5">
        <f>IFERROR(__xludf.DUMMYFUNCTION("SPLiT(J1752, ""🤙🏼"",FALSE,FALSE)"),584.0)</f>
        <v>584</v>
      </c>
      <c r="L1752" s="5" t="str">
        <f>IFERROR(__xludf.DUMMYFUNCTION("""COMPUTED_VALUE"""),"Captain America: Civil War")</f>
        <v>Captain America: Civil War</v>
      </c>
      <c r="M1752" s="5" t="str">
        <f>IFERROR(__xludf.DUMMYFUNCTION("""COMPUTED_VALUE"""),"Adventure")</f>
        <v>Adventure</v>
      </c>
      <c r="N1752" s="5">
        <f>IFERROR(__xludf.DUMMYFUNCTION("""COMPUTED_VALUE"""),2.0)</f>
        <v>2</v>
      </c>
      <c r="S1752" s="5">
        <f>IFERROR(__xludf.DUMMYFUNCTION("""COMPUTED_VALUE"""),693.0)</f>
        <v>693</v>
      </c>
      <c r="T1752" s="5" t="str">
        <f>IFERROR(__xludf.DUMMYFUNCTION("""COMPUTED_VALUE"""),"The Man Who Would Be King")</f>
        <v>The Man Who Would Be King</v>
      </c>
      <c r="U1752" s="5" t="str">
        <f>IFERROR(__xludf.DUMMYFUNCTION("""COMPUTED_VALUE"""),"History")</f>
        <v>History</v>
      </c>
      <c r="V1752" s="5">
        <f>IFERROR(__xludf.DUMMYFUNCTION("""COMPUTED_VALUE"""),2.0)</f>
        <v>2</v>
      </c>
    </row>
    <row r="1753">
      <c r="J1753" s="5" t="str">
        <f>IFERROR(__xludf.DUMMYFUNCTION("""COMPUTED_VALUE"""),"584🤙🏼Captain America: Civil War🤙🏼Sci-Fi🤙🏼3")</f>
        <v>584🤙🏼Captain America: Civil War🤙🏼Sci-Fi🤙🏼3</v>
      </c>
      <c r="K1753" s="5">
        <f>IFERROR(__xludf.DUMMYFUNCTION("SPLiT(J1753, ""🤙🏼"",FALSE,FALSE)"),584.0)</f>
        <v>584</v>
      </c>
      <c r="L1753" s="5" t="str">
        <f>IFERROR(__xludf.DUMMYFUNCTION("""COMPUTED_VALUE"""),"Captain America: Civil War")</f>
        <v>Captain America: Civil War</v>
      </c>
      <c r="M1753" s="5" t="str">
        <f>IFERROR(__xludf.DUMMYFUNCTION("""COMPUTED_VALUE"""),"Sci-Fi")</f>
        <v>Sci-Fi</v>
      </c>
      <c r="N1753" s="5">
        <f>IFERROR(__xludf.DUMMYFUNCTION("""COMPUTED_VALUE"""),3.0)</f>
        <v>3</v>
      </c>
      <c r="S1753" s="5">
        <f>IFERROR(__xludf.DUMMYFUNCTION("""COMPUTED_VALUE"""),693.0)</f>
        <v>693</v>
      </c>
      <c r="T1753" s="5" t="str">
        <f>IFERROR(__xludf.DUMMYFUNCTION("""COMPUTED_VALUE"""),"The Man Who Would Be King")</f>
        <v>The Man Who Would Be King</v>
      </c>
      <c r="U1753" s="5" t="str">
        <f>IFERROR(__xludf.DUMMYFUNCTION("""COMPUTED_VALUE"""),"War")</f>
        <v>War</v>
      </c>
      <c r="V1753" s="5">
        <f>IFERROR(__xludf.DUMMYFUNCTION("""COMPUTED_VALUE"""),3.0)</f>
        <v>3</v>
      </c>
    </row>
    <row r="1754">
      <c r="J1754" s="5" t="str">
        <f>IFERROR(__xludf.DUMMYFUNCTION("""COMPUTED_VALUE"""),"585🤙🏼The Hateful Eight🤙🏼Crime🤙🏼1")</f>
        <v>585🤙🏼The Hateful Eight🤙🏼Crime🤙🏼1</v>
      </c>
      <c r="K1754" s="5">
        <f>IFERROR(__xludf.DUMMYFUNCTION("SPLiT(J1754, ""🤙🏼"",FALSE,FALSE)"),585.0)</f>
        <v>585</v>
      </c>
      <c r="L1754" s="5" t="str">
        <f>IFERROR(__xludf.DUMMYFUNCTION("""COMPUTED_VALUE"""),"The Hateful Eight")</f>
        <v>The Hateful Eight</v>
      </c>
      <c r="M1754" s="5" t="str">
        <f>IFERROR(__xludf.DUMMYFUNCTION("""COMPUTED_VALUE"""),"Crime")</f>
        <v>Crime</v>
      </c>
      <c r="N1754" s="5">
        <f>IFERROR(__xludf.DUMMYFUNCTION("""COMPUTED_VALUE"""),1.0)</f>
        <v>1</v>
      </c>
      <c r="S1754" s="5">
        <f>IFERROR(__xludf.DUMMYFUNCTION("""COMPUTED_VALUE"""),694.0)</f>
        <v>694</v>
      </c>
      <c r="T1754" s="5" t="str">
        <f>IFERROR(__xludf.DUMMYFUNCTION("""COMPUTED_VALUE"""),"The Conversation")</f>
        <v>The Conversation</v>
      </c>
      <c r="U1754" s="5" t="str">
        <f>IFERROR(__xludf.DUMMYFUNCTION("""COMPUTED_VALUE"""),"Drama")</f>
        <v>Drama</v>
      </c>
      <c r="V1754" s="5">
        <f>IFERROR(__xludf.DUMMYFUNCTION("""COMPUTED_VALUE"""),1.0)</f>
        <v>1</v>
      </c>
    </row>
    <row r="1755">
      <c r="J1755" s="5" t="str">
        <f>IFERROR(__xludf.DUMMYFUNCTION("""COMPUTED_VALUE"""),"585🤙🏼The Hateful Eight🤙🏼Drama🤙🏼2")</f>
        <v>585🤙🏼The Hateful Eight🤙🏼Drama🤙🏼2</v>
      </c>
      <c r="K1755" s="5">
        <f>IFERROR(__xludf.DUMMYFUNCTION("SPLiT(J1755, ""🤙🏼"",FALSE,FALSE)"),585.0)</f>
        <v>585</v>
      </c>
      <c r="L1755" s="5" t="str">
        <f>IFERROR(__xludf.DUMMYFUNCTION("""COMPUTED_VALUE"""),"The Hateful Eight")</f>
        <v>The Hateful Eight</v>
      </c>
      <c r="M1755" s="5" t="str">
        <f>IFERROR(__xludf.DUMMYFUNCTION("""COMPUTED_VALUE"""),"Drama")</f>
        <v>Drama</v>
      </c>
      <c r="N1755" s="5">
        <f>IFERROR(__xludf.DUMMYFUNCTION("""COMPUTED_VALUE"""),2.0)</f>
        <v>2</v>
      </c>
      <c r="S1755" s="5">
        <f>IFERROR(__xludf.DUMMYFUNCTION("""COMPUTED_VALUE"""),694.0)</f>
        <v>694</v>
      </c>
      <c r="T1755" s="5" t="str">
        <f>IFERROR(__xludf.DUMMYFUNCTION("""COMPUTED_VALUE"""),"The Conversation")</f>
        <v>The Conversation</v>
      </c>
      <c r="U1755" s="5" t="str">
        <f>IFERROR(__xludf.DUMMYFUNCTION("""COMPUTED_VALUE"""),"Mystery")</f>
        <v>Mystery</v>
      </c>
      <c r="V1755" s="5">
        <f>IFERROR(__xludf.DUMMYFUNCTION("""COMPUTED_VALUE"""),2.0)</f>
        <v>2</v>
      </c>
    </row>
    <row r="1756">
      <c r="J1756" s="5" t="str">
        <f>IFERROR(__xludf.DUMMYFUNCTION("""COMPUTED_VALUE"""),"585🤙🏼The Hateful Eight🤙🏼Mystery🤙🏼3")</f>
        <v>585🤙🏼The Hateful Eight🤙🏼Mystery🤙🏼3</v>
      </c>
      <c r="K1756" s="5">
        <f>IFERROR(__xludf.DUMMYFUNCTION("SPLiT(J1756, ""🤙🏼"",FALSE,FALSE)"),585.0)</f>
        <v>585</v>
      </c>
      <c r="L1756" s="5" t="str">
        <f>IFERROR(__xludf.DUMMYFUNCTION("""COMPUTED_VALUE"""),"The Hateful Eight")</f>
        <v>The Hateful Eight</v>
      </c>
      <c r="M1756" s="5" t="str">
        <f>IFERROR(__xludf.DUMMYFUNCTION("""COMPUTED_VALUE"""),"Mystery")</f>
        <v>Mystery</v>
      </c>
      <c r="N1756" s="5">
        <f>IFERROR(__xludf.DUMMYFUNCTION("""COMPUTED_VALUE"""),3.0)</f>
        <v>3</v>
      </c>
      <c r="S1756" s="5">
        <f>IFERROR(__xludf.DUMMYFUNCTION("""COMPUTED_VALUE"""),694.0)</f>
        <v>694</v>
      </c>
      <c r="T1756" s="5" t="str">
        <f>IFERROR(__xludf.DUMMYFUNCTION("""COMPUTED_VALUE"""),"The Conversation")</f>
        <v>The Conversation</v>
      </c>
      <c r="U1756" s="5" t="str">
        <f>IFERROR(__xludf.DUMMYFUNCTION("""COMPUTED_VALUE"""),"Thriller")</f>
        <v>Thriller</v>
      </c>
      <c r="V1756" s="5">
        <f>IFERROR(__xludf.DUMMYFUNCTION("""COMPUTED_VALUE"""),3.0)</f>
        <v>3</v>
      </c>
    </row>
    <row r="1757">
      <c r="J1757" s="5" t="str">
        <f>IFERROR(__xludf.DUMMYFUNCTION("""COMPUTED_VALUE"""),"586🤙🏼Little Women🤙🏼Drama🤙🏼1")</f>
        <v>586🤙🏼Little Women🤙🏼Drama🤙🏼1</v>
      </c>
      <c r="K1757" s="5">
        <f>IFERROR(__xludf.DUMMYFUNCTION("SPLiT(J1757, ""🤙🏼"",FALSE,FALSE)"),586.0)</f>
        <v>586</v>
      </c>
      <c r="L1757" s="5" t="str">
        <f>IFERROR(__xludf.DUMMYFUNCTION("""COMPUTED_VALUE"""),"Little Women")</f>
        <v>Little Women</v>
      </c>
      <c r="M1757" s="5" t="str">
        <f>IFERROR(__xludf.DUMMYFUNCTION("""COMPUTED_VALUE"""),"Drama")</f>
        <v>Drama</v>
      </c>
      <c r="N1757" s="5">
        <f>IFERROR(__xludf.DUMMYFUNCTION("""COMPUTED_VALUE"""),1.0)</f>
        <v>1</v>
      </c>
      <c r="S1757" s="5">
        <f>IFERROR(__xludf.DUMMYFUNCTION("""COMPUTED_VALUE"""),695.0)</f>
        <v>695</v>
      </c>
      <c r="T1757" s="5" t="str">
        <f>IFERROR(__xludf.DUMMYFUNCTION("""COMPUTED_VALUE"""),"La planète sauvage")</f>
        <v>La planète sauvage</v>
      </c>
      <c r="U1757" s="5" t="str">
        <f>IFERROR(__xludf.DUMMYFUNCTION("""COMPUTED_VALUE"""),"Animation")</f>
        <v>Animation</v>
      </c>
      <c r="V1757" s="5">
        <f>IFERROR(__xludf.DUMMYFUNCTION("""COMPUTED_VALUE"""),1.0)</f>
        <v>1</v>
      </c>
    </row>
    <row r="1758">
      <c r="J1758" s="5" t="str">
        <f>IFERROR(__xludf.DUMMYFUNCTION("""COMPUTED_VALUE"""),"586🤙🏼Little Women🤙🏼Romance🤙🏼2")</f>
        <v>586🤙🏼Little Women🤙🏼Romance🤙🏼2</v>
      </c>
      <c r="K1758" s="5">
        <f>IFERROR(__xludf.DUMMYFUNCTION("SPLiT(J1758, ""🤙🏼"",FALSE,FALSE)"),586.0)</f>
        <v>586</v>
      </c>
      <c r="L1758" s="5" t="str">
        <f>IFERROR(__xludf.DUMMYFUNCTION("""COMPUTED_VALUE"""),"Little Women")</f>
        <v>Little Women</v>
      </c>
      <c r="M1758" s="5" t="str">
        <f>IFERROR(__xludf.DUMMYFUNCTION("""COMPUTED_VALUE"""),"Romance")</f>
        <v>Romance</v>
      </c>
      <c r="N1758" s="5">
        <f>IFERROR(__xludf.DUMMYFUNCTION("""COMPUTED_VALUE"""),2.0)</f>
        <v>2</v>
      </c>
      <c r="S1758" s="5">
        <f>IFERROR(__xludf.DUMMYFUNCTION("""COMPUTED_VALUE"""),695.0)</f>
        <v>695</v>
      </c>
      <c r="T1758" s="5" t="str">
        <f>IFERROR(__xludf.DUMMYFUNCTION("""COMPUTED_VALUE"""),"La planète sauvage")</f>
        <v>La planète sauvage</v>
      </c>
      <c r="U1758" s="5" t="str">
        <f>IFERROR(__xludf.DUMMYFUNCTION("""COMPUTED_VALUE"""),"Sci-Fi")</f>
        <v>Sci-Fi</v>
      </c>
      <c r="V1758" s="5">
        <f>IFERROR(__xludf.DUMMYFUNCTION("""COMPUTED_VALUE"""),2.0)</f>
        <v>2</v>
      </c>
    </row>
    <row r="1759">
      <c r="J1759" s="5" t="str">
        <f>IFERROR(__xludf.DUMMYFUNCTION("""COMPUTED_VALUE"""),"586🤙🏼Little Women🤙🏼🤙🏼3")</f>
        <v>586🤙🏼Little Women🤙🏼🤙🏼3</v>
      </c>
      <c r="K1759" s="5">
        <f>IFERROR(__xludf.DUMMYFUNCTION("SPLiT(J1759, ""🤙🏼"",FALSE,FALSE)"),586.0)</f>
        <v>586</v>
      </c>
      <c r="L1759" s="5" t="str">
        <f>IFERROR(__xludf.DUMMYFUNCTION("""COMPUTED_VALUE"""),"Little Women")</f>
        <v>Little Women</v>
      </c>
      <c r="M1759" s="5"/>
      <c r="N1759" s="5">
        <f>IFERROR(__xludf.DUMMYFUNCTION("""COMPUTED_VALUE"""),3.0)</f>
        <v>3</v>
      </c>
      <c r="S1759" s="5">
        <f>IFERROR(__xludf.DUMMYFUNCTION("""COMPUTED_VALUE"""),696.0)</f>
        <v>696</v>
      </c>
      <c r="T1759" s="5" t="str">
        <f>IFERROR(__xludf.DUMMYFUNCTION("""COMPUTED_VALUE"""),"The Day of the Jackal")</f>
        <v>The Day of the Jackal</v>
      </c>
      <c r="U1759" s="5" t="str">
        <f>IFERROR(__xludf.DUMMYFUNCTION("""COMPUTED_VALUE"""),"Crime")</f>
        <v>Crime</v>
      </c>
      <c r="V1759" s="5">
        <f>IFERROR(__xludf.DUMMYFUNCTION("""COMPUTED_VALUE"""),1.0)</f>
        <v>1</v>
      </c>
    </row>
    <row r="1760">
      <c r="J1760" s="5" t="str">
        <f>IFERROR(__xludf.DUMMYFUNCTION("""COMPUTED_VALUE"""),"587🤙🏼Loving Vincent🤙🏼Animation🤙🏼1")</f>
        <v>587🤙🏼Loving Vincent🤙🏼Animation🤙🏼1</v>
      </c>
      <c r="K1760" s="5">
        <f>IFERROR(__xludf.DUMMYFUNCTION("SPLiT(J1760, ""🤙🏼"",FALSE,FALSE)"),587.0)</f>
        <v>587</v>
      </c>
      <c r="L1760" s="5" t="str">
        <f>IFERROR(__xludf.DUMMYFUNCTION("""COMPUTED_VALUE"""),"Loving Vincent")</f>
        <v>Loving Vincent</v>
      </c>
      <c r="M1760" s="5" t="str">
        <f>IFERROR(__xludf.DUMMYFUNCTION("""COMPUTED_VALUE"""),"Animation")</f>
        <v>Animation</v>
      </c>
      <c r="N1760" s="5">
        <f>IFERROR(__xludf.DUMMYFUNCTION("""COMPUTED_VALUE"""),1.0)</f>
        <v>1</v>
      </c>
      <c r="S1760" s="5">
        <f>IFERROR(__xludf.DUMMYFUNCTION("""COMPUTED_VALUE"""),696.0)</f>
        <v>696</v>
      </c>
      <c r="T1760" s="5" t="str">
        <f>IFERROR(__xludf.DUMMYFUNCTION("""COMPUTED_VALUE"""),"The Day of the Jackal")</f>
        <v>The Day of the Jackal</v>
      </c>
      <c r="U1760" s="5" t="str">
        <f>IFERROR(__xludf.DUMMYFUNCTION("""COMPUTED_VALUE"""),"Drama")</f>
        <v>Drama</v>
      </c>
      <c r="V1760" s="5">
        <f>IFERROR(__xludf.DUMMYFUNCTION("""COMPUTED_VALUE"""),2.0)</f>
        <v>2</v>
      </c>
    </row>
    <row r="1761">
      <c r="J1761" s="5" t="str">
        <f>IFERROR(__xludf.DUMMYFUNCTION("""COMPUTED_VALUE"""),"587🤙🏼Loving Vincent🤙🏼Biography🤙🏼2")</f>
        <v>587🤙🏼Loving Vincent🤙🏼Biography🤙🏼2</v>
      </c>
      <c r="K1761" s="5">
        <f>IFERROR(__xludf.DUMMYFUNCTION("SPLiT(J1761, ""🤙🏼"",FALSE,FALSE)"),587.0)</f>
        <v>587</v>
      </c>
      <c r="L1761" s="5" t="str">
        <f>IFERROR(__xludf.DUMMYFUNCTION("""COMPUTED_VALUE"""),"Loving Vincent")</f>
        <v>Loving Vincent</v>
      </c>
      <c r="M1761" s="5" t="str">
        <f>IFERROR(__xludf.DUMMYFUNCTION("""COMPUTED_VALUE"""),"Biography")</f>
        <v>Biography</v>
      </c>
      <c r="N1761" s="5">
        <f>IFERROR(__xludf.DUMMYFUNCTION("""COMPUTED_VALUE"""),2.0)</f>
        <v>2</v>
      </c>
      <c r="S1761" s="5">
        <f>IFERROR(__xludf.DUMMYFUNCTION("""COMPUTED_VALUE"""),696.0)</f>
        <v>696</v>
      </c>
      <c r="T1761" s="5" t="str">
        <f>IFERROR(__xludf.DUMMYFUNCTION("""COMPUTED_VALUE"""),"The Day of the Jackal")</f>
        <v>The Day of the Jackal</v>
      </c>
      <c r="U1761" s="5" t="str">
        <f>IFERROR(__xludf.DUMMYFUNCTION("""COMPUTED_VALUE"""),"Thriller")</f>
        <v>Thriller</v>
      </c>
      <c r="V1761" s="5">
        <f>IFERROR(__xludf.DUMMYFUNCTION("""COMPUTED_VALUE"""),3.0)</f>
        <v>3</v>
      </c>
    </row>
    <row r="1762">
      <c r="J1762" s="5" t="str">
        <f>IFERROR(__xludf.DUMMYFUNCTION("""COMPUTED_VALUE"""),"587🤙🏼Loving Vincent🤙🏼Crime🤙🏼3")</f>
        <v>587🤙🏼Loving Vincent🤙🏼Crime🤙🏼3</v>
      </c>
      <c r="K1762" s="5">
        <f>IFERROR(__xludf.DUMMYFUNCTION("SPLiT(J1762, ""🤙🏼"",FALSE,FALSE)"),587.0)</f>
        <v>587</v>
      </c>
      <c r="L1762" s="5" t="str">
        <f>IFERROR(__xludf.DUMMYFUNCTION("""COMPUTED_VALUE"""),"Loving Vincent")</f>
        <v>Loving Vincent</v>
      </c>
      <c r="M1762" s="5" t="str">
        <f>IFERROR(__xludf.DUMMYFUNCTION("""COMPUTED_VALUE"""),"Crime")</f>
        <v>Crime</v>
      </c>
      <c r="N1762" s="5">
        <f>IFERROR(__xludf.DUMMYFUNCTION("""COMPUTED_VALUE"""),3.0)</f>
        <v>3</v>
      </c>
      <c r="S1762" s="5">
        <f>IFERROR(__xludf.DUMMYFUNCTION("""COMPUTED_VALUE"""),697.0)</f>
        <v>697</v>
      </c>
      <c r="T1762" s="5" t="str">
        <f>IFERROR(__xludf.DUMMYFUNCTION("""COMPUTED_VALUE"""),"Badlands")</f>
        <v>Badlands</v>
      </c>
      <c r="U1762" s="5" t="str">
        <f>IFERROR(__xludf.DUMMYFUNCTION("""COMPUTED_VALUE"""),"Action")</f>
        <v>Action</v>
      </c>
      <c r="V1762" s="5">
        <f>IFERROR(__xludf.DUMMYFUNCTION("""COMPUTED_VALUE"""),1.0)</f>
        <v>1</v>
      </c>
    </row>
    <row r="1763">
      <c r="J1763" s="5" t="str">
        <f>IFERROR(__xludf.DUMMYFUNCTION("""COMPUTED_VALUE"""),"588🤙🏼Pride🤙🏼Biography🤙🏼1")</f>
        <v>588🤙🏼Pride🤙🏼Biography🤙🏼1</v>
      </c>
      <c r="K1763" s="5">
        <f>IFERROR(__xludf.DUMMYFUNCTION("SPLiT(J1763, ""🤙🏼"",FALSE,FALSE)"),588.0)</f>
        <v>588</v>
      </c>
      <c r="L1763" s="5" t="str">
        <f>IFERROR(__xludf.DUMMYFUNCTION("""COMPUTED_VALUE"""),"Pride")</f>
        <v>Pride</v>
      </c>
      <c r="M1763" s="5" t="str">
        <f>IFERROR(__xludf.DUMMYFUNCTION("""COMPUTED_VALUE"""),"Biography")</f>
        <v>Biography</v>
      </c>
      <c r="N1763" s="5">
        <f>IFERROR(__xludf.DUMMYFUNCTION("""COMPUTED_VALUE"""),1.0)</f>
        <v>1</v>
      </c>
      <c r="S1763" s="5">
        <f>IFERROR(__xludf.DUMMYFUNCTION("""COMPUTED_VALUE"""),697.0)</f>
        <v>697</v>
      </c>
      <c r="T1763" s="5" t="str">
        <f>IFERROR(__xludf.DUMMYFUNCTION("""COMPUTED_VALUE"""),"Badlands")</f>
        <v>Badlands</v>
      </c>
      <c r="U1763" s="5" t="str">
        <f>IFERROR(__xludf.DUMMYFUNCTION("""COMPUTED_VALUE"""),"Crime")</f>
        <v>Crime</v>
      </c>
      <c r="V1763" s="5">
        <f>IFERROR(__xludf.DUMMYFUNCTION("""COMPUTED_VALUE"""),2.0)</f>
        <v>2</v>
      </c>
    </row>
    <row r="1764">
      <c r="J1764" s="5" t="str">
        <f>IFERROR(__xludf.DUMMYFUNCTION("""COMPUTED_VALUE"""),"588🤙🏼Pride🤙🏼Comedy🤙🏼2")</f>
        <v>588🤙🏼Pride🤙🏼Comedy🤙🏼2</v>
      </c>
      <c r="K1764" s="5">
        <f>IFERROR(__xludf.DUMMYFUNCTION("SPLiT(J1764, ""🤙🏼"",FALSE,FALSE)"),588.0)</f>
        <v>588</v>
      </c>
      <c r="L1764" s="5" t="str">
        <f>IFERROR(__xludf.DUMMYFUNCTION("""COMPUTED_VALUE"""),"Pride")</f>
        <v>Pride</v>
      </c>
      <c r="M1764" s="5" t="str">
        <f>IFERROR(__xludf.DUMMYFUNCTION("""COMPUTED_VALUE"""),"Comedy")</f>
        <v>Comedy</v>
      </c>
      <c r="N1764" s="5">
        <f>IFERROR(__xludf.DUMMYFUNCTION("""COMPUTED_VALUE"""),2.0)</f>
        <v>2</v>
      </c>
      <c r="S1764" s="5">
        <f>IFERROR(__xludf.DUMMYFUNCTION("""COMPUTED_VALUE"""),697.0)</f>
        <v>697</v>
      </c>
      <c r="T1764" s="5" t="str">
        <f>IFERROR(__xludf.DUMMYFUNCTION("""COMPUTED_VALUE"""),"Badlands")</f>
        <v>Badlands</v>
      </c>
      <c r="U1764" s="5" t="str">
        <f>IFERROR(__xludf.DUMMYFUNCTION("""COMPUTED_VALUE"""),"Drama")</f>
        <v>Drama</v>
      </c>
      <c r="V1764" s="5">
        <f>IFERROR(__xludf.DUMMYFUNCTION("""COMPUTED_VALUE"""),3.0)</f>
        <v>3</v>
      </c>
    </row>
    <row r="1765">
      <c r="J1765" s="5" t="str">
        <f>IFERROR(__xludf.DUMMYFUNCTION("""COMPUTED_VALUE"""),"588🤙🏼Pride🤙🏼Drama🤙🏼3")</f>
        <v>588🤙🏼Pride🤙🏼Drama🤙🏼3</v>
      </c>
      <c r="K1765" s="5">
        <f>IFERROR(__xludf.DUMMYFUNCTION("SPLiT(J1765, ""🤙🏼"",FALSE,FALSE)"),588.0)</f>
        <v>588</v>
      </c>
      <c r="L1765" s="5" t="str">
        <f>IFERROR(__xludf.DUMMYFUNCTION("""COMPUTED_VALUE"""),"Pride")</f>
        <v>Pride</v>
      </c>
      <c r="M1765" s="5" t="str">
        <f>IFERROR(__xludf.DUMMYFUNCTION("""COMPUTED_VALUE"""),"Drama")</f>
        <v>Drama</v>
      </c>
      <c r="N1765" s="5">
        <f>IFERROR(__xludf.DUMMYFUNCTION("""COMPUTED_VALUE"""),3.0)</f>
        <v>3</v>
      </c>
      <c r="S1765" s="5">
        <f>IFERROR(__xludf.DUMMYFUNCTION("""COMPUTED_VALUE"""),698.0)</f>
        <v>698</v>
      </c>
      <c r="T1765" s="5" t="str">
        <f>IFERROR(__xludf.DUMMYFUNCTION("""COMPUTED_VALUE"""),"Cabaret")</f>
        <v>Cabaret</v>
      </c>
      <c r="U1765" s="5" t="str">
        <f>IFERROR(__xludf.DUMMYFUNCTION("""COMPUTED_VALUE"""),"Drama")</f>
        <v>Drama</v>
      </c>
      <c r="V1765" s="5">
        <f>IFERROR(__xludf.DUMMYFUNCTION("""COMPUTED_VALUE"""),1.0)</f>
        <v>1</v>
      </c>
    </row>
    <row r="1766">
      <c r="J1766" s="5" t="str">
        <f>IFERROR(__xludf.DUMMYFUNCTION("""COMPUTED_VALUE"""),"589🤙🏼Le passé🤙🏼Drama🤙🏼1")</f>
        <v>589🤙🏼Le passé🤙🏼Drama🤙🏼1</v>
      </c>
      <c r="K1766" s="5">
        <f>IFERROR(__xludf.DUMMYFUNCTION("SPLiT(J1766, ""🤙🏼"",FALSE,FALSE)"),589.0)</f>
        <v>589</v>
      </c>
      <c r="L1766" s="5" t="str">
        <f>IFERROR(__xludf.DUMMYFUNCTION("""COMPUTED_VALUE"""),"Le passé")</f>
        <v>Le passé</v>
      </c>
      <c r="M1766" s="5" t="str">
        <f>IFERROR(__xludf.DUMMYFUNCTION("""COMPUTED_VALUE"""),"Drama")</f>
        <v>Drama</v>
      </c>
      <c r="N1766" s="5">
        <f>IFERROR(__xludf.DUMMYFUNCTION("""COMPUTED_VALUE"""),1.0)</f>
        <v>1</v>
      </c>
      <c r="S1766" s="5">
        <f>IFERROR(__xludf.DUMMYFUNCTION("""COMPUTED_VALUE"""),698.0)</f>
        <v>698</v>
      </c>
      <c r="T1766" s="5" t="str">
        <f>IFERROR(__xludf.DUMMYFUNCTION("""COMPUTED_VALUE"""),"Cabaret")</f>
        <v>Cabaret</v>
      </c>
      <c r="U1766" s="5" t="str">
        <f>IFERROR(__xludf.DUMMYFUNCTION("""COMPUTED_VALUE"""),"Music")</f>
        <v>Music</v>
      </c>
      <c r="V1766" s="5">
        <f>IFERROR(__xludf.DUMMYFUNCTION("""COMPUTED_VALUE"""),2.0)</f>
        <v>2</v>
      </c>
    </row>
    <row r="1767">
      <c r="J1767" s="5" t="str">
        <f>IFERROR(__xludf.DUMMYFUNCTION("""COMPUTED_VALUE"""),"589🤙🏼Le passé🤙🏼Mystery🤙🏼2")</f>
        <v>589🤙🏼Le passé🤙🏼Mystery🤙🏼2</v>
      </c>
      <c r="K1767" s="5">
        <f>IFERROR(__xludf.DUMMYFUNCTION("SPLiT(J1767, ""🤙🏼"",FALSE,FALSE)"),589.0)</f>
        <v>589</v>
      </c>
      <c r="L1767" s="5" t="str">
        <f>IFERROR(__xludf.DUMMYFUNCTION("""COMPUTED_VALUE"""),"Le passé")</f>
        <v>Le passé</v>
      </c>
      <c r="M1767" s="5" t="str">
        <f>IFERROR(__xludf.DUMMYFUNCTION("""COMPUTED_VALUE"""),"Mystery")</f>
        <v>Mystery</v>
      </c>
      <c r="N1767" s="5">
        <f>IFERROR(__xludf.DUMMYFUNCTION("""COMPUTED_VALUE"""),2.0)</f>
        <v>2</v>
      </c>
      <c r="S1767" s="5">
        <f>IFERROR(__xludf.DUMMYFUNCTION("""COMPUTED_VALUE"""),698.0)</f>
        <v>698</v>
      </c>
      <c r="T1767" s="5" t="str">
        <f>IFERROR(__xludf.DUMMYFUNCTION("""COMPUTED_VALUE"""),"Cabaret")</f>
        <v>Cabaret</v>
      </c>
      <c r="U1767" s="5" t="str">
        <f>IFERROR(__xludf.DUMMYFUNCTION("""COMPUTED_VALUE"""),"Musical")</f>
        <v>Musical</v>
      </c>
      <c r="V1767" s="5">
        <f>IFERROR(__xludf.DUMMYFUNCTION("""COMPUTED_VALUE"""),3.0)</f>
        <v>3</v>
      </c>
    </row>
    <row r="1768">
      <c r="J1768" s="5" t="str">
        <f>IFERROR(__xludf.DUMMYFUNCTION("""COMPUTED_VALUE"""),"589🤙🏼Le passé🤙🏼🤙🏼3")</f>
        <v>589🤙🏼Le passé🤙🏼🤙🏼3</v>
      </c>
      <c r="K1768" s="5">
        <f>IFERROR(__xludf.DUMMYFUNCTION("SPLiT(J1768, ""🤙🏼"",FALSE,FALSE)"),589.0)</f>
        <v>589</v>
      </c>
      <c r="L1768" s="5" t="str">
        <f>IFERROR(__xludf.DUMMYFUNCTION("""COMPUTED_VALUE"""),"Le passé")</f>
        <v>Le passé</v>
      </c>
      <c r="M1768" s="5"/>
      <c r="N1768" s="5">
        <f>IFERROR(__xludf.DUMMYFUNCTION("""COMPUTED_VALUE"""),3.0)</f>
        <v>3</v>
      </c>
      <c r="S1768" s="5">
        <f>IFERROR(__xludf.DUMMYFUNCTION("""COMPUTED_VALUE"""),699.0)</f>
        <v>699</v>
      </c>
      <c r="T1768" s="5" t="str">
        <f>IFERROR(__xludf.DUMMYFUNCTION("""COMPUTED_VALUE"""),"Willy Wonka &amp; the Chocolate Factory")</f>
        <v>Willy Wonka &amp; the Chocolate Factory</v>
      </c>
      <c r="U1768" s="5" t="str">
        <f>IFERROR(__xludf.DUMMYFUNCTION("""COMPUTED_VALUE"""),"Family")</f>
        <v>Family</v>
      </c>
      <c r="V1768" s="5">
        <f>IFERROR(__xludf.DUMMYFUNCTION("""COMPUTED_VALUE"""),1.0)</f>
        <v>1</v>
      </c>
    </row>
    <row r="1769">
      <c r="J1769" s="5" t="str">
        <f>IFERROR(__xludf.DUMMYFUNCTION("""COMPUTED_VALUE"""),"590🤙🏼La grande bellezza🤙🏼Drama🤙🏼1")</f>
        <v>590🤙🏼La grande bellezza🤙🏼Drama🤙🏼1</v>
      </c>
      <c r="K1769" s="5">
        <f>IFERROR(__xludf.DUMMYFUNCTION("SPLiT(J1769, ""🤙🏼"",FALSE,FALSE)"),590.0)</f>
        <v>590</v>
      </c>
      <c r="L1769" s="5" t="str">
        <f>IFERROR(__xludf.DUMMYFUNCTION("""COMPUTED_VALUE"""),"La grande bellezza")</f>
        <v>La grande bellezza</v>
      </c>
      <c r="M1769" s="5" t="str">
        <f>IFERROR(__xludf.DUMMYFUNCTION("""COMPUTED_VALUE"""),"Drama")</f>
        <v>Drama</v>
      </c>
      <c r="N1769" s="5">
        <f>IFERROR(__xludf.DUMMYFUNCTION("""COMPUTED_VALUE"""),1.0)</f>
        <v>1</v>
      </c>
      <c r="S1769" s="5">
        <f>IFERROR(__xludf.DUMMYFUNCTION("""COMPUTED_VALUE"""),699.0)</f>
        <v>699</v>
      </c>
      <c r="T1769" s="5" t="str">
        <f>IFERROR(__xludf.DUMMYFUNCTION("""COMPUTED_VALUE"""),"Willy Wonka &amp; the Chocolate Factory")</f>
        <v>Willy Wonka &amp; the Chocolate Factory</v>
      </c>
      <c r="U1769" s="5" t="str">
        <f>IFERROR(__xludf.DUMMYFUNCTION("""COMPUTED_VALUE"""),"Fantasy")</f>
        <v>Fantasy</v>
      </c>
      <c r="V1769" s="5">
        <f>IFERROR(__xludf.DUMMYFUNCTION("""COMPUTED_VALUE"""),2.0)</f>
        <v>2</v>
      </c>
    </row>
    <row r="1770">
      <c r="J1770" s="5" t="str">
        <f>IFERROR(__xludf.DUMMYFUNCTION("""COMPUTED_VALUE"""),"590🤙🏼La grande bellezza🤙🏼🤙🏼2")</f>
        <v>590🤙🏼La grande bellezza🤙🏼🤙🏼2</v>
      </c>
      <c r="K1770" s="5">
        <f>IFERROR(__xludf.DUMMYFUNCTION("SPLiT(J1770, ""🤙🏼"",FALSE,FALSE)"),590.0)</f>
        <v>590</v>
      </c>
      <c r="L1770" s="5" t="str">
        <f>IFERROR(__xludf.DUMMYFUNCTION("""COMPUTED_VALUE"""),"La grande bellezza")</f>
        <v>La grande bellezza</v>
      </c>
      <c r="M1770" s="5"/>
      <c r="N1770" s="5">
        <f>IFERROR(__xludf.DUMMYFUNCTION("""COMPUTED_VALUE"""),2.0)</f>
        <v>2</v>
      </c>
      <c r="S1770" s="5">
        <f>IFERROR(__xludf.DUMMYFUNCTION("""COMPUTED_VALUE"""),699.0)</f>
        <v>699</v>
      </c>
      <c r="T1770" s="5" t="str">
        <f>IFERROR(__xludf.DUMMYFUNCTION("""COMPUTED_VALUE"""),"Willy Wonka &amp; the Chocolate Factory")</f>
        <v>Willy Wonka &amp; the Chocolate Factory</v>
      </c>
      <c r="U1770" s="5" t="str">
        <f>IFERROR(__xludf.DUMMYFUNCTION("""COMPUTED_VALUE"""),"Musical")</f>
        <v>Musical</v>
      </c>
      <c r="V1770" s="5">
        <f>IFERROR(__xludf.DUMMYFUNCTION("""COMPUTED_VALUE"""),3.0)</f>
        <v>3</v>
      </c>
    </row>
    <row r="1771">
      <c r="J1771" s="5" t="str">
        <f>IFERROR(__xludf.DUMMYFUNCTION("""COMPUTED_VALUE"""),"590🤙🏼La grande bellezza🤙🏼🤙🏼3")</f>
        <v>590🤙🏼La grande bellezza🤙🏼🤙🏼3</v>
      </c>
      <c r="K1771" s="5">
        <f>IFERROR(__xludf.DUMMYFUNCTION("SPLiT(J1771, ""🤙🏼"",FALSE,FALSE)"),590.0)</f>
        <v>590</v>
      </c>
      <c r="L1771" s="5" t="str">
        <f>IFERROR(__xludf.DUMMYFUNCTION("""COMPUTED_VALUE"""),"La grande bellezza")</f>
        <v>La grande bellezza</v>
      </c>
      <c r="M1771" s="5"/>
      <c r="N1771" s="5">
        <f>IFERROR(__xludf.DUMMYFUNCTION("""COMPUTED_VALUE"""),3.0)</f>
        <v>3</v>
      </c>
      <c r="S1771" s="5">
        <f>IFERROR(__xludf.DUMMYFUNCTION("""COMPUTED_VALUE"""),700.0)</f>
        <v>700</v>
      </c>
      <c r="T1771" s="5" t="str">
        <f>IFERROR(__xludf.DUMMYFUNCTION("""COMPUTED_VALUE"""),"Midnight Cowboy")</f>
        <v>Midnight Cowboy</v>
      </c>
      <c r="U1771" s="5" t="str">
        <f>IFERROR(__xludf.DUMMYFUNCTION("""COMPUTED_VALUE"""),"Drama")</f>
        <v>Drama</v>
      </c>
      <c r="V1771" s="5">
        <f>IFERROR(__xludf.DUMMYFUNCTION("""COMPUTED_VALUE"""),1.0)</f>
        <v>1</v>
      </c>
    </row>
    <row r="1772">
      <c r="J1772" s="5" t="str">
        <f>IFERROR(__xludf.DUMMYFUNCTION("""COMPUTED_VALUE"""),"591🤙🏼The Lunchbox🤙🏼Drama🤙🏼1")</f>
        <v>591🤙🏼The Lunchbox🤙🏼Drama🤙🏼1</v>
      </c>
      <c r="K1772" s="5">
        <f>IFERROR(__xludf.DUMMYFUNCTION("SPLiT(J1772, ""🤙🏼"",FALSE,FALSE)"),591.0)</f>
        <v>591</v>
      </c>
      <c r="L1772" s="5" t="str">
        <f>IFERROR(__xludf.DUMMYFUNCTION("""COMPUTED_VALUE"""),"The Lunchbox")</f>
        <v>The Lunchbox</v>
      </c>
      <c r="M1772" s="5" t="str">
        <f>IFERROR(__xludf.DUMMYFUNCTION("""COMPUTED_VALUE"""),"Drama")</f>
        <v>Drama</v>
      </c>
      <c r="N1772" s="5">
        <f>IFERROR(__xludf.DUMMYFUNCTION("""COMPUTED_VALUE"""),1.0)</f>
        <v>1</v>
      </c>
      <c r="S1772" s="5">
        <f>IFERROR(__xludf.DUMMYFUNCTION("""COMPUTED_VALUE"""),701.0)</f>
        <v>701</v>
      </c>
      <c r="T1772" s="5" t="str">
        <f>IFERROR(__xludf.DUMMYFUNCTION("""COMPUTED_VALUE"""),"Wait Until Dark")</f>
        <v>Wait Until Dark</v>
      </c>
      <c r="U1772" s="5" t="str">
        <f>IFERROR(__xludf.DUMMYFUNCTION("""COMPUTED_VALUE"""),"Thriller")</f>
        <v>Thriller</v>
      </c>
      <c r="V1772" s="5">
        <f>IFERROR(__xludf.DUMMYFUNCTION("""COMPUTED_VALUE"""),1.0)</f>
        <v>1</v>
      </c>
    </row>
    <row r="1773">
      <c r="J1773" s="5" t="str">
        <f>IFERROR(__xludf.DUMMYFUNCTION("""COMPUTED_VALUE"""),"591🤙🏼The Lunchbox🤙🏼Romance🤙🏼2")</f>
        <v>591🤙🏼The Lunchbox🤙🏼Romance🤙🏼2</v>
      </c>
      <c r="K1773" s="5">
        <f>IFERROR(__xludf.DUMMYFUNCTION("SPLiT(J1773, ""🤙🏼"",FALSE,FALSE)"),591.0)</f>
        <v>591</v>
      </c>
      <c r="L1773" s="5" t="str">
        <f>IFERROR(__xludf.DUMMYFUNCTION("""COMPUTED_VALUE"""),"The Lunchbox")</f>
        <v>The Lunchbox</v>
      </c>
      <c r="M1773" s="5" t="str">
        <f>IFERROR(__xludf.DUMMYFUNCTION("""COMPUTED_VALUE"""),"Romance")</f>
        <v>Romance</v>
      </c>
      <c r="N1773" s="5">
        <f>IFERROR(__xludf.DUMMYFUNCTION("""COMPUTED_VALUE"""),2.0)</f>
        <v>2</v>
      </c>
      <c r="S1773" s="5">
        <f>IFERROR(__xludf.DUMMYFUNCTION("""COMPUTED_VALUE"""),702.0)</f>
        <v>702</v>
      </c>
      <c r="T1773" s="5" t="str">
        <f>IFERROR(__xludf.DUMMYFUNCTION("""COMPUTED_VALUE"""),"Guess Who's Coming to Dinner")</f>
        <v>Guess Who's Coming to Dinner</v>
      </c>
      <c r="U1773" s="5" t="str">
        <f>IFERROR(__xludf.DUMMYFUNCTION("""COMPUTED_VALUE"""),"Comedy")</f>
        <v>Comedy</v>
      </c>
      <c r="V1773" s="5">
        <f>IFERROR(__xludf.DUMMYFUNCTION("""COMPUTED_VALUE"""),1.0)</f>
        <v>1</v>
      </c>
    </row>
    <row r="1774">
      <c r="J1774" s="5" t="str">
        <f>IFERROR(__xludf.DUMMYFUNCTION("""COMPUTED_VALUE"""),"591🤙🏼The Lunchbox🤙🏼🤙🏼3")</f>
        <v>591🤙🏼The Lunchbox🤙🏼🤙🏼3</v>
      </c>
      <c r="K1774" s="5">
        <f>IFERROR(__xludf.DUMMYFUNCTION("SPLiT(J1774, ""🤙🏼"",FALSE,FALSE)"),591.0)</f>
        <v>591</v>
      </c>
      <c r="L1774" s="5" t="str">
        <f>IFERROR(__xludf.DUMMYFUNCTION("""COMPUTED_VALUE"""),"The Lunchbox")</f>
        <v>The Lunchbox</v>
      </c>
      <c r="M1774" s="5"/>
      <c r="N1774" s="5">
        <f>IFERROR(__xludf.DUMMYFUNCTION("""COMPUTED_VALUE"""),3.0)</f>
        <v>3</v>
      </c>
      <c r="S1774" s="5">
        <f>IFERROR(__xludf.DUMMYFUNCTION("""COMPUTED_VALUE"""),702.0)</f>
        <v>702</v>
      </c>
      <c r="T1774" s="5" t="str">
        <f>IFERROR(__xludf.DUMMYFUNCTION("""COMPUTED_VALUE"""),"Guess Who's Coming to Dinner")</f>
        <v>Guess Who's Coming to Dinner</v>
      </c>
      <c r="U1774" s="5" t="str">
        <f>IFERROR(__xludf.DUMMYFUNCTION("""COMPUTED_VALUE"""),"Drama")</f>
        <v>Drama</v>
      </c>
      <c r="V1774" s="5">
        <f>IFERROR(__xludf.DUMMYFUNCTION("""COMPUTED_VALUE"""),2.0)</f>
        <v>2</v>
      </c>
    </row>
    <row r="1775">
      <c r="J1775" s="5" t="str">
        <f>IFERROR(__xludf.DUMMYFUNCTION("""COMPUTED_VALUE"""),"592🤙🏼Vicky Donor🤙🏼Comedy🤙🏼1")</f>
        <v>592🤙🏼Vicky Donor🤙🏼Comedy🤙🏼1</v>
      </c>
      <c r="K1775" s="5">
        <f>IFERROR(__xludf.DUMMYFUNCTION("SPLiT(J1775, ""🤙🏼"",FALSE,FALSE)"),592.0)</f>
        <v>592</v>
      </c>
      <c r="L1775" s="5" t="str">
        <f>IFERROR(__xludf.DUMMYFUNCTION("""COMPUTED_VALUE"""),"Vicky Donor")</f>
        <v>Vicky Donor</v>
      </c>
      <c r="M1775" s="5" t="str">
        <f>IFERROR(__xludf.DUMMYFUNCTION("""COMPUTED_VALUE"""),"Comedy")</f>
        <v>Comedy</v>
      </c>
      <c r="N1775" s="5">
        <f>IFERROR(__xludf.DUMMYFUNCTION("""COMPUTED_VALUE"""),1.0)</f>
        <v>1</v>
      </c>
      <c r="S1775" s="5">
        <f>IFERROR(__xludf.DUMMYFUNCTION("""COMPUTED_VALUE"""),703.0)</f>
        <v>703</v>
      </c>
      <c r="T1775" s="5" t="str">
        <f>IFERROR(__xludf.DUMMYFUNCTION("""COMPUTED_VALUE"""),"Bonnie and Clyde")</f>
        <v>Bonnie and Clyde</v>
      </c>
      <c r="U1775" s="5" t="str">
        <f>IFERROR(__xludf.DUMMYFUNCTION("""COMPUTED_VALUE"""),"Action")</f>
        <v>Action</v>
      </c>
      <c r="V1775" s="5">
        <f>IFERROR(__xludf.DUMMYFUNCTION("""COMPUTED_VALUE"""),1.0)</f>
        <v>1</v>
      </c>
    </row>
    <row r="1776">
      <c r="J1776" s="5" t="str">
        <f>IFERROR(__xludf.DUMMYFUNCTION("""COMPUTED_VALUE"""),"592🤙🏼Vicky Donor🤙🏼Romance🤙🏼2")</f>
        <v>592🤙🏼Vicky Donor🤙🏼Romance🤙🏼2</v>
      </c>
      <c r="K1776" s="5">
        <f>IFERROR(__xludf.DUMMYFUNCTION("SPLiT(J1776, ""🤙🏼"",FALSE,FALSE)"),592.0)</f>
        <v>592</v>
      </c>
      <c r="L1776" s="5" t="str">
        <f>IFERROR(__xludf.DUMMYFUNCTION("""COMPUTED_VALUE"""),"Vicky Donor")</f>
        <v>Vicky Donor</v>
      </c>
      <c r="M1776" s="5" t="str">
        <f>IFERROR(__xludf.DUMMYFUNCTION("""COMPUTED_VALUE"""),"Romance")</f>
        <v>Romance</v>
      </c>
      <c r="N1776" s="5">
        <f>IFERROR(__xludf.DUMMYFUNCTION("""COMPUTED_VALUE"""),2.0)</f>
        <v>2</v>
      </c>
      <c r="S1776" s="5">
        <f>IFERROR(__xludf.DUMMYFUNCTION("""COMPUTED_VALUE"""),703.0)</f>
        <v>703</v>
      </c>
      <c r="T1776" s="5" t="str">
        <f>IFERROR(__xludf.DUMMYFUNCTION("""COMPUTED_VALUE"""),"Bonnie and Clyde")</f>
        <v>Bonnie and Clyde</v>
      </c>
      <c r="U1776" s="5" t="str">
        <f>IFERROR(__xludf.DUMMYFUNCTION("""COMPUTED_VALUE"""),"Biography")</f>
        <v>Biography</v>
      </c>
      <c r="V1776" s="5">
        <f>IFERROR(__xludf.DUMMYFUNCTION("""COMPUTED_VALUE"""),2.0)</f>
        <v>2</v>
      </c>
    </row>
    <row r="1777">
      <c r="J1777" s="5" t="str">
        <f>IFERROR(__xludf.DUMMYFUNCTION("""COMPUTED_VALUE"""),"592🤙🏼Vicky Donor🤙🏼🤙🏼3")</f>
        <v>592🤙🏼Vicky Donor🤙🏼🤙🏼3</v>
      </c>
      <c r="K1777" s="5">
        <f>IFERROR(__xludf.DUMMYFUNCTION("SPLiT(J1777, ""🤙🏼"",FALSE,FALSE)"),592.0)</f>
        <v>592</v>
      </c>
      <c r="L1777" s="5" t="str">
        <f>IFERROR(__xludf.DUMMYFUNCTION("""COMPUTED_VALUE"""),"Vicky Donor")</f>
        <v>Vicky Donor</v>
      </c>
      <c r="M1777" s="5"/>
      <c r="N1777" s="5">
        <f>IFERROR(__xludf.DUMMYFUNCTION("""COMPUTED_VALUE"""),3.0)</f>
        <v>3</v>
      </c>
      <c r="S1777" s="5">
        <f>IFERROR(__xludf.DUMMYFUNCTION("""COMPUTED_VALUE"""),703.0)</f>
        <v>703</v>
      </c>
      <c r="T1777" s="5" t="str">
        <f>IFERROR(__xludf.DUMMYFUNCTION("""COMPUTED_VALUE"""),"Bonnie and Clyde")</f>
        <v>Bonnie and Clyde</v>
      </c>
      <c r="U1777" s="5" t="str">
        <f>IFERROR(__xludf.DUMMYFUNCTION("""COMPUTED_VALUE"""),"Crime")</f>
        <v>Crime</v>
      </c>
      <c r="V1777" s="5">
        <f>IFERROR(__xludf.DUMMYFUNCTION("""COMPUTED_VALUE"""),3.0)</f>
        <v>3</v>
      </c>
    </row>
    <row r="1778">
      <c r="J1778" s="5" t="str">
        <f>IFERROR(__xludf.DUMMYFUNCTION("""COMPUTED_VALUE"""),"593🤙🏼Big Hero 6🤙🏼Animation🤙🏼1")</f>
        <v>593🤙🏼Big Hero 6🤙🏼Animation🤙🏼1</v>
      </c>
      <c r="K1778" s="5">
        <f>IFERROR(__xludf.DUMMYFUNCTION("SPLiT(J1778, ""🤙🏼"",FALSE,FALSE)"),593.0)</f>
        <v>593</v>
      </c>
      <c r="L1778" s="5" t="str">
        <f>IFERROR(__xludf.DUMMYFUNCTION("""COMPUTED_VALUE"""),"Big Hero 6")</f>
        <v>Big Hero 6</v>
      </c>
      <c r="M1778" s="5" t="str">
        <f>IFERROR(__xludf.DUMMYFUNCTION("""COMPUTED_VALUE"""),"Animation")</f>
        <v>Animation</v>
      </c>
      <c r="N1778" s="5">
        <f>IFERROR(__xludf.DUMMYFUNCTION("""COMPUTED_VALUE"""),1.0)</f>
        <v>1</v>
      </c>
      <c r="S1778" s="5">
        <f>IFERROR(__xludf.DUMMYFUNCTION("""COMPUTED_VALUE"""),704.0)</f>
        <v>704</v>
      </c>
      <c r="T1778" s="5" t="str">
        <f>IFERROR(__xludf.DUMMYFUNCTION("""COMPUTED_VALUE"""),"My Fair Lady")</f>
        <v>My Fair Lady</v>
      </c>
      <c r="U1778" s="5" t="str">
        <f>IFERROR(__xludf.DUMMYFUNCTION("""COMPUTED_VALUE"""),"Drama")</f>
        <v>Drama</v>
      </c>
      <c r="V1778" s="5">
        <f>IFERROR(__xludf.DUMMYFUNCTION("""COMPUTED_VALUE"""),1.0)</f>
        <v>1</v>
      </c>
    </row>
    <row r="1779">
      <c r="J1779" s="5" t="str">
        <f>IFERROR(__xludf.DUMMYFUNCTION("""COMPUTED_VALUE"""),"593🤙🏼Big Hero 6🤙🏼Action🤙🏼2")</f>
        <v>593🤙🏼Big Hero 6🤙🏼Action🤙🏼2</v>
      </c>
      <c r="K1779" s="5">
        <f>IFERROR(__xludf.DUMMYFUNCTION("SPLiT(J1779, ""🤙🏼"",FALSE,FALSE)"),593.0)</f>
        <v>593</v>
      </c>
      <c r="L1779" s="5" t="str">
        <f>IFERROR(__xludf.DUMMYFUNCTION("""COMPUTED_VALUE"""),"Big Hero 6")</f>
        <v>Big Hero 6</v>
      </c>
      <c r="M1779" s="5" t="str">
        <f>IFERROR(__xludf.DUMMYFUNCTION("""COMPUTED_VALUE"""),"Action")</f>
        <v>Action</v>
      </c>
      <c r="N1779" s="5">
        <f>IFERROR(__xludf.DUMMYFUNCTION("""COMPUTED_VALUE"""),2.0)</f>
        <v>2</v>
      </c>
      <c r="S1779" s="5">
        <f>IFERROR(__xludf.DUMMYFUNCTION("""COMPUTED_VALUE"""),704.0)</f>
        <v>704</v>
      </c>
      <c r="T1779" s="5" t="str">
        <f>IFERROR(__xludf.DUMMYFUNCTION("""COMPUTED_VALUE"""),"My Fair Lady")</f>
        <v>My Fair Lady</v>
      </c>
      <c r="U1779" s="5" t="str">
        <f>IFERROR(__xludf.DUMMYFUNCTION("""COMPUTED_VALUE"""),"Family")</f>
        <v>Family</v>
      </c>
      <c r="V1779" s="5">
        <f>IFERROR(__xludf.DUMMYFUNCTION("""COMPUTED_VALUE"""),2.0)</f>
        <v>2</v>
      </c>
    </row>
    <row r="1780">
      <c r="J1780" s="5" t="str">
        <f>IFERROR(__xludf.DUMMYFUNCTION("""COMPUTED_VALUE"""),"593🤙🏼Big Hero 6🤙🏼Adventure🤙🏼3")</f>
        <v>593🤙🏼Big Hero 6🤙🏼Adventure🤙🏼3</v>
      </c>
      <c r="K1780" s="5">
        <f>IFERROR(__xludf.DUMMYFUNCTION("SPLiT(J1780, ""🤙🏼"",FALSE,FALSE)"),593.0)</f>
        <v>593</v>
      </c>
      <c r="L1780" s="5" t="str">
        <f>IFERROR(__xludf.DUMMYFUNCTION("""COMPUTED_VALUE"""),"Big Hero 6")</f>
        <v>Big Hero 6</v>
      </c>
      <c r="M1780" s="5" t="str">
        <f>IFERROR(__xludf.DUMMYFUNCTION("""COMPUTED_VALUE"""),"Adventure")</f>
        <v>Adventure</v>
      </c>
      <c r="N1780" s="5">
        <f>IFERROR(__xludf.DUMMYFUNCTION("""COMPUTED_VALUE"""),3.0)</f>
        <v>3</v>
      </c>
      <c r="S1780" s="5">
        <f>IFERROR(__xludf.DUMMYFUNCTION("""COMPUTED_VALUE"""),704.0)</f>
        <v>704</v>
      </c>
      <c r="T1780" s="5" t="str">
        <f>IFERROR(__xludf.DUMMYFUNCTION("""COMPUTED_VALUE"""),"My Fair Lady")</f>
        <v>My Fair Lady</v>
      </c>
      <c r="U1780" s="5" t="str">
        <f>IFERROR(__xludf.DUMMYFUNCTION("""COMPUTED_VALUE"""),"Musical")</f>
        <v>Musical</v>
      </c>
      <c r="V1780" s="5">
        <f>IFERROR(__xludf.DUMMYFUNCTION("""COMPUTED_VALUE"""),3.0)</f>
        <v>3</v>
      </c>
    </row>
    <row r="1781">
      <c r="J1781" s="5" t="str">
        <f>IFERROR(__xludf.DUMMYFUNCTION("""COMPUTED_VALUE"""),"594🤙🏼About Time🤙🏼Comedy🤙🏼1")</f>
        <v>594🤙🏼About Time🤙🏼Comedy🤙🏼1</v>
      </c>
      <c r="K1781" s="5">
        <f>IFERROR(__xludf.DUMMYFUNCTION("SPLiT(J1781, ""🤙🏼"",FALSE,FALSE)"),594.0)</f>
        <v>594</v>
      </c>
      <c r="L1781" s="5" t="str">
        <f>IFERROR(__xludf.DUMMYFUNCTION("""COMPUTED_VALUE"""),"About Time")</f>
        <v>About Time</v>
      </c>
      <c r="M1781" s="5" t="str">
        <f>IFERROR(__xludf.DUMMYFUNCTION("""COMPUTED_VALUE"""),"Comedy")</f>
        <v>Comedy</v>
      </c>
      <c r="N1781" s="5">
        <f>IFERROR(__xludf.DUMMYFUNCTION("""COMPUTED_VALUE"""),1.0)</f>
        <v>1</v>
      </c>
      <c r="S1781" s="5">
        <f>IFERROR(__xludf.DUMMYFUNCTION("""COMPUTED_VALUE"""),705.0)</f>
        <v>705</v>
      </c>
      <c r="T1781" s="5" t="str">
        <f>IFERROR(__xludf.DUMMYFUNCTION("""COMPUTED_VALUE"""),"Mary Poppins")</f>
        <v>Mary Poppins</v>
      </c>
      <c r="U1781" s="5" t="str">
        <f>IFERROR(__xludf.DUMMYFUNCTION("""COMPUTED_VALUE"""),"Comedy")</f>
        <v>Comedy</v>
      </c>
      <c r="V1781" s="5">
        <f>IFERROR(__xludf.DUMMYFUNCTION("""COMPUTED_VALUE"""),1.0)</f>
        <v>1</v>
      </c>
    </row>
    <row r="1782">
      <c r="J1782" s="5" t="str">
        <f>IFERROR(__xludf.DUMMYFUNCTION("""COMPUTED_VALUE"""),"594🤙🏼About Time🤙🏼Drama🤙🏼2")</f>
        <v>594🤙🏼About Time🤙🏼Drama🤙🏼2</v>
      </c>
      <c r="K1782" s="5">
        <f>IFERROR(__xludf.DUMMYFUNCTION("SPLiT(J1782, ""🤙🏼"",FALSE,FALSE)"),594.0)</f>
        <v>594</v>
      </c>
      <c r="L1782" s="5" t="str">
        <f>IFERROR(__xludf.DUMMYFUNCTION("""COMPUTED_VALUE"""),"About Time")</f>
        <v>About Time</v>
      </c>
      <c r="M1782" s="5" t="str">
        <f>IFERROR(__xludf.DUMMYFUNCTION("""COMPUTED_VALUE"""),"Drama")</f>
        <v>Drama</v>
      </c>
      <c r="N1782" s="5">
        <f>IFERROR(__xludf.DUMMYFUNCTION("""COMPUTED_VALUE"""),2.0)</f>
        <v>2</v>
      </c>
      <c r="S1782" s="5">
        <f>IFERROR(__xludf.DUMMYFUNCTION("""COMPUTED_VALUE"""),705.0)</f>
        <v>705</v>
      </c>
      <c r="T1782" s="5" t="str">
        <f>IFERROR(__xludf.DUMMYFUNCTION("""COMPUTED_VALUE"""),"Mary Poppins")</f>
        <v>Mary Poppins</v>
      </c>
      <c r="U1782" s="5" t="str">
        <f>IFERROR(__xludf.DUMMYFUNCTION("""COMPUTED_VALUE"""),"Family")</f>
        <v>Family</v>
      </c>
      <c r="V1782" s="5">
        <f>IFERROR(__xludf.DUMMYFUNCTION("""COMPUTED_VALUE"""),2.0)</f>
        <v>2</v>
      </c>
    </row>
    <row r="1783">
      <c r="J1783" s="5" t="str">
        <f>IFERROR(__xludf.DUMMYFUNCTION("""COMPUTED_VALUE"""),"594🤙🏼About Time🤙🏼Fantasy🤙🏼3")</f>
        <v>594🤙🏼About Time🤙🏼Fantasy🤙🏼3</v>
      </c>
      <c r="K1783" s="5">
        <f>IFERROR(__xludf.DUMMYFUNCTION("SPLiT(J1783, ""🤙🏼"",FALSE,FALSE)"),594.0)</f>
        <v>594</v>
      </c>
      <c r="L1783" s="5" t="str">
        <f>IFERROR(__xludf.DUMMYFUNCTION("""COMPUTED_VALUE"""),"About Time")</f>
        <v>About Time</v>
      </c>
      <c r="M1783" s="5" t="str">
        <f>IFERROR(__xludf.DUMMYFUNCTION("""COMPUTED_VALUE"""),"Fantasy")</f>
        <v>Fantasy</v>
      </c>
      <c r="N1783" s="5">
        <f>IFERROR(__xludf.DUMMYFUNCTION("""COMPUTED_VALUE"""),3.0)</f>
        <v>3</v>
      </c>
      <c r="S1783" s="5">
        <f>IFERROR(__xludf.DUMMYFUNCTION("""COMPUTED_VALUE"""),705.0)</f>
        <v>705</v>
      </c>
      <c r="T1783" s="5" t="str">
        <f>IFERROR(__xludf.DUMMYFUNCTION("""COMPUTED_VALUE"""),"Mary Poppins")</f>
        <v>Mary Poppins</v>
      </c>
      <c r="U1783" s="5" t="str">
        <f>IFERROR(__xludf.DUMMYFUNCTION("""COMPUTED_VALUE"""),"Fantasy")</f>
        <v>Fantasy</v>
      </c>
      <c r="V1783" s="5">
        <f>IFERROR(__xludf.DUMMYFUNCTION("""COMPUTED_VALUE"""),3.0)</f>
        <v>3</v>
      </c>
    </row>
    <row r="1784">
      <c r="J1784" s="5" t="str">
        <f>IFERROR(__xludf.DUMMYFUNCTION("""COMPUTED_VALUE"""),"595🤙🏼English Vinglish🤙🏼Comedy🤙🏼1")</f>
        <v>595🤙🏼English Vinglish🤙🏼Comedy🤙🏼1</v>
      </c>
      <c r="K1784" s="5">
        <f>IFERROR(__xludf.DUMMYFUNCTION("SPLiT(J1784, ""🤙🏼"",FALSE,FALSE)"),595.0)</f>
        <v>595</v>
      </c>
      <c r="L1784" s="5" t="str">
        <f>IFERROR(__xludf.DUMMYFUNCTION("""COMPUTED_VALUE"""),"English Vinglish")</f>
        <v>English Vinglish</v>
      </c>
      <c r="M1784" s="5" t="str">
        <f>IFERROR(__xludf.DUMMYFUNCTION("""COMPUTED_VALUE"""),"Comedy")</f>
        <v>Comedy</v>
      </c>
      <c r="N1784" s="5">
        <f>IFERROR(__xludf.DUMMYFUNCTION("""COMPUTED_VALUE"""),1.0)</f>
        <v>1</v>
      </c>
      <c r="S1784" s="5">
        <f>IFERROR(__xludf.DUMMYFUNCTION("""COMPUTED_VALUE"""),706.0)</f>
        <v>706</v>
      </c>
      <c r="T1784" s="5" t="str">
        <f>IFERROR(__xludf.DUMMYFUNCTION("""COMPUTED_VALUE"""),"The Longest Day")</f>
        <v>The Longest Day</v>
      </c>
      <c r="U1784" s="5" t="str">
        <f>IFERROR(__xludf.DUMMYFUNCTION("""COMPUTED_VALUE"""),"Action")</f>
        <v>Action</v>
      </c>
      <c r="V1784" s="5">
        <f>IFERROR(__xludf.DUMMYFUNCTION("""COMPUTED_VALUE"""),1.0)</f>
        <v>1</v>
      </c>
    </row>
    <row r="1785">
      <c r="J1785" s="5" t="str">
        <f>IFERROR(__xludf.DUMMYFUNCTION("""COMPUTED_VALUE"""),"595🤙🏼English Vinglish🤙🏼Drama🤙🏼2")</f>
        <v>595🤙🏼English Vinglish🤙🏼Drama🤙🏼2</v>
      </c>
      <c r="K1785" s="5">
        <f>IFERROR(__xludf.DUMMYFUNCTION("SPLiT(J1785, ""🤙🏼"",FALSE,FALSE)"),595.0)</f>
        <v>595</v>
      </c>
      <c r="L1785" s="5" t="str">
        <f>IFERROR(__xludf.DUMMYFUNCTION("""COMPUTED_VALUE"""),"English Vinglish")</f>
        <v>English Vinglish</v>
      </c>
      <c r="M1785" s="5" t="str">
        <f>IFERROR(__xludf.DUMMYFUNCTION("""COMPUTED_VALUE"""),"Drama")</f>
        <v>Drama</v>
      </c>
      <c r="N1785" s="5">
        <f>IFERROR(__xludf.DUMMYFUNCTION("""COMPUTED_VALUE"""),2.0)</f>
        <v>2</v>
      </c>
      <c r="S1785" s="5">
        <f>IFERROR(__xludf.DUMMYFUNCTION("""COMPUTED_VALUE"""),706.0)</f>
        <v>706</v>
      </c>
      <c r="T1785" s="5" t="str">
        <f>IFERROR(__xludf.DUMMYFUNCTION("""COMPUTED_VALUE"""),"The Longest Day")</f>
        <v>The Longest Day</v>
      </c>
      <c r="U1785" s="5" t="str">
        <f>IFERROR(__xludf.DUMMYFUNCTION("""COMPUTED_VALUE"""),"Drama")</f>
        <v>Drama</v>
      </c>
      <c r="V1785" s="5">
        <f>IFERROR(__xludf.DUMMYFUNCTION("""COMPUTED_VALUE"""),2.0)</f>
        <v>2</v>
      </c>
    </row>
    <row r="1786">
      <c r="J1786" s="5" t="str">
        <f>IFERROR(__xludf.DUMMYFUNCTION("""COMPUTED_VALUE"""),"595🤙🏼English Vinglish🤙🏼Family🤙🏼3")</f>
        <v>595🤙🏼English Vinglish🤙🏼Family🤙🏼3</v>
      </c>
      <c r="K1786" s="5">
        <f>IFERROR(__xludf.DUMMYFUNCTION("SPLiT(J1786, ""🤙🏼"",FALSE,FALSE)"),595.0)</f>
        <v>595</v>
      </c>
      <c r="L1786" s="5" t="str">
        <f>IFERROR(__xludf.DUMMYFUNCTION("""COMPUTED_VALUE"""),"English Vinglish")</f>
        <v>English Vinglish</v>
      </c>
      <c r="M1786" s="5" t="str">
        <f>IFERROR(__xludf.DUMMYFUNCTION("""COMPUTED_VALUE"""),"Family")</f>
        <v>Family</v>
      </c>
      <c r="N1786" s="5">
        <f>IFERROR(__xludf.DUMMYFUNCTION("""COMPUTED_VALUE"""),3.0)</f>
        <v>3</v>
      </c>
      <c r="S1786" s="5">
        <f>IFERROR(__xludf.DUMMYFUNCTION("""COMPUTED_VALUE"""),706.0)</f>
        <v>706</v>
      </c>
      <c r="T1786" s="5" t="str">
        <f>IFERROR(__xludf.DUMMYFUNCTION("""COMPUTED_VALUE"""),"The Longest Day")</f>
        <v>The Longest Day</v>
      </c>
      <c r="U1786" s="5" t="str">
        <f>IFERROR(__xludf.DUMMYFUNCTION("""COMPUTED_VALUE"""),"History")</f>
        <v>History</v>
      </c>
      <c r="V1786" s="5">
        <f>IFERROR(__xludf.DUMMYFUNCTION("""COMPUTED_VALUE"""),3.0)</f>
        <v>3</v>
      </c>
    </row>
    <row r="1787">
      <c r="J1787" s="5" t="str">
        <f>IFERROR(__xludf.DUMMYFUNCTION("""COMPUTED_VALUE"""),"596🤙🏼Kaze tachinu🤙🏼Animation🤙🏼1")</f>
        <v>596🤙🏼Kaze tachinu🤙🏼Animation🤙🏼1</v>
      </c>
      <c r="K1787" s="5">
        <f>IFERROR(__xludf.DUMMYFUNCTION("SPLiT(J1787, ""🤙🏼"",FALSE,FALSE)"),596.0)</f>
        <v>596</v>
      </c>
      <c r="L1787" s="5" t="str">
        <f>IFERROR(__xludf.DUMMYFUNCTION("""COMPUTED_VALUE"""),"Kaze tachinu")</f>
        <v>Kaze tachinu</v>
      </c>
      <c r="M1787" s="5" t="str">
        <f>IFERROR(__xludf.DUMMYFUNCTION("""COMPUTED_VALUE"""),"Animation")</f>
        <v>Animation</v>
      </c>
      <c r="N1787" s="5">
        <f>IFERROR(__xludf.DUMMYFUNCTION("""COMPUTED_VALUE"""),1.0)</f>
        <v>1</v>
      </c>
      <c r="S1787" s="5">
        <f>IFERROR(__xludf.DUMMYFUNCTION("""COMPUTED_VALUE"""),707.0)</f>
        <v>707</v>
      </c>
      <c r="T1787" s="5" t="str">
        <f>IFERROR(__xludf.DUMMYFUNCTION("""COMPUTED_VALUE"""),"Jules et Jim")</f>
        <v>Jules et Jim</v>
      </c>
      <c r="U1787" s="5" t="str">
        <f>IFERROR(__xludf.DUMMYFUNCTION("""COMPUTED_VALUE"""),"Drama")</f>
        <v>Drama</v>
      </c>
      <c r="V1787" s="5">
        <f>IFERROR(__xludf.DUMMYFUNCTION("""COMPUTED_VALUE"""),1.0)</f>
        <v>1</v>
      </c>
    </row>
    <row r="1788">
      <c r="J1788" s="5" t="str">
        <f>IFERROR(__xludf.DUMMYFUNCTION("""COMPUTED_VALUE"""),"596🤙🏼Kaze tachinu🤙🏼Biography🤙🏼2")</f>
        <v>596🤙🏼Kaze tachinu🤙🏼Biography🤙🏼2</v>
      </c>
      <c r="K1788" s="5">
        <f>IFERROR(__xludf.DUMMYFUNCTION("SPLiT(J1788, ""🤙🏼"",FALSE,FALSE)"),596.0)</f>
        <v>596</v>
      </c>
      <c r="L1788" s="5" t="str">
        <f>IFERROR(__xludf.DUMMYFUNCTION("""COMPUTED_VALUE"""),"Kaze tachinu")</f>
        <v>Kaze tachinu</v>
      </c>
      <c r="M1788" s="5" t="str">
        <f>IFERROR(__xludf.DUMMYFUNCTION("""COMPUTED_VALUE"""),"Biography")</f>
        <v>Biography</v>
      </c>
      <c r="N1788" s="5">
        <f>IFERROR(__xludf.DUMMYFUNCTION("""COMPUTED_VALUE"""),2.0)</f>
        <v>2</v>
      </c>
      <c r="S1788" s="5">
        <f>IFERROR(__xludf.DUMMYFUNCTION("""COMPUTED_VALUE"""),707.0)</f>
        <v>707</v>
      </c>
      <c r="T1788" s="5" t="str">
        <f>IFERROR(__xludf.DUMMYFUNCTION("""COMPUTED_VALUE"""),"Jules et Jim")</f>
        <v>Jules et Jim</v>
      </c>
      <c r="U1788" s="5" t="str">
        <f>IFERROR(__xludf.DUMMYFUNCTION("""COMPUTED_VALUE"""),"Romance")</f>
        <v>Romance</v>
      </c>
      <c r="V1788" s="5">
        <f>IFERROR(__xludf.DUMMYFUNCTION("""COMPUTED_VALUE"""),2.0)</f>
        <v>2</v>
      </c>
    </row>
    <row r="1789">
      <c r="J1789" s="5" t="str">
        <f>IFERROR(__xludf.DUMMYFUNCTION("""COMPUTED_VALUE"""),"596🤙🏼Kaze tachinu🤙🏼Drama🤙🏼3")</f>
        <v>596🤙🏼Kaze tachinu🤙🏼Drama🤙🏼3</v>
      </c>
      <c r="K1789" s="5">
        <f>IFERROR(__xludf.DUMMYFUNCTION("SPLiT(J1789, ""🤙🏼"",FALSE,FALSE)"),596.0)</f>
        <v>596</v>
      </c>
      <c r="L1789" s="5" t="str">
        <f>IFERROR(__xludf.DUMMYFUNCTION("""COMPUTED_VALUE"""),"Kaze tachinu")</f>
        <v>Kaze tachinu</v>
      </c>
      <c r="M1789" s="5" t="str">
        <f>IFERROR(__xludf.DUMMYFUNCTION("""COMPUTED_VALUE"""),"Drama")</f>
        <v>Drama</v>
      </c>
      <c r="N1789" s="5">
        <f>IFERROR(__xludf.DUMMYFUNCTION("""COMPUTED_VALUE"""),3.0)</f>
        <v>3</v>
      </c>
      <c r="S1789" s="5">
        <f>IFERROR(__xludf.DUMMYFUNCTION("""COMPUTED_VALUE"""),708.0)</f>
        <v>708</v>
      </c>
      <c r="T1789" s="5" t="str">
        <f>IFERROR(__xludf.DUMMYFUNCTION("""COMPUTED_VALUE"""),"The Innocents")</f>
        <v>The Innocents</v>
      </c>
      <c r="U1789" s="5" t="str">
        <f>IFERROR(__xludf.DUMMYFUNCTION("""COMPUTED_VALUE"""),"Horror")</f>
        <v>Horror</v>
      </c>
      <c r="V1789" s="5">
        <f>IFERROR(__xludf.DUMMYFUNCTION("""COMPUTED_VALUE"""),1.0)</f>
        <v>1</v>
      </c>
    </row>
    <row r="1790">
      <c r="J1790" s="5" t="str">
        <f>IFERROR(__xludf.DUMMYFUNCTION("""COMPUTED_VALUE"""),"597🤙🏼Toy Story 4🤙🏼Animation🤙🏼1")</f>
        <v>597🤙🏼Toy Story 4🤙🏼Animation🤙🏼1</v>
      </c>
      <c r="K1790" s="5">
        <f>IFERROR(__xludf.DUMMYFUNCTION("SPLiT(J1790, ""🤙🏼"",FALSE,FALSE)"),597.0)</f>
        <v>597</v>
      </c>
      <c r="L1790" s="5" t="str">
        <f>IFERROR(__xludf.DUMMYFUNCTION("""COMPUTED_VALUE"""),"Toy Story 4")</f>
        <v>Toy Story 4</v>
      </c>
      <c r="M1790" s="5" t="str">
        <f>IFERROR(__xludf.DUMMYFUNCTION("""COMPUTED_VALUE"""),"Animation")</f>
        <v>Animation</v>
      </c>
      <c r="N1790" s="5">
        <f>IFERROR(__xludf.DUMMYFUNCTION("""COMPUTED_VALUE"""),1.0)</f>
        <v>1</v>
      </c>
      <c r="S1790" s="5">
        <f>IFERROR(__xludf.DUMMYFUNCTION("""COMPUTED_VALUE"""),709.0)</f>
        <v>709</v>
      </c>
      <c r="T1790" s="5" t="str">
        <f>IFERROR(__xludf.DUMMYFUNCTION("""COMPUTED_VALUE"""),"À bout de souffle")</f>
        <v>À bout de souffle</v>
      </c>
      <c r="U1790" s="5" t="str">
        <f>IFERROR(__xludf.DUMMYFUNCTION("""COMPUTED_VALUE"""),"Crime")</f>
        <v>Crime</v>
      </c>
      <c r="V1790" s="5">
        <f>IFERROR(__xludf.DUMMYFUNCTION("""COMPUTED_VALUE"""),1.0)</f>
        <v>1</v>
      </c>
    </row>
    <row r="1791">
      <c r="J1791" s="5" t="str">
        <f>IFERROR(__xludf.DUMMYFUNCTION("""COMPUTED_VALUE"""),"597🤙🏼Toy Story 4🤙🏼Adventure🤙🏼2")</f>
        <v>597🤙🏼Toy Story 4🤙🏼Adventure🤙🏼2</v>
      </c>
      <c r="K1791" s="5">
        <f>IFERROR(__xludf.DUMMYFUNCTION("SPLiT(J1791, ""🤙🏼"",FALSE,FALSE)"),597.0)</f>
        <v>597</v>
      </c>
      <c r="L1791" s="5" t="str">
        <f>IFERROR(__xludf.DUMMYFUNCTION("""COMPUTED_VALUE"""),"Toy Story 4")</f>
        <v>Toy Story 4</v>
      </c>
      <c r="M1791" s="5" t="str">
        <f>IFERROR(__xludf.DUMMYFUNCTION("""COMPUTED_VALUE"""),"Adventure")</f>
        <v>Adventure</v>
      </c>
      <c r="N1791" s="5">
        <f>IFERROR(__xludf.DUMMYFUNCTION("""COMPUTED_VALUE"""),2.0)</f>
        <v>2</v>
      </c>
      <c r="S1791" s="5">
        <f>IFERROR(__xludf.DUMMYFUNCTION("""COMPUTED_VALUE"""),709.0)</f>
        <v>709</v>
      </c>
      <c r="T1791" s="5" t="str">
        <f>IFERROR(__xludf.DUMMYFUNCTION("""COMPUTED_VALUE"""),"À bout de souffle")</f>
        <v>À bout de souffle</v>
      </c>
      <c r="U1791" s="5" t="str">
        <f>IFERROR(__xludf.DUMMYFUNCTION("""COMPUTED_VALUE"""),"Drama")</f>
        <v>Drama</v>
      </c>
      <c r="V1791" s="5">
        <f>IFERROR(__xludf.DUMMYFUNCTION("""COMPUTED_VALUE"""),2.0)</f>
        <v>2</v>
      </c>
    </row>
    <row r="1792">
      <c r="J1792" s="5" t="str">
        <f>IFERROR(__xludf.DUMMYFUNCTION("""COMPUTED_VALUE"""),"597🤙🏼Toy Story 4🤙🏼Comedy🤙🏼3")</f>
        <v>597🤙🏼Toy Story 4🤙🏼Comedy🤙🏼3</v>
      </c>
      <c r="K1792" s="5">
        <f>IFERROR(__xludf.DUMMYFUNCTION("SPLiT(J1792, ""🤙🏼"",FALSE,FALSE)"),597.0)</f>
        <v>597</v>
      </c>
      <c r="L1792" s="5" t="str">
        <f>IFERROR(__xludf.DUMMYFUNCTION("""COMPUTED_VALUE"""),"Toy Story 4")</f>
        <v>Toy Story 4</v>
      </c>
      <c r="M1792" s="5" t="str">
        <f>IFERROR(__xludf.DUMMYFUNCTION("""COMPUTED_VALUE"""),"Comedy")</f>
        <v>Comedy</v>
      </c>
      <c r="N1792" s="5">
        <f>IFERROR(__xludf.DUMMYFUNCTION("""COMPUTED_VALUE"""),3.0)</f>
        <v>3</v>
      </c>
      <c r="S1792" s="5">
        <f>IFERROR(__xludf.DUMMYFUNCTION("""COMPUTED_VALUE"""),710.0)</f>
        <v>710</v>
      </c>
      <c r="T1792" s="5" t="str">
        <f>IFERROR(__xludf.DUMMYFUNCTION("""COMPUTED_VALUE"""),"Red River")</f>
        <v>Red River</v>
      </c>
      <c r="U1792" s="5" t="str">
        <f>IFERROR(__xludf.DUMMYFUNCTION("""COMPUTED_VALUE"""),"Action")</f>
        <v>Action</v>
      </c>
      <c r="V1792" s="5">
        <f>IFERROR(__xludf.DUMMYFUNCTION("""COMPUTED_VALUE"""),1.0)</f>
        <v>1</v>
      </c>
    </row>
    <row r="1793">
      <c r="J1793" s="5" t="str">
        <f>IFERROR(__xludf.DUMMYFUNCTION("""COMPUTED_VALUE"""),"598🤙🏼La migliore offerta🤙🏼Crime🤙🏼1")</f>
        <v>598🤙🏼La migliore offerta🤙🏼Crime🤙🏼1</v>
      </c>
      <c r="K1793" s="5">
        <f>IFERROR(__xludf.DUMMYFUNCTION("SPLiT(J1793, ""🤙🏼"",FALSE,FALSE)"),598.0)</f>
        <v>598</v>
      </c>
      <c r="L1793" s="5" t="str">
        <f>IFERROR(__xludf.DUMMYFUNCTION("""COMPUTED_VALUE"""),"La migliore offerta")</f>
        <v>La migliore offerta</v>
      </c>
      <c r="M1793" s="5" t="str">
        <f>IFERROR(__xludf.DUMMYFUNCTION("""COMPUTED_VALUE"""),"Crime")</f>
        <v>Crime</v>
      </c>
      <c r="N1793" s="5">
        <f>IFERROR(__xludf.DUMMYFUNCTION("""COMPUTED_VALUE"""),1.0)</f>
        <v>1</v>
      </c>
      <c r="S1793" s="5">
        <f>IFERROR(__xludf.DUMMYFUNCTION("""COMPUTED_VALUE"""),710.0)</f>
        <v>710</v>
      </c>
      <c r="T1793" s="5" t="str">
        <f>IFERROR(__xludf.DUMMYFUNCTION("""COMPUTED_VALUE"""),"Red River")</f>
        <v>Red River</v>
      </c>
      <c r="U1793" s="5" t="str">
        <f>IFERROR(__xludf.DUMMYFUNCTION("""COMPUTED_VALUE"""),"Adventure")</f>
        <v>Adventure</v>
      </c>
      <c r="V1793" s="5">
        <f>IFERROR(__xludf.DUMMYFUNCTION("""COMPUTED_VALUE"""),2.0)</f>
        <v>2</v>
      </c>
    </row>
    <row r="1794">
      <c r="J1794" s="5" t="str">
        <f>IFERROR(__xludf.DUMMYFUNCTION("""COMPUTED_VALUE"""),"598🤙🏼La migliore offerta🤙🏼Drama🤙🏼2")</f>
        <v>598🤙🏼La migliore offerta🤙🏼Drama🤙🏼2</v>
      </c>
      <c r="K1794" s="5">
        <f>IFERROR(__xludf.DUMMYFUNCTION("SPLiT(J1794, ""🤙🏼"",FALSE,FALSE)"),598.0)</f>
        <v>598</v>
      </c>
      <c r="L1794" s="5" t="str">
        <f>IFERROR(__xludf.DUMMYFUNCTION("""COMPUTED_VALUE"""),"La migliore offerta")</f>
        <v>La migliore offerta</v>
      </c>
      <c r="M1794" s="5" t="str">
        <f>IFERROR(__xludf.DUMMYFUNCTION("""COMPUTED_VALUE"""),"Drama")</f>
        <v>Drama</v>
      </c>
      <c r="N1794" s="5">
        <f>IFERROR(__xludf.DUMMYFUNCTION("""COMPUTED_VALUE"""),2.0)</f>
        <v>2</v>
      </c>
      <c r="S1794" s="5">
        <f>IFERROR(__xludf.DUMMYFUNCTION("""COMPUTED_VALUE"""),710.0)</f>
        <v>710</v>
      </c>
      <c r="T1794" s="5" t="str">
        <f>IFERROR(__xludf.DUMMYFUNCTION("""COMPUTED_VALUE"""),"Red River")</f>
        <v>Red River</v>
      </c>
      <c r="U1794" s="5" t="str">
        <f>IFERROR(__xludf.DUMMYFUNCTION("""COMPUTED_VALUE"""),"Drama")</f>
        <v>Drama</v>
      </c>
      <c r="V1794" s="5">
        <f>IFERROR(__xludf.DUMMYFUNCTION("""COMPUTED_VALUE"""),3.0)</f>
        <v>3</v>
      </c>
    </row>
    <row r="1795">
      <c r="J1795" s="5" t="str">
        <f>IFERROR(__xludf.DUMMYFUNCTION("""COMPUTED_VALUE"""),"598🤙🏼La migliore offerta🤙🏼Mystery🤙🏼3")</f>
        <v>598🤙🏼La migliore offerta🤙🏼Mystery🤙🏼3</v>
      </c>
      <c r="K1795" s="5">
        <f>IFERROR(__xludf.DUMMYFUNCTION("SPLiT(J1795, ""🤙🏼"",FALSE,FALSE)"),598.0)</f>
        <v>598</v>
      </c>
      <c r="L1795" s="5" t="str">
        <f>IFERROR(__xludf.DUMMYFUNCTION("""COMPUTED_VALUE"""),"La migliore offerta")</f>
        <v>La migliore offerta</v>
      </c>
      <c r="M1795" s="5" t="str">
        <f>IFERROR(__xludf.DUMMYFUNCTION("""COMPUTED_VALUE"""),"Mystery")</f>
        <v>Mystery</v>
      </c>
      <c r="N1795" s="5">
        <f>IFERROR(__xludf.DUMMYFUNCTION("""COMPUTED_VALUE"""),3.0)</f>
        <v>3</v>
      </c>
      <c r="S1795" s="5">
        <f>IFERROR(__xludf.DUMMYFUNCTION("""COMPUTED_VALUE"""),711.0)</f>
        <v>711</v>
      </c>
      <c r="T1795" s="5" t="str">
        <f>IFERROR(__xludf.DUMMYFUNCTION("""COMPUTED_VALUE"""),"Key Largo")</f>
        <v>Key Largo</v>
      </c>
      <c r="U1795" s="5" t="str">
        <f>IFERROR(__xludf.DUMMYFUNCTION("""COMPUTED_VALUE"""),"Action")</f>
        <v>Action</v>
      </c>
      <c r="V1795" s="5">
        <f>IFERROR(__xludf.DUMMYFUNCTION("""COMPUTED_VALUE"""),1.0)</f>
        <v>1</v>
      </c>
    </row>
    <row r="1796">
      <c r="J1796" s="5" t="str">
        <f>IFERROR(__xludf.DUMMYFUNCTION("""COMPUTED_VALUE"""),"599🤙🏼Moonrise Kingdom🤙🏼Comedy🤙🏼1")</f>
        <v>599🤙🏼Moonrise Kingdom🤙🏼Comedy🤙🏼1</v>
      </c>
      <c r="K1796" s="5">
        <f>IFERROR(__xludf.DUMMYFUNCTION("SPLiT(J1796, ""🤙🏼"",FALSE,FALSE)"),599.0)</f>
        <v>599</v>
      </c>
      <c r="L1796" s="5" t="str">
        <f>IFERROR(__xludf.DUMMYFUNCTION("""COMPUTED_VALUE"""),"Moonrise Kingdom")</f>
        <v>Moonrise Kingdom</v>
      </c>
      <c r="M1796" s="5" t="str">
        <f>IFERROR(__xludf.DUMMYFUNCTION("""COMPUTED_VALUE"""),"Comedy")</f>
        <v>Comedy</v>
      </c>
      <c r="N1796" s="5">
        <f>IFERROR(__xludf.DUMMYFUNCTION("""COMPUTED_VALUE"""),1.0)</f>
        <v>1</v>
      </c>
      <c r="S1796" s="5">
        <f>IFERROR(__xludf.DUMMYFUNCTION("""COMPUTED_VALUE"""),711.0)</f>
        <v>711</v>
      </c>
      <c r="T1796" s="5" t="str">
        <f>IFERROR(__xludf.DUMMYFUNCTION("""COMPUTED_VALUE"""),"Key Largo")</f>
        <v>Key Largo</v>
      </c>
      <c r="U1796" s="5" t="str">
        <f>IFERROR(__xludf.DUMMYFUNCTION("""COMPUTED_VALUE"""),"Crime")</f>
        <v>Crime</v>
      </c>
      <c r="V1796" s="5">
        <f>IFERROR(__xludf.DUMMYFUNCTION("""COMPUTED_VALUE"""),2.0)</f>
        <v>2</v>
      </c>
    </row>
    <row r="1797">
      <c r="J1797" s="5" t="str">
        <f>IFERROR(__xludf.DUMMYFUNCTION("""COMPUTED_VALUE"""),"599🤙🏼Moonrise Kingdom🤙🏼Drama🤙🏼2")</f>
        <v>599🤙🏼Moonrise Kingdom🤙🏼Drama🤙🏼2</v>
      </c>
      <c r="K1797" s="5">
        <f>IFERROR(__xludf.DUMMYFUNCTION("SPLiT(J1797, ""🤙🏼"",FALSE,FALSE)"),599.0)</f>
        <v>599</v>
      </c>
      <c r="L1797" s="5" t="str">
        <f>IFERROR(__xludf.DUMMYFUNCTION("""COMPUTED_VALUE"""),"Moonrise Kingdom")</f>
        <v>Moonrise Kingdom</v>
      </c>
      <c r="M1797" s="5" t="str">
        <f>IFERROR(__xludf.DUMMYFUNCTION("""COMPUTED_VALUE"""),"Drama")</f>
        <v>Drama</v>
      </c>
      <c r="N1797" s="5">
        <f>IFERROR(__xludf.DUMMYFUNCTION("""COMPUTED_VALUE"""),2.0)</f>
        <v>2</v>
      </c>
      <c r="S1797" s="5">
        <f>IFERROR(__xludf.DUMMYFUNCTION("""COMPUTED_VALUE"""),711.0)</f>
        <v>711</v>
      </c>
      <c r="T1797" s="5" t="str">
        <f>IFERROR(__xludf.DUMMYFUNCTION("""COMPUTED_VALUE"""),"Key Largo")</f>
        <v>Key Largo</v>
      </c>
      <c r="U1797" s="5" t="str">
        <f>IFERROR(__xludf.DUMMYFUNCTION("""COMPUTED_VALUE"""),"Drama")</f>
        <v>Drama</v>
      </c>
      <c r="V1797" s="5">
        <f>IFERROR(__xludf.DUMMYFUNCTION("""COMPUTED_VALUE"""),3.0)</f>
        <v>3</v>
      </c>
    </row>
    <row r="1798">
      <c r="J1798" s="5" t="str">
        <f>IFERROR(__xludf.DUMMYFUNCTION("""COMPUTED_VALUE"""),"599🤙🏼Moonrise Kingdom🤙🏼Romance🤙🏼3")</f>
        <v>599🤙🏼Moonrise Kingdom🤙🏼Romance🤙🏼3</v>
      </c>
      <c r="K1798" s="5">
        <f>IFERROR(__xludf.DUMMYFUNCTION("SPLiT(J1798, ""🤙🏼"",FALSE,FALSE)"),599.0)</f>
        <v>599</v>
      </c>
      <c r="L1798" s="5" t="str">
        <f>IFERROR(__xludf.DUMMYFUNCTION("""COMPUTED_VALUE"""),"Moonrise Kingdom")</f>
        <v>Moonrise Kingdom</v>
      </c>
      <c r="M1798" s="5" t="str">
        <f>IFERROR(__xludf.DUMMYFUNCTION("""COMPUTED_VALUE"""),"Romance")</f>
        <v>Romance</v>
      </c>
      <c r="N1798" s="5">
        <f>IFERROR(__xludf.DUMMYFUNCTION("""COMPUTED_VALUE"""),3.0)</f>
        <v>3</v>
      </c>
      <c r="S1798" s="5">
        <f>IFERROR(__xludf.DUMMYFUNCTION("""COMPUTED_VALUE"""),712.0)</f>
        <v>712</v>
      </c>
      <c r="T1798" s="5" t="str">
        <f>IFERROR(__xludf.DUMMYFUNCTION("""COMPUTED_VALUE"""),"To Have and Have Not")</f>
        <v>To Have and Have Not</v>
      </c>
      <c r="U1798" s="5" t="str">
        <f>IFERROR(__xludf.DUMMYFUNCTION("""COMPUTED_VALUE"""),"Adventure")</f>
        <v>Adventure</v>
      </c>
      <c r="V1798" s="5">
        <f>IFERROR(__xludf.DUMMYFUNCTION("""COMPUTED_VALUE"""),1.0)</f>
        <v>1</v>
      </c>
    </row>
    <row r="1799">
      <c r="J1799" s="5" t="str">
        <f>IFERROR(__xludf.DUMMYFUNCTION("""COMPUTED_VALUE"""),"600🤙🏼How to Train Your Dragon 2🤙🏼Animation🤙🏼1")</f>
        <v>600🤙🏼How to Train Your Dragon 2🤙🏼Animation🤙🏼1</v>
      </c>
      <c r="K1799" s="5">
        <f>IFERROR(__xludf.DUMMYFUNCTION("SPLiT(J1799, ""🤙🏼"",FALSE,FALSE)"),600.0)</f>
        <v>600</v>
      </c>
      <c r="L1799" s="5" t="str">
        <f>IFERROR(__xludf.DUMMYFUNCTION("""COMPUTED_VALUE"""),"How to Train Your Dragon 2")</f>
        <v>How to Train Your Dragon 2</v>
      </c>
      <c r="M1799" s="5" t="str">
        <f>IFERROR(__xludf.DUMMYFUNCTION("""COMPUTED_VALUE"""),"Animation")</f>
        <v>Animation</v>
      </c>
      <c r="N1799" s="5">
        <f>IFERROR(__xludf.DUMMYFUNCTION("""COMPUTED_VALUE"""),1.0)</f>
        <v>1</v>
      </c>
      <c r="S1799" s="5">
        <f>IFERROR(__xludf.DUMMYFUNCTION("""COMPUTED_VALUE"""),712.0)</f>
        <v>712</v>
      </c>
      <c r="T1799" s="5" t="str">
        <f>IFERROR(__xludf.DUMMYFUNCTION("""COMPUTED_VALUE"""),"To Have and Have Not")</f>
        <v>To Have and Have Not</v>
      </c>
      <c r="U1799" s="5" t="str">
        <f>IFERROR(__xludf.DUMMYFUNCTION("""COMPUTED_VALUE"""),"Comedy")</f>
        <v>Comedy</v>
      </c>
      <c r="V1799" s="5">
        <f>IFERROR(__xludf.DUMMYFUNCTION("""COMPUTED_VALUE"""),2.0)</f>
        <v>2</v>
      </c>
    </row>
    <row r="1800">
      <c r="J1800" s="5" t="str">
        <f>IFERROR(__xludf.DUMMYFUNCTION("""COMPUTED_VALUE"""),"600🤙🏼How to Train Your Dragon 2🤙🏼Action🤙🏼2")</f>
        <v>600🤙🏼How to Train Your Dragon 2🤙🏼Action🤙🏼2</v>
      </c>
      <c r="K1800" s="5">
        <f>IFERROR(__xludf.DUMMYFUNCTION("SPLiT(J1800, ""🤙🏼"",FALSE,FALSE)"),600.0)</f>
        <v>600</v>
      </c>
      <c r="L1800" s="5" t="str">
        <f>IFERROR(__xludf.DUMMYFUNCTION("""COMPUTED_VALUE"""),"How to Train Your Dragon 2")</f>
        <v>How to Train Your Dragon 2</v>
      </c>
      <c r="M1800" s="5" t="str">
        <f>IFERROR(__xludf.DUMMYFUNCTION("""COMPUTED_VALUE"""),"Action")</f>
        <v>Action</v>
      </c>
      <c r="N1800" s="5">
        <f>IFERROR(__xludf.DUMMYFUNCTION("""COMPUTED_VALUE"""),2.0)</f>
        <v>2</v>
      </c>
      <c r="S1800" s="5">
        <f>IFERROR(__xludf.DUMMYFUNCTION("""COMPUTED_VALUE"""),712.0)</f>
        <v>712</v>
      </c>
      <c r="T1800" s="5" t="str">
        <f>IFERROR(__xludf.DUMMYFUNCTION("""COMPUTED_VALUE"""),"To Have and Have Not")</f>
        <v>To Have and Have Not</v>
      </c>
      <c r="U1800" s="5" t="str">
        <f>IFERROR(__xludf.DUMMYFUNCTION("""COMPUTED_VALUE"""),"Film-Noir")</f>
        <v>Film-Noir</v>
      </c>
      <c r="V1800" s="5">
        <f>IFERROR(__xludf.DUMMYFUNCTION("""COMPUTED_VALUE"""),3.0)</f>
        <v>3</v>
      </c>
    </row>
    <row r="1801">
      <c r="J1801" s="5" t="str">
        <f>IFERROR(__xludf.DUMMYFUNCTION("""COMPUTED_VALUE"""),"600🤙🏼How to Train Your Dragon 2🤙🏼Adventure🤙🏼3")</f>
        <v>600🤙🏼How to Train Your Dragon 2🤙🏼Adventure🤙🏼3</v>
      </c>
      <c r="K1801" s="5">
        <f>IFERROR(__xludf.DUMMYFUNCTION("SPLiT(J1801, ""🤙🏼"",FALSE,FALSE)"),600.0)</f>
        <v>600</v>
      </c>
      <c r="L1801" s="5" t="str">
        <f>IFERROR(__xludf.DUMMYFUNCTION("""COMPUTED_VALUE"""),"How to Train Your Dragon 2")</f>
        <v>How to Train Your Dragon 2</v>
      </c>
      <c r="M1801" s="5" t="str">
        <f>IFERROR(__xludf.DUMMYFUNCTION("""COMPUTED_VALUE"""),"Adventure")</f>
        <v>Adventure</v>
      </c>
      <c r="N1801" s="5">
        <f>IFERROR(__xludf.DUMMYFUNCTION("""COMPUTED_VALUE"""),3.0)</f>
        <v>3</v>
      </c>
      <c r="S1801" s="5">
        <f>IFERROR(__xludf.DUMMYFUNCTION("""COMPUTED_VALUE"""),713.0)</f>
        <v>713</v>
      </c>
      <c r="T1801" s="5" t="str">
        <f>IFERROR(__xludf.DUMMYFUNCTION("""COMPUTED_VALUE"""),"Shadow of a Doubt")</f>
        <v>Shadow of a Doubt</v>
      </c>
      <c r="U1801" s="5" t="str">
        <f>IFERROR(__xludf.DUMMYFUNCTION("""COMPUTED_VALUE"""),"Film-Noir")</f>
        <v>Film-Noir</v>
      </c>
      <c r="V1801" s="5">
        <f>IFERROR(__xludf.DUMMYFUNCTION("""COMPUTED_VALUE"""),1.0)</f>
        <v>1</v>
      </c>
    </row>
    <row r="1802">
      <c r="J1802" s="5" t="str">
        <f>IFERROR(__xludf.DUMMYFUNCTION("""COMPUTED_VALUE"""),"601🤙🏼The Big Short🤙🏼Biography🤙🏼1")</f>
        <v>601🤙🏼The Big Short🤙🏼Biography🤙🏼1</v>
      </c>
      <c r="K1802" s="5">
        <f>IFERROR(__xludf.DUMMYFUNCTION("SPLiT(J1802, ""🤙🏼"",FALSE,FALSE)"),601.0)</f>
        <v>601</v>
      </c>
      <c r="L1802" s="5" t="str">
        <f>IFERROR(__xludf.DUMMYFUNCTION("""COMPUTED_VALUE"""),"The Big Short")</f>
        <v>The Big Short</v>
      </c>
      <c r="M1802" s="5" t="str">
        <f>IFERROR(__xludf.DUMMYFUNCTION("""COMPUTED_VALUE"""),"Biography")</f>
        <v>Biography</v>
      </c>
      <c r="N1802" s="5">
        <f>IFERROR(__xludf.DUMMYFUNCTION("""COMPUTED_VALUE"""),1.0)</f>
        <v>1</v>
      </c>
      <c r="S1802" s="5">
        <f>IFERROR(__xludf.DUMMYFUNCTION("""COMPUTED_VALUE"""),713.0)</f>
        <v>713</v>
      </c>
      <c r="T1802" s="5" t="str">
        <f>IFERROR(__xludf.DUMMYFUNCTION("""COMPUTED_VALUE"""),"Shadow of a Doubt")</f>
        <v>Shadow of a Doubt</v>
      </c>
      <c r="U1802" s="5" t="str">
        <f>IFERROR(__xludf.DUMMYFUNCTION("""COMPUTED_VALUE"""),"Thriller")</f>
        <v>Thriller</v>
      </c>
      <c r="V1802" s="5">
        <f>IFERROR(__xludf.DUMMYFUNCTION("""COMPUTED_VALUE"""),2.0)</f>
        <v>2</v>
      </c>
    </row>
    <row r="1803">
      <c r="J1803" s="5" t="str">
        <f>IFERROR(__xludf.DUMMYFUNCTION("""COMPUTED_VALUE"""),"601🤙🏼The Big Short🤙🏼Comedy🤙🏼2")</f>
        <v>601🤙🏼The Big Short🤙🏼Comedy🤙🏼2</v>
      </c>
      <c r="K1803" s="5">
        <f>IFERROR(__xludf.DUMMYFUNCTION("SPLiT(J1803, ""🤙🏼"",FALSE,FALSE)"),601.0)</f>
        <v>601</v>
      </c>
      <c r="L1803" s="5" t="str">
        <f>IFERROR(__xludf.DUMMYFUNCTION("""COMPUTED_VALUE"""),"The Big Short")</f>
        <v>The Big Short</v>
      </c>
      <c r="M1803" s="5" t="str">
        <f>IFERROR(__xludf.DUMMYFUNCTION("""COMPUTED_VALUE"""),"Comedy")</f>
        <v>Comedy</v>
      </c>
      <c r="N1803" s="5">
        <f>IFERROR(__xludf.DUMMYFUNCTION("""COMPUTED_VALUE"""),2.0)</f>
        <v>2</v>
      </c>
      <c r="S1803" s="5">
        <f>IFERROR(__xludf.DUMMYFUNCTION("""COMPUTED_VALUE"""),714.0)</f>
        <v>714</v>
      </c>
      <c r="T1803" s="5" t="str">
        <f>IFERROR(__xludf.DUMMYFUNCTION("""COMPUTED_VALUE"""),"Stagecoach")</f>
        <v>Stagecoach</v>
      </c>
      <c r="U1803" s="5" t="str">
        <f>IFERROR(__xludf.DUMMYFUNCTION("""COMPUTED_VALUE"""),"Adventure")</f>
        <v>Adventure</v>
      </c>
      <c r="V1803" s="5">
        <f>IFERROR(__xludf.DUMMYFUNCTION("""COMPUTED_VALUE"""),1.0)</f>
        <v>1</v>
      </c>
    </row>
    <row r="1804">
      <c r="J1804" s="5" t="str">
        <f>IFERROR(__xludf.DUMMYFUNCTION("""COMPUTED_VALUE"""),"601🤙🏼The Big Short🤙🏼Drama🤙🏼3")</f>
        <v>601🤙🏼The Big Short🤙🏼Drama🤙🏼3</v>
      </c>
      <c r="K1804" s="5">
        <f>IFERROR(__xludf.DUMMYFUNCTION("SPLiT(J1804, ""🤙🏼"",FALSE,FALSE)"),601.0)</f>
        <v>601</v>
      </c>
      <c r="L1804" s="5" t="str">
        <f>IFERROR(__xludf.DUMMYFUNCTION("""COMPUTED_VALUE"""),"The Big Short")</f>
        <v>The Big Short</v>
      </c>
      <c r="M1804" s="5" t="str">
        <f>IFERROR(__xludf.DUMMYFUNCTION("""COMPUTED_VALUE"""),"Drama")</f>
        <v>Drama</v>
      </c>
      <c r="N1804" s="5">
        <f>IFERROR(__xludf.DUMMYFUNCTION("""COMPUTED_VALUE"""),3.0)</f>
        <v>3</v>
      </c>
      <c r="S1804" s="5">
        <f>IFERROR(__xludf.DUMMYFUNCTION("""COMPUTED_VALUE"""),714.0)</f>
        <v>714</v>
      </c>
      <c r="T1804" s="5" t="str">
        <f>IFERROR(__xludf.DUMMYFUNCTION("""COMPUTED_VALUE"""),"Stagecoach")</f>
        <v>Stagecoach</v>
      </c>
      <c r="U1804" s="5" t="str">
        <f>IFERROR(__xludf.DUMMYFUNCTION("""COMPUTED_VALUE"""),"Drama")</f>
        <v>Drama</v>
      </c>
      <c r="V1804" s="5">
        <f>IFERROR(__xludf.DUMMYFUNCTION("""COMPUTED_VALUE"""),2.0)</f>
        <v>2</v>
      </c>
    </row>
    <row r="1805">
      <c r="J1805" s="5" t="str">
        <f>IFERROR(__xludf.DUMMYFUNCTION("""COMPUTED_VALUE"""),"602🤙🏼Kokuhaku🤙🏼Drama🤙🏼1")</f>
        <v>602🤙🏼Kokuhaku🤙🏼Drama🤙🏼1</v>
      </c>
      <c r="K1805" s="5">
        <f>IFERROR(__xludf.DUMMYFUNCTION("SPLiT(J1805, ""🤙🏼"",FALSE,FALSE)"),602.0)</f>
        <v>602</v>
      </c>
      <c r="L1805" s="5" t="str">
        <f>IFERROR(__xludf.DUMMYFUNCTION("""COMPUTED_VALUE"""),"Kokuhaku")</f>
        <v>Kokuhaku</v>
      </c>
      <c r="M1805" s="5" t="str">
        <f>IFERROR(__xludf.DUMMYFUNCTION("""COMPUTED_VALUE"""),"Drama")</f>
        <v>Drama</v>
      </c>
      <c r="N1805" s="5">
        <f>IFERROR(__xludf.DUMMYFUNCTION("""COMPUTED_VALUE"""),1.0)</f>
        <v>1</v>
      </c>
      <c r="S1805" s="5">
        <f>IFERROR(__xludf.DUMMYFUNCTION("""COMPUTED_VALUE"""),714.0)</f>
        <v>714</v>
      </c>
      <c r="T1805" s="5" t="str">
        <f>IFERROR(__xludf.DUMMYFUNCTION("""COMPUTED_VALUE"""),"Stagecoach")</f>
        <v>Stagecoach</v>
      </c>
      <c r="U1805" s="5" t="str">
        <f>IFERROR(__xludf.DUMMYFUNCTION("""COMPUTED_VALUE"""),"Western")</f>
        <v>Western</v>
      </c>
      <c r="V1805" s="5">
        <f>IFERROR(__xludf.DUMMYFUNCTION("""COMPUTED_VALUE"""),3.0)</f>
        <v>3</v>
      </c>
    </row>
    <row r="1806">
      <c r="J1806" s="5" t="str">
        <f>IFERROR(__xludf.DUMMYFUNCTION("""COMPUTED_VALUE"""),"602🤙🏼Kokuhaku🤙🏼Thriller🤙🏼2")</f>
        <v>602🤙🏼Kokuhaku🤙🏼Thriller🤙🏼2</v>
      </c>
      <c r="K1806" s="5">
        <f>IFERROR(__xludf.DUMMYFUNCTION("SPLiT(J1806, ""🤙🏼"",FALSE,FALSE)"),602.0)</f>
        <v>602</v>
      </c>
      <c r="L1806" s="5" t="str">
        <f>IFERROR(__xludf.DUMMYFUNCTION("""COMPUTED_VALUE"""),"Kokuhaku")</f>
        <v>Kokuhaku</v>
      </c>
      <c r="M1806" s="5" t="str">
        <f>IFERROR(__xludf.DUMMYFUNCTION("""COMPUTED_VALUE"""),"Thriller")</f>
        <v>Thriller</v>
      </c>
      <c r="N1806" s="5">
        <f>IFERROR(__xludf.DUMMYFUNCTION("""COMPUTED_VALUE"""),2.0)</f>
        <v>2</v>
      </c>
      <c r="S1806" s="5">
        <f>IFERROR(__xludf.DUMMYFUNCTION("""COMPUTED_VALUE"""),715.0)</f>
        <v>715</v>
      </c>
      <c r="T1806" s="5" t="str">
        <f>IFERROR(__xludf.DUMMYFUNCTION("""COMPUTED_VALUE"""),"The Lady Vanishes")</f>
        <v>The Lady Vanishes</v>
      </c>
      <c r="U1806" s="5" t="str">
        <f>IFERROR(__xludf.DUMMYFUNCTION("""COMPUTED_VALUE"""),"Mystery")</f>
        <v>Mystery</v>
      </c>
      <c r="V1806" s="5">
        <f>IFERROR(__xludf.DUMMYFUNCTION("""COMPUTED_VALUE"""),1.0)</f>
        <v>1</v>
      </c>
    </row>
    <row r="1807">
      <c r="J1807" s="5" t="str">
        <f>IFERROR(__xludf.DUMMYFUNCTION("""COMPUTED_VALUE"""),"602🤙🏼Kokuhaku🤙🏼🤙🏼3")</f>
        <v>602🤙🏼Kokuhaku🤙🏼🤙🏼3</v>
      </c>
      <c r="K1807" s="5">
        <f>IFERROR(__xludf.DUMMYFUNCTION("SPLiT(J1807, ""🤙🏼"",FALSE,FALSE)"),602.0)</f>
        <v>602</v>
      </c>
      <c r="L1807" s="5" t="str">
        <f>IFERROR(__xludf.DUMMYFUNCTION("""COMPUTED_VALUE"""),"Kokuhaku")</f>
        <v>Kokuhaku</v>
      </c>
      <c r="M1807" s="5"/>
      <c r="N1807" s="5">
        <f>IFERROR(__xludf.DUMMYFUNCTION("""COMPUTED_VALUE"""),3.0)</f>
        <v>3</v>
      </c>
      <c r="S1807" s="5">
        <f>IFERROR(__xludf.DUMMYFUNCTION("""COMPUTED_VALUE"""),715.0)</f>
        <v>715</v>
      </c>
      <c r="T1807" s="5" t="str">
        <f>IFERROR(__xludf.DUMMYFUNCTION("""COMPUTED_VALUE"""),"The Lady Vanishes")</f>
        <v>The Lady Vanishes</v>
      </c>
      <c r="U1807" s="5" t="str">
        <f>IFERROR(__xludf.DUMMYFUNCTION("""COMPUTED_VALUE"""),"Thriller")</f>
        <v>Thriller</v>
      </c>
      <c r="V1807" s="5">
        <f>IFERROR(__xludf.DUMMYFUNCTION("""COMPUTED_VALUE"""),2.0)</f>
        <v>2</v>
      </c>
    </row>
    <row r="1808">
      <c r="J1808" s="5" t="str">
        <f>IFERROR(__xludf.DUMMYFUNCTION("""COMPUTED_VALUE"""),"603🤙🏼Ang-ma-reul bo-at-da🤙🏼Action🤙🏼1")</f>
        <v>603🤙🏼Ang-ma-reul bo-at-da🤙🏼Action🤙🏼1</v>
      </c>
      <c r="K1808" s="5">
        <f>IFERROR(__xludf.DUMMYFUNCTION("SPLiT(J1808, ""🤙🏼"",FALSE,FALSE)"),603.0)</f>
        <v>603</v>
      </c>
      <c r="L1808" s="5" t="str">
        <f>IFERROR(__xludf.DUMMYFUNCTION("""COMPUTED_VALUE"""),"Ang-ma-reul bo-at-da")</f>
        <v>Ang-ma-reul bo-at-da</v>
      </c>
      <c r="M1808" s="5" t="str">
        <f>IFERROR(__xludf.DUMMYFUNCTION("""COMPUTED_VALUE"""),"Action")</f>
        <v>Action</v>
      </c>
      <c r="N1808" s="5">
        <f>IFERROR(__xludf.DUMMYFUNCTION("""COMPUTED_VALUE"""),1.0)</f>
        <v>1</v>
      </c>
      <c r="S1808" s="5">
        <f>IFERROR(__xludf.DUMMYFUNCTION("""COMPUTED_VALUE"""),716.0)</f>
        <v>716</v>
      </c>
      <c r="T1808" s="5" t="str">
        <f>IFERROR(__xludf.DUMMYFUNCTION("""COMPUTED_VALUE"""),"Bringing Up Baby")</f>
        <v>Bringing Up Baby</v>
      </c>
      <c r="U1808" s="5" t="str">
        <f>IFERROR(__xludf.DUMMYFUNCTION("""COMPUTED_VALUE"""),"Comedy")</f>
        <v>Comedy</v>
      </c>
      <c r="V1808" s="5">
        <f>IFERROR(__xludf.DUMMYFUNCTION("""COMPUTED_VALUE"""),1.0)</f>
        <v>1</v>
      </c>
    </row>
    <row r="1809">
      <c r="J1809" s="5" t="str">
        <f>IFERROR(__xludf.DUMMYFUNCTION("""COMPUTED_VALUE"""),"603🤙🏼Ang-ma-reul bo-at-da🤙🏼Crime🤙🏼2")</f>
        <v>603🤙🏼Ang-ma-reul bo-at-da🤙🏼Crime🤙🏼2</v>
      </c>
      <c r="K1809" s="5">
        <f>IFERROR(__xludf.DUMMYFUNCTION("SPLiT(J1809, ""🤙🏼"",FALSE,FALSE)"),603.0)</f>
        <v>603</v>
      </c>
      <c r="L1809" s="5" t="str">
        <f>IFERROR(__xludf.DUMMYFUNCTION("""COMPUTED_VALUE"""),"Ang-ma-reul bo-at-da")</f>
        <v>Ang-ma-reul bo-at-da</v>
      </c>
      <c r="M1809" s="5" t="str">
        <f>IFERROR(__xludf.DUMMYFUNCTION("""COMPUTED_VALUE"""),"Crime")</f>
        <v>Crime</v>
      </c>
      <c r="N1809" s="5">
        <f>IFERROR(__xludf.DUMMYFUNCTION("""COMPUTED_VALUE"""),2.0)</f>
        <v>2</v>
      </c>
      <c r="S1809" s="5">
        <f>IFERROR(__xludf.DUMMYFUNCTION("""COMPUTED_VALUE"""),716.0)</f>
        <v>716</v>
      </c>
      <c r="T1809" s="5" t="str">
        <f>IFERROR(__xludf.DUMMYFUNCTION("""COMPUTED_VALUE"""),"Bringing Up Baby")</f>
        <v>Bringing Up Baby</v>
      </c>
      <c r="U1809" s="5" t="str">
        <f>IFERROR(__xludf.DUMMYFUNCTION("""COMPUTED_VALUE"""),"Family")</f>
        <v>Family</v>
      </c>
      <c r="V1809" s="5">
        <f>IFERROR(__xludf.DUMMYFUNCTION("""COMPUTED_VALUE"""),2.0)</f>
        <v>2</v>
      </c>
    </row>
    <row r="1810">
      <c r="J1810" s="5" t="str">
        <f>IFERROR(__xludf.DUMMYFUNCTION("""COMPUTED_VALUE"""),"603🤙🏼Ang-ma-reul bo-at-da🤙🏼Drama🤙🏼3")</f>
        <v>603🤙🏼Ang-ma-reul bo-at-da🤙🏼Drama🤙🏼3</v>
      </c>
      <c r="K1810" s="5">
        <f>IFERROR(__xludf.DUMMYFUNCTION("SPLiT(J1810, ""🤙🏼"",FALSE,FALSE)"),603.0)</f>
        <v>603</v>
      </c>
      <c r="L1810" s="5" t="str">
        <f>IFERROR(__xludf.DUMMYFUNCTION("""COMPUTED_VALUE"""),"Ang-ma-reul bo-at-da")</f>
        <v>Ang-ma-reul bo-at-da</v>
      </c>
      <c r="M1810" s="5" t="str">
        <f>IFERROR(__xludf.DUMMYFUNCTION("""COMPUTED_VALUE"""),"Drama")</f>
        <v>Drama</v>
      </c>
      <c r="N1810" s="5">
        <f>IFERROR(__xludf.DUMMYFUNCTION("""COMPUTED_VALUE"""),3.0)</f>
        <v>3</v>
      </c>
      <c r="S1810" s="5">
        <f>IFERROR(__xludf.DUMMYFUNCTION("""COMPUTED_VALUE"""),716.0)</f>
        <v>716</v>
      </c>
      <c r="T1810" s="5" t="str">
        <f>IFERROR(__xludf.DUMMYFUNCTION("""COMPUTED_VALUE"""),"Bringing Up Baby")</f>
        <v>Bringing Up Baby</v>
      </c>
      <c r="U1810" s="5" t="str">
        <f>IFERROR(__xludf.DUMMYFUNCTION("""COMPUTED_VALUE"""),"Romance")</f>
        <v>Romance</v>
      </c>
      <c r="V1810" s="5">
        <f>IFERROR(__xludf.DUMMYFUNCTION("""COMPUTED_VALUE"""),3.0)</f>
        <v>3</v>
      </c>
    </row>
    <row r="1811">
      <c r="J1811" s="5" t="str">
        <f>IFERROR(__xludf.DUMMYFUNCTION("""COMPUTED_VALUE"""),"604🤙🏼The Girl with the Dragon Tattoo🤙🏼Crime🤙🏼1")</f>
        <v>604🤙🏼The Girl with the Dragon Tattoo🤙🏼Crime🤙🏼1</v>
      </c>
      <c r="K1811" s="5">
        <f>IFERROR(__xludf.DUMMYFUNCTION("SPLiT(J1811, ""🤙🏼"",FALSE,FALSE)"),604.0)</f>
        <v>604</v>
      </c>
      <c r="L1811" s="5" t="str">
        <f>IFERROR(__xludf.DUMMYFUNCTION("""COMPUTED_VALUE"""),"The Girl with the Dragon Tattoo")</f>
        <v>The Girl with the Dragon Tattoo</v>
      </c>
      <c r="M1811" s="5" t="str">
        <f>IFERROR(__xludf.DUMMYFUNCTION("""COMPUTED_VALUE"""),"Crime")</f>
        <v>Crime</v>
      </c>
      <c r="N1811" s="5">
        <f>IFERROR(__xludf.DUMMYFUNCTION("""COMPUTED_VALUE"""),1.0)</f>
        <v>1</v>
      </c>
      <c r="S1811" s="5">
        <f>IFERROR(__xludf.DUMMYFUNCTION("""COMPUTED_VALUE"""),717.0)</f>
        <v>717</v>
      </c>
      <c r="T1811" s="5" t="str">
        <f>IFERROR(__xludf.DUMMYFUNCTION("""COMPUTED_VALUE"""),"Bride of Frankenstein")</f>
        <v>Bride of Frankenstein</v>
      </c>
      <c r="U1811" s="5" t="str">
        <f>IFERROR(__xludf.DUMMYFUNCTION("""COMPUTED_VALUE"""),"Drama")</f>
        <v>Drama</v>
      </c>
      <c r="V1811" s="5">
        <f>IFERROR(__xludf.DUMMYFUNCTION("""COMPUTED_VALUE"""),1.0)</f>
        <v>1</v>
      </c>
    </row>
    <row r="1812">
      <c r="J1812" s="5" t="str">
        <f>IFERROR(__xludf.DUMMYFUNCTION("""COMPUTED_VALUE"""),"604🤙🏼The Girl with the Dragon Tattoo🤙🏼Drama🤙🏼2")</f>
        <v>604🤙🏼The Girl with the Dragon Tattoo🤙🏼Drama🤙🏼2</v>
      </c>
      <c r="K1812" s="5">
        <f>IFERROR(__xludf.DUMMYFUNCTION("SPLiT(J1812, ""🤙🏼"",FALSE,FALSE)"),604.0)</f>
        <v>604</v>
      </c>
      <c r="L1812" s="5" t="str">
        <f>IFERROR(__xludf.DUMMYFUNCTION("""COMPUTED_VALUE"""),"The Girl with the Dragon Tattoo")</f>
        <v>The Girl with the Dragon Tattoo</v>
      </c>
      <c r="M1812" s="5" t="str">
        <f>IFERROR(__xludf.DUMMYFUNCTION("""COMPUTED_VALUE"""),"Drama")</f>
        <v>Drama</v>
      </c>
      <c r="N1812" s="5">
        <f>IFERROR(__xludf.DUMMYFUNCTION("""COMPUTED_VALUE"""),2.0)</f>
        <v>2</v>
      </c>
      <c r="S1812" s="5">
        <f>IFERROR(__xludf.DUMMYFUNCTION("""COMPUTED_VALUE"""),717.0)</f>
        <v>717</v>
      </c>
      <c r="T1812" s="5" t="str">
        <f>IFERROR(__xludf.DUMMYFUNCTION("""COMPUTED_VALUE"""),"Bride of Frankenstein")</f>
        <v>Bride of Frankenstein</v>
      </c>
      <c r="U1812" s="5" t="str">
        <f>IFERROR(__xludf.DUMMYFUNCTION("""COMPUTED_VALUE"""),"Horror")</f>
        <v>Horror</v>
      </c>
      <c r="V1812" s="5">
        <f>IFERROR(__xludf.DUMMYFUNCTION("""COMPUTED_VALUE"""),2.0)</f>
        <v>2</v>
      </c>
    </row>
    <row r="1813">
      <c r="J1813" s="5" t="str">
        <f>IFERROR(__xludf.DUMMYFUNCTION("""COMPUTED_VALUE"""),"604🤙🏼The Girl with the Dragon Tattoo🤙🏼Mystery🤙🏼3")</f>
        <v>604🤙🏼The Girl with the Dragon Tattoo🤙🏼Mystery🤙🏼3</v>
      </c>
      <c r="K1813" s="5">
        <f>IFERROR(__xludf.DUMMYFUNCTION("SPLiT(J1813, ""🤙🏼"",FALSE,FALSE)"),604.0)</f>
        <v>604</v>
      </c>
      <c r="L1813" s="5" t="str">
        <f>IFERROR(__xludf.DUMMYFUNCTION("""COMPUTED_VALUE"""),"The Girl with the Dragon Tattoo")</f>
        <v>The Girl with the Dragon Tattoo</v>
      </c>
      <c r="M1813" s="5" t="str">
        <f>IFERROR(__xludf.DUMMYFUNCTION("""COMPUTED_VALUE"""),"Mystery")</f>
        <v>Mystery</v>
      </c>
      <c r="N1813" s="5">
        <f>IFERROR(__xludf.DUMMYFUNCTION("""COMPUTED_VALUE"""),3.0)</f>
        <v>3</v>
      </c>
      <c r="S1813" s="5">
        <f>IFERROR(__xludf.DUMMYFUNCTION("""COMPUTED_VALUE"""),717.0)</f>
        <v>717</v>
      </c>
      <c r="T1813" s="5" t="str">
        <f>IFERROR(__xludf.DUMMYFUNCTION("""COMPUTED_VALUE"""),"Bride of Frankenstein")</f>
        <v>Bride of Frankenstein</v>
      </c>
      <c r="U1813" s="5" t="str">
        <f>IFERROR(__xludf.DUMMYFUNCTION("""COMPUTED_VALUE"""),"Sci-Fi")</f>
        <v>Sci-Fi</v>
      </c>
      <c r="V1813" s="5">
        <f>IFERROR(__xludf.DUMMYFUNCTION("""COMPUTED_VALUE"""),3.0)</f>
        <v>3</v>
      </c>
    </row>
    <row r="1814">
      <c r="J1814" s="5" t="str">
        <f>IFERROR(__xludf.DUMMYFUNCTION("""COMPUTED_VALUE"""),"605🤙🏼Captain Phillips🤙🏼Adventure🤙🏼1")</f>
        <v>605🤙🏼Captain Phillips🤙🏼Adventure🤙🏼1</v>
      </c>
      <c r="K1814" s="5">
        <f>IFERROR(__xludf.DUMMYFUNCTION("SPLiT(J1814, ""🤙🏼"",FALSE,FALSE)"),605.0)</f>
        <v>605</v>
      </c>
      <c r="L1814" s="5" t="str">
        <f>IFERROR(__xludf.DUMMYFUNCTION("""COMPUTED_VALUE"""),"Captain Phillips")</f>
        <v>Captain Phillips</v>
      </c>
      <c r="M1814" s="5" t="str">
        <f>IFERROR(__xludf.DUMMYFUNCTION("""COMPUTED_VALUE"""),"Adventure")</f>
        <v>Adventure</v>
      </c>
      <c r="N1814" s="5">
        <f>IFERROR(__xludf.DUMMYFUNCTION("""COMPUTED_VALUE"""),1.0)</f>
        <v>1</v>
      </c>
      <c r="S1814" s="5">
        <f>IFERROR(__xludf.DUMMYFUNCTION("""COMPUTED_VALUE"""),718.0)</f>
        <v>718</v>
      </c>
      <c r="T1814" s="5" t="str">
        <f>IFERROR(__xludf.DUMMYFUNCTION("""COMPUTED_VALUE"""),"Duck Soup")</f>
        <v>Duck Soup</v>
      </c>
      <c r="U1814" s="5" t="str">
        <f>IFERROR(__xludf.DUMMYFUNCTION("""COMPUTED_VALUE"""),"Comedy")</f>
        <v>Comedy</v>
      </c>
      <c r="V1814" s="5">
        <f>IFERROR(__xludf.DUMMYFUNCTION("""COMPUTED_VALUE"""),1.0)</f>
        <v>1</v>
      </c>
    </row>
    <row r="1815">
      <c r="J1815" s="5" t="str">
        <f>IFERROR(__xludf.DUMMYFUNCTION("""COMPUTED_VALUE"""),"605🤙🏼Captain Phillips🤙🏼Biography🤙🏼2")</f>
        <v>605🤙🏼Captain Phillips🤙🏼Biography🤙🏼2</v>
      </c>
      <c r="K1815" s="5">
        <f>IFERROR(__xludf.DUMMYFUNCTION("SPLiT(J1815, ""🤙🏼"",FALSE,FALSE)"),605.0)</f>
        <v>605</v>
      </c>
      <c r="L1815" s="5" t="str">
        <f>IFERROR(__xludf.DUMMYFUNCTION("""COMPUTED_VALUE"""),"Captain Phillips")</f>
        <v>Captain Phillips</v>
      </c>
      <c r="M1815" s="5" t="str">
        <f>IFERROR(__xludf.DUMMYFUNCTION("""COMPUTED_VALUE"""),"Biography")</f>
        <v>Biography</v>
      </c>
      <c r="N1815" s="5">
        <f>IFERROR(__xludf.DUMMYFUNCTION("""COMPUTED_VALUE"""),2.0)</f>
        <v>2</v>
      </c>
      <c r="S1815" s="5">
        <f>IFERROR(__xludf.DUMMYFUNCTION("""COMPUTED_VALUE"""),718.0)</f>
        <v>718</v>
      </c>
      <c r="T1815" s="5" t="str">
        <f>IFERROR(__xludf.DUMMYFUNCTION("""COMPUTED_VALUE"""),"Duck Soup")</f>
        <v>Duck Soup</v>
      </c>
      <c r="U1815" s="5" t="str">
        <f>IFERROR(__xludf.DUMMYFUNCTION("""COMPUTED_VALUE"""),"Musical")</f>
        <v>Musical</v>
      </c>
      <c r="V1815" s="5">
        <f>IFERROR(__xludf.DUMMYFUNCTION("""COMPUTED_VALUE"""),2.0)</f>
        <v>2</v>
      </c>
    </row>
    <row r="1816">
      <c r="J1816" s="5" t="str">
        <f>IFERROR(__xludf.DUMMYFUNCTION("""COMPUTED_VALUE"""),"605🤙🏼Captain Phillips🤙🏼Crime🤙🏼3")</f>
        <v>605🤙🏼Captain Phillips🤙🏼Crime🤙🏼3</v>
      </c>
      <c r="K1816" s="5">
        <f>IFERROR(__xludf.DUMMYFUNCTION("SPLiT(J1816, ""🤙🏼"",FALSE,FALSE)"),605.0)</f>
        <v>605</v>
      </c>
      <c r="L1816" s="5" t="str">
        <f>IFERROR(__xludf.DUMMYFUNCTION("""COMPUTED_VALUE"""),"Captain Phillips")</f>
        <v>Captain Phillips</v>
      </c>
      <c r="M1816" s="5" t="str">
        <f>IFERROR(__xludf.DUMMYFUNCTION("""COMPUTED_VALUE"""),"Crime")</f>
        <v>Crime</v>
      </c>
      <c r="N1816" s="5">
        <f>IFERROR(__xludf.DUMMYFUNCTION("""COMPUTED_VALUE"""),3.0)</f>
        <v>3</v>
      </c>
      <c r="S1816" s="5">
        <f>IFERROR(__xludf.DUMMYFUNCTION("""COMPUTED_VALUE"""),718.0)</f>
        <v>718</v>
      </c>
      <c r="T1816" s="5" t="str">
        <f>IFERROR(__xludf.DUMMYFUNCTION("""COMPUTED_VALUE"""),"Duck Soup")</f>
        <v>Duck Soup</v>
      </c>
      <c r="U1816" s="5" t="str">
        <f>IFERROR(__xludf.DUMMYFUNCTION("""COMPUTED_VALUE"""),"War")</f>
        <v>War</v>
      </c>
      <c r="V1816" s="5">
        <f>IFERROR(__xludf.DUMMYFUNCTION("""COMPUTED_VALUE"""),3.0)</f>
        <v>3</v>
      </c>
    </row>
    <row r="1817">
      <c r="J1817" s="5" t="str">
        <f>IFERROR(__xludf.DUMMYFUNCTION("""COMPUTED_VALUE"""),"606🤙🏼Ajeossi🤙🏼Action🤙🏼1")</f>
        <v>606🤙🏼Ajeossi🤙🏼Action🤙🏼1</v>
      </c>
      <c r="K1817" s="5">
        <f>IFERROR(__xludf.DUMMYFUNCTION("SPLiT(J1817, ""🤙🏼"",FALSE,FALSE)"),606.0)</f>
        <v>606</v>
      </c>
      <c r="L1817" s="5" t="str">
        <f>IFERROR(__xludf.DUMMYFUNCTION("""COMPUTED_VALUE"""),"Ajeossi")</f>
        <v>Ajeossi</v>
      </c>
      <c r="M1817" s="5" t="str">
        <f>IFERROR(__xludf.DUMMYFUNCTION("""COMPUTED_VALUE"""),"Action")</f>
        <v>Action</v>
      </c>
      <c r="N1817" s="5">
        <f>IFERROR(__xludf.DUMMYFUNCTION("""COMPUTED_VALUE"""),1.0)</f>
        <v>1</v>
      </c>
      <c r="S1817" s="5">
        <f>IFERROR(__xludf.DUMMYFUNCTION("""COMPUTED_VALUE"""),719.0)</f>
        <v>719</v>
      </c>
      <c r="T1817" s="5" t="str">
        <f>IFERROR(__xludf.DUMMYFUNCTION("""COMPUTED_VALUE"""),"Scarface: The Shame of the Nation")</f>
        <v>Scarface: The Shame of the Nation</v>
      </c>
      <c r="U1817" s="5" t="str">
        <f>IFERROR(__xludf.DUMMYFUNCTION("""COMPUTED_VALUE"""),"Action")</f>
        <v>Action</v>
      </c>
      <c r="V1817" s="5">
        <f>IFERROR(__xludf.DUMMYFUNCTION("""COMPUTED_VALUE"""),1.0)</f>
        <v>1</v>
      </c>
    </row>
    <row r="1818">
      <c r="J1818" s="5" t="str">
        <f>IFERROR(__xludf.DUMMYFUNCTION("""COMPUTED_VALUE"""),"606🤙🏼Ajeossi🤙🏼Crime🤙🏼2")</f>
        <v>606🤙🏼Ajeossi🤙🏼Crime🤙🏼2</v>
      </c>
      <c r="K1818" s="5">
        <f>IFERROR(__xludf.DUMMYFUNCTION("SPLiT(J1818, ""🤙🏼"",FALSE,FALSE)"),606.0)</f>
        <v>606</v>
      </c>
      <c r="L1818" s="5" t="str">
        <f>IFERROR(__xludf.DUMMYFUNCTION("""COMPUTED_VALUE"""),"Ajeossi")</f>
        <v>Ajeossi</v>
      </c>
      <c r="M1818" s="5" t="str">
        <f>IFERROR(__xludf.DUMMYFUNCTION("""COMPUTED_VALUE"""),"Crime")</f>
        <v>Crime</v>
      </c>
      <c r="N1818" s="5">
        <f>IFERROR(__xludf.DUMMYFUNCTION("""COMPUTED_VALUE"""),2.0)</f>
        <v>2</v>
      </c>
      <c r="S1818" s="5">
        <f>IFERROR(__xludf.DUMMYFUNCTION("""COMPUTED_VALUE"""),719.0)</f>
        <v>719</v>
      </c>
      <c r="T1818" s="5" t="str">
        <f>IFERROR(__xludf.DUMMYFUNCTION("""COMPUTED_VALUE"""),"Scarface: The Shame of the Nation")</f>
        <v>Scarface: The Shame of the Nation</v>
      </c>
      <c r="U1818" s="5" t="str">
        <f>IFERROR(__xludf.DUMMYFUNCTION("""COMPUTED_VALUE"""),"Crime")</f>
        <v>Crime</v>
      </c>
      <c r="V1818" s="5">
        <f>IFERROR(__xludf.DUMMYFUNCTION("""COMPUTED_VALUE"""),2.0)</f>
        <v>2</v>
      </c>
    </row>
    <row r="1819">
      <c r="J1819" s="5" t="str">
        <f>IFERROR(__xludf.DUMMYFUNCTION("""COMPUTED_VALUE"""),"606🤙🏼Ajeossi🤙🏼Drama🤙🏼3")</f>
        <v>606🤙🏼Ajeossi🤙🏼Drama🤙🏼3</v>
      </c>
      <c r="K1819" s="5">
        <f>IFERROR(__xludf.DUMMYFUNCTION("SPLiT(J1819, ""🤙🏼"",FALSE,FALSE)"),606.0)</f>
        <v>606</v>
      </c>
      <c r="L1819" s="5" t="str">
        <f>IFERROR(__xludf.DUMMYFUNCTION("""COMPUTED_VALUE"""),"Ajeossi")</f>
        <v>Ajeossi</v>
      </c>
      <c r="M1819" s="5" t="str">
        <f>IFERROR(__xludf.DUMMYFUNCTION("""COMPUTED_VALUE"""),"Drama")</f>
        <v>Drama</v>
      </c>
      <c r="N1819" s="5">
        <f>IFERROR(__xludf.DUMMYFUNCTION("""COMPUTED_VALUE"""),3.0)</f>
        <v>3</v>
      </c>
      <c r="S1819" s="5">
        <f>IFERROR(__xludf.DUMMYFUNCTION("""COMPUTED_VALUE"""),719.0)</f>
        <v>719</v>
      </c>
      <c r="T1819" s="5" t="str">
        <f>IFERROR(__xludf.DUMMYFUNCTION("""COMPUTED_VALUE"""),"Scarface: The Shame of the Nation")</f>
        <v>Scarface: The Shame of the Nation</v>
      </c>
      <c r="U1819" s="5" t="str">
        <f>IFERROR(__xludf.DUMMYFUNCTION("""COMPUTED_VALUE"""),"Drama")</f>
        <v>Drama</v>
      </c>
      <c r="V1819" s="5">
        <f>IFERROR(__xludf.DUMMYFUNCTION("""COMPUTED_VALUE"""),3.0)</f>
        <v>3</v>
      </c>
    </row>
    <row r="1820">
      <c r="J1820" s="5" t="str">
        <f>IFERROR(__xludf.DUMMYFUNCTION("""COMPUTED_VALUE"""),"607🤙🏼Straight Outta Compton🤙🏼Biography🤙🏼1")</f>
        <v>607🤙🏼Straight Outta Compton🤙🏼Biography🤙🏼1</v>
      </c>
      <c r="K1820" s="5">
        <f>IFERROR(__xludf.DUMMYFUNCTION("SPLiT(J1820, ""🤙🏼"",FALSE,FALSE)"),607.0)</f>
        <v>607</v>
      </c>
      <c r="L1820" s="5" t="str">
        <f>IFERROR(__xludf.DUMMYFUNCTION("""COMPUTED_VALUE"""),"Straight Outta Compton")</f>
        <v>Straight Outta Compton</v>
      </c>
      <c r="M1820" s="5" t="str">
        <f>IFERROR(__xludf.DUMMYFUNCTION("""COMPUTED_VALUE"""),"Biography")</f>
        <v>Biography</v>
      </c>
      <c r="N1820" s="5">
        <f>IFERROR(__xludf.DUMMYFUNCTION("""COMPUTED_VALUE"""),1.0)</f>
        <v>1</v>
      </c>
      <c r="S1820" s="5">
        <f>IFERROR(__xludf.DUMMYFUNCTION("""COMPUTED_VALUE"""),720.0)</f>
        <v>720</v>
      </c>
      <c r="T1820" s="5" t="str">
        <f>IFERROR(__xludf.DUMMYFUNCTION("""COMPUTED_VALUE"""),"Frankenstein")</f>
        <v>Frankenstein</v>
      </c>
      <c r="U1820" s="5" t="str">
        <f>IFERROR(__xludf.DUMMYFUNCTION("""COMPUTED_VALUE"""),"Drama")</f>
        <v>Drama</v>
      </c>
      <c r="V1820" s="5">
        <f>IFERROR(__xludf.DUMMYFUNCTION("""COMPUTED_VALUE"""),1.0)</f>
        <v>1</v>
      </c>
    </row>
    <row r="1821">
      <c r="J1821" s="5" t="str">
        <f>IFERROR(__xludf.DUMMYFUNCTION("""COMPUTED_VALUE"""),"607🤙🏼Straight Outta Compton🤙🏼Drama🤙🏼2")</f>
        <v>607🤙🏼Straight Outta Compton🤙🏼Drama🤙🏼2</v>
      </c>
      <c r="K1821" s="5">
        <f>IFERROR(__xludf.DUMMYFUNCTION("SPLiT(J1821, ""🤙🏼"",FALSE,FALSE)"),607.0)</f>
        <v>607</v>
      </c>
      <c r="L1821" s="5" t="str">
        <f>IFERROR(__xludf.DUMMYFUNCTION("""COMPUTED_VALUE"""),"Straight Outta Compton")</f>
        <v>Straight Outta Compton</v>
      </c>
      <c r="M1821" s="5" t="str">
        <f>IFERROR(__xludf.DUMMYFUNCTION("""COMPUTED_VALUE"""),"Drama")</f>
        <v>Drama</v>
      </c>
      <c r="N1821" s="5">
        <f>IFERROR(__xludf.DUMMYFUNCTION("""COMPUTED_VALUE"""),2.0)</f>
        <v>2</v>
      </c>
      <c r="S1821" s="5">
        <f>IFERROR(__xludf.DUMMYFUNCTION("""COMPUTED_VALUE"""),720.0)</f>
        <v>720</v>
      </c>
      <c r="T1821" s="5" t="str">
        <f>IFERROR(__xludf.DUMMYFUNCTION("""COMPUTED_VALUE"""),"Frankenstein")</f>
        <v>Frankenstein</v>
      </c>
      <c r="U1821" s="5" t="str">
        <f>IFERROR(__xludf.DUMMYFUNCTION("""COMPUTED_VALUE"""),"Horror")</f>
        <v>Horror</v>
      </c>
      <c r="V1821" s="5">
        <f>IFERROR(__xludf.DUMMYFUNCTION("""COMPUTED_VALUE"""),2.0)</f>
        <v>2</v>
      </c>
    </row>
    <row r="1822">
      <c r="J1822" s="5" t="str">
        <f>IFERROR(__xludf.DUMMYFUNCTION("""COMPUTED_VALUE"""),"607🤙🏼Straight Outta Compton🤙🏼History🤙🏼3")</f>
        <v>607🤙🏼Straight Outta Compton🤙🏼History🤙🏼3</v>
      </c>
      <c r="K1822" s="5">
        <f>IFERROR(__xludf.DUMMYFUNCTION("SPLiT(J1822, ""🤙🏼"",FALSE,FALSE)"),607.0)</f>
        <v>607</v>
      </c>
      <c r="L1822" s="5" t="str">
        <f>IFERROR(__xludf.DUMMYFUNCTION("""COMPUTED_VALUE"""),"Straight Outta Compton")</f>
        <v>Straight Outta Compton</v>
      </c>
      <c r="M1822" s="5" t="str">
        <f>IFERROR(__xludf.DUMMYFUNCTION("""COMPUTED_VALUE"""),"History")</f>
        <v>History</v>
      </c>
      <c r="N1822" s="5">
        <f>IFERROR(__xludf.DUMMYFUNCTION("""COMPUTED_VALUE"""),3.0)</f>
        <v>3</v>
      </c>
      <c r="S1822" s="5">
        <f>IFERROR(__xludf.DUMMYFUNCTION("""COMPUTED_VALUE"""),720.0)</f>
        <v>720</v>
      </c>
      <c r="T1822" s="5" t="str">
        <f>IFERROR(__xludf.DUMMYFUNCTION("""COMPUTED_VALUE"""),"Frankenstein")</f>
        <v>Frankenstein</v>
      </c>
      <c r="U1822" s="5" t="str">
        <f>IFERROR(__xludf.DUMMYFUNCTION("""COMPUTED_VALUE"""),"Sci-Fi")</f>
        <v>Sci-Fi</v>
      </c>
      <c r="V1822" s="5">
        <f>IFERROR(__xludf.DUMMYFUNCTION("""COMPUTED_VALUE"""),3.0)</f>
        <v>3</v>
      </c>
    </row>
    <row r="1823">
      <c r="J1823" s="5" t="str">
        <f>IFERROR(__xludf.DUMMYFUNCTION("""COMPUTED_VALUE"""),"608🤙🏼Madeo🤙🏼Crime🤙🏼1")</f>
        <v>608🤙🏼Madeo🤙🏼Crime🤙🏼1</v>
      </c>
      <c r="K1823" s="5">
        <f>IFERROR(__xludf.DUMMYFUNCTION("SPLiT(J1823, ""🤙🏼"",FALSE,FALSE)"),608.0)</f>
        <v>608</v>
      </c>
      <c r="L1823" s="5" t="str">
        <f>IFERROR(__xludf.DUMMYFUNCTION("""COMPUTED_VALUE"""),"Madeo")</f>
        <v>Madeo</v>
      </c>
      <c r="M1823" s="5" t="str">
        <f>IFERROR(__xludf.DUMMYFUNCTION("""COMPUTED_VALUE"""),"Crime")</f>
        <v>Crime</v>
      </c>
      <c r="N1823" s="5">
        <f>IFERROR(__xludf.DUMMYFUNCTION("""COMPUTED_VALUE"""),1.0)</f>
        <v>1</v>
      </c>
      <c r="S1823" s="5">
        <f>IFERROR(__xludf.DUMMYFUNCTION("""COMPUTED_VALUE"""),721.0)</f>
        <v>721</v>
      </c>
      <c r="T1823" s="5" t="str">
        <f>IFERROR(__xludf.DUMMYFUNCTION("""COMPUTED_VALUE"""),"Roma")</f>
        <v>Roma</v>
      </c>
      <c r="U1823" s="5" t="str">
        <f>IFERROR(__xludf.DUMMYFUNCTION("""COMPUTED_VALUE"""),"Drama")</f>
        <v>Drama</v>
      </c>
      <c r="V1823" s="5">
        <f>IFERROR(__xludf.DUMMYFUNCTION("""COMPUTED_VALUE"""),1.0)</f>
        <v>1</v>
      </c>
    </row>
    <row r="1824">
      <c r="J1824" s="5" t="str">
        <f>IFERROR(__xludf.DUMMYFUNCTION("""COMPUTED_VALUE"""),"608🤙🏼Madeo🤙🏼Drama🤙🏼2")</f>
        <v>608🤙🏼Madeo🤙🏼Drama🤙🏼2</v>
      </c>
      <c r="K1824" s="5">
        <f>IFERROR(__xludf.DUMMYFUNCTION("SPLiT(J1824, ""🤙🏼"",FALSE,FALSE)"),608.0)</f>
        <v>608</v>
      </c>
      <c r="L1824" s="5" t="str">
        <f>IFERROR(__xludf.DUMMYFUNCTION("""COMPUTED_VALUE"""),"Madeo")</f>
        <v>Madeo</v>
      </c>
      <c r="M1824" s="5" t="str">
        <f>IFERROR(__xludf.DUMMYFUNCTION("""COMPUTED_VALUE"""),"Drama")</f>
        <v>Drama</v>
      </c>
      <c r="N1824" s="5">
        <f>IFERROR(__xludf.DUMMYFUNCTION("""COMPUTED_VALUE"""),2.0)</f>
        <v>2</v>
      </c>
      <c r="S1824" s="5">
        <f>IFERROR(__xludf.DUMMYFUNCTION("""COMPUTED_VALUE"""),722.0)</f>
        <v>722</v>
      </c>
      <c r="T1824" s="5" t="str">
        <f>IFERROR(__xludf.DUMMYFUNCTION("""COMPUTED_VALUE"""),"God's Own Country")</f>
        <v>God's Own Country</v>
      </c>
      <c r="U1824" s="5" t="str">
        <f>IFERROR(__xludf.DUMMYFUNCTION("""COMPUTED_VALUE"""),"Drama")</f>
        <v>Drama</v>
      </c>
      <c r="V1824" s="5">
        <f>IFERROR(__xludf.DUMMYFUNCTION("""COMPUTED_VALUE"""),1.0)</f>
        <v>1</v>
      </c>
    </row>
    <row r="1825">
      <c r="J1825" s="5" t="str">
        <f>IFERROR(__xludf.DUMMYFUNCTION("""COMPUTED_VALUE"""),"608🤙🏼Madeo🤙🏼Mystery🤙🏼3")</f>
        <v>608🤙🏼Madeo🤙🏼Mystery🤙🏼3</v>
      </c>
      <c r="K1825" s="5">
        <f>IFERROR(__xludf.DUMMYFUNCTION("SPLiT(J1825, ""🤙🏼"",FALSE,FALSE)"),608.0)</f>
        <v>608</v>
      </c>
      <c r="L1825" s="5" t="str">
        <f>IFERROR(__xludf.DUMMYFUNCTION("""COMPUTED_VALUE"""),"Madeo")</f>
        <v>Madeo</v>
      </c>
      <c r="M1825" s="5" t="str">
        <f>IFERROR(__xludf.DUMMYFUNCTION("""COMPUTED_VALUE"""),"Mystery")</f>
        <v>Mystery</v>
      </c>
      <c r="N1825" s="5">
        <f>IFERROR(__xludf.DUMMYFUNCTION("""COMPUTED_VALUE"""),3.0)</f>
        <v>3</v>
      </c>
      <c r="S1825" s="5">
        <f>IFERROR(__xludf.DUMMYFUNCTION("""COMPUTED_VALUE"""),722.0)</f>
        <v>722</v>
      </c>
      <c r="T1825" s="5" t="str">
        <f>IFERROR(__xludf.DUMMYFUNCTION("""COMPUTED_VALUE"""),"God's Own Country")</f>
        <v>God's Own Country</v>
      </c>
      <c r="U1825" s="5" t="str">
        <f>IFERROR(__xludf.DUMMYFUNCTION("""COMPUTED_VALUE"""),"Romance")</f>
        <v>Romance</v>
      </c>
      <c r="V1825" s="5">
        <f>IFERROR(__xludf.DUMMYFUNCTION("""COMPUTED_VALUE"""),2.0)</f>
        <v>2</v>
      </c>
    </row>
    <row r="1826">
      <c r="J1826" s="5" t="str">
        <f>IFERROR(__xludf.DUMMYFUNCTION("""COMPUTED_VALUE"""),"609🤙🏼Chugyeokja🤙🏼Action🤙🏼1")</f>
        <v>609🤙🏼Chugyeokja🤙🏼Action🤙🏼1</v>
      </c>
      <c r="K1826" s="5">
        <f>IFERROR(__xludf.DUMMYFUNCTION("SPLiT(J1826, ""🤙🏼"",FALSE,FALSE)"),609.0)</f>
        <v>609</v>
      </c>
      <c r="L1826" s="5" t="str">
        <f>IFERROR(__xludf.DUMMYFUNCTION("""COMPUTED_VALUE"""),"Chugyeokja")</f>
        <v>Chugyeokja</v>
      </c>
      <c r="M1826" s="5" t="str">
        <f>IFERROR(__xludf.DUMMYFUNCTION("""COMPUTED_VALUE"""),"Action")</f>
        <v>Action</v>
      </c>
      <c r="N1826" s="5">
        <f>IFERROR(__xludf.DUMMYFUNCTION("""COMPUTED_VALUE"""),1.0)</f>
        <v>1</v>
      </c>
      <c r="S1826" s="5">
        <f>IFERROR(__xludf.DUMMYFUNCTION("""COMPUTED_VALUE"""),723.0)</f>
        <v>723</v>
      </c>
      <c r="T1826" s="5" t="str">
        <f>IFERROR(__xludf.DUMMYFUNCTION("""COMPUTED_VALUE"""),"Deadpool 2")</f>
        <v>Deadpool 2</v>
      </c>
      <c r="U1826" s="5" t="str">
        <f>IFERROR(__xludf.DUMMYFUNCTION("""COMPUTED_VALUE"""),"Action")</f>
        <v>Action</v>
      </c>
      <c r="V1826" s="5">
        <f>IFERROR(__xludf.DUMMYFUNCTION("""COMPUTED_VALUE"""),1.0)</f>
        <v>1</v>
      </c>
    </row>
    <row r="1827">
      <c r="J1827" s="5" t="str">
        <f>IFERROR(__xludf.DUMMYFUNCTION("""COMPUTED_VALUE"""),"609🤙🏼Chugyeokja🤙🏼Crime🤙🏼2")</f>
        <v>609🤙🏼Chugyeokja🤙🏼Crime🤙🏼2</v>
      </c>
      <c r="K1827" s="5">
        <f>IFERROR(__xludf.DUMMYFUNCTION("SPLiT(J1827, ""🤙🏼"",FALSE,FALSE)"),609.0)</f>
        <v>609</v>
      </c>
      <c r="L1827" s="5" t="str">
        <f>IFERROR(__xludf.DUMMYFUNCTION("""COMPUTED_VALUE"""),"Chugyeokja")</f>
        <v>Chugyeokja</v>
      </c>
      <c r="M1827" s="5" t="str">
        <f>IFERROR(__xludf.DUMMYFUNCTION("""COMPUTED_VALUE"""),"Crime")</f>
        <v>Crime</v>
      </c>
      <c r="N1827" s="5">
        <f>IFERROR(__xludf.DUMMYFUNCTION("""COMPUTED_VALUE"""),2.0)</f>
        <v>2</v>
      </c>
      <c r="S1827" s="5">
        <f>IFERROR(__xludf.DUMMYFUNCTION("""COMPUTED_VALUE"""),723.0)</f>
        <v>723</v>
      </c>
      <c r="T1827" s="5" t="str">
        <f>IFERROR(__xludf.DUMMYFUNCTION("""COMPUTED_VALUE"""),"Deadpool 2")</f>
        <v>Deadpool 2</v>
      </c>
      <c r="U1827" s="5" t="str">
        <f>IFERROR(__xludf.DUMMYFUNCTION("""COMPUTED_VALUE"""),"Adventure")</f>
        <v>Adventure</v>
      </c>
      <c r="V1827" s="5">
        <f>IFERROR(__xludf.DUMMYFUNCTION("""COMPUTED_VALUE"""),2.0)</f>
        <v>2</v>
      </c>
    </row>
    <row r="1828">
      <c r="J1828" s="5" t="str">
        <f>IFERROR(__xludf.DUMMYFUNCTION("""COMPUTED_VALUE"""),"609🤙🏼Chugyeokja🤙🏼Thriller🤙🏼3")</f>
        <v>609🤙🏼Chugyeokja🤙🏼Thriller🤙🏼3</v>
      </c>
      <c r="K1828" s="5">
        <f>IFERROR(__xludf.DUMMYFUNCTION("SPLiT(J1828, ""🤙🏼"",FALSE,FALSE)"),609.0)</f>
        <v>609</v>
      </c>
      <c r="L1828" s="5" t="str">
        <f>IFERROR(__xludf.DUMMYFUNCTION("""COMPUTED_VALUE"""),"Chugyeokja")</f>
        <v>Chugyeokja</v>
      </c>
      <c r="M1828" s="5" t="str">
        <f>IFERROR(__xludf.DUMMYFUNCTION("""COMPUTED_VALUE"""),"Thriller")</f>
        <v>Thriller</v>
      </c>
      <c r="N1828" s="5">
        <f>IFERROR(__xludf.DUMMYFUNCTION("""COMPUTED_VALUE"""),3.0)</f>
        <v>3</v>
      </c>
      <c r="S1828" s="5">
        <f>IFERROR(__xludf.DUMMYFUNCTION("""COMPUTED_VALUE"""),723.0)</f>
        <v>723</v>
      </c>
      <c r="T1828" s="5" t="str">
        <f>IFERROR(__xludf.DUMMYFUNCTION("""COMPUTED_VALUE"""),"Deadpool 2")</f>
        <v>Deadpool 2</v>
      </c>
      <c r="U1828" s="5" t="str">
        <f>IFERROR(__xludf.DUMMYFUNCTION("""COMPUTED_VALUE"""),"Comedy")</f>
        <v>Comedy</v>
      </c>
      <c r="V1828" s="5">
        <f>IFERROR(__xludf.DUMMYFUNCTION("""COMPUTED_VALUE"""),3.0)</f>
        <v>3</v>
      </c>
    </row>
    <row r="1829">
      <c r="J1829" s="5" t="str">
        <f>IFERROR(__xludf.DUMMYFUNCTION("""COMPUTED_VALUE"""),"610🤙🏼The Hobbit: The Desolation of Smaug🤙🏼Adventure🤙🏼1")</f>
        <v>610🤙🏼The Hobbit: The Desolation of Smaug🤙🏼Adventure🤙🏼1</v>
      </c>
      <c r="K1829" s="5">
        <f>IFERROR(__xludf.DUMMYFUNCTION("SPLiT(J1829, ""🤙🏼"",FALSE,FALSE)"),610.0)</f>
        <v>610</v>
      </c>
      <c r="L1829" s="5" t="str">
        <f>IFERROR(__xludf.DUMMYFUNCTION("""COMPUTED_VALUE"""),"The Hobbit: The Desolation of Smaug")</f>
        <v>The Hobbit: The Desolation of Smaug</v>
      </c>
      <c r="M1829" s="5" t="str">
        <f>IFERROR(__xludf.DUMMYFUNCTION("""COMPUTED_VALUE"""),"Adventure")</f>
        <v>Adventure</v>
      </c>
      <c r="N1829" s="5">
        <f>IFERROR(__xludf.DUMMYFUNCTION("""COMPUTED_VALUE"""),1.0)</f>
        <v>1</v>
      </c>
      <c r="S1829" s="5">
        <f>IFERROR(__xludf.DUMMYFUNCTION("""COMPUTED_VALUE"""),724.0)</f>
        <v>724</v>
      </c>
      <c r="T1829" s="5" t="str">
        <f>IFERROR(__xludf.DUMMYFUNCTION("""COMPUTED_VALUE"""),"Wind River")</f>
        <v>Wind River</v>
      </c>
      <c r="U1829" s="5" t="str">
        <f>IFERROR(__xludf.DUMMYFUNCTION("""COMPUTED_VALUE"""),"Crime")</f>
        <v>Crime</v>
      </c>
      <c r="V1829" s="5">
        <f>IFERROR(__xludf.DUMMYFUNCTION("""COMPUTED_VALUE"""),1.0)</f>
        <v>1</v>
      </c>
    </row>
    <row r="1830">
      <c r="J1830" s="5" t="str">
        <f>IFERROR(__xludf.DUMMYFUNCTION("""COMPUTED_VALUE"""),"610🤙🏼The Hobbit: The Desolation of Smaug🤙🏼Fantasy🤙🏼2")</f>
        <v>610🤙🏼The Hobbit: The Desolation of Smaug🤙🏼Fantasy🤙🏼2</v>
      </c>
      <c r="K1830" s="5">
        <f>IFERROR(__xludf.DUMMYFUNCTION("SPLiT(J1830, ""🤙🏼"",FALSE,FALSE)"),610.0)</f>
        <v>610</v>
      </c>
      <c r="L1830" s="5" t="str">
        <f>IFERROR(__xludf.DUMMYFUNCTION("""COMPUTED_VALUE"""),"The Hobbit: The Desolation of Smaug")</f>
        <v>The Hobbit: The Desolation of Smaug</v>
      </c>
      <c r="M1830" s="5" t="str">
        <f>IFERROR(__xludf.DUMMYFUNCTION("""COMPUTED_VALUE"""),"Fantasy")</f>
        <v>Fantasy</v>
      </c>
      <c r="N1830" s="5">
        <f>IFERROR(__xludf.DUMMYFUNCTION("""COMPUTED_VALUE"""),2.0)</f>
        <v>2</v>
      </c>
      <c r="S1830" s="5">
        <f>IFERROR(__xludf.DUMMYFUNCTION("""COMPUTED_VALUE"""),724.0)</f>
        <v>724</v>
      </c>
      <c r="T1830" s="5" t="str">
        <f>IFERROR(__xludf.DUMMYFUNCTION("""COMPUTED_VALUE"""),"Wind River")</f>
        <v>Wind River</v>
      </c>
      <c r="U1830" s="5" t="str">
        <f>IFERROR(__xludf.DUMMYFUNCTION("""COMPUTED_VALUE"""),"Drama")</f>
        <v>Drama</v>
      </c>
      <c r="V1830" s="5">
        <f>IFERROR(__xludf.DUMMYFUNCTION("""COMPUTED_VALUE"""),2.0)</f>
        <v>2</v>
      </c>
    </row>
    <row r="1831">
      <c r="J1831" s="5" t="str">
        <f>IFERROR(__xludf.DUMMYFUNCTION("""COMPUTED_VALUE"""),"610🤙🏼The Hobbit: The Desolation of Smaug🤙🏼🤙🏼3")</f>
        <v>610🤙🏼The Hobbit: The Desolation of Smaug🤙🏼🤙🏼3</v>
      </c>
      <c r="K1831" s="5">
        <f>IFERROR(__xludf.DUMMYFUNCTION("SPLiT(J1831, ""🤙🏼"",FALSE,FALSE)"),610.0)</f>
        <v>610</v>
      </c>
      <c r="L1831" s="5" t="str">
        <f>IFERROR(__xludf.DUMMYFUNCTION("""COMPUTED_VALUE"""),"The Hobbit: The Desolation of Smaug")</f>
        <v>The Hobbit: The Desolation of Smaug</v>
      </c>
      <c r="M1831" s="5"/>
      <c r="N1831" s="5">
        <f>IFERROR(__xludf.DUMMYFUNCTION("""COMPUTED_VALUE"""),3.0)</f>
        <v>3</v>
      </c>
      <c r="S1831" s="5">
        <f>IFERROR(__xludf.DUMMYFUNCTION("""COMPUTED_VALUE"""),724.0)</f>
        <v>724</v>
      </c>
      <c r="T1831" s="5" t="str">
        <f>IFERROR(__xludf.DUMMYFUNCTION("""COMPUTED_VALUE"""),"Wind River")</f>
        <v>Wind River</v>
      </c>
      <c r="U1831" s="5" t="str">
        <f>IFERROR(__xludf.DUMMYFUNCTION("""COMPUTED_VALUE"""),"Mystery")</f>
        <v>Mystery</v>
      </c>
      <c r="V1831" s="5">
        <f>IFERROR(__xludf.DUMMYFUNCTION("""COMPUTED_VALUE"""),3.0)</f>
        <v>3</v>
      </c>
    </row>
    <row r="1832">
      <c r="J1832" s="5" t="str">
        <f>IFERROR(__xludf.DUMMYFUNCTION("""COMPUTED_VALUE"""),"611🤙🏼Das weiße Band - Eine deutsche Kindergeschichte🤙🏼Drama🤙🏼1")</f>
        <v>611🤙🏼Das weiße Band - Eine deutsche Kindergeschichte🤙🏼Drama🤙🏼1</v>
      </c>
      <c r="K1832" s="5">
        <f>IFERROR(__xludf.DUMMYFUNCTION("SPLiT(J1832, ""🤙🏼"",FALSE,FALSE)"),611.0)</f>
        <v>611</v>
      </c>
      <c r="L1832" s="5" t="str">
        <f>IFERROR(__xludf.DUMMYFUNCTION("""COMPUTED_VALUE"""),"Das weiße Band - Eine deutsche Kindergeschichte")</f>
        <v>Das weiße Band - Eine deutsche Kindergeschichte</v>
      </c>
      <c r="M1832" s="5" t="str">
        <f>IFERROR(__xludf.DUMMYFUNCTION("""COMPUTED_VALUE"""),"Drama")</f>
        <v>Drama</v>
      </c>
      <c r="N1832" s="5">
        <f>IFERROR(__xludf.DUMMYFUNCTION("""COMPUTED_VALUE"""),1.0)</f>
        <v>1</v>
      </c>
      <c r="S1832" s="5">
        <f>IFERROR(__xludf.DUMMYFUNCTION("""COMPUTED_VALUE"""),725.0)</f>
        <v>725</v>
      </c>
      <c r="T1832" s="5" t="str">
        <f>IFERROR(__xludf.DUMMYFUNCTION("""COMPUTED_VALUE"""),"Get Out")</f>
        <v>Get Out</v>
      </c>
      <c r="U1832" s="5" t="str">
        <f>IFERROR(__xludf.DUMMYFUNCTION("""COMPUTED_VALUE"""),"Horror")</f>
        <v>Horror</v>
      </c>
      <c r="V1832" s="5">
        <f>IFERROR(__xludf.DUMMYFUNCTION("""COMPUTED_VALUE"""),1.0)</f>
        <v>1</v>
      </c>
    </row>
    <row r="1833">
      <c r="J1833" s="5" t="str">
        <f>IFERROR(__xludf.DUMMYFUNCTION("""COMPUTED_VALUE"""),"611🤙🏼Das weiße Band - Eine deutsche Kindergeschichte🤙🏼History🤙🏼2")</f>
        <v>611🤙🏼Das weiße Band - Eine deutsche Kindergeschichte🤙🏼History🤙🏼2</v>
      </c>
      <c r="K1833" s="5">
        <f>IFERROR(__xludf.DUMMYFUNCTION("SPLiT(J1833, ""🤙🏼"",FALSE,FALSE)"),611.0)</f>
        <v>611</v>
      </c>
      <c r="L1833" s="5" t="str">
        <f>IFERROR(__xludf.DUMMYFUNCTION("""COMPUTED_VALUE"""),"Das weiße Band - Eine deutsche Kindergeschichte")</f>
        <v>Das weiße Band - Eine deutsche Kindergeschichte</v>
      </c>
      <c r="M1833" s="5" t="str">
        <f>IFERROR(__xludf.DUMMYFUNCTION("""COMPUTED_VALUE"""),"History")</f>
        <v>History</v>
      </c>
      <c r="N1833" s="5">
        <f>IFERROR(__xludf.DUMMYFUNCTION("""COMPUTED_VALUE"""),2.0)</f>
        <v>2</v>
      </c>
      <c r="S1833" s="5">
        <f>IFERROR(__xludf.DUMMYFUNCTION("""COMPUTED_VALUE"""),725.0)</f>
        <v>725</v>
      </c>
      <c r="T1833" s="5" t="str">
        <f>IFERROR(__xludf.DUMMYFUNCTION("""COMPUTED_VALUE"""),"Get Out")</f>
        <v>Get Out</v>
      </c>
      <c r="U1833" s="5" t="str">
        <f>IFERROR(__xludf.DUMMYFUNCTION("""COMPUTED_VALUE"""),"Mystery")</f>
        <v>Mystery</v>
      </c>
      <c r="V1833" s="5">
        <f>IFERROR(__xludf.DUMMYFUNCTION("""COMPUTED_VALUE"""),2.0)</f>
        <v>2</v>
      </c>
    </row>
    <row r="1834">
      <c r="J1834" s="5" t="str">
        <f>IFERROR(__xludf.DUMMYFUNCTION("""COMPUTED_VALUE"""),"611🤙🏼Das weiße Band - Eine deutsche Kindergeschichte🤙🏼Mystery🤙🏼3")</f>
        <v>611🤙🏼Das weiße Band - Eine deutsche Kindergeschichte🤙🏼Mystery🤙🏼3</v>
      </c>
      <c r="K1834" s="5">
        <f>IFERROR(__xludf.DUMMYFUNCTION("SPLiT(J1834, ""🤙🏼"",FALSE,FALSE)"),611.0)</f>
        <v>611</v>
      </c>
      <c r="L1834" s="5" t="str">
        <f>IFERROR(__xludf.DUMMYFUNCTION("""COMPUTED_VALUE"""),"Das weiße Band - Eine deutsche Kindergeschichte")</f>
        <v>Das weiße Band - Eine deutsche Kindergeschichte</v>
      </c>
      <c r="M1834" s="5" t="str">
        <f>IFERROR(__xludf.DUMMYFUNCTION("""COMPUTED_VALUE"""),"Mystery")</f>
        <v>Mystery</v>
      </c>
      <c r="N1834" s="5">
        <f>IFERROR(__xludf.DUMMYFUNCTION("""COMPUTED_VALUE"""),3.0)</f>
        <v>3</v>
      </c>
      <c r="S1834" s="5">
        <f>IFERROR(__xludf.DUMMYFUNCTION("""COMPUTED_VALUE"""),725.0)</f>
        <v>725</v>
      </c>
      <c r="T1834" s="5" t="str">
        <f>IFERROR(__xludf.DUMMYFUNCTION("""COMPUTED_VALUE"""),"Get Out")</f>
        <v>Get Out</v>
      </c>
      <c r="U1834" s="5" t="str">
        <f>IFERROR(__xludf.DUMMYFUNCTION("""COMPUTED_VALUE"""),"Thriller")</f>
        <v>Thriller</v>
      </c>
      <c r="V1834" s="5">
        <f>IFERROR(__xludf.DUMMYFUNCTION("""COMPUTED_VALUE"""),3.0)</f>
        <v>3</v>
      </c>
    </row>
    <row r="1835">
      <c r="J1835" s="5" t="str">
        <f>IFERROR(__xludf.DUMMYFUNCTION("""COMPUTED_VALUE"""),"612🤙🏼Män som hatar kvinnor🤙🏼Crime🤙🏼1")</f>
        <v>612🤙🏼Män som hatar kvinnor🤙🏼Crime🤙🏼1</v>
      </c>
      <c r="K1835" s="5">
        <f>IFERROR(__xludf.DUMMYFUNCTION("SPLiT(J1835, ""🤙🏼"",FALSE,FALSE)"),612.0)</f>
        <v>612</v>
      </c>
      <c r="L1835" s="5" t="str">
        <f>IFERROR(__xludf.DUMMYFUNCTION("""COMPUTED_VALUE"""),"Män som hatar kvinnor")</f>
        <v>Män som hatar kvinnor</v>
      </c>
      <c r="M1835" s="5" t="str">
        <f>IFERROR(__xludf.DUMMYFUNCTION("""COMPUTED_VALUE"""),"Crime")</f>
        <v>Crime</v>
      </c>
      <c r="N1835" s="5">
        <f>IFERROR(__xludf.DUMMYFUNCTION("""COMPUTED_VALUE"""),1.0)</f>
        <v>1</v>
      </c>
      <c r="S1835" s="5">
        <f>IFERROR(__xludf.DUMMYFUNCTION("""COMPUTED_VALUE"""),726.0)</f>
        <v>726</v>
      </c>
      <c r="T1835" s="5" t="str">
        <f>IFERROR(__xludf.DUMMYFUNCTION("""COMPUTED_VALUE"""),"Mission: Impossible - Fallout")</f>
        <v>Mission: Impossible - Fallout</v>
      </c>
      <c r="U1835" s="5" t="str">
        <f>IFERROR(__xludf.DUMMYFUNCTION("""COMPUTED_VALUE"""),"Action")</f>
        <v>Action</v>
      </c>
      <c r="V1835" s="5">
        <f>IFERROR(__xludf.DUMMYFUNCTION("""COMPUTED_VALUE"""),1.0)</f>
        <v>1</v>
      </c>
    </row>
    <row r="1836">
      <c r="J1836" s="5" t="str">
        <f>IFERROR(__xludf.DUMMYFUNCTION("""COMPUTED_VALUE"""),"612🤙🏼Män som hatar kvinnor🤙🏼Drama🤙🏼2")</f>
        <v>612🤙🏼Män som hatar kvinnor🤙🏼Drama🤙🏼2</v>
      </c>
      <c r="K1836" s="5">
        <f>IFERROR(__xludf.DUMMYFUNCTION("SPLiT(J1836, ""🤙🏼"",FALSE,FALSE)"),612.0)</f>
        <v>612</v>
      </c>
      <c r="L1836" s="5" t="str">
        <f>IFERROR(__xludf.DUMMYFUNCTION("""COMPUTED_VALUE"""),"Män som hatar kvinnor")</f>
        <v>Män som hatar kvinnor</v>
      </c>
      <c r="M1836" s="5" t="str">
        <f>IFERROR(__xludf.DUMMYFUNCTION("""COMPUTED_VALUE"""),"Drama")</f>
        <v>Drama</v>
      </c>
      <c r="N1836" s="5">
        <f>IFERROR(__xludf.DUMMYFUNCTION("""COMPUTED_VALUE"""),2.0)</f>
        <v>2</v>
      </c>
      <c r="S1836" s="5">
        <f>IFERROR(__xludf.DUMMYFUNCTION("""COMPUTED_VALUE"""),726.0)</f>
        <v>726</v>
      </c>
      <c r="T1836" s="5" t="str">
        <f>IFERROR(__xludf.DUMMYFUNCTION("""COMPUTED_VALUE"""),"Mission: Impossible - Fallout")</f>
        <v>Mission: Impossible - Fallout</v>
      </c>
      <c r="U1836" s="5" t="str">
        <f>IFERROR(__xludf.DUMMYFUNCTION("""COMPUTED_VALUE"""),"Adventure")</f>
        <v>Adventure</v>
      </c>
      <c r="V1836" s="5">
        <f>IFERROR(__xludf.DUMMYFUNCTION("""COMPUTED_VALUE"""),2.0)</f>
        <v>2</v>
      </c>
    </row>
    <row r="1837">
      <c r="J1837" s="5" t="str">
        <f>IFERROR(__xludf.DUMMYFUNCTION("""COMPUTED_VALUE"""),"612🤙🏼Män som hatar kvinnor🤙🏼Mystery🤙🏼3")</f>
        <v>612🤙🏼Män som hatar kvinnor🤙🏼Mystery🤙🏼3</v>
      </c>
      <c r="K1837" s="5">
        <f>IFERROR(__xludf.DUMMYFUNCTION("SPLiT(J1837, ""🤙🏼"",FALSE,FALSE)"),612.0)</f>
        <v>612</v>
      </c>
      <c r="L1837" s="5" t="str">
        <f>IFERROR(__xludf.DUMMYFUNCTION("""COMPUTED_VALUE"""),"Män som hatar kvinnor")</f>
        <v>Män som hatar kvinnor</v>
      </c>
      <c r="M1837" s="5" t="str">
        <f>IFERROR(__xludf.DUMMYFUNCTION("""COMPUTED_VALUE"""),"Mystery")</f>
        <v>Mystery</v>
      </c>
      <c r="N1837" s="5">
        <f>IFERROR(__xludf.DUMMYFUNCTION("""COMPUTED_VALUE"""),3.0)</f>
        <v>3</v>
      </c>
      <c r="S1837" s="5">
        <f>IFERROR(__xludf.DUMMYFUNCTION("""COMPUTED_VALUE"""),726.0)</f>
        <v>726</v>
      </c>
      <c r="T1837" s="5" t="str">
        <f>IFERROR(__xludf.DUMMYFUNCTION("""COMPUTED_VALUE"""),"Mission: Impossible - Fallout")</f>
        <v>Mission: Impossible - Fallout</v>
      </c>
      <c r="U1837" s="5" t="str">
        <f>IFERROR(__xludf.DUMMYFUNCTION("""COMPUTED_VALUE"""),"Thriller")</f>
        <v>Thriller</v>
      </c>
      <c r="V1837" s="5">
        <f>IFERROR(__xludf.DUMMYFUNCTION("""COMPUTED_VALUE"""),3.0)</f>
        <v>3</v>
      </c>
    </row>
    <row r="1838">
      <c r="J1838" s="5" t="str">
        <f>IFERROR(__xludf.DUMMYFUNCTION("""COMPUTED_VALUE"""),"613🤙🏼The Trial of the Chicago 7🤙🏼Drama🤙🏼1")</f>
        <v>613🤙🏼The Trial of the Chicago 7🤙🏼Drama🤙🏼1</v>
      </c>
      <c r="K1838" s="5">
        <f>IFERROR(__xludf.DUMMYFUNCTION("SPLiT(J1838, ""🤙🏼"",FALSE,FALSE)"),613.0)</f>
        <v>613</v>
      </c>
      <c r="L1838" s="5" t="str">
        <f>IFERROR(__xludf.DUMMYFUNCTION("""COMPUTED_VALUE"""),"The Trial of the Chicago 7")</f>
        <v>The Trial of the Chicago 7</v>
      </c>
      <c r="M1838" s="5" t="str">
        <f>IFERROR(__xludf.DUMMYFUNCTION("""COMPUTED_VALUE"""),"Drama")</f>
        <v>Drama</v>
      </c>
      <c r="N1838" s="5">
        <f>IFERROR(__xludf.DUMMYFUNCTION("""COMPUTED_VALUE"""),1.0)</f>
        <v>1</v>
      </c>
      <c r="S1838" s="5">
        <f>IFERROR(__xludf.DUMMYFUNCTION("""COMPUTED_VALUE"""),727.0)</f>
        <v>727</v>
      </c>
      <c r="T1838" s="5" t="str">
        <f>IFERROR(__xludf.DUMMYFUNCTION("""COMPUTED_VALUE"""),"En man som heter Ove")</f>
        <v>En man som heter Ove</v>
      </c>
      <c r="U1838" s="5" t="str">
        <f>IFERROR(__xludf.DUMMYFUNCTION("""COMPUTED_VALUE"""),"Comedy")</f>
        <v>Comedy</v>
      </c>
      <c r="V1838" s="5">
        <f>IFERROR(__xludf.DUMMYFUNCTION("""COMPUTED_VALUE"""),1.0)</f>
        <v>1</v>
      </c>
    </row>
    <row r="1839">
      <c r="J1839" s="5" t="str">
        <f>IFERROR(__xludf.DUMMYFUNCTION("""COMPUTED_VALUE"""),"613🤙🏼The Trial of the Chicago 7🤙🏼History🤙🏼2")</f>
        <v>613🤙🏼The Trial of the Chicago 7🤙🏼History🤙🏼2</v>
      </c>
      <c r="K1839" s="5">
        <f>IFERROR(__xludf.DUMMYFUNCTION("SPLiT(J1839, ""🤙🏼"",FALSE,FALSE)"),613.0)</f>
        <v>613</v>
      </c>
      <c r="L1839" s="5" t="str">
        <f>IFERROR(__xludf.DUMMYFUNCTION("""COMPUTED_VALUE"""),"The Trial of the Chicago 7")</f>
        <v>The Trial of the Chicago 7</v>
      </c>
      <c r="M1839" s="5" t="str">
        <f>IFERROR(__xludf.DUMMYFUNCTION("""COMPUTED_VALUE"""),"History")</f>
        <v>History</v>
      </c>
      <c r="N1839" s="5">
        <f>IFERROR(__xludf.DUMMYFUNCTION("""COMPUTED_VALUE"""),2.0)</f>
        <v>2</v>
      </c>
      <c r="S1839" s="5">
        <f>IFERROR(__xludf.DUMMYFUNCTION("""COMPUTED_VALUE"""),727.0)</f>
        <v>727</v>
      </c>
      <c r="T1839" s="5" t="str">
        <f>IFERROR(__xludf.DUMMYFUNCTION("""COMPUTED_VALUE"""),"En man som heter Ove")</f>
        <v>En man som heter Ove</v>
      </c>
      <c r="U1839" s="5" t="str">
        <f>IFERROR(__xludf.DUMMYFUNCTION("""COMPUTED_VALUE"""),"Drama")</f>
        <v>Drama</v>
      </c>
      <c r="V1839" s="5">
        <f>IFERROR(__xludf.DUMMYFUNCTION("""COMPUTED_VALUE"""),2.0)</f>
        <v>2</v>
      </c>
    </row>
    <row r="1840">
      <c r="J1840" s="5" t="str">
        <f>IFERROR(__xludf.DUMMYFUNCTION("""COMPUTED_VALUE"""),"613🤙🏼The Trial of the Chicago 7🤙🏼Thriller🤙🏼3")</f>
        <v>613🤙🏼The Trial of the Chicago 7🤙🏼Thriller🤙🏼3</v>
      </c>
      <c r="K1840" s="5">
        <f>IFERROR(__xludf.DUMMYFUNCTION("SPLiT(J1840, ""🤙🏼"",FALSE,FALSE)"),613.0)</f>
        <v>613</v>
      </c>
      <c r="L1840" s="5" t="str">
        <f>IFERROR(__xludf.DUMMYFUNCTION("""COMPUTED_VALUE"""),"The Trial of the Chicago 7")</f>
        <v>The Trial of the Chicago 7</v>
      </c>
      <c r="M1840" s="5" t="str">
        <f>IFERROR(__xludf.DUMMYFUNCTION("""COMPUTED_VALUE"""),"Thriller")</f>
        <v>Thriller</v>
      </c>
      <c r="N1840" s="5">
        <f>IFERROR(__xludf.DUMMYFUNCTION("""COMPUTED_VALUE"""),3.0)</f>
        <v>3</v>
      </c>
      <c r="S1840" s="5">
        <f>IFERROR(__xludf.DUMMYFUNCTION("""COMPUTED_VALUE"""),727.0)</f>
        <v>727</v>
      </c>
      <c r="T1840" s="5" t="str">
        <f>IFERROR(__xludf.DUMMYFUNCTION("""COMPUTED_VALUE"""),"En man som heter Ove")</f>
        <v>En man som heter Ove</v>
      </c>
      <c r="U1840" s="5" t="str">
        <f>IFERROR(__xludf.DUMMYFUNCTION("""COMPUTED_VALUE"""),"Romance")</f>
        <v>Romance</v>
      </c>
      <c r="V1840" s="5">
        <f>IFERROR(__xludf.DUMMYFUNCTION("""COMPUTED_VALUE"""),3.0)</f>
        <v>3</v>
      </c>
    </row>
    <row r="1841">
      <c r="J1841" s="5" t="str">
        <f>IFERROR(__xludf.DUMMYFUNCTION("""COMPUTED_VALUE"""),"614🤙🏼Druk🤙🏼Comedy🤙🏼1")</f>
        <v>614🤙🏼Druk🤙🏼Comedy🤙🏼1</v>
      </c>
      <c r="K1841" s="5">
        <f>IFERROR(__xludf.DUMMYFUNCTION("SPLiT(J1841, ""🤙🏼"",FALSE,FALSE)"),614.0)</f>
        <v>614</v>
      </c>
      <c r="L1841" s="5" t="str">
        <f>IFERROR(__xludf.DUMMYFUNCTION("""COMPUTED_VALUE"""),"Druk")</f>
        <v>Druk</v>
      </c>
      <c r="M1841" s="5" t="str">
        <f>IFERROR(__xludf.DUMMYFUNCTION("""COMPUTED_VALUE"""),"Comedy")</f>
        <v>Comedy</v>
      </c>
      <c r="N1841" s="5">
        <f>IFERROR(__xludf.DUMMYFUNCTION("""COMPUTED_VALUE"""),1.0)</f>
        <v>1</v>
      </c>
      <c r="S1841" s="5">
        <f>IFERROR(__xludf.DUMMYFUNCTION("""COMPUTED_VALUE"""),728.0)</f>
        <v>728</v>
      </c>
      <c r="T1841" s="5" t="str">
        <f>IFERROR(__xludf.DUMMYFUNCTION("""COMPUTED_VALUE"""),"What We Do in the Shadows")</f>
        <v>What We Do in the Shadows</v>
      </c>
      <c r="U1841" s="5" t="str">
        <f>IFERROR(__xludf.DUMMYFUNCTION("""COMPUTED_VALUE"""),"Comedy")</f>
        <v>Comedy</v>
      </c>
      <c r="V1841" s="5">
        <f>IFERROR(__xludf.DUMMYFUNCTION("""COMPUTED_VALUE"""),1.0)</f>
        <v>1</v>
      </c>
    </row>
    <row r="1842">
      <c r="J1842" s="5" t="str">
        <f>IFERROR(__xludf.DUMMYFUNCTION("""COMPUTED_VALUE"""),"614🤙🏼Druk🤙🏼Drama🤙🏼2")</f>
        <v>614🤙🏼Druk🤙🏼Drama🤙🏼2</v>
      </c>
      <c r="K1842" s="5">
        <f>IFERROR(__xludf.DUMMYFUNCTION("SPLiT(J1842, ""🤙🏼"",FALSE,FALSE)"),614.0)</f>
        <v>614</v>
      </c>
      <c r="L1842" s="5" t="str">
        <f>IFERROR(__xludf.DUMMYFUNCTION("""COMPUTED_VALUE"""),"Druk")</f>
        <v>Druk</v>
      </c>
      <c r="M1842" s="5" t="str">
        <f>IFERROR(__xludf.DUMMYFUNCTION("""COMPUTED_VALUE"""),"Drama")</f>
        <v>Drama</v>
      </c>
      <c r="N1842" s="5">
        <f>IFERROR(__xludf.DUMMYFUNCTION("""COMPUTED_VALUE"""),2.0)</f>
        <v>2</v>
      </c>
      <c r="S1842" s="5">
        <f>IFERROR(__xludf.DUMMYFUNCTION("""COMPUTED_VALUE"""),728.0)</f>
        <v>728</v>
      </c>
      <c r="T1842" s="5" t="str">
        <f>IFERROR(__xludf.DUMMYFUNCTION("""COMPUTED_VALUE"""),"What We Do in the Shadows")</f>
        <v>What We Do in the Shadows</v>
      </c>
      <c r="U1842" s="5" t="str">
        <f>IFERROR(__xludf.DUMMYFUNCTION("""COMPUTED_VALUE"""),"Horror")</f>
        <v>Horror</v>
      </c>
      <c r="V1842" s="5">
        <f>IFERROR(__xludf.DUMMYFUNCTION("""COMPUTED_VALUE"""),2.0)</f>
        <v>2</v>
      </c>
    </row>
    <row r="1843">
      <c r="J1843" s="5" t="str">
        <f>IFERROR(__xludf.DUMMYFUNCTION("""COMPUTED_VALUE"""),"614🤙🏼Druk🤙🏼🤙🏼3")</f>
        <v>614🤙🏼Druk🤙🏼🤙🏼3</v>
      </c>
      <c r="K1843" s="5">
        <f>IFERROR(__xludf.DUMMYFUNCTION("SPLiT(J1843, ""🤙🏼"",FALSE,FALSE)"),614.0)</f>
        <v>614</v>
      </c>
      <c r="L1843" s="5" t="str">
        <f>IFERROR(__xludf.DUMMYFUNCTION("""COMPUTED_VALUE"""),"Druk")</f>
        <v>Druk</v>
      </c>
      <c r="M1843" s="5"/>
      <c r="N1843" s="5">
        <f>IFERROR(__xludf.DUMMYFUNCTION("""COMPUTED_VALUE"""),3.0)</f>
        <v>3</v>
      </c>
      <c r="S1843" s="5">
        <f>IFERROR(__xludf.DUMMYFUNCTION("""COMPUTED_VALUE"""),729.0)</f>
        <v>729</v>
      </c>
      <c r="T1843" s="5" t="str">
        <f>IFERROR(__xludf.DUMMYFUNCTION("""COMPUTED_VALUE"""),"Omoide no Mânî")</f>
        <v>Omoide no Mânî</v>
      </c>
      <c r="U1843" s="5" t="str">
        <f>IFERROR(__xludf.DUMMYFUNCTION("""COMPUTED_VALUE"""),"Animation")</f>
        <v>Animation</v>
      </c>
      <c r="V1843" s="5">
        <f>IFERROR(__xludf.DUMMYFUNCTION("""COMPUTED_VALUE"""),1.0)</f>
        <v>1</v>
      </c>
    </row>
    <row r="1844">
      <c r="J1844" s="5" t="str">
        <f>IFERROR(__xludf.DUMMYFUNCTION("""COMPUTED_VALUE"""),"615🤙🏼The Fighter🤙🏼Biography🤙🏼1")</f>
        <v>615🤙🏼The Fighter🤙🏼Biography🤙🏼1</v>
      </c>
      <c r="K1844" s="5">
        <f>IFERROR(__xludf.DUMMYFUNCTION("SPLiT(J1844, ""🤙🏼"",FALSE,FALSE)"),615.0)</f>
        <v>615</v>
      </c>
      <c r="L1844" s="5" t="str">
        <f>IFERROR(__xludf.DUMMYFUNCTION("""COMPUTED_VALUE"""),"The Fighter")</f>
        <v>The Fighter</v>
      </c>
      <c r="M1844" s="5" t="str">
        <f>IFERROR(__xludf.DUMMYFUNCTION("""COMPUTED_VALUE"""),"Biography")</f>
        <v>Biography</v>
      </c>
      <c r="N1844" s="5">
        <f>IFERROR(__xludf.DUMMYFUNCTION("""COMPUTED_VALUE"""),1.0)</f>
        <v>1</v>
      </c>
      <c r="S1844" s="5">
        <f>IFERROR(__xludf.DUMMYFUNCTION("""COMPUTED_VALUE"""),729.0)</f>
        <v>729</v>
      </c>
      <c r="T1844" s="5" t="str">
        <f>IFERROR(__xludf.DUMMYFUNCTION("""COMPUTED_VALUE"""),"Omoide no Mânî")</f>
        <v>Omoide no Mânî</v>
      </c>
      <c r="U1844" s="5" t="str">
        <f>IFERROR(__xludf.DUMMYFUNCTION("""COMPUTED_VALUE"""),"Drama")</f>
        <v>Drama</v>
      </c>
      <c r="V1844" s="5">
        <f>IFERROR(__xludf.DUMMYFUNCTION("""COMPUTED_VALUE"""),2.0)</f>
        <v>2</v>
      </c>
    </row>
    <row r="1845">
      <c r="J1845" s="5" t="str">
        <f>IFERROR(__xludf.DUMMYFUNCTION("""COMPUTED_VALUE"""),"615🤙🏼The Fighter🤙🏼Drama🤙🏼2")</f>
        <v>615🤙🏼The Fighter🤙🏼Drama🤙🏼2</v>
      </c>
      <c r="K1845" s="5">
        <f>IFERROR(__xludf.DUMMYFUNCTION("SPLiT(J1845, ""🤙🏼"",FALSE,FALSE)"),615.0)</f>
        <v>615</v>
      </c>
      <c r="L1845" s="5" t="str">
        <f>IFERROR(__xludf.DUMMYFUNCTION("""COMPUTED_VALUE"""),"The Fighter")</f>
        <v>The Fighter</v>
      </c>
      <c r="M1845" s="5" t="str">
        <f>IFERROR(__xludf.DUMMYFUNCTION("""COMPUTED_VALUE"""),"Drama")</f>
        <v>Drama</v>
      </c>
      <c r="N1845" s="5">
        <f>IFERROR(__xludf.DUMMYFUNCTION("""COMPUTED_VALUE"""),2.0)</f>
        <v>2</v>
      </c>
      <c r="S1845" s="5">
        <f>IFERROR(__xludf.DUMMYFUNCTION("""COMPUTED_VALUE"""),729.0)</f>
        <v>729</v>
      </c>
      <c r="T1845" s="5" t="str">
        <f>IFERROR(__xludf.DUMMYFUNCTION("""COMPUTED_VALUE"""),"Omoide no Mânî")</f>
        <v>Omoide no Mânî</v>
      </c>
      <c r="U1845" s="5" t="str">
        <f>IFERROR(__xludf.DUMMYFUNCTION("""COMPUTED_VALUE"""),"Family")</f>
        <v>Family</v>
      </c>
      <c r="V1845" s="5">
        <f>IFERROR(__xludf.DUMMYFUNCTION("""COMPUTED_VALUE"""),3.0)</f>
        <v>3</v>
      </c>
    </row>
    <row r="1846">
      <c r="J1846" s="5" t="str">
        <f>IFERROR(__xludf.DUMMYFUNCTION("""COMPUTED_VALUE"""),"615🤙🏼The Fighter🤙🏼Sport🤙🏼3")</f>
        <v>615🤙🏼The Fighter🤙🏼Sport🤙🏼3</v>
      </c>
      <c r="K1846" s="5">
        <f>IFERROR(__xludf.DUMMYFUNCTION("SPLiT(J1846, ""🤙🏼"",FALSE,FALSE)"),615.0)</f>
        <v>615</v>
      </c>
      <c r="L1846" s="5" t="str">
        <f>IFERROR(__xludf.DUMMYFUNCTION("""COMPUTED_VALUE"""),"The Fighter")</f>
        <v>The Fighter</v>
      </c>
      <c r="M1846" s="5" t="str">
        <f>IFERROR(__xludf.DUMMYFUNCTION("""COMPUTED_VALUE"""),"Sport")</f>
        <v>Sport</v>
      </c>
      <c r="N1846" s="5">
        <f>IFERROR(__xludf.DUMMYFUNCTION("""COMPUTED_VALUE"""),3.0)</f>
        <v>3</v>
      </c>
      <c r="S1846" s="5">
        <f>IFERROR(__xludf.DUMMYFUNCTION("""COMPUTED_VALUE"""),730.0)</f>
        <v>730</v>
      </c>
      <c r="T1846" s="5" t="str">
        <f>IFERROR(__xludf.DUMMYFUNCTION("""COMPUTED_VALUE"""),"The Theory of Everything")</f>
        <v>The Theory of Everything</v>
      </c>
      <c r="U1846" s="5" t="str">
        <f>IFERROR(__xludf.DUMMYFUNCTION("""COMPUTED_VALUE"""),"Biography")</f>
        <v>Biography</v>
      </c>
      <c r="V1846" s="5">
        <f>IFERROR(__xludf.DUMMYFUNCTION("""COMPUTED_VALUE"""),1.0)</f>
        <v>1</v>
      </c>
    </row>
    <row r="1847">
      <c r="J1847" s="5" t="str">
        <f>IFERROR(__xludf.DUMMYFUNCTION("""COMPUTED_VALUE"""),"616🤙🏼Taken🤙🏼Action🤙🏼1")</f>
        <v>616🤙🏼Taken🤙🏼Action🤙🏼1</v>
      </c>
      <c r="K1847" s="5">
        <f>IFERROR(__xludf.DUMMYFUNCTION("SPLiT(J1847, ""🤙🏼"",FALSE,FALSE)"),616.0)</f>
        <v>616</v>
      </c>
      <c r="L1847" s="5" t="str">
        <f>IFERROR(__xludf.DUMMYFUNCTION("""COMPUTED_VALUE"""),"Taken")</f>
        <v>Taken</v>
      </c>
      <c r="M1847" s="5" t="str">
        <f>IFERROR(__xludf.DUMMYFUNCTION("""COMPUTED_VALUE"""),"Action")</f>
        <v>Action</v>
      </c>
      <c r="N1847" s="5">
        <f>IFERROR(__xludf.DUMMYFUNCTION("""COMPUTED_VALUE"""),1.0)</f>
        <v>1</v>
      </c>
      <c r="S1847" s="5">
        <f>IFERROR(__xludf.DUMMYFUNCTION("""COMPUTED_VALUE"""),730.0)</f>
        <v>730</v>
      </c>
      <c r="T1847" s="5" t="str">
        <f>IFERROR(__xludf.DUMMYFUNCTION("""COMPUTED_VALUE"""),"The Theory of Everything")</f>
        <v>The Theory of Everything</v>
      </c>
      <c r="U1847" s="5" t="str">
        <f>IFERROR(__xludf.DUMMYFUNCTION("""COMPUTED_VALUE"""),"Drama")</f>
        <v>Drama</v>
      </c>
      <c r="V1847" s="5">
        <f>IFERROR(__xludf.DUMMYFUNCTION("""COMPUTED_VALUE"""),2.0)</f>
        <v>2</v>
      </c>
    </row>
    <row r="1848">
      <c r="J1848" s="5" t="str">
        <f>IFERROR(__xludf.DUMMYFUNCTION("""COMPUTED_VALUE"""),"616🤙🏼Taken🤙🏼Thriller🤙🏼2")</f>
        <v>616🤙🏼Taken🤙🏼Thriller🤙🏼2</v>
      </c>
      <c r="K1848" s="5">
        <f>IFERROR(__xludf.DUMMYFUNCTION("SPLiT(J1848, ""🤙🏼"",FALSE,FALSE)"),616.0)</f>
        <v>616</v>
      </c>
      <c r="L1848" s="5" t="str">
        <f>IFERROR(__xludf.DUMMYFUNCTION("""COMPUTED_VALUE"""),"Taken")</f>
        <v>Taken</v>
      </c>
      <c r="M1848" s="5" t="str">
        <f>IFERROR(__xludf.DUMMYFUNCTION("""COMPUTED_VALUE"""),"Thriller")</f>
        <v>Thriller</v>
      </c>
      <c r="N1848" s="5">
        <f>IFERROR(__xludf.DUMMYFUNCTION("""COMPUTED_VALUE"""),2.0)</f>
        <v>2</v>
      </c>
      <c r="S1848" s="5">
        <f>IFERROR(__xludf.DUMMYFUNCTION("""COMPUTED_VALUE"""),730.0)</f>
        <v>730</v>
      </c>
      <c r="T1848" s="5" t="str">
        <f>IFERROR(__xludf.DUMMYFUNCTION("""COMPUTED_VALUE"""),"The Theory of Everything")</f>
        <v>The Theory of Everything</v>
      </c>
      <c r="U1848" s="5" t="str">
        <f>IFERROR(__xludf.DUMMYFUNCTION("""COMPUTED_VALUE"""),"Romance")</f>
        <v>Romance</v>
      </c>
      <c r="V1848" s="5">
        <f>IFERROR(__xludf.DUMMYFUNCTION("""COMPUTED_VALUE"""),3.0)</f>
        <v>3</v>
      </c>
    </row>
    <row r="1849">
      <c r="J1849" s="5" t="str">
        <f>IFERROR(__xludf.DUMMYFUNCTION("""COMPUTED_VALUE"""),"616🤙🏼Taken🤙🏼🤙🏼3")</f>
        <v>616🤙🏼Taken🤙🏼🤙🏼3</v>
      </c>
      <c r="K1849" s="5">
        <f>IFERROR(__xludf.DUMMYFUNCTION("SPLiT(J1849, ""🤙🏼"",FALSE,FALSE)"),616.0)</f>
        <v>616</v>
      </c>
      <c r="L1849" s="5" t="str">
        <f>IFERROR(__xludf.DUMMYFUNCTION("""COMPUTED_VALUE"""),"Taken")</f>
        <v>Taken</v>
      </c>
      <c r="M1849" s="5"/>
      <c r="N1849" s="5">
        <f>IFERROR(__xludf.DUMMYFUNCTION("""COMPUTED_VALUE"""),3.0)</f>
        <v>3</v>
      </c>
      <c r="S1849" s="5">
        <f>IFERROR(__xludf.DUMMYFUNCTION("""COMPUTED_VALUE"""),731.0)</f>
        <v>731</v>
      </c>
      <c r="T1849" s="5" t="str">
        <f>IFERROR(__xludf.DUMMYFUNCTION("""COMPUTED_VALUE"""),"Kingsman: The Secret Service")</f>
        <v>Kingsman: The Secret Service</v>
      </c>
      <c r="U1849" s="5" t="str">
        <f>IFERROR(__xludf.DUMMYFUNCTION("""COMPUTED_VALUE"""),"Action")</f>
        <v>Action</v>
      </c>
      <c r="V1849" s="5">
        <f>IFERROR(__xludf.DUMMYFUNCTION("""COMPUTED_VALUE"""),1.0)</f>
        <v>1</v>
      </c>
    </row>
    <row r="1850">
      <c r="J1850" s="5" t="str">
        <f>IFERROR(__xludf.DUMMYFUNCTION("""COMPUTED_VALUE"""),"617🤙🏼The Boy in the Striped Pyjamas🤙🏼Drama🤙🏼1")</f>
        <v>617🤙🏼The Boy in the Striped Pyjamas🤙🏼Drama🤙🏼1</v>
      </c>
      <c r="K1850" s="5">
        <f>IFERROR(__xludf.DUMMYFUNCTION("SPLiT(J1850, ""🤙🏼"",FALSE,FALSE)"),617.0)</f>
        <v>617</v>
      </c>
      <c r="L1850" s="5" t="str">
        <f>IFERROR(__xludf.DUMMYFUNCTION("""COMPUTED_VALUE"""),"The Boy in the Striped Pyjamas")</f>
        <v>The Boy in the Striped Pyjamas</v>
      </c>
      <c r="M1850" s="5" t="str">
        <f>IFERROR(__xludf.DUMMYFUNCTION("""COMPUTED_VALUE"""),"Drama")</f>
        <v>Drama</v>
      </c>
      <c r="N1850" s="5">
        <f>IFERROR(__xludf.DUMMYFUNCTION("""COMPUTED_VALUE"""),1.0)</f>
        <v>1</v>
      </c>
      <c r="S1850" s="5">
        <f>IFERROR(__xludf.DUMMYFUNCTION("""COMPUTED_VALUE"""),731.0)</f>
        <v>731</v>
      </c>
      <c r="T1850" s="5" t="str">
        <f>IFERROR(__xludf.DUMMYFUNCTION("""COMPUTED_VALUE"""),"Kingsman: The Secret Service")</f>
        <v>Kingsman: The Secret Service</v>
      </c>
      <c r="U1850" s="5" t="str">
        <f>IFERROR(__xludf.DUMMYFUNCTION("""COMPUTED_VALUE"""),"Adventure")</f>
        <v>Adventure</v>
      </c>
      <c r="V1850" s="5">
        <f>IFERROR(__xludf.DUMMYFUNCTION("""COMPUTED_VALUE"""),2.0)</f>
        <v>2</v>
      </c>
    </row>
    <row r="1851">
      <c r="J1851" s="5" t="str">
        <f>IFERROR(__xludf.DUMMYFUNCTION("""COMPUTED_VALUE"""),"617🤙🏼The Boy in the Striped Pyjamas🤙🏼History🤙🏼2")</f>
        <v>617🤙🏼The Boy in the Striped Pyjamas🤙🏼History🤙🏼2</v>
      </c>
      <c r="K1851" s="5">
        <f>IFERROR(__xludf.DUMMYFUNCTION("SPLiT(J1851, ""🤙🏼"",FALSE,FALSE)"),617.0)</f>
        <v>617</v>
      </c>
      <c r="L1851" s="5" t="str">
        <f>IFERROR(__xludf.DUMMYFUNCTION("""COMPUTED_VALUE"""),"The Boy in the Striped Pyjamas")</f>
        <v>The Boy in the Striped Pyjamas</v>
      </c>
      <c r="M1851" s="5" t="str">
        <f>IFERROR(__xludf.DUMMYFUNCTION("""COMPUTED_VALUE"""),"History")</f>
        <v>History</v>
      </c>
      <c r="N1851" s="5">
        <f>IFERROR(__xludf.DUMMYFUNCTION("""COMPUTED_VALUE"""),2.0)</f>
        <v>2</v>
      </c>
      <c r="S1851" s="5">
        <f>IFERROR(__xludf.DUMMYFUNCTION("""COMPUTED_VALUE"""),731.0)</f>
        <v>731</v>
      </c>
      <c r="T1851" s="5" t="str">
        <f>IFERROR(__xludf.DUMMYFUNCTION("""COMPUTED_VALUE"""),"Kingsman: The Secret Service")</f>
        <v>Kingsman: The Secret Service</v>
      </c>
      <c r="U1851" s="5" t="str">
        <f>IFERROR(__xludf.DUMMYFUNCTION("""COMPUTED_VALUE"""),"Comedy")</f>
        <v>Comedy</v>
      </c>
      <c r="V1851" s="5">
        <f>IFERROR(__xludf.DUMMYFUNCTION("""COMPUTED_VALUE"""),3.0)</f>
        <v>3</v>
      </c>
    </row>
    <row r="1852">
      <c r="J1852" s="5" t="str">
        <f>IFERROR(__xludf.DUMMYFUNCTION("""COMPUTED_VALUE"""),"617🤙🏼The Boy in the Striped Pyjamas🤙🏼War🤙🏼3")</f>
        <v>617🤙🏼The Boy in the Striped Pyjamas🤙🏼War🤙🏼3</v>
      </c>
      <c r="K1852" s="5">
        <f>IFERROR(__xludf.DUMMYFUNCTION("SPLiT(J1852, ""🤙🏼"",FALSE,FALSE)"),617.0)</f>
        <v>617</v>
      </c>
      <c r="L1852" s="5" t="str">
        <f>IFERROR(__xludf.DUMMYFUNCTION("""COMPUTED_VALUE"""),"The Boy in the Striped Pyjamas")</f>
        <v>The Boy in the Striped Pyjamas</v>
      </c>
      <c r="M1852" s="5" t="str">
        <f>IFERROR(__xludf.DUMMYFUNCTION("""COMPUTED_VALUE"""),"War")</f>
        <v>War</v>
      </c>
      <c r="N1852" s="5">
        <f>IFERROR(__xludf.DUMMYFUNCTION("""COMPUTED_VALUE"""),3.0)</f>
        <v>3</v>
      </c>
      <c r="S1852" s="5">
        <f>IFERROR(__xludf.DUMMYFUNCTION("""COMPUTED_VALUE"""),732.0)</f>
        <v>732</v>
      </c>
      <c r="T1852" s="5" t="str">
        <f>IFERROR(__xludf.DUMMYFUNCTION("""COMPUTED_VALUE"""),"The Fault in Our Stars")</f>
        <v>The Fault in Our Stars</v>
      </c>
      <c r="U1852" s="5" t="str">
        <f>IFERROR(__xludf.DUMMYFUNCTION("""COMPUTED_VALUE"""),"Drama")</f>
        <v>Drama</v>
      </c>
      <c r="V1852" s="5">
        <f>IFERROR(__xludf.DUMMYFUNCTION("""COMPUTED_VALUE"""),1.0)</f>
        <v>1</v>
      </c>
    </row>
    <row r="1853">
      <c r="J1853" s="5" t="str">
        <f>IFERROR(__xludf.DUMMYFUNCTION("""COMPUTED_VALUE"""),"618🤙🏼Once🤙🏼Drama🤙🏼1")</f>
        <v>618🤙🏼Once🤙🏼Drama🤙🏼1</v>
      </c>
      <c r="K1853" s="5">
        <f>IFERROR(__xludf.DUMMYFUNCTION("SPLiT(J1853, ""🤙🏼"",FALSE,FALSE)"),618.0)</f>
        <v>618</v>
      </c>
      <c r="L1853" s="5" t="str">
        <f>IFERROR(__xludf.DUMMYFUNCTION("""COMPUTED_VALUE"""),"Once")</f>
        <v>Once</v>
      </c>
      <c r="M1853" s="5" t="str">
        <f>IFERROR(__xludf.DUMMYFUNCTION("""COMPUTED_VALUE"""),"Drama")</f>
        <v>Drama</v>
      </c>
      <c r="N1853" s="5">
        <f>IFERROR(__xludf.DUMMYFUNCTION("""COMPUTED_VALUE"""),1.0)</f>
        <v>1</v>
      </c>
      <c r="S1853" s="5">
        <f>IFERROR(__xludf.DUMMYFUNCTION("""COMPUTED_VALUE"""),732.0)</f>
        <v>732</v>
      </c>
      <c r="T1853" s="5" t="str">
        <f>IFERROR(__xludf.DUMMYFUNCTION("""COMPUTED_VALUE"""),"The Fault in Our Stars")</f>
        <v>The Fault in Our Stars</v>
      </c>
      <c r="U1853" s="5" t="str">
        <f>IFERROR(__xludf.DUMMYFUNCTION("""COMPUTED_VALUE"""),"Romance")</f>
        <v>Romance</v>
      </c>
      <c r="V1853" s="5">
        <f>IFERROR(__xludf.DUMMYFUNCTION("""COMPUTED_VALUE"""),2.0)</f>
        <v>2</v>
      </c>
    </row>
    <row r="1854">
      <c r="J1854" s="5" t="str">
        <f>IFERROR(__xludf.DUMMYFUNCTION("""COMPUTED_VALUE"""),"618🤙🏼Once🤙🏼Music🤙🏼2")</f>
        <v>618🤙🏼Once🤙🏼Music🤙🏼2</v>
      </c>
      <c r="K1854" s="5">
        <f>IFERROR(__xludf.DUMMYFUNCTION("SPLiT(J1854, ""🤙🏼"",FALSE,FALSE)"),618.0)</f>
        <v>618</v>
      </c>
      <c r="L1854" s="5" t="str">
        <f>IFERROR(__xludf.DUMMYFUNCTION("""COMPUTED_VALUE"""),"Once")</f>
        <v>Once</v>
      </c>
      <c r="M1854" s="5" t="str">
        <f>IFERROR(__xludf.DUMMYFUNCTION("""COMPUTED_VALUE"""),"Music")</f>
        <v>Music</v>
      </c>
      <c r="N1854" s="5">
        <f>IFERROR(__xludf.DUMMYFUNCTION("""COMPUTED_VALUE"""),2.0)</f>
        <v>2</v>
      </c>
      <c r="S1854" s="5">
        <f>IFERROR(__xludf.DUMMYFUNCTION("""COMPUTED_VALUE"""),733.0)</f>
        <v>733</v>
      </c>
      <c r="T1854" s="5" t="str">
        <f>IFERROR(__xludf.DUMMYFUNCTION("""COMPUTED_VALUE"""),"Me and Earl and the Dying Girl")</f>
        <v>Me and Earl and the Dying Girl</v>
      </c>
      <c r="U1854" s="5" t="str">
        <f>IFERROR(__xludf.DUMMYFUNCTION("""COMPUTED_VALUE"""),"Comedy")</f>
        <v>Comedy</v>
      </c>
      <c r="V1854" s="5">
        <f>IFERROR(__xludf.DUMMYFUNCTION("""COMPUTED_VALUE"""),1.0)</f>
        <v>1</v>
      </c>
    </row>
    <row r="1855">
      <c r="J1855" s="5" t="str">
        <f>IFERROR(__xludf.DUMMYFUNCTION("""COMPUTED_VALUE"""),"618🤙🏼Once🤙🏼Romance🤙🏼3")</f>
        <v>618🤙🏼Once🤙🏼Romance🤙🏼3</v>
      </c>
      <c r="K1855" s="5">
        <f>IFERROR(__xludf.DUMMYFUNCTION("SPLiT(J1855, ""🤙🏼"",FALSE,FALSE)"),618.0)</f>
        <v>618</v>
      </c>
      <c r="L1855" s="5" t="str">
        <f>IFERROR(__xludf.DUMMYFUNCTION("""COMPUTED_VALUE"""),"Once")</f>
        <v>Once</v>
      </c>
      <c r="M1855" s="5" t="str">
        <f>IFERROR(__xludf.DUMMYFUNCTION("""COMPUTED_VALUE"""),"Romance")</f>
        <v>Romance</v>
      </c>
      <c r="N1855" s="5">
        <f>IFERROR(__xludf.DUMMYFUNCTION("""COMPUTED_VALUE"""),3.0)</f>
        <v>3</v>
      </c>
      <c r="S1855" s="5">
        <f>IFERROR(__xludf.DUMMYFUNCTION("""COMPUTED_VALUE"""),733.0)</f>
        <v>733</v>
      </c>
      <c r="T1855" s="5" t="str">
        <f>IFERROR(__xludf.DUMMYFUNCTION("""COMPUTED_VALUE"""),"Me and Earl and the Dying Girl")</f>
        <v>Me and Earl and the Dying Girl</v>
      </c>
      <c r="U1855" s="5" t="str">
        <f>IFERROR(__xludf.DUMMYFUNCTION("""COMPUTED_VALUE"""),"Drama")</f>
        <v>Drama</v>
      </c>
      <c r="V1855" s="5">
        <f>IFERROR(__xludf.DUMMYFUNCTION("""COMPUTED_VALUE"""),2.0)</f>
        <v>2</v>
      </c>
    </row>
    <row r="1856">
      <c r="J1856" s="5" t="str">
        <f>IFERROR(__xludf.DUMMYFUNCTION("""COMPUTED_VALUE"""),"619🤙🏼The Hobbit: An Unexpected Journey🤙🏼Adventure🤙🏼1")</f>
        <v>619🤙🏼The Hobbit: An Unexpected Journey🤙🏼Adventure🤙🏼1</v>
      </c>
      <c r="K1856" s="5">
        <f>IFERROR(__xludf.DUMMYFUNCTION("SPLiT(J1856, ""🤙🏼"",FALSE,FALSE)"),619.0)</f>
        <v>619</v>
      </c>
      <c r="L1856" s="5" t="str">
        <f>IFERROR(__xludf.DUMMYFUNCTION("""COMPUTED_VALUE"""),"The Hobbit: An Unexpected Journey")</f>
        <v>The Hobbit: An Unexpected Journey</v>
      </c>
      <c r="M1856" s="5" t="str">
        <f>IFERROR(__xludf.DUMMYFUNCTION("""COMPUTED_VALUE"""),"Adventure")</f>
        <v>Adventure</v>
      </c>
      <c r="N1856" s="5">
        <f>IFERROR(__xludf.DUMMYFUNCTION("""COMPUTED_VALUE"""),1.0)</f>
        <v>1</v>
      </c>
      <c r="S1856" s="5">
        <f>IFERROR(__xludf.DUMMYFUNCTION("""COMPUTED_VALUE"""),734.0)</f>
        <v>734</v>
      </c>
      <c r="T1856" s="5" t="str">
        <f>IFERROR(__xludf.DUMMYFUNCTION("""COMPUTED_VALUE"""),"Birdman or (The Unexpected Virtue of Ignorance)")</f>
        <v>Birdman or (The Unexpected Virtue of Ignorance)</v>
      </c>
      <c r="U1856" s="5" t="str">
        <f>IFERROR(__xludf.DUMMYFUNCTION("""COMPUTED_VALUE"""),"Comedy")</f>
        <v>Comedy</v>
      </c>
      <c r="V1856" s="5">
        <f>IFERROR(__xludf.DUMMYFUNCTION("""COMPUTED_VALUE"""),1.0)</f>
        <v>1</v>
      </c>
    </row>
    <row r="1857">
      <c r="J1857" s="5" t="str">
        <f>IFERROR(__xludf.DUMMYFUNCTION("""COMPUTED_VALUE"""),"619🤙🏼The Hobbit: An Unexpected Journey🤙🏼Fantasy🤙🏼2")</f>
        <v>619🤙🏼The Hobbit: An Unexpected Journey🤙🏼Fantasy🤙🏼2</v>
      </c>
      <c r="K1857" s="5">
        <f>IFERROR(__xludf.DUMMYFUNCTION("SPLiT(J1857, ""🤙🏼"",FALSE,FALSE)"),619.0)</f>
        <v>619</v>
      </c>
      <c r="L1857" s="5" t="str">
        <f>IFERROR(__xludf.DUMMYFUNCTION("""COMPUTED_VALUE"""),"The Hobbit: An Unexpected Journey")</f>
        <v>The Hobbit: An Unexpected Journey</v>
      </c>
      <c r="M1857" s="5" t="str">
        <f>IFERROR(__xludf.DUMMYFUNCTION("""COMPUTED_VALUE"""),"Fantasy")</f>
        <v>Fantasy</v>
      </c>
      <c r="N1857" s="5">
        <f>IFERROR(__xludf.DUMMYFUNCTION("""COMPUTED_VALUE"""),2.0)</f>
        <v>2</v>
      </c>
      <c r="S1857" s="5">
        <f>IFERROR(__xludf.DUMMYFUNCTION("""COMPUTED_VALUE"""),734.0)</f>
        <v>734</v>
      </c>
      <c r="T1857" s="5" t="str">
        <f>IFERROR(__xludf.DUMMYFUNCTION("""COMPUTED_VALUE"""),"Birdman or (The Unexpected Virtue of Ignorance)")</f>
        <v>Birdman or (The Unexpected Virtue of Ignorance)</v>
      </c>
      <c r="U1857" s="5" t="str">
        <f>IFERROR(__xludf.DUMMYFUNCTION("""COMPUTED_VALUE"""),"Drama")</f>
        <v>Drama</v>
      </c>
      <c r="V1857" s="5">
        <f>IFERROR(__xludf.DUMMYFUNCTION("""COMPUTED_VALUE"""),2.0)</f>
        <v>2</v>
      </c>
    </row>
    <row r="1858">
      <c r="J1858" s="5" t="str">
        <f>IFERROR(__xludf.DUMMYFUNCTION("""COMPUTED_VALUE"""),"619🤙🏼The Hobbit: An Unexpected Journey🤙🏼🤙🏼3")</f>
        <v>619🤙🏼The Hobbit: An Unexpected Journey🤙🏼🤙🏼3</v>
      </c>
      <c r="K1858" s="5">
        <f>IFERROR(__xludf.DUMMYFUNCTION("SPLiT(J1858, ""🤙🏼"",FALSE,FALSE)"),619.0)</f>
        <v>619</v>
      </c>
      <c r="L1858" s="5" t="str">
        <f>IFERROR(__xludf.DUMMYFUNCTION("""COMPUTED_VALUE"""),"The Hobbit: An Unexpected Journey")</f>
        <v>The Hobbit: An Unexpected Journey</v>
      </c>
      <c r="M1858" s="5"/>
      <c r="N1858" s="5">
        <f>IFERROR(__xludf.DUMMYFUNCTION("""COMPUTED_VALUE"""),3.0)</f>
        <v>3</v>
      </c>
      <c r="S1858" s="5">
        <f>IFERROR(__xludf.DUMMYFUNCTION("""COMPUTED_VALUE"""),735.0)</f>
        <v>735</v>
      </c>
      <c r="T1858" s="5" t="str">
        <f>IFERROR(__xludf.DUMMYFUNCTION("""COMPUTED_VALUE"""),"La vie d'Adèle")</f>
        <v>La vie d'Adèle</v>
      </c>
      <c r="U1858" s="5" t="str">
        <f>IFERROR(__xludf.DUMMYFUNCTION("""COMPUTED_VALUE"""),"Drama")</f>
        <v>Drama</v>
      </c>
      <c r="V1858" s="5">
        <f>IFERROR(__xludf.DUMMYFUNCTION("""COMPUTED_VALUE"""),1.0)</f>
        <v>1</v>
      </c>
    </row>
    <row r="1859">
      <c r="J1859" s="5" t="str">
        <f>IFERROR(__xludf.DUMMYFUNCTION("""COMPUTED_VALUE"""),"620🤙🏼Auf der anderen Seite🤙🏼Drama🤙🏼1")</f>
        <v>620🤙🏼Auf der anderen Seite🤙🏼Drama🤙🏼1</v>
      </c>
      <c r="K1859" s="5">
        <f>IFERROR(__xludf.DUMMYFUNCTION("SPLiT(J1859, ""🤙🏼"",FALSE,FALSE)"),620.0)</f>
        <v>620</v>
      </c>
      <c r="L1859" s="5" t="str">
        <f>IFERROR(__xludf.DUMMYFUNCTION("""COMPUTED_VALUE"""),"Auf der anderen Seite")</f>
        <v>Auf der anderen Seite</v>
      </c>
      <c r="M1859" s="5" t="str">
        <f>IFERROR(__xludf.DUMMYFUNCTION("""COMPUTED_VALUE"""),"Drama")</f>
        <v>Drama</v>
      </c>
      <c r="N1859" s="5">
        <f>IFERROR(__xludf.DUMMYFUNCTION("""COMPUTED_VALUE"""),1.0)</f>
        <v>1</v>
      </c>
      <c r="S1859" s="5">
        <f>IFERROR(__xludf.DUMMYFUNCTION("""COMPUTED_VALUE"""),735.0)</f>
        <v>735</v>
      </c>
      <c r="T1859" s="5" t="str">
        <f>IFERROR(__xludf.DUMMYFUNCTION("""COMPUTED_VALUE"""),"La vie d'Adèle")</f>
        <v>La vie d'Adèle</v>
      </c>
      <c r="U1859" s="5" t="str">
        <f>IFERROR(__xludf.DUMMYFUNCTION("""COMPUTED_VALUE"""),"Romance")</f>
        <v>Romance</v>
      </c>
      <c r="V1859" s="5">
        <f>IFERROR(__xludf.DUMMYFUNCTION("""COMPUTED_VALUE"""),2.0)</f>
        <v>2</v>
      </c>
    </row>
    <row r="1860">
      <c r="J1860" s="5" t="str">
        <f>IFERROR(__xludf.DUMMYFUNCTION("""COMPUTED_VALUE"""),"620🤙🏼Auf der anderen Seite🤙🏼🤙🏼2")</f>
        <v>620🤙🏼Auf der anderen Seite🤙🏼🤙🏼2</v>
      </c>
      <c r="K1860" s="5">
        <f>IFERROR(__xludf.DUMMYFUNCTION("SPLiT(J1860, ""🤙🏼"",FALSE,FALSE)"),620.0)</f>
        <v>620</v>
      </c>
      <c r="L1860" s="5" t="str">
        <f>IFERROR(__xludf.DUMMYFUNCTION("""COMPUTED_VALUE"""),"Auf der anderen Seite")</f>
        <v>Auf der anderen Seite</v>
      </c>
      <c r="M1860" s="5"/>
      <c r="N1860" s="5">
        <f>IFERROR(__xludf.DUMMYFUNCTION("""COMPUTED_VALUE"""),2.0)</f>
        <v>2</v>
      </c>
      <c r="S1860" s="5">
        <f>IFERROR(__xludf.DUMMYFUNCTION("""COMPUTED_VALUE"""),736.0)</f>
        <v>736</v>
      </c>
      <c r="T1860" s="5" t="str">
        <f>IFERROR(__xludf.DUMMYFUNCTION("""COMPUTED_VALUE"""),"Kai po che!")</f>
        <v>Kai po che!</v>
      </c>
      <c r="U1860" s="5" t="str">
        <f>IFERROR(__xludf.DUMMYFUNCTION("""COMPUTED_VALUE"""),"Drama")</f>
        <v>Drama</v>
      </c>
      <c r="V1860" s="5">
        <f>IFERROR(__xludf.DUMMYFUNCTION("""COMPUTED_VALUE"""),1.0)</f>
        <v>1</v>
      </c>
    </row>
    <row r="1861">
      <c r="J1861" s="5" t="str">
        <f>IFERROR(__xludf.DUMMYFUNCTION("""COMPUTED_VALUE"""),"620🤙🏼Auf der anderen Seite🤙🏼🤙🏼3")</f>
        <v>620🤙🏼Auf der anderen Seite🤙🏼🤙🏼3</v>
      </c>
      <c r="K1861" s="5">
        <f>IFERROR(__xludf.DUMMYFUNCTION("SPLiT(J1861, ""🤙🏼"",FALSE,FALSE)"),620.0)</f>
        <v>620</v>
      </c>
      <c r="L1861" s="5" t="str">
        <f>IFERROR(__xludf.DUMMYFUNCTION("""COMPUTED_VALUE"""),"Auf der anderen Seite")</f>
        <v>Auf der anderen Seite</v>
      </c>
      <c r="M1861" s="5"/>
      <c r="N1861" s="5">
        <f>IFERROR(__xludf.DUMMYFUNCTION("""COMPUTED_VALUE"""),3.0)</f>
        <v>3</v>
      </c>
      <c r="S1861" s="5">
        <f>IFERROR(__xludf.DUMMYFUNCTION("""COMPUTED_VALUE"""),736.0)</f>
        <v>736</v>
      </c>
      <c r="T1861" s="5" t="str">
        <f>IFERROR(__xludf.DUMMYFUNCTION("""COMPUTED_VALUE"""),"Kai po che!")</f>
        <v>Kai po che!</v>
      </c>
      <c r="U1861" s="5" t="str">
        <f>IFERROR(__xludf.DUMMYFUNCTION("""COMPUTED_VALUE"""),"Sport")</f>
        <v>Sport</v>
      </c>
      <c r="V1861" s="5">
        <f>IFERROR(__xludf.DUMMYFUNCTION("""COMPUTED_VALUE"""),2.0)</f>
        <v>2</v>
      </c>
    </row>
    <row r="1862">
      <c r="J1862" s="5" t="str">
        <f>IFERROR(__xludf.DUMMYFUNCTION("""COMPUTED_VALUE"""),"621🤙🏼Atonement🤙🏼Drama🤙🏼1")</f>
        <v>621🤙🏼Atonement🤙🏼Drama🤙🏼1</v>
      </c>
      <c r="K1862" s="5">
        <f>IFERROR(__xludf.DUMMYFUNCTION("SPLiT(J1862, ""🤙🏼"",FALSE,FALSE)"),621.0)</f>
        <v>621</v>
      </c>
      <c r="L1862" s="5" t="str">
        <f>IFERROR(__xludf.DUMMYFUNCTION("""COMPUTED_VALUE"""),"Atonement")</f>
        <v>Atonement</v>
      </c>
      <c r="M1862" s="5" t="str">
        <f>IFERROR(__xludf.DUMMYFUNCTION("""COMPUTED_VALUE"""),"Drama")</f>
        <v>Drama</v>
      </c>
      <c r="N1862" s="5">
        <f>IFERROR(__xludf.DUMMYFUNCTION("""COMPUTED_VALUE"""),1.0)</f>
        <v>1</v>
      </c>
      <c r="S1862" s="5">
        <f>IFERROR(__xludf.DUMMYFUNCTION("""COMPUTED_VALUE"""),737.0)</f>
        <v>737</v>
      </c>
      <c r="T1862" s="5" t="str">
        <f>IFERROR(__xludf.DUMMYFUNCTION("""COMPUTED_VALUE"""),"The Broken Circle Breakdown")</f>
        <v>The Broken Circle Breakdown</v>
      </c>
      <c r="U1862" s="5" t="str">
        <f>IFERROR(__xludf.DUMMYFUNCTION("""COMPUTED_VALUE"""),"Drama")</f>
        <v>Drama</v>
      </c>
      <c r="V1862" s="5">
        <f>IFERROR(__xludf.DUMMYFUNCTION("""COMPUTED_VALUE"""),1.0)</f>
        <v>1</v>
      </c>
    </row>
    <row r="1863">
      <c r="J1863" s="5" t="str">
        <f>IFERROR(__xludf.DUMMYFUNCTION("""COMPUTED_VALUE"""),"621🤙🏼Atonement🤙🏼Mystery🤙🏼2")</f>
        <v>621🤙🏼Atonement🤙🏼Mystery🤙🏼2</v>
      </c>
      <c r="K1863" s="5">
        <f>IFERROR(__xludf.DUMMYFUNCTION("SPLiT(J1863, ""🤙🏼"",FALSE,FALSE)"),621.0)</f>
        <v>621</v>
      </c>
      <c r="L1863" s="5" t="str">
        <f>IFERROR(__xludf.DUMMYFUNCTION("""COMPUTED_VALUE"""),"Atonement")</f>
        <v>Atonement</v>
      </c>
      <c r="M1863" s="5" t="str">
        <f>IFERROR(__xludf.DUMMYFUNCTION("""COMPUTED_VALUE"""),"Mystery")</f>
        <v>Mystery</v>
      </c>
      <c r="N1863" s="5">
        <f>IFERROR(__xludf.DUMMYFUNCTION("""COMPUTED_VALUE"""),2.0)</f>
        <v>2</v>
      </c>
      <c r="S1863" s="5">
        <f>IFERROR(__xludf.DUMMYFUNCTION("""COMPUTED_VALUE"""),737.0)</f>
        <v>737</v>
      </c>
      <c r="T1863" s="5" t="str">
        <f>IFERROR(__xludf.DUMMYFUNCTION("""COMPUTED_VALUE"""),"The Broken Circle Breakdown")</f>
        <v>The Broken Circle Breakdown</v>
      </c>
      <c r="U1863" s="5" t="str">
        <f>IFERROR(__xludf.DUMMYFUNCTION("""COMPUTED_VALUE"""),"Music")</f>
        <v>Music</v>
      </c>
      <c r="V1863" s="5">
        <f>IFERROR(__xludf.DUMMYFUNCTION("""COMPUTED_VALUE"""),2.0)</f>
        <v>2</v>
      </c>
    </row>
    <row r="1864">
      <c r="J1864" s="5" t="str">
        <f>IFERROR(__xludf.DUMMYFUNCTION("""COMPUTED_VALUE"""),"621🤙🏼Atonement🤙🏼Romance🤙🏼3")</f>
        <v>621🤙🏼Atonement🤙🏼Romance🤙🏼3</v>
      </c>
      <c r="K1864" s="5">
        <f>IFERROR(__xludf.DUMMYFUNCTION("SPLiT(J1864, ""🤙🏼"",FALSE,FALSE)"),621.0)</f>
        <v>621</v>
      </c>
      <c r="L1864" s="5" t="str">
        <f>IFERROR(__xludf.DUMMYFUNCTION("""COMPUTED_VALUE"""),"Atonement")</f>
        <v>Atonement</v>
      </c>
      <c r="M1864" s="5" t="str">
        <f>IFERROR(__xludf.DUMMYFUNCTION("""COMPUTED_VALUE"""),"Romance")</f>
        <v>Romance</v>
      </c>
      <c r="N1864" s="5">
        <f>IFERROR(__xludf.DUMMYFUNCTION("""COMPUTED_VALUE"""),3.0)</f>
        <v>3</v>
      </c>
      <c r="S1864" s="5">
        <f>IFERROR(__xludf.DUMMYFUNCTION("""COMPUTED_VALUE"""),737.0)</f>
        <v>737</v>
      </c>
      <c r="T1864" s="5" t="str">
        <f>IFERROR(__xludf.DUMMYFUNCTION("""COMPUTED_VALUE"""),"The Broken Circle Breakdown")</f>
        <v>The Broken Circle Breakdown</v>
      </c>
      <c r="U1864" s="5" t="str">
        <f>IFERROR(__xludf.DUMMYFUNCTION("""COMPUTED_VALUE"""),"Romance")</f>
        <v>Romance</v>
      </c>
      <c r="V1864" s="5">
        <f>IFERROR(__xludf.DUMMYFUNCTION("""COMPUTED_VALUE"""),3.0)</f>
        <v>3</v>
      </c>
    </row>
    <row r="1865">
      <c r="J1865" s="5" t="str">
        <f>IFERROR(__xludf.DUMMYFUNCTION("""COMPUTED_VALUE"""),"622🤙🏼Drive🤙🏼Crime🤙🏼1")</f>
        <v>622🤙🏼Drive🤙🏼Crime🤙🏼1</v>
      </c>
      <c r="K1865" s="5">
        <f>IFERROR(__xludf.DUMMYFUNCTION("SPLiT(J1865, ""🤙🏼"",FALSE,FALSE)"),622.0)</f>
        <v>622</v>
      </c>
      <c r="L1865" s="5" t="str">
        <f>IFERROR(__xludf.DUMMYFUNCTION("""COMPUTED_VALUE"""),"Drive")</f>
        <v>Drive</v>
      </c>
      <c r="M1865" s="5" t="str">
        <f>IFERROR(__xludf.DUMMYFUNCTION("""COMPUTED_VALUE"""),"Crime")</f>
        <v>Crime</v>
      </c>
      <c r="N1865" s="5">
        <f>IFERROR(__xludf.DUMMYFUNCTION("""COMPUTED_VALUE"""),1.0)</f>
        <v>1</v>
      </c>
      <c r="S1865" s="5">
        <f>IFERROR(__xludf.DUMMYFUNCTION("""COMPUTED_VALUE"""),738.0)</f>
        <v>738</v>
      </c>
      <c r="T1865" s="5" t="str">
        <f>IFERROR(__xludf.DUMMYFUNCTION("""COMPUTED_VALUE"""),"Captain America: The Winter Soldier")</f>
        <v>Captain America: The Winter Soldier</v>
      </c>
      <c r="U1865" s="5" t="str">
        <f>IFERROR(__xludf.DUMMYFUNCTION("""COMPUTED_VALUE"""),"Action")</f>
        <v>Action</v>
      </c>
      <c r="V1865" s="5">
        <f>IFERROR(__xludf.DUMMYFUNCTION("""COMPUTED_VALUE"""),1.0)</f>
        <v>1</v>
      </c>
    </row>
    <row r="1866">
      <c r="J1866" s="5" t="str">
        <f>IFERROR(__xludf.DUMMYFUNCTION("""COMPUTED_VALUE"""),"622🤙🏼Drive🤙🏼Drama🤙🏼2")</f>
        <v>622🤙🏼Drive🤙🏼Drama🤙🏼2</v>
      </c>
      <c r="K1866" s="5">
        <f>IFERROR(__xludf.DUMMYFUNCTION("SPLiT(J1866, ""🤙🏼"",FALSE,FALSE)"),622.0)</f>
        <v>622</v>
      </c>
      <c r="L1866" s="5" t="str">
        <f>IFERROR(__xludf.DUMMYFUNCTION("""COMPUTED_VALUE"""),"Drive")</f>
        <v>Drive</v>
      </c>
      <c r="M1866" s="5" t="str">
        <f>IFERROR(__xludf.DUMMYFUNCTION("""COMPUTED_VALUE"""),"Drama")</f>
        <v>Drama</v>
      </c>
      <c r="N1866" s="5">
        <f>IFERROR(__xludf.DUMMYFUNCTION("""COMPUTED_VALUE"""),2.0)</f>
        <v>2</v>
      </c>
      <c r="S1866" s="5">
        <f>IFERROR(__xludf.DUMMYFUNCTION("""COMPUTED_VALUE"""),738.0)</f>
        <v>738</v>
      </c>
      <c r="T1866" s="5" t="str">
        <f>IFERROR(__xludf.DUMMYFUNCTION("""COMPUTED_VALUE"""),"Captain America: The Winter Soldier")</f>
        <v>Captain America: The Winter Soldier</v>
      </c>
      <c r="U1866" s="5" t="str">
        <f>IFERROR(__xludf.DUMMYFUNCTION("""COMPUTED_VALUE"""),"Adventure")</f>
        <v>Adventure</v>
      </c>
      <c r="V1866" s="5">
        <f>IFERROR(__xludf.DUMMYFUNCTION("""COMPUTED_VALUE"""),2.0)</f>
        <v>2</v>
      </c>
    </row>
    <row r="1867">
      <c r="J1867" s="5" t="str">
        <f>IFERROR(__xludf.DUMMYFUNCTION("""COMPUTED_VALUE"""),"622🤙🏼Drive🤙🏼🤙🏼3")</f>
        <v>622🤙🏼Drive🤙🏼🤙🏼3</v>
      </c>
      <c r="K1867" s="5">
        <f>IFERROR(__xludf.DUMMYFUNCTION("SPLiT(J1867, ""🤙🏼"",FALSE,FALSE)"),622.0)</f>
        <v>622</v>
      </c>
      <c r="L1867" s="5" t="str">
        <f>IFERROR(__xludf.DUMMYFUNCTION("""COMPUTED_VALUE"""),"Drive")</f>
        <v>Drive</v>
      </c>
      <c r="M1867" s="5"/>
      <c r="N1867" s="5">
        <f>IFERROR(__xludf.DUMMYFUNCTION("""COMPUTED_VALUE"""),3.0)</f>
        <v>3</v>
      </c>
      <c r="S1867" s="5">
        <f>IFERROR(__xludf.DUMMYFUNCTION("""COMPUTED_VALUE"""),738.0)</f>
        <v>738</v>
      </c>
      <c r="T1867" s="5" t="str">
        <f>IFERROR(__xludf.DUMMYFUNCTION("""COMPUTED_VALUE"""),"Captain America: The Winter Soldier")</f>
        <v>Captain America: The Winter Soldier</v>
      </c>
      <c r="U1867" s="5" t="str">
        <f>IFERROR(__xludf.DUMMYFUNCTION("""COMPUTED_VALUE"""),"Sci-Fi")</f>
        <v>Sci-Fi</v>
      </c>
      <c r="V1867" s="5">
        <f>IFERROR(__xludf.DUMMYFUNCTION("""COMPUTED_VALUE"""),3.0)</f>
        <v>3</v>
      </c>
    </row>
    <row r="1868">
      <c r="J1868" s="5" t="str">
        <f>IFERROR(__xludf.DUMMYFUNCTION("""COMPUTED_VALUE"""),"623🤙🏼American Gangster🤙🏼Biography🤙🏼1")</f>
        <v>623🤙🏼American Gangster🤙🏼Biography🤙🏼1</v>
      </c>
      <c r="K1868" s="5">
        <f>IFERROR(__xludf.DUMMYFUNCTION("SPLiT(J1868, ""🤙🏼"",FALSE,FALSE)"),623.0)</f>
        <v>623</v>
      </c>
      <c r="L1868" s="5" t="str">
        <f>IFERROR(__xludf.DUMMYFUNCTION("""COMPUTED_VALUE"""),"American Gangster")</f>
        <v>American Gangster</v>
      </c>
      <c r="M1868" s="5" t="str">
        <f>IFERROR(__xludf.DUMMYFUNCTION("""COMPUTED_VALUE"""),"Biography")</f>
        <v>Biography</v>
      </c>
      <c r="N1868" s="5">
        <f>IFERROR(__xludf.DUMMYFUNCTION("""COMPUTED_VALUE"""),1.0)</f>
        <v>1</v>
      </c>
      <c r="S1868" s="5">
        <f>IFERROR(__xludf.DUMMYFUNCTION("""COMPUTED_VALUE"""),739.0)</f>
        <v>739</v>
      </c>
      <c r="T1868" s="5" t="str">
        <f>IFERROR(__xludf.DUMMYFUNCTION("""COMPUTED_VALUE"""),"Rockstar")</f>
        <v>Rockstar</v>
      </c>
      <c r="U1868" s="5" t="str">
        <f>IFERROR(__xludf.DUMMYFUNCTION("""COMPUTED_VALUE"""),"Drama")</f>
        <v>Drama</v>
      </c>
      <c r="V1868" s="5">
        <f>IFERROR(__xludf.DUMMYFUNCTION("""COMPUTED_VALUE"""),1.0)</f>
        <v>1</v>
      </c>
    </row>
    <row r="1869">
      <c r="J1869" s="5" t="str">
        <f>IFERROR(__xludf.DUMMYFUNCTION("""COMPUTED_VALUE"""),"623🤙🏼American Gangster🤙🏼Crime🤙🏼2")</f>
        <v>623🤙🏼American Gangster🤙🏼Crime🤙🏼2</v>
      </c>
      <c r="K1869" s="5">
        <f>IFERROR(__xludf.DUMMYFUNCTION("SPLiT(J1869, ""🤙🏼"",FALSE,FALSE)"),623.0)</f>
        <v>623</v>
      </c>
      <c r="L1869" s="5" t="str">
        <f>IFERROR(__xludf.DUMMYFUNCTION("""COMPUTED_VALUE"""),"American Gangster")</f>
        <v>American Gangster</v>
      </c>
      <c r="M1869" s="5" t="str">
        <f>IFERROR(__xludf.DUMMYFUNCTION("""COMPUTED_VALUE"""),"Crime")</f>
        <v>Crime</v>
      </c>
      <c r="N1869" s="5">
        <f>IFERROR(__xludf.DUMMYFUNCTION("""COMPUTED_VALUE"""),2.0)</f>
        <v>2</v>
      </c>
      <c r="S1869" s="5">
        <f>IFERROR(__xludf.DUMMYFUNCTION("""COMPUTED_VALUE"""),739.0)</f>
        <v>739</v>
      </c>
      <c r="T1869" s="5" t="str">
        <f>IFERROR(__xludf.DUMMYFUNCTION("""COMPUTED_VALUE"""),"Rockstar")</f>
        <v>Rockstar</v>
      </c>
      <c r="U1869" s="5" t="str">
        <f>IFERROR(__xludf.DUMMYFUNCTION("""COMPUTED_VALUE"""),"Music")</f>
        <v>Music</v>
      </c>
      <c r="V1869" s="5">
        <f>IFERROR(__xludf.DUMMYFUNCTION("""COMPUTED_VALUE"""),2.0)</f>
        <v>2</v>
      </c>
    </row>
    <row r="1870">
      <c r="J1870" s="5" t="str">
        <f>IFERROR(__xludf.DUMMYFUNCTION("""COMPUTED_VALUE"""),"623🤙🏼American Gangster🤙🏼Drama🤙🏼3")</f>
        <v>623🤙🏼American Gangster🤙🏼Drama🤙🏼3</v>
      </c>
      <c r="K1870" s="5">
        <f>IFERROR(__xludf.DUMMYFUNCTION("SPLiT(J1870, ""🤙🏼"",FALSE,FALSE)"),623.0)</f>
        <v>623</v>
      </c>
      <c r="L1870" s="5" t="str">
        <f>IFERROR(__xludf.DUMMYFUNCTION("""COMPUTED_VALUE"""),"American Gangster")</f>
        <v>American Gangster</v>
      </c>
      <c r="M1870" s="5" t="str">
        <f>IFERROR(__xludf.DUMMYFUNCTION("""COMPUTED_VALUE"""),"Drama")</f>
        <v>Drama</v>
      </c>
      <c r="N1870" s="5">
        <f>IFERROR(__xludf.DUMMYFUNCTION("""COMPUTED_VALUE"""),3.0)</f>
        <v>3</v>
      </c>
      <c r="S1870" s="5">
        <f>IFERROR(__xludf.DUMMYFUNCTION("""COMPUTED_VALUE"""),739.0)</f>
        <v>739</v>
      </c>
      <c r="T1870" s="5" t="str">
        <f>IFERROR(__xludf.DUMMYFUNCTION("""COMPUTED_VALUE"""),"Rockstar")</f>
        <v>Rockstar</v>
      </c>
      <c r="U1870" s="5" t="str">
        <f>IFERROR(__xludf.DUMMYFUNCTION("""COMPUTED_VALUE"""),"Musical")</f>
        <v>Musical</v>
      </c>
      <c r="V1870" s="5">
        <f>IFERROR(__xludf.DUMMYFUNCTION("""COMPUTED_VALUE"""),3.0)</f>
        <v>3</v>
      </c>
    </row>
    <row r="1871">
      <c r="J1871" s="5" t="str">
        <f>IFERROR(__xludf.DUMMYFUNCTION("""COMPUTED_VALUE"""),"624🤙🏼Avatar🤙🏼Action🤙🏼1")</f>
        <v>624🤙🏼Avatar🤙🏼Action🤙🏼1</v>
      </c>
      <c r="K1871" s="5">
        <f>IFERROR(__xludf.DUMMYFUNCTION("SPLiT(J1871, ""🤙🏼"",FALSE,FALSE)"),624.0)</f>
        <v>624</v>
      </c>
      <c r="L1871" s="5" t="str">
        <f>IFERROR(__xludf.DUMMYFUNCTION("""COMPUTED_VALUE"""),"Avatar")</f>
        <v>Avatar</v>
      </c>
      <c r="M1871" s="5" t="str">
        <f>IFERROR(__xludf.DUMMYFUNCTION("""COMPUTED_VALUE"""),"Action")</f>
        <v>Action</v>
      </c>
      <c r="N1871" s="5">
        <f>IFERROR(__xludf.DUMMYFUNCTION("""COMPUTED_VALUE"""),1.0)</f>
        <v>1</v>
      </c>
      <c r="S1871" s="5">
        <f>IFERROR(__xludf.DUMMYFUNCTION("""COMPUTED_VALUE"""),740.0)</f>
        <v>740</v>
      </c>
      <c r="T1871" s="5" t="str">
        <f>IFERROR(__xludf.DUMMYFUNCTION("""COMPUTED_VALUE"""),"Nebraska")</f>
        <v>Nebraska</v>
      </c>
      <c r="U1871" s="5" t="str">
        <f>IFERROR(__xludf.DUMMYFUNCTION("""COMPUTED_VALUE"""),"Adventure")</f>
        <v>Adventure</v>
      </c>
      <c r="V1871" s="5">
        <f>IFERROR(__xludf.DUMMYFUNCTION("""COMPUTED_VALUE"""),1.0)</f>
        <v>1</v>
      </c>
    </row>
    <row r="1872">
      <c r="J1872" s="5" t="str">
        <f>IFERROR(__xludf.DUMMYFUNCTION("""COMPUTED_VALUE"""),"624🤙🏼Avatar🤙🏼Adventure🤙🏼2")</f>
        <v>624🤙🏼Avatar🤙🏼Adventure🤙🏼2</v>
      </c>
      <c r="K1872" s="5">
        <f>IFERROR(__xludf.DUMMYFUNCTION("SPLiT(J1872, ""🤙🏼"",FALSE,FALSE)"),624.0)</f>
        <v>624</v>
      </c>
      <c r="L1872" s="5" t="str">
        <f>IFERROR(__xludf.DUMMYFUNCTION("""COMPUTED_VALUE"""),"Avatar")</f>
        <v>Avatar</v>
      </c>
      <c r="M1872" s="5" t="str">
        <f>IFERROR(__xludf.DUMMYFUNCTION("""COMPUTED_VALUE"""),"Adventure")</f>
        <v>Adventure</v>
      </c>
      <c r="N1872" s="5">
        <f>IFERROR(__xludf.DUMMYFUNCTION("""COMPUTED_VALUE"""),2.0)</f>
        <v>2</v>
      </c>
      <c r="S1872" s="5">
        <f>IFERROR(__xludf.DUMMYFUNCTION("""COMPUTED_VALUE"""),740.0)</f>
        <v>740</v>
      </c>
      <c r="T1872" s="5" t="str">
        <f>IFERROR(__xludf.DUMMYFUNCTION("""COMPUTED_VALUE"""),"Nebraska")</f>
        <v>Nebraska</v>
      </c>
      <c r="U1872" s="5" t="str">
        <f>IFERROR(__xludf.DUMMYFUNCTION("""COMPUTED_VALUE"""),"Comedy")</f>
        <v>Comedy</v>
      </c>
      <c r="V1872" s="5">
        <f>IFERROR(__xludf.DUMMYFUNCTION("""COMPUTED_VALUE"""),2.0)</f>
        <v>2</v>
      </c>
    </row>
    <row r="1873">
      <c r="J1873" s="5" t="str">
        <f>IFERROR(__xludf.DUMMYFUNCTION("""COMPUTED_VALUE"""),"624🤙🏼Avatar🤙🏼Fantasy🤙🏼3")</f>
        <v>624🤙🏼Avatar🤙🏼Fantasy🤙🏼3</v>
      </c>
      <c r="K1873" s="5">
        <f>IFERROR(__xludf.DUMMYFUNCTION("SPLiT(J1873, ""🤙🏼"",FALSE,FALSE)"),624.0)</f>
        <v>624</v>
      </c>
      <c r="L1873" s="5" t="str">
        <f>IFERROR(__xludf.DUMMYFUNCTION("""COMPUTED_VALUE"""),"Avatar")</f>
        <v>Avatar</v>
      </c>
      <c r="M1873" s="5" t="str">
        <f>IFERROR(__xludf.DUMMYFUNCTION("""COMPUTED_VALUE"""),"Fantasy")</f>
        <v>Fantasy</v>
      </c>
      <c r="N1873" s="5">
        <f>IFERROR(__xludf.DUMMYFUNCTION("""COMPUTED_VALUE"""),3.0)</f>
        <v>3</v>
      </c>
      <c r="S1873" s="5">
        <f>IFERROR(__xludf.DUMMYFUNCTION("""COMPUTED_VALUE"""),740.0)</f>
        <v>740</v>
      </c>
      <c r="T1873" s="5" t="str">
        <f>IFERROR(__xludf.DUMMYFUNCTION("""COMPUTED_VALUE"""),"Nebraska")</f>
        <v>Nebraska</v>
      </c>
      <c r="U1873" s="5" t="str">
        <f>IFERROR(__xludf.DUMMYFUNCTION("""COMPUTED_VALUE"""),"Drama")</f>
        <v>Drama</v>
      </c>
      <c r="V1873" s="5">
        <f>IFERROR(__xludf.DUMMYFUNCTION("""COMPUTED_VALUE"""),3.0)</f>
        <v>3</v>
      </c>
    </row>
    <row r="1874">
      <c r="J1874" s="5" t="str">
        <f>IFERROR(__xludf.DUMMYFUNCTION("""COMPUTED_VALUE"""),"625🤙🏼Mr. Nobody🤙🏼Drama🤙🏼1")</f>
        <v>625🤙🏼Mr. Nobody🤙🏼Drama🤙🏼1</v>
      </c>
      <c r="K1874" s="5">
        <f>IFERROR(__xludf.DUMMYFUNCTION("SPLiT(J1874, ""🤙🏼"",FALSE,FALSE)"),625.0)</f>
        <v>625</v>
      </c>
      <c r="L1874" s="5" t="str">
        <f>IFERROR(__xludf.DUMMYFUNCTION("""COMPUTED_VALUE"""),"Mr. Nobody")</f>
        <v>Mr. Nobody</v>
      </c>
      <c r="M1874" s="5" t="str">
        <f>IFERROR(__xludf.DUMMYFUNCTION("""COMPUTED_VALUE"""),"Drama")</f>
        <v>Drama</v>
      </c>
      <c r="N1874" s="5">
        <f>IFERROR(__xludf.DUMMYFUNCTION("""COMPUTED_VALUE"""),1.0)</f>
        <v>1</v>
      </c>
      <c r="S1874" s="5">
        <f>IFERROR(__xludf.DUMMYFUNCTION("""COMPUTED_VALUE"""),741.0)</f>
        <v>741</v>
      </c>
      <c r="T1874" s="5" t="str">
        <f>IFERROR(__xludf.DUMMYFUNCTION("""COMPUTED_VALUE"""),"Wreck-It Ralph")</f>
        <v>Wreck-It Ralph</v>
      </c>
      <c r="U1874" s="5" t="str">
        <f>IFERROR(__xludf.DUMMYFUNCTION("""COMPUTED_VALUE"""),"Animation")</f>
        <v>Animation</v>
      </c>
      <c r="V1874" s="5">
        <f>IFERROR(__xludf.DUMMYFUNCTION("""COMPUTED_VALUE"""),1.0)</f>
        <v>1</v>
      </c>
    </row>
    <row r="1875">
      <c r="J1875" s="5" t="str">
        <f>IFERROR(__xludf.DUMMYFUNCTION("""COMPUTED_VALUE"""),"625🤙🏼Mr. Nobody🤙🏼Fantasy🤙🏼2")</f>
        <v>625🤙🏼Mr. Nobody🤙🏼Fantasy🤙🏼2</v>
      </c>
      <c r="K1875" s="5">
        <f>IFERROR(__xludf.DUMMYFUNCTION("SPLiT(J1875, ""🤙🏼"",FALSE,FALSE)"),625.0)</f>
        <v>625</v>
      </c>
      <c r="L1875" s="5" t="str">
        <f>IFERROR(__xludf.DUMMYFUNCTION("""COMPUTED_VALUE"""),"Mr. Nobody")</f>
        <v>Mr. Nobody</v>
      </c>
      <c r="M1875" s="5" t="str">
        <f>IFERROR(__xludf.DUMMYFUNCTION("""COMPUTED_VALUE"""),"Fantasy")</f>
        <v>Fantasy</v>
      </c>
      <c r="N1875" s="5">
        <f>IFERROR(__xludf.DUMMYFUNCTION("""COMPUTED_VALUE"""),2.0)</f>
        <v>2</v>
      </c>
      <c r="S1875" s="5">
        <f>IFERROR(__xludf.DUMMYFUNCTION("""COMPUTED_VALUE"""),741.0)</f>
        <v>741</v>
      </c>
      <c r="T1875" s="5" t="str">
        <f>IFERROR(__xludf.DUMMYFUNCTION("""COMPUTED_VALUE"""),"Wreck-It Ralph")</f>
        <v>Wreck-It Ralph</v>
      </c>
      <c r="U1875" s="5" t="str">
        <f>IFERROR(__xludf.DUMMYFUNCTION("""COMPUTED_VALUE"""),"Adventure")</f>
        <v>Adventure</v>
      </c>
      <c r="V1875" s="5">
        <f>IFERROR(__xludf.DUMMYFUNCTION("""COMPUTED_VALUE"""),2.0)</f>
        <v>2</v>
      </c>
    </row>
    <row r="1876">
      <c r="J1876" s="5" t="str">
        <f>IFERROR(__xludf.DUMMYFUNCTION("""COMPUTED_VALUE"""),"625🤙🏼Mr. Nobody🤙🏼Romance🤙🏼3")</f>
        <v>625🤙🏼Mr. Nobody🤙🏼Romance🤙🏼3</v>
      </c>
      <c r="K1876" s="5">
        <f>IFERROR(__xludf.DUMMYFUNCTION("SPLiT(J1876, ""🤙🏼"",FALSE,FALSE)"),625.0)</f>
        <v>625</v>
      </c>
      <c r="L1876" s="5" t="str">
        <f>IFERROR(__xludf.DUMMYFUNCTION("""COMPUTED_VALUE"""),"Mr. Nobody")</f>
        <v>Mr. Nobody</v>
      </c>
      <c r="M1876" s="5" t="str">
        <f>IFERROR(__xludf.DUMMYFUNCTION("""COMPUTED_VALUE"""),"Romance")</f>
        <v>Romance</v>
      </c>
      <c r="N1876" s="5">
        <f>IFERROR(__xludf.DUMMYFUNCTION("""COMPUTED_VALUE"""),3.0)</f>
        <v>3</v>
      </c>
      <c r="S1876" s="5">
        <f>IFERROR(__xludf.DUMMYFUNCTION("""COMPUTED_VALUE"""),741.0)</f>
        <v>741</v>
      </c>
      <c r="T1876" s="5" t="str">
        <f>IFERROR(__xludf.DUMMYFUNCTION("""COMPUTED_VALUE"""),"Wreck-It Ralph")</f>
        <v>Wreck-It Ralph</v>
      </c>
      <c r="U1876" s="5" t="str">
        <f>IFERROR(__xludf.DUMMYFUNCTION("""COMPUTED_VALUE"""),"Comedy")</f>
        <v>Comedy</v>
      </c>
      <c r="V1876" s="5">
        <f>IFERROR(__xludf.DUMMYFUNCTION("""COMPUTED_VALUE"""),3.0)</f>
        <v>3</v>
      </c>
    </row>
    <row r="1877">
      <c r="J1877" s="5" t="str">
        <f>IFERROR(__xludf.DUMMYFUNCTION("""COMPUTED_VALUE"""),"626🤙🏼Apocalypto🤙🏼Action🤙🏼1")</f>
        <v>626🤙🏼Apocalypto🤙🏼Action🤙🏼1</v>
      </c>
      <c r="K1877" s="5">
        <f>IFERROR(__xludf.DUMMYFUNCTION("SPLiT(J1877, ""🤙🏼"",FALSE,FALSE)"),626.0)</f>
        <v>626</v>
      </c>
      <c r="L1877" s="5" t="str">
        <f>IFERROR(__xludf.DUMMYFUNCTION("""COMPUTED_VALUE"""),"Apocalypto")</f>
        <v>Apocalypto</v>
      </c>
      <c r="M1877" s="5" t="str">
        <f>IFERROR(__xludf.DUMMYFUNCTION("""COMPUTED_VALUE"""),"Action")</f>
        <v>Action</v>
      </c>
      <c r="N1877" s="5">
        <f>IFERROR(__xludf.DUMMYFUNCTION("""COMPUTED_VALUE"""),1.0)</f>
        <v>1</v>
      </c>
      <c r="S1877" s="5">
        <f>IFERROR(__xludf.DUMMYFUNCTION("""COMPUTED_VALUE"""),742.0)</f>
        <v>742</v>
      </c>
      <c r="T1877" s="5" t="str">
        <f>IFERROR(__xludf.DUMMYFUNCTION("""COMPUTED_VALUE"""),"Le Petit Prince")</f>
        <v>Le Petit Prince</v>
      </c>
      <c r="U1877" s="5" t="str">
        <f>IFERROR(__xludf.DUMMYFUNCTION("""COMPUTED_VALUE"""),"Animation")</f>
        <v>Animation</v>
      </c>
      <c r="V1877" s="5">
        <f>IFERROR(__xludf.DUMMYFUNCTION("""COMPUTED_VALUE"""),1.0)</f>
        <v>1</v>
      </c>
    </row>
    <row r="1878">
      <c r="J1878" s="5" t="str">
        <f>IFERROR(__xludf.DUMMYFUNCTION("""COMPUTED_VALUE"""),"626🤙🏼Apocalypto🤙🏼Adventure🤙🏼2")</f>
        <v>626🤙🏼Apocalypto🤙🏼Adventure🤙🏼2</v>
      </c>
      <c r="K1878" s="5">
        <f>IFERROR(__xludf.DUMMYFUNCTION("SPLiT(J1878, ""🤙🏼"",FALSE,FALSE)"),626.0)</f>
        <v>626</v>
      </c>
      <c r="L1878" s="5" t="str">
        <f>IFERROR(__xludf.DUMMYFUNCTION("""COMPUTED_VALUE"""),"Apocalypto")</f>
        <v>Apocalypto</v>
      </c>
      <c r="M1878" s="5" t="str">
        <f>IFERROR(__xludf.DUMMYFUNCTION("""COMPUTED_VALUE"""),"Adventure")</f>
        <v>Adventure</v>
      </c>
      <c r="N1878" s="5">
        <f>IFERROR(__xludf.DUMMYFUNCTION("""COMPUTED_VALUE"""),2.0)</f>
        <v>2</v>
      </c>
      <c r="S1878" s="5">
        <f>IFERROR(__xludf.DUMMYFUNCTION("""COMPUTED_VALUE"""),742.0)</f>
        <v>742</v>
      </c>
      <c r="T1878" s="5" t="str">
        <f>IFERROR(__xludf.DUMMYFUNCTION("""COMPUTED_VALUE"""),"Le Petit Prince")</f>
        <v>Le Petit Prince</v>
      </c>
      <c r="U1878" s="5" t="str">
        <f>IFERROR(__xludf.DUMMYFUNCTION("""COMPUTED_VALUE"""),"Adventure")</f>
        <v>Adventure</v>
      </c>
      <c r="V1878" s="5">
        <f>IFERROR(__xludf.DUMMYFUNCTION("""COMPUTED_VALUE"""),2.0)</f>
        <v>2</v>
      </c>
    </row>
    <row r="1879">
      <c r="J1879" s="5" t="str">
        <f>IFERROR(__xludf.DUMMYFUNCTION("""COMPUTED_VALUE"""),"626🤙🏼Apocalypto🤙🏼Drama🤙🏼3")</f>
        <v>626🤙🏼Apocalypto🤙🏼Drama🤙🏼3</v>
      </c>
      <c r="K1879" s="5">
        <f>IFERROR(__xludf.DUMMYFUNCTION("SPLiT(J1879, ""🤙🏼"",FALSE,FALSE)"),626.0)</f>
        <v>626</v>
      </c>
      <c r="L1879" s="5" t="str">
        <f>IFERROR(__xludf.DUMMYFUNCTION("""COMPUTED_VALUE"""),"Apocalypto")</f>
        <v>Apocalypto</v>
      </c>
      <c r="M1879" s="5" t="str">
        <f>IFERROR(__xludf.DUMMYFUNCTION("""COMPUTED_VALUE"""),"Drama")</f>
        <v>Drama</v>
      </c>
      <c r="N1879" s="5">
        <f>IFERROR(__xludf.DUMMYFUNCTION("""COMPUTED_VALUE"""),3.0)</f>
        <v>3</v>
      </c>
      <c r="S1879" s="5">
        <f>IFERROR(__xludf.DUMMYFUNCTION("""COMPUTED_VALUE"""),742.0)</f>
        <v>742</v>
      </c>
      <c r="T1879" s="5" t="str">
        <f>IFERROR(__xludf.DUMMYFUNCTION("""COMPUTED_VALUE"""),"Le Petit Prince")</f>
        <v>Le Petit Prince</v>
      </c>
      <c r="U1879" s="5" t="str">
        <f>IFERROR(__xludf.DUMMYFUNCTION("""COMPUTED_VALUE"""),"Drama")</f>
        <v>Drama</v>
      </c>
      <c r="V1879" s="5">
        <f>IFERROR(__xludf.DUMMYFUNCTION("""COMPUTED_VALUE"""),3.0)</f>
        <v>3</v>
      </c>
    </row>
    <row r="1880">
      <c r="J1880" s="5" t="str">
        <f>IFERROR(__xludf.DUMMYFUNCTION("""COMPUTED_VALUE"""),"627🤙🏼Little Miss Sunshine🤙🏼Comedy🤙🏼1")</f>
        <v>627🤙🏼Little Miss Sunshine🤙🏼Comedy🤙🏼1</v>
      </c>
      <c r="K1880" s="5">
        <f>IFERROR(__xludf.DUMMYFUNCTION("SPLiT(J1880, ""🤙🏼"",FALSE,FALSE)"),627.0)</f>
        <v>627</v>
      </c>
      <c r="L1880" s="5" t="str">
        <f>IFERROR(__xludf.DUMMYFUNCTION("""COMPUTED_VALUE"""),"Little Miss Sunshine")</f>
        <v>Little Miss Sunshine</v>
      </c>
      <c r="M1880" s="5" t="str">
        <f>IFERROR(__xludf.DUMMYFUNCTION("""COMPUTED_VALUE"""),"Comedy")</f>
        <v>Comedy</v>
      </c>
      <c r="N1880" s="5">
        <f>IFERROR(__xludf.DUMMYFUNCTION("""COMPUTED_VALUE"""),1.0)</f>
        <v>1</v>
      </c>
      <c r="S1880" s="5">
        <f>IFERROR(__xludf.DUMMYFUNCTION("""COMPUTED_VALUE"""),743.0)</f>
        <v>743</v>
      </c>
      <c r="T1880" s="5" t="str">
        <f>IFERROR(__xludf.DUMMYFUNCTION("""COMPUTED_VALUE"""),"Detachment")</f>
        <v>Detachment</v>
      </c>
      <c r="U1880" s="5" t="str">
        <f>IFERROR(__xludf.DUMMYFUNCTION("""COMPUTED_VALUE"""),"Drama")</f>
        <v>Drama</v>
      </c>
      <c r="V1880" s="5">
        <f>IFERROR(__xludf.DUMMYFUNCTION("""COMPUTED_VALUE"""),1.0)</f>
        <v>1</v>
      </c>
    </row>
    <row r="1881">
      <c r="J1881" s="5" t="str">
        <f>IFERROR(__xludf.DUMMYFUNCTION("""COMPUTED_VALUE"""),"627🤙🏼Little Miss Sunshine🤙🏼Drama🤙🏼2")</f>
        <v>627🤙🏼Little Miss Sunshine🤙🏼Drama🤙🏼2</v>
      </c>
      <c r="K1881" s="5">
        <f>IFERROR(__xludf.DUMMYFUNCTION("SPLiT(J1881, ""🤙🏼"",FALSE,FALSE)"),627.0)</f>
        <v>627</v>
      </c>
      <c r="L1881" s="5" t="str">
        <f>IFERROR(__xludf.DUMMYFUNCTION("""COMPUTED_VALUE"""),"Little Miss Sunshine")</f>
        <v>Little Miss Sunshine</v>
      </c>
      <c r="M1881" s="5" t="str">
        <f>IFERROR(__xludf.DUMMYFUNCTION("""COMPUTED_VALUE"""),"Drama")</f>
        <v>Drama</v>
      </c>
      <c r="N1881" s="5">
        <f>IFERROR(__xludf.DUMMYFUNCTION("""COMPUTED_VALUE"""),2.0)</f>
        <v>2</v>
      </c>
      <c r="S1881" s="5">
        <f>IFERROR(__xludf.DUMMYFUNCTION("""COMPUTED_VALUE"""),744.0)</f>
        <v>744</v>
      </c>
      <c r="T1881" s="5" t="str">
        <f>IFERROR(__xludf.DUMMYFUNCTION("""COMPUTED_VALUE"""),"Midnight in Paris")</f>
        <v>Midnight in Paris</v>
      </c>
      <c r="U1881" s="5" t="str">
        <f>IFERROR(__xludf.DUMMYFUNCTION("""COMPUTED_VALUE"""),"Comedy")</f>
        <v>Comedy</v>
      </c>
      <c r="V1881" s="5">
        <f>IFERROR(__xludf.DUMMYFUNCTION("""COMPUTED_VALUE"""),1.0)</f>
        <v>1</v>
      </c>
    </row>
    <row r="1882">
      <c r="J1882" s="5" t="str">
        <f>IFERROR(__xludf.DUMMYFUNCTION("""COMPUTED_VALUE"""),"627🤙🏼Little Miss Sunshine🤙🏼🤙🏼3")</f>
        <v>627🤙🏼Little Miss Sunshine🤙🏼🤙🏼3</v>
      </c>
      <c r="K1882" s="5">
        <f>IFERROR(__xludf.DUMMYFUNCTION("SPLiT(J1882, ""🤙🏼"",FALSE,FALSE)"),627.0)</f>
        <v>627</v>
      </c>
      <c r="L1882" s="5" t="str">
        <f>IFERROR(__xludf.DUMMYFUNCTION("""COMPUTED_VALUE"""),"Little Miss Sunshine")</f>
        <v>Little Miss Sunshine</v>
      </c>
      <c r="M1882" s="5"/>
      <c r="N1882" s="5">
        <f>IFERROR(__xludf.DUMMYFUNCTION("""COMPUTED_VALUE"""),3.0)</f>
        <v>3</v>
      </c>
      <c r="S1882" s="5">
        <f>IFERROR(__xludf.DUMMYFUNCTION("""COMPUTED_VALUE"""),744.0)</f>
        <v>744</v>
      </c>
      <c r="T1882" s="5" t="str">
        <f>IFERROR(__xludf.DUMMYFUNCTION("""COMPUTED_VALUE"""),"Midnight in Paris")</f>
        <v>Midnight in Paris</v>
      </c>
      <c r="U1882" s="5" t="str">
        <f>IFERROR(__xludf.DUMMYFUNCTION("""COMPUTED_VALUE"""),"Fantasy")</f>
        <v>Fantasy</v>
      </c>
      <c r="V1882" s="5">
        <f>IFERROR(__xludf.DUMMYFUNCTION("""COMPUTED_VALUE"""),2.0)</f>
        <v>2</v>
      </c>
    </row>
    <row r="1883">
      <c r="J1883" s="5" t="str">
        <f>IFERROR(__xludf.DUMMYFUNCTION("""COMPUTED_VALUE"""),"628🤙🏼Hot Fuzz🤙🏼Action🤙🏼1")</f>
        <v>628🤙🏼Hot Fuzz🤙🏼Action🤙🏼1</v>
      </c>
      <c r="K1883" s="5">
        <f>IFERROR(__xludf.DUMMYFUNCTION("SPLiT(J1883, ""🤙🏼"",FALSE,FALSE)"),628.0)</f>
        <v>628</v>
      </c>
      <c r="L1883" s="5" t="str">
        <f>IFERROR(__xludf.DUMMYFUNCTION("""COMPUTED_VALUE"""),"Hot Fuzz")</f>
        <v>Hot Fuzz</v>
      </c>
      <c r="M1883" s="5" t="str">
        <f>IFERROR(__xludf.DUMMYFUNCTION("""COMPUTED_VALUE"""),"Action")</f>
        <v>Action</v>
      </c>
      <c r="N1883" s="5">
        <f>IFERROR(__xludf.DUMMYFUNCTION("""COMPUTED_VALUE"""),1.0)</f>
        <v>1</v>
      </c>
      <c r="S1883" s="5">
        <f>IFERROR(__xludf.DUMMYFUNCTION("""COMPUTED_VALUE"""),744.0)</f>
        <v>744</v>
      </c>
      <c r="T1883" s="5" t="str">
        <f>IFERROR(__xludf.DUMMYFUNCTION("""COMPUTED_VALUE"""),"Midnight in Paris")</f>
        <v>Midnight in Paris</v>
      </c>
      <c r="U1883" s="5" t="str">
        <f>IFERROR(__xludf.DUMMYFUNCTION("""COMPUTED_VALUE"""),"Romance")</f>
        <v>Romance</v>
      </c>
      <c r="V1883" s="5">
        <f>IFERROR(__xludf.DUMMYFUNCTION("""COMPUTED_VALUE"""),3.0)</f>
        <v>3</v>
      </c>
    </row>
    <row r="1884">
      <c r="J1884" s="5" t="str">
        <f>IFERROR(__xludf.DUMMYFUNCTION("""COMPUTED_VALUE"""),"628🤙🏼Hot Fuzz🤙🏼Comedy🤙🏼2")</f>
        <v>628🤙🏼Hot Fuzz🤙🏼Comedy🤙🏼2</v>
      </c>
      <c r="K1884" s="5">
        <f>IFERROR(__xludf.DUMMYFUNCTION("SPLiT(J1884, ""🤙🏼"",FALSE,FALSE)"),628.0)</f>
        <v>628</v>
      </c>
      <c r="L1884" s="5" t="str">
        <f>IFERROR(__xludf.DUMMYFUNCTION("""COMPUTED_VALUE"""),"Hot Fuzz")</f>
        <v>Hot Fuzz</v>
      </c>
      <c r="M1884" s="5" t="str">
        <f>IFERROR(__xludf.DUMMYFUNCTION("""COMPUTED_VALUE"""),"Comedy")</f>
        <v>Comedy</v>
      </c>
      <c r="N1884" s="5">
        <f>IFERROR(__xludf.DUMMYFUNCTION("""COMPUTED_VALUE"""),2.0)</f>
        <v>2</v>
      </c>
      <c r="S1884" s="5">
        <f>IFERROR(__xludf.DUMMYFUNCTION("""COMPUTED_VALUE"""),745.0)</f>
        <v>745</v>
      </c>
      <c r="T1884" s="5" t="str">
        <f>IFERROR(__xludf.DUMMYFUNCTION("""COMPUTED_VALUE"""),"The Lego Movie")</f>
        <v>The Lego Movie</v>
      </c>
      <c r="U1884" s="5" t="str">
        <f>IFERROR(__xludf.DUMMYFUNCTION("""COMPUTED_VALUE"""),"Animation")</f>
        <v>Animation</v>
      </c>
      <c r="V1884" s="5">
        <f>IFERROR(__xludf.DUMMYFUNCTION("""COMPUTED_VALUE"""),1.0)</f>
        <v>1</v>
      </c>
    </row>
    <row r="1885">
      <c r="J1885" s="5" t="str">
        <f>IFERROR(__xludf.DUMMYFUNCTION("""COMPUTED_VALUE"""),"628🤙🏼Hot Fuzz🤙🏼Mystery🤙🏼3")</f>
        <v>628🤙🏼Hot Fuzz🤙🏼Mystery🤙🏼3</v>
      </c>
      <c r="K1885" s="5">
        <f>IFERROR(__xludf.DUMMYFUNCTION("SPLiT(J1885, ""🤙🏼"",FALSE,FALSE)"),628.0)</f>
        <v>628</v>
      </c>
      <c r="L1885" s="5" t="str">
        <f>IFERROR(__xludf.DUMMYFUNCTION("""COMPUTED_VALUE"""),"Hot Fuzz")</f>
        <v>Hot Fuzz</v>
      </c>
      <c r="M1885" s="5" t="str">
        <f>IFERROR(__xludf.DUMMYFUNCTION("""COMPUTED_VALUE"""),"Mystery")</f>
        <v>Mystery</v>
      </c>
      <c r="N1885" s="5">
        <f>IFERROR(__xludf.DUMMYFUNCTION("""COMPUTED_VALUE"""),3.0)</f>
        <v>3</v>
      </c>
      <c r="S1885" s="5">
        <f>IFERROR(__xludf.DUMMYFUNCTION("""COMPUTED_VALUE"""),745.0)</f>
        <v>745</v>
      </c>
      <c r="T1885" s="5" t="str">
        <f>IFERROR(__xludf.DUMMYFUNCTION("""COMPUTED_VALUE"""),"The Lego Movie")</f>
        <v>The Lego Movie</v>
      </c>
      <c r="U1885" s="5" t="str">
        <f>IFERROR(__xludf.DUMMYFUNCTION("""COMPUTED_VALUE"""),"Action")</f>
        <v>Action</v>
      </c>
      <c r="V1885" s="5">
        <f>IFERROR(__xludf.DUMMYFUNCTION("""COMPUTED_VALUE"""),2.0)</f>
        <v>2</v>
      </c>
    </row>
    <row r="1886">
      <c r="J1886" s="5" t="str">
        <f>IFERROR(__xludf.DUMMYFUNCTION("""COMPUTED_VALUE"""),"629🤙🏼The Curious Case of Benjamin Button🤙🏼Drama🤙🏼1")</f>
        <v>629🤙🏼The Curious Case of Benjamin Button🤙🏼Drama🤙🏼1</v>
      </c>
      <c r="K1886" s="5">
        <f>IFERROR(__xludf.DUMMYFUNCTION("SPLiT(J1886, ""🤙🏼"",FALSE,FALSE)"),629.0)</f>
        <v>629</v>
      </c>
      <c r="L1886" s="5" t="str">
        <f>IFERROR(__xludf.DUMMYFUNCTION("""COMPUTED_VALUE"""),"The Curious Case of Benjamin Button")</f>
        <v>The Curious Case of Benjamin Button</v>
      </c>
      <c r="M1886" s="5" t="str">
        <f>IFERROR(__xludf.DUMMYFUNCTION("""COMPUTED_VALUE"""),"Drama")</f>
        <v>Drama</v>
      </c>
      <c r="N1886" s="5">
        <f>IFERROR(__xludf.DUMMYFUNCTION("""COMPUTED_VALUE"""),1.0)</f>
        <v>1</v>
      </c>
      <c r="S1886" s="5">
        <f>IFERROR(__xludf.DUMMYFUNCTION("""COMPUTED_VALUE"""),745.0)</f>
        <v>745</v>
      </c>
      <c r="T1886" s="5" t="str">
        <f>IFERROR(__xludf.DUMMYFUNCTION("""COMPUTED_VALUE"""),"The Lego Movie")</f>
        <v>The Lego Movie</v>
      </c>
      <c r="U1886" s="5" t="str">
        <f>IFERROR(__xludf.DUMMYFUNCTION("""COMPUTED_VALUE"""),"Adventure")</f>
        <v>Adventure</v>
      </c>
      <c r="V1886" s="5">
        <f>IFERROR(__xludf.DUMMYFUNCTION("""COMPUTED_VALUE"""),3.0)</f>
        <v>3</v>
      </c>
    </row>
    <row r="1887">
      <c r="J1887" s="5" t="str">
        <f>IFERROR(__xludf.DUMMYFUNCTION("""COMPUTED_VALUE"""),"629🤙🏼The Curious Case of Benjamin Button🤙🏼Fantasy🤙🏼2")</f>
        <v>629🤙🏼The Curious Case of Benjamin Button🤙🏼Fantasy🤙🏼2</v>
      </c>
      <c r="K1887" s="5">
        <f>IFERROR(__xludf.DUMMYFUNCTION("SPLiT(J1887, ""🤙🏼"",FALSE,FALSE)"),629.0)</f>
        <v>629</v>
      </c>
      <c r="L1887" s="5" t="str">
        <f>IFERROR(__xludf.DUMMYFUNCTION("""COMPUTED_VALUE"""),"The Curious Case of Benjamin Button")</f>
        <v>The Curious Case of Benjamin Button</v>
      </c>
      <c r="M1887" s="5" t="str">
        <f>IFERROR(__xludf.DUMMYFUNCTION("""COMPUTED_VALUE"""),"Fantasy")</f>
        <v>Fantasy</v>
      </c>
      <c r="N1887" s="5">
        <f>IFERROR(__xludf.DUMMYFUNCTION("""COMPUTED_VALUE"""),2.0)</f>
        <v>2</v>
      </c>
      <c r="S1887" s="5">
        <f>IFERROR(__xludf.DUMMYFUNCTION("""COMPUTED_VALUE"""),746.0)</f>
        <v>746</v>
      </c>
      <c r="T1887" s="5" t="str">
        <f>IFERROR(__xludf.DUMMYFUNCTION("""COMPUTED_VALUE"""),"Gravity")</f>
        <v>Gravity</v>
      </c>
      <c r="U1887" s="5" t="str">
        <f>IFERROR(__xludf.DUMMYFUNCTION("""COMPUTED_VALUE"""),"Drama")</f>
        <v>Drama</v>
      </c>
      <c r="V1887" s="5">
        <f>IFERROR(__xludf.DUMMYFUNCTION("""COMPUTED_VALUE"""),1.0)</f>
        <v>1</v>
      </c>
    </row>
    <row r="1888">
      <c r="J1888" s="5" t="str">
        <f>IFERROR(__xludf.DUMMYFUNCTION("""COMPUTED_VALUE"""),"629🤙🏼The Curious Case of Benjamin Button🤙🏼Romance🤙🏼3")</f>
        <v>629🤙🏼The Curious Case of Benjamin Button🤙🏼Romance🤙🏼3</v>
      </c>
      <c r="K1888" s="5">
        <f>IFERROR(__xludf.DUMMYFUNCTION("SPLiT(J1888, ""🤙🏼"",FALSE,FALSE)"),629.0)</f>
        <v>629</v>
      </c>
      <c r="L1888" s="5" t="str">
        <f>IFERROR(__xludf.DUMMYFUNCTION("""COMPUTED_VALUE"""),"The Curious Case of Benjamin Button")</f>
        <v>The Curious Case of Benjamin Button</v>
      </c>
      <c r="M1888" s="5" t="str">
        <f>IFERROR(__xludf.DUMMYFUNCTION("""COMPUTED_VALUE"""),"Romance")</f>
        <v>Romance</v>
      </c>
      <c r="N1888" s="5">
        <f>IFERROR(__xludf.DUMMYFUNCTION("""COMPUTED_VALUE"""),3.0)</f>
        <v>3</v>
      </c>
      <c r="S1888" s="5">
        <f>IFERROR(__xludf.DUMMYFUNCTION("""COMPUTED_VALUE"""),746.0)</f>
        <v>746</v>
      </c>
      <c r="T1888" s="5" t="str">
        <f>IFERROR(__xludf.DUMMYFUNCTION("""COMPUTED_VALUE"""),"Gravity")</f>
        <v>Gravity</v>
      </c>
      <c r="U1888" s="5" t="str">
        <f>IFERROR(__xludf.DUMMYFUNCTION("""COMPUTED_VALUE"""),"Sci-Fi")</f>
        <v>Sci-Fi</v>
      </c>
      <c r="V1888" s="5">
        <f>IFERROR(__xludf.DUMMYFUNCTION("""COMPUTED_VALUE"""),2.0)</f>
        <v>2</v>
      </c>
    </row>
    <row r="1889">
      <c r="J1889" s="5" t="str">
        <f>IFERROR(__xludf.DUMMYFUNCTION("""COMPUTED_VALUE"""),"630🤙🏼Veer-Zaara🤙🏼Drama🤙🏼1")</f>
        <v>630🤙🏼Veer-Zaara🤙🏼Drama🤙🏼1</v>
      </c>
      <c r="K1889" s="5">
        <f>IFERROR(__xludf.DUMMYFUNCTION("SPLiT(J1889, ""🤙🏼"",FALSE,FALSE)"),630.0)</f>
        <v>630</v>
      </c>
      <c r="L1889" s="5" t="str">
        <f>IFERROR(__xludf.DUMMYFUNCTION("""COMPUTED_VALUE"""),"Veer-Zaara")</f>
        <v>Veer-Zaara</v>
      </c>
      <c r="M1889" s="5" t="str">
        <f>IFERROR(__xludf.DUMMYFUNCTION("""COMPUTED_VALUE"""),"Drama")</f>
        <v>Drama</v>
      </c>
      <c r="N1889" s="5">
        <f>IFERROR(__xludf.DUMMYFUNCTION("""COMPUTED_VALUE"""),1.0)</f>
        <v>1</v>
      </c>
      <c r="S1889" s="5">
        <f>IFERROR(__xludf.DUMMYFUNCTION("""COMPUTED_VALUE"""),746.0)</f>
        <v>746</v>
      </c>
      <c r="T1889" s="5" t="str">
        <f>IFERROR(__xludf.DUMMYFUNCTION("""COMPUTED_VALUE"""),"Gravity")</f>
        <v>Gravity</v>
      </c>
      <c r="U1889" s="5" t="str">
        <f>IFERROR(__xludf.DUMMYFUNCTION("""COMPUTED_VALUE"""),"Thriller")</f>
        <v>Thriller</v>
      </c>
      <c r="V1889" s="5">
        <f>IFERROR(__xludf.DUMMYFUNCTION("""COMPUTED_VALUE"""),3.0)</f>
        <v>3</v>
      </c>
    </row>
    <row r="1890">
      <c r="J1890" s="5" t="str">
        <f>IFERROR(__xludf.DUMMYFUNCTION("""COMPUTED_VALUE"""),"630🤙🏼Veer-Zaara🤙🏼Family🤙🏼2")</f>
        <v>630🤙🏼Veer-Zaara🤙🏼Family🤙🏼2</v>
      </c>
      <c r="K1890" s="5">
        <f>IFERROR(__xludf.DUMMYFUNCTION("SPLiT(J1890, ""🤙🏼"",FALSE,FALSE)"),630.0)</f>
        <v>630</v>
      </c>
      <c r="L1890" s="5" t="str">
        <f>IFERROR(__xludf.DUMMYFUNCTION("""COMPUTED_VALUE"""),"Veer-Zaara")</f>
        <v>Veer-Zaara</v>
      </c>
      <c r="M1890" s="5" t="str">
        <f>IFERROR(__xludf.DUMMYFUNCTION("""COMPUTED_VALUE"""),"Family")</f>
        <v>Family</v>
      </c>
      <c r="N1890" s="5">
        <f>IFERROR(__xludf.DUMMYFUNCTION("""COMPUTED_VALUE"""),2.0)</f>
        <v>2</v>
      </c>
      <c r="S1890" s="5">
        <f>IFERROR(__xludf.DUMMYFUNCTION("""COMPUTED_VALUE"""),747.0)</f>
        <v>747</v>
      </c>
      <c r="T1890" s="5" t="str">
        <f>IFERROR(__xludf.DUMMYFUNCTION("""COMPUTED_VALUE"""),"Star Trek Into Darkness")</f>
        <v>Star Trek Into Darkness</v>
      </c>
      <c r="U1890" s="5" t="str">
        <f>IFERROR(__xludf.DUMMYFUNCTION("""COMPUTED_VALUE"""),"Action")</f>
        <v>Action</v>
      </c>
      <c r="V1890" s="5">
        <f>IFERROR(__xludf.DUMMYFUNCTION("""COMPUTED_VALUE"""),1.0)</f>
        <v>1</v>
      </c>
    </row>
    <row r="1891">
      <c r="J1891" s="5" t="str">
        <f>IFERROR(__xludf.DUMMYFUNCTION("""COMPUTED_VALUE"""),"630🤙🏼Veer-Zaara🤙🏼Musical🤙🏼3")</f>
        <v>630🤙🏼Veer-Zaara🤙🏼Musical🤙🏼3</v>
      </c>
      <c r="K1891" s="5">
        <f>IFERROR(__xludf.DUMMYFUNCTION("SPLiT(J1891, ""🤙🏼"",FALSE,FALSE)"),630.0)</f>
        <v>630</v>
      </c>
      <c r="L1891" s="5" t="str">
        <f>IFERROR(__xludf.DUMMYFUNCTION("""COMPUTED_VALUE"""),"Veer-Zaara")</f>
        <v>Veer-Zaara</v>
      </c>
      <c r="M1891" s="5" t="str">
        <f>IFERROR(__xludf.DUMMYFUNCTION("""COMPUTED_VALUE"""),"Musical")</f>
        <v>Musical</v>
      </c>
      <c r="N1891" s="5">
        <f>IFERROR(__xludf.DUMMYFUNCTION("""COMPUTED_VALUE"""),3.0)</f>
        <v>3</v>
      </c>
      <c r="S1891" s="5">
        <f>IFERROR(__xludf.DUMMYFUNCTION("""COMPUTED_VALUE"""),747.0)</f>
        <v>747</v>
      </c>
      <c r="T1891" s="5" t="str">
        <f>IFERROR(__xludf.DUMMYFUNCTION("""COMPUTED_VALUE"""),"Star Trek Into Darkness")</f>
        <v>Star Trek Into Darkness</v>
      </c>
      <c r="U1891" s="5" t="str">
        <f>IFERROR(__xludf.DUMMYFUNCTION("""COMPUTED_VALUE"""),"Adventure")</f>
        <v>Adventure</v>
      </c>
      <c r="V1891" s="5">
        <f>IFERROR(__xludf.DUMMYFUNCTION("""COMPUTED_VALUE"""),2.0)</f>
        <v>2</v>
      </c>
    </row>
    <row r="1892">
      <c r="J1892" s="5" t="str">
        <f>IFERROR(__xludf.DUMMYFUNCTION("""COMPUTED_VALUE"""),"631🤙🏼Adams æbler🤙🏼Comedy🤙🏼1")</f>
        <v>631🤙🏼Adams æbler🤙🏼Comedy🤙🏼1</v>
      </c>
      <c r="K1892" s="5">
        <f>IFERROR(__xludf.DUMMYFUNCTION("SPLiT(J1892, ""🤙🏼"",FALSE,FALSE)"),631.0)</f>
        <v>631</v>
      </c>
      <c r="L1892" s="5" t="str">
        <f>IFERROR(__xludf.DUMMYFUNCTION("""COMPUTED_VALUE"""),"Adams æbler")</f>
        <v>Adams æbler</v>
      </c>
      <c r="M1892" s="5" t="str">
        <f>IFERROR(__xludf.DUMMYFUNCTION("""COMPUTED_VALUE"""),"Comedy")</f>
        <v>Comedy</v>
      </c>
      <c r="N1892" s="5">
        <f>IFERROR(__xludf.DUMMYFUNCTION("""COMPUTED_VALUE"""),1.0)</f>
        <v>1</v>
      </c>
      <c r="S1892" s="5">
        <f>IFERROR(__xludf.DUMMYFUNCTION("""COMPUTED_VALUE"""),747.0)</f>
        <v>747</v>
      </c>
      <c r="T1892" s="5" t="str">
        <f>IFERROR(__xludf.DUMMYFUNCTION("""COMPUTED_VALUE"""),"Star Trek Into Darkness")</f>
        <v>Star Trek Into Darkness</v>
      </c>
      <c r="U1892" s="5" t="str">
        <f>IFERROR(__xludf.DUMMYFUNCTION("""COMPUTED_VALUE"""),"Sci-Fi")</f>
        <v>Sci-Fi</v>
      </c>
      <c r="V1892" s="5">
        <f>IFERROR(__xludf.DUMMYFUNCTION("""COMPUTED_VALUE"""),3.0)</f>
        <v>3</v>
      </c>
    </row>
    <row r="1893">
      <c r="J1893" s="5" t="str">
        <f>IFERROR(__xludf.DUMMYFUNCTION("""COMPUTED_VALUE"""),"631🤙🏼Adams æbler🤙🏼Crime🤙🏼2")</f>
        <v>631🤙🏼Adams æbler🤙🏼Crime🤙🏼2</v>
      </c>
      <c r="K1893" s="5">
        <f>IFERROR(__xludf.DUMMYFUNCTION("SPLiT(J1893, ""🤙🏼"",FALSE,FALSE)"),631.0)</f>
        <v>631</v>
      </c>
      <c r="L1893" s="5" t="str">
        <f>IFERROR(__xludf.DUMMYFUNCTION("""COMPUTED_VALUE"""),"Adams æbler")</f>
        <v>Adams æbler</v>
      </c>
      <c r="M1893" s="5" t="str">
        <f>IFERROR(__xludf.DUMMYFUNCTION("""COMPUTED_VALUE"""),"Crime")</f>
        <v>Crime</v>
      </c>
      <c r="N1893" s="5">
        <f>IFERROR(__xludf.DUMMYFUNCTION("""COMPUTED_VALUE"""),2.0)</f>
        <v>2</v>
      </c>
      <c r="S1893" s="5">
        <f>IFERROR(__xludf.DUMMYFUNCTION("""COMPUTED_VALUE"""),748.0)</f>
        <v>748</v>
      </c>
      <c r="T1893" s="5" t="str">
        <f>IFERROR(__xludf.DUMMYFUNCTION("""COMPUTED_VALUE"""),"Beasts of No Nation")</f>
        <v>Beasts of No Nation</v>
      </c>
      <c r="U1893" s="5" t="str">
        <f>IFERROR(__xludf.DUMMYFUNCTION("""COMPUTED_VALUE"""),"Drama")</f>
        <v>Drama</v>
      </c>
      <c r="V1893" s="5">
        <f>IFERROR(__xludf.DUMMYFUNCTION("""COMPUTED_VALUE"""),1.0)</f>
        <v>1</v>
      </c>
    </row>
    <row r="1894">
      <c r="J1894" s="5" t="str">
        <f>IFERROR(__xludf.DUMMYFUNCTION("""COMPUTED_VALUE"""),"631🤙🏼Adams æbler🤙🏼Drama🤙🏼3")</f>
        <v>631🤙🏼Adams æbler🤙🏼Drama🤙🏼3</v>
      </c>
      <c r="K1894" s="5">
        <f>IFERROR(__xludf.DUMMYFUNCTION("SPLiT(J1894, ""🤙🏼"",FALSE,FALSE)"),631.0)</f>
        <v>631</v>
      </c>
      <c r="L1894" s="5" t="str">
        <f>IFERROR(__xludf.DUMMYFUNCTION("""COMPUTED_VALUE"""),"Adams æbler")</f>
        <v>Adams æbler</v>
      </c>
      <c r="M1894" s="5" t="str">
        <f>IFERROR(__xludf.DUMMYFUNCTION("""COMPUTED_VALUE"""),"Drama")</f>
        <v>Drama</v>
      </c>
      <c r="N1894" s="5">
        <f>IFERROR(__xludf.DUMMYFUNCTION("""COMPUTED_VALUE"""),3.0)</f>
        <v>3</v>
      </c>
      <c r="S1894" s="5">
        <f>IFERROR(__xludf.DUMMYFUNCTION("""COMPUTED_VALUE"""),748.0)</f>
        <v>748</v>
      </c>
      <c r="T1894" s="5" t="str">
        <f>IFERROR(__xludf.DUMMYFUNCTION("""COMPUTED_VALUE"""),"Beasts of No Nation")</f>
        <v>Beasts of No Nation</v>
      </c>
      <c r="U1894" s="5" t="str">
        <f>IFERROR(__xludf.DUMMYFUNCTION("""COMPUTED_VALUE"""),"War")</f>
        <v>War</v>
      </c>
      <c r="V1894" s="5">
        <f>IFERROR(__xludf.DUMMYFUNCTION("""COMPUTED_VALUE"""),2.0)</f>
        <v>2</v>
      </c>
    </row>
    <row r="1895">
      <c r="J1895" s="5" t="str">
        <f>IFERROR(__xludf.DUMMYFUNCTION("""COMPUTED_VALUE"""),"632🤙🏼Pride &amp; Prejudice🤙🏼Drama🤙🏼1")</f>
        <v>632🤙🏼Pride &amp; Prejudice🤙🏼Drama🤙🏼1</v>
      </c>
      <c r="K1895" s="5">
        <f>IFERROR(__xludf.DUMMYFUNCTION("SPLiT(J1895, ""🤙🏼"",FALSE,FALSE)"),632.0)</f>
        <v>632</v>
      </c>
      <c r="L1895" s="5" t="str">
        <f>IFERROR(__xludf.DUMMYFUNCTION("""COMPUTED_VALUE"""),"Pride &amp; Prejudice")</f>
        <v>Pride &amp; Prejudice</v>
      </c>
      <c r="M1895" s="5" t="str">
        <f>IFERROR(__xludf.DUMMYFUNCTION("""COMPUTED_VALUE"""),"Drama")</f>
        <v>Drama</v>
      </c>
      <c r="N1895" s="5">
        <f>IFERROR(__xludf.DUMMYFUNCTION("""COMPUTED_VALUE"""),1.0)</f>
        <v>1</v>
      </c>
      <c r="S1895" s="5">
        <f>IFERROR(__xludf.DUMMYFUNCTION("""COMPUTED_VALUE"""),749.0)</f>
        <v>749</v>
      </c>
      <c r="T1895" s="5" t="str">
        <f>IFERROR(__xludf.DUMMYFUNCTION("""COMPUTED_VALUE"""),"The Social Network")</f>
        <v>The Social Network</v>
      </c>
      <c r="U1895" s="5" t="str">
        <f>IFERROR(__xludf.DUMMYFUNCTION("""COMPUTED_VALUE"""),"Biography")</f>
        <v>Biography</v>
      </c>
      <c r="V1895" s="5">
        <f>IFERROR(__xludf.DUMMYFUNCTION("""COMPUTED_VALUE"""),1.0)</f>
        <v>1</v>
      </c>
    </row>
    <row r="1896">
      <c r="J1896" s="5" t="str">
        <f>IFERROR(__xludf.DUMMYFUNCTION("""COMPUTED_VALUE"""),"632🤙🏼Pride &amp; Prejudice🤙🏼Romance🤙🏼2")</f>
        <v>632🤙🏼Pride &amp; Prejudice🤙🏼Romance🤙🏼2</v>
      </c>
      <c r="K1896" s="5">
        <f>IFERROR(__xludf.DUMMYFUNCTION("SPLiT(J1896, ""🤙🏼"",FALSE,FALSE)"),632.0)</f>
        <v>632</v>
      </c>
      <c r="L1896" s="5" t="str">
        <f>IFERROR(__xludf.DUMMYFUNCTION("""COMPUTED_VALUE"""),"Pride &amp; Prejudice")</f>
        <v>Pride &amp; Prejudice</v>
      </c>
      <c r="M1896" s="5" t="str">
        <f>IFERROR(__xludf.DUMMYFUNCTION("""COMPUTED_VALUE"""),"Romance")</f>
        <v>Romance</v>
      </c>
      <c r="N1896" s="5">
        <f>IFERROR(__xludf.DUMMYFUNCTION("""COMPUTED_VALUE"""),2.0)</f>
        <v>2</v>
      </c>
      <c r="S1896" s="5">
        <f>IFERROR(__xludf.DUMMYFUNCTION("""COMPUTED_VALUE"""),749.0)</f>
        <v>749</v>
      </c>
      <c r="T1896" s="5" t="str">
        <f>IFERROR(__xludf.DUMMYFUNCTION("""COMPUTED_VALUE"""),"The Social Network")</f>
        <v>The Social Network</v>
      </c>
      <c r="U1896" s="5" t="str">
        <f>IFERROR(__xludf.DUMMYFUNCTION("""COMPUTED_VALUE"""),"Drama")</f>
        <v>Drama</v>
      </c>
      <c r="V1896" s="5">
        <f>IFERROR(__xludf.DUMMYFUNCTION("""COMPUTED_VALUE"""),2.0)</f>
        <v>2</v>
      </c>
    </row>
    <row r="1897">
      <c r="J1897" s="5" t="str">
        <f>IFERROR(__xludf.DUMMYFUNCTION("""COMPUTED_VALUE"""),"632🤙🏼Pride &amp; Prejudice🤙🏼🤙🏼3")</f>
        <v>632🤙🏼Pride &amp; Prejudice🤙🏼🤙🏼3</v>
      </c>
      <c r="K1897" s="5">
        <f>IFERROR(__xludf.DUMMYFUNCTION("SPLiT(J1897, ""🤙🏼"",FALSE,FALSE)"),632.0)</f>
        <v>632</v>
      </c>
      <c r="L1897" s="5" t="str">
        <f>IFERROR(__xludf.DUMMYFUNCTION("""COMPUTED_VALUE"""),"Pride &amp; Prejudice")</f>
        <v>Pride &amp; Prejudice</v>
      </c>
      <c r="M1897" s="5"/>
      <c r="N1897" s="5">
        <f>IFERROR(__xludf.DUMMYFUNCTION("""COMPUTED_VALUE"""),3.0)</f>
        <v>3</v>
      </c>
      <c r="S1897" s="5">
        <f>IFERROR(__xludf.DUMMYFUNCTION("""COMPUTED_VALUE"""),750.0)</f>
        <v>750</v>
      </c>
      <c r="T1897" s="5" t="str">
        <f>IFERROR(__xludf.DUMMYFUNCTION("""COMPUTED_VALUE"""),"X: First Class")</f>
        <v>X: First Class</v>
      </c>
      <c r="U1897" s="5" t="str">
        <f>IFERROR(__xludf.DUMMYFUNCTION("""COMPUTED_VALUE"""),"Action")</f>
        <v>Action</v>
      </c>
      <c r="V1897" s="5">
        <f>IFERROR(__xludf.DUMMYFUNCTION("""COMPUTED_VALUE"""),1.0)</f>
        <v>1</v>
      </c>
    </row>
    <row r="1898">
      <c r="J1898" s="5" t="str">
        <f>IFERROR(__xludf.DUMMYFUNCTION("""COMPUTED_VALUE"""),"633🤙🏼The World's Fastest Indian🤙🏼Biography🤙🏼1")</f>
        <v>633🤙🏼The World's Fastest Indian🤙🏼Biography🤙🏼1</v>
      </c>
      <c r="K1898" s="5">
        <f>IFERROR(__xludf.DUMMYFUNCTION("SPLiT(J1898, ""🤙🏼"",FALSE,FALSE)"),633.0)</f>
        <v>633</v>
      </c>
      <c r="L1898" s="5" t="str">
        <f>IFERROR(__xludf.DUMMYFUNCTION("""COMPUTED_VALUE"""),"The World's Fastest Indian")</f>
        <v>The World's Fastest Indian</v>
      </c>
      <c r="M1898" s="5" t="str">
        <f>IFERROR(__xludf.DUMMYFUNCTION("""COMPUTED_VALUE"""),"Biography")</f>
        <v>Biography</v>
      </c>
      <c r="N1898" s="5">
        <f>IFERROR(__xludf.DUMMYFUNCTION("""COMPUTED_VALUE"""),1.0)</f>
        <v>1</v>
      </c>
      <c r="S1898" s="5">
        <f>IFERROR(__xludf.DUMMYFUNCTION("""COMPUTED_VALUE"""),750.0)</f>
        <v>750</v>
      </c>
      <c r="T1898" s="5" t="str">
        <f>IFERROR(__xludf.DUMMYFUNCTION("""COMPUTED_VALUE"""),"X: First Class")</f>
        <v>X: First Class</v>
      </c>
      <c r="U1898" s="5" t="str">
        <f>IFERROR(__xludf.DUMMYFUNCTION("""COMPUTED_VALUE"""),"Adventure")</f>
        <v>Adventure</v>
      </c>
      <c r="V1898" s="5">
        <f>IFERROR(__xludf.DUMMYFUNCTION("""COMPUTED_VALUE"""),2.0)</f>
        <v>2</v>
      </c>
    </row>
    <row r="1899">
      <c r="J1899" s="5" t="str">
        <f>IFERROR(__xludf.DUMMYFUNCTION("""COMPUTED_VALUE"""),"633🤙🏼The World's Fastest Indian🤙🏼Drama🤙🏼2")</f>
        <v>633🤙🏼The World's Fastest Indian🤙🏼Drama🤙🏼2</v>
      </c>
      <c r="K1899" s="5">
        <f>IFERROR(__xludf.DUMMYFUNCTION("SPLiT(J1899, ""🤙🏼"",FALSE,FALSE)"),633.0)</f>
        <v>633</v>
      </c>
      <c r="L1899" s="5" t="str">
        <f>IFERROR(__xludf.DUMMYFUNCTION("""COMPUTED_VALUE"""),"The World's Fastest Indian")</f>
        <v>The World's Fastest Indian</v>
      </c>
      <c r="M1899" s="5" t="str">
        <f>IFERROR(__xludf.DUMMYFUNCTION("""COMPUTED_VALUE"""),"Drama")</f>
        <v>Drama</v>
      </c>
      <c r="N1899" s="5">
        <f>IFERROR(__xludf.DUMMYFUNCTION("""COMPUTED_VALUE"""),2.0)</f>
        <v>2</v>
      </c>
      <c r="S1899" s="5">
        <f>IFERROR(__xludf.DUMMYFUNCTION("""COMPUTED_VALUE"""),750.0)</f>
        <v>750</v>
      </c>
      <c r="T1899" s="5" t="str">
        <f>IFERROR(__xludf.DUMMYFUNCTION("""COMPUTED_VALUE"""),"X: First Class")</f>
        <v>X: First Class</v>
      </c>
      <c r="U1899" s="5" t="str">
        <f>IFERROR(__xludf.DUMMYFUNCTION("""COMPUTED_VALUE"""),"Sci-Fi")</f>
        <v>Sci-Fi</v>
      </c>
      <c r="V1899" s="5">
        <f>IFERROR(__xludf.DUMMYFUNCTION("""COMPUTED_VALUE"""),3.0)</f>
        <v>3</v>
      </c>
    </row>
    <row r="1900">
      <c r="J1900" s="5" t="str">
        <f>IFERROR(__xludf.DUMMYFUNCTION("""COMPUTED_VALUE"""),"633🤙🏼The World's Fastest Indian🤙🏼Sport🤙🏼3")</f>
        <v>633🤙🏼The World's Fastest Indian🤙🏼Sport🤙🏼3</v>
      </c>
      <c r="K1900" s="5">
        <f>IFERROR(__xludf.DUMMYFUNCTION("SPLiT(J1900, ""🤙🏼"",FALSE,FALSE)"),633.0)</f>
        <v>633</v>
      </c>
      <c r="L1900" s="5" t="str">
        <f>IFERROR(__xludf.DUMMYFUNCTION("""COMPUTED_VALUE"""),"The World's Fastest Indian")</f>
        <v>The World's Fastest Indian</v>
      </c>
      <c r="M1900" s="5" t="str">
        <f>IFERROR(__xludf.DUMMYFUNCTION("""COMPUTED_VALUE"""),"Sport")</f>
        <v>Sport</v>
      </c>
      <c r="N1900" s="5">
        <f>IFERROR(__xludf.DUMMYFUNCTION("""COMPUTED_VALUE"""),3.0)</f>
        <v>3</v>
      </c>
      <c r="S1900" s="5">
        <f>IFERROR(__xludf.DUMMYFUNCTION("""COMPUTED_VALUE"""),751.0)</f>
        <v>751</v>
      </c>
      <c r="T1900" s="5" t="str">
        <f>IFERROR(__xludf.DUMMYFUNCTION("""COMPUTED_VALUE"""),"The Hangover")</f>
        <v>The Hangover</v>
      </c>
      <c r="U1900" s="5" t="str">
        <f>IFERROR(__xludf.DUMMYFUNCTION("""COMPUTED_VALUE"""),"Comedy")</f>
        <v>Comedy</v>
      </c>
      <c r="V1900" s="5">
        <f>IFERROR(__xludf.DUMMYFUNCTION("""COMPUTED_VALUE"""),1.0)</f>
        <v>1</v>
      </c>
    </row>
    <row r="1901">
      <c r="J1901" s="5" t="str">
        <f>IFERROR(__xludf.DUMMYFUNCTION("""COMPUTED_VALUE"""),"634🤙🏼Tôkyô goddofâzâzu🤙🏼Animation🤙🏼1")</f>
        <v>634🤙🏼Tôkyô goddofâzâzu🤙🏼Animation🤙🏼1</v>
      </c>
      <c r="K1901" s="5">
        <f>IFERROR(__xludf.DUMMYFUNCTION("SPLiT(J1901, ""🤙🏼"",FALSE,FALSE)"),634.0)</f>
        <v>634</v>
      </c>
      <c r="L1901" s="5" t="str">
        <f>IFERROR(__xludf.DUMMYFUNCTION("""COMPUTED_VALUE"""),"Tôkyô goddofâzâzu")</f>
        <v>Tôkyô goddofâzâzu</v>
      </c>
      <c r="M1901" s="5" t="str">
        <f>IFERROR(__xludf.DUMMYFUNCTION("""COMPUTED_VALUE"""),"Animation")</f>
        <v>Animation</v>
      </c>
      <c r="N1901" s="5">
        <f>IFERROR(__xludf.DUMMYFUNCTION("""COMPUTED_VALUE"""),1.0)</f>
        <v>1</v>
      </c>
      <c r="S1901" s="5">
        <f>IFERROR(__xludf.DUMMYFUNCTION("""COMPUTED_VALUE"""),752.0)</f>
        <v>752</v>
      </c>
      <c r="T1901" s="5" t="str">
        <f>IFERROR(__xludf.DUMMYFUNCTION("""COMPUTED_VALUE"""),"Skyfall")</f>
        <v>Skyfall</v>
      </c>
      <c r="U1901" s="5" t="str">
        <f>IFERROR(__xludf.DUMMYFUNCTION("""COMPUTED_VALUE"""),"Action")</f>
        <v>Action</v>
      </c>
      <c r="V1901" s="5">
        <f>IFERROR(__xludf.DUMMYFUNCTION("""COMPUTED_VALUE"""),1.0)</f>
        <v>1</v>
      </c>
    </row>
    <row r="1902">
      <c r="J1902" s="5" t="str">
        <f>IFERROR(__xludf.DUMMYFUNCTION("""COMPUTED_VALUE"""),"634🤙🏼Tôkyô goddofâzâzu🤙🏼Adventure🤙🏼2")</f>
        <v>634🤙🏼Tôkyô goddofâzâzu🤙🏼Adventure🤙🏼2</v>
      </c>
      <c r="K1902" s="5">
        <f>IFERROR(__xludf.DUMMYFUNCTION("SPLiT(J1902, ""🤙🏼"",FALSE,FALSE)"),634.0)</f>
        <v>634</v>
      </c>
      <c r="L1902" s="5" t="str">
        <f>IFERROR(__xludf.DUMMYFUNCTION("""COMPUTED_VALUE"""),"Tôkyô goddofâzâzu")</f>
        <v>Tôkyô goddofâzâzu</v>
      </c>
      <c r="M1902" s="5" t="str">
        <f>IFERROR(__xludf.DUMMYFUNCTION("""COMPUTED_VALUE"""),"Adventure")</f>
        <v>Adventure</v>
      </c>
      <c r="N1902" s="5">
        <f>IFERROR(__xludf.DUMMYFUNCTION("""COMPUTED_VALUE"""),2.0)</f>
        <v>2</v>
      </c>
      <c r="S1902" s="5">
        <f>IFERROR(__xludf.DUMMYFUNCTION("""COMPUTED_VALUE"""),752.0)</f>
        <v>752</v>
      </c>
      <c r="T1902" s="5" t="str">
        <f>IFERROR(__xludf.DUMMYFUNCTION("""COMPUTED_VALUE"""),"Skyfall")</f>
        <v>Skyfall</v>
      </c>
      <c r="U1902" s="5" t="str">
        <f>IFERROR(__xludf.DUMMYFUNCTION("""COMPUTED_VALUE"""),"Adventure")</f>
        <v>Adventure</v>
      </c>
      <c r="V1902" s="5">
        <f>IFERROR(__xludf.DUMMYFUNCTION("""COMPUTED_VALUE"""),2.0)</f>
        <v>2</v>
      </c>
    </row>
    <row r="1903">
      <c r="J1903" s="5" t="str">
        <f>IFERROR(__xludf.DUMMYFUNCTION("""COMPUTED_VALUE"""),"634🤙🏼Tôkyô goddofâzâzu🤙🏼Comedy🤙🏼3")</f>
        <v>634🤙🏼Tôkyô goddofâzâzu🤙🏼Comedy🤙🏼3</v>
      </c>
      <c r="K1903" s="5">
        <f>IFERROR(__xludf.DUMMYFUNCTION("SPLiT(J1903, ""🤙🏼"",FALSE,FALSE)"),634.0)</f>
        <v>634</v>
      </c>
      <c r="L1903" s="5" t="str">
        <f>IFERROR(__xludf.DUMMYFUNCTION("""COMPUTED_VALUE"""),"Tôkyô goddofâzâzu")</f>
        <v>Tôkyô goddofâzâzu</v>
      </c>
      <c r="M1903" s="5" t="str">
        <f>IFERROR(__xludf.DUMMYFUNCTION("""COMPUTED_VALUE"""),"Comedy")</f>
        <v>Comedy</v>
      </c>
      <c r="N1903" s="5">
        <f>IFERROR(__xludf.DUMMYFUNCTION("""COMPUTED_VALUE"""),3.0)</f>
        <v>3</v>
      </c>
      <c r="S1903" s="5">
        <f>IFERROR(__xludf.DUMMYFUNCTION("""COMPUTED_VALUE"""),752.0)</f>
        <v>752</v>
      </c>
      <c r="T1903" s="5" t="str">
        <f>IFERROR(__xludf.DUMMYFUNCTION("""COMPUTED_VALUE"""),"Skyfall")</f>
        <v>Skyfall</v>
      </c>
      <c r="U1903" s="5" t="str">
        <f>IFERROR(__xludf.DUMMYFUNCTION("""COMPUTED_VALUE"""),"Thriller")</f>
        <v>Thriller</v>
      </c>
      <c r="V1903" s="5">
        <f>IFERROR(__xludf.DUMMYFUNCTION("""COMPUTED_VALUE"""),3.0)</f>
        <v>3</v>
      </c>
    </row>
    <row r="1904">
      <c r="J1904" s="5" t="str">
        <f>IFERROR(__xludf.DUMMYFUNCTION("""COMPUTED_VALUE"""),"635🤙🏼Serenity🤙🏼Action🤙🏼1")</f>
        <v>635🤙🏼Serenity🤙🏼Action🤙🏼1</v>
      </c>
      <c r="K1904" s="5">
        <f>IFERROR(__xludf.DUMMYFUNCTION("SPLiT(J1904, ""🤙🏼"",FALSE,FALSE)"),635.0)</f>
        <v>635</v>
      </c>
      <c r="L1904" s="5" t="str">
        <f>IFERROR(__xludf.DUMMYFUNCTION("""COMPUTED_VALUE"""),"Serenity")</f>
        <v>Serenity</v>
      </c>
      <c r="M1904" s="5" t="str">
        <f>IFERROR(__xludf.DUMMYFUNCTION("""COMPUTED_VALUE"""),"Action")</f>
        <v>Action</v>
      </c>
      <c r="N1904" s="5">
        <f>IFERROR(__xludf.DUMMYFUNCTION("""COMPUTED_VALUE"""),1.0)</f>
        <v>1</v>
      </c>
      <c r="S1904" s="5">
        <f>IFERROR(__xludf.DUMMYFUNCTION("""COMPUTED_VALUE"""),753.0)</f>
        <v>753</v>
      </c>
      <c r="T1904" s="5" t="str">
        <f>IFERROR(__xludf.DUMMYFUNCTION("""COMPUTED_VALUE"""),"Silver Linings Playbook")</f>
        <v>Silver Linings Playbook</v>
      </c>
      <c r="U1904" s="5" t="str">
        <f>IFERROR(__xludf.DUMMYFUNCTION("""COMPUTED_VALUE"""),"Comedy")</f>
        <v>Comedy</v>
      </c>
      <c r="V1904" s="5">
        <f>IFERROR(__xludf.DUMMYFUNCTION("""COMPUTED_VALUE"""),1.0)</f>
        <v>1</v>
      </c>
    </row>
    <row r="1905">
      <c r="J1905" s="5" t="str">
        <f>IFERROR(__xludf.DUMMYFUNCTION("""COMPUTED_VALUE"""),"635🤙🏼Serenity🤙🏼Adventure🤙🏼2")</f>
        <v>635🤙🏼Serenity🤙🏼Adventure🤙🏼2</v>
      </c>
      <c r="K1905" s="5">
        <f>IFERROR(__xludf.DUMMYFUNCTION("SPLiT(J1905, ""🤙🏼"",FALSE,FALSE)"),635.0)</f>
        <v>635</v>
      </c>
      <c r="L1905" s="5" t="str">
        <f>IFERROR(__xludf.DUMMYFUNCTION("""COMPUTED_VALUE"""),"Serenity")</f>
        <v>Serenity</v>
      </c>
      <c r="M1905" s="5" t="str">
        <f>IFERROR(__xludf.DUMMYFUNCTION("""COMPUTED_VALUE"""),"Adventure")</f>
        <v>Adventure</v>
      </c>
      <c r="N1905" s="5">
        <f>IFERROR(__xludf.DUMMYFUNCTION("""COMPUTED_VALUE"""),2.0)</f>
        <v>2</v>
      </c>
      <c r="S1905" s="5">
        <f>IFERROR(__xludf.DUMMYFUNCTION("""COMPUTED_VALUE"""),753.0)</f>
        <v>753</v>
      </c>
      <c r="T1905" s="5" t="str">
        <f>IFERROR(__xludf.DUMMYFUNCTION("""COMPUTED_VALUE"""),"Silver Linings Playbook")</f>
        <v>Silver Linings Playbook</v>
      </c>
      <c r="U1905" s="5" t="str">
        <f>IFERROR(__xludf.DUMMYFUNCTION("""COMPUTED_VALUE"""),"Drama")</f>
        <v>Drama</v>
      </c>
      <c r="V1905" s="5">
        <f>IFERROR(__xludf.DUMMYFUNCTION("""COMPUTED_VALUE"""),2.0)</f>
        <v>2</v>
      </c>
    </row>
    <row r="1906">
      <c r="J1906" s="5" t="str">
        <f>IFERROR(__xludf.DUMMYFUNCTION("""COMPUTED_VALUE"""),"635🤙🏼Serenity🤙🏼Sci-Fi🤙🏼3")</f>
        <v>635🤙🏼Serenity🤙🏼Sci-Fi🤙🏼3</v>
      </c>
      <c r="K1906" s="5">
        <f>IFERROR(__xludf.DUMMYFUNCTION("SPLiT(J1906, ""🤙🏼"",FALSE,FALSE)"),635.0)</f>
        <v>635</v>
      </c>
      <c r="L1906" s="5" t="str">
        <f>IFERROR(__xludf.DUMMYFUNCTION("""COMPUTED_VALUE"""),"Serenity")</f>
        <v>Serenity</v>
      </c>
      <c r="M1906" s="5" t="str">
        <f>IFERROR(__xludf.DUMMYFUNCTION("""COMPUTED_VALUE"""),"Sci-Fi")</f>
        <v>Sci-Fi</v>
      </c>
      <c r="N1906" s="5">
        <f>IFERROR(__xludf.DUMMYFUNCTION("""COMPUTED_VALUE"""),3.0)</f>
        <v>3</v>
      </c>
      <c r="S1906" s="5">
        <f>IFERROR(__xludf.DUMMYFUNCTION("""COMPUTED_VALUE"""),753.0)</f>
        <v>753</v>
      </c>
      <c r="T1906" s="5" t="str">
        <f>IFERROR(__xludf.DUMMYFUNCTION("""COMPUTED_VALUE"""),"Silver Linings Playbook")</f>
        <v>Silver Linings Playbook</v>
      </c>
      <c r="U1906" s="5" t="str">
        <f>IFERROR(__xludf.DUMMYFUNCTION("""COMPUTED_VALUE"""),"Romance")</f>
        <v>Romance</v>
      </c>
      <c r="V1906" s="5">
        <f>IFERROR(__xludf.DUMMYFUNCTION("""COMPUTED_VALUE"""),3.0)</f>
        <v>3</v>
      </c>
    </row>
    <row r="1907">
      <c r="J1907" s="5" t="str">
        <f>IFERROR(__xludf.DUMMYFUNCTION("""COMPUTED_VALUE"""),"636🤙🏼Walk the Line🤙🏼Biography🤙🏼1")</f>
        <v>636🤙🏼Walk the Line🤙🏼Biography🤙🏼1</v>
      </c>
      <c r="K1907" s="5">
        <f>IFERROR(__xludf.DUMMYFUNCTION("SPLiT(J1907, ""🤙🏼"",FALSE,FALSE)"),636.0)</f>
        <v>636</v>
      </c>
      <c r="L1907" s="5" t="str">
        <f>IFERROR(__xludf.DUMMYFUNCTION("""COMPUTED_VALUE"""),"Walk the Line")</f>
        <v>Walk the Line</v>
      </c>
      <c r="M1907" s="5" t="str">
        <f>IFERROR(__xludf.DUMMYFUNCTION("""COMPUTED_VALUE"""),"Biography")</f>
        <v>Biography</v>
      </c>
      <c r="N1907" s="5">
        <f>IFERROR(__xludf.DUMMYFUNCTION("""COMPUTED_VALUE"""),1.0)</f>
        <v>1</v>
      </c>
      <c r="S1907" s="5">
        <f>IFERROR(__xludf.DUMMYFUNCTION("""COMPUTED_VALUE"""),754.0)</f>
        <v>754</v>
      </c>
      <c r="T1907" s="5" t="str">
        <f>IFERROR(__xludf.DUMMYFUNCTION("""COMPUTED_VALUE"""),"Argo")</f>
        <v>Argo</v>
      </c>
      <c r="U1907" s="5" t="str">
        <f>IFERROR(__xludf.DUMMYFUNCTION("""COMPUTED_VALUE"""),"Biography")</f>
        <v>Biography</v>
      </c>
      <c r="V1907" s="5">
        <f>IFERROR(__xludf.DUMMYFUNCTION("""COMPUTED_VALUE"""),1.0)</f>
        <v>1</v>
      </c>
    </row>
    <row r="1908">
      <c r="J1908" s="5" t="str">
        <f>IFERROR(__xludf.DUMMYFUNCTION("""COMPUTED_VALUE"""),"636🤙🏼Walk the Line🤙🏼Drama🤙🏼2")</f>
        <v>636🤙🏼Walk the Line🤙🏼Drama🤙🏼2</v>
      </c>
      <c r="K1908" s="5">
        <f>IFERROR(__xludf.DUMMYFUNCTION("SPLiT(J1908, ""🤙🏼"",FALSE,FALSE)"),636.0)</f>
        <v>636</v>
      </c>
      <c r="L1908" s="5" t="str">
        <f>IFERROR(__xludf.DUMMYFUNCTION("""COMPUTED_VALUE"""),"Walk the Line")</f>
        <v>Walk the Line</v>
      </c>
      <c r="M1908" s="5" t="str">
        <f>IFERROR(__xludf.DUMMYFUNCTION("""COMPUTED_VALUE"""),"Drama")</f>
        <v>Drama</v>
      </c>
      <c r="N1908" s="5">
        <f>IFERROR(__xludf.DUMMYFUNCTION("""COMPUTED_VALUE"""),2.0)</f>
        <v>2</v>
      </c>
      <c r="S1908" s="5">
        <f>IFERROR(__xludf.DUMMYFUNCTION("""COMPUTED_VALUE"""),754.0)</f>
        <v>754</v>
      </c>
      <c r="T1908" s="5" t="str">
        <f>IFERROR(__xludf.DUMMYFUNCTION("""COMPUTED_VALUE"""),"Argo")</f>
        <v>Argo</v>
      </c>
      <c r="U1908" s="5" t="str">
        <f>IFERROR(__xludf.DUMMYFUNCTION("""COMPUTED_VALUE"""),"Drama")</f>
        <v>Drama</v>
      </c>
      <c r="V1908" s="5">
        <f>IFERROR(__xludf.DUMMYFUNCTION("""COMPUTED_VALUE"""),2.0)</f>
        <v>2</v>
      </c>
    </row>
    <row r="1909">
      <c r="J1909" s="5" t="str">
        <f>IFERROR(__xludf.DUMMYFUNCTION("""COMPUTED_VALUE"""),"636🤙🏼Walk the Line🤙🏼Music🤙🏼3")</f>
        <v>636🤙🏼Walk the Line🤙🏼Music🤙🏼3</v>
      </c>
      <c r="K1909" s="5">
        <f>IFERROR(__xludf.DUMMYFUNCTION("SPLiT(J1909, ""🤙🏼"",FALSE,FALSE)"),636.0)</f>
        <v>636</v>
      </c>
      <c r="L1909" s="5" t="str">
        <f>IFERROR(__xludf.DUMMYFUNCTION("""COMPUTED_VALUE"""),"Walk the Line")</f>
        <v>Walk the Line</v>
      </c>
      <c r="M1909" s="5" t="str">
        <f>IFERROR(__xludf.DUMMYFUNCTION("""COMPUTED_VALUE"""),"Music")</f>
        <v>Music</v>
      </c>
      <c r="N1909" s="5">
        <f>IFERROR(__xludf.DUMMYFUNCTION("""COMPUTED_VALUE"""),3.0)</f>
        <v>3</v>
      </c>
      <c r="S1909" s="5">
        <f>IFERROR(__xludf.DUMMYFUNCTION("""COMPUTED_VALUE"""),754.0)</f>
        <v>754</v>
      </c>
      <c r="T1909" s="5" t="str">
        <f>IFERROR(__xludf.DUMMYFUNCTION("""COMPUTED_VALUE"""),"Argo")</f>
        <v>Argo</v>
      </c>
      <c r="U1909" s="5" t="str">
        <f>IFERROR(__xludf.DUMMYFUNCTION("""COMPUTED_VALUE"""),"Thriller")</f>
        <v>Thriller</v>
      </c>
      <c r="V1909" s="5">
        <f>IFERROR(__xludf.DUMMYFUNCTION("""COMPUTED_VALUE"""),3.0)</f>
        <v>3</v>
      </c>
    </row>
    <row r="1910">
      <c r="J1910" s="5" t="str">
        <f>IFERROR(__xludf.DUMMYFUNCTION("""COMPUTED_VALUE"""),"637🤙🏼Ondskan🤙🏼Drama🤙🏼1")</f>
        <v>637🤙🏼Ondskan🤙🏼Drama🤙🏼1</v>
      </c>
      <c r="K1910" s="5">
        <f>IFERROR(__xludf.DUMMYFUNCTION("SPLiT(J1910, ""🤙🏼"",FALSE,FALSE)"),637.0)</f>
        <v>637</v>
      </c>
      <c r="L1910" s="5" t="str">
        <f>IFERROR(__xludf.DUMMYFUNCTION("""COMPUTED_VALUE"""),"Ondskan")</f>
        <v>Ondskan</v>
      </c>
      <c r="M1910" s="5" t="str">
        <f>IFERROR(__xludf.DUMMYFUNCTION("""COMPUTED_VALUE"""),"Drama")</f>
        <v>Drama</v>
      </c>
      <c r="N1910" s="5">
        <f>IFERROR(__xludf.DUMMYFUNCTION("""COMPUTED_VALUE"""),1.0)</f>
        <v>1</v>
      </c>
      <c r="S1910" s="5">
        <f>IFERROR(__xludf.DUMMYFUNCTION("""COMPUTED_VALUE"""),755.0)</f>
        <v>755</v>
      </c>
      <c r="T1910" s="5" t="str">
        <f>IFERROR(__xludf.DUMMYFUNCTION("""COMPUTED_VALUE"""),"(500) Days of Summer")</f>
        <v>(500) Days of Summer</v>
      </c>
      <c r="U1910" s="5" t="str">
        <f>IFERROR(__xludf.DUMMYFUNCTION("""COMPUTED_VALUE"""),"Comedy")</f>
        <v>Comedy</v>
      </c>
      <c r="V1910" s="5">
        <f>IFERROR(__xludf.DUMMYFUNCTION("""COMPUTED_VALUE"""),1.0)</f>
        <v>1</v>
      </c>
    </row>
    <row r="1911">
      <c r="J1911" s="5" t="str">
        <f>IFERROR(__xludf.DUMMYFUNCTION("""COMPUTED_VALUE"""),"637🤙🏼Ondskan🤙🏼🤙🏼2")</f>
        <v>637🤙🏼Ondskan🤙🏼🤙🏼2</v>
      </c>
      <c r="K1911" s="5">
        <f>IFERROR(__xludf.DUMMYFUNCTION("SPLiT(J1911, ""🤙🏼"",FALSE,FALSE)"),637.0)</f>
        <v>637</v>
      </c>
      <c r="L1911" s="5" t="str">
        <f>IFERROR(__xludf.DUMMYFUNCTION("""COMPUTED_VALUE"""),"Ondskan")</f>
        <v>Ondskan</v>
      </c>
      <c r="M1911" s="5"/>
      <c r="N1911" s="5">
        <f>IFERROR(__xludf.DUMMYFUNCTION("""COMPUTED_VALUE"""),2.0)</f>
        <v>2</v>
      </c>
      <c r="S1911" s="5">
        <f>IFERROR(__xludf.DUMMYFUNCTION("""COMPUTED_VALUE"""),755.0)</f>
        <v>755</v>
      </c>
      <c r="T1911" s="5" t="str">
        <f>IFERROR(__xludf.DUMMYFUNCTION("""COMPUTED_VALUE"""),"(500) Days of Summer")</f>
        <v>(500) Days of Summer</v>
      </c>
      <c r="U1911" s="5" t="str">
        <f>IFERROR(__xludf.DUMMYFUNCTION("""COMPUTED_VALUE"""),"Drama")</f>
        <v>Drama</v>
      </c>
      <c r="V1911" s="5">
        <f>IFERROR(__xludf.DUMMYFUNCTION("""COMPUTED_VALUE"""),2.0)</f>
        <v>2</v>
      </c>
    </row>
    <row r="1912">
      <c r="J1912" s="5" t="str">
        <f>IFERROR(__xludf.DUMMYFUNCTION("""COMPUTED_VALUE"""),"637🤙🏼Ondskan🤙🏼🤙🏼3")</f>
        <v>637🤙🏼Ondskan🤙🏼🤙🏼3</v>
      </c>
      <c r="K1912" s="5">
        <f>IFERROR(__xludf.DUMMYFUNCTION("SPLiT(J1912, ""🤙🏼"",FALSE,FALSE)"),637.0)</f>
        <v>637</v>
      </c>
      <c r="L1912" s="5" t="str">
        <f>IFERROR(__xludf.DUMMYFUNCTION("""COMPUTED_VALUE"""),"Ondskan")</f>
        <v>Ondskan</v>
      </c>
      <c r="M1912" s="5"/>
      <c r="N1912" s="5">
        <f>IFERROR(__xludf.DUMMYFUNCTION("""COMPUTED_VALUE"""),3.0)</f>
        <v>3</v>
      </c>
      <c r="S1912" s="5">
        <f>IFERROR(__xludf.DUMMYFUNCTION("""COMPUTED_VALUE"""),755.0)</f>
        <v>755</v>
      </c>
      <c r="T1912" s="5" t="str">
        <f>IFERROR(__xludf.DUMMYFUNCTION("""COMPUTED_VALUE"""),"(500) Days of Summer")</f>
        <v>(500) Days of Summer</v>
      </c>
      <c r="U1912" s="5" t="str">
        <f>IFERROR(__xludf.DUMMYFUNCTION("""COMPUTED_VALUE"""),"Romance")</f>
        <v>Romance</v>
      </c>
      <c r="V1912" s="5">
        <f>IFERROR(__xludf.DUMMYFUNCTION("""COMPUTED_VALUE"""),3.0)</f>
        <v>3</v>
      </c>
    </row>
    <row r="1913">
      <c r="J1913" s="5" t="str">
        <f>IFERROR(__xludf.DUMMYFUNCTION("""COMPUTED_VALUE"""),"638🤙🏼The Notebook🤙🏼Drama🤙🏼1")</f>
        <v>638🤙🏼The Notebook🤙🏼Drama🤙🏼1</v>
      </c>
      <c r="K1913" s="5">
        <f>IFERROR(__xludf.DUMMYFUNCTION("SPLiT(J1913, ""🤙🏼"",FALSE,FALSE)"),638.0)</f>
        <v>638</v>
      </c>
      <c r="L1913" s="5" t="str">
        <f>IFERROR(__xludf.DUMMYFUNCTION("""COMPUTED_VALUE"""),"The Notebook")</f>
        <v>The Notebook</v>
      </c>
      <c r="M1913" s="5" t="str">
        <f>IFERROR(__xludf.DUMMYFUNCTION("""COMPUTED_VALUE"""),"Drama")</f>
        <v>Drama</v>
      </c>
      <c r="N1913" s="5">
        <f>IFERROR(__xludf.DUMMYFUNCTION("""COMPUTED_VALUE"""),1.0)</f>
        <v>1</v>
      </c>
      <c r="S1913" s="5">
        <f>IFERROR(__xludf.DUMMYFUNCTION("""COMPUTED_VALUE"""),756.0)</f>
        <v>756</v>
      </c>
      <c r="T1913" s="5" t="str">
        <f>IFERROR(__xludf.DUMMYFUNCTION("""COMPUTED_VALUE"""),"Harry Potter and the Deathly Hallows: Part 1")</f>
        <v>Harry Potter and the Deathly Hallows: Part 1</v>
      </c>
      <c r="U1913" s="5" t="str">
        <f>IFERROR(__xludf.DUMMYFUNCTION("""COMPUTED_VALUE"""),"Adventure")</f>
        <v>Adventure</v>
      </c>
      <c r="V1913" s="5">
        <f>IFERROR(__xludf.DUMMYFUNCTION("""COMPUTED_VALUE"""),1.0)</f>
        <v>1</v>
      </c>
    </row>
    <row r="1914">
      <c r="J1914" s="5" t="str">
        <f>IFERROR(__xludf.DUMMYFUNCTION("""COMPUTED_VALUE"""),"638🤙🏼The Notebook🤙🏼Romance🤙🏼2")</f>
        <v>638🤙🏼The Notebook🤙🏼Romance🤙🏼2</v>
      </c>
      <c r="K1914" s="5">
        <f>IFERROR(__xludf.DUMMYFUNCTION("SPLiT(J1914, ""🤙🏼"",FALSE,FALSE)"),638.0)</f>
        <v>638</v>
      </c>
      <c r="L1914" s="5" t="str">
        <f>IFERROR(__xludf.DUMMYFUNCTION("""COMPUTED_VALUE"""),"The Notebook")</f>
        <v>The Notebook</v>
      </c>
      <c r="M1914" s="5" t="str">
        <f>IFERROR(__xludf.DUMMYFUNCTION("""COMPUTED_VALUE"""),"Romance")</f>
        <v>Romance</v>
      </c>
      <c r="N1914" s="5">
        <f>IFERROR(__xludf.DUMMYFUNCTION("""COMPUTED_VALUE"""),2.0)</f>
        <v>2</v>
      </c>
      <c r="S1914" s="5">
        <f>IFERROR(__xludf.DUMMYFUNCTION("""COMPUTED_VALUE"""),756.0)</f>
        <v>756</v>
      </c>
      <c r="T1914" s="5" t="str">
        <f>IFERROR(__xludf.DUMMYFUNCTION("""COMPUTED_VALUE"""),"Harry Potter and the Deathly Hallows: Part 1")</f>
        <v>Harry Potter and the Deathly Hallows: Part 1</v>
      </c>
      <c r="U1914" s="5" t="str">
        <f>IFERROR(__xludf.DUMMYFUNCTION("""COMPUTED_VALUE"""),"Family")</f>
        <v>Family</v>
      </c>
      <c r="V1914" s="5">
        <f>IFERROR(__xludf.DUMMYFUNCTION("""COMPUTED_VALUE"""),2.0)</f>
        <v>2</v>
      </c>
    </row>
    <row r="1915">
      <c r="J1915" s="5" t="str">
        <f>IFERROR(__xludf.DUMMYFUNCTION("""COMPUTED_VALUE"""),"638🤙🏼The Notebook🤙🏼🤙🏼3")</f>
        <v>638🤙🏼The Notebook🤙🏼🤙🏼3</v>
      </c>
      <c r="K1915" s="5">
        <f>IFERROR(__xludf.DUMMYFUNCTION("SPLiT(J1915, ""🤙🏼"",FALSE,FALSE)"),638.0)</f>
        <v>638</v>
      </c>
      <c r="L1915" s="5" t="str">
        <f>IFERROR(__xludf.DUMMYFUNCTION("""COMPUTED_VALUE"""),"The Notebook")</f>
        <v>The Notebook</v>
      </c>
      <c r="M1915" s="5"/>
      <c r="N1915" s="5">
        <f>IFERROR(__xludf.DUMMYFUNCTION("""COMPUTED_VALUE"""),3.0)</f>
        <v>3</v>
      </c>
      <c r="S1915" s="5">
        <f>IFERROR(__xludf.DUMMYFUNCTION("""COMPUTED_VALUE"""),756.0)</f>
        <v>756</v>
      </c>
      <c r="T1915" s="5" t="str">
        <f>IFERROR(__xludf.DUMMYFUNCTION("""COMPUTED_VALUE"""),"Harry Potter and the Deathly Hallows: Part 1")</f>
        <v>Harry Potter and the Deathly Hallows: Part 1</v>
      </c>
      <c r="U1915" s="5" t="str">
        <f>IFERROR(__xludf.DUMMYFUNCTION("""COMPUTED_VALUE"""),"Fantasy")</f>
        <v>Fantasy</v>
      </c>
      <c r="V1915" s="5">
        <f>IFERROR(__xludf.DUMMYFUNCTION("""COMPUTED_VALUE"""),3.0)</f>
        <v>3</v>
      </c>
    </row>
    <row r="1916">
      <c r="J1916" s="5" t="str">
        <f>IFERROR(__xludf.DUMMYFUNCTION("""COMPUTED_VALUE"""),"639🤙🏼Diarios de motocicleta🤙🏼Adventure🤙🏼1")</f>
        <v>639🤙🏼Diarios de motocicleta🤙🏼Adventure🤙🏼1</v>
      </c>
      <c r="K1916" s="5">
        <f>IFERROR(__xludf.DUMMYFUNCTION("SPLiT(J1916, ""🤙🏼"",FALSE,FALSE)"),639.0)</f>
        <v>639</v>
      </c>
      <c r="L1916" s="5" t="str">
        <f>IFERROR(__xludf.DUMMYFUNCTION("""COMPUTED_VALUE"""),"Diarios de motocicleta")</f>
        <v>Diarios de motocicleta</v>
      </c>
      <c r="M1916" s="5" t="str">
        <f>IFERROR(__xludf.DUMMYFUNCTION("""COMPUTED_VALUE"""),"Adventure")</f>
        <v>Adventure</v>
      </c>
      <c r="N1916" s="5">
        <f>IFERROR(__xludf.DUMMYFUNCTION("""COMPUTED_VALUE"""),1.0)</f>
        <v>1</v>
      </c>
      <c r="S1916" s="5">
        <f>IFERROR(__xludf.DUMMYFUNCTION("""COMPUTED_VALUE"""),757.0)</f>
        <v>757</v>
      </c>
      <c r="T1916" s="5" t="str">
        <f>IFERROR(__xludf.DUMMYFUNCTION("""COMPUTED_VALUE"""),"Gake no ue no Ponyo")</f>
        <v>Gake no ue no Ponyo</v>
      </c>
      <c r="U1916" s="5" t="str">
        <f>IFERROR(__xludf.DUMMYFUNCTION("""COMPUTED_VALUE"""),"Animation")</f>
        <v>Animation</v>
      </c>
      <c r="V1916" s="5">
        <f>IFERROR(__xludf.DUMMYFUNCTION("""COMPUTED_VALUE"""),1.0)</f>
        <v>1</v>
      </c>
    </row>
    <row r="1917">
      <c r="J1917" s="5" t="str">
        <f>IFERROR(__xludf.DUMMYFUNCTION("""COMPUTED_VALUE"""),"639🤙🏼Diarios de motocicleta🤙🏼Biography🤙🏼2")</f>
        <v>639🤙🏼Diarios de motocicleta🤙🏼Biography🤙🏼2</v>
      </c>
      <c r="K1917" s="5">
        <f>IFERROR(__xludf.DUMMYFUNCTION("SPLiT(J1917, ""🤙🏼"",FALSE,FALSE)"),639.0)</f>
        <v>639</v>
      </c>
      <c r="L1917" s="5" t="str">
        <f>IFERROR(__xludf.DUMMYFUNCTION("""COMPUTED_VALUE"""),"Diarios de motocicleta")</f>
        <v>Diarios de motocicleta</v>
      </c>
      <c r="M1917" s="5" t="str">
        <f>IFERROR(__xludf.DUMMYFUNCTION("""COMPUTED_VALUE"""),"Biography")</f>
        <v>Biography</v>
      </c>
      <c r="N1917" s="5">
        <f>IFERROR(__xludf.DUMMYFUNCTION("""COMPUTED_VALUE"""),2.0)</f>
        <v>2</v>
      </c>
      <c r="S1917" s="5">
        <f>IFERROR(__xludf.DUMMYFUNCTION("""COMPUTED_VALUE"""),757.0)</f>
        <v>757</v>
      </c>
      <c r="T1917" s="5" t="str">
        <f>IFERROR(__xludf.DUMMYFUNCTION("""COMPUTED_VALUE"""),"Gake no ue no Ponyo")</f>
        <v>Gake no ue no Ponyo</v>
      </c>
      <c r="U1917" s="5" t="str">
        <f>IFERROR(__xludf.DUMMYFUNCTION("""COMPUTED_VALUE"""),"Adventure")</f>
        <v>Adventure</v>
      </c>
      <c r="V1917" s="5">
        <f>IFERROR(__xludf.DUMMYFUNCTION("""COMPUTED_VALUE"""),2.0)</f>
        <v>2</v>
      </c>
    </row>
    <row r="1918">
      <c r="J1918" s="5" t="str">
        <f>IFERROR(__xludf.DUMMYFUNCTION("""COMPUTED_VALUE"""),"639🤙🏼Diarios de motocicleta🤙🏼Drama🤙🏼3")</f>
        <v>639🤙🏼Diarios de motocicleta🤙🏼Drama🤙🏼3</v>
      </c>
      <c r="K1918" s="5">
        <f>IFERROR(__xludf.DUMMYFUNCTION("SPLiT(J1918, ""🤙🏼"",FALSE,FALSE)"),639.0)</f>
        <v>639</v>
      </c>
      <c r="L1918" s="5" t="str">
        <f>IFERROR(__xludf.DUMMYFUNCTION("""COMPUTED_VALUE"""),"Diarios de motocicleta")</f>
        <v>Diarios de motocicleta</v>
      </c>
      <c r="M1918" s="5" t="str">
        <f>IFERROR(__xludf.DUMMYFUNCTION("""COMPUTED_VALUE"""),"Drama")</f>
        <v>Drama</v>
      </c>
      <c r="N1918" s="5">
        <f>IFERROR(__xludf.DUMMYFUNCTION("""COMPUTED_VALUE"""),3.0)</f>
        <v>3</v>
      </c>
      <c r="S1918" s="5">
        <f>IFERROR(__xludf.DUMMYFUNCTION("""COMPUTED_VALUE"""),757.0)</f>
        <v>757</v>
      </c>
      <c r="T1918" s="5" t="str">
        <f>IFERROR(__xludf.DUMMYFUNCTION("""COMPUTED_VALUE"""),"Gake no ue no Ponyo")</f>
        <v>Gake no ue no Ponyo</v>
      </c>
      <c r="U1918" s="5" t="str">
        <f>IFERROR(__xludf.DUMMYFUNCTION("""COMPUTED_VALUE"""),"Comedy")</f>
        <v>Comedy</v>
      </c>
      <c r="V1918" s="5">
        <f>IFERROR(__xludf.DUMMYFUNCTION("""COMPUTED_VALUE"""),3.0)</f>
        <v>3</v>
      </c>
    </row>
    <row r="1919">
      <c r="J1919" s="5" t="str">
        <f>IFERROR(__xludf.DUMMYFUNCTION("""COMPUTED_VALUE"""),"640🤙🏼Lilja 4-ever🤙🏼Crime🤙🏼1")</f>
        <v>640🤙🏼Lilja 4-ever🤙🏼Crime🤙🏼1</v>
      </c>
      <c r="K1919" s="5">
        <f>IFERROR(__xludf.DUMMYFUNCTION("SPLiT(J1919, ""🤙🏼"",FALSE,FALSE)"),640.0)</f>
        <v>640</v>
      </c>
      <c r="L1919" s="5" t="str">
        <f>IFERROR(__xludf.DUMMYFUNCTION("""COMPUTED_VALUE"""),"Lilja 4-ever")</f>
        <v>Lilja 4-ever</v>
      </c>
      <c r="M1919" s="5" t="str">
        <f>IFERROR(__xludf.DUMMYFUNCTION("""COMPUTED_VALUE"""),"Crime")</f>
        <v>Crime</v>
      </c>
      <c r="N1919" s="5">
        <f>IFERROR(__xludf.DUMMYFUNCTION("""COMPUTED_VALUE"""),1.0)</f>
        <v>1</v>
      </c>
      <c r="S1919" s="5">
        <f>IFERROR(__xludf.DUMMYFUNCTION("""COMPUTED_VALUE"""),758.0)</f>
        <v>758</v>
      </c>
      <c r="T1919" s="5" t="str">
        <f>IFERROR(__xludf.DUMMYFUNCTION("""COMPUTED_VALUE"""),"Frost/Nixon")</f>
        <v>Frost/Nixon</v>
      </c>
      <c r="U1919" s="5" t="str">
        <f>IFERROR(__xludf.DUMMYFUNCTION("""COMPUTED_VALUE"""),"Biography")</f>
        <v>Biography</v>
      </c>
      <c r="V1919" s="5">
        <f>IFERROR(__xludf.DUMMYFUNCTION("""COMPUTED_VALUE"""),1.0)</f>
        <v>1</v>
      </c>
    </row>
    <row r="1920">
      <c r="J1920" s="5" t="str">
        <f>IFERROR(__xludf.DUMMYFUNCTION("""COMPUTED_VALUE"""),"640🤙🏼Lilja 4-ever🤙🏼Drama🤙🏼2")</f>
        <v>640🤙🏼Lilja 4-ever🤙🏼Drama🤙🏼2</v>
      </c>
      <c r="K1920" s="5">
        <f>IFERROR(__xludf.DUMMYFUNCTION("SPLiT(J1920, ""🤙🏼"",FALSE,FALSE)"),640.0)</f>
        <v>640</v>
      </c>
      <c r="L1920" s="5" t="str">
        <f>IFERROR(__xludf.DUMMYFUNCTION("""COMPUTED_VALUE"""),"Lilja 4-ever")</f>
        <v>Lilja 4-ever</v>
      </c>
      <c r="M1920" s="5" t="str">
        <f>IFERROR(__xludf.DUMMYFUNCTION("""COMPUTED_VALUE"""),"Drama")</f>
        <v>Drama</v>
      </c>
      <c r="N1920" s="5">
        <f>IFERROR(__xludf.DUMMYFUNCTION("""COMPUTED_VALUE"""),2.0)</f>
        <v>2</v>
      </c>
      <c r="S1920" s="5">
        <f>IFERROR(__xludf.DUMMYFUNCTION("""COMPUTED_VALUE"""),758.0)</f>
        <v>758</v>
      </c>
      <c r="T1920" s="5" t="str">
        <f>IFERROR(__xludf.DUMMYFUNCTION("""COMPUTED_VALUE"""),"Frost/Nixon")</f>
        <v>Frost/Nixon</v>
      </c>
      <c r="U1920" s="5" t="str">
        <f>IFERROR(__xludf.DUMMYFUNCTION("""COMPUTED_VALUE"""),"Drama")</f>
        <v>Drama</v>
      </c>
      <c r="V1920" s="5">
        <f>IFERROR(__xludf.DUMMYFUNCTION("""COMPUTED_VALUE"""),2.0)</f>
        <v>2</v>
      </c>
    </row>
    <row r="1921">
      <c r="J1921" s="5" t="str">
        <f>IFERROR(__xludf.DUMMYFUNCTION("""COMPUTED_VALUE"""),"640🤙🏼Lilja 4-ever🤙🏼🤙🏼3")</f>
        <v>640🤙🏼Lilja 4-ever🤙🏼🤙🏼3</v>
      </c>
      <c r="K1921" s="5">
        <f>IFERROR(__xludf.DUMMYFUNCTION("SPLiT(J1921, ""🤙🏼"",FALSE,FALSE)"),640.0)</f>
        <v>640</v>
      </c>
      <c r="L1921" s="5" t="str">
        <f>IFERROR(__xludf.DUMMYFUNCTION("""COMPUTED_VALUE"""),"Lilja 4-ever")</f>
        <v>Lilja 4-ever</v>
      </c>
      <c r="M1921" s="5"/>
      <c r="N1921" s="5">
        <f>IFERROR(__xludf.DUMMYFUNCTION("""COMPUTED_VALUE"""),3.0)</f>
        <v>3</v>
      </c>
      <c r="S1921" s="5">
        <f>IFERROR(__xludf.DUMMYFUNCTION("""COMPUTED_VALUE"""),758.0)</f>
        <v>758</v>
      </c>
      <c r="T1921" s="5" t="str">
        <f>IFERROR(__xludf.DUMMYFUNCTION("""COMPUTED_VALUE"""),"Frost/Nixon")</f>
        <v>Frost/Nixon</v>
      </c>
      <c r="U1921" s="5" t="str">
        <f>IFERROR(__xludf.DUMMYFUNCTION("""COMPUTED_VALUE"""),"History")</f>
        <v>History</v>
      </c>
      <c r="V1921" s="5">
        <f>IFERROR(__xludf.DUMMYFUNCTION("""COMPUTED_VALUE"""),3.0)</f>
        <v>3</v>
      </c>
    </row>
    <row r="1922">
      <c r="J1922" s="5" t="str">
        <f>IFERROR(__xludf.DUMMYFUNCTION("""COMPUTED_VALUE"""),"641🤙🏼Les triplettes de Belleville🤙🏼Animation🤙🏼1")</f>
        <v>641🤙🏼Les triplettes de Belleville🤙🏼Animation🤙🏼1</v>
      </c>
      <c r="K1922" s="5">
        <f>IFERROR(__xludf.DUMMYFUNCTION("SPLiT(J1922, ""🤙🏼"",FALSE,FALSE)"),641.0)</f>
        <v>641</v>
      </c>
      <c r="L1922" s="5" t="str">
        <f>IFERROR(__xludf.DUMMYFUNCTION("""COMPUTED_VALUE"""),"Les triplettes de Belleville")</f>
        <v>Les triplettes de Belleville</v>
      </c>
      <c r="M1922" s="5" t="str">
        <f>IFERROR(__xludf.DUMMYFUNCTION("""COMPUTED_VALUE"""),"Animation")</f>
        <v>Animation</v>
      </c>
      <c r="N1922" s="5">
        <f>IFERROR(__xludf.DUMMYFUNCTION("""COMPUTED_VALUE"""),1.0)</f>
        <v>1</v>
      </c>
      <c r="S1922" s="5">
        <f>IFERROR(__xludf.DUMMYFUNCTION("""COMPUTED_VALUE"""),759.0)</f>
        <v>759</v>
      </c>
      <c r="T1922" s="5" t="str">
        <f>IFERROR(__xludf.DUMMYFUNCTION("""COMPUTED_VALUE"""),"Papurika")</f>
        <v>Papurika</v>
      </c>
      <c r="U1922" s="5" t="str">
        <f>IFERROR(__xludf.DUMMYFUNCTION("""COMPUTED_VALUE"""),"Animation")</f>
        <v>Animation</v>
      </c>
      <c r="V1922" s="5">
        <f>IFERROR(__xludf.DUMMYFUNCTION("""COMPUTED_VALUE"""),1.0)</f>
        <v>1</v>
      </c>
    </row>
    <row r="1923">
      <c r="J1923" s="5" t="str">
        <f>IFERROR(__xludf.DUMMYFUNCTION("""COMPUTED_VALUE"""),"641🤙🏼Les triplettes de Belleville🤙🏼Comedy🤙🏼2")</f>
        <v>641🤙🏼Les triplettes de Belleville🤙🏼Comedy🤙🏼2</v>
      </c>
      <c r="K1923" s="5">
        <f>IFERROR(__xludf.DUMMYFUNCTION("SPLiT(J1923, ""🤙🏼"",FALSE,FALSE)"),641.0)</f>
        <v>641</v>
      </c>
      <c r="L1923" s="5" t="str">
        <f>IFERROR(__xludf.DUMMYFUNCTION("""COMPUTED_VALUE"""),"Les triplettes de Belleville")</f>
        <v>Les triplettes de Belleville</v>
      </c>
      <c r="M1923" s="5" t="str">
        <f>IFERROR(__xludf.DUMMYFUNCTION("""COMPUTED_VALUE"""),"Comedy")</f>
        <v>Comedy</v>
      </c>
      <c r="N1923" s="5">
        <f>IFERROR(__xludf.DUMMYFUNCTION("""COMPUTED_VALUE"""),2.0)</f>
        <v>2</v>
      </c>
      <c r="S1923" s="5">
        <f>IFERROR(__xludf.DUMMYFUNCTION("""COMPUTED_VALUE"""),759.0)</f>
        <v>759</v>
      </c>
      <c r="T1923" s="5" t="str">
        <f>IFERROR(__xludf.DUMMYFUNCTION("""COMPUTED_VALUE"""),"Papurika")</f>
        <v>Papurika</v>
      </c>
      <c r="U1923" s="5" t="str">
        <f>IFERROR(__xludf.DUMMYFUNCTION("""COMPUTED_VALUE"""),"Drama")</f>
        <v>Drama</v>
      </c>
      <c r="V1923" s="5">
        <f>IFERROR(__xludf.DUMMYFUNCTION("""COMPUTED_VALUE"""),2.0)</f>
        <v>2</v>
      </c>
    </row>
    <row r="1924">
      <c r="J1924" s="5" t="str">
        <f>IFERROR(__xludf.DUMMYFUNCTION("""COMPUTED_VALUE"""),"641🤙🏼Les triplettes de Belleville🤙🏼Drama🤙🏼3")</f>
        <v>641🤙🏼Les triplettes de Belleville🤙🏼Drama🤙🏼3</v>
      </c>
      <c r="K1924" s="5">
        <f>IFERROR(__xludf.DUMMYFUNCTION("SPLiT(J1924, ""🤙🏼"",FALSE,FALSE)"),641.0)</f>
        <v>641</v>
      </c>
      <c r="L1924" s="5" t="str">
        <f>IFERROR(__xludf.DUMMYFUNCTION("""COMPUTED_VALUE"""),"Les triplettes de Belleville")</f>
        <v>Les triplettes de Belleville</v>
      </c>
      <c r="M1924" s="5" t="str">
        <f>IFERROR(__xludf.DUMMYFUNCTION("""COMPUTED_VALUE"""),"Drama")</f>
        <v>Drama</v>
      </c>
      <c r="N1924" s="5">
        <f>IFERROR(__xludf.DUMMYFUNCTION("""COMPUTED_VALUE"""),3.0)</f>
        <v>3</v>
      </c>
      <c r="S1924" s="5">
        <f>IFERROR(__xludf.DUMMYFUNCTION("""COMPUTED_VALUE"""),759.0)</f>
        <v>759</v>
      </c>
      <c r="T1924" s="5" t="str">
        <f>IFERROR(__xludf.DUMMYFUNCTION("""COMPUTED_VALUE"""),"Papurika")</f>
        <v>Papurika</v>
      </c>
      <c r="U1924" s="5" t="str">
        <f>IFERROR(__xludf.DUMMYFUNCTION("""COMPUTED_VALUE"""),"Fantasy")</f>
        <v>Fantasy</v>
      </c>
      <c r="V1924" s="5">
        <f>IFERROR(__xludf.DUMMYFUNCTION("""COMPUTED_VALUE"""),3.0)</f>
        <v>3</v>
      </c>
    </row>
    <row r="1925">
      <c r="J1925" s="5" t="str">
        <f>IFERROR(__xludf.DUMMYFUNCTION("""COMPUTED_VALUE"""),"642🤙🏼Gongdong gyeongbi guyeok JSA🤙🏼Action🤙🏼1")</f>
        <v>642🤙🏼Gongdong gyeongbi guyeok JSA🤙🏼Action🤙🏼1</v>
      </c>
      <c r="K1925" s="5">
        <f>IFERROR(__xludf.DUMMYFUNCTION("SPLiT(J1925, ""🤙🏼"",FALSE,FALSE)"),642.0)</f>
        <v>642</v>
      </c>
      <c r="L1925" s="5" t="str">
        <f>IFERROR(__xludf.DUMMYFUNCTION("""COMPUTED_VALUE"""),"Gongdong gyeongbi guyeok JSA")</f>
        <v>Gongdong gyeongbi guyeok JSA</v>
      </c>
      <c r="M1925" s="5" t="str">
        <f>IFERROR(__xludf.DUMMYFUNCTION("""COMPUTED_VALUE"""),"Action")</f>
        <v>Action</v>
      </c>
      <c r="N1925" s="5">
        <f>IFERROR(__xludf.DUMMYFUNCTION("""COMPUTED_VALUE"""),1.0)</f>
        <v>1</v>
      </c>
      <c r="S1925" s="5">
        <f>IFERROR(__xludf.DUMMYFUNCTION("""COMPUTED_VALUE"""),760.0)</f>
        <v>760</v>
      </c>
      <c r="T1925" s="5" t="str">
        <f>IFERROR(__xludf.DUMMYFUNCTION("""COMPUTED_VALUE"""),"Changeling")</f>
        <v>Changeling</v>
      </c>
      <c r="U1925" s="5" t="str">
        <f>IFERROR(__xludf.DUMMYFUNCTION("""COMPUTED_VALUE"""),"Biography")</f>
        <v>Biography</v>
      </c>
      <c r="V1925" s="5">
        <f>IFERROR(__xludf.DUMMYFUNCTION("""COMPUTED_VALUE"""),1.0)</f>
        <v>1</v>
      </c>
    </row>
    <row r="1926">
      <c r="J1926" s="5" t="str">
        <f>IFERROR(__xludf.DUMMYFUNCTION("""COMPUTED_VALUE"""),"642🤙🏼Gongdong gyeongbi guyeok JSA🤙🏼Drama🤙🏼2")</f>
        <v>642🤙🏼Gongdong gyeongbi guyeok JSA🤙🏼Drama🤙🏼2</v>
      </c>
      <c r="K1926" s="5">
        <f>IFERROR(__xludf.DUMMYFUNCTION("SPLiT(J1926, ""🤙🏼"",FALSE,FALSE)"),642.0)</f>
        <v>642</v>
      </c>
      <c r="L1926" s="5" t="str">
        <f>IFERROR(__xludf.DUMMYFUNCTION("""COMPUTED_VALUE"""),"Gongdong gyeongbi guyeok JSA")</f>
        <v>Gongdong gyeongbi guyeok JSA</v>
      </c>
      <c r="M1926" s="5" t="str">
        <f>IFERROR(__xludf.DUMMYFUNCTION("""COMPUTED_VALUE"""),"Drama")</f>
        <v>Drama</v>
      </c>
      <c r="N1926" s="5">
        <f>IFERROR(__xludf.DUMMYFUNCTION("""COMPUTED_VALUE"""),2.0)</f>
        <v>2</v>
      </c>
      <c r="S1926" s="5">
        <f>IFERROR(__xludf.DUMMYFUNCTION("""COMPUTED_VALUE"""),760.0)</f>
        <v>760</v>
      </c>
      <c r="T1926" s="5" t="str">
        <f>IFERROR(__xludf.DUMMYFUNCTION("""COMPUTED_VALUE"""),"Changeling")</f>
        <v>Changeling</v>
      </c>
      <c r="U1926" s="5" t="str">
        <f>IFERROR(__xludf.DUMMYFUNCTION("""COMPUTED_VALUE"""),"Crime")</f>
        <v>Crime</v>
      </c>
      <c r="V1926" s="5">
        <f>IFERROR(__xludf.DUMMYFUNCTION("""COMPUTED_VALUE"""),2.0)</f>
        <v>2</v>
      </c>
    </row>
    <row r="1927">
      <c r="J1927" s="5" t="str">
        <f>IFERROR(__xludf.DUMMYFUNCTION("""COMPUTED_VALUE"""),"642🤙🏼Gongdong gyeongbi guyeok JSA🤙🏼Thriller🤙🏼3")</f>
        <v>642🤙🏼Gongdong gyeongbi guyeok JSA🤙🏼Thriller🤙🏼3</v>
      </c>
      <c r="K1927" s="5">
        <f>IFERROR(__xludf.DUMMYFUNCTION("SPLiT(J1927, ""🤙🏼"",FALSE,FALSE)"),642.0)</f>
        <v>642</v>
      </c>
      <c r="L1927" s="5" t="str">
        <f>IFERROR(__xludf.DUMMYFUNCTION("""COMPUTED_VALUE"""),"Gongdong gyeongbi guyeok JSA")</f>
        <v>Gongdong gyeongbi guyeok JSA</v>
      </c>
      <c r="M1927" s="5" t="str">
        <f>IFERROR(__xludf.DUMMYFUNCTION("""COMPUTED_VALUE"""),"Thriller")</f>
        <v>Thriller</v>
      </c>
      <c r="N1927" s="5">
        <f>IFERROR(__xludf.DUMMYFUNCTION("""COMPUTED_VALUE"""),3.0)</f>
        <v>3</v>
      </c>
      <c r="S1927" s="5">
        <f>IFERROR(__xludf.DUMMYFUNCTION("""COMPUTED_VALUE"""),760.0)</f>
        <v>760</v>
      </c>
      <c r="T1927" s="5" t="str">
        <f>IFERROR(__xludf.DUMMYFUNCTION("""COMPUTED_VALUE"""),"Changeling")</f>
        <v>Changeling</v>
      </c>
      <c r="U1927" s="5" t="str">
        <f>IFERROR(__xludf.DUMMYFUNCTION("""COMPUTED_VALUE"""),"Drama")</f>
        <v>Drama</v>
      </c>
      <c r="V1927" s="5">
        <f>IFERROR(__xludf.DUMMYFUNCTION("""COMPUTED_VALUE"""),3.0)</f>
        <v>3</v>
      </c>
    </row>
    <row r="1928">
      <c r="J1928" s="5" t="str">
        <f>IFERROR(__xludf.DUMMYFUNCTION("""COMPUTED_VALUE"""),"643🤙🏼The Count of Monte Cristo🤙🏼Action🤙🏼1")</f>
        <v>643🤙🏼The Count of Monte Cristo🤙🏼Action🤙🏼1</v>
      </c>
      <c r="K1928" s="5">
        <f>IFERROR(__xludf.DUMMYFUNCTION("SPLiT(J1928, ""🤙🏼"",FALSE,FALSE)"),643.0)</f>
        <v>643</v>
      </c>
      <c r="L1928" s="5" t="str">
        <f>IFERROR(__xludf.DUMMYFUNCTION("""COMPUTED_VALUE"""),"The Count of Monte Cristo")</f>
        <v>The Count of Monte Cristo</v>
      </c>
      <c r="M1928" s="5" t="str">
        <f>IFERROR(__xludf.DUMMYFUNCTION("""COMPUTED_VALUE"""),"Action")</f>
        <v>Action</v>
      </c>
      <c r="N1928" s="5">
        <f>IFERROR(__xludf.DUMMYFUNCTION("""COMPUTED_VALUE"""),1.0)</f>
        <v>1</v>
      </c>
      <c r="S1928" s="5">
        <f>IFERROR(__xludf.DUMMYFUNCTION("""COMPUTED_VALUE"""),761.0)</f>
        <v>761</v>
      </c>
      <c r="T1928" s="5" t="str">
        <f>IFERROR(__xludf.DUMMYFUNCTION("""COMPUTED_VALUE"""),"Flipped")</f>
        <v>Flipped</v>
      </c>
      <c r="U1928" s="5" t="str">
        <f>IFERROR(__xludf.DUMMYFUNCTION("""COMPUTED_VALUE"""),"Comedy")</f>
        <v>Comedy</v>
      </c>
      <c r="V1928" s="5">
        <f>IFERROR(__xludf.DUMMYFUNCTION("""COMPUTED_VALUE"""),1.0)</f>
        <v>1</v>
      </c>
    </row>
    <row r="1929">
      <c r="J1929" s="5" t="str">
        <f>IFERROR(__xludf.DUMMYFUNCTION("""COMPUTED_VALUE"""),"643🤙🏼The Count of Monte Cristo🤙🏼Adventure🤙🏼2")</f>
        <v>643🤙🏼The Count of Monte Cristo🤙🏼Adventure🤙🏼2</v>
      </c>
      <c r="K1929" s="5">
        <f>IFERROR(__xludf.DUMMYFUNCTION("SPLiT(J1929, ""🤙🏼"",FALSE,FALSE)"),643.0)</f>
        <v>643</v>
      </c>
      <c r="L1929" s="5" t="str">
        <f>IFERROR(__xludf.DUMMYFUNCTION("""COMPUTED_VALUE"""),"The Count of Monte Cristo")</f>
        <v>The Count of Monte Cristo</v>
      </c>
      <c r="M1929" s="5" t="str">
        <f>IFERROR(__xludf.DUMMYFUNCTION("""COMPUTED_VALUE"""),"Adventure")</f>
        <v>Adventure</v>
      </c>
      <c r="N1929" s="5">
        <f>IFERROR(__xludf.DUMMYFUNCTION("""COMPUTED_VALUE"""),2.0)</f>
        <v>2</v>
      </c>
      <c r="S1929" s="5">
        <f>IFERROR(__xludf.DUMMYFUNCTION("""COMPUTED_VALUE"""),761.0)</f>
        <v>761</v>
      </c>
      <c r="T1929" s="5" t="str">
        <f>IFERROR(__xludf.DUMMYFUNCTION("""COMPUTED_VALUE"""),"Flipped")</f>
        <v>Flipped</v>
      </c>
      <c r="U1929" s="5" t="str">
        <f>IFERROR(__xludf.DUMMYFUNCTION("""COMPUTED_VALUE"""),"Drama")</f>
        <v>Drama</v>
      </c>
      <c r="V1929" s="5">
        <f>IFERROR(__xludf.DUMMYFUNCTION("""COMPUTED_VALUE"""),2.0)</f>
        <v>2</v>
      </c>
    </row>
    <row r="1930">
      <c r="J1930" s="5" t="str">
        <f>IFERROR(__xludf.DUMMYFUNCTION("""COMPUTED_VALUE"""),"643🤙🏼The Count of Monte Cristo🤙🏼Drama🤙🏼3")</f>
        <v>643🤙🏼The Count of Monte Cristo🤙🏼Drama🤙🏼3</v>
      </c>
      <c r="K1930" s="5">
        <f>IFERROR(__xludf.DUMMYFUNCTION("SPLiT(J1930, ""🤙🏼"",FALSE,FALSE)"),643.0)</f>
        <v>643</v>
      </c>
      <c r="L1930" s="5" t="str">
        <f>IFERROR(__xludf.DUMMYFUNCTION("""COMPUTED_VALUE"""),"The Count of Monte Cristo")</f>
        <v>The Count of Monte Cristo</v>
      </c>
      <c r="M1930" s="5" t="str">
        <f>IFERROR(__xludf.DUMMYFUNCTION("""COMPUTED_VALUE"""),"Drama")</f>
        <v>Drama</v>
      </c>
      <c r="N1930" s="5">
        <f>IFERROR(__xludf.DUMMYFUNCTION("""COMPUTED_VALUE"""),3.0)</f>
        <v>3</v>
      </c>
      <c r="S1930" s="5">
        <f>IFERROR(__xludf.DUMMYFUNCTION("""COMPUTED_VALUE"""),761.0)</f>
        <v>761</v>
      </c>
      <c r="T1930" s="5" t="str">
        <f>IFERROR(__xludf.DUMMYFUNCTION("""COMPUTED_VALUE"""),"Flipped")</f>
        <v>Flipped</v>
      </c>
      <c r="U1930" s="5" t="str">
        <f>IFERROR(__xludf.DUMMYFUNCTION("""COMPUTED_VALUE"""),"Romance")</f>
        <v>Romance</v>
      </c>
      <c r="V1930" s="5">
        <f>IFERROR(__xludf.DUMMYFUNCTION("""COMPUTED_VALUE"""),3.0)</f>
        <v>3</v>
      </c>
    </row>
    <row r="1931">
      <c r="J1931" s="5" t="str">
        <f>IFERROR(__xludf.DUMMYFUNCTION("""COMPUTED_VALUE"""),"644🤙🏼Waking Life🤙🏼Animation🤙🏼1")</f>
        <v>644🤙🏼Waking Life🤙🏼Animation🤙🏼1</v>
      </c>
      <c r="K1931" s="5">
        <f>IFERROR(__xludf.DUMMYFUNCTION("SPLiT(J1931, ""🤙🏼"",FALSE,FALSE)"),644.0)</f>
        <v>644</v>
      </c>
      <c r="L1931" s="5" t="str">
        <f>IFERROR(__xludf.DUMMYFUNCTION("""COMPUTED_VALUE"""),"Waking Life")</f>
        <v>Waking Life</v>
      </c>
      <c r="M1931" s="5" t="str">
        <f>IFERROR(__xludf.DUMMYFUNCTION("""COMPUTED_VALUE"""),"Animation")</f>
        <v>Animation</v>
      </c>
      <c r="N1931" s="5">
        <f>IFERROR(__xludf.DUMMYFUNCTION("""COMPUTED_VALUE"""),1.0)</f>
        <v>1</v>
      </c>
      <c r="S1931" s="5">
        <f>IFERROR(__xludf.DUMMYFUNCTION("""COMPUTED_VALUE"""),762.0)</f>
        <v>762</v>
      </c>
      <c r="T1931" s="5" t="str">
        <f>IFERROR(__xludf.DUMMYFUNCTION("""COMPUTED_VALUE"""),"Toki o kakeru shôjo")</f>
        <v>Toki o kakeru shôjo</v>
      </c>
      <c r="U1931" s="5" t="str">
        <f>IFERROR(__xludf.DUMMYFUNCTION("""COMPUTED_VALUE"""),"Animation")</f>
        <v>Animation</v>
      </c>
      <c r="V1931" s="5">
        <f>IFERROR(__xludf.DUMMYFUNCTION("""COMPUTED_VALUE"""),1.0)</f>
        <v>1</v>
      </c>
    </row>
    <row r="1932">
      <c r="J1932" s="5" t="str">
        <f>IFERROR(__xludf.DUMMYFUNCTION("""COMPUTED_VALUE"""),"644🤙🏼Waking Life🤙🏼Drama🤙🏼2")</f>
        <v>644🤙🏼Waking Life🤙🏼Drama🤙🏼2</v>
      </c>
      <c r="K1932" s="5">
        <f>IFERROR(__xludf.DUMMYFUNCTION("SPLiT(J1932, ""🤙🏼"",FALSE,FALSE)"),644.0)</f>
        <v>644</v>
      </c>
      <c r="L1932" s="5" t="str">
        <f>IFERROR(__xludf.DUMMYFUNCTION("""COMPUTED_VALUE"""),"Waking Life")</f>
        <v>Waking Life</v>
      </c>
      <c r="M1932" s="5" t="str">
        <f>IFERROR(__xludf.DUMMYFUNCTION("""COMPUTED_VALUE"""),"Drama")</f>
        <v>Drama</v>
      </c>
      <c r="N1932" s="5">
        <f>IFERROR(__xludf.DUMMYFUNCTION("""COMPUTED_VALUE"""),2.0)</f>
        <v>2</v>
      </c>
      <c r="S1932" s="5">
        <f>IFERROR(__xludf.DUMMYFUNCTION("""COMPUTED_VALUE"""),762.0)</f>
        <v>762</v>
      </c>
      <c r="T1932" s="5" t="str">
        <f>IFERROR(__xludf.DUMMYFUNCTION("""COMPUTED_VALUE"""),"Toki o kakeru shôjo")</f>
        <v>Toki o kakeru shôjo</v>
      </c>
      <c r="U1932" s="5" t="str">
        <f>IFERROR(__xludf.DUMMYFUNCTION("""COMPUTED_VALUE"""),"Adventure")</f>
        <v>Adventure</v>
      </c>
      <c r="V1932" s="5">
        <f>IFERROR(__xludf.DUMMYFUNCTION("""COMPUTED_VALUE"""),2.0)</f>
        <v>2</v>
      </c>
    </row>
    <row r="1933">
      <c r="J1933" s="5" t="str">
        <f>IFERROR(__xludf.DUMMYFUNCTION("""COMPUTED_VALUE"""),"644🤙🏼Waking Life🤙🏼Fantasy🤙🏼3")</f>
        <v>644🤙🏼Waking Life🤙🏼Fantasy🤙🏼3</v>
      </c>
      <c r="K1933" s="5">
        <f>IFERROR(__xludf.DUMMYFUNCTION("SPLiT(J1933, ""🤙🏼"",FALSE,FALSE)"),644.0)</f>
        <v>644</v>
      </c>
      <c r="L1933" s="5" t="str">
        <f>IFERROR(__xludf.DUMMYFUNCTION("""COMPUTED_VALUE"""),"Waking Life")</f>
        <v>Waking Life</v>
      </c>
      <c r="M1933" s="5" t="str">
        <f>IFERROR(__xludf.DUMMYFUNCTION("""COMPUTED_VALUE"""),"Fantasy")</f>
        <v>Fantasy</v>
      </c>
      <c r="N1933" s="5">
        <f>IFERROR(__xludf.DUMMYFUNCTION("""COMPUTED_VALUE"""),3.0)</f>
        <v>3</v>
      </c>
      <c r="S1933" s="5">
        <f>IFERROR(__xludf.DUMMYFUNCTION("""COMPUTED_VALUE"""),762.0)</f>
        <v>762</v>
      </c>
      <c r="T1933" s="5" t="str">
        <f>IFERROR(__xludf.DUMMYFUNCTION("""COMPUTED_VALUE"""),"Toki o kakeru shôjo")</f>
        <v>Toki o kakeru shôjo</v>
      </c>
      <c r="U1933" s="5" t="str">
        <f>IFERROR(__xludf.DUMMYFUNCTION("""COMPUTED_VALUE"""),"Comedy")</f>
        <v>Comedy</v>
      </c>
      <c r="V1933" s="5">
        <f>IFERROR(__xludf.DUMMYFUNCTION("""COMPUTED_VALUE"""),3.0)</f>
        <v>3</v>
      </c>
    </row>
    <row r="1934">
      <c r="J1934" s="5" t="str">
        <f>IFERROR(__xludf.DUMMYFUNCTION("""COMPUTED_VALUE"""),"645🤙🏼Remember the Titans🤙🏼Biography🤙🏼1")</f>
        <v>645🤙🏼Remember the Titans🤙🏼Biography🤙🏼1</v>
      </c>
      <c r="K1934" s="5">
        <f>IFERROR(__xludf.DUMMYFUNCTION("SPLiT(J1934, ""🤙🏼"",FALSE,FALSE)"),645.0)</f>
        <v>645</v>
      </c>
      <c r="L1934" s="5" t="str">
        <f>IFERROR(__xludf.DUMMYFUNCTION("""COMPUTED_VALUE"""),"Remember the Titans")</f>
        <v>Remember the Titans</v>
      </c>
      <c r="M1934" s="5" t="str">
        <f>IFERROR(__xludf.DUMMYFUNCTION("""COMPUTED_VALUE"""),"Biography")</f>
        <v>Biography</v>
      </c>
      <c r="N1934" s="5">
        <f>IFERROR(__xludf.DUMMYFUNCTION("""COMPUTED_VALUE"""),1.0)</f>
        <v>1</v>
      </c>
      <c r="S1934" s="5">
        <f>IFERROR(__xludf.DUMMYFUNCTION("""COMPUTED_VALUE"""),763.0)</f>
        <v>763</v>
      </c>
      <c r="T1934" s="5" t="str">
        <f>IFERROR(__xludf.DUMMYFUNCTION("""COMPUTED_VALUE"""),"Death Note: Desu nôto")</f>
        <v>Death Note: Desu nôto</v>
      </c>
      <c r="U1934" s="5" t="str">
        <f>IFERROR(__xludf.DUMMYFUNCTION("""COMPUTED_VALUE"""),"Crime")</f>
        <v>Crime</v>
      </c>
      <c r="V1934" s="5">
        <f>IFERROR(__xludf.DUMMYFUNCTION("""COMPUTED_VALUE"""),1.0)</f>
        <v>1</v>
      </c>
    </row>
    <row r="1935">
      <c r="J1935" s="5" t="str">
        <f>IFERROR(__xludf.DUMMYFUNCTION("""COMPUTED_VALUE"""),"645🤙🏼Remember the Titans🤙🏼Drama🤙🏼2")</f>
        <v>645🤙🏼Remember the Titans🤙🏼Drama🤙🏼2</v>
      </c>
      <c r="K1935" s="5">
        <f>IFERROR(__xludf.DUMMYFUNCTION("SPLiT(J1935, ""🤙🏼"",FALSE,FALSE)"),645.0)</f>
        <v>645</v>
      </c>
      <c r="L1935" s="5" t="str">
        <f>IFERROR(__xludf.DUMMYFUNCTION("""COMPUTED_VALUE"""),"Remember the Titans")</f>
        <v>Remember the Titans</v>
      </c>
      <c r="M1935" s="5" t="str">
        <f>IFERROR(__xludf.DUMMYFUNCTION("""COMPUTED_VALUE"""),"Drama")</f>
        <v>Drama</v>
      </c>
      <c r="N1935" s="5">
        <f>IFERROR(__xludf.DUMMYFUNCTION("""COMPUTED_VALUE"""),2.0)</f>
        <v>2</v>
      </c>
      <c r="S1935" s="5">
        <f>IFERROR(__xludf.DUMMYFUNCTION("""COMPUTED_VALUE"""),763.0)</f>
        <v>763</v>
      </c>
      <c r="T1935" s="5" t="str">
        <f>IFERROR(__xludf.DUMMYFUNCTION("""COMPUTED_VALUE"""),"Death Note: Desu nôto")</f>
        <v>Death Note: Desu nôto</v>
      </c>
      <c r="U1935" s="5" t="str">
        <f>IFERROR(__xludf.DUMMYFUNCTION("""COMPUTED_VALUE"""),"Drama")</f>
        <v>Drama</v>
      </c>
      <c r="V1935" s="5">
        <f>IFERROR(__xludf.DUMMYFUNCTION("""COMPUTED_VALUE"""),2.0)</f>
        <v>2</v>
      </c>
    </row>
    <row r="1936">
      <c r="J1936" s="5" t="str">
        <f>IFERROR(__xludf.DUMMYFUNCTION("""COMPUTED_VALUE"""),"645🤙🏼Remember the Titans🤙🏼Sport🤙🏼3")</f>
        <v>645🤙🏼Remember the Titans🤙🏼Sport🤙🏼3</v>
      </c>
      <c r="K1936" s="5">
        <f>IFERROR(__xludf.DUMMYFUNCTION("SPLiT(J1936, ""🤙🏼"",FALSE,FALSE)"),645.0)</f>
        <v>645</v>
      </c>
      <c r="L1936" s="5" t="str">
        <f>IFERROR(__xludf.DUMMYFUNCTION("""COMPUTED_VALUE"""),"Remember the Titans")</f>
        <v>Remember the Titans</v>
      </c>
      <c r="M1936" s="5" t="str">
        <f>IFERROR(__xludf.DUMMYFUNCTION("""COMPUTED_VALUE"""),"Sport")</f>
        <v>Sport</v>
      </c>
      <c r="N1936" s="5">
        <f>IFERROR(__xludf.DUMMYFUNCTION("""COMPUTED_VALUE"""),3.0)</f>
        <v>3</v>
      </c>
      <c r="S1936" s="5">
        <f>IFERROR(__xludf.DUMMYFUNCTION("""COMPUTED_VALUE"""),763.0)</f>
        <v>763</v>
      </c>
      <c r="T1936" s="5" t="str">
        <f>IFERROR(__xludf.DUMMYFUNCTION("""COMPUTED_VALUE"""),"Death Note: Desu nôto")</f>
        <v>Death Note: Desu nôto</v>
      </c>
      <c r="U1936" s="5" t="str">
        <f>IFERROR(__xludf.DUMMYFUNCTION("""COMPUTED_VALUE"""),"Fantasy")</f>
        <v>Fantasy</v>
      </c>
      <c r="V1936" s="5">
        <f>IFERROR(__xludf.DUMMYFUNCTION("""COMPUTED_VALUE"""),3.0)</f>
        <v>3</v>
      </c>
    </row>
    <row r="1937">
      <c r="J1937" s="5" t="str">
        <f>IFERROR(__xludf.DUMMYFUNCTION("""COMPUTED_VALUE"""),"646🤙🏼Wo hu cang long🤙🏼Action🤙🏼1")</f>
        <v>646🤙🏼Wo hu cang long🤙🏼Action🤙🏼1</v>
      </c>
      <c r="K1937" s="5">
        <f>IFERROR(__xludf.DUMMYFUNCTION("SPLiT(J1937, ""🤙🏼"",FALSE,FALSE)"),646.0)</f>
        <v>646</v>
      </c>
      <c r="L1937" s="5" t="str">
        <f>IFERROR(__xludf.DUMMYFUNCTION("""COMPUTED_VALUE"""),"Wo hu cang long")</f>
        <v>Wo hu cang long</v>
      </c>
      <c r="M1937" s="5" t="str">
        <f>IFERROR(__xludf.DUMMYFUNCTION("""COMPUTED_VALUE"""),"Action")</f>
        <v>Action</v>
      </c>
      <c r="N1937" s="5">
        <f>IFERROR(__xludf.DUMMYFUNCTION("""COMPUTED_VALUE"""),1.0)</f>
        <v>1</v>
      </c>
      <c r="S1937" s="5">
        <f>IFERROR(__xludf.DUMMYFUNCTION("""COMPUTED_VALUE"""),764.0)</f>
        <v>764</v>
      </c>
      <c r="T1937" s="5" t="str">
        <f>IFERROR(__xludf.DUMMYFUNCTION("""COMPUTED_VALUE"""),"This Is England")</f>
        <v>This Is England</v>
      </c>
      <c r="U1937" s="5" t="str">
        <f>IFERROR(__xludf.DUMMYFUNCTION("""COMPUTED_VALUE"""),"Crime")</f>
        <v>Crime</v>
      </c>
      <c r="V1937" s="5">
        <f>IFERROR(__xludf.DUMMYFUNCTION("""COMPUTED_VALUE"""),1.0)</f>
        <v>1</v>
      </c>
    </row>
    <row r="1938">
      <c r="J1938" s="5" t="str">
        <f>IFERROR(__xludf.DUMMYFUNCTION("""COMPUTED_VALUE"""),"646🤙🏼Wo hu cang long🤙🏼Adventure🤙🏼2")</f>
        <v>646🤙🏼Wo hu cang long🤙🏼Adventure🤙🏼2</v>
      </c>
      <c r="K1938" s="5">
        <f>IFERROR(__xludf.DUMMYFUNCTION("SPLiT(J1938, ""🤙🏼"",FALSE,FALSE)"),646.0)</f>
        <v>646</v>
      </c>
      <c r="L1938" s="5" t="str">
        <f>IFERROR(__xludf.DUMMYFUNCTION("""COMPUTED_VALUE"""),"Wo hu cang long")</f>
        <v>Wo hu cang long</v>
      </c>
      <c r="M1938" s="5" t="str">
        <f>IFERROR(__xludf.DUMMYFUNCTION("""COMPUTED_VALUE"""),"Adventure")</f>
        <v>Adventure</v>
      </c>
      <c r="N1938" s="5">
        <f>IFERROR(__xludf.DUMMYFUNCTION("""COMPUTED_VALUE"""),2.0)</f>
        <v>2</v>
      </c>
      <c r="S1938" s="5">
        <f>IFERROR(__xludf.DUMMYFUNCTION("""COMPUTED_VALUE"""),764.0)</f>
        <v>764</v>
      </c>
      <c r="T1938" s="5" t="str">
        <f>IFERROR(__xludf.DUMMYFUNCTION("""COMPUTED_VALUE"""),"This Is England")</f>
        <v>This Is England</v>
      </c>
      <c r="U1938" s="5" t="str">
        <f>IFERROR(__xludf.DUMMYFUNCTION("""COMPUTED_VALUE"""),"Drama")</f>
        <v>Drama</v>
      </c>
      <c r="V1938" s="5">
        <f>IFERROR(__xludf.DUMMYFUNCTION("""COMPUTED_VALUE"""),2.0)</f>
        <v>2</v>
      </c>
    </row>
    <row r="1939">
      <c r="J1939" s="5" t="str">
        <f>IFERROR(__xludf.DUMMYFUNCTION("""COMPUTED_VALUE"""),"646🤙🏼Wo hu cang long🤙🏼Fantasy🤙🏼3")</f>
        <v>646🤙🏼Wo hu cang long🤙🏼Fantasy🤙🏼3</v>
      </c>
      <c r="K1939" s="5">
        <f>IFERROR(__xludf.DUMMYFUNCTION("SPLiT(J1939, ""🤙🏼"",FALSE,FALSE)"),646.0)</f>
        <v>646</v>
      </c>
      <c r="L1939" s="5" t="str">
        <f>IFERROR(__xludf.DUMMYFUNCTION("""COMPUTED_VALUE"""),"Wo hu cang long")</f>
        <v>Wo hu cang long</v>
      </c>
      <c r="M1939" s="5" t="str">
        <f>IFERROR(__xludf.DUMMYFUNCTION("""COMPUTED_VALUE"""),"Fantasy")</f>
        <v>Fantasy</v>
      </c>
      <c r="N1939" s="5">
        <f>IFERROR(__xludf.DUMMYFUNCTION("""COMPUTED_VALUE"""),3.0)</f>
        <v>3</v>
      </c>
      <c r="S1939" s="5">
        <f>IFERROR(__xludf.DUMMYFUNCTION("""COMPUTED_VALUE"""),765.0)</f>
        <v>765</v>
      </c>
      <c r="T1939" s="5" t="str">
        <f>IFERROR(__xludf.DUMMYFUNCTION("""COMPUTED_VALUE"""),"Ex Machina")</f>
        <v>Ex Machina</v>
      </c>
      <c r="U1939" s="5" t="str">
        <f>IFERROR(__xludf.DUMMYFUNCTION("""COMPUTED_VALUE"""),"Drama")</f>
        <v>Drama</v>
      </c>
      <c r="V1939" s="5">
        <f>IFERROR(__xludf.DUMMYFUNCTION("""COMPUTED_VALUE"""),1.0)</f>
        <v>1</v>
      </c>
    </row>
    <row r="1940">
      <c r="J1940" s="5" t="str">
        <f>IFERROR(__xludf.DUMMYFUNCTION("""COMPUTED_VALUE"""),"647🤙🏼Todo sobre mi madre🤙🏼Drama🤙🏼1")</f>
        <v>647🤙🏼Todo sobre mi madre🤙🏼Drama🤙🏼1</v>
      </c>
      <c r="K1940" s="5">
        <f>IFERROR(__xludf.DUMMYFUNCTION("SPLiT(J1940, ""🤙🏼"",FALSE,FALSE)"),647.0)</f>
        <v>647</v>
      </c>
      <c r="L1940" s="5" t="str">
        <f>IFERROR(__xludf.DUMMYFUNCTION("""COMPUTED_VALUE"""),"Todo sobre mi madre")</f>
        <v>Todo sobre mi madre</v>
      </c>
      <c r="M1940" s="5" t="str">
        <f>IFERROR(__xludf.DUMMYFUNCTION("""COMPUTED_VALUE"""),"Drama")</f>
        <v>Drama</v>
      </c>
      <c r="N1940" s="5">
        <f>IFERROR(__xludf.DUMMYFUNCTION("""COMPUTED_VALUE"""),1.0)</f>
        <v>1</v>
      </c>
      <c r="S1940" s="5">
        <f>IFERROR(__xludf.DUMMYFUNCTION("""COMPUTED_VALUE"""),765.0)</f>
        <v>765</v>
      </c>
      <c r="T1940" s="5" t="str">
        <f>IFERROR(__xludf.DUMMYFUNCTION("""COMPUTED_VALUE"""),"Ex Machina")</f>
        <v>Ex Machina</v>
      </c>
      <c r="U1940" s="5" t="str">
        <f>IFERROR(__xludf.DUMMYFUNCTION("""COMPUTED_VALUE"""),"Sci-Fi")</f>
        <v>Sci-Fi</v>
      </c>
      <c r="V1940" s="5">
        <f>IFERROR(__xludf.DUMMYFUNCTION("""COMPUTED_VALUE"""),2.0)</f>
        <v>2</v>
      </c>
    </row>
    <row r="1941">
      <c r="J1941" s="5" t="str">
        <f>IFERROR(__xludf.DUMMYFUNCTION("""COMPUTED_VALUE"""),"647🤙🏼Todo sobre mi madre🤙🏼🤙🏼2")</f>
        <v>647🤙🏼Todo sobre mi madre🤙🏼🤙🏼2</v>
      </c>
      <c r="K1941" s="5">
        <f>IFERROR(__xludf.DUMMYFUNCTION("SPLiT(J1941, ""🤙🏼"",FALSE,FALSE)"),647.0)</f>
        <v>647</v>
      </c>
      <c r="L1941" s="5" t="str">
        <f>IFERROR(__xludf.DUMMYFUNCTION("""COMPUTED_VALUE"""),"Todo sobre mi madre")</f>
        <v>Todo sobre mi madre</v>
      </c>
      <c r="M1941" s="5"/>
      <c r="N1941" s="5">
        <f>IFERROR(__xludf.DUMMYFUNCTION("""COMPUTED_VALUE"""),2.0)</f>
        <v>2</v>
      </c>
      <c r="S1941" s="5">
        <f>IFERROR(__xludf.DUMMYFUNCTION("""COMPUTED_VALUE"""),765.0)</f>
        <v>765</v>
      </c>
      <c r="T1941" s="5" t="str">
        <f>IFERROR(__xludf.DUMMYFUNCTION("""COMPUTED_VALUE"""),"Ex Machina")</f>
        <v>Ex Machina</v>
      </c>
      <c r="U1941" s="5" t="str">
        <f>IFERROR(__xludf.DUMMYFUNCTION("""COMPUTED_VALUE"""),"Thriller")</f>
        <v>Thriller</v>
      </c>
      <c r="V1941" s="5">
        <f>IFERROR(__xludf.DUMMYFUNCTION("""COMPUTED_VALUE"""),3.0)</f>
        <v>3</v>
      </c>
    </row>
    <row r="1942">
      <c r="J1942" s="5" t="str">
        <f>IFERROR(__xludf.DUMMYFUNCTION("""COMPUTED_VALUE"""),"647🤙🏼Todo sobre mi madre🤙🏼🤙🏼3")</f>
        <v>647🤙🏼Todo sobre mi madre🤙🏼🤙🏼3</v>
      </c>
      <c r="K1942" s="5">
        <f>IFERROR(__xludf.DUMMYFUNCTION("SPLiT(J1942, ""🤙🏼"",FALSE,FALSE)"),647.0)</f>
        <v>647</v>
      </c>
      <c r="L1942" s="5" t="str">
        <f>IFERROR(__xludf.DUMMYFUNCTION("""COMPUTED_VALUE"""),"Todo sobre mi madre")</f>
        <v>Todo sobre mi madre</v>
      </c>
      <c r="M1942" s="5"/>
      <c r="N1942" s="5">
        <f>IFERROR(__xludf.DUMMYFUNCTION("""COMPUTED_VALUE"""),3.0)</f>
        <v>3</v>
      </c>
      <c r="S1942" s="5">
        <f>IFERROR(__xludf.DUMMYFUNCTION("""COMPUTED_VALUE"""),766.0)</f>
        <v>766</v>
      </c>
      <c r="T1942" s="5" t="str">
        <f>IFERROR(__xludf.DUMMYFUNCTION("""COMPUTED_VALUE"""),"Efter brylluppet")</f>
        <v>Efter brylluppet</v>
      </c>
      <c r="U1942" s="5" t="str">
        <f>IFERROR(__xludf.DUMMYFUNCTION("""COMPUTED_VALUE"""),"Drama")</f>
        <v>Drama</v>
      </c>
      <c r="V1942" s="5">
        <f>IFERROR(__xludf.DUMMYFUNCTION("""COMPUTED_VALUE"""),1.0)</f>
        <v>1</v>
      </c>
    </row>
    <row r="1943">
      <c r="J1943" s="5" t="str">
        <f>IFERROR(__xludf.DUMMYFUNCTION("""COMPUTED_VALUE"""),"648🤙🏼Cast Away🤙🏼Adventure🤙🏼1")</f>
        <v>648🤙🏼Cast Away🤙🏼Adventure🤙🏼1</v>
      </c>
      <c r="K1943" s="5">
        <f>IFERROR(__xludf.DUMMYFUNCTION("SPLiT(J1943, ""🤙🏼"",FALSE,FALSE)"),648.0)</f>
        <v>648</v>
      </c>
      <c r="L1943" s="5" t="str">
        <f>IFERROR(__xludf.DUMMYFUNCTION("""COMPUTED_VALUE"""),"Cast Away")</f>
        <v>Cast Away</v>
      </c>
      <c r="M1943" s="5" t="str">
        <f>IFERROR(__xludf.DUMMYFUNCTION("""COMPUTED_VALUE"""),"Adventure")</f>
        <v>Adventure</v>
      </c>
      <c r="N1943" s="5">
        <f>IFERROR(__xludf.DUMMYFUNCTION("""COMPUTED_VALUE"""),1.0)</f>
        <v>1</v>
      </c>
      <c r="S1943" s="5">
        <f>IFERROR(__xludf.DUMMYFUNCTION("""COMPUTED_VALUE"""),767.0)</f>
        <v>767</v>
      </c>
      <c r="T1943" s="5" t="str">
        <f>IFERROR(__xludf.DUMMYFUNCTION("""COMPUTED_VALUE"""),"The Last King of Scotland")</f>
        <v>The Last King of Scotland</v>
      </c>
      <c r="U1943" s="5" t="str">
        <f>IFERROR(__xludf.DUMMYFUNCTION("""COMPUTED_VALUE"""),"Biography")</f>
        <v>Biography</v>
      </c>
      <c r="V1943" s="5">
        <f>IFERROR(__xludf.DUMMYFUNCTION("""COMPUTED_VALUE"""),1.0)</f>
        <v>1</v>
      </c>
    </row>
    <row r="1944">
      <c r="J1944" s="5" t="str">
        <f>IFERROR(__xludf.DUMMYFUNCTION("""COMPUTED_VALUE"""),"648🤙🏼Cast Away🤙🏼Drama🤙🏼2")</f>
        <v>648🤙🏼Cast Away🤙🏼Drama🤙🏼2</v>
      </c>
      <c r="K1944" s="5">
        <f>IFERROR(__xludf.DUMMYFUNCTION("SPLiT(J1944, ""🤙🏼"",FALSE,FALSE)"),648.0)</f>
        <v>648</v>
      </c>
      <c r="L1944" s="5" t="str">
        <f>IFERROR(__xludf.DUMMYFUNCTION("""COMPUTED_VALUE"""),"Cast Away")</f>
        <v>Cast Away</v>
      </c>
      <c r="M1944" s="5" t="str">
        <f>IFERROR(__xludf.DUMMYFUNCTION("""COMPUTED_VALUE"""),"Drama")</f>
        <v>Drama</v>
      </c>
      <c r="N1944" s="5">
        <f>IFERROR(__xludf.DUMMYFUNCTION("""COMPUTED_VALUE"""),2.0)</f>
        <v>2</v>
      </c>
      <c r="S1944" s="5">
        <f>IFERROR(__xludf.DUMMYFUNCTION("""COMPUTED_VALUE"""),767.0)</f>
        <v>767</v>
      </c>
      <c r="T1944" s="5" t="str">
        <f>IFERROR(__xludf.DUMMYFUNCTION("""COMPUTED_VALUE"""),"The Last King of Scotland")</f>
        <v>The Last King of Scotland</v>
      </c>
      <c r="U1944" s="5" t="str">
        <f>IFERROR(__xludf.DUMMYFUNCTION("""COMPUTED_VALUE"""),"Drama")</f>
        <v>Drama</v>
      </c>
      <c r="V1944" s="5">
        <f>IFERROR(__xludf.DUMMYFUNCTION("""COMPUTED_VALUE"""),2.0)</f>
        <v>2</v>
      </c>
    </row>
    <row r="1945">
      <c r="J1945" s="5" t="str">
        <f>IFERROR(__xludf.DUMMYFUNCTION("""COMPUTED_VALUE"""),"648🤙🏼Cast Away🤙🏼Romance🤙🏼3")</f>
        <v>648🤙🏼Cast Away🤙🏼Romance🤙🏼3</v>
      </c>
      <c r="K1945" s="5">
        <f>IFERROR(__xludf.DUMMYFUNCTION("SPLiT(J1945, ""🤙🏼"",FALSE,FALSE)"),648.0)</f>
        <v>648</v>
      </c>
      <c r="L1945" s="5" t="str">
        <f>IFERROR(__xludf.DUMMYFUNCTION("""COMPUTED_VALUE"""),"Cast Away")</f>
        <v>Cast Away</v>
      </c>
      <c r="M1945" s="5" t="str">
        <f>IFERROR(__xludf.DUMMYFUNCTION("""COMPUTED_VALUE"""),"Romance")</f>
        <v>Romance</v>
      </c>
      <c r="N1945" s="5">
        <f>IFERROR(__xludf.DUMMYFUNCTION("""COMPUTED_VALUE"""),3.0)</f>
        <v>3</v>
      </c>
      <c r="S1945" s="5">
        <f>IFERROR(__xludf.DUMMYFUNCTION("""COMPUTED_VALUE"""),767.0)</f>
        <v>767</v>
      </c>
      <c r="T1945" s="5" t="str">
        <f>IFERROR(__xludf.DUMMYFUNCTION("""COMPUTED_VALUE"""),"The Last King of Scotland")</f>
        <v>The Last King of Scotland</v>
      </c>
      <c r="U1945" s="5" t="str">
        <f>IFERROR(__xludf.DUMMYFUNCTION("""COMPUTED_VALUE"""),"History")</f>
        <v>History</v>
      </c>
      <c r="V1945" s="5">
        <f>IFERROR(__xludf.DUMMYFUNCTION("""COMPUTED_VALUE"""),3.0)</f>
        <v>3</v>
      </c>
    </row>
    <row r="1946">
      <c r="J1946" s="5" t="str">
        <f>IFERROR(__xludf.DUMMYFUNCTION("""COMPUTED_VALUE"""),"649🤙🏼The Boondock Saints🤙🏼Action🤙🏼1")</f>
        <v>649🤙🏼The Boondock Saints🤙🏼Action🤙🏼1</v>
      </c>
      <c r="K1946" s="5">
        <f>IFERROR(__xludf.DUMMYFUNCTION("SPLiT(J1946, ""🤙🏼"",FALSE,FALSE)"),649.0)</f>
        <v>649</v>
      </c>
      <c r="L1946" s="5" t="str">
        <f>IFERROR(__xludf.DUMMYFUNCTION("""COMPUTED_VALUE"""),"The Boondock Saints")</f>
        <v>The Boondock Saints</v>
      </c>
      <c r="M1946" s="5" t="str">
        <f>IFERROR(__xludf.DUMMYFUNCTION("""COMPUTED_VALUE"""),"Action")</f>
        <v>Action</v>
      </c>
      <c r="N1946" s="5">
        <f>IFERROR(__xludf.DUMMYFUNCTION("""COMPUTED_VALUE"""),1.0)</f>
        <v>1</v>
      </c>
      <c r="S1946" s="5">
        <f>IFERROR(__xludf.DUMMYFUNCTION("""COMPUTED_VALUE"""),768.0)</f>
        <v>768</v>
      </c>
      <c r="T1946" s="5" t="str">
        <f>IFERROR(__xludf.DUMMYFUNCTION("""COMPUTED_VALUE"""),"Zodiac")</f>
        <v>Zodiac</v>
      </c>
      <c r="U1946" s="5" t="str">
        <f>IFERROR(__xludf.DUMMYFUNCTION("""COMPUTED_VALUE"""),"Crime")</f>
        <v>Crime</v>
      </c>
      <c r="V1946" s="5">
        <f>IFERROR(__xludf.DUMMYFUNCTION("""COMPUTED_VALUE"""),1.0)</f>
        <v>1</v>
      </c>
    </row>
    <row r="1947">
      <c r="J1947" s="5" t="str">
        <f>IFERROR(__xludf.DUMMYFUNCTION("""COMPUTED_VALUE"""),"649🤙🏼The Boondock Saints🤙🏼Crime🤙🏼2")</f>
        <v>649🤙🏼The Boondock Saints🤙🏼Crime🤙🏼2</v>
      </c>
      <c r="K1947" s="5">
        <f>IFERROR(__xludf.DUMMYFUNCTION("SPLiT(J1947, ""🤙🏼"",FALSE,FALSE)"),649.0)</f>
        <v>649</v>
      </c>
      <c r="L1947" s="5" t="str">
        <f>IFERROR(__xludf.DUMMYFUNCTION("""COMPUTED_VALUE"""),"The Boondock Saints")</f>
        <v>The Boondock Saints</v>
      </c>
      <c r="M1947" s="5" t="str">
        <f>IFERROR(__xludf.DUMMYFUNCTION("""COMPUTED_VALUE"""),"Crime")</f>
        <v>Crime</v>
      </c>
      <c r="N1947" s="5">
        <f>IFERROR(__xludf.DUMMYFUNCTION("""COMPUTED_VALUE"""),2.0)</f>
        <v>2</v>
      </c>
      <c r="S1947" s="5">
        <f>IFERROR(__xludf.DUMMYFUNCTION("""COMPUTED_VALUE"""),768.0)</f>
        <v>768</v>
      </c>
      <c r="T1947" s="5" t="str">
        <f>IFERROR(__xludf.DUMMYFUNCTION("""COMPUTED_VALUE"""),"Zodiac")</f>
        <v>Zodiac</v>
      </c>
      <c r="U1947" s="5" t="str">
        <f>IFERROR(__xludf.DUMMYFUNCTION("""COMPUTED_VALUE"""),"Drama")</f>
        <v>Drama</v>
      </c>
      <c r="V1947" s="5">
        <f>IFERROR(__xludf.DUMMYFUNCTION("""COMPUTED_VALUE"""),2.0)</f>
        <v>2</v>
      </c>
    </row>
    <row r="1948">
      <c r="J1948" s="5" t="str">
        <f>IFERROR(__xludf.DUMMYFUNCTION("""COMPUTED_VALUE"""),"649🤙🏼The Boondock Saints🤙🏼Thriller🤙🏼3")</f>
        <v>649🤙🏼The Boondock Saints🤙🏼Thriller🤙🏼3</v>
      </c>
      <c r="K1948" s="5">
        <f>IFERROR(__xludf.DUMMYFUNCTION("SPLiT(J1948, ""🤙🏼"",FALSE,FALSE)"),649.0)</f>
        <v>649</v>
      </c>
      <c r="L1948" s="5" t="str">
        <f>IFERROR(__xludf.DUMMYFUNCTION("""COMPUTED_VALUE"""),"The Boondock Saints")</f>
        <v>The Boondock Saints</v>
      </c>
      <c r="M1948" s="5" t="str">
        <f>IFERROR(__xludf.DUMMYFUNCTION("""COMPUTED_VALUE"""),"Thriller")</f>
        <v>Thriller</v>
      </c>
      <c r="N1948" s="5">
        <f>IFERROR(__xludf.DUMMYFUNCTION("""COMPUTED_VALUE"""),3.0)</f>
        <v>3</v>
      </c>
      <c r="S1948" s="5">
        <f>IFERROR(__xludf.DUMMYFUNCTION("""COMPUTED_VALUE"""),768.0)</f>
        <v>768</v>
      </c>
      <c r="T1948" s="5" t="str">
        <f>IFERROR(__xludf.DUMMYFUNCTION("""COMPUTED_VALUE"""),"Zodiac")</f>
        <v>Zodiac</v>
      </c>
      <c r="U1948" s="5" t="str">
        <f>IFERROR(__xludf.DUMMYFUNCTION("""COMPUTED_VALUE"""),"Mystery")</f>
        <v>Mystery</v>
      </c>
      <c r="V1948" s="5">
        <f>IFERROR(__xludf.DUMMYFUNCTION("""COMPUTED_VALUE"""),3.0)</f>
        <v>3</v>
      </c>
    </row>
    <row r="1949">
      <c r="J1949" s="5" t="str">
        <f>IFERROR(__xludf.DUMMYFUNCTION("""COMPUTED_VALUE"""),"650🤙🏼The Insider🤙🏼Biography🤙🏼1")</f>
        <v>650🤙🏼The Insider🤙🏼Biography🤙🏼1</v>
      </c>
      <c r="K1949" s="5">
        <f>IFERROR(__xludf.DUMMYFUNCTION("SPLiT(J1949, ""🤙🏼"",FALSE,FALSE)"),650.0)</f>
        <v>650</v>
      </c>
      <c r="L1949" s="5" t="str">
        <f>IFERROR(__xludf.DUMMYFUNCTION("""COMPUTED_VALUE"""),"The Insider")</f>
        <v>The Insider</v>
      </c>
      <c r="M1949" s="5" t="str">
        <f>IFERROR(__xludf.DUMMYFUNCTION("""COMPUTED_VALUE"""),"Biography")</f>
        <v>Biography</v>
      </c>
      <c r="N1949" s="5">
        <f>IFERROR(__xludf.DUMMYFUNCTION("""COMPUTED_VALUE"""),1.0)</f>
        <v>1</v>
      </c>
      <c r="S1949" s="5">
        <f>IFERROR(__xludf.DUMMYFUNCTION("""COMPUTED_VALUE"""),769.0)</f>
        <v>769</v>
      </c>
      <c r="T1949" s="5" t="str">
        <f>IFERROR(__xludf.DUMMYFUNCTION("""COMPUTED_VALUE"""),"Lucky Number Slevin")</f>
        <v>Lucky Number Slevin</v>
      </c>
      <c r="U1949" s="5" t="str">
        <f>IFERROR(__xludf.DUMMYFUNCTION("""COMPUTED_VALUE"""),"Action")</f>
        <v>Action</v>
      </c>
      <c r="V1949" s="5">
        <f>IFERROR(__xludf.DUMMYFUNCTION("""COMPUTED_VALUE"""),1.0)</f>
        <v>1</v>
      </c>
    </row>
    <row r="1950">
      <c r="J1950" s="5" t="str">
        <f>IFERROR(__xludf.DUMMYFUNCTION("""COMPUTED_VALUE"""),"650🤙🏼The Insider🤙🏼Drama🤙🏼2")</f>
        <v>650🤙🏼The Insider🤙🏼Drama🤙🏼2</v>
      </c>
      <c r="K1950" s="5">
        <f>IFERROR(__xludf.DUMMYFUNCTION("SPLiT(J1950, ""🤙🏼"",FALSE,FALSE)"),650.0)</f>
        <v>650</v>
      </c>
      <c r="L1950" s="5" t="str">
        <f>IFERROR(__xludf.DUMMYFUNCTION("""COMPUTED_VALUE"""),"The Insider")</f>
        <v>The Insider</v>
      </c>
      <c r="M1950" s="5" t="str">
        <f>IFERROR(__xludf.DUMMYFUNCTION("""COMPUTED_VALUE"""),"Drama")</f>
        <v>Drama</v>
      </c>
      <c r="N1950" s="5">
        <f>IFERROR(__xludf.DUMMYFUNCTION("""COMPUTED_VALUE"""),2.0)</f>
        <v>2</v>
      </c>
      <c r="S1950" s="5">
        <f>IFERROR(__xludf.DUMMYFUNCTION("""COMPUTED_VALUE"""),769.0)</f>
        <v>769</v>
      </c>
      <c r="T1950" s="5" t="str">
        <f>IFERROR(__xludf.DUMMYFUNCTION("""COMPUTED_VALUE"""),"Lucky Number Slevin")</f>
        <v>Lucky Number Slevin</v>
      </c>
      <c r="U1950" s="5" t="str">
        <f>IFERROR(__xludf.DUMMYFUNCTION("""COMPUTED_VALUE"""),"Crime")</f>
        <v>Crime</v>
      </c>
      <c r="V1950" s="5">
        <f>IFERROR(__xludf.DUMMYFUNCTION("""COMPUTED_VALUE"""),2.0)</f>
        <v>2</v>
      </c>
    </row>
    <row r="1951">
      <c r="J1951" s="5" t="str">
        <f>IFERROR(__xludf.DUMMYFUNCTION("""COMPUTED_VALUE"""),"650🤙🏼The Insider🤙🏼Thriller🤙🏼3")</f>
        <v>650🤙🏼The Insider🤙🏼Thriller🤙🏼3</v>
      </c>
      <c r="K1951" s="5">
        <f>IFERROR(__xludf.DUMMYFUNCTION("SPLiT(J1951, ""🤙🏼"",FALSE,FALSE)"),650.0)</f>
        <v>650</v>
      </c>
      <c r="L1951" s="5" t="str">
        <f>IFERROR(__xludf.DUMMYFUNCTION("""COMPUTED_VALUE"""),"The Insider")</f>
        <v>The Insider</v>
      </c>
      <c r="M1951" s="5" t="str">
        <f>IFERROR(__xludf.DUMMYFUNCTION("""COMPUTED_VALUE"""),"Thriller")</f>
        <v>Thriller</v>
      </c>
      <c r="N1951" s="5">
        <f>IFERROR(__xludf.DUMMYFUNCTION("""COMPUTED_VALUE"""),3.0)</f>
        <v>3</v>
      </c>
      <c r="S1951" s="5">
        <f>IFERROR(__xludf.DUMMYFUNCTION("""COMPUTED_VALUE"""),769.0)</f>
        <v>769</v>
      </c>
      <c r="T1951" s="5" t="str">
        <f>IFERROR(__xludf.DUMMYFUNCTION("""COMPUTED_VALUE"""),"Lucky Number Slevin")</f>
        <v>Lucky Number Slevin</v>
      </c>
      <c r="U1951" s="5" t="str">
        <f>IFERROR(__xludf.DUMMYFUNCTION("""COMPUTED_VALUE"""),"Drama")</f>
        <v>Drama</v>
      </c>
      <c r="V1951" s="5">
        <f>IFERROR(__xludf.DUMMYFUNCTION("""COMPUTED_VALUE"""),3.0)</f>
        <v>3</v>
      </c>
    </row>
    <row r="1952">
      <c r="J1952" s="5" t="str">
        <f>IFERROR(__xludf.DUMMYFUNCTION("""COMPUTED_VALUE"""),"651🤙🏼October Sky🤙🏼Biography🤙🏼1")</f>
        <v>651🤙🏼October Sky🤙🏼Biography🤙🏼1</v>
      </c>
      <c r="K1952" s="5">
        <f>IFERROR(__xludf.DUMMYFUNCTION("SPLiT(J1952, ""🤙🏼"",FALSE,FALSE)"),651.0)</f>
        <v>651</v>
      </c>
      <c r="L1952" s="5" t="str">
        <f>IFERROR(__xludf.DUMMYFUNCTION("""COMPUTED_VALUE"""),"October Sky")</f>
        <v>October Sky</v>
      </c>
      <c r="M1952" s="5" t="str">
        <f>IFERROR(__xludf.DUMMYFUNCTION("""COMPUTED_VALUE"""),"Biography")</f>
        <v>Biography</v>
      </c>
      <c r="N1952" s="5">
        <f>IFERROR(__xludf.DUMMYFUNCTION("""COMPUTED_VALUE"""),1.0)</f>
        <v>1</v>
      </c>
      <c r="S1952" s="5">
        <f>IFERROR(__xludf.DUMMYFUNCTION("""COMPUTED_VALUE"""),770.0)</f>
        <v>770</v>
      </c>
      <c r="T1952" s="5" t="str">
        <f>IFERROR(__xludf.DUMMYFUNCTION("""COMPUTED_VALUE"""),"Joyeux Noël")</f>
        <v>Joyeux Noël</v>
      </c>
      <c r="U1952" s="5" t="str">
        <f>IFERROR(__xludf.DUMMYFUNCTION("""COMPUTED_VALUE"""),"Drama")</f>
        <v>Drama</v>
      </c>
      <c r="V1952" s="5">
        <f>IFERROR(__xludf.DUMMYFUNCTION("""COMPUTED_VALUE"""),1.0)</f>
        <v>1</v>
      </c>
    </row>
    <row r="1953">
      <c r="J1953" s="5" t="str">
        <f>IFERROR(__xludf.DUMMYFUNCTION("""COMPUTED_VALUE"""),"651🤙🏼October Sky🤙🏼Drama🤙🏼2")</f>
        <v>651🤙🏼October Sky🤙🏼Drama🤙🏼2</v>
      </c>
      <c r="K1953" s="5">
        <f>IFERROR(__xludf.DUMMYFUNCTION("SPLiT(J1953, ""🤙🏼"",FALSE,FALSE)"),651.0)</f>
        <v>651</v>
      </c>
      <c r="L1953" s="5" t="str">
        <f>IFERROR(__xludf.DUMMYFUNCTION("""COMPUTED_VALUE"""),"October Sky")</f>
        <v>October Sky</v>
      </c>
      <c r="M1953" s="5" t="str">
        <f>IFERROR(__xludf.DUMMYFUNCTION("""COMPUTED_VALUE"""),"Drama")</f>
        <v>Drama</v>
      </c>
      <c r="N1953" s="5">
        <f>IFERROR(__xludf.DUMMYFUNCTION("""COMPUTED_VALUE"""),2.0)</f>
        <v>2</v>
      </c>
      <c r="S1953" s="5">
        <f>IFERROR(__xludf.DUMMYFUNCTION("""COMPUTED_VALUE"""),770.0)</f>
        <v>770</v>
      </c>
      <c r="T1953" s="5" t="str">
        <f>IFERROR(__xludf.DUMMYFUNCTION("""COMPUTED_VALUE"""),"Joyeux Noël")</f>
        <v>Joyeux Noël</v>
      </c>
      <c r="U1953" s="5" t="str">
        <f>IFERROR(__xludf.DUMMYFUNCTION("""COMPUTED_VALUE"""),"History")</f>
        <v>History</v>
      </c>
      <c r="V1953" s="5">
        <f>IFERROR(__xludf.DUMMYFUNCTION("""COMPUTED_VALUE"""),2.0)</f>
        <v>2</v>
      </c>
    </row>
    <row r="1954">
      <c r="J1954" s="5" t="str">
        <f>IFERROR(__xludf.DUMMYFUNCTION("""COMPUTED_VALUE"""),"651🤙🏼October Sky🤙🏼Family🤙🏼3")</f>
        <v>651🤙🏼October Sky🤙🏼Family🤙🏼3</v>
      </c>
      <c r="K1954" s="5">
        <f>IFERROR(__xludf.DUMMYFUNCTION("SPLiT(J1954, ""🤙🏼"",FALSE,FALSE)"),651.0)</f>
        <v>651</v>
      </c>
      <c r="L1954" s="5" t="str">
        <f>IFERROR(__xludf.DUMMYFUNCTION("""COMPUTED_VALUE"""),"October Sky")</f>
        <v>October Sky</v>
      </c>
      <c r="M1954" s="5" t="str">
        <f>IFERROR(__xludf.DUMMYFUNCTION("""COMPUTED_VALUE"""),"Family")</f>
        <v>Family</v>
      </c>
      <c r="N1954" s="5">
        <f>IFERROR(__xludf.DUMMYFUNCTION("""COMPUTED_VALUE"""),3.0)</f>
        <v>3</v>
      </c>
      <c r="S1954" s="5">
        <f>IFERROR(__xludf.DUMMYFUNCTION("""COMPUTED_VALUE"""),770.0)</f>
        <v>770</v>
      </c>
      <c r="T1954" s="5" t="str">
        <f>IFERROR(__xludf.DUMMYFUNCTION("""COMPUTED_VALUE"""),"Joyeux Noël")</f>
        <v>Joyeux Noël</v>
      </c>
      <c r="U1954" s="5" t="str">
        <f>IFERROR(__xludf.DUMMYFUNCTION("""COMPUTED_VALUE"""),"Music")</f>
        <v>Music</v>
      </c>
      <c r="V1954" s="5">
        <f>IFERROR(__xludf.DUMMYFUNCTION("""COMPUTED_VALUE"""),3.0)</f>
        <v>3</v>
      </c>
    </row>
    <row r="1955">
      <c r="J1955" s="5" t="str">
        <f>IFERROR(__xludf.DUMMYFUNCTION("""COMPUTED_VALUE"""),"652🤙🏼Shrek🤙🏼Animation🤙🏼1")</f>
        <v>652🤙🏼Shrek🤙🏼Animation🤙🏼1</v>
      </c>
      <c r="K1955" s="5">
        <f>IFERROR(__xludf.DUMMYFUNCTION("SPLiT(J1955, ""🤙🏼"",FALSE,FALSE)"),652.0)</f>
        <v>652</v>
      </c>
      <c r="L1955" s="5" t="str">
        <f>IFERROR(__xludf.DUMMYFUNCTION("""COMPUTED_VALUE"""),"Shrek")</f>
        <v>Shrek</v>
      </c>
      <c r="M1955" s="5" t="str">
        <f>IFERROR(__xludf.DUMMYFUNCTION("""COMPUTED_VALUE"""),"Animation")</f>
        <v>Animation</v>
      </c>
      <c r="N1955" s="5">
        <f>IFERROR(__xludf.DUMMYFUNCTION("""COMPUTED_VALUE"""),1.0)</f>
        <v>1</v>
      </c>
      <c r="S1955" s="5">
        <f>IFERROR(__xludf.DUMMYFUNCTION("""COMPUTED_VALUE"""),771.0)</f>
        <v>771</v>
      </c>
      <c r="T1955" s="5" t="str">
        <f>IFERROR(__xludf.DUMMYFUNCTION("""COMPUTED_VALUE"""),"Control")</f>
        <v>Control</v>
      </c>
      <c r="U1955" s="5" t="str">
        <f>IFERROR(__xludf.DUMMYFUNCTION("""COMPUTED_VALUE"""),"Biography")</f>
        <v>Biography</v>
      </c>
      <c r="V1955" s="5">
        <f>IFERROR(__xludf.DUMMYFUNCTION("""COMPUTED_VALUE"""),1.0)</f>
        <v>1</v>
      </c>
    </row>
    <row r="1956">
      <c r="J1956" s="5" t="str">
        <f>IFERROR(__xludf.DUMMYFUNCTION("""COMPUTED_VALUE"""),"652🤙🏼Shrek🤙🏼Adventure🤙🏼2")</f>
        <v>652🤙🏼Shrek🤙🏼Adventure🤙🏼2</v>
      </c>
      <c r="K1956" s="5">
        <f>IFERROR(__xludf.DUMMYFUNCTION("SPLiT(J1956, ""🤙🏼"",FALSE,FALSE)"),652.0)</f>
        <v>652</v>
      </c>
      <c r="L1956" s="5" t="str">
        <f>IFERROR(__xludf.DUMMYFUNCTION("""COMPUTED_VALUE"""),"Shrek")</f>
        <v>Shrek</v>
      </c>
      <c r="M1956" s="5" t="str">
        <f>IFERROR(__xludf.DUMMYFUNCTION("""COMPUTED_VALUE"""),"Adventure")</f>
        <v>Adventure</v>
      </c>
      <c r="N1956" s="5">
        <f>IFERROR(__xludf.DUMMYFUNCTION("""COMPUTED_VALUE"""),2.0)</f>
        <v>2</v>
      </c>
      <c r="S1956" s="5">
        <f>IFERROR(__xludf.DUMMYFUNCTION("""COMPUTED_VALUE"""),771.0)</f>
        <v>771</v>
      </c>
      <c r="T1956" s="5" t="str">
        <f>IFERROR(__xludf.DUMMYFUNCTION("""COMPUTED_VALUE"""),"Control")</f>
        <v>Control</v>
      </c>
      <c r="U1956" s="5" t="str">
        <f>IFERROR(__xludf.DUMMYFUNCTION("""COMPUTED_VALUE"""),"Drama")</f>
        <v>Drama</v>
      </c>
      <c r="V1956" s="5">
        <f>IFERROR(__xludf.DUMMYFUNCTION("""COMPUTED_VALUE"""),2.0)</f>
        <v>2</v>
      </c>
    </row>
    <row r="1957">
      <c r="J1957" s="5" t="str">
        <f>IFERROR(__xludf.DUMMYFUNCTION("""COMPUTED_VALUE"""),"652🤙🏼Shrek🤙🏼Comedy🤙🏼3")</f>
        <v>652🤙🏼Shrek🤙🏼Comedy🤙🏼3</v>
      </c>
      <c r="K1957" s="5">
        <f>IFERROR(__xludf.DUMMYFUNCTION("SPLiT(J1957, ""🤙🏼"",FALSE,FALSE)"),652.0)</f>
        <v>652</v>
      </c>
      <c r="L1957" s="5" t="str">
        <f>IFERROR(__xludf.DUMMYFUNCTION("""COMPUTED_VALUE"""),"Shrek")</f>
        <v>Shrek</v>
      </c>
      <c r="M1957" s="5" t="str">
        <f>IFERROR(__xludf.DUMMYFUNCTION("""COMPUTED_VALUE"""),"Comedy")</f>
        <v>Comedy</v>
      </c>
      <c r="N1957" s="5">
        <f>IFERROR(__xludf.DUMMYFUNCTION("""COMPUTED_VALUE"""),3.0)</f>
        <v>3</v>
      </c>
      <c r="S1957" s="5">
        <f>IFERROR(__xludf.DUMMYFUNCTION("""COMPUTED_VALUE"""),771.0)</f>
        <v>771</v>
      </c>
      <c r="T1957" s="5" t="str">
        <f>IFERROR(__xludf.DUMMYFUNCTION("""COMPUTED_VALUE"""),"Control")</f>
        <v>Control</v>
      </c>
      <c r="U1957" s="5" t="str">
        <f>IFERROR(__xludf.DUMMYFUNCTION("""COMPUTED_VALUE"""),"Music")</f>
        <v>Music</v>
      </c>
      <c r="V1957" s="5">
        <f>IFERROR(__xludf.DUMMYFUNCTION("""COMPUTED_VALUE"""),3.0)</f>
        <v>3</v>
      </c>
    </row>
    <row r="1958">
      <c r="J1958" s="5" t="str">
        <f>IFERROR(__xludf.DUMMYFUNCTION("""COMPUTED_VALUE"""),"653🤙🏼Titanic🤙🏼Drama🤙🏼1")</f>
        <v>653🤙🏼Titanic🤙🏼Drama🤙🏼1</v>
      </c>
      <c r="K1958" s="5">
        <f>IFERROR(__xludf.DUMMYFUNCTION("SPLiT(J1958, ""🤙🏼"",FALSE,FALSE)"),653.0)</f>
        <v>653</v>
      </c>
      <c r="L1958" s="5" t="str">
        <f>IFERROR(__xludf.DUMMYFUNCTION("""COMPUTED_VALUE"""),"Titanic")</f>
        <v>Titanic</v>
      </c>
      <c r="M1958" s="5" t="str">
        <f>IFERROR(__xludf.DUMMYFUNCTION("""COMPUTED_VALUE"""),"Drama")</f>
        <v>Drama</v>
      </c>
      <c r="N1958" s="5">
        <f>IFERROR(__xludf.DUMMYFUNCTION("""COMPUTED_VALUE"""),1.0)</f>
        <v>1</v>
      </c>
      <c r="S1958" s="5">
        <f>IFERROR(__xludf.DUMMYFUNCTION("""COMPUTED_VALUE"""),772.0)</f>
        <v>772</v>
      </c>
      <c r="T1958" s="5" t="str">
        <f>IFERROR(__xludf.DUMMYFUNCTION("""COMPUTED_VALUE"""),"Tangled")</f>
        <v>Tangled</v>
      </c>
      <c r="U1958" s="5" t="str">
        <f>IFERROR(__xludf.DUMMYFUNCTION("""COMPUTED_VALUE"""),"Animation")</f>
        <v>Animation</v>
      </c>
      <c r="V1958" s="5">
        <f>IFERROR(__xludf.DUMMYFUNCTION("""COMPUTED_VALUE"""),1.0)</f>
        <v>1</v>
      </c>
    </row>
    <row r="1959">
      <c r="J1959" s="5" t="str">
        <f>IFERROR(__xludf.DUMMYFUNCTION("""COMPUTED_VALUE"""),"653🤙🏼Titanic🤙🏼Romance🤙🏼2")</f>
        <v>653🤙🏼Titanic🤙🏼Romance🤙🏼2</v>
      </c>
      <c r="K1959" s="5">
        <f>IFERROR(__xludf.DUMMYFUNCTION("SPLiT(J1959, ""🤙🏼"",FALSE,FALSE)"),653.0)</f>
        <v>653</v>
      </c>
      <c r="L1959" s="5" t="str">
        <f>IFERROR(__xludf.DUMMYFUNCTION("""COMPUTED_VALUE"""),"Titanic")</f>
        <v>Titanic</v>
      </c>
      <c r="M1959" s="5" t="str">
        <f>IFERROR(__xludf.DUMMYFUNCTION("""COMPUTED_VALUE"""),"Romance")</f>
        <v>Romance</v>
      </c>
      <c r="N1959" s="5">
        <f>IFERROR(__xludf.DUMMYFUNCTION("""COMPUTED_VALUE"""),2.0)</f>
        <v>2</v>
      </c>
      <c r="S1959" s="5">
        <f>IFERROR(__xludf.DUMMYFUNCTION("""COMPUTED_VALUE"""),772.0)</f>
        <v>772</v>
      </c>
      <c r="T1959" s="5" t="str">
        <f>IFERROR(__xludf.DUMMYFUNCTION("""COMPUTED_VALUE"""),"Tangled")</f>
        <v>Tangled</v>
      </c>
      <c r="U1959" s="5" t="str">
        <f>IFERROR(__xludf.DUMMYFUNCTION("""COMPUTED_VALUE"""),"Adventure")</f>
        <v>Adventure</v>
      </c>
      <c r="V1959" s="5">
        <f>IFERROR(__xludf.DUMMYFUNCTION("""COMPUTED_VALUE"""),2.0)</f>
        <v>2</v>
      </c>
    </row>
    <row r="1960">
      <c r="J1960" s="5" t="str">
        <f>IFERROR(__xludf.DUMMYFUNCTION("""COMPUTED_VALUE"""),"653🤙🏼Titanic🤙🏼🤙🏼3")</f>
        <v>653🤙🏼Titanic🤙🏼🤙🏼3</v>
      </c>
      <c r="K1960" s="5">
        <f>IFERROR(__xludf.DUMMYFUNCTION("SPLiT(J1960, ""🤙🏼"",FALSE,FALSE)"),653.0)</f>
        <v>653</v>
      </c>
      <c r="L1960" s="5" t="str">
        <f>IFERROR(__xludf.DUMMYFUNCTION("""COMPUTED_VALUE"""),"Titanic")</f>
        <v>Titanic</v>
      </c>
      <c r="M1960" s="5"/>
      <c r="N1960" s="5">
        <f>IFERROR(__xludf.DUMMYFUNCTION("""COMPUTED_VALUE"""),3.0)</f>
        <v>3</v>
      </c>
      <c r="S1960" s="5">
        <f>IFERROR(__xludf.DUMMYFUNCTION("""COMPUTED_VALUE"""),772.0)</f>
        <v>772</v>
      </c>
      <c r="T1960" s="5" t="str">
        <f>IFERROR(__xludf.DUMMYFUNCTION("""COMPUTED_VALUE"""),"Tangled")</f>
        <v>Tangled</v>
      </c>
      <c r="U1960" s="5" t="str">
        <f>IFERROR(__xludf.DUMMYFUNCTION("""COMPUTED_VALUE"""),"Comedy")</f>
        <v>Comedy</v>
      </c>
      <c r="V1960" s="5">
        <f>IFERROR(__xludf.DUMMYFUNCTION("""COMPUTED_VALUE"""),3.0)</f>
        <v>3</v>
      </c>
    </row>
    <row r="1961">
      <c r="J1961" s="5" t="str">
        <f>IFERROR(__xludf.DUMMYFUNCTION("""COMPUTED_VALUE"""),"654🤙🏼Hana-bi🤙🏼Crime🤙🏼1")</f>
        <v>654🤙🏼Hana-bi🤙🏼Crime🤙🏼1</v>
      </c>
      <c r="K1961" s="5">
        <f>IFERROR(__xludf.DUMMYFUNCTION("SPLiT(J1961, ""🤙🏼"",FALSE,FALSE)"),654.0)</f>
        <v>654</v>
      </c>
      <c r="L1961" s="5" t="str">
        <f>IFERROR(__xludf.DUMMYFUNCTION("""COMPUTED_VALUE"""),"Hana-bi")</f>
        <v>Hana-bi</v>
      </c>
      <c r="M1961" s="5" t="str">
        <f>IFERROR(__xludf.DUMMYFUNCTION("""COMPUTED_VALUE"""),"Crime")</f>
        <v>Crime</v>
      </c>
      <c r="N1961" s="5">
        <f>IFERROR(__xludf.DUMMYFUNCTION("""COMPUTED_VALUE"""),1.0)</f>
        <v>1</v>
      </c>
      <c r="S1961" s="5">
        <f>IFERROR(__xludf.DUMMYFUNCTION("""COMPUTED_VALUE"""),773.0)</f>
        <v>773</v>
      </c>
      <c r="T1961" s="5" t="str">
        <f>IFERROR(__xludf.DUMMYFUNCTION("""COMPUTED_VALUE"""),"Zwartboek")</f>
        <v>Zwartboek</v>
      </c>
      <c r="U1961" s="5" t="str">
        <f>IFERROR(__xludf.DUMMYFUNCTION("""COMPUTED_VALUE"""),"Drama")</f>
        <v>Drama</v>
      </c>
      <c r="V1961" s="5">
        <f>IFERROR(__xludf.DUMMYFUNCTION("""COMPUTED_VALUE"""),1.0)</f>
        <v>1</v>
      </c>
    </row>
    <row r="1962">
      <c r="J1962" s="5" t="str">
        <f>IFERROR(__xludf.DUMMYFUNCTION("""COMPUTED_VALUE"""),"654🤙🏼Hana-bi🤙🏼Drama🤙🏼2")</f>
        <v>654🤙🏼Hana-bi🤙🏼Drama🤙🏼2</v>
      </c>
      <c r="K1962" s="5">
        <f>IFERROR(__xludf.DUMMYFUNCTION("SPLiT(J1962, ""🤙🏼"",FALSE,FALSE)"),654.0)</f>
        <v>654</v>
      </c>
      <c r="L1962" s="5" t="str">
        <f>IFERROR(__xludf.DUMMYFUNCTION("""COMPUTED_VALUE"""),"Hana-bi")</f>
        <v>Hana-bi</v>
      </c>
      <c r="M1962" s="5" t="str">
        <f>IFERROR(__xludf.DUMMYFUNCTION("""COMPUTED_VALUE"""),"Drama")</f>
        <v>Drama</v>
      </c>
      <c r="N1962" s="5">
        <f>IFERROR(__xludf.DUMMYFUNCTION("""COMPUTED_VALUE"""),2.0)</f>
        <v>2</v>
      </c>
      <c r="S1962" s="5">
        <f>IFERROR(__xludf.DUMMYFUNCTION("""COMPUTED_VALUE"""),773.0)</f>
        <v>773</v>
      </c>
      <c r="T1962" s="5" t="str">
        <f>IFERROR(__xludf.DUMMYFUNCTION("""COMPUTED_VALUE"""),"Zwartboek")</f>
        <v>Zwartboek</v>
      </c>
      <c r="U1962" s="5" t="str">
        <f>IFERROR(__xludf.DUMMYFUNCTION("""COMPUTED_VALUE"""),"Thriller")</f>
        <v>Thriller</v>
      </c>
      <c r="V1962" s="5">
        <f>IFERROR(__xludf.DUMMYFUNCTION("""COMPUTED_VALUE"""),2.0)</f>
        <v>2</v>
      </c>
    </row>
    <row r="1963">
      <c r="J1963" s="5" t="str">
        <f>IFERROR(__xludf.DUMMYFUNCTION("""COMPUTED_VALUE"""),"654🤙🏼Hana-bi🤙🏼Romance🤙🏼3")</f>
        <v>654🤙🏼Hana-bi🤙🏼Romance🤙🏼3</v>
      </c>
      <c r="K1963" s="5">
        <f>IFERROR(__xludf.DUMMYFUNCTION("SPLiT(J1963, ""🤙🏼"",FALSE,FALSE)"),654.0)</f>
        <v>654</v>
      </c>
      <c r="L1963" s="5" t="str">
        <f>IFERROR(__xludf.DUMMYFUNCTION("""COMPUTED_VALUE"""),"Hana-bi")</f>
        <v>Hana-bi</v>
      </c>
      <c r="M1963" s="5" t="str">
        <f>IFERROR(__xludf.DUMMYFUNCTION("""COMPUTED_VALUE"""),"Romance")</f>
        <v>Romance</v>
      </c>
      <c r="N1963" s="5">
        <f>IFERROR(__xludf.DUMMYFUNCTION("""COMPUTED_VALUE"""),3.0)</f>
        <v>3</v>
      </c>
      <c r="S1963" s="5">
        <f>IFERROR(__xludf.DUMMYFUNCTION("""COMPUTED_VALUE"""),773.0)</f>
        <v>773</v>
      </c>
      <c r="T1963" s="5" t="str">
        <f>IFERROR(__xludf.DUMMYFUNCTION("""COMPUTED_VALUE"""),"Zwartboek")</f>
        <v>Zwartboek</v>
      </c>
      <c r="U1963" s="5" t="str">
        <f>IFERROR(__xludf.DUMMYFUNCTION("""COMPUTED_VALUE"""),"War")</f>
        <v>War</v>
      </c>
      <c r="V1963" s="5">
        <f>IFERROR(__xludf.DUMMYFUNCTION("""COMPUTED_VALUE"""),3.0)</f>
        <v>3</v>
      </c>
    </row>
    <row r="1964">
      <c r="J1964" s="5" t="str">
        <f>IFERROR(__xludf.DUMMYFUNCTION("""COMPUTED_VALUE"""),"655🤙🏼Gattaca🤙🏼Drama🤙🏼1")</f>
        <v>655🤙🏼Gattaca🤙🏼Drama🤙🏼1</v>
      </c>
      <c r="K1964" s="5">
        <f>IFERROR(__xludf.DUMMYFUNCTION("SPLiT(J1964, ""🤙🏼"",FALSE,FALSE)"),655.0)</f>
        <v>655</v>
      </c>
      <c r="L1964" s="5" t="str">
        <f>IFERROR(__xludf.DUMMYFUNCTION("""COMPUTED_VALUE"""),"Gattaca")</f>
        <v>Gattaca</v>
      </c>
      <c r="M1964" s="5" t="str">
        <f>IFERROR(__xludf.DUMMYFUNCTION("""COMPUTED_VALUE"""),"Drama")</f>
        <v>Drama</v>
      </c>
      <c r="N1964" s="5">
        <f>IFERROR(__xludf.DUMMYFUNCTION("""COMPUTED_VALUE"""),1.0)</f>
        <v>1</v>
      </c>
      <c r="S1964" s="5">
        <f>IFERROR(__xludf.DUMMYFUNCTION("""COMPUTED_VALUE"""),774.0)</f>
        <v>774</v>
      </c>
      <c r="T1964" s="5" t="str">
        <f>IFERROR(__xludf.DUMMYFUNCTION("""COMPUTED_VALUE"""),"Brokeback Mountain")</f>
        <v>Brokeback Mountain</v>
      </c>
      <c r="U1964" s="5" t="str">
        <f>IFERROR(__xludf.DUMMYFUNCTION("""COMPUTED_VALUE"""),"Drama")</f>
        <v>Drama</v>
      </c>
      <c r="V1964" s="5">
        <f>IFERROR(__xludf.DUMMYFUNCTION("""COMPUTED_VALUE"""),1.0)</f>
        <v>1</v>
      </c>
    </row>
    <row r="1965">
      <c r="J1965" s="5" t="str">
        <f>IFERROR(__xludf.DUMMYFUNCTION("""COMPUTED_VALUE"""),"655🤙🏼Gattaca🤙🏼Sci-Fi🤙🏼2")</f>
        <v>655🤙🏼Gattaca🤙🏼Sci-Fi🤙🏼2</v>
      </c>
      <c r="K1965" s="5">
        <f>IFERROR(__xludf.DUMMYFUNCTION("SPLiT(J1965, ""🤙🏼"",FALSE,FALSE)"),655.0)</f>
        <v>655</v>
      </c>
      <c r="L1965" s="5" t="str">
        <f>IFERROR(__xludf.DUMMYFUNCTION("""COMPUTED_VALUE"""),"Gattaca")</f>
        <v>Gattaca</v>
      </c>
      <c r="M1965" s="5" t="str">
        <f>IFERROR(__xludf.DUMMYFUNCTION("""COMPUTED_VALUE"""),"Sci-Fi")</f>
        <v>Sci-Fi</v>
      </c>
      <c r="N1965" s="5">
        <f>IFERROR(__xludf.DUMMYFUNCTION("""COMPUTED_VALUE"""),2.0)</f>
        <v>2</v>
      </c>
      <c r="S1965" s="5">
        <f>IFERROR(__xludf.DUMMYFUNCTION("""COMPUTED_VALUE"""),774.0)</f>
        <v>774</v>
      </c>
      <c r="T1965" s="5" t="str">
        <f>IFERROR(__xludf.DUMMYFUNCTION("""COMPUTED_VALUE"""),"Brokeback Mountain")</f>
        <v>Brokeback Mountain</v>
      </c>
      <c r="U1965" s="5" t="str">
        <f>IFERROR(__xludf.DUMMYFUNCTION("""COMPUTED_VALUE"""),"Romance")</f>
        <v>Romance</v>
      </c>
      <c r="V1965" s="5">
        <f>IFERROR(__xludf.DUMMYFUNCTION("""COMPUTED_VALUE"""),2.0)</f>
        <v>2</v>
      </c>
    </row>
    <row r="1966">
      <c r="J1966" s="5" t="str">
        <f>IFERROR(__xludf.DUMMYFUNCTION("""COMPUTED_VALUE"""),"655🤙🏼Gattaca🤙🏼Thriller🤙🏼3")</f>
        <v>655🤙🏼Gattaca🤙🏼Thriller🤙🏼3</v>
      </c>
      <c r="K1966" s="5">
        <f>IFERROR(__xludf.DUMMYFUNCTION("SPLiT(J1966, ""🤙🏼"",FALSE,FALSE)"),655.0)</f>
        <v>655</v>
      </c>
      <c r="L1966" s="5" t="str">
        <f>IFERROR(__xludf.DUMMYFUNCTION("""COMPUTED_VALUE"""),"Gattaca")</f>
        <v>Gattaca</v>
      </c>
      <c r="M1966" s="5" t="str">
        <f>IFERROR(__xludf.DUMMYFUNCTION("""COMPUTED_VALUE"""),"Thriller")</f>
        <v>Thriller</v>
      </c>
      <c r="N1966" s="5">
        <f>IFERROR(__xludf.DUMMYFUNCTION("""COMPUTED_VALUE"""),3.0)</f>
        <v>3</v>
      </c>
      <c r="S1966" s="5">
        <f>IFERROR(__xludf.DUMMYFUNCTION("""COMPUTED_VALUE"""),775.0)</f>
        <v>775</v>
      </c>
      <c r="T1966" s="5" t="str">
        <f>IFERROR(__xludf.DUMMYFUNCTION("""COMPUTED_VALUE"""),"3:10 to Yuma")</f>
        <v>3:10 to Yuma</v>
      </c>
      <c r="U1966" s="5" t="str">
        <f>IFERROR(__xludf.DUMMYFUNCTION("""COMPUTED_VALUE"""),"Action")</f>
        <v>Action</v>
      </c>
      <c r="V1966" s="5">
        <f>IFERROR(__xludf.DUMMYFUNCTION("""COMPUTED_VALUE"""),1.0)</f>
        <v>1</v>
      </c>
    </row>
    <row r="1967">
      <c r="J1967" s="5" t="str">
        <f>IFERROR(__xludf.DUMMYFUNCTION("""COMPUTED_VALUE"""),"656🤙🏼The Game🤙🏼Action🤙🏼1")</f>
        <v>656🤙🏼The Game🤙🏼Action🤙🏼1</v>
      </c>
      <c r="K1967" s="5">
        <f>IFERROR(__xludf.DUMMYFUNCTION("SPLiT(J1967, ""🤙🏼"",FALSE,FALSE)"),656.0)</f>
        <v>656</v>
      </c>
      <c r="L1967" s="5" t="str">
        <f>IFERROR(__xludf.DUMMYFUNCTION("""COMPUTED_VALUE"""),"The Game")</f>
        <v>The Game</v>
      </c>
      <c r="M1967" s="5" t="str">
        <f>IFERROR(__xludf.DUMMYFUNCTION("""COMPUTED_VALUE"""),"Action")</f>
        <v>Action</v>
      </c>
      <c r="N1967" s="5">
        <f>IFERROR(__xludf.DUMMYFUNCTION("""COMPUTED_VALUE"""),1.0)</f>
        <v>1</v>
      </c>
      <c r="S1967" s="5">
        <f>IFERROR(__xludf.DUMMYFUNCTION("""COMPUTED_VALUE"""),775.0)</f>
        <v>775</v>
      </c>
      <c r="T1967" s="5" t="str">
        <f>IFERROR(__xludf.DUMMYFUNCTION("""COMPUTED_VALUE"""),"3:10 to Yuma")</f>
        <v>3:10 to Yuma</v>
      </c>
      <c r="U1967" s="5" t="str">
        <f>IFERROR(__xludf.DUMMYFUNCTION("""COMPUTED_VALUE"""),"Crime")</f>
        <v>Crime</v>
      </c>
      <c r="V1967" s="5">
        <f>IFERROR(__xludf.DUMMYFUNCTION("""COMPUTED_VALUE"""),2.0)</f>
        <v>2</v>
      </c>
    </row>
    <row r="1968">
      <c r="J1968" s="5" t="str">
        <f>IFERROR(__xludf.DUMMYFUNCTION("""COMPUTED_VALUE"""),"656🤙🏼The Game🤙🏼Drama🤙🏼2")</f>
        <v>656🤙🏼The Game🤙🏼Drama🤙🏼2</v>
      </c>
      <c r="K1968" s="5">
        <f>IFERROR(__xludf.DUMMYFUNCTION("SPLiT(J1968, ""🤙🏼"",FALSE,FALSE)"),656.0)</f>
        <v>656</v>
      </c>
      <c r="L1968" s="5" t="str">
        <f>IFERROR(__xludf.DUMMYFUNCTION("""COMPUTED_VALUE"""),"The Game")</f>
        <v>The Game</v>
      </c>
      <c r="M1968" s="5" t="str">
        <f>IFERROR(__xludf.DUMMYFUNCTION("""COMPUTED_VALUE"""),"Drama")</f>
        <v>Drama</v>
      </c>
      <c r="N1968" s="5">
        <f>IFERROR(__xludf.DUMMYFUNCTION("""COMPUTED_VALUE"""),2.0)</f>
        <v>2</v>
      </c>
      <c r="S1968" s="5">
        <f>IFERROR(__xludf.DUMMYFUNCTION("""COMPUTED_VALUE"""),775.0)</f>
        <v>775</v>
      </c>
      <c r="T1968" s="5" t="str">
        <f>IFERROR(__xludf.DUMMYFUNCTION("""COMPUTED_VALUE"""),"3:10 to Yuma")</f>
        <v>3:10 to Yuma</v>
      </c>
      <c r="U1968" s="5" t="str">
        <f>IFERROR(__xludf.DUMMYFUNCTION("""COMPUTED_VALUE"""),"Drama")</f>
        <v>Drama</v>
      </c>
      <c r="V1968" s="5">
        <f>IFERROR(__xludf.DUMMYFUNCTION("""COMPUTED_VALUE"""),3.0)</f>
        <v>3</v>
      </c>
    </row>
    <row r="1969">
      <c r="J1969" s="5" t="str">
        <f>IFERROR(__xludf.DUMMYFUNCTION("""COMPUTED_VALUE"""),"656🤙🏼The Game🤙🏼Mystery🤙🏼3")</f>
        <v>656🤙🏼The Game🤙🏼Mystery🤙🏼3</v>
      </c>
      <c r="K1969" s="5">
        <f>IFERROR(__xludf.DUMMYFUNCTION("SPLiT(J1969, ""🤙🏼"",FALSE,FALSE)"),656.0)</f>
        <v>656</v>
      </c>
      <c r="L1969" s="5" t="str">
        <f>IFERROR(__xludf.DUMMYFUNCTION("""COMPUTED_VALUE"""),"The Game")</f>
        <v>The Game</v>
      </c>
      <c r="M1969" s="5" t="str">
        <f>IFERROR(__xludf.DUMMYFUNCTION("""COMPUTED_VALUE"""),"Mystery")</f>
        <v>Mystery</v>
      </c>
      <c r="N1969" s="5">
        <f>IFERROR(__xludf.DUMMYFUNCTION("""COMPUTED_VALUE"""),3.0)</f>
        <v>3</v>
      </c>
      <c r="S1969" s="5">
        <f>IFERROR(__xludf.DUMMYFUNCTION("""COMPUTED_VALUE"""),776.0)</f>
        <v>776</v>
      </c>
      <c r="T1969" s="5" t="str">
        <f>IFERROR(__xludf.DUMMYFUNCTION("""COMPUTED_VALUE"""),"Crash")</f>
        <v>Crash</v>
      </c>
      <c r="U1969" s="5" t="str">
        <f>IFERROR(__xludf.DUMMYFUNCTION("""COMPUTED_VALUE"""),"Crime")</f>
        <v>Crime</v>
      </c>
      <c r="V1969" s="5">
        <f>IFERROR(__xludf.DUMMYFUNCTION("""COMPUTED_VALUE"""),1.0)</f>
        <v>1</v>
      </c>
    </row>
    <row r="1970">
      <c r="J1970" s="5" t="str">
        <f>IFERROR(__xludf.DUMMYFUNCTION("""COMPUTED_VALUE"""),"657🤙🏼Breaking the Waves🤙🏼Drama🤙🏼1")</f>
        <v>657🤙🏼Breaking the Waves🤙🏼Drama🤙🏼1</v>
      </c>
      <c r="K1970" s="5">
        <f>IFERROR(__xludf.DUMMYFUNCTION("SPLiT(J1970, ""🤙🏼"",FALSE,FALSE)"),657.0)</f>
        <v>657</v>
      </c>
      <c r="L1970" s="5" t="str">
        <f>IFERROR(__xludf.DUMMYFUNCTION("""COMPUTED_VALUE"""),"Breaking the Waves")</f>
        <v>Breaking the Waves</v>
      </c>
      <c r="M1970" s="5" t="str">
        <f>IFERROR(__xludf.DUMMYFUNCTION("""COMPUTED_VALUE"""),"Drama")</f>
        <v>Drama</v>
      </c>
      <c r="N1970" s="5">
        <f>IFERROR(__xludf.DUMMYFUNCTION("""COMPUTED_VALUE"""),1.0)</f>
        <v>1</v>
      </c>
      <c r="S1970" s="5">
        <f>IFERROR(__xludf.DUMMYFUNCTION("""COMPUTED_VALUE"""),776.0)</f>
        <v>776</v>
      </c>
      <c r="T1970" s="5" t="str">
        <f>IFERROR(__xludf.DUMMYFUNCTION("""COMPUTED_VALUE"""),"Crash")</f>
        <v>Crash</v>
      </c>
      <c r="U1970" s="5" t="str">
        <f>IFERROR(__xludf.DUMMYFUNCTION("""COMPUTED_VALUE"""),"Drama")</f>
        <v>Drama</v>
      </c>
      <c r="V1970" s="5">
        <f>IFERROR(__xludf.DUMMYFUNCTION("""COMPUTED_VALUE"""),2.0)</f>
        <v>2</v>
      </c>
    </row>
    <row r="1971">
      <c r="J1971" s="5" t="str">
        <f>IFERROR(__xludf.DUMMYFUNCTION("""COMPUTED_VALUE"""),"657🤙🏼Breaking the Waves🤙🏼🤙🏼2")</f>
        <v>657🤙🏼Breaking the Waves🤙🏼🤙🏼2</v>
      </c>
      <c r="K1971" s="5">
        <f>IFERROR(__xludf.DUMMYFUNCTION("SPLiT(J1971, ""🤙🏼"",FALSE,FALSE)"),657.0)</f>
        <v>657</v>
      </c>
      <c r="L1971" s="5" t="str">
        <f>IFERROR(__xludf.DUMMYFUNCTION("""COMPUTED_VALUE"""),"Breaking the Waves")</f>
        <v>Breaking the Waves</v>
      </c>
      <c r="M1971" s="5"/>
      <c r="N1971" s="5">
        <f>IFERROR(__xludf.DUMMYFUNCTION("""COMPUTED_VALUE"""),2.0)</f>
        <v>2</v>
      </c>
      <c r="S1971" s="5">
        <f>IFERROR(__xludf.DUMMYFUNCTION("""COMPUTED_VALUE"""),776.0)</f>
        <v>776</v>
      </c>
      <c r="T1971" s="5" t="str">
        <f>IFERROR(__xludf.DUMMYFUNCTION("""COMPUTED_VALUE"""),"Crash")</f>
        <v>Crash</v>
      </c>
      <c r="U1971" s="5" t="str">
        <f>IFERROR(__xludf.DUMMYFUNCTION("""COMPUTED_VALUE"""),"Thriller")</f>
        <v>Thriller</v>
      </c>
      <c r="V1971" s="5">
        <f>IFERROR(__xludf.DUMMYFUNCTION("""COMPUTED_VALUE"""),3.0)</f>
        <v>3</v>
      </c>
    </row>
    <row r="1972">
      <c r="J1972" s="5" t="str">
        <f>IFERROR(__xludf.DUMMYFUNCTION("""COMPUTED_VALUE"""),"657🤙🏼Breaking the Waves🤙🏼🤙🏼3")</f>
        <v>657🤙🏼Breaking the Waves🤙🏼🤙🏼3</v>
      </c>
      <c r="K1972" s="5">
        <f>IFERROR(__xludf.DUMMYFUNCTION("SPLiT(J1972, ""🤙🏼"",FALSE,FALSE)"),657.0)</f>
        <v>657</v>
      </c>
      <c r="L1972" s="5" t="str">
        <f>IFERROR(__xludf.DUMMYFUNCTION("""COMPUTED_VALUE"""),"Breaking the Waves")</f>
        <v>Breaking the Waves</v>
      </c>
      <c r="M1972" s="5"/>
      <c r="N1972" s="5">
        <f>IFERROR(__xludf.DUMMYFUNCTION("""COMPUTED_VALUE"""),3.0)</f>
        <v>3</v>
      </c>
      <c r="S1972" s="5">
        <f>IFERROR(__xludf.DUMMYFUNCTION("""COMPUTED_VALUE"""),777.0)</f>
        <v>777</v>
      </c>
      <c r="T1972" s="5" t="str">
        <f>IFERROR(__xludf.DUMMYFUNCTION("""COMPUTED_VALUE"""),"Kung fu")</f>
        <v>Kung fu</v>
      </c>
      <c r="U1972" s="5" t="str">
        <f>IFERROR(__xludf.DUMMYFUNCTION("""COMPUTED_VALUE"""),"Action")</f>
        <v>Action</v>
      </c>
      <c r="V1972" s="5">
        <f>IFERROR(__xludf.DUMMYFUNCTION("""COMPUTED_VALUE"""),1.0)</f>
        <v>1</v>
      </c>
    </row>
    <row r="1973">
      <c r="J1973" s="5" t="str">
        <f>IFERROR(__xludf.DUMMYFUNCTION("""COMPUTED_VALUE"""),"658🤙🏼Ed Wood🤙🏼Biography🤙🏼1")</f>
        <v>658🤙🏼Ed Wood🤙🏼Biography🤙🏼1</v>
      </c>
      <c r="K1973" s="5">
        <f>IFERROR(__xludf.DUMMYFUNCTION("SPLiT(J1973, ""🤙🏼"",FALSE,FALSE)"),658.0)</f>
        <v>658</v>
      </c>
      <c r="L1973" s="5" t="str">
        <f>IFERROR(__xludf.DUMMYFUNCTION("""COMPUTED_VALUE"""),"Ed Wood")</f>
        <v>Ed Wood</v>
      </c>
      <c r="M1973" s="5" t="str">
        <f>IFERROR(__xludf.DUMMYFUNCTION("""COMPUTED_VALUE"""),"Biography")</f>
        <v>Biography</v>
      </c>
      <c r="N1973" s="5">
        <f>IFERROR(__xludf.DUMMYFUNCTION("""COMPUTED_VALUE"""),1.0)</f>
        <v>1</v>
      </c>
      <c r="S1973" s="5">
        <f>IFERROR(__xludf.DUMMYFUNCTION("""COMPUTED_VALUE"""),777.0)</f>
        <v>777</v>
      </c>
      <c r="T1973" s="5" t="str">
        <f>IFERROR(__xludf.DUMMYFUNCTION("""COMPUTED_VALUE"""),"Kung fu")</f>
        <v>Kung fu</v>
      </c>
      <c r="U1973" s="5" t="str">
        <f>IFERROR(__xludf.DUMMYFUNCTION("""COMPUTED_VALUE"""),"Comedy")</f>
        <v>Comedy</v>
      </c>
      <c r="V1973" s="5">
        <f>IFERROR(__xludf.DUMMYFUNCTION("""COMPUTED_VALUE"""),2.0)</f>
        <v>2</v>
      </c>
    </row>
    <row r="1974">
      <c r="J1974" s="5" t="str">
        <f>IFERROR(__xludf.DUMMYFUNCTION("""COMPUTED_VALUE"""),"658🤙🏼Ed Wood🤙🏼Comedy🤙🏼2")</f>
        <v>658🤙🏼Ed Wood🤙🏼Comedy🤙🏼2</v>
      </c>
      <c r="K1974" s="5">
        <f>IFERROR(__xludf.DUMMYFUNCTION("SPLiT(J1974, ""🤙🏼"",FALSE,FALSE)"),658.0)</f>
        <v>658</v>
      </c>
      <c r="L1974" s="5" t="str">
        <f>IFERROR(__xludf.DUMMYFUNCTION("""COMPUTED_VALUE"""),"Ed Wood")</f>
        <v>Ed Wood</v>
      </c>
      <c r="M1974" s="5" t="str">
        <f>IFERROR(__xludf.DUMMYFUNCTION("""COMPUTED_VALUE"""),"Comedy")</f>
        <v>Comedy</v>
      </c>
      <c r="N1974" s="5">
        <f>IFERROR(__xludf.DUMMYFUNCTION("""COMPUTED_VALUE"""),2.0)</f>
        <v>2</v>
      </c>
      <c r="S1974" s="5">
        <f>IFERROR(__xludf.DUMMYFUNCTION("""COMPUTED_VALUE"""),777.0)</f>
        <v>777</v>
      </c>
      <c r="T1974" s="5" t="str">
        <f>IFERROR(__xludf.DUMMYFUNCTION("""COMPUTED_VALUE"""),"Kung fu")</f>
        <v>Kung fu</v>
      </c>
      <c r="U1974" s="5" t="str">
        <f>IFERROR(__xludf.DUMMYFUNCTION("""COMPUTED_VALUE"""),"Fantasy")</f>
        <v>Fantasy</v>
      </c>
      <c r="V1974" s="5">
        <f>IFERROR(__xludf.DUMMYFUNCTION("""COMPUTED_VALUE"""),3.0)</f>
        <v>3</v>
      </c>
    </row>
    <row r="1975">
      <c r="J1975" s="5" t="str">
        <f>IFERROR(__xludf.DUMMYFUNCTION("""COMPUTED_VALUE"""),"658🤙🏼Ed Wood🤙🏼Drama🤙🏼3")</f>
        <v>658🤙🏼Ed Wood🤙🏼Drama🤙🏼3</v>
      </c>
      <c r="K1975" s="5">
        <f>IFERROR(__xludf.DUMMYFUNCTION("SPLiT(J1975, ""🤙🏼"",FALSE,FALSE)"),658.0)</f>
        <v>658</v>
      </c>
      <c r="L1975" s="5" t="str">
        <f>IFERROR(__xludf.DUMMYFUNCTION("""COMPUTED_VALUE"""),"Ed Wood")</f>
        <v>Ed Wood</v>
      </c>
      <c r="M1975" s="5" t="str">
        <f>IFERROR(__xludf.DUMMYFUNCTION("""COMPUTED_VALUE"""),"Drama")</f>
        <v>Drama</v>
      </c>
      <c r="N1975" s="5">
        <f>IFERROR(__xludf.DUMMYFUNCTION("""COMPUTED_VALUE"""),3.0)</f>
        <v>3</v>
      </c>
      <c r="S1975" s="5">
        <f>IFERROR(__xludf.DUMMYFUNCTION("""COMPUTED_VALUE"""),778.0)</f>
        <v>778</v>
      </c>
      <c r="T1975" s="5" t="str">
        <f>IFERROR(__xludf.DUMMYFUNCTION("""COMPUTED_VALUE"""),"The Bourne Supremacy")</f>
        <v>The Bourne Supremacy</v>
      </c>
      <c r="U1975" s="5" t="str">
        <f>IFERROR(__xludf.DUMMYFUNCTION("""COMPUTED_VALUE"""),"Action")</f>
        <v>Action</v>
      </c>
      <c r="V1975" s="5">
        <f>IFERROR(__xludf.DUMMYFUNCTION("""COMPUTED_VALUE"""),1.0)</f>
        <v>1</v>
      </c>
    </row>
    <row r="1976">
      <c r="J1976" s="5" t="str">
        <f>IFERROR(__xludf.DUMMYFUNCTION("""COMPUTED_VALUE"""),"659🤙🏼What's Eating Gilbert Grape🤙🏼Drama🤙🏼1")</f>
        <v>659🤙🏼What's Eating Gilbert Grape🤙🏼Drama🤙🏼1</v>
      </c>
      <c r="K1976" s="5">
        <f>IFERROR(__xludf.DUMMYFUNCTION("SPLiT(J1976, ""🤙🏼"",FALSE,FALSE)"),659.0)</f>
        <v>659</v>
      </c>
      <c r="L1976" s="5" t="str">
        <f>IFERROR(__xludf.DUMMYFUNCTION("""COMPUTED_VALUE"""),"What's Eating Gilbert Grape")</f>
        <v>What's Eating Gilbert Grape</v>
      </c>
      <c r="M1976" s="5" t="str">
        <f>IFERROR(__xludf.DUMMYFUNCTION("""COMPUTED_VALUE"""),"Drama")</f>
        <v>Drama</v>
      </c>
      <c r="N1976" s="5">
        <f>IFERROR(__xludf.DUMMYFUNCTION("""COMPUTED_VALUE"""),1.0)</f>
        <v>1</v>
      </c>
      <c r="S1976" s="5">
        <f>IFERROR(__xludf.DUMMYFUNCTION("""COMPUTED_VALUE"""),778.0)</f>
        <v>778</v>
      </c>
      <c r="T1976" s="5" t="str">
        <f>IFERROR(__xludf.DUMMYFUNCTION("""COMPUTED_VALUE"""),"The Bourne Supremacy")</f>
        <v>The Bourne Supremacy</v>
      </c>
      <c r="U1976" s="5" t="str">
        <f>IFERROR(__xludf.DUMMYFUNCTION("""COMPUTED_VALUE"""),"Mystery")</f>
        <v>Mystery</v>
      </c>
      <c r="V1976" s="5">
        <f>IFERROR(__xludf.DUMMYFUNCTION("""COMPUTED_VALUE"""),2.0)</f>
        <v>2</v>
      </c>
    </row>
    <row r="1977">
      <c r="J1977" s="5" t="str">
        <f>IFERROR(__xludf.DUMMYFUNCTION("""COMPUTED_VALUE"""),"659🤙🏼What's Eating Gilbert Grape🤙🏼🤙🏼2")</f>
        <v>659🤙🏼What's Eating Gilbert Grape🤙🏼🤙🏼2</v>
      </c>
      <c r="K1977" s="5">
        <f>IFERROR(__xludf.DUMMYFUNCTION("SPLiT(J1977, ""🤙🏼"",FALSE,FALSE)"),659.0)</f>
        <v>659</v>
      </c>
      <c r="L1977" s="5" t="str">
        <f>IFERROR(__xludf.DUMMYFUNCTION("""COMPUTED_VALUE"""),"What's Eating Gilbert Grape")</f>
        <v>What's Eating Gilbert Grape</v>
      </c>
      <c r="M1977" s="5"/>
      <c r="N1977" s="5">
        <f>IFERROR(__xludf.DUMMYFUNCTION("""COMPUTED_VALUE"""),2.0)</f>
        <v>2</v>
      </c>
      <c r="S1977" s="5">
        <f>IFERROR(__xludf.DUMMYFUNCTION("""COMPUTED_VALUE"""),778.0)</f>
        <v>778</v>
      </c>
      <c r="T1977" s="5" t="str">
        <f>IFERROR(__xludf.DUMMYFUNCTION("""COMPUTED_VALUE"""),"The Bourne Supremacy")</f>
        <v>The Bourne Supremacy</v>
      </c>
      <c r="U1977" s="5" t="str">
        <f>IFERROR(__xludf.DUMMYFUNCTION("""COMPUTED_VALUE"""),"Thriller")</f>
        <v>Thriller</v>
      </c>
      <c r="V1977" s="5">
        <f>IFERROR(__xludf.DUMMYFUNCTION("""COMPUTED_VALUE"""),3.0)</f>
        <v>3</v>
      </c>
    </row>
    <row r="1978">
      <c r="J1978" s="5" t="str">
        <f>IFERROR(__xludf.DUMMYFUNCTION("""COMPUTED_VALUE"""),"659🤙🏼What's Eating Gilbert Grape🤙🏼🤙🏼3")</f>
        <v>659🤙🏼What's Eating Gilbert Grape🤙🏼🤙🏼3</v>
      </c>
      <c r="K1978" s="5">
        <f>IFERROR(__xludf.DUMMYFUNCTION("SPLiT(J1978, ""🤙🏼"",FALSE,FALSE)"),659.0)</f>
        <v>659</v>
      </c>
      <c r="L1978" s="5" t="str">
        <f>IFERROR(__xludf.DUMMYFUNCTION("""COMPUTED_VALUE"""),"What's Eating Gilbert Grape")</f>
        <v>What's Eating Gilbert Grape</v>
      </c>
      <c r="M1978" s="5"/>
      <c r="N1978" s="5">
        <f>IFERROR(__xludf.DUMMYFUNCTION("""COMPUTED_VALUE"""),3.0)</f>
        <v>3</v>
      </c>
      <c r="S1978" s="5">
        <f>IFERROR(__xludf.DUMMYFUNCTION("""COMPUTED_VALUE"""),779.0)</f>
        <v>779</v>
      </c>
      <c r="T1978" s="5" t="str">
        <f>IFERROR(__xludf.DUMMYFUNCTION("""COMPUTED_VALUE"""),"The Machinist")</f>
        <v>The Machinist</v>
      </c>
      <c r="U1978" s="5" t="str">
        <f>IFERROR(__xludf.DUMMYFUNCTION("""COMPUTED_VALUE"""),"Drama")</f>
        <v>Drama</v>
      </c>
      <c r="V1978" s="5">
        <f>IFERROR(__xludf.DUMMYFUNCTION("""COMPUTED_VALUE"""),1.0)</f>
        <v>1</v>
      </c>
    </row>
    <row r="1979">
      <c r="J1979" s="5" t="str">
        <f>IFERROR(__xludf.DUMMYFUNCTION("""COMPUTED_VALUE"""),"660🤙🏼Tombstone🤙🏼Action🤙🏼1")</f>
        <v>660🤙🏼Tombstone🤙🏼Action🤙🏼1</v>
      </c>
      <c r="K1979" s="5">
        <f>IFERROR(__xludf.DUMMYFUNCTION("SPLiT(J1979, ""🤙🏼"",FALSE,FALSE)"),660.0)</f>
        <v>660</v>
      </c>
      <c r="L1979" s="5" t="str">
        <f>IFERROR(__xludf.DUMMYFUNCTION("""COMPUTED_VALUE"""),"Tombstone")</f>
        <v>Tombstone</v>
      </c>
      <c r="M1979" s="5" t="str">
        <f>IFERROR(__xludf.DUMMYFUNCTION("""COMPUTED_VALUE"""),"Action")</f>
        <v>Action</v>
      </c>
      <c r="N1979" s="5">
        <f>IFERROR(__xludf.DUMMYFUNCTION("""COMPUTED_VALUE"""),1.0)</f>
        <v>1</v>
      </c>
      <c r="S1979" s="5">
        <f>IFERROR(__xludf.DUMMYFUNCTION("""COMPUTED_VALUE"""),779.0)</f>
        <v>779</v>
      </c>
      <c r="T1979" s="5" t="str">
        <f>IFERROR(__xludf.DUMMYFUNCTION("""COMPUTED_VALUE"""),"The Machinist")</f>
        <v>The Machinist</v>
      </c>
      <c r="U1979" s="5" t="str">
        <f>IFERROR(__xludf.DUMMYFUNCTION("""COMPUTED_VALUE"""),"Thriller")</f>
        <v>Thriller</v>
      </c>
      <c r="V1979" s="5">
        <f>IFERROR(__xludf.DUMMYFUNCTION("""COMPUTED_VALUE"""),2.0)</f>
        <v>2</v>
      </c>
    </row>
    <row r="1980">
      <c r="J1980" s="5" t="str">
        <f>IFERROR(__xludf.DUMMYFUNCTION("""COMPUTED_VALUE"""),"660🤙🏼Tombstone🤙🏼Biography🤙🏼2")</f>
        <v>660🤙🏼Tombstone🤙🏼Biography🤙🏼2</v>
      </c>
      <c r="K1980" s="5">
        <f>IFERROR(__xludf.DUMMYFUNCTION("SPLiT(J1980, ""🤙🏼"",FALSE,FALSE)"),660.0)</f>
        <v>660</v>
      </c>
      <c r="L1980" s="5" t="str">
        <f>IFERROR(__xludf.DUMMYFUNCTION("""COMPUTED_VALUE"""),"Tombstone")</f>
        <v>Tombstone</v>
      </c>
      <c r="M1980" s="5" t="str">
        <f>IFERROR(__xludf.DUMMYFUNCTION("""COMPUTED_VALUE"""),"Biography")</f>
        <v>Biography</v>
      </c>
      <c r="N1980" s="5">
        <f>IFERROR(__xludf.DUMMYFUNCTION("""COMPUTED_VALUE"""),2.0)</f>
        <v>2</v>
      </c>
      <c r="S1980" s="5">
        <f>IFERROR(__xludf.DUMMYFUNCTION("""COMPUTED_VALUE"""),780.0)</f>
        <v>780</v>
      </c>
      <c r="T1980" s="5" t="str">
        <f>IFERROR(__xludf.DUMMYFUNCTION("""COMPUTED_VALUE"""),"Ray")</f>
        <v>Ray</v>
      </c>
      <c r="U1980" s="5" t="str">
        <f>IFERROR(__xludf.DUMMYFUNCTION("""COMPUTED_VALUE"""),"Biography")</f>
        <v>Biography</v>
      </c>
      <c r="V1980" s="5">
        <f>IFERROR(__xludf.DUMMYFUNCTION("""COMPUTED_VALUE"""),1.0)</f>
        <v>1</v>
      </c>
    </row>
    <row r="1981">
      <c r="J1981" s="5" t="str">
        <f>IFERROR(__xludf.DUMMYFUNCTION("""COMPUTED_VALUE"""),"660🤙🏼Tombstone🤙🏼Drama🤙🏼3")</f>
        <v>660🤙🏼Tombstone🤙🏼Drama🤙🏼3</v>
      </c>
      <c r="K1981" s="5">
        <f>IFERROR(__xludf.DUMMYFUNCTION("SPLiT(J1981, ""🤙🏼"",FALSE,FALSE)"),660.0)</f>
        <v>660</v>
      </c>
      <c r="L1981" s="5" t="str">
        <f>IFERROR(__xludf.DUMMYFUNCTION("""COMPUTED_VALUE"""),"Tombstone")</f>
        <v>Tombstone</v>
      </c>
      <c r="M1981" s="5" t="str">
        <f>IFERROR(__xludf.DUMMYFUNCTION("""COMPUTED_VALUE"""),"Drama")</f>
        <v>Drama</v>
      </c>
      <c r="N1981" s="5">
        <f>IFERROR(__xludf.DUMMYFUNCTION("""COMPUTED_VALUE"""),3.0)</f>
        <v>3</v>
      </c>
      <c r="S1981" s="5">
        <f>IFERROR(__xludf.DUMMYFUNCTION("""COMPUTED_VALUE"""),780.0)</f>
        <v>780</v>
      </c>
      <c r="T1981" s="5" t="str">
        <f>IFERROR(__xludf.DUMMYFUNCTION("""COMPUTED_VALUE"""),"Ray")</f>
        <v>Ray</v>
      </c>
      <c r="U1981" s="5" t="str">
        <f>IFERROR(__xludf.DUMMYFUNCTION("""COMPUTED_VALUE"""),"Drama")</f>
        <v>Drama</v>
      </c>
      <c r="V1981" s="5">
        <f>IFERROR(__xludf.DUMMYFUNCTION("""COMPUTED_VALUE"""),2.0)</f>
        <v>2</v>
      </c>
    </row>
    <row r="1982">
      <c r="J1982" s="5" t="str">
        <f>IFERROR(__xludf.DUMMYFUNCTION("""COMPUTED_VALUE"""),"661🤙🏼The Sandlot🤙🏼Comedy🤙🏼1")</f>
        <v>661🤙🏼The Sandlot🤙🏼Comedy🤙🏼1</v>
      </c>
      <c r="K1982" s="5">
        <f>IFERROR(__xludf.DUMMYFUNCTION("SPLiT(J1982, ""🤙🏼"",FALSE,FALSE)"),661.0)</f>
        <v>661</v>
      </c>
      <c r="L1982" s="5" t="str">
        <f>IFERROR(__xludf.DUMMYFUNCTION("""COMPUTED_VALUE"""),"The Sandlot")</f>
        <v>The Sandlot</v>
      </c>
      <c r="M1982" s="5" t="str">
        <f>IFERROR(__xludf.DUMMYFUNCTION("""COMPUTED_VALUE"""),"Comedy")</f>
        <v>Comedy</v>
      </c>
      <c r="N1982" s="5">
        <f>IFERROR(__xludf.DUMMYFUNCTION("""COMPUTED_VALUE"""),1.0)</f>
        <v>1</v>
      </c>
      <c r="S1982" s="5">
        <f>IFERROR(__xludf.DUMMYFUNCTION("""COMPUTED_VALUE"""),780.0)</f>
        <v>780</v>
      </c>
      <c r="T1982" s="5" t="str">
        <f>IFERROR(__xludf.DUMMYFUNCTION("""COMPUTED_VALUE"""),"Ray")</f>
        <v>Ray</v>
      </c>
      <c r="U1982" s="5" t="str">
        <f>IFERROR(__xludf.DUMMYFUNCTION("""COMPUTED_VALUE"""),"Music")</f>
        <v>Music</v>
      </c>
      <c r="V1982" s="5">
        <f>IFERROR(__xludf.DUMMYFUNCTION("""COMPUTED_VALUE"""),3.0)</f>
        <v>3</v>
      </c>
    </row>
    <row r="1983">
      <c r="J1983" s="5" t="str">
        <f>IFERROR(__xludf.DUMMYFUNCTION("""COMPUTED_VALUE"""),"661🤙🏼The Sandlot🤙🏼Drama🤙🏼2")</f>
        <v>661🤙🏼The Sandlot🤙🏼Drama🤙🏼2</v>
      </c>
      <c r="K1983" s="5">
        <f>IFERROR(__xludf.DUMMYFUNCTION("SPLiT(J1983, ""🤙🏼"",FALSE,FALSE)"),661.0)</f>
        <v>661</v>
      </c>
      <c r="L1983" s="5" t="str">
        <f>IFERROR(__xludf.DUMMYFUNCTION("""COMPUTED_VALUE"""),"The Sandlot")</f>
        <v>The Sandlot</v>
      </c>
      <c r="M1983" s="5" t="str">
        <f>IFERROR(__xludf.DUMMYFUNCTION("""COMPUTED_VALUE"""),"Drama")</f>
        <v>Drama</v>
      </c>
      <c r="N1983" s="5">
        <f>IFERROR(__xludf.DUMMYFUNCTION("""COMPUTED_VALUE"""),2.0)</f>
        <v>2</v>
      </c>
      <c r="S1983" s="5">
        <f>IFERROR(__xludf.DUMMYFUNCTION("""COMPUTED_VALUE"""),781.0)</f>
        <v>781</v>
      </c>
      <c r="T1983" s="5" t="str">
        <f>IFERROR(__xludf.DUMMYFUNCTION("""COMPUTED_VALUE"""),"Lost in Translation")</f>
        <v>Lost in Translation</v>
      </c>
      <c r="U1983" s="5" t="str">
        <f>IFERROR(__xludf.DUMMYFUNCTION("""COMPUTED_VALUE"""),"Comedy")</f>
        <v>Comedy</v>
      </c>
      <c r="V1983" s="5">
        <f>IFERROR(__xludf.DUMMYFUNCTION("""COMPUTED_VALUE"""),1.0)</f>
        <v>1</v>
      </c>
    </row>
    <row r="1984">
      <c r="J1984" s="5" t="str">
        <f>IFERROR(__xludf.DUMMYFUNCTION("""COMPUTED_VALUE"""),"661🤙🏼The Sandlot🤙🏼Family🤙🏼3")</f>
        <v>661🤙🏼The Sandlot🤙🏼Family🤙🏼3</v>
      </c>
      <c r="K1984" s="5">
        <f>IFERROR(__xludf.DUMMYFUNCTION("SPLiT(J1984, ""🤙🏼"",FALSE,FALSE)"),661.0)</f>
        <v>661</v>
      </c>
      <c r="L1984" s="5" t="str">
        <f>IFERROR(__xludf.DUMMYFUNCTION("""COMPUTED_VALUE"""),"The Sandlot")</f>
        <v>The Sandlot</v>
      </c>
      <c r="M1984" s="5" t="str">
        <f>IFERROR(__xludf.DUMMYFUNCTION("""COMPUTED_VALUE"""),"Family")</f>
        <v>Family</v>
      </c>
      <c r="N1984" s="5">
        <f>IFERROR(__xludf.DUMMYFUNCTION("""COMPUTED_VALUE"""),3.0)</f>
        <v>3</v>
      </c>
      <c r="S1984" s="5">
        <f>IFERROR(__xludf.DUMMYFUNCTION("""COMPUTED_VALUE"""),781.0)</f>
        <v>781</v>
      </c>
      <c r="T1984" s="5" t="str">
        <f>IFERROR(__xludf.DUMMYFUNCTION("""COMPUTED_VALUE"""),"Lost in Translation")</f>
        <v>Lost in Translation</v>
      </c>
      <c r="U1984" s="5" t="str">
        <f>IFERROR(__xludf.DUMMYFUNCTION("""COMPUTED_VALUE"""),"Drama")</f>
        <v>Drama</v>
      </c>
      <c r="V1984" s="5">
        <f>IFERROR(__xludf.DUMMYFUNCTION("""COMPUTED_VALUE"""),2.0)</f>
        <v>2</v>
      </c>
    </row>
    <row r="1985">
      <c r="J1985" s="5" t="str">
        <f>IFERROR(__xludf.DUMMYFUNCTION("""COMPUTED_VALUE"""),"662🤙🏼The Remains of the Day🤙🏼Drama🤙🏼1")</f>
        <v>662🤙🏼The Remains of the Day🤙🏼Drama🤙🏼1</v>
      </c>
      <c r="K1985" s="5">
        <f>IFERROR(__xludf.DUMMYFUNCTION("SPLiT(J1985, ""🤙🏼"",FALSE,FALSE)"),662.0)</f>
        <v>662</v>
      </c>
      <c r="L1985" s="5" t="str">
        <f>IFERROR(__xludf.DUMMYFUNCTION("""COMPUTED_VALUE"""),"The Remains of the Day")</f>
        <v>The Remains of the Day</v>
      </c>
      <c r="M1985" s="5" t="str">
        <f>IFERROR(__xludf.DUMMYFUNCTION("""COMPUTED_VALUE"""),"Drama")</f>
        <v>Drama</v>
      </c>
      <c r="N1985" s="5">
        <f>IFERROR(__xludf.DUMMYFUNCTION("""COMPUTED_VALUE"""),1.0)</f>
        <v>1</v>
      </c>
      <c r="S1985" s="5">
        <f>IFERROR(__xludf.DUMMYFUNCTION("""COMPUTED_VALUE"""),782.0)</f>
        <v>782</v>
      </c>
      <c r="T1985" s="5" t="str">
        <f>IFERROR(__xludf.DUMMYFUNCTION("""COMPUTED_VALUE"""),"Harry Potter and the Goblet of Fire")</f>
        <v>Harry Potter and the Goblet of Fire</v>
      </c>
      <c r="U1985" s="5" t="str">
        <f>IFERROR(__xludf.DUMMYFUNCTION("""COMPUTED_VALUE"""),"Adventure")</f>
        <v>Adventure</v>
      </c>
      <c r="V1985" s="5">
        <f>IFERROR(__xludf.DUMMYFUNCTION("""COMPUTED_VALUE"""),1.0)</f>
        <v>1</v>
      </c>
    </row>
    <row r="1986">
      <c r="J1986" s="5" t="str">
        <f>IFERROR(__xludf.DUMMYFUNCTION("""COMPUTED_VALUE"""),"662🤙🏼The Remains of the Day🤙🏼Romance🤙🏼2")</f>
        <v>662🤙🏼The Remains of the Day🤙🏼Romance🤙🏼2</v>
      </c>
      <c r="K1986" s="5">
        <f>IFERROR(__xludf.DUMMYFUNCTION("SPLiT(J1986, ""🤙🏼"",FALSE,FALSE)"),662.0)</f>
        <v>662</v>
      </c>
      <c r="L1986" s="5" t="str">
        <f>IFERROR(__xludf.DUMMYFUNCTION("""COMPUTED_VALUE"""),"The Remains of the Day")</f>
        <v>The Remains of the Day</v>
      </c>
      <c r="M1986" s="5" t="str">
        <f>IFERROR(__xludf.DUMMYFUNCTION("""COMPUTED_VALUE"""),"Romance")</f>
        <v>Romance</v>
      </c>
      <c r="N1986" s="5">
        <f>IFERROR(__xludf.DUMMYFUNCTION("""COMPUTED_VALUE"""),2.0)</f>
        <v>2</v>
      </c>
      <c r="S1986" s="5">
        <f>IFERROR(__xludf.DUMMYFUNCTION("""COMPUTED_VALUE"""),782.0)</f>
        <v>782</v>
      </c>
      <c r="T1986" s="5" t="str">
        <f>IFERROR(__xludf.DUMMYFUNCTION("""COMPUTED_VALUE"""),"Harry Potter and the Goblet of Fire")</f>
        <v>Harry Potter and the Goblet of Fire</v>
      </c>
      <c r="U1986" s="5" t="str">
        <f>IFERROR(__xludf.DUMMYFUNCTION("""COMPUTED_VALUE"""),"Family")</f>
        <v>Family</v>
      </c>
      <c r="V1986" s="5">
        <f>IFERROR(__xludf.DUMMYFUNCTION("""COMPUTED_VALUE"""),2.0)</f>
        <v>2</v>
      </c>
    </row>
    <row r="1987">
      <c r="J1987" s="5" t="str">
        <f>IFERROR(__xludf.DUMMYFUNCTION("""COMPUTED_VALUE"""),"662🤙🏼The Remains of the Day🤙🏼🤙🏼3")</f>
        <v>662🤙🏼The Remains of the Day🤙🏼🤙🏼3</v>
      </c>
      <c r="K1987" s="5">
        <f>IFERROR(__xludf.DUMMYFUNCTION("SPLiT(J1987, ""🤙🏼"",FALSE,FALSE)"),662.0)</f>
        <v>662</v>
      </c>
      <c r="L1987" s="5" t="str">
        <f>IFERROR(__xludf.DUMMYFUNCTION("""COMPUTED_VALUE"""),"The Remains of the Day")</f>
        <v>The Remains of the Day</v>
      </c>
      <c r="M1987" s="5"/>
      <c r="N1987" s="5">
        <f>IFERROR(__xludf.DUMMYFUNCTION("""COMPUTED_VALUE"""),3.0)</f>
        <v>3</v>
      </c>
      <c r="S1987" s="5">
        <f>IFERROR(__xludf.DUMMYFUNCTION("""COMPUTED_VALUE"""),782.0)</f>
        <v>782</v>
      </c>
      <c r="T1987" s="5" t="str">
        <f>IFERROR(__xludf.DUMMYFUNCTION("""COMPUTED_VALUE"""),"Harry Potter and the Goblet of Fire")</f>
        <v>Harry Potter and the Goblet of Fire</v>
      </c>
      <c r="U1987" s="5" t="str">
        <f>IFERROR(__xludf.DUMMYFUNCTION("""COMPUTED_VALUE"""),"Fantasy")</f>
        <v>Fantasy</v>
      </c>
      <c r="V1987" s="5">
        <f>IFERROR(__xludf.DUMMYFUNCTION("""COMPUTED_VALUE"""),3.0)</f>
        <v>3</v>
      </c>
    </row>
    <row r="1988">
      <c r="J1988" s="5" t="str">
        <f>IFERROR(__xludf.DUMMYFUNCTION("""COMPUTED_VALUE"""),"663🤙🏼Naked🤙🏼Comedy🤙🏼1")</f>
        <v>663🤙🏼Naked🤙🏼Comedy🤙🏼1</v>
      </c>
      <c r="K1988" s="5">
        <f>IFERROR(__xludf.DUMMYFUNCTION("SPLiT(J1988, ""🤙🏼"",FALSE,FALSE)"),663.0)</f>
        <v>663</v>
      </c>
      <c r="L1988" s="5" t="str">
        <f>IFERROR(__xludf.DUMMYFUNCTION("""COMPUTED_VALUE"""),"Naked")</f>
        <v>Naked</v>
      </c>
      <c r="M1988" s="5" t="str">
        <f>IFERROR(__xludf.DUMMYFUNCTION("""COMPUTED_VALUE"""),"Comedy")</f>
        <v>Comedy</v>
      </c>
      <c r="N1988" s="5">
        <f>IFERROR(__xludf.DUMMYFUNCTION("""COMPUTED_VALUE"""),1.0)</f>
        <v>1</v>
      </c>
      <c r="S1988" s="5">
        <f>IFERROR(__xludf.DUMMYFUNCTION("""COMPUTED_VALUE"""),783.0)</f>
        <v>783</v>
      </c>
      <c r="T1988" s="5" t="str">
        <f>IFERROR(__xludf.DUMMYFUNCTION("""COMPUTED_VALUE"""),"Man on Fire")</f>
        <v>Man on Fire</v>
      </c>
      <c r="U1988" s="5" t="str">
        <f>IFERROR(__xludf.DUMMYFUNCTION("""COMPUTED_VALUE"""),"Action")</f>
        <v>Action</v>
      </c>
      <c r="V1988" s="5">
        <f>IFERROR(__xludf.DUMMYFUNCTION("""COMPUTED_VALUE"""),1.0)</f>
        <v>1</v>
      </c>
    </row>
    <row r="1989">
      <c r="J1989" s="5" t="str">
        <f>IFERROR(__xludf.DUMMYFUNCTION("""COMPUTED_VALUE"""),"663🤙🏼Naked🤙🏼Drama🤙🏼2")</f>
        <v>663🤙🏼Naked🤙🏼Drama🤙🏼2</v>
      </c>
      <c r="K1989" s="5">
        <f>IFERROR(__xludf.DUMMYFUNCTION("SPLiT(J1989, ""🤙🏼"",FALSE,FALSE)"),663.0)</f>
        <v>663</v>
      </c>
      <c r="L1989" s="5" t="str">
        <f>IFERROR(__xludf.DUMMYFUNCTION("""COMPUTED_VALUE"""),"Naked")</f>
        <v>Naked</v>
      </c>
      <c r="M1989" s="5" t="str">
        <f>IFERROR(__xludf.DUMMYFUNCTION("""COMPUTED_VALUE"""),"Drama")</f>
        <v>Drama</v>
      </c>
      <c r="N1989" s="5">
        <f>IFERROR(__xludf.DUMMYFUNCTION("""COMPUTED_VALUE"""),2.0)</f>
        <v>2</v>
      </c>
      <c r="S1989" s="5">
        <f>IFERROR(__xludf.DUMMYFUNCTION("""COMPUTED_VALUE"""),783.0)</f>
        <v>783</v>
      </c>
      <c r="T1989" s="5" t="str">
        <f>IFERROR(__xludf.DUMMYFUNCTION("""COMPUTED_VALUE"""),"Man on Fire")</f>
        <v>Man on Fire</v>
      </c>
      <c r="U1989" s="5" t="str">
        <f>IFERROR(__xludf.DUMMYFUNCTION("""COMPUTED_VALUE"""),"Crime")</f>
        <v>Crime</v>
      </c>
      <c r="V1989" s="5">
        <f>IFERROR(__xludf.DUMMYFUNCTION("""COMPUTED_VALUE"""),2.0)</f>
        <v>2</v>
      </c>
    </row>
    <row r="1990">
      <c r="J1990" s="5" t="str">
        <f>IFERROR(__xludf.DUMMYFUNCTION("""COMPUTED_VALUE"""),"663🤙🏼Naked🤙🏼🤙🏼3")</f>
        <v>663🤙🏼Naked🤙🏼🤙🏼3</v>
      </c>
      <c r="K1990" s="5">
        <f>IFERROR(__xludf.DUMMYFUNCTION("SPLiT(J1990, ""🤙🏼"",FALSE,FALSE)"),663.0)</f>
        <v>663</v>
      </c>
      <c r="L1990" s="5" t="str">
        <f>IFERROR(__xludf.DUMMYFUNCTION("""COMPUTED_VALUE"""),"Naked")</f>
        <v>Naked</v>
      </c>
      <c r="M1990" s="5"/>
      <c r="N1990" s="5">
        <f>IFERROR(__xludf.DUMMYFUNCTION("""COMPUTED_VALUE"""),3.0)</f>
        <v>3</v>
      </c>
      <c r="S1990" s="5">
        <f>IFERROR(__xludf.DUMMYFUNCTION("""COMPUTED_VALUE"""),783.0)</f>
        <v>783</v>
      </c>
      <c r="T1990" s="5" t="str">
        <f>IFERROR(__xludf.DUMMYFUNCTION("""COMPUTED_VALUE"""),"Man on Fire")</f>
        <v>Man on Fire</v>
      </c>
      <c r="U1990" s="5" t="str">
        <f>IFERROR(__xludf.DUMMYFUNCTION("""COMPUTED_VALUE"""),"Drama")</f>
        <v>Drama</v>
      </c>
      <c r="V1990" s="5">
        <f>IFERROR(__xludf.DUMMYFUNCTION("""COMPUTED_VALUE"""),3.0)</f>
        <v>3</v>
      </c>
    </row>
    <row r="1991">
      <c r="J1991" s="5" t="str">
        <f>IFERROR(__xludf.DUMMYFUNCTION("""COMPUTED_VALUE"""),"664🤙🏼The Fugitive🤙🏼Action🤙🏼1")</f>
        <v>664🤙🏼The Fugitive🤙🏼Action🤙🏼1</v>
      </c>
      <c r="K1991" s="5">
        <f>IFERROR(__xludf.DUMMYFUNCTION("SPLiT(J1991, ""🤙🏼"",FALSE,FALSE)"),664.0)</f>
        <v>664</v>
      </c>
      <c r="L1991" s="5" t="str">
        <f>IFERROR(__xludf.DUMMYFUNCTION("""COMPUTED_VALUE"""),"The Fugitive")</f>
        <v>The Fugitive</v>
      </c>
      <c r="M1991" s="5" t="str">
        <f>IFERROR(__xludf.DUMMYFUNCTION("""COMPUTED_VALUE"""),"Action")</f>
        <v>Action</v>
      </c>
      <c r="N1991" s="5">
        <f>IFERROR(__xludf.DUMMYFUNCTION("""COMPUTED_VALUE"""),1.0)</f>
        <v>1</v>
      </c>
      <c r="S1991" s="5">
        <f>IFERROR(__xludf.DUMMYFUNCTION("""COMPUTED_VALUE"""),784.0)</f>
        <v>784</v>
      </c>
      <c r="T1991" s="5" t="str">
        <f>IFERROR(__xludf.DUMMYFUNCTION("""COMPUTED_VALUE"""),"Coraline")</f>
        <v>Coraline</v>
      </c>
      <c r="U1991" s="5" t="str">
        <f>IFERROR(__xludf.DUMMYFUNCTION("""COMPUTED_VALUE"""),"Animation")</f>
        <v>Animation</v>
      </c>
      <c r="V1991" s="5">
        <f>IFERROR(__xludf.DUMMYFUNCTION("""COMPUTED_VALUE"""),1.0)</f>
        <v>1</v>
      </c>
    </row>
    <row r="1992">
      <c r="J1992" s="5" t="str">
        <f>IFERROR(__xludf.DUMMYFUNCTION("""COMPUTED_VALUE"""),"664🤙🏼The Fugitive🤙🏼Crime🤙🏼2")</f>
        <v>664🤙🏼The Fugitive🤙🏼Crime🤙🏼2</v>
      </c>
      <c r="K1992" s="5">
        <f>IFERROR(__xludf.DUMMYFUNCTION("SPLiT(J1992, ""🤙🏼"",FALSE,FALSE)"),664.0)</f>
        <v>664</v>
      </c>
      <c r="L1992" s="5" t="str">
        <f>IFERROR(__xludf.DUMMYFUNCTION("""COMPUTED_VALUE"""),"The Fugitive")</f>
        <v>The Fugitive</v>
      </c>
      <c r="M1992" s="5" t="str">
        <f>IFERROR(__xludf.DUMMYFUNCTION("""COMPUTED_VALUE"""),"Crime")</f>
        <v>Crime</v>
      </c>
      <c r="N1992" s="5">
        <f>IFERROR(__xludf.DUMMYFUNCTION("""COMPUTED_VALUE"""),2.0)</f>
        <v>2</v>
      </c>
      <c r="S1992" s="5">
        <f>IFERROR(__xludf.DUMMYFUNCTION("""COMPUTED_VALUE"""),784.0)</f>
        <v>784</v>
      </c>
      <c r="T1992" s="5" t="str">
        <f>IFERROR(__xludf.DUMMYFUNCTION("""COMPUTED_VALUE"""),"Coraline")</f>
        <v>Coraline</v>
      </c>
      <c r="U1992" s="5" t="str">
        <f>IFERROR(__xludf.DUMMYFUNCTION("""COMPUTED_VALUE"""),"Drama")</f>
        <v>Drama</v>
      </c>
      <c r="V1992" s="5">
        <f>IFERROR(__xludf.DUMMYFUNCTION("""COMPUTED_VALUE"""),2.0)</f>
        <v>2</v>
      </c>
    </row>
    <row r="1993">
      <c r="J1993" s="5" t="str">
        <f>IFERROR(__xludf.DUMMYFUNCTION("""COMPUTED_VALUE"""),"664🤙🏼The Fugitive🤙🏼Drama🤙🏼3")</f>
        <v>664🤙🏼The Fugitive🤙🏼Drama🤙🏼3</v>
      </c>
      <c r="K1993" s="5">
        <f>IFERROR(__xludf.DUMMYFUNCTION("SPLiT(J1993, ""🤙🏼"",FALSE,FALSE)"),664.0)</f>
        <v>664</v>
      </c>
      <c r="L1993" s="5" t="str">
        <f>IFERROR(__xludf.DUMMYFUNCTION("""COMPUTED_VALUE"""),"The Fugitive")</f>
        <v>The Fugitive</v>
      </c>
      <c r="M1993" s="5" t="str">
        <f>IFERROR(__xludf.DUMMYFUNCTION("""COMPUTED_VALUE"""),"Drama")</f>
        <v>Drama</v>
      </c>
      <c r="N1993" s="5">
        <f>IFERROR(__xludf.DUMMYFUNCTION("""COMPUTED_VALUE"""),3.0)</f>
        <v>3</v>
      </c>
      <c r="S1993" s="5">
        <f>IFERROR(__xludf.DUMMYFUNCTION("""COMPUTED_VALUE"""),784.0)</f>
        <v>784</v>
      </c>
      <c r="T1993" s="5" t="str">
        <f>IFERROR(__xludf.DUMMYFUNCTION("""COMPUTED_VALUE"""),"Coraline")</f>
        <v>Coraline</v>
      </c>
      <c r="U1993" s="5" t="str">
        <f>IFERROR(__xludf.DUMMYFUNCTION("""COMPUTED_VALUE"""),"Family")</f>
        <v>Family</v>
      </c>
      <c r="V1993" s="5">
        <f>IFERROR(__xludf.DUMMYFUNCTION("""COMPUTED_VALUE"""),3.0)</f>
        <v>3</v>
      </c>
    </row>
    <row r="1994">
      <c r="J1994" s="5" t="str">
        <f>IFERROR(__xludf.DUMMYFUNCTION("""COMPUTED_VALUE"""),"665🤙🏼A Bronx Tale🤙🏼Crime🤙🏼1")</f>
        <v>665🤙🏼A Bronx Tale🤙🏼Crime🤙🏼1</v>
      </c>
      <c r="K1994" s="5">
        <f>IFERROR(__xludf.DUMMYFUNCTION("SPLiT(J1994, ""🤙🏼"",FALSE,FALSE)"),665.0)</f>
        <v>665</v>
      </c>
      <c r="L1994" s="5" t="str">
        <f>IFERROR(__xludf.DUMMYFUNCTION("""COMPUTED_VALUE"""),"A Bronx Tale")</f>
        <v>A Bronx Tale</v>
      </c>
      <c r="M1994" s="5" t="str">
        <f>IFERROR(__xludf.DUMMYFUNCTION("""COMPUTED_VALUE"""),"Crime")</f>
        <v>Crime</v>
      </c>
      <c r="N1994" s="5">
        <f>IFERROR(__xludf.DUMMYFUNCTION("""COMPUTED_VALUE"""),1.0)</f>
        <v>1</v>
      </c>
      <c r="S1994" s="5">
        <f>IFERROR(__xludf.DUMMYFUNCTION("""COMPUTED_VALUE"""),785.0)</f>
        <v>785</v>
      </c>
      <c r="T1994" s="5" t="str">
        <f>IFERROR(__xludf.DUMMYFUNCTION("""COMPUTED_VALUE"""),"The Last Samurai")</f>
        <v>The Last Samurai</v>
      </c>
      <c r="U1994" s="5" t="str">
        <f>IFERROR(__xludf.DUMMYFUNCTION("""COMPUTED_VALUE"""),"Action")</f>
        <v>Action</v>
      </c>
      <c r="V1994" s="5">
        <f>IFERROR(__xludf.DUMMYFUNCTION("""COMPUTED_VALUE"""),1.0)</f>
        <v>1</v>
      </c>
    </row>
    <row r="1995">
      <c r="J1995" s="5" t="str">
        <f>IFERROR(__xludf.DUMMYFUNCTION("""COMPUTED_VALUE"""),"665🤙🏼A Bronx Tale🤙🏼Drama🤙🏼2")</f>
        <v>665🤙🏼A Bronx Tale🤙🏼Drama🤙🏼2</v>
      </c>
      <c r="K1995" s="5">
        <f>IFERROR(__xludf.DUMMYFUNCTION("SPLiT(J1995, ""🤙🏼"",FALSE,FALSE)"),665.0)</f>
        <v>665</v>
      </c>
      <c r="L1995" s="5" t="str">
        <f>IFERROR(__xludf.DUMMYFUNCTION("""COMPUTED_VALUE"""),"A Bronx Tale")</f>
        <v>A Bronx Tale</v>
      </c>
      <c r="M1995" s="5" t="str">
        <f>IFERROR(__xludf.DUMMYFUNCTION("""COMPUTED_VALUE"""),"Drama")</f>
        <v>Drama</v>
      </c>
      <c r="N1995" s="5">
        <f>IFERROR(__xludf.DUMMYFUNCTION("""COMPUTED_VALUE"""),2.0)</f>
        <v>2</v>
      </c>
      <c r="S1995" s="5">
        <f>IFERROR(__xludf.DUMMYFUNCTION("""COMPUTED_VALUE"""),785.0)</f>
        <v>785</v>
      </c>
      <c r="T1995" s="5" t="str">
        <f>IFERROR(__xludf.DUMMYFUNCTION("""COMPUTED_VALUE"""),"The Last Samurai")</f>
        <v>The Last Samurai</v>
      </c>
      <c r="U1995" s="5" t="str">
        <f>IFERROR(__xludf.DUMMYFUNCTION("""COMPUTED_VALUE"""),"Drama")</f>
        <v>Drama</v>
      </c>
      <c r="V1995" s="5">
        <f>IFERROR(__xludf.DUMMYFUNCTION("""COMPUTED_VALUE"""),2.0)</f>
        <v>2</v>
      </c>
    </row>
    <row r="1996">
      <c r="J1996" s="5" t="str">
        <f>IFERROR(__xludf.DUMMYFUNCTION("""COMPUTED_VALUE"""),"665🤙🏼A Bronx Tale🤙🏼Romance🤙🏼3")</f>
        <v>665🤙🏼A Bronx Tale🤙🏼Romance🤙🏼3</v>
      </c>
      <c r="K1996" s="5">
        <f>IFERROR(__xludf.DUMMYFUNCTION("SPLiT(J1996, ""🤙🏼"",FALSE,FALSE)"),665.0)</f>
        <v>665</v>
      </c>
      <c r="L1996" s="5" t="str">
        <f>IFERROR(__xludf.DUMMYFUNCTION("""COMPUTED_VALUE"""),"A Bronx Tale")</f>
        <v>A Bronx Tale</v>
      </c>
      <c r="M1996" s="5" t="str">
        <f>IFERROR(__xludf.DUMMYFUNCTION("""COMPUTED_VALUE"""),"Romance")</f>
        <v>Romance</v>
      </c>
      <c r="N1996" s="5">
        <f>IFERROR(__xludf.DUMMYFUNCTION("""COMPUTED_VALUE"""),3.0)</f>
        <v>3</v>
      </c>
      <c r="S1996" s="5">
        <f>IFERROR(__xludf.DUMMYFUNCTION("""COMPUTED_VALUE"""),786.0)</f>
        <v>786</v>
      </c>
      <c r="T1996" s="5" t="str">
        <f>IFERROR(__xludf.DUMMYFUNCTION("""COMPUTED_VALUE"""),"The Magdalene Sisters")</f>
        <v>The Magdalene Sisters</v>
      </c>
      <c r="U1996" s="5" t="str">
        <f>IFERROR(__xludf.DUMMYFUNCTION("""COMPUTED_VALUE"""),"Drama")</f>
        <v>Drama</v>
      </c>
      <c r="V1996" s="5">
        <f>IFERROR(__xludf.DUMMYFUNCTION("""COMPUTED_VALUE"""),1.0)</f>
        <v>1</v>
      </c>
    </row>
    <row r="1997">
      <c r="J1997" s="5" t="str">
        <f>IFERROR(__xludf.DUMMYFUNCTION("""COMPUTED_VALUE"""),"666🤙🏼Batman: Mask of the Phantasm🤙🏼Animation🤙🏼1")</f>
        <v>666🤙🏼Batman: Mask of the Phantasm🤙🏼Animation🤙🏼1</v>
      </c>
      <c r="K1997" s="5">
        <f>IFERROR(__xludf.DUMMYFUNCTION("SPLiT(J1997, ""🤙🏼"",FALSE,FALSE)"),666.0)</f>
        <v>666</v>
      </c>
      <c r="L1997" s="5" t="str">
        <f>IFERROR(__xludf.DUMMYFUNCTION("""COMPUTED_VALUE"""),"Batman: Mask of the Phantasm")</f>
        <v>Batman: Mask of the Phantasm</v>
      </c>
      <c r="M1997" s="5" t="str">
        <f>IFERROR(__xludf.DUMMYFUNCTION("""COMPUTED_VALUE"""),"Animation")</f>
        <v>Animation</v>
      </c>
      <c r="N1997" s="5">
        <f>IFERROR(__xludf.DUMMYFUNCTION("""COMPUTED_VALUE"""),1.0)</f>
        <v>1</v>
      </c>
      <c r="S1997" s="5">
        <f>IFERROR(__xludf.DUMMYFUNCTION("""COMPUTED_VALUE"""),787.0)</f>
        <v>787</v>
      </c>
      <c r="T1997" s="5" t="str">
        <f>IFERROR(__xludf.DUMMYFUNCTION("""COMPUTED_VALUE"""),"Good Bye Lenin!")</f>
        <v>Good Bye Lenin!</v>
      </c>
      <c r="U1997" s="5" t="str">
        <f>IFERROR(__xludf.DUMMYFUNCTION("""COMPUTED_VALUE"""),"Comedy")</f>
        <v>Comedy</v>
      </c>
      <c r="V1997" s="5">
        <f>IFERROR(__xludf.DUMMYFUNCTION("""COMPUTED_VALUE"""),1.0)</f>
        <v>1</v>
      </c>
    </row>
    <row r="1998">
      <c r="J1998" s="5" t="str">
        <f>IFERROR(__xludf.DUMMYFUNCTION("""COMPUTED_VALUE"""),"666🤙🏼Batman: Mask of the Phantasm🤙🏼Action🤙🏼2")</f>
        <v>666🤙🏼Batman: Mask of the Phantasm🤙🏼Action🤙🏼2</v>
      </c>
      <c r="K1998" s="5">
        <f>IFERROR(__xludf.DUMMYFUNCTION("SPLiT(J1998, ""🤙🏼"",FALSE,FALSE)"),666.0)</f>
        <v>666</v>
      </c>
      <c r="L1998" s="5" t="str">
        <f>IFERROR(__xludf.DUMMYFUNCTION("""COMPUTED_VALUE"""),"Batman: Mask of the Phantasm")</f>
        <v>Batman: Mask of the Phantasm</v>
      </c>
      <c r="M1998" s="5" t="str">
        <f>IFERROR(__xludf.DUMMYFUNCTION("""COMPUTED_VALUE"""),"Action")</f>
        <v>Action</v>
      </c>
      <c r="N1998" s="5">
        <f>IFERROR(__xludf.DUMMYFUNCTION("""COMPUTED_VALUE"""),2.0)</f>
        <v>2</v>
      </c>
      <c r="S1998" s="5">
        <f>IFERROR(__xludf.DUMMYFUNCTION("""COMPUTED_VALUE"""),787.0)</f>
        <v>787</v>
      </c>
      <c r="T1998" s="5" t="str">
        <f>IFERROR(__xludf.DUMMYFUNCTION("""COMPUTED_VALUE"""),"Good Bye Lenin!")</f>
        <v>Good Bye Lenin!</v>
      </c>
      <c r="U1998" s="5" t="str">
        <f>IFERROR(__xludf.DUMMYFUNCTION("""COMPUTED_VALUE"""),"Drama")</f>
        <v>Drama</v>
      </c>
      <c r="V1998" s="5">
        <f>IFERROR(__xludf.DUMMYFUNCTION("""COMPUTED_VALUE"""),2.0)</f>
        <v>2</v>
      </c>
    </row>
    <row r="1999">
      <c r="J1999" s="5" t="str">
        <f>IFERROR(__xludf.DUMMYFUNCTION("""COMPUTED_VALUE"""),"666🤙🏼Batman: Mask of the Phantasm🤙🏼Crime🤙🏼3")</f>
        <v>666🤙🏼Batman: Mask of the Phantasm🤙🏼Crime🤙🏼3</v>
      </c>
      <c r="K1999" s="5">
        <f>IFERROR(__xludf.DUMMYFUNCTION("SPLiT(J1999, ""🤙🏼"",FALSE,FALSE)"),666.0)</f>
        <v>666</v>
      </c>
      <c r="L1999" s="5" t="str">
        <f>IFERROR(__xludf.DUMMYFUNCTION("""COMPUTED_VALUE"""),"Batman: Mask of the Phantasm")</f>
        <v>Batman: Mask of the Phantasm</v>
      </c>
      <c r="M1999" s="5" t="str">
        <f>IFERROR(__xludf.DUMMYFUNCTION("""COMPUTED_VALUE"""),"Crime")</f>
        <v>Crime</v>
      </c>
      <c r="N1999" s="5">
        <f>IFERROR(__xludf.DUMMYFUNCTION("""COMPUTED_VALUE"""),3.0)</f>
        <v>3</v>
      </c>
      <c r="S1999" s="5">
        <f>IFERROR(__xludf.DUMMYFUNCTION("""COMPUTED_VALUE"""),787.0)</f>
        <v>787</v>
      </c>
      <c r="T1999" s="5" t="str">
        <f>IFERROR(__xludf.DUMMYFUNCTION("""COMPUTED_VALUE"""),"Good Bye Lenin!")</f>
        <v>Good Bye Lenin!</v>
      </c>
      <c r="U1999" s="5" t="str">
        <f>IFERROR(__xludf.DUMMYFUNCTION("""COMPUTED_VALUE"""),"Romance")</f>
        <v>Romance</v>
      </c>
      <c r="V1999" s="5">
        <f>IFERROR(__xludf.DUMMYFUNCTION("""COMPUTED_VALUE"""),3.0)</f>
        <v>3</v>
      </c>
    </row>
    <row r="2000">
      <c r="J2000" s="5" t="str">
        <f>IFERROR(__xludf.DUMMYFUNCTION("""COMPUTED_VALUE"""),"667🤙🏼Lat sau san taam🤙🏼Action🤙🏼1")</f>
        <v>667🤙🏼Lat sau san taam🤙🏼Action🤙🏼1</v>
      </c>
      <c r="K2000" s="5">
        <f>IFERROR(__xludf.DUMMYFUNCTION("SPLiT(J2000, ""🤙🏼"",FALSE,FALSE)"),667.0)</f>
        <v>667</v>
      </c>
      <c r="L2000" s="5" t="str">
        <f>IFERROR(__xludf.DUMMYFUNCTION("""COMPUTED_VALUE"""),"Lat sau san taam")</f>
        <v>Lat sau san taam</v>
      </c>
      <c r="M2000" s="5" t="str">
        <f>IFERROR(__xludf.DUMMYFUNCTION("""COMPUTED_VALUE"""),"Action")</f>
        <v>Action</v>
      </c>
      <c r="N2000" s="5">
        <f>IFERROR(__xludf.DUMMYFUNCTION("""COMPUTED_VALUE"""),1.0)</f>
        <v>1</v>
      </c>
      <c r="S2000" s="5">
        <f>IFERROR(__xludf.DUMMYFUNCTION("""COMPUTED_VALUE"""),788.0)</f>
        <v>788</v>
      </c>
      <c r="T2000" s="5" t="str">
        <f>IFERROR(__xludf.DUMMYFUNCTION("""COMPUTED_VALUE"""),"In America")</f>
        <v>In America</v>
      </c>
      <c r="U2000" s="5" t="str">
        <f>IFERROR(__xludf.DUMMYFUNCTION("""COMPUTED_VALUE"""),"Drama")</f>
        <v>Drama</v>
      </c>
      <c r="V2000" s="5">
        <f>IFERROR(__xludf.DUMMYFUNCTION("""COMPUTED_VALUE"""),1.0)</f>
        <v>1</v>
      </c>
    </row>
    <row r="2001">
      <c r="J2001" s="5" t="str">
        <f>IFERROR(__xludf.DUMMYFUNCTION("""COMPUTED_VALUE"""),"667🤙🏼Lat sau san taam🤙🏼Crime🤙🏼2")</f>
        <v>667🤙🏼Lat sau san taam🤙🏼Crime🤙🏼2</v>
      </c>
      <c r="K2001" s="5">
        <f>IFERROR(__xludf.DUMMYFUNCTION("SPLiT(J2001, ""🤙🏼"",FALSE,FALSE)"),667.0)</f>
        <v>667</v>
      </c>
      <c r="L2001" s="5" t="str">
        <f>IFERROR(__xludf.DUMMYFUNCTION("""COMPUTED_VALUE"""),"Lat sau san taam")</f>
        <v>Lat sau san taam</v>
      </c>
      <c r="M2001" s="5" t="str">
        <f>IFERROR(__xludf.DUMMYFUNCTION("""COMPUTED_VALUE"""),"Crime")</f>
        <v>Crime</v>
      </c>
      <c r="N2001" s="5">
        <f>IFERROR(__xludf.DUMMYFUNCTION("""COMPUTED_VALUE"""),2.0)</f>
        <v>2</v>
      </c>
      <c r="S2001" s="5">
        <f>IFERROR(__xludf.DUMMYFUNCTION("""COMPUTED_VALUE"""),789.0)</f>
        <v>789</v>
      </c>
      <c r="T2001" s="5" t="str">
        <f>IFERROR(__xludf.DUMMYFUNCTION("""COMPUTED_VALUE"""),"I Am Sam")</f>
        <v>I Am Sam</v>
      </c>
      <c r="U2001" s="5" t="str">
        <f>IFERROR(__xludf.DUMMYFUNCTION("""COMPUTED_VALUE"""),"Drama")</f>
        <v>Drama</v>
      </c>
      <c r="V2001" s="5">
        <f>IFERROR(__xludf.DUMMYFUNCTION("""COMPUTED_VALUE"""),1.0)</f>
        <v>1</v>
      </c>
    </row>
    <row r="2002">
      <c r="J2002" s="5" t="str">
        <f>IFERROR(__xludf.DUMMYFUNCTION("""COMPUTED_VALUE"""),"667🤙🏼Lat sau san taam🤙🏼Thriller🤙🏼3")</f>
        <v>667🤙🏼Lat sau san taam🤙🏼Thriller🤙🏼3</v>
      </c>
      <c r="K2002" s="5">
        <f>IFERROR(__xludf.DUMMYFUNCTION("SPLiT(J2002, ""🤙🏼"",FALSE,FALSE)"),667.0)</f>
        <v>667</v>
      </c>
      <c r="L2002" s="5" t="str">
        <f>IFERROR(__xludf.DUMMYFUNCTION("""COMPUTED_VALUE"""),"Lat sau san taam")</f>
        <v>Lat sau san taam</v>
      </c>
      <c r="M2002" s="5" t="str">
        <f>IFERROR(__xludf.DUMMYFUNCTION("""COMPUTED_VALUE"""),"Thriller")</f>
        <v>Thriller</v>
      </c>
      <c r="N2002" s="5">
        <f>IFERROR(__xludf.DUMMYFUNCTION("""COMPUTED_VALUE"""),3.0)</f>
        <v>3</v>
      </c>
      <c r="S2002" s="5">
        <f>IFERROR(__xludf.DUMMYFUNCTION("""COMPUTED_VALUE"""),790.0)</f>
        <v>790</v>
      </c>
      <c r="T2002" s="5" t="str">
        <f>IFERROR(__xludf.DUMMYFUNCTION("""COMPUTED_VALUE"""),"Adaptation.")</f>
        <v>Adaptation.</v>
      </c>
      <c r="U2002" s="5" t="str">
        <f>IFERROR(__xludf.DUMMYFUNCTION("""COMPUTED_VALUE"""),"Comedy")</f>
        <v>Comedy</v>
      </c>
      <c r="V2002" s="5">
        <f>IFERROR(__xludf.DUMMYFUNCTION("""COMPUTED_VALUE"""),1.0)</f>
        <v>1</v>
      </c>
    </row>
    <row r="2003">
      <c r="J2003" s="5" t="str">
        <f>IFERROR(__xludf.DUMMYFUNCTION("""COMPUTED_VALUE"""),"668🤙🏼Night on Earth🤙🏼Comedy🤙🏼1")</f>
        <v>668🤙🏼Night on Earth🤙🏼Comedy🤙🏼1</v>
      </c>
      <c r="K2003" s="5">
        <f>IFERROR(__xludf.DUMMYFUNCTION("SPLiT(J2003, ""🤙🏼"",FALSE,FALSE)"),668.0)</f>
        <v>668</v>
      </c>
      <c r="L2003" s="5" t="str">
        <f>IFERROR(__xludf.DUMMYFUNCTION("""COMPUTED_VALUE"""),"Night on Earth")</f>
        <v>Night on Earth</v>
      </c>
      <c r="M2003" s="5" t="str">
        <f>IFERROR(__xludf.DUMMYFUNCTION("""COMPUTED_VALUE"""),"Comedy")</f>
        <v>Comedy</v>
      </c>
      <c r="N2003" s="5">
        <f>IFERROR(__xludf.DUMMYFUNCTION("""COMPUTED_VALUE"""),1.0)</f>
        <v>1</v>
      </c>
      <c r="S2003" s="5">
        <f>IFERROR(__xludf.DUMMYFUNCTION("""COMPUTED_VALUE"""),790.0)</f>
        <v>790</v>
      </c>
      <c r="T2003" s="5" t="str">
        <f>IFERROR(__xludf.DUMMYFUNCTION("""COMPUTED_VALUE"""),"Adaptation.")</f>
        <v>Adaptation.</v>
      </c>
      <c r="U2003" s="5" t="str">
        <f>IFERROR(__xludf.DUMMYFUNCTION("""COMPUTED_VALUE"""),"Drama")</f>
        <v>Drama</v>
      </c>
      <c r="V2003" s="5">
        <f>IFERROR(__xludf.DUMMYFUNCTION("""COMPUTED_VALUE"""),2.0)</f>
        <v>2</v>
      </c>
    </row>
    <row r="2004">
      <c r="J2004" s="5" t="str">
        <f>IFERROR(__xludf.DUMMYFUNCTION("""COMPUTED_VALUE"""),"668🤙🏼Night on Earth🤙🏼Drama🤙🏼2")</f>
        <v>668🤙🏼Night on Earth🤙🏼Drama🤙🏼2</v>
      </c>
      <c r="K2004" s="5">
        <f>IFERROR(__xludf.DUMMYFUNCTION("SPLiT(J2004, ""🤙🏼"",FALSE,FALSE)"),668.0)</f>
        <v>668</v>
      </c>
      <c r="L2004" s="5" t="str">
        <f>IFERROR(__xludf.DUMMYFUNCTION("""COMPUTED_VALUE"""),"Night on Earth")</f>
        <v>Night on Earth</v>
      </c>
      <c r="M2004" s="5" t="str">
        <f>IFERROR(__xludf.DUMMYFUNCTION("""COMPUTED_VALUE"""),"Drama")</f>
        <v>Drama</v>
      </c>
      <c r="N2004" s="5">
        <f>IFERROR(__xludf.DUMMYFUNCTION("""COMPUTED_VALUE"""),2.0)</f>
        <v>2</v>
      </c>
      <c r="S2004" s="5">
        <f>IFERROR(__xludf.DUMMYFUNCTION("""COMPUTED_VALUE"""),791.0)</f>
        <v>791</v>
      </c>
      <c r="T2004" s="5" t="str">
        <f>IFERROR(__xludf.DUMMYFUNCTION("""COMPUTED_VALUE"""),"Black Hawk Down")</f>
        <v>Black Hawk Down</v>
      </c>
      <c r="U2004" s="5" t="str">
        <f>IFERROR(__xludf.DUMMYFUNCTION("""COMPUTED_VALUE"""),"Drama")</f>
        <v>Drama</v>
      </c>
      <c r="V2004" s="5">
        <f>IFERROR(__xludf.DUMMYFUNCTION("""COMPUTED_VALUE"""),1.0)</f>
        <v>1</v>
      </c>
    </row>
    <row r="2005">
      <c r="J2005" s="5" t="str">
        <f>IFERROR(__xludf.DUMMYFUNCTION("""COMPUTED_VALUE"""),"668🤙🏼Night on Earth🤙🏼🤙🏼3")</f>
        <v>668🤙🏼Night on Earth🤙🏼🤙🏼3</v>
      </c>
      <c r="K2005" s="5">
        <f>IFERROR(__xludf.DUMMYFUNCTION("SPLiT(J2005, ""🤙🏼"",FALSE,FALSE)"),668.0)</f>
        <v>668</v>
      </c>
      <c r="L2005" s="5" t="str">
        <f>IFERROR(__xludf.DUMMYFUNCTION("""COMPUTED_VALUE"""),"Night on Earth")</f>
        <v>Night on Earth</v>
      </c>
      <c r="M2005" s="5"/>
      <c r="N2005" s="5">
        <f>IFERROR(__xludf.DUMMYFUNCTION("""COMPUTED_VALUE"""),3.0)</f>
        <v>3</v>
      </c>
      <c r="S2005" s="5">
        <f>IFERROR(__xludf.DUMMYFUNCTION("""COMPUTED_VALUE"""),791.0)</f>
        <v>791</v>
      </c>
      <c r="T2005" s="5" t="str">
        <f>IFERROR(__xludf.DUMMYFUNCTION("""COMPUTED_VALUE"""),"Black Hawk Down")</f>
        <v>Black Hawk Down</v>
      </c>
      <c r="U2005" s="5" t="str">
        <f>IFERROR(__xludf.DUMMYFUNCTION("""COMPUTED_VALUE"""),"History")</f>
        <v>History</v>
      </c>
      <c r="V2005" s="5">
        <f>IFERROR(__xludf.DUMMYFUNCTION("""COMPUTED_VALUE"""),2.0)</f>
        <v>2</v>
      </c>
    </row>
    <row r="2006">
      <c r="J2006" s="5" t="str">
        <f>IFERROR(__xludf.DUMMYFUNCTION("""COMPUTED_VALUE"""),"669🤙🏼La double vie de Véronique🤙🏼Drama🤙🏼1")</f>
        <v>669🤙🏼La double vie de Véronique🤙🏼Drama🤙🏼1</v>
      </c>
      <c r="K2006" s="5">
        <f>IFERROR(__xludf.DUMMYFUNCTION("SPLiT(J2006, ""🤙🏼"",FALSE,FALSE)"),669.0)</f>
        <v>669</v>
      </c>
      <c r="L2006" s="5" t="str">
        <f>IFERROR(__xludf.DUMMYFUNCTION("""COMPUTED_VALUE"""),"La double vie de Véronique")</f>
        <v>La double vie de Véronique</v>
      </c>
      <c r="M2006" s="5" t="str">
        <f>IFERROR(__xludf.DUMMYFUNCTION("""COMPUTED_VALUE"""),"Drama")</f>
        <v>Drama</v>
      </c>
      <c r="N2006" s="5">
        <f>IFERROR(__xludf.DUMMYFUNCTION("""COMPUTED_VALUE"""),1.0)</f>
        <v>1</v>
      </c>
      <c r="S2006" s="5">
        <f>IFERROR(__xludf.DUMMYFUNCTION("""COMPUTED_VALUE"""),791.0)</f>
        <v>791</v>
      </c>
      <c r="T2006" s="5" t="str">
        <f>IFERROR(__xludf.DUMMYFUNCTION("""COMPUTED_VALUE"""),"Black Hawk Down")</f>
        <v>Black Hawk Down</v>
      </c>
      <c r="U2006" s="5" t="str">
        <f>IFERROR(__xludf.DUMMYFUNCTION("""COMPUTED_VALUE"""),"War")</f>
        <v>War</v>
      </c>
      <c r="V2006" s="5">
        <f>IFERROR(__xludf.DUMMYFUNCTION("""COMPUTED_VALUE"""),3.0)</f>
        <v>3</v>
      </c>
    </row>
    <row r="2007">
      <c r="J2007" s="5" t="str">
        <f>IFERROR(__xludf.DUMMYFUNCTION("""COMPUTED_VALUE"""),"669🤙🏼La double vie de Véronique🤙🏼Fantasy🤙🏼2")</f>
        <v>669🤙🏼La double vie de Véronique🤙🏼Fantasy🤙🏼2</v>
      </c>
      <c r="K2007" s="5">
        <f>IFERROR(__xludf.DUMMYFUNCTION("SPLiT(J2007, ""🤙🏼"",FALSE,FALSE)"),669.0)</f>
        <v>669</v>
      </c>
      <c r="L2007" s="5" t="str">
        <f>IFERROR(__xludf.DUMMYFUNCTION("""COMPUTED_VALUE"""),"La double vie de Véronique")</f>
        <v>La double vie de Véronique</v>
      </c>
      <c r="M2007" s="5" t="str">
        <f>IFERROR(__xludf.DUMMYFUNCTION("""COMPUTED_VALUE"""),"Fantasy")</f>
        <v>Fantasy</v>
      </c>
      <c r="N2007" s="5">
        <f>IFERROR(__xludf.DUMMYFUNCTION("""COMPUTED_VALUE"""),2.0)</f>
        <v>2</v>
      </c>
      <c r="S2007" s="5">
        <f>IFERROR(__xludf.DUMMYFUNCTION("""COMPUTED_VALUE"""),792.0)</f>
        <v>792</v>
      </c>
      <c r="T2007" s="5" t="str">
        <f>IFERROR(__xludf.DUMMYFUNCTION("""COMPUTED_VALUE"""),"Road to Perdition")</f>
        <v>Road to Perdition</v>
      </c>
      <c r="U2007" s="5" t="str">
        <f>IFERROR(__xludf.DUMMYFUNCTION("""COMPUTED_VALUE"""),"Crime")</f>
        <v>Crime</v>
      </c>
      <c r="V2007" s="5">
        <f>IFERROR(__xludf.DUMMYFUNCTION("""COMPUTED_VALUE"""),1.0)</f>
        <v>1</v>
      </c>
    </row>
    <row r="2008">
      <c r="J2008" s="5" t="str">
        <f>IFERROR(__xludf.DUMMYFUNCTION("""COMPUTED_VALUE"""),"669🤙🏼La double vie de Véronique🤙🏼Music🤙🏼3")</f>
        <v>669🤙🏼La double vie de Véronique🤙🏼Music🤙🏼3</v>
      </c>
      <c r="K2008" s="5">
        <f>IFERROR(__xludf.DUMMYFUNCTION("SPLiT(J2008, ""🤙🏼"",FALSE,FALSE)"),669.0)</f>
        <v>669</v>
      </c>
      <c r="L2008" s="5" t="str">
        <f>IFERROR(__xludf.DUMMYFUNCTION("""COMPUTED_VALUE"""),"La double vie de Véronique")</f>
        <v>La double vie de Véronique</v>
      </c>
      <c r="M2008" s="5" t="str">
        <f>IFERROR(__xludf.DUMMYFUNCTION("""COMPUTED_VALUE"""),"Music")</f>
        <v>Music</v>
      </c>
      <c r="N2008" s="5">
        <f>IFERROR(__xludf.DUMMYFUNCTION("""COMPUTED_VALUE"""),3.0)</f>
        <v>3</v>
      </c>
      <c r="S2008" s="5">
        <f>IFERROR(__xludf.DUMMYFUNCTION("""COMPUTED_VALUE"""),792.0)</f>
        <v>792</v>
      </c>
      <c r="T2008" s="5" t="str">
        <f>IFERROR(__xludf.DUMMYFUNCTION("""COMPUTED_VALUE"""),"Road to Perdition")</f>
        <v>Road to Perdition</v>
      </c>
      <c r="U2008" s="5" t="str">
        <f>IFERROR(__xludf.DUMMYFUNCTION("""COMPUTED_VALUE"""),"Drama")</f>
        <v>Drama</v>
      </c>
      <c r="V2008" s="5">
        <f>IFERROR(__xludf.DUMMYFUNCTION("""COMPUTED_VALUE"""),2.0)</f>
        <v>2</v>
      </c>
    </row>
    <row r="2009">
      <c r="J2009" s="5" t="str">
        <f>IFERROR(__xludf.DUMMYFUNCTION("""COMPUTED_VALUE"""),"670🤙🏼Boyz n the Hood🤙🏼Crime🤙🏼1")</f>
        <v>670🤙🏼Boyz n the Hood🤙🏼Crime🤙🏼1</v>
      </c>
      <c r="K2009" s="5">
        <f>IFERROR(__xludf.DUMMYFUNCTION("SPLiT(J2009, ""🤙🏼"",FALSE,FALSE)"),670.0)</f>
        <v>670</v>
      </c>
      <c r="L2009" s="5" t="str">
        <f>IFERROR(__xludf.DUMMYFUNCTION("""COMPUTED_VALUE"""),"Boyz n the Hood")</f>
        <v>Boyz n the Hood</v>
      </c>
      <c r="M2009" s="5" t="str">
        <f>IFERROR(__xludf.DUMMYFUNCTION("""COMPUTED_VALUE"""),"Crime")</f>
        <v>Crime</v>
      </c>
      <c r="N2009" s="5">
        <f>IFERROR(__xludf.DUMMYFUNCTION("""COMPUTED_VALUE"""),1.0)</f>
        <v>1</v>
      </c>
      <c r="S2009" s="5">
        <f>IFERROR(__xludf.DUMMYFUNCTION("""COMPUTED_VALUE"""),792.0)</f>
        <v>792</v>
      </c>
      <c r="T2009" s="5" t="str">
        <f>IFERROR(__xludf.DUMMYFUNCTION("""COMPUTED_VALUE"""),"Road to Perdition")</f>
        <v>Road to Perdition</v>
      </c>
      <c r="U2009" s="5" t="str">
        <f>IFERROR(__xludf.DUMMYFUNCTION("""COMPUTED_VALUE"""),"Thriller")</f>
        <v>Thriller</v>
      </c>
      <c r="V2009" s="5">
        <f>IFERROR(__xludf.DUMMYFUNCTION("""COMPUTED_VALUE"""),3.0)</f>
        <v>3</v>
      </c>
    </row>
    <row r="2010">
      <c r="J2010" s="5" t="str">
        <f>IFERROR(__xludf.DUMMYFUNCTION("""COMPUTED_VALUE"""),"670🤙🏼Boyz n the Hood🤙🏼Drama🤙🏼2")</f>
        <v>670🤙🏼Boyz n the Hood🤙🏼Drama🤙🏼2</v>
      </c>
      <c r="K2010" s="5">
        <f>IFERROR(__xludf.DUMMYFUNCTION("SPLiT(J2010, ""🤙🏼"",FALSE,FALSE)"),670.0)</f>
        <v>670</v>
      </c>
      <c r="L2010" s="5" t="str">
        <f>IFERROR(__xludf.DUMMYFUNCTION("""COMPUTED_VALUE"""),"Boyz n the Hood")</f>
        <v>Boyz n the Hood</v>
      </c>
      <c r="M2010" s="5" t="str">
        <f>IFERROR(__xludf.DUMMYFUNCTION("""COMPUTED_VALUE"""),"Drama")</f>
        <v>Drama</v>
      </c>
      <c r="N2010" s="5">
        <f>IFERROR(__xludf.DUMMYFUNCTION("""COMPUTED_VALUE"""),2.0)</f>
        <v>2</v>
      </c>
      <c r="S2010" s="5">
        <f>IFERROR(__xludf.DUMMYFUNCTION("""COMPUTED_VALUE"""),793.0)</f>
        <v>793</v>
      </c>
      <c r="T2010" s="5" t="str">
        <f>IFERROR(__xludf.DUMMYFUNCTION("""COMPUTED_VALUE"""),"Das Experiment")</f>
        <v>Das Experiment</v>
      </c>
      <c r="U2010" s="5" t="str">
        <f>IFERROR(__xludf.DUMMYFUNCTION("""COMPUTED_VALUE"""),"Drama")</f>
        <v>Drama</v>
      </c>
      <c r="V2010" s="5">
        <f>IFERROR(__xludf.DUMMYFUNCTION("""COMPUTED_VALUE"""),1.0)</f>
        <v>1</v>
      </c>
    </row>
    <row r="2011">
      <c r="J2011" s="5" t="str">
        <f>IFERROR(__xludf.DUMMYFUNCTION("""COMPUTED_VALUE"""),"670🤙🏼Boyz n the Hood🤙🏼🤙🏼3")</f>
        <v>670🤙🏼Boyz n the Hood🤙🏼🤙🏼3</v>
      </c>
      <c r="K2011" s="5">
        <f>IFERROR(__xludf.DUMMYFUNCTION("SPLiT(J2011, ""🤙🏼"",FALSE,FALSE)"),670.0)</f>
        <v>670</v>
      </c>
      <c r="L2011" s="5" t="str">
        <f>IFERROR(__xludf.DUMMYFUNCTION("""COMPUTED_VALUE"""),"Boyz n the Hood")</f>
        <v>Boyz n the Hood</v>
      </c>
      <c r="M2011" s="5"/>
      <c r="N2011" s="5">
        <f>IFERROR(__xludf.DUMMYFUNCTION("""COMPUTED_VALUE"""),3.0)</f>
        <v>3</v>
      </c>
      <c r="S2011" s="5">
        <f>IFERROR(__xludf.DUMMYFUNCTION("""COMPUTED_VALUE"""),793.0)</f>
        <v>793</v>
      </c>
      <c r="T2011" s="5" t="str">
        <f>IFERROR(__xludf.DUMMYFUNCTION("""COMPUTED_VALUE"""),"Das Experiment")</f>
        <v>Das Experiment</v>
      </c>
      <c r="U2011" s="5" t="str">
        <f>IFERROR(__xludf.DUMMYFUNCTION("""COMPUTED_VALUE"""),"Thriller")</f>
        <v>Thriller</v>
      </c>
      <c r="V2011" s="5">
        <f>IFERROR(__xludf.DUMMYFUNCTION("""COMPUTED_VALUE"""),2.0)</f>
        <v>2</v>
      </c>
    </row>
    <row r="2012">
      <c r="J2012" s="5" t="str">
        <f>IFERROR(__xludf.DUMMYFUNCTION("""COMPUTED_VALUE"""),"671🤙🏼Misery🤙🏼Drama🤙🏼1")</f>
        <v>671🤙🏼Misery🤙🏼Drama🤙🏼1</v>
      </c>
      <c r="K2012" s="5">
        <f>IFERROR(__xludf.DUMMYFUNCTION("SPLiT(J2012, ""🤙🏼"",FALSE,FALSE)"),671.0)</f>
        <v>671</v>
      </c>
      <c r="L2012" s="5" t="str">
        <f>IFERROR(__xludf.DUMMYFUNCTION("""COMPUTED_VALUE"""),"Misery")</f>
        <v>Misery</v>
      </c>
      <c r="M2012" s="5" t="str">
        <f>IFERROR(__xludf.DUMMYFUNCTION("""COMPUTED_VALUE"""),"Drama")</f>
        <v>Drama</v>
      </c>
      <c r="N2012" s="5">
        <f>IFERROR(__xludf.DUMMYFUNCTION("""COMPUTED_VALUE"""),1.0)</f>
        <v>1</v>
      </c>
      <c r="S2012" s="5">
        <f>IFERROR(__xludf.DUMMYFUNCTION("""COMPUTED_VALUE"""),794.0)</f>
        <v>794</v>
      </c>
      <c r="T2012" s="5" t="str">
        <f>IFERROR(__xludf.DUMMYFUNCTION("""COMPUTED_VALUE"""),"Billy Elliot")</f>
        <v>Billy Elliot</v>
      </c>
      <c r="U2012" s="5" t="str">
        <f>IFERROR(__xludf.DUMMYFUNCTION("""COMPUTED_VALUE"""),"Drama")</f>
        <v>Drama</v>
      </c>
      <c r="V2012" s="5">
        <f>IFERROR(__xludf.DUMMYFUNCTION("""COMPUTED_VALUE"""),1.0)</f>
        <v>1</v>
      </c>
    </row>
    <row r="2013">
      <c r="J2013" s="5" t="str">
        <f>IFERROR(__xludf.DUMMYFUNCTION("""COMPUTED_VALUE"""),"671🤙🏼Misery🤙🏼Thriller🤙🏼2")</f>
        <v>671🤙🏼Misery🤙🏼Thriller🤙🏼2</v>
      </c>
      <c r="K2013" s="5">
        <f>IFERROR(__xludf.DUMMYFUNCTION("SPLiT(J2013, ""🤙🏼"",FALSE,FALSE)"),671.0)</f>
        <v>671</v>
      </c>
      <c r="L2013" s="5" t="str">
        <f>IFERROR(__xludf.DUMMYFUNCTION("""COMPUTED_VALUE"""),"Misery")</f>
        <v>Misery</v>
      </c>
      <c r="M2013" s="5" t="str">
        <f>IFERROR(__xludf.DUMMYFUNCTION("""COMPUTED_VALUE"""),"Thriller")</f>
        <v>Thriller</v>
      </c>
      <c r="N2013" s="5">
        <f>IFERROR(__xludf.DUMMYFUNCTION("""COMPUTED_VALUE"""),2.0)</f>
        <v>2</v>
      </c>
      <c r="S2013" s="5">
        <f>IFERROR(__xludf.DUMMYFUNCTION("""COMPUTED_VALUE"""),794.0)</f>
        <v>794</v>
      </c>
      <c r="T2013" s="5" t="str">
        <f>IFERROR(__xludf.DUMMYFUNCTION("""COMPUTED_VALUE"""),"Billy Elliot")</f>
        <v>Billy Elliot</v>
      </c>
      <c r="U2013" s="5" t="str">
        <f>IFERROR(__xludf.DUMMYFUNCTION("""COMPUTED_VALUE"""),"Music")</f>
        <v>Music</v>
      </c>
      <c r="V2013" s="5">
        <f>IFERROR(__xludf.DUMMYFUNCTION("""COMPUTED_VALUE"""),2.0)</f>
        <v>2</v>
      </c>
    </row>
    <row r="2014">
      <c r="J2014" s="5" t="str">
        <f>IFERROR(__xludf.DUMMYFUNCTION("""COMPUTED_VALUE"""),"671🤙🏼Misery🤙🏼🤙🏼3")</f>
        <v>671🤙🏼Misery🤙🏼🤙🏼3</v>
      </c>
      <c r="K2014" s="5">
        <f>IFERROR(__xludf.DUMMYFUNCTION("SPLiT(J2014, ""🤙🏼"",FALSE,FALSE)"),671.0)</f>
        <v>671</v>
      </c>
      <c r="L2014" s="5" t="str">
        <f>IFERROR(__xludf.DUMMYFUNCTION("""COMPUTED_VALUE"""),"Misery")</f>
        <v>Misery</v>
      </c>
      <c r="M2014" s="5"/>
      <c r="N2014" s="5">
        <f>IFERROR(__xludf.DUMMYFUNCTION("""COMPUTED_VALUE"""),3.0)</f>
        <v>3</v>
      </c>
      <c r="S2014" s="5">
        <f>IFERROR(__xludf.DUMMYFUNCTION("""COMPUTED_VALUE"""),795.0)</f>
        <v>795</v>
      </c>
      <c r="T2014" s="5" t="str">
        <f>IFERROR(__xludf.DUMMYFUNCTION("""COMPUTED_VALUE"""),"Hedwig and the Angry Inch")</f>
        <v>Hedwig and the Angry Inch</v>
      </c>
      <c r="U2014" s="5" t="str">
        <f>IFERROR(__xludf.DUMMYFUNCTION("""COMPUTED_VALUE"""),"Comedy")</f>
        <v>Comedy</v>
      </c>
      <c r="V2014" s="5">
        <f>IFERROR(__xludf.DUMMYFUNCTION("""COMPUTED_VALUE"""),1.0)</f>
        <v>1</v>
      </c>
    </row>
    <row r="2015">
      <c r="J2015" s="5" t="str">
        <f>IFERROR(__xludf.DUMMYFUNCTION("""COMPUTED_VALUE"""),"672🤙🏼Awakenings🤙🏼Biography🤙🏼1")</f>
        <v>672🤙🏼Awakenings🤙🏼Biography🤙🏼1</v>
      </c>
      <c r="K2015" s="5">
        <f>IFERROR(__xludf.DUMMYFUNCTION("SPLiT(J2015, ""🤙🏼"",FALSE,FALSE)"),672.0)</f>
        <v>672</v>
      </c>
      <c r="L2015" s="5" t="str">
        <f>IFERROR(__xludf.DUMMYFUNCTION("""COMPUTED_VALUE"""),"Awakenings")</f>
        <v>Awakenings</v>
      </c>
      <c r="M2015" s="5" t="str">
        <f>IFERROR(__xludf.DUMMYFUNCTION("""COMPUTED_VALUE"""),"Biography")</f>
        <v>Biography</v>
      </c>
      <c r="N2015" s="5">
        <f>IFERROR(__xludf.DUMMYFUNCTION("""COMPUTED_VALUE"""),1.0)</f>
        <v>1</v>
      </c>
      <c r="S2015" s="5">
        <f>IFERROR(__xludf.DUMMYFUNCTION("""COMPUTED_VALUE"""),795.0)</f>
        <v>795</v>
      </c>
      <c r="T2015" s="5" t="str">
        <f>IFERROR(__xludf.DUMMYFUNCTION("""COMPUTED_VALUE"""),"Hedwig and the Angry Inch")</f>
        <v>Hedwig and the Angry Inch</v>
      </c>
      <c r="U2015" s="5" t="str">
        <f>IFERROR(__xludf.DUMMYFUNCTION("""COMPUTED_VALUE"""),"Drama")</f>
        <v>Drama</v>
      </c>
      <c r="V2015" s="5">
        <f>IFERROR(__xludf.DUMMYFUNCTION("""COMPUTED_VALUE"""),2.0)</f>
        <v>2</v>
      </c>
    </row>
    <row r="2016">
      <c r="J2016" s="5" t="str">
        <f>IFERROR(__xludf.DUMMYFUNCTION("""COMPUTED_VALUE"""),"672🤙🏼Awakenings🤙🏼Drama🤙🏼2")</f>
        <v>672🤙🏼Awakenings🤙🏼Drama🤙🏼2</v>
      </c>
      <c r="K2016" s="5">
        <f>IFERROR(__xludf.DUMMYFUNCTION("SPLiT(J2016, ""🤙🏼"",FALSE,FALSE)"),672.0)</f>
        <v>672</v>
      </c>
      <c r="L2016" s="5" t="str">
        <f>IFERROR(__xludf.DUMMYFUNCTION("""COMPUTED_VALUE"""),"Awakenings")</f>
        <v>Awakenings</v>
      </c>
      <c r="M2016" s="5" t="str">
        <f>IFERROR(__xludf.DUMMYFUNCTION("""COMPUTED_VALUE"""),"Drama")</f>
        <v>Drama</v>
      </c>
      <c r="N2016" s="5">
        <f>IFERROR(__xludf.DUMMYFUNCTION("""COMPUTED_VALUE"""),2.0)</f>
        <v>2</v>
      </c>
      <c r="S2016" s="5">
        <f>IFERROR(__xludf.DUMMYFUNCTION("""COMPUTED_VALUE"""),795.0)</f>
        <v>795</v>
      </c>
      <c r="T2016" s="5" t="str">
        <f>IFERROR(__xludf.DUMMYFUNCTION("""COMPUTED_VALUE"""),"Hedwig and the Angry Inch")</f>
        <v>Hedwig and the Angry Inch</v>
      </c>
      <c r="U2016" s="5" t="str">
        <f>IFERROR(__xludf.DUMMYFUNCTION("""COMPUTED_VALUE"""),"Music")</f>
        <v>Music</v>
      </c>
      <c r="V2016" s="5">
        <f>IFERROR(__xludf.DUMMYFUNCTION("""COMPUTED_VALUE"""),3.0)</f>
        <v>3</v>
      </c>
    </row>
    <row r="2017">
      <c r="J2017" s="5" t="str">
        <f>IFERROR(__xludf.DUMMYFUNCTION("""COMPUTED_VALUE"""),"672🤙🏼Awakenings🤙🏼🤙🏼3")</f>
        <v>672🤙🏼Awakenings🤙🏼🤙🏼3</v>
      </c>
      <c r="K2017" s="5">
        <f>IFERROR(__xludf.DUMMYFUNCTION("SPLiT(J2017, ""🤙🏼"",FALSE,FALSE)"),672.0)</f>
        <v>672</v>
      </c>
      <c r="L2017" s="5" t="str">
        <f>IFERROR(__xludf.DUMMYFUNCTION("""COMPUTED_VALUE"""),"Awakenings")</f>
        <v>Awakenings</v>
      </c>
      <c r="M2017" s="5"/>
      <c r="N2017" s="5">
        <f>IFERROR(__xludf.DUMMYFUNCTION("""COMPUTED_VALUE"""),3.0)</f>
        <v>3</v>
      </c>
      <c r="S2017" s="5">
        <f>IFERROR(__xludf.DUMMYFUNCTION("""COMPUTED_VALUE"""),796.0)</f>
        <v>796</v>
      </c>
      <c r="T2017" s="5" t="str">
        <f>IFERROR(__xludf.DUMMYFUNCTION("""COMPUTED_VALUE"""),"Ocean's Eleven")</f>
        <v>Ocean's Eleven</v>
      </c>
      <c r="U2017" s="5" t="str">
        <f>IFERROR(__xludf.DUMMYFUNCTION("""COMPUTED_VALUE"""),"Crime")</f>
        <v>Crime</v>
      </c>
      <c r="V2017" s="5">
        <f>IFERROR(__xludf.DUMMYFUNCTION("""COMPUTED_VALUE"""),1.0)</f>
        <v>1</v>
      </c>
    </row>
    <row r="2018">
      <c r="J2018" s="5" t="str">
        <f>IFERROR(__xludf.DUMMYFUNCTION("""COMPUTED_VALUE"""),"673🤙🏼Majo no takkyûbin🤙🏼Animation🤙🏼1")</f>
        <v>673🤙🏼Majo no takkyûbin🤙🏼Animation🤙🏼1</v>
      </c>
      <c r="K2018" s="5">
        <f>IFERROR(__xludf.DUMMYFUNCTION("SPLiT(J2018, ""🤙🏼"",FALSE,FALSE)"),673.0)</f>
        <v>673</v>
      </c>
      <c r="L2018" s="5" t="str">
        <f>IFERROR(__xludf.DUMMYFUNCTION("""COMPUTED_VALUE"""),"Majo no takkyûbin")</f>
        <v>Majo no takkyûbin</v>
      </c>
      <c r="M2018" s="5" t="str">
        <f>IFERROR(__xludf.DUMMYFUNCTION("""COMPUTED_VALUE"""),"Animation")</f>
        <v>Animation</v>
      </c>
      <c r="N2018" s="5">
        <f>IFERROR(__xludf.DUMMYFUNCTION("""COMPUTED_VALUE"""),1.0)</f>
        <v>1</v>
      </c>
      <c r="S2018" s="5">
        <f>IFERROR(__xludf.DUMMYFUNCTION("""COMPUTED_VALUE"""),796.0)</f>
        <v>796</v>
      </c>
      <c r="T2018" s="5" t="str">
        <f>IFERROR(__xludf.DUMMYFUNCTION("""COMPUTED_VALUE"""),"Ocean's Eleven")</f>
        <v>Ocean's Eleven</v>
      </c>
      <c r="U2018" s="5" t="str">
        <f>IFERROR(__xludf.DUMMYFUNCTION("""COMPUTED_VALUE"""),"Thriller")</f>
        <v>Thriller</v>
      </c>
      <c r="V2018" s="5">
        <f>IFERROR(__xludf.DUMMYFUNCTION("""COMPUTED_VALUE"""),2.0)</f>
        <v>2</v>
      </c>
    </row>
    <row r="2019">
      <c r="J2019" s="5" t="str">
        <f>IFERROR(__xludf.DUMMYFUNCTION("""COMPUTED_VALUE"""),"673🤙🏼Majo no takkyûbin🤙🏼Adventure🤙🏼2")</f>
        <v>673🤙🏼Majo no takkyûbin🤙🏼Adventure🤙🏼2</v>
      </c>
      <c r="K2019" s="5">
        <f>IFERROR(__xludf.DUMMYFUNCTION("SPLiT(J2019, ""🤙🏼"",FALSE,FALSE)"),673.0)</f>
        <v>673</v>
      </c>
      <c r="L2019" s="5" t="str">
        <f>IFERROR(__xludf.DUMMYFUNCTION("""COMPUTED_VALUE"""),"Majo no takkyûbin")</f>
        <v>Majo no takkyûbin</v>
      </c>
      <c r="M2019" s="5" t="str">
        <f>IFERROR(__xludf.DUMMYFUNCTION("""COMPUTED_VALUE"""),"Adventure")</f>
        <v>Adventure</v>
      </c>
      <c r="N2019" s="5">
        <f>IFERROR(__xludf.DUMMYFUNCTION("""COMPUTED_VALUE"""),2.0)</f>
        <v>2</v>
      </c>
      <c r="S2019" s="5">
        <f>IFERROR(__xludf.DUMMYFUNCTION("""COMPUTED_VALUE"""),797.0)</f>
        <v>797</v>
      </c>
      <c r="T2019" s="5" t="str">
        <f>IFERROR(__xludf.DUMMYFUNCTION("""COMPUTED_VALUE"""),"Vampire Hunter D: Bloodlust")</f>
        <v>Vampire Hunter D: Bloodlust</v>
      </c>
      <c r="U2019" s="5" t="str">
        <f>IFERROR(__xludf.DUMMYFUNCTION("""COMPUTED_VALUE"""),"Animation")</f>
        <v>Animation</v>
      </c>
      <c r="V2019" s="5">
        <f>IFERROR(__xludf.DUMMYFUNCTION("""COMPUTED_VALUE"""),1.0)</f>
        <v>1</v>
      </c>
    </row>
    <row r="2020">
      <c r="J2020" s="5" t="str">
        <f>IFERROR(__xludf.DUMMYFUNCTION("""COMPUTED_VALUE"""),"673🤙🏼Majo no takkyûbin🤙🏼Drama🤙🏼3")</f>
        <v>673🤙🏼Majo no takkyûbin🤙🏼Drama🤙🏼3</v>
      </c>
      <c r="K2020" s="5">
        <f>IFERROR(__xludf.DUMMYFUNCTION("SPLiT(J2020, ""🤙🏼"",FALSE,FALSE)"),673.0)</f>
        <v>673</v>
      </c>
      <c r="L2020" s="5" t="str">
        <f>IFERROR(__xludf.DUMMYFUNCTION("""COMPUTED_VALUE"""),"Majo no takkyûbin")</f>
        <v>Majo no takkyûbin</v>
      </c>
      <c r="M2020" s="5" t="str">
        <f>IFERROR(__xludf.DUMMYFUNCTION("""COMPUTED_VALUE"""),"Drama")</f>
        <v>Drama</v>
      </c>
      <c r="N2020" s="5">
        <f>IFERROR(__xludf.DUMMYFUNCTION("""COMPUTED_VALUE"""),3.0)</f>
        <v>3</v>
      </c>
      <c r="S2020" s="5">
        <f>IFERROR(__xludf.DUMMYFUNCTION("""COMPUTED_VALUE"""),797.0)</f>
        <v>797</v>
      </c>
      <c r="T2020" s="5" t="str">
        <f>IFERROR(__xludf.DUMMYFUNCTION("""COMPUTED_VALUE"""),"Vampire Hunter D: Bloodlust")</f>
        <v>Vampire Hunter D: Bloodlust</v>
      </c>
      <c r="U2020" s="5" t="str">
        <f>IFERROR(__xludf.DUMMYFUNCTION("""COMPUTED_VALUE"""),"Action")</f>
        <v>Action</v>
      </c>
      <c r="V2020" s="5">
        <f>IFERROR(__xludf.DUMMYFUNCTION("""COMPUTED_VALUE"""),2.0)</f>
        <v>2</v>
      </c>
    </row>
    <row r="2021">
      <c r="J2021" s="5" t="str">
        <f>IFERROR(__xludf.DUMMYFUNCTION("""COMPUTED_VALUE"""),"674🤙🏼Glory🤙🏼Biography🤙🏼1")</f>
        <v>674🤙🏼Glory🤙🏼Biography🤙🏼1</v>
      </c>
      <c r="K2021" s="5">
        <f>IFERROR(__xludf.DUMMYFUNCTION("SPLiT(J2021, ""🤙🏼"",FALSE,FALSE)"),674.0)</f>
        <v>674</v>
      </c>
      <c r="L2021" s="5" t="str">
        <f>IFERROR(__xludf.DUMMYFUNCTION("""COMPUTED_VALUE"""),"Glory")</f>
        <v>Glory</v>
      </c>
      <c r="M2021" s="5" t="str">
        <f>IFERROR(__xludf.DUMMYFUNCTION("""COMPUTED_VALUE"""),"Biography")</f>
        <v>Biography</v>
      </c>
      <c r="N2021" s="5">
        <f>IFERROR(__xludf.DUMMYFUNCTION("""COMPUTED_VALUE"""),1.0)</f>
        <v>1</v>
      </c>
      <c r="S2021" s="5">
        <f>IFERROR(__xludf.DUMMYFUNCTION("""COMPUTED_VALUE"""),797.0)</f>
        <v>797</v>
      </c>
      <c r="T2021" s="5" t="str">
        <f>IFERROR(__xludf.DUMMYFUNCTION("""COMPUTED_VALUE"""),"Vampire Hunter D: Bloodlust")</f>
        <v>Vampire Hunter D: Bloodlust</v>
      </c>
      <c r="U2021" s="5" t="str">
        <f>IFERROR(__xludf.DUMMYFUNCTION("""COMPUTED_VALUE"""),"Fantasy")</f>
        <v>Fantasy</v>
      </c>
      <c r="V2021" s="5">
        <f>IFERROR(__xludf.DUMMYFUNCTION("""COMPUTED_VALUE"""),3.0)</f>
        <v>3</v>
      </c>
    </row>
    <row r="2022">
      <c r="J2022" s="5" t="str">
        <f>IFERROR(__xludf.DUMMYFUNCTION("""COMPUTED_VALUE"""),"674🤙🏼Glory🤙🏼Drama🤙🏼2")</f>
        <v>674🤙🏼Glory🤙🏼Drama🤙🏼2</v>
      </c>
      <c r="K2022" s="5">
        <f>IFERROR(__xludf.DUMMYFUNCTION("SPLiT(J2022, ""🤙🏼"",FALSE,FALSE)"),674.0)</f>
        <v>674</v>
      </c>
      <c r="L2022" s="5" t="str">
        <f>IFERROR(__xludf.DUMMYFUNCTION("""COMPUTED_VALUE"""),"Glory")</f>
        <v>Glory</v>
      </c>
      <c r="M2022" s="5" t="str">
        <f>IFERROR(__xludf.DUMMYFUNCTION("""COMPUTED_VALUE"""),"Drama")</f>
        <v>Drama</v>
      </c>
      <c r="N2022" s="5">
        <f>IFERROR(__xludf.DUMMYFUNCTION("""COMPUTED_VALUE"""),2.0)</f>
        <v>2</v>
      </c>
      <c r="S2022" s="5">
        <f>IFERROR(__xludf.DUMMYFUNCTION("""COMPUTED_VALUE"""),798.0)</f>
        <v>798</v>
      </c>
      <c r="T2022" s="5" t="str">
        <f>IFERROR(__xludf.DUMMYFUNCTION("""COMPUTED_VALUE"""),"O Brother, Where Art Thou?")</f>
        <v>O Brother, Where Art Thou?</v>
      </c>
      <c r="U2022" s="5" t="str">
        <f>IFERROR(__xludf.DUMMYFUNCTION("""COMPUTED_VALUE"""),"Adventure")</f>
        <v>Adventure</v>
      </c>
      <c r="V2022" s="5">
        <f>IFERROR(__xludf.DUMMYFUNCTION("""COMPUTED_VALUE"""),1.0)</f>
        <v>1</v>
      </c>
    </row>
    <row r="2023">
      <c r="J2023" s="5" t="str">
        <f>IFERROR(__xludf.DUMMYFUNCTION("""COMPUTED_VALUE"""),"674🤙🏼Glory🤙🏼History🤙🏼3")</f>
        <v>674🤙🏼Glory🤙🏼History🤙🏼3</v>
      </c>
      <c r="K2023" s="5">
        <f>IFERROR(__xludf.DUMMYFUNCTION("SPLiT(J2023, ""🤙🏼"",FALSE,FALSE)"),674.0)</f>
        <v>674</v>
      </c>
      <c r="L2023" s="5" t="str">
        <f>IFERROR(__xludf.DUMMYFUNCTION("""COMPUTED_VALUE"""),"Glory")</f>
        <v>Glory</v>
      </c>
      <c r="M2023" s="5" t="str">
        <f>IFERROR(__xludf.DUMMYFUNCTION("""COMPUTED_VALUE"""),"History")</f>
        <v>History</v>
      </c>
      <c r="N2023" s="5">
        <f>IFERROR(__xludf.DUMMYFUNCTION("""COMPUTED_VALUE"""),3.0)</f>
        <v>3</v>
      </c>
      <c r="S2023" s="5">
        <f>IFERROR(__xludf.DUMMYFUNCTION("""COMPUTED_VALUE"""),798.0)</f>
        <v>798</v>
      </c>
      <c r="T2023" s="5" t="str">
        <f>IFERROR(__xludf.DUMMYFUNCTION("""COMPUTED_VALUE"""),"O Brother, Where Art Thou?")</f>
        <v>O Brother, Where Art Thou?</v>
      </c>
      <c r="U2023" s="5" t="str">
        <f>IFERROR(__xludf.DUMMYFUNCTION("""COMPUTED_VALUE"""),"Comedy")</f>
        <v>Comedy</v>
      </c>
      <c r="V2023" s="5">
        <f>IFERROR(__xludf.DUMMYFUNCTION("""COMPUTED_VALUE"""),2.0)</f>
        <v>2</v>
      </c>
    </row>
    <row r="2024">
      <c r="J2024" s="5" t="str">
        <f>IFERROR(__xludf.DUMMYFUNCTION("""COMPUTED_VALUE"""),"675🤙🏼Dip huet seung hung🤙🏼Action🤙🏼1")</f>
        <v>675🤙🏼Dip huet seung hung🤙🏼Action🤙🏼1</v>
      </c>
      <c r="K2024" s="5">
        <f>IFERROR(__xludf.DUMMYFUNCTION("SPLiT(J2024, ""🤙🏼"",FALSE,FALSE)"),675.0)</f>
        <v>675</v>
      </c>
      <c r="L2024" s="5" t="str">
        <f>IFERROR(__xludf.DUMMYFUNCTION("""COMPUTED_VALUE"""),"Dip huet seung hung")</f>
        <v>Dip huet seung hung</v>
      </c>
      <c r="M2024" s="5" t="str">
        <f>IFERROR(__xludf.DUMMYFUNCTION("""COMPUTED_VALUE"""),"Action")</f>
        <v>Action</v>
      </c>
      <c r="N2024" s="5">
        <f>IFERROR(__xludf.DUMMYFUNCTION("""COMPUTED_VALUE"""),1.0)</f>
        <v>1</v>
      </c>
      <c r="S2024" s="5">
        <f>IFERROR(__xludf.DUMMYFUNCTION("""COMPUTED_VALUE"""),798.0)</f>
        <v>798</v>
      </c>
      <c r="T2024" s="5" t="str">
        <f>IFERROR(__xludf.DUMMYFUNCTION("""COMPUTED_VALUE"""),"O Brother, Where Art Thou?")</f>
        <v>O Brother, Where Art Thou?</v>
      </c>
      <c r="U2024" s="5" t="str">
        <f>IFERROR(__xludf.DUMMYFUNCTION("""COMPUTED_VALUE"""),"Crime")</f>
        <v>Crime</v>
      </c>
      <c r="V2024" s="5">
        <f>IFERROR(__xludf.DUMMYFUNCTION("""COMPUTED_VALUE"""),3.0)</f>
        <v>3</v>
      </c>
    </row>
    <row r="2025">
      <c r="J2025" s="5" t="str">
        <f>IFERROR(__xludf.DUMMYFUNCTION("""COMPUTED_VALUE"""),"675🤙🏼Dip huet seung hung🤙🏼Crime🤙🏼2")</f>
        <v>675🤙🏼Dip huet seung hung🤙🏼Crime🤙🏼2</v>
      </c>
      <c r="K2025" s="5">
        <f>IFERROR(__xludf.DUMMYFUNCTION("SPLiT(J2025, ""🤙🏼"",FALSE,FALSE)"),675.0)</f>
        <v>675</v>
      </c>
      <c r="L2025" s="5" t="str">
        <f>IFERROR(__xludf.DUMMYFUNCTION("""COMPUTED_VALUE"""),"Dip huet seung hung")</f>
        <v>Dip huet seung hung</v>
      </c>
      <c r="M2025" s="5" t="str">
        <f>IFERROR(__xludf.DUMMYFUNCTION("""COMPUTED_VALUE"""),"Crime")</f>
        <v>Crime</v>
      </c>
      <c r="N2025" s="5">
        <f>IFERROR(__xludf.DUMMYFUNCTION("""COMPUTED_VALUE"""),2.0)</f>
        <v>2</v>
      </c>
      <c r="S2025" s="5">
        <f>IFERROR(__xludf.DUMMYFUNCTION("""COMPUTED_VALUE"""),799.0)</f>
        <v>799</v>
      </c>
      <c r="T2025" s="5" t="str">
        <f>IFERROR(__xludf.DUMMYFUNCTION("""COMPUTED_VALUE"""),"Interstate 60: Episodes of the Road")</f>
        <v>Interstate 60: Episodes of the Road</v>
      </c>
      <c r="U2025" s="5" t="str">
        <f>IFERROR(__xludf.DUMMYFUNCTION("""COMPUTED_VALUE"""),"Adventure")</f>
        <v>Adventure</v>
      </c>
      <c r="V2025" s="5">
        <f>IFERROR(__xludf.DUMMYFUNCTION("""COMPUTED_VALUE"""),1.0)</f>
        <v>1</v>
      </c>
    </row>
    <row r="2026">
      <c r="J2026" s="5" t="str">
        <f>IFERROR(__xludf.DUMMYFUNCTION("""COMPUTED_VALUE"""),"675🤙🏼Dip huet seung hung🤙🏼Drama🤙🏼3")</f>
        <v>675🤙🏼Dip huet seung hung🤙🏼Drama🤙🏼3</v>
      </c>
      <c r="K2026" s="5">
        <f>IFERROR(__xludf.DUMMYFUNCTION("SPLiT(J2026, ""🤙🏼"",FALSE,FALSE)"),675.0)</f>
        <v>675</v>
      </c>
      <c r="L2026" s="5" t="str">
        <f>IFERROR(__xludf.DUMMYFUNCTION("""COMPUTED_VALUE"""),"Dip huet seung hung")</f>
        <v>Dip huet seung hung</v>
      </c>
      <c r="M2026" s="5" t="str">
        <f>IFERROR(__xludf.DUMMYFUNCTION("""COMPUTED_VALUE"""),"Drama")</f>
        <v>Drama</v>
      </c>
      <c r="N2026" s="5">
        <f>IFERROR(__xludf.DUMMYFUNCTION("""COMPUTED_VALUE"""),3.0)</f>
        <v>3</v>
      </c>
      <c r="S2026" s="5">
        <f>IFERROR(__xludf.DUMMYFUNCTION("""COMPUTED_VALUE"""),799.0)</f>
        <v>799</v>
      </c>
      <c r="T2026" s="5" t="str">
        <f>IFERROR(__xludf.DUMMYFUNCTION("""COMPUTED_VALUE"""),"Interstate 60: Episodes of the Road")</f>
        <v>Interstate 60: Episodes of the Road</v>
      </c>
      <c r="U2026" s="5" t="str">
        <f>IFERROR(__xludf.DUMMYFUNCTION("""COMPUTED_VALUE"""),"Comedy")</f>
        <v>Comedy</v>
      </c>
      <c r="V2026" s="5">
        <f>IFERROR(__xludf.DUMMYFUNCTION("""COMPUTED_VALUE"""),2.0)</f>
        <v>2</v>
      </c>
    </row>
    <row r="2027">
      <c r="J2027" s="5" t="str">
        <f>IFERROR(__xludf.DUMMYFUNCTION("""COMPUTED_VALUE"""),"676🤙🏼Back to the Future Part II🤙🏼Adventure🤙🏼1")</f>
        <v>676🤙🏼Back to the Future Part II🤙🏼Adventure🤙🏼1</v>
      </c>
      <c r="K2027" s="5">
        <f>IFERROR(__xludf.DUMMYFUNCTION("SPLiT(J2027, ""🤙🏼"",FALSE,FALSE)"),676.0)</f>
        <v>676</v>
      </c>
      <c r="L2027" s="5" t="str">
        <f>IFERROR(__xludf.DUMMYFUNCTION("""COMPUTED_VALUE"""),"Back to the Future Part II")</f>
        <v>Back to the Future Part II</v>
      </c>
      <c r="M2027" s="5" t="str">
        <f>IFERROR(__xludf.DUMMYFUNCTION("""COMPUTED_VALUE"""),"Adventure")</f>
        <v>Adventure</v>
      </c>
      <c r="N2027" s="5">
        <f>IFERROR(__xludf.DUMMYFUNCTION("""COMPUTED_VALUE"""),1.0)</f>
        <v>1</v>
      </c>
      <c r="S2027" s="5">
        <f>IFERROR(__xludf.DUMMYFUNCTION("""COMPUTED_VALUE"""),799.0)</f>
        <v>799</v>
      </c>
      <c r="T2027" s="5" t="str">
        <f>IFERROR(__xludf.DUMMYFUNCTION("""COMPUTED_VALUE"""),"Interstate 60: Episodes of the Road")</f>
        <v>Interstate 60: Episodes of the Road</v>
      </c>
      <c r="U2027" s="5" t="str">
        <f>IFERROR(__xludf.DUMMYFUNCTION("""COMPUTED_VALUE"""),"Drama")</f>
        <v>Drama</v>
      </c>
      <c r="V2027" s="5">
        <f>IFERROR(__xludf.DUMMYFUNCTION("""COMPUTED_VALUE"""),3.0)</f>
        <v>3</v>
      </c>
    </row>
    <row r="2028">
      <c r="J2028" s="5" t="str">
        <f>IFERROR(__xludf.DUMMYFUNCTION("""COMPUTED_VALUE"""),"676🤙🏼Back to the Future Part II🤙🏼Comedy🤙🏼2")</f>
        <v>676🤙🏼Back to the Future Part II🤙🏼Comedy🤙🏼2</v>
      </c>
      <c r="K2028" s="5">
        <f>IFERROR(__xludf.DUMMYFUNCTION("SPLiT(J2028, ""🤙🏼"",FALSE,FALSE)"),676.0)</f>
        <v>676</v>
      </c>
      <c r="L2028" s="5" t="str">
        <f>IFERROR(__xludf.DUMMYFUNCTION("""COMPUTED_VALUE"""),"Back to the Future Part II")</f>
        <v>Back to the Future Part II</v>
      </c>
      <c r="M2028" s="5" t="str">
        <f>IFERROR(__xludf.DUMMYFUNCTION("""COMPUTED_VALUE"""),"Comedy")</f>
        <v>Comedy</v>
      </c>
      <c r="N2028" s="5">
        <f>IFERROR(__xludf.DUMMYFUNCTION("""COMPUTED_VALUE"""),2.0)</f>
        <v>2</v>
      </c>
      <c r="S2028" s="5">
        <f>IFERROR(__xludf.DUMMYFUNCTION("""COMPUTED_VALUE"""),800.0)</f>
        <v>800</v>
      </c>
      <c r="T2028" s="5" t="str">
        <f>IFERROR(__xludf.DUMMYFUNCTION("""COMPUTED_VALUE"""),"South Park: Bigger, Longer &amp; Uncut")</f>
        <v>South Park: Bigger, Longer &amp; Uncut</v>
      </c>
      <c r="U2028" s="5" t="str">
        <f>IFERROR(__xludf.DUMMYFUNCTION("""COMPUTED_VALUE"""),"Animation")</f>
        <v>Animation</v>
      </c>
      <c r="V2028" s="5">
        <f>IFERROR(__xludf.DUMMYFUNCTION("""COMPUTED_VALUE"""),1.0)</f>
        <v>1</v>
      </c>
    </row>
    <row r="2029">
      <c r="J2029" s="5" t="str">
        <f>IFERROR(__xludf.DUMMYFUNCTION("""COMPUTED_VALUE"""),"676🤙🏼Back to the Future Part II🤙🏼Sci-Fi🤙🏼3")</f>
        <v>676🤙🏼Back to the Future Part II🤙🏼Sci-Fi🤙🏼3</v>
      </c>
      <c r="K2029" s="5">
        <f>IFERROR(__xludf.DUMMYFUNCTION("SPLiT(J2029, ""🤙🏼"",FALSE,FALSE)"),676.0)</f>
        <v>676</v>
      </c>
      <c r="L2029" s="5" t="str">
        <f>IFERROR(__xludf.DUMMYFUNCTION("""COMPUTED_VALUE"""),"Back to the Future Part II")</f>
        <v>Back to the Future Part II</v>
      </c>
      <c r="M2029" s="5" t="str">
        <f>IFERROR(__xludf.DUMMYFUNCTION("""COMPUTED_VALUE"""),"Sci-Fi")</f>
        <v>Sci-Fi</v>
      </c>
      <c r="N2029" s="5">
        <f>IFERROR(__xludf.DUMMYFUNCTION("""COMPUTED_VALUE"""),3.0)</f>
        <v>3</v>
      </c>
      <c r="S2029" s="5">
        <f>IFERROR(__xludf.DUMMYFUNCTION("""COMPUTED_VALUE"""),800.0)</f>
        <v>800</v>
      </c>
      <c r="T2029" s="5" t="str">
        <f>IFERROR(__xludf.DUMMYFUNCTION("""COMPUTED_VALUE"""),"South Park: Bigger, Longer &amp; Uncut")</f>
        <v>South Park: Bigger, Longer &amp; Uncut</v>
      </c>
      <c r="U2029" s="5" t="str">
        <f>IFERROR(__xludf.DUMMYFUNCTION("""COMPUTED_VALUE"""),"Comedy")</f>
        <v>Comedy</v>
      </c>
      <c r="V2029" s="5">
        <f>IFERROR(__xludf.DUMMYFUNCTION("""COMPUTED_VALUE"""),2.0)</f>
        <v>2</v>
      </c>
    </row>
    <row r="2030">
      <c r="J2030" s="5" t="str">
        <f>IFERROR(__xludf.DUMMYFUNCTION("""COMPUTED_VALUE"""),"677🤙🏼Mississippi Burning🤙🏼Crime🤙🏼1")</f>
        <v>677🤙🏼Mississippi Burning🤙🏼Crime🤙🏼1</v>
      </c>
      <c r="K2030" s="5">
        <f>IFERROR(__xludf.DUMMYFUNCTION("SPLiT(J2030, ""🤙🏼"",FALSE,FALSE)"),677.0)</f>
        <v>677</v>
      </c>
      <c r="L2030" s="5" t="str">
        <f>IFERROR(__xludf.DUMMYFUNCTION("""COMPUTED_VALUE"""),"Mississippi Burning")</f>
        <v>Mississippi Burning</v>
      </c>
      <c r="M2030" s="5" t="str">
        <f>IFERROR(__xludf.DUMMYFUNCTION("""COMPUTED_VALUE"""),"Crime")</f>
        <v>Crime</v>
      </c>
      <c r="N2030" s="5">
        <f>IFERROR(__xludf.DUMMYFUNCTION("""COMPUTED_VALUE"""),1.0)</f>
        <v>1</v>
      </c>
      <c r="S2030" s="5">
        <f>IFERROR(__xludf.DUMMYFUNCTION("""COMPUTED_VALUE"""),800.0)</f>
        <v>800</v>
      </c>
      <c r="T2030" s="5" t="str">
        <f>IFERROR(__xludf.DUMMYFUNCTION("""COMPUTED_VALUE"""),"South Park: Bigger, Longer &amp; Uncut")</f>
        <v>South Park: Bigger, Longer &amp; Uncut</v>
      </c>
      <c r="U2030" s="5" t="str">
        <f>IFERROR(__xludf.DUMMYFUNCTION("""COMPUTED_VALUE"""),"Fantasy")</f>
        <v>Fantasy</v>
      </c>
      <c r="V2030" s="5">
        <f>IFERROR(__xludf.DUMMYFUNCTION("""COMPUTED_VALUE"""),3.0)</f>
        <v>3</v>
      </c>
    </row>
    <row r="2031">
      <c r="J2031" s="5" t="str">
        <f>IFERROR(__xludf.DUMMYFUNCTION("""COMPUTED_VALUE"""),"677🤙🏼Mississippi Burning🤙🏼Drama🤙🏼2")</f>
        <v>677🤙🏼Mississippi Burning🤙🏼Drama🤙🏼2</v>
      </c>
      <c r="K2031" s="5">
        <f>IFERROR(__xludf.DUMMYFUNCTION("SPLiT(J2031, ""🤙🏼"",FALSE,FALSE)"),677.0)</f>
        <v>677</v>
      </c>
      <c r="L2031" s="5" t="str">
        <f>IFERROR(__xludf.DUMMYFUNCTION("""COMPUTED_VALUE"""),"Mississippi Burning")</f>
        <v>Mississippi Burning</v>
      </c>
      <c r="M2031" s="5" t="str">
        <f>IFERROR(__xludf.DUMMYFUNCTION("""COMPUTED_VALUE"""),"Drama")</f>
        <v>Drama</v>
      </c>
      <c r="N2031" s="5">
        <f>IFERROR(__xludf.DUMMYFUNCTION("""COMPUTED_VALUE"""),2.0)</f>
        <v>2</v>
      </c>
      <c r="S2031" s="5">
        <f>IFERROR(__xludf.DUMMYFUNCTION("""COMPUTED_VALUE"""),801.0)</f>
        <v>801</v>
      </c>
      <c r="T2031" s="5" t="str">
        <f>IFERROR(__xludf.DUMMYFUNCTION("""COMPUTED_VALUE"""),"Office Space")</f>
        <v>Office Space</v>
      </c>
      <c r="U2031" s="5" t="str">
        <f>IFERROR(__xludf.DUMMYFUNCTION("""COMPUTED_VALUE"""),"Comedy")</f>
        <v>Comedy</v>
      </c>
      <c r="V2031" s="5">
        <f>IFERROR(__xludf.DUMMYFUNCTION("""COMPUTED_VALUE"""),1.0)</f>
        <v>1</v>
      </c>
    </row>
    <row r="2032">
      <c r="J2032" s="5" t="str">
        <f>IFERROR(__xludf.DUMMYFUNCTION("""COMPUTED_VALUE"""),"677🤙🏼Mississippi Burning🤙🏼History🤙🏼3")</f>
        <v>677🤙🏼Mississippi Burning🤙🏼History🤙🏼3</v>
      </c>
      <c r="K2032" s="5">
        <f>IFERROR(__xludf.DUMMYFUNCTION("SPLiT(J2032, ""🤙🏼"",FALSE,FALSE)"),677.0)</f>
        <v>677</v>
      </c>
      <c r="L2032" s="5" t="str">
        <f>IFERROR(__xludf.DUMMYFUNCTION("""COMPUTED_VALUE"""),"Mississippi Burning")</f>
        <v>Mississippi Burning</v>
      </c>
      <c r="M2032" s="5" t="str">
        <f>IFERROR(__xludf.DUMMYFUNCTION("""COMPUTED_VALUE"""),"History")</f>
        <v>History</v>
      </c>
      <c r="N2032" s="5">
        <f>IFERROR(__xludf.DUMMYFUNCTION("""COMPUTED_VALUE"""),3.0)</f>
        <v>3</v>
      </c>
      <c r="S2032" s="5">
        <f>IFERROR(__xludf.DUMMYFUNCTION("""COMPUTED_VALUE"""),802.0)</f>
        <v>802</v>
      </c>
      <c r="T2032" s="5" t="str">
        <f>IFERROR(__xludf.DUMMYFUNCTION("""COMPUTED_VALUE"""),"Happiness")</f>
        <v>Happiness</v>
      </c>
      <c r="U2032" s="5" t="str">
        <f>IFERROR(__xludf.DUMMYFUNCTION("""COMPUTED_VALUE"""),"Comedy")</f>
        <v>Comedy</v>
      </c>
      <c r="V2032" s="5">
        <f>IFERROR(__xludf.DUMMYFUNCTION("""COMPUTED_VALUE"""),1.0)</f>
        <v>1</v>
      </c>
    </row>
    <row r="2033">
      <c r="J2033" s="5" t="str">
        <f>IFERROR(__xludf.DUMMYFUNCTION("""COMPUTED_VALUE"""),"678🤙🏼Predator🤙🏼Action🤙🏼1")</f>
        <v>678🤙🏼Predator🤙🏼Action🤙🏼1</v>
      </c>
      <c r="K2033" s="5">
        <f>IFERROR(__xludf.DUMMYFUNCTION("SPLiT(J2033, ""🤙🏼"",FALSE,FALSE)"),678.0)</f>
        <v>678</v>
      </c>
      <c r="L2033" s="5" t="str">
        <f>IFERROR(__xludf.DUMMYFUNCTION("""COMPUTED_VALUE"""),"Predator")</f>
        <v>Predator</v>
      </c>
      <c r="M2033" s="5" t="str">
        <f>IFERROR(__xludf.DUMMYFUNCTION("""COMPUTED_VALUE"""),"Action")</f>
        <v>Action</v>
      </c>
      <c r="N2033" s="5">
        <f>IFERROR(__xludf.DUMMYFUNCTION("""COMPUTED_VALUE"""),1.0)</f>
        <v>1</v>
      </c>
      <c r="S2033" s="5">
        <f>IFERROR(__xludf.DUMMYFUNCTION("""COMPUTED_VALUE"""),802.0)</f>
        <v>802</v>
      </c>
      <c r="T2033" s="5" t="str">
        <f>IFERROR(__xludf.DUMMYFUNCTION("""COMPUTED_VALUE"""),"Happiness")</f>
        <v>Happiness</v>
      </c>
      <c r="U2033" s="5" t="str">
        <f>IFERROR(__xludf.DUMMYFUNCTION("""COMPUTED_VALUE"""),"Drama")</f>
        <v>Drama</v>
      </c>
      <c r="V2033" s="5">
        <f>IFERROR(__xludf.DUMMYFUNCTION("""COMPUTED_VALUE"""),2.0)</f>
        <v>2</v>
      </c>
    </row>
    <row r="2034">
      <c r="J2034" s="5" t="str">
        <f>IFERROR(__xludf.DUMMYFUNCTION("""COMPUTED_VALUE"""),"678🤙🏼Predator🤙🏼Adventure🤙🏼2")</f>
        <v>678🤙🏼Predator🤙🏼Adventure🤙🏼2</v>
      </c>
      <c r="K2034" s="5">
        <f>IFERROR(__xludf.DUMMYFUNCTION("SPLiT(J2034, ""🤙🏼"",FALSE,FALSE)"),678.0)</f>
        <v>678</v>
      </c>
      <c r="L2034" s="5" t="str">
        <f>IFERROR(__xludf.DUMMYFUNCTION("""COMPUTED_VALUE"""),"Predator")</f>
        <v>Predator</v>
      </c>
      <c r="M2034" s="5" t="str">
        <f>IFERROR(__xludf.DUMMYFUNCTION("""COMPUTED_VALUE"""),"Adventure")</f>
        <v>Adventure</v>
      </c>
      <c r="N2034" s="5">
        <f>IFERROR(__xludf.DUMMYFUNCTION("""COMPUTED_VALUE"""),2.0)</f>
        <v>2</v>
      </c>
      <c r="S2034" s="5">
        <f>IFERROR(__xludf.DUMMYFUNCTION("""COMPUTED_VALUE"""),803.0)</f>
        <v>803</v>
      </c>
      <c r="T2034" s="5" t="str">
        <f>IFERROR(__xludf.DUMMYFUNCTION("""COMPUTED_VALUE"""),"Training Day")</f>
        <v>Training Day</v>
      </c>
      <c r="U2034" s="5" t="str">
        <f>IFERROR(__xludf.DUMMYFUNCTION("""COMPUTED_VALUE"""),"Crime")</f>
        <v>Crime</v>
      </c>
      <c r="V2034" s="5">
        <f>IFERROR(__xludf.DUMMYFUNCTION("""COMPUTED_VALUE"""),1.0)</f>
        <v>1</v>
      </c>
    </row>
    <row r="2035">
      <c r="J2035" s="5" t="str">
        <f>IFERROR(__xludf.DUMMYFUNCTION("""COMPUTED_VALUE"""),"678🤙🏼Predator🤙🏼Sci-Fi🤙🏼3")</f>
        <v>678🤙🏼Predator🤙🏼Sci-Fi🤙🏼3</v>
      </c>
      <c r="K2035" s="5">
        <f>IFERROR(__xludf.DUMMYFUNCTION("SPLiT(J2035, ""🤙🏼"",FALSE,FALSE)"),678.0)</f>
        <v>678</v>
      </c>
      <c r="L2035" s="5" t="str">
        <f>IFERROR(__xludf.DUMMYFUNCTION("""COMPUTED_VALUE"""),"Predator")</f>
        <v>Predator</v>
      </c>
      <c r="M2035" s="5" t="str">
        <f>IFERROR(__xludf.DUMMYFUNCTION("""COMPUTED_VALUE"""),"Sci-Fi")</f>
        <v>Sci-Fi</v>
      </c>
      <c r="N2035" s="5">
        <f>IFERROR(__xludf.DUMMYFUNCTION("""COMPUTED_VALUE"""),3.0)</f>
        <v>3</v>
      </c>
      <c r="S2035" s="5">
        <f>IFERROR(__xludf.DUMMYFUNCTION("""COMPUTED_VALUE"""),803.0)</f>
        <v>803</v>
      </c>
      <c r="T2035" s="5" t="str">
        <f>IFERROR(__xludf.DUMMYFUNCTION("""COMPUTED_VALUE"""),"Training Day")</f>
        <v>Training Day</v>
      </c>
      <c r="U2035" s="5" t="str">
        <f>IFERROR(__xludf.DUMMYFUNCTION("""COMPUTED_VALUE"""),"Drama")</f>
        <v>Drama</v>
      </c>
      <c r="V2035" s="5">
        <f>IFERROR(__xludf.DUMMYFUNCTION("""COMPUTED_VALUE"""),2.0)</f>
        <v>2</v>
      </c>
    </row>
    <row r="2036">
      <c r="J2036" s="5" t="str">
        <f>IFERROR(__xludf.DUMMYFUNCTION("""COMPUTED_VALUE"""),"679🤙🏼Evil Dead II🤙🏼Action🤙🏼1")</f>
        <v>679🤙🏼Evil Dead II🤙🏼Action🤙🏼1</v>
      </c>
      <c r="K2036" s="5">
        <f>IFERROR(__xludf.DUMMYFUNCTION("SPLiT(J2036, ""🤙🏼"",FALSE,FALSE)"),679.0)</f>
        <v>679</v>
      </c>
      <c r="L2036" s="5" t="str">
        <f>IFERROR(__xludf.DUMMYFUNCTION("""COMPUTED_VALUE"""),"Evil Dead II")</f>
        <v>Evil Dead II</v>
      </c>
      <c r="M2036" s="5" t="str">
        <f>IFERROR(__xludf.DUMMYFUNCTION("""COMPUTED_VALUE"""),"Action")</f>
        <v>Action</v>
      </c>
      <c r="N2036" s="5">
        <f>IFERROR(__xludf.DUMMYFUNCTION("""COMPUTED_VALUE"""),1.0)</f>
        <v>1</v>
      </c>
      <c r="S2036" s="5">
        <f>IFERROR(__xludf.DUMMYFUNCTION("""COMPUTED_VALUE"""),803.0)</f>
        <v>803</v>
      </c>
      <c r="T2036" s="5" t="str">
        <f>IFERROR(__xludf.DUMMYFUNCTION("""COMPUTED_VALUE"""),"Training Day")</f>
        <v>Training Day</v>
      </c>
      <c r="U2036" s="5" t="str">
        <f>IFERROR(__xludf.DUMMYFUNCTION("""COMPUTED_VALUE"""),"Thriller")</f>
        <v>Thriller</v>
      </c>
      <c r="V2036" s="5">
        <f>IFERROR(__xludf.DUMMYFUNCTION("""COMPUTED_VALUE"""),3.0)</f>
        <v>3</v>
      </c>
    </row>
    <row r="2037">
      <c r="J2037" s="5" t="str">
        <f>IFERROR(__xludf.DUMMYFUNCTION("""COMPUTED_VALUE"""),"679🤙🏼Evil Dead II🤙🏼Comedy🤙🏼2")</f>
        <v>679🤙🏼Evil Dead II🤙🏼Comedy🤙🏼2</v>
      </c>
      <c r="K2037" s="5">
        <f>IFERROR(__xludf.DUMMYFUNCTION("SPLiT(J2037, ""🤙🏼"",FALSE,FALSE)"),679.0)</f>
        <v>679</v>
      </c>
      <c r="L2037" s="5" t="str">
        <f>IFERROR(__xludf.DUMMYFUNCTION("""COMPUTED_VALUE"""),"Evil Dead II")</f>
        <v>Evil Dead II</v>
      </c>
      <c r="M2037" s="5" t="str">
        <f>IFERROR(__xludf.DUMMYFUNCTION("""COMPUTED_VALUE"""),"Comedy")</f>
        <v>Comedy</v>
      </c>
      <c r="N2037" s="5">
        <f>IFERROR(__xludf.DUMMYFUNCTION("""COMPUTED_VALUE"""),2.0)</f>
        <v>2</v>
      </c>
      <c r="S2037" s="5">
        <f>IFERROR(__xludf.DUMMYFUNCTION("""COMPUTED_VALUE"""),804.0)</f>
        <v>804</v>
      </c>
      <c r="T2037" s="5" t="str">
        <f>IFERROR(__xludf.DUMMYFUNCTION("""COMPUTED_VALUE"""),"Rushmore")</f>
        <v>Rushmore</v>
      </c>
      <c r="U2037" s="5" t="str">
        <f>IFERROR(__xludf.DUMMYFUNCTION("""COMPUTED_VALUE"""),"Comedy")</f>
        <v>Comedy</v>
      </c>
      <c r="V2037" s="5">
        <f>IFERROR(__xludf.DUMMYFUNCTION("""COMPUTED_VALUE"""),1.0)</f>
        <v>1</v>
      </c>
    </row>
    <row r="2038">
      <c r="J2038" s="5" t="str">
        <f>IFERROR(__xludf.DUMMYFUNCTION("""COMPUTED_VALUE"""),"679🤙🏼Evil Dead II🤙🏼Fantasy🤙🏼3")</f>
        <v>679🤙🏼Evil Dead II🤙🏼Fantasy🤙🏼3</v>
      </c>
      <c r="K2038" s="5">
        <f>IFERROR(__xludf.DUMMYFUNCTION("SPLiT(J2038, ""🤙🏼"",FALSE,FALSE)"),679.0)</f>
        <v>679</v>
      </c>
      <c r="L2038" s="5" t="str">
        <f>IFERROR(__xludf.DUMMYFUNCTION("""COMPUTED_VALUE"""),"Evil Dead II")</f>
        <v>Evil Dead II</v>
      </c>
      <c r="M2038" s="5" t="str">
        <f>IFERROR(__xludf.DUMMYFUNCTION("""COMPUTED_VALUE"""),"Fantasy")</f>
        <v>Fantasy</v>
      </c>
      <c r="N2038" s="5">
        <f>IFERROR(__xludf.DUMMYFUNCTION("""COMPUTED_VALUE"""),3.0)</f>
        <v>3</v>
      </c>
      <c r="S2038" s="5">
        <f>IFERROR(__xludf.DUMMYFUNCTION("""COMPUTED_VALUE"""),804.0)</f>
        <v>804</v>
      </c>
      <c r="T2038" s="5" t="str">
        <f>IFERROR(__xludf.DUMMYFUNCTION("""COMPUTED_VALUE"""),"Rushmore")</f>
        <v>Rushmore</v>
      </c>
      <c r="U2038" s="5" t="str">
        <f>IFERROR(__xludf.DUMMYFUNCTION("""COMPUTED_VALUE"""),"Drama")</f>
        <v>Drama</v>
      </c>
      <c r="V2038" s="5">
        <f>IFERROR(__xludf.DUMMYFUNCTION("""COMPUTED_VALUE"""),2.0)</f>
        <v>2</v>
      </c>
    </row>
    <row r="2039">
      <c r="J2039" s="5" t="str">
        <f>IFERROR(__xludf.DUMMYFUNCTION("""COMPUTED_VALUE"""),"680🤙🏼Ferris Bueller's Day Off🤙🏼Comedy🤙🏼1")</f>
        <v>680🤙🏼Ferris Bueller's Day Off🤙🏼Comedy🤙🏼1</v>
      </c>
      <c r="K2039" s="5">
        <f>IFERROR(__xludf.DUMMYFUNCTION("SPLiT(J2039, ""🤙🏼"",FALSE,FALSE)"),680.0)</f>
        <v>680</v>
      </c>
      <c r="L2039" s="5" t="str">
        <f>IFERROR(__xludf.DUMMYFUNCTION("""COMPUTED_VALUE"""),"Ferris Bueller's Day Off")</f>
        <v>Ferris Bueller's Day Off</v>
      </c>
      <c r="M2039" s="5" t="str">
        <f>IFERROR(__xludf.DUMMYFUNCTION("""COMPUTED_VALUE"""),"Comedy")</f>
        <v>Comedy</v>
      </c>
      <c r="N2039" s="5">
        <f>IFERROR(__xludf.DUMMYFUNCTION("""COMPUTED_VALUE"""),1.0)</f>
        <v>1</v>
      </c>
      <c r="S2039" s="5">
        <f>IFERROR(__xludf.DUMMYFUNCTION("""COMPUTED_VALUE"""),804.0)</f>
        <v>804</v>
      </c>
      <c r="T2039" s="5" t="str">
        <f>IFERROR(__xludf.DUMMYFUNCTION("""COMPUTED_VALUE"""),"Rushmore")</f>
        <v>Rushmore</v>
      </c>
      <c r="U2039" s="5" t="str">
        <f>IFERROR(__xludf.DUMMYFUNCTION("""COMPUTED_VALUE"""),"Romance")</f>
        <v>Romance</v>
      </c>
      <c r="V2039" s="5">
        <f>IFERROR(__xludf.DUMMYFUNCTION("""COMPUTED_VALUE"""),3.0)</f>
        <v>3</v>
      </c>
    </row>
    <row r="2040">
      <c r="J2040" s="5" t="str">
        <f>IFERROR(__xludf.DUMMYFUNCTION("""COMPUTED_VALUE"""),"680🤙🏼Ferris Bueller's Day Off🤙🏼🤙🏼2")</f>
        <v>680🤙🏼Ferris Bueller's Day Off🤙🏼🤙🏼2</v>
      </c>
      <c r="K2040" s="5">
        <f>IFERROR(__xludf.DUMMYFUNCTION("SPLiT(J2040, ""🤙🏼"",FALSE,FALSE)"),680.0)</f>
        <v>680</v>
      </c>
      <c r="L2040" s="5" t="str">
        <f>IFERROR(__xludf.DUMMYFUNCTION("""COMPUTED_VALUE"""),"Ferris Bueller's Day Off")</f>
        <v>Ferris Bueller's Day Off</v>
      </c>
      <c r="M2040" s="5"/>
      <c r="N2040" s="5">
        <f>IFERROR(__xludf.DUMMYFUNCTION("""COMPUTED_VALUE"""),2.0)</f>
        <v>2</v>
      </c>
      <c r="S2040" s="5">
        <f>IFERROR(__xludf.DUMMYFUNCTION("""COMPUTED_VALUE"""),805.0)</f>
        <v>805</v>
      </c>
      <c r="T2040" s="5" t="str">
        <f>IFERROR(__xludf.DUMMYFUNCTION("""COMPUTED_VALUE"""),"Abre los ojos")</f>
        <v>Abre los ojos</v>
      </c>
      <c r="U2040" s="5" t="str">
        <f>IFERROR(__xludf.DUMMYFUNCTION("""COMPUTED_VALUE"""),"Drama")</f>
        <v>Drama</v>
      </c>
      <c r="V2040" s="5">
        <f>IFERROR(__xludf.DUMMYFUNCTION("""COMPUTED_VALUE"""),1.0)</f>
        <v>1</v>
      </c>
    </row>
    <row r="2041">
      <c r="J2041" s="5" t="str">
        <f>IFERROR(__xludf.DUMMYFUNCTION("""COMPUTED_VALUE"""),"680🤙🏼Ferris Bueller's Day Off🤙🏼🤙🏼3")</f>
        <v>680🤙🏼Ferris Bueller's Day Off🤙🏼🤙🏼3</v>
      </c>
      <c r="K2041" s="5">
        <f>IFERROR(__xludf.DUMMYFUNCTION("SPLiT(J2041, ""🤙🏼"",FALSE,FALSE)"),680.0)</f>
        <v>680</v>
      </c>
      <c r="L2041" s="5" t="str">
        <f>IFERROR(__xludf.DUMMYFUNCTION("""COMPUTED_VALUE"""),"Ferris Bueller's Day Off")</f>
        <v>Ferris Bueller's Day Off</v>
      </c>
      <c r="M2041" s="5"/>
      <c r="N2041" s="5">
        <f>IFERROR(__xludf.DUMMYFUNCTION("""COMPUTED_VALUE"""),3.0)</f>
        <v>3</v>
      </c>
      <c r="S2041" s="5">
        <f>IFERROR(__xludf.DUMMYFUNCTION("""COMPUTED_VALUE"""),805.0)</f>
        <v>805</v>
      </c>
      <c r="T2041" s="5" t="str">
        <f>IFERROR(__xludf.DUMMYFUNCTION("""COMPUTED_VALUE"""),"Abre los ojos")</f>
        <v>Abre los ojos</v>
      </c>
      <c r="U2041" s="5" t="str">
        <f>IFERROR(__xludf.DUMMYFUNCTION("""COMPUTED_VALUE"""),"Mystery")</f>
        <v>Mystery</v>
      </c>
      <c r="V2041" s="5">
        <f>IFERROR(__xludf.DUMMYFUNCTION("""COMPUTED_VALUE"""),2.0)</f>
        <v>2</v>
      </c>
    </row>
    <row r="2042">
      <c r="J2042" s="5" t="str">
        <f>IFERROR(__xludf.DUMMYFUNCTION("""COMPUTED_VALUE"""),"681🤙🏼Down by Law🤙🏼Comedy🤙🏼1")</f>
        <v>681🤙🏼Down by Law🤙🏼Comedy🤙🏼1</v>
      </c>
      <c r="K2042" s="5">
        <f>IFERROR(__xludf.DUMMYFUNCTION("SPLiT(J2042, ""🤙🏼"",FALSE,FALSE)"),681.0)</f>
        <v>681</v>
      </c>
      <c r="L2042" s="5" t="str">
        <f>IFERROR(__xludf.DUMMYFUNCTION("""COMPUTED_VALUE"""),"Down by Law")</f>
        <v>Down by Law</v>
      </c>
      <c r="M2042" s="5" t="str">
        <f>IFERROR(__xludf.DUMMYFUNCTION("""COMPUTED_VALUE"""),"Comedy")</f>
        <v>Comedy</v>
      </c>
      <c r="N2042" s="5">
        <f>IFERROR(__xludf.DUMMYFUNCTION("""COMPUTED_VALUE"""),1.0)</f>
        <v>1</v>
      </c>
      <c r="S2042" s="5">
        <f>IFERROR(__xludf.DUMMYFUNCTION("""COMPUTED_VALUE"""),805.0)</f>
        <v>805</v>
      </c>
      <c r="T2042" s="5" t="str">
        <f>IFERROR(__xludf.DUMMYFUNCTION("""COMPUTED_VALUE"""),"Abre los ojos")</f>
        <v>Abre los ojos</v>
      </c>
      <c r="U2042" s="5" t="str">
        <f>IFERROR(__xludf.DUMMYFUNCTION("""COMPUTED_VALUE"""),"Sci-Fi")</f>
        <v>Sci-Fi</v>
      </c>
      <c r="V2042" s="5">
        <f>IFERROR(__xludf.DUMMYFUNCTION("""COMPUTED_VALUE"""),3.0)</f>
        <v>3</v>
      </c>
    </row>
    <row r="2043">
      <c r="J2043" s="5" t="str">
        <f>IFERROR(__xludf.DUMMYFUNCTION("""COMPUTED_VALUE"""),"681🤙🏼Down by Law🤙🏼Crime🤙🏼2")</f>
        <v>681🤙🏼Down by Law🤙🏼Crime🤙🏼2</v>
      </c>
      <c r="K2043" s="5">
        <f>IFERROR(__xludf.DUMMYFUNCTION("SPLiT(J2043, ""🤙🏼"",FALSE,FALSE)"),681.0)</f>
        <v>681</v>
      </c>
      <c r="L2043" s="5" t="str">
        <f>IFERROR(__xludf.DUMMYFUNCTION("""COMPUTED_VALUE"""),"Down by Law")</f>
        <v>Down by Law</v>
      </c>
      <c r="M2043" s="5" t="str">
        <f>IFERROR(__xludf.DUMMYFUNCTION("""COMPUTED_VALUE"""),"Crime")</f>
        <v>Crime</v>
      </c>
      <c r="N2043" s="5">
        <f>IFERROR(__xludf.DUMMYFUNCTION("""COMPUTED_VALUE"""),2.0)</f>
        <v>2</v>
      </c>
      <c r="S2043" s="5">
        <f>IFERROR(__xludf.DUMMYFUNCTION("""COMPUTED_VALUE"""),806.0)</f>
        <v>806</v>
      </c>
      <c r="T2043" s="5" t="str">
        <f>IFERROR(__xludf.DUMMYFUNCTION("""COMPUTED_VALUE"""),"Being John Malkovich")</f>
        <v>Being John Malkovich</v>
      </c>
      <c r="U2043" s="5" t="str">
        <f>IFERROR(__xludf.DUMMYFUNCTION("""COMPUTED_VALUE"""),"Comedy")</f>
        <v>Comedy</v>
      </c>
      <c r="V2043" s="5">
        <f>IFERROR(__xludf.DUMMYFUNCTION("""COMPUTED_VALUE"""),1.0)</f>
        <v>1</v>
      </c>
    </row>
    <row r="2044">
      <c r="J2044" s="5" t="str">
        <f>IFERROR(__xludf.DUMMYFUNCTION("""COMPUTED_VALUE"""),"681🤙🏼Down by Law🤙🏼Drama🤙🏼3")</f>
        <v>681🤙🏼Down by Law🤙🏼Drama🤙🏼3</v>
      </c>
      <c r="K2044" s="5">
        <f>IFERROR(__xludf.DUMMYFUNCTION("SPLiT(J2044, ""🤙🏼"",FALSE,FALSE)"),681.0)</f>
        <v>681</v>
      </c>
      <c r="L2044" s="5" t="str">
        <f>IFERROR(__xludf.DUMMYFUNCTION("""COMPUTED_VALUE"""),"Down by Law")</f>
        <v>Down by Law</v>
      </c>
      <c r="M2044" s="5" t="str">
        <f>IFERROR(__xludf.DUMMYFUNCTION("""COMPUTED_VALUE"""),"Drama")</f>
        <v>Drama</v>
      </c>
      <c r="N2044" s="5">
        <f>IFERROR(__xludf.DUMMYFUNCTION("""COMPUTED_VALUE"""),3.0)</f>
        <v>3</v>
      </c>
      <c r="S2044" s="5">
        <f>IFERROR(__xludf.DUMMYFUNCTION("""COMPUTED_VALUE"""),806.0)</f>
        <v>806</v>
      </c>
      <c r="T2044" s="5" t="str">
        <f>IFERROR(__xludf.DUMMYFUNCTION("""COMPUTED_VALUE"""),"Being John Malkovich")</f>
        <v>Being John Malkovich</v>
      </c>
      <c r="U2044" s="5" t="str">
        <f>IFERROR(__xludf.DUMMYFUNCTION("""COMPUTED_VALUE"""),"Drama")</f>
        <v>Drama</v>
      </c>
      <c r="V2044" s="5">
        <f>IFERROR(__xludf.DUMMYFUNCTION("""COMPUTED_VALUE"""),2.0)</f>
        <v>2</v>
      </c>
    </row>
    <row r="2045">
      <c r="J2045" s="5" t="str">
        <f>IFERROR(__xludf.DUMMYFUNCTION("""COMPUTED_VALUE"""),"682🤙🏼The Goonies🤙🏼Adventure🤙🏼1")</f>
        <v>682🤙🏼The Goonies🤙🏼Adventure🤙🏼1</v>
      </c>
      <c r="K2045" s="5">
        <f>IFERROR(__xludf.DUMMYFUNCTION("SPLiT(J2045, ""🤙🏼"",FALSE,FALSE)"),682.0)</f>
        <v>682</v>
      </c>
      <c r="L2045" s="5" t="str">
        <f>IFERROR(__xludf.DUMMYFUNCTION("""COMPUTED_VALUE"""),"The Goonies")</f>
        <v>The Goonies</v>
      </c>
      <c r="M2045" s="5" t="str">
        <f>IFERROR(__xludf.DUMMYFUNCTION("""COMPUTED_VALUE"""),"Adventure")</f>
        <v>Adventure</v>
      </c>
      <c r="N2045" s="5">
        <f>IFERROR(__xludf.DUMMYFUNCTION("""COMPUTED_VALUE"""),1.0)</f>
        <v>1</v>
      </c>
      <c r="S2045" s="5">
        <f>IFERROR(__xludf.DUMMYFUNCTION("""COMPUTED_VALUE"""),806.0)</f>
        <v>806</v>
      </c>
      <c r="T2045" s="5" t="str">
        <f>IFERROR(__xludf.DUMMYFUNCTION("""COMPUTED_VALUE"""),"Being John Malkovich")</f>
        <v>Being John Malkovich</v>
      </c>
      <c r="U2045" s="5" t="str">
        <f>IFERROR(__xludf.DUMMYFUNCTION("""COMPUTED_VALUE"""),"Fantasy")</f>
        <v>Fantasy</v>
      </c>
      <c r="V2045" s="5">
        <f>IFERROR(__xludf.DUMMYFUNCTION("""COMPUTED_VALUE"""),3.0)</f>
        <v>3</v>
      </c>
    </row>
    <row r="2046">
      <c r="J2046" s="5" t="str">
        <f>IFERROR(__xludf.DUMMYFUNCTION("""COMPUTED_VALUE"""),"682🤙🏼The Goonies🤙🏼Comedy🤙🏼2")</f>
        <v>682🤙🏼The Goonies🤙🏼Comedy🤙🏼2</v>
      </c>
      <c r="K2046" s="5">
        <f>IFERROR(__xludf.DUMMYFUNCTION("SPLiT(J2046, ""🤙🏼"",FALSE,FALSE)"),682.0)</f>
        <v>682</v>
      </c>
      <c r="L2046" s="5" t="str">
        <f>IFERROR(__xludf.DUMMYFUNCTION("""COMPUTED_VALUE"""),"The Goonies")</f>
        <v>The Goonies</v>
      </c>
      <c r="M2046" s="5" t="str">
        <f>IFERROR(__xludf.DUMMYFUNCTION("""COMPUTED_VALUE"""),"Comedy")</f>
        <v>Comedy</v>
      </c>
      <c r="N2046" s="5">
        <f>IFERROR(__xludf.DUMMYFUNCTION("""COMPUTED_VALUE"""),2.0)</f>
        <v>2</v>
      </c>
      <c r="S2046" s="5">
        <f>IFERROR(__xludf.DUMMYFUNCTION("""COMPUTED_VALUE"""),807.0)</f>
        <v>807</v>
      </c>
      <c r="T2046" s="5" t="str">
        <f>IFERROR(__xludf.DUMMYFUNCTION("""COMPUTED_VALUE"""),"As Good as It Gets")</f>
        <v>As Good as It Gets</v>
      </c>
      <c r="U2046" s="5" t="str">
        <f>IFERROR(__xludf.DUMMYFUNCTION("""COMPUTED_VALUE"""),"Comedy")</f>
        <v>Comedy</v>
      </c>
      <c r="V2046" s="5">
        <f>IFERROR(__xludf.DUMMYFUNCTION("""COMPUTED_VALUE"""),1.0)</f>
        <v>1</v>
      </c>
    </row>
    <row r="2047">
      <c r="J2047" s="5" t="str">
        <f>IFERROR(__xludf.DUMMYFUNCTION("""COMPUTED_VALUE"""),"682🤙🏼The Goonies🤙🏼Family🤙🏼3")</f>
        <v>682🤙🏼The Goonies🤙🏼Family🤙🏼3</v>
      </c>
      <c r="K2047" s="5">
        <f>IFERROR(__xludf.DUMMYFUNCTION("SPLiT(J2047, ""🤙🏼"",FALSE,FALSE)"),682.0)</f>
        <v>682</v>
      </c>
      <c r="L2047" s="5" t="str">
        <f>IFERROR(__xludf.DUMMYFUNCTION("""COMPUTED_VALUE"""),"The Goonies")</f>
        <v>The Goonies</v>
      </c>
      <c r="M2047" s="5" t="str">
        <f>IFERROR(__xludf.DUMMYFUNCTION("""COMPUTED_VALUE"""),"Family")</f>
        <v>Family</v>
      </c>
      <c r="N2047" s="5">
        <f>IFERROR(__xludf.DUMMYFUNCTION("""COMPUTED_VALUE"""),3.0)</f>
        <v>3</v>
      </c>
      <c r="S2047" s="5">
        <f>IFERROR(__xludf.DUMMYFUNCTION("""COMPUTED_VALUE"""),807.0)</f>
        <v>807</v>
      </c>
      <c r="T2047" s="5" t="str">
        <f>IFERROR(__xludf.DUMMYFUNCTION("""COMPUTED_VALUE"""),"As Good as It Gets")</f>
        <v>As Good as It Gets</v>
      </c>
      <c r="U2047" s="5" t="str">
        <f>IFERROR(__xludf.DUMMYFUNCTION("""COMPUTED_VALUE"""),"Drama")</f>
        <v>Drama</v>
      </c>
      <c r="V2047" s="5">
        <f>IFERROR(__xludf.DUMMYFUNCTION("""COMPUTED_VALUE"""),2.0)</f>
        <v>2</v>
      </c>
    </row>
    <row r="2048">
      <c r="J2048" s="5" t="str">
        <f>IFERROR(__xludf.DUMMYFUNCTION("""COMPUTED_VALUE"""),"683🤙🏼The Color Purple🤙🏼Drama🤙🏼1")</f>
        <v>683🤙🏼The Color Purple🤙🏼Drama🤙🏼1</v>
      </c>
      <c r="K2048" s="5">
        <f>IFERROR(__xludf.DUMMYFUNCTION("SPLiT(J2048, ""🤙🏼"",FALSE,FALSE)"),683.0)</f>
        <v>683</v>
      </c>
      <c r="L2048" s="5" t="str">
        <f>IFERROR(__xludf.DUMMYFUNCTION("""COMPUTED_VALUE"""),"The Color Purple")</f>
        <v>The Color Purple</v>
      </c>
      <c r="M2048" s="5" t="str">
        <f>IFERROR(__xludf.DUMMYFUNCTION("""COMPUTED_VALUE"""),"Drama")</f>
        <v>Drama</v>
      </c>
      <c r="N2048" s="5">
        <f>IFERROR(__xludf.DUMMYFUNCTION("""COMPUTED_VALUE"""),1.0)</f>
        <v>1</v>
      </c>
      <c r="S2048" s="5">
        <f>IFERROR(__xludf.DUMMYFUNCTION("""COMPUTED_VALUE"""),807.0)</f>
        <v>807</v>
      </c>
      <c r="T2048" s="5" t="str">
        <f>IFERROR(__xludf.DUMMYFUNCTION("""COMPUTED_VALUE"""),"As Good as It Gets")</f>
        <v>As Good as It Gets</v>
      </c>
      <c r="U2048" s="5" t="str">
        <f>IFERROR(__xludf.DUMMYFUNCTION("""COMPUTED_VALUE"""),"Romance")</f>
        <v>Romance</v>
      </c>
      <c r="V2048" s="5">
        <f>IFERROR(__xludf.DUMMYFUNCTION("""COMPUTED_VALUE"""),3.0)</f>
        <v>3</v>
      </c>
    </row>
    <row r="2049">
      <c r="J2049" s="5" t="str">
        <f>IFERROR(__xludf.DUMMYFUNCTION("""COMPUTED_VALUE"""),"683🤙🏼The Color Purple🤙🏼🤙🏼2")</f>
        <v>683🤙🏼The Color Purple🤙🏼🤙🏼2</v>
      </c>
      <c r="K2049" s="5">
        <f>IFERROR(__xludf.DUMMYFUNCTION("SPLiT(J2049, ""🤙🏼"",FALSE,FALSE)"),683.0)</f>
        <v>683</v>
      </c>
      <c r="L2049" s="5" t="str">
        <f>IFERROR(__xludf.DUMMYFUNCTION("""COMPUTED_VALUE"""),"The Color Purple")</f>
        <v>The Color Purple</v>
      </c>
      <c r="M2049" s="5"/>
      <c r="N2049" s="5">
        <f>IFERROR(__xludf.DUMMYFUNCTION("""COMPUTED_VALUE"""),2.0)</f>
        <v>2</v>
      </c>
      <c r="S2049" s="5">
        <f>IFERROR(__xludf.DUMMYFUNCTION("""COMPUTED_VALUE"""),808.0)</f>
        <v>808</v>
      </c>
      <c r="T2049" s="5" t="str">
        <f>IFERROR(__xludf.DUMMYFUNCTION("""COMPUTED_VALUE"""),"The Fifth Element")</f>
        <v>The Fifth Element</v>
      </c>
      <c r="U2049" s="5" t="str">
        <f>IFERROR(__xludf.DUMMYFUNCTION("""COMPUTED_VALUE"""),"Action")</f>
        <v>Action</v>
      </c>
      <c r="V2049" s="5">
        <f>IFERROR(__xludf.DUMMYFUNCTION("""COMPUTED_VALUE"""),1.0)</f>
        <v>1</v>
      </c>
    </row>
    <row r="2050">
      <c r="J2050" s="5" t="str">
        <f>IFERROR(__xludf.DUMMYFUNCTION("""COMPUTED_VALUE"""),"683🤙🏼The Color Purple🤙🏼🤙🏼3")</f>
        <v>683🤙🏼The Color Purple🤙🏼🤙🏼3</v>
      </c>
      <c r="K2050" s="5">
        <f>IFERROR(__xludf.DUMMYFUNCTION("SPLiT(J2050, ""🤙🏼"",FALSE,FALSE)"),683.0)</f>
        <v>683</v>
      </c>
      <c r="L2050" s="5" t="str">
        <f>IFERROR(__xludf.DUMMYFUNCTION("""COMPUTED_VALUE"""),"The Color Purple")</f>
        <v>The Color Purple</v>
      </c>
      <c r="M2050" s="5"/>
      <c r="N2050" s="5">
        <f>IFERROR(__xludf.DUMMYFUNCTION("""COMPUTED_VALUE"""),3.0)</f>
        <v>3</v>
      </c>
      <c r="S2050" s="5">
        <f>IFERROR(__xludf.DUMMYFUNCTION("""COMPUTED_VALUE"""),808.0)</f>
        <v>808</v>
      </c>
      <c r="T2050" s="5" t="str">
        <f>IFERROR(__xludf.DUMMYFUNCTION("""COMPUTED_VALUE"""),"The Fifth Element")</f>
        <v>The Fifth Element</v>
      </c>
      <c r="U2050" s="5" t="str">
        <f>IFERROR(__xludf.DUMMYFUNCTION("""COMPUTED_VALUE"""),"Adventure")</f>
        <v>Adventure</v>
      </c>
      <c r="V2050" s="5">
        <f>IFERROR(__xludf.DUMMYFUNCTION("""COMPUTED_VALUE"""),2.0)</f>
        <v>2</v>
      </c>
    </row>
    <row r="2051">
      <c r="J2051" s="5" t="str">
        <f>IFERROR(__xludf.DUMMYFUNCTION("""COMPUTED_VALUE"""),"684🤙🏼The Breakfast Club🤙🏼Comedy🤙🏼1")</f>
        <v>684🤙🏼The Breakfast Club🤙🏼Comedy🤙🏼1</v>
      </c>
      <c r="K2051" s="5">
        <f>IFERROR(__xludf.DUMMYFUNCTION("SPLiT(J2051, ""🤙🏼"",FALSE,FALSE)"),684.0)</f>
        <v>684</v>
      </c>
      <c r="L2051" s="5" t="str">
        <f>IFERROR(__xludf.DUMMYFUNCTION("""COMPUTED_VALUE"""),"The Breakfast Club")</f>
        <v>The Breakfast Club</v>
      </c>
      <c r="M2051" s="5" t="str">
        <f>IFERROR(__xludf.DUMMYFUNCTION("""COMPUTED_VALUE"""),"Comedy")</f>
        <v>Comedy</v>
      </c>
      <c r="N2051" s="5">
        <f>IFERROR(__xludf.DUMMYFUNCTION("""COMPUTED_VALUE"""),1.0)</f>
        <v>1</v>
      </c>
      <c r="S2051" s="5">
        <f>IFERROR(__xludf.DUMMYFUNCTION("""COMPUTED_VALUE"""),808.0)</f>
        <v>808</v>
      </c>
      <c r="T2051" s="5" t="str">
        <f>IFERROR(__xludf.DUMMYFUNCTION("""COMPUTED_VALUE"""),"The Fifth Element")</f>
        <v>The Fifth Element</v>
      </c>
      <c r="U2051" s="5" t="str">
        <f>IFERROR(__xludf.DUMMYFUNCTION("""COMPUTED_VALUE"""),"Sci-Fi")</f>
        <v>Sci-Fi</v>
      </c>
      <c r="V2051" s="5">
        <f>IFERROR(__xludf.DUMMYFUNCTION("""COMPUTED_VALUE"""),3.0)</f>
        <v>3</v>
      </c>
    </row>
    <row r="2052">
      <c r="J2052" s="5" t="str">
        <f>IFERROR(__xludf.DUMMYFUNCTION("""COMPUTED_VALUE"""),"684🤙🏼The Breakfast Club🤙🏼Drama🤙🏼2")</f>
        <v>684🤙🏼The Breakfast Club🤙🏼Drama🤙🏼2</v>
      </c>
      <c r="K2052" s="5">
        <f>IFERROR(__xludf.DUMMYFUNCTION("SPLiT(J2052, ""🤙🏼"",FALSE,FALSE)"),684.0)</f>
        <v>684</v>
      </c>
      <c r="L2052" s="5" t="str">
        <f>IFERROR(__xludf.DUMMYFUNCTION("""COMPUTED_VALUE"""),"The Breakfast Club")</f>
        <v>The Breakfast Club</v>
      </c>
      <c r="M2052" s="5" t="str">
        <f>IFERROR(__xludf.DUMMYFUNCTION("""COMPUTED_VALUE"""),"Drama")</f>
        <v>Drama</v>
      </c>
      <c r="N2052" s="5">
        <f>IFERROR(__xludf.DUMMYFUNCTION("""COMPUTED_VALUE"""),2.0)</f>
        <v>2</v>
      </c>
      <c r="S2052" s="5">
        <f>IFERROR(__xludf.DUMMYFUNCTION("""COMPUTED_VALUE"""),809.0)</f>
        <v>809</v>
      </c>
      <c r="T2052" s="5" t="str">
        <f>IFERROR(__xludf.DUMMYFUNCTION("""COMPUTED_VALUE"""),"Le dîner de cons")</f>
        <v>Le dîner de cons</v>
      </c>
      <c r="U2052" s="5" t="str">
        <f>IFERROR(__xludf.DUMMYFUNCTION("""COMPUTED_VALUE"""),"Comedy")</f>
        <v>Comedy</v>
      </c>
      <c r="V2052" s="5">
        <f>IFERROR(__xludf.DUMMYFUNCTION("""COMPUTED_VALUE"""),1.0)</f>
        <v>1</v>
      </c>
    </row>
    <row r="2053">
      <c r="J2053" s="5" t="str">
        <f>IFERROR(__xludf.DUMMYFUNCTION("""COMPUTED_VALUE"""),"684🤙🏼The Breakfast Club🤙🏼🤙🏼3")</f>
        <v>684🤙🏼The Breakfast Club🤙🏼🤙🏼3</v>
      </c>
      <c r="K2053" s="5">
        <f>IFERROR(__xludf.DUMMYFUNCTION("SPLiT(J2053, ""🤙🏼"",FALSE,FALSE)"),684.0)</f>
        <v>684</v>
      </c>
      <c r="L2053" s="5" t="str">
        <f>IFERROR(__xludf.DUMMYFUNCTION("""COMPUTED_VALUE"""),"The Breakfast Club")</f>
        <v>The Breakfast Club</v>
      </c>
      <c r="M2053" s="5"/>
      <c r="N2053" s="5">
        <f>IFERROR(__xludf.DUMMYFUNCTION("""COMPUTED_VALUE"""),3.0)</f>
        <v>3</v>
      </c>
      <c r="S2053" s="5">
        <f>IFERROR(__xludf.DUMMYFUNCTION("""COMPUTED_VALUE"""),810.0)</f>
        <v>810</v>
      </c>
      <c r="T2053" s="5" t="str">
        <f>IFERROR(__xludf.DUMMYFUNCTION("""COMPUTED_VALUE"""),"Donnie Brasco")</f>
        <v>Donnie Brasco</v>
      </c>
      <c r="U2053" s="5" t="str">
        <f>IFERROR(__xludf.DUMMYFUNCTION("""COMPUTED_VALUE"""),"Biography")</f>
        <v>Biography</v>
      </c>
      <c r="V2053" s="5">
        <f>IFERROR(__xludf.DUMMYFUNCTION("""COMPUTED_VALUE"""),1.0)</f>
        <v>1</v>
      </c>
    </row>
    <row r="2054">
      <c r="J2054" s="5" t="str">
        <f>IFERROR(__xludf.DUMMYFUNCTION("""COMPUTED_VALUE"""),"685🤙🏼The Killing Fields🤙🏼Biography🤙🏼1")</f>
        <v>685🤙🏼The Killing Fields🤙🏼Biography🤙🏼1</v>
      </c>
      <c r="K2054" s="5">
        <f>IFERROR(__xludf.DUMMYFUNCTION("SPLiT(J2054, ""🤙🏼"",FALSE,FALSE)"),685.0)</f>
        <v>685</v>
      </c>
      <c r="L2054" s="5" t="str">
        <f>IFERROR(__xludf.DUMMYFUNCTION("""COMPUTED_VALUE"""),"The Killing Fields")</f>
        <v>The Killing Fields</v>
      </c>
      <c r="M2054" s="5" t="str">
        <f>IFERROR(__xludf.DUMMYFUNCTION("""COMPUTED_VALUE"""),"Biography")</f>
        <v>Biography</v>
      </c>
      <c r="N2054" s="5">
        <f>IFERROR(__xludf.DUMMYFUNCTION("""COMPUTED_VALUE"""),1.0)</f>
        <v>1</v>
      </c>
      <c r="S2054" s="5">
        <f>IFERROR(__xludf.DUMMYFUNCTION("""COMPUTED_VALUE"""),810.0)</f>
        <v>810</v>
      </c>
      <c r="T2054" s="5" t="str">
        <f>IFERROR(__xludf.DUMMYFUNCTION("""COMPUTED_VALUE"""),"Donnie Brasco")</f>
        <v>Donnie Brasco</v>
      </c>
      <c r="U2054" s="5" t="str">
        <f>IFERROR(__xludf.DUMMYFUNCTION("""COMPUTED_VALUE"""),"Crime")</f>
        <v>Crime</v>
      </c>
      <c r="V2054" s="5">
        <f>IFERROR(__xludf.DUMMYFUNCTION("""COMPUTED_VALUE"""),2.0)</f>
        <v>2</v>
      </c>
    </row>
    <row r="2055">
      <c r="J2055" s="5" t="str">
        <f>IFERROR(__xludf.DUMMYFUNCTION("""COMPUTED_VALUE"""),"685🤙🏼The Killing Fields🤙🏼Drama🤙🏼2")</f>
        <v>685🤙🏼The Killing Fields🤙🏼Drama🤙🏼2</v>
      </c>
      <c r="K2055" s="5">
        <f>IFERROR(__xludf.DUMMYFUNCTION("SPLiT(J2055, ""🤙🏼"",FALSE,FALSE)"),685.0)</f>
        <v>685</v>
      </c>
      <c r="L2055" s="5" t="str">
        <f>IFERROR(__xludf.DUMMYFUNCTION("""COMPUTED_VALUE"""),"The Killing Fields")</f>
        <v>The Killing Fields</v>
      </c>
      <c r="M2055" s="5" t="str">
        <f>IFERROR(__xludf.DUMMYFUNCTION("""COMPUTED_VALUE"""),"Drama")</f>
        <v>Drama</v>
      </c>
      <c r="N2055" s="5">
        <f>IFERROR(__xludf.DUMMYFUNCTION("""COMPUTED_VALUE"""),2.0)</f>
        <v>2</v>
      </c>
      <c r="S2055" s="5">
        <f>IFERROR(__xludf.DUMMYFUNCTION("""COMPUTED_VALUE"""),810.0)</f>
        <v>810</v>
      </c>
      <c r="T2055" s="5" t="str">
        <f>IFERROR(__xludf.DUMMYFUNCTION("""COMPUTED_VALUE"""),"Donnie Brasco")</f>
        <v>Donnie Brasco</v>
      </c>
      <c r="U2055" s="5" t="str">
        <f>IFERROR(__xludf.DUMMYFUNCTION("""COMPUTED_VALUE"""),"Drama")</f>
        <v>Drama</v>
      </c>
      <c r="V2055" s="5">
        <f>IFERROR(__xludf.DUMMYFUNCTION("""COMPUTED_VALUE"""),3.0)</f>
        <v>3</v>
      </c>
    </row>
    <row r="2056">
      <c r="J2056" s="5" t="str">
        <f>IFERROR(__xludf.DUMMYFUNCTION("""COMPUTED_VALUE"""),"685🤙🏼The Killing Fields🤙🏼History🤙🏼3")</f>
        <v>685🤙🏼The Killing Fields🤙🏼History🤙🏼3</v>
      </c>
      <c r="K2056" s="5">
        <f>IFERROR(__xludf.DUMMYFUNCTION("SPLiT(J2056, ""🤙🏼"",FALSE,FALSE)"),685.0)</f>
        <v>685</v>
      </c>
      <c r="L2056" s="5" t="str">
        <f>IFERROR(__xludf.DUMMYFUNCTION("""COMPUTED_VALUE"""),"The Killing Fields")</f>
        <v>The Killing Fields</v>
      </c>
      <c r="M2056" s="5" t="str">
        <f>IFERROR(__xludf.DUMMYFUNCTION("""COMPUTED_VALUE"""),"History")</f>
        <v>History</v>
      </c>
      <c r="N2056" s="5">
        <f>IFERROR(__xludf.DUMMYFUNCTION("""COMPUTED_VALUE"""),3.0)</f>
        <v>3</v>
      </c>
      <c r="S2056" s="5">
        <f>IFERROR(__xludf.DUMMYFUNCTION("""COMPUTED_VALUE"""),811.0)</f>
        <v>811</v>
      </c>
      <c r="T2056" s="5" t="str">
        <f>IFERROR(__xludf.DUMMYFUNCTION("""COMPUTED_VALUE"""),"Shine")</f>
        <v>Shine</v>
      </c>
      <c r="U2056" s="5" t="str">
        <f>IFERROR(__xludf.DUMMYFUNCTION("""COMPUTED_VALUE"""),"Biography")</f>
        <v>Biography</v>
      </c>
      <c r="V2056" s="5">
        <f>IFERROR(__xludf.DUMMYFUNCTION("""COMPUTED_VALUE"""),1.0)</f>
        <v>1</v>
      </c>
    </row>
    <row r="2057">
      <c r="J2057" s="5" t="str">
        <f>IFERROR(__xludf.DUMMYFUNCTION("""COMPUTED_VALUE"""),"686🤙🏼Ghostbusters🤙🏼Action🤙🏼1")</f>
        <v>686🤙🏼Ghostbusters🤙🏼Action🤙🏼1</v>
      </c>
      <c r="K2057" s="5">
        <f>IFERROR(__xludf.DUMMYFUNCTION("SPLiT(J2057, ""🤙🏼"",FALSE,FALSE)"),686.0)</f>
        <v>686</v>
      </c>
      <c r="L2057" s="5" t="str">
        <f>IFERROR(__xludf.DUMMYFUNCTION("""COMPUTED_VALUE"""),"Ghostbusters")</f>
        <v>Ghostbusters</v>
      </c>
      <c r="M2057" s="5" t="str">
        <f>IFERROR(__xludf.DUMMYFUNCTION("""COMPUTED_VALUE"""),"Action")</f>
        <v>Action</v>
      </c>
      <c r="N2057" s="5">
        <f>IFERROR(__xludf.DUMMYFUNCTION("""COMPUTED_VALUE"""),1.0)</f>
        <v>1</v>
      </c>
      <c r="S2057" s="5">
        <f>IFERROR(__xludf.DUMMYFUNCTION("""COMPUTED_VALUE"""),811.0)</f>
        <v>811</v>
      </c>
      <c r="T2057" s="5" t="str">
        <f>IFERROR(__xludf.DUMMYFUNCTION("""COMPUTED_VALUE"""),"Shine")</f>
        <v>Shine</v>
      </c>
      <c r="U2057" s="5" t="str">
        <f>IFERROR(__xludf.DUMMYFUNCTION("""COMPUTED_VALUE"""),"Drama")</f>
        <v>Drama</v>
      </c>
      <c r="V2057" s="5">
        <f>IFERROR(__xludf.DUMMYFUNCTION("""COMPUTED_VALUE"""),2.0)</f>
        <v>2</v>
      </c>
    </row>
    <row r="2058">
      <c r="J2058" s="5" t="str">
        <f>IFERROR(__xludf.DUMMYFUNCTION("""COMPUTED_VALUE"""),"686🤙🏼Ghostbusters🤙🏼Comedy🤙🏼2")</f>
        <v>686🤙🏼Ghostbusters🤙🏼Comedy🤙🏼2</v>
      </c>
      <c r="K2058" s="5">
        <f>IFERROR(__xludf.DUMMYFUNCTION("SPLiT(J2058, ""🤙🏼"",FALSE,FALSE)"),686.0)</f>
        <v>686</v>
      </c>
      <c r="L2058" s="5" t="str">
        <f>IFERROR(__xludf.DUMMYFUNCTION("""COMPUTED_VALUE"""),"Ghostbusters")</f>
        <v>Ghostbusters</v>
      </c>
      <c r="M2058" s="5" t="str">
        <f>IFERROR(__xludf.DUMMYFUNCTION("""COMPUTED_VALUE"""),"Comedy")</f>
        <v>Comedy</v>
      </c>
      <c r="N2058" s="5">
        <f>IFERROR(__xludf.DUMMYFUNCTION("""COMPUTED_VALUE"""),2.0)</f>
        <v>2</v>
      </c>
      <c r="S2058" s="5">
        <f>IFERROR(__xludf.DUMMYFUNCTION("""COMPUTED_VALUE"""),811.0)</f>
        <v>811</v>
      </c>
      <c r="T2058" s="5" t="str">
        <f>IFERROR(__xludf.DUMMYFUNCTION("""COMPUTED_VALUE"""),"Shine")</f>
        <v>Shine</v>
      </c>
      <c r="U2058" s="5" t="str">
        <f>IFERROR(__xludf.DUMMYFUNCTION("""COMPUTED_VALUE"""),"Music")</f>
        <v>Music</v>
      </c>
      <c r="V2058" s="5">
        <f>IFERROR(__xludf.DUMMYFUNCTION("""COMPUTED_VALUE"""),3.0)</f>
        <v>3</v>
      </c>
    </row>
    <row r="2059">
      <c r="J2059" s="5" t="str">
        <f>IFERROR(__xludf.DUMMYFUNCTION("""COMPUTED_VALUE"""),"686🤙🏼Ghostbusters🤙🏼Fantasy🤙🏼3")</f>
        <v>686🤙🏼Ghostbusters🤙🏼Fantasy🤙🏼3</v>
      </c>
      <c r="K2059" s="5">
        <f>IFERROR(__xludf.DUMMYFUNCTION("SPLiT(J2059, ""🤙🏼"",FALSE,FALSE)"),686.0)</f>
        <v>686</v>
      </c>
      <c r="L2059" s="5" t="str">
        <f>IFERROR(__xludf.DUMMYFUNCTION("""COMPUTED_VALUE"""),"Ghostbusters")</f>
        <v>Ghostbusters</v>
      </c>
      <c r="M2059" s="5" t="str">
        <f>IFERROR(__xludf.DUMMYFUNCTION("""COMPUTED_VALUE"""),"Fantasy")</f>
        <v>Fantasy</v>
      </c>
      <c r="N2059" s="5">
        <f>IFERROR(__xludf.DUMMYFUNCTION("""COMPUTED_VALUE"""),3.0)</f>
        <v>3</v>
      </c>
      <c r="S2059" s="5">
        <f>IFERROR(__xludf.DUMMYFUNCTION("""COMPUTED_VALUE"""),812.0)</f>
        <v>812</v>
      </c>
      <c r="T2059" s="5" t="str">
        <f>IFERROR(__xludf.DUMMYFUNCTION("""COMPUTED_VALUE"""),"Primal Fear")</f>
        <v>Primal Fear</v>
      </c>
      <c r="U2059" s="5" t="str">
        <f>IFERROR(__xludf.DUMMYFUNCTION("""COMPUTED_VALUE"""),"Crime")</f>
        <v>Crime</v>
      </c>
      <c r="V2059" s="5">
        <f>IFERROR(__xludf.DUMMYFUNCTION("""COMPUTED_VALUE"""),1.0)</f>
        <v>1</v>
      </c>
    </row>
    <row r="2060">
      <c r="J2060" s="5" t="str">
        <f>IFERROR(__xludf.DUMMYFUNCTION("""COMPUTED_VALUE"""),"687🤙🏼The Right Stuff🤙🏼Adventure🤙🏼1")</f>
        <v>687🤙🏼The Right Stuff🤙🏼Adventure🤙🏼1</v>
      </c>
      <c r="K2060" s="5">
        <f>IFERROR(__xludf.DUMMYFUNCTION("SPLiT(J2060, ""🤙🏼"",FALSE,FALSE)"),687.0)</f>
        <v>687</v>
      </c>
      <c r="L2060" s="5" t="str">
        <f>IFERROR(__xludf.DUMMYFUNCTION("""COMPUTED_VALUE"""),"The Right Stuff")</f>
        <v>The Right Stuff</v>
      </c>
      <c r="M2060" s="5" t="str">
        <f>IFERROR(__xludf.DUMMYFUNCTION("""COMPUTED_VALUE"""),"Adventure")</f>
        <v>Adventure</v>
      </c>
      <c r="N2060" s="5">
        <f>IFERROR(__xludf.DUMMYFUNCTION("""COMPUTED_VALUE"""),1.0)</f>
        <v>1</v>
      </c>
      <c r="S2060" s="5">
        <f>IFERROR(__xludf.DUMMYFUNCTION("""COMPUTED_VALUE"""),812.0)</f>
        <v>812</v>
      </c>
      <c r="T2060" s="5" t="str">
        <f>IFERROR(__xludf.DUMMYFUNCTION("""COMPUTED_VALUE"""),"Primal Fear")</f>
        <v>Primal Fear</v>
      </c>
      <c r="U2060" s="5" t="str">
        <f>IFERROR(__xludf.DUMMYFUNCTION("""COMPUTED_VALUE"""),"Drama")</f>
        <v>Drama</v>
      </c>
      <c r="V2060" s="5">
        <f>IFERROR(__xludf.DUMMYFUNCTION("""COMPUTED_VALUE"""),2.0)</f>
        <v>2</v>
      </c>
    </row>
    <row r="2061">
      <c r="J2061" s="5" t="str">
        <f>IFERROR(__xludf.DUMMYFUNCTION("""COMPUTED_VALUE"""),"687🤙🏼The Right Stuff🤙🏼Biography🤙🏼2")</f>
        <v>687🤙🏼The Right Stuff🤙🏼Biography🤙🏼2</v>
      </c>
      <c r="K2061" s="5">
        <f>IFERROR(__xludf.DUMMYFUNCTION("SPLiT(J2061, ""🤙🏼"",FALSE,FALSE)"),687.0)</f>
        <v>687</v>
      </c>
      <c r="L2061" s="5" t="str">
        <f>IFERROR(__xludf.DUMMYFUNCTION("""COMPUTED_VALUE"""),"The Right Stuff")</f>
        <v>The Right Stuff</v>
      </c>
      <c r="M2061" s="5" t="str">
        <f>IFERROR(__xludf.DUMMYFUNCTION("""COMPUTED_VALUE"""),"Biography")</f>
        <v>Biography</v>
      </c>
      <c r="N2061" s="5">
        <f>IFERROR(__xludf.DUMMYFUNCTION("""COMPUTED_VALUE"""),2.0)</f>
        <v>2</v>
      </c>
      <c r="S2061" s="5">
        <f>IFERROR(__xludf.DUMMYFUNCTION("""COMPUTED_VALUE"""),812.0)</f>
        <v>812</v>
      </c>
      <c r="T2061" s="5" t="str">
        <f>IFERROR(__xludf.DUMMYFUNCTION("""COMPUTED_VALUE"""),"Primal Fear")</f>
        <v>Primal Fear</v>
      </c>
      <c r="U2061" s="5" t="str">
        <f>IFERROR(__xludf.DUMMYFUNCTION("""COMPUTED_VALUE"""),"Mystery")</f>
        <v>Mystery</v>
      </c>
      <c r="V2061" s="5">
        <f>IFERROR(__xludf.DUMMYFUNCTION("""COMPUTED_VALUE"""),3.0)</f>
        <v>3</v>
      </c>
    </row>
    <row r="2062">
      <c r="J2062" s="5" t="str">
        <f>IFERROR(__xludf.DUMMYFUNCTION("""COMPUTED_VALUE"""),"687🤙🏼The Right Stuff🤙🏼Drama🤙🏼3")</f>
        <v>687🤙🏼The Right Stuff🤙🏼Drama🤙🏼3</v>
      </c>
      <c r="K2062" s="5">
        <f>IFERROR(__xludf.DUMMYFUNCTION("SPLiT(J2062, ""🤙🏼"",FALSE,FALSE)"),687.0)</f>
        <v>687</v>
      </c>
      <c r="L2062" s="5" t="str">
        <f>IFERROR(__xludf.DUMMYFUNCTION("""COMPUTED_VALUE"""),"The Right Stuff")</f>
        <v>The Right Stuff</v>
      </c>
      <c r="M2062" s="5" t="str">
        <f>IFERROR(__xludf.DUMMYFUNCTION("""COMPUTED_VALUE"""),"Drama")</f>
        <v>Drama</v>
      </c>
      <c r="N2062" s="5">
        <f>IFERROR(__xludf.DUMMYFUNCTION("""COMPUTED_VALUE"""),3.0)</f>
        <v>3</v>
      </c>
      <c r="S2062" s="5">
        <f>IFERROR(__xludf.DUMMYFUNCTION("""COMPUTED_VALUE"""),813.0)</f>
        <v>813</v>
      </c>
      <c r="T2062" s="5" t="str">
        <f>IFERROR(__xludf.DUMMYFUNCTION("""COMPUTED_VALUE"""),"Hamlet")</f>
        <v>Hamlet</v>
      </c>
      <c r="U2062" s="5" t="str">
        <f>IFERROR(__xludf.DUMMYFUNCTION("""COMPUTED_VALUE"""),"Drama")</f>
        <v>Drama</v>
      </c>
      <c r="V2062" s="5">
        <f>IFERROR(__xludf.DUMMYFUNCTION("""COMPUTED_VALUE"""),1.0)</f>
        <v>1</v>
      </c>
    </row>
    <row r="2063">
      <c r="J2063" s="5" t="str">
        <f>IFERROR(__xludf.DUMMYFUNCTION("""COMPUTED_VALUE"""),"688🤙🏼The King of Comedy🤙🏼Comedy🤙🏼1")</f>
        <v>688🤙🏼The King of Comedy🤙🏼Comedy🤙🏼1</v>
      </c>
      <c r="K2063" s="5">
        <f>IFERROR(__xludf.DUMMYFUNCTION("SPLiT(J2063, ""🤙🏼"",FALSE,FALSE)"),688.0)</f>
        <v>688</v>
      </c>
      <c r="L2063" s="5" t="str">
        <f>IFERROR(__xludf.DUMMYFUNCTION("""COMPUTED_VALUE"""),"The King of Comedy")</f>
        <v>The King of Comedy</v>
      </c>
      <c r="M2063" s="5" t="str">
        <f>IFERROR(__xludf.DUMMYFUNCTION("""COMPUTED_VALUE"""),"Comedy")</f>
        <v>Comedy</v>
      </c>
      <c r="N2063" s="5">
        <f>IFERROR(__xludf.DUMMYFUNCTION("""COMPUTED_VALUE"""),1.0)</f>
        <v>1</v>
      </c>
      <c r="S2063" s="5">
        <f>IFERROR(__xludf.DUMMYFUNCTION("""COMPUTED_VALUE"""),814.0)</f>
        <v>814</v>
      </c>
      <c r="T2063" s="5" t="str">
        <f>IFERROR(__xludf.DUMMYFUNCTION("""COMPUTED_VALUE"""),"A Little Princess")</f>
        <v>A Little Princess</v>
      </c>
      <c r="U2063" s="5" t="str">
        <f>IFERROR(__xludf.DUMMYFUNCTION("""COMPUTED_VALUE"""),"Drama")</f>
        <v>Drama</v>
      </c>
      <c r="V2063" s="5">
        <f>IFERROR(__xludf.DUMMYFUNCTION("""COMPUTED_VALUE"""),1.0)</f>
        <v>1</v>
      </c>
    </row>
    <row r="2064">
      <c r="J2064" s="5" t="str">
        <f>IFERROR(__xludf.DUMMYFUNCTION("""COMPUTED_VALUE"""),"688🤙🏼The King of Comedy🤙🏼Crime🤙🏼2")</f>
        <v>688🤙🏼The King of Comedy🤙🏼Crime🤙🏼2</v>
      </c>
      <c r="K2064" s="5">
        <f>IFERROR(__xludf.DUMMYFUNCTION("SPLiT(J2064, ""🤙🏼"",FALSE,FALSE)"),688.0)</f>
        <v>688</v>
      </c>
      <c r="L2064" s="5" t="str">
        <f>IFERROR(__xludf.DUMMYFUNCTION("""COMPUTED_VALUE"""),"The King of Comedy")</f>
        <v>The King of Comedy</v>
      </c>
      <c r="M2064" s="5" t="str">
        <f>IFERROR(__xludf.DUMMYFUNCTION("""COMPUTED_VALUE"""),"Crime")</f>
        <v>Crime</v>
      </c>
      <c r="N2064" s="5">
        <f>IFERROR(__xludf.DUMMYFUNCTION("""COMPUTED_VALUE"""),2.0)</f>
        <v>2</v>
      </c>
      <c r="S2064" s="5">
        <f>IFERROR(__xludf.DUMMYFUNCTION("""COMPUTED_VALUE"""),814.0)</f>
        <v>814</v>
      </c>
      <c r="T2064" s="5" t="str">
        <f>IFERROR(__xludf.DUMMYFUNCTION("""COMPUTED_VALUE"""),"A Little Princess")</f>
        <v>A Little Princess</v>
      </c>
      <c r="U2064" s="5" t="str">
        <f>IFERROR(__xludf.DUMMYFUNCTION("""COMPUTED_VALUE"""),"Family")</f>
        <v>Family</v>
      </c>
      <c r="V2064" s="5">
        <f>IFERROR(__xludf.DUMMYFUNCTION("""COMPUTED_VALUE"""),2.0)</f>
        <v>2</v>
      </c>
    </row>
    <row r="2065">
      <c r="J2065" s="5" t="str">
        <f>IFERROR(__xludf.DUMMYFUNCTION("""COMPUTED_VALUE"""),"688🤙🏼The King of Comedy🤙🏼Drama🤙🏼3")</f>
        <v>688🤙🏼The King of Comedy🤙🏼Drama🤙🏼3</v>
      </c>
      <c r="K2065" s="5">
        <f>IFERROR(__xludf.DUMMYFUNCTION("SPLiT(J2065, ""🤙🏼"",FALSE,FALSE)"),688.0)</f>
        <v>688</v>
      </c>
      <c r="L2065" s="5" t="str">
        <f>IFERROR(__xludf.DUMMYFUNCTION("""COMPUTED_VALUE"""),"The King of Comedy")</f>
        <v>The King of Comedy</v>
      </c>
      <c r="M2065" s="5" t="str">
        <f>IFERROR(__xludf.DUMMYFUNCTION("""COMPUTED_VALUE"""),"Drama")</f>
        <v>Drama</v>
      </c>
      <c r="N2065" s="5">
        <f>IFERROR(__xludf.DUMMYFUNCTION("""COMPUTED_VALUE"""),3.0)</f>
        <v>3</v>
      </c>
      <c r="S2065" s="5">
        <f>IFERROR(__xludf.DUMMYFUNCTION("""COMPUTED_VALUE"""),814.0)</f>
        <v>814</v>
      </c>
      <c r="T2065" s="5" t="str">
        <f>IFERROR(__xludf.DUMMYFUNCTION("""COMPUTED_VALUE"""),"A Little Princess")</f>
        <v>A Little Princess</v>
      </c>
      <c r="U2065" s="5" t="str">
        <f>IFERROR(__xludf.DUMMYFUNCTION("""COMPUTED_VALUE"""),"Fantasy")</f>
        <v>Fantasy</v>
      </c>
      <c r="V2065" s="5">
        <f>IFERROR(__xludf.DUMMYFUNCTION("""COMPUTED_VALUE"""),3.0)</f>
        <v>3</v>
      </c>
    </row>
    <row r="2066">
      <c r="J2066" s="5" t="str">
        <f>IFERROR(__xludf.DUMMYFUNCTION("""COMPUTED_VALUE"""),"689🤙🏼E.T. the Extra-Terrestrial🤙🏼Family🤙🏼1")</f>
        <v>689🤙🏼E.T. the Extra-Terrestrial🤙🏼Family🤙🏼1</v>
      </c>
      <c r="K2066" s="5">
        <f>IFERROR(__xludf.DUMMYFUNCTION("SPLiT(J2066, ""🤙🏼"",FALSE,FALSE)"),689.0)</f>
        <v>689</v>
      </c>
      <c r="L2066" s="5" t="str">
        <f>IFERROR(__xludf.DUMMYFUNCTION("""COMPUTED_VALUE"""),"E.T. the Extra-Terrestrial")</f>
        <v>E.T. the Extra-Terrestrial</v>
      </c>
      <c r="M2066" s="5" t="str">
        <f>IFERROR(__xludf.DUMMYFUNCTION("""COMPUTED_VALUE"""),"Family")</f>
        <v>Family</v>
      </c>
      <c r="N2066" s="5">
        <f>IFERROR(__xludf.DUMMYFUNCTION("""COMPUTED_VALUE"""),1.0)</f>
        <v>1</v>
      </c>
      <c r="S2066" s="5">
        <f>IFERROR(__xludf.DUMMYFUNCTION("""COMPUTED_VALUE"""),815.0)</f>
        <v>815</v>
      </c>
      <c r="T2066" s="5" t="str">
        <f>IFERROR(__xludf.DUMMYFUNCTION("""COMPUTED_VALUE"""),"Do lok tin si")</f>
        <v>Do lok tin si</v>
      </c>
      <c r="U2066" s="5" t="str">
        <f>IFERROR(__xludf.DUMMYFUNCTION("""COMPUTED_VALUE"""),"Comedy")</f>
        <v>Comedy</v>
      </c>
      <c r="V2066" s="5">
        <f>IFERROR(__xludf.DUMMYFUNCTION("""COMPUTED_VALUE"""),1.0)</f>
        <v>1</v>
      </c>
    </row>
    <row r="2067">
      <c r="J2067" s="5" t="str">
        <f>IFERROR(__xludf.DUMMYFUNCTION("""COMPUTED_VALUE"""),"689🤙🏼E.T. the Extra-Terrestrial🤙🏼Sci-Fi🤙🏼2")</f>
        <v>689🤙🏼E.T. the Extra-Terrestrial🤙🏼Sci-Fi🤙🏼2</v>
      </c>
      <c r="K2067" s="5">
        <f>IFERROR(__xludf.DUMMYFUNCTION("SPLiT(J2067, ""🤙🏼"",FALSE,FALSE)"),689.0)</f>
        <v>689</v>
      </c>
      <c r="L2067" s="5" t="str">
        <f>IFERROR(__xludf.DUMMYFUNCTION("""COMPUTED_VALUE"""),"E.T. the Extra-Terrestrial")</f>
        <v>E.T. the Extra-Terrestrial</v>
      </c>
      <c r="M2067" s="5" t="str">
        <f>IFERROR(__xludf.DUMMYFUNCTION("""COMPUTED_VALUE"""),"Sci-Fi")</f>
        <v>Sci-Fi</v>
      </c>
      <c r="N2067" s="5">
        <f>IFERROR(__xludf.DUMMYFUNCTION("""COMPUTED_VALUE"""),2.0)</f>
        <v>2</v>
      </c>
      <c r="S2067" s="5">
        <f>IFERROR(__xludf.DUMMYFUNCTION("""COMPUTED_VALUE"""),815.0)</f>
        <v>815</v>
      </c>
      <c r="T2067" s="5" t="str">
        <f>IFERROR(__xludf.DUMMYFUNCTION("""COMPUTED_VALUE"""),"Do lok tin si")</f>
        <v>Do lok tin si</v>
      </c>
      <c r="U2067" s="5" t="str">
        <f>IFERROR(__xludf.DUMMYFUNCTION("""COMPUTED_VALUE"""),"Crime")</f>
        <v>Crime</v>
      </c>
      <c r="V2067" s="5">
        <f>IFERROR(__xludf.DUMMYFUNCTION("""COMPUTED_VALUE"""),2.0)</f>
        <v>2</v>
      </c>
    </row>
    <row r="2068">
      <c r="J2068" s="5" t="str">
        <f>IFERROR(__xludf.DUMMYFUNCTION("""COMPUTED_VALUE"""),"689🤙🏼E.T. the Extra-Terrestrial🤙🏼🤙🏼3")</f>
        <v>689🤙🏼E.T. the Extra-Terrestrial🤙🏼🤙🏼3</v>
      </c>
      <c r="K2068" s="5">
        <f>IFERROR(__xludf.DUMMYFUNCTION("SPLiT(J2068, ""🤙🏼"",FALSE,FALSE)"),689.0)</f>
        <v>689</v>
      </c>
      <c r="L2068" s="5" t="str">
        <f>IFERROR(__xludf.DUMMYFUNCTION("""COMPUTED_VALUE"""),"E.T. the Extra-Terrestrial")</f>
        <v>E.T. the Extra-Terrestrial</v>
      </c>
      <c r="M2068" s="5"/>
      <c r="N2068" s="5">
        <f>IFERROR(__xludf.DUMMYFUNCTION("""COMPUTED_VALUE"""),3.0)</f>
        <v>3</v>
      </c>
      <c r="S2068" s="5">
        <f>IFERROR(__xludf.DUMMYFUNCTION("""COMPUTED_VALUE"""),815.0)</f>
        <v>815</v>
      </c>
      <c r="T2068" s="5" t="str">
        <f>IFERROR(__xludf.DUMMYFUNCTION("""COMPUTED_VALUE"""),"Do lok tin si")</f>
        <v>Do lok tin si</v>
      </c>
      <c r="U2068" s="5" t="str">
        <f>IFERROR(__xludf.DUMMYFUNCTION("""COMPUTED_VALUE"""),"Drama")</f>
        <v>Drama</v>
      </c>
      <c r="V2068" s="5">
        <f>IFERROR(__xludf.DUMMYFUNCTION("""COMPUTED_VALUE"""),3.0)</f>
        <v>3</v>
      </c>
    </row>
    <row r="2069">
      <c r="J2069" s="5" t="str">
        <f>IFERROR(__xludf.DUMMYFUNCTION("""COMPUTED_VALUE"""),"690🤙🏼Kramer vs. Kramer🤙🏼Drama🤙🏼1")</f>
        <v>690🤙🏼Kramer vs. Kramer🤙🏼Drama🤙🏼1</v>
      </c>
      <c r="K2069" s="5">
        <f>IFERROR(__xludf.DUMMYFUNCTION("SPLiT(J2069, ""🤙🏼"",FALSE,FALSE)"),690.0)</f>
        <v>690</v>
      </c>
      <c r="L2069" s="5" t="str">
        <f>IFERROR(__xludf.DUMMYFUNCTION("""COMPUTED_VALUE"""),"Kramer vs. Kramer")</f>
        <v>Kramer vs. Kramer</v>
      </c>
      <c r="M2069" s="5" t="str">
        <f>IFERROR(__xludf.DUMMYFUNCTION("""COMPUTED_VALUE"""),"Drama")</f>
        <v>Drama</v>
      </c>
      <c r="N2069" s="5">
        <f>IFERROR(__xludf.DUMMYFUNCTION("""COMPUTED_VALUE"""),1.0)</f>
        <v>1</v>
      </c>
      <c r="S2069" s="5">
        <f>IFERROR(__xludf.DUMMYFUNCTION("""COMPUTED_VALUE"""),816.0)</f>
        <v>816</v>
      </c>
      <c r="T2069" s="5" t="str">
        <f>IFERROR(__xludf.DUMMYFUNCTION("""COMPUTED_VALUE"""),"Il postino")</f>
        <v>Il postino</v>
      </c>
      <c r="U2069" s="5" t="str">
        <f>IFERROR(__xludf.DUMMYFUNCTION("""COMPUTED_VALUE"""),"Biography")</f>
        <v>Biography</v>
      </c>
      <c r="V2069" s="5">
        <f>IFERROR(__xludf.DUMMYFUNCTION("""COMPUTED_VALUE"""),1.0)</f>
        <v>1</v>
      </c>
    </row>
    <row r="2070">
      <c r="J2070" s="5" t="str">
        <f>IFERROR(__xludf.DUMMYFUNCTION("""COMPUTED_VALUE"""),"690🤙🏼Kramer vs. Kramer🤙🏼🤙🏼2")</f>
        <v>690🤙🏼Kramer vs. Kramer🤙🏼🤙🏼2</v>
      </c>
      <c r="K2070" s="5">
        <f>IFERROR(__xludf.DUMMYFUNCTION("SPLiT(J2070, ""🤙🏼"",FALSE,FALSE)"),690.0)</f>
        <v>690</v>
      </c>
      <c r="L2070" s="5" t="str">
        <f>IFERROR(__xludf.DUMMYFUNCTION("""COMPUTED_VALUE"""),"Kramer vs. Kramer")</f>
        <v>Kramer vs. Kramer</v>
      </c>
      <c r="M2070" s="5"/>
      <c r="N2070" s="5">
        <f>IFERROR(__xludf.DUMMYFUNCTION("""COMPUTED_VALUE"""),2.0)</f>
        <v>2</v>
      </c>
      <c r="S2070" s="5">
        <f>IFERROR(__xludf.DUMMYFUNCTION("""COMPUTED_VALUE"""),816.0)</f>
        <v>816</v>
      </c>
      <c r="T2070" s="5" t="str">
        <f>IFERROR(__xludf.DUMMYFUNCTION("""COMPUTED_VALUE"""),"Il postino")</f>
        <v>Il postino</v>
      </c>
      <c r="U2070" s="5" t="str">
        <f>IFERROR(__xludf.DUMMYFUNCTION("""COMPUTED_VALUE"""),"Comedy")</f>
        <v>Comedy</v>
      </c>
      <c r="V2070" s="5">
        <f>IFERROR(__xludf.DUMMYFUNCTION("""COMPUTED_VALUE"""),2.0)</f>
        <v>2</v>
      </c>
    </row>
    <row r="2071">
      <c r="J2071" s="5" t="str">
        <f>IFERROR(__xludf.DUMMYFUNCTION("""COMPUTED_VALUE"""),"690🤙🏼Kramer vs. Kramer🤙🏼🤙🏼3")</f>
        <v>690🤙🏼Kramer vs. Kramer🤙🏼🤙🏼3</v>
      </c>
      <c r="K2071" s="5">
        <f>IFERROR(__xludf.DUMMYFUNCTION("SPLiT(J2071, ""🤙🏼"",FALSE,FALSE)"),690.0)</f>
        <v>690</v>
      </c>
      <c r="L2071" s="5" t="str">
        <f>IFERROR(__xludf.DUMMYFUNCTION("""COMPUTED_VALUE"""),"Kramer vs. Kramer")</f>
        <v>Kramer vs. Kramer</v>
      </c>
      <c r="M2071" s="5"/>
      <c r="N2071" s="5">
        <f>IFERROR(__xludf.DUMMYFUNCTION("""COMPUTED_VALUE"""),3.0)</f>
        <v>3</v>
      </c>
      <c r="S2071" s="5">
        <f>IFERROR(__xludf.DUMMYFUNCTION("""COMPUTED_VALUE"""),816.0)</f>
        <v>816</v>
      </c>
      <c r="T2071" s="5" t="str">
        <f>IFERROR(__xludf.DUMMYFUNCTION("""COMPUTED_VALUE"""),"Il postino")</f>
        <v>Il postino</v>
      </c>
      <c r="U2071" s="5" t="str">
        <f>IFERROR(__xludf.DUMMYFUNCTION("""COMPUTED_VALUE"""),"Drama")</f>
        <v>Drama</v>
      </c>
      <c r="V2071" s="5">
        <f>IFERROR(__xludf.DUMMYFUNCTION("""COMPUTED_VALUE"""),3.0)</f>
        <v>3</v>
      </c>
    </row>
    <row r="2072">
      <c r="J2072" s="5" t="str">
        <f>IFERROR(__xludf.DUMMYFUNCTION("""COMPUTED_VALUE"""),"691🤙🏼Days of Heaven🤙🏼Drama🤙🏼1")</f>
        <v>691🤙🏼Days of Heaven🤙🏼Drama🤙🏼1</v>
      </c>
      <c r="K2072" s="5">
        <f>IFERROR(__xludf.DUMMYFUNCTION("SPLiT(J2072, ""🤙🏼"",FALSE,FALSE)"),691.0)</f>
        <v>691</v>
      </c>
      <c r="L2072" s="5" t="str">
        <f>IFERROR(__xludf.DUMMYFUNCTION("""COMPUTED_VALUE"""),"Days of Heaven")</f>
        <v>Days of Heaven</v>
      </c>
      <c r="M2072" s="5" t="str">
        <f>IFERROR(__xludf.DUMMYFUNCTION("""COMPUTED_VALUE"""),"Drama")</f>
        <v>Drama</v>
      </c>
      <c r="N2072" s="5">
        <f>IFERROR(__xludf.DUMMYFUNCTION("""COMPUTED_VALUE"""),1.0)</f>
        <v>1</v>
      </c>
      <c r="S2072" s="5">
        <f>IFERROR(__xludf.DUMMYFUNCTION("""COMPUTED_VALUE"""),817.0)</f>
        <v>817</v>
      </c>
      <c r="T2072" s="5" t="str">
        <f>IFERROR(__xludf.DUMMYFUNCTION("""COMPUTED_VALUE"""),"Clerks")</f>
        <v>Clerks</v>
      </c>
      <c r="U2072" s="5" t="str">
        <f>IFERROR(__xludf.DUMMYFUNCTION("""COMPUTED_VALUE"""),"Comedy")</f>
        <v>Comedy</v>
      </c>
      <c r="V2072" s="5">
        <f>IFERROR(__xludf.DUMMYFUNCTION("""COMPUTED_VALUE"""),1.0)</f>
        <v>1</v>
      </c>
    </row>
    <row r="2073">
      <c r="J2073" s="5" t="str">
        <f>IFERROR(__xludf.DUMMYFUNCTION("""COMPUTED_VALUE"""),"691🤙🏼Days of Heaven🤙🏼Romance🤙🏼2")</f>
        <v>691🤙🏼Days of Heaven🤙🏼Romance🤙🏼2</v>
      </c>
      <c r="K2073" s="5">
        <f>IFERROR(__xludf.DUMMYFUNCTION("SPLiT(J2073, ""🤙🏼"",FALSE,FALSE)"),691.0)</f>
        <v>691</v>
      </c>
      <c r="L2073" s="5" t="str">
        <f>IFERROR(__xludf.DUMMYFUNCTION("""COMPUTED_VALUE"""),"Days of Heaven")</f>
        <v>Days of Heaven</v>
      </c>
      <c r="M2073" s="5" t="str">
        <f>IFERROR(__xludf.DUMMYFUNCTION("""COMPUTED_VALUE"""),"Romance")</f>
        <v>Romance</v>
      </c>
      <c r="N2073" s="5">
        <f>IFERROR(__xludf.DUMMYFUNCTION("""COMPUTED_VALUE"""),2.0)</f>
        <v>2</v>
      </c>
      <c r="S2073" s="5">
        <f>IFERROR(__xludf.DUMMYFUNCTION("""COMPUTED_VALUE"""),818.0)</f>
        <v>818</v>
      </c>
      <c r="T2073" s="5" t="str">
        <f>IFERROR(__xludf.DUMMYFUNCTION("""COMPUTED_VALUE"""),"Short Cuts")</f>
        <v>Short Cuts</v>
      </c>
      <c r="U2073" s="5" t="str">
        <f>IFERROR(__xludf.DUMMYFUNCTION("""COMPUTED_VALUE"""),"Comedy")</f>
        <v>Comedy</v>
      </c>
      <c r="V2073" s="5">
        <f>IFERROR(__xludf.DUMMYFUNCTION("""COMPUTED_VALUE"""),1.0)</f>
        <v>1</v>
      </c>
    </row>
    <row r="2074">
      <c r="J2074" s="5" t="str">
        <f>IFERROR(__xludf.DUMMYFUNCTION("""COMPUTED_VALUE"""),"691🤙🏼Days of Heaven🤙🏼🤙🏼3")</f>
        <v>691🤙🏼Days of Heaven🤙🏼🤙🏼3</v>
      </c>
      <c r="K2074" s="5">
        <f>IFERROR(__xludf.DUMMYFUNCTION("SPLiT(J2074, ""🤙🏼"",FALSE,FALSE)"),691.0)</f>
        <v>691</v>
      </c>
      <c r="L2074" s="5" t="str">
        <f>IFERROR(__xludf.DUMMYFUNCTION("""COMPUTED_VALUE"""),"Days of Heaven")</f>
        <v>Days of Heaven</v>
      </c>
      <c r="M2074" s="5"/>
      <c r="N2074" s="5">
        <f>IFERROR(__xludf.DUMMYFUNCTION("""COMPUTED_VALUE"""),3.0)</f>
        <v>3</v>
      </c>
      <c r="S2074" s="5">
        <f>IFERROR(__xludf.DUMMYFUNCTION("""COMPUTED_VALUE"""),818.0)</f>
        <v>818</v>
      </c>
      <c r="T2074" s="5" t="str">
        <f>IFERROR(__xludf.DUMMYFUNCTION("""COMPUTED_VALUE"""),"Short Cuts")</f>
        <v>Short Cuts</v>
      </c>
      <c r="U2074" s="5" t="str">
        <f>IFERROR(__xludf.DUMMYFUNCTION("""COMPUTED_VALUE"""),"Drama")</f>
        <v>Drama</v>
      </c>
      <c r="V2074" s="5">
        <f>IFERROR(__xludf.DUMMYFUNCTION("""COMPUTED_VALUE"""),2.0)</f>
        <v>2</v>
      </c>
    </row>
    <row r="2075">
      <c r="J2075" s="5" t="str">
        <f>IFERROR(__xludf.DUMMYFUNCTION("""COMPUTED_VALUE"""),"692🤙🏼The Outlaw Josey Wales🤙🏼Western🤙🏼1")</f>
        <v>692🤙🏼The Outlaw Josey Wales🤙🏼Western🤙🏼1</v>
      </c>
      <c r="K2075" s="5">
        <f>IFERROR(__xludf.DUMMYFUNCTION("SPLiT(J2075, ""🤙🏼"",FALSE,FALSE)"),692.0)</f>
        <v>692</v>
      </c>
      <c r="L2075" s="5" t="str">
        <f>IFERROR(__xludf.DUMMYFUNCTION("""COMPUTED_VALUE"""),"The Outlaw Josey Wales")</f>
        <v>The Outlaw Josey Wales</v>
      </c>
      <c r="M2075" s="5" t="str">
        <f>IFERROR(__xludf.DUMMYFUNCTION("""COMPUTED_VALUE"""),"Western")</f>
        <v>Western</v>
      </c>
      <c r="N2075" s="5">
        <f>IFERROR(__xludf.DUMMYFUNCTION("""COMPUTED_VALUE"""),1.0)</f>
        <v>1</v>
      </c>
      <c r="S2075" s="5">
        <f>IFERROR(__xludf.DUMMYFUNCTION("""COMPUTED_VALUE"""),819.0)</f>
        <v>819</v>
      </c>
      <c r="T2075" s="5" t="str">
        <f>IFERROR(__xludf.DUMMYFUNCTION("""COMPUTED_VALUE"""),"Philadelphia")</f>
        <v>Philadelphia</v>
      </c>
      <c r="U2075" s="5" t="str">
        <f>IFERROR(__xludf.DUMMYFUNCTION("""COMPUTED_VALUE"""),"Drama")</f>
        <v>Drama</v>
      </c>
      <c r="V2075" s="5">
        <f>IFERROR(__xludf.DUMMYFUNCTION("""COMPUTED_VALUE"""),1.0)</f>
        <v>1</v>
      </c>
    </row>
    <row r="2076">
      <c r="J2076" s="5" t="str">
        <f>IFERROR(__xludf.DUMMYFUNCTION("""COMPUTED_VALUE"""),"692🤙🏼The Outlaw Josey Wales🤙🏼🤙🏼2")</f>
        <v>692🤙🏼The Outlaw Josey Wales🤙🏼🤙🏼2</v>
      </c>
      <c r="K2076" s="5">
        <f>IFERROR(__xludf.DUMMYFUNCTION("SPLiT(J2076, ""🤙🏼"",FALSE,FALSE)"),692.0)</f>
        <v>692</v>
      </c>
      <c r="L2076" s="5" t="str">
        <f>IFERROR(__xludf.DUMMYFUNCTION("""COMPUTED_VALUE"""),"The Outlaw Josey Wales")</f>
        <v>The Outlaw Josey Wales</v>
      </c>
      <c r="M2076" s="5"/>
      <c r="N2076" s="5">
        <f>IFERROR(__xludf.DUMMYFUNCTION("""COMPUTED_VALUE"""),2.0)</f>
        <v>2</v>
      </c>
      <c r="S2076" s="5">
        <f>IFERROR(__xludf.DUMMYFUNCTION("""COMPUTED_VALUE"""),820.0)</f>
        <v>820</v>
      </c>
      <c r="T2076" s="5" t="str">
        <f>IFERROR(__xludf.DUMMYFUNCTION("""COMPUTED_VALUE"""),"The Muppet Christmas Carol")</f>
        <v>The Muppet Christmas Carol</v>
      </c>
      <c r="U2076" s="5" t="str">
        <f>IFERROR(__xludf.DUMMYFUNCTION("""COMPUTED_VALUE"""),"Comedy")</f>
        <v>Comedy</v>
      </c>
      <c r="V2076" s="5">
        <f>IFERROR(__xludf.DUMMYFUNCTION("""COMPUTED_VALUE"""),1.0)</f>
        <v>1</v>
      </c>
    </row>
    <row r="2077">
      <c r="J2077" s="5" t="str">
        <f>IFERROR(__xludf.DUMMYFUNCTION("""COMPUTED_VALUE"""),"692🤙🏼The Outlaw Josey Wales🤙🏼🤙🏼3")</f>
        <v>692🤙🏼The Outlaw Josey Wales🤙🏼🤙🏼3</v>
      </c>
      <c r="K2077" s="5">
        <f>IFERROR(__xludf.DUMMYFUNCTION("SPLiT(J2077, ""🤙🏼"",FALSE,FALSE)"),692.0)</f>
        <v>692</v>
      </c>
      <c r="L2077" s="5" t="str">
        <f>IFERROR(__xludf.DUMMYFUNCTION("""COMPUTED_VALUE"""),"The Outlaw Josey Wales")</f>
        <v>The Outlaw Josey Wales</v>
      </c>
      <c r="M2077" s="5"/>
      <c r="N2077" s="5">
        <f>IFERROR(__xludf.DUMMYFUNCTION("""COMPUTED_VALUE"""),3.0)</f>
        <v>3</v>
      </c>
      <c r="S2077" s="5">
        <f>IFERROR(__xludf.DUMMYFUNCTION("""COMPUTED_VALUE"""),820.0)</f>
        <v>820</v>
      </c>
      <c r="T2077" s="5" t="str">
        <f>IFERROR(__xludf.DUMMYFUNCTION("""COMPUTED_VALUE"""),"The Muppet Christmas Carol")</f>
        <v>The Muppet Christmas Carol</v>
      </c>
      <c r="U2077" s="5" t="str">
        <f>IFERROR(__xludf.DUMMYFUNCTION("""COMPUTED_VALUE"""),"Drama")</f>
        <v>Drama</v>
      </c>
      <c r="V2077" s="5">
        <f>IFERROR(__xludf.DUMMYFUNCTION("""COMPUTED_VALUE"""),2.0)</f>
        <v>2</v>
      </c>
    </row>
    <row r="2078">
      <c r="J2078" s="5" t="str">
        <f>IFERROR(__xludf.DUMMYFUNCTION("""COMPUTED_VALUE"""),"693🤙🏼The Man Who Would Be King🤙🏼Adventure🤙🏼1")</f>
        <v>693🤙🏼The Man Who Would Be King🤙🏼Adventure🤙🏼1</v>
      </c>
      <c r="K2078" s="5">
        <f>IFERROR(__xludf.DUMMYFUNCTION("SPLiT(J2078, ""🤙🏼"",FALSE,FALSE)"),693.0)</f>
        <v>693</v>
      </c>
      <c r="L2078" s="5" t="str">
        <f>IFERROR(__xludf.DUMMYFUNCTION("""COMPUTED_VALUE"""),"The Man Who Would Be King")</f>
        <v>The Man Who Would Be King</v>
      </c>
      <c r="M2078" s="5" t="str">
        <f>IFERROR(__xludf.DUMMYFUNCTION("""COMPUTED_VALUE"""),"Adventure")</f>
        <v>Adventure</v>
      </c>
      <c r="N2078" s="5">
        <f>IFERROR(__xludf.DUMMYFUNCTION("""COMPUTED_VALUE"""),1.0)</f>
        <v>1</v>
      </c>
      <c r="S2078" s="5">
        <f>IFERROR(__xludf.DUMMYFUNCTION("""COMPUTED_VALUE"""),820.0)</f>
        <v>820</v>
      </c>
      <c r="T2078" s="5" t="str">
        <f>IFERROR(__xludf.DUMMYFUNCTION("""COMPUTED_VALUE"""),"The Muppet Christmas Carol")</f>
        <v>The Muppet Christmas Carol</v>
      </c>
      <c r="U2078" s="5" t="str">
        <f>IFERROR(__xludf.DUMMYFUNCTION("""COMPUTED_VALUE"""),"Family")</f>
        <v>Family</v>
      </c>
      <c r="V2078" s="5">
        <f>IFERROR(__xludf.DUMMYFUNCTION("""COMPUTED_VALUE"""),3.0)</f>
        <v>3</v>
      </c>
    </row>
    <row r="2079">
      <c r="J2079" s="5" t="str">
        <f>IFERROR(__xludf.DUMMYFUNCTION("""COMPUTED_VALUE"""),"693🤙🏼The Man Who Would Be King🤙🏼History🤙🏼2")</f>
        <v>693🤙🏼The Man Who Would Be King🤙🏼History🤙🏼2</v>
      </c>
      <c r="K2079" s="5">
        <f>IFERROR(__xludf.DUMMYFUNCTION("SPLiT(J2079, ""🤙🏼"",FALSE,FALSE)"),693.0)</f>
        <v>693</v>
      </c>
      <c r="L2079" s="5" t="str">
        <f>IFERROR(__xludf.DUMMYFUNCTION("""COMPUTED_VALUE"""),"The Man Who Would Be King")</f>
        <v>The Man Who Would Be King</v>
      </c>
      <c r="M2079" s="5" t="str">
        <f>IFERROR(__xludf.DUMMYFUNCTION("""COMPUTED_VALUE"""),"History")</f>
        <v>History</v>
      </c>
      <c r="N2079" s="5">
        <f>IFERROR(__xludf.DUMMYFUNCTION("""COMPUTED_VALUE"""),2.0)</f>
        <v>2</v>
      </c>
      <c r="S2079" s="5">
        <f>IFERROR(__xludf.DUMMYFUNCTION("""COMPUTED_VALUE"""),821.0)</f>
        <v>821</v>
      </c>
      <c r="T2079" s="5" t="str">
        <f>IFERROR(__xludf.DUMMYFUNCTION("""COMPUTED_VALUE"""),"Malcolm X")</f>
        <v>Malcolm X</v>
      </c>
      <c r="U2079" s="5" t="str">
        <f>IFERROR(__xludf.DUMMYFUNCTION("""COMPUTED_VALUE"""),"Biography")</f>
        <v>Biography</v>
      </c>
      <c r="V2079" s="5">
        <f>IFERROR(__xludf.DUMMYFUNCTION("""COMPUTED_VALUE"""),1.0)</f>
        <v>1</v>
      </c>
    </row>
    <row r="2080">
      <c r="J2080" s="5" t="str">
        <f>IFERROR(__xludf.DUMMYFUNCTION("""COMPUTED_VALUE"""),"693🤙🏼The Man Who Would Be King🤙🏼War🤙🏼3")</f>
        <v>693🤙🏼The Man Who Would Be King🤙🏼War🤙🏼3</v>
      </c>
      <c r="K2080" s="5">
        <f>IFERROR(__xludf.DUMMYFUNCTION("SPLiT(J2080, ""🤙🏼"",FALSE,FALSE)"),693.0)</f>
        <v>693</v>
      </c>
      <c r="L2080" s="5" t="str">
        <f>IFERROR(__xludf.DUMMYFUNCTION("""COMPUTED_VALUE"""),"The Man Who Would Be King")</f>
        <v>The Man Who Would Be King</v>
      </c>
      <c r="M2080" s="5" t="str">
        <f>IFERROR(__xludf.DUMMYFUNCTION("""COMPUTED_VALUE"""),"War")</f>
        <v>War</v>
      </c>
      <c r="N2080" s="5">
        <f>IFERROR(__xludf.DUMMYFUNCTION("""COMPUTED_VALUE"""),3.0)</f>
        <v>3</v>
      </c>
      <c r="S2080" s="5">
        <f>IFERROR(__xludf.DUMMYFUNCTION("""COMPUTED_VALUE"""),821.0)</f>
        <v>821</v>
      </c>
      <c r="T2080" s="5" t="str">
        <f>IFERROR(__xludf.DUMMYFUNCTION("""COMPUTED_VALUE"""),"Malcolm X")</f>
        <v>Malcolm X</v>
      </c>
      <c r="U2080" s="5" t="str">
        <f>IFERROR(__xludf.DUMMYFUNCTION("""COMPUTED_VALUE"""),"Drama")</f>
        <v>Drama</v>
      </c>
      <c r="V2080" s="5">
        <f>IFERROR(__xludf.DUMMYFUNCTION("""COMPUTED_VALUE"""),2.0)</f>
        <v>2</v>
      </c>
    </row>
    <row r="2081">
      <c r="J2081" s="5" t="str">
        <f>IFERROR(__xludf.DUMMYFUNCTION("""COMPUTED_VALUE"""),"694🤙🏼The Conversation🤙🏼Drama🤙🏼1")</f>
        <v>694🤙🏼The Conversation🤙🏼Drama🤙🏼1</v>
      </c>
      <c r="K2081" s="5">
        <f>IFERROR(__xludf.DUMMYFUNCTION("SPLiT(J2081, ""🤙🏼"",FALSE,FALSE)"),694.0)</f>
        <v>694</v>
      </c>
      <c r="L2081" s="5" t="str">
        <f>IFERROR(__xludf.DUMMYFUNCTION("""COMPUTED_VALUE"""),"The Conversation")</f>
        <v>The Conversation</v>
      </c>
      <c r="M2081" s="5" t="str">
        <f>IFERROR(__xludf.DUMMYFUNCTION("""COMPUTED_VALUE"""),"Drama")</f>
        <v>Drama</v>
      </c>
      <c r="N2081" s="5">
        <f>IFERROR(__xludf.DUMMYFUNCTION("""COMPUTED_VALUE"""),1.0)</f>
        <v>1</v>
      </c>
      <c r="S2081" s="5">
        <f>IFERROR(__xludf.DUMMYFUNCTION("""COMPUTED_VALUE"""),821.0)</f>
        <v>821</v>
      </c>
      <c r="T2081" s="5" t="str">
        <f>IFERROR(__xludf.DUMMYFUNCTION("""COMPUTED_VALUE"""),"Malcolm X")</f>
        <v>Malcolm X</v>
      </c>
      <c r="U2081" s="5" t="str">
        <f>IFERROR(__xludf.DUMMYFUNCTION("""COMPUTED_VALUE"""),"History")</f>
        <v>History</v>
      </c>
      <c r="V2081" s="5">
        <f>IFERROR(__xludf.DUMMYFUNCTION("""COMPUTED_VALUE"""),3.0)</f>
        <v>3</v>
      </c>
    </row>
    <row r="2082">
      <c r="J2082" s="5" t="str">
        <f>IFERROR(__xludf.DUMMYFUNCTION("""COMPUTED_VALUE"""),"694🤙🏼The Conversation🤙🏼Mystery🤙🏼2")</f>
        <v>694🤙🏼The Conversation🤙🏼Mystery🤙🏼2</v>
      </c>
      <c r="K2082" s="5">
        <f>IFERROR(__xludf.DUMMYFUNCTION("SPLiT(J2082, ""🤙🏼"",FALSE,FALSE)"),694.0)</f>
        <v>694</v>
      </c>
      <c r="L2082" s="5" t="str">
        <f>IFERROR(__xludf.DUMMYFUNCTION("""COMPUTED_VALUE"""),"The Conversation")</f>
        <v>The Conversation</v>
      </c>
      <c r="M2082" s="5" t="str">
        <f>IFERROR(__xludf.DUMMYFUNCTION("""COMPUTED_VALUE"""),"Mystery")</f>
        <v>Mystery</v>
      </c>
      <c r="N2082" s="5">
        <f>IFERROR(__xludf.DUMMYFUNCTION("""COMPUTED_VALUE"""),2.0)</f>
        <v>2</v>
      </c>
      <c r="S2082" s="5">
        <f>IFERROR(__xludf.DUMMYFUNCTION("""COMPUTED_VALUE"""),822.0)</f>
        <v>822</v>
      </c>
      <c r="T2082" s="5" t="str">
        <f>IFERROR(__xludf.DUMMYFUNCTION("""COMPUTED_VALUE"""),"The Last of the Mohicans")</f>
        <v>The Last of the Mohicans</v>
      </c>
      <c r="U2082" s="5" t="str">
        <f>IFERROR(__xludf.DUMMYFUNCTION("""COMPUTED_VALUE"""),"Action")</f>
        <v>Action</v>
      </c>
      <c r="V2082" s="5">
        <f>IFERROR(__xludf.DUMMYFUNCTION("""COMPUTED_VALUE"""),1.0)</f>
        <v>1</v>
      </c>
    </row>
    <row r="2083">
      <c r="J2083" s="5" t="str">
        <f>IFERROR(__xludf.DUMMYFUNCTION("""COMPUTED_VALUE"""),"694🤙🏼The Conversation🤙🏼Thriller🤙🏼3")</f>
        <v>694🤙🏼The Conversation🤙🏼Thriller🤙🏼3</v>
      </c>
      <c r="K2083" s="5">
        <f>IFERROR(__xludf.DUMMYFUNCTION("SPLiT(J2083, ""🤙🏼"",FALSE,FALSE)"),694.0)</f>
        <v>694</v>
      </c>
      <c r="L2083" s="5" t="str">
        <f>IFERROR(__xludf.DUMMYFUNCTION("""COMPUTED_VALUE"""),"The Conversation")</f>
        <v>The Conversation</v>
      </c>
      <c r="M2083" s="5" t="str">
        <f>IFERROR(__xludf.DUMMYFUNCTION("""COMPUTED_VALUE"""),"Thriller")</f>
        <v>Thriller</v>
      </c>
      <c r="N2083" s="5">
        <f>IFERROR(__xludf.DUMMYFUNCTION("""COMPUTED_VALUE"""),3.0)</f>
        <v>3</v>
      </c>
      <c r="S2083" s="5">
        <f>IFERROR(__xludf.DUMMYFUNCTION("""COMPUTED_VALUE"""),822.0)</f>
        <v>822</v>
      </c>
      <c r="T2083" s="5" t="str">
        <f>IFERROR(__xludf.DUMMYFUNCTION("""COMPUTED_VALUE"""),"The Last of the Mohicans")</f>
        <v>The Last of the Mohicans</v>
      </c>
      <c r="U2083" s="5" t="str">
        <f>IFERROR(__xludf.DUMMYFUNCTION("""COMPUTED_VALUE"""),"Adventure")</f>
        <v>Adventure</v>
      </c>
      <c r="V2083" s="5">
        <f>IFERROR(__xludf.DUMMYFUNCTION("""COMPUTED_VALUE"""),2.0)</f>
        <v>2</v>
      </c>
    </row>
    <row r="2084">
      <c r="J2084" s="5" t="str">
        <f>IFERROR(__xludf.DUMMYFUNCTION("""COMPUTED_VALUE"""),"695🤙🏼La planète sauvage🤙🏼Animation🤙🏼1")</f>
        <v>695🤙🏼La planète sauvage🤙🏼Animation🤙🏼1</v>
      </c>
      <c r="K2084" s="5">
        <f>IFERROR(__xludf.DUMMYFUNCTION("SPLiT(J2084, ""🤙🏼"",FALSE,FALSE)"),695.0)</f>
        <v>695</v>
      </c>
      <c r="L2084" s="5" t="str">
        <f>IFERROR(__xludf.DUMMYFUNCTION("""COMPUTED_VALUE"""),"La planète sauvage")</f>
        <v>La planète sauvage</v>
      </c>
      <c r="M2084" s="5" t="str">
        <f>IFERROR(__xludf.DUMMYFUNCTION("""COMPUTED_VALUE"""),"Animation")</f>
        <v>Animation</v>
      </c>
      <c r="N2084" s="5">
        <f>IFERROR(__xludf.DUMMYFUNCTION("""COMPUTED_VALUE"""),1.0)</f>
        <v>1</v>
      </c>
      <c r="S2084" s="5">
        <f>IFERROR(__xludf.DUMMYFUNCTION("""COMPUTED_VALUE"""),822.0)</f>
        <v>822</v>
      </c>
      <c r="T2084" s="5" t="str">
        <f>IFERROR(__xludf.DUMMYFUNCTION("""COMPUTED_VALUE"""),"The Last of the Mohicans")</f>
        <v>The Last of the Mohicans</v>
      </c>
      <c r="U2084" s="5" t="str">
        <f>IFERROR(__xludf.DUMMYFUNCTION("""COMPUTED_VALUE"""),"Drama")</f>
        <v>Drama</v>
      </c>
      <c r="V2084" s="5">
        <f>IFERROR(__xludf.DUMMYFUNCTION("""COMPUTED_VALUE"""),3.0)</f>
        <v>3</v>
      </c>
    </row>
    <row r="2085">
      <c r="J2085" s="5" t="str">
        <f>IFERROR(__xludf.DUMMYFUNCTION("""COMPUTED_VALUE"""),"695🤙🏼La planète sauvage🤙🏼Sci-Fi🤙🏼2")</f>
        <v>695🤙🏼La planète sauvage🤙🏼Sci-Fi🤙🏼2</v>
      </c>
      <c r="K2085" s="5">
        <f>IFERROR(__xludf.DUMMYFUNCTION("SPLiT(J2085, ""🤙🏼"",FALSE,FALSE)"),695.0)</f>
        <v>695</v>
      </c>
      <c r="L2085" s="5" t="str">
        <f>IFERROR(__xludf.DUMMYFUNCTION("""COMPUTED_VALUE"""),"La planète sauvage")</f>
        <v>La planète sauvage</v>
      </c>
      <c r="M2085" s="5" t="str">
        <f>IFERROR(__xludf.DUMMYFUNCTION("""COMPUTED_VALUE"""),"Sci-Fi")</f>
        <v>Sci-Fi</v>
      </c>
      <c r="N2085" s="5">
        <f>IFERROR(__xludf.DUMMYFUNCTION("""COMPUTED_VALUE"""),2.0)</f>
        <v>2</v>
      </c>
      <c r="S2085" s="5">
        <f>IFERROR(__xludf.DUMMYFUNCTION("""COMPUTED_VALUE"""),823.0)</f>
        <v>823</v>
      </c>
      <c r="T2085" s="5" t="str">
        <f>IFERROR(__xludf.DUMMYFUNCTION("""COMPUTED_VALUE"""),"Kurenai no buta")</f>
        <v>Kurenai no buta</v>
      </c>
      <c r="U2085" s="5" t="str">
        <f>IFERROR(__xludf.DUMMYFUNCTION("""COMPUTED_VALUE"""),"Animation")</f>
        <v>Animation</v>
      </c>
      <c r="V2085" s="5">
        <f>IFERROR(__xludf.DUMMYFUNCTION("""COMPUTED_VALUE"""),1.0)</f>
        <v>1</v>
      </c>
    </row>
    <row r="2086">
      <c r="J2086" s="5" t="str">
        <f>IFERROR(__xludf.DUMMYFUNCTION("""COMPUTED_VALUE"""),"695🤙🏼La planète sauvage🤙🏼🤙🏼3")</f>
        <v>695🤙🏼La planète sauvage🤙🏼🤙🏼3</v>
      </c>
      <c r="K2086" s="5">
        <f>IFERROR(__xludf.DUMMYFUNCTION("SPLiT(J2086, ""🤙🏼"",FALSE,FALSE)"),695.0)</f>
        <v>695</v>
      </c>
      <c r="L2086" s="5" t="str">
        <f>IFERROR(__xludf.DUMMYFUNCTION("""COMPUTED_VALUE"""),"La planète sauvage")</f>
        <v>La planète sauvage</v>
      </c>
      <c r="M2086" s="5"/>
      <c r="N2086" s="5">
        <f>IFERROR(__xludf.DUMMYFUNCTION("""COMPUTED_VALUE"""),3.0)</f>
        <v>3</v>
      </c>
      <c r="S2086" s="5">
        <f>IFERROR(__xludf.DUMMYFUNCTION("""COMPUTED_VALUE"""),823.0)</f>
        <v>823</v>
      </c>
      <c r="T2086" s="5" t="str">
        <f>IFERROR(__xludf.DUMMYFUNCTION("""COMPUTED_VALUE"""),"Kurenai no buta")</f>
        <v>Kurenai no buta</v>
      </c>
      <c r="U2086" s="5" t="str">
        <f>IFERROR(__xludf.DUMMYFUNCTION("""COMPUTED_VALUE"""),"Adventure")</f>
        <v>Adventure</v>
      </c>
      <c r="V2086" s="5">
        <f>IFERROR(__xludf.DUMMYFUNCTION("""COMPUTED_VALUE"""),2.0)</f>
        <v>2</v>
      </c>
    </row>
    <row r="2087">
      <c r="J2087" s="5" t="str">
        <f>IFERROR(__xludf.DUMMYFUNCTION("""COMPUTED_VALUE"""),"696🤙🏼The Day of the Jackal🤙🏼Crime🤙🏼1")</f>
        <v>696🤙🏼The Day of the Jackal🤙🏼Crime🤙🏼1</v>
      </c>
      <c r="K2087" s="5">
        <f>IFERROR(__xludf.DUMMYFUNCTION("SPLiT(J2087, ""🤙🏼"",FALSE,FALSE)"),696.0)</f>
        <v>696</v>
      </c>
      <c r="L2087" s="5" t="str">
        <f>IFERROR(__xludf.DUMMYFUNCTION("""COMPUTED_VALUE"""),"The Day of the Jackal")</f>
        <v>The Day of the Jackal</v>
      </c>
      <c r="M2087" s="5" t="str">
        <f>IFERROR(__xludf.DUMMYFUNCTION("""COMPUTED_VALUE"""),"Crime")</f>
        <v>Crime</v>
      </c>
      <c r="N2087" s="5">
        <f>IFERROR(__xludf.DUMMYFUNCTION("""COMPUTED_VALUE"""),1.0)</f>
        <v>1</v>
      </c>
      <c r="S2087" s="5">
        <f>IFERROR(__xludf.DUMMYFUNCTION("""COMPUTED_VALUE"""),823.0)</f>
        <v>823</v>
      </c>
      <c r="T2087" s="5" t="str">
        <f>IFERROR(__xludf.DUMMYFUNCTION("""COMPUTED_VALUE"""),"Kurenai no buta")</f>
        <v>Kurenai no buta</v>
      </c>
      <c r="U2087" s="5" t="str">
        <f>IFERROR(__xludf.DUMMYFUNCTION("""COMPUTED_VALUE"""),"Comedy")</f>
        <v>Comedy</v>
      </c>
      <c r="V2087" s="5">
        <f>IFERROR(__xludf.DUMMYFUNCTION("""COMPUTED_VALUE"""),3.0)</f>
        <v>3</v>
      </c>
    </row>
    <row r="2088">
      <c r="J2088" s="5" t="str">
        <f>IFERROR(__xludf.DUMMYFUNCTION("""COMPUTED_VALUE"""),"696🤙🏼The Day of the Jackal🤙🏼Drama🤙🏼2")</f>
        <v>696🤙🏼The Day of the Jackal🤙🏼Drama🤙🏼2</v>
      </c>
      <c r="K2088" s="5">
        <f>IFERROR(__xludf.DUMMYFUNCTION("SPLiT(J2088, ""🤙🏼"",FALSE,FALSE)"),696.0)</f>
        <v>696</v>
      </c>
      <c r="L2088" s="5" t="str">
        <f>IFERROR(__xludf.DUMMYFUNCTION("""COMPUTED_VALUE"""),"The Day of the Jackal")</f>
        <v>The Day of the Jackal</v>
      </c>
      <c r="M2088" s="5" t="str">
        <f>IFERROR(__xludf.DUMMYFUNCTION("""COMPUTED_VALUE"""),"Drama")</f>
        <v>Drama</v>
      </c>
      <c r="N2088" s="5">
        <f>IFERROR(__xludf.DUMMYFUNCTION("""COMPUTED_VALUE"""),2.0)</f>
        <v>2</v>
      </c>
      <c r="S2088" s="5">
        <f>IFERROR(__xludf.DUMMYFUNCTION("""COMPUTED_VALUE"""),824.0)</f>
        <v>824</v>
      </c>
      <c r="T2088" s="5" t="str">
        <f>IFERROR(__xludf.DUMMYFUNCTION("""COMPUTED_VALUE"""),"Glengarry Glen Ross")</f>
        <v>Glengarry Glen Ross</v>
      </c>
      <c r="U2088" s="5" t="str">
        <f>IFERROR(__xludf.DUMMYFUNCTION("""COMPUTED_VALUE"""),"Crime")</f>
        <v>Crime</v>
      </c>
      <c r="V2088" s="5">
        <f>IFERROR(__xludf.DUMMYFUNCTION("""COMPUTED_VALUE"""),1.0)</f>
        <v>1</v>
      </c>
    </row>
    <row r="2089">
      <c r="J2089" s="5" t="str">
        <f>IFERROR(__xludf.DUMMYFUNCTION("""COMPUTED_VALUE"""),"696🤙🏼The Day of the Jackal🤙🏼Thriller🤙🏼3")</f>
        <v>696🤙🏼The Day of the Jackal🤙🏼Thriller🤙🏼3</v>
      </c>
      <c r="K2089" s="5">
        <f>IFERROR(__xludf.DUMMYFUNCTION("SPLiT(J2089, ""🤙🏼"",FALSE,FALSE)"),696.0)</f>
        <v>696</v>
      </c>
      <c r="L2089" s="5" t="str">
        <f>IFERROR(__xludf.DUMMYFUNCTION("""COMPUTED_VALUE"""),"The Day of the Jackal")</f>
        <v>The Day of the Jackal</v>
      </c>
      <c r="M2089" s="5" t="str">
        <f>IFERROR(__xludf.DUMMYFUNCTION("""COMPUTED_VALUE"""),"Thriller")</f>
        <v>Thriller</v>
      </c>
      <c r="N2089" s="5">
        <f>IFERROR(__xludf.DUMMYFUNCTION("""COMPUTED_VALUE"""),3.0)</f>
        <v>3</v>
      </c>
      <c r="S2089" s="5">
        <f>IFERROR(__xludf.DUMMYFUNCTION("""COMPUTED_VALUE"""),824.0)</f>
        <v>824</v>
      </c>
      <c r="T2089" s="5" t="str">
        <f>IFERROR(__xludf.DUMMYFUNCTION("""COMPUTED_VALUE"""),"Glengarry Glen Ross")</f>
        <v>Glengarry Glen Ross</v>
      </c>
      <c r="U2089" s="5" t="str">
        <f>IFERROR(__xludf.DUMMYFUNCTION("""COMPUTED_VALUE"""),"Drama")</f>
        <v>Drama</v>
      </c>
      <c r="V2089" s="5">
        <f>IFERROR(__xludf.DUMMYFUNCTION("""COMPUTED_VALUE"""),2.0)</f>
        <v>2</v>
      </c>
    </row>
    <row r="2090">
      <c r="J2090" s="5" t="str">
        <f>IFERROR(__xludf.DUMMYFUNCTION("""COMPUTED_VALUE"""),"697🤙🏼Badlands🤙🏼Action🤙🏼1")</f>
        <v>697🤙🏼Badlands🤙🏼Action🤙🏼1</v>
      </c>
      <c r="K2090" s="5">
        <f>IFERROR(__xludf.DUMMYFUNCTION("SPLiT(J2090, ""🤙🏼"",FALSE,FALSE)"),697.0)</f>
        <v>697</v>
      </c>
      <c r="L2090" s="5" t="str">
        <f>IFERROR(__xludf.DUMMYFUNCTION("""COMPUTED_VALUE"""),"Badlands")</f>
        <v>Badlands</v>
      </c>
      <c r="M2090" s="5" t="str">
        <f>IFERROR(__xludf.DUMMYFUNCTION("""COMPUTED_VALUE"""),"Action")</f>
        <v>Action</v>
      </c>
      <c r="N2090" s="5">
        <f>IFERROR(__xludf.DUMMYFUNCTION("""COMPUTED_VALUE"""),1.0)</f>
        <v>1</v>
      </c>
      <c r="S2090" s="5">
        <f>IFERROR(__xludf.DUMMYFUNCTION("""COMPUTED_VALUE"""),824.0)</f>
        <v>824</v>
      </c>
      <c r="T2090" s="5" t="str">
        <f>IFERROR(__xludf.DUMMYFUNCTION("""COMPUTED_VALUE"""),"Glengarry Glen Ross")</f>
        <v>Glengarry Glen Ross</v>
      </c>
      <c r="U2090" s="5" t="str">
        <f>IFERROR(__xludf.DUMMYFUNCTION("""COMPUTED_VALUE"""),"Mystery")</f>
        <v>Mystery</v>
      </c>
      <c r="V2090" s="5">
        <f>IFERROR(__xludf.DUMMYFUNCTION("""COMPUTED_VALUE"""),3.0)</f>
        <v>3</v>
      </c>
    </row>
    <row r="2091">
      <c r="J2091" s="5" t="str">
        <f>IFERROR(__xludf.DUMMYFUNCTION("""COMPUTED_VALUE"""),"697🤙🏼Badlands🤙🏼Crime🤙🏼2")</f>
        <v>697🤙🏼Badlands🤙🏼Crime🤙🏼2</v>
      </c>
      <c r="K2091" s="5">
        <f>IFERROR(__xludf.DUMMYFUNCTION("SPLiT(J2091, ""🤙🏼"",FALSE,FALSE)"),697.0)</f>
        <v>697</v>
      </c>
      <c r="L2091" s="5" t="str">
        <f>IFERROR(__xludf.DUMMYFUNCTION("""COMPUTED_VALUE"""),"Badlands")</f>
        <v>Badlands</v>
      </c>
      <c r="M2091" s="5" t="str">
        <f>IFERROR(__xludf.DUMMYFUNCTION("""COMPUTED_VALUE"""),"Crime")</f>
        <v>Crime</v>
      </c>
      <c r="N2091" s="5">
        <f>IFERROR(__xludf.DUMMYFUNCTION("""COMPUTED_VALUE"""),2.0)</f>
        <v>2</v>
      </c>
      <c r="S2091" s="5">
        <f>IFERROR(__xludf.DUMMYFUNCTION("""COMPUTED_VALUE"""),825.0)</f>
        <v>825</v>
      </c>
      <c r="T2091" s="5" t="str">
        <f>IFERROR(__xludf.DUMMYFUNCTION("""COMPUTED_VALUE"""),"A Few Good Men")</f>
        <v>A Few Good Men</v>
      </c>
      <c r="U2091" s="5" t="str">
        <f>IFERROR(__xludf.DUMMYFUNCTION("""COMPUTED_VALUE"""),"Drama")</f>
        <v>Drama</v>
      </c>
      <c r="V2091" s="5">
        <f>IFERROR(__xludf.DUMMYFUNCTION("""COMPUTED_VALUE"""),1.0)</f>
        <v>1</v>
      </c>
    </row>
    <row r="2092">
      <c r="J2092" s="5" t="str">
        <f>IFERROR(__xludf.DUMMYFUNCTION("""COMPUTED_VALUE"""),"697🤙🏼Badlands🤙🏼Drama🤙🏼3")</f>
        <v>697🤙🏼Badlands🤙🏼Drama🤙🏼3</v>
      </c>
      <c r="K2092" s="5">
        <f>IFERROR(__xludf.DUMMYFUNCTION("SPLiT(J2092, ""🤙🏼"",FALSE,FALSE)"),697.0)</f>
        <v>697</v>
      </c>
      <c r="L2092" s="5" t="str">
        <f>IFERROR(__xludf.DUMMYFUNCTION("""COMPUTED_VALUE"""),"Badlands")</f>
        <v>Badlands</v>
      </c>
      <c r="M2092" s="5" t="str">
        <f>IFERROR(__xludf.DUMMYFUNCTION("""COMPUTED_VALUE"""),"Drama")</f>
        <v>Drama</v>
      </c>
      <c r="N2092" s="5">
        <f>IFERROR(__xludf.DUMMYFUNCTION("""COMPUTED_VALUE"""),3.0)</f>
        <v>3</v>
      </c>
      <c r="S2092" s="5">
        <f>IFERROR(__xludf.DUMMYFUNCTION("""COMPUTED_VALUE"""),825.0)</f>
        <v>825</v>
      </c>
      <c r="T2092" s="5" t="str">
        <f>IFERROR(__xludf.DUMMYFUNCTION("""COMPUTED_VALUE"""),"A Few Good Men")</f>
        <v>A Few Good Men</v>
      </c>
      <c r="U2092" s="5" t="str">
        <f>IFERROR(__xludf.DUMMYFUNCTION("""COMPUTED_VALUE"""),"Thriller")</f>
        <v>Thriller</v>
      </c>
      <c r="V2092" s="5">
        <f>IFERROR(__xludf.DUMMYFUNCTION("""COMPUTED_VALUE"""),2.0)</f>
        <v>2</v>
      </c>
    </row>
    <row r="2093">
      <c r="J2093" s="5" t="str">
        <f>IFERROR(__xludf.DUMMYFUNCTION("""COMPUTED_VALUE"""),"698🤙🏼Cabaret🤙🏼Drama🤙🏼1")</f>
        <v>698🤙🏼Cabaret🤙🏼Drama🤙🏼1</v>
      </c>
      <c r="K2093" s="5">
        <f>IFERROR(__xludf.DUMMYFUNCTION("SPLiT(J2093, ""🤙🏼"",FALSE,FALSE)"),698.0)</f>
        <v>698</v>
      </c>
      <c r="L2093" s="5" t="str">
        <f>IFERROR(__xludf.DUMMYFUNCTION("""COMPUTED_VALUE"""),"Cabaret")</f>
        <v>Cabaret</v>
      </c>
      <c r="M2093" s="5" t="str">
        <f>IFERROR(__xludf.DUMMYFUNCTION("""COMPUTED_VALUE"""),"Drama")</f>
        <v>Drama</v>
      </c>
      <c r="N2093" s="5">
        <f>IFERROR(__xludf.DUMMYFUNCTION("""COMPUTED_VALUE"""),1.0)</f>
        <v>1</v>
      </c>
      <c r="S2093" s="5">
        <f>IFERROR(__xludf.DUMMYFUNCTION("""COMPUTED_VALUE"""),826.0)</f>
        <v>826</v>
      </c>
      <c r="T2093" s="5" t="str">
        <f>IFERROR(__xludf.DUMMYFUNCTION("""COMPUTED_VALUE"""),"Fried Green Tomatoes")</f>
        <v>Fried Green Tomatoes</v>
      </c>
      <c r="U2093" s="5" t="str">
        <f>IFERROR(__xludf.DUMMYFUNCTION("""COMPUTED_VALUE"""),"Drama")</f>
        <v>Drama</v>
      </c>
      <c r="V2093" s="5">
        <f>IFERROR(__xludf.DUMMYFUNCTION("""COMPUTED_VALUE"""),1.0)</f>
        <v>1</v>
      </c>
    </row>
    <row r="2094">
      <c r="J2094" s="5" t="str">
        <f>IFERROR(__xludf.DUMMYFUNCTION("""COMPUTED_VALUE"""),"698🤙🏼Cabaret🤙🏼Music🤙🏼2")</f>
        <v>698🤙🏼Cabaret🤙🏼Music🤙🏼2</v>
      </c>
      <c r="K2094" s="5">
        <f>IFERROR(__xludf.DUMMYFUNCTION("SPLiT(J2094, ""🤙🏼"",FALSE,FALSE)"),698.0)</f>
        <v>698</v>
      </c>
      <c r="L2094" s="5" t="str">
        <f>IFERROR(__xludf.DUMMYFUNCTION("""COMPUTED_VALUE"""),"Cabaret")</f>
        <v>Cabaret</v>
      </c>
      <c r="M2094" s="5" t="str">
        <f>IFERROR(__xludf.DUMMYFUNCTION("""COMPUTED_VALUE"""),"Music")</f>
        <v>Music</v>
      </c>
      <c r="N2094" s="5">
        <f>IFERROR(__xludf.DUMMYFUNCTION("""COMPUTED_VALUE"""),2.0)</f>
        <v>2</v>
      </c>
      <c r="S2094" s="5">
        <f>IFERROR(__xludf.DUMMYFUNCTION("""COMPUTED_VALUE"""),827.0)</f>
        <v>827</v>
      </c>
      <c r="T2094" s="5" t="str">
        <f>IFERROR(__xludf.DUMMYFUNCTION("""COMPUTED_VALUE"""),"Barton Fink")</f>
        <v>Barton Fink</v>
      </c>
      <c r="U2094" s="5" t="str">
        <f>IFERROR(__xludf.DUMMYFUNCTION("""COMPUTED_VALUE"""),"Comedy")</f>
        <v>Comedy</v>
      </c>
      <c r="V2094" s="5">
        <f>IFERROR(__xludf.DUMMYFUNCTION("""COMPUTED_VALUE"""),1.0)</f>
        <v>1</v>
      </c>
    </row>
    <row r="2095">
      <c r="J2095" s="5" t="str">
        <f>IFERROR(__xludf.DUMMYFUNCTION("""COMPUTED_VALUE"""),"698🤙🏼Cabaret🤙🏼Musical🤙🏼3")</f>
        <v>698🤙🏼Cabaret🤙🏼Musical🤙🏼3</v>
      </c>
      <c r="K2095" s="5">
        <f>IFERROR(__xludf.DUMMYFUNCTION("SPLiT(J2095, ""🤙🏼"",FALSE,FALSE)"),698.0)</f>
        <v>698</v>
      </c>
      <c r="L2095" s="5" t="str">
        <f>IFERROR(__xludf.DUMMYFUNCTION("""COMPUTED_VALUE"""),"Cabaret")</f>
        <v>Cabaret</v>
      </c>
      <c r="M2095" s="5" t="str">
        <f>IFERROR(__xludf.DUMMYFUNCTION("""COMPUTED_VALUE"""),"Musical")</f>
        <v>Musical</v>
      </c>
      <c r="N2095" s="5">
        <f>IFERROR(__xludf.DUMMYFUNCTION("""COMPUTED_VALUE"""),3.0)</f>
        <v>3</v>
      </c>
      <c r="S2095" s="5">
        <f>IFERROR(__xludf.DUMMYFUNCTION("""COMPUTED_VALUE"""),827.0)</f>
        <v>827</v>
      </c>
      <c r="T2095" s="5" t="str">
        <f>IFERROR(__xludf.DUMMYFUNCTION("""COMPUTED_VALUE"""),"Barton Fink")</f>
        <v>Barton Fink</v>
      </c>
      <c r="U2095" s="5" t="str">
        <f>IFERROR(__xludf.DUMMYFUNCTION("""COMPUTED_VALUE"""),"Drama")</f>
        <v>Drama</v>
      </c>
      <c r="V2095" s="5">
        <f>IFERROR(__xludf.DUMMYFUNCTION("""COMPUTED_VALUE"""),2.0)</f>
        <v>2</v>
      </c>
    </row>
    <row r="2096">
      <c r="J2096" s="5" t="str">
        <f>IFERROR(__xludf.DUMMYFUNCTION("""COMPUTED_VALUE"""),"699🤙🏼Willy Wonka &amp; the Chocolate Factory🤙🏼Family🤙🏼1")</f>
        <v>699🤙🏼Willy Wonka &amp; the Chocolate Factory🤙🏼Family🤙🏼1</v>
      </c>
      <c r="K2096" s="5">
        <f>IFERROR(__xludf.DUMMYFUNCTION("SPLiT(J2096, ""🤙🏼"",FALSE,FALSE)"),699.0)</f>
        <v>699</v>
      </c>
      <c r="L2096" s="5" t="str">
        <f>IFERROR(__xludf.DUMMYFUNCTION("""COMPUTED_VALUE"""),"Willy Wonka &amp; the Chocolate Factory")</f>
        <v>Willy Wonka &amp; the Chocolate Factory</v>
      </c>
      <c r="M2096" s="5" t="str">
        <f>IFERROR(__xludf.DUMMYFUNCTION("""COMPUTED_VALUE"""),"Family")</f>
        <v>Family</v>
      </c>
      <c r="N2096" s="5">
        <f>IFERROR(__xludf.DUMMYFUNCTION("""COMPUTED_VALUE"""),1.0)</f>
        <v>1</v>
      </c>
      <c r="S2096" s="5">
        <f>IFERROR(__xludf.DUMMYFUNCTION("""COMPUTED_VALUE"""),827.0)</f>
        <v>827</v>
      </c>
      <c r="T2096" s="5" t="str">
        <f>IFERROR(__xludf.DUMMYFUNCTION("""COMPUTED_VALUE"""),"Barton Fink")</f>
        <v>Barton Fink</v>
      </c>
      <c r="U2096" s="5" t="str">
        <f>IFERROR(__xludf.DUMMYFUNCTION("""COMPUTED_VALUE"""),"Thriller")</f>
        <v>Thriller</v>
      </c>
      <c r="V2096" s="5">
        <f>IFERROR(__xludf.DUMMYFUNCTION("""COMPUTED_VALUE"""),3.0)</f>
        <v>3</v>
      </c>
    </row>
    <row r="2097">
      <c r="J2097" s="5" t="str">
        <f>IFERROR(__xludf.DUMMYFUNCTION("""COMPUTED_VALUE"""),"699🤙🏼Willy Wonka &amp; the Chocolate Factory🤙🏼Fantasy🤙🏼2")</f>
        <v>699🤙🏼Willy Wonka &amp; the Chocolate Factory🤙🏼Fantasy🤙🏼2</v>
      </c>
      <c r="K2097" s="5">
        <f>IFERROR(__xludf.DUMMYFUNCTION("SPLiT(J2097, ""🤙🏼"",FALSE,FALSE)"),699.0)</f>
        <v>699</v>
      </c>
      <c r="L2097" s="5" t="str">
        <f>IFERROR(__xludf.DUMMYFUNCTION("""COMPUTED_VALUE"""),"Willy Wonka &amp; the Chocolate Factory")</f>
        <v>Willy Wonka &amp; the Chocolate Factory</v>
      </c>
      <c r="M2097" s="5" t="str">
        <f>IFERROR(__xludf.DUMMYFUNCTION("""COMPUTED_VALUE"""),"Fantasy")</f>
        <v>Fantasy</v>
      </c>
      <c r="N2097" s="5">
        <f>IFERROR(__xludf.DUMMYFUNCTION("""COMPUTED_VALUE"""),2.0)</f>
        <v>2</v>
      </c>
      <c r="S2097" s="5">
        <f>IFERROR(__xludf.DUMMYFUNCTION("""COMPUTED_VALUE"""),828.0)</f>
        <v>828</v>
      </c>
      <c r="T2097" s="5" t="str">
        <f>IFERROR(__xludf.DUMMYFUNCTION("""COMPUTED_VALUE"""),"Miller's Crossing")</f>
        <v>Miller's Crossing</v>
      </c>
      <c r="U2097" s="5" t="str">
        <f>IFERROR(__xludf.DUMMYFUNCTION("""COMPUTED_VALUE"""),"Crime")</f>
        <v>Crime</v>
      </c>
      <c r="V2097" s="5">
        <f>IFERROR(__xludf.DUMMYFUNCTION("""COMPUTED_VALUE"""),1.0)</f>
        <v>1</v>
      </c>
    </row>
    <row r="2098">
      <c r="J2098" s="5" t="str">
        <f>IFERROR(__xludf.DUMMYFUNCTION("""COMPUTED_VALUE"""),"699🤙🏼Willy Wonka &amp; the Chocolate Factory🤙🏼Musical🤙🏼3")</f>
        <v>699🤙🏼Willy Wonka &amp; the Chocolate Factory🤙🏼Musical🤙🏼3</v>
      </c>
      <c r="K2098" s="5">
        <f>IFERROR(__xludf.DUMMYFUNCTION("SPLiT(J2098, ""🤙🏼"",FALSE,FALSE)"),699.0)</f>
        <v>699</v>
      </c>
      <c r="L2098" s="5" t="str">
        <f>IFERROR(__xludf.DUMMYFUNCTION("""COMPUTED_VALUE"""),"Willy Wonka &amp; the Chocolate Factory")</f>
        <v>Willy Wonka &amp; the Chocolate Factory</v>
      </c>
      <c r="M2098" s="5" t="str">
        <f>IFERROR(__xludf.DUMMYFUNCTION("""COMPUTED_VALUE"""),"Musical")</f>
        <v>Musical</v>
      </c>
      <c r="N2098" s="5">
        <f>IFERROR(__xludf.DUMMYFUNCTION("""COMPUTED_VALUE"""),3.0)</f>
        <v>3</v>
      </c>
      <c r="S2098" s="5">
        <f>IFERROR(__xludf.DUMMYFUNCTION("""COMPUTED_VALUE"""),828.0)</f>
        <v>828</v>
      </c>
      <c r="T2098" s="5" t="str">
        <f>IFERROR(__xludf.DUMMYFUNCTION("""COMPUTED_VALUE"""),"Miller's Crossing")</f>
        <v>Miller's Crossing</v>
      </c>
      <c r="U2098" s="5" t="str">
        <f>IFERROR(__xludf.DUMMYFUNCTION("""COMPUTED_VALUE"""),"Drama")</f>
        <v>Drama</v>
      </c>
      <c r="V2098" s="5">
        <f>IFERROR(__xludf.DUMMYFUNCTION("""COMPUTED_VALUE"""),2.0)</f>
        <v>2</v>
      </c>
    </row>
    <row r="2099">
      <c r="J2099" s="5" t="str">
        <f>IFERROR(__xludf.DUMMYFUNCTION("""COMPUTED_VALUE"""),"700🤙🏼Midnight Cowboy🤙🏼Drama🤙🏼1")</f>
        <v>700🤙🏼Midnight Cowboy🤙🏼Drama🤙🏼1</v>
      </c>
      <c r="K2099" s="5">
        <f>IFERROR(__xludf.DUMMYFUNCTION("SPLiT(J2099, ""🤙🏼"",FALSE,FALSE)"),700.0)</f>
        <v>700</v>
      </c>
      <c r="L2099" s="5" t="str">
        <f>IFERROR(__xludf.DUMMYFUNCTION("""COMPUTED_VALUE"""),"Midnight Cowboy")</f>
        <v>Midnight Cowboy</v>
      </c>
      <c r="M2099" s="5" t="str">
        <f>IFERROR(__xludf.DUMMYFUNCTION("""COMPUTED_VALUE"""),"Drama")</f>
        <v>Drama</v>
      </c>
      <c r="N2099" s="5">
        <f>IFERROR(__xludf.DUMMYFUNCTION("""COMPUTED_VALUE"""),1.0)</f>
        <v>1</v>
      </c>
      <c r="S2099" s="5">
        <f>IFERROR(__xludf.DUMMYFUNCTION("""COMPUTED_VALUE"""),828.0)</f>
        <v>828</v>
      </c>
      <c r="T2099" s="5" t="str">
        <f>IFERROR(__xludf.DUMMYFUNCTION("""COMPUTED_VALUE"""),"Miller's Crossing")</f>
        <v>Miller's Crossing</v>
      </c>
      <c r="U2099" s="5" t="str">
        <f>IFERROR(__xludf.DUMMYFUNCTION("""COMPUTED_VALUE"""),"Thriller")</f>
        <v>Thriller</v>
      </c>
      <c r="V2099" s="5">
        <f>IFERROR(__xludf.DUMMYFUNCTION("""COMPUTED_VALUE"""),3.0)</f>
        <v>3</v>
      </c>
    </row>
    <row r="2100">
      <c r="J2100" s="5" t="str">
        <f>IFERROR(__xludf.DUMMYFUNCTION("""COMPUTED_VALUE"""),"700🤙🏼Midnight Cowboy🤙🏼🤙🏼2")</f>
        <v>700🤙🏼Midnight Cowboy🤙🏼🤙🏼2</v>
      </c>
      <c r="K2100" s="5">
        <f>IFERROR(__xludf.DUMMYFUNCTION("SPLiT(J2100, ""🤙🏼"",FALSE,FALSE)"),700.0)</f>
        <v>700</v>
      </c>
      <c r="L2100" s="5" t="str">
        <f>IFERROR(__xludf.DUMMYFUNCTION("""COMPUTED_VALUE"""),"Midnight Cowboy")</f>
        <v>Midnight Cowboy</v>
      </c>
      <c r="M2100" s="5"/>
      <c r="N2100" s="5">
        <f>IFERROR(__xludf.DUMMYFUNCTION("""COMPUTED_VALUE"""),2.0)</f>
        <v>2</v>
      </c>
      <c r="S2100" s="5">
        <f>IFERROR(__xludf.DUMMYFUNCTION("""COMPUTED_VALUE"""),829.0)</f>
        <v>829</v>
      </c>
      <c r="T2100" s="5" t="str">
        <f>IFERROR(__xludf.DUMMYFUNCTION("""COMPUTED_VALUE"""),"Who Framed Roger Rabbit")</f>
        <v>Who Framed Roger Rabbit</v>
      </c>
      <c r="U2100" s="5" t="str">
        <f>IFERROR(__xludf.DUMMYFUNCTION("""COMPUTED_VALUE"""),"Animation")</f>
        <v>Animation</v>
      </c>
      <c r="V2100" s="5">
        <f>IFERROR(__xludf.DUMMYFUNCTION("""COMPUTED_VALUE"""),1.0)</f>
        <v>1</v>
      </c>
    </row>
    <row r="2101">
      <c r="J2101" s="5" t="str">
        <f>IFERROR(__xludf.DUMMYFUNCTION("""COMPUTED_VALUE"""),"700🤙🏼Midnight Cowboy🤙🏼🤙🏼3")</f>
        <v>700🤙🏼Midnight Cowboy🤙🏼🤙🏼3</v>
      </c>
      <c r="K2101" s="5">
        <f>IFERROR(__xludf.DUMMYFUNCTION("SPLiT(J2101, ""🤙🏼"",FALSE,FALSE)"),700.0)</f>
        <v>700</v>
      </c>
      <c r="L2101" s="5" t="str">
        <f>IFERROR(__xludf.DUMMYFUNCTION("""COMPUTED_VALUE"""),"Midnight Cowboy")</f>
        <v>Midnight Cowboy</v>
      </c>
      <c r="M2101" s="5"/>
      <c r="N2101" s="5">
        <f>IFERROR(__xludf.DUMMYFUNCTION("""COMPUTED_VALUE"""),3.0)</f>
        <v>3</v>
      </c>
      <c r="S2101" s="5">
        <f>IFERROR(__xludf.DUMMYFUNCTION("""COMPUTED_VALUE"""),829.0)</f>
        <v>829</v>
      </c>
      <c r="T2101" s="5" t="str">
        <f>IFERROR(__xludf.DUMMYFUNCTION("""COMPUTED_VALUE"""),"Who Framed Roger Rabbit")</f>
        <v>Who Framed Roger Rabbit</v>
      </c>
      <c r="U2101" s="5" t="str">
        <f>IFERROR(__xludf.DUMMYFUNCTION("""COMPUTED_VALUE"""),"Adventure")</f>
        <v>Adventure</v>
      </c>
      <c r="V2101" s="5">
        <f>IFERROR(__xludf.DUMMYFUNCTION("""COMPUTED_VALUE"""),2.0)</f>
        <v>2</v>
      </c>
    </row>
    <row r="2102">
      <c r="J2102" s="5" t="str">
        <f>IFERROR(__xludf.DUMMYFUNCTION("""COMPUTED_VALUE"""),"701🤙🏼Wait Until Dark🤙🏼Thriller🤙🏼1")</f>
        <v>701🤙🏼Wait Until Dark🤙🏼Thriller🤙🏼1</v>
      </c>
      <c r="K2102" s="5">
        <f>IFERROR(__xludf.DUMMYFUNCTION("SPLiT(J2102, ""🤙🏼"",FALSE,FALSE)"),701.0)</f>
        <v>701</v>
      </c>
      <c r="L2102" s="5" t="str">
        <f>IFERROR(__xludf.DUMMYFUNCTION("""COMPUTED_VALUE"""),"Wait Until Dark")</f>
        <v>Wait Until Dark</v>
      </c>
      <c r="M2102" s="5" t="str">
        <f>IFERROR(__xludf.DUMMYFUNCTION("""COMPUTED_VALUE"""),"Thriller")</f>
        <v>Thriller</v>
      </c>
      <c r="N2102" s="5">
        <f>IFERROR(__xludf.DUMMYFUNCTION("""COMPUTED_VALUE"""),1.0)</f>
        <v>1</v>
      </c>
      <c r="S2102" s="5">
        <f>IFERROR(__xludf.DUMMYFUNCTION("""COMPUTED_VALUE"""),829.0)</f>
        <v>829</v>
      </c>
      <c r="T2102" s="5" t="str">
        <f>IFERROR(__xludf.DUMMYFUNCTION("""COMPUTED_VALUE"""),"Who Framed Roger Rabbit")</f>
        <v>Who Framed Roger Rabbit</v>
      </c>
      <c r="U2102" s="5" t="str">
        <f>IFERROR(__xludf.DUMMYFUNCTION("""COMPUTED_VALUE"""),"Comedy")</f>
        <v>Comedy</v>
      </c>
      <c r="V2102" s="5">
        <f>IFERROR(__xludf.DUMMYFUNCTION("""COMPUTED_VALUE"""),3.0)</f>
        <v>3</v>
      </c>
    </row>
    <row r="2103">
      <c r="J2103" s="5" t="str">
        <f>IFERROR(__xludf.DUMMYFUNCTION("""COMPUTED_VALUE"""),"701🤙🏼Wait Until Dark🤙🏼🤙🏼2")</f>
        <v>701🤙🏼Wait Until Dark🤙🏼🤙🏼2</v>
      </c>
      <c r="K2103" s="5">
        <f>IFERROR(__xludf.DUMMYFUNCTION("SPLiT(J2103, ""🤙🏼"",FALSE,FALSE)"),701.0)</f>
        <v>701</v>
      </c>
      <c r="L2103" s="5" t="str">
        <f>IFERROR(__xludf.DUMMYFUNCTION("""COMPUTED_VALUE"""),"Wait Until Dark")</f>
        <v>Wait Until Dark</v>
      </c>
      <c r="M2103" s="5"/>
      <c r="N2103" s="5">
        <f>IFERROR(__xludf.DUMMYFUNCTION("""COMPUTED_VALUE"""),2.0)</f>
        <v>2</v>
      </c>
      <c r="S2103" s="5">
        <f>IFERROR(__xludf.DUMMYFUNCTION("""COMPUTED_VALUE"""),830.0)</f>
        <v>830</v>
      </c>
      <c r="T2103" s="5" t="str">
        <f>IFERROR(__xludf.DUMMYFUNCTION("""COMPUTED_VALUE"""),"Spoorloos")</f>
        <v>Spoorloos</v>
      </c>
      <c r="U2103" s="5" t="str">
        <f>IFERROR(__xludf.DUMMYFUNCTION("""COMPUTED_VALUE"""),"Mystery")</f>
        <v>Mystery</v>
      </c>
      <c r="V2103" s="5">
        <f>IFERROR(__xludf.DUMMYFUNCTION("""COMPUTED_VALUE"""),1.0)</f>
        <v>1</v>
      </c>
    </row>
    <row r="2104">
      <c r="J2104" s="5" t="str">
        <f>IFERROR(__xludf.DUMMYFUNCTION("""COMPUTED_VALUE"""),"701🤙🏼Wait Until Dark🤙🏼🤙🏼3")</f>
        <v>701🤙🏼Wait Until Dark🤙🏼🤙🏼3</v>
      </c>
      <c r="K2104" s="5">
        <f>IFERROR(__xludf.DUMMYFUNCTION("SPLiT(J2104, ""🤙🏼"",FALSE,FALSE)"),701.0)</f>
        <v>701</v>
      </c>
      <c r="L2104" s="5" t="str">
        <f>IFERROR(__xludf.DUMMYFUNCTION("""COMPUTED_VALUE"""),"Wait Until Dark")</f>
        <v>Wait Until Dark</v>
      </c>
      <c r="M2104" s="5"/>
      <c r="N2104" s="5">
        <f>IFERROR(__xludf.DUMMYFUNCTION("""COMPUTED_VALUE"""),3.0)</f>
        <v>3</v>
      </c>
      <c r="S2104" s="5">
        <f>IFERROR(__xludf.DUMMYFUNCTION("""COMPUTED_VALUE"""),830.0)</f>
        <v>830</v>
      </c>
      <c r="T2104" s="5" t="str">
        <f>IFERROR(__xludf.DUMMYFUNCTION("""COMPUTED_VALUE"""),"Spoorloos")</f>
        <v>Spoorloos</v>
      </c>
      <c r="U2104" s="5" t="str">
        <f>IFERROR(__xludf.DUMMYFUNCTION("""COMPUTED_VALUE"""),"Thriller")</f>
        <v>Thriller</v>
      </c>
      <c r="V2104" s="5">
        <f>IFERROR(__xludf.DUMMYFUNCTION("""COMPUTED_VALUE"""),2.0)</f>
        <v>2</v>
      </c>
    </row>
    <row r="2105">
      <c r="J2105" s="5" t="str">
        <f>IFERROR(__xludf.DUMMYFUNCTION("""COMPUTED_VALUE"""),"702🤙🏼Guess Who's Coming to Dinner🤙🏼Comedy🤙🏼1")</f>
        <v>702🤙🏼Guess Who's Coming to Dinner🤙🏼Comedy🤙🏼1</v>
      </c>
      <c r="K2105" s="5">
        <f>IFERROR(__xludf.DUMMYFUNCTION("SPLiT(J2105, ""🤙🏼"",FALSE,FALSE)"),702.0)</f>
        <v>702</v>
      </c>
      <c r="L2105" s="5" t="str">
        <f>IFERROR(__xludf.DUMMYFUNCTION("""COMPUTED_VALUE"""),"Guess Who's Coming to Dinner")</f>
        <v>Guess Who's Coming to Dinner</v>
      </c>
      <c r="M2105" s="5" t="str">
        <f>IFERROR(__xludf.DUMMYFUNCTION("""COMPUTED_VALUE"""),"Comedy")</f>
        <v>Comedy</v>
      </c>
      <c r="N2105" s="5">
        <f>IFERROR(__xludf.DUMMYFUNCTION("""COMPUTED_VALUE"""),1.0)</f>
        <v>1</v>
      </c>
      <c r="S2105" s="5">
        <f>IFERROR(__xludf.DUMMYFUNCTION("""COMPUTED_VALUE"""),831.0)</f>
        <v>831</v>
      </c>
      <c r="T2105" s="5" t="str">
        <f>IFERROR(__xludf.DUMMYFUNCTION("""COMPUTED_VALUE"""),"Withnail &amp; I")</f>
        <v>Withnail &amp; I</v>
      </c>
      <c r="U2105" s="5" t="str">
        <f>IFERROR(__xludf.DUMMYFUNCTION("""COMPUTED_VALUE"""),"Comedy")</f>
        <v>Comedy</v>
      </c>
      <c r="V2105" s="5">
        <f>IFERROR(__xludf.DUMMYFUNCTION("""COMPUTED_VALUE"""),1.0)</f>
        <v>1</v>
      </c>
    </row>
    <row r="2106">
      <c r="J2106" s="5" t="str">
        <f>IFERROR(__xludf.DUMMYFUNCTION("""COMPUTED_VALUE"""),"702🤙🏼Guess Who's Coming to Dinner🤙🏼Drama🤙🏼2")</f>
        <v>702🤙🏼Guess Who's Coming to Dinner🤙🏼Drama🤙🏼2</v>
      </c>
      <c r="K2106" s="5">
        <f>IFERROR(__xludf.DUMMYFUNCTION("SPLiT(J2106, ""🤙🏼"",FALSE,FALSE)"),702.0)</f>
        <v>702</v>
      </c>
      <c r="L2106" s="5" t="str">
        <f>IFERROR(__xludf.DUMMYFUNCTION("""COMPUTED_VALUE"""),"Guess Who's Coming to Dinner")</f>
        <v>Guess Who's Coming to Dinner</v>
      </c>
      <c r="M2106" s="5" t="str">
        <f>IFERROR(__xludf.DUMMYFUNCTION("""COMPUTED_VALUE"""),"Drama")</f>
        <v>Drama</v>
      </c>
      <c r="N2106" s="5">
        <f>IFERROR(__xludf.DUMMYFUNCTION("""COMPUTED_VALUE"""),2.0)</f>
        <v>2</v>
      </c>
      <c r="S2106" s="5">
        <f>IFERROR(__xludf.DUMMYFUNCTION("""COMPUTED_VALUE"""),831.0)</f>
        <v>831</v>
      </c>
      <c r="T2106" s="5" t="str">
        <f>IFERROR(__xludf.DUMMYFUNCTION("""COMPUTED_VALUE"""),"Withnail &amp; I")</f>
        <v>Withnail &amp; I</v>
      </c>
      <c r="U2106" s="5" t="str">
        <f>IFERROR(__xludf.DUMMYFUNCTION("""COMPUTED_VALUE"""),"Drama")</f>
        <v>Drama</v>
      </c>
      <c r="V2106" s="5">
        <f>IFERROR(__xludf.DUMMYFUNCTION("""COMPUTED_VALUE"""),2.0)</f>
        <v>2</v>
      </c>
    </row>
    <row r="2107">
      <c r="J2107" s="5" t="str">
        <f>IFERROR(__xludf.DUMMYFUNCTION("""COMPUTED_VALUE"""),"702🤙🏼Guess Who's Coming to Dinner🤙🏼🤙🏼3")</f>
        <v>702🤙🏼Guess Who's Coming to Dinner🤙🏼🤙🏼3</v>
      </c>
      <c r="K2107" s="5">
        <f>IFERROR(__xludf.DUMMYFUNCTION("SPLiT(J2107, ""🤙🏼"",FALSE,FALSE)"),702.0)</f>
        <v>702</v>
      </c>
      <c r="L2107" s="5" t="str">
        <f>IFERROR(__xludf.DUMMYFUNCTION("""COMPUTED_VALUE"""),"Guess Who's Coming to Dinner")</f>
        <v>Guess Who's Coming to Dinner</v>
      </c>
      <c r="M2107" s="5"/>
      <c r="N2107" s="5">
        <f>IFERROR(__xludf.DUMMYFUNCTION("""COMPUTED_VALUE"""),3.0)</f>
        <v>3</v>
      </c>
      <c r="S2107" s="5">
        <f>IFERROR(__xludf.DUMMYFUNCTION("""COMPUTED_VALUE"""),832.0)</f>
        <v>832</v>
      </c>
      <c r="T2107" s="5" t="str">
        <f>IFERROR(__xludf.DUMMYFUNCTION("""COMPUTED_VALUE"""),"The Last Emperor")</f>
        <v>The Last Emperor</v>
      </c>
      <c r="U2107" s="5" t="str">
        <f>IFERROR(__xludf.DUMMYFUNCTION("""COMPUTED_VALUE"""),"Biography")</f>
        <v>Biography</v>
      </c>
      <c r="V2107" s="5">
        <f>IFERROR(__xludf.DUMMYFUNCTION("""COMPUTED_VALUE"""),1.0)</f>
        <v>1</v>
      </c>
    </row>
    <row r="2108">
      <c r="J2108" s="5" t="str">
        <f>IFERROR(__xludf.DUMMYFUNCTION("""COMPUTED_VALUE"""),"703🤙🏼Bonnie and Clyde🤙🏼Action🤙🏼1")</f>
        <v>703🤙🏼Bonnie and Clyde🤙🏼Action🤙🏼1</v>
      </c>
      <c r="K2108" s="5">
        <f>IFERROR(__xludf.DUMMYFUNCTION("SPLiT(J2108, ""🤙🏼"",FALSE,FALSE)"),703.0)</f>
        <v>703</v>
      </c>
      <c r="L2108" s="5" t="str">
        <f>IFERROR(__xludf.DUMMYFUNCTION("""COMPUTED_VALUE"""),"Bonnie and Clyde")</f>
        <v>Bonnie and Clyde</v>
      </c>
      <c r="M2108" s="5" t="str">
        <f>IFERROR(__xludf.DUMMYFUNCTION("""COMPUTED_VALUE"""),"Action")</f>
        <v>Action</v>
      </c>
      <c r="N2108" s="5">
        <f>IFERROR(__xludf.DUMMYFUNCTION("""COMPUTED_VALUE"""),1.0)</f>
        <v>1</v>
      </c>
      <c r="S2108" s="5">
        <f>IFERROR(__xludf.DUMMYFUNCTION("""COMPUTED_VALUE"""),832.0)</f>
        <v>832</v>
      </c>
      <c r="T2108" s="5" t="str">
        <f>IFERROR(__xludf.DUMMYFUNCTION("""COMPUTED_VALUE"""),"The Last Emperor")</f>
        <v>The Last Emperor</v>
      </c>
      <c r="U2108" s="5" t="str">
        <f>IFERROR(__xludf.DUMMYFUNCTION("""COMPUTED_VALUE"""),"Drama")</f>
        <v>Drama</v>
      </c>
      <c r="V2108" s="5">
        <f>IFERROR(__xludf.DUMMYFUNCTION("""COMPUTED_VALUE"""),2.0)</f>
        <v>2</v>
      </c>
    </row>
    <row r="2109">
      <c r="J2109" s="5" t="str">
        <f>IFERROR(__xludf.DUMMYFUNCTION("""COMPUTED_VALUE"""),"703🤙🏼Bonnie and Clyde🤙🏼Biography🤙🏼2")</f>
        <v>703🤙🏼Bonnie and Clyde🤙🏼Biography🤙🏼2</v>
      </c>
      <c r="K2109" s="5">
        <f>IFERROR(__xludf.DUMMYFUNCTION("SPLiT(J2109, ""🤙🏼"",FALSE,FALSE)"),703.0)</f>
        <v>703</v>
      </c>
      <c r="L2109" s="5" t="str">
        <f>IFERROR(__xludf.DUMMYFUNCTION("""COMPUTED_VALUE"""),"Bonnie and Clyde")</f>
        <v>Bonnie and Clyde</v>
      </c>
      <c r="M2109" s="5" t="str">
        <f>IFERROR(__xludf.DUMMYFUNCTION("""COMPUTED_VALUE"""),"Biography")</f>
        <v>Biography</v>
      </c>
      <c r="N2109" s="5">
        <f>IFERROR(__xludf.DUMMYFUNCTION("""COMPUTED_VALUE"""),2.0)</f>
        <v>2</v>
      </c>
      <c r="S2109" s="5">
        <f>IFERROR(__xludf.DUMMYFUNCTION("""COMPUTED_VALUE"""),832.0)</f>
        <v>832</v>
      </c>
      <c r="T2109" s="5" t="str">
        <f>IFERROR(__xludf.DUMMYFUNCTION("""COMPUTED_VALUE"""),"The Last Emperor")</f>
        <v>The Last Emperor</v>
      </c>
      <c r="U2109" s="5" t="str">
        <f>IFERROR(__xludf.DUMMYFUNCTION("""COMPUTED_VALUE"""),"History")</f>
        <v>History</v>
      </c>
      <c r="V2109" s="5">
        <f>IFERROR(__xludf.DUMMYFUNCTION("""COMPUTED_VALUE"""),3.0)</f>
        <v>3</v>
      </c>
    </row>
    <row r="2110">
      <c r="J2110" s="5" t="str">
        <f>IFERROR(__xludf.DUMMYFUNCTION("""COMPUTED_VALUE"""),"703🤙🏼Bonnie and Clyde🤙🏼Crime🤙🏼3")</f>
        <v>703🤙🏼Bonnie and Clyde🤙🏼Crime🤙🏼3</v>
      </c>
      <c r="K2110" s="5">
        <f>IFERROR(__xludf.DUMMYFUNCTION("SPLiT(J2110, ""🤙🏼"",FALSE,FALSE)"),703.0)</f>
        <v>703</v>
      </c>
      <c r="L2110" s="5" t="str">
        <f>IFERROR(__xludf.DUMMYFUNCTION("""COMPUTED_VALUE"""),"Bonnie and Clyde")</f>
        <v>Bonnie and Clyde</v>
      </c>
      <c r="M2110" s="5" t="str">
        <f>IFERROR(__xludf.DUMMYFUNCTION("""COMPUTED_VALUE"""),"Crime")</f>
        <v>Crime</v>
      </c>
      <c r="N2110" s="5">
        <f>IFERROR(__xludf.DUMMYFUNCTION("""COMPUTED_VALUE"""),3.0)</f>
        <v>3</v>
      </c>
      <c r="S2110" s="5">
        <f>IFERROR(__xludf.DUMMYFUNCTION("""COMPUTED_VALUE"""),833.0)</f>
        <v>833</v>
      </c>
      <c r="T2110" s="5" t="str">
        <f>IFERROR(__xludf.DUMMYFUNCTION("""COMPUTED_VALUE"""),"Empire of the Sun")</f>
        <v>Empire of the Sun</v>
      </c>
      <c r="U2110" s="5" t="str">
        <f>IFERROR(__xludf.DUMMYFUNCTION("""COMPUTED_VALUE"""),"Action")</f>
        <v>Action</v>
      </c>
      <c r="V2110" s="5">
        <f>IFERROR(__xludf.DUMMYFUNCTION("""COMPUTED_VALUE"""),1.0)</f>
        <v>1</v>
      </c>
    </row>
    <row r="2111">
      <c r="J2111" s="5" t="str">
        <f>IFERROR(__xludf.DUMMYFUNCTION("""COMPUTED_VALUE"""),"704🤙🏼My Fair Lady🤙🏼Drama🤙🏼1")</f>
        <v>704🤙🏼My Fair Lady🤙🏼Drama🤙🏼1</v>
      </c>
      <c r="K2111" s="5">
        <f>IFERROR(__xludf.DUMMYFUNCTION("SPLiT(J2111, ""🤙🏼"",FALSE,FALSE)"),704.0)</f>
        <v>704</v>
      </c>
      <c r="L2111" s="5" t="str">
        <f>IFERROR(__xludf.DUMMYFUNCTION("""COMPUTED_VALUE"""),"My Fair Lady")</f>
        <v>My Fair Lady</v>
      </c>
      <c r="M2111" s="5" t="str">
        <f>IFERROR(__xludf.DUMMYFUNCTION("""COMPUTED_VALUE"""),"Drama")</f>
        <v>Drama</v>
      </c>
      <c r="N2111" s="5">
        <f>IFERROR(__xludf.DUMMYFUNCTION("""COMPUTED_VALUE"""),1.0)</f>
        <v>1</v>
      </c>
      <c r="S2111" s="5">
        <f>IFERROR(__xludf.DUMMYFUNCTION("""COMPUTED_VALUE"""),833.0)</f>
        <v>833</v>
      </c>
      <c r="T2111" s="5" t="str">
        <f>IFERROR(__xludf.DUMMYFUNCTION("""COMPUTED_VALUE"""),"Empire of the Sun")</f>
        <v>Empire of the Sun</v>
      </c>
      <c r="U2111" s="5" t="str">
        <f>IFERROR(__xludf.DUMMYFUNCTION("""COMPUTED_VALUE"""),"Drama")</f>
        <v>Drama</v>
      </c>
      <c r="V2111" s="5">
        <f>IFERROR(__xludf.DUMMYFUNCTION("""COMPUTED_VALUE"""),2.0)</f>
        <v>2</v>
      </c>
    </row>
    <row r="2112">
      <c r="J2112" s="5" t="str">
        <f>IFERROR(__xludf.DUMMYFUNCTION("""COMPUTED_VALUE"""),"704🤙🏼My Fair Lady🤙🏼Family🤙🏼2")</f>
        <v>704🤙🏼My Fair Lady🤙🏼Family🤙🏼2</v>
      </c>
      <c r="K2112" s="5">
        <f>IFERROR(__xludf.DUMMYFUNCTION("SPLiT(J2112, ""🤙🏼"",FALSE,FALSE)"),704.0)</f>
        <v>704</v>
      </c>
      <c r="L2112" s="5" t="str">
        <f>IFERROR(__xludf.DUMMYFUNCTION("""COMPUTED_VALUE"""),"My Fair Lady")</f>
        <v>My Fair Lady</v>
      </c>
      <c r="M2112" s="5" t="str">
        <f>IFERROR(__xludf.DUMMYFUNCTION("""COMPUTED_VALUE"""),"Family")</f>
        <v>Family</v>
      </c>
      <c r="N2112" s="5">
        <f>IFERROR(__xludf.DUMMYFUNCTION("""COMPUTED_VALUE"""),2.0)</f>
        <v>2</v>
      </c>
      <c r="S2112" s="5">
        <f>IFERROR(__xludf.DUMMYFUNCTION("""COMPUTED_VALUE"""),833.0)</f>
        <v>833</v>
      </c>
      <c r="T2112" s="5" t="str">
        <f>IFERROR(__xludf.DUMMYFUNCTION("""COMPUTED_VALUE"""),"Empire of the Sun")</f>
        <v>Empire of the Sun</v>
      </c>
      <c r="U2112" s="5" t="str">
        <f>IFERROR(__xludf.DUMMYFUNCTION("""COMPUTED_VALUE"""),"History")</f>
        <v>History</v>
      </c>
      <c r="V2112" s="5">
        <f>IFERROR(__xludf.DUMMYFUNCTION("""COMPUTED_VALUE"""),3.0)</f>
        <v>3</v>
      </c>
    </row>
    <row r="2113">
      <c r="J2113" s="5" t="str">
        <f>IFERROR(__xludf.DUMMYFUNCTION("""COMPUTED_VALUE"""),"704🤙🏼My Fair Lady🤙🏼Musical🤙🏼3")</f>
        <v>704🤙🏼My Fair Lady🤙🏼Musical🤙🏼3</v>
      </c>
      <c r="K2113" s="5">
        <f>IFERROR(__xludf.DUMMYFUNCTION("SPLiT(J2113, ""🤙🏼"",FALSE,FALSE)"),704.0)</f>
        <v>704</v>
      </c>
      <c r="L2113" s="5" t="str">
        <f>IFERROR(__xludf.DUMMYFUNCTION("""COMPUTED_VALUE"""),"My Fair Lady")</f>
        <v>My Fair Lady</v>
      </c>
      <c r="M2113" s="5" t="str">
        <f>IFERROR(__xludf.DUMMYFUNCTION("""COMPUTED_VALUE"""),"Musical")</f>
        <v>Musical</v>
      </c>
      <c r="N2113" s="5">
        <f>IFERROR(__xludf.DUMMYFUNCTION("""COMPUTED_VALUE"""),3.0)</f>
        <v>3</v>
      </c>
      <c r="S2113" s="5">
        <f>IFERROR(__xludf.DUMMYFUNCTION("""COMPUTED_VALUE"""),834.0)</f>
        <v>834</v>
      </c>
      <c r="T2113" s="5" t="str">
        <f>IFERROR(__xludf.DUMMYFUNCTION("""COMPUTED_VALUE"""),"Der Name der Rose")</f>
        <v>Der Name der Rose</v>
      </c>
      <c r="U2113" s="5" t="str">
        <f>IFERROR(__xludf.DUMMYFUNCTION("""COMPUTED_VALUE"""),"Crime")</f>
        <v>Crime</v>
      </c>
      <c r="V2113" s="5">
        <f>IFERROR(__xludf.DUMMYFUNCTION("""COMPUTED_VALUE"""),1.0)</f>
        <v>1</v>
      </c>
    </row>
    <row r="2114">
      <c r="J2114" s="5" t="str">
        <f>IFERROR(__xludf.DUMMYFUNCTION("""COMPUTED_VALUE"""),"705🤙🏼Mary Poppins🤙🏼Comedy🤙🏼1")</f>
        <v>705🤙🏼Mary Poppins🤙🏼Comedy🤙🏼1</v>
      </c>
      <c r="K2114" s="5">
        <f>IFERROR(__xludf.DUMMYFUNCTION("SPLiT(J2114, ""🤙🏼"",FALSE,FALSE)"),705.0)</f>
        <v>705</v>
      </c>
      <c r="L2114" s="5" t="str">
        <f>IFERROR(__xludf.DUMMYFUNCTION("""COMPUTED_VALUE"""),"Mary Poppins")</f>
        <v>Mary Poppins</v>
      </c>
      <c r="M2114" s="5" t="str">
        <f>IFERROR(__xludf.DUMMYFUNCTION("""COMPUTED_VALUE"""),"Comedy")</f>
        <v>Comedy</v>
      </c>
      <c r="N2114" s="5">
        <f>IFERROR(__xludf.DUMMYFUNCTION("""COMPUTED_VALUE"""),1.0)</f>
        <v>1</v>
      </c>
      <c r="S2114" s="5">
        <f>IFERROR(__xludf.DUMMYFUNCTION("""COMPUTED_VALUE"""),834.0)</f>
        <v>834</v>
      </c>
      <c r="T2114" s="5" t="str">
        <f>IFERROR(__xludf.DUMMYFUNCTION("""COMPUTED_VALUE"""),"Der Name der Rose")</f>
        <v>Der Name der Rose</v>
      </c>
      <c r="U2114" s="5" t="str">
        <f>IFERROR(__xludf.DUMMYFUNCTION("""COMPUTED_VALUE"""),"Drama")</f>
        <v>Drama</v>
      </c>
      <c r="V2114" s="5">
        <f>IFERROR(__xludf.DUMMYFUNCTION("""COMPUTED_VALUE"""),2.0)</f>
        <v>2</v>
      </c>
    </row>
    <row r="2115">
      <c r="J2115" s="5" t="str">
        <f>IFERROR(__xludf.DUMMYFUNCTION("""COMPUTED_VALUE"""),"705🤙🏼Mary Poppins🤙🏼Family🤙🏼2")</f>
        <v>705🤙🏼Mary Poppins🤙🏼Family🤙🏼2</v>
      </c>
      <c r="K2115" s="5">
        <f>IFERROR(__xludf.DUMMYFUNCTION("SPLiT(J2115, ""🤙🏼"",FALSE,FALSE)"),705.0)</f>
        <v>705</v>
      </c>
      <c r="L2115" s="5" t="str">
        <f>IFERROR(__xludf.DUMMYFUNCTION("""COMPUTED_VALUE"""),"Mary Poppins")</f>
        <v>Mary Poppins</v>
      </c>
      <c r="M2115" s="5" t="str">
        <f>IFERROR(__xludf.DUMMYFUNCTION("""COMPUTED_VALUE"""),"Family")</f>
        <v>Family</v>
      </c>
      <c r="N2115" s="5">
        <f>IFERROR(__xludf.DUMMYFUNCTION("""COMPUTED_VALUE"""),2.0)</f>
        <v>2</v>
      </c>
      <c r="S2115" s="5">
        <f>IFERROR(__xludf.DUMMYFUNCTION("""COMPUTED_VALUE"""),834.0)</f>
        <v>834</v>
      </c>
      <c r="T2115" s="5" t="str">
        <f>IFERROR(__xludf.DUMMYFUNCTION("""COMPUTED_VALUE"""),"Der Name der Rose")</f>
        <v>Der Name der Rose</v>
      </c>
      <c r="U2115" s="5" t="str">
        <f>IFERROR(__xludf.DUMMYFUNCTION("""COMPUTED_VALUE"""),"Mystery")</f>
        <v>Mystery</v>
      </c>
      <c r="V2115" s="5">
        <f>IFERROR(__xludf.DUMMYFUNCTION("""COMPUTED_VALUE"""),3.0)</f>
        <v>3</v>
      </c>
    </row>
    <row r="2116">
      <c r="J2116" s="5" t="str">
        <f>IFERROR(__xludf.DUMMYFUNCTION("""COMPUTED_VALUE"""),"705🤙🏼Mary Poppins🤙🏼Fantasy🤙🏼3")</f>
        <v>705🤙🏼Mary Poppins🤙🏼Fantasy🤙🏼3</v>
      </c>
      <c r="K2116" s="5">
        <f>IFERROR(__xludf.DUMMYFUNCTION("SPLiT(J2116, ""🤙🏼"",FALSE,FALSE)"),705.0)</f>
        <v>705</v>
      </c>
      <c r="L2116" s="5" t="str">
        <f>IFERROR(__xludf.DUMMYFUNCTION("""COMPUTED_VALUE"""),"Mary Poppins")</f>
        <v>Mary Poppins</v>
      </c>
      <c r="M2116" s="5" t="str">
        <f>IFERROR(__xludf.DUMMYFUNCTION("""COMPUTED_VALUE"""),"Fantasy")</f>
        <v>Fantasy</v>
      </c>
      <c r="N2116" s="5">
        <f>IFERROR(__xludf.DUMMYFUNCTION("""COMPUTED_VALUE"""),3.0)</f>
        <v>3</v>
      </c>
      <c r="S2116" s="5">
        <f>IFERROR(__xludf.DUMMYFUNCTION("""COMPUTED_VALUE"""),835.0)</f>
        <v>835</v>
      </c>
      <c r="T2116" s="5" t="str">
        <f>IFERROR(__xludf.DUMMYFUNCTION("""COMPUTED_VALUE"""),"Blue Velvet")</f>
        <v>Blue Velvet</v>
      </c>
      <c r="U2116" s="5" t="str">
        <f>IFERROR(__xludf.DUMMYFUNCTION("""COMPUTED_VALUE"""),"Drama")</f>
        <v>Drama</v>
      </c>
      <c r="V2116" s="5">
        <f>IFERROR(__xludf.DUMMYFUNCTION("""COMPUTED_VALUE"""),1.0)</f>
        <v>1</v>
      </c>
    </row>
    <row r="2117">
      <c r="J2117" s="5" t="str">
        <f>IFERROR(__xludf.DUMMYFUNCTION("""COMPUTED_VALUE"""),"706🤙🏼The Longest Day🤙🏼Action🤙🏼1")</f>
        <v>706🤙🏼The Longest Day🤙🏼Action🤙🏼1</v>
      </c>
      <c r="K2117" s="5">
        <f>IFERROR(__xludf.DUMMYFUNCTION("SPLiT(J2117, ""🤙🏼"",FALSE,FALSE)"),706.0)</f>
        <v>706</v>
      </c>
      <c r="L2117" s="5" t="str">
        <f>IFERROR(__xludf.DUMMYFUNCTION("""COMPUTED_VALUE"""),"The Longest Day")</f>
        <v>The Longest Day</v>
      </c>
      <c r="M2117" s="5" t="str">
        <f>IFERROR(__xludf.DUMMYFUNCTION("""COMPUTED_VALUE"""),"Action")</f>
        <v>Action</v>
      </c>
      <c r="N2117" s="5">
        <f>IFERROR(__xludf.DUMMYFUNCTION("""COMPUTED_VALUE"""),1.0)</f>
        <v>1</v>
      </c>
      <c r="S2117" s="5">
        <f>IFERROR(__xludf.DUMMYFUNCTION("""COMPUTED_VALUE"""),835.0)</f>
        <v>835</v>
      </c>
      <c r="T2117" s="5" t="str">
        <f>IFERROR(__xludf.DUMMYFUNCTION("""COMPUTED_VALUE"""),"Blue Velvet")</f>
        <v>Blue Velvet</v>
      </c>
      <c r="U2117" s="5" t="str">
        <f>IFERROR(__xludf.DUMMYFUNCTION("""COMPUTED_VALUE"""),"Mystery")</f>
        <v>Mystery</v>
      </c>
      <c r="V2117" s="5">
        <f>IFERROR(__xludf.DUMMYFUNCTION("""COMPUTED_VALUE"""),2.0)</f>
        <v>2</v>
      </c>
    </row>
    <row r="2118">
      <c r="J2118" s="5" t="str">
        <f>IFERROR(__xludf.DUMMYFUNCTION("""COMPUTED_VALUE"""),"706🤙🏼The Longest Day🤙🏼Drama🤙🏼2")</f>
        <v>706🤙🏼The Longest Day🤙🏼Drama🤙🏼2</v>
      </c>
      <c r="K2118" s="5">
        <f>IFERROR(__xludf.DUMMYFUNCTION("SPLiT(J2118, ""🤙🏼"",FALSE,FALSE)"),706.0)</f>
        <v>706</v>
      </c>
      <c r="L2118" s="5" t="str">
        <f>IFERROR(__xludf.DUMMYFUNCTION("""COMPUTED_VALUE"""),"The Longest Day")</f>
        <v>The Longest Day</v>
      </c>
      <c r="M2118" s="5" t="str">
        <f>IFERROR(__xludf.DUMMYFUNCTION("""COMPUTED_VALUE"""),"Drama")</f>
        <v>Drama</v>
      </c>
      <c r="N2118" s="5">
        <f>IFERROR(__xludf.DUMMYFUNCTION("""COMPUTED_VALUE"""),2.0)</f>
        <v>2</v>
      </c>
      <c r="S2118" s="5">
        <f>IFERROR(__xludf.DUMMYFUNCTION("""COMPUTED_VALUE"""),835.0)</f>
        <v>835</v>
      </c>
      <c r="T2118" s="5" t="str">
        <f>IFERROR(__xludf.DUMMYFUNCTION("""COMPUTED_VALUE"""),"Blue Velvet")</f>
        <v>Blue Velvet</v>
      </c>
      <c r="U2118" s="5" t="str">
        <f>IFERROR(__xludf.DUMMYFUNCTION("""COMPUTED_VALUE"""),"Thriller")</f>
        <v>Thriller</v>
      </c>
      <c r="V2118" s="5">
        <f>IFERROR(__xludf.DUMMYFUNCTION("""COMPUTED_VALUE"""),3.0)</f>
        <v>3</v>
      </c>
    </row>
    <row r="2119">
      <c r="J2119" s="5" t="str">
        <f>IFERROR(__xludf.DUMMYFUNCTION("""COMPUTED_VALUE"""),"706🤙🏼The Longest Day🤙🏼History🤙🏼3")</f>
        <v>706🤙🏼The Longest Day🤙🏼History🤙🏼3</v>
      </c>
      <c r="K2119" s="5">
        <f>IFERROR(__xludf.DUMMYFUNCTION("SPLiT(J2119, ""🤙🏼"",FALSE,FALSE)"),706.0)</f>
        <v>706</v>
      </c>
      <c r="L2119" s="5" t="str">
        <f>IFERROR(__xludf.DUMMYFUNCTION("""COMPUTED_VALUE"""),"The Longest Day")</f>
        <v>The Longest Day</v>
      </c>
      <c r="M2119" s="5" t="str">
        <f>IFERROR(__xludf.DUMMYFUNCTION("""COMPUTED_VALUE"""),"History")</f>
        <v>History</v>
      </c>
      <c r="N2119" s="5">
        <f>IFERROR(__xludf.DUMMYFUNCTION("""COMPUTED_VALUE"""),3.0)</f>
        <v>3</v>
      </c>
      <c r="S2119" s="5">
        <f>IFERROR(__xludf.DUMMYFUNCTION("""COMPUTED_VALUE"""),836.0)</f>
        <v>836</v>
      </c>
      <c r="T2119" s="5" t="str">
        <f>IFERROR(__xludf.DUMMYFUNCTION("""COMPUTED_VALUE"""),"The Purple Rose of Cairo")</f>
        <v>The Purple Rose of Cairo</v>
      </c>
      <c r="U2119" s="5" t="str">
        <f>IFERROR(__xludf.DUMMYFUNCTION("""COMPUTED_VALUE"""),"Comedy")</f>
        <v>Comedy</v>
      </c>
      <c r="V2119" s="5">
        <f>IFERROR(__xludf.DUMMYFUNCTION("""COMPUTED_VALUE"""),1.0)</f>
        <v>1</v>
      </c>
    </row>
    <row r="2120">
      <c r="J2120" s="5" t="str">
        <f>IFERROR(__xludf.DUMMYFUNCTION("""COMPUTED_VALUE"""),"707🤙🏼Jules et Jim🤙🏼Drama🤙🏼1")</f>
        <v>707🤙🏼Jules et Jim🤙🏼Drama🤙🏼1</v>
      </c>
      <c r="K2120" s="5">
        <f>IFERROR(__xludf.DUMMYFUNCTION("SPLiT(J2120, ""🤙🏼"",FALSE,FALSE)"),707.0)</f>
        <v>707</v>
      </c>
      <c r="L2120" s="5" t="str">
        <f>IFERROR(__xludf.DUMMYFUNCTION("""COMPUTED_VALUE"""),"Jules et Jim")</f>
        <v>Jules et Jim</v>
      </c>
      <c r="M2120" s="5" t="str">
        <f>IFERROR(__xludf.DUMMYFUNCTION("""COMPUTED_VALUE"""),"Drama")</f>
        <v>Drama</v>
      </c>
      <c r="N2120" s="5">
        <f>IFERROR(__xludf.DUMMYFUNCTION("""COMPUTED_VALUE"""),1.0)</f>
        <v>1</v>
      </c>
      <c r="S2120" s="5">
        <f>IFERROR(__xludf.DUMMYFUNCTION("""COMPUTED_VALUE"""),836.0)</f>
        <v>836</v>
      </c>
      <c r="T2120" s="5" t="str">
        <f>IFERROR(__xludf.DUMMYFUNCTION("""COMPUTED_VALUE"""),"The Purple Rose of Cairo")</f>
        <v>The Purple Rose of Cairo</v>
      </c>
      <c r="U2120" s="5" t="str">
        <f>IFERROR(__xludf.DUMMYFUNCTION("""COMPUTED_VALUE"""),"Fantasy")</f>
        <v>Fantasy</v>
      </c>
      <c r="V2120" s="5">
        <f>IFERROR(__xludf.DUMMYFUNCTION("""COMPUTED_VALUE"""),2.0)</f>
        <v>2</v>
      </c>
    </row>
    <row r="2121">
      <c r="J2121" s="5" t="str">
        <f>IFERROR(__xludf.DUMMYFUNCTION("""COMPUTED_VALUE"""),"707🤙🏼Jules et Jim🤙🏼Romance🤙🏼2")</f>
        <v>707🤙🏼Jules et Jim🤙🏼Romance🤙🏼2</v>
      </c>
      <c r="K2121" s="5">
        <f>IFERROR(__xludf.DUMMYFUNCTION("SPLiT(J2121, ""🤙🏼"",FALSE,FALSE)"),707.0)</f>
        <v>707</v>
      </c>
      <c r="L2121" s="5" t="str">
        <f>IFERROR(__xludf.DUMMYFUNCTION("""COMPUTED_VALUE"""),"Jules et Jim")</f>
        <v>Jules et Jim</v>
      </c>
      <c r="M2121" s="5" t="str">
        <f>IFERROR(__xludf.DUMMYFUNCTION("""COMPUTED_VALUE"""),"Romance")</f>
        <v>Romance</v>
      </c>
      <c r="N2121" s="5">
        <f>IFERROR(__xludf.DUMMYFUNCTION("""COMPUTED_VALUE"""),2.0)</f>
        <v>2</v>
      </c>
      <c r="S2121" s="5">
        <f>IFERROR(__xludf.DUMMYFUNCTION("""COMPUTED_VALUE"""),836.0)</f>
        <v>836</v>
      </c>
      <c r="T2121" s="5" t="str">
        <f>IFERROR(__xludf.DUMMYFUNCTION("""COMPUTED_VALUE"""),"The Purple Rose of Cairo")</f>
        <v>The Purple Rose of Cairo</v>
      </c>
      <c r="U2121" s="5" t="str">
        <f>IFERROR(__xludf.DUMMYFUNCTION("""COMPUTED_VALUE"""),"Romance")</f>
        <v>Romance</v>
      </c>
      <c r="V2121" s="5">
        <f>IFERROR(__xludf.DUMMYFUNCTION("""COMPUTED_VALUE"""),3.0)</f>
        <v>3</v>
      </c>
    </row>
    <row r="2122">
      <c r="J2122" s="5" t="str">
        <f>IFERROR(__xludf.DUMMYFUNCTION("""COMPUTED_VALUE"""),"707🤙🏼Jules et Jim🤙🏼🤙🏼3")</f>
        <v>707🤙🏼Jules et Jim🤙🏼🤙🏼3</v>
      </c>
      <c r="K2122" s="5">
        <f>IFERROR(__xludf.DUMMYFUNCTION("SPLiT(J2122, ""🤙🏼"",FALSE,FALSE)"),707.0)</f>
        <v>707</v>
      </c>
      <c r="L2122" s="5" t="str">
        <f>IFERROR(__xludf.DUMMYFUNCTION("""COMPUTED_VALUE"""),"Jules et Jim")</f>
        <v>Jules et Jim</v>
      </c>
      <c r="M2122" s="5"/>
      <c r="N2122" s="5">
        <f>IFERROR(__xludf.DUMMYFUNCTION("""COMPUTED_VALUE"""),3.0)</f>
        <v>3</v>
      </c>
      <c r="S2122" s="5">
        <f>IFERROR(__xludf.DUMMYFUNCTION("""COMPUTED_VALUE"""),837.0)</f>
        <v>837</v>
      </c>
      <c r="T2122" s="5" t="str">
        <f>IFERROR(__xludf.DUMMYFUNCTION("""COMPUTED_VALUE"""),"After Hours")</f>
        <v>After Hours</v>
      </c>
      <c r="U2122" s="5" t="str">
        <f>IFERROR(__xludf.DUMMYFUNCTION("""COMPUTED_VALUE"""),"Comedy")</f>
        <v>Comedy</v>
      </c>
      <c r="V2122" s="5">
        <f>IFERROR(__xludf.DUMMYFUNCTION("""COMPUTED_VALUE"""),1.0)</f>
        <v>1</v>
      </c>
    </row>
    <row r="2123">
      <c r="J2123" s="5" t="str">
        <f>IFERROR(__xludf.DUMMYFUNCTION("""COMPUTED_VALUE"""),"708🤙🏼The Innocents🤙🏼Horror🤙🏼1")</f>
        <v>708🤙🏼The Innocents🤙🏼Horror🤙🏼1</v>
      </c>
      <c r="K2123" s="5">
        <f>IFERROR(__xludf.DUMMYFUNCTION("SPLiT(J2123, ""🤙🏼"",FALSE,FALSE)"),708.0)</f>
        <v>708</v>
      </c>
      <c r="L2123" s="5" t="str">
        <f>IFERROR(__xludf.DUMMYFUNCTION("""COMPUTED_VALUE"""),"The Innocents")</f>
        <v>The Innocents</v>
      </c>
      <c r="M2123" s="5" t="str">
        <f>IFERROR(__xludf.DUMMYFUNCTION("""COMPUTED_VALUE"""),"Horror")</f>
        <v>Horror</v>
      </c>
      <c r="N2123" s="5">
        <f>IFERROR(__xludf.DUMMYFUNCTION("""COMPUTED_VALUE"""),1.0)</f>
        <v>1</v>
      </c>
      <c r="S2123" s="5">
        <f>IFERROR(__xludf.DUMMYFUNCTION("""COMPUTED_VALUE"""),837.0)</f>
        <v>837</v>
      </c>
      <c r="T2123" s="5" t="str">
        <f>IFERROR(__xludf.DUMMYFUNCTION("""COMPUTED_VALUE"""),"After Hours")</f>
        <v>After Hours</v>
      </c>
      <c r="U2123" s="5" t="str">
        <f>IFERROR(__xludf.DUMMYFUNCTION("""COMPUTED_VALUE"""),"Crime")</f>
        <v>Crime</v>
      </c>
      <c r="V2123" s="5">
        <f>IFERROR(__xludf.DUMMYFUNCTION("""COMPUTED_VALUE"""),2.0)</f>
        <v>2</v>
      </c>
    </row>
    <row r="2124">
      <c r="J2124" s="5" t="str">
        <f>IFERROR(__xludf.DUMMYFUNCTION("""COMPUTED_VALUE"""),"708🤙🏼The Innocents🤙🏼🤙🏼2")</f>
        <v>708🤙🏼The Innocents🤙🏼🤙🏼2</v>
      </c>
      <c r="K2124" s="5">
        <f>IFERROR(__xludf.DUMMYFUNCTION("SPLiT(J2124, ""🤙🏼"",FALSE,FALSE)"),708.0)</f>
        <v>708</v>
      </c>
      <c r="L2124" s="5" t="str">
        <f>IFERROR(__xludf.DUMMYFUNCTION("""COMPUTED_VALUE"""),"The Innocents")</f>
        <v>The Innocents</v>
      </c>
      <c r="M2124" s="5"/>
      <c r="N2124" s="5">
        <f>IFERROR(__xludf.DUMMYFUNCTION("""COMPUTED_VALUE"""),2.0)</f>
        <v>2</v>
      </c>
      <c r="S2124" s="5">
        <f>IFERROR(__xludf.DUMMYFUNCTION("""COMPUTED_VALUE"""),837.0)</f>
        <v>837</v>
      </c>
      <c r="T2124" s="5" t="str">
        <f>IFERROR(__xludf.DUMMYFUNCTION("""COMPUTED_VALUE"""),"After Hours")</f>
        <v>After Hours</v>
      </c>
      <c r="U2124" s="5" t="str">
        <f>IFERROR(__xludf.DUMMYFUNCTION("""COMPUTED_VALUE"""),"Drama")</f>
        <v>Drama</v>
      </c>
      <c r="V2124" s="5">
        <f>IFERROR(__xludf.DUMMYFUNCTION("""COMPUTED_VALUE"""),3.0)</f>
        <v>3</v>
      </c>
    </row>
    <row r="2125">
      <c r="J2125" s="5" t="str">
        <f>IFERROR(__xludf.DUMMYFUNCTION("""COMPUTED_VALUE"""),"708🤙🏼The Innocents🤙🏼🤙🏼3")</f>
        <v>708🤙🏼The Innocents🤙🏼🤙🏼3</v>
      </c>
      <c r="K2125" s="5">
        <f>IFERROR(__xludf.DUMMYFUNCTION("SPLiT(J2125, ""🤙🏼"",FALSE,FALSE)"),708.0)</f>
        <v>708</v>
      </c>
      <c r="L2125" s="5" t="str">
        <f>IFERROR(__xludf.DUMMYFUNCTION("""COMPUTED_VALUE"""),"The Innocents")</f>
        <v>The Innocents</v>
      </c>
      <c r="M2125" s="5"/>
      <c r="N2125" s="5">
        <f>IFERROR(__xludf.DUMMYFUNCTION("""COMPUTED_VALUE"""),3.0)</f>
        <v>3</v>
      </c>
      <c r="S2125" s="5">
        <f>IFERROR(__xludf.DUMMYFUNCTION("""COMPUTED_VALUE"""),838.0)</f>
        <v>838</v>
      </c>
      <c r="T2125" s="5" t="str">
        <f>IFERROR(__xludf.DUMMYFUNCTION("""COMPUTED_VALUE"""),"Zelig")</f>
        <v>Zelig</v>
      </c>
      <c r="U2125" s="5" t="str">
        <f>IFERROR(__xludf.DUMMYFUNCTION("""COMPUTED_VALUE"""),"Comedy")</f>
        <v>Comedy</v>
      </c>
      <c r="V2125" s="5">
        <f>IFERROR(__xludf.DUMMYFUNCTION("""COMPUTED_VALUE"""),1.0)</f>
        <v>1</v>
      </c>
    </row>
    <row r="2126">
      <c r="J2126" s="5" t="str">
        <f>IFERROR(__xludf.DUMMYFUNCTION("""COMPUTED_VALUE"""),"709🤙🏼À bout de souffle🤙🏼Crime🤙🏼1")</f>
        <v>709🤙🏼À bout de souffle🤙🏼Crime🤙🏼1</v>
      </c>
      <c r="K2126" s="5">
        <f>IFERROR(__xludf.DUMMYFUNCTION("SPLiT(J2126, ""🤙🏼"",FALSE,FALSE)"),709.0)</f>
        <v>709</v>
      </c>
      <c r="L2126" s="5" t="str">
        <f>IFERROR(__xludf.DUMMYFUNCTION("""COMPUTED_VALUE"""),"À bout de souffle")</f>
        <v>À bout de souffle</v>
      </c>
      <c r="M2126" s="5" t="str">
        <f>IFERROR(__xludf.DUMMYFUNCTION("""COMPUTED_VALUE"""),"Crime")</f>
        <v>Crime</v>
      </c>
      <c r="N2126" s="5">
        <f>IFERROR(__xludf.DUMMYFUNCTION("""COMPUTED_VALUE"""),1.0)</f>
        <v>1</v>
      </c>
      <c r="S2126" s="5">
        <f>IFERROR(__xludf.DUMMYFUNCTION("""COMPUTED_VALUE"""),839.0)</f>
        <v>839</v>
      </c>
      <c r="T2126" s="5" t="str">
        <f>IFERROR(__xludf.DUMMYFUNCTION("""COMPUTED_VALUE"""),"The Verdict")</f>
        <v>The Verdict</v>
      </c>
      <c r="U2126" s="5" t="str">
        <f>IFERROR(__xludf.DUMMYFUNCTION("""COMPUTED_VALUE"""),"Drama")</f>
        <v>Drama</v>
      </c>
      <c r="V2126" s="5">
        <f>IFERROR(__xludf.DUMMYFUNCTION("""COMPUTED_VALUE"""),1.0)</f>
        <v>1</v>
      </c>
    </row>
    <row r="2127">
      <c r="J2127" s="5" t="str">
        <f>IFERROR(__xludf.DUMMYFUNCTION("""COMPUTED_VALUE"""),"709🤙🏼À bout de souffle🤙🏼Drama🤙🏼2")</f>
        <v>709🤙🏼À bout de souffle🤙🏼Drama🤙🏼2</v>
      </c>
      <c r="K2127" s="5">
        <f>IFERROR(__xludf.DUMMYFUNCTION("SPLiT(J2127, ""🤙🏼"",FALSE,FALSE)"),709.0)</f>
        <v>709</v>
      </c>
      <c r="L2127" s="5" t="str">
        <f>IFERROR(__xludf.DUMMYFUNCTION("""COMPUTED_VALUE"""),"À bout de souffle")</f>
        <v>À bout de souffle</v>
      </c>
      <c r="M2127" s="5" t="str">
        <f>IFERROR(__xludf.DUMMYFUNCTION("""COMPUTED_VALUE"""),"Drama")</f>
        <v>Drama</v>
      </c>
      <c r="N2127" s="5">
        <f>IFERROR(__xludf.DUMMYFUNCTION("""COMPUTED_VALUE"""),2.0)</f>
        <v>2</v>
      </c>
      <c r="S2127" s="5">
        <f>IFERROR(__xludf.DUMMYFUNCTION("""COMPUTED_VALUE"""),840.0)</f>
        <v>840</v>
      </c>
      <c r="T2127" s="5" t="str">
        <f>IFERROR(__xludf.DUMMYFUNCTION("""COMPUTED_VALUE"""),"Star Trek II: The Wrath of Khan")</f>
        <v>Star Trek II: The Wrath of Khan</v>
      </c>
      <c r="U2127" s="5" t="str">
        <f>IFERROR(__xludf.DUMMYFUNCTION("""COMPUTED_VALUE"""),"Action")</f>
        <v>Action</v>
      </c>
      <c r="V2127" s="5">
        <f>IFERROR(__xludf.DUMMYFUNCTION("""COMPUTED_VALUE"""),1.0)</f>
        <v>1</v>
      </c>
    </row>
    <row r="2128">
      <c r="J2128" s="5" t="str">
        <f>IFERROR(__xludf.DUMMYFUNCTION("""COMPUTED_VALUE"""),"709🤙🏼À bout de souffle🤙🏼🤙🏼3")</f>
        <v>709🤙🏼À bout de souffle🤙🏼🤙🏼3</v>
      </c>
      <c r="K2128" s="5">
        <f>IFERROR(__xludf.DUMMYFUNCTION("SPLiT(J2128, ""🤙🏼"",FALSE,FALSE)"),709.0)</f>
        <v>709</v>
      </c>
      <c r="L2128" s="5" t="str">
        <f>IFERROR(__xludf.DUMMYFUNCTION("""COMPUTED_VALUE"""),"À bout de souffle")</f>
        <v>À bout de souffle</v>
      </c>
      <c r="M2128" s="5"/>
      <c r="N2128" s="5">
        <f>IFERROR(__xludf.DUMMYFUNCTION("""COMPUTED_VALUE"""),3.0)</f>
        <v>3</v>
      </c>
      <c r="S2128" s="5">
        <f>IFERROR(__xludf.DUMMYFUNCTION("""COMPUTED_VALUE"""),840.0)</f>
        <v>840</v>
      </c>
      <c r="T2128" s="5" t="str">
        <f>IFERROR(__xludf.DUMMYFUNCTION("""COMPUTED_VALUE"""),"Star Trek II: The Wrath of Khan")</f>
        <v>Star Trek II: The Wrath of Khan</v>
      </c>
      <c r="U2128" s="5" t="str">
        <f>IFERROR(__xludf.DUMMYFUNCTION("""COMPUTED_VALUE"""),"Adventure")</f>
        <v>Adventure</v>
      </c>
      <c r="V2128" s="5">
        <f>IFERROR(__xludf.DUMMYFUNCTION("""COMPUTED_VALUE"""),2.0)</f>
        <v>2</v>
      </c>
    </row>
    <row r="2129">
      <c r="J2129" s="5" t="str">
        <f>IFERROR(__xludf.DUMMYFUNCTION("""COMPUTED_VALUE"""),"710🤙🏼Red River🤙🏼Action🤙🏼1")</f>
        <v>710🤙🏼Red River🤙🏼Action🤙🏼1</v>
      </c>
      <c r="K2129" s="5">
        <f>IFERROR(__xludf.DUMMYFUNCTION("SPLiT(J2129, ""🤙🏼"",FALSE,FALSE)"),710.0)</f>
        <v>710</v>
      </c>
      <c r="L2129" s="5" t="str">
        <f>IFERROR(__xludf.DUMMYFUNCTION("""COMPUTED_VALUE"""),"Red River")</f>
        <v>Red River</v>
      </c>
      <c r="M2129" s="5" t="str">
        <f>IFERROR(__xludf.DUMMYFUNCTION("""COMPUTED_VALUE"""),"Action")</f>
        <v>Action</v>
      </c>
      <c r="N2129" s="5">
        <f>IFERROR(__xludf.DUMMYFUNCTION("""COMPUTED_VALUE"""),1.0)</f>
        <v>1</v>
      </c>
      <c r="S2129" s="5">
        <f>IFERROR(__xludf.DUMMYFUNCTION("""COMPUTED_VALUE"""),840.0)</f>
        <v>840</v>
      </c>
      <c r="T2129" s="5" t="str">
        <f>IFERROR(__xludf.DUMMYFUNCTION("""COMPUTED_VALUE"""),"Star Trek II: The Wrath of Khan")</f>
        <v>Star Trek II: The Wrath of Khan</v>
      </c>
      <c r="U2129" s="5" t="str">
        <f>IFERROR(__xludf.DUMMYFUNCTION("""COMPUTED_VALUE"""),"Sci-Fi")</f>
        <v>Sci-Fi</v>
      </c>
      <c r="V2129" s="5">
        <f>IFERROR(__xludf.DUMMYFUNCTION("""COMPUTED_VALUE"""),3.0)</f>
        <v>3</v>
      </c>
    </row>
    <row r="2130">
      <c r="J2130" s="5" t="str">
        <f>IFERROR(__xludf.DUMMYFUNCTION("""COMPUTED_VALUE"""),"710🤙🏼Red River🤙🏼Adventure🤙🏼2")</f>
        <v>710🤙🏼Red River🤙🏼Adventure🤙🏼2</v>
      </c>
      <c r="K2130" s="5">
        <f>IFERROR(__xludf.DUMMYFUNCTION("SPLiT(J2130, ""🤙🏼"",FALSE,FALSE)"),710.0)</f>
        <v>710</v>
      </c>
      <c r="L2130" s="5" t="str">
        <f>IFERROR(__xludf.DUMMYFUNCTION("""COMPUTED_VALUE"""),"Red River")</f>
        <v>Red River</v>
      </c>
      <c r="M2130" s="5" t="str">
        <f>IFERROR(__xludf.DUMMYFUNCTION("""COMPUTED_VALUE"""),"Adventure")</f>
        <v>Adventure</v>
      </c>
      <c r="N2130" s="5">
        <f>IFERROR(__xludf.DUMMYFUNCTION("""COMPUTED_VALUE"""),2.0)</f>
        <v>2</v>
      </c>
      <c r="S2130" s="5">
        <f>IFERROR(__xludf.DUMMYFUNCTION("""COMPUTED_VALUE"""),841.0)</f>
        <v>841</v>
      </c>
      <c r="T2130" s="5" t="str">
        <f>IFERROR(__xludf.DUMMYFUNCTION("""COMPUTED_VALUE"""),"First Blood")</f>
        <v>First Blood</v>
      </c>
      <c r="U2130" s="5" t="str">
        <f>IFERROR(__xludf.DUMMYFUNCTION("""COMPUTED_VALUE"""),"Action")</f>
        <v>Action</v>
      </c>
      <c r="V2130" s="5">
        <f>IFERROR(__xludf.DUMMYFUNCTION("""COMPUTED_VALUE"""),1.0)</f>
        <v>1</v>
      </c>
    </row>
    <row r="2131">
      <c r="J2131" s="5" t="str">
        <f>IFERROR(__xludf.DUMMYFUNCTION("""COMPUTED_VALUE"""),"710🤙🏼Red River🤙🏼Drama🤙🏼3")</f>
        <v>710🤙🏼Red River🤙🏼Drama🤙🏼3</v>
      </c>
      <c r="K2131" s="5">
        <f>IFERROR(__xludf.DUMMYFUNCTION("SPLiT(J2131, ""🤙🏼"",FALSE,FALSE)"),710.0)</f>
        <v>710</v>
      </c>
      <c r="L2131" s="5" t="str">
        <f>IFERROR(__xludf.DUMMYFUNCTION("""COMPUTED_VALUE"""),"Red River")</f>
        <v>Red River</v>
      </c>
      <c r="M2131" s="5" t="str">
        <f>IFERROR(__xludf.DUMMYFUNCTION("""COMPUTED_VALUE"""),"Drama")</f>
        <v>Drama</v>
      </c>
      <c r="N2131" s="5">
        <f>IFERROR(__xludf.DUMMYFUNCTION("""COMPUTED_VALUE"""),3.0)</f>
        <v>3</v>
      </c>
      <c r="S2131" s="5">
        <f>IFERROR(__xludf.DUMMYFUNCTION("""COMPUTED_VALUE"""),841.0)</f>
        <v>841</v>
      </c>
      <c r="T2131" s="5" t="str">
        <f>IFERROR(__xludf.DUMMYFUNCTION("""COMPUTED_VALUE"""),"First Blood")</f>
        <v>First Blood</v>
      </c>
      <c r="U2131" s="5" t="str">
        <f>IFERROR(__xludf.DUMMYFUNCTION("""COMPUTED_VALUE"""),"Adventure")</f>
        <v>Adventure</v>
      </c>
      <c r="V2131" s="5">
        <f>IFERROR(__xludf.DUMMYFUNCTION("""COMPUTED_VALUE"""),2.0)</f>
        <v>2</v>
      </c>
    </row>
    <row r="2132">
      <c r="J2132" s="5" t="str">
        <f>IFERROR(__xludf.DUMMYFUNCTION("""COMPUTED_VALUE"""),"711🤙🏼Key Largo🤙🏼Action🤙🏼1")</f>
        <v>711🤙🏼Key Largo🤙🏼Action🤙🏼1</v>
      </c>
      <c r="K2132" s="5">
        <f>IFERROR(__xludf.DUMMYFUNCTION("SPLiT(J2132, ""🤙🏼"",FALSE,FALSE)"),711.0)</f>
        <v>711</v>
      </c>
      <c r="L2132" s="5" t="str">
        <f>IFERROR(__xludf.DUMMYFUNCTION("""COMPUTED_VALUE"""),"Key Largo")</f>
        <v>Key Largo</v>
      </c>
      <c r="M2132" s="5" t="str">
        <f>IFERROR(__xludf.DUMMYFUNCTION("""COMPUTED_VALUE"""),"Action")</f>
        <v>Action</v>
      </c>
      <c r="N2132" s="5">
        <f>IFERROR(__xludf.DUMMYFUNCTION("""COMPUTED_VALUE"""),1.0)</f>
        <v>1</v>
      </c>
      <c r="S2132" s="5">
        <f>IFERROR(__xludf.DUMMYFUNCTION("""COMPUTED_VALUE"""),842.0)</f>
        <v>842</v>
      </c>
      <c r="T2132" s="5" t="str">
        <f>IFERROR(__xludf.DUMMYFUNCTION("""COMPUTED_VALUE"""),"Ordinary People")</f>
        <v>Ordinary People</v>
      </c>
      <c r="U2132" s="5" t="str">
        <f>IFERROR(__xludf.DUMMYFUNCTION("""COMPUTED_VALUE"""),"Drama")</f>
        <v>Drama</v>
      </c>
      <c r="V2132" s="5">
        <f>IFERROR(__xludf.DUMMYFUNCTION("""COMPUTED_VALUE"""),1.0)</f>
        <v>1</v>
      </c>
    </row>
    <row r="2133">
      <c r="J2133" s="5" t="str">
        <f>IFERROR(__xludf.DUMMYFUNCTION("""COMPUTED_VALUE"""),"711🤙🏼Key Largo🤙🏼Crime🤙🏼2")</f>
        <v>711🤙🏼Key Largo🤙🏼Crime🤙🏼2</v>
      </c>
      <c r="K2133" s="5">
        <f>IFERROR(__xludf.DUMMYFUNCTION("SPLiT(J2133, ""🤙🏼"",FALSE,FALSE)"),711.0)</f>
        <v>711</v>
      </c>
      <c r="L2133" s="5" t="str">
        <f>IFERROR(__xludf.DUMMYFUNCTION("""COMPUTED_VALUE"""),"Key Largo")</f>
        <v>Key Largo</v>
      </c>
      <c r="M2133" s="5" t="str">
        <f>IFERROR(__xludf.DUMMYFUNCTION("""COMPUTED_VALUE"""),"Crime")</f>
        <v>Crime</v>
      </c>
      <c r="N2133" s="5">
        <f>IFERROR(__xludf.DUMMYFUNCTION("""COMPUTED_VALUE"""),2.0)</f>
        <v>2</v>
      </c>
      <c r="S2133" s="5">
        <f>IFERROR(__xludf.DUMMYFUNCTION("""COMPUTED_VALUE"""),843.0)</f>
        <v>843</v>
      </c>
      <c r="T2133" s="5" t="str">
        <f>IFERROR(__xludf.DUMMYFUNCTION("""COMPUTED_VALUE"""),"Airplane!")</f>
        <v>Airplane!</v>
      </c>
      <c r="U2133" s="5" t="str">
        <f>IFERROR(__xludf.DUMMYFUNCTION("""COMPUTED_VALUE"""),"Comedy")</f>
        <v>Comedy</v>
      </c>
      <c r="V2133" s="5">
        <f>IFERROR(__xludf.DUMMYFUNCTION("""COMPUTED_VALUE"""),1.0)</f>
        <v>1</v>
      </c>
    </row>
    <row r="2134">
      <c r="J2134" s="5" t="str">
        <f>IFERROR(__xludf.DUMMYFUNCTION("""COMPUTED_VALUE"""),"711🤙🏼Key Largo🤙🏼Drama🤙🏼3")</f>
        <v>711🤙🏼Key Largo🤙🏼Drama🤙🏼3</v>
      </c>
      <c r="K2134" s="5">
        <f>IFERROR(__xludf.DUMMYFUNCTION("SPLiT(J2134, ""🤙🏼"",FALSE,FALSE)"),711.0)</f>
        <v>711</v>
      </c>
      <c r="L2134" s="5" t="str">
        <f>IFERROR(__xludf.DUMMYFUNCTION("""COMPUTED_VALUE"""),"Key Largo")</f>
        <v>Key Largo</v>
      </c>
      <c r="M2134" s="5" t="str">
        <f>IFERROR(__xludf.DUMMYFUNCTION("""COMPUTED_VALUE"""),"Drama")</f>
        <v>Drama</v>
      </c>
      <c r="N2134" s="5">
        <f>IFERROR(__xludf.DUMMYFUNCTION("""COMPUTED_VALUE"""),3.0)</f>
        <v>3</v>
      </c>
      <c r="S2134" s="5">
        <f>IFERROR(__xludf.DUMMYFUNCTION("""COMPUTED_VALUE"""),844.0)</f>
        <v>844</v>
      </c>
      <c r="T2134" s="5" t="str">
        <f>IFERROR(__xludf.DUMMYFUNCTION("""COMPUTED_VALUE"""),"Rupan sansei: Kariosutoro no shiro")</f>
        <v>Rupan sansei: Kariosutoro no shiro</v>
      </c>
      <c r="U2134" s="5" t="str">
        <f>IFERROR(__xludf.DUMMYFUNCTION("""COMPUTED_VALUE"""),"Animation")</f>
        <v>Animation</v>
      </c>
      <c r="V2134" s="5">
        <f>IFERROR(__xludf.DUMMYFUNCTION("""COMPUTED_VALUE"""),1.0)</f>
        <v>1</v>
      </c>
    </row>
    <row r="2135">
      <c r="J2135" s="5" t="str">
        <f>IFERROR(__xludf.DUMMYFUNCTION("""COMPUTED_VALUE"""),"712🤙🏼To Have and Have Not🤙🏼Adventure🤙🏼1")</f>
        <v>712🤙🏼To Have and Have Not🤙🏼Adventure🤙🏼1</v>
      </c>
      <c r="K2135" s="5">
        <f>IFERROR(__xludf.DUMMYFUNCTION("SPLiT(J2135, ""🤙🏼"",FALSE,FALSE)"),712.0)</f>
        <v>712</v>
      </c>
      <c r="L2135" s="5" t="str">
        <f>IFERROR(__xludf.DUMMYFUNCTION("""COMPUTED_VALUE"""),"To Have and Have Not")</f>
        <v>To Have and Have Not</v>
      </c>
      <c r="M2135" s="5" t="str">
        <f>IFERROR(__xludf.DUMMYFUNCTION("""COMPUTED_VALUE"""),"Adventure")</f>
        <v>Adventure</v>
      </c>
      <c r="N2135" s="5">
        <f>IFERROR(__xludf.DUMMYFUNCTION("""COMPUTED_VALUE"""),1.0)</f>
        <v>1</v>
      </c>
      <c r="S2135" s="5">
        <f>IFERROR(__xludf.DUMMYFUNCTION("""COMPUTED_VALUE"""),844.0)</f>
        <v>844</v>
      </c>
      <c r="T2135" s="5" t="str">
        <f>IFERROR(__xludf.DUMMYFUNCTION("""COMPUTED_VALUE"""),"Rupan sansei: Kariosutoro no shiro")</f>
        <v>Rupan sansei: Kariosutoro no shiro</v>
      </c>
      <c r="U2135" s="5" t="str">
        <f>IFERROR(__xludf.DUMMYFUNCTION("""COMPUTED_VALUE"""),"Adventure")</f>
        <v>Adventure</v>
      </c>
      <c r="V2135" s="5">
        <f>IFERROR(__xludf.DUMMYFUNCTION("""COMPUTED_VALUE"""),2.0)</f>
        <v>2</v>
      </c>
    </row>
    <row r="2136">
      <c r="J2136" s="5" t="str">
        <f>IFERROR(__xludf.DUMMYFUNCTION("""COMPUTED_VALUE"""),"712🤙🏼To Have and Have Not🤙🏼Comedy🤙🏼2")</f>
        <v>712🤙🏼To Have and Have Not🤙🏼Comedy🤙🏼2</v>
      </c>
      <c r="K2136" s="5">
        <f>IFERROR(__xludf.DUMMYFUNCTION("SPLiT(J2136, ""🤙🏼"",FALSE,FALSE)"),712.0)</f>
        <v>712</v>
      </c>
      <c r="L2136" s="5" t="str">
        <f>IFERROR(__xludf.DUMMYFUNCTION("""COMPUTED_VALUE"""),"To Have and Have Not")</f>
        <v>To Have and Have Not</v>
      </c>
      <c r="M2136" s="5" t="str">
        <f>IFERROR(__xludf.DUMMYFUNCTION("""COMPUTED_VALUE"""),"Comedy")</f>
        <v>Comedy</v>
      </c>
      <c r="N2136" s="5">
        <f>IFERROR(__xludf.DUMMYFUNCTION("""COMPUTED_VALUE"""),2.0)</f>
        <v>2</v>
      </c>
      <c r="S2136" s="5">
        <f>IFERROR(__xludf.DUMMYFUNCTION("""COMPUTED_VALUE"""),844.0)</f>
        <v>844</v>
      </c>
      <c r="T2136" s="5" t="str">
        <f>IFERROR(__xludf.DUMMYFUNCTION("""COMPUTED_VALUE"""),"Rupan sansei: Kariosutoro no shiro")</f>
        <v>Rupan sansei: Kariosutoro no shiro</v>
      </c>
      <c r="U2136" s="5" t="str">
        <f>IFERROR(__xludf.DUMMYFUNCTION("""COMPUTED_VALUE"""),"Family")</f>
        <v>Family</v>
      </c>
      <c r="V2136" s="5">
        <f>IFERROR(__xludf.DUMMYFUNCTION("""COMPUTED_VALUE"""),3.0)</f>
        <v>3</v>
      </c>
    </row>
    <row r="2137">
      <c r="J2137" s="5" t="str">
        <f>IFERROR(__xludf.DUMMYFUNCTION("""COMPUTED_VALUE"""),"712🤙🏼To Have and Have Not🤙🏼Film-Noir🤙🏼3")</f>
        <v>712🤙🏼To Have and Have Not🤙🏼Film-Noir🤙🏼3</v>
      </c>
      <c r="K2137" s="5">
        <f>IFERROR(__xludf.DUMMYFUNCTION("SPLiT(J2137, ""🤙🏼"",FALSE,FALSE)"),712.0)</f>
        <v>712</v>
      </c>
      <c r="L2137" s="5" t="str">
        <f>IFERROR(__xludf.DUMMYFUNCTION("""COMPUTED_VALUE"""),"To Have and Have Not")</f>
        <v>To Have and Have Not</v>
      </c>
      <c r="M2137" s="5" t="str">
        <f>IFERROR(__xludf.DUMMYFUNCTION("""COMPUTED_VALUE"""),"Film-Noir")</f>
        <v>Film-Noir</v>
      </c>
      <c r="N2137" s="5">
        <f>IFERROR(__xludf.DUMMYFUNCTION("""COMPUTED_VALUE"""),3.0)</f>
        <v>3</v>
      </c>
      <c r="S2137" s="5">
        <f>IFERROR(__xludf.DUMMYFUNCTION("""COMPUTED_VALUE"""),845.0)</f>
        <v>845</v>
      </c>
      <c r="T2137" s="5" t="str">
        <f>IFERROR(__xludf.DUMMYFUNCTION("""COMPUTED_VALUE"""),"Halloween")</f>
        <v>Halloween</v>
      </c>
      <c r="U2137" s="5" t="str">
        <f>IFERROR(__xludf.DUMMYFUNCTION("""COMPUTED_VALUE"""),"Horror")</f>
        <v>Horror</v>
      </c>
      <c r="V2137" s="5">
        <f>IFERROR(__xludf.DUMMYFUNCTION("""COMPUTED_VALUE"""),1.0)</f>
        <v>1</v>
      </c>
    </row>
    <row r="2138">
      <c r="J2138" s="5" t="str">
        <f>IFERROR(__xludf.DUMMYFUNCTION("""COMPUTED_VALUE"""),"713🤙🏼Shadow of a Doubt🤙🏼Film-Noir🤙🏼1")</f>
        <v>713🤙🏼Shadow of a Doubt🤙🏼Film-Noir🤙🏼1</v>
      </c>
      <c r="K2138" s="5">
        <f>IFERROR(__xludf.DUMMYFUNCTION("SPLiT(J2138, ""🤙🏼"",FALSE,FALSE)"),713.0)</f>
        <v>713</v>
      </c>
      <c r="L2138" s="5" t="str">
        <f>IFERROR(__xludf.DUMMYFUNCTION("""COMPUTED_VALUE"""),"Shadow of a Doubt")</f>
        <v>Shadow of a Doubt</v>
      </c>
      <c r="M2138" s="5" t="str">
        <f>IFERROR(__xludf.DUMMYFUNCTION("""COMPUTED_VALUE"""),"Film-Noir")</f>
        <v>Film-Noir</v>
      </c>
      <c r="N2138" s="5">
        <f>IFERROR(__xludf.DUMMYFUNCTION("""COMPUTED_VALUE"""),1.0)</f>
        <v>1</v>
      </c>
      <c r="S2138" s="5">
        <f>IFERROR(__xludf.DUMMYFUNCTION("""COMPUTED_VALUE"""),845.0)</f>
        <v>845</v>
      </c>
      <c r="T2138" s="5" t="str">
        <f>IFERROR(__xludf.DUMMYFUNCTION("""COMPUTED_VALUE"""),"Halloween")</f>
        <v>Halloween</v>
      </c>
      <c r="U2138" s="5" t="str">
        <f>IFERROR(__xludf.DUMMYFUNCTION("""COMPUTED_VALUE"""),"Thriller")</f>
        <v>Thriller</v>
      </c>
      <c r="V2138" s="5">
        <f>IFERROR(__xludf.DUMMYFUNCTION("""COMPUTED_VALUE"""),2.0)</f>
        <v>2</v>
      </c>
    </row>
    <row r="2139">
      <c r="J2139" s="5" t="str">
        <f>IFERROR(__xludf.DUMMYFUNCTION("""COMPUTED_VALUE"""),"713🤙🏼Shadow of a Doubt🤙🏼Thriller🤙🏼2")</f>
        <v>713🤙🏼Shadow of a Doubt🤙🏼Thriller🤙🏼2</v>
      </c>
      <c r="K2139" s="5">
        <f>IFERROR(__xludf.DUMMYFUNCTION("SPLiT(J2139, ""🤙🏼"",FALSE,FALSE)"),713.0)</f>
        <v>713</v>
      </c>
      <c r="L2139" s="5" t="str">
        <f>IFERROR(__xludf.DUMMYFUNCTION("""COMPUTED_VALUE"""),"Shadow of a Doubt")</f>
        <v>Shadow of a Doubt</v>
      </c>
      <c r="M2139" s="5" t="str">
        <f>IFERROR(__xludf.DUMMYFUNCTION("""COMPUTED_VALUE"""),"Thriller")</f>
        <v>Thriller</v>
      </c>
      <c r="N2139" s="5">
        <f>IFERROR(__xludf.DUMMYFUNCTION("""COMPUTED_VALUE"""),2.0)</f>
        <v>2</v>
      </c>
      <c r="S2139" s="5">
        <f>IFERROR(__xludf.DUMMYFUNCTION("""COMPUTED_VALUE"""),846.0)</f>
        <v>846</v>
      </c>
      <c r="T2139" s="5" t="str">
        <f>IFERROR(__xludf.DUMMYFUNCTION("""COMPUTED_VALUE"""),"Le locataire")</f>
        <v>Le locataire</v>
      </c>
      <c r="U2139" s="5" t="str">
        <f>IFERROR(__xludf.DUMMYFUNCTION("""COMPUTED_VALUE"""),"Drama")</f>
        <v>Drama</v>
      </c>
      <c r="V2139" s="5">
        <f>IFERROR(__xludf.DUMMYFUNCTION("""COMPUTED_VALUE"""),1.0)</f>
        <v>1</v>
      </c>
    </row>
    <row r="2140">
      <c r="J2140" s="5" t="str">
        <f>IFERROR(__xludf.DUMMYFUNCTION("""COMPUTED_VALUE"""),"713🤙🏼Shadow of a Doubt🤙🏼🤙🏼3")</f>
        <v>713🤙🏼Shadow of a Doubt🤙🏼🤙🏼3</v>
      </c>
      <c r="K2140" s="5">
        <f>IFERROR(__xludf.DUMMYFUNCTION("SPLiT(J2140, ""🤙🏼"",FALSE,FALSE)"),713.0)</f>
        <v>713</v>
      </c>
      <c r="L2140" s="5" t="str">
        <f>IFERROR(__xludf.DUMMYFUNCTION("""COMPUTED_VALUE"""),"Shadow of a Doubt")</f>
        <v>Shadow of a Doubt</v>
      </c>
      <c r="M2140" s="5"/>
      <c r="N2140" s="5">
        <f>IFERROR(__xludf.DUMMYFUNCTION("""COMPUTED_VALUE"""),3.0)</f>
        <v>3</v>
      </c>
      <c r="S2140" s="5">
        <f>IFERROR(__xludf.DUMMYFUNCTION("""COMPUTED_VALUE"""),846.0)</f>
        <v>846</v>
      </c>
      <c r="T2140" s="5" t="str">
        <f>IFERROR(__xludf.DUMMYFUNCTION("""COMPUTED_VALUE"""),"Le locataire")</f>
        <v>Le locataire</v>
      </c>
      <c r="U2140" s="5" t="str">
        <f>IFERROR(__xludf.DUMMYFUNCTION("""COMPUTED_VALUE"""),"Thriller")</f>
        <v>Thriller</v>
      </c>
      <c r="V2140" s="5">
        <f>IFERROR(__xludf.DUMMYFUNCTION("""COMPUTED_VALUE"""),2.0)</f>
        <v>2</v>
      </c>
    </row>
    <row r="2141">
      <c r="J2141" s="5" t="str">
        <f>IFERROR(__xludf.DUMMYFUNCTION("""COMPUTED_VALUE"""),"714🤙🏼Stagecoach🤙🏼Adventure🤙🏼1")</f>
        <v>714🤙🏼Stagecoach🤙🏼Adventure🤙🏼1</v>
      </c>
      <c r="K2141" s="5">
        <f>IFERROR(__xludf.DUMMYFUNCTION("SPLiT(J2141, ""🤙🏼"",FALSE,FALSE)"),714.0)</f>
        <v>714</v>
      </c>
      <c r="L2141" s="5" t="str">
        <f>IFERROR(__xludf.DUMMYFUNCTION("""COMPUTED_VALUE"""),"Stagecoach")</f>
        <v>Stagecoach</v>
      </c>
      <c r="M2141" s="5" t="str">
        <f>IFERROR(__xludf.DUMMYFUNCTION("""COMPUTED_VALUE"""),"Adventure")</f>
        <v>Adventure</v>
      </c>
      <c r="N2141" s="5">
        <f>IFERROR(__xludf.DUMMYFUNCTION("""COMPUTED_VALUE"""),1.0)</f>
        <v>1</v>
      </c>
      <c r="S2141" s="5">
        <f>IFERROR(__xludf.DUMMYFUNCTION("""COMPUTED_VALUE"""),847.0)</f>
        <v>847</v>
      </c>
      <c r="T2141" s="5" t="str">
        <f>IFERROR(__xludf.DUMMYFUNCTION("""COMPUTED_VALUE"""),"Love and Death")</f>
        <v>Love and Death</v>
      </c>
      <c r="U2141" s="5" t="str">
        <f>IFERROR(__xludf.DUMMYFUNCTION("""COMPUTED_VALUE"""),"Comedy")</f>
        <v>Comedy</v>
      </c>
      <c r="V2141" s="5">
        <f>IFERROR(__xludf.DUMMYFUNCTION("""COMPUTED_VALUE"""),1.0)</f>
        <v>1</v>
      </c>
    </row>
    <row r="2142">
      <c r="J2142" s="5" t="str">
        <f>IFERROR(__xludf.DUMMYFUNCTION("""COMPUTED_VALUE"""),"714🤙🏼Stagecoach🤙🏼Drama🤙🏼2")</f>
        <v>714🤙🏼Stagecoach🤙🏼Drama🤙🏼2</v>
      </c>
      <c r="K2142" s="5">
        <f>IFERROR(__xludf.DUMMYFUNCTION("SPLiT(J2142, ""🤙🏼"",FALSE,FALSE)"),714.0)</f>
        <v>714</v>
      </c>
      <c r="L2142" s="5" t="str">
        <f>IFERROR(__xludf.DUMMYFUNCTION("""COMPUTED_VALUE"""),"Stagecoach")</f>
        <v>Stagecoach</v>
      </c>
      <c r="M2142" s="5" t="str">
        <f>IFERROR(__xludf.DUMMYFUNCTION("""COMPUTED_VALUE"""),"Drama")</f>
        <v>Drama</v>
      </c>
      <c r="N2142" s="5">
        <f>IFERROR(__xludf.DUMMYFUNCTION("""COMPUTED_VALUE"""),2.0)</f>
        <v>2</v>
      </c>
      <c r="S2142" s="5">
        <f>IFERROR(__xludf.DUMMYFUNCTION("""COMPUTED_VALUE"""),847.0)</f>
        <v>847</v>
      </c>
      <c r="T2142" s="5" t="str">
        <f>IFERROR(__xludf.DUMMYFUNCTION("""COMPUTED_VALUE"""),"Love and Death")</f>
        <v>Love and Death</v>
      </c>
      <c r="U2142" s="5" t="str">
        <f>IFERROR(__xludf.DUMMYFUNCTION("""COMPUTED_VALUE"""),"War")</f>
        <v>War</v>
      </c>
      <c r="V2142" s="5">
        <f>IFERROR(__xludf.DUMMYFUNCTION("""COMPUTED_VALUE"""),2.0)</f>
        <v>2</v>
      </c>
    </row>
    <row r="2143">
      <c r="J2143" s="5" t="str">
        <f>IFERROR(__xludf.DUMMYFUNCTION("""COMPUTED_VALUE"""),"714🤙🏼Stagecoach🤙🏼Western🤙🏼3")</f>
        <v>714🤙🏼Stagecoach🤙🏼Western🤙🏼3</v>
      </c>
      <c r="K2143" s="5">
        <f>IFERROR(__xludf.DUMMYFUNCTION("SPLiT(J2143, ""🤙🏼"",FALSE,FALSE)"),714.0)</f>
        <v>714</v>
      </c>
      <c r="L2143" s="5" t="str">
        <f>IFERROR(__xludf.DUMMYFUNCTION("""COMPUTED_VALUE"""),"Stagecoach")</f>
        <v>Stagecoach</v>
      </c>
      <c r="M2143" s="5" t="str">
        <f>IFERROR(__xludf.DUMMYFUNCTION("""COMPUTED_VALUE"""),"Western")</f>
        <v>Western</v>
      </c>
      <c r="N2143" s="5">
        <f>IFERROR(__xludf.DUMMYFUNCTION("""COMPUTED_VALUE"""),3.0)</f>
        <v>3</v>
      </c>
      <c r="S2143" s="5">
        <f>IFERROR(__xludf.DUMMYFUNCTION("""COMPUTED_VALUE"""),848.0)</f>
        <v>848</v>
      </c>
      <c r="T2143" s="5" t="str">
        <f>IFERROR(__xludf.DUMMYFUNCTION("""COMPUTED_VALUE"""),"The Taking of Pelham One Two Three")</f>
        <v>The Taking of Pelham One Two Three</v>
      </c>
      <c r="U2143" s="5" t="str">
        <f>IFERROR(__xludf.DUMMYFUNCTION("""COMPUTED_VALUE"""),"Action")</f>
        <v>Action</v>
      </c>
      <c r="V2143" s="5">
        <f>IFERROR(__xludf.DUMMYFUNCTION("""COMPUTED_VALUE"""),1.0)</f>
        <v>1</v>
      </c>
    </row>
    <row r="2144">
      <c r="J2144" s="5" t="str">
        <f>IFERROR(__xludf.DUMMYFUNCTION("""COMPUTED_VALUE"""),"715🤙🏼The Lady Vanishes🤙🏼Mystery🤙🏼1")</f>
        <v>715🤙🏼The Lady Vanishes🤙🏼Mystery🤙🏼1</v>
      </c>
      <c r="K2144" s="5">
        <f>IFERROR(__xludf.DUMMYFUNCTION("SPLiT(J2144, ""🤙🏼"",FALSE,FALSE)"),715.0)</f>
        <v>715</v>
      </c>
      <c r="L2144" s="5" t="str">
        <f>IFERROR(__xludf.DUMMYFUNCTION("""COMPUTED_VALUE"""),"The Lady Vanishes")</f>
        <v>The Lady Vanishes</v>
      </c>
      <c r="M2144" s="5" t="str">
        <f>IFERROR(__xludf.DUMMYFUNCTION("""COMPUTED_VALUE"""),"Mystery")</f>
        <v>Mystery</v>
      </c>
      <c r="N2144" s="5">
        <f>IFERROR(__xludf.DUMMYFUNCTION("""COMPUTED_VALUE"""),1.0)</f>
        <v>1</v>
      </c>
      <c r="S2144" s="5">
        <f>IFERROR(__xludf.DUMMYFUNCTION("""COMPUTED_VALUE"""),848.0)</f>
        <v>848</v>
      </c>
      <c r="T2144" s="5" t="str">
        <f>IFERROR(__xludf.DUMMYFUNCTION("""COMPUTED_VALUE"""),"The Taking of Pelham One Two Three")</f>
        <v>The Taking of Pelham One Two Three</v>
      </c>
      <c r="U2144" s="5" t="str">
        <f>IFERROR(__xludf.DUMMYFUNCTION("""COMPUTED_VALUE"""),"Crime")</f>
        <v>Crime</v>
      </c>
      <c r="V2144" s="5">
        <f>IFERROR(__xludf.DUMMYFUNCTION("""COMPUTED_VALUE"""),2.0)</f>
        <v>2</v>
      </c>
    </row>
    <row r="2145">
      <c r="J2145" s="5" t="str">
        <f>IFERROR(__xludf.DUMMYFUNCTION("""COMPUTED_VALUE"""),"715🤙🏼The Lady Vanishes🤙🏼Thriller🤙🏼2")</f>
        <v>715🤙🏼The Lady Vanishes🤙🏼Thriller🤙🏼2</v>
      </c>
      <c r="K2145" s="5">
        <f>IFERROR(__xludf.DUMMYFUNCTION("SPLiT(J2145, ""🤙🏼"",FALSE,FALSE)"),715.0)</f>
        <v>715</v>
      </c>
      <c r="L2145" s="5" t="str">
        <f>IFERROR(__xludf.DUMMYFUNCTION("""COMPUTED_VALUE"""),"The Lady Vanishes")</f>
        <v>The Lady Vanishes</v>
      </c>
      <c r="M2145" s="5" t="str">
        <f>IFERROR(__xludf.DUMMYFUNCTION("""COMPUTED_VALUE"""),"Thriller")</f>
        <v>Thriller</v>
      </c>
      <c r="N2145" s="5">
        <f>IFERROR(__xludf.DUMMYFUNCTION("""COMPUTED_VALUE"""),2.0)</f>
        <v>2</v>
      </c>
      <c r="S2145" s="5">
        <f>IFERROR(__xludf.DUMMYFUNCTION("""COMPUTED_VALUE"""),848.0)</f>
        <v>848</v>
      </c>
      <c r="T2145" s="5" t="str">
        <f>IFERROR(__xludf.DUMMYFUNCTION("""COMPUTED_VALUE"""),"The Taking of Pelham One Two Three")</f>
        <v>The Taking of Pelham One Two Three</v>
      </c>
      <c r="U2145" s="5" t="str">
        <f>IFERROR(__xludf.DUMMYFUNCTION("""COMPUTED_VALUE"""),"Thriller")</f>
        <v>Thriller</v>
      </c>
      <c r="V2145" s="5">
        <f>IFERROR(__xludf.DUMMYFUNCTION("""COMPUTED_VALUE"""),3.0)</f>
        <v>3</v>
      </c>
    </row>
    <row r="2146">
      <c r="J2146" s="5" t="str">
        <f>IFERROR(__xludf.DUMMYFUNCTION("""COMPUTED_VALUE"""),"715🤙🏼The Lady Vanishes🤙🏼🤙🏼3")</f>
        <v>715🤙🏼The Lady Vanishes🤙🏼🤙🏼3</v>
      </c>
      <c r="K2146" s="5">
        <f>IFERROR(__xludf.DUMMYFUNCTION("SPLiT(J2146, ""🤙🏼"",FALSE,FALSE)"),715.0)</f>
        <v>715</v>
      </c>
      <c r="L2146" s="5" t="str">
        <f>IFERROR(__xludf.DUMMYFUNCTION("""COMPUTED_VALUE"""),"The Lady Vanishes")</f>
        <v>The Lady Vanishes</v>
      </c>
      <c r="M2146" s="5"/>
      <c r="N2146" s="5">
        <f>IFERROR(__xludf.DUMMYFUNCTION("""COMPUTED_VALUE"""),3.0)</f>
        <v>3</v>
      </c>
      <c r="S2146" s="5">
        <f>IFERROR(__xludf.DUMMYFUNCTION("""COMPUTED_VALUE"""),849.0)</f>
        <v>849</v>
      </c>
      <c r="T2146" s="5" t="str">
        <f>IFERROR(__xludf.DUMMYFUNCTION("""COMPUTED_VALUE"""),"Blazing Saddles")</f>
        <v>Blazing Saddles</v>
      </c>
      <c r="U2146" s="5" t="str">
        <f>IFERROR(__xludf.DUMMYFUNCTION("""COMPUTED_VALUE"""),"Comedy")</f>
        <v>Comedy</v>
      </c>
      <c r="V2146" s="5">
        <f>IFERROR(__xludf.DUMMYFUNCTION("""COMPUTED_VALUE"""),1.0)</f>
        <v>1</v>
      </c>
    </row>
    <row r="2147">
      <c r="J2147" s="5" t="str">
        <f>IFERROR(__xludf.DUMMYFUNCTION("""COMPUTED_VALUE"""),"716🤙🏼Bringing Up Baby🤙🏼Comedy🤙🏼1")</f>
        <v>716🤙🏼Bringing Up Baby🤙🏼Comedy🤙🏼1</v>
      </c>
      <c r="K2147" s="5">
        <f>IFERROR(__xludf.DUMMYFUNCTION("SPLiT(J2147, ""🤙🏼"",FALSE,FALSE)"),716.0)</f>
        <v>716</v>
      </c>
      <c r="L2147" s="5" t="str">
        <f>IFERROR(__xludf.DUMMYFUNCTION("""COMPUTED_VALUE"""),"Bringing Up Baby")</f>
        <v>Bringing Up Baby</v>
      </c>
      <c r="M2147" s="5" t="str">
        <f>IFERROR(__xludf.DUMMYFUNCTION("""COMPUTED_VALUE"""),"Comedy")</f>
        <v>Comedy</v>
      </c>
      <c r="N2147" s="5">
        <f>IFERROR(__xludf.DUMMYFUNCTION("""COMPUTED_VALUE"""),1.0)</f>
        <v>1</v>
      </c>
      <c r="S2147" s="5">
        <f>IFERROR(__xludf.DUMMYFUNCTION("""COMPUTED_VALUE"""),849.0)</f>
        <v>849</v>
      </c>
      <c r="T2147" s="5" t="str">
        <f>IFERROR(__xludf.DUMMYFUNCTION("""COMPUTED_VALUE"""),"Blazing Saddles")</f>
        <v>Blazing Saddles</v>
      </c>
      <c r="U2147" s="5" t="str">
        <f>IFERROR(__xludf.DUMMYFUNCTION("""COMPUTED_VALUE"""),"Western")</f>
        <v>Western</v>
      </c>
      <c r="V2147" s="5">
        <f>IFERROR(__xludf.DUMMYFUNCTION("""COMPUTED_VALUE"""),2.0)</f>
        <v>2</v>
      </c>
    </row>
    <row r="2148">
      <c r="J2148" s="5" t="str">
        <f>IFERROR(__xludf.DUMMYFUNCTION("""COMPUTED_VALUE"""),"716🤙🏼Bringing Up Baby🤙🏼Family🤙🏼2")</f>
        <v>716🤙🏼Bringing Up Baby🤙🏼Family🤙🏼2</v>
      </c>
      <c r="K2148" s="5">
        <f>IFERROR(__xludf.DUMMYFUNCTION("SPLiT(J2148, ""🤙🏼"",FALSE,FALSE)"),716.0)</f>
        <v>716</v>
      </c>
      <c r="L2148" s="5" t="str">
        <f>IFERROR(__xludf.DUMMYFUNCTION("""COMPUTED_VALUE"""),"Bringing Up Baby")</f>
        <v>Bringing Up Baby</v>
      </c>
      <c r="M2148" s="5" t="str">
        <f>IFERROR(__xludf.DUMMYFUNCTION("""COMPUTED_VALUE"""),"Family")</f>
        <v>Family</v>
      </c>
      <c r="N2148" s="5">
        <f>IFERROR(__xludf.DUMMYFUNCTION("""COMPUTED_VALUE"""),2.0)</f>
        <v>2</v>
      </c>
      <c r="S2148" s="5">
        <f>IFERROR(__xludf.DUMMYFUNCTION("""COMPUTED_VALUE"""),850.0)</f>
        <v>850</v>
      </c>
      <c r="T2148" s="5" t="str">
        <f>IFERROR(__xludf.DUMMYFUNCTION("""COMPUTED_VALUE"""),"Serpico")</f>
        <v>Serpico</v>
      </c>
      <c r="U2148" s="5" t="str">
        <f>IFERROR(__xludf.DUMMYFUNCTION("""COMPUTED_VALUE"""),"Biography")</f>
        <v>Biography</v>
      </c>
      <c r="V2148" s="5">
        <f>IFERROR(__xludf.DUMMYFUNCTION("""COMPUTED_VALUE"""),1.0)</f>
        <v>1</v>
      </c>
    </row>
    <row r="2149">
      <c r="J2149" s="5" t="str">
        <f>IFERROR(__xludf.DUMMYFUNCTION("""COMPUTED_VALUE"""),"716🤙🏼Bringing Up Baby🤙🏼Romance🤙🏼3")</f>
        <v>716🤙🏼Bringing Up Baby🤙🏼Romance🤙🏼3</v>
      </c>
      <c r="K2149" s="5">
        <f>IFERROR(__xludf.DUMMYFUNCTION("SPLiT(J2149, ""🤙🏼"",FALSE,FALSE)"),716.0)</f>
        <v>716</v>
      </c>
      <c r="L2149" s="5" t="str">
        <f>IFERROR(__xludf.DUMMYFUNCTION("""COMPUTED_VALUE"""),"Bringing Up Baby")</f>
        <v>Bringing Up Baby</v>
      </c>
      <c r="M2149" s="5" t="str">
        <f>IFERROR(__xludf.DUMMYFUNCTION("""COMPUTED_VALUE"""),"Romance")</f>
        <v>Romance</v>
      </c>
      <c r="N2149" s="5">
        <f>IFERROR(__xludf.DUMMYFUNCTION("""COMPUTED_VALUE"""),3.0)</f>
        <v>3</v>
      </c>
      <c r="S2149" s="5">
        <f>IFERROR(__xludf.DUMMYFUNCTION("""COMPUTED_VALUE"""),850.0)</f>
        <v>850</v>
      </c>
      <c r="T2149" s="5" t="str">
        <f>IFERROR(__xludf.DUMMYFUNCTION("""COMPUTED_VALUE"""),"Serpico")</f>
        <v>Serpico</v>
      </c>
      <c r="U2149" s="5" t="str">
        <f>IFERROR(__xludf.DUMMYFUNCTION("""COMPUTED_VALUE"""),"Crime")</f>
        <v>Crime</v>
      </c>
      <c r="V2149" s="5">
        <f>IFERROR(__xludf.DUMMYFUNCTION("""COMPUTED_VALUE"""),2.0)</f>
        <v>2</v>
      </c>
    </row>
    <row r="2150">
      <c r="J2150" s="5" t="str">
        <f>IFERROR(__xludf.DUMMYFUNCTION("""COMPUTED_VALUE"""),"717🤙🏼Bride of Frankenstein🤙🏼Drama🤙🏼1")</f>
        <v>717🤙🏼Bride of Frankenstein🤙🏼Drama🤙🏼1</v>
      </c>
      <c r="K2150" s="5">
        <f>IFERROR(__xludf.DUMMYFUNCTION("SPLiT(J2150, ""🤙🏼"",FALSE,FALSE)"),717.0)</f>
        <v>717</v>
      </c>
      <c r="L2150" s="5" t="str">
        <f>IFERROR(__xludf.DUMMYFUNCTION("""COMPUTED_VALUE"""),"Bride of Frankenstein")</f>
        <v>Bride of Frankenstein</v>
      </c>
      <c r="M2150" s="5" t="str">
        <f>IFERROR(__xludf.DUMMYFUNCTION("""COMPUTED_VALUE"""),"Drama")</f>
        <v>Drama</v>
      </c>
      <c r="N2150" s="5">
        <f>IFERROR(__xludf.DUMMYFUNCTION("""COMPUTED_VALUE"""),1.0)</f>
        <v>1</v>
      </c>
      <c r="S2150" s="5">
        <f>IFERROR(__xludf.DUMMYFUNCTION("""COMPUTED_VALUE"""),850.0)</f>
        <v>850</v>
      </c>
      <c r="T2150" s="5" t="str">
        <f>IFERROR(__xludf.DUMMYFUNCTION("""COMPUTED_VALUE"""),"Serpico")</f>
        <v>Serpico</v>
      </c>
      <c r="U2150" s="5" t="str">
        <f>IFERROR(__xludf.DUMMYFUNCTION("""COMPUTED_VALUE"""),"Drama")</f>
        <v>Drama</v>
      </c>
      <c r="V2150" s="5">
        <f>IFERROR(__xludf.DUMMYFUNCTION("""COMPUTED_VALUE"""),3.0)</f>
        <v>3</v>
      </c>
    </row>
    <row r="2151">
      <c r="J2151" s="5" t="str">
        <f>IFERROR(__xludf.DUMMYFUNCTION("""COMPUTED_VALUE"""),"717🤙🏼Bride of Frankenstein🤙🏼Horror🤙🏼2")</f>
        <v>717🤙🏼Bride of Frankenstein🤙🏼Horror🤙🏼2</v>
      </c>
      <c r="K2151" s="5">
        <f>IFERROR(__xludf.DUMMYFUNCTION("SPLiT(J2151, ""🤙🏼"",FALSE,FALSE)"),717.0)</f>
        <v>717</v>
      </c>
      <c r="L2151" s="5" t="str">
        <f>IFERROR(__xludf.DUMMYFUNCTION("""COMPUTED_VALUE"""),"Bride of Frankenstein")</f>
        <v>Bride of Frankenstein</v>
      </c>
      <c r="M2151" s="5" t="str">
        <f>IFERROR(__xludf.DUMMYFUNCTION("""COMPUTED_VALUE"""),"Horror")</f>
        <v>Horror</v>
      </c>
      <c r="N2151" s="5">
        <f>IFERROR(__xludf.DUMMYFUNCTION("""COMPUTED_VALUE"""),2.0)</f>
        <v>2</v>
      </c>
      <c r="S2151" s="5">
        <f>IFERROR(__xludf.DUMMYFUNCTION("""COMPUTED_VALUE"""),851.0)</f>
        <v>851</v>
      </c>
      <c r="T2151" s="5" t="str">
        <f>IFERROR(__xludf.DUMMYFUNCTION("""COMPUTED_VALUE"""),"Enter the Dragon")</f>
        <v>Enter the Dragon</v>
      </c>
      <c r="U2151" s="5" t="str">
        <f>IFERROR(__xludf.DUMMYFUNCTION("""COMPUTED_VALUE"""),"Action")</f>
        <v>Action</v>
      </c>
      <c r="V2151" s="5">
        <f>IFERROR(__xludf.DUMMYFUNCTION("""COMPUTED_VALUE"""),1.0)</f>
        <v>1</v>
      </c>
    </row>
    <row r="2152">
      <c r="J2152" s="5" t="str">
        <f>IFERROR(__xludf.DUMMYFUNCTION("""COMPUTED_VALUE"""),"717🤙🏼Bride of Frankenstein🤙🏼Sci-Fi🤙🏼3")</f>
        <v>717🤙🏼Bride of Frankenstein🤙🏼Sci-Fi🤙🏼3</v>
      </c>
      <c r="K2152" s="5">
        <f>IFERROR(__xludf.DUMMYFUNCTION("SPLiT(J2152, ""🤙🏼"",FALSE,FALSE)"),717.0)</f>
        <v>717</v>
      </c>
      <c r="L2152" s="5" t="str">
        <f>IFERROR(__xludf.DUMMYFUNCTION("""COMPUTED_VALUE"""),"Bride of Frankenstein")</f>
        <v>Bride of Frankenstein</v>
      </c>
      <c r="M2152" s="5" t="str">
        <f>IFERROR(__xludf.DUMMYFUNCTION("""COMPUTED_VALUE"""),"Sci-Fi")</f>
        <v>Sci-Fi</v>
      </c>
      <c r="N2152" s="5">
        <f>IFERROR(__xludf.DUMMYFUNCTION("""COMPUTED_VALUE"""),3.0)</f>
        <v>3</v>
      </c>
      <c r="S2152" s="5">
        <f>IFERROR(__xludf.DUMMYFUNCTION("""COMPUTED_VALUE"""),851.0)</f>
        <v>851</v>
      </c>
      <c r="T2152" s="5" t="str">
        <f>IFERROR(__xludf.DUMMYFUNCTION("""COMPUTED_VALUE"""),"Enter the Dragon")</f>
        <v>Enter the Dragon</v>
      </c>
      <c r="U2152" s="5" t="str">
        <f>IFERROR(__xludf.DUMMYFUNCTION("""COMPUTED_VALUE"""),"Crime")</f>
        <v>Crime</v>
      </c>
      <c r="V2152" s="5">
        <f>IFERROR(__xludf.DUMMYFUNCTION("""COMPUTED_VALUE"""),2.0)</f>
        <v>2</v>
      </c>
    </row>
    <row r="2153">
      <c r="J2153" s="5" t="str">
        <f>IFERROR(__xludf.DUMMYFUNCTION("""COMPUTED_VALUE"""),"718🤙🏼Duck Soup🤙🏼Comedy🤙🏼1")</f>
        <v>718🤙🏼Duck Soup🤙🏼Comedy🤙🏼1</v>
      </c>
      <c r="K2153" s="5">
        <f>IFERROR(__xludf.DUMMYFUNCTION("SPLiT(J2153, ""🤙🏼"",FALSE,FALSE)"),718.0)</f>
        <v>718</v>
      </c>
      <c r="L2153" s="5" t="str">
        <f>IFERROR(__xludf.DUMMYFUNCTION("""COMPUTED_VALUE"""),"Duck Soup")</f>
        <v>Duck Soup</v>
      </c>
      <c r="M2153" s="5" t="str">
        <f>IFERROR(__xludf.DUMMYFUNCTION("""COMPUTED_VALUE"""),"Comedy")</f>
        <v>Comedy</v>
      </c>
      <c r="N2153" s="5">
        <f>IFERROR(__xludf.DUMMYFUNCTION("""COMPUTED_VALUE"""),1.0)</f>
        <v>1</v>
      </c>
      <c r="S2153" s="5">
        <f>IFERROR(__xludf.DUMMYFUNCTION("""COMPUTED_VALUE"""),851.0)</f>
        <v>851</v>
      </c>
      <c r="T2153" s="5" t="str">
        <f>IFERROR(__xludf.DUMMYFUNCTION("""COMPUTED_VALUE"""),"Enter the Dragon")</f>
        <v>Enter the Dragon</v>
      </c>
      <c r="U2153" s="5" t="str">
        <f>IFERROR(__xludf.DUMMYFUNCTION("""COMPUTED_VALUE"""),"Drama")</f>
        <v>Drama</v>
      </c>
      <c r="V2153" s="5">
        <f>IFERROR(__xludf.DUMMYFUNCTION("""COMPUTED_VALUE"""),3.0)</f>
        <v>3</v>
      </c>
    </row>
    <row r="2154">
      <c r="J2154" s="5" t="str">
        <f>IFERROR(__xludf.DUMMYFUNCTION("""COMPUTED_VALUE"""),"718🤙🏼Duck Soup🤙🏼Musical🤙🏼2")</f>
        <v>718🤙🏼Duck Soup🤙🏼Musical🤙🏼2</v>
      </c>
      <c r="K2154" s="5">
        <f>IFERROR(__xludf.DUMMYFUNCTION("SPLiT(J2154, ""🤙🏼"",FALSE,FALSE)"),718.0)</f>
        <v>718</v>
      </c>
      <c r="L2154" s="5" t="str">
        <f>IFERROR(__xludf.DUMMYFUNCTION("""COMPUTED_VALUE"""),"Duck Soup")</f>
        <v>Duck Soup</v>
      </c>
      <c r="M2154" s="5" t="str">
        <f>IFERROR(__xludf.DUMMYFUNCTION("""COMPUTED_VALUE"""),"Musical")</f>
        <v>Musical</v>
      </c>
      <c r="N2154" s="5">
        <f>IFERROR(__xludf.DUMMYFUNCTION("""COMPUTED_VALUE"""),2.0)</f>
        <v>2</v>
      </c>
      <c r="S2154" s="5">
        <f>IFERROR(__xludf.DUMMYFUNCTION("""COMPUTED_VALUE"""),852.0)</f>
        <v>852</v>
      </c>
      <c r="T2154" s="5" t="str">
        <f>IFERROR(__xludf.DUMMYFUNCTION("""COMPUTED_VALUE"""),"Deliverance")</f>
        <v>Deliverance</v>
      </c>
      <c r="U2154" s="5" t="str">
        <f>IFERROR(__xludf.DUMMYFUNCTION("""COMPUTED_VALUE"""),"Adventure")</f>
        <v>Adventure</v>
      </c>
      <c r="V2154" s="5">
        <f>IFERROR(__xludf.DUMMYFUNCTION("""COMPUTED_VALUE"""),1.0)</f>
        <v>1</v>
      </c>
    </row>
    <row r="2155">
      <c r="J2155" s="5" t="str">
        <f>IFERROR(__xludf.DUMMYFUNCTION("""COMPUTED_VALUE"""),"718🤙🏼Duck Soup🤙🏼War🤙🏼3")</f>
        <v>718🤙🏼Duck Soup🤙🏼War🤙🏼3</v>
      </c>
      <c r="K2155" s="5">
        <f>IFERROR(__xludf.DUMMYFUNCTION("SPLiT(J2155, ""🤙🏼"",FALSE,FALSE)"),718.0)</f>
        <v>718</v>
      </c>
      <c r="L2155" s="5" t="str">
        <f>IFERROR(__xludf.DUMMYFUNCTION("""COMPUTED_VALUE"""),"Duck Soup")</f>
        <v>Duck Soup</v>
      </c>
      <c r="M2155" s="5" t="str">
        <f>IFERROR(__xludf.DUMMYFUNCTION("""COMPUTED_VALUE"""),"War")</f>
        <v>War</v>
      </c>
      <c r="N2155" s="5">
        <f>IFERROR(__xludf.DUMMYFUNCTION("""COMPUTED_VALUE"""),3.0)</f>
        <v>3</v>
      </c>
      <c r="S2155" s="5">
        <f>IFERROR(__xludf.DUMMYFUNCTION("""COMPUTED_VALUE"""),852.0)</f>
        <v>852</v>
      </c>
      <c r="T2155" s="5" t="str">
        <f>IFERROR(__xludf.DUMMYFUNCTION("""COMPUTED_VALUE"""),"Deliverance")</f>
        <v>Deliverance</v>
      </c>
      <c r="U2155" s="5" t="str">
        <f>IFERROR(__xludf.DUMMYFUNCTION("""COMPUTED_VALUE"""),"Drama")</f>
        <v>Drama</v>
      </c>
      <c r="V2155" s="5">
        <f>IFERROR(__xludf.DUMMYFUNCTION("""COMPUTED_VALUE"""),2.0)</f>
        <v>2</v>
      </c>
    </row>
    <row r="2156">
      <c r="J2156" s="5" t="str">
        <f>IFERROR(__xludf.DUMMYFUNCTION("""COMPUTED_VALUE"""),"719🤙🏼Scarface: The Shame of the Nation🤙🏼Action🤙🏼1")</f>
        <v>719🤙🏼Scarface: The Shame of the Nation🤙🏼Action🤙🏼1</v>
      </c>
      <c r="K2156" s="5">
        <f>IFERROR(__xludf.DUMMYFUNCTION("SPLiT(J2156, ""🤙🏼"",FALSE,FALSE)"),719.0)</f>
        <v>719</v>
      </c>
      <c r="L2156" s="5" t="str">
        <f>IFERROR(__xludf.DUMMYFUNCTION("""COMPUTED_VALUE"""),"Scarface: The Shame of the Nation")</f>
        <v>Scarface: The Shame of the Nation</v>
      </c>
      <c r="M2156" s="5" t="str">
        <f>IFERROR(__xludf.DUMMYFUNCTION("""COMPUTED_VALUE"""),"Action")</f>
        <v>Action</v>
      </c>
      <c r="N2156" s="5">
        <f>IFERROR(__xludf.DUMMYFUNCTION("""COMPUTED_VALUE"""),1.0)</f>
        <v>1</v>
      </c>
      <c r="S2156" s="5">
        <f>IFERROR(__xludf.DUMMYFUNCTION("""COMPUTED_VALUE"""),852.0)</f>
        <v>852</v>
      </c>
      <c r="T2156" s="5" t="str">
        <f>IFERROR(__xludf.DUMMYFUNCTION("""COMPUTED_VALUE"""),"Deliverance")</f>
        <v>Deliverance</v>
      </c>
      <c r="U2156" s="5" t="str">
        <f>IFERROR(__xludf.DUMMYFUNCTION("""COMPUTED_VALUE"""),"Thriller")</f>
        <v>Thriller</v>
      </c>
      <c r="V2156" s="5">
        <f>IFERROR(__xludf.DUMMYFUNCTION("""COMPUTED_VALUE"""),3.0)</f>
        <v>3</v>
      </c>
    </row>
    <row r="2157">
      <c r="J2157" s="5" t="str">
        <f>IFERROR(__xludf.DUMMYFUNCTION("""COMPUTED_VALUE"""),"719🤙🏼Scarface: The Shame of the Nation🤙🏼Crime🤙🏼2")</f>
        <v>719🤙🏼Scarface: The Shame of the Nation🤙🏼Crime🤙🏼2</v>
      </c>
      <c r="K2157" s="5">
        <f>IFERROR(__xludf.DUMMYFUNCTION("SPLiT(J2157, ""🤙🏼"",FALSE,FALSE)"),719.0)</f>
        <v>719</v>
      </c>
      <c r="L2157" s="5" t="str">
        <f>IFERROR(__xludf.DUMMYFUNCTION("""COMPUTED_VALUE"""),"Scarface: The Shame of the Nation")</f>
        <v>Scarface: The Shame of the Nation</v>
      </c>
      <c r="M2157" s="5" t="str">
        <f>IFERROR(__xludf.DUMMYFUNCTION("""COMPUTED_VALUE"""),"Crime")</f>
        <v>Crime</v>
      </c>
      <c r="N2157" s="5">
        <f>IFERROR(__xludf.DUMMYFUNCTION("""COMPUTED_VALUE"""),2.0)</f>
        <v>2</v>
      </c>
      <c r="S2157" s="5">
        <f>IFERROR(__xludf.DUMMYFUNCTION("""COMPUTED_VALUE"""),853.0)</f>
        <v>853</v>
      </c>
      <c r="T2157" s="5" t="str">
        <f>IFERROR(__xludf.DUMMYFUNCTION("""COMPUTED_VALUE"""),"The French Connection")</f>
        <v>The French Connection</v>
      </c>
      <c r="U2157" s="5" t="str">
        <f>IFERROR(__xludf.DUMMYFUNCTION("""COMPUTED_VALUE"""),"Action")</f>
        <v>Action</v>
      </c>
      <c r="V2157" s="5">
        <f>IFERROR(__xludf.DUMMYFUNCTION("""COMPUTED_VALUE"""),1.0)</f>
        <v>1</v>
      </c>
    </row>
    <row r="2158">
      <c r="J2158" s="5" t="str">
        <f>IFERROR(__xludf.DUMMYFUNCTION("""COMPUTED_VALUE"""),"719🤙🏼Scarface: The Shame of the Nation🤙🏼Drama🤙🏼3")</f>
        <v>719🤙🏼Scarface: The Shame of the Nation🤙🏼Drama🤙🏼3</v>
      </c>
      <c r="K2158" s="5">
        <f>IFERROR(__xludf.DUMMYFUNCTION("SPLiT(J2158, ""🤙🏼"",FALSE,FALSE)"),719.0)</f>
        <v>719</v>
      </c>
      <c r="L2158" s="5" t="str">
        <f>IFERROR(__xludf.DUMMYFUNCTION("""COMPUTED_VALUE"""),"Scarface: The Shame of the Nation")</f>
        <v>Scarface: The Shame of the Nation</v>
      </c>
      <c r="M2158" s="5" t="str">
        <f>IFERROR(__xludf.DUMMYFUNCTION("""COMPUTED_VALUE"""),"Drama")</f>
        <v>Drama</v>
      </c>
      <c r="N2158" s="5">
        <f>IFERROR(__xludf.DUMMYFUNCTION("""COMPUTED_VALUE"""),3.0)</f>
        <v>3</v>
      </c>
      <c r="S2158" s="5">
        <f>IFERROR(__xludf.DUMMYFUNCTION("""COMPUTED_VALUE"""),853.0)</f>
        <v>853</v>
      </c>
      <c r="T2158" s="5" t="str">
        <f>IFERROR(__xludf.DUMMYFUNCTION("""COMPUTED_VALUE"""),"The French Connection")</f>
        <v>The French Connection</v>
      </c>
      <c r="U2158" s="5" t="str">
        <f>IFERROR(__xludf.DUMMYFUNCTION("""COMPUTED_VALUE"""),"Crime")</f>
        <v>Crime</v>
      </c>
      <c r="V2158" s="5">
        <f>IFERROR(__xludf.DUMMYFUNCTION("""COMPUTED_VALUE"""),2.0)</f>
        <v>2</v>
      </c>
    </row>
    <row r="2159">
      <c r="J2159" s="5" t="str">
        <f>IFERROR(__xludf.DUMMYFUNCTION("""COMPUTED_VALUE"""),"720🤙🏼Frankenstein🤙🏼Drama🤙🏼1")</f>
        <v>720🤙🏼Frankenstein🤙🏼Drama🤙🏼1</v>
      </c>
      <c r="K2159" s="5">
        <f>IFERROR(__xludf.DUMMYFUNCTION("SPLiT(J2159, ""🤙🏼"",FALSE,FALSE)"),720.0)</f>
        <v>720</v>
      </c>
      <c r="L2159" s="5" t="str">
        <f>IFERROR(__xludf.DUMMYFUNCTION("""COMPUTED_VALUE"""),"Frankenstein")</f>
        <v>Frankenstein</v>
      </c>
      <c r="M2159" s="5" t="str">
        <f>IFERROR(__xludf.DUMMYFUNCTION("""COMPUTED_VALUE"""),"Drama")</f>
        <v>Drama</v>
      </c>
      <c r="N2159" s="5">
        <f>IFERROR(__xludf.DUMMYFUNCTION("""COMPUTED_VALUE"""),1.0)</f>
        <v>1</v>
      </c>
      <c r="S2159" s="5">
        <f>IFERROR(__xludf.DUMMYFUNCTION("""COMPUTED_VALUE"""),853.0)</f>
        <v>853</v>
      </c>
      <c r="T2159" s="5" t="str">
        <f>IFERROR(__xludf.DUMMYFUNCTION("""COMPUTED_VALUE"""),"The French Connection")</f>
        <v>The French Connection</v>
      </c>
      <c r="U2159" s="5" t="str">
        <f>IFERROR(__xludf.DUMMYFUNCTION("""COMPUTED_VALUE"""),"Drama")</f>
        <v>Drama</v>
      </c>
      <c r="V2159" s="5">
        <f>IFERROR(__xludf.DUMMYFUNCTION("""COMPUTED_VALUE"""),3.0)</f>
        <v>3</v>
      </c>
    </row>
    <row r="2160">
      <c r="J2160" s="5" t="str">
        <f>IFERROR(__xludf.DUMMYFUNCTION("""COMPUTED_VALUE"""),"720🤙🏼Frankenstein🤙🏼Horror🤙🏼2")</f>
        <v>720🤙🏼Frankenstein🤙🏼Horror🤙🏼2</v>
      </c>
      <c r="K2160" s="5">
        <f>IFERROR(__xludf.DUMMYFUNCTION("SPLiT(J2160, ""🤙🏼"",FALSE,FALSE)"),720.0)</f>
        <v>720</v>
      </c>
      <c r="L2160" s="5" t="str">
        <f>IFERROR(__xludf.DUMMYFUNCTION("""COMPUTED_VALUE"""),"Frankenstein")</f>
        <v>Frankenstein</v>
      </c>
      <c r="M2160" s="5" t="str">
        <f>IFERROR(__xludf.DUMMYFUNCTION("""COMPUTED_VALUE"""),"Horror")</f>
        <v>Horror</v>
      </c>
      <c r="N2160" s="5">
        <f>IFERROR(__xludf.DUMMYFUNCTION("""COMPUTED_VALUE"""),2.0)</f>
        <v>2</v>
      </c>
      <c r="S2160" s="5">
        <f>IFERROR(__xludf.DUMMYFUNCTION("""COMPUTED_VALUE"""),854.0)</f>
        <v>854</v>
      </c>
      <c r="T2160" s="5" t="str">
        <f>IFERROR(__xludf.DUMMYFUNCTION("""COMPUTED_VALUE"""),"Dirty Harry")</f>
        <v>Dirty Harry</v>
      </c>
      <c r="U2160" s="5" t="str">
        <f>IFERROR(__xludf.DUMMYFUNCTION("""COMPUTED_VALUE"""),"Action")</f>
        <v>Action</v>
      </c>
      <c r="V2160" s="5">
        <f>IFERROR(__xludf.DUMMYFUNCTION("""COMPUTED_VALUE"""),1.0)</f>
        <v>1</v>
      </c>
    </row>
    <row r="2161">
      <c r="J2161" s="5" t="str">
        <f>IFERROR(__xludf.DUMMYFUNCTION("""COMPUTED_VALUE"""),"720🤙🏼Frankenstein🤙🏼Sci-Fi🤙🏼3")</f>
        <v>720🤙🏼Frankenstein🤙🏼Sci-Fi🤙🏼3</v>
      </c>
      <c r="K2161" s="5">
        <f>IFERROR(__xludf.DUMMYFUNCTION("SPLiT(J2161, ""🤙🏼"",FALSE,FALSE)"),720.0)</f>
        <v>720</v>
      </c>
      <c r="L2161" s="5" t="str">
        <f>IFERROR(__xludf.DUMMYFUNCTION("""COMPUTED_VALUE"""),"Frankenstein")</f>
        <v>Frankenstein</v>
      </c>
      <c r="M2161" s="5" t="str">
        <f>IFERROR(__xludf.DUMMYFUNCTION("""COMPUTED_VALUE"""),"Sci-Fi")</f>
        <v>Sci-Fi</v>
      </c>
      <c r="N2161" s="5">
        <f>IFERROR(__xludf.DUMMYFUNCTION("""COMPUTED_VALUE"""),3.0)</f>
        <v>3</v>
      </c>
      <c r="S2161" s="5">
        <f>IFERROR(__xludf.DUMMYFUNCTION("""COMPUTED_VALUE"""),854.0)</f>
        <v>854</v>
      </c>
      <c r="T2161" s="5" t="str">
        <f>IFERROR(__xludf.DUMMYFUNCTION("""COMPUTED_VALUE"""),"Dirty Harry")</f>
        <v>Dirty Harry</v>
      </c>
      <c r="U2161" s="5" t="str">
        <f>IFERROR(__xludf.DUMMYFUNCTION("""COMPUTED_VALUE"""),"Crime")</f>
        <v>Crime</v>
      </c>
      <c r="V2161" s="5">
        <f>IFERROR(__xludf.DUMMYFUNCTION("""COMPUTED_VALUE"""),2.0)</f>
        <v>2</v>
      </c>
    </row>
    <row r="2162">
      <c r="J2162" s="5" t="str">
        <f>IFERROR(__xludf.DUMMYFUNCTION("""COMPUTED_VALUE"""),"721🤙🏼Roma🤙🏼Drama🤙🏼1")</f>
        <v>721🤙🏼Roma🤙🏼Drama🤙🏼1</v>
      </c>
      <c r="K2162" s="5">
        <f>IFERROR(__xludf.DUMMYFUNCTION("SPLiT(J2162, ""🤙🏼"",FALSE,FALSE)"),721.0)</f>
        <v>721</v>
      </c>
      <c r="L2162" s="5" t="str">
        <f>IFERROR(__xludf.DUMMYFUNCTION("""COMPUTED_VALUE"""),"Roma")</f>
        <v>Roma</v>
      </c>
      <c r="M2162" s="5" t="str">
        <f>IFERROR(__xludf.DUMMYFUNCTION("""COMPUTED_VALUE"""),"Drama")</f>
        <v>Drama</v>
      </c>
      <c r="N2162" s="5">
        <f>IFERROR(__xludf.DUMMYFUNCTION("""COMPUTED_VALUE"""),1.0)</f>
        <v>1</v>
      </c>
      <c r="S2162" s="5">
        <f>IFERROR(__xludf.DUMMYFUNCTION("""COMPUTED_VALUE"""),854.0)</f>
        <v>854</v>
      </c>
      <c r="T2162" s="5" t="str">
        <f>IFERROR(__xludf.DUMMYFUNCTION("""COMPUTED_VALUE"""),"Dirty Harry")</f>
        <v>Dirty Harry</v>
      </c>
      <c r="U2162" s="5" t="str">
        <f>IFERROR(__xludf.DUMMYFUNCTION("""COMPUTED_VALUE"""),"Thriller")</f>
        <v>Thriller</v>
      </c>
      <c r="V2162" s="5">
        <f>IFERROR(__xludf.DUMMYFUNCTION("""COMPUTED_VALUE"""),3.0)</f>
        <v>3</v>
      </c>
    </row>
    <row r="2163">
      <c r="J2163" s="5" t="str">
        <f>IFERROR(__xludf.DUMMYFUNCTION("""COMPUTED_VALUE"""),"721🤙🏼Roma🤙🏼🤙🏼2")</f>
        <v>721🤙🏼Roma🤙🏼🤙🏼2</v>
      </c>
      <c r="K2163" s="5">
        <f>IFERROR(__xludf.DUMMYFUNCTION("SPLiT(J2163, ""🤙🏼"",FALSE,FALSE)"),721.0)</f>
        <v>721</v>
      </c>
      <c r="L2163" s="5" t="str">
        <f>IFERROR(__xludf.DUMMYFUNCTION("""COMPUTED_VALUE"""),"Roma")</f>
        <v>Roma</v>
      </c>
      <c r="M2163" s="5"/>
      <c r="N2163" s="5">
        <f>IFERROR(__xludf.DUMMYFUNCTION("""COMPUTED_VALUE"""),2.0)</f>
        <v>2</v>
      </c>
      <c r="S2163" s="5">
        <f>IFERROR(__xludf.DUMMYFUNCTION("""COMPUTED_VALUE"""),855.0)</f>
        <v>855</v>
      </c>
      <c r="T2163" s="5" t="str">
        <f>IFERROR(__xludf.DUMMYFUNCTION("""COMPUTED_VALUE"""),"Where Eagles Dare")</f>
        <v>Where Eagles Dare</v>
      </c>
      <c r="U2163" s="5" t="str">
        <f>IFERROR(__xludf.DUMMYFUNCTION("""COMPUTED_VALUE"""),"Action")</f>
        <v>Action</v>
      </c>
      <c r="V2163" s="5">
        <f>IFERROR(__xludf.DUMMYFUNCTION("""COMPUTED_VALUE"""),1.0)</f>
        <v>1</v>
      </c>
    </row>
    <row r="2164">
      <c r="J2164" s="5" t="str">
        <f>IFERROR(__xludf.DUMMYFUNCTION("""COMPUTED_VALUE"""),"721🤙🏼Roma🤙🏼🤙🏼3")</f>
        <v>721🤙🏼Roma🤙🏼🤙🏼3</v>
      </c>
      <c r="K2164" s="5">
        <f>IFERROR(__xludf.DUMMYFUNCTION("SPLiT(J2164, ""🤙🏼"",FALSE,FALSE)"),721.0)</f>
        <v>721</v>
      </c>
      <c r="L2164" s="5" t="str">
        <f>IFERROR(__xludf.DUMMYFUNCTION("""COMPUTED_VALUE"""),"Roma")</f>
        <v>Roma</v>
      </c>
      <c r="M2164" s="5"/>
      <c r="N2164" s="5">
        <f>IFERROR(__xludf.DUMMYFUNCTION("""COMPUTED_VALUE"""),3.0)</f>
        <v>3</v>
      </c>
      <c r="S2164" s="5">
        <f>IFERROR(__xludf.DUMMYFUNCTION("""COMPUTED_VALUE"""),855.0)</f>
        <v>855</v>
      </c>
      <c r="T2164" s="5" t="str">
        <f>IFERROR(__xludf.DUMMYFUNCTION("""COMPUTED_VALUE"""),"Where Eagles Dare")</f>
        <v>Where Eagles Dare</v>
      </c>
      <c r="U2164" s="5" t="str">
        <f>IFERROR(__xludf.DUMMYFUNCTION("""COMPUTED_VALUE"""),"Adventure")</f>
        <v>Adventure</v>
      </c>
      <c r="V2164" s="5">
        <f>IFERROR(__xludf.DUMMYFUNCTION("""COMPUTED_VALUE"""),2.0)</f>
        <v>2</v>
      </c>
    </row>
    <row r="2165">
      <c r="J2165" s="5" t="str">
        <f>IFERROR(__xludf.DUMMYFUNCTION("""COMPUTED_VALUE"""),"722🤙🏼God's Own Country🤙🏼Drama🤙🏼1")</f>
        <v>722🤙🏼God's Own Country🤙🏼Drama🤙🏼1</v>
      </c>
      <c r="K2165" s="5">
        <f>IFERROR(__xludf.DUMMYFUNCTION("SPLiT(J2165, ""🤙🏼"",FALSE,FALSE)"),722.0)</f>
        <v>722</v>
      </c>
      <c r="L2165" s="5" t="str">
        <f>IFERROR(__xludf.DUMMYFUNCTION("""COMPUTED_VALUE"""),"God's Own Country")</f>
        <v>God's Own Country</v>
      </c>
      <c r="M2165" s="5" t="str">
        <f>IFERROR(__xludf.DUMMYFUNCTION("""COMPUTED_VALUE"""),"Drama")</f>
        <v>Drama</v>
      </c>
      <c r="N2165" s="5">
        <f>IFERROR(__xludf.DUMMYFUNCTION("""COMPUTED_VALUE"""),1.0)</f>
        <v>1</v>
      </c>
      <c r="S2165" s="5">
        <f>IFERROR(__xludf.DUMMYFUNCTION("""COMPUTED_VALUE"""),855.0)</f>
        <v>855</v>
      </c>
      <c r="T2165" s="5" t="str">
        <f>IFERROR(__xludf.DUMMYFUNCTION("""COMPUTED_VALUE"""),"Where Eagles Dare")</f>
        <v>Where Eagles Dare</v>
      </c>
      <c r="U2165" s="5" t="str">
        <f>IFERROR(__xludf.DUMMYFUNCTION("""COMPUTED_VALUE"""),"War")</f>
        <v>War</v>
      </c>
      <c r="V2165" s="5">
        <f>IFERROR(__xludf.DUMMYFUNCTION("""COMPUTED_VALUE"""),3.0)</f>
        <v>3</v>
      </c>
    </row>
    <row r="2166">
      <c r="J2166" s="5" t="str">
        <f>IFERROR(__xludf.DUMMYFUNCTION("""COMPUTED_VALUE"""),"722🤙🏼God's Own Country🤙🏼Romance🤙🏼2")</f>
        <v>722🤙🏼God's Own Country🤙🏼Romance🤙🏼2</v>
      </c>
      <c r="K2166" s="5">
        <f>IFERROR(__xludf.DUMMYFUNCTION("SPLiT(J2166, ""🤙🏼"",FALSE,FALSE)"),722.0)</f>
        <v>722</v>
      </c>
      <c r="L2166" s="5" t="str">
        <f>IFERROR(__xludf.DUMMYFUNCTION("""COMPUTED_VALUE"""),"God's Own Country")</f>
        <v>God's Own Country</v>
      </c>
      <c r="M2166" s="5" t="str">
        <f>IFERROR(__xludf.DUMMYFUNCTION("""COMPUTED_VALUE"""),"Romance")</f>
        <v>Romance</v>
      </c>
      <c r="N2166" s="5">
        <f>IFERROR(__xludf.DUMMYFUNCTION("""COMPUTED_VALUE"""),2.0)</f>
        <v>2</v>
      </c>
      <c r="S2166" s="5">
        <f>IFERROR(__xludf.DUMMYFUNCTION("""COMPUTED_VALUE"""),856.0)</f>
        <v>856</v>
      </c>
      <c r="T2166" s="5" t="str">
        <f>IFERROR(__xludf.DUMMYFUNCTION("""COMPUTED_VALUE"""),"The Odd Couple")</f>
        <v>The Odd Couple</v>
      </c>
      <c r="U2166" s="5" t="str">
        <f>IFERROR(__xludf.DUMMYFUNCTION("""COMPUTED_VALUE"""),"Comedy")</f>
        <v>Comedy</v>
      </c>
      <c r="V2166" s="5">
        <f>IFERROR(__xludf.DUMMYFUNCTION("""COMPUTED_VALUE"""),1.0)</f>
        <v>1</v>
      </c>
    </row>
    <row r="2167">
      <c r="J2167" s="5" t="str">
        <f>IFERROR(__xludf.DUMMYFUNCTION("""COMPUTED_VALUE"""),"722🤙🏼God's Own Country🤙🏼🤙🏼3")</f>
        <v>722🤙🏼God's Own Country🤙🏼🤙🏼3</v>
      </c>
      <c r="K2167" s="5">
        <f>IFERROR(__xludf.DUMMYFUNCTION("SPLiT(J2167, ""🤙🏼"",FALSE,FALSE)"),722.0)</f>
        <v>722</v>
      </c>
      <c r="L2167" s="5" t="str">
        <f>IFERROR(__xludf.DUMMYFUNCTION("""COMPUTED_VALUE"""),"God's Own Country")</f>
        <v>God's Own Country</v>
      </c>
      <c r="M2167" s="5"/>
      <c r="N2167" s="5">
        <f>IFERROR(__xludf.DUMMYFUNCTION("""COMPUTED_VALUE"""),3.0)</f>
        <v>3</v>
      </c>
      <c r="S2167" s="5">
        <f>IFERROR(__xludf.DUMMYFUNCTION("""COMPUTED_VALUE"""),857.0)</f>
        <v>857</v>
      </c>
      <c r="T2167" s="5" t="str">
        <f>IFERROR(__xludf.DUMMYFUNCTION("""COMPUTED_VALUE"""),"The Dirty Dozen")</f>
        <v>The Dirty Dozen</v>
      </c>
      <c r="U2167" s="5" t="str">
        <f>IFERROR(__xludf.DUMMYFUNCTION("""COMPUTED_VALUE"""),"Action")</f>
        <v>Action</v>
      </c>
      <c r="V2167" s="5">
        <f>IFERROR(__xludf.DUMMYFUNCTION("""COMPUTED_VALUE"""),1.0)</f>
        <v>1</v>
      </c>
    </row>
    <row r="2168">
      <c r="J2168" s="5" t="str">
        <f>IFERROR(__xludf.DUMMYFUNCTION("""COMPUTED_VALUE"""),"723🤙🏼Deadpool 2🤙🏼Action🤙🏼1")</f>
        <v>723🤙🏼Deadpool 2🤙🏼Action🤙🏼1</v>
      </c>
      <c r="K2168" s="5">
        <f>IFERROR(__xludf.DUMMYFUNCTION("SPLiT(J2168, ""🤙🏼"",FALSE,FALSE)"),723.0)</f>
        <v>723</v>
      </c>
      <c r="L2168" s="5" t="str">
        <f>IFERROR(__xludf.DUMMYFUNCTION("""COMPUTED_VALUE"""),"Deadpool 2")</f>
        <v>Deadpool 2</v>
      </c>
      <c r="M2168" s="5" t="str">
        <f>IFERROR(__xludf.DUMMYFUNCTION("""COMPUTED_VALUE"""),"Action")</f>
        <v>Action</v>
      </c>
      <c r="N2168" s="5">
        <f>IFERROR(__xludf.DUMMYFUNCTION("""COMPUTED_VALUE"""),1.0)</f>
        <v>1</v>
      </c>
      <c r="S2168" s="5">
        <f>IFERROR(__xludf.DUMMYFUNCTION("""COMPUTED_VALUE"""),857.0)</f>
        <v>857</v>
      </c>
      <c r="T2168" s="5" t="str">
        <f>IFERROR(__xludf.DUMMYFUNCTION("""COMPUTED_VALUE"""),"The Dirty Dozen")</f>
        <v>The Dirty Dozen</v>
      </c>
      <c r="U2168" s="5" t="str">
        <f>IFERROR(__xludf.DUMMYFUNCTION("""COMPUTED_VALUE"""),"Adventure")</f>
        <v>Adventure</v>
      </c>
      <c r="V2168" s="5">
        <f>IFERROR(__xludf.DUMMYFUNCTION("""COMPUTED_VALUE"""),2.0)</f>
        <v>2</v>
      </c>
    </row>
    <row r="2169">
      <c r="J2169" s="5" t="str">
        <f>IFERROR(__xludf.DUMMYFUNCTION("""COMPUTED_VALUE"""),"723🤙🏼Deadpool 2🤙🏼Adventure🤙🏼2")</f>
        <v>723🤙🏼Deadpool 2🤙🏼Adventure🤙🏼2</v>
      </c>
      <c r="K2169" s="5">
        <f>IFERROR(__xludf.DUMMYFUNCTION("SPLiT(J2169, ""🤙🏼"",FALSE,FALSE)"),723.0)</f>
        <v>723</v>
      </c>
      <c r="L2169" s="5" t="str">
        <f>IFERROR(__xludf.DUMMYFUNCTION("""COMPUTED_VALUE"""),"Deadpool 2")</f>
        <v>Deadpool 2</v>
      </c>
      <c r="M2169" s="5" t="str">
        <f>IFERROR(__xludf.DUMMYFUNCTION("""COMPUTED_VALUE"""),"Adventure")</f>
        <v>Adventure</v>
      </c>
      <c r="N2169" s="5">
        <f>IFERROR(__xludf.DUMMYFUNCTION("""COMPUTED_VALUE"""),2.0)</f>
        <v>2</v>
      </c>
      <c r="S2169" s="5">
        <f>IFERROR(__xludf.DUMMYFUNCTION("""COMPUTED_VALUE"""),857.0)</f>
        <v>857</v>
      </c>
      <c r="T2169" s="5" t="str">
        <f>IFERROR(__xludf.DUMMYFUNCTION("""COMPUTED_VALUE"""),"The Dirty Dozen")</f>
        <v>The Dirty Dozen</v>
      </c>
      <c r="U2169" s="5" t="str">
        <f>IFERROR(__xludf.DUMMYFUNCTION("""COMPUTED_VALUE"""),"War")</f>
        <v>War</v>
      </c>
      <c r="V2169" s="5">
        <f>IFERROR(__xludf.DUMMYFUNCTION("""COMPUTED_VALUE"""),3.0)</f>
        <v>3</v>
      </c>
    </row>
    <row r="2170">
      <c r="J2170" s="5" t="str">
        <f>IFERROR(__xludf.DUMMYFUNCTION("""COMPUTED_VALUE"""),"723🤙🏼Deadpool 2🤙🏼Comedy🤙🏼3")</f>
        <v>723🤙🏼Deadpool 2🤙🏼Comedy🤙🏼3</v>
      </c>
      <c r="K2170" s="5">
        <f>IFERROR(__xludf.DUMMYFUNCTION("SPLiT(J2170, ""🤙🏼"",FALSE,FALSE)"),723.0)</f>
        <v>723</v>
      </c>
      <c r="L2170" s="5" t="str">
        <f>IFERROR(__xludf.DUMMYFUNCTION("""COMPUTED_VALUE"""),"Deadpool 2")</f>
        <v>Deadpool 2</v>
      </c>
      <c r="M2170" s="5" t="str">
        <f>IFERROR(__xludf.DUMMYFUNCTION("""COMPUTED_VALUE"""),"Comedy")</f>
        <v>Comedy</v>
      </c>
      <c r="N2170" s="5">
        <f>IFERROR(__xludf.DUMMYFUNCTION("""COMPUTED_VALUE"""),3.0)</f>
        <v>3</v>
      </c>
      <c r="S2170" s="5">
        <f>IFERROR(__xludf.DUMMYFUNCTION("""COMPUTED_VALUE"""),858.0)</f>
        <v>858</v>
      </c>
      <c r="T2170" s="5" t="str">
        <f>IFERROR(__xludf.DUMMYFUNCTION("""COMPUTED_VALUE"""),"Belle de jour")</f>
        <v>Belle de jour</v>
      </c>
      <c r="U2170" s="5" t="str">
        <f>IFERROR(__xludf.DUMMYFUNCTION("""COMPUTED_VALUE"""),"Drama")</f>
        <v>Drama</v>
      </c>
      <c r="V2170" s="5">
        <f>IFERROR(__xludf.DUMMYFUNCTION("""COMPUTED_VALUE"""),1.0)</f>
        <v>1</v>
      </c>
    </row>
    <row r="2171">
      <c r="J2171" s="5" t="str">
        <f>IFERROR(__xludf.DUMMYFUNCTION("""COMPUTED_VALUE"""),"724🤙🏼Wind River🤙🏼Crime🤙🏼1")</f>
        <v>724🤙🏼Wind River🤙🏼Crime🤙🏼1</v>
      </c>
      <c r="K2171" s="5">
        <f>IFERROR(__xludf.DUMMYFUNCTION("SPLiT(J2171, ""🤙🏼"",FALSE,FALSE)"),724.0)</f>
        <v>724</v>
      </c>
      <c r="L2171" s="5" t="str">
        <f>IFERROR(__xludf.DUMMYFUNCTION("""COMPUTED_VALUE"""),"Wind River")</f>
        <v>Wind River</v>
      </c>
      <c r="M2171" s="5" t="str">
        <f>IFERROR(__xludf.DUMMYFUNCTION("""COMPUTED_VALUE"""),"Crime")</f>
        <v>Crime</v>
      </c>
      <c r="N2171" s="5">
        <f>IFERROR(__xludf.DUMMYFUNCTION("""COMPUTED_VALUE"""),1.0)</f>
        <v>1</v>
      </c>
      <c r="S2171" s="5">
        <f>IFERROR(__xludf.DUMMYFUNCTION("""COMPUTED_VALUE"""),858.0)</f>
        <v>858</v>
      </c>
      <c r="T2171" s="5" t="str">
        <f>IFERROR(__xludf.DUMMYFUNCTION("""COMPUTED_VALUE"""),"Belle de jour")</f>
        <v>Belle de jour</v>
      </c>
      <c r="U2171" s="5" t="str">
        <f>IFERROR(__xludf.DUMMYFUNCTION("""COMPUTED_VALUE"""),"Romance")</f>
        <v>Romance</v>
      </c>
      <c r="V2171" s="5">
        <f>IFERROR(__xludf.DUMMYFUNCTION("""COMPUTED_VALUE"""),2.0)</f>
        <v>2</v>
      </c>
    </row>
    <row r="2172">
      <c r="J2172" s="5" t="str">
        <f>IFERROR(__xludf.DUMMYFUNCTION("""COMPUTED_VALUE"""),"724🤙🏼Wind River🤙🏼Drama🤙🏼2")</f>
        <v>724🤙🏼Wind River🤙🏼Drama🤙🏼2</v>
      </c>
      <c r="K2172" s="5">
        <f>IFERROR(__xludf.DUMMYFUNCTION("SPLiT(J2172, ""🤙🏼"",FALSE,FALSE)"),724.0)</f>
        <v>724</v>
      </c>
      <c r="L2172" s="5" t="str">
        <f>IFERROR(__xludf.DUMMYFUNCTION("""COMPUTED_VALUE"""),"Wind River")</f>
        <v>Wind River</v>
      </c>
      <c r="M2172" s="5" t="str">
        <f>IFERROR(__xludf.DUMMYFUNCTION("""COMPUTED_VALUE"""),"Drama")</f>
        <v>Drama</v>
      </c>
      <c r="N2172" s="5">
        <f>IFERROR(__xludf.DUMMYFUNCTION("""COMPUTED_VALUE"""),2.0)</f>
        <v>2</v>
      </c>
      <c r="S2172" s="5">
        <f>IFERROR(__xludf.DUMMYFUNCTION("""COMPUTED_VALUE"""),859.0)</f>
        <v>859</v>
      </c>
      <c r="T2172" s="5" t="str">
        <f>IFERROR(__xludf.DUMMYFUNCTION("""COMPUTED_VALUE"""),"A Man for All Seasons")</f>
        <v>A Man for All Seasons</v>
      </c>
      <c r="U2172" s="5" t="str">
        <f>IFERROR(__xludf.DUMMYFUNCTION("""COMPUTED_VALUE"""),"Biography")</f>
        <v>Biography</v>
      </c>
      <c r="V2172" s="5">
        <f>IFERROR(__xludf.DUMMYFUNCTION("""COMPUTED_VALUE"""),1.0)</f>
        <v>1</v>
      </c>
    </row>
    <row r="2173">
      <c r="J2173" s="5" t="str">
        <f>IFERROR(__xludf.DUMMYFUNCTION("""COMPUTED_VALUE"""),"724🤙🏼Wind River🤙🏼Mystery🤙🏼3")</f>
        <v>724🤙🏼Wind River🤙🏼Mystery🤙🏼3</v>
      </c>
      <c r="K2173" s="5">
        <f>IFERROR(__xludf.DUMMYFUNCTION("SPLiT(J2173, ""🤙🏼"",FALSE,FALSE)"),724.0)</f>
        <v>724</v>
      </c>
      <c r="L2173" s="5" t="str">
        <f>IFERROR(__xludf.DUMMYFUNCTION("""COMPUTED_VALUE"""),"Wind River")</f>
        <v>Wind River</v>
      </c>
      <c r="M2173" s="5" t="str">
        <f>IFERROR(__xludf.DUMMYFUNCTION("""COMPUTED_VALUE"""),"Mystery")</f>
        <v>Mystery</v>
      </c>
      <c r="N2173" s="5">
        <f>IFERROR(__xludf.DUMMYFUNCTION("""COMPUTED_VALUE"""),3.0)</f>
        <v>3</v>
      </c>
      <c r="S2173" s="5">
        <f>IFERROR(__xludf.DUMMYFUNCTION("""COMPUTED_VALUE"""),859.0)</f>
        <v>859</v>
      </c>
      <c r="T2173" s="5" t="str">
        <f>IFERROR(__xludf.DUMMYFUNCTION("""COMPUTED_VALUE"""),"A Man for All Seasons")</f>
        <v>A Man for All Seasons</v>
      </c>
      <c r="U2173" s="5" t="str">
        <f>IFERROR(__xludf.DUMMYFUNCTION("""COMPUTED_VALUE"""),"Drama")</f>
        <v>Drama</v>
      </c>
      <c r="V2173" s="5">
        <f>IFERROR(__xludf.DUMMYFUNCTION("""COMPUTED_VALUE"""),2.0)</f>
        <v>2</v>
      </c>
    </row>
    <row r="2174">
      <c r="J2174" s="5" t="str">
        <f>IFERROR(__xludf.DUMMYFUNCTION("""COMPUTED_VALUE"""),"725🤙🏼Get Out🤙🏼Horror🤙🏼1")</f>
        <v>725🤙🏼Get Out🤙🏼Horror🤙🏼1</v>
      </c>
      <c r="K2174" s="5">
        <f>IFERROR(__xludf.DUMMYFUNCTION("SPLiT(J2174, ""🤙🏼"",FALSE,FALSE)"),725.0)</f>
        <v>725</v>
      </c>
      <c r="L2174" s="5" t="str">
        <f>IFERROR(__xludf.DUMMYFUNCTION("""COMPUTED_VALUE"""),"Get Out")</f>
        <v>Get Out</v>
      </c>
      <c r="M2174" s="5" t="str">
        <f>IFERROR(__xludf.DUMMYFUNCTION("""COMPUTED_VALUE"""),"Horror")</f>
        <v>Horror</v>
      </c>
      <c r="N2174" s="5">
        <f>IFERROR(__xludf.DUMMYFUNCTION("""COMPUTED_VALUE"""),1.0)</f>
        <v>1</v>
      </c>
      <c r="S2174" s="5">
        <f>IFERROR(__xludf.DUMMYFUNCTION("""COMPUTED_VALUE"""),859.0)</f>
        <v>859</v>
      </c>
      <c r="T2174" s="5" t="str">
        <f>IFERROR(__xludf.DUMMYFUNCTION("""COMPUTED_VALUE"""),"A Man for All Seasons")</f>
        <v>A Man for All Seasons</v>
      </c>
      <c r="U2174" s="5" t="str">
        <f>IFERROR(__xludf.DUMMYFUNCTION("""COMPUTED_VALUE"""),"History")</f>
        <v>History</v>
      </c>
      <c r="V2174" s="5">
        <f>IFERROR(__xludf.DUMMYFUNCTION("""COMPUTED_VALUE"""),3.0)</f>
        <v>3</v>
      </c>
    </row>
    <row r="2175">
      <c r="J2175" s="5" t="str">
        <f>IFERROR(__xludf.DUMMYFUNCTION("""COMPUTED_VALUE"""),"725🤙🏼Get Out🤙🏼Mystery🤙🏼2")</f>
        <v>725🤙🏼Get Out🤙🏼Mystery🤙🏼2</v>
      </c>
      <c r="K2175" s="5">
        <f>IFERROR(__xludf.DUMMYFUNCTION("SPLiT(J2175, ""🤙🏼"",FALSE,FALSE)"),725.0)</f>
        <v>725</v>
      </c>
      <c r="L2175" s="5" t="str">
        <f>IFERROR(__xludf.DUMMYFUNCTION("""COMPUTED_VALUE"""),"Get Out")</f>
        <v>Get Out</v>
      </c>
      <c r="M2175" s="5" t="str">
        <f>IFERROR(__xludf.DUMMYFUNCTION("""COMPUTED_VALUE"""),"Mystery")</f>
        <v>Mystery</v>
      </c>
      <c r="N2175" s="5">
        <f>IFERROR(__xludf.DUMMYFUNCTION("""COMPUTED_VALUE"""),2.0)</f>
        <v>2</v>
      </c>
      <c r="S2175" s="5">
        <f>IFERROR(__xludf.DUMMYFUNCTION("""COMPUTED_VALUE"""),860.0)</f>
        <v>860</v>
      </c>
      <c r="T2175" s="5" t="str">
        <f>IFERROR(__xludf.DUMMYFUNCTION("""COMPUTED_VALUE"""),"Repulsion")</f>
        <v>Repulsion</v>
      </c>
      <c r="U2175" s="5" t="str">
        <f>IFERROR(__xludf.DUMMYFUNCTION("""COMPUTED_VALUE"""),"Drama")</f>
        <v>Drama</v>
      </c>
      <c r="V2175" s="5">
        <f>IFERROR(__xludf.DUMMYFUNCTION("""COMPUTED_VALUE"""),1.0)</f>
        <v>1</v>
      </c>
    </row>
    <row r="2176">
      <c r="J2176" s="5" t="str">
        <f>IFERROR(__xludf.DUMMYFUNCTION("""COMPUTED_VALUE"""),"725🤙🏼Get Out🤙🏼Thriller🤙🏼3")</f>
        <v>725🤙🏼Get Out🤙🏼Thriller🤙🏼3</v>
      </c>
      <c r="K2176" s="5">
        <f>IFERROR(__xludf.DUMMYFUNCTION("SPLiT(J2176, ""🤙🏼"",FALSE,FALSE)"),725.0)</f>
        <v>725</v>
      </c>
      <c r="L2176" s="5" t="str">
        <f>IFERROR(__xludf.DUMMYFUNCTION("""COMPUTED_VALUE"""),"Get Out")</f>
        <v>Get Out</v>
      </c>
      <c r="M2176" s="5" t="str">
        <f>IFERROR(__xludf.DUMMYFUNCTION("""COMPUTED_VALUE"""),"Thriller")</f>
        <v>Thriller</v>
      </c>
      <c r="N2176" s="5">
        <f>IFERROR(__xludf.DUMMYFUNCTION("""COMPUTED_VALUE"""),3.0)</f>
        <v>3</v>
      </c>
      <c r="S2176" s="5">
        <f>IFERROR(__xludf.DUMMYFUNCTION("""COMPUTED_VALUE"""),860.0)</f>
        <v>860</v>
      </c>
      <c r="T2176" s="5" t="str">
        <f>IFERROR(__xludf.DUMMYFUNCTION("""COMPUTED_VALUE"""),"Repulsion")</f>
        <v>Repulsion</v>
      </c>
      <c r="U2176" s="5" t="str">
        <f>IFERROR(__xludf.DUMMYFUNCTION("""COMPUTED_VALUE"""),"Horror")</f>
        <v>Horror</v>
      </c>
      <c r="V2176" s="5">
        <f>IFERROR(__xludf.DUMMYFUNCTION("""COMPUTED_VALUE"""),2.0)</f>
        <v>2</v>
      </c>
    </row>
    <row r="2177">
      <c r="J2177" s="5" t="str">
        <f>IFERROR(__xludf.DUMMYFUNCTION("""COMPUTED_VALUE"""),"726🤙🏼Mission: Impossible - Fallout🤙🏼Action🤙🏼1")</f>
        <v>726🤙🏼Mission: Impossible - Fallout🤙🏼Action🤙🏼1</v>
      </c>
      <c r="K2177" s="5">
        <f>IFERROR(__xludf.DUMMYFUNCTION("SPLiT(J2177, ""🤙🏼"",FALSE,FALSE)"),726.0)</f>
        <v>726</v>
      </c>
      <c r="L2177" s="5" t="str">
        <f>IFERROR(__xludf.DUMMYFUNCTION("""COMPUTED_VALUE"""),"Mission: Impossible - Fallout")</f>
        <v>Mission: Impossible - Fallout</v>
      </c>
      <c r="M2177" s="5" t="str">
        <f>IFERROR(__xludf.DUMMYFUNCTION("""COMPUTED_VALUE"""),"Action")</f>
        <v>Action</v>
      </c>
      <c r="N2177" s="5">
        <f>IFERROR(__xludf.DUMMYFUNCTION("""COMPUTED_VALUE"""),1.0)</f>
        <v>1</v>
      </c>
      <c r="S2177" s="5">
        <f>IFERROR(__xludf.DUMMYFUNCTION("""COMPUTED_VALUE"""),860.0)</f>
        <v>860</v>
      </c>
      <c r="T2177" s="5" t="str">
        <f>IFERROR(__xludf.DUMMYFUNCTION("""COMPUTED_VALUE"""),"Repulsion")</f>
        <v>Repulsion</v>
      </c>
      <c r="U2177" s="5" t="str">
        <f>IFERROR(__xludf.DUMMYFUNCTION("""COMPUTED_VALUE"""),"Thriller")</f>
        <v>Thriller</v>
      </c>
      <c r="V2177" s="5">
        <f>IFERROR(__xludf.DUMMYFUNCTION("""COMPUTED_VALUE"""),3.0)</f>
        <v>3</v>
      </c>
    </row>
    <row r="2178">
      <c r="J2178" s="5" t="str">
        <f>IFERROR(__xludf.DUMMYFUNCTION("""COMPUTED_VALUE"""),"726🤙🏼Mission: Impossible - Fallout🤙🏼Adventure🤙🏼2")</f>
        <v>726🤙🏼Mission: Impossible - Fallout🤙🏼Adventure🤙🏼2</v>
      </c>
      <c r="K2178" s="5">
        <f>IFERROR(__xludf.DUMMYFUNCTION("SPLiT(J2178, ""🤙🏼"",FALSE,FALSE)"),726.0)</f>
        <v>726</v>
      </c>
      <c r="L2178" s="5" t="str">
        <f>IFERROR(__xludf.DUMMYFUNCTION("""COMPUTED_VALUE"""),"Mission: Impossible - Fallout")</f>
        <v>Mission: Impossible - Fallout</v>
      </c>
      <c r="M2178" s="5" t="str">
        <f>IFERROR(__xludf.DUMMYFUNCTION("""COMPUTED_VALUE"""),"Adventure")</f>
        <v>Adventure</v>
      </c>
      <c r="N2178" s="5">
        <f>IFERROR(__xludf.DUMMYFUNCTION("""COMPUTED_VALUE"""),2.0)</f>
        <v>2</v>
      </c>
      <c r="S2178" s="5">
        <f>IFERROR(__xludf.DUMMYFUNCTION("""COMPUTED_VALUE"""),861.0)</f>
        <v>861</v>
      </c>
      <c r="T2178" s="5" t="str">
        <f>IFERROR(__xludf.DUMMYFUNCTION("""COMPUTED_VALUE"""),"Zulu")</f>
        <v>Zulu</v>
      </c>
      <c r="U2178" s="5" t="str">
        <f>IFERROR(__xludf.DUMMYFUNCTION("""COMPUTED_VALUE"""),"Drama")</f>
        <v>Drama</v>
      </c>
      <c r="V2178" s="5">
        <f>IFERROR(__xludf.DUMMYFUNCTION("""COMPUTED_VALUE"""),1.0)</f>
        <v>1</v>
      </c>
    </row>
    <row r="2179">
      <c r="J2179" s="5" t="str">
        <f>IFERROR(__xludf.DUMMYFUNCTION("""COMPUTED_VALUE"""),"726🤙🏼Mission: Impossible - Fallout🤙🏼Thriller🤙🏼3")</f>
        <v>726🤙🏼Mission: Impossible - Fallout🤙🏼Thriller🤙🏼3</v>
      </c>
      <c r="K2179" s="5">
        <f>IFERROR(__xludf.DUMMYFUNCTION("SPLiT(J2179, ""🤙🏼"",FALSE,FALSE)"),726.0)</f>
        <v>726</v>
      </c>
      <c r="L2179" s="5" t="str">
        <f>IFERROR(__xludf.DUMMYFUNCTION("""COMPUTED_VALUE"""),"Mission: Impossible - Fallout")</f>
        <v>Mission: Impossible - Fallout</v>
      </c>
      <c r="M2179" s="5" t="str">
        <f>IFERROR(__xludf.DUMMYFUNCTION("""COMPUTED_VALUE"""),"Thriller")</f>
        <v>Thriller</v>
      </c>
      <c r="N2179" s="5">
        <f>IFERROR(__xludf.DUMMYFUNCTION("""COMPUTED_VALUE"""),3.0)</f>
        <v>3</v>
      </c>
      <c r="S2179" s="5">
        <f>IFERROR(__xludf.DUMMYFUNCTION("""COMPUTED_VALUE"""),861.0)</f>
        <v>861</v>
      </c>
      <c r="T2179" s="5" t="str">
        <f>IFERROR(__xludf.DUMMYFUNCTION("""COMPUTED_VALUE"""),"Zulu")</f>
        <v>Zulu</v>
      </c>
      <c r="U2179" s="5" t="str">
        <f>IFERROR(__xludf.DUMMYFUNCTION("""COMPUTED_VALUE"""),"History")</f>
        <v>History</v>
      </c>
      <c r="V2179" s="5">
        <f>IFERROR(__xludf.DUMMYFUNCTION("""COMPUTED_VALUE"""),2.0)</f>
        <v>2</v>
      </c>
    </row>
    <row r="2180">
      <c r="J2180" s="5" t="str">
        <f>IFERROR(__xludf.DUMMYFUNCTION("""COMPUTED_VALUE"""),"727🤙🏼En man som heter Ove🤙🏼Comedy🤙🏼1")</f>
        <v>727🤙🏼En man som heter Ove🤙🏼Comedy🤙🏼1</v>
      </c>
      <c r="K2180" s="5">
        <f>IFERROR(__xludf.DUMMYFUNCTION("SPLiT(J2180, ""🤙🏼"",FALSE,FALSE)"),727.0)</f>
        <v>727</v>
      </c>
      <c r="L2180" s="5" t="str">
        <f>IFERROR(__xludf.DUMMYFUNCTION("""COMPUTED_VALUE"""),"En man som heter Ove")</f>
        <v>En man som heter Ove</v>
      </c>
      <c r="M2180" s="5" t="str">
        <f>IFERROR(__xludf.DUMMYFUNCTION("""COMPUTED_VALUE"""),"Comedy")</f>
        <v>Comedy</v>
      </c>
      <c r="N2180" s="5">
        <f>IFERROR(__xludf.DUMMYFUNCTION("""COMPUTED_VALUE"""),1.0)</f>
        <v>1</v>
      </c>
      <c r="S2180" s="5">
        <f>IFERROR(__xludf.DUMMYFUNCTION("""COMPUTED_VALUE"""),861.0)</f>
        <v>861</v>
      </c>
      <c r="T2180" s="5" t="str">
        <f>IFERROR(__xludf.DUMMYFUNCTION("""COMPUTED_VALUE"""),"Zulu")</f>
        <v>Zulu</v>
      </c>
      <c r="U2180" s="5" t="str">
        <f>IFERROR(__xludf.DUMMYFUNCTION("""COMPUTED_VALUE"""),"War")</f>
        <v>War</v>
      </c>
      <c r="V2180" s="5">
        <f>IFERROR(__xludf.DUMMYFUNCTION("""COMPUTED_VALUE"""),3.0)</f>
        <v>3</v>
      </c>
    </row>
    <row r="2181">
      <c r="J2181" s="5" t="str">
        <f>IFERROR(__xludf.DUMMYFUNCTION("""COMPUTED_VALUE"""),"727🤙🏼En man som heter Ove🤙🏼Drama🤙🏼2")</f>
        <v>727🤙🏼En man som heter Ove🤙🏼Drama🤙🏼2</v>
      </c>
      <c r="K2181" s="5">
        <f>IFERROR(__xludf.DUMMYFUNCTION("SPLiT(J2181, ""🤙🏼"",FALSE,FALSE)"),727.0)</f>
        <v>727</v>
      </c>
      <c r="L2181" s="5" t="str">
        <f>IFERROR(__xludf.DUMMYFUNCTION("""COMPUTED_VALUE"""),"En man som heter Ove")</f>
        <v>En man som heter Ove</v>
      </c>
      <c r="M2181" s="5" t="str">
        <f>IFERROR(__xludf.DUMMYFUNCTION("""COMPUTED_VALUE"""),"Drama")</f>
        <v>Drama</v>
      </c>
      <c r="N2181" s="5">
        <f>IFERROR(__xludf.DUMMYFUNCTION("""COMPUTED_VALUE"""),2.0)</f>
        <v>2</v>
      </c>
      <c r="S2181" s="5">
        <f>IFERROR(__xludf.DUMMYFUNCTION("""COMPUTED_VALUE"""),862.0)</f>
        <v>862</v>
      </c>
      <c r="T2181" s="5" t="str">
        <f>IFERROR(__xludf.DUMMYFUNCTION("""COMPUTED_VALUE"""),"Goldfinger")</f>
        <v>Goldfinger</v>
      </c>
      <c r="U2181" s="5" t="str">
        <f>IFERROR(__xludf.DUMMYFUNCTION("""COMPUTED_VALUE"""),"Action")</f>
        <v>Action</v>
      </c>
      <c r="V2181" s="5">
        <f>IFERROR(__xludf.DUMMYFUNCTION("""COMPUTED_VALUE"""),1.0)</f>
        <v>1</v>
      </c>
    </row>
    <row r="2182">
      <c r="J2182" s="5" t="str">
        <f>IFERROR(__xludf.DUMMYFUNCTION("""COMPUTED_VALUE"""),"727🤙🏼En man som heter Ove🤙🏼Romance🤙🏼3")</f>
        <v>727🤙🏼En man som heter Ove🤙🏼Romance🤙🏼3</v>
      </c>
      <c r="K2182" s="5">
        <f>IFERROR(__xludf.DUMMYFUNCTION("SPLiT(J2182, ""🤙🏼"",FALSE,FALSE)"),727.0)</f>
        <v>727</v>
      </c>
      <c r="L2182" s="5" t="str">
        <f>IFERROR(__xludf.DUMMYFUNCTION("""COMPUTED_VALUE"""),"En man som heter Ove")</f>
        <v>En man som heter Ove</v>
      </c>
      <c r="M2182" s="5" t="str">
        <f>IFERROR(__xludf.DUMMYFUNCTION("""COMPUTED_VALUE"""),"Romance")</f>
        <v>Romance</v>
      </c>
      <c r="N2182" s="5">
        <f>IFERROR(__xludf.DUMMYFUNCTION("""COMPUTED_VALUE"""),3.0)</f>
        <v>3</v>
      </c>
      <c r="S2182" s="5">
        <f>IFERROR(__xludf.DUMMYFUNCTION("""COMPUTED_VALUE"""),862.0)</f>
        <v>862</v>
      </c>
      <c r="T2182" s="5" t="str">
        <f>IFERROR(__xludf.DUMMYFUNCTION("""COMPUTED_VALUE"""),"Goldfinger")</f>
        <v>Goldfinger</v>
      </c>
      <c r="U2182" s="5" t="str">
        <f>IFERROR(__xludf.DUMMYFUNCTION("""COMPUTED_VALUE"""),"Adventure")</f>
        <v>Adventure</v>
      </c>
      <c r="V2182" s="5">
        <f>IFERROR(__xludf.DUMMYFUNCTION("""COMPUTED_VALUE"""),2.0)</f>
        <v>2</v>
      </c>
    </row>
    <row r="2183">
      <c r="J2183" s="5" t="str">
        <f>IFERROR(__xludf.DUMMYFUNCTION("""COMPUTED_VALUE"""),"728🤙🏼What We Do in the Shadows🤙🏼Comedy🤙🏼1")</f>
        <v>728🤙🏼What We Do in the Shadows🤙🏼Comedy🤙🏼1</v>
      </c>
      <c r="K2183" s="5">
        <f>IFERROR(__xludf.DUMMYFUNCTION("SPLiT(J2183, ""🤙🏼"",FALSE,FALSE)"),728.0)</f>
        <v>728</v>
      </c>
      <c r="L2183" s="5" t="str">
        <f>IFERROR(__xludf.DUMMYFUNCTION("""COMPUTED_VALUE"""),"What We Do in the Shadows")</f>
        <v>What We Do in the Shadows</v>
      </c>
      <c r="M2183" s="5" t="str">
        <f>IFERROR(__xludf.DUMMYFUNCTION("""COMPUTED_VALUE"""),"Comedy")</f>
        <v>Comedy</v>
      </c>
      <c r="N2183" s="5">
        <f>IFERROR(__xludf.DUMMYFUNCTION("""COMPUTED_VALUE"""),1.0)</f>
        <v>1</v>
      </c>
      <c r="S2183" s="5">
        <f>IFERROR(__xludf.DUMMYFUNCTION("""COMPUTED_VALUE"""),862.0)</f>
        <v>862</v>
      </c>
      <c r="T2183" s="5" t="str">
        <f>IFERROR(__xludf.DUMMYFUNCTION("""COMPUTED_VALUE"""),"Goldfinger")</f>
        <v>Goldfinger</v>
      </c>
      <c r="U2183" s="5" t="str">
        <f>IFERROR(__xludf.DUMMYFUNCTION("""COMPUTED_VALUE"""),"Thriller")</f>
        <v>Thriller</v>
      </c>
      <c r="V2183" s="5">
        <f>IFERROR(__xludf.DUMMYFUNCTION("""COMPUTED_VALUE"""),3.0)</f>
        <v>3</v>
      </c>
    </row>
    <row r="2184">
      <c r="J2184" s="5" t="str">
        <f>IFERROR(__xludf.DUMMYFUNCTION("""COMPUTED_VALUE"""),"728🤙🏼What We Do in the Shadows🤙🏼Horror🤙🏼2")</f>
        <v>728🤙🏼What We Do in the Shadows🤙🏼Horror🤙🏼2</v>
      </c>
      <c r="K2184" s="5">
        <f>IFERROR(__xludf.DUMMYFUNCTION("SPLiT(J2184, ""🤙🏼"",FALSE,FALSE)"),728.0)</f>
        <v>728</v>
      </c>
      <c r="L2184" s="5" t="str">
        <f>IFERROR(__xludf.DUMMYFUNCTION("""COMPUTED_VALUE"""),"What We Do in the Shadows")</f>
        <v>What We Do in the Shadows</v>
      </c>
      <c r="M2184" s="5" t="str">
        <f>IFERROR(__xludf.DUMMYFUNCTION("""COMPUTED_VALUE"""),"Horror")</f>
        <v>Horror</v>
      </c>
      <c r="N2184" s="5">
        <f>IFERROR(__xludf.DUMMYFUNCTION("""COMPUTED_VALUE"""),2.0)</f>
        <v>2</v>
      </c>
      <c r="S2184" s="5">
        <f>IFERROR(__xludf.DUMMYFUNCTION("""COMPUTED_VALUE"""),863.0)</f>
        <v>863</v>
      </c>
      <c r="T2184" s="5" t="str">
        <f>IFERROR(__xludf.DUMMYFUNCTION("""COMPUTED_VALUE"""),"The Birds")</f>
        <v>The Birds</v>
      </c>
      <c r="U2184" s="5" t="str">
        <f>IFERROR(__xludf.DUMMYFUNCTION("""COMPUTED_VALUE"""),"Drama")</f>
        <v>Drama</v>
      </c>
      <c r="V2184" s="5">
        <f>IFERROR(__xludf.DUMMYFUNCTION("""COMPUTED_VALUE"""),1.0)</f>
        <v>1</v>
      </c>
    </row>
    <row r="2185">
      <c r="J2185" s="5" t="str">
        <f>IFERROR(__xludf.DUMMYFUNCTION("""COMPUTED_VALUE"""),"728🤙🏼What We Do in the Shadows🤙🏼🤙🏼3")</f>
        <v>728🤙🏼What We Do in the Shadows🤙🏼🤙🏼3</v>
      </c>
      <c r="K2185" s="5">
        <f>IFERROR(__xludf.DUMMYFUNCTION("SPLiT(J2185, ""🤙🏼"",FALSE,FALSE)"),728.0)</f>
        <v>728</v>
      </c>
      <c r="L2185" s="5" t="str">
        <f>IFERROR(__xludf.DUMMYFUNCTION("""COMPUTED_VALUE"""),"What We Do in the Shadows")</f>
        <v>What We Do in the Shadows</v>
      </c>
      <c r="M2185" s="5"/>
      <c r="N2185" s="5">
        <f>IFERROR(__xludf.DUMMYFUNCTION("""COMPUTED_VALUE"""),3.0)</f>
        <v>3</v>
      </c>
      <c r="S2185" s="5">
        <f>IFERROR(__xludf.DUMMYFUNCTION("""COMPUTED_VALUE"""),863.0)</f>
        <v>863</v>
      </c>
      <c r="T2185" s="5" t="str">
        <f>IFERROR(__xludf.DUMMYFUNCTION("""COMPUTED_VALUE"""),"The Birds")</f>
        <v>The Birds</v>
      </c>
      <c r="U2185" s="5" t="str">
        <f>IFERROR(__xludf.DUMMYFUNCTION("""COMPUTED_VALUE"""),"Horror")</f>
        <v>Horror</v>
      </c>
      <c r="V2185" s="5">
        <f>IFERROR(__xludf.DUMMYFUNCTION("""COMPUTED_VALUE"""),2.0)</f>
        <v>2</v>
      </c>
    </row>
    <row r="2186">
      <c r="J2186" s="5" t="str">
        <f>IFERROR(__xludf.DUMMYFUNCTION("""COMPUTED_VALUE"""),"729🤙🏼Omoide no Mânî🤙🏼Animation🤙🏼1")</f>
        <v>729🤙🏼Omoide no Mânî🤙🏼Animation🤙🏼1</v>
      </c>
      <c r="K2186" s="5">
        <f>IFERROR(__xludf.DUMMYFUNCTION("SPLiT(J2186, ""🤙🏼"",FALSE,FALSE)"),729.0)</f>
        <v>729</v>
      </c>
      <c r="L2186" s="5" t="str">
        <f>IFERROR(__xludf.DUMMYFUNCTION("""COMPUTED_VALUE"""),"Omoide no Mânî")</f>
        <v>Omoide no Mânî</v>
      </c>
      <c r="M2186" s="5" t="str">
        <f>IFERROR(__xludf.DUMMYFUNCTION("""COMPUTED_VALUE"""),"Animation")</f>
        <v>Animation</v>
      </c>
      <c r="N2186" s="5">
        <f>IFERROR(__xludf.DUMMYFUNCTION("""COMPUTED_VALUE"""),1.0)</f>
        <v>1</v>
      </c>
      <c r="S2186" s="5">
        <f>IFERROR(__xludf.DUMMYFUNCTION("""COMPUTED_VALUE"""),863.0)</f>
        <v>863</v>
      </c>
      <c r="T2186" s="5" t="str">
        <f>IFERROR(__xludf.DUMMYFUNCTION("""COMPUTED_VALUE"""),"The Birds")</f>
        <v>The Birds</v>
      </c>
      <c r="U2186" s="5" t="str">
        <f>IFERROR(__xludf.DUMMYFUNCTION("""COMPUTED_VALUE"""),"Mystery")</f>
        <v>Mystery</v>
      </c>
      <c r="V2186" s="5">
        <f>IFERROR(__xludf.DUMMYFUNCTION("""COMPUTED_VALUE"""),3.0)</f>
        <v>3</v>
      </c>
    </row>
    <row r="2187">
      <c r="J2187" s="5" t="str">
        <f>IFERROR(__xludf.DUMMYFUNCTION("""COMPUTED_VALUE"""),"729🤙🏼Omoide no Mânî🤙🏼Drama🤙🏼2")</f>
        <v>729🤙🏼Omoide no Mânî🤙🏼Drama🤙🏼2</v>
      </c>
      <c r="K2187" s="5">
        <f>IFERROR(__xludf.DUMMYFUNCTION("SPLiT(J2187, ""🤙🏼"",FALSE,FALSE)"),729.0)</f>
        <v>729</v>
      </c>
      <c r="L2187" s="5" t="str">
        <f>IFERROR(__xludf.DUMMYFUNCTION("""COMPUTED_VALUE"""),"Omoide no Mânî")</f>
        <v>Omoide no Mânî</v>
      </c>
      <c r="M2187" s="5" t="str">
        <f>IFERROR(__xludf.DUMMYFUNCTION("""COMPUTED_VALUE"""),"Drama")</f>
        <v>Drama</v>
      </c>
      <c r="N2187" s="5">
        <f>IFERROR(__xludf.DUMMYFUNCTION("""COMPUTED_VALUE"""),2.0)</f>
        <v>2</v>
      </c>
      <c r="S2187" s="5">
        <f>IFERROR(__xludf.DUMMYFUNCTION("""COMPUTED_VALUE"""),864.0)</f>
        <v>864</v>
      </c>
      <c r="T2187" s="5" t="str">
        <f>IFERROR(__xludf.DUMMYFUNCTION("""COMPUTED_VALUE"""),"Cape Fear")</f>
        <v>Cape Fear</v>
      </c>
      <c r="U2187" s="5" t="str">
        <f>IFERROR(__xludf.DUMMYFUNCTION("""COMPUTED_VALUE"""),"Drama")</f>
        <v>Drama</v>
      </c>
      <c r="V2187" s="5">
        <f>IFERROR(__xludf.DUMMYFUNCTION("""COMPUTED_VALUE"""),1.0)</f>
        <v>1</v>
      </c>
    </row>
    <row r="2188">
      <c r="J2188" s="5" t="str">
        <f>IFERROR(__xludf.DUMMYFUNCTION("""COMPUTED_VALUE"""),"729🤙🏼Omoide no Mânî🤙🏼Family🤙🏼3")</f>
        <v>729🤙🏼Omoide no Mânî🤙🏼Family🤙🏼3</v>
      </c>
      <c r="K2188" s="5">
        <f>IFERROR(__xludf.DUMMYFUNCTION("SPLiT(J2188, ""🤙🏼"",FALSE,FALSE)"),729.0)</f>
        <v>729</v>
      </c>
      <c r="L2188" s="5" t="str">
        <f>IFERROR(__xludf.DUMMYFUNCTION("""COMPUTED_VALUE"""),"Omoide no Mânî")</f>
        <v>Omoide no Mânî</v>
      </c>
      <c r="M2188" s="5" t="str">
        <f>IFERROR(__xludf.DUMMYFUNCTION("""COMPUTED_VALUE"""),"Family")</f>
        <v>Family</v>
      </c>
      <c r="N2188" s="5">
        <f>IFERROR(__xludf.DUMMYFUNCTION("""COMPUTED_VALUE"""),3.0)</f>
        <v>3</v>
      </c>
      <c r="S2188" s="5">
        <f>IFERROR(__xludf.DUMMYFUNCTION("""COMPUTED_VALUE"""),864.0)</f>
        <v>864</v>
      </c>
      <c r="T2188" s="5" t="str">
        <f>IFERROR(__xludf.DUMMYFUNCTION("""COMPUTED_VALUE"""),"Cape Fear")</f>
        <v>Cape Fear</v>
      </c>
      <c r="U2188" s="5" t="str">
        <f>IFERROR(__xludf.DUMMYFUNCTION("""COMPUTED_VALUE"""),"Thriller")</f>
        <v>Thriller</v>
      </c>
      <c r="V2188" s="5">
        <f>IFERROR(__xludf.DUMMYFUNCTION("""COMPUTED_VALUE"""),2.0)</f>
        <v>2</v>
      </c>
    </row>
    <row r="2189">
      <c r="J2189" s="5" t="str">
        <f>IFERROR(__xludf.DUMMYFUNCTION("""COMPUTED_VALUE"""),"730🤙🏼The Theory of Everything🤙🏼Biography🤙🏼1")</f>
        <v>730🤙🏼The Theory of Everything🤙🏼Biography🤙🏼1</v>
      </c>
      <c r="K2189" s="5">
        <f>IFERROR(__xludf.DUMMYFUNCTION("SPLiT(J2189, ""🤙🏼"",FALSE,FALSE)"),730.0)</f>
        <v>730</v>
      </c>
      <c r="L2189" s="5" t="str">
        <f>IFERROR(__xludf.DUMMYFUNCTION("""COMPUTED_VALUE"""),"The Theory of Everything")</f>
        <v>The Theory of Everything</v>
      </c>
      <c r="M2189" s="5" t="str">
        <f>IFERROR(__xludf.DUMMYFUNCTION("""COMPUTED_VALUE"""),"Biography")</f>
        <v>Biography</v>
      </c>
      <c r="N2189" s="5">
        <f>IFERROR(__xludf.DUMMYFUNCTION("""COMPUTED_VALUE"""),1.0)</f>
        <v>1</v>
      </c>
      <c r="S2189" s="5">
        <f>IFERROR(__xludf.DUMMYFUNCTION("""COMPUTED_VALUE"""),865.0)</f>
        <v>865</v>
      </c>
      <c r="T2189" s="5" t="str">
        <f>IFERROR(__xludf.DUMMYFUNCTION("""COMPUTED_VALUE"""),"Peeping Tom")</f>
        <v>Peeping Tom</v>
      </c>
      <c r="U2189" s="5" t="str">
        <f>IFERROR(__xludf.DUMMYFUNCTION("""COMPUTED_VALUE"""),"Drama")</f>
        <v>Drama</v>
      </c>
      <c r="V2189" s="5">
        <f>IFERROR(__xludf.DUMMYFUNCTION("""COMPUTED_VALUE"""),1.0)</f>
        <v>1</v>
      </c>
    </row>
    <row r="2190">
      <c r="J2190" s="5" t="str">
        <f>IFERROR(__xludf.DUMMYFUNCTION("""COMPUTED_VALUE"""),"730🤙🏼The Theory of Everything🤙🏼Drama🤙🏼2")</f>
        <v>730🤙🏼The Theory of Everything🤙🏼Drama🤙🏼2</v>
      </c>
      <c r="K2190" s="5">
        <f>IFERROR(__xludf.DUMMYFUNCTION("SPLiT(J2190, ""🤙🏼"",FALSE,FALSE)"),730.0)</f>
        <v>730</v>
      </c>
      <c r="L2190" s="5" t="str">
        <f>IFERROR(__xludf.DUMMYFUNCTION("""COMPUTED_VALUE"""),"The Theory of Everything")</f>
        <v>The Theory of Everything</v>
      </c>
      <c r="M2190" s="5" t="str">
        <f>IFERROR(__xludf.DUMMYFUNCTION("""COMPUTED_VALUE"""),"Drama")</f>
        <v>Drama</v>
      </c>
      <c r="N2190" s="5">
        <f>IFERROR(__xludf.DUMMYFUNCTION("""COMPUTED_VALUE"""),2.0)</f>
        <v>2</v>
      </c>
      <c r="S2190" s="5">
        <f>IFERROR(__xludf.DUMMYFUNCTION("""COMPUTED_VALUE"""),865.0)</f>
        <v>865</v>
      </c>
      <c r="T2190" s="5" t="str">
        <f>IFERROR(__xludf.DUMMYFUNCTION("""COMPUTED_VALUE"""),"Peeping Tom")</f>
        <v>Peeping Tom</v>
      </c>
      <c r="U2190" s="5" t="str">
        <f>IFERROR(__xludf.DUMMYFUNCTION("""COMPUTED_VALUE"""),"Horror")</f>
        <v>Horror</v>
      </c>
      <c r="V2190" s="5">
        <f>IFERROR(__xludf.DUMMYFUNCTION("""COMPUTED_VALUE"""),2.0)</f>
        <v>2</v>
      </c>
    </row>
    <row r="2191">
      <c r="J2191" s="5" t="str">
        <f>IFERROR(__xludf.DUMMYFUNCTION("""COMPUTED_VALUE"""),"730🤙🏼The Theory of Everything🤙🏼Romance🤙🏼3")</f>
        <v>730🤙🏼The Theory of Everything🤙🏼Romance🤙🏼3</v>
      </c>
      <c r="K2191" s="5">
        <f>IFERROR(__xludf.DUMMYFUNCTION("SPLiT(J2191, ""🤙🏼"",FALSE,FALSE)"),730.0)</f>
        <v>730</v>
      </c>
      <c r="L2191" s="5" t="str">
        <f>IFERROR(__xludf.DUMMYFUNCTION("""COMPUTED_VALUE"""),"The Theory of Everything")</f>
        <v>The Theory of Everything</v>
      </c>
      <c r="M2191" s="5" t="str">
        <f>IFERROR(__xludf.DUMMYFUNCTION("""COMPUTED_VALUE"""),"Romance")</f>
        <v>Romance</v>
      </c>
      <c r="N2191" s="5">
        <f>IFERROR(__xludf.DUMMYFUNCTION("""COMPUTED_VALUE"""),3.0)</f>
        <v>3</v>
      </c>
      <c r="S2191" s="5">
        <f>IFERROR(__xludf.DUMMYFUNCTION("""COMPUTED_VALUE"""),865.0)</f>
        <v>865</v>
      </c>
      <c r="T2191" s="5" t="str">
        <f>IFERROR(__xludf.DUMMYFUNCTION("""COMPUTED_VALUE"""),"Peeping Tom")</f>
        <v>Peeping Tom</v>
      </c>
      <c r="U2191" s="5" t="str">
        <f>IFERROR(__xludf.DUMMYFUNCTION("""COMPUTED_VALUE"""),"Thriller")</f>
        <v>Thriller</v>
      </c>
      <c r="V2191" s="5">
        <f>IFERROR(__xludf.DUMMYFUNCTION("""COMPUTED_VALUE"""),3.0)</f>
        <v>3</v>
      </c>
    </row>
    <row r="2192">
      <c r="J2192" s="5" t="str">
        <f>IFERROR(__xludf.DUMMYFUNCTION("""COMPUTED_VALUE"""),"731🤙🏼Kingsman: The Secret Service🤙🏼Action🤙🏼1")</f>
        <v>731🤙🏼Kingsman: The Secret Service🤙🏼Action🤙🏼1</v>
      </c>
      <c r="K2192" s="5">
        <f>IFERROR(__xludf.DUMMYFUNCTION("SPLiT(J2192, ""🤙🏼"",FALSE,FALSE)"),731.0)</f>
        <v>731</v>
      </c>
      <c r="L2192" s="5" t="str">
        <f>IFERROR(__xludf.DUMMYFUNCTION("""COMPUTED_VALUE"""),"Kingsman: The Secret Service")</f>
        <v>Kingsman: The Secret Service</v>
      </c>
      <c r="M2192" s="5" t="str">
        <f>IFERROR(__xludf.DUMMYFUNCTION("""COMPUTED_VALUE"""),"Action")</f>
        <v>Action</v>
      </c>
      <c r="N2192" s="5">
        <f>IFERROR(__xludf.DUMMYFUNCTION("""COMPUTED_VALUE"""),1.0)</f>
        <v>1</v>
      </c>
      <c r="S2192" s="5">
        <f>IFERROR(__xludf.DUMMYFUNCTION("""COMPUTED_VALUE"""),866.0)</f>
        <v>866</v>
      </c>
      <c r="T2192" s="5" t="str">
        <f>IFERROR(__xludf.DUMMYFUNCTION("""COMPUTED_VALUE"""),"The Magnificent Seven")</f>
        <v>The Magnificent Seven</v>
      </c>
      <c r="U2192" s="5" t="str">
        <f>IFERROR(__xludf.DUMMYFUNCTION("""COMPUTED_VALUE"""),"Action")</f>
        <v>Action</v>
      </c>
      <c r="V2192" s="5">
        <f>IFERROR(__xludf.DUMMYFUNCTION("""COMPUTED_VALUE"""),1.0)</f>
        <v>1</v>
      </c>
    </row>
    <row r="2193">
      <c r="J2193" s="5" t="str">
        <f>IFERROR(__xludf.DUMMYFUNCTION("""COMPUTED_VALUE"""),"731🤙🏼Kingsman: The Secret Service🤙🏼Adventure🤙🏼2")</f>
        <v>731🤙🏼Kingsman: The Secret Service🤙🏼Adventure🤙🏼2</v>
      </c>
      <c r="K2193" s="5">
        <f>IFERROR(__xludf.DUMMYFUNCTION("SPLiT(J2193, ""🤙🏼"",FALSE,FALSE)"),731.0)</f>
        <v>731</v>
      </c>
      <c r="L2193" s="5" t="str">
        <f>IFERROR(__xludf.DUMMYFUNCTION("""COMPUTED_VALUE"""),"Kingsman: The Secret Service")</f>
        <v>Kingsman: The Secret Service</v>
      </c>
      <c r="M2193" s="5" t="str">
        <f>IFERROR(__xludf.DUMMYFUNCTION("""COMPUTED_VALUE"""),"Adventure")</f>
        <v>Adventure</v>
      </c>
      <c r="N2193" s="5">
        <f>IFERROR(__xludf.DUMMYFUNCTION("""COMPUTED_VALUE"""),2.0)</f>
        <v>2</v>
      </c>
      <c r="S2193" s="5">
        <f>IFERROR(__xludf.DUMMYFUNCTION("""COMPUTED_VALUE"""),866.0)</f>
        <v>866</v>
      </c>
      <c r="T2193" s="5" t="str">
        <f>IFERROR(__xludf.DUMMYFUNCTION("""COMPUTED_VALUE"""),"The Magnificent Seven")</f>
        <v>The Magnificent Seven</v>
      </c>
      <c r="U2193" s="5" t="str">
        <f>IFERROR(__xludf.DUMMYFUNCTION("""COMPUTED_VALUE"""),"Adventure")</f>
        <v>Adventure</v>
      </c>
      <c r="V2193" s="5">
        <f>IFERROR(__xludf.DUMMYFUNCTION("""COMPUTED_VALUE"""),2.0)</f>
        <v>2</v>
      </c>
    </row>
    <row r="2194">
      <c r="J2194" s="5" t="str">
        <f>IFERROR(__xludf.DUMMYFUNCTION("""COMPUTED_VALUE"""),"731🤙🏼Kingsman: The Secret Service🤙🏼Comedy🤙🏼3")</f>
        <v>731🤙🏼Kingsman: The Secret Service🤙🏼Comedy🤙🏼3</v>
      </c>
      <c r="K2194" s="5">
        <f>IFERROR(__xludf.DUMMYFUNCTION("SPLiT(J2194, ""🤙🏼"",FALSE,FALSE)"),731.0)</f>
        <v>731</v>
      </c>
      <c r="L2194" s="5" t="str">
        <f>IFERROR(__xludf.DUMMYFUNCTION("""COMPUTED_VALUE"""),"Kingsman: The Secret Service")</f>
        <v>Kingsman: The Secret Service</v>
      </c>
      <c r="M2194" s="5" t="str">
        <f>IFERROR(__xludf.DUMMYFUNCTION("""COMPUTED_VALUE"""),"Comedy")</f>
        <v>Comedy</v>
      </c>
      <c r="N2194" s="5">
        <f>IFERROR(__xludf.DUMMYFUNCTION("""COMPUTED_VALUE"""),3.0)</f>
        <v>3</v>
      </c>
      <c r="S2194" s="5">
        <f>IFERROR(__xludf.DUMMYFUNCTION("""COMPUTED_VALUE"""),866.0)</f>
        <v>866</v>
      </c>
      <c r="T2194" s="5" t="str">
        <f>IFERROR(__xludf.DUMMYFUNCTION("""COMPUTED_VALUE"""),"The Magnificent Seven")</f>
        <v>The Magnificent Seven</v>
      </c>
      <c r="U2194" s="5" t="str">
        <f>IFERROR(__xludf.DUMMYFUNCTION("""COMPUTED_VALUE"""),"Western")</f>
        <v>Western</v>
      </c>
      <c r="V2194" s="5">
        <f>IFERROR(__xludf.DUMMYFUNCTION("""COMPUTED_VALUE"""),3.0)</f>
        <v>3</v>
      </c>
    </row>
    <row r="2195">
      <c r="J2195" s="5" t="str">
        <f>IFERROR(__xludf.DUMMYFUNCTION("""COMPUTED_VALUE"""),"732🤙🏼The Fault in Our Stars🤙🏼Drama🤙🏼1")</f>
        <v>732🤙🏼The Fault in Our Stars🤙🏼Drama🤙🏼1</v>
      </c>
      <c r="K2195" s="5">
        <f>IFERROR(__xludf.DUMMYFUNCTION("SPLiT(J2195, ""🤙🏼"",FALSE,FALSE)"),732.0)</f>
        <v>732</v>
      </c>
      <c r="L2195" s="5" t="str">
        <f>IFERROR(__xludf.DUMMYFUNCTION("""COMPUTED_VALUE"""),"The Fault in Our Stars")</f>
        <v>The Fault in Our Stars</v>
      </c>
      <c r="M2195" s="5" t="str">
        <f>IFERROR(__xludf.DUMMYFUNCTION("""COMPUTED_VALUE"""),"Drama")</f>
        <v>Drama</v>
      </c>
      <c r="N2195" s="5">
        <f>IFERROR(__xludf.DUMMYFUNCTION("""COMPUTED_VALUE"""),1.0)</f>
        <v>1</v>
      </c>
      <c r="S2195" s="5">
        <f>IFERROR(__xludf.DUMMYFUNCTION("""COMPUTED_VALUE"""),867.0)</f>
        <v>867</v>
      </c>
      <c r="T2195" s="5" t="str">
        <f>IFERROR(__xludf.DUMMYFUNCTION("""COMPUTED_VALUE"""),"Les yeux sans visage")</f>
        <v>Les yeux sans visage</v>
      </c>
      <c r="U2195" s="5" t="str">
        <f>IFERROR(__xludf.DUMMYFUNCTION("""COMPUTED_VALUE"""),"Drama")</f>
        <v>Drama</v>
      </c>
      <c r="V2195" s="5">
        <f>IFERROR(__xludf.DUMMYFUNCTION("""COMPUTED_VALUE"""),1.0)</f>
        <v>1</v>
      </c>
    </row>
    <row r="2196">
      <c r="J2196" s="5" t="str">
        <f>IFERROR(__xludf.DUMMYFUNCTION("""COMPUTED_VALUE"""),"732🤙🏼The Fault in Our Stars🤙🏼Romance🤙🏼2")</f>
        <v>732🤙🏼The Fault in Our Stars🤙🏼Romance🤙🏼2</v>
      </c>
      <c r="K2196" s="5">
        <f>IFERROR(__xludf.DUMMYFUNCTION("SPLiT(J2196, ""🤙🏼"",FALSE,FALSE)"),732.0)</f>
        <v>732</v>
      </c>
      <c r="L2196" s="5" t="str">
        <f>IFERROR(__xludf.DUMMYFUNCTION("""COMPUTED_VALUE"""),"The Fault in Our Stars")</f>
        <v>The Fault in Our Stars</v>
      </c>
      <c r="M2196" s="5" t="str">
        <f>IFERROR(__xludf.DUMMYFUNCTION("""COMPUTED_VALUE"""),"Romance")</f>
        <v>Romance</v>
      </c>
      <c r="N2196" s="5">
        <f>IFERROR(__xludf.DUMMYFUNCTION("""COMPUTED_VALUE"""),2.0)</f>
        <v>2</v>
      </c>
      <c r="S2196" s="5">
        <f>IFERROR(__xludf.DUMMYFUNCTION("""COMPUTED_VALUE"""),867.0)</f>
        <v>867</v>
      </c>
      <c r="T2196" s="5" t="str">
        <f>IFERROR(__xludf.DUMMYFUNCTION("""COMPUTED_VALUE"""),"Les yeux sans visage")</f>
        <v>Les yeux sans visage</v>
      </c>
      <c r="U2196" s="5" t="str">
        <f>IFERROR(__xludf.DUMMYFUNCTION("""COMPUTED_VALUE"""),"Horror")</f>
        <v>Horror</v>
      </c>
      <c r="V2196" s="5">
        <f>IFERROR(__xludf.DUMMYFUNCTION("""COMPUTED_VALUE"""),2.0)</f>
        <v>2</v>
      </c>
    </row>
    <row r="2197">
      <c r="J2197" s="5" t="str">
        <f>IFERROR(__xludf.DUMMYFUNCTION("""COMPUTED_VALUE"""),"732🤙🏼The Fault in Our Stars🤙🏼🤙🏼3")</f>
        <v>732🤙🏼The Fault in Our Stars🤙🏼🤙🏼3</v>
      </c>
      <c r="K2197" s="5">
        <f>IFERROR(__xludf.DUMMYFUNCTION("SPLiT(J2197, ""🤙🏼"",FALSE,FALSE)"),732.0)</f>
        <v>732</v>
      </c>
      <c r="L2197" s="5" t="str">
        <f>IFERROR(__xludf.DUMMYFUNCTION("""COMPUTED_VALUE"""),"The Fault in Our Stars")</f>
        <v>The Fault in Our Stars</v>
      </c>
      <c r="M2197" s="5"/>
      <c r="N2197" s="5">
        <f>IFERROR(__xludf.DUMMYFUNCTION("""COMPUTED_VALUE"""),3.0)</f>
        <v>3</v>
      </c>
      <c r="S2197" s="5">
        <f>IFERROR(__xludf.DUMMYFUNCTION("""COMPUTED_VALUE"""),868.0)</f>
        <v>868</v>
      </c>
      <c r="T2197" s="5" t="str">
        <f>IFERROR(__xludf.DUMMYFUNCTION("""COMPUTED_VALUE"""),"Invasion of the Body Snatchers")</f>
        <v>Invasion of the Body Snatchers</v>
      </c>
      <c r="U2197" s="5" t="str">
        <f>IFERROR(__xludf.DUMMYFUNCTION("""COMPUTED_VALUE"""),"Drama")</f>
        <v>Drama</v>
      </c>
      <c r="V2197" s="5">
        <f>IFERROR(__xludf.DUMMYFUNCTION("""COMPUTED_VALUE"""),1.0)</f>
        <v>1</v>
      </c>
    </row>
    <row r="2198">
      <c r="J2198" s="5" t="str">
        <f>IFERROR(__xludf.DUMMYFUNCTION("""COMPUTED_VALUE"""),"733🤙🏼Me and Earl and the Dying Girl🤙🏼Comedy🤙🏼1")</f>
        <v>733🤙🏼Me and Earl and the Dying Girl🤙🏼Comedy🤙🏼1</v>
      </c>
      <c r="K2198" s="5">
        <f>IFERROR(__xludf.DUMMYFUNCTION("SPLiT(J2198, ""🤙🏼"",FALSE,FALSE)"),733.0)</f>
        <v>733</v>
      </c>
      <c r="L2198" s="5" t="str">
        <f>IFERROR(__xludf.DUMMYFUNCTION("""COMPUTED_VALUE"""),"Me and Earl and the Dying Girl")</f>
        <v>Me and Earl and the Dying Girl</v>
      </c>
      <c r="M2198" s="5" t="str">
        <f>IFERROR(__xludf.DUMMYFUNCTION("""COMPUTED_VALUE"""),"Comedy")</f>
        <v>Comedy</v>
      </c>
      <c r="N2198" s="5">
        <f>IFERROR(__xludf.DUMMYFUNCTION("""COMPUTED_VALUE"""),1.0)</f>
        <v>1</v>
      </c>
      <c r="S2198" s="5">
        <f>IFERROR(__xludf.DUMMYFUNCTION("""COMPUTED_VALUE"""),868.0)</f>
        <v>868</v>
      </c>
      <c r="T2198" s="5" t="str">
        <f>IFERROR(__xludf.DUMMYFUNCTION("""COMPUTED_VALUE"""),"Invasion of the Body Snatchers")</f>
        <v>Invasion of the Body Snatchers</v>
      </c>
      <c r="U2198" s="5" t="str">
        <f>IFERROR(__xludf.DUMMYFUNCTION("""COMPUTED_VALUE"""),"Horror")</f>
        <v>Horror</v>
      </c>
      <c r="V2198" s="5">
        <f>IFERROR(__xludf.DUMMYFUNCTION("""COMPUTED_VALUE"""),2.0)</f>
        <v>2</v>
      </c>
    </row>
    <row r="2199">
      <c r="J2199" s="5" t="str">
        <f>IFERROR(__xludf.DUMMYFUNCTION("""COMPUTED_VALUE"""),"733🤙🏼Me and Earl and the Dying Girl🤙🏼Drama🤙🏼2")</f>
        <v>733🤙🏼Me and Earl and the Dying Girl🤙🏼Drama🤙🏼2</v>
      </c>
      <c r="K2199" s="5">
        <f>IFERROR(__xludf.DUMMYFUNCTION("SPLiT(J2199, ""🤙🏼"",FALSE,FALSE)"),733.0)</f>
        <v>733</v>
      </c>
      <c r="L2199" s="5" t="str">
        <f>IFERROR(__xludf.DUMMYFUNCTION("""COMPUTED_VALUE"""),"Me and Earl and the Dying Girl")</f>
        <v>Me and Earl and the Dying Girl</v>
      </c>
      <c r="M2199" s="5" t="str">
        <f>IFERROR(__xludf.DUMMYFUNCTION("""COMPUTED_VALUE"""),"Drama")</f>
        <v>Drama</v>
      </c>
      <c r="N2199" s="5">
        <f>IFERROR(__xludf.DUMMYFUNCTION("""COMPUTED_VALUE"""),2.0)</f>
        <v>2</v>
      </c>
      <c r="S2199" s="5">
        <f>IFERROR(__xludf.DUMMYFUNCTION("""COMPUTED_VALUE"""),868.0)</f>
        <v>868</v>
      </c>
      <c r="T2199" s="5" t="str">
        <f>IFERROR(__xludf.DUMMYFUNCTION("""COMPUTED_VALUE"""),"Invasion of the Body Snatchers")</f>
        <v>Invasion of the Body Snatchers</v>
      </c>
      <c r="U2199" s="5" t="str">
        <f>IFERROR(__xludf.DUMMYFUNCTION("""COMPUTED_VALUE"""),"Sci-Fi")</f>
        <v>Sci-Fi</v>
      </c>
      <c r="V2199" s="5">
        <f>IFERROR(__xludf.DUMMYFUNCTION("""COMPUTED_VALUE"""),3.0)</f>
        <v>3</v>
      </c>
    </row>
    <row r="2200">
      <c r="J2200" s="5" t="str">
        <f>IFERROR(__xludf.DUMMYFUNCTION("""COMPUTED_VALUE"""),"733🤙🏼Me and Earl and the Dying Girl🤙🏼🤙🏼3")</f>
        <v>733🤙🏼Me and Earl and the Dying Girl🤙🏼🤙🏼3</v>
      </c>
      <c r="K2200" s="5">
        <f>IFERROR(__xludf.DUMMYFUNCTION("SPLiT(J2200, ""🤙🏼"",FALSE,FALSE)"),733.0)</f>
        <v>733</v>
      </c>
      <c r="L2200" s="5" t="str">
        <f>IFERROR(__xludf.DUMMYFUNCTION("""COMPUTED_VALUE"""),"Me and Earl and the Dying Girl")</f>
        <v>Me and Earl and the Dying Girl</v>
      </c>
      <c r="M2200" s="5"/>
      <c r="N2200" s="5">
        <f>IFERROR(__xludf.DUMMYFUNCTION("""COMPUTED_VALUE"""),3.0)</f>
        <v>3</v>
      </c>
      <c r="S2200" s="5">
        <f>IFERROR(__xludf.DUMMYFUNCTION("""COMPUTED_VALUE"""),869.0)</f>
        <v>869</v>
      </c>
      <c r="T2200" s="5" t="str">
        <f>IFERROR(__xludf.DUMMYFUNCTION("""COMPUTED_VALUE"""),"Rebel Without a Cause")</f>
        <v>Rebel Without a Cause</v>
      </c>
      <c r="U2200" s="5" t="str">
        <f>IFERROR(__xludf.DUMMYFUNCTION("""COMPUTED_VALUE"""),"Drama")</f>
        <v>Drama</v>
      </c>
      <c r="V2200" s="5">
        <f>IFERROR(__xludf.DUMMYFUNCTION("""COMPUTED_VALUE"""),1.0)</f>
        <v>1</v>
      </c>
    </row>
    <row r="2201">
      <c r="J2201" s="5" t="str">
        <f>IFERROR(__xludf.DUMMYFUNCTION("""COMPUTED_VALUE"""),"734🤙🏼Birdman or (The Unexpected Virtue of Ignorance)🤙🏼Comedy🤙🏼1")</f>
        <v>734🤙🏼Birdman or (The Unexpected Virtue of Ignorance)🤙🏼Comedy🤙🏼1</v>
      </c>
      <c r="K2201" s="5">
        <f>IFERROR(__xludf.DUMMYFUNCTION("SPLiT(J2201, ""🤙🏼"",FALSE,FALSE)"),734.0)</f>
        <v>734</v>
      </c>
      <c r="L2201" s="5" t="str">
        <f>IFERROR(__xludf.DUMMYFUNCTION("""COMPUTED_VALUE"""),"Birdman or (The Unexpected Virtue of Ignorance)")</f>
        <v>Birdman or (The Unexpected Virtue of Ignorance)</v>
      </c>
      <c r="M2201" s="5" t="str">
        <f>IFERROR(__xludf.DUMMYFUNCTION("""COMPUTED_VALUE"""),"Comedy")</f>
        <v>Comedy</v>
      </c>
      <c r="N2201" s="5">
        <f>IFERROR(__xludf.DUMMYFUNCTION("""COMPUTED_VALUE"""),1.0)</f>
        <v>1</v>
      </c>
      <c r="S2201" s="5">
        <f>IFERROR(__xludf.DUMMYFUNCTION("""COMPUTED_VALUE"""),870.0)</f>
        <v>870</v>
      </c>
      <c r="T2201" s="5" t="str">
        <f>IFERROR(__xludf.DUMMYFUNCTION("""COMPUTED_VALUE"""),"The Ladykillers")</f>
        <v>The Ladykillers</v>
      </c>
      <c r="U2201" s="5" t="str">
        <f>IFERROR(__xludf.DUMMYFUNCTION("""COMPUTED_VALUE"""),"Comedy")</f>
        <v>Comedy</v>
      </c>
      <c r="V2201" s="5">
        <f>IFERROR(__xludf.DUMMYFUNCTION("""COMPUTED_VALUE"""),1.0)</f>
        <v>1</v>
      </c>
    </row>
    <row r="2202">
      <c r="J2202" s="5" t="str">
        <f>IFERROR(__xludf.DUMMYFUNCTION("""COMPUTED_VALUE"""),"734🤙🏼Birdman or (The Unexpected Virtue of Ignorance)🤙🏼Drama🤙🏼2")</f>
        <v>734🤙🏼Birdman or (The Unexpected Virtue of Ignorance)🤙🏼Drama🤙🏼2</v>
      </c>
      <c r="K2202" s="5">
        <f>IFERROR(__xludf.DUMMYFUNCTION("SPLiT(J2202, ""🤙🏼"",FALSE,FALSE)"),734.0)</f>
        <v>734</v>
      </c>
      <c r="L2202" s="5" t="str">
        <f>IFERROR(__xludf.DUMMYFUNCTION("""COMPUTED_VALUE"""),"Birdman or (The Unexpected Virtue of Ignorance)")</f>
        <v>Birdman or (The Unexpected Virtue of Ignorance)</v>
      </c>
      <c r="M2202" s="5" t="str">
        <f>IFERROR(__xludf.DUMMYFUNCTION("""COMPUTED_VALUE"""),"Drama")</f>
        <v>Drama</v>
      </c>
      <c r="N2202" s="5">
        <f>IFERROR(__xludf.DUMMYFUNCTION("""COMPUTED_VALUE"""),2.0)</f>
        <v>2</v>
      </c>
      <c r="S2202" s="5">
        <f>IFERROR(__xludf.DUMMYFUNCTION("""COMPUTED_VALUE"""),870.0)</f>
        <v>870</v>
      </c>
      <c r="T2202" s="5" t="str">
        <f>IFERROR(__xludf.DUMMYFUNCTION("""COMPUTED_VALUE"""),"The Ladykillers")</f>
        <v>The Ladykillers</v>
      </c>
      <c r="U2202" s="5" t="str">
        <f>IFERROR(__xludf.DUMMYFUNCTION("""COMPUTED_VALUE"""),"Crime")</f>
        <v>Crime</v>
      </c>
      <c r="V2202" s="5">
        <f>IFERROR(__xludf.DUMMYFUNCTION("""COMPUTED_VALUE"""),2.0)</f>
        <v>2</v>
      </c>
    </row>
    <row r="2203">
      <c r="J2203" s="5" t="str">
        <f>IFERROR(__xludf.DUMMYFUNCTION("""COMPUTED_VALUE"""),"734🤙🏼Birdman or (The Unexpected Virtue of Ignorance)🤙🏼🤙🏼3")</f>
        <v>734🤙🏼Birdman or (The Unexpected Virtue of Ignorance)🤙🏼🤙🏼3</v>
      </c>
      <c r="K2203" s="5">
        <f>IFERROR(__xludf.DUMMYFUNCTION("SPLiT(J2203, ""🤙🏼"",FALSE,FALSE)"),734.0)</f>
        <v>734</v>
      </c>
      <c r="L2203" s="5" t="str">
        <f>IFERROR(__xludf.DUMMYFUNCTION("""COMPUTED_VALUE"""),"Birdman or (The Unexpected Virtue of Ignorance)")</f>
        <v>Birdman or (The Unexpected Virtue of Ignorance)</v>
      </c>
      <c r="M2203" s="5"/>
      <c r="N2203" s="5">
        <f>IFERROR(__xludf.DUMMYFUNCTION("""COMPUTED_VALUE"""),3.0)</f>
        <v>3</v>
      </c>
      <c r="S2203" s="5">
        <f>IFERROR(__xludf.DUMMYFUNCTION("""COMPUTED_VALUE"""),871.0)</f>
        <v>871</v>
      </c>
      <c r="T2203" s="5" t="str">
        <f>IFERROR(__xludf.DUMMYFUNCTION("""COMPUTED_VALUE"""),"Sabrina")</f>
        <v>Sabrina</v>
      </c>
      <c r="U2203" s="5" t="str">
        <f>IFERROR(__xludf.DUMMYFUNCTION("""COMPUTED_VALUE"""),"Comedy")</f>
        <v>Comedy</v>
      </c>
      <c r="V2203" s="5">
        <f>IFERROR(__xludf.DUMMYFUNCTION("""COMPUTED_VALUE"""),1.0)</f>
        <v>1</v>
      </c>
    </row>
    <row r="2204">
      <c r="J2204" s="5" t="str">
        <f>IFERROR(__xludf.DUMMYFUNCTION("""COMPUTED_VALUE"""),"735🤙🏼La vie d'Adèle🤙🏼Drama🤙🏼1")</f>
        <v>735🤙🏼La vie d'Adèle🤙🏼Drama🤙🏼1</v>
      </c>
      <c r="K2204" s="5">
        <f>IFERROR(__xludf.DUMMYFUNCTION("SPLiT(J2204, ""🤙🏼"",FALSE,FALSE)"),735.0)</f>
        <v>735</v>
      </c>
      <c r="L2204" s="5" t="str">
        <f>IFERROR(__xludf.DUMMYFUNCTION("""COMPUTED_VALUE"""),"La vie d'Adèle")</f>
        <v>La vie d'Adèle</v>
      </c>
      <c r="M2204" s="5" t="str">
        <f>IFERROR(__xludf.DUMMYFUNCTION("""COMPUTED_VALUE"""),"Drama")</f>
        <v>Drama</v>
      </c>
      <c r="N2204" s="5">
        <f>IFERROR(__xludf.DUMMYFUNCTION("""COMPUTED_VALUE"""),1.0)</f>
        <v>1</v>
      </c>
      <c r="S2204" s="5">
        <f>IFERROR(__xludf.DUMMYFUNCTION("""COMPUTED_VALUE"""),871.0)</f>
        <v>871</v>
      </c>
      <c r="T2204" s="5" t="str">
        <f>IFERROR(__xludf.DUMMYFUNCTION("""COMPUTED_VALUE"""),"Sabrina")</f>
        <v>Sabrina</v>
      </c>
      <c r="U2204" s="5" t="str">
        <f>IFERROR(__xludf.DUMMYFUNCTION("""COMPUTED_VALUE"""),"Drama")</f>
        <v>Drama</v>
      </c>
      <c r="V2204" s="5">
        <f>IFERROR(__xludf.DUMMYFUNCTION("""COMPUTED_VALUE"""),2.0)</f>
        <v>2</v>
      </c>
    </row>
    <row r="2205">
      <c r="J2205" s="5" t="str">
        <f>IFERROR(__xludf.DUMMYFUNCTION("""COMPUTED_VALUE"""),"735🤙🏼La vie d'Adèle🤙🏼Romance🤙🏼2")</f>
        <v>735🤙🏼La vie d'Adèle🤙🏼Romance🤙🏼2</v>
      </c>
      <c r="K2205" s="5">
        <f>IFERROR(__xludf.DUMMYFUNCTION("SPLiT(J2205, ""🤙🏼"",FALSE,FALSE)"),735.0)</f>
        <v>735</v>
      </c>
      <c r="L2205" s="5" t="str">
        <f>IFERROR(__xludf.DUMMYFUNCTION("""COMPUTED_VALUE"""),"La vie d'Adèle")</f>
        <v>La vie d'Adèle</v>
      </c>
      <c r="M2205" s="5" t="str">
        <f>IFERROR(__xludf.DUMMYFUNCTION("""COMPUTED_VALUE"""),"Romance")</f>
        <v>Romance</v>
      </c>
      <c r="N2205" s="5">
        <f>IFERROR(__xludf.DUMMYFUNCTION("""COMPUTED_VALUE"""),2.0)</f>
        <v>2</v>
      </c>
      <c r="S2205" s="5">
        <f>IFERROR(__xludf.DUMMYFUNCTION("""COMPUTED_VALUE"""),871.0)</f>
        <v>871</v>
      </c>
      <c r="T2205" s="5" t="str">
        <f>IFERROR(__xludf.DUMMYFUNCTION("""COMPUTED_VALUE"""),"Sabrina")</f>
        <v>Sabrina</v>
      </c>
      <c r="U2205" s="5" t="str">
        <f>IFERROR(__xludf.DUMMYFUNCTION("""COMPUTED_VALUE"""),"Romance")</f>
        <v>Romance</v>
      </c>
      <c r="V2205" s="5">
        <f>IFERROR(__xludf.DUMMYFUNCTION("""COMPUTED_VALUE"""),3.0)</f>
        <v>3</v>
      </c>
    </row>
    <row r="2206">
      <c r="J2206" s="5" t="str">
        <f>IFERROR(__xludf.DUMMYFUNCTION("""COMPUTED_VALUE"""),"735🤙🏼La vie d'Adèle🤙🏼🤙🏼3")</f>
        <v>735🤙🏼La vie d'Adèle🤙🏼🤙🏼3</v>
      </c>
      <c r="K2206" s="5">
        <f>IFERROR(__xludf.DUMMYFUNCTION("SPLiT(J2206, ""🤙🏼"",FALSE,FALSE)"),735.0)</f>
        <v>735</v>
      </c>
      <c r="L2206" s="5" t="str">
        <f>IFERROR(__xludf.DUMMYFUNCTION("""COMPUTED_VALUE"""),"La vie d'Adèle")</f>
        <v>La vie d'Adèle</v>
      </c>
      <c r="M2206" s="5"/>
      <c r="N2206" s="5">
        <f>IFERROR(__xludf.DUMMYFUNCTION("""COMPUTED_VALUE"""),3.0)</f>
        <v>3</v>
      </c>
      <c r="S2206" s="5">
        <f>IFERROR(__xludf.DUMMYFUNCTION("""COMPUTED_VALUE"""),872.0)</f>
        <v>872</v>
      </c>
      <c r="T2206" s="5" t="str">
        <f>IFERROR(__xludf.DUMMYFUNCTION("""COMPUTED_VALUE"""),"The Quiet Man")</f>
        <v>The Quiet Man</v>
      </c>
      <c r="U2206" s="5" t="str">
        <f>IFERROR(__xludf.DUMMYFUNCTION("""COMPUTED_VALUE"""),"Comedy")</f>
        <v>Comedy</v>
      </c>
      <c r="V2206" s="5">
        <f>IFERROR(__xludf.DUMMYFUNCTION("""COMPUTED_VALUE"""),1.0)</f>
        <v>1</v>
      </c>
    </row>
    <row r="2207">
      <c r="J2207" s="5" t="str">
        <f>IFERROR(__xludf.DUMMYFUNCTION("""COMPUTED_VALUE"""),"736🤙🏼Kai po che!🤙🏼Drama🤙🏼1")</f>
        <v>736🤙🏼Kai po che!🤙🏼Drama🤙🏼1</v>
      </c>
      <c r="K2207" s="5">
        <f>IFERROR(__xludf.DUMMYFUNCTION("SPLiT(J2207, ""🤙🏼"",FALSE,FALSE)"),736.0)</f>
        <v>736</v>
      </c>
      <c r="L2207" s="5" t="str">
        <f>IFERROR(__xludf.DUMMYFUNCTION("""COMPUTED_VALUE"""),"Kai po che!")</f>
        <v>Kai po che!</v>
      </c>
      <c r="M2207" s="5" t="str">
        <f>IFERROR(__xludf.DUMMYFUNCTION("""COMPUTED_VALUE"""),"Drama")</f>
        <v>Drama</v>
      </c>
      <c r="N2207" s="5">
        <f>IFERROR(__xludf.DUMMYFUNCTION("""COMPUTED_VALUE"""),1.0)</f>
        <v>1</v>
      </c>
      <c r="S2207" s="5">
        <f>IFERROR(__xludf.DUMMYFUNCTION("""COMPUTED_VALUE"""),872.0)</f>
        <v>872</v>
      </c>
      <c r="T2207" s="5" t="str">
        <f>IFERROR(__xludf.DUMMYFUNCTION("""COMPUTED_VALUE"""),"The Quiet Man")</f>
        <v>The Quiet Man</v>
      </c>
      <c r="U2207" s="5" t="str">
        <f>IFERROR(__xludf.DUMMYFUNCTION("""COMPUTED_VALUE"""),"Drama")</f>
        <v>Drama</v>
      </c>
      <c r="V2207" s="5">
        <f>IFERROR(__xludf.DUMMYFUNCTION("""COMPUTED_VALUE"""),2.0)</f>
        <v>2</v>
      </c>
    </row>
    <row r="2208">
      <c r="J2208" s="5" t="str">
        <f>IFERROR(__xludf.DUMMYFUNCTION("""COMPUTED_VALUE"""),"736🤙🏼Kai po che!🤙🏼Sport🤙🏼2")</f>
        <v>736🤙🏼Kai po che!🤙🏼Sport🤙🏼2</v>
      </c>
      <c r="K2208" s="5">
        <f>IFERROR(__xludf.DUMMYFUNCTION("SPLiT(J2208, ""🤙🏼"",FALSE,FALSE)"),736.0)</f>
        <v>736</v>
      </c>
      <c r="L2208" s="5" t="str">
        <f>IFERROR(__xludf.DUMMYFUNCTION("""COMPUTED_VALUE"""),"Kai po che!")</f>
        <v>Kai po che!</v>
      </c>
      <c r="M2208" s="5" t="str">
        <f>IFERROR(__xludf.DUMMYFUNCTION("""COMPUTED_VALUE"""),"Sport")</f>
        <v>Sport</v>
      </c>
      <c r="N2208" s="5">
        <f>IFERROR(__xludf.DUMMYFUNCTION("""COMPUTED_VALUE"""),2.0)</f>
        <v>2</v>
      </c>
      <c r="S2208" s="5">
        <f>IFERROR(__xludf.DUMMYFUNCTION("""COMPUTED_VALUE"""),872.0)</f>
        <v>872</v>
      </c>
      <c r="T2208" s="5" t="str">
        <f>IFERROR(__xludf.DUMMYFUNCTION("""COMPUTED_VALUE"""),"The Quiet Man")</f>
        <v>The Quiet Man</v>
      </c>
      <c r="U2208" s="5" t="str">
        <f>IFERROR(__xludf.DUMMYFUNCTION("""COMPUTED_VALUE"""),"Romance")</f>
        <v>Romance</v>
      </c>
      <c r="V2208" s="5">
        <f>IFERROR(__xludf.DUMMYFUNCTION("""COMPUTED_VALUE"""),3.0)</f>
        <v>3</v>
      </c>
    </row>
    <row r="2209">
      <c r="J2209" s="5" t="str">
        <f>IFERROR(__xludf.DUMMYFUNCTION("""COMPUTED_VALUE"""),"736🤙🏼Kai po che!🤙🏼🤙🏼3")</f>
        <v>736🤙🏼Kai po che!🤙🏼🤙🏼3</v>
      </c>
      <c r="K2209" s="5">
        <f>IFERROR(__xludf.DUMMYFUNCTION("SPLiT(J2209, ""🤙🏼"",FALSE,FALSE)"),736.0)</f>
        <v>736</v>
      </c>
      <c r="L2209" s="5" t="str">
        <f>IFERROR(__xludf.DUMMYFUNCTION("""COMPUTED_VALUE"""),"Kai po che!")</f>
        <v>Kai po che!</v>
      </c>
      <c r="M2209" s="5"/>
      <c r="N2209" s="5">
        <f>IFERROR(__xludf.DUMMYFUNCTION("""COMPUTED_VALUE"""),3.0)</f>
        <v>3</v>
      </c>
      <c r="S2209" s="5">
        <f>IFERROR(__xludf.DUMMYFUNCTION("""COMPUTED_VALUE"""),873.0)</f>
        <v>873</v>
      </c>
      <c r="T2209" s="5" t="str">
        <f>IFERROR(__xludf.DUMMYFUNCTION("""COMPUTED_VALUE"""),"The Day the Earth Stood Still")</f>
        <v>The Day the Earth Stood Still</v>
      </c>
      <c r="U2209" s="5" t="str">
        <f>IFERROR(__xludf.DUMMYFUNCTION("""COMPUTED_VALUE"""),"Drama")</f>
        <v>Drama</v>
      </c>
      <c r="V2209" s="5">
        <f>IFERROR(__xludf.DUMMYFUNCTION("""COMPUTED_VALUE"""),1.0)</f>
        <v>1</v>
      </c>
    </row>
    <row r="2210">
      <c r="J2210" s="5" t="str">
        <f>IFERROR(__xludf.DUMMYFUNCTION("""COMPUTED_VALUE"""),"737🤙🏼The Broken Circle Breakdown🤙🏼Drama🤙🏼1")</f>
        <v>737🤙🏼The Broken Circle Breakdown🤙🏼Drama🤙🏼1</v>
      </c>
      <c r="K2210" s="5">
        <f>IFERROR(__xludf.DUMMYFUNCTION("SPLiT(J2210, ""🤙🏼"",FALSE,FALSE)"),737.0)</f>
        <v>737</v>
      </c>
      <c r="L2210" s="5" t="str">
        <f>IFERROR(__xludf.DUMMYFUNCTION("""COMPUTED_VALUE"""),"The Broken Circle Breakdown")</f>
        <v>The Broken Circle Breakdown</v>
      </c>
      <c r="M2210" s="5" t="str">
        <f>IFERROR(__xludf.DUMMYFUNCTION("""COMPUTED_VALUE"""),"Drama")</f>
        <v>Drama</v>
      </c>
      <c r="N2210" s="5">
        <f>IFERROR(__xludf.DUMMYFUNCTION("""COMPUTED_VALUE"""),1.0)</f>
        <v>1</v>
      </c>
      <c r="S2210" s="5">
        <f>IFERROR(__xludf.DUMMYFUNCTION("""COMPUTED_VALUE"""),873.0)</f>
        <v>873</v>
      </c>
      <c r="T2210" s="5" t="str">
        <f>IFERROR(__xludf.DUMMYFUNCTION("""COMPUTED_VALUE"""),"The Day the Earth Stood Still")</f>
        <v>The Day the Earth Stood Still</v>
      </c>
      <c r="U2210" s="5" t="str">
        <f>IFERROR(__xludf.DUMMYFUNCTION("""COMPUTED_VALUE"""),"Sci-Fi")</f>
        <v>Sci-Fi</v>
      </c>
      <c r="V2210" s="5">
        <f>IFERROR(__xludf.DUMMYFUNCTION("""COMPUTED_VALUE"""),2.0)</f>
        <v>2</v>
      </c>
    </row>
    <row r="2211">
      <c r="J2211" s="5" t="str">
        <f>IFERROR(__xludf.DUMMYFUNCTION("""COMPUTED_VALUE"""),"737🤙🏼The Broken Circle Breakdown🤙🏼Music🤙🏼2")</f>
        <v>737🤙🏼The Broken Circle Breakdown🤙🏼Music🤙🏼2</v>
      </c>
      <c r="K2211" s="5">
        <f>IFERROR(__xludf.DUMMYFUNCTION("SPLiT(J2211, ""🤙🏼"",FALSE,FALSE)"),737.0)</f>
        <v>737</v>
      </c>
      <c r="L2211" s="5" t="str">
        <f>IFERROR(__xludf.DUMMYFUNCTION("""COMPUTED_VALUE"""),"The Broken Circle Breakdown")</f>
        <v>The Broken Circle Breakdown</v>
      </c>
      <c r="M2211" s="5" t="str">
        <f>IFERROR(__xludf.DUMMYFUNCTION("""COMPUTED_VALUE"""),"Music")</f>
        <v>Music</v>
      </c>
      <c r="N2211" s="5">
        <f>IFERROR(__xludf.DUMMYFUNCTION("""COMPUTED_VALUE"""),2.0)</f>
        <v>2</v>
      </c>
      <c r="S2211" s="5">
        <f>IFERROR(__xludf.DUMMYFUNCTION("""COMPUTED_VALUE"""),874.0)</f>
        <v>874</v>
      </c>
      <c r="T2211" s="5" t="str">
        <f>IFERROR(__xludf.DUMMYFUNCTION("""COMPUTED_VALUE"""),"The African Queen")</f>
        <v>The African Queen</v>
      </c>
      <c r="U2211" s="5" t="str">
        <f>IFERROR(__xludf.DUMMYFUNCTION("""COMPUTED_VALUE"""),"Adventure")</f>
        <v>Adventure</v>
      </c>
      <c r="V2211" s="5">
        <f>IFERROR(__xludf.DUMMYFUNCTION("""COMPUTED_VALUE"""),1.0)</f>
        <v>1</v>
      </c>
    </row>
    <row r="2212">
      <c r="J2212" s="5" t="str">
        <f>IFERROR(__xludf.DUMMYFUNCTION("""COMPUTED_VALUE"""),"737🤙🏼The Broken Circle Breakdown🤙🏼Romance🤙🏼3")</f>
        <v>737🤙🏼The Broken Circle Breakdown🤙🏼Romance🤙🏼3</v>
      </c>
      <c r="K2212" s="5">
        <f>IFERROR(__xludf.DUMMYFUNCTION("SPLiT(J2212, ""🤙🏼"",FALSE,FALSE)"),737.0)</f>
        <v>737</v>
      </c>
      <c r="L2212" s="5" t="str">
        <f>IFERROR(__xludf.DUMMYFUNCTION("""COMPUTED_VALUE"""),"The Broken Circle Breakdown")</f>
        <v>The Broken Circle Breakdown</v>
      </c>
      <c r="M2212" s="5" t="str">
        <f>IFERROR(__xludf.DUMMYFUNCTION("""COMPUTED_VALUE"""),"Romance")</f>
        <v>Romance</v>
      </c>
      <c r="N2212" s="5">
        <f>IFERROR(__xludf.DUMMYFUNCTION("""COMPUTED_VALUE"""),3.0)</f>
        <v>3</v>
      </c>
      <c r="S2212" s="5">
        <f>IFERROR(__xludf.DUMMYFUNCTION("""COMPUTED_VALUE"""),874.0)</f>
        <v>874</v>
      </c>
      <c r="T2212" s="5" t="str">
        <f>IFERROR(__xludf.DUMMYFUNCTION("""COMPUTED_VALUE"""),"The African Queen")</f>
        <v>The African Queen</v>
      </c>
      <c r="U2212" s="5" t="str">
        <f>IFERROR(__xludf.DUMMYFUNCTION("""COMPUTED_VALUE"""),"Drama")</f>
        <v>Drama</v>
      </c>
      <c r="V2212" s="5">
        <f>IFERROR(__xludf.DUMMYFUNCTION("""COMPUTED_VALUE"""),2.0)</f>
        <v>2</v>
      </c>
    </row>
    <row r="2213">
      <c r="J2213" s="5" t="str">
        <f>IFERROR(__xludf.DUMMYFUNCTION("""COMPUTED_VALUE"""),"738🤙🏼Captain America: The Winter Soldier🤙🏼Action🤙🏼1")</f>
        <v>738🤙🏼Captain America: The Winter Soldier🤙🏼Action🤙🏼1</v>
      </c>
      <c r="K2213" s="5">
        <f>IFERROR(__xludf.DUMMYFUNCTION("SPLiT(J2213, ""🤙🏼"",FALSE,FALSE)"),738.0)</f>
        <v>738</v>
      </c>
      <c r="L2213" s="5" t="str">
        <f>IFERROR(__xludf.DUMMYFUNCTION("""COMPUTED_VALUE"""),"Captain America: The Winter Soldier")</f>
        <v>Captain America: The Winter Soldier</v>
      </c>
      <c r="M2213" s="5" t="str">
        <f>IFERROR(__xludf.DUMMYFUNCTION("""COMPUTED_VALUE"""),"Action")</f>
        <v>Action</v>
      </c>
      <c r="N2213" s="5">
        <f>IFERROR(__xludf.DUMMYFUNCTION("""COMPUTED_VALUE"""),1.0)</f>
        <v>1</v>
      </c>
      <c r="S2213" s="5">
        <f>IFERROR(__xludf.DUMMYFUNCTION("""COMPUTED_VALUE"""),874.0)</f>
        <v>874</v>
      </c>
      <c r="T2213" s="5" t="str">
        <f>IFERROR(__xludf.DUMMYFUNCTION("""COMPUTED_VALUE"""),"The African Queen")</f>
        <v>The African Queen</v>
      </c>
      <c r="U2213" s="5" t="str">
        <f>IFERROR(__xludf.DUMMYFUNCTION("""COMPUTED_VALUE"""),"Romance")</f>
        <v>Romance</v>
      </c>
      <c r="V2213" s="5">
        <f>IFERROR(__xludf.DUMMYFUNCTION("""COMPUTED_VALUE"""),3.0)</f>
        <v>3</v>
      </c>
    </row>
    <row r="2214">
      <c r="J2214" s="5" t="str">
        <f>IFERROR(__xludf.DUMMYFUNCTION("""COMPUTED_VALUE"""),"738🤙🏼Captain America: The Winter Soldier🤙🏼Adventure🤙🏼2")</f>
        <v>738🤙🏼Captain America: The Winter Soldier🤙🏼Adventure🤙🏼2</v>
      </c>
      <c r="K2214" s="5">
        <f>IFERROR(__xludf.DUMMYFUNCTION("SPLiT(J2214, ""🤙🏼"",FALSE,FALSE)"),738.0)</f>
        <v>738</v>
      </c>
      <c r="L2214" s="5" t="str">
        <f>IFERROR(__xludf.DUMMYFUNCTION("""COMPUTED_VALUE"""),"Captain America: The Winter Soldier")</f>
        <v>Captain America: The Winter Soldier</v>
      </c>
      <c r="M2214" s="5" t="str">
        <f>IFERROR(__xludf.DUMMYFUNCTION("""COMPUTED_VALUE"""),"Adventure")</f>
        <v>Adventure</v>
      </c>
      <c r="N2214" s="5">
        <f>IFERROR(__xludf.DUMMYFUNCTION("""COMPUTED_VALUE"""),2.0)</f>
        <v>2</v>
      </c>
      <c r="S2214" s="5">
        <f>IFERROR(__xludf.DUMMYFUNCTION("""COMPUTED_VALUE"""),875.0)</f>
        <v>875</v>
      </c>
      <c r="T2214" s="5" t="str">
        <f>IFERROR(__xludf.DUMMYFUNCTION("""COMPUTED_VALUE"""),"Gilda")</f>
        <v>Gilda</v>
      </c>
      <c r="U2214" s="5" t="str">
        <f>IFERROR(__xludf.DUMMYFUNCTION("""COMPUTED_VALUE"""),"Drama")</f>
        <v>Drama</v>
      </c>
      <c r="V2214" s="5">
        <f>IFERROR(__xludf.DUMMYFUNCTION("""COMPUTED_VALUE"""),1.0)</f>
        <v>1</v>
      </c>
    </row>
    <row r="2215">
      <c r="J2215" s="5" t="str">
        <f>IFERROR(__xludf.DUMMYFUNCTION("""COMPUTED_VALUE"""),"738🤙🏼Captain America: The Winter Soldier🤙🏼Sci-Fi🤙🏼3")</f>
        <v>738🤙🏼Captain America: The Winter Soldier🤙🏼Sci-Fi🤙🏼3</v>
      </c>
      <c r="K2215" s="5">
        <f>IFERROR(__xludf.DUMMYFUNCTION("SPLiT(J2215, ""🤙🏼"",FALSE,FALSE)"),738.0)</f>
        <v>738</v>
      </c>
      <c r="L2215" s="5" t="str">
        <f>IFERROR(__xludf.DUMMYFUNCTION("""COMPUTED_VALUE"""),"Captain America: The Winter Soldier")</f>
        <v>Captain America: The Winter Soldier</v>
      </c>
      <c r="M2215" s="5" t="str">
        <f>IFERROR(__xludf.DUMMYFUNCTION("""COMPUTED_VALUE"""),"Sci-Fi")</f>
        <v>Sci-Fi</v>
      </c>
      <c r="N2215" s="5">
        <f>IFERROR(__xludf.DUMMYFUNCTION("""COMPUTED_VALUE"""),3.0)</f>
        <v>3</v>
      </c>
      <c r="S2215" s="5">
        <f>IFERROR(__xludf.DUMMYFUNCTION("""COMPUTED_VALUE"""),875.0)</f>
        <v>875</v>
      </c>
      <c r="T2215" s="5" t="str">
        <f>IFERROR(__xludf.DUMMYFUNCTION("""COMPUTED_VALUE"""),"Gilda")</f>
        <v>Gilda</v>
      </c>
      <c r="U2215" s="5" t="str">
        <f>IFERROR(__xludf.DUMMYFUNCTION("""COMPUTED_VALUE"""),"Film-Noir")</f>
        <v>Film-Noir</v>
      </c>
      <c r="V2215" s="5">
        <f>IFERROR(__xludf.DUMMYFUNCTION("""COMPUTED_VALUE"""),2.0)</f>
        <v>2</v>
      </c>
    </row>
    <row r="2216">
      <c r="J2216" s="5" t="str">
        <f>IFERROR(__xludf.DUMMYFUNCTION("""COMPUTED_VALUE"""),"739🤙🏼Rockstar🤙🏼Drama🤙🏼1")</f>
        <v>739🤙🏼Rockstar🤙🏼Drama🤙🏼1</v>
      </c>
      <c r="K2216" s="5">
        <f>IFERROR(__xludf.DUMMYFUNCTION("SPLiT(J2216, ""🤙🏼"",FALSE,FALSE)"),739.0)</f>
        <v>739</v>
      </c>
      <c r="L2216" s="5" t="str">
        <f>IFERROR(__xludf.DUMMYFUNCTION("""COMPUTED_VALUE"""),"Rockstar")</f>
        <v>Rockstar</v>
      </c>
      <c r="M2216" s="5" t="str">
        <f>IFERROR(__xludf.DUMMYFUNCTION("""COMPUTED_VALUE"""),"Drama")</f>
        <v>Drama</v>
      </c>
      <c r="N2216" s="5">
        <f>IFERROR(__xludf.DUMMYFUNCTION("""COMPUTED_VALUE"""),1.0)</f>
        <v>1</v>
      </c>
      <c r="S2216" s="5">
        <f>IFERROR(__xludf.DUMMYFUNCTION("""COMPUTED_VALUE"""),875.0)</f>
        <v>875</v>
      </c>
      <c r="T2216" s="5" t="str">
        <f>IFERROR(__xludf.DUMMYFUNCTION("""COMPUTED_VALUE"""),"Gilda")</f>
        <v>Gilda</v>
      </c>
      <c r="U2216" s="5" t="str">
        <f>IFERROR(__xludf.DUMMYFUNCTION("""COMPUTED_VALUE"""),"Romance")</f>
        <v>Romance</v>
      </c>
      <c r="V2216" s="5">
        <f>IFERROR(__xludf.DUMMYFUNCTION("""COMPUTED_VALUE"""),3.0)</f>
        <v>3</v>
      </c>
    </row>
    <row r="2217">
      <c r="J2217" s="5" t="str">
        <f>IFERROR(__xludf.DUMMYFUNCTION("""COMPUTED_VALUE"""),"739🤙🏼Rockstar🤙🏼Music🤙🏼2")</f>
        <v>739🤙🏼Rockstar🤙🏼Music🤙🏼2</v>
      </c>
      <c r="K2217" s="5">
        <f>IFERROR(__xludf.DUMMYFUNCTION("SPLiT(J2217, ""🤙🏼"",FALSE,FALSE)"),739.0)</f>
        <v>739</v>
      </c>
      <c r="L2217" s="5" t="str">
        <f>IFERROR(__xludf.DUMMYFUNCTION("""COMPUTED_VALUE"""),"Rockstar")</f>
        <v>Rockstar</v>
      </c>
      <c r="M2217" s="5" t="str">
        <f>IFERROR(__xludf.DUMMYFUNCTION("""COMPUTED_VALUE"""),"Music")</f>
        <v>Music</v>
      </c>
      <c r="N2217" s="5">
        <f>IFERROR(__xludf.DUMMYFUNCTION("""COMPUTED_VALUE"""),2.0)</f>
        <v>2</v>
      </c>
      <c r="S2217" s="5">
        <f>IFERROR(__xludf.DUMMYFUNCTION("""COMPUTED_VALUE"""),876.0)</f>
        <v>876</v>
      </c>
      <c r="T2217" s="5" t="str">
        <f>IFERROR(__xludf.DUMMYFUNCTION("""COMPUTED_VALUE"""),"Fantasia")</f>
        <v>Fantasia</v>
      </c>
      <c r="U2217" s="5" t="str">
        <f>IFERROR(__xludf.DUMMYFUNCTION("""COMPUTED_VALUE"""),"Animation")</f>
        <v>Animation</v>
      </c>
      <c r="V2217" s="5">
        <f>IFERROR(__xludf.DUMMYFUNCTION("""COMPUTED_VALUE"""),1.0)</f>
        <v>1</v>
      </c>
    </row>
    <row r="2218">
      <c r="J2218" s="5" t="str">
        <f>IFERROR(__xludf.DUMMYFUNCTION("""COMPUTED_VALUE"""),"739🤙🏼Rockstar🤙🏼Musical🤙🏼3")</f>
        <v>739🤙🏼Rockstar🤙🏼Musical🤙🏼3</v>
      </c>
      <c r="K2218" s="5">
        <f>IFERROR(__xludf.DUMMYFUNCTION("SPLiT(J2218, ""🤙🏼"",FALSE,FALSE)"),739.0)</f>
        <v>739</v>
      </c>
      <c r="L2218" s="5" t="str">
        <f>IFERROR(__xludf.DUMMYFUNCTION("""COMPUTED_VALUE"""),"Rockstar")</f>
        <v>Rockstar</v>
      </c>
      <c r="M2218" s="5" t="str">
        <f>IFERROR(__xludf.DUMMYFUNCTION("""COMPUTED_VALUE"""),"Musical")</f>
        <v>Musical</v>
      </c>
      <c r="N2218" s="5">
        <f>IFERROR(__xludf.DUMMYFUNCTION("""COMPUTED_VALUE"""),3.0)</f>
        <v>3</v>
      </c>
      <c r="S2218" s="5">
        <f>IFERROR(__xludf.DUMMYFUNCTION("""COMPUTED_VALUE"""),876.0)</f>
        <v>876</v>
      </c>
      <c r="T2218" s="5" t="str">
        <f>IFERROR(__xludf.DUMMYFUNCTION("""COMPUTED_VALUE"""),"Fantasia")</f>
        <v>Fantasia</v>
      </c>
      <c r="U2218" s="5" t="str">
        <f>IFERROR(__xludf.DUMMYFUNCTION("""COMPUTED_VALUE"""),"Family")</f>
        <v>Family</v>
      </c>
      <c r="V2218" s="5">
        <f>IFERROR(__xludf.DUMMYFUNCTION("""COMPUTED_VALUE"""),2.0)</f>
        <v>2</v>
      </c>
    </row>
    <row r="2219">
      <c r="J2219" s="5" t="str">
        <f>IFERROR(__xludf.DUMMYFUNCTION("""COMPUTED_VALUE"""),"740🤙🏼Nebraska🤙🏼Adventure🤙🏼1")</f>
        <v>740🤙🏼Nebraska🤙🏼Adventure🤙🏼1</v>
      </c>
      <c r="K2219" s="5">
        <f>IFERROR(__xludf.DUMMYFUNCTION("SPLiT(J2219, ""🤙🏼"",FALSE,FALSE)"),740.0)</f>
        <v>740</v>
      </c>
      <c r="L2219" s="5" t="str">
        <f>IFERROR(__xludf.DUMMYFUNCTION("""COMPUTED_VALUE"""),"Nebraska")</f>
        <v>Nebraska</v>
      </c>
      <c r="M2219" s="5" t="str">
        <f>IFERROR(__xludf.DUMMYFUNCTION("""COMPUTED_VALUE"""),"Adventure")</f>
        <v>Adventure</v>
      </c>
      <c r="N2219" s="5">
        <f>IFERROR(__xludf.DUMMYFUNCTION("""COMPUTED_VALUE"""),1.0)</f>
        <v>1</v>
      </c>
      <c r="S2219" s="5">
        <f>IFERROR(__xludf.DUMMYFUNCTION("""COMPUTED_VALUE"""),876.0)</f>
        <v>876</v>
      </c>
      <c r="T2219" s="5" t="str">
        <f>IFERROR(__xludf.DUMMYFUNCTION("""COMPUTED_VALUE"""),"Fantasia")</f>
        <v>Fantasia</v>
      </c>
      <c r="U2219" s="5" t="str">
        <f>IFERROR(__xludf.DUMMYFUNCTION("""COMPUTED_VALUE"""),"Fantasy")</f>
        <v>Fantasy</v>
      </c>
      <c r="V2219" s="5">
        <f>IFERROR(__xludf.DUMMYFUNCTION("""COMPUTED_VALUE"""),3.0)</f>
        <v>3</v>
      </c>
    </row>
    <row r="2220">
      <c r="J2220" s="5" t="str">
        <f>IFERROR(__xludf.DUMMYFUNCTION("""COMPUTED_VALUE"""),"740🤙🏼Nebraska🤙🏼Comedy🤙🏼2")</f>
        <v>740🤙🏼Nebraska🤙🏼Comedy🤙🏼2</v>
      </c>
      <c r="K2220" s="5">
        <f>IFERROR(__xludf.DUMMYFUNCTION("SPLiT(J2220, ""🤙🏼"",FALSE,FALSE)"),740.0)</f>
        <v>740</v>
      </c>
      <c r="L2220" s="5" t="str">
        <f>IFERROR(__xludf.DUMMYFUNCTION("""COMPUTED_VALUE"""),"Nebraska")</f>
        <v>Nebraska</v>
      </c>
      <c r="M2220" s="5" t="str">
        <f>IFERROR(__xludf.DUMMYFUNCTION("""COMPUTED_VALUE"""),"Comedy")</f>
        <v>Comedy</v>
      </c>
      <c r="N2220" s="5">
        <f>IFERROR(__xludf.DUMMYFUNCTION("""COMPUTED_VALUE"""),2.0)</f>
        <v>2</v>
      </c>
      <c r="S2220" s="5">
        <f>IFERROR(__xludf.DUMMYFUNCTION("""COMPUTED_VALUE"""),877.0)</f>
        <v>877</v>
      </c>
      <c r="T2220" s="5" t="str">
        <f>IFERROR(__xludf.DUMMYFUNCTION("""COMPUTED_VALUE"""),"The Invisible Man")</f>
        <v>The Invisible Man</v>
      </c>
      <c r="U2220" s="5" t="str">
        <f>IFERROR(__xludf.DUMMYFUNCTION("""COMPUTED_VALUE"""),"Horror")</f>
        <v>Horror</v>
      </c>
      <c r="V2220" s="5">
        <f>IFERROR(__xludf.DUMMYFUNCTION("""COMPUTED_VALUE"""),1.0)</f>
        <v>1</v>
      </c>
    </row>
    <row r="2221">
      <c r="J2221" s="5" t="str">
        <f>IFERROR(__xludf.DUMMYFUNCTION("""COMPUTED_VALUE"""),"740🤙🏼Nebraska🤙🏼Drama🤙🏼3")</f>
        <v>740🤙🏼Nebraska🤙🏼Drama🤙🏼3</v>
      </c>
      <c r="K2221" s="5">
        <f>IFERROR(__xludf.DUMMYFUNCTION("SPLiT(J2221, ""🤙🏼"",FALSE,FALSE)"),740.0)</f>
        <v>740</v>
      </c>
      <c r="L2221" s="5" t="str">
        <f>IFERROR(__xludf.DUMMYFUNCTION("""COMPUTED_VALUE"""),"Nebraska")</f>
        <v>Nebraska</v>
      </c>
      <c r="M2221" s="5" t="str">
        <f>IFERROR(__xludf.DUMMYFUNCTION("""COMPUTED_VALUE"""),"Drama")</f>
        <v>Drama</v>
      </c>
      <c r="N2221" s="5">
        <f>IFERROR(__xludf.DUMMYFUNCTION("""COMPUTED_VALUE"""),3.0)</f>
        <v>3</v>
      </c>
      <c r="S2221" s="5">
        <f>IFERROR(__xludf.DUMMYFUNCTION("""COMPUTED_VALUE"""),877.0)</f>
        <v>877</v>
      </c>
      <c r="T2221" s="5" t="str">
        <f>IFERROR(__xludf.DUMMYFUNCTION("""COMPUTED_VALUE"""),"The Invisible Man")</f>
        <v>The Invisible Man</v>
      </c>
      <c r="U2221" s="5" t="str">
        <f>IFERROR(__xludf.DUMMYFUNCTION("""COMPUTED_VALUE"""),"Sci-Fi")</f>
        <v>Sci-Fi</v>
      </c>
      <c r="V2221" s="5">
        <f>IFERROR(__xludf.DUMMYFUNCTION("""COMPUTED_VALUE"""),2.0)</f>
        <v>2</v>
      </c>
    </row>
    <row r="2222">
      <c r="J2222" s="5" t="str">
        <f>IFERROR(__xludf.DUMMYFUNCTION("""COMPUTED_VALUE"""),"741🤙🏼Wreck-It Ralph🤙🏼Animation🤙🏼1")</f>
        <v>741🤙🏼Wreck-It Ralph🤙🏼Animation🤙🏼1</v>
      </c>
      <c r="K2222" s="5">
        <f>IFERROR(__xludf.DUMMYFUNCTION("SPLiT(J2222, ""🤙🏼"",FALSE,FALSE)"),741.0)</f>
        <v>741</v>
      </c>
      <c r="L2222" s="5" t="str">
        <f>IFERROR(__xludf.DUMMYFUNCTION("""COMPUTED_VALUE"""),"Wreck-It Ralph")</f>
        <v>Wreck-It Ralph</v>
      </c>
      <c r="M2222" s="5" t="str">
        <f>IFERROR(__xludf.DUMMYFUNCTION("""COMPUTED_VALUE"""),"Animation")</f>
        <v>Animation</v>
      </c>
      <c r="N2222" s="5">
        <f>IFERROR(__xludf.DUMMYFUNCTION("""COMPUTED_VALUE"""),1.0)</f>
        <v>1</v>
      </c>
      <c r="S2222" s="5">
        <f>IFERROR(__xludf.DUMMYFUNCTION("""COMPUTED_VALUE"""),878.0)</f>
        <v>878</v>
      </c>
      <c r="T2222" s="5" t="str">
        <f>IFERROR(__xludf.DUMMYFUNCTION("""COMPUTED_VALUE"""),"Dark Waters")</f>
        <v>Dark Waters</v>
      </c>
      <c r="U2222" s="5" t="str">
        <f>IFERROR(__xludf.DUMMYFUNCTION("""COMPUTED_VALUE"""),"Biography")</f>
        <v>Biography</v>
      </c>
      <c r="V2222" s="5">
        <f>IFERROR(__xludf.DUMMYFUNCTION("""COMPUTED_VALUE"""),1.0)</f>
        <v>1</v>
      </c>
    </row>
    <row r="2223">
      <c r="J2223" s="5" t="str">
        <f>IFERROR(__xludf.DUMMYFUNCTION("""COMPUTED_VALUE"""),"741🤙🏼Wreck-It Ralph🤙🏼Adventure🤙🏼2")</f>
        <v>741🤙🏼Wreck-It Ralph🤙🏼Adventure🤙🏼2</v>
      </c>
      <c r="K2223" s="5">
        <f>IFERROR(__xludf.DUMMYFUNCTION("SPLiT(J2223, ""🤙🏼"",FALSE,FALSE)"),741.0)</f>
        <v>741</v>
      </c>
      <c r="L2223" s="5" t="str">
        <f>IFERROR(__xludf.DUMMYFUNCTION("""COMPUTED_VALUE"""),"Wreck-It Ralph")</f>
        <v>Wreck-It Ralph</v>
      </c>
      <c r="M2223" s="5" t="str">
        <f>IFERROR(__xludf.DUMMYFUNCTION("""COMPUTED_VALUE"""),"Adventure")</f>
        <v>Adventure</v>
      </c>
      <c r="N2223" s="5">
        <f>IFERROR(__xludf.DUMMYFUNCTION("""COMPUTED_VALUE"""),2.0)</f>
        <v>2</v>
      </c>
      <c r="S2223" s="5">
        <f>IFERROR(__xludf.DUMMYFUNCTION("""COMPUTED_VALUE"""),878.0)</f>
        <v>878</v>
      </c>
      <c r="T2223" s="5" t="str">
        <f>IFERROR(__xludf.DUMMYFUNCTION("""COMPUTED_VALUE"""),"Dark Waters")</f>
        <v>Dark Waters</v>
      </c>
      <c r="U2223" s="5" t="str">
        <f>IFERROR(__xludf.DUMMYFUNCTION("""COMPUTED_VALUE"""),"Drama")</f>
        <v>Drama</v>
      </c>
      <c r="V2223" s="5">
        <f>IFERROR(__xludf.DUMMYFUNCTION("""COMPUTED_VALUE"""),2.0)</f>
        <v>2</v>
      </c>
    </row>
    <row r="2224">
      <c r="J2224" s="5" t="str">
        <f>IFERROR(__xludf.DUMMYFUNCTION("""COMPUTED_VALUE"""),"741🤙🏼Wreck-It Ralph🤙🏼Comedy🤙🏼3")</f>
        <v>741🤙🏼Wreck-It Ralph🤙🏼Comedy🤙🏼3</v>
      </c>
      <c r="K2224" s="5">
        <f>IFERROR(__xludf.DUMMYFUNCTION("SPLiT(J2224, ""🤙🏼"",FALSE,FALSE)"),741.0)</f>
        <v>741</v>
      </c>
      <c r="L2224" s="5" t="str">
        <f>IFERROR(__xludf.DUMMYFUNCTION("""COMPUTED_VALUE"""),"Wreck-It Ralph")</f>
        <v>Wreck-It Ralph</v>
      </c>
      <c r="M2224" s="5" t="str">
        <f>IFERROR(__xludf.DUMMYFUNCTION("""COMPUTED_VALUE"""),"Comedy")</f>
        <v>Comedy</v>
      </c>
      <c r="N2224" s="5">
        <f>IFERROR(__xludf.DUMMYFUNCTION("""COMPUTED_VALUE"""),3.0)</f>
        <v>3</v>
      </c>
      <c r="S2224" s="5">
        <f>IFERROR(__xludf.DUMMYFUNCTION("""COMPUTED_VALUE"""),878.0)</f>
        <v>878</v>
      </c>
      <c r="T2224" s="5" t="str">
        <f>IFERROR(__xludf.DUMMYFUNCTION("""COMPUTED_VALUE"""),"Dark Waters")</f>
        <v>Dark Waters</v>
      </c>
      <c r="U2224" s="5" t="str">
        <f>IFERROR(__xludf.DUMMYFUNCTION("""COMPUTED_VALUE"""),"History")</f>
        <v>History</v>
      </c>
      <c r="V2224" s="5">
        <f>IFERROR(__xludf.DUMMYFUNCTION("""COMPUTED_VALUE"""),3.0)</f>
        <v>3</v>
      </c>
    </row>
    <row r="2225">
      <c r="J2225" s="5" t="str">
        <f>IFERROR(__xludf.DUMMYFUNCTION("""COMPUTED_VALUE"""),"742🤙🏼Le Petit Prince🤙🏼Animation🤙🏼1")</f>
        <v>742🤙🏼Le Petit Prince🤙🏼Animation🤙🏼1</v>
      </c>
      <c r="K2225" s="5">
        <f>IFERROR(__xludf.DUMMYFUNCTION("SPLiT(J2225, ""🤙🏼"",FALSE,FALSE)"),742.0)</f>
        <v>742</v>
      </c>
      <c r="L2225" s="5" t="str">
        <f>IFERROR(__xludf.DUMMYFUNCTION("""COMPUTED_VALUE"""),"Le Petit Prince")</f>
        <v>Le Petit Prince</v>
      </c>
      <c r="M2225" s="5" t="str">
        <f>IFERROR(__xludf.DUMMYFUNCTION("""COMPUTED_VALUE"""),"Animation")</f>
        <v>Animation</v>
      </c>
      <c r="N2225" s="5">
        <f>IFERROR(__xludf.DUMMYFUNCTION("""COMPUTED_VALUE"""),1.0)</f>
        <v>1</v>
      </c>
      <c r="S2225" s="5">
        <f>IFERROR(__xludf.DUMMYFUNCTION("""COMPUTED_VALUE"""),879.0)</f>
        <v>879</v>
      </c>
      <c r="T2225" s="5" t="str">
        <f>IFERROR(__xludf.DUMMYFUNCTION("""COMPUTED_VALUE"""),"Searching")</f>
        <v>Searching</v>
      </c>
      <c r="U2225" s="5" t="str">
        <f>IFERROR(__xludf.DUMMYFUNCTION("""COMPUTED_VALUE"""),"Drama")</f>
        <v>Drama</v>
      </c>
      <c r="V2225" s="5">
        <f>IFERROR(__xludf.DUMMYFUNCTION("""COMPUTED_VALUE"""),1.0)</f>
        <v>1</v>
      </c>
    </row>
    <row r="2226">
      <c r="J2226" s="5" t="str">
        <f>IFERROR(__xludf.DUMMYFUNCTION("""COMPUTED_VALUE"""),"742🤙🏼Le Petit Prince🤙🏼Adventure🤙🏼2")</f>
        <v>742🤙🏼Le Petit Prince🤙🏼Adventure🤙🏼2</v>
      </c>
      <c r="K2226" s="5">
        <f>IFERROR(__xludf.DUMMYFUNCTION("SPLiT(J2226, ""🤙🏼"",FALSE,FALSE)"),742.0)</f>
        <v>742</v>
      </c>
      <c r="L2226" s="5" t="str">
        <f>IFERROR(__xludf.DUMMYFUNCTION("""COMPUTED_VALUE"""),"Le Petit Prince")</f>
        <v>Le Petit Prince</v>
      </c>
      <c r="M2226" s="5" t="str">
        <f>IFERROR(__xludf.DUMMYFUNCTION("""COMPUTED_VALUE"""),"Adventure")</f>
        <v>Adventure</v>
      </c>
      <c r="N2226" s="5">
        <f>IFERROR(__xludf.DUMMYFUNCTION("""COMPUTED_VALUE"""),2.0)</f>
        <v>2</v>
      </c>
      <c r="S2226" s="5">
        <f>IFERROR(__xludf.DUMMYFUNCTION("""COMPUTED_VALUE"""),879.0)</f>
        <v>879</v>
      </c>
      <c r="T2226" s="5" t="str">
        <f>IFERROR(__xludf.DUMMYFUNCTION("""COMPUTED_VALUE"""),"Searching")</f>
        <v>Searching</v>
      </c>
      <c r="U2226" s="5" t="str">
        <f>IFERROR(__xludf.DUMMYFUNCTION("""COMPUTED_VALUE"""),"Mystery")</f>
        <v>Mystery</v>
      </c>
      <c r="V2226" s="5">
        <f>IFERROR(__xludf.DUMMYFUNCTION("""COMPUTED_VALUE"""),2.0)</f>
        <v>2</v>
      </c>
    </row>
    <row r="2227">
      <c r="J2227" s="5" t="str">
        <f>IFERROR(__xludf.DUMMYFUNCTION("""COMPUTED_VALUE"""),"742🤙🏼Le Petit Prince🤙🏼Drama🤙🏼3")</f>
        <v>742🤙🏼Le Petit Prince🤙🏼Drama🤙🏼3</v>
      </c>
      <c r="K2227" s="5">
        <f>IFERROR(__xludf.DUMMYFUNCTION("SPLiT(J2227, ""🤙🏼"",FALSE,FALSE)"),742.0)</f>
        <v>742</v>
      </c>
      <c r="L2227" s="5" t="str">
        <f>IFERROR(__xludf.DUMMYFUNCTION("""COMPUTED_VALUE"""),"Le Petit Prince")</f>
        <v>Le Petit Prince</v>
      </c>
      <c r="M2227" s="5" t="str">
        <f>IFERROR(__xludf.DUMMYFUNCTION("""COMPUTED_VALUE"""),"Drama")</f>
        <v>Drama</v>
      </c>
      <c r="N2227" s="5">
        <f>IFERROR(__xludf.DUMMYFUNCTION("""COMPUTED_VALUE"""),3.0)</f>
        <v>3</v>
      </c>
      <c r="S2227" s="5">
        <f>IFERROR(__xludf.DUMMYFUNCTION("""COMPUTED_VALUE"""),879.0)</f>
        <v>879</v>
      </c>
      <c r="T2227" s="5" t="str">
        <f>IFERROR(__xludf.DUMMYFUNCTION("""COMPUTED_VALUE"""),"Searching")</f>
        <v>Searching</v>
      </c>
      <c r="U2227" s="5" t="str">
        <f>IFERROR(__xludf.DUMMYFUNCTION("""COMPUTED_VALUE"""),"Thriller")</f>
        <v>Thriller</v>
      </c>
      <c r="V2227" s="5">
        <f>IFERROR(__xludf.DUMMYFUNCTION("""COMPUTED_VALUE"""),3.0)</f>
        <v>3</v>
      </c>
    </row>
    <row r="2228">
      <c r="J2228" s="5" t="str">
        <f>IFERROR(__xludf.DUMMYFUNCTION("""COMPUTED_VALUE"""),"743🤙🏼Detachment🤙🏼Drama🤙🏼1")</f>
        <v>743🤙🏼Detachment🤙🏼Drama🤙🏼1</v>
      </c>
      <c r="K2228" s="5">
        <f>IFERROR(__xludf.DUMMYFUNCTION("SPLiT(J2228, ""🤙🏼"",FALSE,FALSE)"),743.0)</f>
        <v>743</v>
      </c>
      <c r="L2228" s="5" t="str">
        <f>IFERROR(__xludf.DUMMYFUNCTION("""COMPUTED_VALUE"""),"Detachment")</f>
        <v>Detachment</v>
      </c>
      <c r="M2228" s="5" t="str">
        <f>IFERROR(__xludf.DUMMYFUNCTION("""COMPUTED_VALUE"""),"Drama")</f>
        <v>Drama</v>
      </c>
      <c r="N2228" s="5">
        <f>IFERROR(__xludf.DUMMYFUNCTION("""COMPUTED_VALUE"""),1.0)</f>
        <v>1</v>
      </c>
      <c r="S2228" s="5">
        <f>IFERROR(__xludf.DUMMYFUNCTION("""COMPUTED_VALUE"""),880.0)</f>
        <v>880</v>
      </c>
      <c r="T2228" s="5" t="str">
        <f>IFERROR(__xludf.DUMMYFUNCTION("""COMPUTED_VALUE"""),"Once Upon a Time... in Hollywood")</f>
        <v>Once Upon a Time... in Hollywood</v>
      </c>
      <c r="U2228" s="5" t="str">
        <f>IFERROR(__xludf.DUMMYFUNCTION("""COMPUTED_VALUE"""),"Comedy")</f>
        <v>Comedy</v>
      </c>
      <c r="V2228" s="5">
        <f>IFERROR(__xludf.DUMMYFUNCTION("""COMPUTED_VALUE"""),1.0)</f>
        <v>1</v>
      </c>
    </row>
    <row r="2229">
      <c r="J2229" s="5" t="str">
        <f>IFERROR(__xludf.DUMMYFUNCTION("""COMPUTED_VALUE"""),"743🤙🏼Detachment🤙🏼🤙🏼2")</f>
        <v>743🤙🏼Detachment🤙🏼🤙🏼2</v>
      </c>
      <c r="K2229" s="5">
        <f>IFERROR(__xludf.DUMMYFUNCTION("SPLiT(J2229, ""🤙🏼"",FALSE,FALSE)"),743.0)</f>
        <v>743</v>
      </c>
      <c r="L2229" s="5" t="str">
        <f>IFERROR(__xludf.DUMMYFUNCTION("""COMPUTED_VALUE"""),"Detachment")</f>
        <v>Detachment</v>
      </c>
      <c r="M2229" s="5"/>
      <c r="N2229" s="5">
        <f>IFERROR(__xludf.DUMMYFUNCTION("""COMPUTED_VALUE"""),2.0)</f>
        <v>2</v>
      </c>
      <c r="S2229" s="5">
        <f>IFERROR(__xludf.DUMMYFUNCTION("""COMPUTED_VALUE"""),880.0)</f>
        <v>880</v>
      </c>
      <c r="T2229" s="5" t="str">
        <f>IFERROR(__xludf.DUMMYFUNCTION("""COMPUTED_VALUE"""),"Once Upon a Time... in Hollywood")</f>
        <v>Once Upon a Time... in Hollywood</v>
      </c>
      <c r="U2229" s="5" t="str">
        <f>IFERROR(__xludf.DUMMYFUNCTION("""COMPUTED_VALUE"""),"Drama")</f>
        <v>Drama</v>
      </c>
      <c r="V2229" s="5">
        <f>IFERROR(__xludf.DUMMYFUNCTION("""COMPUTED_VALUE"""),2.0)</f>
        <v>2</v>
      </c>
    </row>
    <row r="2230">
      <c r="J2230" s="5" t="str">
        <f>IFERROR(__xludf.DUMMYFUNCTION("""COMPUTED_VALUE"""),"743🤙🏼Detachment🤙🏼🤙🏼3")</f>
        <v>743🤙🏼Detachment🤙🏼🤙🏼3</v>
      </c>
      <c r="K2230" s="5">
        <f>IFERROR(__xludf.DUMMYFUNCTION("SPLiT(J2230, ""🤙🏼"",FALSE,FALSE)"),743.0)</f>
        <v>743</v>
      </c>
      <c r="L2230" s="5" t="str">
        <f>IFERROR(__xludf.DUMMYFUNCTION("""COMPUTED_VALUE"""),"Detachment")</f>
        <v>Detachment</v>
      </c>
      <c r="M2230" s="5"/>
      <c r="N2230" s="5">
        <f>IFERROR(__xludf.DUMMYFUNCTION("""COMPUTED_VALUE"""),3.0)</f>
        <v>3</v>
      </c>
      <c r="S2230" s="5">
        <f>IFERROR(__xludf.DUMMYFUNCTION("""COMPUTED_VALUE"""),881.0)</f>
        <v>881</v>
      </c>
      <c r="T2230" s="5" t="str">
        <f>IFERROR(__xludf.DUMMYFUNCTION("""COMPUTED_VALUE"""),"Nelyubov")</f>
        <v>Nelyubov</v>
      </c>
      <c r="U2230" s="5" t="str">
        <f>IFERROR(__xludf.DUMMYFUNCTION("""COMPUTED_VALUE"""),"Drama")</f>
        <v>Drama</v>
      </c>
      <c r="V2230" s="5">
        <f>IFERROR(__xludf.DUMMYFUNCTION("""COMPUTED_VALUE"""),1.0)</f>
        <v>1</v>
      </c>
    </row>
    <row r="2231">
      <c r="J2231" s="5" t="str">
        <f>IFERROR(__xludf.DUMMYFUNCTION("""COMPUTED_VALUE"""),"744🤙🏼Midnight in Paris🤙🏼Comedy🤙🏼1")</f>
        <v>744🤙🏼Midnight in Paris🤙🏼Comedy🤙🏼1</v>
      </c>
      <c r="K2231" s="5">
        <f>IFERROR(__xludf.DUMMYFUNCTION("SPLiT(J2231, ""🤙🏼"",FALSE,FALSE)"),744.0)</f>
        <v>744</v>
      </c>
      <c r="L2231" s="5" t="str">
        <f>IFERROR(__xludf.DUMMYFUNCTION("""COMPUTED_VALUE"""),"Midnight in Paris")</f>
        <v>Midnight in Paris</v>
      </c>
      <c r="M2231" s="5" t="str">
        <f>IFERROR(__xludf.DUMMYFUNCTION("""COMPUTED_VALUE"""),"Comedy")</f>
        <v>Comedy</v>
      </c>
      <c r="N2231" s="5">
        <f>IFERROR(__xludf.DUMMYFUNCTION("""COMPUTED_VALUE"""),1.0)</f>
        <v>1</v>
      </c>
      <c r="S2231" s="5">
        <f>IFERROR(__xludf.DUMMYFUNCTION("""COMPUTED_VALUE"""),882.0)</f>
        <v>882</v>
      </c>
      <c r="T2231" s="5" t="str">
        <f>IFERROR(__xludf.DUMMYFUNCTION("""COMPUTED_VALUE"""),"The Florida Project")</f>
        <v>The Florida Project</v>
      </c>
      <c r="U2231" s="5" t="str">
        <f>IFERROR(__xludf.DUMMYFUNCTION("""COMPUTED_VALUE"""),"Drama")</f>
        <v>Drama</v>
      </c>
      <c r="V2231" s="5">
        <f>IFERROR(__xludf.DUMMYFUNCTION("""COMPUTED_VALUE"""),1.0)</f>
        <v>1</v>
      </c>
    </row>
    <row r="2232">
      <c r="J2232" s="5" t="str">
        <f>IFERROR(__xludf.DUMMYFUNCTION("""COMPUTED_VALUE"""),"744🤙🏼Midnight in Paris🤙🏼Fantasy🤙🏼2")</f>
        <v>744🤙🏼Midnight in Paris🤙🏼Fantasy🤙🏼2</v>
      </c>
      <c r="K2232" s="5">
        <f>IFERROR(__xludf.DUMMYFUNCTION("SPLiT(J2232, ""🤙🏼"",FALSE,FALSE)"),744.0)</f>
        <v>744</v>
      </c>
      <c r="L2232" s="5" t="str">
        <f>IFERROR(__xludf.DUMMYFUNCTION("""COMPUTED_VALUE"""),"Midnight in Paris")</f>
        <v>Midnight in Paris</v>
      </c>
      <c r="M2232" s="5" t="str">
        <f>IFERROR(__xludf.DUMMYFUNCTION("""COMPUTED_VALUE"""),"Fantasy")</f>
        <v>Fantasy</v>
      </c>
      <c r="N2232" s="5">
        <f>IFERROR(__xludf.DUMMYFUNCTION("""COMPUTED_VALUE"""),2.0)</f>
        <v>2</v>
      </c>
      <c r="S2232" s="5">
        <f>IFERROR(__xludf.DUMMYFUNCTION("""COMPUTED_VALUE"""),883.0)</f>
        <v>883</v>
      </c>
      <c r="T2232" s="5" t="str">
        <f>IFERROR(__xludf.DUMMYFUNCTION("""COMPUTED_VALUE"""),"Just Mercy")</f>
        <v>Just Mercy</v>
      </c>
      <c r="U2232" s="5" t="str">
        <f>IFERROR(__xludf.DUMMYFUNCTION("""COMPUTED_VALUE"""),"Biography")</f>
        <v>Biography</v>
      </c>
      <c r="V2232" s="5">
        <f>IFERROR(__xludf.DUMMYFUNCTION("""COMPUTED_VALUE"""),1.0)</f>
        <v>1</v>
      </c>
    </row>
    <row r="2233">
      <c r="J2233" s="5" t="str">
        <f>IFERROR(__xludf.DUMMYFUNCTION("""COMPUTED_VALUE"""),"744🤙🏼Midnight in Paris🤙🏼Romance🤙🏼3")</f>
        <v>744🤙🏼Midnight in Paris🤙🏼Romance🤙🏼3</v>
      </c>
      <c r="K2233" s="5">
        <f>IFERROR(__xludf.DUMMYFUNCTION("SPLiT(J2233, ""🤙🏼"",FALSE,FALSE)"),744.0)</f>
        <v>744</v>
      </c>
      <c r="L2233" s="5" t="str">
        <f>IFERROR(__xludf.DUMMYFUNCTION("""COMPUTED_VALUE"""),"Midnight in Paris")</f>
        <v>Midnight in Paris</v>
      </c>
      <c r="M2233" s="5" t="str">
        <f>IFERROR(__xludf.DUMMYFUNCTION("""COMPUTED_VALUE"""),"Romance")</f>
        <v>Romance</v>
      </c>
      <c r="N2233" s="5">
        <f>IFERROR(__xludf.DUMMYFUNCTION("""COMPUTED_VALUE"""),3.0)</f>
        <v>3</v>
      </c>
      <c r="S2233" s="5">
        <f>IFERROR(__xludf.DUMMYFUNCTION("""COMPUTED_VALUE"""),883.0)</f>
        <v>883</v>
      </c>
      <c r="T2233" s="5" t="str">
        <f>IFERROR(__xludf.DUMMYFUNCTION("""COMPUTED_VALUE"""),"Just Mercy")</f>
        <v>Just Mercy</v>
      </c>
      <c r="U2233" s="5" t="str">
        <f>IFERROR(__xludf.DUMMYFUNCTION("""COMPUTED_VALUE"""),"Crime")</f>
        <v>Crime</v>
      </c>
      <c r="V2233" s="5">
        <f>IFERROR(__xludf.DUMMYFUNCTION("""COMPUTED_VALUE"""),2.0)</f>
        <v>2</v>
      </c>
    </row>
    <row r="2234">
      <c r="J2234" s="5" t="str">
        <f>IFERROR(__xludf.DUMMYFUNCTION("""COMPUTED_VALUE"""),"745🤙🏼The Lego Movie🤙🏼Animation🤙🏼1")</f>
        <v>745🤙🏼The Lego Movie🤙🏼Animation🤙🏼1</v>
      </c>
      <c r="K2234" s="5">
        <f>IFERROR(__xludf.DUMMYFUNCTION("SPLiT(J2234, ""🤙🏼"",FALSE,FALSE)"),745.0)</f>
        <v>745</v>
      </c>
      <c r="L2234" s="5" t="str">
        <f>IFERROR(__xludf.DUMMYFUNCTION("""COMPUTED_VALUE"""),"The Lego Movie")</f>
        <v>The Lego Movie</v>
      </c>
      <c r="M2234" s="5" t="str">
        <f>IFERROR(__xludf.DUMMYFUNCTION("""COMPUTED_VALUE"""),"Animation")</f>
        <v>Animation</v>
      </c>
      <c r="N2234" s="5">
        <f>IFERROR(__xludf.DUMMYFUNCTION("""COMPUTED_VALUE"""),1.0)</f>
        <v>1</v>
      </c>
      <c r="S2234" s="5">
        <f>IFERROR(__xludf.DUMMYFUNCTION("""COMPUTED_VALUE"""),883.0)</f>
        <v>883</v>
      </c>
      <c r="T2234" s="5" t="str">
        <f>IFERROR(__xludf.DUMMYFUNCTION("""COMPUTED_VALUE"""),"Just Mercy")</f>
        <v>Just Mercy</v>
      </c>
      <c r="U2234" s="5" t="str">
        <f>IFERROR(__xludf.DUMMYFUNCTION("""COMPUTED_VALUE"""),"Drama")</f>
        <v>Drama</v>
      </c>
      <c r="V2234" s="5">
        <f>IFERROR(__xludf.DUMMYFUNCTION("""COMPUTED_VALUE"""),3.0)</f>
        <v>3</v>
      </c>
    </row>
    <row r="2235">
      <c r="J2235" s="5" t="str">
        <f>IFERROR(__xludf.DUMMYFUNCTION("""COMPUTED_VALUE"""),"745🤙🏼The Lego Movie🤙🏼Action🤙🏼2")</f>
        <v>745🤙🏼The Lego Movie🤙🏼Action🤙🏼2</v>
      </c>
      <c r="K2235" s="5">
        <f>IFERROR(__xludf.DUMMYFUNCTION("SPLiT(J2235, ""🤙🏼"",FALSE,FALSE)"),745.0)</f>
        <v>745</v>
      </c>
      <c r="L2235" s="5" t="str">
        <f>IFERROR(__xludf.DUMMYFUNCTION("""COMPUTED_VALUE"""),"The Lego Movie")</f>
        <v>The Lego Movie</v>
      </c>
      <c r="M2235" s="5" t="str">
        <f>IFERROR(__xludf.DUMMYFUNCTION("""COMPUTED_VALUE"""),"Action")</f>
        <v>Action</v>
      </c>
      <c r="N2235" s="5">
        <f>IFERROR(__xludf.DUMMYFUNCTION("""COMPUTED_VALUE"""),2.0)</f>
        <v>2</v>
      </c>
      <c r="S2235" s="5">
        <f>IFERROR(__xludf.DUMMYFUNCTION("""COMPUTED_VALUE"""),884.0)</f>
        <v>884</v>
      </c>
      <c r="T2235" s="5" t="str">
        <f>IFERROR(__xludf.DUMMYFUNCTION("""COMPUTED_VALUE"""),"Gifted")</f>
        <v>Gifted</v>
      </c>
      <c r="U2235" s="5" t="str">
        <f>IFERROR(__xludf.DUMMYFUNCTION("""COMPUTED_VALUE"""),"Drama")</f>
        <v>Drama</v>
      </c>
      <c r="V2235" s="5">
        <f>IFERROR(__xludf.DUMMYFUNCTION("""COMPUTED_VALUE"""),1.0)</f>
        <v>1</v>
      </c>
    </row>
    <row r="2236">
      <c r="J2236" s="5" t="str">
        <f>IFERROR(__xludf.DUMMYFUNCTION("""COMPUTED_VALUE"""),"745🤙🏼The Lego Movie🤙🏼Adventure🤙🏼3")</f>
        <v>745🤙🏼The Lego Movie🤙🏼Adventure🤙🏼3</v>
      </c>
      <c r="K2236" s="5">
        <f>IFERROR(__xludf.DUMMYFUNCTION("SPLiT(J2236, ""🤙🏼"",FALSE,FALSE)"),745.0)</f>
        <v>745</v>
      </c>
      <c r="L2236" s="5" t="str">
        <f>IFERROR(__xludf.DUMMYFUNCTION("""COMPUTED_VALUE"""),"The Lego Movie")</f>
        <v>The Lego Movie</v>
      </c>
      <c r="M2236" s="5" t="str">
        <f>IFERROR(__xludf.DUMMYFUNCTION("""COMPUTED_VALUE"""),"Adventure")</f>
        <v>Adventure</v>
      </c>
      <c r="N2236" s="5">
        <f>IFERROR(__xludf.DUMMYFUNCTION("""COMPUTED_VALUE"""),3.0)</f>
        <v>3</v>
      </c>
      <c r="S2236" s="5">
        <f>IFERROR(__xludf.DUMMYFUNCTION("""COMPUTED_VALUE"""),885.0)</f>
        <v>885</v>
      </c>
      <c r="T2236" s="5" t="str">
        <f>IFERROR(__xludf.DUMMYFUNCTION("""COMPUTED_VALUE"""),"The Peanut Butter Falcon")</f>
        <v>The Peanut Butter Falcon</v>
      </c>
      <c r="U2236" s="5" t="str">
        <f>IFERROR(__xludf.DUMMYFUNCTION("""COMPUTED_VALUE"""),"Adventure")</f>
        <v>Adventure</v>
      </c>
      <c r="V2236" s="5">
        <f>IFERROR(__xludf.DUMMYFUNCTION("""COMPUTED_VALUE"""),1.0)</f>
        <v>1</v>
      </c>
    </row>
    <row r="2237">
      <c r="J2237" s="5" t="str">
        <f>IFERROR(__xludf.DUMMYFUNCTION("""COMPUTED_VALUE"""),"746🤙🏼Gravity🤙🏼Drama🤙🏼1")</f>
        <v>746🤙🏼Gravity🤙🏼Drama🤙🏼1</v>
      </c>
      <c r="K2237" s="5">
        <f>IFERROR(__xludf.DUMMYFUNCTION("SPLiT(J2237, ""🤙🏼"",FALSE,FALSE)"),746.0)</f>
        <v>746</v>
      </c>
      <c r="L2237" s="5" t="str">
        <f>IFERROR(__xludf.DUMMYFUNCTION("""COMPUTED_VALUE"""),"Gravity")</f>
        <v>Gravity</v>
      </c>
      <c r="M2237" s="5" t="str">
        <f>IFERROR(__xludf.DUMMYFUNCTION("""COMPUTED_VALUE"""),"Drama")</f>
        <v>Drama</v>
      </c>
      <c r="N2237" s="5">
        <f>IFERROR(__xludf.DUMMYFUNCTION("""COMPUTED_VALUE"""),1.0)</f>
        <v>1</v>
      </c>
      <c r="S2237" s="5">
        <f>IFERROR(__xludf.DUMMYFUNCTION("""COMPUTED_VALUE"""),885.0)</f>
        <v>885</v>
      </c>
      <c r="T2237" s="5" t="str">
        <f>IFERROR(__xludf.DUMMYFUNCTION("""COMPUTED_VALUE"""),"The Peanut Butter Falcon")</f>
        <v>The Peanut Butter Falcon</v>
      </c>
      <c r="U2237" s="5" t="str">
        <f>IFERROR(__xludf.DUMMYFUNCTION("""COMPUTED_VALUE"""),"Comedy")</f>
        <v>Comedy</v>
      </c>
      <c r="V2237" s="5">
        <f>IFERROR(__xludf.DUMMYFUNCTION("""COMPUTED_VALUE"""),2.0)</f>
        <v>2</v>
      </c>
    </row>
    <row r="2238">
      <c r="J2238" s="5" t="str">
        <f>IFERROR(__xludf.DUMMYFUNCTION("""COMPUTED_VALUE"""),"746🤙🏼Gravity🤙🏼Sci-Fi🤙🏼2")</f>
        <v>746🤙🏼Gravity🤙🏼Sci-Fi🤙🏼2</v>
      </c>
      <c r="K2238" s="5">
        <f>IFERROR(__xludf.DUMMYFUNCTION("SPLiT(J2238, ""🤙🏼"",FALSE,FALSE)"),746.0)</f>
        <v>746</v>
      </c>
      <c r="L2238" s="5" t="str">
        <f>IFERROR(__xludf.DUMMYFUNCTION("""COMPUTED_VALUE"""),"Gravity")</f>
        <v>Gravity</v>
      </c>
      <c r="M2238" s="5" t="str">
        <f>IFERROR(__xludf.DUMMYFUNCTION("""COMPUTED_VALUE"""),"Sci-Fi")</f>
        <v>Sci-Fi</v>
      </c>
      <c r="N2238" s="5">
        <f>IFERROR(__xludf.DUMMYFUNCTION("""COMPUTED_VALUE"""),2.0)</f>
        <v>2</v>
      </c>
      <c r="S2238" s="5">
        <f>IFERROR(__xludf.DUMMYFUNCTION("""COMPUTED_VALUE"""),885.0)</f>
        <v>885</v>
      </c>
      <c r="T2238" s="5" t="str">
        <f>IFERROR(__xludf.DUMMYFUNCTION("""COMPUTED_VALUE"""),"The Peanut Butter Falcon")</f>
        <v>The Peanut Butter Falcon</v>
      </c>
      <c r="U2238" s="5" t="str">
        <f>IFERROR(__xludf.DUMMYFUNCTION("""COMPUTED_VALUE"""),"Drama")</f>
        <v>Drama</v>
      </c>
      <c r="V2238" s="5">
        <f>IFERROR(__xludf.DUMMYFUNCTION("""COMPUTED_VALUE"""),3.0)</f>
        <v>3</v>
      </c>
    </row>
    <row r="2239">
      <c r="J2239" s="5" t="str">
        <f>IFERROR(__xludf.DUMMYFUNCTION("""COMPUTED_VALUE"""),"746🤙🏼Gravity🤙🏼Thriller🤙🏼3")</f>
        <v>746🤙🏼Gravity🤙🏼Thriller🤙🏼3</v>
      </c>
      <c r="K2239" s="5">
        <f>IFERROR(__xludf.DUMMYFUNCTION("SPLiT(J2239, ""🤙🏼"",FALSE,FALSE)"),746.0)</f>
        <v>746</v>
      </c>
      <c r="L2239" s="5" t="str">
        <f>IFERROR(__xludf.DUMMYFUNCTION("""COMPUTED_VALUE"""),"Gravity")</f>
        <v>Gravity</v>
      </c>
      <c r="M2239" s="5" t="str">
        <f>IFERROR(__xludf.DUMMYFUNCTION("""COMPUTED_VALUE"""),"Thriller")</f>
        <v>Thriller</v>
      </c>
      <c r="N2239" s="5">
        <f>IFERROR(__xludf.DUMMYFUNCTION("""COMPUTED_VALUE"""),3.0)</f>
        <v>3</v>
      </c>
      <c r="S2239" s="5">
        <f>IFERROR(__xludf.DUMMYFUNCTION("""COMPUTED_VALUE"""),886.0)</f>
        <v>886</v>
      </c>
      <c r="T2239" s="5" t="str">
        <f>IFERROR(__xludf.DUMMYFUNCTION("""COMPUTED_VALUE"""),"Victoria")</f>
        <v>Victoria</v>
      </c>
      <c r="U2239" s="5" t="str">
        <f>IFERROR(__xludf.DUMMYFUNCTION("""COMPUTED_VALUE"""),"Crime")</f>
        <v>Crime</v>
      </c>
      <c r="V2239" s="5">
        <f>IFERROR(__xludf.DUMMYFUNCTION("""COMPUTED_VALUE"""),1.0)</f>
        <v>1</v>
      </c>
    </row>
    <row r="2240">
      <c r="J2240" s="5" t="str">
        <f>IFERROR(__xludf.DUMMYFUNCTION("""COMPUTED_VALUE"""),"747🤙🏼Star Trek Into Darkness🤙🏼Action🤙🏼1")</f>
        <v>747🤙🏼Star Trek Into Darkness🤙🏼Action🤙🏼1</v>
      </c>
      <c r="K2240" s="5">
        <f>IFERROR(__xludf.DUMMYFUNCTION("SPLiT(J2240, ""🤙🏼"",FALSE,FALSE)"),747.0)</f>
        <v>747</v>
      </c>
      <c r="L2240" s="5" t="str">
        <f>IFERROR(__xludf.DUMMYFUNCTION("""COMPUTED_VALUE"""),"Star Trek Into Darkness")</f>
        <v>Star Trek Into Darkness</v>
      </c>
      <c r="M2240" s="5" t="str">
        <f>IFERROR(__xludf.DUMMYFUNCTION("""COMPUTED_VALUE"""),"Action")</f>
        <v>Action</v>
      </c>
      <c r="N2240" s="5">
        <f>IFERROR(__xludf.DUMMYFUNCTION("""COMPUTED_VALUE"""),1.0)</f>
        <v>1</v>
      </c>
      <c r="S2240" s="5">
        <f>IFERROR(__xludf.DUMMYFUNCTION("""COMPUTED_VALUE"""),886.0)</f>
        <v>886</v>
      </c>
      <c r="T2240" s="5" t="str">
        <f>IFERROR(__xludf.DUMMYFUNCTION("""COMPUTED_VALUE"""),"Victoria")</f>
        <v>Victoria</v>
      </c>
      <c r="U2240" s="5" t="str">
        <f>IFERROR(__xludf.DUMMYFUNCTION("""COMPUTED_VALUE"""),"Drama")</f>
        <v>Drama</v>
      </c>
      <c r="V2240" s="5">
        <f>IFERROR(__xludf.DUMMYFUNCTION("""COMPUTED_VALUE"""),2.0)</f>
        <v>2</v>
      </c>
    </row>
    <row r="2241">
      <c r="J2241" s="5" t="str">
        <f>IFERROR(__xludf.DUMMYFUNCTION("""COMPUTED_VALUE"""),"747🤙🏼Star Trek Into Darkness🤙🏼Adventure🤙🏼2")</f>
        <v>747🤙🏼Star Trek Into Darkness🤙🏼Adventure🤙🏼2</v>
      </c>
      <c r="K2241" s="5">
        <f>IFERROR(__xludf.DUMMYFUNCTION("SPLiT(J2241, ""🤙🏼"",FALSE,FALSE)"),747.0)</f>
        <v>747</v>
      </c>
      <c r="L2241" s="5" t="str">
        <f>IFERROR(__xludf.DUMMYFUNCTION("""COMPUTED_VALUE"""),"Star Trek Into Darkness")</f>
        <v>Star Trek Into Darkness</v>
      </c>
      <c r="M2241" s="5" t="str">
        <f>IFERROR(__xludf.DUMMYFUNCTION("""COMPUTED_VALUE"""),"Adventure")</f>
        <v>Adventure</v>
      </c>
      <c r="N2241" s="5">
        <f>IFERROR(__xludf.DUMMYFUNCTION("""COMPUTED_VALUE"""),2.0)</f>
        <v>2</v>
      </c>
      <c r="S2241" s="5">
        <f>IFERROR(__xludf.DUMMYFUNCTION("""COMPUTED_VALUE"""),886.0)</f>
        <v>886</v>
      </c>
      <c r="T2241" s="5" t="str">
        <f>IFERROR(__xludf.DUMMYFUNCTION("""COMPUTED_VALUE"""),"Victoria")</f>
        <v>Victoria</v>
      </c>
      <c r="U2241" s="5" t="str">
        <f>IFERROR(__xludf.DUMMYFUNCTION("""COMPUTED_VALUE"""),"Romance")</f>
        <v>Romance</v>
      </c>
      <c r="V2241" s="5">
        <f>IFERROR(__xludf.DUMMYFUNCTION("""COMPUTED_VALUE"""),3.0)</f>
        <v>3</v>
      </c>
    </row>
    <row r="2242">
      <c r="J2242" s="5" t="str">
        <f>IFERROR(__xludf.DUMMYFUNCTION("""COMPUTED_VALUE"""),"747🤙🏼Star Trek Into Darkness🤙🏼Sci-Fi🤙🏼3")</f>
        <v>747🤙🏼Star Trek Into Darkness🤙🏼Sci-Fi🤙🏼3</v>
      </c>
      <c r="K2242" s="5">
        <f>IFERROR(__xludf.DUMMYFUNCTION("SPLiT(J2242, ""🤙🏼"",FALSE,FALSE)"),747.0)</f>
        <v>747</v>
      </c>
      <c r="L2242" s="5" t="str">
        <f>IFERROR(__xludf.DUMMYFUNCTION("""COMPUTED_VALUE"""),"Star Trek Into Darkness")</f>
        <v>Star Trek Into Darkness</v>
      </c>
      <c r="M2242" s="5" t="str">
        <f>IFERROR(__xludf.DUMMYFUNCTION("""COMPUTED_VALUE"""),"Sci-Fi")</f>
        <v>Sci-Fi</v>
      </c>
      <c r="N2242" s="5">
        <f>IFERROR(__xludf.DUMMYFUNCTION("""COMPUTED_VALUE"""),3.0)</f>
        <v>3</v>
      </c>
      <c r="S2242" s="5">
        <f>IFERROR(__xludf.DUMMYFUNCTION("""COMPUTED_VALUE"""),887.0)</f>
        <v>887</v>
      </c>
      <c r="T2242" s="5" t="str">
        <f>IFERROR(__xludf.DUMMYFUNCTION("""COMPUTED_VALUE"""),"Mustang")</f>
        <v>Mustang</v>
      </c>
      <c r="U2242" s="5" t="str">
        <f>IFERROR(__xludf.DUMMYFUNCTION("""COMPUTED_VALUE"""),"Drama")</f>
        <v>Drama</v>
      </c>
      <c r="V2242" s="5">
        <f>IFERROR(__xludf.DUMMYFUNCTION("""COMPUTED_VALUE"""),1.0)</f>
        <v>1</v>
      </c>
    </row>
    <row r="2243">
      <c r="J2243" s="5" t="str">
        <f>IFERROR(__xludf.DUMMYFUNCTION("""COMPUTED_VALUE"""),"748🤙🏼Beasts of No Nation🤙🏼Drama🤙🏼1")</f>
        <v>748🤙🏼Beasts of No Nation🤙🏼Drama🤙🏼1</v>
      </c>
      <c r="K2243" s="5">
        <f>IFERROR(__xludf.DUMMYFUNCTION("SPLiT(J2243, ""🤙🏼"",FALSE,FALSE)"),748.0)</f>
        <v>748</v>
      </c>
      <c r="L2243" s="5" t="str">
        <f>IFERROR(__xludf.DUMMYFUNCTION("""COMPUTED_VALUE"""),"Beasts of No Nation")</f>
        <v>Beasts of No Nation</v>
      </c>
      <c r="M2243" s="5" t="str">
        <f>IFERROR(__xludf.DUMMYFUNCTION("""COMPUTED_VALUE"""),"Drama")</f>
        <v>Drama</v>
      </c>
      <c r="N2243" s="5">
        <f>IFERROR(__xludf.DUMMYFUNCTION("""COMPUTED_VALUE"""),1.0)</f>
        <v>1</v>
      </c>
      <c r="S2243" s="5">
        <f>IFERROR(__xludf.DUMMYFUNCTION("""COMPUTED_VALUE"""),888.0)</f>
        <v>888</v>
      </c>
      <c r="T2243" s="5" t="str">
        <f>IFERROR(__xludf.DUMMYFUNCTION("""COMPUTED_VALUE"""),"Guardians of the Galaxy Vol. 2")</f>
        <v>Guardians of the Galaxy Vol. 2</v>
      </c>
      <c r="U2243" s="5" t="str">
        <f>IFERROR(__xludf.DUMMYFUNCTION("""COMPUTED_VALUE"""),"Action")</f>
        <v>Action</v>
      </c>
      <c r="V2243" s="5">
        <f>IFERROR(__xludf.DUMMYFUNCTION("""COMPUTED_VALUE"""),1.0)</f>
        <v>1</v>
      </c>
    </row>
    <row r="2244">
      <c r="J2244" s="5" t="str">
        <f>IFERROR(__xludf.DUMMYFUNCTION("""COMPUTED_VALUE"""),"748🤙🏼Beasts of No Nation🤙🏼War🤙🏼2")</f>
        <v>748🤙🏼Beasts of No Nation🤙🏼War🤙🏼2</v>
      </c>
      <c r="K2244" s="5">
        <f>IFERROR(__xludf.DUMMYFUNCTION("SPLiT(J2244, ""🤙🏼"",FALSE,FALSE)"),748.0)</f>
        <v>748</v>
      </c>
      <c r="L2244" s="5" t="str">
        <f>IFERROR(__xludf.DUMMYFUNCTION("""COMPUTED_VALUE"""),"Beasts of No Nation")</f>
        <v>Beasts of No Nation</v>
      </c>
      <c r="M2244" s="5" t="str">
        <f>IFERROR(__xludf.DUMMYFUNCTION("""COMPUTED_VALUE"""),"War")</f>
        <v>War</v>
      </c>
      <c r="N2244" s="5">
        <f>IFERROR(__xludf.DUMMYFUNCTION("""COMPUTED_VALUE"""),2.0)</f>
        <v>2</v>
      </c>
      <c r="S2244" s="5">
        <f>IFERROR(__xludf.DUMMYFUNCTION("""COMPUTED_VALUE"""),888.0)</f>
        <v>888</v>
      </c>
      <c r="T2244" s="5" t="str">
        <f>IFERROR(__xludf.DUMMYFUNCTION("""COMPUTED_VALUE"""),"Guardians of the Galaxy Vol. 2")</f>
        <v>Guardians of the Galaxy Vol. 2</v>
      </c>
      <c r="U2244" s="5" t="str">
        <f>IFERROR(__xludf.DUMMYFUNCTION("""COMPUTED_VALUE"""),"Adventure")</f>
        <v>Adventure</v>
      </c>
      <c r="V2244" s="5">
        <f>IFERROR(__xludf.DUMMYFUNCTION("""COMPUTED_VALUE"""),2.0)</f>
        <v>2</v>
      </c>
    </row>
    <row r="2245">
      <c r="J2245" s="5" t="str">
        <f>IFERROR(__xludf.DUMMYFUNCTION("""COMPUTED_VALUE"""),"748🤙🏼Beasts of No Nation🤙🏼🤙🏼3")</f>
        <v>748🤙🏼Beasts of No Nation🤙🏼🤙🏼3</v>
      </c>
      <c r="K2245" s="5">
        <f>IFERROR(__xludf.DUMMYFUNCTION("SPLiT(J2245, ""🤙🏼"",FALSE,FALSE)"),748.0)</f>
        <v>748</v>
      </c>
      <c r="L2245" s="5" t="str">
        <f>IFERROR(__xludf.DUMMYFUNCTION("""COMPUTED_VALUE"""),"Beasts of No Nation")</f>
        <v>Beasts of No Nation</v>
      </c>
      <c r="M2245" s="5"/>
      <c r="N2245" s="5">
        <f>IFERROR(__xludf.DUMMYFUNCTION("""COMPUTED_VALUE"""),3.0)</f>
        <v>3</v>
      </c>
      <c r="S2245" s="5">
        <f>IFERROR(__xludf.DUMMYFUNCTION("""COMPUTED_VALUE"""),888.0)</f>
        <v>888</v>
      </c>
      <c r="T2245" s="5" t="str">
        <f>IFERROR(__xludf.DUMMYFUNCTION("""COMPUTED_VALUE"""),"Guardians of the Galaxy Vol. 2")</f>
        <v>Guardians of the Galaxy Vol. 2</v>
      </c>
      <c r="U2245" s="5" t="str">
        <f>IFERROR(__xludf.DUMMYFUNCTION("""COMPUTED_VALUE"""),"Comedy")</f>
        <v>Comedy</v>
      </c>
      <c r="V2245" s="5">
        <f>IFERROR(__xludf.DUMMYFUNCTION("""COMPUTED_VALUE"""),3.0)</f>
        <v>3</v>
      </c>
    </row>
    <row r="2246">
      <c r="J2246" s="5" t="str">
        <f>IFERROR(__xludf.DUMMYFUNCTION("""COMPUTED_VALUE"""),"749🤙🏼The Social Network🤙🏼Biography🤙🏼1")</f>
        <v>749🤙🏼The Social Network🤙🏼Biography🤙🏼1</v>
      </c>
      <c r="K2246" s="5">
        <f>IFERROR(__xludf.DUMMYFUNCTION("SPLiT(J2246, ""🤙🏼"",FALSE,FALSE)"),749.0)</f>
        <v>749</v>
      </c>
      <c r="L2246" s="5" t="str">
        <f>IFERROR(__xludf.DUMMYFUNCTION("""COMPUTED_VALUE"""),"The Social Network")</f>
        <v>The Social Network</v>
      </c>
      <c r="M2246" s="5" t="str">
        <f>IFERROR(__xludf.DUMMYFUNCTION("""COMPUTED_VALUE"""),"Biography")</f>
        <v>Biography</v>
      </c>
      <c r="N2246" s="5">
        <f>IFERROR(__xludf.DUMMYFUNCTION("""COMPUTED_VALUE"""),1.0)</f>
        <v>1</v>
      </c>
      <c r="S2246" s="5">
        <f>IFERROR(__xludf.DUMMYFUNCTION("""COMPUTED_VALUE"""),889.0)</f>
        <v>889</v>
      </c>
      <c r="T2246" s="5" t="str">
        <f>IFERROR(__xludf.DUMMYFUNCTION("""COMPUTED_VALUE"""),"Baby Driver")</f>
        <v>Baby Driver</v>
      </c>
      <c r="U2246" s="5" t="str">
        <f>IFERROR(__xludf.DUMMYFUNCTION("""COMPUTED_VALUE"""),"Action")</f>
        <v>Action</v>
      </c>
      <c r="V2246" s="5">
        <f>IFERROR(__xludf.DUMMYFUNCTION("""COMPUTED_VALUE"""),1.0)</f>
        <v>1</v>
      </c>
    </row>
    <row r="2247">
      <c r="J2247" s="5" t="str">
        <f>IFERROR(__xludf.DUMMYFUNCTION("""COMPUTED_VALUE"""),"749🤙🏼The Social Network🤙🏼Drama🤙🏼2")</f>
        <v>749🤙🏼The Social Network🤙🏼Drama🤙🏼2</v>
      </c>
      <c r="K2247" s="5">
        <f>IFERROR(__xludf.DUMMYFUNCTION("SPLiT(J2247, ""🤙🏼"",FALSE,FALSE)"),749.0)</f>
        <v>749</v>
      </c>
      <c r="L2247" s="5" t="str">
        <f>IFERROR(__xludf.DUMMYFUNCTION("""COMPUTED_VALUE"""),"The Social Network")</f>
        <v>The Social Network</v>
      </c>
      <c r="M2247" s="5" t="str">
        <f>IFERROR(__xludf.DUMMYFUNCTION("""COMPUTED_VALUE"""),"Drama")</f>
        <v>Drama</v>
      </c>
      <c r="N2247" s="5">
        <f>IFERROR(__xludf.DUMMYFUNCTION("""COMPUTED_VALUE"""),2.0)</f>
        <v>2</v>
      </c>
      <c r="S2247" s="5">
        <f>IFERROR(__xludf.DUMMYFUNCTION("""COMPUTED_VALUE"""),889.0)</f>
        <v>889</v>
      </c>
      <c r="T2247" s="5" t="str">
        <f>IFERROR(__xludf.DUMMYFUNCTION("""COMPUTED_VALUE"""),"Baby Driver")</f>
        <v>Baby Driver</v>
      </c>
      <c r="U2247" s="5" t="str">
        <f>IFERROR(__xludf.DUMMYFUNCTION("""COMPUTED_VALUE"""),"Crime")</f>
        <v>Crime</v>
      </c>
      <c r="V2247" s="5">
        <f>IFERROR(__xludf.DUMMYFUNCTION("""COMPUTED_VALUE"""),2.0)</f>
        <v>2</v>
      </c>
    </row>
    <row r="2248">
      <c r="J2248" s="5" t="str">
        <f>IFERROR(__xludf.DUMMYFUNCTION("""COMPUTED_VALUE"""),"749🤙🏼The Social Network🤙🏼🤙🏼3")</f>
        <v>749🤙🏼The Social Network🤙🏼🤙🏼3</v>
      </c>
      <c r="K2248" s="5">
        <f>IFERROR(__xludf.DUMMYFUNCTION("SPLiT(J2248, ""🤙🏼"",FALSE,FALSE)"),749.0)</f>
        <v>749</v>
      </c>
      <c r="L2248" s="5" t="str">
        <f>IFERROR(__xludf.DUMMYFUNCTION("""COMPUTED_VALUE"""),"The Social Network")</f>
        <v>The Social Network</v>
      </c>
      <c r="M2248" s="5"/>
      <c r="N2248" s="5">
        <f>IFERROR(__xludf.DUMMYFUNCTION("""COMPUTED_VALUE"""),3.0)</f>
        <v>3</v>
      </c>
      <c r="S2248" s="5">
        <f>IFERROR(__xludf.DUMMYFUNCTION("""COMPUTED_VALUE"""),889.0)</f>
        <v>889</v>
      </c>
      <c r="T2248" s="5" t="str">
        <f>IFERROR(__xludf.DUMMYFUNCTION("""COMPUTED_VALUE"""),"Baby Driver")</f>
        <v>Baby Driver</v>
      </c>
      <c r="U2248" s="5" t="str">
        <f>IFERROR(__xludf.DUMMYFUNCTION("""COMPUTED_VALUE"""),"Drama")</f>
        <v>Drama</v>
      </c>
      <c r="V2248" s="5">
        <f>IFERROR(__xludf.DUMMYFUNCTION("""COMPUTED_VALUE"""),3.0)</f>
        <v>3</v>
      </c>
    </row>
    <row r="2249">
      <c r="J2249" s="5" t="str">
        <f>IFERROR(__xludf.DUMMYFUNCTION("""COMPUTED_VALUE"""),"750🤙🏼X: First Class🤙🏼Action🤙🏼1")</f>
        <v>750🤙🏼X: First Class🤙🏼Action🤙🏼1</v>
      </c>
      <c r="K2249" s="5">
        <f>IFERROR(__xludf.DUMMYFUNCTION("SPLiT(J2249, ""🤙🏼"",FALSE,FALSE)"),750.0)</f>
        <v>750</v>
      </c>
      <c r="L2249" s="5" t="str">
        <f>IFERROR(__xludf.DUMMYFUNCTION("""COMPUTED_VALUE"""),"X: First Class")</f>
        <v>X: First Class</v>
      </c>
      <c r="M2249" s="5" t="str">
        <f>IFERROR(__xludf.DUMMYFUNCTION("""COMPUTED_VALUE"""),"Action")</f>
        <v>Action</v>
      </c>
      <c r="N2249" s="5">
        <f>IFERROR(__xludf.DUMMYFUNCTION("""COMPUTED_VALUE"""),1.0)</f>
        <v>1</v>
      </c>
      <c r="S2249" s="5">
        <f>IFERROR(__xludf.DUMMYFUNCTION("""COMPUTED_VALUE"""),890.0)</f>
        <v>890</v>
      </c>
      <c r="T2249" s="5" t="str">
        <f>IFERROR(__xludf.DUMMYFUNCTION("""COMPUTED_VALUE"""),"Only the Brave")</f>
        <v>Only the Brave</v>
      </c>
      <c r="U2249" s="5" t="str">
        <f>IFERROR(__xludf.DUMMYFUNCTION("""COMPUTED_VALUE"""),"Action")</f>
        <v>Action</v>
      </c>
      <c r="V2249" s="5">
        <f>IFERROR(__xludf.DUMMYFUNCTION("""COMPUTED_VALUE"""),1.0)</f>
        <v>1</v>
      </c>
    </row>
    <row r="2250">
      <c r="J2250" s="5" t="str">
        <f>IFERROR(__xludf.DUMMYFUNCTION("""COMPUTED_VALUE"""),"750🤙🏼X: First Class🤙🏼Adventure🤙🏼2")</f>
        <v>750🤙🏼X: First Class🤙🏼Adventure🤙🏼2</v>
      </c>
      <c r="K2250" s="5">
        <f>IFERROR(__xludf.DUMMYFUNCTION("SPLiT(J2250, ""🤙🏼"",FALSE,FALSE)"),750.0)</f>
        <v>750</v>
      </c>
      <c r="L2250" s="5" t="str">
        <f>IFERROR(__xludf.DUMMYFUNCTION("""COMPUTED_VALUE"""),"X: First Class")</f>
        <v>X: First Class</v>
      </c>
      <c r="M2250" s="5" t="str">
        <f>IFERROR(__xludf.DUMMYFUNCTION("""COMPUTED_VALUE"""),"Adventure")</f>
        <v>Adventure</v>
      </c>
      <c r="N2250" s="5">
        <f>IFERROR(__xludf.DUMMYFUNCTION("""COMPUTED_VALUE"""),2.0)</f>
        <v>2</v>
      </c>
      <c r="S2250" s="5">
        <f>IFERROR(__xludf.DUMMYFUNCTION("""COMPUTED_VALUE"""),890.0)</f>
        <v>890</v>
      </c>
      <c r="T2250" s="5" t="str">
        <f>IFERROR(__xludf.DUMMYFUNCTION("""COMPUTED_VALUE"""),"Only the Brave")</f>
        <v>Only the Brave</v>
      </c>
      <c r="U2250" s="5" t="str">
        <f>IFERROR(__xludf.DUMMYFUNCTION("""COMPUTED_VALUE"""),"Biography")</f>
        <v>Biography</v>
      </c>
      <c r="V2250" s="5">
        <f>IFERROR(__xludf.DUMMYFUNCTION("""COMPUTED_VALUE"""),2.0)</f>
        <v>2</v>
      </c>
    </row>
    <row r="2251">
      <c r="J2251" s="5" t="str">
        <f>IFERROR(__xludf.DUMMYFUNCTION("""COMPUTED_VALUE"""),"750🤙🏼X: First Class🤙🏼Sci-Fi🤙🏼3")</f>
        <v>750🤙🏼X: First Class🤙🏼Sci-Fi🤙🏼3</v>
      </c>
      <c r="K2251" s="5">
        <f>IFERROR(__xludf.DUMMYFUNCTION("SPLiT(J2251, ""🤙🏼"",FALSE,FALSE)"),750.0)</f>
        <v>750</v>
      </c>
      <c r="L2251" s="5" t="str">
        <f>IFERROR(__xludf.DUMMYFUNCTION("""COMPUTED_VALUE"""),"X: First Class")</f>
        <v>X: First Class</v>
      </c>
      <c r="M2251" s="5" t="str">
        <f>IFERROR(__xludf.DUMMYFUNCTION("""COMPUTED_VALUE"""),"Sci-Fi")</f>
        <v>Sci-Fi</v>
      </c>
      <c r="N2251" s="5">
        <f>IFERROR(__xludf.DUMMYFUNCTION("""COMPUTED_VALUE"""),3.0)</f>
        <v>3</v>
      </c>
      <c r="S2251" s="5">
        <f>IFERROR(__xludf.DUMMYFUNCTION("""COMPUTED_VALUE"""),890.0)</f>
        <v>890</v>
      </c>
      <c r="T2251" s="5" t="str">
        <f>IFERROR(__xludf.DUMMYFUNCTION("""COMPUTED_VALUE"""),"Only the Brave")</f>
        <v>Only the Brave</v>
      </c>
      <c r="U2251" s="5" t="str">
        <f>IFERROR(__xludf.DUMMYFUNCTION("""COMPUTED_VALUE"""),"Drama")</f>
        <v>Drama</v>
      </c>
      <c r="V2251" s="5">
        <f>IFERROR(__xludf.DUMMYFUNCTION("""COMPUTED_VALUE"""),3.0)</f>
        <v>3</v>
      </c>
    </row>
    <row r="2252">
      <c r="J2252" s="5" t="str">
        <f>IFERROR(__xludf.DUMMYFUNCTION("""COMPUTED_VALUE"""),"751🤙🏼The Hangover🤙🏼Comedy🤙🏼1")</f>
        <v>751🤙🏼The Hangover🤙🏼Comedy🤙🏼1</v>
      </c>
      <c r="K2252" s="5">
        <f>IFERROR(__xludf.DUMMYFUNCTION("SPLiT(J2252, ""🤙🏼"",FALSE,FALSE)"),751.0)</f>
        <v>751</v>
      </c>
      <c r="L2252" s="5" t="str">
        <f>IFERROR(__xludf.DUMMYFUNCTION("""COMPUTED_VALUE"""),"The Hangover")</f>
        <v>The Hangover</v>
      </c>
      <c r="M2252" s="5" t="str">
        <f>IFERROR(__xludf.DUMMYFUNCTION("""COMPUTED_VALUE"""),"Comedy")</f>
        <v>Comedy</v>
      </c>
      <c r="N2252" s="5">
        <f>IFERROR(__xludf.DUMMYFUNCTION("""COMPUTED_VALUE"""),1.0)</f>
        <v>1</v>
      </c>
      <c r="S2252" s="5">
        <f>IFERROR(__xludf.DUMMYFUNCTION("""COMPUTED_VALUE"""),891.0)</f>
        <v>891</v>
      </c>
      <c r="T2252" s="5" t="str">
        <f>IFERROR(__xludf.DUMMYFUNCTION("""COMPUTED_VALUE"""),"Bridge of Spies")</f>
        <v>Bridge of Spies</v>
      </c>
      <c r="U2252" s="5" t="str">
        <f>IFERROR(__xludf.DUMMYFUNCTION("""COMPUTED_VALUE"""),"Drama")</f>
        <v>Drama</v>
      </c>
      <c r="V2252" s="5">
        <f>IFERROR(__xludf.DUMMYFUNCTION("""COMPUTED_VALUE"""),1.0)</f>
        <v>1</v>
      </c>
    </row>
    <row r="2253">
      <c r="J2253" s="5" t="str">
        <f>IFERROR(__xludf.DUMMYFUNCTION("""COMPUTED_VALUE"""),"751🤙🏼The Hangover🤙🏼🤙🏼2")</f>
        <v>751🤙🏼The Hangover🤙🏼🤙🏼2</v>
      </c>
      <c r="K2253" s="5">
        <f>IFERROR(__xludf.DUMMYFUNCTION("SPLiT(J2253, ""🤙🏼"",FALSE,FALSE)"),751.0)</f>
        <v>751</v>
      </c>
      <c r="L2253" s="5" t="str">
        <f>IFERROR(__xludf.DUMMYFUNCTION("""COMPUTED_VALUE"""),"The Hangover")</f>
        <v>The Hangover</v>
      </c>
      <c r="M2253" s="5"/>
      <c r="N2253" s="5">
        <f>IFERROR(__xludf.DUMMYFUNCTION("""COMPUTED_VALUE"""),2.0)</f>
        <v>2</v>
      </c>
      <c r="S2253" s="5">
        <f>IFERROR(__xludf.DUMMYFUNCTION("""COMPUTED_VALUE"""),891.0)</f>
        <v>891</v>
      </c>
      <c r="T2253" s="5" t="str">
        <f>IFERROR(__xludf.DUMMYFUNCTION("""COMPUTED_VALUE"""),"Bridge of Spies")</f>
        <v>Bridge of Spies</v>
      </c>
      <c r="U2253" s="5" t="str">
        <f>IFERROR(__xludf.DUMMYFUNCTION("""COMPUTED_VALUE"""),"History")</f>
        <v>History</v>
      </c>
      <c r="V2253" s="5">
        <f>IFERROR(__xludf.DUMMYFUNCTION("""COMPUTED_VALUE"""),2.0)</f>
        <v>2</v>
      </c>
    </row>
    <row r="2254">
      <c r="J2254" s="5" t="str">
        <f>IFERROR(__xludf.DUMMYFUNCTION("""COMPUTED_VALUE"""),"751🤙🏼The Hangover🤙🏼🤙🏼3")</f>
        <v>751🤙🏼The Hangover🤙🏼🤙🏼3</v>
      </c>
      <c r="K2254" s="5">
        <f>IFERROR(__xludf.DUMMYFUNCTION("SPLiT(J2254, ""🤙🏼"",FALSE,FALSE)"),751.0)</f>
        <v>751</v>
      </c>
      <c r="L2254" s="5" t="str">
        <f>IFERROR(__xludf.DUMMYFUNCTION("""COMPUTED_VALUE"""),"The Hangover")</f>
        <v>The Hangover</v>
      </c>
      <c r="M2254" s="5"/>
      <c r="N2254" s="5">
        <f>IFERROR(__xludf.DUMMYFUNCTION("""COMPUTED_VALUE"""),3.0)</f>
        <v>3</v>
      </c>
      <c r="S2254" s="5">
        <f>IFERROR(__xludf.DUMMYFUNCTION("""COMPUTED_VALUE"""),891.0)</f>
        <v>891</v>
      </c>
      <c r="T2254" s="5" t="str">
        <f>IFERROR(__xludf.DUMMYFUNCTION("""COMPUTED_VALUE"""),"Bridge of Spies")</f>
        <v>Bridge of Spies</v>
      </c>
      <c r="U2254" s="5" t="str">
        <f>IFERROR(__xludf.DUMMYFUNCTION("""COMPUTED_VALUE"""),"Thriller")</f>
        <v>Thriller</v>
      </c>
      <c r="V2254" s="5">
        <f>IFERROR(__xludf.DUMMYFUNCTION("""COMPUTED_VALUE"""),3.0)</f>
        <v>3</v>
      </c>
    </row>
    <row r="2255">
      <c r="J2255" s="5" t="str">
        <f>IFERROR(__xludf.DUMMYFUNCTION("""COMPUTED_VALUE"""),"752🤙🏼Skyfall🤙🏼Action🤙🏼1")</f>
        <v>752🤙🏼Skyfall🤙🏼Action🤙🏼1</v>
      </c>
      <c r="K2255" s="5">
        <f>IFERROR(__xludf.DUMMYFUNCTION("SPLiT(J2255, ""🤙🏼"",FALSE,FALSE)"),752.0)</f>
        <v>752</v>
      </c>
      <c r="L2255" s="5" t="str">
        <f>IFERROR(__xludf.DUMMYFUNCTION("""COMPUTED_VALUE"""),"Skyfall")</f>
        <v>Skyfall</v>
      </c>
      <c r="M2255" s="5" t="str">
        <f>IFERROR(__xludf.DUMMYFUNCTION("""COMPUTED_VALUE"""),"Action")</f>
        <v>Action</v>
      </c>
      <c r="N2255" s="5">
        <f>IFERROR(__xludf.DUMMYFUNCTION("""COMPUTED_VALUE"""),1.0)</f>
        <v>1</v>
      </c>
      <c r="S2255" s="5">
        <f>IFERROR(__xludf.DUMMYFUNCTION("""COMPUTED_VALUE"""),892.0)</f>
        <v>892</v>
      </c>
      <c r="T2255" s="5" t="str">
        <f>IFERROR(__xludf.DUMMYFUNCTION("""COMPUTED_VALUE"""),"Incredibles 2")</f>
        <v>Incredibles 2</v>
      </c>
      <c r="U2255" s="5" t="str">
        <f>IFERROR(__xludf.DUMMYFUNCTION("""COMPUTED_VALUE"""),"Animation")</f>
        <v>Animation</v>
      </c>
      <c r="V2255" s="5">
        <f>IFERROR(__xludf.DUMMYFUNCTION("""COMPUTED_VALUE"""),1.0)</f>
        <v>1</v>
      </c>
    </row>
    <row r="2256">
      <c r="J2256" s="5" t="str">
        <f>IFERROR(__xludf.DUMMYFUNCTION("""COMPUTED_VALUE"""),"752🤙🏼Skyfall🤙🏼Adventure🤙🏼2")</f>
        <v>752🤙🏼Skyfall🤙🏼Adventure🤙🏼2</v>
      </c>
      <c r="K2256" s="5">
        <f>IFERROR(__xludf.DUMMYFUNCTION("SPLiT(J2256, ""🤙🏼"",FALSE,FALSE)"),752.0)</f>
        <v>752</v>
      </c>
      <c r="L2256" s="5" t="str">
        <f>IFERROR(__xludf.DUMMYFUNCTION("""COMPUTED_VALUE"""),"Skyfall")</f>
        <v>Skyfall</v>
      </c>
      <c r="M2256" s="5" t="str">
        <f>IFERROR(__xludf.DUMMYFUNCTION("""COMPUTED_VALUE"""),"Adventure")</f>
        <v>Adventure</v>
      </c>
      <c r="N2256" s="5">
        <f>IFERROR(__xludf.DUMMYFUNCTION("""COMPUTED_VALUE"""),2.0)</f>
        <v>2</v>
      </c>
      <c r="S2256" s="5">
        <f>IFERROR(__xludf.DUMMYFUNCTION("""COMPUTED_VALUE"""),892.0)</f>
        <v>892</v>
      </c>
      <c r="T2256" s="5" t="str">
        <f>IFERROR(__xludf.DUMMYFUNCTION("""COMPUTED_VALUE"""),"Incredibles 2")</f>
        <v>Incredibles 2</v>
      </c>
      <c r="U2256" s="5" t="str">
        <f>IFERROR(__xludf.DUMMYFUNCTION("""COMPUTED_VALUE"""),"Action")</f>
        <v>Action</v>
      </c>
      <c r="V2256" s="5">
        <f>IFERROR(__xludf.DUMMYFUNCTION("""COMPUTED_VALUE"""),2.0)</f>
        <v>2</v>
      </c>
    </row>
    <row r="2257">
      <c r="J2257" s="5" t="str">
        <f>IFERROR(__xludf.DUMMYFUNCTION("""COMPUTED_VALUE"""),"752🤙🏼Skyfall🤙🏼Thriller🤙🏼3")</f>
        <v>752🤙🏼Skyfall🤙🏼Thriller🤙🏼3</v>
      </c>
      <c r="K2257" s="5">
        <f>IFERROR(__xludf.DUMMYFUNCTION("SPLiT(J2257, ""🤙🏼"",FALSE,FALSE)"),752.0)</f>
        <v>752</v>
      </c>
      <c r="L2257" s="5" t="str">
        <f>IFERROR(__xludf.DUMMYFUNCTION("""COMPUTED_VALUE"""),"Skyfall")</f>
        <v>Skyfall</v>
      </c>
      <c r="M2257" s="5" t="str">
        <f>IFERROR(__xludf.DUMMYFUNCTION("""COMPUTED_VALUE"""),"Thriller")</f>
        <v>Thriller</v>
      </c>
      <c r="N2257" s="5">
        <f>IFERROR(__xludf.DUMMYFUNCTION("""COMPUTED_VALUE"""),3.0)</f>
        <v>3</v>
      </c>
      <c r="S2257" s="5">
        <f>IFERROR(__xludf.DUMMYFUNCTION("""COMPUTED_VALUE"""),892.0)</f>
        <v>892</v>
      </c>
      <c r="T2257" s="5" t="str">
        <f>IFERROR(__xludf.DUMMYFUNCTION("""COMPUTED_VALUE"""),"Incredibles 2")</f>
        <v>Incredibles 2</v>
      </c>
      <c r="U2257" s="5" t="str">
        <f>IFERROR(__xludf.DUMMYFUNCTION("""COMPUTED_VALUE"""),"Adventure")</f>
        <v>Adventure</v>
      </c>
      <c r="V2257" s="5">
        <f>IFERROR(__xludf.DUMMYFUNCTION("""COMPUTED_VALUE"""),3.0)</f>
        <v>3</v>
      </c>
    </row>
    <row r="2258">
      <c r="J2258" s="5" t="str">
        <f>IFERROR(__xludf.DUMMYFUNCTION("""COMPUTED_VALUE"""),"753🤙🏼Silver Linings Playbook🤙🏼Comedy🤙🏼1")</f>
        <v>753🤙🏼Silver Linings Playbook🤙🏼Comedy🤙🏼1</v>
      </c>
      <c r="K2258" s="5">
        <f>IFERROR(__xludf.DUMMYFUNCTION("SPLiT(J2258, ""🤙🏼"",FALSE,FALSE)"),753.0)</f>
        <v>753</v>
      </c>
      <c r="L2258" s="5" t="str">
        <f>IFERROR(__xludf.DUMMYFUNCTION("""COMPUTED_VALUE"""),"Silver Linings Playbook")</f>
        <v>Silver Linings Playbook</v>
      </c>
      <c r="M2258" s="5" t="str">
        <f>IFERROR(__xludf.DUMMYFUNCTION("""COMPUTED_VALUE"""),"Comedy")</f>
        <v>Comedy</v>
      </c>
      <c r="N2258" s="5">
        <f>IFERROR(__xludf.DUMMYFUNCTION("""COMPUTED_VALUE"""),1.0)</f>
        <v>1</v>
      </c>
      <c r="S2258" s="5">
        <f>IFERROR(__xludf.DUMMYFUNCTION("""COMPUTED_VALUE"""),893.0)</f>
        <v>893</v>
      </c>
      <c r="T2258" s="5" t="str">
        <f>IFERROR(__xludf.DUMMYFUNCTION("""COMPUTED_VALUE"""),"Moana")</f>
        <v>Moana</v>
      </c>
      <c r="U2258" s="5" t="str">
        <f>IFERROR(__xludf.DUMMYFUNCTION("""COMPUTED_VALUE"""),"Animation")</f>
        <v>Animation</v>
      </c>
      <c r="V2258" s="5">
        <f>IFERROR(__xludf.DUMMYFUNCTION("""COMPUTED_VALUE"""),1.0)</f>
        <v>1</v>
      </c>
    </row>
    <row r="2259">
      <c r="J2259" s="5" t="str">
        <f>IFERROR(__xludf.DUMMYFUNCTION("""COMPUTED_VALUE"""),"753🤙🏼Silver Linings Playbook🤙🏼Drama🤙🏼2")</f>
        <v>753🤙🏼Silver Linings Playbook🤙🏼Drama🤙🏼2</v>
      </c>
      <c r="K2259" s="5">
        <f>IFERROR(__xludf.DUMMYFUNCTION("SPLiT(J2259, ""🤙🏼"",FALSE,FALSE)"),753.0)</f>
        <v>753</v>
      </c>
      <c r="L2259" s="5" t="str">
        <f>IFERROR(__xludf.DUMMYFUNCTION("""COMPUTED_VALUE"""),"Silver Linings Playbook")</f>
        <v>Silver Linings Playbook</v>
      </c>
      <c r="M2259" s="5" t="str">
        <f>IFERROR(__xludf.DUMMYFUNCTION("""COMPUTED_VALUE"""),"Drama")</f>
        <v>Drama</v>
      </c>
      <c r="N2259" s="5">
        <f>IFERROR(__xludf.DUMMYFUNCTION("""COMPUTED_VALUE"""),2.0)</f>
        <v>2</v>
      </c>
      <c r="S2259" s="5">
        <f>IFERROR(__xludf.DUMMYFUNCTION("""COMPUTED_VALUE"""),893.0)</f>
        <v>893</v>
      </c>
      <c r="T2259" s="5" t="str">
        <f>IFERROR(__xludf.DUMMYFUNCTION("""COMPUTED_VALUE"""),"Moana")</f>
        <v>Moana</v>
      </c>
      <c r="U2259" s="5" t="str">
        <f>IFERROR(__xludf.DUMMYFUNCTION("""COMPUTED_VALUE"""),"Adventure")</f>
        <v>Adventure</v>
      </c>
      <c r="V2259" s="5">
        <f>IFERROR(__xludf.DUMMYFUNCTION("""COMPUTED_VALUE"""),2.0)</f>
        <v>2</v>
      </c>
    </row>
    <row r="2260">
      <c r="J2260" s="5" t="str">
        <f>IFERROR(__xludf.DUMMYFUNCTION("""COMPUTED_VALUE"""),"753🤙🏼Silver Linings Playbook🤙🏼Romance🤙🏼3")</f>
        <v>753🤙🏼Silver Linings Playbook🤙🏼Romance🤙🏼3</v>
      </c>
      <c r="K2260" s="5">
        <f>IFERROR(__xludf.DUMMYFUNCTION("SPLiT(J2260, ""🤙🏼"",FALSE,FALSE)"),753.0)</f>
        <v>753</v>
      </c>
      <c r="L2260" s="5" t="str">
        <f>IFERROR(__xludf.DUMMYFUNCTION("""COMPUTED_VALUE"""),"Silver Linings Playbook")</f>
        <v>Silver Linings Playbook</v>
      </c>
      <c r="M2260" s="5" t="str">
        <f>IFERROR(__xludf.DUMMYFUNCTION("""COMPUTED_VALUE"""),"Romance")</f>
        <v>Romance</v>
      </c>
      <c r="N2260" s="5">
        <f>IFERROR(__xludf.DUMMYFUNCTION("""COMPUTED_VALUE"""),3.0)</f>
        <v>3</v>
      </c>
      <c r="S2260" s="5">
        <f>IFERROR(__xludf.DUMMYFUNCTION("""COMPUTED_VALUE"""),893.0)</f>
        <v>893</v>
      </c>
      <c r="T2260" s="5" t="str">
        <f>IFERROR(__xludf.DUMMYFUNCTION("""COMPUTED_VALUE"""),"Moana")</f>
        <v>Moana</v>
      </c>
      <c r="U2260" s="5" t="str">
        <f>IFERROR(__xludf.DUMMYFUNCTION("""COMPUTED_VALUE"""),"Comedy")</f>
        <v>Comedy</v>
      </c>
      <c r="V2260" s="5">
        <f>IFERROR(__xludf.DUMMYFUNCTION("""COMPUTED_VALUE"""),3.0)</f>
        <v>3</v>
      </c>
    </row>
    <row r="2261">
      <c r="J2261" s="5" t="str">
        <f>IFERROR(__xludf.DUMMYFUNCTION("""COMPUTED_VALUE"""),"754🤙🏼Argo🤙🏼Biography🤙🏼1")</f>
        <v>754🤙🏼Argo🤙🏼Biography🤙🏼1</v>
      </c>
      <c r="K2261" s="5">
        <f>IFERROR(__xludf.DUMMYFUNCTION("SPLiT(J2261, ""🤙🏼"",FALSE,FALSE)"),754.0)</f>
        <v>754</v>
      </c>
      <c r="L2261" s="5" t="str">
        <f>IFERROR(__xludf.DUMMYFUNCTION("""COMPUTED_VALUE"""),"Argo")</f>
        <v>Argo</v>
      </c>
      <c r="M2261" s="5" t="str">
        <f>IFERROR(__xludf.DUMMYFUNCTION("""COMPUTED_VALUE"""),"Biography")</f>
        <v>Biography</v>
      </c>
      <c r="N2261" s="5">
        <f>IFERROR(__xludf.DUMMYFUNCTION("""COMPUTED_VALUE"""),1.0)</f>
        <v>1</v>
      </c>
      <c r="S2261" s="5">
        <f>IFERROR(__xludf.DUMMYFUNCTION("""COMPUTED_VALUE"""),894.0)</f>
        <v>894</v>
      </c>
      <c r="T2261" s="5" t="str">
        <f>IFERROR(__xludf.DUMMYFUNCTION("""COMPUTED_VALUE"""),"Sicario")</f>
        <v>Sicario</v>
      </c>
      <c r="U2261" s="5" t="str">
        <f>IFERROR(__xludf.DUMMYFUNCTION("""COMPUTED_VALUE"""),"Action")</f>
        <v>Action</v>
      </c>
      <c r="V2261" s="5">
        <f>IFERROR(__xludf.DUMMYFUNCTION("""COMPUTED_VALUE"""),1.0)</f>
        <v>1</v>
      </c>
    </row>
    <row r="2262">
      <c r="J2262" s="5" t="str">
        <f>IFERROR(__xludf.DUMMYFUNCTION("""COMPUTED_VALUE"""),"754🤙🏼Argo🤙🏼Drama🤙🏼2")</f>
        <v>754🤙🏼Argo🤙🏼Drama🤙🏼2</v>
      </c>
      <c r="K2262" s="5">
        <f>IFERROR(__xludf.DUMMYFUNCTION("SPLiT(J2262, ""🤙🏼"",FALSE,FALSE)"),754.0)</f>
        <v>754</v>
      </c>
      <c r="L2262" s="5" t="str">
        <f>IFERROR(__xludf.DUMMYFUNCTION("""COMPUTED_VALUE"""),"Argo")</f>
        <v>Argo</v>
      </c>
      <c r="M2262" s="5" t="str">
        <f>IFERROR(__xludf.DUMMYFUNCTION("""COMPUTED_VALUE"""),"Drama")</f>
        <v>Drama</v>
      </c>
      <c r="N2262" s="5">
        <f>IFERROR(__xludf.DUMMYFUNCTION("""COMPUTED_VALUE"""),2.0)</f>
        <v>2</v>
      </c>
      <c r="S2262" s="5">
        <f>IFERROR(__xludf.DUMMYFUNCTION("""COMPUTED_VALUE"""),894.0)</f>
        <v>894</v>
      </c>
      <c r="T2262" s="5" t="str">
        <f>IFERROR(__xludf.DUMMYFUNCTION("""COMPUTED_VALUE"""),"Sicario")</f>
        <v>Sicario</v>
      </c>
      <c r="U2262" s="5" t="str">
        <f>IFERROR(__xludf.DUMMYFUNCTION("""COMPUTED_VALUE"""),"Crime")</f>
        <v>Crime</v>
      </c>
      <c r="V2262" s="5">
        <f>IFERROR(__xludf.DUMMYFUNCTION("""COMPUTED_VALUE"""),2.0)</f>
        <v>2</v>
      </c>
    </row>
    <row r="2263">
      <c r="J2263" s="5" t="str">
        <f>IFERROR(__xludf.DUMMYFUNCTION("""COMPUTED_VALUE"""),"754🤙🏼Argo🤙🏼Thriller🤙🏼3")</f>
        <v>754🤙🏼Argo🤙🏼Thriller🤙🏼3</v>
      </c>
      <c r="K2263" s="5">
        <f>IFERROR(__xludf.DUMMYFUNCTION("SPLiT(J2263, ""🤙🏼"",FALSE,FALSE)"),754.0)</f>
        <v>754</v>
      </c>
      <c r="L2263" s="5" t="str">
        <f>IFERROR(__xludf.DUMMYFUNCTION("""COMPUTED_VALUE"""),"Argo")</f>
        <v>Argo</v>
      </c>
      <c r="M2263" s="5" t="str">
        <f>IFERROR(__xludf.DUMMYFUNCTION("""COMPUTED_VALUE"""),"Thriller")</f>
        <v>Thriller</v>
      </c>
      <c r="N2263" s="5">
        <f>IFERROR(__xludf.DUMMYFUNCTION("""COMPUTED_VALUE"""),3.0)</f>
        <v>3</v>
      </c>
      <c r="S2263" s="5">
        <f>IFERROR(__xludf.DUMMYFUNCTION("""COMPUTED_VALUE"""),894.0)</f>
        <v>894</v>
      </c>
      <c r="T2263" s="5" t="str">
        <f>IFERROR(__xludf.DUMMYFUNCTION("""COMPUTED_VALUE"""),"Sicario")</f>
        <v>Sicario</v>
      </c>
      <c r="U2263" s="5" t="str">
        <f>IFERROR(__xludf.DUMMYFUNCTION("""COMPUTED_VALUE"""),"Drama")</f>
        <v>Drama</v>
      </c>
      <c r="V2263" s="5">
        <f>IFERROR(__xludf.DUMMYFUNCTION("""COMPUTED_VALUE"""),3.0)</f>
        <v>3</v>
      </c>
    </row>
    <row r="2264">
      <c r="J2264" s="5" t="str">
        <f>IFERROR(__xludf.DUMMYFUNCTION("""COMPUTED_VALUE"""),"755🤙🏼(500) Days of Summer🤙🏼Comedy🤙🏼1")</f>
        <v>755🤙🏼(500) Days of Summer🤙🏼Comedy🤙🏼1</v>
      </c>
      <c r="K2264" s="5">
        <f>IFERROR(__xludf.DUMMYFUNCTION("SPLiT(J2264, ""🤙🏼"",FALSE,FALSE)"),755.0)</f>
        <v>755</v>
      </c>
      <c r="L2264" s="5" t="str">
        <f>IFERROR(__xludf.DUMMYFUNCTION("""COMPUTED_VALUE"""),"(500) Days of Summer")</f>
        <v>(500) Days of Summer</v>
      </c>
      <c r="M2264" s="5" t="str">
        <f>IFERROR(__xludf.DUMMYFUNCTION("""COMPUTED_VALUE"""),"Comedy")</f>
        <v>Comedy</v>
      </c>
      <c r="N2264" s="5">
        <f>IFERROR(__xludf.DUMMYFUNCTION("""COMPUTED_VALUE"""),1.0)</f>
        <v>1</v>
      </c>
      <c r="S2264" s="5">
        <f>IFERROR(__xludf.DUMMYFUNCTION("""COMPUTED_VALUE"""),895.0)</f>
        <v>895</v>
      </c>
      <c r="T2264" s="5" t="str">
        <f>IFERROR(__xludf.DUMMYFUNCTION("""COMPUTED_VALUE"""),"Creed")</f>
        <v>Creed</v>
      </c>
      <c r="U2264" s="5" t="str">
        <f>IFERROR(__xludf.DUMMYFUNCTION("""COMPUTED_VALUE"""),"Drama")</f>
        <v>Drama</v>
      </c>
      <c r="V2264" s="5">
        <f>IFERROR(__xludf.DUMMYFUNCTION("""COMPUTED_VALUE"""),1.0)</f>
        <v>1</v>
      </c>
    </row>
    <row r="2265">
      <c r="J2265" s="5" t="str">
        <f>IFERROR(__xludf.DUMMYFUNCTION("""COMPUTED_VALUE"""),"755🤙🏼(500) Days of Summer🤙🏼Drama🤙🏼2")</f>
        <v>755🤙🏼(500) Days of Summer🤙🏼Drama🤙🏼2</v>
      </c>
      <c r="K2265" s="5">
        <f>IFERROR(__xludf.DUMMYFUNCTION("SPLiT(J2265, ""🤙🏼"",FALSE,FALSE)"),755.0)</f>
        <v>755</v>
      </c>
      <c r="L2265" s="5" t="str">
        <f>IFERROR(__xludf.DUMMYFUNCTION("""COMPUTED_VALUE"""),"(500) Days of Summer")</f>
        <v>(500) Days of Summer</v>
      </c>
      <c r="M2265" s="5" t="str">
        <f>IFERROR(__xludf.DUMMYFUNCTION("""COMPUTED_VALUE"""),"Drama")</f>
        <v>Drama</v>
      </c>
      <c r="N2265" s="5">
        <f>IFERROR(__xludf.DUMMYFUNCTION("""COMPUTED_VALUE"""),2.0)</f>
        <v>2</v>
      </c>
      <c r="S2265" s="5">
        <f>IFERROR(__xludf.DUMMYFUNCTION("""COMPUTED_VALUE"""),895.0)</f>
        <v>895</v>
      </c>
      <c r="T2265" s="5" t="str">
        <f>IFERROR(__xludf.DUMMYFUNCTION("""COMPUTED_VALUE"""),"Creed")</f>
        <v>Creed</v>
      </c>
      <c r="U2265" s="5" t="str">
        <f>IFERROR(__xludf.DUMMYFUNCTION("""COMPUTED_VALUE"""),"Sport")</f>
        <v>Sport</v>
      </c>
      <c r="V2265" s="5">
        <f>IFERROR(__xludf.DUMMYFUNCTION("""COMPUTED_VALUE"""),2.0)</f>
        <v>2</v>
      </c>
    </row>
    <row r="2266">
      <c r="J2266" s="5" t="str">
        <f>IFERROR(__xludf.DUMMYFUNCTION("""COMPUTED_VALUE"""),"755🤙🏼(500) Days of Summer🤙🏼Romance🤙🏼3")</f>
        <v>755🤙🏼(500) Days of Summer🤙🏼Romance🤙🏼3</v>
      </c>
      <c r="K2266" s="5">
        <f>IFERROR(__xludf.DUMMYFUNCTION("SPLiT(J2266, ""🤙🏼"",FALSE,FALSE)"),755.0)</f>
        <v>755</v>
      </c>
      <c r="L2266" s="5" t="str">
        <f>IFERROR(__xludf.DUMMYFUNCTION("""COMPUTED_VALUE"""),"(500) Days of Summer")</f>
        <v>(500) Days of Summer</v>
      </c>
      <c r="M2266" s="5" t="str">
        <f>IFERROR(__xludf.DUMMYFUNCTION("""COMPUTED_VALUE"""),"Romance")</f>
        <v>Romance</v>
      </c>
      <c r="N2266" s="5">
        <f>IFERROR(__xludf.DUMMYFUNCTION("""COMPUTED_VALUE"""),3.0)</f>
        <v>3</v>
      </c>
      <c r="S2266" s="5">
        <f>IFERROR(__xludf.DUMMYFUNCTION("""COMPUTED_VALUE"""),896.0)</f>
        <v>896</v>
      </c>
      <c r="T2266" s="5" t="str">
        <f>IFERROR(__xludf.DUMMYFUNCTION("""COMPUTED_VALUE"""),"Leviafan")</f>
        <v>Leviafan</v>
      </c>
      <c r="U2266" s="5" t="str">
        <f>IFERROR(__xludf.DUMMYFUNCTION("""COMPUTED_VALUE"""),"Crime")</f>
        <v>Crime</v>
      </c>
      <c r="V2266" s="5">
        <f>IFERROR(__xludf.DUMMYFUNCTION("""COMPUTED_VALUE"""),1.0)</f>
        <v>1</v>
      </c>
    </row>
    <row r="2267">
      <c r="J2267" s="5" t="str">
        <f>IFERROR(__xludf.DUMMYFUNCTION("""COMPUTED_VALUE"""),"756🤙🏼Harry Potter and the Deathly Hallows: Part 1🤙🏼Adventure🤙🏼1")</f>
        <v>756🤙🏼Harry Potter and the Deathly Hallows: Part 1🤙🏼Adventure🤙🏼1</v>
      </c>
      <c r="K2267" s="5">
        <f>IFERROR(__xludf.DUMMYFUNCTION("SPLiT(J2267, ""🤙🏼"",FALSE,FALSE)"),756.0)</f>
        <v>756</v>
      </c>
      <c r="L2267" s="5" t="str">
        <f>IFERROR(__xludf.DUMMYFUNCTION("""COMPUTED_VALUE"""),"Harry Potter and the Deathly Hallows: Part 1")</f>
        <v>Harry Potter and the Deathly Hallows: Part 1</v>
      </c>
      <c r="M2267" s="5" t="str">
        <f>IFERROR(__xludf.DUMMYFUNCTION("""COMPUTED_VALUE"""),"Adventure")</f>
        <v>Adventure</v>
      </c>
      <c r="N2267" s="5">
        <f>IFERROR(__xludf.DUMMYFUNCTION("""COMPUTED_VALUE"""),1.0)</f>
        <v>1</v>
      </c>
      <c r="S2267" s="5">
        <f>IFERROR(__xludf.DUMMYFUNCTION("""COMPUTED_VALUE"""),896.0)</f>
        <v>896</v>
      </c>
      <c r="T2267" s="5" t="str">
        <f>IFERROR(__xludf.DUMMYFUNCTION("""COMPUTED_VALUE"""),"Leviafan")</f>
        <v>Leviafan</v>
      </c>
      <c r="U2267" s="5" t="str">
        <f>IFERROR(__xludf.DUMMYFUNCTION("""COMPUTED_VALUE"""),"Drama")</f>
        <v>Drama</v>
      </c>
      <c r="V2267" s="5">
        <f>IFERROR(__xludf.DUMMYFUNCTION("""COMPUTED_VALUE"""),2.0)</f>
        <v>2</v>
      </c>
    </row>
    <row r="2268">
      <c r="J2268" s="5" t="str">
        <f>IFERROR(__xludf.DUMMYFUNCTION("""COMPUTED_VALUE"""),"756🤙🏼Harry Potter and the Deathly Hallows: Part 1🤙🏼Family🤙🏼2")</f>
        <v>756🤙🏼Harry Potter and the Deathly Hallows: Part 1🤙🏼Family🤙🏼2</v>
      </c>
      <c r="K2268" s="5">
        <f>IFERROR(__xludf.DUMMYFUNCTION("SPLiT(J2268, ""🤙🏼"",FALSE,FALSE)"),756.0)</f>
        <v>756</v>
      </c>
      <c r="L2268" s="5" t="str">
        <f>IFERROR(__xludf.DUMMYFUNCTION("""COMPUTED_VALUE"""),"Harry Potter and the Deathly Hallows: Part 1")</f>
        <v>Harry Potter and the Deathly Hallows: Part 1</v>
      </c>
      <c r="M2268" s="5" t="str">
        <f>IFERROR(__xludf.DUMMYFUNCTION("""COMPUTED_VALUE"""),"Family")</f>
        <v>Family</v>
      </c>
      <c r="N2268" s="5">
        <f>IFERROR(__xludf.DUMMYFUNCTION("""COMPUTED_VALUE"""),2.0)</f>
        <v>2</v>
      </c>
      <c r="S2268" s="5">
        <f>IFERROR(__xludf.DUMMYFUNCTION("""COMPUTED_VALUE"""),897.0)</f>
        <v>897</v>
      </c>
      <c r="T2268" s="5" t="str">
        <f>IFERROR(__xludf.DUMMYFUNCTION("""COMPUTED_VALUE"""),"Hell or High Water")</f>
        <v>Hell or High Water</v>
      </c>
      <c r="U2268" s="5" t="str">
        <f>IFERROR(__xludf.DUMMYFUNCTION("""COMPUTED_VALUE"""),"Action")</f>
        <v>Action</v>
      </c>
      <c r="V2268" s="5">
        <f>IFERROR(__xludf.DUMMYFUNCTION("""COMPUTED_VALUE"""),1.0)</f>
        <v>1</v>
      </c>
    </row>
    <row r="2269">
      <c r="J2269" s="5" t="str">
        <f>IFERROR(__xludf.DUMMYFUNCTION("""COMPUTED_VALUE"""),"756🤙🏼Harry Potter and the Deathly Hallows: Part 1🤙🏼Fantasy🤙🏼3")</f>
        <v>756🤙🏼Harry Potter and the Deathly Hallows: Part 1🤙🏼Fantasy🤙🏼3</v>
      </c>
      <c r="K2269" s="5">
        <f>IFERROR(__xludf.DUMMYFUNCTION("SPLiT(J2269, ""🤙🏼"",FALSE,FALSE)"),756.0)</f>
        <v>756</v>
      </c>
      <c r="L2269" s="5" t="str">
        <f>IFERROR(__xludf.DUMMYFUNCTION("""COMPUTED_VALUE"""),"Harry Potter and the Deathly Hallows: Part 1")</f>
        <v>Harry Potter and the Deathly Hallows: Part 1</v>
      </c>
      <c r="M2269" s="5" t="str">
        <f>IFERROR(__xludf.DUMMYFUNCTION("""COMPUTED_VALUE"""),"Fantasy")</f>
        <v>Fantasy</v>
      </c>
      <c r="N2269" s="5">
        <f>IFERROR(__xludf.DUMMYFUNCTION("""COMPUTED_VALUE"""),3.0)</f>
        <v>3</v>
      </c>
      <c r="S2269" s="5">
        <f>IFERROR(__xludf.DUMMYFUNCTION("""COMPUTED_VALUE"""),897.0)</f>
        <v>897</v>
      </c>
      <c r="T2269" s="5" t="str">
        <f>IFERROR(__xludf.DUMMYFUNCTION("""COMPUTED_VALUE"""),"Hell or High Water")</f>
        <v>Hell or High Water</v>
      </c>
      <c r="U2269" s="5" t="str">
        <f>IFERROR(__xludf.DUMMYFUNCTION("""COMPUTED_VALUE"""),"Crime")</f>
        <v>Crime</v>
      </c>
      <c r="V2269" s="5">
        <f>IFERROR(__xludf.DUMMYFUNCTION("""COMPUTED_VALUE"""),2.0)</f>
        <v>2</v>
      </c>
    </row>
    <row r="2270">
      <c r="J2270" s="5" t="str">
        <f>IFERROR(__xludf.DUMMYFUNCTION("""COMPUTED_VALUE"""),"757🤙🏼Gake no ue no Ponyo🤙🏼Animation🤙🏼1")</f>
        <v>757🤙🏼Gake no ue no Ponyo🤙🏼Animation🤙🏼1</v>
      </c>
      <c r="K2270" s="5">
        <f>IFERROR(__xludf.DUMMYFUNCTION("SPLiT(J2270, ""🤙🏼"",FALSE,FALSE)"),757.0)</f>
        <v>757</v>
      </c>
      <c r="L2270" s="5" t="str">
        <f>IFERROR(__xludf.DUMMYFUNCTION("""COMPUTED_VALUE"""),"Gake no ue no Ponyo")</f>
        <v>Gake no ue no Ponyo</v>
      </c>
      <c r="M2270" s="5" t="str">
        <f>IFERROR(__xludf.DUMMYFUNCTION("""COMPUTED_VALUE"""),"Animation")</f>
        <v>Animation</v>
      </c>
      <c r="N2270" s="5">
        <f>IFERROR(__xludf.DUMMYFUNCTION("""COMPUTED_VALUE"""),1.0)</f>
        <v>1</v>
      </c>
      <c r="S2270" s="5">
        <f>IFERROR(__xludf.DUMMYFUNCTION("""COMPUTED_VALUE"""),897.0)</f>
        <v>897</v>
      </c>
      <c r="T2270" s="5" t="str">
        <f>IFERROR(__xludf.DUMMYFUNCTION("""COMPUTED_VALUE"""),"Hell or High Water")</f>
        <v>Hell or High Water</v>
      </c>
      <c r="U2270" s="5" t="str">
        <f>IFERROR(__xludf.DUMMYFUNCTION("""COMPUTED_VALUE"""),"Drama")</f>
        <v>Drama</v>
      </c>
      <c r="V2270" s="5">
        <f>IFERROR(__xludf.DUMMYFUNCTION("""COMPUTED_VALUE"""),3.0)</f>
        <v>3</v>
      </c>
    </row>
    <row r="2271">
      <c r="J2271" s="5" t="str">
        <f>IFERROR(__xludf.DUMMYFUNCTION("""COMPUTED_VALUE"""),"757🤙🏼Gake no ue no Ponyo🤙🏼Adventure🤙🏼2")</f>
        <v>757🤙🏼Gake no ue no Ponyo🤙🏼Adventure🤙🏼2</v>
      </c>
      <c r="K2271" s="5">
        <f>IFERROR(__xludf.DUMMYFUNCTION("SPLiT(J2271, ""🤙🏼"",FALSE,FALSE)"),757.0)</f>
        <v>757</v>
      </c>
      <c r="L2271" s="5" t="str">
        <f>IFERROR(__xludf.DUMMYFUNCTION("""COMPUTED_VALUE"""),"Gake no ue no Ponyo")</f>
        <v>Gake no ue no Ponyo</v>
      </c>
      <c r="M2271" s="5" t="str">
        <f>IFERROR(__xludf.DUMMYFUNCTION("""COMPUTED_VALUE"""),"Adventure")</f>
        <v>Adventure</v>
      </c>
      <c r="N2271" s="5">
        <f>IFERROR(__xludf.DUMMYFUNCTION("""COMPUTED_VALUE"""),2.0)</f>
        <v>2</v>
      </c>
      <c r="S2271" s="5">
        <f>IFERROR(__xludf.DUMMYFUNCTION("""COMPUTED_VALUE"""),898.0)</f>
        <v>898</v>
      </c>
      <c r="T2271" s="5" t="str">
        <f>IFERROR(__xludf.DUMMYFUNCTION("""COMPUTED_VALUE"""),"Philomena")</f>
        <v>Philomena</v>
      </c>
      <c r="U2271" s="5" t="str">
        <f>IFERROR(__xludf.DUMMYFUNCTION("""COMPUTED_VALUE"""),"Biography")</f>
        <v>Biography</v>
      </c>
      <c r="V2271" s="5">
        <f>IFERROR(__xludf.DUMMYFUNCTION("""COMPUTED_VALUE"""),1.0)</f>
        <v>1</v>
      </c>
    </row>
    <row r="2272">
      <c r="J2272" s="5" t="str">
        <f>IFERROR(__xludf.DUMMYFUNCTION("""COMPUTED_VALUE"""),"757🤙🏼Gake no ue no Ponyo🤙🏼Comedy🤙🏼3")</f>
        <v>757🤙🏼Gake no ue no Ponyo🤙🏼Comedy🤙🏼3</v>
      </c>
      <c r="K2272" s="5">
        <f>IFERROR(__xludf.DUMMYFUNCTION("SPLiT(J2272, ""🤙🏼"",FALSE,FALSE)"),757.0)</f>
        <v>757</v>
      </c>
      <c r="L2272" s="5" t="str">
        <f>IFERROR(__xludf.DUMMYFUNCTION("""COMPUTED_VALUE"""),"Gake no ue no Ponyo")</f>
        <v>Gake no ue no Ponyo</v>
      </c>
      <c r="M2272" s="5" t="str">
        <f>IFERROR(__xludf.DUMMYFUNCTION("""COMPUTED_VALUE"""),"Comedy")</f>
        <v>Comedy</v>
      </c>
      <c r="N2272" s="5">
        <f>IFERROR(__xludf.DUMMYFUNCTION("""COMPUTED_VALUE"""),3.0)</f>
        <v>3</v>
      </c>
      <c r="S2272" s="5">
        <f>IFERROR(__xludf.DUMMYFUNCTION("""COMPUTED_VALUE"""),898.0)</f>
        <v>898</v>
      </c>
      <c r="T2272" s="5" t="str">
        <f>IFERROR(__xludf.DUMMYFUNCTION("""COMPUTED_VALUE"""),"Philomena")</f>
        <v>Philomena</v>
      </c>
      <c r="U2272" s="5" t="str">
        <f>IFERROR(__xludf.DUMMYFUNCTION("""COMPUTED_VALUE"""),"Comedy")</f>
        <v>Comedy</v>
      </c>
      <c r="V2272" s="5">
        <f>IFERROR(__xludf.DUMMYFUNCTION("""COMPUTED_VALUE"""),2.0)</f>
        <v>2</v>
      </c>
    </row>
    <row r="2273">
      <c r="J2273" s="5" t="str">
        <f>IFERROR(__xludf.DUMMYFUNCTION("""COMPUTED_VALUE"""),"758🤙🏼Frost/Nixon🤙🏼Biography🤙🏼1")</f>
        <v>758🤙🏼Frost/Nixon🤙🏼Biography🤙🏼1</v>
      </c>
      <c r="K2273" s="5">
        <f>IFERROR(__xludf.DUMMYFUNCTION("SPLiT(J2273, ""🤙🏼"",FALSE,FALSE)"),758.0)</f>
        <v>758</v>
      </c>
      <c r="L2273" s="5" t="str">
        <f>IFERROR(__xludf.DUMMYFUNCTION("""COMPUTED_VALUE"""),"Frost/Nixon")</f>
        <v>Frost/Nixon</v>
      </c>
      <c r="M2273" s="5" t="str">
        <f>IFERROR(__xludf.DUMMYFUNCTION("""COMPUTED_VALUE"""),"Biography")</f>
        <v>Biography</v>
      </c>
      <c r="N2273" s="5">
        <f>IFERROR(__xludf.DUMMYFUNCTION("""COMPUTED_VALUE"""),1.0)</f>
        <v>1</v>
      </c>
      <c r="S2273" s="5">
        <f>IFERROR(__xludf.DUMMYFUNCTION("""COMPUTED_VALUE"""),898.0)</f>
        <v>898</v>
      </c>
      <c r="T2273" s="5" t="str">
        <f>IFERROR(__xludf.DUMMYFUNCTION("""COMPUTED_VALUE"""),"Philomena")</f>
        <v>Philomena</v>
      </c>
      <c r="U2273" s="5" t="str">
        <f>IFERROR(__xludf.DUMMYFUNCTION("""COMPUTED_VALUE"""),"Drama")</f>
        <v>Drama</v>
      </c>
      <c r="V2273" s="5">
        <f>IFERROR(__xludf.DUMMYFUNCTION("""COMPUTED_VALUE"""),3.0)</f>
        <v>3</v>
      </c>
    </row>
    <row r="2274">
      <c r="J2274" s="5" t="str">
        <f>IFERROR(__xludf.DUMMYFUNCTION("""COMPUTED_VALUE"""),"758🤙🏼Frost/Nixon🤙🏼Drama🤙🏼2")</f>
        <v>758🤙🏼Frost/Nixon🤙🏼Drama🤙🏼2</v>
      </c>
      <c r="K2274" s="5">
        <f>IFERROR(__xludf.DUMMYFUNCTION("SPLiT(J2274, ""🤙🏼"",FALSE,FALSE)"),758.0)</f>
        <v>758</v>
      </c>
      <c r="L2274" s="5" t="str">
        <f>IFERROR(__xludf.DUMMYFUNCTION("""COMPUTED_VALUE"""),"Frost/Nixon")</f>
        <v>Frost/Nixon</v>
      </c>
      <c r="M2274" s="5" t="str">
        <f>IFERROR(__xludf.DUMMYFUNCTION("""COMPUTED_VALUE"""),"Drama")</f>
        <v>Drama</v>
      </c>
      <c r="N2274" s="5">
        <f>IFERROR(__xludf.DUMMYFUNCTION("""COMPUTED_VALUE"""),2.0)</f>
        <v>2</v>
      </c>
      <c r="S2274" s="5">
        <f>IFERROR(__xludf.DUMMYFUNCTION("""COMPUTED_VALUE"""),899.0)</f>
        <v>899</v>
      </c>
      <c r="T2274" s="5" t="str">
        <f>IFERROR(__xludf.DUMMYFUNCTION("""COMPUTED_VALUE"""),"Dawn of the Planet of the Apes")</f>
        <v>Dawn of the Planet of the Apes</v>
      </c>
      <c r="U2274" s="5" t="str">
        <f>IFERROR(__xludf.DUMMYFUNCTION("""COMPUTED_VALUE"""),"Action")</f>
        <v>Action</v>
      </c>
      <c r="V2274" s="5">
        <f>IFERROR(__xludf.DUMMYFUNCTION("""COMPUTED_VALUE"""),1.0)</f>
        <v>1</v>
      </c>
    </row>
    <row r="2275">
      <c r="J2275" s="5" t="str">
        <f>IFERROR(__xludf.DUMMYFUNCTION("""COMPUTED_VALUE"""),"758🤙🏼Frost/Nixon🤙🏼History🤙🏼3")</f>
        <v>758🤙🏼Frost/Nixon🤙🏼History🤙🏼3</v>
      </c>
      <c r="K2275" s="5">
        <f>IFERROR(__xludf.DUMMYFUNCTION("SPLiT(J2275, ""🤙🏼"",FALSE,FALSE)"),758.0)</f>
        <v>758</v>
      </c>
      <c r="L2275" s="5" t="str">
        <f>IFERROR(__xludf.DUMMYFUNCTION("""COMPUTED_VALUE"""),"Frost/Nixon")</f>
        <v>Frost/Nixon</v>
      </c>
      <c r="M2275" s="5" t="str">
        <f>IFERROR(__xludf.DUMMYFUNCTION("""COMPUTED_VALUE"""),"History")</f>
        <v>History</v>
      </c>
      <c r="N2275" s="5">
        <f>IFERROR(__xludf.DUMMYFUNCTION("""COMPUTED_VALUE"""),3.0)</f>
        <v>3</v>
      </c>
      <c r="S2275" s="5">
        <f>IFERROR(__xludf.DUMMYFUNCTION("""COMPUTED_VALUE"""),899.0)</f>
        <v>899</v>
      </c>
      <c r="T2275" s="5" t="str">
        <f>IFERROR(__xludf.DUMMYFUNCTION("""COMPUTED_VALUE"""),"Dawn of the Planet of the Apes")</f>
        <v>Dawn of the Planet of the Apes</v>
      </c>
      <c r="U2275" s="5" t="str">
        <f>IFERROR(__xludf.DUMMYFUNCTION("""COMPUTED_VALUE"""),"Adventure")</f>
        <v>Adventure</v>
      </c>
      <c r="V2275" s="5">
        <f>IFERROR(__xludf.DUMMYFUNCTION("""COMPUTED_VALUE"""),2.0)</f>
        <v>2</v>
      </c>
    </row>
    <row r="2276">
      <c r="J2276" s="5" t="str">
        <f>IFERROR(__xludf.DUMMYFUNCTION("""COMPUTED_VALUE"""),"759🤙🏼Papurika🤙🏼Animation🤙🏼1")</f>
        <v>759🤙🏼Papurika🤙🏼Animation🤙🏼1</v>
      </c>
      <c r="K2276" s="5">
        <f>IFERROR(__xludf.DUMMYFUNCTION("SPLiT(J2276, ""🤙🏼"",FALSE,FALSE)"),759.0)</f>
        <v>759</v>
      </c>
      <c r="L2276" s="5" t="str">
        <f>IFERROR(__xludf.DUMMYFUNCTION("""COMPUTED_VALUE"""),"Papurika")</f>
        <v>Papurika</v>
      </c>
      <c r="M2276" s="5" t="str">
        <f>IFERROR(__xludf.DUMMYFUNCTION("""COMPUTED_VALUE"""),"Animation")</f>
        <v>Animation</v>
      </c>
      <c r="N2276" s="5">
        <f>IFERROR(__xludf.DUMMYFUNCTION("""COMPUTED_VALUE"""),1.0)</f>
        <v>1</v>
      </c>
      <c r="S2276" s="5">
        <f>IFERROR(__xludf.DUMMYFUNCTION("""COMPUTED_VALUE"""),899.0)</f>
        <v>899</v>
      </c>
      <c r="T2276" s="5" t="str">
        <f>IFERROR(__xludf.DUMMYFUNCTION("""COMPUTED_VALUE"""),"Dawn of the Planet of the Apes")</f>
        <v>Dawn of the Planet of the Apes</v>
      </c>
      <c r="U2276" s="5" t="str">
        <f>IFERROR(__xludf.DUMMYFUNCTION("""COMPUTED_VALUE"""),"Drama")</f>
        <v>Drama</v>
      </c>
      <c r="V2276" s="5">
        <f>IFERROR(__xludf.DUMMYFUNCTION("""COMPUTED_VALUE"""),3.0)</f>
        <v>3</v>
      </c>
    </row>
    <row r="2277">
      <c r="J2277" s="5" t="str">
        <f>IFERROR(__xludf.DUMMYFUNCTION("""COMPUTED_VALUE"""),"759🤙🏼Papurika🤙🏼Drama🤙🏼2")</f>
        <v>759🤙🏼Papurika🤙🏼Drama🤙🏼2</v>
      </c>
      <c r="K2277" s="5">
        <f>IFERROR(__xludf.DUMMYFUNCTION("SPLiT(J2277, ""🤙🏼"",FALSE,FALSE)"),759.0)</f>
        <v>759</v>
      </c>
      <c r="L2277" s="5" t="str">
        <f>IFERROR(__xludf.DUMMYFUNCTION("""COMPUTED_VALUE"""),"Papurika")</f>
        <v>Papurika</v>
      </c>
      <c r="M2277" s="5" t="str">
        <f>IFERROR(__xludf.DUMMYFUNCTION("""COMPUTED_VALUE"""),"Drama")</f>
        <v>Drama</v>
      </c>
      <c r="N2277" s="5">
        <f>IFERROR(__xludf.DUMMYFUNCTION("""COMPUTED_VALUE"""),2.0)</f>
        <v>2</v>
      </c>
      <c r="S2277" s="5">
        <f>IFERROR(__xludf.DUMMYFUNCTION("""COMPUTED_VALUE"""),900.0)</f>
        <v>900</v>
      </c>
      <c r="T2277" s="5" t="str">
        <f>IFERROR(__xludf.DUMMYFUNCTION("""COMPUTED_VALUE"""),"El cuerpo")</f>
        <v>El cuerpo</v>
      </c>
      <c r="U2277" s="5" t="str">
        <f>IFERROR(__xludf.DUMMYFUNCTION("""COMPUTED_VALUE"""),"Mystery")</f>
        <v>Mystery</v>
      </c>
      <c r="V2277" s="5">
        <f>IFERROR(__xludf.DUMMYFUNCTION("""COMPUTED_VALUE"""),1.0)</f>
        <v>1</v>
      </c>
    </row>
    <row r="2278">
      <c r="J2278" s="5" t="str">
        <f>IFERROR(__xludf.DUMMYFUNCTION("""COMPUTED_VALUE"""),"759🤙🏼Papurika🤙🏼Fantasy🤙🏼3")</f>
        <v>759🤙🏼Papurika🤙🏼Fantasy🤙🏼3</v>
      </c>
      <c r="K2278" s="5">
        <f>IFERROR(__xludf.DUMMYFUNCTION("SPLiT(J2278, ""🤙🏼"",FALSE,FALSE)"),759.0)</f>
        <v>759</v>
      </c>
      <c r="L2278" s="5" t="str">
        <f>IFERROR(__xludf.DUMMYFUNCTION("""COMPUTED_VALUE"""),"Papurika")</f>
        <v>Papurika</v>
      </c>
      <c r="M2278" s="5" t="str">
        <f>IFERROR(__xludf.DUMMYFUNCTION("""COMPUTED_VALUE"""),"Fantasy")</f>
        <v>Fantasy</v>
      </c>
      <c r="N2278" s="5">
        <f>IFERROR(__xludf.DUMMYFUNCTION("""COMPUTED_VALUE"""),3.0)</f>
        <v>3</v>
      </c>
      <c r="S2278" s="5">
        <f>IFERROR(__xludf.DUMMYFUNCTION("""COMPUTED_VALUE"""),900.0)</f>
        <v>900</v>
      </c>
      <c r="T2278" s="5" t="str">
        <f>IFERROR(__xludf.DUMMYFUNCTION("""COMPUTED_VALUE"""),"El cuerpo")</f>
        <v>El cuerpo</v>
      </c>
      <c r="U2278" s="5" t="str">
        <f>IFERROR(__xludf.DUMMYFUNCTION("""COMPUTED_VALUE"""),"Thriller")</f>
        <v>Thriller</v>
      </c>
      <c r="V2278" s="5">
        <f>IFERROR(__xludf.DUMMYFUNCTION("""COMPUTED_VALUE"""),2.0)</f>
        <v>2</v>
      </c>
    </row>
    <row r="2279">
      <c r="J2279" s="5" t="str">
        <f>IFERROR(__xludf.DUMMYFUNCTION("""COMPUTED_VALUE"""),"760🤙🏼Changeling🤙🏼Biography🤙🏼1")</f>
        <v>760🤙🏼Changeling🤙🏼Biography🤙🏼1</v>
      </c>
      <c r="K2279" s="5">
        <f>IFERROR(__xludf.DUMMYFUNCTION("SPLiT(J2279, ""🤙🏼"",FALSE,FALSE)"),760.0)</f>
        <v>760</v>
      </c>
      <c r="L2279" s="5" t="str">
        <f>IFERROR(__xludf.DUMMYFUNCTION("""COMPUTED_VALUE"""),"Changeling")</f>
        <v>Changeling</v>
      </c>
      <c r="M2279" s="5" t="str">
        <f>IFERROR(__xludf.DUMMYFUNCTION("""COMPUTED_VALUE"""),"Biography")</f>
        <v>Biography</v>
      </c>
      <c r="N2279" s="5">
        <f>IFERROR(__xludf.DUMMYFUNCTION("""COMPUTED_VALUE"""),1.0)</f>
        <v>1</v>
      </c>
      <c r="S2279" s="5">
        <f>IFERROR(__xludf.DUMMYFUNCTION("""COMPUTED_VALUE"""),901.0)</f>
        <v>901</v>
      </c>
      <c r="T2279" s="5" t="str">
        <f>IFERROR(__xludf.DUMMYFUNCTION("""COMPUTED_VALUE"""),"Serbuan maut")</f>
        <v>Serbuan maut</v>
      </c>
      <c r="U2279" s="5" t="str">
        <f>IFERROR(__xludf.DUMMYFUNCTION("""COMPUTED_VALUE"""),"Action")</f>
        <v>Action</v>
      </c>
      <c r="V2279" s="5">
        <f>IFERROR(__xludf.DUMMYFUNCTION("""COMPUTED_VALUE"""),1.0)</f>
        <v>1</v>
      </c>
    </row>
    <row r="2280">
      <c r="J2280" s="5" t="str">
        <f>IFERROR(__xludf.DUMMYFUNCTION("""COMPUTED_VALUE"""),"760🤙🏼Changeling🤙🏼Crime🤙🏼2")</f>
        <v>760🤙🏼Changeling🤙🏼Crime🤙🏼2</v>
      </c>
      <c r="K2280" s="5">
        <f>IFERROR(__xludf.DUMMYFUNCTION("SPLiT(J2280, ""🤙🏼"",FALSE,FALSE)"),760.0)</f>
        <v>760</v>
      </c>
      <c r="L2280" s="5" t="str">
        <f>IFERROR(__xludf.DUMMYFUNCTION("""COMPUTED_VALUE"""),"Changeling")</f>
        <v>Changeling</v>
      </c>
      <c r="M2280" s="5" t="str">
        <f>IFERROR(__xludf.DUMMYFUNCTION("""COMPUTED_VALUE"""),"Crime")</f>
        <v>Crime</v>
      </c>
      <c r="N2280" s="5">
        <f>IFERROR(__xludf.DUMMYFUNCTION("""COMPUTED_VALUE"""),2.0)</f>
        <v>2</v>
      </c>
      <c r="S2280" s="5">
        <f>IFERROR(__xludf.DUMMYFUNCTION("""COMPUTED_VALUE"""),901.0)</f>
        <v>901</v>
      </c>
      <c r="T2280" s="5" t="str">
        <f>IFERROR(__xludf.DUMMYFUNCTION("""COMPUTED_VALUE"""),"Serbuan maut")</f>
        <v>Serbuan maut</v>
      </c>
      <c r="U2280" s="5" t="str">
        <f>IFERROR(__xludf.DUMMYFUNCTION("""COMPUTED_VALUE"""),"Thriller")</f>
        <v>Thriller</v>
      </c>
      <c r="V2280" s="5">
        <f>IFERROR(__xludf.DUMMYFUNCTION("""COMPUTED_VALUE"""),2.0)</f>
        <v>2</v>
      </c>
    </row>
    <row r="2281">
      <c r="J2281" s="5" t="str">
        <f>IFERROR(__xludf.DUMMYFUNCTION("""COMPUTED_VALUE"""),"760🤙🏼Changeling🤙🏼Drama🤙🏼3")</f>
        <v>760🤙🏼Changeling🤙🏼Drama🤙🏼3</v>
      </c>
      <c r="K2281" s="5">
        <f>IFERROR(__xludf.DUMMYFUNCTION("SPLiT(J2281, ""🤙🏼"",FALSE,FALSE)"),760.0)</f>
        <v>760</v>
      </c>
      <c r="L2281" s="5" t="str">
        <f>IFERROR(__xludf.DUMMYFUNCTION("""COMPUTED_VALUE"""),"Changeling")</f>
        <v>Changeling</v>
      </c>
      <c r="M2281" s="5" t="str">
        <f>IFERROR(__xludf.DUMMYFUNCTION("""COMPUTED_VALUE"""),"Drama")</f>
        <v>Drama</v>
      </c>
      <c r="N2281" s="5">
        <f>IFERROR(__xludf.DUMMYFUNCTION("""COMPUTED_VALUE"""),3.0)</f>
        <v>3</v>
      </c>
      <c r="S2281" s="5">
        <f>IFERROR(__xludf.DUMMYFUNCTION("""COMPUTED_VALUE"""),902.0)</f>
        <v>902</v>
      </c>
      <c r="T2281" s="5" t="str">
        <f>IFERROR(__xludf.DUMMYFUNCTION("""COMPUTED_VALUE"""),"End of Watch")</f>
        <v>End of Watch</v>
      </c>
      <c r="U2281" s="5" t="str">
        <f>IFERROR(__xludf.DUMMYFUNCTION("""COMPUTED_VALUE"""),"Action")</f>
        <v>Action</v>
      </c>
      <c r="V2281" s="5">
        <f>IFERROR(__xludf.DUMMYFUNCTION("""COMPUTED_VALUE"""),1.0)</f>
        <v>1</v>
      </c>
    </row>
    <row r="2282">
      <c r="J2282" s="5" t="str">
        <f>IFERROR(__xludf.DUMMYFUNCTION("""COMPUTED_VALUE"""),"761🤙🏼Flipped🤙🏼Comedy🤙🏼1")</f>
        <v>761🤙🏼Flipped🤙🏼Comedy🤙🏼1</v>
      </c>
      <c r="K2282" s="5">
        <f>IFERROR(__xludf.DUMMYFUNCTION("SPLiT(J2282, ""🤙🏼"",FALSE,FALSE)"),761.0)</f>
        <v>761</v>
      </c>
      <c r="L2282" s="5" t="str">
        <f>IFERROR(__xludf.DUMMYFUNCTION("""COMPUTED_VALUE"""),"Flipped")</f>
        <v>Flipped</v>
      </c>
      <c r="M2282" s="5" t="str">
        <f>IFERROR(__xludf.DUMMYFUNCTION("""COMPUTED_VALUE"""),"Comedy")</f>
        <v>Comedy</v>
      </c>
      <c r="N2282" s="5">
        <f>IFERROR(__xludf.DUMMYFUNCTION("""COMPUTED_VALUE"""),1.0)</f>
        <v>1</v>
      </c>
      <c r="S2282" s="5">
        <f>IFERROR(__xludf.DUMMYFUNCTION("""COMPUTED_VALUE"""),902.0)</f>
        <v>902</v>
      </c>
      <c r="T2282" s="5" t="str">
        <f>IFERROR(__xludf.DUMMYFUNCTION("""COMPUTED_VALUE"""),"End of Watch")</f>
        <v>End of Watch</v>
      </c>
      <c r="U2282" s="5" t="str">
        <f>IFERROR(__xludf.DUMMYFUNCTION("""COMPUTED_VALUE"""),"Crime")</f>
        <v>Crime</v>
      </c>
      <c r="V2282" s="5">
        <f>IFERROR(__xludf.DUMMYFUNCTION("""COMPUTED_VALUE"""),2.0)</f>
        <v>2</v>
      </c>
    </row>
    <row r="2283">
      <c r="J2283" s="5" t="str">
        <f>IFERROR(__xludf.DUMMYFUNCTION("""COMPUTED_VALUE"""),"761🤙🏼Flipped🤙🏼Drama🤙🏼2")</f>
        <v>761🤙🏼Flipped🤙🏼Drama🤙🏼2</v>
      </c>
      <c r="K2283" s="5">
        <f>IFERROR(__xludf.DUMMYFUNCTION("SPLiT(J2283, ""🤙🏼"",FALSE,FALSE)"),761.0)</f>
        <v>761</v>
      </c>
      <c r="L2283" s="5" t="str">
        <f>IFERROR(__xludf.DUMMYFUNCTION("""COMPUTED_VALUE"""),"Flipped")</f>
        <v>Flipped</v>
      </c>
      <c r="M2283" s="5" t="str">
        <f>IFERROR(__xludf.DUMMYFUNCTION("""COMPUTED_VALUE"""),"Drama")</f>
        <v>Drama</v>
      </c>
      <c r="N2283" s="5">
        <f>IFERROR(__xludf.DUMMYFUNCTION("""COMPUTED_VALUE"""),2.0)</f>
        <v>2</v>
      </c>
      <c r="S2283" s="5">
        <f>IFERROR(__xludf.DUMMYFUNCTION("""COMPUTED_VALUE"""),902.0)</f>
        <v>902</v>
      </c>
      <c r="T2283" s="5" t="str">
        <f>IFERROR(__xludf.DUMMYFUNCTION("""COMPUTED_VALUE"""),"End of Watch")</f>
        <v>End of Watch</v>
      </c>
      <c r="U2283" s="5" t="str">
        <f>IFERROR(__xludf.DUMMYFUNCTION("""COMPUTED_VALUE"""),"Drama")</f>
        <v>Drama</v>
      </c>
      <c r="V2283" s="5">
        <f>IFERROR(__xludf.DUMMYFUNCTION("""COMPUTED_VALUE"""),3.0)</f>
        <v>3</v>
      </c>
    </row>
    <row r="2284">
      <c r="J2284" s="5" t="str">
        <f>IFERROR(__xludf.DUMMYFUNCTION("""COMPUTED_VALUE"""),"761🤙🏼Flipped🤙🏼Romance🤙🏼3")</f>
        <v>761🤙🏼Flipped🤙🏼Romance🤙🏼3</v>
      </c>
      <c r="K2284" s="5">
        <f>IFERROR(__xludf.DUMMYFUNCTION("SPLiT(J2284, ""🤙🏼"",FALSE,FALSE)"),761.0)</f>
        <v>761</v>
      </c>
      <c r="L2284" s="5" t="str">
        <f>IFERROR(__xludf.DUMMYFUNCTION("""COMPUTED_VALUE"""),"Flipped")</f>
        <v>Flipped</v>
      </c>
      <c r="M2284" s="5" t="str">
        <f>IFERROR(__xludf.DUMMYFUNCTION("""COMPUTED_VALUE"""),"Romance")</f>
        <v>Romance</v>
      </c>
      <c r="N2284" s="5">
        <f>IFERROR(__xludf.DUMMYFUNCTION("""COMPUTED_VALUE"""),3.0)</f>
        <v>3</v>
      </c>
      <c r="S2284" s="5">
        <f>IFERROR(__xludf.DUMMYFUNCTION("""COMPUTED_VALUE"""),903.0)</f>
        <v>903</v>
      </c>
      <c r="T2284" s="5" t="str">
        <f>IFERROR(__xludf.DUMMYFUNCTION("""COMPUTED_VALUE"""),"Kari-gurashi no Arietti")</f>
        <v>Kari-gurashi no Arietti</v>
      </c>
      <c r="U2284" s="5" t="str">
        <f>IFERROR(__xludf.DUMMYFUNCTION("""COMPUTED_VALUE"""),"Animation")</f>
        <v>Animation</v>
      </c>
      <c r="V2284" s="5">
        <f>IFERROR(__xludf.DUMMYFUNCTION("""COMPUTED_VALUE"""),1.0)</f>
        <v>1</v>
      </c>
    </row>
    <row r="2285">
      <c r="J2285" s="5" t="str">
        <f>IFERROR(__xludf.DUMMYFUNCTION("""COMPUTED_VALUE"""),"762🤙🏼Toki o kakeru shôjo🤙🏼Animation🤙🏼1")</f>
        <v>762🤙🏼Toki o kakeru shôjo🤙🏼Animation🤙🏼1</v>
      </c>
      <c r="K2285" s="5">
        <f>IFERROR(__xludf.DUMMYFUNCTION("SPLiT(J2285, ""🤙🏼"",FALSE,FALSE)"),762.0)</f>
        <v>762</v>
      </c>
      <c r="L2285" s="5" t="str">
        <f>IFERROR(__xludf.DUMMYFUNCTION("""COMPUTED_VALUE"""),"Toki o kakeru shôjo")</f>
        <v>Toki o kakeru shôjo</v>
      </c>
      <c r="M2285" s="5" t="str">
        <f>IFERROR(__xludf.DUMMYFUNCTION("""COMPUTED_VALUE"""),"Animation")</f>
        <v>Animation</v>
      </c>
      <c r="N2285" s="5">
        <f>IFERROR(__xludf.DUMMYFUNCTION("""COMPUTED_VALUE"""),1.0)</f>
        <v>1</v>
      </c>
      <c r="S2285" s="5">
        <f>IFERROR(__xludf.DUMMYFUNCTION("""COMPUTED_VALUE"""),903.0)</f>
        <v>903</v>
      </c>
      <c r="T2285" s="5" t="str">
        <f>IFERROR(__xludf.DUMMYFUNCTION("""COMPUTED_VALUE"""),"Kari-gurashi no Arietti")</f>
        <v>Kari-gurashi no Arietti</v>
      </c>
      <c r="U2285" s="5" t="str">
        <f>IFERROR(__xludf.DUMMYFUNCTION("""COMPUTED_VALUE"""),"Adventure")</f>
        <v>Adventure</v>
      </c>
      <c r="V2285" s="5">
        <f>IFERROR(__xludf.DUMMYFUNCTION("""COMPUTED_VALUE"""),2.0)</f>
        <v>2</v>
      </c>
    </row>
    <row r="2286">
      <c r="J2286" s="5" t="str">
        <f>IFERROR(__xludf.DUMMYFUNCTION("""COMPUTED_VALUE"""),"762🤙🏼Toki o kakeru shôjo🤙🏼Adventure🤙🏼2")</f>
        <v>762🤙🏼Toki o kakeru shôjo🤙🏼Adventure🤙🏼2</v>
      </c>
      <c r="K2286" s="5">
        <f>IFERROR(__xludf.DUMMYFUNCTION("SPLiT(J2286, ""🤙🏼"",FALSE,FALSE)"),762.0)</f>
        <v>762</v>
      </c>
      <c r="L2286" s="5" t="str">
        <f>IFERROR(__xludf.DUMMYFUNCTION("""COMPUTED_VALUE"""),"Toki o kakeru shôjo")</f>
        <v>Toki o kakeru shôjo</v>
      </c>
      <c r="M2286" s="5" t="str">
        <f>IFERROR(__xludf.DUMMYFUNCTION("""COMPUTED_VALUE"""),"Adventure")</f>
        <v>Adventure</v>
      </c>
      <c r="N2286" s="5">
        <f>IFERROR(__xludf.DUMMYFUNCTION("""COMPUTED_VALUE"""),2.0)</f>
        <v>2</v>
      </c>
      <c r="S2286" s="5">
        <f>IFERROR(__xludf.DUMMYFUNCTION("""COMPUTED_VALUE"""),903.0)</f>
        <v>903</v>
      </c>
      <c r="T2286" s="5" t="str">
        <f>IFERROR(__xludf.DUMMYFUNCTION("""COMPUTED_VALUE"""),"Kari-gurashi no Arietti")</f>
        <v>Kari-gurashi no Arietti</v>
      </c>
      <c r="U2286" s="5" t="str">
        <f>IFERROR(__xludf.DUMMYFUNCTION("""COMPUTED_VALUE"""),"Family")</f>
        <v>Family</v>
      </c>
      <c r="V2286" s="5">
        <f>IFERROR(__xludf.DUMMYFUNCTION("""COMPUTED_VALUE"""),3.0)</f>
        <v>3</v>
      </c>
    </row>
    <row r="2287">
      <c r="J2287" s="5" t="str">
        <f>IFERROR(__xludf.DUMMYFUNCTION("""COMPUTED_VALUE"""),"762🤙🏼Toki o kakeru shôjo🤙🏼Comedy🤙🏼3")</f>
        <v>762🤙🏼Toki o kakeru shôjo🤙🏼Comedy🤙🏼3</v>
      </c>
      <c r="K2287" s="5">
        <f>IFERROR(__xludf.DUMMYFUNCTION("SPLiT(J2287, ""🤙🏼"",FALSE,FALSE)"),762.0)</f>
        <v>762</v>
      </c>
      <c r="L2287" s="5" t="str">
        <f>IFERROR(__xludf.DUMMYFUNCTION("""COMPUTED_VALUE"""),"Toki o kakeru shôjo")</f>
        <v>Toki o kakeru shôjo</v>
      </c>
      <c r="M2287" s="5" t="str">
        <f>IFERROR(__xludf.DUMMYFUNCTION("""COMPUTED_VALUE"""),"Comedy")</f>
        <v>Comedy</v>
      </c>
      <c r="N2287" s="5">
        <f>IFERROR(__xludf.DUMMYFUNCTION("""COMPUTED_VALUE"""),3.0)</f>
        <v>3</v>
      </c>
      <c r="S2287" s="5">
        <f>IFERROR(__xludf.DUMMYFUNCTION("""COMPUTED_VALUE"""),904.0)</f>
        <v>904</v>
      </c>
      <c r="T2287" s="5" t="str">
        <f>IFERROR(__xludf.DUMMYFUNCTION("""COMPUTED_VALUE"""),"A Star Is Born")</f>
        <v>A Star Is Born</v>
      </c>
      <c r="U2287" s="5" t="str">
        <f>IFERROR(__xludf.DUMMYFUNCTION("""COMPUTED_VALUE"""),"Drama")</f>
        <v>Drama</v>
      </c>
      <c r="V2287" s="5">
        <f>IFERROR(__xludf.DUMMYFUNCTION("""COMPUTED_VALUE"""),1.0)</f>
        <v>1</v>
      </c>
    </row>
    <row r="2288">
      <c r="J2288" s="5" t="str">
        <f>IFERROR(__xludf.DUMMYFUNCTION("""COMPUTED_VALUE"""),"763🤙🏼Death Note: Desu nôto🤙🏼Crime🤙🏼1")</f>
        <v>763🤙🏼Death Note: Desu nôto🤙🏼Crime🤙🏼1</v>
      </c>
      <c r="K2288" s="5">
        <f>IFERROR(__xludf.DUMMYFUNCTION("SPLiT(J2288, ""🤙🏼"",FALSE,FALSE)"),763.0)</f>
        <v>763</v>
      </c>
      <c r="L2288" s="5" t="str">
        <f>IFERROR(__xludf.DUMMYFUNCTION("""COMPUTED_VALUE"""),"Death Note: Desu nôto")</f>
        <v>Death Note: Desu nôto</v>
      </c>
      <c r="M2288" s="5" t="str">
        <f>IFERROR(__xludf.DUMMYFUNCTION("""COMPUTED_VALUE"""),"Crime")</f>
        <v>Crime</v>
      </c>
      <c r="N2288" s="5">
        <f>IFERROR(__xludf.DUMMYFUNCTION("""COMPUTED_VALUE"""),1.0)</f>
        <v>1</v>
      </c>
      <c r="S2288" s="5">
        <f>IFERROR(__xludf.DUMMYFUNCTION("""COMPUTED_VALUE"""),904.0)</f>
        <v>904</v>
      </c>
      <c r="T2288" s="5" t="str">
        <f>IFERROR(__xludf.DUMMYFUNCTION("""COMPUTED_VALUE"""),"A Star Is Born")</f>
        <v>A Star Is Born</v>
      </c>
      <c r="U2288" s="5" t="str">
        <f>IFERROR(__xludf.DUMMYFUNCTION("""COMPUTED_VALUE"""),"Music")</f>
        <v>Music</v>
      </c>
      <c r="V2288" s="5">
        <f>IFERROR(__xludf.DUMMYFUNCTION("""COMPUTED_VALUE"""),2.0)</f>
        <v>2</v>
      </c>
    </row>
    <row r="2289">
      <c r="J2289" s="5" t="str">
        <f>IFERROR(__xludf.DUMMYFUNCTION("""COMPUTED_VALUE"""),"763🤙🏼Death Note: Desu nôto🤙🏼Drama🤙🏼2")</f>
        <v>763🤙🏼Death Note: Desu nôto🤙🏼Drama🤙🏼2</v>
      </c>
      <c r="K2289" s="5">
        <f>IFERROR(__xludf.DUMMYFUNCTION("SPLiT(J2289, ""🤙🏼"",FALSE,FALSE)"),763.0)</f>
        <v>763</v>
      </c>
      <c r="L2289" s="5" t="str">
        <f>IFERROR(__xludf.DUMMYFUNCTION("""COMPUTED_VALUE"""),"Death Note: Desu nôto")</f>
        <v>Death Note: Desu nôto</v>
      </c>
      <c r="M2289" s="5" t="str">
        <f>IFERROR(__xludf.DUMMYFUNCTION("""COMPUTED_VALUE"""),"Drama")</f>
        <v>Drama</v>
      </c>
      <c r="N2289" s="5">
        <f>IFERROR(__xludf.DUMMYFUNCTION("""COMPUTED_VALUE"""),2.0)</f>
        <v>2</v>
      </c>
      <c r="S2289" s="5">
        <f>IFERROR(__xludf.DUMMYFUNCTION("""COMPUTED_VALUE"""),904.0)</f>
        <v>904</v>
      </c>
      <c r="T2289" s="5" t="str">
        <f>IFERROR(__xludf.DUMMYFUNCTION("""COMPUTED_VALUE"""),"A Star Is Born")</f>
        <v>A Star Is Born</v>
      </c>
      <c r="U2289" s="5" t="str">
        <f>IFERROR(__xludf.DUMMYFUNCTION("""COMPUTED_VALUE"""),"Romance")</f>
        <v>Romance</v>
      </c>
      <c r="V2289" s="5">
        <f>IFERROR(__xludf.DUMMYFUNCTION("""COMPUTED_VALUE"""),3.0)</f>
        <v>3</v>
      </c>
    </row>
    <row r="2290">
      <c r="J2290" s="5" t="str">
        <f>IFERROR(__xludf.DUMMYFUNCTION("""COMPUTED_VALUE"""),"763🤙🏼Death Note: Desu nôto🤙🏼Fantasy🤙🏼3")</f>
        <v>763🤙🏼Death Note: Desu nôto🤙🏼Fantasy🤙🏼3</v>
      </c>
      <c r="K2290" s="5">
        <f>IFERROR(__xludf.DUMMYFUNCTION("SPLiT(J2290, ""🤙🏼"",FALSE,FALSE)"),763.0)</f>
        <v>763</v>
      </c>
      <c r="L2290" s="5" t="str">
        <f>IFERROR(__xludf.DUMMYFUNCTION("""COMPUTED_VALUE"""),"Death Note: Desu nôto")</f>
        <v>Death Note: Desu nôto</v>
      </c>
      <c r="M2290" s="5" t="str">
        <f>IFERROR(__xludf.DUMMYFUNCTION("""COMPUTED_VALUE"""),"Fantasy")</f>
        <v>Fantasy</v>
      </c>
      <c r="N2290" s="5">
        <f>IFERROR(__xludf.DUMMYFUNCTION("""COMPUTED_VALUE"""),3.0)</f>
        <v>3</v>
      </c>
      <c r="S2290" s="5">
        <f>IFERROR(__xludf.DUMMYFUNCTION("""COMPUTED_VALUE"""),905.0)</f>
        <v>905</v>
      </c>
      <c r="T2290" s="5" t="str">
        <f>IFERROR(__xludf.DUMMYFUNCTION("""COMPUTED_VALUE"""),"True Grit")</f>
        <v>True Grit</v>
      </c>
      <c r="U2290" s="5" t="str">
        <f>IFERROR(__xludf.DUMMYFUNCTION("""COMPUTED_VALUE"""),"Drama")</f>
        <v>Drama</v>
      </c>
      <c r="V2290" s="5">
        <f>IFERROR(__xludf.DUMMYFUNCTION("""COMPUTED_VALUE"""),1.0)</f>
        <v>1</v>
      </c>
    </row>
    <row r="2291">
      <c r="J2291" s="5" t="str">
        <f>IFERROR(__xludf.DUMMYFUNCTION("""COMPUTED_VALUE"""),"764🤙🏼This Is England🤙🏼Crime🤙🏼1")</f>
        <v>764🤙🏼This Is England🤙🏼Crime🤙🏼1</v>
      </c>
      <c r="K2291" s="5">
        <f>IFERROR(__xludf.DUMMYFUNCTION("SPLiT(J2291, ""🤙🏼"",FALSE,FALSE)"),764.0)</f>
        <v>764</v>
      </c>
      <c r="L2291" s="5" t="str">
        <f>IFERROR(__xludf.DUMMYFUNCTION("""COMPUTED_VALUE"""),"This Is England")</f>
        <v>This Is England</v>
      </c>
      <c r="M2291" s="5" t="str">
        <f>IFERROR(__xludf.DUMMYFUNCTION("""COMPUTED_VALUE"""),"Crime")</f>
        <v>Crime</v>
      </c>
      <c r="N2291" s="5">
        <f>IFERROR(__xludf.DUMMYFUNCTION("""COMPUTED_VALUE"""),1.0)</f>
        <v>1</v>
      </c>
      <c r="S2291" s="5">
        <f>IFERROR(__xludf.DUMMYFUNCTION("""COMPUTED_VALUE"""),905.0)</f>
        <v>905</v>
      </c>
      <c r="T2291" s="5" t="str">
        <f>IFERROR(__xludf.DUMMYFUNCTION("""COMPUTED_VALUE"""),"True Grit")</f>
        <v>True Grit</v>
      </c>
      <c r="U2291" s="5" t="str">
        <f>IFERROR(__xludf.DUMMYFUNCTION("""COMPUTED_VALUE"""),"Western")</f>
        <v>Western</v>
      </c>
      <c r="V2291" s="5">
        <f>IFERROR(__xludf.DUMMYFUNCTION("""COMPUTED_VALUE"""),2.0)</f>
        <v>2</v>
      </c>
    </row>
    <row r="2292">
      <c r="J2292" s="5" t="str">
        <f>IFERROR(__xludf.DUMMYFUNCTION("""COMPUTED_VALUE"""),"764🤙🏼This Is England🤙🏼Drama🤙🏼2")</f>
        <v>764🤙🏼This Is England🤙🏼Drama🤙🏼2</v>
      </c>
      <c r="K2292" s="5">
        <f>IFERROR(__xludf.DUMMYFUNCTION("SPLiT(J2292, ""🤙🏼"",FALSE,FALSE)"),764.0)</f>
        <v>764</v>
      </c>
      <c r="L2292" s="5" t="str">
        <f>IFERROR(__xludf.DUMMYFUNCTION("""COMPUTED_VALUE"""),"This Is England")</f>
        <v>This Is England</v>
      </c>
      <c r="M2292" s="5" t="str">
        <f>IFERROR(__xludf.DUMMYFUNCTION("""COMPUTED_VALUE"""),"Drama")</f>
        <v>Drama</v>
      </c>
      <c r="N2292" s="5">
        <f>IFERROR(__xludf.DUMMYFUNCTION("""COMPUTED_VALUE"""),2.0)</f>
        <v>2</v>
      </c>
      <c r="S2292" s="5">
        <f>IFERROR(__xludf.DUMMYFUNCTION("""COMPUTED_VALUE"""),906.0)</f>
        <v>906</v>
      </c>
      <c r="T2292" s="5" t="str">
        <f>IFERROR(__xludf.DUMMYFUNCTION("""COMPUTED_VALUE"""),"Hævnen")</f>
        <v>Hævnen</v>
      </c>
      <c r="U2292" s="5" t="str">
        <f>IFERROR(__xludf.DUMMYFUNCTION("""COMPUTED_VALUE"""),"Drama")</f>
        <v>Drama</v>
      </c>
      <c r="V2292" s="5">
        <f>IFERROR(__xludf.DUMMYFUNCTION("""COMPUTED_VALUE"""),1.0)</f>
        <v>1</v>
      </c>
    </row>
    <row r="2293">
      <c r="J2293" s="5" t="str">
        <f>IFERROR(__xludf.DUMMYFUNCTION("""COMPUTED_VALUE"""),"764🤙🏼This Is England🤙🏼🤙🏼3")</f>
        <v>764🤙🏼This Is England🤙🏼🤙🏼3</v>
      </c>
      <c r="K2293" s="5">
        <f>IFERROR(__xludf.DUMMYFUNCTION("SPLiT(J2293, ""🤙🏼"",FALSE,FALSE)"),764.0)</f>
        <v>764</v>
      </c>
      <c r="L2293" s="5" t="str">
        <f>IFERROR(__xludf.DUMMYFUNCTION("""COMPUTED_VALUE"""),"This Is England")</f>
        <v>This Is England</v>
      </c>
      <c r="M2293" s="5"/>
      <c r="N2293" s="5">
        <f>IFERROR(__xludf.DUMMYFUNCTION("""COMPUTED_VALUE"""),3.0)</f>
        <v>3</v>
      </c>
      <c r="S2293" s="5">
        <f>IFERROR(__xludf.DUMMYFUNCTION("""COMPUTED_VALUE"""),906.0)</f>
        <v>906</v>
      </c>
      <c r="T2293" s="5" t="str">
        <f>IFERROR(__xludf.DUMMYFUNCTION("""COMPUTED_VALUE"""),"Hævnen")</f>
        <v>Hævnen</v>
      </c>
      <c r="U2293" s="5" t="str">
        <f>IFERROR(__xludf.DUMMYFUNCTION("""COMPUTED_VALUE"""),"Romance")</f>
        <v>Romance</v>
      </c>
      <c r="V2293" s="5">
        <f>IFERROR(__xludf.DUMMYFUNCTION("""COMPUTED_VALUE"""),2.0)</f>
        <v>2</v>
      </c>
    </row>
    <row r="2294">
      <c r="J2294" s="5" t="str">
        <f>IFERROR(__xludf.DUMMYFUNCTION("""COMPUTED_VALUE"""),"765🤙🏼Ex Machina🤙🏼Drama🤙🏼1")</f>
        <v>765🤙🏼Ex Machina🤙🏼Drama🤙🏼1</v>
      </c>
      <c r="K2294" s="5">
        <f>IFERROR(__xludf.DUMMYFUNCTION("SPLiT(J2294, ""🤙🏼"",FALSE,FALSE)"),765.0)</f>
        <v>765</v>
      </c>
      <c r="L2294" s="5" t="str">
        <f>IFERROR(__xludf.DUMMYFUNCTION("""COMPUTED_VALUE"""),"Ex Machina")</f>
        <v>Ex Machina</v>
      </c>
      <c r="M2294" s="5" t="str">
        <f>IFERROR(__xludf.DUMMYFUNCTION("""COMPUTED_VALUE"""),"Drama")</f>
        <v>Drama</v>
      </c>
      <c r="N2294" s="5">
        <f>IFERROR(__xludf.DUMMYFUNCTION("""COMPUTED_VALUE"""),1.0)</f>
        <v>1</v>
      </c>
      <c r="S2294" s="5">
        <f>IFERROR(__xludf.DUMMYFUNCTION("""COMPUTED_VALUE"""),907.0)</f>
        <v>907</v>
      </c>
      <c r="T2294" s="5" t="str">
        <f>IFERROR(__xludf.DUMMYFUNCTION("""COMPUTED_VALUE"""),"Despicable Me")</f>
        <v>Despicable Me</v>
      </c>
      <c r="U2294" s="5" t="str">
        <f>IFERROR(__xludf.DUMMYFUNCTION("""COMPUTED_VALUE"""),"Animation")</f>
        <v>Animation</v>
      </c>
      <c r="V2294" s="5">
        <f>IFERROR(__xludf.DUMMYFUNCTION("""COMPUTED_VALUE"""),1.0)</f>
        <v>1</v>
      </c>
    </row>
    <row r="2295">
      <c r="J2295" s="5" t="str">
        <f>IFERROR(__xludf.DUMMYFUNCTION("""COMPUTED_VALUE"""),"765🤙🏼Ex Machina🤙🏼Sci-Fi🤙🏼2")</f>
        <v>765🤙🏼Ex Machina🤙🏼Sci-Fi🤙🏼2</v>
      </c>
      <c r="K2295" s="5">
        <f>IFERROR(__xludf.DUMMYFUNCTION("SPLiT(J2295, ""🤙🏼"",FALSE,FALSE)"),765.0)</f>
        <v>765</v>
      </c>
      <c r="L2295" s="5" t="str">
        <f>IFERROR(__xludf.DUMMYFUNCTION("""COMPUTED_VALUE"""),"Ex Machina")</f>
        <v>Ex Machina</v>
      </c>
      <c r="M2295" s="5" t="str">
        <f>IFERROR(__xludf.DUMMYFUNCTION("""COMPUTED_VALUE"""),"Sci-Fi")</f>
        <v>Sci-Fi</v>
      </c>
      <c r="N2295" s="5">
        <f>IFERROR(__xludf.DUMMYFUNCTION("""COMPUTED_VALUE"""),2.0)</f>
        <v>2</v>
      </c>
      <c r="S2295" s="5">
        <f>IFERROR(__xludf.DUMMYFUNCTION("""COMPUTED_VALUE"""),907.0)</f>
        <v>907</v>
      </c>
      <c r="T2295" s="5" t="str">
        <f>IFERROR(__xludf.DUMMYFUNCTION("""COMPUTED_VALUE"""),"Despicable Me")</f>
        <v>Despicable Me</v>
      </c>
      <c r="U2295" s="5" t="str">
        <f>IFERROR(__xludf.DUMMYFUNCTION("""COMPUTED_VALUE"""),"Comedy")</f>
        <v>Comedy</v>
      </c>
      <c r="V2295" s="5">
        <f>IFERROR(__xludf.DUMMYFUNCTION("""COMPUTED_VALUE"""),2.0)</f>
        <v>2</v>
      </c>
    </row>
    <row r="2296">
      <c r="J2296" s="5" t="str">
        <f>IFERROR(__xludf.DUMMYFUNCTION("""COMPUTED_VALUE"""),"765🤙🏼Ex Machina🤙🏼Thriller🤙🏼3")</f>
        <v>765🤙🏼Ex Machina🤙🏼Thriller🤙🏼3</v>
      </c>
      <c r="K2296" s="5">
        <f>IFERROR(__xludf.DUMMYFUNCTION("SPLiT(J2296, ""🤙🏼"",FALSE,FALSE)"),765.0)</f>
        <v>765</v>
      </c>
      <c r="L2296" s="5" t="str">
        <f>IFERROR(__xludf.DUMMYFUNCTION("""COMPUTED_VALUE"""),"Ex Machina")</f>
        <v>Ex Machina</v>
      </c>
      <c r="M2296" s="5" t="str">
        <f>IFERROR(__xludf.DUMMYFUNCTION("""COMPUTED_VALUE"""),"Thriller")</f>
        <v>Thriller</v>
      </c>
      <c r="N2296" s="5">
        <f>IFERROR(__xludf.DUMMYFUNCTION("""COMPUTED_VALUE"""),3.0)</f>
        <v>3</v>
      </c>
      <c r="S2296" s="5">
        <f>IFERROR(__xludf.DUMMYFUNCTION("""COMPUTED_VALUE"""),907.0)</f>
        <v>907</v>
      </c>
      <c r="T2296" s="5" t="str">
        <f>IFERROR(__xludf.DUMMYFUNCTION("""COMPUTED_VALUE"""),"Despicable Me")</f>
        <v>Despicable Me</v>
      </c>
      <c r="U2296" s="5" t="str">
        <f>IFERROR(__xludf.DUMMYFUNCTION("""COMPUTED_VALUE"""),"Crime")</f>
        <v>Crime</v>
      </c>
      <c r="V2296" s="5">
        <f>IFERROR(__xludf.DUMMYFUNCTION("""COMPUTED_VALUE"""),3.0)</f>
        <v>3</v>
      </c>
    </row>
    <row r="2297">
      <c r="J2297" s="5" t="str">
        <f>IFERROR(__xludf.DUMMYFUNCTION("""COMPUTED_VALUE"""),"766🤙🏼Efter brylluppet🤙🏼Drama🤙🏼1")</f>
        <v>766🤙🏼Efter brylluppet🤙🏼Drama🤙🏼1</v>
      </c>
      <c r="K2297" s="5">
        <f>IFERROR(__xludf.DUMMYFUNCTION("SPLiT(J2297, ""🤙🏼"",FALSE,FALSE)"),766.0)</f>
        <v>766</v>
      </c>
      <c r="L2297" s="5" t="str">
        <f>IFERROR(__xludf.DUMMYFUNCTION("""COMPUTED_VALUE"""),"Efter brylluppet")</f>
        <v>Efter brylluppet</v>
      </c>
      <c r="M2297" s="5" t="str">
        <f>IFERROR(__xludf.DUMMYFUNCTION("""COMPUTED_VALUE"""),"Drama")</f>
        <v>Drama</v>
      </c>
      <c r="N2297" s="5">
        <f>IFERROR(__xludf.DUMMYFUNCTION("""COMPUTED_VALUE"""),1.0)</f>
        <v>1</v>
      </c>
      <c r="S2297" s="5">
        <f>IFERROR(__xludf.DUMMYFUNCTION("""COMPUTED_VALUE"""),908.0)</f>
        <v>908</v>
      </c>
      <c r="T2297" s="5" t="str">
        <f>IFERROR(__xludf.DUMMYFUNCTION("""COMPUTED_VALUE"""),"50/50")</f>
        <v>50/50</v>
      </c>
      <c r="U2297" s="5" t="str">
        <f>IFERROR(__xludf.DUMMYFUNCTION("""COMPUTED_VALUE"""),"Comedy")</f>
        <v>Comedy</v>
      </c>
      <c r="V2297" s="5">
        <f>IFERROR(__xludf.DUMMYFUNCTION("""COMPUTED_VALUE"""),1.0)</f>
        <v>1</v>
      </c>
    </row>
    <row r="2298">
      <c r="J2298" s="5" t="str">
        <f>IFERROR(__xludf.DUMMYFUNCTION("""COMPUTED_VALUE"""),"766🤙🏼Efter brylluppet🤙🏼🤙🏼2")</f>
        <v>766🤙🏼Efter brylluppet🤙🏼🤙🏼2</v>
      </c>
      <c r="K2298" s="5">
        <f>IFERROR(__xludf.DUMMYFUNCTION("SPLiT(J2298, ""🤙🏼"",FALSE,FALSE)"),766.0)</f>
        <v>766</v>
      </c>
      <c r="L2298" s="5" t="str">
        <f>IFERROR(__xludf.DUMMYFUNCTION("""COMPUTED_VALUE"""),"Efter brylluppet")</f>
        <v>Efter brylluppet</v>
      </c>
      <c r="M2298" s="5"/>
      <c r="N2298" s="5">
        <f>IFERROR(__xludf.DUMMYFUNCTION("""COMPUTED_VALUE"""),2.0)</f>
        <v>2</v>
      </c>
      <c r="S2298" s="5">
        <f>IFERROR(__xludf.DUMMYFUNCTION("""COMPUTED_VALUE"""),908.0)</f>
        <v>908</v>
      </c>
      <c r="T2298" s="5" t="str">
        <f>IFERROR(__xludf.DUMMYFUNCTION("""COMPUTED_VALUE"""),"50/50")</f>
        <v>50/50</v>
      </c>
      <c r="U2298" s="5" t="str">
        <f>IFERROR(__xludf.DUMMYFUNCTION("""COMPUTED_VALUE"""),"Drama")</f>
        <v>Drama</v>
      </c>
      <c r="V2298" s="5">
        <f>IFERROR(__xludf.DUMMYFUNCTION("""COMPUTED_VALUE"""),2.0)</f>
        <v>2</v>
      </c>
    </row>
    <row r="2299">
      <c r="J2299" s="5" t="str">
        <f>IFERROR(__xludf.DUMMYFUNCTION("""COMPUTED_VALUE"""),"766🤙🏼Efter brylluppet🤙🏼🤙🏼3")</f>
        <v>766🤙🏼Efter brylluppet🤙🏼🤙🏼3</v>
      </c>
      <c r="K2299" s="5">
        <f>IFERROR(__xludf.DUMMYFUNCTION("SPLiT(J2299, ""🤙🏼"",FALSE,FALSE)"),766.0)</f>
        <v>766</v>
      </c>
      <c r="L2299" s="5" t="str">
        <f>IFERROR(__xludf.DUMMYFUNCTION("""COMPUTED_VALUE"""),"Efter brylluppet")</f>
        <v>Efter brylluppet</v>
      </c>
      <c r="M2299" s="5"/>
      <c r="N2299" s="5">
        <f>IFERROR(__xludf.DUMMYFUNCTION("""COMPUTED_VALUE"""),3.0)</f>
        <v>3</v>
      </c>
      <c r="S2299" s="5">
        <f>IFERROR(__xludf.DUMMYFUNCTION("""COMPUTED_VALUE"""),908.0)</f>
        <v>908</v>
      </c>
      <c r="T2299" s="5" t="str">
        <f>IFERROR(__xludf.DUMMYFUNCTION("""COMPUTED_VALUE"""),"50/50")</f>
        <v>50/50</v>
      </c>
      <c r="U2299" s="5" t="str">
        <f>IFERROR(__xludf.DUMMYFUNCTION("""COMPUTED_VALUE"""),"Romance")</f>
        <v>Romance</v>
      </c>
      <c r="V2299" s="5">
        <f>IFERROR(__xludf.DUMMYFUNCTION("""COMPUTED_VALUE"""),3.0)</f>
        <v>3</v>
      </c>
    </row>
    <row r="2300">
      <c r="J2300" s="5" t="str">
        <f>IFERROR(__xludf.DUMMYFUNCTION("""COMPUTED_VALUE"""),"767🤙🏼The Last King of Scotland🤙🏼Biography🤙🏼1")</f>
        <v>767🤙🏼The Last King of Scotland🤙🏼Biography🤙🏼1</v>
      </c>
      <c r="K2300" s="5">
        <f>IFERROR(__xludf.DUMMYFUNCTION("SPLiT(J2300, ""🤙🏼"",FALSE,FALSE)"),767.0)</f>
        <v>767</v>
      </c>
      <c r="L2300" s="5" t="str">
        <f>IFERROR(__xludf.DUMMYFUNCTION("""COMPUTED_VALUE"""),"The Last King of Scotland")</f>
        <v>The Last King of Scotland</v>
      </c>
      <c r="M2300" s="5" t="str">
        <f>IFERROR(__xludf.DUMMYFUNCTION("""COMPUTED_VALUE"""),"Biography")</f>
        <v>Biography</v>
      </c>
      <c r="N2300" s="5">
        <f>IFERROR(__xludf.DUMMYFUNCTION("""COMPUTED_VALUE"""),1.0)</f>
        <v>1</v>
      </c>
      <c r="S2300" s="5">
        <f>IFERROR(__xludf.DUMMYFUNCTION("""COMPUTED_VALUE"""),909.0)</f>
        <v>909</v>
      </c>
      <c r="T2300" s="5" t="str">
        <f>IFERROR(__xludf.DUMMYFUNCTION("""COMPUTED_VALUE"""),"Kick-Ass")</f>
        <v>Kick-Ass</v>
      </c>
      <c r="U2300" s="5" t="str">
        <f>IFERROR(__xludf.DUMMYFUNCTION("""COMPUTED_VALUE"""),"Action")</f>
        <v>Action</v>
      </c>
      <c r="V2300" s="5">
        <f>IFERROR(__xludf.DUMMYFUNCTION("""COMPUTED_VALUE"""),1.0)</f>
        <v>1</v>
      </c>
    </row>
    <row r="2301">
      <c r="J2301" s="5" t="str">
        <f>IFERROR(__xludf.DUMMYFUNCTION("""COMPUTED_VALUE"""),"767🤙🏼The Last King of Scotland🤙🏼Drama🤙🏼2")</f>
        <v>767🤙🏼The Last King of Scotland🤙🏼Drama🤙🏼2</v>
      </c>
      <c r="K2301" s="5">
        <f>IFERROR(__xludf.DUMMYFUNCTION("SPLiT(J2301, ""🤙🏼"",FALSE,FALSE)"),767.0)</f>
        <v>767</v>
      </c>
      <c r="L2301" s="5" t="str">
        <f>IFERROR(__xludf.DUMMYFUNCTION("""COMPUTED_VALUE"""),"The Last King of Scotland")</f>
        <v>The Last King of Scotland</v>
      </c>
      <c r="M2301" s="5" t="str">
        <f>IFERROR(__xludf.DUMMYFUNCTION("""COMPUTED_VALUE"""),"Drama")</f>
        <v>Drama</v>
      </c>
      <c r="N2301" s="5">
        <f>IFERROR(__xludf.DUMMYFUNCTION("""COMPUTED_VALUE"""),2.0)</f>
        <v>2</v>
      </c>
      <c r="S2301" s="5">
        <f>IFERROR(__xludf.DUMMYFUNCTION("""COMPUTED_VALUE"""),909.0)</f>
        <v>909</v>
      </c>
      <c r="T2301" s="5" t="str">
        <f>IFERROR(__xludf.DUMMYFUNCTION("""COMPUTED_VALUE"""),"Kick-Ass")</f>
        <v>Kick-Ass</v>
      </c>
      <c r="U2301" s="5" t="str">
        <f>IFERROR(__xludf.DUMMYFUNCTION("""COMPUTED_VALUE"""),"Comedy")</f>
        <v>Comedy</v>
      </c>
      <c r="V2301" s="5">
        <f>IFERROR(__xludf.DUMMYFUNCTION("""COMPUTED_VALUE"""),2.0)</f>
        <v>2</v>
      </c>
    </row>
    <row r="2302">
      <c r="J2302" s="5" t="str">
        <f>IFERROR(__xludf.DUMMYFUNCTION("""COMPUTED_VALUE"""),"767🤙🏼The Last King of Scotland🤙🏼History🤙🏼3")</f>
        <v>767🤙🏼The Last King of Scotland🤙🏼History🤙🏼3</v>
      </c>
      <c r="K2302" s="5">
        <f>IFERROR(__xludf.DUMMYFUNCTION("SPLiT(J2302, ""🤙🏼"",FALSE,FALSE)"),767.0)</f>
        <v>767</v>
      </c>
      <c r="L2302" s="5" t="str">
        <f>IFERROR(__xludf.DUMMYFUNCTION("""COMPUTED_VALUE"""),"The Last King of Scotland")</f>
        <v>The Last King of Scotland</v>
      </c>
      <c r="M2302" s="5" t="str">
        <f>IFERROR(__xludf.DUMMYFUNCTION("""COMPUTED_VALUE"""),"History")</f>
        <v>History</v>
      </c>
      <c r="N2302" s="5">
        <f>IFERROR(__xludf.DUMMYFUNCTION("""COMPUTED_VALUE"""),3.0)</f>
        <v>3</v>
      </c>
      <c r="S2302" s="5">
        <f>IFERROR(__xludf.DUMMYFUNCTION("""COMPUTED_VALUE"""),909.0)</f>
        <v>909</v>
      </c>
      <c r="T2302" s="5" t="str">
        <f>IFERROR(__xludf.DUMMYFUNCTION("""COMPUTED_VALUE"""),"Kick-Ass")</f>
        <v>Kick-Ass</v>
      </c>
      <c r="U2302" s="5" t="str">
        <f>IFERROR(__xludf.DUMMYFUNCTION("""COMPUTED_VALUE"""),"Crime")</f>
        <v>Crime</v>
      </c>
      <c r="V2302" s="5">
        <f>IFERROR(__xludf.DUMMYFUNCTION("""COMPUTED_VALUE"""),3.0)</f>
        <v>3</v>
      </c>
    </row>
    <row r="2303">
      <c r="J2303" s="5" t="str">
        <f>IFERROR(__xludf.DUMMYFUNCTION("""COMPUTED_VALUE"""),"768🤙🏼Zodiac🤙🏼Crime🤙🏼1")</f>
        <v>768🤙🏼Zodiac🤙🏼Crime🤙🏼1</v>
      </c>
      <c r="K2303" s="5">
        <f>IFERROR(__xludf.DUMMYFUNCTION("SPLiT(J2303, ""🤙🏼"",FALSE,FALSE)"),768.0)</f>
        <v>768</v>
      </c>
      <c r="L2303" s="5" t="str">
        <f>IFERROR(__xludf.DUMMYFUNCTION("""COMPUTED_VALUE"""),"Zodiac")</f>
        <v>Zodiac</v>
      </c>
      <c r="M2303" s="5" t="str">
        <f>IFERROR(__xludf.DUMMYFUNCTION("""COMPUTED_VALUE"""),"Crime")</f>
        <v>Crime</v>
      </c>
      <c r="N2303" s="5">
        <f>IFERROR(__xludf.DUMMYFUNCTION("""COMPUTED_VALUE"""),1.0)</f>
        <v>1</v>
      </c>
      <c r="S2303" s="5">
        <f>IFERROR(__xludf.DUMMYFUNCTION("""COMPUTED_VALUE"""),910.0)</f>
        <v>910</v>
      </c>
      <c r="T2303" s="5" t="str">
        <f>IFERROR(__xludf.DUMMYFUNCTION("""COMPUTED_VALUE"""),"Celda 211")</f>
        <v>Celda 211</v>
      </c>
      <c r="U2303" s="5" t="str">
        <f>IFERROR(__xludf.DUMMYFUNCTION("""COMPUTED_VALUE"""),"Action")</f>
        <v>Action</v>
      </c>
      <c r="V2303" s="5">
        <f>IFERROR(__xludf.DUMMYFUNCTION("""COMPUTED_VALUE"""),1.0)</f>
        <v>1</v>
      </c>
    </row>
    <row r="2304">
      <c r="J2304" s="5" t="str">
        <f>IFERROR(__xludf.DUMMYFUNCTION("""COMPUTED_VALUE"""),"768🤙🏼Zodiac🤙🏼Drama🤙🏼2")</f>
        <v>768🤙🏼Zodiac🤙🏼Drama🤙🏼2</v>
      </c>
      <c r="K2304" s="5">
        <f>IFERROR(__xludf.DUMMYFUNCTION("SPLiT(J2304, ""🤙🏼"",FALSE,FALSE)"),768.0)</f>
        <v>768</v>
      </c>
      <c r="L2304" s="5" t="str">
        <f>IFERROR(__xludf.DUMMYFUNCTION("""COMPUTED_VALUE"""),"Zodiac")</f>
        <v>Zodiac</v>
      </c>
      <c r="M2304" s="5" t="str">
        <f>IFERROR(__xludf.DUMMYFUNCTION("""COMPUTED_VALUE"""),"Drama")</f>
        <v>Drama</v>
      </c>
      <c r="N2304" s="5">
        <f>IFERROR(__xludf.DUMMYFUNCTION("""COMPUTED_VALUE"""),2.0)</f>
        <v>2</v>
      </c>
      <c r="S2304" s="5">
        <f>IFERROR(__xludf.DUMMYFUNCTION("""COMPUTED_VALUE"""),910.0)</f>
        <v>910</v>
      </c>
      <c r="T2304" s="5" t="str">
        <f>IFERROR(__xludf.DUMMYFUNCTION("""COMPUTED_VALUE"""),"Celda 211")</f>
        <v>Celda 211</v>
      </c>
      <c r="U2304" s="5" t="str">
        <f>IFERROR(__xludf.DUMMYFUNCTION("""COMPUTED_VALUE"""),"Adventure")</f>
        <v>Adventure</v>
      </c>
      <c r="V2304" s="5">
        <f>IFERROR(__xludf.DUMMYFUNCTION("""COMPUTED_VALUE"""),2.0)</f>
        <v>2</v>
      </c>
    </row>
    <row r="2305">
      <c r="J2305" s="5" t="str">
        <f>IFERROR(__xludf.DUMMYFUNCTION("""COMPUTED_VALUE"""),"768🤙🏼Zodiac🤙🏼Mystery🤙🏼3")</f>
        <v>768🤙🏼Zodiac🤙🏼Mystery🤙🏼3</v>
      </c>
      <c r="K2305" s="5">
        <f>IFERROR(__xludf.DUMMYFUNCTION("SPLiT(J2305, ""🤙🏼"",FALSE,FALSE)"),768.0)</f>
        <v>768</v>
      </c>
      <c r="L2305" s="5" t="str">
        <f>IFERROR(__xludf.DUMMYFUNCTION("""COMPUTED_VALUE"""),"Zodiac")</f>
        <v>Zodiac</v>
      </c>
      <c r="M2305" s="5" t="str">
        <f>IFERROR(__xludf.DUMMYFUNCTION("""COMPUTED_VALUE"""),"Mystery")</f>
        <v>Mystery</v>
      </c>
      <c r="N2305" s="5">
        <f>IFERROR(__xludf.DUMMYFUNCTION("""COMPUTED_VALUE"""),3.0)</f>
        <v>3</v>
      </c>
      <c r="S2305" s="5">
        <f>IFERROR(__xludf.DUMMYFUNCTION("""COMPUTED_VALUE"""),910.0)</f>
        <v>910</v>
      </c>
      <c r="T2305" s="5" t="str">
        <f>IFERROR(__xludf.DUMMYFUNCTION("""COMPUTED_VALUE"""),"Celda 211")</f>
        <v>Celda 211</v>
      </c>
      <c r="U2305" s="5" t="str">
        <f>IFERROR(__xludf.DUMMYFUNCTION("""COMPUTED_VALUE"""),"Crime")</f>
        <v>Crime</v>
      </c>
      <c r="V2305" s="5">
        <f>IFERROR(__xludf.DUMMYFUNCTION("""COMPUTED_VALUE"""),3.0)</f>
        <v>3</v>
      </c>
    </row>
    <row r="2306">
      <c r="J2306" s="5" t="str">
        <f>IFERROR(__xludf.DUMMYFUNCTION("""COMPUTED_VALUE"""),"769🤙🏼Lucky Number Slevin🤙🏼Action🤙🏼1")</f>
        <v>769🤙🏼Lucky Number Slevin🤙🏼Action🤙🏼1</v>
      </c>
      <c r="K2306" s="5">
        <f>IFERROR(__xludf.DUMMYFUNCTION("SPLiT(J2306, ""🤙🏼"",FALSE,FALSE)"),769.0)</f>
        <v>769</v>
      </c>
      <c r="L2306" s="5" t="str">
        <f>IFERROR(__xludf.DUMMYFUNCTION("""COMPUTED_VALUE"""),"Lucky Number Slevin")</f>
        <v>Lucky Number Slevin</v>
      </c>
      <c r="M2306" s="5" t="str">
        <f>IFERROR(__xludf.DUMMYFUNCTION("""COMPUTED_VALUE"""),"Action")</f>
        <v>Action</v>
      </c>
      <c r="N2306" s="5">
        <f>IFERROR(__xludf.DUMMYFUNCTION("""COMPUTED_VALUE"""),1.0)</f>
        <v>1</v>
      </c>
      <c r="S2306" s="5">
        <f>IFERROR(__xludf.DUMMYFUNCTION("""COMPUTED_VALUE"""),911.0)</f>
        <v>911</v>
      </c>
      <c r="T2306" s="5" t="str">
        <f>IFERROR(__xludf.DUMMYFUNCTION("""COMPUTED_VALUE"""),"Moneyball")</f>
        <v>Moneyball</v>
      </c>
      <c r="U2306" s="5" t="str">
        <f>IFERROR(__xludf.DUMMYFUNCTION("""COMPUTED_VALUE"""),"Biography")</f>
        <v>Biography</v>
      </c>
      <c r="V2306" s="5">
        <f>IFERROR(__xludf.DUMMYFUNCTION("""COMPUTED_VALUE"""),1.0)</f>
        <v>1</v>
      </c>
    </row>
    <row r="2307">
      <c r="J2307" s="5" t="str">
        <f>IFERROR(__xludf.DUMMYFUNCTION("""COMPUTED_VALUE"""),"769🤙🏼Lucky Number Slevin🤙🏼Crime🤙🏼2")</f>
        <v>769🤙🏼Lucky Number Slevin🤙🏼Crime🤙🏼2</v>
      </c>
      <c r="K2307" s="5">
        <f>IFERROR(__xludf.DUMMYFUNCTION("SPLiT(J2307, ""🤙🏼"",FALSE,FALSE)"),769.0)</f>
        <v>769</v>
      </c>
      <c r="L2307" s="5" t="str">
        <f>IFERROR(__xludf.DUMMYFUNCTION("""COMPUTED_VALUE"""),"Lucky Number Slevin")</f>
        <v>Lucky Number Slevin</v>
      </c>
      <c r="M2307" s="5" t="str">
        <f>IFERROR(__xludf.DUMMYFUNCTION("""COMPUTED_VALUE"""),"Crime")</f>
        <v>Crime</v>
      </c>
      <c r="N2307" s="5">
        <f>IFERROR(__xludf.DUMMYFUNCTION("""COMPUTED_VALUE"""),2.0)</f>
        <v>2</v>
      </c>
      <c r="S2307" s="5">
        <f>IFERROR(__xludf.DUMMYFUNCTION("""COMPUTED_VALUE"""),911.0)</f>
        <v>911</v>
      </c>
      <c r="T2307" s="5" t="str">
        <f>IFERROR(__xludf.DUMMYFUNCTION("""COMPUTED_VALUE"""),"Moneyball")</f>
        <v>Moneyball</v>
      </c>
      <c r="U2307" s="5" t="str">
        <f>IFERROR(__xludf.DUMMYFUNCTION("""COMPUTED_VALUE"""),"Drama")</f>
        <v>Drama</v>
      </c>
      <c r="V2307" s="5">
        <f>IFERROR(__xludf.DUMMYFUNCTION("""COMPUTED_VALUE"""),2.0)</f>
        <v>2</v>
      </c>
    </row>
    <row r="2308">
      <c r="J2308" s="5" t="str">
        <f>IFERROR(__xludf.DUMMYFUNCTION("""COMPUTED_VALUE"""),"769🤙🏼Lucky Number Slevin🤙🏼Drama🤙🏼3")</f>
        <v>769🤙🏼Lucky Number Slevin🤙🏼Drama🤙🏼3</v>
      </c>
      <c r="K2308" s="5">
        <f>IFERROR(__xludf.DUMMYFUNCTION("SPLiT(J2308, ""🤙🏼"",FALSE,FALSE)"),769.0)</f>
        <v>769</v>
      </c>
      <c r="L2308" s="5" t="str">
        <f>IFERROR(__xludf.DUMMYFUNCTION("""COMPUTED_VALUE"""),"Lucky Number Slevin")</f>
        <v>Lucky Number Slevin</v>
      </c>
      <c r="M2308" s="5" t="str">
        <f>IFERROR(__xludf.DUMMYFUNCTION("""COMPUTED_VALUE"""),"Drama")</f>
        <v>Drama</v>
      </c>
      <c r="N2308" s="5">
        <f>IFERROR(__xludf.DUMMYFUNCTION("""COMPUTED_VALUE"""),3.0)</f>
        <v>3</v>
      </c>
      <c r="S2308" s="5">
        <f>IFERROR(__xludf.DUMMYFUNCTION("""COMPUTED_VALUE"""),911.0)</f>
        <v>911</v>
      </c>
      <c r="T2308" s="5" t="str">
        <f>IFERROR(__xludf.DUMMYFUNCTION("""COMPUTED_VALUE"""),"Moneyball")</f>
        <v>Moneyball</v>
      </c>
      <c r="U2308" s="5" t="str">
        <f>IFERROR(__xludf.DUMMYFUNCTION("""COMPUTED_VALUE"""),"Sport")</f>
        <v>Sport</v>
      </c>
      <c r="V2308" s="5">
        <f>IFERROR(__xludf.DUMMYFUNCTION("""COMPUTED_VALUE"""),3.0)</f>
        <v>3</v>
      </c>
    </row>
    <row r="2309">
      <c r="J2309" s="5" t="str">
        <f>IFERROR(__xludf.DUMMYFUNCTION("""COMPUTED_VALUE"""),"770🤙🏼Joyeux Noël🤙🏼Drama🤙🏼1")</f>
        <v>770🤙🏼Joyeux Noël🤙🏼Drama🤙🏼1</v>
      </c>
      <c r="K2309" s="5">
        <f>IFERROR(__xludf.DUMMYFUNCTION("SPLiT(J2309, ""🤙🏼"",FALSE,FALSE)"),770.0)</f>
        <v>770</v>
      </c>
      <c r="L2309" s="5" t="str">
        <f>IFERROR(__xludf.DUMMYFUNCTION("""COMPUTED_VALUE"""),"Joyeux Noël")</f>
        <v>Joyeux Noël</v>
      </c>
      <c r="M2309" s="5" t="str">
        <f>IFERROR(__xludf.DUMMYFUNCTION("""COMPUTED_VALUE"""),"Drama")</f>
        <v>Drama</v>
      </c>
      <c r="N2309" s="5">
        <f>IFERROR(__xludf.DUMMYFUNCTION("""COMPUTED_VALUE"""),1.0)</f>
        <v>1</v>
      </c>
      <c r="S2309" s="5">
        <f>IFERROR(__xludf.DUMMYFUNCTION("""COMPUTED_VALUE"""),912.0)</f>
        <v>912</v>
      </c>
      <c r="T2309" s="5" t="str">
        <f>IFERROR(__xludf.DUMMYFUNCTION("""COMPUTED_VALUE"""),"La piel que habito")</f>
        <v>La piel que habito</v>
      </c>
      <c r="U2309" s="5" t="str">
        <f>IFERROR(__xludf.DUMMYFUNCTION("""COMPUTED_VALUE"""),"Drama")</f>
        <v>Drama</v>
      </c>
      <c r="V2309" s="5">
        <f>IFERROR(__xludf.DUMMYFUNCTION("""COMPUTED_VALUE"""),1.0)</f>
        <v>1</v>
      </c>
    </row>
    <row r="2310">
      <c r="J2310" s="5" t="str">
        <f>IFERROR(__xludf.DUMMYFUNCTION("""COMPUTED_VALUE"""),"770🤙🏼Joyeux Noël🤙🏼History🤙🏼2")</f>
        <v>770🤙🏼Joyeux Noël🤙🏼History🤙🏼2</v>
      </c>
      <c r="K2310" s="5">
        <f>IFERROR(__xludf.DUMMYFUNCTION("SPLiT(J2310, ""🤙🏼"",FALSE,FALSE)"),770.0)</f>
        <v>770</v>
      </c>
      <c r="L2310" s="5" t="str">
        <f>IFERROR(__xludf.DUMMYFUNCTION("""COMPUTED_VALUE"""),"Joyeux Noël")</f>
        <v>Joyeux Noël</v>
      </c>
      <c r="M2310" s="5" t="str">
        <f>IFERROR(__xludf.DUMMYFUNCTION("""COMPUTED_VALUE"""),"History")</f>
        <v>History</v>
      </c>
      <c r="N2310" s="5">
        <f>IFERROR(__xludf.DUMMYFUNCTION("""COMPUTED_VALUE"""),2.0)</f>
        <v>2</v>
      </c>
      <c r="S2310" s="5">
        <f>IFERROR(__xludf.DUMMYFUNCTION("""COMPUTED_VALUE"""),912.0)</f>
        <v>912</v>
      </c>
      <c r="T2310" s="5" t="str">
        <f>IFERROR(__xludf.DUMMYFUNCTION("""COMPUTED_VALUE"""),"La piel que habito")</f>
        <v>La piel que habito</v>
      </c>
      <c r="U2310" s="5" t="str">
        <f>IFERROR(__xludf.DUMMYFUNCTION("""COMPUTED_VALUE"""),"Horror")</f>
        <v>Horror</v>
      </c>
      <c r="V2310" s="5">
        <f>IFERROR(__xludf.DUMMYFUNCTION("""COMPUTED_VALUE"""),2.0)</f>
        <v>2</v>
      </c>
    </row>
    <row r="2311">
      <c r="J2311" s="5" t="str">
        <f>IFERROR(__xludf.DUMMYFUNCTION("""COMPUTED_VALUE"""),"770🤙🏼Joyeux Noël🤙🏼Music🤙🏼3")</f>
        <v>770🤙🏼Joyeux Noël🤙🏼Music🤙🏼3</v>
      </c>
      <c r="K2311" s="5">
        <f>IFERROR(__xludf.DUMMYFUNCTION("SPLiT(J2311, ""🤙🏼"",FALSE,FALSE)"),770.0)</f>
        <v>770</v>
      </c>
      <c r="L2311" s="5" t="str">
        <f>IFERROR(__xludf.DUMMYFUNCTION("""COMPUTED_VALUE"""),"Joyeux Noël")</f>
        <v>Joyeux Noël</v>
      </c>
      <c r="M2311" s="5" t="str">
        <f>IFERROR(__xludf.DUMMYFUNCTION("""COMPUTED_VALUE"""),"Music")</f>
        <v>Music</v>
      </c>
      <c r="N2311" s="5">
        <f>IFERROR(__xludf.DUMMYFUNCTION("""COMPUTED_VALUE"""),3.0)</f>
        <v>3</v>
      </c>
      <c r="S2311" s="5">
        <f>IFERROR(__xludf.DUMMYFUNCTION("""COMPUTED_VALUE"""),912.0)</f>
        <v>912</v>
      </c>
      <c r="T2311" s="5" t="str">
        <f>IFERROR(__xludf.DUMMYFUNCTION("""COMPUTED_VALUE"""),"La piel que habito")</f>
        <v>La piel que habito</v>
      </c>
      <c r="U2311" s="5" t="str">
        <f>IFERROR(__xludf.DUMMYFUNCTION("""COMPUTED_VALUE"""),"Thriller")</f>
        <v>Thriller</v>
      </c>
      <c r="V2311" s="5">
        <f>IFERROR(__xludf.DUMMYFUNCTION("""COMPUTED_VALUE"""),3.0)</f>
        <v>3</v>
      </c>
    </row>
    <row r="2312">
      <c r="J2312" s="5" t="str">
        <f>IFERROR(__xludf.DUMMYFUNCTION("""COMPUTED_VALUE"""),"771🤙🏼Control🤙🏼Biography🤙🏼1")</f>
        <v>771🤙🏼Control🤙🏼Biography🤙🏼1</v>
      </c>
      <c r="K2312" s="5">
        <f>IFERROR(__xludf.DUMMYFUNCTION("SPLiT(J2312, ""🤙🏼"",FALSE,FALSE)"),771.0)</f>
        <v>771</v>
      </c>
      <c r="L2312" s="5" t="str">
        <f>IFERROR(__xludf.DUMMYFUNCTION("""COMPUTED_VALUE"""),"Control")</f>
        <v>Control</v>
      </c>
      <c r="M2312" s="5" t="str">
        <f>IFERROR(__xludf.DUMMYFUNCTION("""COMPUTED_VALUE"""),"Biography")</f>
        <v>Biography</v>
      </c>
      <c r="N2312" s="5">
        <f>IFERROR(__xludf.DUMMYFUNCTION("""COMPUTED_VALUE"""),1.0)</f>
        <v>1</v>
      </c>
      <c r="S2312" s="5">
        <f>IFERROR(__xludf.DUMMYFUNCTION("""COMPUTED_VALUE"""),913.0)</f>
        <v>913</v>
      </c>
      <c r="T2312" s="5" t="str">
        <f>IFERROR(__xludf.DUMMYFUNCTION("""COMPUTED_VALUE"""),"Zombieland")</f>
        <v>Zombieland</v>
      </c>
      <c r="U2312" s="5" t="str">
        <f>IFERROR(__xludf.DUMMYFUNCTION("""COMPUTED_VALUE"""),"Adventure")</f>
        <v>Adventure</v>
      </c>
      <c r="V2312" s="5">
        <f>IFERROR(__xludf.DUMMYFUNCTION("""COMPUTED_VALUE"""),1.0)</f>
        <v>1</v>
      </c>
    </row>
    <row r="2313">
      <c r="J2313" s="5" t="str">
        <f>IFERROR(__xludf.DUMMYFUNCTION("""COMPUTED_VALUE"""),"771🤙🏼Control🤙🏼Drama🤙🏼2")</f>
        <v>771🤙🏼Control🤙🏼Drama🤙🏼2</v>
      </c>
      <c r="K2313" s="5">
        <f>IFERROR(__xludf.DUMMYFUNCTION("SPLiT(J2313, ""🤙🏼"",FALSE,FALSE)"),771.0)</f>
        <v>771</v>
      </c>
      <c r="L2313" s="5" t="str">
        <f>IFERROR(__xludf.DUMMYFUNCTION("""COMPUTED_VALUE"""),"Control")</f>
        <v>Control</v>
      </c>
      <c r="M2313" s="5" t="str">
        <f>IFERROR(__xludf.DUMMYFUNCTION("""COMPUTED_VALUE"""),"Drama")</f>
        <v>Drama</v>
      </c>
      <c r="N2313" s="5">
        <f>IFERROR(__xludf.DUMMYFUNCTION("""COMPUTED_VALUE"""),2.0)</f>
        <v>2</v>
      </c>
      <c r="S2313" s="5">
        <f>IFERROR(__xludf.DUMMYFUNCTION("""COMPUTED_VALUE"""),913.0)</f>
        <v>913</v>
      </c>
      <c r="T2313" s="5" t="str">
        <f>IFERROR(__xludf.DUMMYFUNCTION("""COMPUTED_VALUE"""),"Zombieland")</f>
        <v>Zombieland</v>
      </c>
      <c r="U2313" s="5" t="str">
        <f>IFERROR(__xludf.DUMMYFUNCTION("""COMPUTED_VALUE"""),"Comedy")</f>
        <v>Comedy</v>
      </c>
      <c r="V2313" s="5">
        <f>IFERROR(__xludf.DUMMYFUNCTION("""COMPUTED_VALUE"""),2.0)</f>
        <v>2</v>
      </c>
    </row>
    <row r="2314">
      <c r="J2314" s="5" t="str">
        <f>IFERROR(__xludf.DUMMYFUNCTION("""COMPUTED_VALUE"""),"771🤙🏼Control🤙🏼Music🤙🏼3")</f>
        <v>771🤙🏼Control🤙🏼Music🤙🏼3</v>
      </c>
      <c r="K2314" s="5">
        <f>IFERROR(__xludf.DUMMYFUNCTION("SPLiT(J2314, ""🤙🏼"",FALSE,FALSE)"),771.0)</f>
        <v>771</v>
      </c>
      <c r="L2314" s="5" t="str">
        <f>IFERROR(__xludf.DUMMYFUNCTION("""COMPUTED_VALUE"""),"Control")</f>
        <v>Control</v>
      </c>
      <c r="M2314" s="5" t="str">
        <f>IFERROR(__xludf.DUMMYFUNCTION("""COMPUTED_VALUE"""),"Music")</f>
        <v>Music</v>
      </c>
      <c r="N2314" s="5">
        <f>IFERROR(__xludf.DUMMYFUNCTION("""COMPUTED_VALUE"""),3.0)</f>
        <v>3</v>
      </c>
      <c r="S2314" s="5">
        <f>IFERROR(__xludf.DUMMYFUNCTION("""COMPUTED_VALUE"""),913.0)</f>
        <v>913</v>
      </c>
      <c r="T2314" s="5" t="str">
        <f>IFERROR(__xludf.DUMMYFUNCTION("""COMPUTED_VALUE"""),"Zombieland")</f>
        <v>Zombieland</v>
      </c>
      <c r="U2314" s="5" t="str">
        <f>IFERROR(__xludf.DUMMYFUNCTION("""COMPUTED_VALUE"""),"Fantasy")</f>
        <v>Fantasy</v>
      </c>
      <c r="V2314" s="5">
        <f>IFERROR(__xludf.DUMMYFUNCTION("""COMPUTED_VALUE"""),3.0)</f>
        <v>3</v>
      </c>
    </row>
    <row r="2315">
      <c r="J2315" s="5" t="str">
        <f>IFERROR(__xludf.DUMMYFUNCTION("""COMPUTED_VALUE"""),"772🤙🏼Tangled🤙🏼Animation🤙🏼1")</f>
        <v>772🤙🏼Tangled🤙🏼Animation🤙🏼1</v>
      </c>
      <c r="K2315" s="5">
        <f>IFERROR(__xludf.DUMMYFUNCTION("SPLiT(J2315, ""🤙🏼"",FALSE,FALSE)"),772.0)</f>
        <v>772</v>
      </c>
      <c r="L2315" s="5" t="str">
        <f>IFERROR(__xludf.DUMMYFUNCTION("""COMPUTED_VALUE"""),"Tangled")</f>
        <v>Tangled</v>
      </c>
      <c r="M2315" s="5" t="str">
        <f>IFERROR(__xludf.DUMMYFUNCTION("""COMPUTED_VALUE"""),"Animation")</f>
        <v>Animation</v>
      </c>
      <c r="N2315" s="5">
        <f>IFERROR(__xludf.DUMMYFUNCTION("""COMPUTED_VALUE"""),1.0)</f>
        <v>1</v>
      </c>
      <c r="S2315" s="5">
        <f>IFERROR(__xludf.DUMMYFUNCTION("""COMPUTED_VALUE"""),914.0)</f>
        <v>914</v>
      </c>
      <c r="T2315" s="5" t="str">
        <f>IFERROR(__xludf.DUMMYFUNCTION("""COMPUTED_VALUE"""),"Die Welle")</f>
        <v>Die Welle</v>
      </c>
      <c r="U2315" s="5" t="str">
        <f>IFERROR(__xludf.DUMMYFUNCTION("""COMPUTED_VALUE"""),"Drama")</f>
        <v>Drama</v>
      </c>
      <c r="V2315" s="5">
        <f>IFERROR(__xludf.DUMMYFUNCTION("""COMPUTED_VALUE"""),1.0)</f>
        <v>1</v>
      </c>
    </row>
    <row r="2316">
      <c r="J2316" s="5" t="str">
        <f>IFERROR(__xludf.DUMMYFUNCTION("""COMPUTED_VALUE"""),"772🤙🏼Tangled🤙🏼Adventure🤙🏼2")</f>
        <v>772🤙🏼Tangled🤙🏼Adventure🤙🏼2</v>
      </c>
      <c r="K2316" s="5">
        <f>IFERROR(__xludf.DUMMYFUNCTION("SPLiT(J2316, ""🤙🏼"",FALSE,FALSE)"),772.0)</f>
        <v>772</v>
      </c>
      <c r="L2316" s="5" t="str">
        <f>IFERROR(__xludf.DUMMYFUNCTION("""COMPUTED_VALUE"""),"Tangled")</f>
        <v>Tangled</v>
      </c>
      <c r="M2316" s="5" t="str">
        <f>IFERROR(__xludf.DUMMYFUNCTION("""COMPUTED_VALUE"""),"Adventure")</f>
        <v>Adventure</v>
      </c>
      <c r="N2316" s="5">
        <f>IFERROR(__xludf.DUMMYFUNCTION("""COMPUTED_VALUE"""),2.0)</f>
        <v>2</v>
      </c>
      <c r="S2316" s="5">
        <f>IFERROR(__xludf.DUMMYFUNCTION("""COMPUTED_VALUE"""),914.0)</f>
        <v>914</v>
      </c>
      <c r="T2316" s="5" t="str">
        <f>IFERROR(__xludf.DUMMYFUNCTION("""COMPUTED_VALUE"""),"Die Welle")</f>
        <v>Die Welle</v>
      </c>
      <c r="U2316" s="5" t="str">
        <f>IFERROR(__xludf.DUMMYFUNCTION("""COMPUTED_VALUE"""),"Thriller")</f>
        <v>Thriller</v>
      </c>
      <c r="V2316" s="5">
        <f>IFERROR(__xludf.DUMMYFUNCTION("""COMPUTED_VALUE"""),2.0)</f>
        <v>2</v>
      </c>
    </row>
    <row r="2317">
      <c r="J2317" s="5" t="str">
        <f>IFERROR(__xludf.DUMMYFUNCTION("""COMPUTED_VALUE"""),"772🤙🏼Tangled🤙🏼Comedy🤙🏼3")</f>
        <v>772🤙🏼Tangled🤙🏼Comedy🤙🏼3</v>
      </c>
      <c r="K2317" s="5">
        <f>IFERROR(__xludf.DUMMYFUNCTION("SPLiT(J2317, ""🤙🏼"",FALSE,FALSE)"),772.0)</f>
        <v>772</v>
      </c>
      <c r="L2317" s="5" t="str">
        <f>IFERROR(__xludf.DUMMYFUNCTION("""COMPUTED_VALUE"""),"Tangled")</f>
        <v>Tangled</v>
      </c>
      <c r="M2317" s="5" t="str">
        <f>IFERROR(__xludf.DUMMYFUNCTION("""COMPUTED_VALUE"""),"Comedy")</f>
        <v>Comedy</v>
      </c>
      <c r="N2317" s="5">
        <f>IFERROR(__xludf.DUMMYFUNCTION("""COMPUTED_VALUE"""),3.0)</f>
        <v>3</v>
      </c>
      <c r="S2317" s="5">
        <f>IFERROR(__xludf.DUMMYFUNCTION("""COMPUTED_VALUE"""),915.0)</f>
        <v>915</v>
      </c>
      <c r="T2317" s="5" t="str">
        <f>IFERROR(__xludf.DUMMYFUNCTION("""COMPUTED_VALUE"""),"Sherlock Holmes")</f>
        <v>Sherlock Holmes</v>
      </c>
      <c r="U2317" s="5" t="str">
        <f>IFERROR(__xludf.DUMMYFUNCTION("""COMPUTED_VALUE"""),"Action")</f>
        <v>Action</v>
      </c>
      <c r="V2317" s="5">
        <f>IFERROR(__xludf.DUMMYFUNCTION("""COMPUTED_VALUE"""),1.0)</f>
        <v>1</v>
      </c>
    </row>
    <row r="2318">
      <c r="J2318" s="5" t="str">
        <f>IFERROR(__xludf.DUMMYFUNCTION("""COMPUTED_VALUE"""),"773🤙🏼Zwartboek🤙🏼Drama🤙🏼1")</f>
        <v>773🤙🏼Zwartboek🤙🏼Drama🤙🏼1</v>
      </c>
      <c r="K2318" s="5">
        <f>IFERROR(__xludf.DUMMYFUNCTION("SPLiT(J2318, ""🤙🏼"",FALSE,FALSE)"),773.0)</f>
        <v>773</v>
      </c>
      <c r="L2318" s="5" t="str">
        <f>IFERROR(__xludf.DUMMYFUNCTION("""COMPUTED_VALUE"""),"Zwartboek")</f>
        <v>Zwartboek</v>
      </c>
      <c r="M2318" s="5" t="str">
        <f>IFERROR(__xludf.DUMMYFUNCTION("""COMPUTED_VALUE"""),"Drama")</f>
        <v>Drama</v>
      </c>
      <c r="N2318" s="5">
        <f>IFERROR(__xludf.DUMMYFUNCTION("""COMPUTED_VALUE"""),1.0)</f>
        <v>1</v>
      </c>
      <c r="S2318" s="5">
        <f>IFERROR(__xludf.DUMMYFUNCTION("""COMPUTED_VALUE"""),915.0)</f>
        <v>915</v>
      </c>
      <c r="T2318" s="5" t="str">
        <f>IFERROR(__xludf.DUMMYFUNCTION("""COMPUTED_VALUE"""),"Sherlock Holmes")</f>
        <v>Sherlock Holmes</v>
      </c>
      <c r="U2318" s="5" t="str">
        <f>IFERROR(__xludf.DUMMYFUNCTION("""COMPUTED_VALUE"""),"Adventure")</f>
        <v>Adventure</v>
      </c>
      <c r="V2318" s="5">
        <f>IFERROR(__xludf.DUMMYFUNCTION("""COMPUTED_VALUE"""),2.0)</f>
        <v>2</v>
      </c>
    </row>
    <row r="2319">
      <c r="J2319" s="5" t="str">
        <f>IFERROR(__xludf.DUMMYFUNCTION("""COMPUTED_VALUE"""),"773🤙🏼Zwartboek🤙🏼Thriller🤙🏼2")</f>
        <v>773🤙🏼Zwartboek🤙🏼Thriller🤙🏼2</v>
      </c>
      <c r="K2319" s="5">
        <f>IFERROR(__xludf.DUMMYFUNCTION("SPLiT(J2319, ""🤙🏼"",FALSE,FALSE)"),773.0)</f>
        <v>773</v>
      </c>
      <c r="L2319" s="5" t="str">
        <f>IFERROR(__xludf.DUMMYFUNCTION("""COMPUTED_VALUE"""),"Zwartboek")</f>
        <v>Zwartboek</v>
      </c>
      <c r="M2319" s="5" t="str">
        <f>IFERROR(__xludf.DUMMYFUNCTION("""COMPUTED_VALUE"""),"Thriller")</f>
        <v>Thriller</v>
      </c>
      <c r="N2319" s="5">
        <f>IFERROR(__xludf.DUMMYFUNCTION("""COMPUTED_VALUE"""),2.0)</f>
        <v>2</v>
      </c>
      <c r="S2319" s="5">
        <f>IFERROR(__xludf.DUMMYFUNCTION("""COMPUTED_VALUE"""),915.0)</f>
        <v>915</v>
      </c>
      <c r="T2319" s="5" t="str">
        <f>IFERROR(__xludf.DUMMYFUNCTION("""COMPUTED_VALUE"""),"Sherlock Holmes")</f>
        <v>Sherlock Holmes</v>
      </c>
      <c r="U2319" s="5" t="str">
        <f>IFERROR(__xludf.DUMMYFUNCTION("""COMPUTED_VALUE"""),"Mystery")</f>
        <v>Mystery</v>
      </c>
      <c r="V2319" s="5">
        <f>IFERROR(__xludf.DUMMYFUNCTION("""COMPUTED_VALUE"""),3.0)</f>
        <v>3</v>
      </c>
    </row>
    <row r="2320">
      <c r="J2320" s="5" t="str">
        <f>IFERROR(__xludf.DUMMYFUNCTION("""COMPUTED_VALUE"""),"773🤙🏼Zwartboek🤙🏼War🤙🏼3")</f>
        <v>773🤙🏼Zwartboek🤙🏼War🤙🏼3</v>
      </c>
      <c r="K2320" s="5">
        <f>IFERROR(__xludf.DUMMYFUNCTION("SPLiT(J2320, ""🤙🏼"",FALSE,FALSE)"),773.0)</f>
        <v>773</v>
      </c>
      <c r="L2320" s="5" t="str">
        <f>IFERROR(__xludf.DUMMYFUNCTION("""COMPUTED_VALUE"""),"Zwartboek")</f>
        <v>Zwartboek</v>
      </c>
      <c r="M2320" s="5" t="str">
        <f>IFERROR(__xludf.DUMMYFUNCTION("""COMPUTED_VALUE"""),"War")</f>
        <v>War</v>
      </c>
      <c r="N2320" s="5">
        <f>IFERROR(__xludf.DUMMYFUNCTION("""COMPUTED_VALUE"""),3.0)</f>
        <v>3</v>
      </c>
      <c r="S2320" s="5">
        <f>IFERROR(__xludf.DUMMYFUNCTION("""COMPUTED_VALUE"""),916.0)</f>
        <v>916</v>
      </c>
      <c r="T2320" s="5" t="str">
        <f>IFERROR(__xludf.DUMMYFUNCTION("""COMPUTED_VALUE"""),"The Blind Side")</f>
        <v>The Blind Side</v>
      </c>
      <c r="U2320" s="5" t="str">
        <f>IFERROR(__xludf.DUMMYFUNCTION("""COMPUTED_VALUE"""),"Biography")</f>
        <v>Biography</v>
      </c>
      <c r="V2320" s="5">
        <f>IFERROR(__xludf.DUMMYFUNCTION("""COMPUTED_VALUE"""),1.0)</f>
        <v>1</v>
      </c>
    </row>
    <row r="2321">
      <c r="J2321" s="5" t="str">
        <f>IFERROR(__xludf.DUMMYFUNCTION("""COMPUTED_VALUE"""),"774🤙🏼Brokeback Mountain🤙🏼Drama🤙🏼1")</f>
        <v>774🤙🏼Brokeback Mountain🤙🏼Drama🤙🏼1</v>
      </c>
      <c r="K2321" s="5">
        <f>IFERROR(__xludf.DUMMYFUNCTION("SPLiT(J2321, ""🤙🏼"",FALSE,FALSE)"),774.0)</f>
        <v>774</v>
      </c>
      <c r="L2321" s="5" t="str">
        <f>IFERROR(__xludf.DUMMYFUNCTION("""COMPUTED_VALUE"""),"Brokeback Mountain")</f>
        <v>Brokeback Mountain</v>
      </c>
      <c r="M2321" s="5" t="str">
        <f>IFERROR(__xludf.DUMMYFUNCTION("""COMPUTED_VALUE"""),"Drama")</f>
        <v>Drama</v>
      </c>
      <c r="N2321" s="5">
        <f>IFERROR(__xludf.DUMMYFUNCTION("""COMPUTED_VALUE"""),1.0)</f>
        <v>1</v>
      </c>
      <c r="S2321" s="5">
        <f>IFERROR(__xludf.DUMMYFUNCTION("""COMPUTED_VALUE"""),916.0)</f>
        <v>916</v>
      </c>
      <c r="T2321" s="5" t="str">
        <f>IFERROR(__xludf.DUMMYFUNCTION("""COMPUTED_VALUE"""),"The Blind Side")</f>
        <v>The Blind Side</v>
      </c>
      <c r="U2321" s="5" t="str">
        <f>IFERROR(__xludf.DUMMYFUNCTION("""COMPUTED_VALUE"""),"Drama")</f>
        <v>Drama</v>
      </c>
      <c r="V2321" s="5">
        <f>IFERROR(__xludf.DUMMYFUNCTION("""COMPUTED_VALUE"""),2.0)</f>
        <v>2</v>
      </c>
    </row>
    <row r="2322">
      <c r="J2322" s="5" t="str">
        <f>IFERROR(__xludf.DUMMYFUNCTION("""COMPUTED_VALUE"""),"774🤙🏼Brokeback Mountain🤙🏼Romance🤙🏼2")</f>
        <v>774🤙🏼Brokeback Mountain🤙🏼Romance🤙🏼2</v>
      </c>
      <c r="K2322" s="5">
        <f>IFERROR(__xludf.DUMMYFUNCTION("SPLiT(J2322, ""🤙🏼"",FALSE,FALSE)"),774.0)</f>
        <v>774</v>
      </c>
      <c r="L2322" s="5" t="str">
        <f>IFERROR(__xludf.DUMMYFUNCTION("""COMPUTED_VALUE"""),"Brokeback Mountain")</f>
        <v>Brokeback Mountain</v>
      </c>
      <c r="M2322" s="5" t="str">
        <f>IFERROR(__xludf.DUMMYFUNCTION("""COMPUTED_VALUE"""),"Romance")</f>
        <v>Romance</v>
      </c>
      <c r="N2322" s="5">
        <f>IFERROR(__xludf.DUMMYFUNCTION("""COMPUTED_VALUE"""),2.0)</f>
        <v>2</v>
      </c>
      <c r="S2322" s="5">
        <f>IFERROR(__xludf.DUMMYFUNCTION("""COMPUTED_VALUE"""),916.0)</f>
        <v>916</v>
      </c>
      <c r="T2322" s="5" t="str">
        <f>IFERROR(__xludf.DUMMYFUNCTION("""COMPUTED_VALUE"""),"The Blind Side")</f>
        <v>The Blind Side</v>
      </c>
      <c r="U2322" s="5" t="str">
        <f>IFERROR(__xludf.DUMMYFUNCTION("""COMPUTED_VALUE"""),"Sport")</f>
        <v>Sport</v>
      </c>
      <c r="V2322" s="5">
        <f>IFERROR(__xludf.DUMMYFUNCTION("""COMPUTED_VALUE"""),3.0)</f>
        <v>3</v>
      </c>
    </row>
    <row r="2323">
      <c r="J2323" s="5" t="str">
        <f>IFERROR(__xludf.DUMMYFUNCTION("""COMPUTED_VALUE"""),"774🤙🏼Brokeback Mountain🤙🏼🤙🏼3")</f>
        <v>774🤙🏼Brokeback Mountain🤙🏼🤙🏼3</v>
      </c>
      <c r="K2323" s="5">
        <f>IFERROR(__xludf.DUMMYFUNCTION("SPLiT(J2323, ""🤙🏼"",FALSE,FALSE)"),774.0)</f>
        <v>774</v>
      </c>
      <c r="L2323" s="5" t="str">
        <f>IFERROR(__xludf.DUMMYFUNCTION("""COMPUTED_VALUE"""),"Brokeback Mountain")</f>
        <v>Brokeback Mountain</v>
      </c>
      <c r="M2323" s="5"/>
      <c r="N2323" s="5">
        <f>IFERROR(__xludf.DUMMYFUNCTION("""COMPUTED_VALUE"""),3.0)</f>
        <v>3</v>
      </c>
      <c r="S2323" s="5">
        <f>IFERROR(__xludf.DUMMYFUNCTION("""COMPUTED_VALUE"""),917.0)</f>
        <v>917</v>
      </c>
      <c r="T2323" s="5" t="str">
        <f>IFERROR(__xludf.DUMMYFUNCTION("""COMPUTED_VALUE"""),"The Visitor")</f>
        <v>The Visitor</v>
      </c>
      <c r="U2323" s="5" t="str">
        <f>IFERROR(__xludf.DUMMYFUNCTION("""COMPUTED_VALUE"""),"Drama")</f>
        <v>Drama</v>
      </c>
      <c r="V2323" s="5">
        <f>IFERROR(__xludf.DUMMYFUNCTION("""COMPUTED_VALUE"""),1.0)</f>
        <v>1</v>
      </c>
    </row>
    <row r="2324">
      <c r="J2324" s="5" t="str">
        <f>IFERROR(__xludf.DUMMYFUNCTION("""COMPUTED_VALUE"""),"775🤙🏼3:10 to Yuma🤙🏼Action🤙🏼1")</f>
        <v>775🤙🏼3:10 to Yuma🤙🏼Action🤙🏼1</v>
      </c>
      <c r="K2324" s="5">
        <f>IFERROR(__xludf.DUMMYFUNCTION("SPLiT(J2324, ""🤙🏼"",FALSE,FALSE)"),775.0)</f>
        <v>775</v>
      </c>
      <c r="L2324" s="5" t="str">
        <f>IFERROR(__xludf.DUMMYFUNCTION("""COMPUTED_VALUE"""),"3:10 to Yuma")</f>
        <v>3:10 to Yuma</v>
      </c>
      <c r="M2324" s="5" t="str">
        <f>IFERROR(__xludf.DUMMYFUNCTION("""COMPUTED_VALUE"""),"Action")</f>
        <v>Action</v>
      </c>
      <c r="N2324" s="5">
        <f>IFERROR(__xludf.DUMMYFUNCTION("""COMPUTED_VALUE"""),1.0)</f>
        <v>1</v>
      </c>
      <c r="S2324" s="5">
        <f>IFERROR(__xludf.DUMMYFUNCTION("""COMPUTED_VALUE"""),918.0)</f>
        <v>918</v>
      </c>
      <c r="T2324" s="5" t="str">
        <f>IFERROR(__xludf.DUMMYFUNCTION("""COMPUTED_VALUE"""),"Seven Pounds")</f>
        <v>Seven Pounds</v>
      </c>
      <c r="U2324" s="5" t="str">
        <f>IFERROR(__xludf.DUMMYFUNCTION("""COMPUTED_VALUE"""),"Drama")</f>
        <v>Drama</v>
      </c>
      <c r="V2324" s="5">
        <f>IFERROR(__xludf.DUMMYFUNCTION("""COMPUTED_VALUE"""),1.0)</f>
        <v>1</v>
      </c>
    </row>
    <row r="2325">
      <c r="J2325" s="5" t="str">
        <f>IFERROR(__xludf.DUMMYFUNCTION("""COMPUTED_VALUE"""),"775🤙🏼3:10 to Yuma🤙🏼Crime🤙🏼2")</f>
        <v>775🤙🏼3:10 to Yuma🤙🏼Crime🤙🏼2</v>
      </c>
      <c r="K2325" s="5">
        <f>IFERROR(__xludf.DUMMYFUNCTION("SPLiT(J2325, ""🤙🏼"",FALSE,FALSE)"),775.0)</f>
        <v>775</v>
      </c>
      <c r="L2325" s="5" t="str">
        <f>IFERROR(__xludf.DUMMYFUNCTION("""COMPUTED_VALUE"""),"3:10 to Yuma")</f>
        <v>3:10 to Yuma</v>
      </c>
      <c r="M2325" s="5" t="str">
        <f>IFERROR(__xludf.DUMMYFUNCTION("""COMPUTED_VALUE"""),"Crime")</f>
        <v>Crime</v>
      </c>
      <c r="N2325" s="5">
        <f>IFERROR(__xludf.DUMMYFUNCTION("""COMPUTED_VALUE"""),2.0)</f>
        <v>2</v>
      </c>
      <c r="S2325" s="5">
        <f>IFERROR(__xludf.DUMMYFUNCTION("""COMPUTED_VALUE"""),919.0)</f>
        <v>919</v>
      </c>
      <c r="T2325" s="5" t="str">
        <f>IFERROR(__xludf.DUMMYFUNCTION("""COMPUTED_VALUE"""),"Eastern Promises")</f>
        <v>Eastern Promises</v>
      </c>
      <c r="U2325" s="5" t="str">
        <f>IFERROR(__xludf.DUMMYFUNCTION("""COMPUTED_VALUE"""),"Action")</f>
        <v>Action</v>
      </c>
      <c r="V2325" s="5">
        <f>IFERROR(__xludf.DUMMYFUNCTION("""COMPUTED_VALUE"""),1.0)</f>
        <v>1</v>
      </c>
    </row>
    <row r="2326">
      <c r="J2326" s="5" t="str">
        <f>IFERROR(__xludf.DUMMYFUNCTION("""COMPUTED_VALUE"""),"775🤙🏼3:10 to Yuma🤙🏼Drama🤙🏼3")</f>
        <v>775🤙🏼3:10 to Yuma🤙🏼Drama🤙🏼3</v>
      </c>
      <c r="K2326" s="5">
        <f>IFERROR(__xludf.DUMMYFUNCTION("SPLiT(J2326, ""🤙🏼"",FALSE,FALSE)"),775.0)</f>
        <v>775</v>
      </c>
      <c r="L2326" s="5" t="str">
        <f>IFERROR(__xludf.DUMMYFUNCTION("""COMPUTED_VALUE"""),"3:10 to Yuma")</f>
        <v>3:10 to Yuma</v>
      </c>
      <c r="M2326" s="5" t="str">
        <f>IFERROR(__xludf.DUMMYFUNCTION("""COMPUTED_VALUE"""),"Drama")</f>
        <v>Drama</v>
      </c>
      <c r="N2326" s="5">
        <f>IFERROR(__xludf.DUMMYFUNCTION("""COMPUTED_VALUE"""),3.0)</f>
        <v>3</v>
      </c>
      <c r="S2326" s="5">
        <f>IFERROR(__xludf.DUMMYFUNCTION("""COMPUTED_VALUE"""),919.0)</f>
        <v>919</v>
      </c>
      <c r="T2326" s="5" t="str">
        <f>IFERROR(__xludf.DUMMYFUNCTION("""COMPUTED_VALUE"""),"Eastern Promises")</f>
        <v>Eastern Promises</v>
      </c>
      <c r="U2326" s="5" t="str">
        <f>IFERROR(__xludf.DUMMYFUNCTION("""COMPUTED_VALUE"""),"Crime")</f>
        <v>Crime</v>
      </c>
      <c r="V2326" s="5">
        <f>IFERROR(__xludf.DUMMYFUNCTION("""COMPUTED_VALUE"""),2.0)</f>
        <v>2</v>
      </c>
    </row>
    <row r="2327">
      <c r="J2327" s="5" t="str">
        <f>IFERROR(__xludf.DUMMYFUNCTION("""COMPUTED_VALUE"""),"776🤙🏼Crash🤙🏼Crime🤙🏼1")</f>
        <v>776🤙🏼Crash🤙🏼Crime🤙🏼1</v>
      </c>
      <c r="K2327" s="5">
        <f>IFERROR(__xludf.DUMMYFUNCTION("SPLiT(J2327, ""🤙🏼"",FALSE,FALSE)"),776.0)</f>
        <v>776</v>
      </c>
      <c r="L2327" s="5" t="str">
        <f>IFERROR(__xludf.DUMMYFUNCTION("""COMPUTED_VALUE"""),"Crash")</f>
        <v>Crash</v>
      </c>
      <c r="M2327" s="5" t="str">
        <f>IFERROR(__xludf.DUMMYFUNCTION("""COMPUTED_VALUE"""),"Crime")</f>
        <v>Crime</v>
      </c>
      <c r="N2327" s="5">
        <f>IFERROR(__xludf.DUMMYFUNCTION("""COMPUTED_VALUE"""),1.0)</f>
        <v>1</v>
      </c>
      <c r="S2327" s="5">
        <f>IFERROR(__xludf.DUMMYFUNCTION("""COMPUTED_VALUE"""),919.0)</f>
        <v>919</v>
      </c>
      <c r="T2327" s="5" t="str">
        <f>IFERROR(__xludf.DUMMYFUNCTION("""COMPUTED_VALUE"""),"Eastern Promises")</f>
        <v>Eastern Promises</v>
      </c>
      <c r="U2327" s="5" t="str">
        <f>IFERROR(__xludf.DUMMYFUNCTION("""COMPUTED_VALUE"""),"Drama")</f>
        <v>Drama</v>
      </c>
      <c r="V2327" s="5">
        <f>IFERROR(__xludf.DUMMYFUNCTION("""COMPUTED_VALUE"""),3.0)</f>
        <v>3</v>
      </c>
    </row>
    <row r="2328">
      <c r="J2328" s="5" t="str">
        <f>IFERROR(__xludf.DUMMYFUNCTION("""COMPUTED_VALUE"""),"776🤙🏼Crash🤙🏼Drama🤙🏼2")</f>
        <v>776🤙🏼Crash🤙🏼Drama🤙🏼2</v>
      </c>
      <c r="K2328" s="5">
        <f>IFERROR(__xludf.DUMMYFUNCTION("SPLiT(J2328, ""🤙🏼"",FALSE,FALSE)"),776.0)</f>
        <v>776</v>
      </c>
      <c r="L2328" s="5" t="str">
        <f>IFERROR(__xludf.DUMMYFUNCTION("""COMPUTED_VALUE"""),"Crash")</f>
        <v>Crash</v>
      </c>
      <c r="M2328" s="5" t="str">
        <f>IFERROR(__xludf.DUMMYFUNCTION("""COMPUTED_VALUE"""),"Drama")</f>
        <v>Drama</v>
      </c>
      <c r="N2328" s="5">
        <f>IFERROR(__xludf.DUMMYFUNCTION("""COMPUTED_VALUE"""),2.0)</f>
        <v>2</v>
      </c>
      <c r="S2328" s="5">
        <f>IFERROR(__xludf.DUMMYFUNCTION("""COMPUTED_VALUE"""),920.0)</f>
        <v>920</v>
      </c>
      <c r="T2328" s="5" t="str">
        <f>IFERROR(__xludf.DUMMYFUNCTION("""COMPUTED_VALUE"""),"Stardust")</f>
        <v>Stardust</v>
      </c>
      <c r="U2328" s="5" t="str">
        <f>IFERROR(__xludf.DUMMYFUNCTION("""COMPUTED_VALUE"""),"Adventure")</f>
        <v>Adventure</v>
      </c>
      <c r="V2328" s="5">
        <f>IFERROR(__xludf.DUMMYFUNCTION("""COMPUTED_VALUE"""),1.0)</f>
        <v>1</v>
      </c>
    </row>
    <row r="2329">
      <c r="J2329" s="5" t="str">
        <f>IFERROR(__xludf.DUMMYFUNCTION("""COMPUTED_VALUE"""),"776🤙🏼Crash🤙🏼Thriller🤙🏼3")</f>
        <v>776🤙🏼Crash🤙🏼Thriller🤙🏼3</v>
      </c>
      <c r="K2329" s="5">
        <f>IFERROR(__xludf.DUMMYFUNCTION("SPLiT(J2329, ""🤙🏼"",FALSE,FALSE)"),776.0)</f>
        <v>776</v>
      </c>
      <c r="L2329" s="5" t="str">
        <f>IFERROR(__xludf.DUMMYFUNCTION("""COMPUTED_VALUE"""),"Crash")</f>
        <v>Crash</v>
      </c>
      <c r="M2329" s="5" t="str">
        <f>IFERROR(__xludf.DUMMYFUNCTION("""COMPUTED_VALUE"""),"Thriller")</f>
        <v>Thriller</v>
      </c>
      <c r="N2329" s="5">
        <f>IFERROR(__xludf.DUMMYFUNCTION("""COMPUTED_VALUE"""),3.0)</f>
        <v>3</v>
      </c>
      <c r="S2329" s="5">
        <f>IFERROR(__xludf.DUMMYFUNCTION("""COMPUTED_VALUE"""),920.0)</f>
        <v>920</v>
      </c>
      <c r="T2329" s="5" t="str">
        <f>IFERROR(__xludf.DUMMYFUNCTION("""COMPUTED_VALUE"""),"Stardust")</f>
        <v>Stardust</v>
      </c>
      <c r="U2329" s="5" t="str">
        <f>IFERROR(__xludf.DUMMYFUNCTION("""COMPUTED_VALUE"""),"Family")</f>
        <v>Family</v>
      </c>
      <c r="V2329" s="5">
        <f>IFERROR(__xludf.DUMMYFUNCTION("""COMPUTED_VALUE"""),2.0)</f>
        <v>2</v>
      </c>
    </row>
    <row r="2330">
      <c r="J2330" s="5" t="str">
        <f>IFERROR(__xludf.DUMMYFUNCTION("""COMPUTED_VALUE"""),"777🤙🏼Kung fu🤙🏼Action🤙🏼1")</f>
        <v>777🤙🏼Kung fu🤙🏼Action🤙🏼1</v>
      </c>
      <c r="K2330" s="5">
        <f>IFERROR(__xludf.DUMMYFUNCTION("SPLiT(J2330, ""🤙🏼"",FALSE,FALSE)"),777.0)</f>
        <v>777</v>
      </c>
      <c r="L2330" s="5" t="str">
        <f>IFERROR(__xludf.DUMMYFUNCTION("""COMPUTED_VALUE"""),"Kung fu")</f>
        <v>Kung fu</v>
      </c>
      <c r="M2330" s="5" t="str">
        <f>IFERROR(__xludf.DUMMYFUNCTION("""COMPUTED_VALUE"""),"Action")</f>
        <v>Action</v>
      </c>
      <c r="N2330" s="5">
        <f>IFERROR(__xludf.DUMMYFUNCTION("""COMPUTED_VALUE"""),1.0)</f>
        <v>1</v>
      </c>
      <c r="S2330" s="5">
        <f>IFERROR(__xludf.DUMMYFUNCTION("""COMPUTED_VALUE"""),920.0)</f>
        <v>920</v>
      </c>
      <c r="T2330" s="5" t="str">
        <f>IFERROR(__xludf.DUMMYFUNCTION("""COMPUTED_VALUE"""),"Stardust")</f>
        <v>Stardust</v>
      </c>
      <c r="U2330" s="5" t="str">
        <f>IFERROR(__xludf.DUMMYFUNCTION("""COMPUTED_VALUE"""),"Fantasy")</f>
        <v>Fantasy</v>
      </c>
      <c r="V2330" s="5">
        <f>IFERROR(__xludf.DUMMYFUNCTION("""COMPUTED_VALUE"""),3.0)</f>
        <v>3</v>
      </c>
    </row>
    <row r="2331">
      <c r="J2331" s="5" t="str">
        <f>IFERROR(__xludf.DUMMYFUNCTION("""COMPUTED_VALUE"""),"777🤙🏼Kung fu🤙🏼Comedy🤙🏼2")</f>
        <v>777🤙🏼Kung fu🤙🏼Comedy🤙🏼2</v>
      </c>
      <c r="K2331" s="5">
        <f>IFERROR(__xludf.DUMMYFUNCTION("SPLiT(J2331, ""🤙🏼"",FALSE,FALSE)"),777.0)</f>
        <v>777</v>
      </c>
      <c r="L2331" s="5" t="str">
        <f>IFERROR(__xludf.DUMMYFUNCTION("""COMPUTED_VALUE"""),"Kung fu")</f>
        <v>Kung fu</v>
      </c>
      <c r="M2331" s="5" t="str">
        <f>IFERROR(__xludf.DUMMYFUNCTION("""COMPUTED_VALUE"""),"Comedy")</f>
        <v>Comedy</v>
      </c>
      <c r="N2331" s="5">
        <f>IFERROR(__xludf.DUMMYFUNCTION("""COMPUTED_VALUE"""),2.0)</f>
        <v>2</v>
      </c>
      <c r="S2331" s="5">
        <f>IFERROR(__xludf.DUMMYFUNCTION("""COMPUTED_VALUE"""),921.0)</f>
        <v>921</v>
      </c>
      <c r="T2331" s="5" t="str">
        <f>IFERROR(__xludf.DUMMYFUNCTION("""COMPUTED_VALUE"""),"The Secret of Kells")</f>
        <v>The Secret of Kells</v>
      </c>
      <c r="U2331" s="5" t="str">
        <f>IFERROR(__xludf.DUMMYFUNCTION("""COMPUTED_VALUE"""),"Animation")</f>
        <v>Animation</v>
      </c>
      <c r="V2331" s="5">
        <f>IFERROR(__xludf.DUMMYFUNCTION("""COMPUTED_VALUE"""),1.0)</f>
        <v>1</v>
      </c>
    </row>
    <row r="2332">
      <c r="J2332" s="5" t="str">
        <f>IFERROR(__xludf.DUMMYFUNCTION("""COMPUTED_VALUE"""),"777🤙🏼Kung fu🤙🏼Fantasy🤙🏼3")</f>
        <v>777🤙🏼Kung fu🤙🏼Fantasy🤙🏼3</v>
      </c>
      <c r="K2332" s="5">
        <f>IFERROR(__xludf.DUMMYFUNCTION("SPLiT(J2332, ""🤙🏼"",FALSE,FALSE)"),777.0)</f>
        <v>777</v>
      </c>
      <c r="L2332" s="5" t="str">
        <f>IFERROR(__xludf.DUMMYFUNCTION("""COMPUTED_VALUE"""),"Kung fu")</f>
        <v>Kung fu</v>
      </c>
      <c r="M2332" s="5" t="str">
        <f>IFERROR(__xludf.DUMMYFUNCTION("""COMPUTED_VALUE"""),"Fantasy")</f>
        <v>Fantasy</v>
      </c>
      <c r="N2332" s="5">
        <f>IFERROR(__xludf.DUMMYFUNCTION("""COMPUTED_VALUE"""),3.0)</f>
        <v>3</v>
      </c>
      <c r="S2332" s="5">
        <f>IFERROR(__xludf.DUMMYFUNCTION("""COMPUTED_VALUE"""),921.0)</f>
        <v>921</v>
      </c>
      <c r="T2332" s="5" t="str">
        <f>IFERROR(__xludf.DUMMYFUNCTION("""COMPUTED_VALUE"""),"The Secret of Kells")</f>
        <v>The Secret of Kells</v>
      </c>
      <c r="U2332" s="5" t="str">
        <f>IFERROR(__xludf.DUMMYFUNCTION("""COMPUTED_VALUE"""),"Adventure")</f>
        <v>Adventure</v>
      </c>
      <c r="V2332" s="5">
        <f>IFERROR(__xludf.DUMMYFUNCTION("""COMPUTED_VALUE"""),2.0)</f>
        <v>2</v>
      </c>
    </row>
    <row r="2333">
      <c r="J2333" s="5" t="str">
        <f>IFERROR(__xludf.DUMMYFUNCTION("""COMPUTED_VALUE"""),"778🤙🏼The Bourne Supremacy🤙🏼Action🤙🏼1")</f>
        <v>778🤙🏼The Bourne Supremacy🤙🏼Action🤙🏼1</v>
      </c>
      <c r="K2333" s="5">
        <f>IFERROR(__xludf.DUMMYFUNCTION("SPLiT(J2333, ""🤙🏼"",FALSE,FALSE)"),778.0)</f>
        <v>778</v>
      </c>
      <c r="L2333" s="5" t="str">
        <f>IFERROR(__xludf.DUMMYFUNCTION("""COMPUTED_VALUE"""),"The Bourne Supremacy")</f>
        <v>The Bourne Supremacy</v>
      </c>
      <c r="M2333" s="5" t="str">
        <f>IFERROR(__xludf.DUMMYFUNCTION("""COMPUTED_VALUE"""),"Action")</f>
        <v>Action</v>
      </c>
      <c r="N2333" s="5">
        <f>IFERROR(__xludf.DUMMYFUNCTION("""COMPUTED_VALUE"""),1.0)</f>
        <v>1</v>
      </c>
      <c r="S2333" s="5">
        <f>IFERROR(__xludf.DUMMYFUNCTION("""COMPUTED_VALUE"""),921.0)</f>
        <v>921</v>
      </c>
      <c r="T2333" s="5" t="str">
        <f>IFERROR(__xludf.DUMMYFUNCTION("""COMPUTED_VALUE"""),"The Secret of Kells")</f>
        <v>The Secret of Kells</v>
      </c>
      <c r="U2333" s="5" t="str">
        <f>IFERROR(__xludf.DUMMYFUNCTION("""COMPUTED_VALUE"""),"Family")</f>
        <v>Family</v>
      </c>
      <c r="V2333" s="5">
        <f>IFERROR(__xludf.DUMMYFUNCTION("""COMPUTED_VALUE"""),3.0)</f>
        <v>3</v>
      </c>
    </row>
    <row r="2334">
      <c r="J2334" s="5" t="str">
        <f>IFERROR(__xludf.DUMMYFUNCTION("""COMPUTED_VALUE"""),"778🤙🏼The Bourne Supremacy🤙🏼Mystery🤙🏼2")</f>
        <v>778🤙🏼The Bourne Supremacy🤙🏼Mystery🤙🏼2</v>
      </c>
      <c r="K2334" s="5">
        <f>IFERROR(__xludf.DUMMYFUNCTION("SPLiT(J2334, ""🤙🏼"",FALSE,FALSE)"),778.0)</f>
        <v>778</v>
      </c>
      <c r="L2334" s="5" t="str">
        <f>IFERROR(__xludf.DUMMYFUNCTION("""COMPUTED_VALUE"""),"The Bourne Supremacy")</f>
        <v>The Bourne Supremacy</v>
      </c>
      <c r="M2334" s="5" t="str">
        <f>IFERROR(__xludf.DUMMYFUNCTION("""COMPUTED_VALUE"""),"Mystery")</f>
        <v>Mystery</v>
      </c>
      <c r="N2334" s="5">
        <f>IFERROR(__xludf.DUMMYFUNCTION("""COMPUTED_VALUE"""),2.0)</f>
        <v>2</v>
      </c>
      <c r="S2334" s="5">
        <f>IFERROR(__xludf.DUMMYFUNCTION("""COMPUTED_VALUE"""),922.0)</f>
        <v>922</v>
      </c>
      <c r="T2334" s="5" t="str">
        <f>IFERROR(__xludf.DUMMYFUNCTION("""COMPUTED_VALUE"""),"Inside Man")</f>
        <v>Inside Man</v>
      </c>
      <c r="U2334" s="5" t="str">
        <f>IFERROR(__xludf.DUMMYFUNCTION("""COMPUTED_VALUE"""),"Crime")</f>
        <v>Crime</v>
      </c>
      <c r="V2334" s="5">
        <f>IFERROR(__xludf.DUMMYFUNCTION("""COMPUTED_VALUE"""),1.0)</f>
        <v>1</v>
      </c>
    </row>
    <row r="2335">
      <c r="J2335" s="5" t="str">
        <f>IFERROR(__xludf.DUMMYFUNCTION("""COMPUTED_VALUE"""),"778🤙🏼The Bourne Supremacy🤙🏼Thriller🤙🏼3")</f>
        <v>778🤙🏼The Bourne Supremacy🤙🏼Thriller🤙🏼3</v>
      </c>
      <c r="K2335" s="5">
        <f>IFERROR(__xludf.DUMMYFUNCTION("SPLiT(J2335, ""🤙🏼"",FALSE,FALSE)"),778.0)</f>
        <v>778</v>
      </c>
      <c r="L2335" s="5" t="str">
        <f>IFERROR(__xludf.DUMMYFUNCTION("""COMPUTED_VALUE"""),"The Bourne Supremacy")</f>
        <v>The Bourne Supremacy</v>
      </c>
      <c r="M2335" s="5" t="str">
        <f>IFERROR(__xludf.DUMMYFUNCTION("""COMPUTED_VALUE"""),"Thriller")</f>
        <v>Thriller</v>
      </c>
      <c r="N2335" s="5">
        <f>IFERROR(__xludf.DUMMYFUNCTION("""COMPUTED_VALUE"""),3.0)</f>
        <v>3</v>
      </c>
      <c r="S2335" s="5">
        <f>IFERROR(__xludf.DUMMYFUNCTION("""COMPUTED_VALUE"""),922.0)</f>
        <v>922</v>
      </c>
      <c r="T2335" s="5" t="str">
        <f>IFERROR(__xludf.DUMMYFUNCTION("""COMPUTED_VALUE"""),"Inside Man")</f>
        <v>Inside Man</v>
      </c>
      <c r="U2335" s="5" t="str">
        <f>IFERROR(__xludf.DUMMYFUNCTION("""COMPUTED_VALUE"""),"Drama")</f>
        <v>Drama</v>
      </c>
      <c r="V2335" s="5">
        <f>IFERROR(__xludf.DUMMYFUNCTION("""COMPUTED_VALUE"""),2.0)</f>
        <v>2</v>
      </c>
    </row>
    <row r="2336">
      <c r="J2336" s="5" t="str">
        <f>IFERROR(__xludf.DUMMYFUNCTION("""COMPUTED_VALUE"""),"779🤙🏼The Machinist🤙🏼Drama🤙🏼1")</f>
        <v>779🤙🏼The Machinist🤙🏼Drama🤙🏼1</v>
      </c>
      <c r="K2336" s="5">
        <f>IFERROR(__xludf.DUMMYFUNCTION("SPLiT(J2336, ""🤙🏼"",FALSE,FALSE)"),779.0)</f>
        <v>779</v>
      </c>
      <c r="L2336" s="5" t="str">
        <f>IFERROR(__xludf.DUMMYFUNCTION("""COMPUTED_VALUE"""),"The Machinist")</f>
        <v>The Machinist</v>
      </c>
      <c r="M2336" s="5" t="str">
        <f>IFERROR(__xludf.DUMMYFUNCTION("""COMPUTED_VALUE"""),"Drama")</f>
        <v>Drama</v>
      </c>
      <c r="N2336" s="5">
        <f>IFERROR(__xludf.DUMMYFUNCTION("""COMPUTED_VALUE"""),1.0)</f>
        <v>1</v>
      </c>
      <c r="S2336" s="5">
        <f>IFERROR(__xludf.DUMMYFUNCTION("""COMPUTED_VALUE"""),922.0)</f>
        <v>922</v>
      </c>
      <c r="T2336" s="5" t="str">
        <f>IFERROR(__xludf.DUMMYFUNCTION("""COMPUTED_VALUE"""),"Inside Man")</f>
        <v>Inside Man</v>
      </c>
      <c r="U2336" s="5" t="str">
        <f>IFERROR(__xludf.DUMMYFUNCTION("""COMPUTED_VALUE"""),"Mystery")</f>
        <v>Mystery</v>
      </c>
      <c r="V2336" s="5">
        <f>IFERROR(__xludf.DUMMYFUNCTION("""COMPUTED_VALUE"""),3.0)</f>
        <v>3</v>
      </c>
    </row>
    <row r="2337">
      <c r="J2337" s="5" t="str">
        <f>IFERROR(__xludf.DUMMYFUNCTION("""COMPUTED_VALUE"""),"779🤙🏼The Machinist🤙🏼Thriller🤙🏼2")</f>
        <v>779🤙🏼The Machinist🤙🏼Thriller🤙🏼2</v>
      </c>
      <c r="K2337" s="5">
        <f>IFERROR(__xludf.DUMMYFUNCTION("SPLiT(J2337, ""🤙🏼"",FALSE,FALSE)"),779.0)</f>
        <v>779</v>
      </c>
      <c r="L2337" s="5" t="str">
        <f>IFERROR(__xludf.DUMMYFUNCTION("""COMPUTED_VALUE"""),"The Machinist")</f>
        <v>The Machinist</v>
      </c>
      <c r="M2337" s="5" t="str">
        <f>IFERROR(__xludf.DUMMYFUNCTION("""COMPUTED_VALUE"""),"Thriller")</f>
        <v>Thriller</v>
      </c>
      <c r="N2337" s="5">
        <f>IFERROR(__xludf.DUMMYFUNCTION("""COMPUTED_VALUE"""),2.0)</f>
        <v>2</v>
      </c>
      <c r="S2337" s="5">
        <f>IFERROR(__xludf.DUMMYFUNCTION("""COMPUTED_VALUE"""),923.0)</f>
        <v>923</v>
      </c>
      <c r="T2337" s="5" t="str">
        <f>IFERROR(__xludf.DUMMYFUNCTION("""COMPUTED_VALUE"""),"Gone Baby Gone")</f>
        <v>Gone Baby Gone</v>
      </c>
      <c r="U2337" s="5" t="str">
        <f>IFERROR(__xludf.DUMMYFUNCTION("""COMPUTED_VALUE"""),"Crime")</f>
        <v>Crime</v>
      </c>
      <c r="V2337" s="5">
        <f>IFERROR(__xludf.DUMMYFUNCTION("""COMPUTED_VALUE"""),1.0)</f>
        <v>1</v>
      </c>
    </row>
    <row r="2338">
      <c r="J2338" s="5" t="str">
        <f>IFERROR(__xludf.DUMMYFUNCTION("""COMPUTED_VALUE"""),"779🤙🏼The Machinist🤙🏼🤙🏼3")</f>
        <v>779🤙🏼The Machinist🤙🏼🤙🏼3</v>
      </c>
      <c r="K2338" s="5">
        <f>IFERROR(__xludf.DUMMYFUNCTION("SPLiT(J2338, ""🤙🏼"",FALSE,FALSE)"),779.0)</f>
        <v>779</v>
      </c>
      <c r="L2338" s="5" t="str">
        <f>IFERROR(__xludf.DUMMYFUNCTION("""COMPUTED_VALUE"""),"The Machinist")</f>
        <v>The Machinist</v>
      </c>
      <c r="M2338" s="5"/>
      <c r="N2338" s="5">
        <f>IFERROR(__xludf.DUMMYFUNCTION("""COMPUTED_VALUE"""),3.0)</f>
        <v>3</v>
      </c>
      <c r="S2338" s="5">
        <f>IFERROR(__xludf.DUMMYFUNCTION("""COMPUTED_VALUE"""),923.0)</f>
        <v>923</v>
      </c>
      <c r="T2338" s="5" t="str">
        <f>IFERROR(__xludf.DUMMYFUNCTION("""COMPUTED_VALUE"""),"Gone Baby Gone")</f>
        <v>Gone Baby Gone</v>
      </c>
      <c r="U2338" s="5" t="str">
        <f>IFERROR(__xludf.DUMMYFUNCTION("""COMPUTED_VALUE"""),"Drama")</f>
        <v>Drama</v>
      </c>
      <c r="V2338" s="5">
        <f>IFERROR(__xludf.DUMMYFUNCTION("""COMPUTED_VALUE"""),2.0)</f>
        <v>2</v>
      </c>
    </row>
    <row r="2339">
      <c r="J2339" s="5" t="str">
        <f>IFERROR(__xludf.DUMMYFUNCTION("""COMPUTED_VALUE"""),"780🤙🏼Ray🤙🏼Biography🤙🏼1")</f>
        <v>780🤙🏼Ray🤙🏼Biography🤙🏼1</v>
      </c>
      <c r="K2339" s="5">
        <f>IFERROR(__xludf.DUMMYFUNCTION("SPLiT(J2339, ""🤙🏼"",FALSE,FALSE)"),780.0)</f>
        <v>780</v>
      </c>
      <c r="L2339" s="5" t="str">
        <f>IFERROR(__xludf.DUMMYFUNCTION("""COMPUTED_VALUE"""),"Ray")</f>
        <v>Ray</v>
      </c>
      <c r="M2339" s="5" t="str">
        <f>IFERROR(__xludf.DUMMYFUNCTION("""COMPUTED_VALUE"""),"Biography")</f>
        <v>Biography</v>
      </c>
      <c r="N2339" s="5">
        <f>IFERROR(__xludf.DUMMYFUNCTION("""COMPUTED_VALUE"""),1.0)</f>
        <v>1</v>
      </c>
      <c r="S2339" s="5">
        <f>IFERROR(__xludf.DUMMYFUNCTION("""COMPUTED_VALUE"""),923.0)</f>
        <v>923</v>
      </c>
      <c r="T2339" s="5" t="str">
        <f>IFERROR(__xludf.DUMMYFUNCTION("""COMPUTED_VALUE"""),"Gone Baby Gone")</f>
        <v>Gone Baby Gone</v>
      </c>
      <c r="U2339" s="5" t="str">
        <f>IFERROR(__xludf.DUMMYFUNCTION("""COMPUTED_VALUE"""),"Mystery")</f>
        <v>Mystery</v>
      </c>
      <c r="V2339" s="5">
        <f>IFERROR(__xludf.DUMMYFUNCTION("""COMPUTED_VALUE"""),3.0)</f>
        <v>3</v>
      </c>
    </row>
    <row r="2340">
      <c r="J2340" s="5" t="str">
        <f>IFERROR(__xludf.DUMMYFUNCTION("""COMPUTED_VALUE"""),"780🤙🏼Ray🤙🏼Drama🤙🏼2")</f>
        <v>780🤙🏼Ray🤙🏼Drama🤙🏼2</v>
      </c>
      <c r="K2340" s="5">
        <f>IFERROR(__xludf.DUMMYFUNCTION("SPLiT(J2340, ""🤙🏼"",FALSE,FALSE)"),780.0)</f>
        <v>780</v>
      </c>
      <c r="L2340" s="5" t="str">
        <f>IFERROR(__xludf.DUMMYFUNCTION("""COMPUTED_VALUE"""),"Ray")</f>
        <v>Ray</v>
      </c>
      <c r="M2340" s="5" t="str">
        <f>IFERROR(__xludf.DUMMYFUNCTION("""COMPUTED_VALUE"""),"Drama")</f>
        <v>Drama</v>
      </c>
      <c r="N2340" s="5">
        <f>IFERROR(__xludf.DUMMYFUNCTION("""COMPUTED_VALUE"""),2.0)</f>
        <v>2</v>
      </c>
      <c r="S2340" s="5">
        <f>IFERROR(__xludf.DUMMYFUNCTION("""COMPUTED_VALUE"""),924.0)</f>
        <v>924</v>
      </c>
      <c r="T2340" s="5" t="str">
        <f>IFERROR(__xludf.DUMMYFUNCTION("""COMPUTED_VALUE"""),"La Vie En Rose")</f>
        <v>La Vie En Rose</v>
      </c>
      <c r="U2340" s="5" t="str">
        <f>IFERROR(__xludf.DUMMYFUNCTION("""COMPUTED_VALUE"""),"Biography")</f>
        <v>Biography</v>
      </c>
      <c r="V2340" s="5">
        <f>IFERROR(__xludf.DUMMYFUNCTION("""COMPUTED_VALUE"""),1.0)</f>
        <v>1</v>
      </c>
    </row>
    <row r="2341">
      <c r="J2341" s="5" t="str">
        <f>IFERROR(__xludf.DUMMYFUNCTION("""COMPUTED_VALUE"""),"780🤙🏼Ray🤙🏼Music🤙🏼3")</f>
        <v>780🤙🏼Ray🤙🏼Music🤙🏼3</v>
      </c>
      <c r="K2341" s="5">
        <f>IFERROR(__xludf.DUMMYFUNCTION("SPLiT(J2341, ""🤙🏼"",FALSE,FALSE)"),780.0)</f>
        <v>780</v>
      </c>
      <c r="L2341" s="5" t="str">
        <f>IFERROR(__xludf.DUMMYFUNCTION("""COMPUTED_VALUE"""),"Ray")</f>
        <v>Ray</v>
      </c>
      <c r="M2341" s="5" t="str">
        <f>IFERROR(__xludf.DUMMYFUNCTION("""COMPUTED_VALUE"""),"Music")</f>
        <v>Music</v>
      </c>
      <c r="N2341" s="5">
        <f>IFERROR(__xludf.DUMMYFUNCTION("""COMPUTED_VALUE"""),3.0)</f>
        <v>3</v>
      </c>
      <c r="S2341" s="5">
        <f>IFERROR(__xludf.DUMMYFUNCTION("""COMPUTED_VALUE"""),924.0)</f>
        <v>924</v>
      </c>
      <c r="T2341" s="5" t="str">
        <f>IFERROR(__xludf.DUMMYFUNCTION("""COMPUTED_VALUE"""),"La Vie En Rose")</f>
        <v>La Vie En Rose</v>
      </c>
      <c r="U2341" s="5" t="str">
        <f>IFERROR(__xludf.DUMMYFUNCTION("""COMPUTED_VALUE"""),"Drama")</f>
        <v>Drama</v>
      </c>
      <c r="V2341" s="5">
        <f>IFERROR(__xludf.DUMMYFUNCTION("""COMPUTED_VALUE"""),2.0)</f>
        <v>2</v>
      </c>
    </row>
    <row r="2342">
      <c r="J2342" s="5" t="str">
        <f>IFERROR(__xludf.DUMMYFUNCTION("""COMPUTED_VALUE"""),"781🤙🏼Lost in Translation🤙🏼Comedy🤙🏼1")</f>
        <v>781🤙🏼Lost in Translation🤙🏼Comedy🤙🏼1</v>
      </c>
      <c r="K2342" s="5">
        <f>IFERROR(__xludf.DUMMYFUNCTION("SPLiT(J2342, ""🤙🏼"",FALSE,FALSE)"),781.0)</f>
        <v>781</v>
      </c>
      <c r="L2342" s="5" t="str">
        <f>IFERROR(__xludf.DUMMYFUNCTION("""COMPUTED_VALUE"""),"Lost in Translation")</f>
        <v>Lost in Translation</v>
      </c>
      <c r="M2342" s="5" t="str">
        <f>IFERROR(__xludf.DUMMYFUNCTION("""COMPUTED_VALUE"""),"Comedy")</f>
        <v>Comedy</v>
      </c>
      <c r="N2342" s="5">
        <f>IFERROR(__xludf.DUMMYFUNCTION("""COMPUTED_VALUE"""),1.0)</f>
        <v>1</v>
      </c>
      <c r="S2342" s="5">
        <f>IFERROR(__xludf.DUMMYFUNCTION("""COMPUTED_VALUE"""),924.0)</f>
        <v>924</v>
      </c>
      <c r="T2342" s="5" t="str">
        <f>IFERROR(__xludf.DUMMYFUNCTION("""COMPUTED_VALUE"""),"La Vie En Rose")</f>
        <v>La Vie En Rose</v>
      </c>
      <c r="U2342" s="5" t="str">
        <f>IFERROR(__xludf.DUMMYFUNCTION("""COMPUTED_VALUE"""),"Music")</f>
        <v>Music</v>
      </c>
      <c r="V2342" s="5">
        <f>IFERROR(__xludf.DUMMYFUNCTION("""COMPUTED_VALUE"""),3.0)</f>
        <v>3</v>
      </c>
    </row>
    <row r="2343">
      <c r="J2343" s="5" t="str">
        <f>IFERROR(__xludf.DUMMYFUNCTION("""COMPUTED_VALUE"""),"781🤙🏼Lost in Translation🤙🏼Drama🤙🏼2")</f>
        <v>781🤙🏼Lost in Translation🤙🏼Drama🤙🏼2</v>
      </c>
      <c r="K2343" s="5">
        <f>IFERROR(__xludf.DUMMYFUNCTION("SPLiT(J2343, ""🤙🏼"",FALSE,FALSE)"),781.0)</f>
        <v>781</v>
      </c>
      <c r="L2343" s="5" t="str">
        <f>IFERROR(__xludf.DUMMYFUNCTION("""COMPUTED_VALUE"""),"Lost in Translation")</f>
        <v>Lost in Translation</v>
      </c>
      <c r="M2343" s="5" t="str">
        <f>IFERROR(__xludf.DUMMYFUNCTION("""COMPUTED_VALUE"""),"Drama")</f>
        <v>Drama</v>
      </c>
      <c r="N2343" s="5">
        <f>IFERROR(__xludf.DUMMYFUNCTION("""COMPUTED_VALUE"""),2.0)</f>
        <v>2</v>
      </c>
      <c r="S2343" s="5">
        <f>IFERROR(__xludf.DUMMYFUNCTION("""COMPUTED_VALUE"""),925.0)</f>
        <v>925</v>
      </c>
      <c r="T2343" s="5" t="str">
        <f>IFERROR(__xludf.DUMMYFUNCTION("""COMPUTED_VALUE"""),"Huo Yuan Jia")</f>
        <v>Huo Yuan Jia</v>
      </c>
      <c r="U2343" s="5" t="str">
        <f>IFERROR(__xludf.DUMMYFUNCTION("""COMPUTED_VALUE"""),"Action")</f>
        <v>Action</v>
      </c>
      <c r="V2343" s="5">
        <f>IFERROR(__xludf.DUMMYFUNCTION("""COMPUTED_VALUE"""),1.0)</f>
        <v>1</v>
      </c>
    </row>
    <row r="2344">
      <c r="J2344" s="5" t="str">
        <f>IFERROR(__xludf.DUMMYFUNCTION("""COMPUTED_VALUE"""),"781🤙🏼Lost in Translation🤙🏼🤙🏼3")</f>
        <v>781🤙🏼Lost in Translation🤙🏼🤙🏼3</v>
      </c>
      <c r="K2344" s="5">
        <f>IFERROR(__xludf.DUMMYFUNCTION("SPLiT(J2344, ""🤙🏼"",FALSE,FALSE)"),781.0)</f>
        <v>781</v>
      </c>
      <c r="L2344" s="5" t="str">
        <f>IFERROR(__xludf.DUMMYFUNCTION("""COMPUTED_VALUE"""),"Lost in Translation")</f>
        <v>Lost in Translation</v>
      </c>
      <c r="M2344" s="5"/>
      <c r="N2344" s="5">
        <f>IFERROR(__xludf.DUMMYFUNCTION("""COMPUTED_VALUE"""),3.0)</f>
        <v>3</v>
      </c>
      <c r="S2344" s="5">
        <f>IFERROR(__xludf.DUMMYFUNCTION("""COMPUTED_VALUE"""),925.0)</f>
        <v>925</v>
      </c>
      <c r="T2344" s="5" t="str">
        <f>IFERROR(__xludf.DUMMYFUNCTION("""COMPUTED_VALUE"""),"Huo Yuan Jia")</f>
        <v>Huo Yuan Jia</v>
      </c>
      <c r="U2344" s="5" t="str">
        <f>IFERROR(__xludf.DUMMYFUNCTION("""COMPUTED_VALUE"""),"Biography")</f>
        <v>Biography</v>
      </c>
      <c r="V2344" s="5">
        <f>IFERROR(__xludf.DUMMYFUNCTION("""COMPUTED_VALUE"""),2.0)</f>
        <v>2</v>
      </c>
    </row>
    <row r="2345">
      <c r="J2345" s="5" t="str">
        <f>IFERROR(__xludf.DUMMYFUNCTION("""COMPUTED_VALUE"""),"782🤙🏼Harry Potter and the Goblet of Fire🤙🏼Adventure🤙🏼1")</f>
        <v>782🤙🏼Harry Potter and the Goblet of Fire🤙🏼Adventure🤙🏼1</v>
      </c>
      <c r="K2345" s="5">
        <f>IFERROR(__xludf.DUMMYFUNCTION("SPLiT(J2345, ""🤙🏼"",FALSE,FALSE)"),782.0)</f>
        <v>782</v>
      </c>
      <c r="L2345" s="5" t="str">
        <f>IFERROR(__xludf.DUMMYFUNCTION("""COMPUTED_VALUE"""),"Harry Potter and the Goblet of Fire")</f>
        <v>Harry Potter and the Goblet of Fire</v>
      </c>
      <c r="M2345" s="5" t="str">
        <f>IFERROR(__xludf.DUMMYFUNCTION("""COMPUTED_VALUE"""),"Adventure")</f>
        <v>Adventure</v>
      </c>
      <c r="N2345" s="5">
        <f>IFERROR(__xludf.DUMMYFUNCTION("""COMPUTED_VALUE"""),1.0)</f>
        <v>1</v>
      </c>
      <c r="S2345" s="5">
        <f>IFERROR(__xludf.DUMMYFUNCTION("""COMPUTED_VALUE"""),925.0)</f>
        <v>925</v>
      </c>
      <c r="T2345" s="5" t="str">
        <f>IFERROR(__xludf.DUMMYFUNCTION("""COMPUTED_VALUE"""),"Huo Yuan Jia")</f>
        <v>Huo Yuan Jia</v>
      </c>
      <c r="U2345" s="5" t="str">
        <f>IFERROR(__xludf.DUMMYFUNCTION("""COMPUTED_VALUE"""),"Drama")</f>
        <v>Drama</v>
      </c>
      <c r="V2345" s="5">
        <f>IFERROR(__xludf.DUMMYFUNCTION("""COMPUTED_VALUE"""),3.0)</f>
        <v>3</v>
      </c>
    </row>
    <row r="2346">
      <c r="J2346" s="5" t="str">
        <f>IFERROR(__xludf.DUMMYFUNCTION("""COMPUTED_VALUE"""),"782🤙🏼Harry Potter and the Goblet of Fire🤙🏼Family🤙🏼2")</f>
        <v>782🤙🏼Harry Potter and the Goblet of Fire🤙🏼Family🤙🏼2</v>
      </c>
      <c r="K2346" s="5">
        <f>IFERROR(__xludf.DUMMYFUNCTION("SPLiT(J2346, ""🤙🏼"",FALSE,FALSE)"),782.0)</f>
        <v>782</v>
      </c>
      <c r="L2346" s="5" t="str">
        <f>IFERROR(__xludf.DUMMYFUNCTION("""COMPUTED_VALUE"""),"Harry Potter and the Goblet of Fire")</f>
        <v>Harry Potter and the Goblet of Fire</v>
      </c>
      <c r="M2346" s="5" t="str">
        <f>IFERROR(__xludf.DUMMYFUNCTION("""COMPUTED_VALUE"""),"Family")</f>
        <v>Family</v>
      </c>
      <c r="N2346" s="5">
        <f>IFERROR(__xludf.DUMMYFUNCTION("""COMPUTED_VALUE"""),2.0)</f>
        <v>2</v>
      </c>
      <c r="S2346" s="5">
        <f>IFERROR(__xludf.DUMMYFUNCTION("""COMPUTED_VALUE"""),926.0)</f>
        <v>926</v>
      </c>
      <c r="T2346" s="5" t="str">
        <f>IFERROR(__xludf.DUMMYFUNCTION("""COMPUTED_VALUE"""),"The Illusionist")</f>
        <v>The Illusionist</v>
      </c>
      <c r="U2346" s="5" t="str">
        <f>IFERROR(__xludf.DUMMYFUNCTION("""COMPUTED_VALUE"""),"Drama")</f>
        <v>Drama</v>
      </c>
      <c r="V2346" s="5">
        <f>IFERROR(__xludf.DUMMYFUNCTION("""COMPUTED_VALUE"""),1.0)</f>
        <v>1</v>
      </c>
    </row>
    <row r="2347">
      <c r="J2347" s="5" t="str">
        <f>IFERROR(__xludf.DUMMYFUNCTION("""COMPUTED_VALUE"""),"782🤙🏼Harry Potter and the Goblet of Fire🤙🏼Fantasy🤙🏼3")</f>
        <v>782🤙🏼Harry Potter and the Goblet of Fire🤙🏼Fantasy🤙🏼3</v>
      </c>
      <c r="K2347" s="5">
        <f>IFERROR(__xludf.DUMMYFUNCTION("SPLiT(J2347, ""🤙🏼"",FALSE,FALSE)"),782.0)</f>
        <v>782</v>
      </c>
      <c r="L2347" s="5" t="str">
        <f>IFERROR(__xludf.DUMMYFUNCTION("""COMPUTED_VALUE"""),"Harry Potter and the Goblet of Fire")</f>
        <v>Harry Potter and the Goblet of Fire</v>
      </c>
      <c r="M2347" s="5" t="str">
        <f>IFERROR(__xludf.DUMMYFUNCTION("""COMPUTED_VALUE"""),"Fantasy")</f>
        <v>Fantasy</v>
      </c>
      <c r="N2347" s="5">
        <f>IFERROR(__xludf.DUMMYFUNCTION("""COMPUTED_VALUE"""),3.0)</f>
        <v>3</v>
      </c>
      <c r="S2347" s="5">
        <f>IFERROR(__xludf.DUMMYFUNCTION("""COMPUTED_VALUE"""),926.0)</f>
        <v>926</v>
      </c>
      <c r="T2347" s="5" t="str">
        <f>IFERROR(__xludf.DUMMYFUNCTION("""COMPUTED_VALUE"""),"The Illusionist")</f>
        <v>The Illusionist</v>
      </c>
      <c r="U2347" s="5" t="str">
        <f>IFERROR(__xludf.DUMMYFUNCTION("""COMPUTED_VALUE"""),"Fantasy")</f>
        <v>Fantasy</v>
      </c>
      <c r="V2347" s="5">
        <f>IFERROR(__xludf.DUMMYFUNCTION("""COMPUTED_VALUE"""),2.0)</f>
        <v>2</v>
      </c>
    </row>
    <row r="2348">
      <c r="J2348" s="5" t="str">
        <f>IFERROR(__xludf.DUMMYFUNCTION("""COMPUTED_VALUE"""),"783🤙🏼Man on Fire🤙🏼Action🤙🏼1")</f>
        <v>783🤙🏼Man on Fire🤙🏼Action🤙🏼1</v>
      </c>
      <c r="K2348" s="5">
        <f>IFERROR(__xludf.DUMMYFUNCTION("SPLiT(J2348, ""🤙🏼"",FALSE,FALSE)"),783.0)</f>
        <v>783</v>
      </c>
      <c r="L2348" s="5" t="str">
        <f>IFERROR(__xludf.DUMMYFUNCTION("""COMPUTED_VALUE"""),"Man on Fire")</f>
        <v>Man on Fire</v>
      </c>
      <c r="M2348" s="5" t="str">
        <f>IFERROR(__xludf.DUMMYFUNCTION("""COMPUTED_VALUE"""),"Action")</f>
        <v>Action</v>
      </c>
      <c r="N2348" s="5">
        <f>IFERROR(__xludf.DUMMYFUNCTION("""COMPUTED_VALUE"""),1.0)</f>
        <v>1</v>
      </c>
      <c r="S2348" s="5">
        <f>IFERROR(__xludf.DUMMYFUNCTION("""COMPUTED_VALUE"""),926.0)</f>
        <v>926</v>
      </c>
      <c r="T2348" s="5" t="str">
        <f>IFERROR(__xludf.DUMMYFUNCTION("""COMPUTED_VALUE"""),"The Illusionist")</f>
        <v>The Illusionist</v>
      </c>
      <c r="U2348" s="5" t="str">
        <f>IFERROR(__xludf.DUMMYFUNCTION("""COMPUTED_VALUE"""),"Mystery")</f>
        <v>Mystery</v>
      </c>
      <c r="V2348" s="5">
        <f>IFERROR(__xludf.DUMMYFUNCTION("""COMPUTED_VALUE"""),3.0)</f>
        <v>3</v>
      </c>
    </row>
    <row r="2349">
      <c r="J2349" s="5" t="str">
        <f>IFERROR(__xludf.DUMMYFUNCTION("""COMPUTED_VALUE"""),"783🤙🏼Man on Fire🤙🏼Crime🤙🏼2")</f>
        <v>783🤙🏼Man on Fire🤙🏼Crime🤙🏼2</v>
      </c>
      <c r="K2349" s="5">
        <f>IFERROR(__xludf.DUMMYFUNCTION("SPLiT(J2349, ""🤙🏼"",FALSE,FALSE)"),783.0)</f>
        <v>783</v>
      </c>
      <c r="L2349" s="5" t="str">
        <f>IFERROR(__xludf.DUMMYFUNCTION("""COMPUTED_VALUE"""),"Man on Fire")</f>
        <v>Man on Fire</v>
      </c>
      <c r="M2349" s="5" t="str">
        <f>IFERROR(__xludf.DUMMYFUNCTION("""COMPUTED_VALUE"""),"Crime")</f>
        <v>Crime</v>
      </c>
      <c r="N2349" s="5">
        <f>IFERROR(__xludf.DUMMYFUNCTION("""COMPUTED_VALUE"""),2.0)</f>
        <v>2</v>
      </c>
      <c r="S2349" s="5">
        <f>IFERROR(__xludf.DUMMYFUNCTION("""COMPUTED_VALUE"""),927.0)</f>
        <v>927</v>
      </c>
      <c r="T2349" s="5" t="str">
        <f>IFERROR(__xludf.DUMMYFUNCTION("""COMPUTED_VALUE"""),"Dead Man's Shoes")</f>
        <v>Dead Man's Shoes</v>
      </c>
      <c r="U2349" s="5" t="str">
        <f>IFERROR(__xludf.DUMMYFUNCTION("""COMPUTED_VALUE"""),"Crime")</f>
        <v>Crime</v>
      </c>
      <c r="V2349" s="5">
        <f>IFERROR(__xludf.DUMMYFUNCTION("""COMPUTED_VALUE"""),1.0)</f>
        <v>1</v>
      </c>
    </row>
    <row r="2350">
      <c r="J2350" s="5" t="str">
        <f>IFERROR(__xludf.DUMMYFUNCTION("""COMPUTED_VALUE"""),"783🤙🏼Man on Fire🤙🏼Drama🤙🏼3")</f>
        <v>783🤙🏼Man on Fire🤙🏼Drama🤙🏼3</v>
      </c>
      <c r="K2350" s="5">
        <f>IFERROR(__xludf.DUMMYFUNCTION("SPLiT(J2350, ""🤙🏼"",FALSE,FALSE)"),783.0)</f>
        <v>783</v>
      </c>
      <c r="L2350" s="5" t="str">
        <f>IFERROR(__xludf.DUMMYFUNCTION("""COMPUTED_VALUE"""),"Man on Fire")</f>
        <v>Man on Fire</v>
      </c>
      <c r="M2350" s="5" t="str">
        <f>IFERROR(__xludf.DUMMYFUNCTION("""COMPUTED_VALUE"""),"Drama")</f>
        <v>Drama</v>
      </c>
      <c r="N2350" s="5">
        <f>IFERROR(__xludf.DUMMYFUNCTION("""COMPUTED_VALUE"""),3.0)</f>
        <v>3</v>
      </c>
      <c r="S2350" s="5">
        <f>IFERROR(__xludf.DUMMYFUNCTION("""COMPUTED_VALUE"""),927.0)</f>
        <v>927</v>
      </c>
      <c r="T2350" s="5" t="str">
        <f>IFERROR(__xludf.DUMMYFUNCTION("""COMPUTED_VALUE"""),"Dead Man's Shoes")</f>
        <v>Dead Man's Shoes</v>
      </c>
      <c r="U2350" s="5" t="str">
        <f>IFERROR(__xludf.DUMMYFUNCTION("""COMPUTED_VALUE"""),"Drama")</f>
        <v>Drama</v>
      </c>
      <c r="V2350" s="5">
        <f>IFERROR(__xludf.DUMMYFUNCTION("""COMPUTED_VALUE"""),2.0)</f>
        <v>2</v>
      </c>
    </row>
    <row r="2351">
      <c r="J2351" s="5" t="str">
        <f>IFERROR(__xludf.DUMMYFUNCTION("""COMPUTED_VALUE"""),"784🤙🏼Coraline🤙🏼Animation🤙🏼1")</f>
        <v>784🤙🏼Coraline🤙🏼Animation🤙🏼1</v>
      </c>
      <c r="K2351" s="5">
        <f>IFERROR(__xludf.DUMMYFUNCTION("SPLiT(J2351, ""🤙🏼"",FALSE,FALSE)"),784.0)</f>
        <v>784</v>
      </c>
      <c r="L2351" s="5" t="str">
        <f>IFERROR(__xludf.DUMMYFUNCTION("""COMPUTED_VALUE"""),"Coraline")</f>
        <v>Coraline</v>
      </c>
      <c r="M2351" s="5" t="str">
        <f>IFERROR(__xludf.DUMMYFUNCTION("""COMPUTED_VALUE"""),"Animation")</f>
        <v>Animation</v>
      </c>
      <c r="N2351" s="5">
        <f>IFERROR(__xludf.DUMMYFUNCTION("""COMPUTED_VALUE"""),1.0)</f>
        <v>1</v>
      </c>
      <c r="S2351" s="5">
        <f>IFERROR(__xludf.DUMMYFUNCTION("""COMPUTED_VALUE"""),927.0)</f>
        <v>927</v>
      </c>
      <c r="T2351" s="5" t="str">
        <f>IFERROR(__xludf.DUMMYFUNCTION("""COMPUTED_VALUE"""),"Dead Man's Shoes")</f>
        <v>Dead Man's Shoes</v>
      </c>
      <c r="U2351" s="5" t="str">
        <f>IFERROR(__xludf.DUMMYFUNCTION("""COMPUTED_VALUE"""),"Thriller")</f>
        <v>Thriller</v>
      </c>
      <c r="V2351" s="5">
        <f>IFERROR(__xludf.DUMMYFUNCTION("""COMPUTED_VALUE"""),3.0)</f>
        <v>3</v>
      </c>
    </row>
    <row r="2352">
      <c r="J2352" s="5" t="str">
        <f>IFERROR(__xludf.DUMMYFUNCTION("""COMPUTED_VALUE"""),"784🤙🏼Coraline🤙🏼Drama🤙🏼2")</f>
        <v>784🤙🏼Coraline🤙🏼Drama🤙🏼2</v>
      </c>
      <c r="K2352" s="5">
        <f>IFERROR(__xludf.DUMMYFUNCTION("SPLiT(J2352, ""🤙🏼"",FALSE,FALSE)"),784.0)</f>
        <v>784</v>
      </c>
      <c r="L2352" s="5" t="str">
        <f>IFERROR(__xludf.DUMMYFUNCTION("""COMPUTED_VALUE"""),"Coraline")</f>
        <v>Coraline</v>
      </c>
      <c r="M2352" s="5" t="str">
        <f>IFERROR(__xludf.DUMMYFUNCTION("""COMPUTED_VALUE"""),"Drama")</f>
        <v>Drama</v>
      </c>
      <c r="N2352" s="5">
        <f>IFERROR(__xludf.DUMMYFUNCTION("""COMPUTED_VALUE"""),2.0)</f>
        <v>2</v>
      </c>
      <c r="S2352" s="5">
        <f>IFERROR(__xludf.DUMMYFUNCTION("""COMPUTED_VALUE"""),928.0)</f>
        <v>928</v>
      </c>
      <c r="T2352" s="5" t="str">
        <f>IFERROR(__xludf.DUMMYFUNCTION("""COMPUTED_VALUE"""),"Harry Potter and the Half-Blood Prince")</f>
        <v>Harry Potter and the Half-Blood Prince</v>
      </c>
      <c r="U2352" s="5" t="str">
        <f>IFERROR(__xludf.DUMMYFUNCTION("""COMPUTED_VALUE"""),"Action")</f>
        <v>Action</v>
      </c>
      <c r="V2352" s="5">
        <f>IFERROR(__xludf.DUMMYFUNCTION("""COMPUTED_VALUE"""),1.0)</f>
        <v>1</v>
      </c>
    </row>
    <row r="2353">
      <c r="J2353" s="5" t="str">
        <f>IFERROR(__xludf.DUMMYFUNCTION("""COMPUTED_VALUE"""),"784🤙🏼Coraline🤙🏼Family🤙🏼3")</f>
        <v>784🤙🏼Coraline🤙🏼Family🤙🏼3</v>
      </c>
      <c r="K2353" s="5">
        <f>IFERROR(__xludf.DUMMYFUNCTION("SPLiT(J2353, ""🤙🏼"",FALSE,FALSE)"),784.0)</f>
        <v>784</v>
      </c>
      <c r="L2353" s="5" t="str">
        <f>IFERROR(__xludf.DUMMYFUNCTION("""COMPUTED_VALUE"""),"Coraline")</f>
        <v>Coraline</v>
      </c>
      <c r="M2353" s="5" t="str">
        <f>IFERROR(__xludf.DUMMYFUNCTION("""COMPUTED_VALUE"""),"Family")</f>
        <v>Family</v>
      </c>
      <c r="N2353" s="5">
        <f>IFERROR(__xludf.DUMMYFUNCTION("""COMPUTED_VALUE"""),3.0)</f>
        <v>3</v>
      </c>
      <c r="S2353" s="5">
        <f>IFERROR(__xludf.DUMMYFUNCTION("""COMPUTED_VALUE"""),928.0)</f>
        <v>928</v>
      </c>
      <c r="T2353" s="5" t="str">
        <f>IFERROR(__xludf.DUMMYFUNCTION("""COMPUTED_VALUE"""),"Harry Potter and the Half-Blood Prince")</f>
        <v>Harry Potter and the Half-Blood Prince</v>
      </c>
      <c r="U2353" s="5" t="str">
        <f>IFERROR(__xludf.DUMMYFUNCTION("""COMPUTED_VALUE"""),"Adventure")</f>
        <v>Adventure</v>
      </c>
      <c r="V2353" s="5">
        <f>IFERROR(__xludf.DUMMYFUNCTION("""COMPUTED_VALUE"""),2.0)</f>
        <v>2</v>
      </c>
    </row>
    <row r="2354">
      <c r="J2354" s="5" t="str">
        <f>IFERROR(__xludf.DUMMYFUNCTION("""COMPUTED_VALUE"""),"785🤙🏼The Last Samurai🤙🏼Action🤙🏼1")</f>
        <v>785🤙🏼The Last Samurai🤙🏼Action🤙🏼1</v>
      </c>
      <c r="K2354" s="5">
        <f>IFERROR(__xludf.DUMMYFUNCTION("SPLiT(J2354, ""🤙🏼"",FALSE,FALSE)"),785.0)</f>
        <v>785</v>
      </c>
      <c r="L2354" s="5" t="str">
        <f>IFERROR(__xludf.DUMMYFUNCTION("""COMPUTED_VALUE"""),"The Last Samurai")</f>
        <v>The Last Samurai</v>
      </c>
      <c r="M2354" s="5" t="str">
        <f>IFERROR(__xludf.DUMMYFUNCTION("""COMPUTED_VALUE"""),"Action")</f>
        <v>Action</v>
      </c>
      <c r="N2354" s="5">
        <f>IFERROR(__xludf.DUMMYFUNCTION("""COMPUTED_VALUE"""),1.0)</f>
        <v>1</v>
      </c>
      <c r="S2354" s="5">
        <f>IFERROR(__xludf.DUMMYFUNCTION("""COMPUTED_VALUE"""),928.0)</f>
        <v>928</v>
      </c>
      <c r="T2354" s="5" t="str">
        <f>IFERROR(__xludf.DUMMYFUNCTION("""COMPUTED_VALUE"""),"Harry Potter and the Half-Blood Prince")</f>
        <v>Harry Potter and the Half-Blood Prince</v>
      </c>
      <c r="U2354" s="5" t="str">
        <f>IFERROR(__xludf.DUMMYFUNCTION("""COMPUTED_VALUE"""),"Family")</f>
        <v>Family</v>
      </c>
      <c r="V2354" s="5">
        <f>IFERROR(__xludf.DUMMYFUNCTION("""COMPUTED_VALUE"""),3.0)</f>
        <v>3</v>
      </c>
    </row>
    <row r="2355">
      <c r="J2355" s="5" t="str">
        <f>IFERROR(__xludf.DUMMYFUNCTION("""COMPUTED_VALUE"""),"785🤙🏼The Last Samurai🤙🏼Drama🤙🏼2")</f>
        <v>785🤙🏼The Last Samurai🤙🏼Drama🤙🏼2</v>
      </c>
      <c r="K2355" s="5">
        <f>IFERROR(__xludf.DUMMYFUNCTION("SPLiT(J2355, ""🤙🏼"",FALSE,FALSE)"),785.0)</f>
        <v>785</v>
      </c>
      <c r="L2355" s="5" t="str">
        <f>IFERROR(__xludf.DUMMYFUNCTION("""COMPUTED_VALUE"""),"The Last Samurai")</f>
        <v>The Last Samurai</v>
      </c>
      <c r="M2355" s="5" t="str">
        <f>IFERROR(__xludf.DUMMYFUNCTION("""COMPUTED_VALUE"""),"Drama")</f>
        <v>Drama</v>
      </c>
      <c r="N2355" s="5">
        <f>IFERROR(__xludf.DUMMYFUNCTION("""COMPUTED_VALUE"""),2.0)</f>
        <v>2</v>
      </c>
      <c r="S2355" s="5">
        <f>IFERROR(__xludf.DUMMYFUNCTION("""COMPUTED_VALUE"""),929.0)</f>
        <v>929</v>
      </c>
      <c r="T2355" s="5">
        <f>IFERROR(__xludf.DUMMYFUNCTION("""COMPUTED_VALUE"""),300.0)</f>
        <v>300</v>
      </c>
      <c r="U2355" s="5" t="str">
        <f>IFERROR(__xludf.DUMMYFUNCTION("""COMPUTED_VALUE"""),"Action")</f>
        <v>Action</v>
      </c>
      <c r="V2355" s="5">
        <f>IFERROR(__xludf.DUMMYFUNCTION("""COMPUTED_VALUE"""),1.0)</f>
        <v>1</v>
      </c>
    </row>
    <row r="2356">
      <c r="J2356" s="5" t="str">
        <f>IFERROR(__xludf.DUMMYFUNCTION("""COMPUTED_VALUE"""),"785🤙🏼The Last Samurai🤙🏼🤙🏼3")</f>
        <v>785🤙🏼The Last Samurai🤙🏼🤙🏼3</v>
      </c>
      <c r="K2356" s="5">
        <f>IFERROR(__xludf.DUMMYFUNCTION("SPLiT(J2356, ""🤙🏼"",FALSE,FALSE)"),785.0)</f>
        <v>785</v>
      </c>
      <c r="L2356" s="5" t="str">
        <f>IFERROR(__xludf.DUMMYFUNCTION("""COMPUTED_VALUE"""),"The Last Samurai")</f>
        <v>The Last Samurai</v>
      </c>
      <c r="M2356" s="5"/>
      <c r="N2356" s="5">
        <f>IFERROR(__xludf.DUMMYFUNCTION("""COMPUTED_VALUE"""),3.0)</f>
        <v>3</v>
      </c>
      <c r="S2356" s="5">
        <f>IFERROR(__xludf.DUMMYFUNCTION("""COMPUTED_VALUE"""),929.0)</f>
        <v>929</v>
      </c>
      <c r="T2356" s="5">
        <f>IFERROR(__xludf.DUMMYFUNCTION("""COMPUTED_VALUE"""),300.0)</f>
        <v>300</v>
      </c>
      <c r="U2356" s="5" t="str">
        <f>IFERROR(__xludf.DUMMYFUNCTION("""COMPUTED_VALUE"""),"Drama")</f>
        <v>Drama</v>
      </c>
      <c r="V2356" s="5">
        <f>IFERROR(__xludf.DUMMYFUNCTION("""COMPUTED_VALUE"""),2.0)</f>
        <v>2</v>
      </c>
    </row>
    <row r="2357">
      <c r="J2357" s="5" t="str">
        <f>IFERROR(__xludf.DUMMYFUNCTION("""COMPUTED_VALUE"""),"786🤙🏼The Magdalene Sisters🤙🏼Drama🤙🏼1")</f>
        <v>786🤙🏼The Magdalene Sisters🤙🏼Drama🤙🏼1</v>
      </c>
      <c r="K2357" s="5">
        <f>IFERROR(__xludf.DUMMYFUNCTION("SPLiT(J2357, ""🤙🏼"",FALSE,FALSE)"),786.0)</f>
        <v>786</v>
      </c>
      <c r="L2357" s="5" t="str">
        <f>IFERROR(__xludf.DUMMYFUNCTION("""COMPUTED_VALUE"""),"The Magdalene Sisters")</f>
        <v>The Magdalene Sisters</v>
      </c>
      <c r="M2357" s="5" t="str">
        <f>IFERROR(__xludf.DUMMYFUNCTION("""COMPUTED_VALUE"""),"Drama")</f>
        <v>Drama</v>
      </c>
      <c r="N2357" s="5">
        <f>IFERROR(__xludf.DUMMYFUNCTION("""COMPUTED_VALUE"""),1.0)</f>
        <v>1</v>
      </c>
      <c r="S2357" s="5">
        <f>IFERROR(__xludf.DUMMYFUNCTION("""COMPUTED_VALUE"""),930.0)</f>
        <v>930</v>
      </c>
      <c r="T2357" s="5" t="str">
        <f>IFERROR(__xludf.DUMMYFUNCTION("""COMPUTED_VALUE"""),"Match Point")</f>
        <v>Match Point</v>
      </c>
      <c r="U2357" s="5" t="str">
        <f>IFERROR(__xludf.DUMMYFUNCTION("""COMPUTED_VALUE"""),"Drama")</f>
        <v>Drama</v>
      </c>
      <c r="V2357" s="5">
        <f>IFERROR(__xludf.DUMMYFUNCTION("""COMPUTED_VALUE"""),1.0)</f>
        <v>1</v>
      </c>
    </row>
    <row r="2358">
      <c r="J2358" s="5" t="str">
        <f>IFERROR(__xludf.DUMMYFUNCTION("""COMPUTED_VALUE"""),"786🤙🏼The Magdalene Sisters🤙🏼🤙🏼2")</f>
        <v>786🤙🏼The Magdalene Sisters🤙🏼🤙🏼2</v>
      </c>
      <c r="K2358" s="5">
        <f>IFERROR(__xludf.DUMMYFUNCTION("SPLiT(J2358, ""🤙🏼"",FALSE,FALSE)"),786.0)</f>
        <v>786</v>
      </c>
      <c r="L2358" s="5" t="str">
        <f>IFERROR(__xludf.DUMMYFUNCTION("""COMPUTED_VALUE"""),"The Magdalene Sisters")</f>
        <v>The Magdalene Sisters</v>
      </c>
      <c r="M2358" s="5"/>
      <c r="N2358" s="5">
        <f>IFERROR(__xludf.DUMMYFUNCTION("""COMPUTED_VALUE"""),2.0)</f>
        <v>2</v>
      </c>
      <c r="S2358" s="5">
        <f>IFERROR(__xludf.DUMMYFUNCTION("""COMPUTED_VALUE"""),930.0)</f>
        <v>930</v>
      </c>
      <c r="T2358" s="5" t="str">
        <f>IFERROR(__xludf.DUMMYFUNCTION("""COMPUTED_VALUE"""),"Match Point")</f>
        <v>Match Point</v>
      </c>
      <c r="U2358" s="5" t="str">
        <f>IFERROR(__xludf.DUMMYFUNCTION("""COMPUTED_VALUE"""),"Romance")</f>
        <v>Romance</v>
      </c>
      <c r="V2358" s="5">
        <f>IFERROR(__xludf.DUMMYFUNCTION("""COMPUTED_VALUE"""),2.0)</f>
        <v>2</v>
      </c>
    </row>
    <row r="2359">
      <c r="J2359" s="5" t="str">
        <f>IFERROR(__xludf.DUMMYFUNCTION("""COMPUTED_VALUE"""),"786🤙🏼The Magdalene Sisters🤙🏼🤙🏼3")</f>
        <v>786🤙🏼The Magdalene Sisters🤙🏼🤙🏼3</v>
      </c>
      <c r="K2359" s="5">
        <f>IFERROR(__xludf.DUMMYFUNCTION("SPLiT(J2359, ""🤙🏼"",FALSE,FALSE)"),786.0)</f>
        <v>786</v>
      </c>
      <c r="L2359" s="5" t="str">
        <f>IFERROR(__xludf.DUMMYFUNCTION("""COMPUTED_VALUE"""),"The Magdalene Sisters")</f>
        <v>The Magdalene Sisters</v>
      </c>
      <c r="M2359" s="5"/>
      <c r="N2359" s="5">
        <f>IFERROR(__xludf.DUMMYFUNCTION("""COMPUTED_VALUE"""),3.0)</f>
        <v>3</v>
      </c>
      <c r="S2359" s="5">
        <f>IFERROR(__xludf.DUMMYFUNCTION("""COMPUTED_VALUE"""),930.0)</f>
        <v>930</v>
      </c>
      <c r="T2359" s="5" t="str">
        <f>IFERROR(__xludf.DUMMYFUNCTION("""COMPUTED_VALUE"""),"Match Point")</f>
        <v>Match Point</v>
      </c>
      <c r="U2359" s="5" t="str">
        <f>IFERROR(__xludf.DUMMYFUNCTION("""COMPUTED_VALUE"""),"Thriller")</f>
        <v>Thriller</v>
      </c>
      <c r="V2359" s="5">
        <f>IFERROR(__xludf.DUMMYFUNCTION("""COMPUTED_VALUE"""),3.0)</f>
        <v>3</v>
      </c>
    </row>
    <row r="2360">
      <c r="J2360" s="5" t="str">
        <f>IFERROR(__xludf.DUMMYFUNCTION("""COMPUTED_VALUE"""),"787🤙🏼Good Bye Lenin!🤙🏼Comedy🤙🏼1")</f>
        <v>787🤙🏼Good Bye Lenin!🤙🏼Comedy🤙🏼1</v>
      </c>
      <c r="K2360" s="5">
        <f>IFERROR(__xludf.DUMMYFUNCTION("SPLiT(J2360, ""🤙🏼"",FALSE,FALSE)"),787.0)</f>
        <v>787</v>
      </c>
      <c r="L2360" s="5" t="str">
        <f>IFERROR(__xludf.DUMMYFUNCTION("""COMPUTED_VALUE"""),"Good Bye Lenin!")</f>
        <v>Good Bye Lenin!</v>
      </c>
      <c r="M2360" s="5" t="str">
        <f>IFERROR(__xludf.DUMMYFUNCTION("""COMPUTED_VALUE"""),"Comedy")</f>
        <v>Comedy</v>
      </c>
      <c r="N2360" s="5">
        <f>IFERROR(__xludf.DUMMYFUNCTION("""COMPUTED_VALUE"""),1.0)</f>
        <v>1</v>
      </c>
      <c r="S2360" s="5">
        <f>IFERROR(__xludf.DUMMYFUNCTION("""COMPUTED_VALUE"""),931.0)</f>
        <v>931</v>
      </c>
      <c r="T2360" s="5" t="str">
        <f>IFERROR(__xludf.DUMMYFUNCTION("""COMPUTED_VALUE"""),"Watchmen")</f>
        <v>Watchmen</v>
      </c>
      <c r="U2360" s="5" t="str">
        <f>IFERROR(__xludf.DUMMYFUNCTION("""COMPUTED_VALUE"""),"Action")</f>
        <v>Action</v>
      </c>
      <c r="V2360" s="5">
        <f>IFERROR(__xludf.DUMMYFUNCTION("""COMPUTED_VALUE"""),1.0)</f>
        <v>1</v>
      </c>
    </row>
    <row r="2361">
      <c r="J2361" s="5" t="str">
        <f>IFERROR(__xludf.DUMMYFUNCTION("""COMPUTED_VALUE"""),"787🤙🏼Good Bye Lenin!🤙🏼Drama🤙🏼2")</f>
        <v>787🤙🏼Good Bye Lenin!🤙🏼Drama🤙🏼2</v>
      </c>
      <c r="K2361" s="5">
        <f>IFERROR(__xludf.DUMMYFUNCTION("SPLiT(J2361, ""🤙🏼"",FALSE,FALSE)"),787.0)</f>
        <v>787</v>
      </c>
      <c r="L2361" s="5" t="str">
        <f>IFERROR(__xludf.DUMMYFUNCTION("""COMPUTED_VALUE"""),"Good Bye Lenin!")</f>
        <v>Good Bye Lenin!</v>
      </c>
      <c r="M2361" s="5" t="str">
        <f>IFERROR(__xludf.DUMMYFUNCTION("""COMPUTED_VALUE"""),"Drama")</f>
        <v>Drama</v>
      </c>
      <c r="N2361" s="5">
        <f>IFERROR(__xludf.DUMMYFUNCTION("""COMPUTED_VALUE"""),2.0)</f>
        <v>2</v>
      </c>
      <c r="S2361" s="5">
        <f>IFERROR(__xludf.DUMMYFUNCTION("""COMPUTED_VALUE"""),931.0)</f>
        <v>931</v>
      </c>
      <c r="T2361" s="5" t="str">
        <f>IFERROR(__xludf.DUMMYFUNCTION("""COMPUTED_VALUE"""),"Watchmen")</f>
        <v>Watchmen</v>
      </c>
      <c r="U2361" s="5" t="str">
        <f>IFERROR(__xludf.DUMMYFUNCTION("""COMPUTED_VALUE"""),"Drama")</f>
        <v>Drama</v>
      </c>
      <c r="V2361" s="5">
        <f>IFERROR(__xludf.DUMMYFUNCTION("""COMPUTED_VALUE"""),2.0)</f>
        <v>2</v>
      </c>
    </row>
    <row r="2362">
      <c r="J2362" s="5" t="str">
        <f>IFERROR(__xludf.DUMMYFUNCTION("""COMPUTED_VALUE"""),"787🤙🏼Good Bye Lenin!🤙🏼Romance🤙🏼3")</f>
        <v>787🤙🏼Good Bye Lenin!🤙🏼Romance🤙🏼3</v>
      </c>
      <c r="K2362" s="5">
        <f>IFERROR(__xludf.DUMMYFUNCTION("SPLiT(J2362, ""🤙🏼"",FALSE,FALSE)"),787.0)</f>
        <v>787</v>
      </c>
      <c r="L2362" s="5" t="str">
        <f>IFERROR(__xludf.DUMMYFUNCTION("""COMPUTED_VALUE"""),"Good Bye Lenin!")</f>
        <v>Good Bye Lenin!</v>
      </c>
      <c r="M2362" s="5" t="str">
        <f>IFERROR(__xludf.DUMMYFUNCTION("""COMPUTED_VALUE"""),"Romance")</f>
        <v>Romance</v>
      </c>
      <c r="N2362" s="5">
        <f>IFERROR(__xludf.DUMMYFUNCTION("""COMPUTED_VALUE"""),3.0)</f>
        <v>3</v>
      </c>
      <c r="S2362" s="5">
        <f>IFERROR(__xludf.DUMMYFUNCTION("""COMPUTED_VALUE"""),931.0)</f>
        <v>931</v>
      </c>
      <c r="T2362" s="5" t="str">
        <f>IFERROR(__xludf.DUMMYFUNCTION("""COMPUTED_VALUE"""),"Watchmen")</f>
        <v>Watchmen</v>
      </c>
      <c r="U2362" s="5" t="str">
        <f>IFERROR(__xludf.DUMMYFUNCTION("""COMPUTED_VALUE"""),"Mystery")</f>
        <v>Mystery</v>
      </c>
      <c r="V2362" s="5">
        <f>IFERROR(__xludf.DUMMYFUNCTION("""COMPUTED_VALUE"""),3.0)</f>
        <v>3</v>
      </c>
    </row>
    <row r="2363">
      <c r="J2363" s="5" t="str">
        <f>IFERROR(__xludf.DUMMYFUNCTION("""COMPUTED_VALUE"""),"788🤙🏼In America🤙🏼Drama🤙🏼1")</f>
        <v>788🤙🏼In America🤙🏼Drama🤙🏼1</v>
      </c>
      <c r="K2363" s="5">
        <f>IFERROR(__xludf.DUMMYFUNCTION("SPLiT(J2363, ""🤙🏼"",FALSE,FALSE)"),788.0)</f>
        <v>788</v>
      </c>
      <c r="L2363" s="5" t="str">
        <f>IFERROR(__xludf.DUMMYFUNCTION("""COMPUTED_VALUE"""),"In America")</f>
        <v>In America</v>
      </c>
      <c r="M2363" s="5" t="str">
        <f>IFERROR(__xludf.DUMMYFUNCTION("""COMPUTED_VALUE"""),"Drama")</f>
        <v>Drama</v>
      </c>
      <c r="N2363" s="5">
        <f>IFERROR(__xludf.DUMMYFUNCTION("""COMPUTED_VALUE"""),1.0)</f>
        <v>1</v>
      </c>
      <c r="S2363" s="5">
        <f>IFERROR(__xludf.DUMMYFUNCTION("""COMPUTED_VALUE"""),932.0)</f>
        <v>932</v>
      </c>
      <c r="T2363" s="5" t="str">
        <f>IFERROR(__xludf.DUMMYFUNCTION("""COMPUTED_VALUE"""),"Lord of War")</f>
        <v>Lord of War</v>
      </c>
      <c r="U2363" s="5" t="str">
        <f>IFERROR(__xludf.DUMMYFUNCTION("""COMPUTED_VALUE"""),"Action")</f>
        <v>Action</v>
      </c>
      <c r="V2363" s="5">
        <f>IFERROR(__xludf.DUMMYFUNCTION("""COMPUTED_VALUE"""),1.0)</f>
        <v>1</v>
      </c>
    </row>
    <row r="2364">
      <c r="J2364" s="5" t="str">
        <f>IFERROR(__xludf.DUMMYFUNCTION("""COMPUTED_VALUE"""),"788🤙🏼In America🤙🏼🤙🏼2")</f>
        <v>788🤙🏼In America🤙🏼🤙🏼2</v>
      </c>
      <c r="K2364" s="5">
        <f>IFERROR(__xludf.DUMMYFUNCTION("SPLiT(J2364, ""🤙🏼"",FALSE,FALSE)"),788.0)</f>
        <v>788</v>
      </c>
      <c r="L2364" s="5" t="str">
        <f>IFERROR(__xludf.DUMMYFUNCTION("""COMPUTED_VALUE"""),"In America")</f>
        <v>In America</v>
      </c>
      <c r="M2364" s="5"/>
      <c r="N2364" s="5">
        <f>IFERROR(__xludf.DUMMYFUNCTION("""COMPUTED_VALUE"""),2.0)</f>
        <v>2</v>
      </c>
      <c r="S2364" s="5">
        <f>IFERROR(__xludf.DUMMYFUNCTION("""COMPUTED_VALUE"""),932.0)</f>
        <v>932</v>
      </c>
      <c r="T2364" s="5" t="str">
        <f>IFERROR(__xludf.DUMMYFUNCTION("""COMPUTED_VALUE"""),"Lord of War")</f>
        <v>Lord of War</v>
      </c>
      <c r="U2364" s="5" t="str">
        <f>IFERROR(__xludf.DUMMYFUNCTION("""COMPUTED_VALUE"""),"Crime")</f>
        <v>Crime</v>
      </c>
      <c r="V2364" s="5">
        <f>IFERROR(__xludf.DUMMYFUNCTION("""COMPUTED_VALUE"""),2.0)</f>
        <v>2</v>
      </c>
    </row>
    <row r="2365">
      <c r="J2365" s="5" t="str">
        <f>IFERROR(__xludf.DUMMYFUNCTION("""COMPUTED_VALUE"""),"788🤙🏼In America🤙🏼🤙🏼3")</f>
        <v>788🤙🏼In America🤙🏼🤙🏼3</v>
      </c>
      <c r="K2365" s="5">
        <f>IFERROR(__xludf.DUMMYFUNCTION("SPLiT(J2365, ""🤙🏼"",FALSE,FALSE)"),788.0)</f>
        <v>788</v>
      </c>
      <c r="L2365" s="5" t="str">
        <f>IFERROR(__xludf.DUMMYFUNCTION("""COMPUTED_VALUE"""),"In America")</f>
        <v>In America</v>
      </c>
      <c r="M2365" s="5"/>
      <c r="N2365" s="5">
        <f>IFERROR(__xludf.DUMMYFUNCTION("""COMPUTED_VALUE"""),3.0)</f>
        <v>3</v>
      </c>
      <c r="S2365" s="5">
        <f>IFERROR(__xludf.DUMMYFUNCTION("""COMPUTED_VALUE"""),932.0)</f>
        <v>932</v>
      </c>
      <c r="T2365" s="5" t="str">
        <f>IFERROR(__xludf.DUMMYFUNCTION("""COMPUTED_VALUE"""),"Lord of War")</f>
        <v>Lord of War</v>
      </c>
      <c r="U2365" s="5" t="str">
        <f>IFERROR(__xludf.DUMMYFUNCTION("""COMPUTED_VALUE"""),"Drama")</f>
        <v>Drama</v>
      </c>
      <c r="V2365" s="5">
        <f>IFERROR(__xludf.DUMMYFUNCTION("""COMPUTED_VALUE"""),3.0)</f>
        <v>3</v>
      </c>
    </row>
    <row r="2366">
      <c r="J2366" s="5" t="str">
        <f>IFERROR(__xludf.DUMMYFUNCTION("""COMPUTED_VALUE"""),"789🤙🏼I Am Sam🤙🏼Drama🤙🏼1")</f>
        <v>789🤙🏼I Am Sam🤙🏼Drama🤙🏼1</v>
      </c>
      <c r="K2366" s="5">
        <f>IFERROR(__xludf.DUMMYFUNCTION("SPLiT(J2366, ""🤙🏼"",FALSE,FALSE)"),789.0)</f>
        <v>789</v>
      </c>
      <c r="L2366" s="5" t="str">
        <f>IFERROR(__xludf.DUMMYFUNCTION("""COMPUTED_VALUE"""),"I Am Sam")</f>
        <v>I Am Sam</v>
      </c>
      <c r="M2366" s="5" t="str">
        <f>IFERROR(__xludf.DUMMYFUNCTION("""COMPUTED_VALUE"""),"Drama")</f>
        <v>Drama</v>
      </c>
      <c r="N2366" s="5">
        <f>IFERROR(__xludf.DUMMYFUNCTION("""COMPUTED_VALUE"""),1.0)</f>
        <v>1</v>
      </c>
      <c r="S2366" s="5">
        <f>IFERROR(__xludf.DUMMYFUNCTION("""COMPUTED_VALUE"""),933.0)</f>
        <v>933</v>
      </c>
      <c r="T2366" s="5" t="str">
        <f>IFERROR(__xludf.DUMMYFUNCTION("""COMPUTED_VALUE"""),"Saw")</f>
        <v>Saw</v>
      </c>
      <c r="U2366" s="5" t="str">
        <f>IFERROR(__xludf.DUMMYFUNCTION("""COMPUTED_VALUE"""),"Horror")</f>
        <v>Horror</v>
      </c>
      <c r="V2366" s="5">
        <f>IFERROR(__xludf.DUMMYFUNCTION("""COMPUTED_VALUE"""),1.0)</f>
        <v>1</v>
      </c>
    </row>
    <row r="2367">
      <c r="J2367" s="5" t="str">
        <f>IFERROR(__xludf.DUMMYFUNCTION("""COMPUTED_VALUE"""),"789🤙🏼I Am Sam🤙🏼🤙🏼2")</f>
        <v>789🤙🏼I Am Sam🤙🏼🤙🏼2</v>
      </c>
      <c r="K2367" s="5">
        <f>IFERROR(__xludf.DUMMYFUNCTION("SPLiT(J2367, ""🤙🏼"",FALSE,FALSE)"),789.0)</f>
        <v>789</v>
      </c>
      <c r="L2367" s="5" t="str">
        <f>IFERROR(__xludf.DUMMYFUNCTION("""COMPUTED_VALUE"""),"I Am Sam")</f>
        <v>I Am Sam</v>
      </c>
      <c r="M2367" s="5"/>
      <c r="N2367" s="5">
        <f>IFERROR(__xludf.DUMMYFUNCTION("""COMPUTED_VALUE"""),2.0)</f>
        <v>2</v>
      </c>
      <c r="S2367" s="5">
        <f>IFERROR(__xludf.DUMMYFUNCTION("""COMPUTED_VALUE"""),933.0)</f>
        <v>933</v>
      </c>
      <c r="T2367" s="5" t="str">
        <f>IFERROR(__xludf.DUMMYFUNCTION("""COMPUTED_VALUE"""),"Saw")</f>
        <v>Saw</v>
      </c>
      <c r="U2367" s="5" t="str">
        <f>IFERROR(__xludf.DUMMYFUNCTION("""COMPUTED_VALUE"""),"Mystery")</f>
        <v>Mystery</v>
      </c>
      <c r="V2367" s="5">
        <f>IFERROR(__xludf.DUMMYFUNCTION("""COMPUTED_VALUE"""),2.0)</f>
        <v>2</v>
      </c>
    </row>
    <row r="2368">
      <c r="J2368" s="5" t="str">
        <f>IFERROR(__xludf.DUMMYFUNCTION("""COMPUTED_VALUE"""),"789🤙🏼I Am Sam🤙🏼🤙🏼3")</f>
        <v>789🤙🏼I Am Sam🤙🏼🤙🏼3</v>
      </c>
      <c r="K2368" s="5">
        <f>IFERROR(__xludf.DUMMYFUNCTION("SPLiT(J2368, ""🤙🏼"",FALSE,FALSE)"),789.0)</f>
        <v>789</v>
      </c>
      <c r="L2368" s="5" t="str">
        <f>IFERROR(__xludf.DUMMYFUNCTION("""COMPUTED_VALUE"""),"I Am Sam")</f>
        <v>I Am Sam</v>
      </c>
      <c r="M2368" s="5"/>
      <c r="N2368" s="5">
        <f>IFERROR(__xludf.DUMMYFUNCTION("""COMPUTED_VALUE"""),3.0)</f>
        <v>3</v>
      </c>
      <c r="S2368" s="5">
        <f>IFERROR(__xludf.DUMMYFUNCTION("""COMPUTED_VALUE"""),933.0)</f>
        <v>933</v>
      </c>
      <c r="T2368" s="5" t="str">
        <f>IFERROR(__xludf.DUMMYFUNCTION("""COMPUTED_VALUE"""),"Saw")</f>
        <v>Saw</v>
      </c>
      <c r="U2368" s="5" t="str">
        <f>IFERROR(__xludf.DUMMYFUNCTION("""COMPUTED_VALUE"""),"Thriller")</f>
        <v>Thriller</v>
      </c>
      <c r="V2368" s="5">
        <f>IFERROR(__xludf.DUMMYFUNCTION("""COMPUTED_VALUE"""),3.0)</f>
        <v>3</v>
      </c>
    </row>
    <row r="2369">
      <c r="J2369" s="5" t="str">
        <f>IFERROR(__xludf.DUMMYFUNCTION("""COMPUTED_VALUE"""),"790🤙🏼Adaptation.🤙🏼Comedy🤙🏼1")</f>
        <v>790🤙🏼Adaptation.🤙🏼Comedy🤙🏼1</v>
      </c>
      <c r="K2369" s="5">
        <f>IFERROR(__xludf.DUMMYFUNCTION("SPLiT(J2369, ""🤙🏼"",FALSE,FALSE)"),790.0)</f>
        <v>790</v>
      </c>
      <c r="L2369" s="5" t="str">
        <f>IFERROR(__xludf.DUMMYFUNCTION("""COMPUTED_VALUE"""),"Adaptation.")</f>
        <v>Adaptation.</v>
      </c>
      <c r="M2369" s="5" t="str">
        <f>IFERROR(__xludf.DUMMYFUNCTION("""COMPUTED_VALUE"""),"Comedy")</f>
        <v>Comedy</v>
      </c>
      <c r="N2369" s="5">
        <f>IFERROR(__xludf.DUMMYFUNCTION("""COMPUTED_VALUE"""),1.0)</f>
        <v>1</v>
      </c>
      <c r="S2369" s="5">
        <f>IFERROR(__xludf.DUMMYFUNCTION("""COMPUTED_VALUE"""),934.0)</f>
        <v>934</v>
      </c>
      <c r="T2369" s="5" t="str">
        <f>IFERROR(__xludf.DUMMYFUNCTION("""COMPUTED_VALUE"""),"Synecdoche, New York")</f>
        <v>Synecdoche, New York</v>
      </c>
      <c r="U2369" s="5" t="str">
        <f>IFERROR(__xludf.DUMMYFUNCTION("""COMPUTED_VALUE"""),"Drama")</f>
        <v>Drama</v>
      </c>
      <c r="V2369" s="5">
        <f>IFERROR(__xludf.DUMMYFUNCTION("""COMPUTED_VALUE"""),1.0)</f>
        <v>1</v>
      </c>
    </row>
    <row r="2370">
      <c r="J2370" s="5" t="str">
        <f>IFERROR(__xludf.DUMMYFUNCTION("""COMPUTED_VALUE"""),"790🤙🏼Adaptation.🤙🏼Drama🤙🏼2")</f>
        <v>790🤙🏼Adaptation.🤙🏼Drama🤙🏼2</v>
      </c>
      <c r="K2370" s="5">
        <f>IFERROR(__xludf.DUMMYFUNCTION("SPLiT(J2370, ""🤙🏼"",FALSE,FALSE)"),790.0)</f>
        <v>790</v>
      </c>
      <c r="L2370" s="5" t="str">
        <f>IFERROR(__xludf.DUMMYFUNCTION("""COMPUTED_VALUE"""),"Adaptation.")</f>
        <v>Adaptation.</v>
      </c>
      <c r="M2370" s="5" t="str">
        <f>IFERROR(__xludf.DUMMYFUNCTION("""COMPUTED_VALUE"""),"Drama")</f>
        <v>Drama</v>
      </c>
      <c r="N2370" s="5">
        <f>IFERROR(__xludf.DUMMYFUNCTION("""COMPUTED_VALUE"""),2.0)</f>
        <v>2</v>
      </c>
      <c r="S2370" s="5">
        <f>IFERROR(__xludf.DUMMYFUNCTION("""COMPUTED_VALUE"""),935.0)</f>
        <v>935</v>
      </c>
      <c r="T2370" s="5" t="str">
        <f>IFERROR(__xludf.DUMMYFUNCTION("""COMPUTED_VALUE"""),"Mysterious Skin")</f>
        <v>Mysterious Skin</v>
      </c>
      <c r="U2370" s="5" t="str">
        <f>IFERROR(__xludf.DUMMYFUNCTION("""COMPUTED_VALUE"""),"Drama")</f>
        <v>Drama</v>
      </c>
      <c r="V2370" s="5">
        <f>IFERROR(__xludf.DUMMYFUNCTION("""COMPUTED_VALUE"""),1.0)</f>
        <v>1</v>
      </c>
    </row>
    <row r="2371">
      <c r="J2371" s="5" t="str">
        <f>IFERROR(__xludf.DUMMYFUNCTION("""COMPUTED_VALUE"""),"790🤙🏼Adaptation.🤙🏼🤙🏼3")</f>
        <v>790🤙🏼Adaptation.🤙🏼🤙🏼3</v>
      </c>
      <c r="K2371" s="5">
        <f>IFERROR(__xludf.DUMMYFUNCTION("SPLiT(J2371, ""🤙🏼"",FALSE,FALSE)"),790.0)</f>
        <v>790</v>
      </c>
      <c r="L2371" s="5" t="str">
        <f>IFERROR(__xludf.DUMMYFUNCTION("""COMPUTED_VALUE"""),"Adaptation.")</f>
        <v>Adaptation.</v>
      </c>
      <c r="M2371" s="5"/>
      <c r="N2371" s="5">
        <f>IFERROR(__xludf.DUMMYFUNCTION("""COMPUTED_VALUE"""),3.0)</f>
        <v>3</v>
      </c>
      <c r="S2371" s="5">
        <f>IFERROR(__xludf.DUMMYFUNCTION("""COMPUTED_VALUE"""),936.0)</f>
        <v>936</v>
      </c>
      <c r="T2371" s="5" t="str">
        <f>IFERROR(__xludf.DUMMYFUNCTION("""COMPUTED_VALUE"""),"Jeux d'enfants")</f>
        <v>Jeux d'enfants</v>
      </c>
      <c r="U2371" s="5" t="str">
        <f>IFERROR(__xludf.DUMMYFUNCTION("""COMPUTED_VALUE"""),"Comedy")</f>
        <v>Comedy</v>
      </c>
      <c r="V2371" s="5">
        <f>IFERROR(__xludf.DUMMYFUNCTION("""COMPUTED_VALUE"""),1.0)</f>
        <v>1</v>
      </c>
    </row>
    <row r="2372">
      <c r="J2372" s="5" t="str">
        <f>IFERROR(__xludf.DUMMYFUNCTION("""COMPUTED_VALUE"""),"791🤙🏼Black Hawk Down🤙🏼Drama🤙🏼1")</f>
        <v>791🤙🏼Black Hawk Down🤙🏼Drama🤙🏼1</v>
      </c>
      <c r="K2372" s="5">
        <f>IFERROR(__xludf.DUMMYFUNCTION("SPLiT(J2372, ""🤙🏼"",FALSE,FALSE)"),791.0)</f>
        <v>791</v>
      </c>
      <c r="L2372" s="5" t="str">
        <f>IFERROR(__xludf.DUMMYFUNCTION("""COMPUTED_VALUE"""),"Black Hawk Down")</f>
        <v>Black Hawk Down</v>
      </c>
      <c r="M2372" s="5" t="str">
        <f>IFERROR(__xludf.DUMMYFUNCTION("""COMPUTED_VALUE"""),"Drama")</f>
        <v>Drama</v>
      </c>
      <c r="N2372" s="5">
        <f>IFERROR(__xludf.DUMMYFUNCTION("""COMPUTED_VALUE"""),1.0)</f>
        <v>1</v>
      </c>
      <c r="S2372" s="5">
        <f>IFERROR(__xludf.DUMMYFUNCTION("""COMPUTED_VALUE"""),936.0)</f>
        <v>936</v>
      </c>
      <c r="T2372" s="5" t="str">
        <f>IFERROR(__xludf.DUMMYFUNCTION("""COMPUTED_VALUE"""),"Jeux d'enfants")</f>
        <v>Jeux d'enfants</v>
      </c>
      <c r="U2372" s="5" t="str">
        <f>IFERROR(__xludf.DUMMYFUNCTION("""COMPUTED_VALUE"""),"Drama")</f>
        <v>Drama</v>
      </c>
      <c r="V2372" s="5">
        <f>IFERROR(__xludf.DUMMYFUNCTION("""COMPUTED_VALUE"""),2.0)</f>
        <v>2</v>
      </c>
    </row>
    <row r="2373">
      <c r="J2373" s="5" t="str">
        <f>IFERROR(__xludf.DUMMYFUNCTION("""COMPUTED_VALUE"""),"791🤙🏼Black Hawk Down🤙🏼History🤙🏼2")</f>
        <v>791🤙🏼Black Hawk Down🤙🏼History🤙🏼2</v>
      </c>
      <c r="K2373" s="5">
        <f>IFERROR(__xludf.DUMMYFUNCTION("SPLiT(J2373, ""🤙🏼"",FALSE,FALSE)"),791.0)</f>
        <v>791</v>
      </c>
      <c r="L2373" s="5" t="str">
        <f>IFERROR(__xludf.DUMMYFUNCTION("""COMPUTED_VALUE"""),"Black Hawk Down")</f>
        <v>Black Hawk Down</v>
      </c>
      <c r="M2373" s="5" t="str">
        <f>IFERROR(__xludf.DUMMYFUNCTION("""COMPUTED_VALUE"""),"History")</f>
        <v>History</v>
      </c>
      <c r="N2373" s="5">
        <f>IFERROR(__xludf.DUMMYFUNCTION("""COMPUTED_VALUE"""),2.0)</f>
        <v>2</v>
      </c>
      <c r="S2373" s="5">
        <f>IFERROR(__xludf.DUMMYFUNCTION("""COMPUTED_VALUE"""),936.0)</f>
        <v>936</v>
      </c>
      <c r="T2373" s="5" t="str">
        <f>IFERROR(__xludf.DUMMYFUNCTION("""COMPUTED_VALUE"""),"Jeux d'enfants")</f>
        <v>Jeux d'enfants</v>
      </c>
      <c r="U2373" s="5" t="str">
        <f>IFERROR(__xludf.DUMMYFUNCTION("""COMPUTED_VALUE"""),"Romance")</f>
        <v>Romance</v>
      </c>
      <c r="V2373" s="5">
        <f>IFERROR(__xludf.DUMMYFUNCTION("""COMPUTED_VALUE"""),3.0)</f>
        <v>3</v>
      </c>
    </row>
    <row r="2374">
      <c r="J2374" s="5" t="str">
        <f>IFERROR(__xludf.DUMMYFUNCTION("""COMPUTED_VALUE"""),"791🤙🏼Black Hawk Down🤙🏼War🤙🏼3")</f>
        <v>791🤙🏼Black Hawk Down🤙🏼War🤙🏼3</v>
      </c>
      <c r="K2374" s="5">
        <f>IFERROR(__xludf.DUMMYFUNCTION("SPLiT(J2374, ""🤙🏼"",FALSE,FALSE)"),791.0)</f>
        <v>791</v>
      </c>
      <c r="L2374" s="5" t="str">
        <f>IFERROR(__xludf.DUMMYFUNCTION("""COMPUTED_VALUE"""),"Black Hawk Down")</f>
        <v>Black Hawk Down</v>
      </c>
      <c r="M2374" s="5" t="str">
        <f>IFERROR(__xludf.DUMMYFUNCTION("""COMPUTED_VALUE"""),"War")</f>
        <v>War</v>
      </c>
      <c r="N2374" s="5">
        <f>IFERROR(__xludf.DUMMYFUNCTION("""COMPUTED_VALUE"""),3.0)</f>
        <v>3</v>
      </c>
      <c r="S2374" s="5">
        <f>IFERROR(__xludf.DUMMYFUNCTION("""COMPUTED_VALUE"""),937.0)</f>
        <v>937</v>
      </c>
      <c r="T2374" s="5" t="str">
        <f>IFERROR(__xludf.DUMMYFUNCTION("""COMPUTED_VALUE"""),"Un long dimanche de fiançailles")</f>
        <v>Un long dimanche de fiançailles</v>
      </c>
      <c r="U2374" s="5" t="str">
        <f>IFERROR(__xludf.DUMMYFUNCTION("""COMPUTED_VALUE"""),"Drama")</f>
        <v>Drama</v>
      </c>
      <c r="V2374" s="5">
        <f>IFERROR(__xludf.DUMMYFUNCTION("""COMPUTED_VALUE"""),1.0)</f>
        <v>1</v>
      </c>
    </row>
    <row r="2375">
      <c r="J2375" s="5" t="str">
        <f>IFERROR(__xludf.DUMMYFUNCTION("""COMPUTED_VALUE"""),"792🤙🏼Road to Perdition🤙🏼Crime🤙🏼1")</f>
        <v>792🤙🏼Road to Perdition🤙🏼Crime🤙🏼1</v>
      </c>
      <c r="K2375" s="5">
        <f>IFERROR(__xludf.DUMMYFUNCTION("SPLiT(J2375, ""🤙🏼"",FALSE,FALSE)"),792.0)</f>
        <v>792</v>
      </c>
      <c r="L2375" s="5" t="str">
        <f>IFERROR(__xludf.DUMMYFUNCTION("""COMPUTED_VALUE"""),"Road to Perdition")</f>
        <v>Road to Perdition</v>
      </c>
      <c r="M2375" s="5" t="str">
        <f>IFERROR(__xludf.DUMMYFUNCTION("""COMPUTED_VALUE"""),"Crime")</f>
        <v>Crime</v>
      </c>
      <c r="N2375" s="5">
        <f>IFERROR(__xludf.DUMMYFUNCTION("""COMPUTED_VALUE"""),1.0)</f>
        <v>1</v>
      </c>
      <c r="S2375" s="5">
        <f>IFERROR(__xludf.DUMMYFUNCTION("""COMPUTED_VALUE"""),937.0)</f>
        <v>937</v>
      </c>
      <c r="T2375" s="5" t="str">
        <f>IFERROR(__xludf.DUMMYFUNCTION("""COMPUTED_VALUE"""),"Un long dimanche de fiançailles")</f>
        <v>Un long dimanche de fiançailles</v>
      </c>
      <c r="U2375" s="5" t="str">
        <f>IFERROR(__xludf.DUMMYFUNCTION("""COMPUTED_VALUE"""),"Mystery")</f>
        <v>Mystery</v>
      </c>
      <c r="V2375" s="5">
        <f>IFERROR(__xludf.DUMMYFUNCTION("""COMPUTED_VALUE"""),2.0)</f>
        <v>2</v>
      </c>
    </row>
    <row r="2376">
      <c r="J2376" s="5" t="str">
        <f>IFERROR(__xludf.DUMMYFUNCTION("""COMPUTED_VALUE"""),"792🤙🏼Road to Perdition🤙🏼Drama🤙🏼2")</f>
        <v>792🤙🏼Road to Perdition🤙🏼Drama🤙🏼2</v>
      </c>
      <c r="K2376" s="5">
        <f>IFERROR(__xludf.DUMMYFUNCTION("SPLiT(J2376, ""🤙🏼"",FALSE,FALSE)"),792.0)</f>
        <v>792</v>
      </c>
      <c r="L2376" s="5" t="str">
        <f>IFERROR(__xludf.DUMMYFUNCTION("""COMPUTED_VALUE"""),"Road to Perdition")</f>
        <v>Road to Perdition</v>
      </c>
      <c r="M2376" s="5" t="str">
        <f>IFERROR(__xludf.DUMMYFUNCTION("""COMPUTED_VALUE"""),"Drama")</f>
        <v>Drama</v>
      </c>
      <c r="N2376" s="5">
        <f>IFERROR(__xludf.DUMMYFUNCTION("""COMPUTED_VALUE"""),2.0)</f>
        <v>2</v>
      </c>
      <c r="S2376" s="5">
        <f>IFERROR(__xludf.DUMMYFUNCTION("""COMPUTED_VALUE"""),937.0)</f>
        <v>937</v>
      </c>
      <c r="T2376" s="5" t="str">
        <f>IFERROR(__xludf.DUMMYFUNCTION("""COMPUTED_VALUE"""),"Un long dimanche de fiançailles")</f>
        <v>Un long dimanche de fiançailles</v>
      </c>
      <c r="U2376" s="5" t="str">
        <f>IFERROR(__xludf.DUMMYFUNCTION("""COMPUTED_VALUE"""),"Romance")</f>
        <v>Romance</v>
      </c>
      <c r="V2376" s="5">
        <f>IFERROR(__xludf.DUMMYFUNCTION("""COMPUTED_VALUE"""),3.0)</f>
        <v>3</v>
      </c>
    </row>
    <row r="2377">
      <c r="J2377" s="5" t="str">
        <f>IFERROR(__xludf.DUMMYFUNCTION("""COMPUTED_VALUE"""),"792🤙🏼Road to Perdition🤙🏼Thriller🤙🏼3")</f>
        <v>792🤙🏼Road to Perdition🤙🏼Thriller🤙🏼3</v>
      </c>
      <c r="K2377" s="5">
        <f>IFERROR(__xludf.DUMMYFUNCTION("SPLiT(J2377, ""🤙🏼"",FALSE,FALSE)"),792.0)</f>
        <v>792</v>
      </c>
      <c r="L2377" s="5" t="str">
        <f>IFERROR(__xludf.DUMMYFUNCTION("""COMPUTED_VALUE"""),"Road to Perdition")</f>
        <v>Road to Perdition</v>
      </c>
      <c r="M2377" s="5" t="str">
        <f>IFERROR(__xludf.DUMMYFUNCTION("""COMPUTED_VALUE"""),"Thriller")</f>
        <v>Thriller</v>
      </c>
      <c r="N2377" s="5">
        <f>IFERROR(__xludf.DUMMYFUNCTION("""COMPUTED_VALUE"""),3.0)</f>
        <v>3</v>
      </c>
      <c r="S2377" s="5">
        <f>IFERROR(__xludf.DUMMYFUNCTION("""COMPUTED_VALUE"""),938.0)</f>
        <v>938</v>
      </c>
      <c r="T2377" s="5" t="str">
        <f>IFERROR(__xludf.DUMMYFUNCTION("""COMPUTED_VALUE"""),"The Station Agent")</f>
        <v>The Station Agent</v>
      </c>
      <c r="U2377" s="5" t="str">
        <f>IFERROR(__xludf.DUMMYFUNCTION("""COMPUTED_VALUE"""),"Comedy")</f>
        <v>Comedy</v>
      </c>
      <c r="V2377" s="5">
        <f>IFERROR(__xludf.DUMMYFUNCTION("""COMPUTED_VALUE"""),1.0)</f>
        <v>1</v>
      </c>
    </row>
    <row r="2378">
      <c r="J2378" s="5" t="str">
        <f>IFERROR(__xludf.DUMMYFUNCTION("""COMPUTED_VALUE"""),"793🤙🏼Das Experiment🤙🏼Drama🤙🏼1")</f>
        <v>793🤙🏼Das Experiment🤙🏼Drama🤙🏼1</v>
      </c>
      <c r="K2378" s="5">
        <f>IFERROR(__xludf.DUMMYFUNCTION("SPLiT(J2378, ""🤙🏼"",FALSE,FALSE)"),793.0)</f>
        <v>793</v>
      </c>
      <c r="L2378" s="5" t="str">
        <f>IFERROR(__xludf.DUMMYFUNCTION("""COMPUTED_VALUE"""),"Das Experiment")</f>
        <v>Das Experiment</v>
      </c>
      <c r="M2378" s="5" t="str">
        <f>IFERROR(__xludf.DUMMYFUNCTION("""COMPUTED_VALUE"""),"Drama")</f>
        <v>Drama</v>
      </c>
      <c r="N2378" s="5">
        <f>IFERROR(__xludf.DUMMYFUNCTION("""COMPUTED_VALUE"""),1.0)</f>
        <v>1</v>
      </c>
      <c r="S2378" s="5">
        <f>IFERROR(__xludf.DUMMYFUNCTION("""COMPUTED_VALUE"""),938.0)</f>
        <v>938</v>
      </c>
      <c r="T2378" s="5" t="str">
        <f>IFERROR(__xludf.DUMMYFUNCTION("""COMPUTED_VALUE"""),"The Station Agent")</f>
        <v>The Station Agent</v>
      </c>
      <c r="U2378" s="5" t="str">
        <f>IFERROR(__xludf.DUMMYFUNCTION("""COMPUTED_VALUE"""),"Drama")</f>
        <v>Drama</v>
      </c>
      <c r="V2378" s="5">
        <f>IFERROR(__xludf.DUMMYFUNCTION("""COMPUTED_VALUE"""),2.0)</f>
        <v>2</v>
      </c>
    </row>
    <row r="2379">
      <c r="J2379" s="5" t="str">
        <f>IFERROR(__xludf.DUMMYFUNCTION("""COMPUTED_VALUE"""),"793🤙🏼Das Experiment🤙🏼Thriller🤙🏼2")</f>
        <v>793🤙🏼Das Experiment🤙🏼Thriller🤙🏼2</v>
      </c>
      <c r="K2379" s="5">
        <f>IFERROR(__xludf.DUMMYFUNCTION("SPLiT(J2379, ""🤙🏼"",FALSE,FALSE)"),793.0)</f>
        <v>793</v>
      </c>
      <c r="L2379" s="5" t="str">
        <f>IFERROR(__xludf.DUMMYFUNCTION("""COMPUTED_VALUE"""),"Das Experiment")</f>
        <v>Das Experiment</v>
      </c>
      <c r="M2379" s="5" t="str">
        <f>IFERROR(__xludf.DUMMYFUNCTION("""COMPUTED_VALUE"""),"Thriller")</f>
        <v>Thriller</v>
      </c>
      <c r="N2379" s="5">
        <f>IFERROR(__xludf.DUMMYFUNCTION("""COMPUTED_VALUE"""),2.0)</f>
        <v>2</v>
      </c>
      <c r="S2379" s="5">
        <f>IFERROR(__xludf.DUMMYFUNCTION("""COMPUTED_VALUE"""),939.0)</f>
        <v>939</v>
      </c>
      <c r="T2379" s="5" t="str">
        <f>IFERROR(__xludf.DUMMYFUNCTION("""COMPUTED_VALUE"""),"21 Grams")</f>
        <v>21 Grams</v>
      </c>
      <c r="U2379" s="5" t="str">
        <f>IFERROR(__xludf.DUMMYFUNCTION("""COMPUTED_VALUE"""),"Crime")</f>
        <v>Crime</v>
      </c>
      <c r="V2379" s="5">
        <f>IFERROR(__xludf.DUMMYFUNCTION("""COMPUTED_VALUE"""),1.0)</f>
        <v>1</v>
      </c>
    </row>
    <row r="2380">
      <c r="J2380" s="5" t="str">
        <f>IFERROR(__xludf.DUMMYFUNCTION("""COMPUTED_VALUE"""),"793🤙🏼Das Experiment🤙🏼🤙🏼3")</f>
        <v>793🤙🏼Das Experiment🤙🏼🤙🏼3</v>
      </c>
      <c r="K2380" s="5">
        <f>IFERROR(__xludf.DUMMYFUNCTION("SPLiT(J2380, ""🤙🏼"",FALSE,FALSE)"),793.0)</f>
        <v>793</v>
      </c>
      <c r="L2380" s="5" t="str">
        <f>IFERROR(__xludf.DUMMYFUNCTION("""COMPUTED_VALUE"""),"Das Experiment")</f>
        <v>Das Experiment</v>
      </c>
      <c r="M2380" s="5"/>
      <c r="N2380" s="5">
        <f>IFERROR(__xludf.DUMMYFUNCTION("""COMPUTED_VALUE"""),3.0)</f>
        <v>3</v>
      </c>
      <c r="S2380" s="5">
        <f>IFERROR(__xludf.DUMMYFUNCTION("""COMPUTED_VALUE"""),939.0)</f>
        <v>939</v>
      </c>
      <c r="T2380" s="5" t="str">
        <f>IFERROR(__xludf.DUMMYFUNCTION("""COMPUTED_VALUE"""),"21 Grams")</f>
        <v>21 Grams</v>
      </c>
      <c r="U2380" s="5" t="str">
        <f>IFERROR(__xludf.DUMMYFUNCTION("""COMPUTED_VALUE"""),"Drama")</f>
        <v>Drama</v>
      </c>
      <c r="V2380" s="5">
        <f>IFERROR(__xludf.DUMMYFUNCTION("""COMPUTED_VALUE"""),2.0)</f>
        <v>2</v>
      </c>
    </row>
    <row r="2381">
      <c r="J2381" s="5" t="str">
        <f>IFERROR(__xludf.DUMMYFUNCTION("""COMPUTED_VALUE"""),"794🤙🏼Billy Elliot🤙🏼Drama🤙🏼1")</f>
        <v>794🤙🏼Billy Elliot🤙🏼Drama🤙🏼1</v>
      </c>
      <c r="K2381" s="5">
        <f>IFERROR(__xludf.DUMMYFUNCTION("SPLiT(J2381, ""🤙🏼"",FALSE,FALSE)"),794.0)</f>
        <v>794</v>
      </c>
      <c r="L2381" s="5" t="str">
        <f>IFERROR(__xludf.DUMMYFUNCTION("""COMPUTED_VALUE"""),"Billy Elliot")</f>
        <v>Billy Elliot</v>
      </c>
      <c r="M2381" s="5" t="str">
        <f>IFERROR(__xludf.DUMMYFUNCTION("""COMPUTED_VALUE"""),"Drama")</f>
        <v>Drama</v>
      </c>
      <c r="N2381" s="5">
        <f>IFERROR(__xludf.DUMMYFUNCTION("""COMPUTED_VALUE"""),1.0)</f>
        <v>1</v>
      </c>
      <c r="S2381" s="5">
        <f>IFERROR(__xludf.DUMMYFUNCTION("""COMPUTED_VALUE"""),939.0)</f>
        <v>939</v>
      </c>
      <c r="T2381" s="5" t="str">
        <f>IFERROR(__xludf.DUMMYFUNCTION("""COMPUTED_VALUE"""),"21 Grams")</f>
        <v>21 Grams</v>
      </c>
      <c r="U2381" s="5" t="str">
        <f>IFERROR(__xludf.DUMMYFUNCTION("""COMPUTED_VALUE"""),"Thriller")</f>
        <v>Thriller</v>
      </c>
      <c r="V2381" s="5">
        <f>IFERROR(__xludf.DUMMYFUNCTION("""COMPUTED_VALUE"""),3.0)</f>
        <v>3</v>
      </c>
    </row>
    <row r="2382">
      <c r="J2382" s="5" t="str">
        <f>IFERROR(__xludf.DUMMYFUNCTION("""COMPUTED_VALUE"""),"794🤙🏼Billy Elliot🤙🏼Music🤙🏼2")</f>
        <v>794🤙🏼Billy Elliot🤙🏼Music🤙🏼2</v>
      </c>
      <c r="K2382" s="5">
        <f>IFERROR(__xludf.DUMMYFUNCTION("SPLiT(J2382, ""🤙🏼"",FALSE,FALSE)"),794.0)</f>
        <v>794</v>
      </c>
      <c r="L2382" s="5" t="str">
        <f>IFERROR(__xludf.DUMMYFUNCTION("""COMPUTED_VALUE"""),"Billy Elliot")</f>
        <v>Billy Elliot</v>
      </c>
      <c r="M2382" s="5" t="str">
        <f>IFERROR(__xludf.DUMMYFUNCTION("""COMPUTED_VALUE"""),"Music")</f>
        <v>Music</v>
      </c>
      <c r="N2382" s="5">
        <f>IFERROR(__xludf.DUMMYFUNCTION("""COMPUTED_VALUE"""),2.0)</f>
        <v>2</v>
      </c>
      <c r="S2382" s="5">
        <f>IFERROR(__xludf.DUMMYFUNCTION("""COMPUTED_VALUE"""),940.0)</f>
        <v>940</v>
      </c>
      <c r="T2382" s="5" t="str">
        <f>IFERROR(__xludf.DUMMYFUNCTION("""COMPUTED_VALUE"""),"Boksuneun naui geot")</f>
        <v>Boksuneun naui geot</v>
      </c>
      <c r="U2382" s="5" t="str">
        <f>IFERROR(__xludf.DUMMYFUNCTION("""COMPUTED_VALUE"""),"Crime")</f>
        <v>Crime</v>
      </c>
      <c r="V2382" s="5">
        <f>IFERROR(__xludf.DUMMYFUNCTION("""COMPUTED_VALUE"""),1.0)</f>
        <v>1</v>
      </c>
    </row>
    <row r="2383">
      <c r="J2383" s="5" t="str">
        <f>IFERROR(__xludf.DUMMYFUNCTION("""COMPUTED_VALUE"""),"794🤙🏼Billy Elliot🤙🏼🤙🏼3")</f>
        <v>794🤙🏼Billy Elliot🤙🏼🤙🏼3</v>
      </c>
      <c r="K2383" s="5">
        <f>IFERROR(__xludf.DUMMYFUNCTION("SPLiT(J2383, ""🤙🏼"",FALSE,FALSE)"),794.0)</f>
        <v>794</v>
      </c>
      <c r="L2383" s="5" t="str">
        <f>IFERROR(__xludf.DUMMYFUNCTION("""COMPUTED_VALUE"""),"Billy Elliot")</f>
        <v>Billy Elliot</v>
      </c>
      <c r="M2383" s="5"/>
      <c r="N2383" s="5">
        <f>IFERROR(__xludf.DUMMYFUNCTION("""COMPUTED_VALUE"""),3.0)</f>
        <v>3</v>
      </c>
      <c r="S2383" s="5">
        <f>IFERROR(__xludf.DUMMYFUNCTION("""COMPUTED_VALUE"""),940.0)</f>
        <v>940</v>
      </c>
      <c r="T2383" s="5" t="str">
        <f>IFERROR(__xludf.DUMMYFUNCTION("""COMPUTED_VALUE"""),"Boksuneun naui geot")</f>
        <v>Boksuneun naui geot</v>
      </c>
      <c r="U2383" s="5" t="str">
        <f>IFERROR(__xludf.DUMMYFUNCTION("""COMPUTED_VALUE"""),"Drama")</f>
        <v>Drama</v>
      </c>
      <c r="V2383" s="5">
        <f>IFERROR(__xludf.DUMMYFUNCTION("""COMPUTED_VALUE"""),2.0)</f>
        <v>2</v>
      </c>
    </row>
    <row r="2384">
      <c r="J2384" s="5" t="str">
        <f>IFERROR(__xludf.DUMMYFUNCTION("""COMPUTED_VALUE"""),"795🤙🏼Hedwig and the Angry Inch🤙🏼Comedy🤙🏼1")</f>
        <v>795🤙🏼Hedwig and the Angry Inch🤙🏼Comedy🤙🏼1</v>
      </c>
      <c r="K2384" s="5">
        <f>IFERROR(__xludf.DUMMYFUNCTION("SPLiT(J2384, ""🤙🏼"",FALSE,FALSE)"),795.0)</f>
        <v>795</v>
      </c>
      <c r="L2384" s="5" t="str">
        <f>IFERROR(__xludf.DUMMYFUNCTION("""COMPUTED_VALUE"""),"Hedwig and the Angry Inch")</f>
        <v>Hedwig and the Angry Inch</v>
      </c>
      <c r="M2384" s="5" t="str">
        <f>IFERROR(__xludf.DUMMYFUNCTION("""COMPUTED_VALUE"""),"Comedy")</f>
        <v>Comedy</v>
      </c>
      <c r="N2384" s="5">
        <f>IFERROR(__xludf.DUMMYFUNCTION("""COMPUTED_VALUE"""),1.0)</f>
        <v>1</v>
      </c>
      <c r="S2384" s="5">
        <f>IFERROR(__xludf.DUMMYFUNCTION("""COMPUTED_VALUE"""),940.0)</f>
        <v>940</v>
      </c>
      <c r="T2384" s="5" t="str">
        <f>IFERROR(__xludf.DUMMYFUNCTION("""COMPUTED_VALUE"""),"Boksuneun naui geot")</f>
        <v>Boksuneun naui geot</v>
      </c>
      <c r="U2384" s="5" t="str">
        <f>IFERROR(__xludf.DUMMYFUNCTION("""COMPUTED_VALUE"""),"Thriller")</f>
        <v>Thriller</v>
      </c>
      <c r="V2384" s="5">
        <f>IFERROR(__xludf.DUMMYFUNCTION("""COMPUTED_VALUE"""),3.0)</f>
        <v>3</v>
      </c>
    </row>
    <row r="2385">
      <c r="J2385" s="5" t="str">
        <f>IFERROR(__xludf.DUMMYFUNCTION("""COMPUTED_VALUE"""),"795🤙🏼Hedwig and the Angry Inch🤙🏼Drama🤙🏼2")</f>
        <v>795🤙🏼Hedwig and the Angry Inch🤙🏼Drama🤙🏼2</v>
      </c>
      <c r="K2385" s="5">
        <f>IFERROR(__xludf.DUMMYFUNCTION("SPLiT(J2385, ""🤙🏼"",FALSE,FALSE)"),795.0)</f>
        <v>795</v>
      </c>
      <c r="L2385" s="5" t="str">
        <f>IFERROR(__xludf.DUMMYFUNCTION("""COMPUTED_VALUE"""),"Hedwig and the Angry Inch")</f>
        <v>Hedwig and the Angry Inch</v>
      </c>
      <c r="M2385" s="5" t="str">
        <f>IFERROR(__xludf.DUMMYFUNCTION("""COMPUTED_VALUE"""),"Drama")</f>
        <v>Drama</v>
      </c>
      <c r="N2385" s="5">
        <f>IFERROR(__xludf.DUMMYFUNCTION("""COMPUTED_VALUE"""),2.0)</f>
        <v>2</v>
      </c>
      <c r="S2385" s="5">
        <f>IFERROR(__xludf.DUMMYFUNCTION("""COMPUTED_VALUE"""),941.0)</f>
        <v>941</v>
      </c>
      <c r="T2385" s="5" t="str">
        <f>IFERROR(__xludf.DUMMYFUNCTION("""COMPUTED_VALUE"""),"Finding Neverland")</f>
        <v>Finding Neverland</v>
      </c>
      <c r="U2385" s="5" t="str">
        <f>IFERROR(__xludf.DUMMYFUNCTION("""COMPUTED_VALUE"""),"Biography")</f>
        <v>Biography</v>
      </c>
      <c r="V2385" s="5">
        <f>IFERROR(__xludf.DUMMYFUNCTION("""COMPUTED_VALUE"""),1.0)</f>
        <v>1</v>
      </c>
    </row>
    <row r="2386">
      <c r="J2386" s="5" t="str">
        <f>IFERROR(__xludf.DUMMYFUNCTION("""COMPUTED_VALUE"""),"795🤙🏼Hedwig and the Angry Inch🤙🏼Music🤙🏼3")</f>
        <v>795🤙🏼Hedwig and the Angry Inch🤙🏼Music🤙🏼3</v>
      </c>
      <c r="K2386" s="5">
        <f>IFERROR(__xludf.DUMMYFUNCTION("SPLiT(J2386, ""🤙🏼"",FALSE,FALSE)"),795.0)</f>
        <v>795</v>
      </c>
      <c r="L2386" s="5" t="str">
        <f>IFERROR(__xludf.DUMMYFUNCTION("""COMPUTED_VALUE"""),"Hedwig and the Angry Inch")</f>
        <v>Hedwig and the Angry Inch</v>
      </c>
      <c r="M2386" s="5" t="str">
        <f>IFERROR(__xludf.DUMMYFUNCTION("""COMPUTED_VALUE"""),"Music")</f>
        <v>Music</v>
      </c>
      <c r="N2386" s="5">
        <f>IFERROR(__xludf.DUMMYFUNCTION("""COMPUTED_VALUE"""),3.0)</f>
        <v>3</v>
      </c>
      <c r="S2386" s="5">
        <f>IFERROR(__xludf.DUMMYFUNCTION("""COMPUTED_VALUE"""),941.0)</f>
        <v>941</v>
      </c>
      <c r="T2386" s="5" t="str">
        <f>IFERROR(__xludf.DUMMYFUNCTION("""COMPUTED_VALUE"""),"Finding Neverland")</f>
        <v>Finding Neverland</v>
      </c>
      <c r="U2386" s="5" t="str">
        <f>IFERROR(__xludf.DUMMYFUNCTION("""COMPUTED_VALUE"""),"Drama")</f>
        <v>Drama</v>
      </c>
      <c r="V2386" s="5">
        <f>IFERROR(__xludf.DUMMYFUNCTION("""COMPUTED_VALUE"""),2.0)</f>
        <v>2</v>
      </c>
    </row>
    <row r="2387">
      <c r="J2387" s="5" t="str">
        <f>IFERROR(__xludf.DUMMYFUNCTION("""COMPUTED_VALUE"""),"796🤙🏼Ocean's Eleven🤙🏼Crime🤙🏼1")</f>
        <v>796🤙🏼Ocean's Eleven🤙🏼Crime🤙🏼1</v>
      </c>
      <c r="K2387" s="5">
        <f>IFERROR(__xludf.DUMMYFUNCTION("SPLiT(J2387, ""🤙🏼"",FALSE,FALSE)"),796.0)</f>
        <v>796</v>
      </c>
      <c r="L2387" s="5" t="str">
        <f>IFERROR(__xludf.DUMMYFUNCTION("""COMPUTED_VALUE"""),"Ocean's Eleven")</f>
        <v>Ocean's Eleven</v>
      </c>
      <c r="M2387" s="5" t="str">
        <f>IFERROR(__xludf.DUMMYFUNCTION("""COMPUTED_VALUE"""),"Crime")</f>
        <v>Crime</v>
      </c>
      <c r="N2387" s="5">
        <f>IFERROR(__xludf.DUMMYFUNCTION("""COMPUTED_VALUE"""),1.0)</f>
        <v>1</v>
      </c>
      <c r="S2387" s="5">
        <f>IFERROR(__xludf.DUMMYFUNCTION("""COMPUTED_VALUE"""),941.0)</f>
        <v>941</v>
      </c>
      <c r="T2387" s="5" t="str">
        <f>IFERROR(__xludf.DUMMYFUNCTION("""COMPUTED_VALUE"""),"Finding Neverland")</f>
        <v>Finding Neverland</v>
      </c>
      <c r="U2387" s="5" t="str">
        <f>IFERROR(__xludf.DUMMYFUNCTION("""COMPUTED_VALUE"""),"Family")</f>
        <v>Family</v>
      </c>
      <c r="V2387" s="5">
        <f>IFERROR(__xludf.DUMMYFUNCTION("""COMPUTED_VALUE"""),3.0)</f>
        <v>3</v>
      </c>
    </row>
    <row r="2388">
      <c r="J2388" s="5" t="str">
        <f>IFERROR(__xludf.DUMMYFUNCTION("""COMPUTED_VALUE"""),"796🤙🏼Ocean's Eleven🤙🏼Thriller🤙🏼2")</f>
        <v>796🤙🏼Ocean's Eleven🤙🏼Thriller🤙🏼2</v>
      </c>
      <c r="K2388" s="5">
        <f>IFERROR(__xludf.DUMMYFUNCTION("SPLiT(J2388, ""🤙🏼"",FALSE,FALSE)"),796.0)</f>
        <v>796</v>
      </c>
      <c r="L2388" s="5" t="str">
        <f>IFERROR(__xludf.DUMMYFUNCTION("""COMPUTED_VALUE"""),"Ocean's Eleven")</f>
        <v>Ocean's Eleven</v>
      </c>
      <c r="M2388" s="5" t="str">
        <f>IFERROR(__xludf.DUMMYFUNCTION("""COMPUTED_VALUE"""),"Thriller")</f>
        <v>Thriller</v>
      </c>
      <c r="N2388" s="5">
        <f>IFERROR(__xludf.DUMMYFUNCTION("""COMPUTED_VALUE"""),2.0)</f>
        <v>2</v>
      </c>
      <c r="S2388" s="5">
        <f>IFERROR(__xludf.DUMMYFUNCTION("""COMPUTED_VALUE"""),942.0)</f>
        <v>942</v>
      </c>
      <c r="T2388" s="5" t="str">
        <f>IFERROR(__xludf.DUMMYFUNCTION("""COMPUTED_VALUE"""),"25th Hour")</f>
        <v>25th Hour</v>
      </c>
      <c r="U2388" s="5" t="str">
        <f>IFERROR(__xludf.DUMMYFUNCTION("""COMPUTED_VALUE"""),"Drama")</f>
        <v>Drama</v>
      </c>
      <c r="V2388" s="5">
        <f>IFERROR(__xludf.DUMMYFUNCTION("""COMPUTED_VALUE"""),1.0)</f>
        <v>1</v>
      </c>
    </row>
    <row r="2389">
      <c r="J2389" s="5" t="str">
        <f>IFERROR(__xludf.DUMMYFUNCTION("""COMPUTED_VALUE"""),"796🤙🏼Ocean's Eleven🤙🏼🤙🏼3")</f>
        <v>796🤙🏼Ocean's Eleven🤙🏼🤙🏼3</v>
      </c>
      <c r="K2389" s="5">
        <f>IFERROR(__xludf.DUMMYFUNCTION("SPLiT(J2389, ""🤙🏼"",FALSE,FALSE)"),796.0)</f>
        <v>796</v>
      </c>
      <c r="L2389" s="5" t="str">
        <f>IFERROR(__xludf.DUMMYFUNCTION("""COMPUTED_VALUE"""),"Ocean's Eleven")</f>
        <v>Ocean's Eleven</v>
      </c>
      <c r="M2389" s="5"/>
      <c r="N2389" s="5">
        <f>IFERROR(__xludf.DUMMYFUNCTION("""COMPUTED_VALUE"""),3.0)</f>
        <v>3</v>
      </c>
      <c r="S2389" s="5">
        <f>IFERROR(__xludf.DUMMYFUNCTION("""COMPUTED_VALUE"""),943.0)</f>
        <v>943</v>
      </c>
      <c r="T2389" s="5" t="str">
        <f>IFERROR(__xludf.DUMMYFUNCTION("""COMPUTED_VALUE"""),"The Butterfly Effect")</f>
        <v>The Butterfly Effect</v>
      </c>
      <c r="U2389" s="5" t="str">
        <f>IFERROR(__xludf.DUMMYFUNCTION("""COMPUTED_VALUE"""),"Drama")</f>
        <v>Drama</v>
      </c>
      <c r="V2389" s="5">
        <f>IFERROR(__xludf.DUMMYFUNCTION("""COMPUTED_VALUE"""),1.0)</f>
        <v>1</v>
      </c>
    </row>
    <row r="2390">
      <c r="J2390" s="5" t="str">
        <f>IFERROR(__xludf.DUMMYFUNCTION("""COMPUTED_VALUE"""),"797🤙🏼Vampire Hunter D: Bloodlust🤙🏼Animation🤙🏼1")</f>
        <v>797🤙🏼Vampire Hunter D: Bloodlust🤙🏼Animation🤙🏼1</v>
      </c>
      <c r="K2390" s="5">
        <f>IFERROR(__xludf.DUMMYFUNCTION("SPLiT(J2390, ""🤙🏼"",FALSE,FALSE)"),797.0)</f>
        <v>797</v>
      </c>
      <c r="L2390" s="5" t="str">
        <f>IFERROR(__xludf.DUMMYFUNCTION("""COMPUTED_VALUE"""),"Vampire Hunter D: Bloodlust")</f>
        <v>Vampire Hunter D: Bloodlust</v>
      </c>
      <c r="M2390" s="5" t="str">
        <f>IFERROR(__xludf.DUMMYFUNCTION("""COMPUTED_VALUE"""),"Animation")</f>
        <v>Animation</v>
      </c>
      <c r="N2390" s="5">
        <f>IFERROR(__xludf.DUMMYFUNCTION("""COMPUTED_VALUE"""),1.0)</f>
        <v>1</v>
      </c>
      <c r="S2390" s="5">
        <f>IFERROR(__xludf.DUMMYFUNCTION("""COMPUTED_VALUE"""),943.0)</f>
        <v>943</v>
      </c>
      <c r="T2390" s="5" t="str">
        <f>IFERROR(__xludf.DUMMYFUNCTION("""COMPUTED_VALUE"""),"The Butterfly Effect")</f>
        <v>The Butterfly Effect</v>
      </c>
      <c r="U2390" s="5" t="str">
        <f>IFERROR(__xludf.DUMMYFUNCTION("""COMPUTED_VALUE"""),"Sci-Fi")</f>
        <v>Sci-Fi</v>
      </c>
      <c r="V2390" s="5">
        <f>IFERROR(__xludf.DUMMYFUNCTION("""COMPUTED_VALUE"""),2.0)</f>
        <v>2</v>
      </c>
    </row>
    <row r="2391">
      <c r="J2391" s="5" t="str">
        <f>IFERROR(__xludf.DUMMYFUNCTION("""COMPUTED_VALUE"""),"797🤙🏼Vampire Hunter D: Bloodlust🤙🏼Action🤙🏼2")</f>
        <v>797🤙🏼Vampire Hunter D: Bloodlust🤙🏼Action🤙🏼2</v>
      </c>
      <c r="K2391" s="5">
        <f>IFERROR(__xludf.DUMMYFUNCTION("SPLiT(J2391, ""🤙🏼"",FALSE,FALSE)"),797.0)</f>
        <v>797</v>
      </c>
      <c r="L2391" s="5" t="str">
        <f>IFERROR(__xludf.DUMMYFUNCTION("""COMPUTED_VALUE"""),"Vampire Hunter D: Bloodlust")</f>
        <v>Vampire Hunter D: Bloodlust</v>
      </c>
      <c r="M2391" s="5" t="str">
        <f>IFERROR(__xludf.DUMMYFUNCTION("""COMPUTED_VALUE"""),"Action")</f>
        <v>Action</v>
      </c>
      <c r="N2391" s="5">
        <f>IFERROR(__xludf.DUMMYFUNCTION("""COMPUTED_VALUE"""),2.0)</f>
        <v>2</v>
      </c>
      <c r="S2391" s="5">
        <f>IFERROR(__xludf.DUMMYFUNCTION("""COMPUTED_VALUE"""),943.0)</f>
        <v>943</v>
      </c>
      <c r="T2391" s="5" t="str">
        <f>IFERROR(__xludf.DUMMYFUNCTION("""COMPUTED_VALUE"""),"The Butterfly Effect")</f>
        <v>The Butterfly Effect</v>
      </c>
      <c r="U2391" s="5" t="str">
        <f>IFERROR(__xludf.DUMMYFUNCTION("""COMPUTED_VALUE"""),"Thriller")</f>
        <v>Thriller</v>
      </c>
      <c r="V2391" s="5">
        <f>IFERROR(__xludf.DUMMYFUNCTION("""COMPUTED_VALUE"""),3.0)</f>
        <v>3</v>
      </c>
    </row>
    <row r="2392">
      <c r="J2392" s="5" t="str">
        <f>IFERROR(__xludf.DUMMYFUNCTION("""COMPUTED_VALUE"""),"797🤙🏼Vampire Hunter D: Bloodlust🤙🏼Fantasy🤙🏼3")</f>
        <v>797🤙🏼Vampire Hunter D: Bloodlust🤙🏼Fantasy🤙🏼3</v>
      </c>
      <c r="K2392" s="5">
        <f>IFERROR(__xludf.DUMMYFUNCTION("SPLiT(J2392, ""🤙🏼"",FALSE,FALSE)"),797.0)</f>
        <v>797</v>
      </c>
      <c r="L2392" s="5" t="str">
        <f>IFERROR(__xludf.DUMMYFUNCTION("""COMPUTED_VALUE"""),"Vampire Hunter D: Bloodlust")</f>
        <v>Vampire Hunter D: Bloodlust</v>
      </c>
      <c r="M2392" s="5" t="str">
        <f>IFERROR(__xludf.DUMMYFUNCTION("""COMPUTED_VALUE"""),"Fantasy")</f>
        <v>Fantasy</v>
      </c>
      <c r="N2392" s="5">
        <f>IFERROR(__xludf.DUMMYFUNCTION("""COMPUTED_VALUE"""),3.0)</f>
        <v>3</v>
      </c>
      <c r="S2392" s="5">
        <f>IFERROR(__xludf.DUMMYFUNCTION("""COMPUTED_VALUE"""),944.0)</f>
        <v>944</v>
      </c>
      <c r="T2392" s="5" t="str">
        <f>IFERROR(__xludf.DUMMYFUNCTION("""COMPUTED_VALUE"""),"28 Days Later...")</f>
        <v>28 Days Later...</v>
      </c>
      <c r="U2392" s="5" t="str">
        <f>IFERROR(__xludf.DUMMYFUNCTION("""COMPUTED_VALUE"""),"Drama")</f>
        <v>Drama</v>
      </c>
      <c r="V2392" s="5">
        <f>IFERROR(__xludf.DUMMYFUNCTION("""COMPUTED_VALUE"""),1.0)</f>
        <v>1</v>
      </c>
    </row>
    <row r="2393">
      <c r="J2393" s="5" t="str">
        <f>IFERROR(__xludf.DUMMYFUNCTION("""COMPUTED_VALUE"""),"798🤙🏼O Brother, Where Art Thou?🤙🏼Adventure🤙🏼1")</f>
        <v>798🤙🏼O Brother, Where Art Thou?🤙🏼Adventure🤙🏼1</v>
      </c>
      <c r="K2393" s="5">
        <f>IFERROR(__xludf.DUMMYFUNCTION("SPLiT(J2393, ""🤙🏼"",FALSE,FALSE)"),798.0)</f>
        <v>798</v>
      </c>
      <c r="L2393" s="5" t="str">
        <f>IFERROR(__xludf.DUMMYFUNCTION("""COMPUTED_VALUE"""),"O Brother, Where Art Thou?")</f>
        <v>O Brother, Where Art Thou?</v>
      </c>
      <c r="M2393" s="5" t="str">
        <f>IFERROR(__xludf.DUMMYFUNCTION("""COMPUTED_VALUE"""),"Adventure")</f>
        <v>Adventure</v>
      </c>
      <c r="N2393" s="5">
        <f>IFERROR(__xludf.DUMMYFUNCTION("""COMPUTED_VALUE"""),1.0)</f>
        <v>1</v>
      </c>
      <c r="S2393" s="5">
        <f>IFERROR(__xludf.DUMMYFUNCTION("""COMPUTED_VALUE"""),944.0)</f>
        <v>944</v>
      </c>
      <c r="T2393" s="5" t="str">
        <f>IFERROR(__xludf.DUMMYFUNCTION("""COMPUTED_VALUE"""),"28 Days Later...")</f>
        <v>28 Days Later...</v>
      </c>
      <c r="U2393" s="5" t="str">
        <f>IFERROR(__xludf.DUMMYFUNCTION("""COMPUTED_VALUE"""),"Horror")</f>
        <v>Horror</v>
      </c>
      <c r="V2393" s="5">
        <f>IFERROR(__xludf.DUMMYFUNCTION("""COMPUTED_VALUE"""),2.0)</f>
        <v>2</v>
      </c>
    </row>
    <row r="2394">
      <c r="J2394" s="5" t="str">
        <f>IFERROR(__xludf.DUMMYFUNCTION("""COMPUTED_VALUE"""),"798🤙🏼O Brother, Where Art Thou?🤙🏼Comedy🤙🏼2")</f>
        <v>798🤙🏼O Brother, Where Art Thou?🤙🏼Comedy🤙🏼2</v>
      </c>
      <c r="K2394" s="5">
        <f>IFERROR(__xludf.DUMMYFUNCTION("SPLiT(J2394, ""🤙🏼"",FALSE,FALSE)"),798.0)</f>
        <v>798</v>
      </c>
      <c r="L2394" s="5" t="str">
        <f>IFERROR(__xludf.DUMMYFUNCTION("""COMPUTED_VALUE"""),"O Brother, Where Art Thou?")</f>
        <v>O Brother, Where Art Thou?</v>
      </c>
      <c r="M2394" s="5" t="str">
        <f>IFERROR(__xludf.DUMMYFUNCTION("""COMPUTED_VALUE"""),"Comedy")</f>
        <v>Comedy</v>
      </c>
      <c r="N2394" s="5">
        <f>IFERROR(__xludf.DUMMYFUNCTION("""COMPUTED_VALUE"""),2.0)</f>
        <v>2</v>
      </c>
      <c r="S2394" s="5">
        <f>IFERROR(__xludf.DUMMYFUNCTION("""COMPUTED_VALUE"""),944.0)</f>
        <v>944</v>
      </c>
      <c r="T2394" s="5" t="str">
        <f>IFERROR(__xludf.DUMMYFUNCTION("""COMPUTED_VALUE"""),"28 Days Later...")</f>
        <v>28 Days Later...</v>
      </c>
      <c r="U2394" s="5" t="str">
        <f>IFERROR(__xludf.DUMMYFUNCTION("""COMPUTED_VALUE"""),"Sci-Fi")</f>
        <v>Sci-Fi</v>
      </c>
      <c r="V2394" s="5">
        <f>IFERROR(__xludf.DUMMYFUNCTION("""COMPUTED_VALUE"""),3.0)</f>
        <v>3</v>
      </c>
    </row>
    <row r="2395">
      <c r="J2395" s="5" t="str">
        <f>IFERROR(__xludf.DUMMYFUNCTION("""COMPUTED_VALUE"""),"798🤙🏼O Brother, Where Art Thou?🤙🏼Crime🤙🏼3")</f>
        <v>798🤙🏼O Brother, Where Art Thou?🤙🏼Crime🤙🏼3</v>
      </c>
      <c r="K2395" s="5">
        <f>IFERROR(__xludf.DUMMYFUNCTION("SPLiT(J2395, ""🤙🏼"",FALSE,FALSE)"),798.0)</f>
        <v>798</v>
      </c>
      <c r="L2395" s="5" t="str">
        <f>IFERROR(__xludf.DUMMYFUNCTION("""COMPUTED_VALUE"""),"O Brother, Where Art Thou?")</f>
        <v>O Brother, Where Art Thou?</v>
      </c>
      <c r="M2395" s="5" t="str">
        <f>IFERROR(__xludf.DUMMYFUNCTION("""COMPUTED_VALUE"""),"Crime")</f>
        <v>Crime</v>
      </c>
      <c r="N2395" s="5">
        <f>IFERROR(__xludf.DUMMYFUNCTION("""COMPUTED_VALUE"""),3.0)</f>
        <v>3</v>
      </c>
      <c r="S2395" s="5">
        <f>IFERROR(__xludf.DUMMYFUNCTION("""COMPUTED_VALUE"""),945.0)</f>
        <v>945</v>
      </c>
      <c r="T2395" s="5" t="str">
        <f>IFERROR(__xludf.DUMMYFUNCTION("""COMPUTED_VALUE"""),"Batoru rowaiaru")</f>
        <v>Batoru rowaiaru</v>
      </c>
      <c r="U2395" s="5" t="str">
        <f>IFERROR(__xludf.DUMMYFUNCTION("""COMPUTED_VALUE"""),"Action")</f>
        <v>Action</v>
      </c>
      <c r="V2395" s="5">
        <f>IFERROR(__xludf.DUMMYFUNCTION("""COMPUTED_VALUE"""),1.0)</f>
        <v>1</v>
      </c>
    </row>
    <row r="2396">
      <c r="J2396" s="5" t="str">
        <f>IFERROR(__xludf.DUMMYFUNCTION("""COMPUTED_VALUE"""),"799🤙🏼Interstate 60: Episodes of the Road🤙🏼Adventure🤙🏼1")</f>
        <v>799🤙🏼Interstate 60: Episodes of the Road🤙🏼Adventure🤙🏼1</v>
      </c>
      <c r="K2396" s="5">
        <f>IFERROR(__xludf.DUMMYFUNCTION("SPLiT(J2396, ""🤙🏼"",FALSE,FALSE)"),799.0)</f>
        <v>799</v>
      </c>
      <c r="L2396" s="5" t="str">
        <f>IFERROR(__xludf.DUMMYFUNCTION("""COMPUTED_VALUE"""),"Interstate 60: Episodes of the Road")</f>
        <v>Interstate 60: Episodes of the Road</v>
      </c>
      <c r="M2396" s="5" t="str">
        <f>IFERROR(__xludf.DUMMYFUNCTION("""COMPUTED_VALUE"""),"Adventure")</f>
        <v>Adventure</v>
      </c>
      <c r="N2396" s="5">
        <f>IFERROR(__xludf.DUMMYFUNCTION("""COMPUTED_VALUE"""),1.0)</f>
        <v>1</v>
      </c>
      <c r="S2396" s="5">
        <f>IFERROR(__xludf.DUMMYFUNCTION("""COMPUTED_VALUE"""),945.0)</f>
        <v>945</v>
      </c>
      <c r="T2396" s="5" t="str">
        <f>IFERROR(__xludf.DUMMYFUNCTION("""COMPUTED_VALUE"""),"Batoru rowaiaru")</f>
        <v>Batoru rowaiaru</v>
      </c>
      <c r="U2396" s="5" t="str">
        <f>IFERROR(__xludf.DUMMYFUNCTION("""COMPUTED_VALUE"""),"Adventure")</f>
        <v>Adventure</v>
      </c>
      <c r="V2396" s="5">
        <f>IFERROR(__xludf.DUMMYFUNCTION("""COMPUTED_VALUE"""),2.0)</f>
        <v>2</v>
      </c>
    </row>
    <row r="2397">
      <c r="J2397" s="5" t="str">
        <f>IFERROR(__xludf.DUMMYFUNCTION("""COMPUTED_VALUE"""),"799🤙🏼Interstate 60: Episodes of the Road🤙🏼Comedy🤙🏼2")</f>
        <v>799🤙🏼Interstate 60: Episodes of the Road🤙🏼Comedy🤙🏼2</v>
      </c>
      <c r="K2397" s="5">
        <f>IFERROR(__xludf.DUMMYFUNCTION("SPLiT(J2397, ""🤙🏼"",FALSE,FALSE)"),799.0)</f>
        <v>799</v>
      </c>
      <c r="L2397" s="5" t="str">
        <f>IFERROR(__xludf.DUMMYFUNCTION("""COMPUTED_VALUE"""),"Interstate 60: Episodes of the Road")</f>
        <v>Interstate 60: Episodes of the Road</v>
      </c>
      <c r="M2397" s="5" t="str">
        <f>IFERROR(__xludf.DUMMYFUNCTION("""COMPUTED_VALUE"""),"Comedy")</f>
        <v>Comedy</v>
      </c>
      <c r="N2397" s="5">
        <f>IFERROR(__xludf.DUMMYFUNCTION("""COMPUTED_VALUE"""),2.0)</f>
        <v>2</v>
      </c>
      <c r="S2397" s="5">
        <f>IFERROR(__xludf.DUMMYFUNCTION("""COMPUTED_VALUE"""),945.0)</f>
        <v>945</v>
      </c>
      <c r="T2397" s="5" t="str">
        <f>IFERROR(__xludf.DUMMYFUNCTION("""COMPUTED_VALUE"""),"Batoru rowaiaru")</f>
        <v>Batoru rowaiaru</v>
      </c>
      <c r="U2397" s="5" t="str">
        <f>IFERROR(__xludf.DUMMYFUNCTION("""COMPUTED_VALUE"""),"Drama")</f>
        <v>Drama</v>
      </c>
      <c r="V2397" s="5">
        <f>IFERROR(__xludf.DUMMYFUNCTION("""COMPUTED_VALUE"""),3.0)</f>
        <v>3</v>
      </c>
    </row>
    <row r="2398">
      <c r="J2398" s="5" t="str">
        <f>IFERROR(__xludf.DUMMYFUNCTION("""COMPUTED_VALUE"""),"799🤙🏼Interstate 60: Episodes of the Road🤙🏼Drama🤙🏼3")</f>
        <v>799🤙🏼Interstate 60: Episodes of the Road🤙🏼Drama🤙🏼3</v>
      </c>
      <c r="K2398" s="5">
        <f>IFERROR(__xludf.DUMMYFUNCTION("SPLiT(J2398, ""🤙🏼"",FALSE,FALSE)"),799.0)</f>
        <v>799</v>
      </c>
      <c r="L2398" s="5" t="str">
        <f>IFERROR(__xludf.DUMMYFUNCTION("""COMPUTED_VALUE"""),"Interstate 60: Episodes of the Road")</f>
        <v>Interstate 60: Episodes of the Road</v>
      </c>
      <c r="M2398" s="5" t="str">
        <f>IFERROR(__xludf.DUMMYFUNCTION("""COMPUTED_VALUE"""),"Drama")</f>
        <v>Drama</v>
      </c>
      <c r="N2398" s="5">
        <f>IFERROR(__xludf.DUMMYFUNCTION("""COMPUTED_VALUE"""),3.0)</f>
        <v>3</v>
      </c>
      <c r="S2398" s="5">
        <f>IFERROR(__xludf.DUMMYFUNCTION("""COMPUTED_VALUE"""),946.0)</f>
        <v>946</v>
      </c>
      <c r="T2398" s="5" t="str">
        <f>IFERROR(__xludf.DUMMYFUNCTION("""COMPUTED_VALUE"""),"The Royal Tenenbaums")</f>
        <v>The Royal Tenenbaums</v>
      </c>
      <c r="U2398" s="5" t="str">
        <f>IFERROR(__xludf.DUMMYFUNCTION("""COMPUTED_VALUE"""),"Comedy")</f>
        <v>Comedy</v>
      </c>
      <c r="V2398" s="5">
        <f>IFERROR(__xludf.DUMMYFUNCTION("""COMPUTED_VALUE"""),1.0)</f>
        <v>1</v>
      </c>
    </row>
    <row r="2399">
      <c r="J2399" s="5" t="str">
        <f>IFERROR(__xludf.DUMMYFUNCTION("""COMPUTED_VALUE"""),"800🤙🏼South Park: Bigger, Longer &amp; Uncut🤙🏼Animation🤙🏼1")</f>
        <v>800🤙🏼South Park: Bigger, Longer &amp; Uncut🤙🏼Animation🤙🏼1</v>
      </c>
      <c r="K2399" s="5">
        <f>IFERROR(__xludf.DUMMYFUNCTION("SPLiT(J2399, ""🤙🏼"",FALSE,FALSE)"),800.0)</f>
        <v>800</v>
      </c>
      <c r="L2399" s="5" t="str">
        <f>IFERROR(__xludf.DUMMYFUNCTION("""COMPUTED_VALUE"""),"South Park: Bigger, Longer &amp; Uncut")</f>
        <v>South Park: Bigger, Longer &amp; Uncut</v>
      </c>
      <c r="M2399" s="5" t="str">
        <f>IFERROR(__xludf.DUMMYFUNCTION("""COMPUTED_VALUE"""),"Animation")</f>
        <v>Animation</v>
      </c>
      <c r="N2399" s="5">
        <f>IFERROR(__xludf.DUMMYFUNCTION("""COMPUTED_VALUE"""),1.0)</f>
        <v>1</v>
      </c>
      <c r="S2399" s="5">
        <f>IFERROR(__xludf.DUMMYFUNCTION("""COMPUTED_VALUE"""),946.0)</f>
        <v>946</v>
      </c>
      <c r="T2399" s="5" t="str">
        <f>IFERROR(__xludf.DUMMYFUNCTION("""COMPUTED_VALUE"""),"The Royal Tenenbaums")</f>
        <v>The Royal Tenenbaums</v>
      </c>
      <c r="U2399" s="5" t="str">
        <f>IFERROR(__xludf.DUMMYFUNCTION("""COMPUTED_VALUE"""),"Drama")</f>
        <v>Drama</v>
      </c>
      <c r="V2399" s="5">
        <f>IFERROR(__xludf.DUMMYFUNCTION("""COMPUTED_VALUE"""),2.0)</f>
        <v>2</v>
      </c>
    </row>
    <row r="2400">
      <c r="J2400" s="5" t="str">
        <f>IFERROR(__xludf.DUMMYFUNCTION("""COMPUTED_VALUE"""),"800🤙🏼South Park: Bigger, Longer &amp; Uncut🤙🏼Comedy🤙🏼2")</f>
        <v>800🤙🏼South Park: Bigger, Longer &amp; Uncut🤙🏼Comedy🤙🏼2</v>
      </c>
      <c r="K2400" s="5">
        <f>IFERROR(__xludf.DUMMYFUNCTION("SPLiT(J2400, ""🤙🏼"",FALSE,FALSE)"),800.0)</f>
        <v>800</v>
      </c>
      <c r="L2400" s="5" t="str">
        <f>IFERROR(__xludf.DUMMYFUNCTION("""COMPUTED_VALUE"""),"South Park: Bigger, Longer &amp; Uncut")</f>
        <v>South Park: Bigger, Longer &amp; Uncut</v>
      </c>
      <c r="M2400" s="5" t="str">
        <f>IFERROR(__xludf.DUMMYFUNCTION("""COMPUTED_VALUE"""),"Comedy")</f>
        <v>Comedy</v>
      </c>
      <c r="N2400" s="5">
        <f>IFERROR(__xludf.DUMMYFUNCTION("""COMPUTED_VALUE"""),2.0)</f>
        <v>2</v>
      </c>
      <c r="S2400" s="5">
        <f>IFERROR(__xludf.DUMMYFUNCTION("""COMPUTED_VALUE"""),947.0)</f>
        <v>947</v>
      </c>
      <c r="T2400" s="5" t="str">
        <f>IFERROR(__xludf.DUMMYFUNCTION("""COMPUTED_VALUE"""),"Y tu mamá también")</f>
        <v>Y tu mamá también</v>
      </c>
      <c r="U2400" s="5" t="str">
        <f>IFERROR(__xludf.DUMMYFUNCTION("""COMPUTED_VALUE"""),"Drama")</f>
        <v>Drama</v>
      </c>
      <c r="V2400" s="5">
        <f>IFERROR(__xludf.DUMMYFUNCTION("""COMPUTED_VALUE"""),1.0)</f>
        <v>1</v>
      </c>
    </row>
    <row r="2401">
      <c r="J2401" s="5" t="str">
        <f>IFERROR(__xludf.DUMMYFUNCTION("""COMPUTED_VALUE"""),"800🤙🏼South Park: Bigger, Longer &amp; Uncut🤙🏼Fantasy🤙🏼3")</f>
        <v>800🤙🏼South Park: Bigger, Longer &amp; Uncut🤙🏼Fantasy🤙🏼3</v>
      </c>
      <c r="K2401" s="5">
        <f>IFERROR(__xludf.DUMMYFUNCTION("SPLiT(J2401, ""🤙🏼"",FALSE,FALSE)"),800.0)</f>
        <v>800</v>
      </c>
      <c r="L2401" s="5" t="str">
        <f>IFERROR(__xludf.DUMMYFUNCTION("""COMPUTED_VALUE"""),"South Park: Bigger, Longer &amp; Uncut")</f>
        <v>South Park: Bigger, Longer &amp; Uncut</v>
      </c>
      <c r="M2401" s="5" t="str">
        <f>IFERROR(__xludf.DUMMYFUNCTION("""COMPUTED_VALUE"""),"Fantasy")</f>
        <v>Fantasy</v>
      </c>
      <c r="N2401" s="5">
        <f>IFERROR(__xludf.DUMMYFUNCTION("""COMPUTED_VALUE"""),3.0)</f>
        <v>3</v>
      </c>
      <c r="S2401" s="5">
        <f>IFERROR(__xludf.DUMMYFUNCTION("""COMPUTED_VALUE"""),948.0)</f>
        <v>948</v>
      </c>
      <c r="T2401" s="5" t="str">
        <f>IFERROR(__xludf.DUMMYFUNCTION("""COMPUTED_VALUE"""),"Harry Potter and the Sorcerer's Stone")</f>
        <v>Harry Potter and the Sorcerer's Stone</v>
      </c>
      <c r="U2401" s="5" t="str">
        <f>IFERROR(__xludf.DUMMYFUNCTION("""COMPUTED_VALUE"""),"Adventure")</f>
        <v>Adventure</v>
      </c>
      <c r="V2401" s="5">
        <f>IFERROR(__xludf.DUMMYFUNCTION("""COMPUTED_VALUE"""),1.0)</f>
        <v>1</v>
      </c>
    </row>
    <row r="2402">
      <c r="J2402" s="5" t="str">
        <f>IFERROR(__xludf.DUMMYFUNCTION("""COMPUTED_VALUE"""),"801🤙🏼Office Space🤙🏼Comedy🤙🏼1")</f>
        <v>801🤙🏼Office Space🤙🏼Comedy🤙🏼1</v>
      </c>
      <c r="K2402" s="5">
        <f>IFERROR(__xludf.DUMMYFUNCTION("SPLiT(J2402, ""🤙🏼"",FALSE,FALSE)"),801.0)</f>
        <v>801</v>
      </c>
      <c r="L2402" s="5" t="str">
        <f>IFERROR(__xludf.DUMMYFUNCTION("""COMPUTED_VALUE"""),"Office Space")</f>
        <v>Office Space</v>
      </c>
      <c r="M2402" s="5" t="str">
        <f>IFERROR(__xludf.DUMMYFUNCTION("""COMPUTED_VALUE"""),"Comedy")</f>
        <v>Comedy</v>
      </c>
      <c r="N2402" s="5">
        <f>IFERROR(__xludf.DUMMYFUNCTION("""COMPUTED_VALUE"""),1.0)</f>
        <v>1</v>
      </c>
      <c r="S2402" s="5">
        <f>IFERROR(__xludf.DUMMYFUNCTION("""COMPUTED_VALUE"""),948.0)</f>
        <v>948</v>
      </c>
      <c r="T2402" s="5" t="str">
        <f>IFERROR(__xludf.DUMMYFUNCTION("""COMPUTED_VALUE"""),"Harry Potter and the Sorcerer's Stone")</f>
        <v>Harry Potter and the Sorcerer's Stone</v>
      </c>
      <c r="U2402" s="5" t="str">
        <f>IFERROR(__xludf.DUMMYFUNCTION("""COMPUTED_VALUE"""),"Family")</f>
        <v>Family</v>
      </c>
      <c r="V2402" s="5">
        <f>IFERROR(__xludf.DUMMYFUNCTION("""COMPUTED_VALUE"""),2.0)</f>
        <v>2</v>
      </c>
    </row>
    <row r="2403">
      <c r="J2403" s="5" t="str">
        <f>IFERROR(__xludf.DUMMYFUNCTION("""COMPUTED_VALUE"""),"801🤙🏼Office Space🤙🏼🤙🏼2")</f>
        <v>801🤙🏼Office Space🤙🏼🤙🏼2</v>
      </c>
      <c r="K2403" s="5">
        <f>IFERROR(__xludf.DUMMYFUNCTION("SPLiT(J2403, ""🤙🏼"",FALSE,FALSE)"),801.0)</f>
        <v>801</v>
      </c>
      <c r="L2403" s="5" t="str">
        <f>IFERROR(__xludf.DUMMYFUNCTION("""COMPUTED_VALUE"""),"Office Space")</f>
        <v>Office Space</v>
      </c>
      <c r="M2403" s="5"/>
      <c r="N2403" s="5">
        <f>IFERROR(__xludf.DUMMYFUNCTION("""COMPUTED_VALUE"""),2.0)</f>
        <v>2</v>
      </c>
      <c r="S2403" s="5">
        <f>IFERROR(__xludf.DUMMYFUNCTION("""COMPUTED_VALUE"""),948.0)</f>
        <v>948</v>
      </c>
      <c r="T2403" s="5" t="str">
        <f>IFERROR(__xludf.DUMMYFUNCTION("""COMPUTED_VALUE"""),"Harry Potter and the Sorcerer's Stone")</f>
        <v>Harry Potter and the Sorcerer's Stone</v>
      </c>
      <c r="U2403" s="5" t="str">
        <f>IFERROR(__xludf.DUMMYFUNCTION("""COMPUTED_VALUE"""),"Fantasy")</f>
        <v>Fantasy</v>
      </c>
      <c r="V2403" s="5">
        <f>IFERROR(__xludf.DUMMYFUNCTION("""COMPUTED_VALUE"""),3.0)</f>
        <v>3</v>
      </c>
    </row>
    <row r="2404">
      <c r="J2404" s="5" t="str">
        <f>IFERROR(__xludf.DUMMYFUNCTION("""COMPUTED_VALUE"""),"801🤙🏼Office Space🤙🏼🤙🏼3")</f>
        <v>801🤙🏼Office Space🤙🏼🤙🏼3</v>
      </c>
      <c r="K2404" s="5">
        <f>IFERROR(__xludf.DUMMYFUNCTION("SPLiT(J2404, ""🤙🏼"",FALSE,FALSE)"),801.0)</f>
        <v>801</v>
      </c>
      <c r="L2404" s="5" t="str">
        <f>IFERROR(__xludf.DUMMYFUNCTION("""COMPUTED_VALUE"""),"Office Space")</f>
        <v>Office Space</v>
      </c>
      <c r="M2404" s="5"/>
      <c r="N2404" s="5">
        <f>IFERROR(__xludf.DUMMYFUNCTION("""COMPUTED_VALUE"""),3.0)</f>
        <v>3</v>
      </c>
      <c r="S2404" s="5">
        <f>IFERROR(__xludf.DUMMYFUNCTION("""COMPUTED_VALUE"""),949.0)</f>
        <v>949</v>
      </c>
      <c r="T2404" s="5" t="str">
        <f>IFERROR(__xludf.DUMMYFUNCTION("""COMPUTED_VALUE"""),"The Others")</f>
        <v>The Others</v>
      </c>
      <c r="U2404" s="5" t="str">
        <f>IFERROR(__xludf.DUMMYFUNCTION("""COMPUTED_VALUE"""),"Horror")</f>
        <v>Horror</v>
      </c>
      <c r="V2404" s="5">
        <f>IFERROR(__xludf.DUMMYFUNCTION("""COMPUTED_VALUE"""),1.0)</f>
        <v>1</v>
      </c>
    </row>
    <row r="2405">
      <c r="J2405" s="5" t="str">
        <f>IFERROR(__xludf.DUMMYFUNCTION("""COMPUTED_VALUE"""),"802🤙🏼Happiness🤙🏼Comedy🤙🏼1")</f>
        <v>802🤙🏼Happiness🤙🏼Comedy🤙🏼1</v>
      </c>
      <c r="K2405" s="5">
        <f>IFERROR(__xludf.DUMMYFUNCTION("SPLiT(J2405, ""🤙🏼"",FALSE,FALSE)"),802.0)</f>
        <v>802</v>
      </c>
      <c r="L2405" s="5" t="str">
        <f>IFERROR(__xludf.DUMMYFUNCTION("""COMPUTED_VALUE"""),"Happiness")</f>
        <v>Happiness</v>
      </c>
      <c r="M2405" s="5" t="str">
        <f>IFERROR(__xludf.DUMMYFUNCTION("""COMPUTED_VALUE"""),"Comedy")</f>
        <v>Comedy</v>
      </c>
      <c r="N2405" s="5">
        <f>IFERROR(__xludf.DUMMYFUNCTION("""COMPUTED_VALUE"""),1.0)</f>
        <v>1</v>
      </c>
      <c r="S2405" s="5">
        <f>IFERROR(__xludf.DUMMYFUNCTION("""COMPUTED_VALUE"""),949.0)</f>
        <v>949</v>
      </c>
      <c r="T2405" s="5" t="str">
        <f>IFERROR(__xludf.DUMMYFUNCTION("""COMPUTED_VALUE"""),"The Others")</f>
        <v>The Others</v>
      </c>
      <c r="U2405" s="5" t="str">
        <f>IFERROR(__xludf.DUMMYFUNCTION("""COMPUTED_VALUE"""),"Mystery")</f>
        <v>Mystery</v>
      </c>
      <c r="V2405" s="5">
        <f>IFERROR(__xludf.DUMMYFUNCTION("""COMPUTED_VALUE"""),2.0)</f>
        <v>2</v>
      </c>
    </row>
    <row r="2406">
      <c r="J2406" s="5" t="str">
        <f>IFERROR(__xludf.DUMMYFUNCTION("""COMPUTED_VALUE"""),"802🤙🏼Happiness🤙🏼Drama🤙🏼2")</f>
        <v>802🤙🏼Happiness🤙🏼Drama🤙🏼2</v>
      </c>
      <c r="K2406" s="5">
        <f>IFERROR(__xludf.DUMMYFUNCTION("SPLiT(J2406, ""🤙🏼"",FALSE,FALSE)"),802.0)</f>
        <v>802</v>
      </c>
      <c r="L2406" s="5" t="str">
        <f>IFERROR(__xludf.DUMMYFUNCTION("""COMPUTED_VALUE"""),"Happiness")</f>
        <v>Happiness</v>
      </c>
      <c r="M2406" s="5" t="str">
        <f>IFERROR(__xludf.DUMMYFUNCTION("""COMPUTED_VALUE"""),"Drama")</f>
        <v>Drama</v>
      </c>
      <c r="N2406" s="5">
        <f>IFERROR(__xludf.DUMMYFUNCTION("""COMPUTED_VALUE"""),2.0)</f>
        <v>2</v>
      </c>
      <c r="S2406" s="5">
        <f>IFERROR(__xludf.DUMMYFUNCTION("""COMPUTED_VALUE"""),949.0)</f>
        <v>949</v>
      </c>
      <c r="T2406" s="5" t="str">
        <f>IFERROR(__xludf.DUMMYFUNCTION("""COMPUTED_VALUE"""),"The Others")</f>
        <v>The Others</v>
      </c>
      <c r="U2406" s="5" t="str">
        <f>IFERROR(__xludf.DUMMYFUNCTION("""COMPUTED_VALUE"""),"Thriller")</f>
        <v>Thriller</v>
      </c>
      <c r="V2406" s="5">
        <f>IFERROR(__xludf.DUMMYFUNCTION("""COMPUTED_VALUE"""),3.0)</f>
        <v>3</v>
      </c>
    </row>
    <row r="2407">
      <c r="J2407" s="5" t="str">
        <f>IFERROR(__xludf.DUMMYFUNCTION("""COMPUTED_VALUE"""),"802🤙🏼Happiness🤙🏼🤙🏼3")</f>
        <v>802🤙🏼Happiness🤙🏼🤙🏼3</v>
      </c>
      <c r="K2407" s="5">
        <f>IFERROR(__xludf.DUMMYFUNCTION("SPLiT(J2407, ""🤙🏼"",FALSE,FALSE)"),802.0)</f>
        <v>802</v>
      </c>
      <c r="L2407" s="5" t="str">
        <f>IFERROR(__xludf.DUMMYFUNCTION("""COMPUTED_VALUE"""),"Happiness")</f>
        <v>Happiness</v>
      </c>
      <c r="M2407" s="5"/>
      <c r="N2407" s="5">
        <f>IFERROR(__xludf.DUMMYFUNCTION("""COMPUTED_VALUE"""),3.0)</f>
        <v>3</v>
      </c>
      <c r="S2407" s="5">
        <f>IFERROR(__xludf.DUMMYFUNCTION("""COMPUTED_VALUE"""),950.0)</f>
        <v>950</v>
      </c>
      <c r="T2407" s="5" t="str">
        <f>IFERROR(__xludf.DUMMYFUNCTION("""COMPUTED_VALUE"""),"Blow")</f>
        <v>Blow</v>
      </c>
      <c r="U2407" s="5" t="str">
        <f>IFERROR(__xludf.DUMMYFUNCTION("""COMPUTED_VALUE"""),"Biography")</f>
        <v>Biography</v>
      </c>
      <c r="V2407" s="5">
        <f>IFERROR(__xludf.DUMMYFUNCTION("""COMPUTED_VALUE"""),1.0)</f>
        <v>1</v>
      </c>
    </row>
    <row r="2408">
      <c r="J2408" s="5" t="str">
        <f>IFERROR(__xludf.DUMMYFUNCTION("""COMPUTED_VALUE"""),"803🤙🏼Training Day🤙🏼Crime🤙🏼1")</f>
        <v>803🤙🏼Training Day🤙🏼Crime🤙🏼1</v>
      </c>
      <c r="K2408" s="5">
        <f>IFERROR(__xludf.DUMMYFUNCTION("SPLiT(J2408, ""🤙🏼"",FALSE,FALSE)"),803.0)</f>
        <v>803</v>
      </c>
      <c r="L2408" s="5" t="str">
        <f>IFERROR(__xludf.DUMMYFUNCTION("""COMPUTED_VALUE"""),"Training Day")</f>
        <v>Training Day</v>
      </c>
      <c r="M2408" s="5" t="str">
        <f>IFERROR(__xludf.DUMMYFUNCTION("""COMPUTED_VALUE"""),"Crime")</f>
        <v>Crime</v>
      </c>
      <c r="N2408" s="5">
        <f>IFERROR(__xludf.DUMMYFUNCTION("""COMPUTED_VALUE"""),1.0)</f>
        <v>1</v>
      </c>
      <c r="S2408" s="5">
        <f>IFERROR(__xludf.DUMMYFUNCTION("""COMPUTED_VALUE"""),950.0)</f>
        <v>950</v>
      </c>
      <c r="T2408" s="5" t="str">
        <f>IFERROR(__xludf.DUMMYFUNCTION("""COMPUTED_VALUE"""),"Blow")</f>
        <v>Blow</v>
      </c>
      <c r="U2408" s="5" t="str">
        <f>IFERROR(__xludf.DUMMYFUNCTION("""COMPUTED_VALUE"""),"Crime")</f>
        <v>Crime</v>
      </c>
      <c r="V2408" s="5">
        <f>IFERROR(__xludf.DUMMYFUNCTION("""COMPUTED_VALUE"""),2.0)</f>
        <v>2</v>
      </c>
    </row>
    <row r="2409">
      <c r="J2409" s="5" t="str">
        <f>IFERROR(__xludf.DUMMYFUNCTION("""COMPUTED_VALUE"""),"803🤙🏼Training Day🤙🏼Drama🤙🏼2")</f>
        <v>803🤙🏼Training Day🤙🏼Drama🤙🏼2</v>
      </c>
      <c r="K2409" s="5">
        <f>IFERROR(__xludf.DUMMYFUNCTION("SPLiT(J2409, ""🤙🏼"",FALSE,FALSE)"),803.0)</f>
        <v>803</v>
      </c>
      <c r="L2409" s="5" t="str">
        <f>IFERROR(__xludf.DUMMYFUNCTION("""COMPUTED_VALUE"""),"Training Day")</f>
        <v>Training Day</v>
      </c>
      <c r="M2409" s="5" t="str">
        <f>IFERROR(__xludf.DUMMYFUNCTION("""COMPUTED_VALUE"""),"Drama")</f>
        <v>Drama</v>
      </c>
      <c r="N2409" s="5">
        <f>IFERROR(__xludf.DUMMYFUNCTION("""COMPUTED_VALUE"""),2.0)</f>
        <v>2</v>
      </c>
      <c r="S2409" s="5">
        <f>IFERROR(__xludf.DUMMYFUNCTION("""COMPUTED_VALUE"""),950.0)</f>
        <v>950</v>
      </c>
      <c r="T2409" s="5" t="str">
        <f>IFERROR(__xludf.DUMMYFUNCTION("""COMPUTED_VALUE"""),"Blow")</f>
        <v>Blow</v>
      </c>
      <c r="U2409" s="5" t="str">
        <f>IFERROR(__xludf.DUMMYFUNCTION("""COMPUTED_VALUE"""),"Drama")</f>
        <v>Drama</v>
      </c>
      <c r="V2409" s="5">
        <f>IFERROR(__xludf.DUMMYFUNCTION("""COMPUTED_VALUE"""),3.0)</f>
        <v>3</v>
      </c>
    </row>
    <row r="2410">
      <c r="J2410" s="5" t="str">
        <f>IFERROR(__xludf.DUMMYFUNCTION("""COMPUTED_VALUE"""),"803🤙🏼Training Day🤙🏼Thriller🤙🏼3")</f>
        <v>803🤙🏼Training Day🤙🏼Thriller🤙🏼3</v>
      </c>
      <c r="K2410" s="5">
        <f>IFERROR(__xludf.DUMMYFUNCTION("SPLiT(J2410, ""🤙🏼"",FALSE,FALSE)"),803.0)</f>
        <v>803</v>
      </c>
      <c r="L2410" s="5" t="str">
        <f>IFERROR(__xludf.DUMMYFUNCTION("""COMPUTED_VALUE"""),"Training Day")</f>
        <v>Training Day</v>
      </c>
      <c r="M2410" s="5" t="str">
        <f>IFERROR(__xludf.DUMMYFUNCTION("""COMPUTED_VALUE"""),"Thriller")</f>
        <v>Thriller</v>
      </c>
      <c r="N2410" s="5">
        <f>IFERROR(__xludf.DUMMYFUNCTION("""COMPUTED_VALUE"""),3.0)</f>
        <v>3</v>
      </c>
      <c r="S2410" s="5">
        <f>IFERROR(__xludf.DUMMYFUNCTION("""COMPUTED_VALUE"""),951.0)</f>
        <v>951</v>
      </c>
      <c r="T2410" s="5" t="str">
        <f>IFERROR(__xludf.DUMMYFUNCTION("""COMPUTED_VALUE"""),"Enemy at the Gates")</f>
        <v>Enemy at the Gates</v>
      </c>
      <c r="U2410" s="5" t="str">
        <f>IFERROR(__xludf.DUMMYFUNCTION("""COMPUTED_VALUE"""),"Drama")</f>
        <v>Drama</v>
      </c>
      <c r="V2410" s="5">
        <f>IFERROR(__xludf.DUMMYFUNCTION("""COMPUTED_VALUE"""),1.0)</f>
        <v>1</v>
      </c>
    </row>
    <row r="2411">
      <c r="J2411" s="5" t="str">
        <f>IFERROR(__xludf.DUMMYFUNCTION("""COMPUTED_VALUE"""),"804🤙🏼Rushmore🤙🏼Comedy🤙🏼1")</f>
        <v>804🤙🏼Rushmore🤙🏼Comedy🤙🏼1</v>
      </c>
      <c r="K2411" s="5">
        <f>IFERROR(__xludf.DUMMYFUNCTION("SPLiT(J2411, ""🤙🏼"",FALSE,FALSE)"),804.0)</f>
        <v>804</v>
      </c>
      <c r="L2411" s="5" t="str">
        <f>IFERROR(__xludf.DUMMYFUNCTION("""COMPUTED_VALUE"""),"Rushmore")</f>
        <v>Rushmore</v>
      </c>
      <c r="M2411" s="5" t="str">
        <f>IFERROR(__xludf.DUMMYFUNCTION("""COMPUTED_VALUE"""),"Comedy")</f>
        <v>Comedy</v>
      </c>
      <c r="N2411" s="5">
        <f>IFERROR(__xludf.DUMMYFUNCTION("""COMPUTED_VALUE"""),1.0)</f>
        <v>1</v>
      </c>
      <c r="S2411" s="5">
        <f>IFERROR(__xludf.DUMMYFUNCTION("""COMPUTED_VALUE"""),951.0)</f>
        <v>951</v>
      </c>
      <c r="T2411" s="5" t="str">
        <f>IFERROR(__xludf.DUMMYFUNCTION("""COMPUTED_VALUE"""),"Enemy at the Gates")</f>
        <v>Enemy at the Gates</v>
      </c>
      <c r="U2411" s="5" t="str">
        <f>IFERROR(__xludf.DUMMYFUNCTION("""COMPUTED_VALUE"""),"History")</f>
        <v>History</v>
      </c>
      <c r="V2411" s="5">
        <f>IFERROR(__xludf.DUMMYFUNCTION("""COMPUTED_VALUE"""),2.0)</f>
        <v>2</v>
      </c>
    </row>
    <row r="2412">
      <c r="J2412" s="5" t="str">
        <f>IFERROR(__xludf.DUMMYFUNCTION("""COMPUTED_VALUE"""),"804🤙🏼Rushmore🤙🏼Drama🤙🏼2")</f>
        <v>804🤙🏼Rushmore🤙🏼Drama🤙🏼2</v>
      </c>
      <c r="K2412" s="5">
        <f>IFERROR(__xludf.DUMMYFUNCTION("SPLiT(J2412, ""🤙🏼"",FALSE,FALSE)"),804.0)</f>
        <v>804</v>
      </c>
      <c r="L2412" s="5" t="str">
        <f>IFERROR(__xludf.DUMMYFUNCTION("""COMPUTED_VALUE"""),"Rushmore")</f>
        <v>Rushmore</v>
      </c>
      <c r="M2412" s="5" t="str">
        <f>IFERROR(__xludf.DUMMYFUNCTION("""COMPUTED_VALUE"""),"Drama")</f>
        <v>Drama</v>
      </c>
      <c r="N2412" s="5">
        <f>IFERROR(__xludf.DUMMYFUNCTION("""COMPUTED_VALUE"""),2.0)</f>
        <v>2</v>
      </c>
      <c r="S2412" s="5">
        <f>IFERROR(__xludf.DUMMYFUNCTION("""COMPUTED_VALUE"""),951.0)</f>
        <v>951</v>
      </c>
      <c r="T2412" s="5" t="str">
        <f>IFERROR(__xludf.DUMMYFUNCTION("""COMPUTED_VALUE"""),"Enemy at the Gates")</f>
        <v>Enemy at the Gates</v>
      </c>
      <c r="U2412" s="5" t="str">
        <f>IFERROR(__xludf.DUMMYFUNCTION("""COMPUTED_VALUE"""),"War")</f>
        <v>War</v>
      </c>
      <c r="V2412" s="5">
        <f>IFERROR(__xludf.DUMMYFUNCTION("""COMPUTED_VALUE"""),3.0)</f>
        <v>3</v>
      </c>
    </row>
    <row r="2413">
      <c r="J2413" s="5" t="str">
        <f>IFERROR(__xludf.DUMMYFUNCTION("""COMPUTED_VALUE"""),"804🤙🏼Rushmore🤙🏼Romance🤙🏼3")</f>
        <v>804🤙🏼Rushmore🤙🏼Romance🤙🏼3</v>
      </c>
      <c r="K2413" s="5">
        <f>IFERROR(__xludf.DUMMYFUNCTION("SPLiT(J2413, ""🤙🏼"",FALSE,FALSE)"),804.0)</f>
        <v>804</v>
      </c>
      <c r="L2413" s="5" t="str">
        <f>IFERROR(__xludf.DUMMYFUNCTION("""COMPUTED_VALUE"""),"Rushmore")</f>
        <v>Rushmore</v>
      </c>
      <c r="M2413" s="5" t="str">
        <f>IFERROR(__xludf.DUMMYFUNCTION("""COMPUTED_VALUE"""),"Romance")</f>
        <v>Romance</v>
      </c>
      <c r="N2413" s="5">
        <f>IFERROR(__xludf.DUMMYFUNCTION("""COMPUTED_VALUE"""),3.0)</f>
        <v>3</v>
      </c>
      <c r="S2413" s="5">
        <f>IFERROR(__xludf.DUMMYFUNCTION("""COMPUTED_VALUE"""),952.0)</f>
        <v>952</v>
      </c>
      <c r="T2413" s="5" t="str">
        <f>IFERROR(__xludf.DUMMYFUNCTION("""COMPUTED_VALUE"""),"Minority Report")</f>
        <v>Minority Report</v>
      </c>
      <c r="U2413" s="5" t="str">
        <f>IFERROR(__xludf.DUMMYFUNCTION("""COMPUTED_VALUE"""),"Action")</f>
        <v>Action</v>
      </c>
      <c r="V2413" s="5">
        <f>IFERROR(__xludf.DUMMYFUNCTION("""COMPUTED_VALUE"""),1.0)</f>
        <v>1</v>
      </c>
    </row>
    <row r="2414">
      <c r="J2414" s="5" t="str">
        <f>IFERROR(__xludf.DUMMYFUNCTION("""COMPUTED_VALUE"""),"805🤙🏼Abre los ojos🤙🏼Drama🤙🏼1")</f>
        <v>805🤙🏼Abre los ojos🤙🏼Drama🤙🏼1</v>
      </c>
      <c r="K2414" s="5">
        <f>IFERROR(__xludf.DUMMYFUNCTION("SPLiT(J2414, ""🤙🏼"",FALSE,FALSE)"),805.0)</f>
        <v>805</v>
      </c>
      <c r="L2414" s="5" t="str">
        <f>IFERROR(__xludf.DUMMYFUNCTION("""COMPUTED_VALUE"""),"Abre los ojos")</f>
        <v>Abre los ojos</v>
      </c>
      <c r="M2414" s="5" t="str">
        <f>IFERROR(__xludf.DUMMYFUNCTION("""COMPUTED_VALUE"""),"Drama")</f>
        <v>Drama</v>
      </c>
      <c r="N2414" s="5">
        <f>IFERROR(__xludf.DUMMYFUNCTION("""COMPUTED_VALUE"""),1.0)</f>
        <v>1</v>
      </c>
      <c r="S2414" s="5">
        <f>IFERROR(__xludf.DUMMYFUNCTION("""COMPUTED_VALUE"""),952.0)</f>
        <v>952</v>
      </c>
      <c r="T2414" s="5" t="str">
        <f>IFERROR(__xludf.DUMMYFUNCTION("""COMPUTED_VALUE"""),"Minority Report")</f>
        <v>Minority Report</v>
      </c>
      <c r="U2414" s="5" t="str">
        <f>IFERROR(__xludf.DUMMYFUNCTION("""COMPUTED_VALUE"""),"Crime")</f>
        <v>Crime</v>
      </c>
      <c r="V2414" s="5">
        <f>IFERROR(__xludf.DUMMYFUNCTION("""COMPUTED_VALUE"""),2.0)</f>
        <v>2</v>
      </c>
    </row>
    <row r="2415">
      <c r="J2415" s="5" t="str">
        <f>IFERROR(__xludf.DUMMYFUNCTION("""COMPUTED_VALUE"""),"805🤙🏼Abre los ojos🤙🏼Mystery🤙🏼2")</f>
        <v>805🤙🏼Abre los ojos🤙🏼Mystery🤙🏼2</v>
      </c>
      <c r="K2415" s="5">
        <f>IFERROR(__xludf.DUMMYFUNCTION("SPLiT(J2415, ""🤙🏼"",FALSE,FALSE)"),805.0)</f>
        <v>805</v>
      </c>
      <c r="L2415" s="5" t="str">
        <f>IFERROR(__xludf.DUMMYFUNCTION("""COMPUTED_VALUE"""),"Abre los ojos")</f>
        <v>Abre los ojos</v>
      </c>
      <c r="M2415" s="5" t="str">
        <f>IFERROR(__xludf.DUMMYFUNCTION("""COMPUTED_VALUE"""),"Mystery")</f>
        <v>Mystery</v>
      </c>
      <c r="N2415" s="5">
        <f>IFERROR(__xludf.DUMMYFUNCTION("""COMPUTED_VALUE"""),2.0)</f>
        <v>2</v>
      </c>
      <c r="S2415" s="5">
        <f>IFERROR(__xludf.DUMMYFUNCTION("""COMPUTED_VALUE"""),952.0)</f>
        <v>952</v>
      </c>
      <c r="T2415" s="5" t="str">
        <f>IFERROR(__xludf.DUMMYFUNCTION("""COMPUTED_VALUE"""),"Minority Report")</f>
        <v>Minority Report</v>
      </c>
      <c r="U2415" s="5" t="str">
        <f>IFERROR(__xludf.DUMMYFUNCTION("""COMPUTED_VALUE"""),"Mystery")</f>
        <v>Mystery</v>
      </c>
      <c r="V2415" s="5">
        <f>IFERROR(__xludf.DUMMYFUNCTION("""COMPUTED_VALUE"""),3.0)</f>
        <v>3</v>
      </c>
    </row>
    <row r="2416">
      <c r="J2416" s="5" t="str">
        <f>IFERROR(__xludf.DUMMYFUNCTION("""COMPUTED_VALUE"""),"805🤙🏼Abre los ojos🤙🏼Sci-Fi🤙🏼3")</f>
        <v>805🤙🏼Abre los ojos🤙🏼Sci-Fi🤙🏼3</v>
      </c>
      <c r="K2416" s="5">
        <f>IFERROR(__xludf.DUMMYFUNCTION("SPLiT(J2416, ""🤙🏼"",FALSE,FALSE)"),805.0)</f>
        <v>805</v>
      </c>
      <c r="L2416" s="5" t="str">
        <f>IFERROR(__xludf.DUMMYFUNCTION("""COMPUTED_VALUE"""),"Abre los ojos")</f>
        <v>Abre los ojos</v>
      </c>
      <c r="M2416" s="5" t="str">
        <f>IFERROR(__xludf.DUMMYFUNCTION("""COMPUTED_VALUE"""),"Sci-Fi")</f>
        <v>Sci-Fi</v>
      </c>
      <c r="N2416" s="5">
        <f>IFERROR(__xludf.DUMMYFUNCTION("""COMPUTED_VALUE"""),3.0)</f>
        <v>3</v>
      </c>
      <c r="S2416" s="5">
        <f>IFERROR(__xludf.DUMMYFUNCTION("""COMPUTED_VALUE"""),953.0)</f>
        <v>953</v>
      </c>
      <c r="T2416" s="5" t="str">
        <f>IFERROR(__xludf.DUMMYFUNCTION("""COMPUTED_VALUE"""),"The Hurricane")</f>
        <v>The Hurricane</v>
      </c>
      <c r="U2416" s="5" t="str">
        <f>IFERROR(__xludf.DUMMYFUNCTION("""COMPUTED_VALUE"""),"Biography")</f>
        <v>Biography</v>
      </c>
      <c r="V2416" s="5">
        <f>IFERROR(__xludf.DUMMYFUNCTION("""COMPUTED_VALUE"""),1.0)</f>
        <v>1</v>
      </c>
    </row>
    <row r="2417">
      <c r="J2417" s="5" t="str">
        <f>IFERROR(__xludf.DUMMYFUNCTION("""COMPUTED_VALUE"""),"806🤙🏼Being John Malkovich🤙🏼Comedy🤙🏼1")</f>
        <v>806🤙🏼Being John Malkovich🤙🏼Comedy🤙🏼1</v>
      </c>
      <c r="K2417" s="5">
        <f>IFERROR(__xludf.DUMMYFUNCTION("SPLiT(J2417, ""🤙🏼"",FALSE,FALSE)"),806.0)</f>
        <v>806</v>
      </c>
      <c r="L2417" s="5" t="str">
        <f>IFERROR(__xludf.DUMMYFUNCTION("""COMPUTED_VALUE"""),"Being John Malkovich")</f>
        <v>Being John Malkovich</v>
      </c>
      <c r="M2417" s="5" t="str">
        <f>IFERROR(__xludf.DUMMYFUNCTION("""COMPUTED_VALUE"""),"Comedy")</f>
        <v>Comedy</v>
      </c>
      <c r="N2417" s="5">
        <f>IFERROR(__xludf.DUMMYFUNCTION("""COMPUTED_VALUE"""),1.0)</f>
        <v>1</v>
      </c>
      <c r="S2417" s="5">
        <f>IFERROR(__xludf.DUMMYFUNCTION("""COMPUTED_VALUE"""),953.0)</f>
        <v>953</v>
      </c>
      <c r="T2417" s="5" t="str">
        <f>IFERROR(__xludf.DUMMYFUNCTION("""COMPUTED_VALUE"""),"The Hurricane")</f>
        <v>The Hurricane</v>
      </c>
      <c r="U2417" s="5" t="str">
        <f>IFERROR(__xludf.DUMMYFUNCTION("""COMPUTED_VALUE"""),"Drama")</f>
        <v>Drama</v>
      </c>
      <c r="V2417" s="5">
        <f>IFERROR(__xludf.DUMMYFUNCTION("""COMPUTED_VALUE"""),2.0)</f>
        <v>2</v>
      </c>
    </row>
    <row r="2418">
      <c r="J2418" s="5" t="str">
        <f>IFERROR(__xludf.DUMMYFUNCTION("""COMPUTED_VALUE"""),"806🤙🏼Being John Malkovich🤙🏼Drama🤙🏼2")</f>
        <v>806🤙🏼Being John Malkovich🤙🏼Drama🤙🏼2</v>
      </c>
      <c r="K2418" s="5">
        <f>IFERROR(__xludf.DUMMYFUNCTION("SPLiT(J2418, ""🤙🏼"",FALSE,FALSE)"),806.0)</f>
        <v>806</v>
      </c>
      <c r="L2418" s="5" t="str">
        <f>IFERROR(__xludf.DUMMYFUNCTION("""COMPUTED_VALUE"""),"Being John Malkovich")</f>
        <v>Being John Malkovich</v>
      </c>
      <c r="M2418" s="5" t="str">
        <f>IFERROR(__xludf.DUMMYFUNCTION("""COMPUTED_VALUE"""),"Drama")</f>
        <v>Drama</v>
      </c>
      <c r="N2418" s="5">
        <f>IFERROR(__xludf.DUMMYFUNCTION("""COMPUTED_VALUE"""),2.0)</f>
        <v>2</v>
      </c>
      <c r="S2418" s="5">
        <f>IFERROR(__xludf.DUMMYFUNCTION("""COMPUTED_VALUE"""),953.0)</f>
        <v>953</v>
      </c>
      <c r="T2418" s="5" t="str">
        <f>IFERROR(__xludf.DUMMYFUNCTION("""COMPUTED_VALUE"""),"The Hurricane")</f>
        <v>The Hurricane</v>
      </c>
      <c r="U2418" s="5" t="str">
        <f>IFERROR(__xludf.DUMMYFUNCTION("""COMPUTED_VALUE"""),"Sport")</f>
        <v>Sport</v>
      </c>
      <c r="V2418" s="5">
        <f>IFERROR(__xludf.DUMMYFUNCTION("""COMPUTED_VALUE"""),3.0)</f>
        <v>3</v>
      </c>
    </row>
    <row r="2419">
      <c r="J2419" s="5" t="str">
        <f>IFERROR(__xludf.DUMMYFUNCTION("""COMPUTED_VALUE"""),"806🤙🏼Being John Malkovich🤙🏼Fantasy🤙🏼3")</f>
        <v>806🤙🏼Being John Malkovich🤙🏼Fantasy🤙🏼3</v>
      </c>
      <c r="K2419" s="5">
        <f>IFERROR(__xludf.DUMMYFUNCTION("SPLiT(J2419, ""🤙🏼"",FALSE,FALSE)"),806.0)</f>
        <v>806</v>
      </c>
      <c r="L2419" s="5" t="str">
        <f>IFERROR(__xludf.DUMMYFUNCTION("""COMPUTED_VALUE"""),"Being John Malkovich")</f>
        <v>Being John Malkovich</v>
      </c>
      <c r="M2419" s="5" t="str">
        <f>IFERROR(__xludf.DUMMYFUNCTION("""COMPUTED_VALUE"""),"Fantasy")</f>
        <v>Fantasy</v>
      </c>
      <c r="N2419" s="5">
        <f>IFERROR(__xludf.DUMMYFUNCTION("""COMPUTED_VALUE"""),3.0)</f>
        <v>3</v>
      </c>
      <c r="S2419" s="5">
        <f>IFERROR(__xludf.DUMMYFUNCTION("""COMPUTED_VALUE"""),954.0)</f>
        <v>954</v>
      </c>
      <c r="T2419" s="5" t="str">
        <f>IFERROR(__xludf.DUMMYFUNCTION("""COMPUTED_VALUE"""),"American Psycho")</f>
        <v>American Psycho</v>
      </c>
      <c r="U2419" s="5" t="str">
        <f>IFERROR(__xludf.DUMMYFUNCTION("""COMPUTED_VALUE"""),"Comedy")</f>
        <v>Comedy</v>
      </c>
      <c r="V2419" s="5">
        <f>IFERROR(__xludf.DUMMYFUNCTION("""COMPUTED_VALUE"""),1.0)</f>
        <v>1</v>
      </c>
    </row>
    <row r="2420">
      <c r="J2420" s="5" t="str">
        <f>IFERROR(__xludf.DUMMYFUNCTION("""COMPUTED_VALUE"""),"807🤙🏼As Good as It Gets🤙🏼Comedy🤙🏼1")</f>
        <v>807🤙🏼As Good as It Gets🤙🏼Comedy🤙🏼1</v>
      </c>
      <c r="K2420" s="5">
        <f>IFERROR(__xludf.DUMMYFUNCTION("SPLiT(J2420, ""🤙🏼"",FALSE,FALSE)"),807.0)</f>
        <v>807</v>
      </c>
      <c r="L2420" s="5" t="str">
        <f>IFERROR(__xludf.DUMMYFUNCTION("""COMPUTED_VALUE"""),"As Good as It Gets")</f>
        <v>As Good as It Gets</v>
      </c>
      <c r="M2420" s="5" t="str">
        <f>IFERROR(__xludf.DUMMYFUNCTION("""COMPUTED_VALUE"""),"Comedy")</f>
        <v>Comedy</v>
      </c>
      <c r="N2420" s="5">
        <f>IFERROR(__xludf.DUMMYFUNCTION("""COMPUTED_VALUE"""),1.0)</f>
        <v>1</v>
      </c>
      <c r="S2420" s="5">
        <f>IFERROR(__xludf.DUMMYFUNCTION("""COMPUTED_VALUE"""),954.0)</f>
        <v>954</v>
      </c>
      <c r="T2420" s="5" t="str">
        <f>IFERROR(__xludf.DUMMYFUNCTION("""COMPUTED_VALUE"""),"American Psycho")</f>
        <v>American Psycho</v>
      </c>
      <c r="U2420" s="5" t="str">
        <f>IFERROR(__xludf.DUMMYFUNCTION("""COMPUTED_VALUE"""),"Crime")</f>
        <v>Crime</v>
      </c>
      <c r="V2420" s="5">
        <f>IFERROR(__xludf.DUMMYFUNCTION("""COMPUTED_VALUE"""),2.0)</f>
        <v>2</v>
      </c>
    </row>
    <row r="2421">
      <c r="J2421" s="5" t="str">
        <f>IFERROR(__xludf.DUMMYFUNCTION("""COMPUTED_VALUE"""),"807🤙🏼As Good as It Gets🤙🏼Drama🤙🏼2")</f>
        <v>807🤙🏼As Good as It Gets🤙🏼Drama🤙🏼2</v>
      </c>
      <c r="K2421" s="5">
        <f>IFERROR(__xludf.DUMMYFUNCTION("SPLiT(J2421, ""🤙🏼"",FALSE,FALSE)"),807.0)</f>
        <v>807</v>
      </c>
      <c r="L2421" s="5" t="str">
        <f>IFERROR(__xludf.DUMMYFUNCTION("""COMPUTED_VALUE"""),"As Good as It Gets")</f>
        <v>As Good as It Gets</v>
      </c>
      <c r="M2421" s="5" t="str">
        <f>IFERROR(__xludf.DUMMYFUNCTION("""COMPUTED_VALUE"""),"Drama")</f>
        <v>Drama</v>
      </c>
      <c r="N2421" s="5">
        <f>IFERROR(__xludf.DUMMYFUNCTION("""COMPUTED_VALUE"""),2.0)</f>
        <v>2</v>
      </c>
      <c r="S2421" s="5">
        <f>IFERROR(__xludf.DUMMYFUNCTION("""COMPUTED_VALUE"""),954.0)</f>
        <v>954</v>
      </c>
      <c r="T2421" s="5" t="str">
        <f>IFERROR(__xludf.DUMMYFUNCTION("""COMPUTED_VALUE"""),"American Psycho")</f>
        <v>American Psycho</v>
      </c>
      <c r="U2421" s="5" t="str">
        <f>IFERROR(__xludf.DUMMYFUNCTION("""COMPUTED_VALUE"""),"Drama")</f>
        <v>Drama</v>
      </c>
      <c r="V2421" s="5">
        <f>IFERROR(__xludf.DUMMYFUNCTION("""COMPUTED_VALUE"""),3.0)</f>
        <v>3</v>
      </c>
    </row>
    <row r="2422">
      <c r="J2422" s="5" t="str">
        <f>IFERROR(__xludf.DUMMYFUNCTION("""COMPUTED_VALUE"""),"807🤙🏼As Good as It Gets🤙🏼Romance🤙🏼3")</f>
        <v>807🤙🏼As Good as It Gets🤙🏼Romance🤙🏼3</v>
      </c>
      <c r="K2422" s="5">
        <f>IFERROR(__xludf.DUMMYFUNCTION("SPLiT(J2422, ""🤙🏼"",FALSE,FALSE)"),807.0)</f>
        <v>807</v>
      </c>
      <c r="L2422" s="5" t="str">
        <f>IFERROR(__xludf.DUMMYFUNCTION("""COMPUTED_VALUE"""),"As Good as It Gets")</f>
        <v>As Good as It Gets</v>
      </c>
      <c r="M2422" s="5" t="str">
        <f>IFERROR(__xludf.DUMMYFUNCTION("""COMPUTED_VALUE"""),"Romance")</f>
        <v>Romance</v>
      </c>
      <c r="N2422" s="5">
        <f>IFERROR(__xludf.DUMMYFUNCTION("""COMPUTED_VALUE"""),3.0)</f>
        <v>3</v>
      </c>
      <c r="S2422" s="5">
        <f>IFERROR(__xludf.DUMMYFUNCTION("""COMPUTED_VALUE"""),955.0)</f>
        <v>955</v>
      </c>
      <c r="T2422" s="5" t="str">
        <f>IFERROR(__xludf.DUMMYFUNCTION("""COMPUTED_VALUE"""),"Lola rennt")</f>
        <v>Lola rennt</v>
      </c>
      <c r="U2422" s="5" t="str">
        <f>IFERROR(__xludf.DUMMYFUNCTION("""COMPUTED_VALUE"""),"Crime")</f>
        <v>Crime</v>
      </c>
      <c r="V2422" s="5">
        <f>IFERROR(__xludf.DUMMYFUNCTION("""COMPUTED_VALUE"""),1.0)</f>
        <v>1</v>
      </c>
    </row>
    <row r="2423">
      <c r="J2423" s="5" t="str">
        <f>IFERROR(__xludf.DUMMYFUNCTION("""COMPUTED_VALUE"""),"808🤙🏼The Fifth Element🤙🏼Action🤙🏼1")</f>
        <v>808🤙🏼The Fifth Element🤙🏼Action🤙🏼1</v>
      </c>
      <c r="K2423" s="5">
        <f>IFERROR(__xludf.DUMMYFUNCTION("SPLiT(J2423, ""🤙🏼"",FALSE,FALSE)"),808.0)</f>
        <v>808</v>
      </c>
      <c r="L2423" s="5" t="str">
        <f>IFERROR(__xludf.DUMMYFUNCTION("""COMPUTED_VALUE"""),"The Fifth Element")</f>
        <v>The Fifth Element</v>
      </c>
      <c r="M2423" s="5" t="str">
        <f>IFERROR(__xludf.DUMMYFUNCTION("""COMPUTED_VALUE"""),"Action")</f>
        <v>Action</v>
      </c>
      <c r="N2423" s="5">
        <f>IFERROR(__xludf.DUMMYFUNCTION("""COMPUTED_VALUE"""),1.0)</f>
        <v>1</v>
      </c>
      <c r="S2423" s="5">
        <f>IFERROR(__xludf.DUMMYFUNCTION("""COMPUTED_VALUE"""),955.0)</f>
        <v>955</v>
      </c>
      <c r="T2423" s="5" t="str">
        <f>IFERROR(__xludf.DUMMYFUNCTION("""COMPUTED_VALUE"""),"Lola rennt")</f>
        <v>Lola rennt</v>
      </c>
      <c r="U2423" s="5" t="str">
        <f>IFERROR(__xludf.DUMMYFUNCTION("""COMPUTED_VALUE"""),"Drama")</f>
        <v>Drama</v>
      </c>
      <c r="V2423" s="5">
        <f>IFERROR(__xludf.DUMMYFUNCTION("""COMPUTED_VALUE"""),2.0)</f>
        <v>2</v>
      </c>
    </row>
    <row r="2424">
      <c r="J2424" s="5" t="str">
        <f>IFERROR(__xludf.DUMMYFUNCTION("""COMPUTED_VALUE"""),"808🤙🏼The Fifth Element🤙🏼Adventure🤙🏼2")</f>
        <v>808🤙🏼The Fifth Element🤙🏼Adventure🤙🏼2</v>
      </c>
      <c r="K2424" s="5">
        <f>IFERROR(__xludf.DUMMYFUNCTION("SPLiT(J2424, ""🤙🏼"",FALSE,FALSE)"),808.0)</f>
        <v>808</v>
      </c>
      <c r="L2424" s="5" t="str">
        <f>IFERROR(__xludf.DUMMYFUNCTION("""COMPUTED_VALUE"""),"The Fifth Element")</f>
        <v>The Fifth Element</v>
      </c>
      <c r="M2424" s="5" t="str">
        <f>IFERROR(__xludf.DUMMYFUNCTION("""COMPUTED_VALUE"""),"Adventure")</f>
        <v>Adventure</v>
      </c>
      <c r="N2424" s="5">
        <f>IFERROR(__xludf.DUMMYFUNCTION("""COMPUTED_VALUE"""),2.0)</f>
        <v>2</v>
      </c>
      <c r="S2424" s="5">
        <f>IFERROR(__xludf.DUMMYFUNCTION("""COMPUTED_VALUE"""),955.0)</f>
        <v>955</v>
      </c>
      <c r="T2424" s="5" t="str">
        <f>IFERROR(__xludf.DUMMYFUNCTION("""COMPUTED_VALUE"""),"Lola rennt")</f>
        <v>Lola rennt</v>
      </c>
      <c r="U2424" s="5" t="str">
        <f>IFERROR(__xludf.DUMMYFUNCTION("""COMPUTED_VALUE"""),"Thriller")</f>
        <v>Thriller</v>
      </c>
      <c r="V2424" s="5">
        <f>IFERROR(__xludf.DUMMYFUNCTION("""COMPUTED_VALUE"""),3.0)</f>
        <v>3</v>
      </c>
    </row>
    <row r="2425">
      <c r="J2425" s="5" t="str">
        <f>IFERROR(__xludf.DUMMYFUNCTION("""COMPUTED_VALUE"""),"808🤙🏼The Fifth Element🤙🏼Sci-Fi🤙🏼3")</f>
        <v>808🤙🏼The Fifth Element🤙🏼Sci-Fi🤙🏼3</v>
      </c>
      <c r="K2425" s="5">
        <f>IFERROR(__xludf.DUMMYFUNCTION("SPLiT(J2425, ""🤙🏼"",FALSE,FALSE)"),808.0)</f>
        <v>808</v>
      </c>
      <c r="L2425" s="5" t="str">
        <f>IFERROR(__xludf.DUMMYFUNCTION("""COMPUTED_VALUE"""),"The Fifth Element")</f>
        <v>The Fifth Element</v>
      </c>
      <c r="M2425" s="5" t="str">
        <f>IFERROR(__xludf.DUMMYFUNCTION("""COMPUTED_VALUE"""),"Sci-Fi")</f>
        <v>Sci-Fi</v>
      </c>
      <c r="N2425" s="5">
        <f>IFERROR(__xludf.DUMMYFUNCTION("""COMPUTED_VALUE"""),3.0)</f>
        <v>3</v>
      </c>
      <c r="S2425" s="5">
        <f>IFERROR(__xludf.DUMMYFUNCTION("""COMPUTED_VALUE"""),956.0)</f>
        <v>956</v>
      </c>
      <c r="T2425" s="5" t="str">
        <f>IFERROR(__xludf.DUMMYFUNCTION("""COMPUTED_VALUE"""),"The Thin Red Line")</f>
        <v>The Thin Red Line</v>
      </c>
      <c r="U2425" s="5" t="str">
        <f>IFERROR(__xludf.DUMMYFUNCTION("""COMPUTED_VALUE"""),"Drama")</f>
        <v>Drama</v>
      </c>
      <c r="V2425" s="5">
        <f>IFERROR(__xludf.DUMMYFUNCTION("""COMPUTED_VALUE"""),1.0)</f>
        <v>1</v>
      </c>
    </row>
    <row r="2426">
      <c r="J2426" s="5" t="str">
        <f>IFERROR(__xludf.DUMMYFUNCTION("""COMPUTED_VALUE"""),"809🤙🏼Le dîner de cons🤙🏼Comedy🤙🏼1")</f>
        <v>809🤙🏼Le dîner de cons🤙🏼Comedy🤙🏼1</v>
      </c>
      <c r="K2426" s="5">
        <f>IFERROR(__xludf.DUMMYFUNCTION("SPLiT(J2426, ""🤙🏼"",FALSE,FALSE)"),809.0)</f>
        <v>809</v>
      </c>
      <c r="L2426" s="5" t="str">
        <f>IFERROR(__xludf.DUMMYFUNCTION("""COMPUTED_VALUE"""),"Le dîner de cons")</f>
        <v>Le dîner de cons</v>
      </c>
      <c r="M2426" s="5" t="str">
        <f>IFERROR(__xludf.DUMMYFUNCTION("""COMPUTED_VALUE"""),"Comedy")</f>
        <v>Comedy</v>
      </c>
      <c r="N2426" s="5">
        <f>IFERROR(__xludf.DUMMYFUNCTION("""COMPUTED_VALUE"""),1.0)</f>
        <v>1</v>
      </c>
      <c r="S2426" s="5">
        <f>IFERROR(__xludf.DUMMYFUNCTION("""COMPUTED_VALUE"""),956.0)</f>
        <v>956</v>
      </c>
      <c r="T2426" s="5" t="str">
        <f>IFERROR(__xludf.DUMMYFUNCTION("""COMPUTED_VALUE"""),"The Thin Red Line")</f>
        <v>The Thin Red Line</v>
      </c>
      <c r="U2426" s="5" t="str">
        <f>IFERROR(__xludf.DUMMYFUNCTION("""COMPUTED_VALUE"""),"War")</f>
        <v>War</v>
      </c>
      <c r="V2426" s="5">
        <f>IFERROR(__xludf.DUMMYFUNCTION("""COMPUTED_VALUE"""),2.0)</f>
        <v>2</v>
      </c>
    </row>
    <row r="2427">
      <c r="J2427" s="5" t="str">
        <f>IFERROR(__xludf.DUMMYFUNCTION("""COMPUTED_VALUE"""),"809🤙🏼Le dîner de cons🤙🏼🤙🏼2")</f>
        <v>809🤙🏼Le dîner de cons🤙🏼🤙🏼2</v>
      </c>
      <c r="K2427" s="5">
        <f>IFERROR(__xludf.DUMMYFUNCTION("SPLiT(J2427, ""🤙🏼"",FALSE,FALSE)"),809.0)</f>
        <v>809</v>
      </c>
      <c r="L2427" s="5" t="str">
        <f>IFERROR(__xludf.DUMMYFUNCTION("""COMPUTED_VALUE"""),"Le dîner de cons")</f>
        <v>Le dîner de cons</v>
      </c>
      <c r="M2427" s="5"/>
      <c r="N2427" s="5">
        <f>IFERROR(__xludf.DUMMYFUNCTION("""COMPUTED_VALUE"""),2.0)</f>
        <v>2</v>
      </c>
      <c r="S2427" s="5">
        <f>IFERROR(__xludf.DUMMYFUNCTION("""COMPUTED_VALUE"""),957.0)</f>
        <v>957</v>
      </c>
      <c r="T2427" s="5" t="str">
        <f>IFERROR(__xludf.DUMMYFUNCTION("""COMPUTED_VALUE"""),"Mulan")</f>
        <v>Mulan</v>
      </c>
      <c r="U2427" s="5" t="str">
        <f>IFERROR(__xludf.DUMMYFUNCTION("""COMPUTED_VALUE"""),"Animation")</f>
        <v>Animation</v>
      </c>
      <c r="V2427" s="5">
        <f>IFERROR(__xludf.DUMMYFUNCTION("""COMPUTED_VALUE"""),1.0)</f>
        <v>1</v>
      </c>
    </row>
    <row r="2428">
      <c r="J2428" s="5" t="str">
        <f>IFERROR(__xludf.DUMMYFUNCTION("""COMPUTED_VALUE"""),"809🤙🏼Le dîner de cons🤙🏼🤙🏼3")</f>
        <v>809🤙🏼Le dîner de cons🤙🏼🤙🏼3</v>
      </c>
      <c r="K2428" s="5">
        <f>IFERROR(__xludf.DUMMYFUNCTION("SPLiT(J2428, ""🤙🏼"",FALSE,FALSE)"),809.0)</f>
        <v>809</v>
      </c>
      <c r="L2428" s="5" t="str">
        <f>IFERROR(__xludf.DUMMYFUNCTION("""COMPUTED_VALUE"""),"Le dîner de cons")</f>
        <v>Le dîner de cons</v>
      </c>
      <c r="M2428" s="5"/>
      <c r="N2428" s="5">
        <f>IFERROR(__xludf.DUMMYFUNCTION("""COMPUTED_VALUE"""),3.0)</f>
        <v>3</v>
      </c>
      <c r="S2428" s="5">
        <f>IFERROR(__xludf.DUMMYFUNCTION("""COMPUTED_VALUE"""),957.0)</f>
        <v>957</v>
      </c>
      <c r="T2428" s="5" t="str">
        <f>IFERROR(__xludf.DUMMYFUNCTION("""COMPUTED_VALUE"""),"Mulan")</f>
        <v>Mulan</v>
      </c>
      <c r="U2428" s="5" t="str">
        <f>IFERROR(__xludf.DUMMYFUNCTION("""COMPUTED_VALUE"""),"Adventure")</f>
        <v>Adventure</v>
      </c>
      <c r="V2428" s="5">
        <f>IFERROR(__xludf.DUMMYFUNCTION("""COMPUTED_VALUE"""),2.0)</f>
        <v>2</v>
      </c>
    </row>
    <row r="2429">
      <c r="J2429" s="5" t="str">
        <f>IFERROR(__xludf.DUMMYFUNCTION("""COMPUTED_VALUE"""),"810🤙🏼Donnie Brasco🤙🏼Biography🤙🏼1")</f>
        <v>810🤙🏼Donnie Brasco🤙🏼Biography🤙🏼1</v>
      </c>
      <c r="K2429" s="5">
        <f>IFERROR(__xludf.DUMMYFUNCTION("SPLiT(J2429, ""🤙🏼"",FALSE,FALSE)"),810.0)</f>
        <v>810</v>
      </c>
      <c r="L2429" s="5" t="str">
        <f>IFERROR(__xludf.DUMMYFUNCTION("""COMPUTED_VALUE"""),"Donnie Brasco")</f>
        <v>Donnie Brasco</v>
      </c>
      <c r="M2429" s="5" t="str">
        <f>IFERROR(__xludf.DUMMYFUNCTION("""COMPUTED_VALUE"""),"Biography")</f>
        <v>Biography</v>
      </c>
      <c r="N2429" s="5">
        <f>IFERROR(__xludf.DUMMYFUNCTION("""COMPUTED_VALUE"""),1.0)</f>
        <v>1</v>
      </c>
      <c r="S2429" s="5">
        <f>IFERROR(__xludf.DUMMYFUNCTION("""COMPUTED_VALUE"""),957.0)</f>
        <v>957</v>
      </c>
      <c r="T2429" s="5" t="str">
        <f>IFERROR(__xludf.DUMMYFUNCTION("""COMPUTED_VALUE"""),"Mulan")</f>
        <v>Mulan</v>
      </c>
      <c r="U2429" s="5" t="str">
        <f>IFERROR(__xludf.DUMMYFUNCTION("""COMPUTED_VALUE"""),"Family")</f>
        <v>Family</v>
      </c>
      <c r="V2429" s="5">
        <f>IFERROR(__xludf.DUMMYFUNCTION("""COMPUTED_VALUE"""),3.0)</f>
        <v>3</v>
      </c>
    </row>
    <row r="2430">
      <c r="J2430" s="5" t="str">
        <f>IFERROR(__xludf.DUMMYFUNCTION("""COMPUTED_VALUE"""),"810🤙🏼Donnie Brasco🤙🏼Crime🤙🏼2")</f>
        <v>810🤙🏼Donnie Brasco🤙🏼Crime🤙🏼2</v>
      </c>
      <c r="K2430" s="5">
        <f>IFERROR(__xludf.DUMMYFUNCTION("SPLiT(J2430, ""🤙🏼"",FALSE,FALSE)"),810.0)</f>
        <v>810</v>
      </c>
      <c r="L2430" s="5" t="str">
        <f>IFERROR(__xludf.DUMMYFUNCTION("""COMPUTED_VALUE"""),"Donnie Brasco")</f>
        <v>Donnie Brasco</v>
      </c>
      <c r="M2430" s="5" t="str">
        <f>IFERROR(__xludf.DUMMYFUNCTION("""COMPUTED_VALUE"""),"Crime")</f>
        <v>Crime</v>
      </c>
      <c r="N2430" s="5">
        <f>IFERROR(__xludf.DUMMYFUNCTION("""COMPUTED_VALUE"""),2.0)</f>
        <v>2</v>
      </c>
      <c r="S2430" s="5">
        <f>IFERROR(__xludf.DUMMYFUNCTION("""COMPUTED_VALUE"""),958.0)</f>
        <v>958</v>
      </c>
      <c r="T2430" s="5" t="str">
        <f>IFERROR(__xludf.DUMMYFUNCTION("""COMPUTED_VALUE"""),"Fear and Loathing in Las Vegas")</f>
        <v>Fear and Loathing in Las Vegas</v>
      </c>
      <c r="U2430" s="5" t="str">
        <f>IFERROR(__xludf.DUMMYFUNCTION("""COMPUTED_VALUE"""),"Adventure")</f>
        <v>Adventure</v>
      </c>
      <c r="V2430" s="5">
        <f>IFERROR(__xludf.DUMMYFUNCTION("""COMPUTED_VALUE"""),1.0)</f>
        <v>1</v>
      </c>
    </row>
    <row r="2431">
      <c r="J2431" s="5" t="str">
        <f>IFERROR(__xludf.DUMMYFUNCTION("""COMPUTED_VALUE"""),"810🤙🏼Donnie Brasco🤙🏼Drama🤙🏼3")</f>
        <v>810🤙🏼Donnie Brasco🤙🏼Drama🤙🏼3</v>
      </c>
      <c r="K2431" s="5">
        <f>IFERROR(__xludf.DUMMYFUNCTION("SPLiT(J2431, ""🤙🏼"",FALSE,FALSE)"),810.0)</f>
        <v>810</v>
      </c>
      <c r="L2431" s="5" t="str">
        <f>IFERROR(__xludf.DUMMYFUNCTION("""COMPUTED_VALUE"""),"Donnie Brasco")</f>
        <v>Donnie Brasco</v>
      </c>
      <c r="M2431" s="5" t="str">
        <f>IFERROR(__xludf.DUMMYFUNCTION("""COMPUTED_VALUE"""),"Drama")</f>
        <v>Drama</v>
      </c>
      <c r="N2431" s="5">
        <f>IFERROR(__xludf.DUMMYFUNCTION("""COMPUTED_VALUE"""),3.0)</f>
        <v>3</v>
      </c>
      <c r="S2431" s="5">
        <f>IFERROR(__xludf.DUMMYFUNCTION("""COMPUTED_VALUE"""),958.0)</f>
        <v>958</v>
      </c>
      <c r="T2431" s="5" t="str">
        <f>IFERROR(__xludf.DUMMYFUNCTION("""COMPUTED_VALUE"""),"Fear and Loathing in Las Vegas")</f>
        <v>Fear and Loathing in Las Vegas</v>
      </c>
      <c r="U2431" s="5" t="str">
        <f>IFERROR(__xludf.DUMMYFUNCTION("""COMPUTED_VALUE"""),"Comedy")</f>
        <v>Comedy</v>
      </c>
      <c r="V2431" s="5">
        <f>IFERROR(__xludf.DUMMYFUNCTION("""COMPUTED_VALUE"""),2.0)</f>
        <v>2</v>
      </c>
    </row>
    <row r="2432">
      <c r="J2432" s="5" t="str">
        <f>IFERROR(__xludf.DUMMYFUNCTION("""COMPUTED_VALUE"""),"811🤙🏼Shine🤙🏼Biography🤙🏼1")</f>
        <v>811🤙🏼Shine🤙🏼Biography🤙🏼1</v>
      </c>
      <c r="K2432" s="5">
        <f>IFERROR(__xludf.DUMMYFUNCTION("SPLiT(J2432, ""🤙🏼"",FALSE,FALSE)"),811.0)</f>
        <v>811</v>
      </c>
      <c r="L2432" s="5" t="str">
        <f>IFERROR(__xludf.DUMMYFUNCTION("""COMPUTED_VALUE"""),"Shine")</f>
        <v>Shine</v>
      </c>
      <c r="M2432" s="5" t="str">
        <f>IFERROR(__xludf.DUMMYFUNCTION("""COMPUTED_VALUE"""),"Biography")</f>
        <v>Biography</v>
      </c>
      <c r="N2432" s="5">
        <f>IFERROR(__xludf.DUMMYFUNCTION("""COMPUTED_VALUE"""),1.0)</f>
        <v>1</v>
      </c>
      <c r="S2432" s="5">
        <f>IFERROR(__xludf.DUMMYFUNCTION("""COMPUTED_VALUE"""),958.0)</f>
        <v>958</v>
      </c>
      <c r="T2432" s="5" t="str">
        <f>IFERROR(__xludf.DUMMYFUNCTION("""COMPUTED_VALUE"""),"Fear and Loathing in Las Vegas")</f>
        <v>Fear and Loathing in Las Vegas</v>
      </c>
      <c r="U2432" s="5" t="str">
        <f>IFERROR(__xludf.DUMMYFUNCTION("""COMPUTED_VALUE"""),"Drama")</f>
        <v>Drama</v>
      </c>
      <c r="V2432" s="5">
        <f>IFERROR(__xludf.DUMMYFUNCTION("""COMPUTED_VALUE"""),3.0)</f>
        <v>3</v>
      </c>
    </row>
    <row r="2433">
      <c r="J2433" s="5" t="str">
        <f>IFERROR(__xludf.DUMMYFUNCTION("""COMPUTED_VALUE"""),"811🤙🏼Shine🤙🏼Drama🤙🏼2")</f>
        <v>811🤙🏼Shine🤙🏼Drama🤙🏼2</v>
      </c>
      <c r="K2433" s="5">
        <f>IFERROR(__xludf.DUMMYFUNCTION("SPLiT(J2433, ""🤙🏼"",FALSE,FALSE)"),811.0)</f>
        <v>811</v>
      </c>
      <c r="L2433" s="5" t="str">
        <f>IFERROR(__xludf.DUMMYFUNCTION("""COMPUTED_VALUE"""),"Shine")</f>
        <v>Shine</v>
      </c>
      <c r="M2433" s="5" t="str">
        <f>IFERROR(__xludf.DUMMYFUNCTION("""COMPUTED_VALUE"""),"Drama")</f>
        <v>Drama</v>
      </c>
      <c r="N2433" s="5">
        <f>IFERROR(__xludf.DUMMYFUNCTION("""COMPUTED_VALUE"""),2.0)</f>
        <v>2</v>
      </c>
      <c r="S2433" s="5">
        <f>IFERROR(__xludf.DUMMYFUNCTION("""COMPUTED_VALUE"""),959.0)</f>
        <v>959</v>
      </c>
      <c r="T2433" s="5" t="str">
        <f>IFERROR(__xludf.DUMMYFUNCTION("""COMPUTED_VALUE"""),"Funny Games")</f>
        <v>Funny Games</v>
      </c>
      <c r="U2433" s="5" t="str">
        <f>IFERROR(__xludf.DUMMYFUNCTION("""COMPUTED_VALUE"""),"Crime")</f>
        <v>Crime</v>
      </c>
      <c r="V2433" s="5">
        <f>IFERROR(__xludf.DUMMYFUNCTION("""COMPUTED_VALUE"""),1.0)</f>
        <v>1</v>
      </c>
    </row>
    <row r="2434">
      <c r="J2434" s="5" t="str">
        <f>IFERROR(__xludf.DUMMYFUNCTION("""COMPUTED_VALUE"""),"811🤙🏼Shine🤙🏼Music🤙🏼3")</f>
        <v>811🤙🏼Shine🤙🏼Music🤙🏼3</v>
      </c>
      <c r="K2434" s="5">
        <f>IFERROR(__xludf.DUMMYFUNCTION("SPLiT(J2434, ""🤙🏼"",FALSE,FALSE)"),811.0)</f>
        <v>811</v>
      </c>
      <c r="L2434" s="5" t="str">
        <f>IFERROR(__xludf.DUMMYFUNCTION("""COMPUTED_VALUE"""),"Shine")</f>
        <v>Shine</v>
      </c>
      <c r="M2434" s="5" t="str">
        <f>IFERROR(__xludf.DUMMYFUNCTION("""COMPUTED_VALUE"""),"Music")</f>
        <v>Music</v>
      </c>
      <c r="N2434" s="5">
        <f>IFERROR(__xludf.DUMMYFUNCTION("""COMPUTED_VALUE"""),3.0)</f>
        <v>3</v>
      </c>
      <c r="S2434" s="5">
        <f>IFERROR(__xludf.DUMMYFUNCTION("""COMPUTED_VALUE"""),959.0)</f>
        <v>959</v>
      </c>
      <c r="T2434" s="5" t="str">
        <f>IFERROR(__xludf.DUMMYFUNCTION("""COMPUTED_VALUE"""),"Funny Games")</f>
        <v>Funny Games</v>
      </c>
      <c r="U2434" s="5" t="str">
        <f>IFERROR(__xludf.DUMMYFUNCTION("""COMPUTED_VALUE"""),"Drama")</f>
        <v>Drama</v>
      </c>
      <c r="V2434" s="5">
        <f>IFERROR(__xludf.DUMMYFUNCTION("""COMPUTED_VALUE"""),2.0)</f>
        <v>2</v>
      </c>
    </row>
    <row r="2435">
      <c r="J2435" s="5" t="str">
        <f>IFERROR(__xludf.DUMMYFUNCTION("""COMPUTED_VALUE"""),"812🤙🏼Primal Fear🤙🏼Crime🤙🏼1")</f>
        <v>812🤙🏼Primal Fear🤙🏼Crime🤙🏼1</v>
      </c>
      <c r="K2435" s="5">
        <f>IFERROR(__xludf.DUMMYFUNCTION("SPLiT(J2435, ""🤙🏼"",FALSE,FALSE)"),812.0)</f>
        <v>812</v>
      </c>
      <c r="L2435" s="5" t="str">
        <f>IFERROR(__xludf.DUMMYFUNCTION("""COMPUTED_VALUE"""),"Primal Fear")</f>
        <v>Primal Fear</v>
      </c>
      <c r="M2435" s="5" t="str">
        <f>IFERROR(__xludf.DUMMYFUNCTION("""COMPUTED_VALUE"""),"Crime")</f>
        <v>Crime</v>
      </c>
      <c r="N2435" s="5">
        <f>IFERROR(__xludf.DUMMYFUNCTION("""COMPUTED_VALUE"""),1.0)</f>
        <v>1</v>
      </c>
      <c r="S2435" s="5">
        <f>IFERROR(__xludf.DUMMYFUNCTION("""COMPUTED_VALUE"""),959.0)</f>
        <v>959</v>
      </c>
      <c r="T2435" s="5" t="str">
        <f>IFERROR(__xludf.DUMMYFUNCTION("""COMPUTED_VALUE"""),"Funny Games")</f>
        <v>Funny Games</v>
      </c>
      <c r="U2435" s="5" t="str">
        <f>IFERROR(__xludf.DUMMYFUNCTION("""COMPUTED_VALUE"""),"Thriller")</f>
        <v>Thriller</v>
      </c>
      <c r="V2435" s="5">
        <f>IFERROR(__xludf.DUMMYFUNCTION("""COMPUTED_VALUE"""),3.0)</f>
        <v>3</v>
      </c>
    </row>
    <row r="2436">
      <c r="J2436" s="5" t="str">
        <f>IFERROR(__xludf.DUMMYFUNCTION("""COMPUTED_VALUE"""),"812🤙🏼Primal Fear🤙🏼Drama🤙🏼2")</f>
        <v>812🤙🏼Primal Fear🤙🏼Drama🤙🏼2</v>
      </c>
      <c r="K2436" s="5">
        <f>IFERROR(__xludf.DUMMYFUNCTION("SPLiT(J2436, ""🤙🏼"",FALSE,FALSE)"),812.0)</f>
        <v>812</v>
      </c>
      <c r="L2436" s="5" t="str">
        <f>IFERROR(__xludf.DUMMYFUNCTION("""COMPUTED_VALUE"""),"Primal Fear")</f>
        <v>Primal Fear</v>
      </c>
      <c r="M2436" s="5" t="str">
        <f>IFERROR(__xludf.DUMMYFUNCTION("""COMPUTED_VALUE"""),"Drama")</f>
        <v>Drama</v>
      </c>
      <c r="N2436" s="5">
        <f>IFERROR(__xludf.DUMMYFUNCTION("""COMPUTED_VALUE"""),2.0)</f>
        <v>2</v>
      </c>
      <c r="S2436" s="5">
        <f>IFERROR(__xludf.DUMMYFUNCTION("""COMPUTED_VALUE"""),960.0)</f>
        <v>960</v>
      </c>
      <c r="T2436" s="5" t="str">
        <f>IFERROR(__xludf.DUMMYFUNCTION("""COMPUTED_VALUE"""),"Dark City")</f>
        <v>Dark City</v>
      </c>
      <c r="U2436" s="5" t="str">
        <f>IFERROR(__xludf.DUMMYFUNCTION("""COMPUTED_VALUE"""),"Mystery")</f>
        <v>Mystery</v>
      </c>
      <c r="V2436" s="5">
        <f>IFERROR(__xludf.DUMMYFUNCTION("""COMPUTED_VALUE"""),1.0)</f>
        <v>1</v>
      </c>
    </row>
    <row r="2437">
      <c r="J2437" s="5" t="str">
        <f>IFERROR(__xludf.DUMMYFUNCTION("""COMPUTED_VALUE"""),"812🤙🏼Primal Fear🤙🏼Mystery🤙🏼3")</f>
        <v>812🤙🏼Primal Fear🤙🏼Mystery🤙🏼3</v>
      </c>
      <c r="K2437" s="5">
        <f>IFERROR(__xludf.DUMMYFUNCTION("SPLiT(J2437, ""🤙🏼"",FALSE,FALSE)"),812.0)</f>
        <v>812</v>
      </c>
      <c r="L2437" s="5" t="str">
        <f>IFERROR(__xludf.DUMMYFUNCTION("""COMPUTED_VALUE"""),"Primal Fear")</f>
        <v>Primal Fear</v>
      </c>
      <c r="M2437" s="5" t="str">
        <f>IFERROR(__xludf.DUMMYFUNCTION("""COMPUTED_VALUE"""),"Mystery")</f>
        <v>Mystery</v>
      </c>
      <c r="N2437" s="5">
        <f>IFERROR(__xludf.DUMMYFUNCTION("""COMPUTED_VALUE"""),3.0)</f>
        <v>3</v>
      </c>
      <c r="S2437" s="5">
        <f>IFERROR(__xludf.DUMMYFUNCTION("""COMPUTED_VALUE"""),960.0)</f>
        <v>960</v>
      </c>
      <c r="T2437" s="5" t="str">
        <f>IFERROR(__xludf.DUMMYFUNCTION("""COMPUTED_VALUE"""),"Dark City")</f>
        <v>Dark City</v>
      </c>
      <c r="U2437" s="5" t="str">
        <f>IFERROR(__xludf.DUMMYFUNCTION("""COMPUTED_VALUE"""),"Sci-Fi")</f>
        <v>Sci-Fi</v>
      </c>
      <c r="V2437" s="5">
        <f>IFERROR(__xludf.DUMMYFUNCTION("""COMPUTED_VALUE"""),2.0)</f>
        <v>2</v>
      </c>
    </row>
    <row r="2438">
      <c r="J2438" s="5" t="str">
        <f>IFERROR(__xludf.DUMMYFUNCTION("""COMPUTED_VALUE"""),"813🤙🏼Hamlet🤙🏼Drama🤙🏼1")</f>
        <v>813🤙🏼Hamlet🤙🏼Drama🤙🏼1</v>
      </c>
      <c r="K2438" s="5">
        <f>IFERROR(__xludf.DUMMYFUNCTION("SPLiT(J2438, ""🤙🏼"",FALSE,FALSE)"),813.0)</f>
        <v>813</v>
      </c>
      <c r="L2438" s="5" t="str">
        <f>IFERROR(__xludf.DUMMYFUNCTION("""COMPUTED_VALUE"""),"Hamlet")</f>
        <v>Hamlet</v>
      </c>
      <c r="M2438" s="5" t="str">
        <f>IFERROR(__xludf.DUMMYFUNCTION("""COMPUTED_VALUE"""),"Drama")</f>
        <v>Drama</v>
      </c>
      <c r="N2438" s="5">
        <f>IFERROR(__xludf.DUMMYFUNCTION("""COMPUTED_VALUE"""),1.0)</f>
        <v>1</v>
      </c>
      <c r="S2438" s="5">
        <f>IFERROR(__xludf.DUMMYFUNCTION("""COMPUTED_VALUE"""),960.0)</f>
        <v>960</v>
      </c>
      <c r="T2438" s="5" t="str">
        <f>IFERROR(__xludf.DUMMYFUNCTION("""COMPUTED_VALUE"""),"Dark City")</f>
        <v>Dark City</v>
      </c>
      <c r="U2438" s="5" t="str">
        <f>IFERROR(__xludf.DUMMYFUNCTION("""COMPUTED_VALUE"""),"Thriller")</f>
        <v>Thriller</v>
      </c>
      <c r="V2438" s="5">
        <f>IFERROR(__xludf.DUMMYFUNCTION("""COMPUTED_VALUE"""),3.0)</f>
        <v>3</v>
      </c>
    </row>
    <row r="2439">
      <c r="J2439" s="5" t="str">
        <f>IFERROR(__xludf.DUMMYFUNCTION("""COMPUTED_VALUE"""),"813🤙🏼Hamlet🤙🏼🤙🏼2")</f>
        <v>813🤙🏼Hamlet🤙🏼🤙🏼2</v>
      </c>
      <c r="K2439" s="5">
        <f>IFERROR(__xludf.DUMMYFUNCTION("SPLiT(J2439, ""🤙🏼"",FALSE,FALSE)"),813.0)</f>
        <v>813</v>
      </c>
      <c r="L2439" s="5" t="str">
        <f>IFERROR(__xludf.DUMMYFUNCTION("""COMPUTED_VALUE"""),"Hamlet")</f>
        <v>Hamlet</v>
      </c>
      <c r="M2439" s="5"/>
      <c r="N2439" s="5">
        <f>IFERROR(__xludf.DUMMYFUNCTION("""COMPUTED_VALUE"""),2.0)</f>
        <v>2</v>
      </c>
      <c r="S2439" s="5">
        <f>IFERROR(__xludf.DUMMYFUNCTION("""COMPUTED_VALUE"""),961.0)</f>
        <v>961</v>
      </c>
      <c r="T2439" s="5" t="str">
        <f>IFERROR(__xludf.DUMMYFUNCTION("""COMPUTED_VALUE"""),"Sleepers")</f>
        <v>Sleepers</v>
      </c>
      <c r="U2439" s="5" t="str">
        <f>IFERROR(__xludf.DUMMYFUNCTION("""COMPUTED_VALUE"""),"Crime")</f>
        <v>Crime</v>
      </c>
      <c r="V2439" s="5">
        <f>IFERROR(__xludf.DUMMYFUNCTION("""COMPUTED_VALUE"""),1.0)</f>
        <v>1</v>
      </c>
    </row>
    <row r="2440">
      <c r="J2440" s="5" t="str">
        <f>IFERROR(__xludf.DUMMYFUNCTION("""COMPUTED_VALUE"""),"813🤙🏼Hamlet🤙🏼🤙🏼3")</f>
        <v>813🤙🏼Hamlet🤙🏼🤙🏼3</v>
      </c>
      <c r="K2440" s="5">
        <f>IFERROR(__xludf.DUMMYFUNCTION("SPLiT(J2440, ""🤙🏼"",FALSE,FALSE)"),813.0)</f>
        <v>813</v>
      </c>
      <c r="L2440" s="5" t="str">
        <f>IFERROR(__xludf.DUMMYFUNCTION("""COMPUTED_VALUE"""),"Hamlet")</f>
        <v>Hamlet</v>
      </c>
      <c r="M2440" s="5"/>
      <c r="N2440" s="5">
        <f>IFERROR(__xludf.DUMMYFUNCTION("""COMPUTED_VALUE"""),3.0)</f>
        <v>3</v>
      </c>
      <c r="S2440" s="5">
        <f>IFERROR(__xludf.DUMMYFUNCTION("""COMPUTED_VALUE"""),961.0)</f>
        <v>961</v>
      </c>
      <c r="T2440" s="5" t="str">
        <f>IFERROR(__xludf.DUMMYFUNCTION("""COMPUTED_VALUE"""),"Sleepers")</f>
        <v>Sleepers</v>
      </c>
      <c r="U2440" s="5" t="str">
        <f>IFERROR(__xludf.DUMMYFUNCTION("""COMPUTED_VALUE"""),"Drama")</f>
        <v>Drama</v>
      </c>
      <c r="V2440" s="5">
        <f>IFERROR(__xludf.DUMMYFUNCTION("""COMPUTED_VALUE"""),2.0)</f>
        <v>2</v>
      </c>
    </row>
    <row r="2441">
      <c r="J2441" s="5" t="str">
        <f>IFERROR(__xludf.DUMMYFUNCTION("""COMPUTED_VALUE"""),"814🤙🏼A Little Princess🤙🏼Drama🤙🏼1")</f>
        <v>814🤙🏼A Little Princess🤙🏼Drama🤙🏼1</v>
      </c>
      <c r="K2441" s="5">
        <f>IFERROR(__xludf.DUMMYFUNCTION("SPLiT(J2441, ""🤙🏼"",FALSE,FALSE)"),814.0)</f>
        <v>814</v>
      </c>
      <c r="L2441" s="5" t="str">
        <f>IFERROR(__xludf.DUMMYFUNCTION("""COMPUTED_VALUE"""),"A Little Princess")</f>
        <v>A Little Princess</v>
      </c>
      <c r="M2441" s="5" t="str">
        <f>IFERROR(__xludf.DUMMYFUNCTION("""COMPUTED_VALUE"""),"Drama")</f>
        <v>Drama</v>
      </c>
      <c r="N2441" s="5">
        <f>IFERROR(__xludf.DUMMYFUNCTION("""COMPUTED_VALUE"""),1.0)</f>
        <v>1</v>
      </c>
      <c r="S2441" s="5">
        <f>IFERROR(__xludf.DUMMYFUNCTION("""COMPUTED_VALUE"""),961.0)</f>
        <v>961</v>
      </c>
      <c r="T2441" s="5" t="str">
        <f>IFERROR(__xludf.DUMMYFUNCTION("""COMPUTED_VALUE"""),"Sleepers")</f>
        <v>Sleepers</v>
      </c>
      <c r="U2441" s="5" t="str">
        <f>IFERROR(__xludf.DUMMYFUNCTION("""COMPUTED_VALUE"""),"Thriller")</f>
        <v>Thriller</v>
      </c>
      <c r="V2441" s="5">
        <f>IFERROR(__xludf.DUMMYFUNCTION("""COMPUTED_VALUE"""),3.0)</f>
        <v>3</v>
      </c>
    </row>
    <row r="2442">
      <c r="J2442" s="5" t="str">
        <f>IFERROR(__xludf.DUMMYFUNCTION("""COMPUTED_VALUE"""),"814🤙🏼A Little Princess🤙🏼Family🤙🏼2")</f>
        <v>814🤙🏼A Little Princess🤙🏼Family🤙🏼2</v>
      </c>
      <c r="K2442" s="5">
        <f>IFERROR(__xludf.DUMMYFUNCTION("SPLiT(J2442, ""🤙🏼"",FALSE,FALSE)"),814.0)</f>
        <v>814</v>
      </c>
      <c r="L2442" s="5" t="str">
        <f>IFERROR(__xludf.DUMMYFUNCTION("""COMPUTED_VALUE"""),"A Little Princess")</f>
        <v>A Little Princess</v>
      </c>
      <c r="M2442" s="5" t="str">
        <f>IFERROR(__xludf.DUMMYFUNCTION("""COMPUTED_VALUE"""),"Family")</f>
        <v>Family</v>
      </c>
      <c r="N2442" s="5">
        <f>IFERROR(__xludf.DUMMYFUNCTION("""COMPUTED_VALUE"""),2.0)</f>
        <v>2</v>
      </c>
      <c r="S2442" s="5">
        <f>IFERROR(__xludf.DUMMYFUNCTION("""COMPUTED_VALUE"""),962.0)</f>
        <v>962</v>
      </c>
      <c r="T2442" s="5" t="str">
        <f>IFERROR(__xludf.DUMMYFUNCTION("""COMPUTED_VALUE"""),"Lost Highway")</f>
        <v>Lost Highway</v>
      </c>
      <c r="U2442" s="5" t="str">
        <f>IFERROR(__xludf.DUMMYFUNCTION("""COMPUTED_VALUE"""),"Mystery")</f>
        <v>Mystery</v>
      </c>
      <c r="V2442" s="5">
        <f>IFERROR(__xludf.DUMMYFUNCTION("""COMPUTED_VALUE"""),1.0)</f>
        <v>1</v>
      </c>
    </row>
    <row r="2443">
      <c r="J2443" s="5" t="str">
        <f>IFERROR(__xludf.DUMMYFUNCTION("""COMPUTED_VALUE"""),"814🤙🏼A Little Princess🤙🏼Fantasy🤙🏼3")</f>
        <v>814🤙🏼A Little Princess🤙🏼Fantasy🤙🏼3</v>
      </c>
      <c r="K2443" s="5">
        <f>IFERROR(__xludf.DUMMYFUNCTION("SPLiT(J2443, ""🤙🏼"",FALSE,FALSE)"),814.0)</f>
        <v>814</v>
      </c>
      <c r="L2443" s="5" t="str">
        <f>IFERROR(__xludf.DUMMYFUNCTION("""COMPUTED_VALUE"""),"A Little Princess")</f>
        <v>A Little Princess</v>
      </c>
      <c r="M2443" s="5" t="str">
        <f>IFERROR(__xludf.DUMMYFUNCTION("""COMPUTED_VALUE"""),"Fantasy")</f>
        <v>Fantasy</v>
      </c>
      <c r="N2443" s="5">
        <f>IFERROR(__xludf.DUMMYFUNCTION("""COMPUTED_VALUE"""),3.0)</f>
        <v>3</v>
      </c>
      <c r="S2443" s="5">
        <f>IFERROR(__xludf.DUMMYFUNCTION("""COMPUTED_VALUE"""),962.0)</f>
        <v>962</v>
      </c>
      <c r="T2443" s="5" t="str">
        <f>IFERROR(__xludf.DUMMYFUNCTION("""COMPUTED_VALUE"""),"Lost Highway")</f>
        <v>Lost Highway</v>
      </c>
      <c r="U2443" s="5" t="str">
        <f>IFERROR(__xludf.DUMMYFUNCTION("""COMPUTED_VALUE"""),"Thriller")</f>
        <v>Thriller</v>
      </c>
      <c r="V2443" s="5">
        <f>IFERROR(__xludf.DUMMYFUNCTION("""COMPUTED_VALUE"""),2.0)</f>
        <v>2</v>
      </c>
    </row>
    <row r="2444">
      <c r="J2444" s="5" t="str">
        <f>IFERROR(__xludf.DUMMYFUNCTION("""COMPUTED_VALUE"""),"815🤙🏼Do lok tin si🤙🏼Comedy🤙🏼1")</f>
        <v>815🤙🏼Do lok tin si🤙🏼Comedy🤙🏼1</v>
      </c>
      <c r="K2444" s="5">
        <f>IFERROR(__xludf.DUMMYFUNCTION("SPLiT(J2444, ""🤙🏼"",FALSE,FALSE)"),815.0)</f>
        <v>815</v>
      </c>
      <c r="L2444" s="5" t="str">
        <f>IFERROR(__xludf.DUMMYFUNCTION("""COMPUTED_VALUE"""),"Do lok tin si")</f>
        <v>Do lok tin si</v>
      </c>
      <c r="M2444" s="5" t="str">
        <f>IFERROR(__xludf.DUMMYFUNCTION("""COMPUTED_VALUE"""),"Comedy")</f>
        <v>Comedy</v>
      </c>
      <c r="N2444" s="5">
        <f>IFERROR(__xludf.DUMMYFUNCTION("""COMPUTED_VALUE"""),1.0)</f>
        <v>1</v>
      </c>
      <c r="S2444" s="5">
        <f>IFERROR(__xludf.DUMMYFUNCTION("""COMPUTED_VALUE"""),963.0)</f>
        <v>963</v>
      </c>
      <c r="T2444" s="5" t="str">
        <f>IFERROR(__xludf.DUMMYFUNCTION("""COMPUTED_VALUE"""),"Sense and Sensibility")</f>
        <v>Sense and Sensibility</v>
      </c>
      <c r="U2444" s="5" t="str">
        <f>IFERROR(__xludf.DUMMYFUNCTION("""COMPUTED_VALUE"""),"Drama")</f>
        <v>Drama</v>
      </c>
      <c r="V2444" s="5">
        <f>IFERROR(__xludf.DUMMYFUNCTION("""COMPUTED_VALUE"""),1.0)</f>
        <v>1</v>
      </c>
    </row>
    <row r="2445">
      <c r="J2445" s="5" t="str">
        <f>IFERROR(__xludf.DUMMYFUNCTION("""COMPUTED_VALUE"""),"815🤙🏼Do lok tin si🤙🏼Crime🤙🏼2")</f>
        <v>815🤙🏼Do lok tin si🤙🏼Crime🤙🏼2</v>
      </c>
      <c r="K2445" s="5">
        <f>IFERROR(__xludf.DUMMYFUNCTION("SPLiT(J2445, ""🤙🏼"",FALSE,FALSE)"),815.0)</f>
        <v>815</v>
      </c>
      <c r="L2445" s="5" t="str">
        <f>IFERROR(__xludf.DUMMYFUNCTION("""COMPUTED_VALUE"""),"Do lok tin si")</f>
        <v>Do lok tin si</v>
      </c>
      <c r="M2445" s="5" t="str">
        <f>IFERROR(__xludf.DUMMYFUNCTION("""COMPUTED_VALUE"""),"Crime")</f>
        <v>Crime</v>
      </c>
      <c r="N2445" s="5">
        <f>IFERROR(__xludf.DUMMYFUNCTION("""COMPUTED_VALUE"""),2.0)</f>
        <v>2</v>
      </c>
      <c r="S2445" s="5">
        <f>IFERROR(__xludf.DUMMYFUNCTION("""COMPUTED_VALUE"""),963.0)</f>
        <v>963</v>
      </c>
      <c r="T2445" s="5" t="str">
        <f>IFERROR(__xludf.DUMMYFUNCTION("""COMPUTED_VALUE"""),"Sense and Sensibility")</f>
        <v>Sense and Sensibility</v>
      </c>
      <c r="U2445" s="5" t="str">
        <f>IFERROR(__xludf.DUMMYFUNCTION("""COMPUTED_VALUE"""),"Romance")</f>
        <v>Romance</v>
      </c>
      <c r="V2445" s="5">
        <f>IFERROR(__xludf.DUMMYFUNCTION("""COMPUTED_VALUE"""),2.0)</f>
        <v>2</v>
      </c>
    </row>
    <row r="2446">
      <c r="J2446" s="5" t="str">
        <f>IFERROR(__xludf.DUMMYFUNCTION("""COMPUTED_VALUE"""),"815🤙🏼Do lok tin si🤙🏼Drama🤙🏼3")</f>
        <v>815🤙🏼Do lok tin si🤙🏼Drama🤙🏼3</v>
      </c>
      <c r="K2446" s="5">
        <f>IFERROR(__xludf.DUMMYFUNCTION("SPLiT(J2446, ""🤙🏼"",FALSE,FALSE)"),815.0)</f>
        <v>815</v>
      </c>
      <c r="L2446" s="5" t="str">
        <f>IFERROR(__xludf.DUMMYFUNCTION("""COMPUTED_VALUE"""),"Do lok tin si")</f>
        <v>Do lok tin si</v>
      </c>
      <c r="M2446" s="5" t="str">
        <f>IFERROR(__xludf.DUMMYFUNCTION("""COMPUTED_VALUE"""),"Drama")</f>
        <v>Drama</v>
      </c>
      <c r="N2446" s="5">
        <f>IFERROR(__xludf.DUMMYFUNCTION("""COMPUTED_VALUE"""),3.0)</f>
        <v>3</v>
      </c>
      <c r="S2446" s="5">
        <f>IFERROR(__xludf.DUMMYFUNCTION("""COMPUTED_VALUE"""),964.0)</f>
        <v>964</v>
      </c>
      <c r="T2446" s="5" t="str">
        <f>IFERROR(__xludf.DUMMYFUNCTION("""COMPUTED_VALUE"""),"Die Hard: With a Vengeance")</f>
        <v>Die Hard: With a Vengeance</v>
      </c>
      <c r="U2446" s="5" t="str">
        <f>IFERROR(__xludf.DUMMYFUNCTION("""COMPUTED_VALUE"""),"Action")</f>
        <v>Action</v>
      </c>
      <c r="V2446" s="5">
        <f>IFERROR(__xludf.DUMMYFUNCTION("""COMPUTED_VALUE"""),1.0)</f>
        <v>1</v>
      </c>
    </row>
    <row r="2447">
      <c r="J2447" s="5" t="str">
        <f>IFERROR(__xludf.DUMMYFUNCTION("""COMPUTED_VALUE"""),"816🤙🏼Il postino🤙🏼Biography🤙🏼1")</f>
        <v>816🤙🏼Il postino🤙🏼Biography🤙🏼1</v>
      </c>
      <c r="K2447" s="5">
        <f>IFERROR(__xludf.DUMMYFUNCTION("SPLiT(J2447, ""🤙🏼"",FALSE,FALSE)"),816.0)</f>
        <v>816</v>
      </c>
      <c r="L2447" s="5" t="str">
        <f>IFERROR(__xludf.DUMMYFUNCTION("""COMPUTED_VALUE"""),"Il postino")</f>
        <v>Il postino</v>
      </c>
      <c r="M2447" s="5" t="str">
        <f>IFERROR(__xludf.DUMMYFUNCTION("""COMPUTED_VALUE"""),"Biography")</f>
        <v>Biography</v>
      </c>
      <c r="N2447" s="5">
        <f>IFERROR(__xludf.DUMMYFUNCTION("""COMPUTED_VALUE"""),1.0)</f>
        <v>1</v>
      </c>
      <c r="S2447" s="5">
        <f>IFERROR(__xludf.DUMMYFUNCTION("""COMPUTED_VALUE"""),964.0)</f>
        <v>964</v>
      </c>
      <c r="T2447" s="5" t="str">
        <f>IFERROR(__xludf.DUMMYFUNCTION("""COMPUTED_VALUE"""),"Die Hard: With a Vengeance")</f>
        <v>Die Hard: With a Vengeance</v>
      </c>
      <c r="U2447" s="5" t="str">
        <f>IFERROR(__xludf.DUMMYFUNCTION("""COMPUTED_VALUE"""),"Adventure")</f>
        <v>Adventure</v>
      </c>
      <c r="V2447" s="5">
        <f>IFERROR(__xludf.DUMMYFUNCTION("""COMPUTED_VALUE"""),2.0)</f>
        <v>2</v>
      </c>
    </row>
    <row r="2448">
      <c r="J2448" s="5" t="str">
        <f>IFERROR(__xludf.DUMMYFUNCTION("""COMPUTED_VALUE"""),"816🤙🏼Il postino🤙🏼Comedy🤙🏼2")</f>
        <v>816🤙🏼Il postino🤙🏼Comedy🤙🏼2</v>
      </c>
      <c r="K2448" s="5">
        <f>IFERROR(__xludf.DUMMYFUNCTION("SPLiT(J2448, ""🤙🏼"",FALSE,FALSE)"),816.0)</f>
        <v>816</v>
      </c>
      <c r="L2448" s="5" t="str">
        <f>IFERROR(__xludf.DUMMYFUNCTION("""COMPUTED_VALUE"""),"Il postino")</f>
        <v>Il postino</v>
      </c>
      <c r="M2448" s="5" t="str">
        <f>IFERROR(__xludf.DUMMYFUNCTION("""COMPUTED_VALUE"""),"Comedy")</f>
        <v>Comedy</v>
      </c>
      <c r="N2448" s="5">
        <f>IFERROR(__xludf.DUMMYFUNCTION("""COMPUTED_VALUE"""),2.0)</f>
        <v>2</v>
      </c>
      <c r="S2448" s="5">
        <f>IFERROR(__xludf.DUMMYFUNCTION("""COMPUTED_VALUE"""),964.0)</f>
        <v>964</v>
      </c>
      <c r="T2448" s="5" t="str">
        <f>IFERROR(__xludf.DUMMYFUNCTION("""COMPUTED_VALUE"""),"Die Hard: With a Vengeance")</f>
        <v>Die Hard: With a Vengeance</v>
      </c>
      <c r="U2448" s="5" t="str">
        <f>IFERROR(__xludf.DUMMYFUNCTION("""COMPUTED_VALUE"""),"Thriller")</f>
        <v>Thriller</v>
      </c>
      <c r="V2448" s="5">
        <f>IFERROR(__xludf.DUMMYFUNCTION("""COMPUTED_VALUE"""),3.0)</f>
        <v>3</v>
      </c>
    </row>
    <row r="2449">
      <c r="J2449" s="5" t="str">
        <f>IFERROR(__xludf.DUMMYFUNCTION("""COMPUTED_VALUE"""),"816🤙🏼Il postino🤙🏼Drama🤙🏼3")</f>
        <v>816🤙🏼Il postino🤙🏼Drama🤙🏼3</v>
      </c>
      <c r="K2449" s="5">
        <f>IFERROR(__xludf.DUMMYFUNCTION("SPLiT(J2449, ""🤙🏼"",FALSE,FALSE)"),816.0)</f>
        <v>816</v>
      </c>
      <c r="L2449" s="5" t="str">
        <f>IFERROR(__xludf.DUMMYFUNCTION("""COMPUTED_VALUE"""),"Il postino")</f>
        <v>Il postino</v>
      </c>
      <c r="M2449" s="5" t="str">
        <f>IFERROR(__xludf.DUMMYFUNCTION("""COMPUTED_VALUE"""),"Drama")</f>
        <v>Drama</v>
      </c>
      <c r="N2449" s="5">
        <f>IFERROR(__xludf.DUMMYFUNCTION("""COMPUTED_VALUE"""),3.0)</f>
        <v>3</v>
      </c>
      <c r="S2449" s="5">
        <f>IFERROR(__xludf.DUMMYFUNCTION("""COMPUTED_VALUE"""),965.0)</f>
        <v>965</v>
      </c>
      <c r="T2449" s="5" t="str">
        <f>IFERROR(__xludf.DUMMYFUNCTION("""COMPUTED_VALUE"""),"Dead Man")</f>
        <v>Dead Man</v>
      </c>
      <c r="U2449" s="5" t="str">
        <f>IFERROR(__xludf.DUMMYFUNCTION("""COMPUTED_VALUE"""),"Adventure")</f>
        <v>Adventure</v>
      </c>
      <c r="V2449" s="5">
        <f>IFERROR(__xludf.DUMMYFUNCTION("""COMPUTED_VALUE"""),1.0)</f>
        <v>1</v>
      </c>
    </row>
    <row r="2450">
      <c r="J2450" s="5" t="str">
        <f>IFERROR(__xludf.DUMMYFUNCTION("""COMPUTED_VALUE"""),"817🤙🏼Clerks🤙🏼Comedy🤙🏼1")</f>
        <v>817🤙🏼Clerks🤙🏼Comedy🤙🏼1</v>
      </c>
      <c r="K2450" s="5">
        <f>IFERROR(__xludf.DUMMYFUNCTION("SPLiT(J2450, ""🤙🏼"",FALSE,FALSE)"),817.0)</f>
        <v>817</v>
      </c>
      <c r="L2450" s="5" t="str">
        <f>IFERROR(__xludf.DUMMYFUNCTION("""COMPUTED_VALUE"""),"Clerks")</f>
        <v>Clerks</v>
      </c>
      <c r="M2450" s="5" t="str">
        <f>IFERROR(__xludf.DUMMYFUNCTION("""COMPUTED_VALUE"""),"Comedy")</f>
        <v>Comedy</v>
      </c>
      <c r="N2450" s="5">
        <f>IFERROR(__xludf.DUMMYFUNCTION("""COMPUTED_VALUE"""),1.0)</f>
        <v>1</v>
      </c>
      <c r="S2450" s="5">
        <f>IFERROR(__xludf.DUMMYFUNCTION("""COMPUTED_VALUE"""),965.0)</f>
        <v>965</v>
      </c>
      <c r="T2450" s="5" t="str">
        <f>IFERROR(__xludf.DUMMYFUNCTION("""COMPUTED_VALUE"""),"Dead Man")</f>
        <v>Dead Man</v>
      </c>
      <c r="U2450" s="5" t="str">
        <f>IFERROR(__xludf.DUMMYFUNCTION("""COMPUTED_VALUE"""),"Drama")</f>
        <v>Drama</v>
      </c>
      <c r="V2450" s="5">
        <f>IFERROR(__xludf.DUMMYFUNCTION("""COMPUTED_VALUE"""),2.0)</f>
        <v>2</v>
      </c>
    </row>
    <row r="2451">
      <c r="J2451" s="5" t="str">
        <f>IFERROR(__xludf.DUMMYFUNCTION("""COMPUTED_VALUE"""),"817🤙🏼Clerks🤙🏼🤙🏼2")</f>
        <v>817🤙🏼Clerks🤙🏼🤙🏼2</v>
      </c>
      <c r="K2451" s="5">
        <f>IFERROR(__xludf.DUMMYFUNCTION("SPLiT(J2451, ""🤙🏼"",FALSE,FALSE)"),817.0)</f>
        <v>817</v>
      </c>
      <c r="L2451" s="5" t="str">
        <f>IFERROR(__xludf.DUMMYFUNCTION("""COMPUTED_VALUE"""),"Clerks")</f>
        <v>Clerks</v>
      </c>
      <c r="M2451" s="5"/>
      <c r="N2451" s="5">
        <f>IFERROR(__xludf.DUMMYFUNCTION("""COMPUTED_VALUE"""),2.0)</f>
        <v>2</v>
      </c>
      <c r="S2451" s="5">
        <f>IFERROR(__xludf.DUMMYFUNCTION("""COMPUTED_VALUE"""),965.0)</f>
        <v>965</v>
      </c>
      <c r="T2451" s="5" t="str">
        <f>IFERROR(__xludf.DUMMYFUNCTION("""COMPUTED_VALUE"""),"Dead Man")</f>
        <v>Dead Man</v>
      </c>
      <c r="U2451" s="5" t="str">
        <f>IFERROR(__xludf.DUMMYFUNCTION("""COMPUTED_VALUE"""),"Fantasy")</f>
        <v>Fantasy</v>
      </c>
      <c r="V2451" s="5">
        <f>IFERROR(__xludf.DUMMYFUNCTION("""COMPUTED_VALUE"""),3.0)</f>
        <v>3</v>
      </c>
    </row>
    <row r="2452">
      <c r="J2452" s="5" t="str">
        <f>IFERROR(__xludf.DUMMYFUNCTION("""COMPUTED_VALUE"""),"817🤙🏼Clerks🤙🏼🤙🏼3")</f>
        <v>817🤙🏼Clerks🤙🏼🤙🏼3</v>
      </c>
      <c r="K2452" s="5">
        <f>IFERROR(__xludf.DUMMYFUNCTION("SPLiT(J2452, ""🤙🏼"",FALSE,FALSE)"),817.0)</f>
        <v>817</v>
      </c>
      <c r="L2452" s="5" t="str">
        <f>IFERROR(__xludf.DUMMYFUNCTION("""COMPUTED_VALUE"""),"Clerks")</f>
        <v>Clerks</v>
      </c>
      <c r="M2452" s="5"/>
      <c r="N2452" s="5">
        <f>IFERROR(__xludf.DUMMYFUNCTION("""COMPUTED_VALUE"""),3.0)</f>
        <v>3</v>
      </c>
      <c r="S2452" s="5">
        <f>IFERROR(__xludf.DUMMYFUNCTION("""COMPUTED_VALUE"""),966.0)</f>
        <v>966</v>
      </c>
      <c r="T2452" s="5" t="str">
        <f>IFERROR(__xludf.DUMMYFUNCTION("""COMPUTED_VALUE"""),"The Bridges of Madison County")</f>
        <v>The Bridges of Madison County</v>
      </c>
      <c r="U2452" s="5" t="str">
        <f>IFERROR(__xludf.DUMMYFUNCTION("""COMPUTED_VALUE"""),"Drama")</f>
        <v>Drama</v>
      </c>
      <c r="V2452" s="5">
        <f>IFERROR(__xludf.DUMMYFUNCTION("""COMPUTED_VALUE"""),1.0)</f>
        <v>1</v>
      </c>
    </row>
    <row r="2453">
      <c r="J2453" s="5" t="str">
        <f>IFERROR(__xludf.DUMMYFUNCTION("""COMPUTED_VALUE"""),"818🤙🏼Short Cuts🤙🏼Comedy🤙🏼1")</f>
        <v>818🤙🏼Short Cuts🤙🏼Comedy🤙🏼1</v>
      </c>
      <c r="K2453" s="5">
        <f>IFERROR(__xludf.DUMMYFUNCTION("SPLiT(J2453, ""🤙🏼"",FALSE,FALSE)"),818.0)</f>
        <v>818</v>
      </c>
      <c r="L2453" s="5" t="str">
        <f>IFERROR(__xludf.DUMMYFUNCTION("""COMPUTED_VALUE"""),"Short Cuts")</f>
        <v>Short Cuts</v>
      </c>
      <c r="M2453" s="5" t="str">
        <f>IFERROR(__xludf.DUMMYFUNCTION("""COMPUTED_VALUE"""),"Comedy")</f>
        <v>Comedy</v>
      </c>
      <c r="N2453" s="5">
        <f>IFERROR(__xludf.DUMMYFUNCTION("""COMPUTED_VALUE"""),1.0)</f>
        <v>1</v>
      </c>
      <c r="S2453" s="5">
        <f>IFERROR(__xludf.DUMMYFUNCTION("""COMPUTED_VALUE"""),966.0)</f>
        <v>966</v>
      </c>
      <c r="T2453" s="5" t="str">
        <f>IFERROR(__xludf.DUMMYFUNCTION("""COMPUTED_VALUE"""),"The Bridges of Madison County")</f>
        <v>The Bridges of Madison County</v>
      </c>
      <c r="U2453" s="5" t="str">
        <f>IFERROR(__xludf.DUMMYFUNCTION("""COMPUTED_VALUE"""),"Romance")</f>
        <v>Romance</v>
      </c>
      <c r="V2453" s="5">
        <f>IFERROR(__xludf.DUMMYFUNCTION("""COMPUTED_VALUE"""),2.0)</f>
        <v>2</v>
      </c>
    </row>
    <row r="2454">
      <c r="J2454" s="5" t="str">
        <f>IFERROR(__xludf.DUMMYFUNCTION("""COMPUTED_VALUE"""),"818🤙🏼Short Cuts🤙🏼Drama🤙🏼2")</f>
        <v>818🤙🏼Short Cuts🤙🏼Drama🤙🏼2</v>
      </c>
      <c r="K2454" s="5">
        <f>IFERROR(__xludf.DUMMYFUNCTION("SPLiT(J2454, ""🤙🏼"",FALSE,FALSE)"),818.0)</f>
        <v>818</v>
      </c>
      <c r="L2454" s="5" t="str">
        <f>IFERROR(__xludf.DUMMYFUNCTION("""COMPUTED_VALUE"""),"Short Cuts")</f>
        <v>Short Cuts</v>
      </c>
      <c r="M2454" s="5" t="str">
        <f>IFERROR(__xludf.DUMMYFUNCTION("""COMPUTED_VALUE"""),"Drama")</f>
        <v>Drama</v>
      </c>
      <c r="N2454" s="5">
        <f>IFERROR(__xludf.DUMMYFUNCTION("""COMPUTED_VALUE"""),2.0)</f>
        <v>2</v>
      </c>
      <c r="S2454" s="5">
        <f>IFERROR(__xludf.DUMMYFUNCTION("""COMPUTED_VALUE"""),967.0)</f>
        <v>967</v>
      </c>
      <c r="T2454" s="5" t="str">
        <f>IFERROR(__xludf.DUMMYFUNCTION("""COMPUTED_VALUE"""),"Apollo 13")</f>
        <v>Apollo 13</v>
      </c>
      <c r="U2454" s="5" t="str">
        <f>IFERROR(__xludf.DUMMYFUNCTION("""COMPUTED_VALUE"""),"Adventure")</f>
        <v>Adventure</v>
      </c>
      <c r="V2454" s="5">
        <f>IFERROR(__xludf.DUMMYFUNCTION("""COMPUTED_VALUE"""),1.0)</f>
        <v>1</v>
      </c>
    </row>
    <row r="2455">
      <c r="J2455" s="5" t="str">
        <f>IFERROR(__xludf.DUMMYFUNCTION("""COMPUTED_VALUE"""),"818🤙🏼Short Cuts🤙🏼🤙🏼3")</f>
        <v>818🤙🏼Short Cuts🤙🏼🤙🏼3</v>
      </c>
      <c r="K2455" s="5">
        <f>IFERROR(__xludf.DUMMYFUNCTION("SPLiT(J2455, ""🤙🏼"",FALSE,FALSE)"),818.0)</f>
        <v>818</v>
      </c>
      <c r="L2455" s="5" t="str">
        <f>IFERROR(__xludf.DUMMYFUNCTION("""COMPUTED_VALUE"""),"Short Cuts")</f>
        <v>Short Cuts</v>
      </c>
      <c r="M2455" s="5"/>
      <c r="N2455" s="5">
        <f>IFERROR(__xludf.DUMMYFUNCTION("""COMPUTED_VALUE"""),3.0)</f>
        <v>3</v>
      </c>
      <c r="S2455" s="5">
        <f>IFERROR(__xludf.DUMMYFUNCTION("""COMPUTED_VALUE"""),967.0)</f>
        <v>967</v>
      </c>
      <c r="T2455" s="5" t="str">
        <f>IFERROR(__xludf.DUMMYFUNCTION("""COMPUTED_VALUE"""),"Apollo 13")</f>
        <v>Apollo 13</v>
      </c>
      <c r="U2455" s="5" t="str">
        <f>IFERROR(__xludf.DUMMYFUNCTION("""COMPUTED_VALUE"""),"Drama")</f>
        <v>Drama</v>
      </c>
      <c r="V2455" s="5">
        <f>IFERROR(__xludf.DUMMYFUNCTION("""COMPUTED_VALUE"""),2.0)</f>
        <v>2</v>
      </c>
    </row>
    <row r="2456">
      <c r="J2456" s="5" t="str">
        <f>IFERROR(__xludf.DUMMYFUNCTION("""COMPUTED_VALUE"""),"819🤙🏼Philadelphia🤙🏼Drama🤙🏼1")</f>
        <v>819🤙🏼Philadelphia🤙🏼Drama🤙🏼1</v>
      </c>
      <c r="K2456" s="5">
        <f>IFERROR(__xludf.DUMMYFUNCTION("SPLiT(J2456, ""🤙🏼"",FALSE,FALSE)"),819.0)</f>
        <v>819</v>
      </c>
      <c r="L2456" s="5" t="str">
        <f>IFERROR(__xludf.DUMMYFUNCTION("""COMPUTED_VALUE"""),"Philadelphia")</f>
        <v>Philadelphia</v>
      </c>
      <c r="M2456" s="5" t="str">
        <f>IFERROR(__xludf.DUMMYFUNCTION("""COMPUTED_VALUE"""),"Drama")</f>
        <v>Drama</v>
      </c>
      <c r="N2456" s="5">
        <f>IFERROR(__xludf.DUMMYFUNCTION("""COMPUTED_VALUE"""),1.0)</f>
        <v>1</v>
      </c>
      <c r="S2456" s="5">
        <f>IFERROR(__xludf.DUMMYFUNCTION("""COMPUTED_VALUE"""),967.0)</f>
        <v>967</v>
      </c>
      <c r="T2456" s="5" t="str">
        <f>IFERROR(__xludf.DUMMYFUNCTION("""COMPUTED_VALUE"""),"Apollo 13")</f>
        <v>Apollo 13</v>
      </c>
      <c r="U2456" s="5" t="str">
        <f>IFERROR(__xludf.DUMMYFUNCTION("""COMPUTED_VALUE"""),"History")</f>
        <v>History</v>
      </c>
      <c r="V2456" s="5">
        <f>IFERROR(__xludf.DUMMYFUNCTION("""COMPUTED_VALUE"""),3.0)</f>
        <v>3</v>
      </c>
    </row>
    <row r="2457">
      <c r="J2457" s="5" t="str">
        <f>IFERROR(__xludf.DUMMYFUNCTION("""COMPUTED_VALUE"""),"819🤙🏼Philadelphia🤙🏼🤙🏼2")</f>
        <v>819🤙🏼Philadelphia🤙🏼🤙🏼2</v>
      </c>
      <c r="K2457" s="5">
        <f>IFERROR(__xludf.DUMMYFUNCTION("SPLiT(J2457, ""🤙🏼"",FALSE,FALSE)"),819.0)</f>
        <v>819</v>
      </c>
      <c r="L2457" s="5" t="str">
        <f>IFERROR(__xludf.DUMMYFUNCTION("""COMPUTED_VALUE"""),"Philadelphia")</f>
        <v>Philadelphia</v>
      </c>
      <c r="M2457" s="5"/>
      <c r="N2457" s="5">
        <f>IFERROR(__xludf.DUMMYFUNCTION("""COMPUTED_VALUE"""),2.0)</f>
        <v>2</v>
      </c>
      <c r="S2457" s="5">
        <f>IFERROR(__xludf.DUMMYFUNCTION("""COMPUTED_VALUE"""),968.0)</f>
        <v>968</v>
      </c>
      <c r="T2457" s="5" t="str">
        <f>IFERROR(__xludf.DUMMYFUNCTION("""COMPUTED_VALUE"""),"Trois couleurs: Blanc")</f>
        <v>Trois couleurs: Blanc</v>
      </c>
      <c r="U2457" s="5" t="str">
        <f>IFERROR(__xludf.DUMMYFUNCTION("""COMPUTED_VALUE"""),"Comedy")</f>
        <v>Comedy</v>
      </c>
      <c r="V2457" s="5">
        <f>IFERROR(__xludf.DUMMYFUNCTION("""COMPUTED_VALUE"""),1.0)</f>
        <v>1</v>
      </c>
    </row>
    <row r="2458">
      <c r="J2458" s="5" t="str">
        <f>IFERROR(__xludf.DUMMYFUNCTION("""COMPUTED_VALUE"""),"819🤙🏼Philadelphia🤙🏼🤙🏼3")</f>
        <v>819🤙🏼Philadelphia🤙🏼🤙🏼3</v>
      </c>
      <c r="K2458" s="5">
        <f>IFERROR(__xludf.DUMMYFUNCTION("SPLiT(J2458, ""🤙🏼"",FALSE,FALSE)"),819.0)</f>
        <v>819</v>
      </c>
      <c r="L2458" s="5" t="str">
        <f>IFERROR(__xludf.DUMMYFUNCTION("""COMPUTED_VALUE"""),"Philadelphia")</f>
        <v>Philadelphia</v>
      </c>
      <c r="M2458" s="5"/>
      <c r="N2458" s="5">
        <f>IFERROR(__xludf.DUMMYFUNCTION("""COMPUTED_VALUE"""),3.0)</f>
        <v>3</v>
      </c>
      <c r="S2458" s="5">
        <f>IFERROR(__xludf.DUMMYFUNCTION("""COMPUTED_VALUE"""),968.0)</f>
        <v>968</v>
      </c>
      <c r="T2458" s="5" t="str">
        <f>IFERROR(__xludf.DUMMYFUNCTION("""COMPUTED_VALUE"""),"Trois couleurs: Blanc")</f>
        <v>Trois couleurs: Blanc</v>
      </c>
      <c r="U2458" s="5" t="str">
        <f>IFERROR(__xludf.DUMMYFUNCTION("""COMPUTED_VALUE"""),"Drama")</f>
        <v>Drama</v>
      </c>
      <c r="V2458" s="5">
        <f>IFERROR(__xludf.DUMMYFUNCTION("""COMPUTED_VALUE"""),2.0)</f>
        <v>2</v>
      </c>
    </row>
    <row r="2459">
      <c r="J2459" s="5" t="str">
        <f>IFERROR(__xludf.DUMMYFUNCTION("""COMPUTED_VALUE"""),"820🤙🏼The Muppet Christmas Carol🤙🏼Comedy🤙🏼1")</f>
        <v>820🤙🏼The Muppet Christmas Carol🤙🏼Comedy🤙🏼1</v>
      </c>
      <c r="K2459" s="5">
        <f>IFERROR(__xludf.DUMMYFUNCTION("SPLiT(J2459, ""🤙🏼"",FALSE,FALSE)"),820.0)</f>
        <v>820</v>
      </c>
      <c r="L2459" s="5" t="str">
        <f>IFERROR(__xludf.DUMMYFUNCTION("""COMPUTED_VALUE"""),"The Muppet Christmas Carol")</f>
        <v>The Muppet Christmas Carol</v>
      </c>
      <c r="M2459" s="5" t="str">
        <f>IFERROR(__xludf.DUMMYFUNCTION("""COMPUTED_VALUE"""),"Comedy")</f>
        <v>Comedy</v>
      </c>
      <c r="N2459" s="5">
        <f>IFERROR(__xludf.DUMMYFUNCTION("""COMPUTED_VALUE"""),1.0)</f>
        <v>1</v>
      </c>
      <c r="S2459" s="5">
        <f>IFERROR(__xludf.DUMMYFUNCTION("""COMPUTED_VALUE"""),968.0)</f>
        <v>968</v>
      </c>
      <c r="T2459" s="5" t="str">
        <f>IFERROR(__xludf.DUMMYFUNCTION("""COMPUTED_VALUE"""),"Trois couleurs: Blanc")</f>
        <v>Trois couleurs: Blanc</v>
      </c>
      <c r="U2459" s="5" t="str">
        <f>IFERROR(__xludf.DUMMYFUNCTION("""COMPUTED_VALUE"""),"Romance")</f>
        <v>Romance</v>
      </c>
      <c r="V2459" s="5">
        <f>IFERROR(__xludf.DUMMYFUNCTION("""COMPUTED_VALUE"""),3.0)</f>
        <v>3</v>
      </c>
    </row>
    <row r="2460">
      <c r="J2460" s="5" t="str">
        <f>IFERROR(__xludf.DUMMYFUNCTION("""COMPUTED_VALUE"""),"820🤙🏼The Muppet Christmas Carol🤙🏼Drama🤙🏼2")</f>
        <v>820🤙🏼The Muppet Christmas Carol🤙🏼Drama🤙🏼2</v>
      </c>
      <c r="K2460" s="5">
        <f>IFERROR(__xludf.DUMMYFUNCTION("SPLiT(J2460, ""🤙🏼"",FALSE,FALSE)"),820.0)</f>
        <v>820</v>
      </c>
      <c r="L2460" s="5" t="str">
        <f>IFERROR(__xludf.DUMMYFUNCTION("""COMPUTED_VALUE"""),"The Muppet Christmas Carol")</f>
        <v>The Muppet Christmas Carol</v>
      </c>
      <c r="M2460" s="5" t="str">
        <f>IFERROR(__xludf.DUMMYFUNCTION("""COMPUTED_VALUE"""),"Drama")</f>
        <v>Drama</v>
      </c>
      <c r="N2460" s="5">
        <f>IFERROR(__xludf.DUMMYFUNCTION("""COMPUTED_VALUE"""),2.0)</f>
        <v>2</v>
      </c>
      <c r="S2460" s="5">
        <f>IFERROR(__xludf.DUMMYFUNCTION("""COMPUTED_VALUE"""),969.0)</f>
        <v>969</v>
      </c>
      <c r="T2460" s="5" t="str">
        <f>IFERROR(__xludf.DUMMYFUNCTION("""COMPUTED_VALUE"""),"Falling Down")</f>
        <v>Falling Down</v>
      </c>
      <c r="U2460" s="5" t="str">
        <f>IFERROR(__xludf.DUMMYFUNCTION("""COMPUTED_VALUE"""),"Action")</f>
        <v>Action</v>
      </c>
      <c r="V2460" s="5">
        <f>IFERROR(__xludf.DUMMYFUNCTION("""COMPUTED_VALUE"""),1.0)</f>
        <v>1</v>
      </c>
    </row>
    <row r="2461">
      <c r="J2461" s="5" t="str">
        <f>IFERROR(__xludf.DUMMYFUNCTION("""COMPUTED_VALUE"""),"820🤙🏼The Muppet Christmas Carol🤙🏼Family🤙🏼3")</f>
        <v>820🤙🏼The Muppet Christmas Carol🤙🏼Family🤙🏼3</v>
      </c>
      <c r="K2461" s="5">
        <f>IFERROR(__xludf.DUMMYFUNCTION("SPLiT(J2461, ""🤙🏼"",FALSE,FALSE)"),820.0)</f>
        <v>820</v>
      </c>
      <c r="L2461" s="5" t="str">
        <f>IFERROR(__xludf.DUMMYFUNCTION("""COMPUTED_VALUE"""),"The Muppet Christmas Carol")</f>
        <v>The Muppet Christmas Carol</v>
      </c>
      <c r="M2461" s="5" t="str">
        <f>IFERROR(__xludf.DUMMYFUNCTION("""COMPUTED_VALUE"""),"Family")</f>
        <v>Family</v>
      </c>
      <c r="N2461" s="5">
        <f>IFERROR(__xludf.DUMMYFUNCTION("""COMPUTED_VALUE"""),3.0)</f>
        <v>3</v>
      </c>
      <c r="S2461" s="5">
        <f>IFERROR(__xludf.DUMMYFUNCTION("""COMPUTED_VALUE"""),969.0)</f>
        <v>969</v>
      </c>
      <c r="T2461" s="5" t="str">
        <f>IFERROR(__xludf.DUMMYFUNCTION("""COMPUTED_VALUE"""),"Falling Down")</f>
        <v>Falling Down</v>
      </c>
      <c r="U2461" s="5" t="str">
        <f>IFERROR(__xludf.DUMMYFUNCTION("""COMPUTED_VALUE"""),"Crime")</f>
        <v>Crime</v>
      </c>
      <c r="V2461" s="5">
        <f>IFERROR(__xludf.DUMMYFUNCTION("""COMPUTED_VALUE"""),2.0)</f>
        <v>2</v>
      </c>
    </row>
    <row r="2462">
      <c r="J2462" s="5" t="str">
        <f>IFERROR(__xludf.DUMMYFUNCTION("""COMPUTED_VALUE"""),"821🤙🏼Malcolm X🤙🏼Biography🤙🏼1")</f>
        <v>821🤙🏼Malcolm X🤙🏼Biography🤙🏼1</v>
      </c>
      <c r="K2462" s="5">
        <f>IFERROR(__xludf.DUMMYFUNCTION("SPLiT(J2462, ""🤙🏼"",FALSE,FALSE)"),821.0)</f>
        <v>821</v>
      </c>
      <c r="L2462" s="5" t="str">
        <f>IFERROR(__xludf.DUMMYFUNCTION("""COMPUTED_VALUE"""),"Malcolm X")</f>
        <v>Malcolm X</v>
      </c>
      <c r="M2462" s="5" t="str">
        <f>IFERROR(__xludf.DUMMYFUNCTION("""COMPUTED_VALUE"""),"Biography")</f>
        <v>Biography</v>
      </c>
      <c r="N2462" s="5">
        <f>IFERROR(__xludf.DUMMYFUNCTION("""COMPUTED_VALUE"""),1.0)</f>
        <v>1</v>
      </c>
      <c r="S2462" s="5">
        <f>IFERROR(__xludf.DUMMYFUNCTION("""COMPUTED_VALUE"""),969.0)</f>
        <v>969</v>
      </c>
      <c r="T2462" s="5" t="str">
        <f>IFERROR(__xludf.DUMMYFUNCTION("""COMPUTED_VALUE"""),"Falling Down")</f>
        <v>Falling Down</v>
      </c>
      <c r="U2462" s="5" t="str">
        <f>IFERROR(__xludf.DUMMYFUNCTION("""COMPUTED_VALUE"""),"Drama")</f>
        <v>Drama</v>
      </c>
      <c r="V2462" s="5">
        <f>IFERROR(__xludf.DUMMYFUNCTION("""COMPUTED_VALUE"""),3.0)</f>
        <v>3</v>
      </c>
    </row>
    <row r="2463">
      <c r="J2463" s="5" t="str">
        <f>IFERROR(__xludf.DUMMYFUNCTION("""COMPUTED_VALUE"""),"821🤙🏼Malcolm X🤙🏼Drama🤙🏼2")</f>
        <v>821🤙🏼Malcolm X🤙🏼Drama🤙🏼2</v>
      </c>
      <c r="K2463" s="5">
        <f>IFERROR(__xludf.DUMMYFUNCTION("SPLiT(J2463, ""🤙🏼"",FALSE,FALSE)"),821.0)</f>
        <v>821</v>
      </c>
      <c r="L2463" s="5" t="str">
        <f>IFERROR(__xludf.DUMMYFUNCTION("""COMPUTED_VALUE"""),"Malcolm X")</f>
        <v>Malcolm X</v>
      </c>
      <c r="M2463" s="5" t="str">
        <f>IFERROR(__xludf.DUMMYFUNCTION("""COMPUTED_VALUE"""),"Drama")</f>
        <v>Drama</v>
      </c>
      <c r="N2463" s="5">
        <f>IFERROR(__xludf.DUMMYFUNCTION("""COMPUTED_VALUE"""),2.0)</f>
        <v>2</v>
      </c>
      <c r="S2463" s="5">
        <f>IFERROR(__xludf.DUMMYFUNCTION("""COMPUTED_VALUE"""),970.0)</f>
        <v>970</v>
      </c>
      <c r="T2463" s="5" t="str">
        <f>IFERROR(__xludf.DUMMYFUNCTION("""COMPUTED_VALUE"""),"Dazed and Confused")</f>
        <v>Dazed and Confused</v>
      </c>
      <c r="U2463" s="5" t="str">
        <f>IFERROR(__xludf.DUMMYFUNCTION("""COMPUTED_VALUE"""),"Comedy")</f>
        <v>Comedy</v>
      </c>
      <c r="V2463" s="5">
        <f>IFERROR(__xludf.DUMMYFUNCTION("""COMPUTED_VALUE"""),1.0)</f>
        <v>1</v>
      </c>
    </row>
    <row r="2464">
      <c r="J2464" s="5" t="str">
        <f>IFERROR(__xludf.DUMMYFUNCTION("""COMPUTED_VALUE"""),"821🤙🏼Malcolm X🤙🏼History🤙🏼3")</f>
        <v>821🤙🏼Malcolm X🤙🏼History🤙🏼3</v>
      </c>
      <c r="K2464" s="5">
        <f>IFERROR(__xludf.DUMMYFUNCTION("SPLiT(J2464, ""🤙🏼"",FALSE,FALSE)"),821.0)</f>
        <v>821</v>
      </c>
      <c r="L2464" s="5" t="str">
        <f>IFERROR(__xludf.DUMMYFUNCTION("""COMPUTED_VALUE"""),"Malcolm X")</f>
        <v>Malcolm X</v>
      </c>
      <c r="M2464" s="5" t="str">
        <f>IFERROR(__xludf.DUMMYFUNCTION("""COMPUTED_VALUE"""),"History")</f>
        <v>History</v>
      </c>
      <c r="N2464" s="5">
        <f>IFERROR(__xludf.DUMMYFUNCTION("""COMPUTED_VALUE"""),3.0)</f>
        <v>3</v>
      </c>
      <c r="S2464" s="5">
        <f>IFERROR(__xludf.DUMMYFUNCTION("""COMPUTED_VALUE"""),971.0)</f>
        <v>971</v>
      </c>
      <c r="T2464" s="5" t="str">
        <f>IFERROR(__xludf.DUMMYFUNCTION("""COMPUTED_VALUE"""),"My Cousin Vinny")</f>
        <v>My Cousin Vinny</v>
      </c>
      <c r="U2464" s="5" t="str">
        <f>IFERROR(__xludf.DUMMYFUNCTION("""COMPUTED_VALUE"""),"Comedy")</f>
        <v>Comedy</v>
      </c>
      <c r="V2464" s="5">
        <f>IFERROR(__xludf.DUMMYFUNCTION("""COMPUTED_VALUE"""),1.0)</f>
        <v>1</v>
      </c>
    </row>
    <row r="2465">
      <c r="J2465" s="5" t="str">
        <f>IFERROR(__xludf.DUMMYFUNCTION("""COMPUTED_VALUE"""),"822🤙🏼The Last of the Mohicans🤙🏼Action🤙🏼1")</f>
        <v>822🤙🏼The Last of the Mohicans🤙🏼Action🤙🏼1</v>
      </c>
      <c r="K2465" s="5">
        <f>IFERROR(__xludf.DUMMYFUNCTION("SPLiT(J2465, ""🤙🏼"",FALSE,FALSE)"),822.0)</f>
        <v>822</v>
      </c>
      <c r="L2465" s="5" t="str">
        <f>IFERROR(__xludf.DUMMYFUNCTION("""COMPUTED_VALUE"""),"The Last of the Mohicans")</f>
        <v>The Last of the Mohicans</v>
      </c>
      <c r="M2465" s="5" t="str">
        <f>IFERROR(__xludf.DUMMYFUNCTION("""COMPUTED_VALUE"""),"Action")</f>
        <v>Action</v>
      </c>
      <c r="N2465" s="5">
        <f>IFERROR(__xludf.DUMMYFUNCTION("""COMPUTED_VALUE"""),1.0)</f>
        <v>1</v>
      </c>
      <c r="S2465" s="5">
        <f>IFERROR(__xludf.DUMMYFUNCTION("""COMPUTED_VALUE"""),971.0)</f>
        <v>971</v>
      </c>
      <c r="T2465" s="5" t="str">
        <f>IFERROR(__xludf.DUMMYFUNCTION("""COMPUTED_VALUE"""),"My Cousin Vinny")</f>
        <v>My Cousin Vinny</v>
      </c>
      <c r="U2465" s="5" t="str">
        <f>IFERROR(__xludf.DUMMYFUNCTION("""COMPUTED_VALUE"""),"Crime")</f>
        <v>Crime</v>
      </c>
      <c r="V2465" s="5">
        <f>IFERROR(__xludf.DUMMYFUNCTION("""COMPUTED_VALUE"""),2.0)</f>
        <v>2</v>
      </c>
    </row>
    <row r="2466">
      <c r="J2466" s="5" t="str">
        <f>IFERROR(__xludf.DUMMYFUNCTION("""COMPUTED_VALUE"""),"822🤙🏼The Last of the Mohicans🤙🏼Adventure🤙🏼2")</f>
        <v>822🤙🏼The Last of the Mohicans🤙🏼Adventure🤙🏼2</v>
      </c>
      <c r="K2466" s="5">
        <f>IFERROR(__xludf.DUMMYFUNCTION("SPLiT(J2466, ""🤙🏼"",FALSE,FALSE)"),822.0)</f>
        <v>822</v>
      </c>
      <c r="L2466" s="5" t="str">
        <f>IFERROR(__xludf.DUMMYFUNCTION("""COMPUTED_VALUE"""),"The Last of the Mohicans")</f>
        <v>The Last of the Mohicans</v>
      </c>
      <c r="M2466" s="5" t="str">
        <f>IFERROR(__xludf.DUMMYFUNCTION("""COMPUTED_VALUE"""),"Adventure")</f>
        <v>Adventure</v>
      </c>
      <c r="N2466" s="5">
        <f>IFERROR(__xludf.DUMMYFUNCTION("""COMPUTED_VALUE"""),2.0)</f>
        <v>2</v>
      </c>
      <c r="S2466" s="5">
        <f>IFERROR(__xludf.DUMMYFUNCTION("""COMPUTED_VALUE"""),972.0)</f>
        <v>972</v>
      </c>
      <c r="T2466" s="5" t="str">
        <f>IFERROR(__xludf.DUMMYFUNCTION("""COMPUTED_VALUE"""),"Omohide poro poro")</f>
        <v>Omohide poro poro</v>
      </c>
      <c r="U2466" s="5" t="str">
        <f>IFERROR(__xludf.DUMMYFUNCTION("""COMPUTED_VALUE"""),"Animation")</f>
        <v>Animation</v>
      </c>
      <c r="V2466" s="5">
        <f>IFERROR(__xludf.DUMMYFUNCTION("""COMPUTED_VALUE"""),1.0)</f>
        <v>1</v>
      </c>
    </row>
    <row r="2467">
      <c r="J2467" s="5" t="str">
        <f>IFERROR(__xludf.DUMMYFUNCTION("""COMPUTED_VALUE"""),"822🤙🏼The Last of the Mohicans🤙🏼Drama🤙🏼3")</f>
        <v>822🤙🏼The Last of the Mohicans🤙🏼Drama🤙🏼3</v>
      </c>
      <c r="K2467" s="5">
        <f>IFERROR(__xludf.DUMMYFUNCTION("SPLiT(J2467, ""🤙🏼"",FALSE,FALSE)"),822.0)</f>
        <v>822</v>
      </c>
      <c r="L2467" s="5" t="str">
        <f>IFERROR(__xludf.DUMMYFUNCTION("""COMPUTED_VALUE"""),"The Last of the Mohicans")</f>
        <v>The Last of the Mohicans</v>
      </c>
      <c r="M2467" s="5" t="str">
        <f>IFERROR(__xludf.DUMMYFUNCTION("""COMPUTED_VALUE"""),"Drama")</f>
        <v>Drama</v>
      </c>
      <c r="N2467" s="5">
        <f>IFERROR(__xludf.DUMMYFUNCTION("""COMPUTED_VALUE"""),3.0)</f>
        <v>3</v>
      </c>
      <c r="S2467" s="5">
        <f>IFERROR(__xludf.DUMMYFUNCTION("""COMPUTED_VALUE"""),972.0)</f>
        <v>972</v>
      </c>
      <c r="T2467" s="5" t="str">
        <f>IFERROR(__xludf.DUMMYFUNCTION("""COMPUTED_VALUE"""),"Omohide poro poro")</f>
        <v>Omohide poro poro</v>
      </c>
      <c r="U2467" s="5" t="str">
        <f>IFERROR(__xludf.DUMMYFUNCTION("""COMPUTED_VALUE"""),"Drama")</f>
        <v>Drama</v>
      </c>
      <c r="V2467" s="5">
        <f>IFERROR(__xludf.DUMMYFUNCTION("""COMPUTED_VALUE"""),2.0)</f>
        <v>2</v>
      </c>
    </row>
    <row r="2468">
      <c r="J2468" s="5" t="str">
        <f>IFERROR(__xludf.DUMMYFUNCTION("""COMPUTED_VALUE"""),"823🤙🏼Kurenai no buta🤙🏼Animation🤙🏼1")</f>
        <v>823🤙🏼Kurenai no buta🤙🏼Animation🤙🏼1</v>
      </c>
      <c r="K2468" s="5">
        <f>IFERROR(__xludf.DUMMYFUNCTION("SPLiT(J2468, ""🤙🏼"",FALSE,FALSE)"),823.0)</f>
        <v>823</v>
      </c>
      <c r="L2468" s="5" t="str">
        <f>IFERROR(__xludf.DUMMYFUNCTION("""COMPUTED_VALUE"""),"Kurenai no buta")</f>
        <v>Kurenai no buta</v>
      </c>
      <c r="M2468" s="5" t="str">
        <f>IFERROR(__xludf.DUMMYFUNCTION("""COMPUTED_VALUE"""),"Animation")</f>
        <v>Animation</v>
      </c>
      <c r="N2468" s="5">
        <f>IFERROR(__xludf.DUMMYFUNCTION("""COMPUTED_VALUE"""),1.0)</f>
        <v>1</v>
      </c>
      <c r="S2468" s="5">
        <f>IFERROR(__xludf.DUMMYFUNCTION("""COMPUTED_VALUE"""),972.0)</f>
        <v>972</v>
      </c>
      <c r="T2468" s="5" t="str">
        <f>IFERROR(__xludf.DUMMYFUNCTION("""COMPUTED_VALUE"""),"Omohide poro poro")</f>
        <v>Omohide poro poro</v>
      </c>
      <c r="U2468" s="5" t="str">
        <f>IFERROR(__xludf.DUMMYFUNCTION("""COMPUTED_VALUE"""),"Romance")</f>
        <v>Romance</v>
      </c>
      <c r="V2468" s="5">
        <f>IFERROR(__xludf.DUMMYFUNCTION("""COMPUTED_VALUE"""),3.0)</f>
        <v>3</v>
      </c>
    </row>
    <row r="2469">
      <c r="J2469" s="5" t="str">
        <f>IFERROR(__xludf.DUMMYFUNCTION("""COMPUTED_VALUE"""),"823🤙🏼Kurenai no buta🤙🏼Adventure🤙🏼2")</f>
        <v>823🤙🏼Kurenai no buta🤙🏼Adventure🤙🏼2</v>
      </c>
      <c r="K2469" s="5">
        <f>IFERROR(__xludf.DUMMYFUNCTION("SPLiT(J2469, ""🤙🏼"",FALSE,FALSE)"),823.0)</f>
        <v>823</v>
      </c>
      <c r="L2469" s="5" t="str">
        <f>IFERROR(__xludf.DUMMYFUNCTION("""COMPUTED_VALUE"""),"Kurenai no buta")</f>
        <v>Kurenai no buta</v>
      </c>
      <c r="M2469" s="5" t="str">
        <f>IFERROR(__xludf.DUMMYFUNCTION("""COMPUTED_VALUE"""),"Adventure")</f>
        <v>Adventure</v>
      </c>
      <c r="N2469" s="5">
        <f>IFERROR(__xludf.DUMMYFUNCTION("""COMPUTED_VALUE"""),2.0)</f>
        <v>2</v>
      </c>
      <c r="S2469" s="5">
        <f>IFERROR(__xludf.DUMMYFUNCTION("""COMPUTED_VALUE"""),973.0)</f>
        <v>973</v>
      </c>
      <c r="T2469" s="5" t="str">
        <f>IFERROR(__xludf.DUMMYFUNCTION("""COMPUTED_VALUE"""),"Delicatessen")</f>
        <v>Delicatessen</v>
      </c>
      <c r="U2469" s="5" t="str">
        <f>IFERROR(__xludf.DUMMYFUNCTION("""COMPUTED_VALUE"""),"Comedy")</f>
        <v>Comedy</v>
      </c>
      <c r="V2469" s="5">
        <f>IFERROR(__xludf.DUMMYFUNCTION("""COMPUTED_VALUE"""),1.0)</f>
        <v>1</v>
      </c>
    </row>
    <row r="2470">
      <c r="J2470" s="5" t="str">
        <f>IFERROR(__xludf.DUMMYFUNCTION("""COMPUTED_VALUE"""),"823🤙🏼Kurenai no buta🤙🏼Comedy🤙🏼3")</f>
        <v>823🤙🏼Kurenai no buta🤙🏼Comedy🤙🏼3</v>
      </c>
      <c r="K2470" s="5">
        <f>IFERROR(__xludf.DUMMYFUNCTION("SPLiT(J2470, ""🤙🏼"",FALSE,FALSE)"),823.0)</f>
        <v>823</v>
      </c>
      <c r="L2470" s="5" t="str">
        <f>IFERROR(__xludf.DUMMYFUNCTION("""COMPUTED_VALUE"""),"Kurenai no buta")</f>
        <v>Kurenai no buta</v>
      </c>
      <c r="M2470" s="5" t="str">
        <f>IFERROR(__xludf.DUMMYFUNCTION("""COMPUTED_VALUE"""),"Comedy")</f>
        <v>Comedy</v>
      </c>
      <c r="N2470" s="5">
        <f>IFERROR(__xludf.DUMMYFUNCTION("""COMPUTED_VALUE"""),3.0)</f>
        <v>3</v>
      </c>
      <c r="S2470" s="5">
        <f>IFERROR(__xludf.DUMMYFUNCTION("""COMPUTED_VALUE"""),973.0)</f>
        <v>973</v>
      </c>
      <c r="T2470" s="5" t="str">
        <f>IFERROR(__xludf.DUMMYFUNCTION("""COMPUTED_VALUE"""),"Delicatessen")</f>
        <v>Delicatessen</v>
      </c>
      <c r="U2470" s="5" t="str">
        <f>IFERROR(__xludf.DUMMYFUNCTION("""COMPUTED_VALUE"""),"Crime")</f>
        <v>Crime</v>
      </c>
      <c r="V2470" s="5">
        <f>IFERROR(__xludf.DUMMYFUNCTION("""COMPUTED_VALUE"""),2.0)</f>
        <v>2</v>
      </c>
    </row>
    <row r="2471">
      <c r="J2471" s="5" t="str">
        <f>IFERROR(__xludf.DUMMYFUNCTION("""COMPUTED_VALUE"""),"824🤙🏼Glengarry Glen Ross🤙🏼Crime🤙🏼1")</f>
        <v>824🤙🏼Glengarry Glen Ross🤙🏼Crime🤙🏼1</v>
      </c>
      <c r="K2471" s="5">
        <f>IFERROR(__xludf.DUMMYFUNCTION("SPLiT(J2471, ""🤙🏼"",FALSE,FALSE)"),824.0)</f>
        <v>824</v>
      </c>
      <c r="L2471" s="5" t="str">
        <f>IFERROR(__xludf.DUMMYFUNCTION("""COMPUTED_VALUE"""),"Glengarry Glen Ross")</f>
        <v>Glengarry Glen Ross</v>
      </c>
      <c r="M2471" s="5" t="str">
        <f>IFERROR(__xludf.DUMMYFUNCTION("""COMPUTED_VALUE"""),"Crime")</f>
        <v>Crime</v>
      </c>
      <c r="N2471" s="5">
        <f>IFERROR(__xludf.DUMMYFUNCTION("""COMPUTED_VALUE"""),1.0)</f>
        <v>1</v>
      </c>
      <c r="S2471" s="5">
        <f>IFERROR(__xludf.DUMMYFUNCTION("""COMPUTED_VALUE"""),974.0)</f>
        <v>974</v>
      </c>
      <c r="T2471" s="5" t="str">
        <f>IFERROR(__xludf.DUMMYFUNCTION("""COMPUTED_VALUE"""),"Home Alone")</f>
        <v>Home Alone</v>
      </c>
      <c r="U2471" s="5" t="str">
        <f>IFERROR(__xludf.DUMMYFUNCTION("""COMPUTED_VALUE"""),"Comedy")</f>
        <v>Comedy</v>
      </c>
      <c r="V2471" s="5">
        <f>IFERROR(__xludf.DUMMYFUNCTION("""COMPUTED_VALUE"""),1.0)</f>
        <v>1</v>
      </c>
    </row>
    <row r="2472">
      <c r="J2472" s="5" t="str">
        <f>IFERROR(__xludf.DUMMYFUNCTION("""COMPUTED_VALUE"""),"824🤙🏼Glengarry Glen Ross🤙🏼Drama🤙🏼2")</f>
        <v>824🤙🏼Glengarry Glen Ross🤙🏼Drama🤙🏼2</v>
      </c>
      <c r="K2472" s="5">
        <f>IFERROR(__xludf.DUMMYFUNCTION("SPLiT(J2472, ""🤙🏼"",FALSE,FALSE)"),824.0)</f>
        <v>824</v>
      </c>
      <c r="L2472" s="5" t="str">
        <f>IFERROR(__xludf.DUMMYFUNCTION("""COMPUTED_VALUE"""),"Glengarry Glen Ross")</f>
        <v>Glengarry Glen Ross</v>
      </c>
      <c r="M2472" s="5" t="str">
        <f>IFERROR(__xludf.DUMMYFUNCTION("""COMPUTED_VALUE"""),"Drama")</f>
        <v>Drama</v>
      </c>
      <c r="N2472" s="5">
        <f>IFERROR(__xludf.DUMMYFUNCTION("""COMPUTED_VALUE"""),2.0)</f>
        <v>2</v>
      </c>
      <c r="S2472" s="5">
        <f>IFERROR(__xludf.DUMMYFUNCTION("""COMPUTED_VALUE"""),974.0)</f>
        <v>974</v>
      </c>
      <c r="T2472" s="5" t="str">
        <f>IFERROR(__xludf.DUMMYFUNCTION("""COMPUTED_VALUE"""),"Home Alone")</f>
        <v>Home Alone</v>
      </c>
      <c r="U2472" s="5" t="str">
        <f>IFERROR(__xludf.DUMMYFUNCTION("""COMPUTED_VALUE"""),"Family")</f>
        <v>Family</v>
      </c>
      <c r="V2472" s="5">
        <f>IFERROR(__xludf.DUMMYFUNCTION("""COMPUTED_VALUE"""),2.0)</f>
        <v>2</v>
      </c>
    </row>
    <row r="2473">
      <c r="J2473" s="5" t="str">
        <f>IFERROR(__xludf.DUMMYFUNCTION("""COMPUTED_VALUE"""),"824🤙🏼Glengarry Glen Ross🤙🏼Mystery🤙🏼3")</f>
        <v>824🤙🏼Glengarry Glen Ross🤙🏼Mystery🤙🏼3</v>
      </c>
      <c r="K2473" s="5">
        <f>IFERROR(__xludf.DUMMYFUNCTION("SPLiT(J2473, ""🤙🏼"",FALSE,FALSE)"),824.0)</f>
        <v>824</v>
      </c>
      <c r="L2473" s="5" t="str">
        <f>IFERROR(__xludf.DUMMYFUNCTION("""COMPUTED_VALUE"""),"Glengarry Glen Ross")</f>
        <v>Glengarry Glen Ross</v>
      </c>
      <c r="M2473" s="5" t="str">
        <f>IFERROR(__xludf.DUMMYFUNCTION("""COMPUTED_VALUE"""),"Mystery")</f>
        <v>Mystery</v>
      </c>
      <c r="N2473" s="5">
        <f>IFERROR(__xludf.DUMMYFUNCTION("""COMPUTED_VALUE"""),3.0)</f>
        <v>3</v>
      </c>
      <c r="S2473" s="5">
        <f>IFERROR(__xludf.DUMMYFUNCTION("""COMPUTED_VALUE"""),975.0)</f>
        <v>975</v>
      </c>
      <c r="T2473" s="5" t="str">
        <f>IFERROR(__xludf.DUMMYFUNCTION("""COMPUTED_VALUE"""),"The Godfather: Part III")</f>
        <v>The Godfather: Part III</v>
      </c>
      <c r="U2473" s="5" t="str">
        <f>IFERROR(__xludf.DUMMYFUNCTION("""COMPUTED_VALUE"""),"Crime")</f>
        <v>Crime</v>
      </c>
      <c r="V2473" s="5">
        <f>IFERROR(__xludf.DUMMYFUNCTION("""COMPUTED_VALUE"""),1.0)</f>
        <v>1</v>
      </c>
    </row>
    <row r="2474">
      <c r="J2474" s="5" t="str">
        <f>IFERROR(__xludf.DUMMYFUNCTION("""COMPUTED_VALUE"""),"825🤙🏼A Few Good Men🤙🏼Drama🤙🏼1")</f>
        <v>825🤙🏼A Few Good Men🤙🏼Drama🤙🏼1</v>
      </c>
      <c r="K2474" s="5">
        <f>IFERROR(__xludf.DUMMYFUNCTION("SPLiT(J2474, ""🤙🏼"",FALSE,FALSE)"),825.0)</f>
        <v>825</v>
      </c>
      <c r="L2474" s="5" t="str">
        <f>IFERROR(__xludf.DUMMYFUNCTION("""COMPUTED_VALUE"""),"A Few Good Men")</f>
        <v>A Few Good Men</v>
      </c>
      <c r="M2474" s="5" t="str">
        <f>IFERROR(__xludf.DUMMYFUNCTION("""COMPUTED_VALUE"""),"Drama")</f>
        <v>Drama</v>
      </c>
      <c r="N2474" s="5">
        <f>IFERROR(__xludf.DUMMYFUNCTION("""COMPUTED_VALUE"""),1.0)</f>
        <v>1</v>
      </c>
      <c r="S2474" s="5">
        <f>IFERROR(__xludf.DUMMYFUNCTION("""COMPUTED_VALUE"""),975.0)</f>
        <v>975</v>
      </c>
      <c r="T2474" s="5" t="str">
        <f>IFERROR(__xludf.DUMMYFUNCTION("""COMPUTED_VALUE"""),"The Godfather: Part III")</f>
        <v>The Godfather: Part III</v>
      </c>
      <c r="U2474" s="5" t="str">
        <f>IFERROR(__xludf.DUMMYFUNCTION("""COMPUTED_VALUE"""),"Drama")</f>
        <v>Drama</v>
      </c>
      <c r="V2474" s="5">
        <f>IFERROR(__xludf.DUMMYFUNCTION("""COMPUTED_VALUE"""),2.0)</f>
        <v>2</v>
      </c>
    </row>
    <row r="2475">
      <c r="J2475" s="5" t="str">
        <f>IFERROR(__xludf.DUMMYFUNCTION("""COMPUTED_VALUE"""),"825🤙🏼A Few Good Men🤙🏼Thriller🤙🏼2")</f>
        <v>825🤙🏼A Few Good Men🤙🏼Thriller🤙🏼2</v>
      </c>
      <c r="K2475" s="5">
        <f>IFERROR(__xludf.DUMMYFUNCTION("SPLiT(J2475, ""🤙🏼"",FALSE,FALSE)"),825.0)</f>
        <v>825</v>
      </c>
      <c r="L2475" s="5" t="str">
        <f>IFERROR(__xludf.DUMMYFUNCTION("""COMPUTED_VALUE"""),"A Few Good Men")</f>
        <v>A Few Good Men</v>
      </c>
      <c r="M2475" s="5" t="str">
        <f>IFERROR(__xludf.DUMMYFUNCTION("""COMPUTED_VALUE"""),"Thriller")</f>
        <v>Thriller</v>
      </c>
      <c r="N2475" s="5">
        <f>IFERROR(__xludf.DUMMYFUNCTION("""COMPUTED_VALUE"""),2.0)</f>
        <v>2</v>
      </c>
      <c r="S2475" s="5">
        <f>IFERROR(__xludf.DUMMYFUNCTION("""COMPUTED_VALUE"""),976.0)</f>
        <v>976</v>
      </c>
      <c r="T2475" s="5" t="str">
        <f>IFERROR(__xludf.DUMMYFUNCTION("""COMPUTED_VALUE"""),"When Harry Met Sally...")</f>
        <v>When Harry Met Sally...</v>
      </c>
      <c r="U2475" s="5" t="str">
        <f>IFERROR(__xludf.DUMMYFUNCTION("""COMPUTED_VALUE"""),"Comedy")</f>
        <v>Comedy</v>
      </c>
      <c r="V2475" s="5">
        <f>IFERROR(__xludf.DUMMYFUNCTION("""COMPUTED_VALUE"""),1.0)</f>
        <v>1</v>
      </c>
    </row>
    <row r="2476">
      <c r="J2476" s="5" t="str">
        <f>IFERROR(__xludf.DUMMYFUNCTION("""COMPUTED_VALUE"""),"825🤙🏼A Few Good Men🤙🏼🤙🏼3")</f>
        <v>825🤙🏼A Few Good Men🤙🏼🤙🏼3</v>
      </c>
      <c r="K2476" s="5">
        <f>IFERROR(__xludf.DUMMYFUNCTION("SPLiT(J2476, ""🤙🏼"",FALSE,FALSE)"),825.0)</f>
        <v>825</v>
      </c>
      <c r="L2476" s="5" t="str">
        <f>IFERROR(__xludf.DUMMYFUNCTION("""COMPUTED_VALUE"""),"A Few Good Men")</f>
        <v>A Few Good Men</v>
      </c>
      <c r="M2476" s="5"/>
      <c r="N2476" s="5">
        <f>IFERROR(__xludf.DUMMYFUNCTION("""COMPUTED_VALUE"""),3.0)</f>
        <v>3</v>
      </c>
      <c r="S2476" s="5">
        <f>IFERROR(__xludf.DUMMYFUNCTION("""COMPUTED_VALUE"""),976.0)</f>
        <v>976</v>
      </c>
      <c r="T2476" s="5" t="str">
        <f>IFERROR(__xludf.DUMMYFUNCTION("""COMPUTED_VALUE"""),"When Harry Met Sally...")</f>
        <v>When Harry Met Sally...</v>
      </c>
      <c r="U2476" s="5" t="str">
        <f>IFERROR(__xludf.DUMMYFUNCTION("""COMPUTED_VALUE"""),"Drama")</f>
        <v>Drama</v>
      </c>
      <c r="V2476" s="5">
        <f>IFERROR(__xludf.DUMMYFUNCTION("""COMPUTED_VALUE"""),2.0)</f>
        <v>2</v>
      </c>
    </row>
    <row r="2477">
      <c r="J2477" s="5" t="str">
        <f>IFERROR(__xludf.DUMMYFUNCTION("""COMPUTED_VALUE"""),"826🤙🏼Fried Green Tomatoes🤙🏼Drama🤙🏼1")</f>
        <v>826🤙🏼Fried Green Tomatoes🤙🏼Drama🤙🏼1</v>
      </c>
      <c r="K2477" s="5">
        <f>IFERROR(__xludf.DUMMYFUNCTION("SPLiT(J2477, ""🤙🏼"",FALSE,FALSE)"),826.0)</f>
        <v>826</v>
      </c>
      <c r="L2477" s="5" t="str">
        <f>IFERROR(__xludf.DUMMYFUNCTION("""COMPUTED_VALUE"""),"Fried Green Tomatoes")</f>
        <v>Fried Green Tomatoes</v>
      </c>
      <c r="M2477" s="5" t="str">
        <f>IFERROR(__xludf.DUMMYFUNCTION("""COMPUTED_VALUE"""),"Drama")</f>
        <v>Drama</v>
      </c>
      <c r="N2477" s="5">
        <f>IFERROR(__xludf.DUMMYFUNCTION("""COMPUTED_VALUE"""),1.0)</f>
        <v>1</v>
      </c>
      <c r="S2477" s="5">
        <f>IFERROR(__xludf.DUMMYFUNCTION("""COMPUTED_VALUE"""),976.0)</f>
        <v>976</v>
      </c>
      <c r="T2477" s="5" t="str">
        <f>IFERROR(__xludf.DUMMYFUNCTION("""COMPUTED_VALUE"""),"When Harry Met Sally...")</f>
        <v>When Harry Met Sally...</v>
      </c>
      <c r="U2477" s="5" t="str">
        <f>IFERROR(__xludf.DUMMYFUNCTION("""COMPUTED_VALUE"""),"Romance")</f>
        <v>Romance</v>
      </c>
      <c r="V2477" s="5">
        <f>IFERROR(__xludf.DUMMYFUNCTION("""COMPUTED_VALUE"""),3.0)</f>
        <v>3</v>
      </c>
    </row>
    <row r="2478">
      <c r="J2478" s="5" t="str">
        <f>IFERROR(__xludf.DUMMYFUNCTION("""COMPUTED_VALUE"""),"826🤙🏼Fried Green Tomatoes🤙🏼🤙🏼2")</f>
        <v>826🤙🏼Fried Green Tomatoes🤙🏼🤙🏼2</v>
      </c>
      <c r="K2478" s="5">
        <f>IFERROR(__xludf.DUMMYFUNCTION("SPLiT(J2478, ""🤙🏼"",FALSE,FALSE)"),826.0)</f>
        <v>826</v>
      </c>
      <c r="L2478" s="5" t="str">
        <f>IFERROR(__xludf.DUMMYFUNCTION("""COMPUTED_VALUE"""),"Fried Green Tomatoes")</f>
        <v>Fried Green Tomatoes</v>
      </c>
      <c r="M2478" s="5"/>
      <c r="N2478" s="5">
        <f>IFERROR(__xludf.DUMMYFUNCTION("""COMPUTED_VALUE"""),2.0)</f>
        <v>2</v>
      </c>
      <c r="S2478" s="5">
        <f>IFERROR(__xludf.DUMMYFUNCTION("""COMPUTED_VALUE"""),977.0)</f>
        <v>977</v>
      </c>
      <c r="T2478" s="5" t="str">
        <f>IFERROR(__xludf.DUMMYFUNCTION("""COMPUTED_VALUE"""),"The Little Mermaid")</f>
        <v>The Little Mermaid</v>
      </c>
      <c r="U2478" s="5" t="str">
        <f>IFERROR(__xludf.DUMMYFUNCTION("""COMPUTED_VALUE"""),"Animation")</f>
        <v>Animation</v>
      </c>
      <c r="V2478" s="5">
        <f>IFERROR(__xludf.DUMMYFUNCTION("""COMPUTED_VALUE"""),1.0)</f>
        <v>1</v>
      </c>
    </row>
    <row r="2479">
      <c r="J2479" s="5" t="str">
        <f>IFERROR(__xludf.DUMMYFUNCTION("""COMPUTED_VALUE"""),"826🤙🏼Fried Green Tomatoes🤙🏼🤙🏼3")</f>
        <v>826🤙🏼Fried Green Tomatoes🤙🏼🤙🏼3</v>
      </c>
      <c r="K2479" s="5">
        <f>IFERROR(__xludf.DUMMYFUNCTION("SPLiT(J2479, ""🤙🏼"",FALSE,FALSE)"),826.0)</f>
        <v>826</v>
      </c>
      <c r="L2479" s="5" t="str">
        <f>IFERROR(__xludf.DUMMYFUNCTION("""COMPUTED_VALUE"""),"Fried Green Tomatoes")</f>
        <v>Fried Green Tomatoes</v>
      </c>
      <c r="M2479" s="5"/>
      <c r="N2479" s="5">
        <f>IFERROR(__xludf.DUMMYFUNCTION("""COMPUTED_VALUE"""),3.0)</f>
        <v>3</v>
      </c>
      <c r="S2479" s="5">
        <f>IFERROR(__xludf.DUMMYFUNCTION("""COMPUTED_VALUE"""),977.0)</f>
        <v>977</v>
      </c>
      <c r="T2479" s="5" t="str">
        <f>IFERROR(__xludf.DUMMYFUNCTION("""COMPUTED_VALUE"""),"The Little Mermaid")</f>
        <v>The Little Mermaid</v>
      </c>
      <c r="U2479" s="5" t="str">
        <f>IFERROR(__xludf.DUMMYFUNCTION("""COMPUTED_VALUE"""),"Family")</f>
        <v>Family</v>
      </c>
      <c r="V2479" s="5">
        <f>IFERROR(__xludf.DUMMYFUNCTION("""COMPUTED_VALUE"""),2.0)</f>
        <v>2</v>
      </c>
    </row>
    <row r="2480">
      <c r="J2480" s="5" t="str">
        <f>IFERROR(__xludf.DUMMYFUNCTION("""COMPUTED_VALUE"""),"827🤙🏼Barton Fink🤙🏼Comedy🤙🏼1")</f>
        <v>827🤙🏼Barton Fink🤙🏼Comedy🤙🏼1</v>
      </c>
      <c r="K2480" s="5">
        <f>IFERROR(__xludf.DUMMYFUNCTION("SPLiT(J2480, ""🤙🏼"",FALSE,FALSE)"),827.0)</f>
        <v>827</v>
      </c>
      <c r="L2480" s="5" t="str">
        <f>IFERROR(__xludf.DUMMYFUNCTION("""COMPUTED_VALUE"""),"Barton Fink")</f>
        <v>Barton Fink</v>
      </c>
      <c r="M2480" s="5" t="str">
        <f>IFERROR(__xludf.DUMMYFUNCTION("""COMPUTED_VALUE"""),"Comedy")</f>
        <v>Comedy</v>
      </c>
      <c r="N2480" s="5">
        <f>IFERROR(__xludf.DUMMYFUNCTION("""COMPUTED_VALUE"""),1.0)</f>
        <v>1</v>
      </c>
      <c r="S2480" s="5">
        <f>IFERROR(__xludf.DUMMYFUNCTION("""COMPUTED_VALUE"""),977.0)</f>
        <v>977</v>
      </c>
      <c r="T2480" s="5" t="str">
        <f>IFERROR(__xludf.DUMMYFUNCTION("""COMPUTED_VALUE"""),"The Little Mermaid")</f>
        <v>The Little Mermaid</v>
      </c>
      <c r="U2480" s="5" t="str">
        <f>IFERROR(__xludf.DUMMYFUNCTION("""COMPUTED_VALUE"""),"Fantasy")</f>
        <v>Fantasy</v>
      </c>
      <c r="V2480" s="5">
        <f>IFERROR(__xludf.DUMMYFUNCTION("""COMPUTED_VALUE"""),3.0)</f>
        <v>3</v>
      </c>
    </row>
    <row r="2481">
      <c r="J2481" s="5" t="str">
        <f>IFERROR(__xludf.DUMMYFUNCTION("""COMPUTED_VALUE"""),"827🤙🏼Barton Fink🤙🏼Drama🤙🏼2")</f>
        <v>827🤙🏼Barton Fink🤙🏼Drama🤙🏼2</v>
      </c>
      <c r="K2481" s="5">
        <f>IFERROR(__xludf.DUMMYFUNCTION("SPLiT(J2481, ""🤙🏼"",FALSE,FALSE)"),827.0)</f>
        <v>827</v>
      </c>
      <c r="L2481" s="5" t="str">
        <f>IFERROR(__xludf.DUMMYFUNCTION("""COMPUTED_VALUE"""),"Barton Fink")</f>
        <v>Barton Fink</v>
      </c>
      <c r="M2481" s="5" t="str">
        <f>IFERROR(__xludf.DUMMYFUNCTION("""COMPUTED_VALUE"""),"Drama")</f>
        <v>Drama</v>
      </c>
      <c r="N2481" s="5">
        <f>IFERROR(__xludf.DUMMYFUNCTION("""COMPUTED_VALUE"""),2.0)</f>
        <v>2</v>
      </c>
      <c r="S2481" s="5">
        <f>IFERROR(__xludf.DUMMYFUNCTION("""COMPUTED_VALUE"""),978.0)</f>
        <v>978</v>
      </c>
      <c r="T2481" s="5" t="str">
        <f>IFERROR(__xludf.DUMMYFUNCTION("""COMPUTED_VALUE"""),"The Naked Gun: From the Files of Police Squad!")</f>
        <v>The Naked Gun: From the Files of Police Squad!</v>
      </c>
      <c r="U2481" s="5" t="str">
        <f>IFERROR(__xludf.DUMMYFUNCTION("""COMPUTED_VALUE"""),"Comedy")</f>
        <v>Comedy</v>
      </c>
      <c r="V2481" s="5">
        <f>IFERROR(__xludf.DUMMYFUNCTION("""COMPUTED_VALUE"""),1.0)</f>
        <v>1</v>
      </c>
    </row>
    <row r="2482">
      <c r="J2482" s="5" t="str">
        <f>IFERROR(__xludf.DUMMYFUNCTION("""COMPUTED_VALUE"""),"827🤙🏼Barton Fink🤙🏼Thriller🤙🏼3")</f>
        <v>827🤙🏼Barton Fink🤙🏼Thriller🤙🏼3</v>
      </c>
      <c r="K2482" s="5">
        <f>IFERROR(__xludf.DUMMYFUNCTION("SPLiT(J2482, ""🤙🏼"",FALSE,FALSE)"),827.0)</f>
        <v>827</v>
      </c>
      <c r="L2482" s="5" t="str">
        <f>IFERROR(__xludf.DUMMYFUNCTION("""COMPUTED_VALUE"""),"Barton Fink")</f>
        <v>Barton Fink</v>
      </c>
      <c r="M2482" s="5" t="str">
        <f>IFERROR(__xludf.DUMMYFUNCTION("""COMPUTED_VALUE"""),"Thriller")</f>
        <v>Thriller</v>
      </c>
      <c r="N2482" s="5">
        <f>IFERROR(__xludf.DUMMYFUNCTION("""COMPUTED_VALUE"""),3.0)</f>
        <v>3</v>
      </c>
      <c r="S2482" s="5">
        <f>IFERROR(__xludf.DUMMYFUNCTION("""COMPUTED_VALUE"""),978.0)</f>
        <v>978</v>
      </c>
      <c r="T2482" s="5" t="str">
        <f>IFERROR(__xludf.DUMMYFUNCTION("""COMPUTED_VALUE"""),"The Naked Gun: From the Files of Police Squad!")</f>
        <v>The Naked Gun: From the Files of Police Squad!</v>
      </c>
      <c r="U2482" s="5" t="str">
        <f>IFERROR(__xludf.DUMMYFUNCTION("""COMPUTED_VALUE"""),"Crime")</f>
        <v>Crime</v>
      </c>
      <c r="V2482" s="5">
        <f>IFERROR(__xludf.DUMMYFUNCTION("""COMPUTED_VALUE"""),2.0)</f>
        <v>2</v>
      </c>
    </row>
    <row r="2483">
      <c r="J2483" s="5" t="str">
        <f>IFERROR(__xludf.DUMMYFUNCTION("""COMPUTED_VALUE"""),"828🤙🏼Miller's Crossing🤙🏼Crime🤙🏼1")</f>
        <v>828🤙🏼Miller's Crossing🤙🏼Crime🤙🏼1</v>
      </c>
      <c r="K2483" s="5">
        <f>IFERROR(__xludf.DUMMYFUNCTION("SPLiT(J2483, ""🤙🏼"",FALSE,FALSE)"),828.0)</f>
        <v>828</v>
      </c>
      <c r="L2483" s="5" t="str">
        <f>IFERROR(__xludf.DUMMYFUNCTION("""COMPUTED_VALUE"""),"Miller's Crossing")</f>
        <v>Miller's Crossing</v>
      </c>
      <c r="M2483" s="5" t="str">
        <f>IFERROR(__xludf.DUMMYFUNCTION("""COMPUTED_VALUE"""),"Crime")</f>
        <v>Crime</v>
      </c>
      <c r="N2483" s="5">
        <f>IFERROR(__xludf.DUMMYFUNCTION("""COMPUTED_VALUE"""),1.0)</f>
        <v>1</v>
      </c>
      <c r="S2483" s="5">
        <f>IFERROR(__xludf.DUMMYFUNCTION("""COMPUTED_VALUE"""),979.0)</f>
        <v>979</v>
      </c>
      <c r="T2483" s="5" t="str">
        <f>IFERROR(__xludf.DUMMYFUNCTION("""COMPUTED_VALUE"""),"Planes, Trains &amp; Automobiles")</f>
        <v>Planes, Trains &amp; Automobiles</v>
      </c>
      <c r="U2483" s="5" t="str">
        <f>IFERROR(__xludf.DUMMYFUNCTION("""COMPUTED_VALUE"""),"Comedy")</f>
        <v>Comedy</v>
      </c>
      <c r="V2483" s="5">
        <f>IFERROR(__xludf.DUMMYFUNCTION("""COMPUTED_VALUE"""),1.0)</f>
        <v>1</v>
      </c>
    </row>
    <row r="2484">
      <c r="J2484" s="5" t="str">
        <f>IFERROR(__xludf.DUMMYFUNCTION("""COMPUTED_VALUE"""),"828🤙🏼Miller's Crossing🤙🏼Drama🤙🏼2")</f>
        <v>828🤙🏼Miller's Crossing🤙🏼Drama🤙🏼2</v>
      </c>
      <c r="K2484" s="5">
        <f>IFERROR(__xludf.DUMMYFUNCTION("SPLiT(J2484, ""🤙🏼"",FALSE,FALSE)"),828.0)</f>
        <v>828</v>
      </c>
      <c r="L2484" s="5" t="str">
        <f>IFERROR(__xludf.DUMMYFUNCTION("""COMPUTED_VALUE"""),"Miller's Crossing")</f>
        <v>Miller's Crossing</v>
      </c>
      <c r="M2484" s="5" t="str">
        <f>IFERROR(__xludf.DUMMYFUNCTION("""COMPUTED_VALUE"""),"Drama")</f>
        <v>Drama</v>
      </c>
      <c r="N2484" s="5">
        <f>IFERROR(__xludf.DUMMYFUNCTION("""COMPUTED_VALUE"""),2.0)</f>
        <v>2</v>
      </c>
      <c r="S2484" s="5">
        <f>IFERROR(__xludf.DUMMYFUNCTION("""COMPUTED_VALUE"""),979.0)</f>
        <v>979</v>
      </c>
      <c r="T2484" s="5" t="str">
        <f>IFERROR(__xludf.DUMMYFUNCTION("""COMPUTED_VALUE"""),"Planes, Trains &amp; Automobiles")</f>
        <v>Planes, Trains &amp; Automobiles</v>
      </c>
      <c r="U2484" s="5" t="str">
        <f>IFERROR(__xludf.DUMMYFUNCTION("""COMPUTED_VALUE"""),"Drama")</f>
        <v>Drama</v>
      </c>
      <c r="V2484" s="5">
        <f>IFERROR(__xludf.DUMMYFUNCTION("""COMPUTED_VALUE"""),2.0)</f>
        <v>2</v>
      </c>
    </row>
    <row r="2485">
      <c r="J2485" s="5" t="str">
        <f>IFERROR(__xludf.DUMMYFUNCTION("""COMPUTED_VALUE"""),"828🤙🏼Miller's Crossing🤙🏼Thriller🤙🏼3")</f>
        <v>828🤙🏼Miller's Crossing🤙🏼Thriller🤙🏼3</v>
      </c>
      <c r="K2485" s="5">
        <f>IFERROR(__xludf.DUMMYFUNCTION("SPLiT(J2485, ""🤙🏼"",FALSE,FALSE)"),828.0)</f>
        <v>828</v>
      </c>
      <c r="L2485" s="5" t="str">
        <f>IFERROR(__xludf.DUMMYFUNCTION("""COMPUTED_VALUE"""),"Miller's Crossing")</f>
        <v>Miller's Crossing</v>
      </c>
      <c r="M2485" s="5" t="str">
        <f>IFERROR(__xludf.DUMMYFUNCTION("""COMPUTED_VALUE"""),"Thriller")</f>
        <v>Thriller</v>
      </c>
      <c r="N2485" s="5">
        <f>IFERROR(__xludf.DUMMYFUNCTION("""COMPUTED_VALUE"""),3.0)</f>
        <v>3</v>
      </c>
      <c r="S2485" s="5">
        <f>IFERROR(__xludf.DUMMYFUNCTION("""COMPUTED_VALUE"""),980.0)</f>
        <v>980</v>
      </c>
      <c r="T2485" s="5" t="str">
        <f>IFERROR(__xludf.DUMMYFUNCTION("""COMPUTED_VALUE"""),"Lethal Weapon")</f>
        <v>Lethal Weapon</v>
      </c>
      <c r="U2485" s="5" t="str">
        <f>IFERROR(__xludf.DUMMYFUNCTION("""COMPUTED_VALUE"""),"Action")</f>
        <v>Action</v>
      </c>
      <c r="V2485" s="5">
        <f>IFERROR(__xludf.DUMMYFUNCTION("""COMPUTED_VALUE"""),1.0)</f>
        <v>1</v>
      </c>
    </row>
    <row r="2486">
      <c r="J2486" s="5" t="str">
        <f>IFERROR(__xludf.DUMMYFUNCTION("""COMPUTED_VALUE"""),"829🤙🏼Who Framed Roger Rabbit🤙🏼Animation🤙🏼1")</f>
        <v>829🤙🏼Who Framed Roger Rabbit🤙🏼Animation🤙🏼1</v>
      </c>
      <c r="K2486" s="5">
        <f>IFERROR(__xludf.DUMMYFUNCTION("SPLiT(J2486, ""🤙🏼"",FALSE,FALSE)"),829.0)</f>
        <v>829</v>
      </c>
      <c r="L2486" s="5" t="str">
        <f>IFERROR(__xludf.DUMMYFUNCTION("""COMPUTED_VALUE"""),"Who Framed Roger Rabbit")</f>
        <v>Who Framed Roger Rabbit</v>
      </c>
      <c r="M2486" s="5" t="str">
        <f>IFERROR(__xludf.DUMMYFUNCTION("""COMPUTED_VALUE"""),"Animation")</f>
        <v>Animation</v>
      </c>
      <c r="N2486" s="5">
        <f>IFERROR(__xludf.DUMMYFUNCTION("""COMPUTED_VALUE"""),1.0)</f>
        <v>1</v>
      </c>
      <c r="S2486" s="5">
        <f>IFERROR(__xludf.DUMMYFUNCTION("""COMPUTED_VALUE"""),980.0)</f>
        <v>980</v>
      </c>
      <c r="T2486" s="5" t="str">
        <f>IFERROR(__xludf.DUMMYFUNCTION("""COMPUTED_VALUE"""),"Lethal Weapon")</f>
        <v>Lethal Weapon</v>
      </c>
      <c r="U2486" s="5" t="str">
        <f>IFERROR(__xludf.DUMMYFUNCTION("""COMPUTED_VALUE"""),"Crime")</f>
        <v>Crime</v>
      </c>
      <c r="V2486" s="5">
        <f>IFERROR(__xludf.DUMMYFUNCTION("""COMPUTED_VALUE"""),2.0)</f>
        <v>2</v>
      </c>
    </row>
    <row r="2487">
      <c r="J2487" s="5" t="str">
        <f>IFERROR(__xludf.DUMMYFUNCTION("""COMPUTED_VALUE"""),"829🤙🏼Who Framed Roger Rabbit🤙🏼Adventure🤙🏼2")</f>
        <v>829🤙🏼Who Framed Roger Rabbit🤙🏼Adventure🤙🏼2</v>
      </c>
      <c r="K2487" s="5">
        <f>IFERROR(__xludf.DUMMYFUNCTION("SPLiT(J2487, ""🤙🏼"",FALSE,FALSE)"),829.0)</f>
        <v>829</v>
      </c>
      <c r="L2487" s="5" t="str">
        <f>IFERROR(__xludf.DUMMYFUNCTION("""COMPUTED_VALUE"""),"Who Framed Roger Rabbit")</f>
        <v>Who Framed Roger Rabbit</v>
      </c>
      <c r="M2487" s="5" t="str">
        <f>IFERROR(__xludf.DUMMYFUNCTION("""COMPUTED_VALUE"""),"Adventure")</f>
        <v>Adventure</v>
      </c>
      <c r="N2487" s="5">
        <f>IFERROR(__xludf.DUMMYFUNCTION("""COMPUTED_VALUE"""),2.0)</f>
        <v>2</v>
      </c>
      <c r="S2487" s="5">
        <f>IFERROR(__xludf.DUMMYFUNCTION("""COMPUTED_VALUE"""),980.0)</f>
        <v>980</v>
      </c>
      <c r="T2487" s="5" t="str">
        <f>IFERROR(__xludf.DUMMYFUNCTION("""COMPUTED_VALUE"""),"Lethal Weapon")</f>
        <v>Lethal Weapon</v>
      </c>
      <c r="U2487" s="5" t="str">
        <f>IFERROR(__xludf.DUMMYFUNCTION("""COMPUTED_VALUE"""),"Thriller")</f>
        <v>Thriller</v>
      </c>
      <c r="V2487" s="5">
        <f>IFERROR(__xludf.DUMMYFUNCTION("""COMPUTED_VALUE"""),3.0)</f>
        <v>3</v>
      </c>
    </row>
    <row r="2488">
      <c r="J2488" s="5" t="str">
        <f>IFERROR(__xludf.DUMMYFUNCTION("""COMPUTED_VALUE"""),"829🤙🏼Who Framed Roger Rabbit🤙🏼Comedy🤙🏼3")</f>
        <v>829🤙🏼Who Framed Roger Rabbit🤙🏼Comedy🤙🏼3</v>
      </c>
      <c r="K2488" s="5">
        <f>IFERROR(__xludf.DUMMYFUNCTION("SPLiT(J2488, ""🤙🏼"",FALSE,FALSE)"),829.0)</f>
        <v>829</v>
      </c>
      <c r="L2488" s="5" t="str">
        <f>IFERROR(__xludf.DUMMYFUNCTION("""COMPUTED_VALUE"""),"Who Framed Roger Rabbit")</f>
        <v>Who Framed Roger Rabbit</v>
      </c>
      <c r="M2488" s="5" t="str">
        <f>IFERROR(__xludf.DUMMYFUNCTION("""COMPUTED_VALUE"""),"Comedy")</f>
        <v>Comedy</v>
      </c>
      <c r="N2488" s="5">
        <f>IFERROR(__xludf.DUMMYFUNCTION("""COMPUTED_VALUE"""),3.0)</f>
        <v>3</v>
      </c>
      <c r="S2488" s="5">
        <f>IFERROR(__xludf.DUMMYFUNCTION("""COMPUTED_VALUE"""),981.0)</f>
        <v>981</v>
      </c>
      <c r="T2488" s="5" t="str">
        <f>IFERROR(__xludf.DUMMYFUNCTION("""COMPUTED_VALUE"""),"Blood Simple")</f>
        <v>Blood Simple</v>
      </c>
      <c r="U2488" s="5" t="str">
        <f>IFERROR(__xludf.DUMMYFUNCTION("""COMPUTED_VALUE"""),"Crime")</f>
        <v>Crime</v>
      </c>
      <c r="V2488" s="5">
        <f>IFERROR(__xludf.DUMMYFUNCTION("""COMPUTED_VALUE"""),1.0)</f>
        <v>1</v>
      </c>
    </row>
    <row r="2489">
      <c r="J2489" s="5" t="str">
        <f>IFERROR(__xludf.DUMMYFUNCTION("""COMPUTED_VALUE"""),"830🤙🏼Spoorloos🤙🏼Mystery🤙🏼1")</f>
        <v>830🤙🏼Spoorloos🤙🏼Mystery🤙🏼1</v>
      </c>
      <c r="K2489" s="5">
        <f>IFERROR(__xludf.DUMMYFUNCTION("SPLiT(J2489, ""🤙🏼"",FALSE,FALSE)"),830.0)</f>
        <v>830</v>
      </c>
      <c r="L2489" s="5" t="str">
        <f>IFERROR(__xludf.DUMMYFUNCTION("""COMPUTED_VALUE"""),"Spoorloos")</f>
        <v>Spoorloos</v>
      </c>
      <c r="M2489" s="5" t="str">
        <f>IFERROR(__xludf.DUMMYFUNCTION("""COMPUTED_VALUE"""),"Mystery")</f>
        <v>Mystery</v>
      </c>
      <c r="N2489" s="5">
        <f>IFERROR(__xludf.DUMMYFUNCTION("""COMPUTED_VALUE"""),1.0)</f>
        <v>1</v>
      </c>
      <c r="S2489" s="5">
        <f>IFERROR(__xludf.DUMMYFUNCTION("""COMPUTED_VALUE"""),981.0)</f>
        <v>981</v>
      </c>
      <c r="T2489" s="5" t="str">
        <f>IFERROR(__xludf.DUMMYFUNCTION("""COMPUTED_VALUE"""),"Blood Simple")</f>
        <v>Blood Simple</v>
      </c>
      <c r="U2489" s="5" t="str">
        <f>IFERROR(__xludf.DUMMYFUNCTION("""COMPUTED_VALUE"""),"Drama")</f>
        <v>Drama</v>
      </c>
      <c r="V2489" s="5">
        <f>IFERROR(__xludf.DUMMYFUNCTION("""COMPUTED_VALUE"""),2.0)</f>
        <v>2</v>
      </c>
    </row>
    <row r="2490">
      <c r="J2490" s="5" t="str">
        <f>IFERROR(__xludf.DUMMYFUNCTION("""COMPUTED_VALUE"""),"830🤙🏼Spoorloos🤙🏼Thriller🤙🏼2")</f>
        <v>830🤙🏼Spoorloos🤙🏼Thriller🤙🏼2</v>
      </c>
      <c r="K2490" s="5">
        <f>IFERROR(__xludf.DUMMYFUNCTION("SPLiT(J2490, ""🤙🏼"",FALSE,FALSE)"),830.0)</f>
        <v>830</v>
      </c>
      <c r="L2490" s="5" t="str">
        <f>IFERROR(__xludf.DUMMYFUNCTION("""COMPUTED_VALUE"""),"Spoorloos")</f>
        <v>Spoorloos</v>
      </c>
      <c r="M2490" s="5" t="str">
        <f>IFERROR(__xludf.DUMMYFUNCTION("""COMPUTED_VALUE"""),"Thriller")</f>
        <v>Thriller</v>
      </c>
      <c r="N2490" s="5">
        <f>IFERROR(__xludf.DUMMYFUNCTION("""COMPUTED_VALUE"""),2.0)</f>
        <v>2</v>
      </c>
      <c r="S2490" s="5">
        <f>IFERROR(__xludf.DUMMYFUNCTION("""COMPUTED_VALUE"""),981.0)</f>
        <v>981</v>
      </c>
      <c r="T2490" s="5" t="str">
        <f>IFERROR(__xludf.DUMMYFUNCTION("""COMPUTED_VALUE"""),"Blood Simple")</f>
        <v>Blood Simple</v>
      </c>
      <c r="U2490" s="5" t="str">
        <f>IFERROR(__xludf.DUMMYFUNCTION("""COMPUTED_VALUE"""),"Thriller")</f>
        <v>Thriller</v>
      </c>
      <c r="V2490" s="5">
        <f>IFERROR(__xludf.DUMMYFUNCTION("""COMPUTED_VALUE"""),3.0)</f>
        <v>3</v>
      </c>
    </row>
    <row r="2491">
      <c r="J2491" s="5" t="str">
        <f>IFERROR(__xludf.DUMMYFUNCTION("""COMPUTED_VALUE"""),"830🤙🏼Spoorloos🤙🏼🤙🏼3")</f>
        <v>830🤙🏼Spoorloos🤙🏼🤙🏼3</v>
      </c>
      <c r="K2491" s="5">
        <f>IFERROR(__xludf.DUMMYFUNCTION("SPLiT(J2491, ""🤙🏼"",FALSE,FALSE)"),830.0)</f>
        <v>830</v>
      </c>
      <c r="L2491" s="5" t="str">
        <f>IFERROR(__xludf.DUMMYFUNCTION("""COMPUTED_VALUE"""),"Spoorloos")</f>
        <v>Spoorloos</v>
      </c>
      <c r="M2491" s="5"/>
      <c r="N2491" s="5">
        <f>IFERROR(__xludf.DUMMYFUNCTION("""COMPUTED_VALUE"""),3.0)</f>
        <v>3</v>
      </c>
      <c r="S2491" s="5">
        <f>IFERROR(__xludf.DUMMYFUNCTION("""COMPUTED_VALUE"""),982.0)</f>
        <v>982</v>
      </c>
      <c r="T2491" s="5" t="str">
        <f>IFERROR(__xludf.DUMMYFUNCTION("""COMPUTED_VALUE"""),"On Golden Pond")</f>
        <v>On Golden Pond</v>
      </c>
      <c r="U2491" s="5" t="str">
        <f>IFERROR(__xludf.DUMMYFUNCTION("""COMPUTED_VALUE"""),"Drama")</f>
        <v>Drama</v>
      </c>
      <c r="V2491" s="5">
        <f>IFERROR(__xludf.DUMMYFUNCTION("""COMPUTED_VALUE"""),1.0)</f>
        <v>1</v>
      </c>
    </row>
    <row r="2492">
      <c r="J2492" s="5" t="str">
        <f>IFERROR(__xludf.DUMMYFUNCTION("""COMPUTED_VALUE"""),"831🤙🏼Withnail &amp; I🤙🏼Comedy🤙🏼1")</f>
        <v>831🤙🏼Withnail &amp; I🤙🏼Comedy🤙🏼1</v>
      </c>
      <c r="K2492" s="5">
        <f>IFERROR(__xludf.DUMMYFUNCTION("SPLiT(J2492, ""🤙🏼"",FALSE,FALSE)"),831.0)</f>
        <v>831</v>
      </c>
      <c r="L2492" s="5" t="str">
        <f>IFERROR(__xludf.DUMMYFUNCTION("""COMPUTED_VALUE"""),"Withnail &amp; I")</f>
        <v>Withnail &amp; I</v>
      </c>
      <c r="M2492" s="5" t="str">
        <f>IFERROR(__xludf.DUMMYFUNCTION("""COMPUTED_VALUE"""),"Comedy")</f>
        <v>Comedy</v>
      </c>
      <c r="N2492" s="5">
        <f>IFERROR(__xludf.DUMMYFUNCTION("""COMPUTED_VALUE"""),1.0)</f>
        <v>1</v>
      </c>
      <c r="S2492" s="5">
        <f>IFERROR(__xludf.DUMMYFUNCTION("""COMPUTED_VALUE"""),983.0)</f>
        <v>983</v>
      </c>
      <c r="T2492" s="5" t="str">
        <f>IFERROR(__xludf.DUMMYFUNCTION("""COMPUTED_VALUE"""),"Mad Max 2")</f>
        <v>Mad Max 2</v>
      </c>
      <c r="U2492" s="5" t="str">
        <f>IFERROR(__xludf.DUMMYFUNCTION("""COMPUTED_VALUE"""),"Action")</f>
        <v>Action</v>
      </c>
      <c r="V2492" s="5">
        <f>IFERROR(__xludf.DUMMYFUNCTION("""COMPUTED_VALUE"""),1.0)</f>
        <v>1</v>
      </c>
    </row>
    <row r="2493">
      <c r="J2493" s="5" t="str">
        <f>IFERROR(__xludf.DUMMYFUNCTION("""COMPUTED_VALUE"""),"831🤙🏼Withnail &amp; I🤙🏼Drama🤙🏼2")</f>
        <v>831🤙🏼Withnail &amp; I🤙🏼Drama🤙🏼2</v>
      </c>
      <c r="K2493" s="5">
        <f>IFERROR(__xludf.DUMMYFUNCTION("SPLiT(J2493, ""🤙🏼"",FALSE,FALSE)"),831.0)</f>
        <v>831</v>
      </c>
      <c r="L2493" s="5" t="str">
        <f>IFERROR(__xludf.DUMMYFUNCTION("""COMPUTED_VALUE"""),"Withnail &amp; I")</f>
        <v>Withnail &amp; I</v>
      </c>
      <c r="M2493" s="5" t="str">
        <f>IFERROR(__xludf.DUMMYFUNCTION("""COMPUTED_VALUE"""),"Drama")</f>
        <v>Drama</v>
      </c>
      <c r="N2493" s="5">
        <f>IFERROR(__xludf.DUMMYFUNCTION("""COMPUTED_VALUE"""),2.0)</f>
        <v>2</v>
      </c>
      <c r="S2493" s="5">
        <f>IFERROR(__xludf.DUMMYFUNCTION("""COMPUTED_VALUE"""),983.0)</f>
        <v>983</v>
      </c>
      <c r="T2493" s="5" t="str">
        <f>IFERROR(__xludf.DUMMYFUNCTION("""COMPUTED_VALUE"""),"Mad Max 2")</f>
        <v>Mad Max 2</v>
      </c>
      <c r="U2493" s="5" t="str">
        <f>IFERROR(__xludf.DUMMYFUNCTION("""COMPUTED_VALUE"""),"Adventure")</f>
        <v>Adventure</v>
      </c>
      <c r="V2493" s="5">
        <f>IFERROR(__xludf.DUMMYFUNCTION("""COMPUTED_VALUE"""),2.0)</f>
        <v>2</v>
      </c>
    </row>
    <row r="2494">
      <c r="J2494" s="5" t="str">
        <f>IFERROR(__xludf.DUMMYFUNCTION("""COMPUTED_VALUE"""),"831🤙🏼Withnail &amp; I🤙🏼🤙🏼3")</f>
        <v>831🤙🏼Withnail &amp; I🤙🏼🤙🏼3</v>
      </c>
      <c r="K2494" s="5">
        <f>IFERROR(__xludf.DUMMYFUNCTION("SPLiT(J2494, ""🤙🏼"",FALSE,FALSE)"),831.0)</f>
        <v>831</v>
      </c>
      <c r="L2494" s="5" t="str">
        <f>IFERROR(__xludf.DUMMYFUNCTION("""COMPUTED_VALUE"""),"Withnail &amp; I")</f>
        <v>Withnail &amp; I</v>
      </c>
      <c r="M2494" s="5"/>
      <c r="N2494" s="5">
        <f>IFERROR(__xludf.DUMMYFUNCTION("""COMPUTED_VALUE"""),3.0)</f>
        <v>3</v>
      </c>
      <c r="S2494" s="5">
        <f>IFERROR(__xludf.DUMMYFUNCTION("""COMPUTED_VALUE"""),983.0)</f>
        <v>983</v>
      </c>
      <c r="T2494" s="5" t="str">
        <f>IFERROR(__xludf.DUMMYFUNCTION("""COMPUTED_VALUE"""),"Mad Max 2")</f>
        <v>Mad Max 2</v>
      </c>
      <c r="U2494" s="5" t="str">
        <f>IFERROR(__xludf.DUMMYFUNCTION("""COMPUTED_VALUE"""),"Sci-Fi")</f>
        <v>Sci-Fi</v>
      </c>
      <c r="V2494" s="5">
        <f>IFERROR(__xludf.DUMMYFUNCTION("""COMPUTED_VALUE"""),3.0)</f>
        <v>3</v>
      </c>
    </row>
    <row r="2495">
      <c r="J2495" s="5" t="str">
        <f>IFERROR(__xludf.DUMMYFUNCTION("""COMPUTED_VALUE"""),"832🤙🏼The Last Emperor🤙🏼Biography🤙🏼1")</f>
        <v>832🤙🏼The Last Emperor🤙🏼Biography🤙🏼1</v>
      </c>
      <c r="K2495" s="5">
        <f>IFERROR(__xludf.DUMMYFUNCTION("SPLiT(J2495, ""🤙🏼"",FALSE,FALSE)"),832.0)</f>
        <v>832</v>
      </c>
      <c r="L2495" s="5" t="str">
        <f>IFERROR(__xludf.DUMMYFUNCTION("""COMPUTED_VALUE"""),"The Last Emperor")</f>
        <v>The Last Emperor</v>
      </c>
      <c r="M2495" s="5" t="str">
        <f>IFERROR(__xludf.DUMMYFUNCTION("""COMPUTED_VALUE"""),"Biography")</f>
        <v>Biography</v>
      </c>
      <c r="N2495" s="5">
        <f>IFERROR(__xludf.DUMMYFUNCTION("""COMPUTED_VALUE"""),1.0)</f>
        <v>1</v>
      </c>
      <c r="S2495" s="5">
        <f>IFERROR(__xludf.DUMMYFUNCTION("""COMPUTED_VALUE"""),984.0)</f>
        <v>984</v>
      </c>
      <c r="T2495" s="5" t="str">
        <f>IFERROR(__xludf.DUMMYFUNCTION("""COMPUTED_VALUE"""),"The Warriors")</f>
        <v>The Warriors</v>
      </c>
      <c r="U2495" s="5" t="str">
        <f>IFERROR(__xludf.DUMMYFUNCTION("""COMPUTED_VALUE"""),"Action")</f>
        <v>Action</v>
      </c>
      <c r="V2495" s="5">
        <f>IFERROR(__xludf.DUMMYFUNCTION("""COMPUTED_VALUE"""),1.0)</f>
        <v>1</v>
      </c>
    </row>
    <row r="2496">
      <c r="J2496" s="5" t="str">
        <f>IFERROR(__xludf.DUMMYFUNCTION("""COMPUTED_VALUE"""),"832🤙🏼The Last Emperor🤙🏼Drama🤙🏼2")</f>
        <v>832🤙🏼The Last Emperor🤙🏼Drama🤙🏼2</v>
      </c>
      <c r="K2496" s="5">
        <f>IFERROR(__xludf.DUMMYFUNCTION("SPLiT(J2496, ""🤙🏼"",FALSE,FALSE)"),832.0)</f>
        <v>832</v>
      </c>
      <c r="L2496" s="5" t="str">
        <f>IFERROR(__xludf.DUMMYFUNCTION("""COMPUTED_VALUE"""),"The Last Emperor")</f>
        <v>The Last Emperor</v>
      </c>
      <c r="M2496" s="5" t="str">
        <f>IFERROR(__xludf.DUMMYFUNCTION("""COMPUTED_VALUE"""),"Drama")</f>
        <v>Drama</v>
      </c>
      <c r="N2496" s="5">
        <f>IFERROR(__xludf.DUMMYFUNCTION("""COMPUTED_VALUE"""),2.0)</f>
        <v>2</v>
      </c>
      <c r="S2496" s="5">
        <f>IFERROR(__xludf.DUMMYFUNCTION("""COMPUTED_VALUE"""),984.0)</f>
        <v>984</v>
      </c>
      <c r="T2496" s="5" t="str">
        <f>IFERROR(__xludf.DUMMYFUNCTION("""COMPUTED_VALUE"""),"The Warriors")</f>
        <v>The Warriors</v>
      </c>
      <c r="U2496" s="5" t="str">
        <f>IFERROR(__xludf.DUMMYFUNCTION("""COMPUTED_VALUE"""),"Crime")</f>
        <v>Crime</v>
      </c>
      <c r="V2496" s="5">
        <f>IFERROR(__xludf.DUMMYFUNCTION("""COMPUTED_VALUE"""),2.0)</f>
        <v>2</v>
      </c>
    </row>
    <row r="2497">
      <c r="J2497" s="5" t="str">
        <f>IFERROR(__xludf.DUMMYFUNCTION("""COMPUTED_VALUE"""),"832🤙🏼The Last Emperor🤙🏼History🤙🏼3")</f>
        <v>832🤙🏼The Last Emperor🤙🏼History🤙🏼3</v>
      </c>
      <c r="K2497" s="5">
        <f>IFERROR(__xludf.DUMMYFUNCTION("SPLiT(J2497, ""🤙🏼"",FALSE,FALSE)"),832.0)</f>
        <v>832</v>
      </c>
      <c r="L2497" s="5" t="str">
        <f>IFERROR(__xludf.DUMMYFUNCTION("""COMPUTED_VALUE"""),"The Last Emperor")</f>
        <v>The Last Emperor</v>
      </c>
      <c r="M2497" s="5" t="str">
        <f>IFERROR(__xludf.DUMMYFUNCTION("""COMPUTED_VALUE"""),"History")</f>
        <v>History</v>
      </c>
      <c r="N2497" s="5">
        <f>IFERROR(__xludf.DUMMYFUNCTION("""COMPUTED_VALUE"""),3.0)</f>
        <v>3</v>
      </c>
      <c r="S2497" s="5">
        <f>IFERROR(__xludf.DUMMYFUNCTION("""COMPUTED_VALUE"""),984.0)</f>
        <v>984</v>
      </c>
      <c r="T2497" s="5" t="str">
        <f>IFERROR(__xludf.DUMMYFUNCTION("""COMPUTED_VALUE"""),"The Warriors")</f>
        <v>The Warriors</v>
      </c>
      <c r="U2497" s="5" t="str">
        <f>IFERROR(__xludf.DUMMYFUNCTION("""COMPUTED_VALUE"""),"Thriller")</f>
        <v>Thriller</v>
      </c>
      <c r="V2497" s="5">
        <f>IFERROR(__xludf.DUMMYFUNCTION("""COMPUTED_VALUE"""),3.0)</f>
        <v>3</v>
      </c>
    </row>
    <row r="2498">
      <c r="J2498" s="5" t="str">
        <f>IFERROR(__xludf.DUMMYFUNCTION("""COMPUTED_VALUE"""),"833🤙🏼Empire of the Sun🤙🏼Action🤙🏼1")</f>
        <v>833🤙🏼Empire of the Sun🤙🏼Action🤙🏼1</v>
      </c>
      <c r="K2498" s="5">
        <f>IFERROR(__xludf.DUMMYFUNCTION("SPLiT(J2498, ""🤙🏼"",FALSE,FALSE)"),833.0)</f>
        <v>833</v>
      </c>
      <c r="L2498" s="5" t="str">
        <f>IFERROR(__xludf.DUMMYFUNCTION("""COMPUTED_VALUE"""),"Empire of the Sun")</f>
        <v>Empire of the Sun</v>
      </c>
      <c r="M2498" s="5" t="str">
        <f>IFERROR(__xludf.DUMMYFUNCTION("""COMPUTED_VALUE"""),"Action")</f>
        <v>Action</v>
      </c>
      <c r="N2498" s="5">
        <f>IFERROR(__xludf.DUMMYFUNCTION("""COMPUTED_VALUE"""),1.0)</f>
        <v>1</v>
      </c>
      <c r="S2498" s="5">
        <f>IFERROR(__xludf.DUMMYFUNCTION("""COMPUTED_VALUE"""),985.0)</f>
        <v>985</v>
      </c>
      <c r="T2498" s="5" t="str">
        <f>IFERROR(__xludf.DUMMYFUNCTION("""COMPUTED_VALUE"""),"The Muppet Movie")</f>
        <v>The Muppet Movie</v>
      </c>
      <c r="U2498" s="5" t="str">
        <f>IFERROR(__xludf.DUMMYFUNCTION("""COMPUTED_VALUE"""),"Adventure")</f>
        <v>Adventure</v>
      </c>
      <c r="V2498" s="5">
        <f>IFERROR(__xludf.DUMMYFUNCTION("""COMPUTED_VALUE"""),1.0)</f>
        <v>1</v>
      </c>
    </row>
    <row r="2499">
      <c r="J2499" s="5" t="str">
        <f>IFERROR(__xludf.DUMMYFUNCTION("""COMPUTED_VALUE"""),"833🤙🏼Empire of the Sun🤙🏼Drama🤙🏼2")</f>
        <v>833🤙🏼Empire of the Sun🤙🏼Drama🤙🏼2</v>
      </c>
      <c r="K2499" s="5">
        <f>IFERROR(__xludf.DUMMYFUNCTION("SPLiT(J2499, ""🤙🏼"",FALSE,FALSE)"),833.0)</f>
        <v>833</v>
      </c>
      <c r="L2499" s="5" t="str">
        <f>IFERROR(__xludf.DUMMYFUNCTION("""COMPUTED_VALUE"""),"Empire of the Sun")</f>
        <v>Empire of the Sun</v>
      </c>
      <c r="M2499" s="5" t="str">
        <f>IFERROR(__xludf.DUMMYFUNCTION("""COMPUTED_VALUE"""),"Drama")</f>
        <v>Drama</v>
      </c>
      <c r="N2499" s="5">
        <f>IFERROR(__xludf.DUMMYFUNCTION("""COMPUTED_VALUE"""),2.0)</f>
        <v>2</v>
      </c>
      <c r="S2499" s="5">
        <f>IFERROR(__xludf.DUMMYFUNCTION("""COMPUTED_VALUE"""),985.0)</f>
        <v>985</v>
      </c>
      <c r="T2499" s="5" t="str">
        <f>IFERROR(__xludf.DUMMYFUNCTION("""COMPUTED_VALUE"""),"The Muppet Movie")</f>
        <v>The Muppet Movie</v>
      </c>
      <c r="U2499" s="5" t="str">
        <f>IFERROR(__xludf.DUMMYFUNCTION("""COMPUTED_VALUE"""),"Comedy")</f>
        <v>Comedy</v>
      </c>
      <c r="V2499" s="5">
        <f>IFERROR(__xludf.DUMMYFUNCTION("""COMPUTED_VALUE"""),2.0)</f>
        <v>2</v>
      </c>
    </row>
    <row r="2500">
      <c r="J2500" s="5" t="str">
        <f>IFERROR(__xludf.DUMMYFUNCTION("""COMPUTED_VALUE"""),"833🤙🏼Empire of the Sun🤙🏼History🤙🏼3")</f>
        <v>833🤙🏼Empire of the Sun🤙🏼History🤙🏼3</v>
      </c>
      <c r="K2500" s="5">
        <f>IFERROR(__xludf.DUMMYFUNCTION("SPLiT(J2500, ""🤙🏼"",FALSE,FALSE)"),833.0)</f>
        <v>833</v>
      </c>
      <c r="L2500" s="5" t="str">
        <f>IFERROR(__xludf.DUMMYFUNCTION("""COMPUTED_VALUE"""),"Empire of the Sun")</f>
        <v>Empire of the Sun</v>
      </c>
      <c r="M2500" s="5" t="str">
        <f>IFERROR(__xludf.DUMMYFUNCTION("""COMPUTED_VALUE"""),"History")</f>
        <v>History</v>
      </c>
      <c r="N2500" s="5">
        <f>IFERROR(__xludf.DUMMYFUNCTION("""COMPUTED_VALUE"""),3.0)</f>
        <v>3</v>
      </c>
      <c r="S2500" s="5">
        <f>IFERROR(__xludf.DUMMYFUNCTION("""COMPUTED_VALUE"""),985.0)</f>
        <v>985</v>
      </c>
      <c r="T2500" s="5" t="str">
        <f>IFERROR(__xludf.DUMMYFUNCTION("""COMPUTED_VALUE"""),"The Muppet Movie")</f>
        <v>The Muppet Movie</v>
      </c>
      <c r="U2500" s="5" t="str">
        <f>IFERROR(__xludf.DUMMYFUNCTION("""COMPUTED_VALUE"""),"Family")</f>
        <v>Family</v>
      </c>
      <c r="V2500" s="5">
        <f>IFERROR(__xludf.DUMMYFUNCTION("""COMPUTED_VALUE"""),3.0)</f>
        <v>3</v>
      </c>
    </row>
    <row r="2501">
      <c r="J2501" s="5" t="str">
        <f>IFERROR(__xludf.DUMMYFUNCTION("""COMPUTED_VALUE"""),"834🤙🏼Der Name der Rose🤙🏼Crime🤙🏼1")</f>
        <v>834🤙🏼Der Name der Rose🤙🏼Crime🤙🏼1</v>
      </c>
      <c r="K2501" s="5">
        <f>IFERROR(__xludf.DUMMYFUNCTION("SPLiT(J2501, ""🤙🏼"",FALSE,FALSE)"),834.0)</f>
        <v>834</v>
      </c>
      <c r="L2501" s="5" t="str">
        <f>IFERROR(__xludf.DUMMYFUNCTION("""COMPUTED_VALUE"""),"Der Name der Rose")</f>
        <v>Der Name der Rose</v>
      </c>
      <c r="M2501" s="5" t="str">
        <f>IFERROR(__xludf.DUMMYFUNCTION("""COMPUTED_VALUE"""),"Crime")</f>
        <v>Crime</v>
      </c>
      <c r="N2501" s="5">
        <f>IFERROR(__xludf.DUMMYFUNCTION("""COMPUTED_VALUE"""),1.0)</f>
        <v>1</v>
      </c>
      <c r="S2501" s="5">
        <f>IFERROR(__xludf.DUMMYFUNCTION("""COMPUTED_VALUE"""),986.0)</f>
        <v>986</v>
      </c>
      <c r="T2501" s="5" t="str">
        <f>IFERROR(__xludf.DUMMYFUNCTION("""COMPUTED_VALUE"""),"Escape from Alcatraz")</f>
        <v>Escape from Alcatraz</v>
      </c>
      <c r="U2501" s="5" t="str">
        <f>IFERROR(__xludf.DUMMYFUNCTION("""COMPUTED_VALUE"""),"Action")</f>
        <v>Action</v>
      </c>
      <c r="V2501" s="5">
        <f>IFERROR(__xludf.DUMMYFUNCTION("""COMPUTED_VALUE"""),1.0)</f>
        <v>1</v>
      </c>
    </row>
    <row r="2502">
      <c r="J2502" s="5" t="str">
        <f>IFERROR(__xludf.DUMMYFUNCTION("""COMPUTED_VALUE"""),"834🤙🏼Der Name der Rose🤙🏼Drama🤙🏼2")</f>
        <v>834🤙🏼Der Name der Rose🤙🏼Drama🤙🏼2</v>
      </c>
      <c r="K2502" s="5">
        <f>IFERROR(__xludf.DUMMYFUNCTION("SPLiT(J2502, ""🤙🏼"",FALSE,FALSE)"),834.0)</f>
        <v>834</v>
      </c>
      <c r="L2502" s="5" t="str">
        <f>IFERROR(__xludf.DUMMYFUNCTION("""COMPUTED_VALUE"""),"Der Name der Rose")</f>
        <v>Der Name der Rose</v>
      </c>
      <c r="M2502" s="5" t="str">
        <f>IFERROR(__xludf.DUMMYFUNCTION("""COMPUTED_VALUE"""),"Drama")</f>
        <v>Drama</v>
      </c>
      <c r="N2502" s="5">
        <f>IFERROR(__xludf.DUMMYFUNCTION("""COMPUTED_VALUE"""),2.0)</f>
        <v>2</v>
      </c>
      <c r="S2502" s="5">
        <f>IFERROR(__xludf.DUMMYFUNCTION("""COMPUTED_VALUE"""),986.0)</f>
        <v>986</v>
      </c>
      <c r="T2502" s="5" t="str">
        <f>IFERROR(__xludf.DUMMYFUNCTION("""COMPUTED_VALUE"""),"Escape from Alcatraz")</f>
        <v>Escape from Alcatraz</v>
      </c>
      <c r="U2502" s="5" t="str">
        <f>IFERROR(__xludf.DUMMYFUNCTION("""COMPUTED_VALUE"""),"Biography")</f>
        <v>Biography</v>
      </c>
      <c r="V2502" s="5">
        <f>IFERROR(__xludf.DUMMYFUNCTION("""COMPUTED_VALUE"""),2.0)</f>
        <v>2</v>
      </c>
    </row>
    <row r="2503">
      <c r="J2503" s="5" t="str">
        <f>IFERROR(__xludf.DUMMYFUNCTION("""COMPUTED_VALUE"""),"834🤙🏼Der Name der Rose🤙🏼Mystery🤙🏼3")</f>
        <v>834🤙🏼Der Name der Rose🤙🏼Mystery🤙🏼3</v>
      </c>
      <c r="K2503" s="5">
        <f>IFERROR(__xludf.DUMMYFUNCTION("SPLiT(J2503, ""🤙🏼"",FALSE,FALSE)"),834.0)</f>
        <v>834</v>
      </c>
      <c r="L2503" s="5" t="str">
        <f>IFERROR(__xludf.DUMMYFUNCTION("""COMPUTED_VALUE"""),"Der Name der Rose")</f>
        <v>Der Name der Rose</v>
      </c>
      <c r="M2503" s="5" t="str">
        <f>IFERROR(__xludf.DUMMYFUNCTION("""COMPUTED_VALUE"""),"Mystery")</f>
        <v>Mystery</v>
      </c>
      <c r="N2503" s="5">
        <f>IFERROR(__xludf.DUMMYFUNCTION("""COMPUTED_VALUE"""),3.0)</f>
        <v>3</v>
      </c>
      <c r="S2503" s="5">
        <f>IFERROR(__xludf.DUMMYFUNCTION("""COMPUTED_VALUE"""),986.0)</f>
        <v>986</v>
      </c>
      <c r="T2503" s="5" t="str">
        <f>IFERROR(__xludf.DUMMYFUNCTION("""COMPUTED_VALUE"""),"Escape from Alcatraz")</f>
        <v>Escape from Alcatraz</v>
      </c>
      <c r="U2503" s="5" t="str">
        <f>IFERROR(__xludf.DUMMYFUNCTION("""COMPUTED_VALUE"""),"Crime")</f>
        <v>Crime</v>
      </c>
      <c r="V2503" s="5">
        <f>IFERROR(__xludf.DUMMYFUNCTION("""COMPUTED_VALUE"""),3.0)</f>
        <v>3</v>
      </c>
    </row>
    <row r="2504">
      <c r="J2504" s="5" t="str">
        <f>IFERROR(__xludf.DUMMYFUNCTION("""COMPUTED_VALUE"""),"835🤙🏼Blue Velvet🤙🏼Drama🤙🏼1")</f>
        <v>835🤙🏼Blue Velvet🤙🏼Drama🤙🏼1</v>
      </c>
      <c r="K2504" s="5">
        <f>IFERROR(__xludf.DUMMYFUNCTION("SPLiT(J2504, ""🤙🏼"",FALSE,FALSE)"),835.0)</f>
        <v>835</v>
      </c>
      <c r="L2504" s="5" t="str">
        <f>IFERROR(__xludf.DUMMYFUNCTION("""COMPUTED_VALUE"""),"Blue Velvet")</f>
        <v>Blue Velvet</v>
      </c>
      <c r="M2504" s="5" t="str">
        <f>IFERROR(__xludf.DUMMYFUNCTION("""COMPUTED_VALUE"""),"Drama")</f>
        <v>Drama</v>
      </c>
      <c r="N2504" s="5">
        <f>IFERROR(__xludf.DUMMYFUNCTION("""COMPUTED_VALUE"""),1.0)</f>
        <v>1</v>
      </c>
      <c r="S2504" s="5">
        <f>IFERROR(__xludf.DUMMYFUNCTION("""COMPUTED_VALUE"""),987.0)</f>
        <v>987</v>
      </c>
      <c r="T2504" s="5" t="str">
        <f>IFERROR(__xludf.DUMMYFUNCTION("""COMPUTED_VALUE"""),"Watership Down")</f>
        <v>Watership Down</v>
      </c>
      <c r="U2504" s="5" t="str">
        <f>IFERROR(__xludf.DUMMYFUNCTION("""COMPUTED_VALUE"""),"Animation")</f>
        <v>Animation</v>
      </c>
      <c r="V2504" s="5">
        <f>IFERROR(__xludf.DUMMYFUNCTION("""COMPUTED_VALUE"""),1.0)</f>
        <v>1</v>
      </c>
    </row>
    <row r="2505">
      <c r="J2505" s="5" t="str">
        <f>IFERROR(__xludf.DUMMYFUNCTION("""COMPUTED_VALUE"""),"835🤙🏼Blue Velvet🤙🏼Mystery🤙🏼2")</f>
        <v>835🤙🏼Blue Velvet🤙🏼Mystery🤙🏼2</v>
      </c>
      <c r="K2505" s="5">
        <f>IFERROR(__xludf.DUMMYFUNCTION("SPLiT(J2505, ""🤙🏼"",FALSE,FALSE)"),835.0)</f>
        <v>835</v>
      </c>
      <c r="L2505" s="5" t="str">
        <f>IFERROR(__xludf.DUMMYFUNCTION("""COMPUTED_VALUE"""),"Blue Velvet")</f>
        <v>Blue Velvet</v>
      </c>
      <c r="M2505" s="5" t="str">
        <f>IFERROR(__xludf.DUMMYFUNCTION("""COMPUTED_VALUE"""),"Mystery")</f>
        <v>Mystery</v>
      </c>
      <c r="N2505" s="5">
        <f>IFERROR(__xludf.DUMMYFUNCTION("""COMPUTED_VALUE"""),2.0)</f>
        <v>2</v>
      </c>
      <c r="S2505" s="5">
        <f>IFERROR(__xludf.DUMMYFUNCTION("""COMPUTED_VALUE"""),987.0)</f>
        <v>987</v>
      </c>
      <c r="T2505" s="5" t="str">
        <f>IFERROR(__xludf.DUMMYFUNCTION("""COMPUTED_VALUE"""),"Watership Down")</f>
        <v>Watership Down</v>
      </c>
      <c r="U2505" s="5" t="str">
        <f>IFERROR(__xludf.DUMMYFUNCTION("""COMPUTED_VALUE"""),"Adventure")</f>
        <v>Adventure</v>
      </c>
      <c r="V2505" s="5">
        <f>IFERROR(__xludf.DUMMYFUNCTION("""COMPUTED_VALUE"""),2.0)</f>
        <v>2</v>
      </c>
    </row>
    <row r="2506">
      <c r="J2506" s="5" t="str">
        <f>IFERROR(__xludf.DUMMYFUNCTION("""COMPUTED_VALUE"""),"835🤙🏼Blue Velvet🤙🏼Thriller🤙🏼3")</f>
        <v>835🤙🏼Blue Velvet🤙🏼Thriller🤙🏼3</v>
      </c>
      <c r="K2506" s="5">
        <f>IFERROR(__xludf.DUMMYFUNCTION("SPLiT(J2506, ""🤙🏼"",FALSE,FALSE)"),835.0)</f>
        <v>835</v>
      </c>
      <c r="L2506" s="5" t="str">
        <f>IFERROR(__xludf.DUMMYFUNCTION("""COMPUTED_VALUE"""),"Blue Velvet")</f>
        <v>Blue Velvet</v>
      </c>
      <c r="M2506" s="5" t="str">
        <f>IFERROR(__xludf.DUMMYFUNCTION("""COMPUTED_VALUE"""),"Thriller")</f>
        <v>Thriller</v>
      </c>
      <c r="N2506" s="5">
        <f>IFERROR(__xludf.DUMMYFUNCTION("""COMPUTED_VALUE"""),3.0)</f>
        <v>3</v>
      </c>
      <c r="S2506" s="5">
        <f>IFERROR(__xludf.DUMMYFUNCTION("""COMPUTED_VALUE"""),987.0)</f>
        <v>987</v>
      </c>
      <c r="T2506" s="5" t="str">
        <f>IFERROR(__xludf.DUMMYFUNCTION("""COMPUTED_VALUE"""),"Watership Down")</f>
        <v>Watership Down</v>
      </c>
      <c r="U2506" s="5" t="str">
        <f>IFERROR(__xludf.DUMMYFUNCTION("""COMPUTED_VALUE"""),"Drama")</f>
        <v>Drama</v>
      </c>
      <c r="V2506" s="5">
        <f>IFERROR(__xludf.DUMMYFUNCTION("""COMPUTED_VALUE"""),3.0)</f>
        <v>3</v>
      </c>
    </row>
    <row r="2507">
      <c r="J2507" s="5" t="str">
        <f>IFERROR(__xludf.DUMMYFUNCTION("""COMPUTED_VALUE"""),"836🤙🏼The Purple Rose of Cairo🤙🏼Comedy🤙🏼1")</f>
        <v>836🤙🏼The Purple Rose of Cairo🤙🏼Comedy🤙🏼1</v>
      </c>
      <c r="K2507" s="5">
        <f>IFERROR(__xludf.DUMMYFUNCTION("SPLiT(J2507, ""🤙🏼"",FALSE,FALSE)"),836.0)</f>
        <v>836</v>
      </c>
      <c r="L2507" s="5" t="str">
        <f>IFERROR(__xludf.DUMMYFUNCTION("""COMPUTED_VALUE"""),"The Purple Rose of Cairo")</f>
        <v>The Purple Rose of Cairo</v>
      </c>
      <c r="M2507" s="5" t="str">
        <f>IFERROR(__xludf.DUMMYFUNCTION("""COMPUTED_VALUE"""),"Comedy")</f>
        <v>Comedy</v>
      </c>
      <c r="N2507" s="5">
        <f>IFERROR(__xludf.DUMMYFUNCTION("""COMPUTED_VALUE"""),1.0)</f>
        <v>1</v>
      </c>
      <c r="S2507" s="5">
        <f>IFERROR(__xludf.DUMMYFUNCTION("""COMPUTED_VALUE"""),988.0)</f>
        <v>988</v>
      </c>
      <c r="T2507" s="5" t="str">
        <f>IFERROR(__xludf.DUMMYFUNCTION("""COMPUTED_VALUE"""),"Midnight Express")</f>
        <v>Midnight Express</v>
      </c>
      <c r="U2507" s="5" t="str">
        <f>IFERROR(__xludf.DUMMYFUNCTION("""COMPUTED_VALUE"""),"Biography")</f>
        <v>Biography</v>
      </c>
      <c r="V2507" s="5">
        <f>IFERROR(__xludf.DUMMYFUNCTION("""COMPUTED_VALUE"""),1.0)</f>
        <v>1</v>
      </c>
    </row>
    <row r="2508">
      <c r="J2508" s="5" t="str">
        <f>IFERROR(__xludf.DUMMYFUNCTION("""COMPUTED_VALUE"""),"836🤙🏼The Purple Rose of Cairo🤙🏼Fantasy🤙🏼2")</f>
        <v>836🤙🏼The Purple Rose of Cairo🤙🏼Fantasy🤙🏼2</v>
      </c>
      <c r="K2508" s="5">
        <f>IFERROR(__xludf.DUMMYFUNCTION("SPLiT(J2508, ""🤙🏼"",FALSE,FALSE)"),836.0)</f>
        <v>836</v>
      </c>
      <c r="L2508" s="5" t="str">
        <f>IFERROR(__xludf.DUMMYFUNCTION("""COMPUTED_VALUE"""),"The Purple Rose of Cairo")</f>
        <v>The Purple Rose of Cairo</v>
      </c>
      <c r="M2508" s="5" t="str">
        <f>IFERROR(__xludf.DUMMYFUNCTION("""COMPUTED_VALUE"""),"Fantasy")</f>
        <v>Fantasy</v>
      </c>
      <c r="N2508" s="5">
        <f>IFERROR(__xludf.DUMMYFUNCTION("""COMPUTED_VALUE"""),2.0)</f>
        <v>2</v>
      </c>
      <c r="S2508" s="5">
        <f>IFERROR(__xludf.DUMMYFUNCTION("""COMPUTED_VALUE"""),988.0)</f>
        <v>988</v>
      </c>
      <c r="T2508" s="5" t="str">
        <f>IFERROR(__xludf.DUMMYFUNCTION("""COMPUTED_VALUE"""),"Midnight Express")</f>
        <v>Midnight Express</v>
      </c>
      <c r="U2508" s="5" t="str">
        <f>IFERROR(__xludf.DUMMYFUNCTION("""COMPUTED_VALUE"""),"Crime")</f>
        <v>Crime</v>
      </c>
      <c r="V2508" s="5">
        <f>IFERROR(__xludf.DUMMYFUNCTION("""COMPUTED_VALUE"""),2.0)</f>
        <v>2</v>
      </c>
    </row>
    <row r="2509">
      <c r="J2509" s="5" t="str">
        <f>IFERROR(__xludf.DUMMYFUNCTION("""COMPUTED_VALUE"""),"836🤙🏼The Purple Rose of Cairo🤙🏼Romance🤙🏼3")</f>
        <v>836🤙🏼The Purple Rose of Cairo🤙🏼Romance🤙🏼3</v>
      </c>
      <c r="K2509" s="5">
        <f>IFERROR(__xludf.DUMMYFUNCTION("SPLiT(J2509, ""🤙🏼"",FALSE,FALSE)"),836.0)</f>
        <v>836</v>
      </c>
      <c r="L2509" s="5" t="str">
        <f>IFERROR(__xludf.DUMMYFUNCTION("""COMPUTED_VALUE"""),"The Purple Rose of Cairo")</f>
        <v>The Purple Rose of Cairo</v>
      </c>
      <c r="M2509" s="5" t="str">
        <f>IFERROR(__xludf.DUMMYFUNCTION("""COMPUTED_VALUE"""),"Romance")</f>
        <v>Romance</v>
      </c>
      <c r="N2509" s="5">
        <f>IFERROR(__xludf.DUMMYFUNCTION("""COMPUTED_VALUE"""),3.0)</f>
        <v>3</v>
      </c>
      <c r="S2509" s="5">
        <f>IFERROR(__xludf.DUMMYFUNCTION("""COMPUTED_VALUE"""),988.0)</f>
        <v>988</v>
      </c>
      <c r="T2509" s="5" t="str">
        <f>IFERROR(__xludf.DUMMYFUNCTION("""COMPUTED_VALUE"""),"Midnight Express")</f>
        <v>Midnight Express</v>
      </c>
      <c r="U2509" s="5" t="str">
        <f>IFERROR(__xludf.DUMMYFUNCTION("""COMPUTED_VALUE"""),"Drama")</f>
        <v>Drama</v>
      </c>
      <c r="V2509" s="5">
        <f>IFERROR(__xludf.DUMMYFUNCTION("""COMPUTED_VALUE"""),3.0)</f>
        <v>3</v>
      </c>
    </row>
    <row r="2510">
      <c r="J2510" s="5" t="str">
        <f>IFERROR(__xludf.DUMMYFUNCTION("""COMPUTED_VALUE"""),"837🤙🏼After Hours🤙🏼Comedy🤙🏼1")</f>
        <v>837🤙🏼After Hours🤙🏼Comedy🤙🏼1</v>
      </c>
      <c r="K2510" s="5">
        <f>IFERROR(__xludf.DUMMYFUNCTION("SPLiT(J2510, ""🤙🏼"",FALSE,FALSE)"),837.0)</f>
        <v>837</v>
      </c>
      <c r="L2510" s="5" t="str">
        <f>IFERROR(__xludf.DUMMYFUNCTION("""COMPUTED_VALUE"""),"After Hours")</f>
        <v>After Hours</v>
      </c>
      <c r="M2510" s="5" t="str">
        <f>IFERROR(__xludf.DUMMYFUNCTION("""COMPUTED_VALUE"""),"Comedy")</f>
        <v>Comedy</v>
      </c>
      <c r="N2510" s="5">
        <f>IFERROR(__xludf.DUMMYFUNCTION("""COMPUTED_VALUE"""),1.0)</f>
        <v>1</v>
      </c>
      <c r="S2510" s="5">
        <f>IFERROR(__xludf.DUMMYFUNCTION("""COMPUTED_VALUE"""),989.0)</f>
        <v>989</v>
      </c>
      <c r="T2510" s="5" t="str">
        <f>IFERROR(__xludf.DUMMYFUNCTION("""COMPUTED_VALUE"""),"Close Encounters of the Third Kind")</f>
        <v>Close Encounters of the Third Kind</v>
      </c>
      <c r="U2510" s="5" t="str">
        <f>IFERROR(__xludf.DUMMYFUNCTION("""COMPUTED_VALUE"""),"Drama")</f>
        <v>Drama</v>
      </c>
      <c r="V2510" s="5">
        <f>IFERROR(__xludf.DUMMYFUNCTION("""COMPUTED_VALUE"""),1.0)</f>
        <v>1</v>
      </c>
    </row>
    <row r="2511">
      <c r="J2511" s="5" t="str">
        <f>IFERROR(__xludf.DUMMYFUNCTION("""COMPUTED_VALUE"""),"837🤙🏼After Hours🤙🏼Crime🤙🏼2")</f>
        <v>837🤙🏼After Hours🤙🏼Crime🤙🏼2</v>
      </c>
      <c r="K2511" s="5">
        <f>IFERROR(__xludf.DUMMYFUNCTION("SPLiT(J2511, ""🤙🏼"",FALSE,FALSE)"),837.0)</f>
        <v>837</v>
      </c>
      <c r="L2511" s="5" t="str">
        <f>IFERROR(__xludf.DUMMYFUNCTION("""COMPUTED_VALUE"""),"After Hours")</f>
        <v>After Hours</v>
      </c>
      <c r="M2511" s="5" t="str">
        <f>IFERROR(__xludf.DUMMYFUNCTION("""COMPUTED_VALUE"""),"Crime")</f>
        <v>Crime</v>
      </c>
      <c r="N2511" s="5">
        <f>IFERROR(__xludf.DUMMYFUNCTION("""COMPUTED_VALUE"""),2.0)</f>
        <v>2</v>
      </c>
      <c r="S2511" s="5">
        <f>IFERROR(__xludf.DUMMYFUNCTION("""COMPUTED_VALUE"""),989.0)</f>
        <v>989</v>
      </c>
      <c r="T2511" s="5" t="str">
        <f>IFERROR(__xludf.DUMMYFUNCTION("""COMPUTED_VALUE"""),"Close Encounters of the Third Kind")</f>
        <v>Close Encounters of the Third Kind</v>
      </c>
      <c r="U2511" s="5" t="str">
        <f>IFERROR(__xludf.DUMMYFUNCTION("""COMPUTED_VALUE"""),"Sci-Fi")</f>
        <v>Sci-Fi</v>
      </c>
      <c r="V2511" s="5">
        <f>IFERROR(__xludf.DUMMYFUNCTION("""COMPUTED_VALUE"""),2.0)</f>
        <v>2</v>
      </c>
    </row>
    <row r="2512">
      <c r="J2512" s="5" t="str">
        <f>IFERROR(__xludf.DUMMYFUNCTION("""COMPUTED_VALUE"""),"837🤙🏼After Hours🤙🏼Drama🤙🏼3")</f>
        <v>837🤙🏼After Hours🤙🏼Drama🤙🏼3</v>
      </c>
      <c r="K2512" s="5">
        <f>IFERROR(__xludf.DUMMYFUNCTION("SPLiT(J2512, ""🤙🏼"",FALSE,FALSE)"),837.0)</f>
        <v>837</v>
      </c>
      <c r="L2512" s="5" t="str">
        <f>IFERROR(__xludf.DUMMYFUNCTION("""COMPUTED_VALUE"""),"After Hours")</f>
        <v>After Hours</v>
      </c>
      <c r="M2512" s="5" t="str">
        <f>IFERROR(__xludf.DUMMYFUNCTION("""COMPUTED_VALUE"""),"Drama")</f>
        <v>Drama</v>
      </c>
      <c r="N2512" s="5">
        <f>IFERROR(__xludf.DUMMYFUNCTION("""COMPUTED_VALUE"""),3.0)</f>
        <v>3</v>
      </c>
      <c r="S2512" s="5">
        <f>IFERROR(__xludf.DUMMYFUNCTION("""COMPUTED_VALUE"""),990.0)</f>
        <v>990</v>
      </c>
      <c r="T2512" s="5" t="str">
        <f>IFERROR(__xludf.DUMMYFUNCTION("""COMPUTED_VALUE"""),"The Long Goodbye")</f>
        <v>The Long Goodbye</v>
      </c>
      <c r="U2512" s="5" t="str">
        <f>IFERROR(__xludf.DUMMYFUNCTION("""COMPUTED_VALUE"""),"Comedy")</f>
        <v>Comedy</v>
      </c>
      <c r="V2512" s="5">
        <f>IFERROR(__xludf.DUMMYFUNCTION("""COMPUTED_VALUE"""),1.0)</f>
        <v>1</v>
      </c>
    </row>
    <row r="2513">
      <c r="J2513" s="5" t="str">
        <f>IFERROR(__xludf.DUMMYFUNCTION("""COMPUTED_VALUE"""),"838🤙🏼Zelig🤙🏼Comedy🤙🏼1")</f>
        <v>838🤙🏼Zelig🤙🏼Comedy🤙🏼1</v>
      </c>
      <c r="K2513" s="5">
        <f>IFERROR(__xludf.DUMMYFUNCTION("SPLiT(J2513, ""🤙🏼"",FALSE,FALSE)"),838.0)</f>
        <v>838</v>
      </c>
      <c r="L2513" s="5" t="str">
        <f>IFERROR(__xludf.DUMMYFUNCTION("""COMPUTED_VALUE"""),"Zelig")</f>
        <v>Zelig</v>
      </c>
      <c r="M2513" s="5" t="str">
        <f>IFERROR(__xludf.DUMMYFUNCTION("""COMPUTED_VALUE"""),"Comedy")</f>
        <v>Comedy</v>
      </c>
      <c r="N2513" s="5">
        <f>IFERROR(__xludf.DUMMYFUNCTION("""COMPUTED_VALUE"""),1.0)</f>
        <v>1</v>
      </c>
      <c r="S2513" s="5">
        <f>IFERROR(__xludf.DUMMYFUNCTION("""COMPUTED_VALUE"""),990.0)</f>
        <v>990</v>
      </c>
      <c r="T2513" s="5" t="str">
        <f>IFERROR(__xludf.DUMMYFUNCTION("""COMPUTED_VALUE"""),"The Long Goodbye")</f>
        <v>The Long Goodbye</v>
      </c>
      <c r="U2513" s="5" t="str">
        <f>IFERROR(__xludf.DUMMYFUNCTION("""COMPUTED_VALUE"""),"Crime")</f>
        <v>Crime</v>
      </c>
      <c r="V2513" s="5">
        <f>IFERROR(__xludf.DUMMYFUNCTION("""COMPUTED_VALUE"""),2.0)</f>
        <v>2</v>
      </c>
    </row>
    <row r="2514">
      <c r="J2514" s="5" t="str">
        <f>IFERROR(__xludf.DUMMYFUNCTION("""COMPUTED_VALUE"""),"838🤙🏼Zelig🤙🏼🤙🏼2")</f>
        <v>838🤙🏼Zelig🤙🏼🤙🏼2</v>
      </c>
      <c r="K2514" s="5">
        <f>IFERROR(__xludf.DUMMYFUNCTION("SPLiT(J2514, ""🤙🏼"",FALSE,FALSE)"),838.0)</f>
        <v>838</v>
      </c>
      <c r="L2514" s="5" t="str">
        <f>IFERROR(__xludf.DUMMYFUNCTION("""COMPUTED_VALUE"""),"Zelig")</f>
        <v>Zelig</v>
      </c>
      <c r="M2514" s="5"/>
      <c r="N2514" s="5">
        <f>IFERROR(__xludf.DUMMYFUNCTION("""COMPUTED_VALUE"""),2.0)</f>
        <v>2</v>
      </c>
      <c r="S2514" s="5">
        <f>IFERROR(__xludf.DUMMYFUNCTION("""COMPUTED_VALUE"""),990.0)</f>
        <v>990</v>
      </c>
      <c r="T2514" s="5" t="str">
        <f>IFERROR(__xludf.DUMMYFUNCTION("""COMPUTED_VALUE"""),"The Long Goodbye")</f>
        <v>The Long Goodbye</v>
      </c>
      <c r="U2514" s="5" t="str">
        <f>IFERROR(__xludf.DUMMYFUNCTION("""COMPUTED_VALUE"""),"Drama")</f>
        <v>Drama</v>
      </c>
      <c r="V2514" s="5">
        <f>IFERROR(__xludf.DUMMYFUNCTION("""COMPUTED_VALUE"""),3.0)</f>
        <v>3</v>
      </c>
    </row>
    <row r="2515">
      <c r="J2515" s="5" t="str">
        <f>IFERROR(__xludf.DUMMYFUNCTION("""COMPUTED_VALUE"""),"838🤙🏼Zelig🤙🏼🤙🏼3")</f>
        <v>838🤙🏼Zelig🤙🏼🤙🏼3</v>
      </c>
      <c r="K2515" s="5">
        <f>IFERROR(__xludf.DUMMYFUNCTION("SPLiT(J2515, ""🤙🏼"",FALSE,FALSE)"),838.0)</f>
        <v>838</v>
      </c>
      <c r="L2515" s="5" t="str">
        <f>IFERROR(__xludf.DUMMYFUNCTION("""COMPUTED_VALUE"""),"Zelig")</f>
        <v>Zelig</v>
      </c>
      <c r="M2515" s="5"/>
      <c r="N2515" s="5">
        <f>IFERROR(__xludf.DUMMYFUNCTION("""COMPUTED_VALUE"""),3.0)</f>
        <v>3</v>
      </c>
      <c r="S2515" s="5">
        <f>IFERROR(__xludf.DUMMYFUNCTION("""COMPUTED_VALUE"""),991.0)</f>
        <v>991</v>
      </c>
      <c r="T2515" s="5" t="str">
        <f>IFERROR(__xludf.DUMMYFUNCTION("""COMPUTED_VALUE"""),"Giù la testa")</f>
        <v>Giù la testa</v>
      </c>
      <c r="U2515" s="5" t="str">
        <f>IFERROR(__xludf.DUMMYFUNCTION("""COMPUTED_VALUE"""),"Drama")</f>
        <v>Drama</v>
      </c>
      <c r="V2515" s="5">
        <f>IFERROR(__xludf.DUMMYFUNCTION("""COMPUTED_VALUE"""),1.0)</f>
        <v>1</v>
      </c>
    </row>
    <row r="2516">
      <c r="J2516" s="5" t="str">
        <f>IFERROR(__xludf.DUMMYFUNCTION("""COMPUTED_VALUE"""),"839🤙🏼The Verdict🤙🏼Drama🤙🏼1")</f>
        <v>839🤙🏼The Verdict🤙🏼Drama🤙🏼1</v>
      </c>
      <c r="K2516" s="5">
        <f>IFERROR(__xludf.DUMMYFUNCTION("SPLiT(J2516, ""🤙🏼"",FALSE,FALSE)"),839.0)</f>
        <v>839</v>
      </c>
      <c r="L2516" s="5" t="str">
        <f>IFERROR(__xludf.DUMMYFUNCTION("""COMPUTED_VALUE"""),"The Verdict")</f>
        <v>The Verdict</v>
      </c>
      <c r="M2516" s="5" t="str">
        <f>IFERROR(__xludf.DUMMYFUNCTION("""COMPUTED_VALUE"""),"Drama")</f>
        <v>Drama</v>
      </c>
      <c r="N2516" s="5">
        <f>IFERROR(__xludf.DUMMYFUNCTION("""COMPUTED_VALUE"""),1.0)</f>
        <v>1</v>
      </c>
      <c r="S2516" s="5">
        <f>IFERROR(__xludf.DUMMYFUNCTION("""COMPUTED_VALUE"""),991.0)</f>
        <v>991</v>
      </c>
      <c r="T2516" s="5" t="str">
        <f>IFERROR(__xludf.DUMMYFUNCTION("""COMPUTED_VALUE"""),"Giù la testa")</f>
        <v>Giù la testa</v>
      </c>
      <c r="U2516" s="5" t="str">
        <f>IFERROR(__xludf.DUMMYFUNCTION("""COMPUTED_VALUE"""),"War")</f>
        <v>War</v>
      </c>
      <c r="V2516" s="5">
        <f>IFERROR(__xludf.DUMMYFUNCTION("""COMPUTED_VALUE"""),2.0)</f>
        <v>2</v>
      </c>
    </row>
    <row r="2517">
      <c r="J2517" s="5" t="str">
        <f>IFERROR(__xludf.DUMMYFUNCTION("""COMPUTED_VALUE"""),"839🤙🏼The Verdict🤙🏼🤙🏼2")</f>
        <v>839🤙🏼The Verdict🤙🏼🤙🏼2</v>
      </c>
      <c r="K2517" s="5">
        <f>IFERROR(__xludf.DUMMYFUNCTION("SPLiT(J2517, ""🤙🏼"",FALSE,FALSE)"),839.0)</f>
        <v>839</v>
      </c>
      <c r="L2517" s="5" t="str">
        <f>IFERROR(__xludf.DUMMYFUNCTION("""COMPUTED_VALUE"""),"The Verdict")</f>
        <v>The Verdict</v>
      </c>
      <c r="M2517" s="5"/>
      <c r="N2517" s="5">
        <f>IFERROR(__xludf.DUMMYFUNCTION("""COMPUTED_VALUE"""),2.0)</f>
        <v>2</v>
      </c>
      <c r="S2517" s="5">
        <f>IFERROR(__xludf.DUMMYFUNCTION("""COMPUTED_VALUE"""),991.0)</f>
        <v>991</v>
      </c>
      <c r="T2517" s="5" t="str">
        <f>IFERROR(__xludf.DUMMYFUNCTION("""COMPUTED_VALUE"""),"Giù la testa")</f>
        <v>Giù la testa</v>
      </c>
      <c r="U2517" s="5" t="str">
        <f>IFERROR(__xludf.DUMMYFUNCTION("""COMPUTED_VALUE"""),"Western")</f>
        <v>Western</v>
      </c>
      <c r="V2517" s="5">
        <f>IFERROR(__xludf.DUMMYFUNCTION("""COMPUTED_VALUE"""),3.0)</f>
        <v>3</v>
      </c>
    </row>
    <row r="2518">
      <c r="J2518" s="5" t="str">
        <f>IFERROR(__xludf.DUMMYFUNCTION("""COMPUTED_VALUE"""),"839🤙🏼The Verdict🤙🏼🤙🏼3")</f>
        <v>839🤙🏼The Verdict🤙🏼🤙🏼3</v>
      </c>
      <c r="K2518" s="5">
        <f>IFERROR(__xludf.DUMMYFUNCTION("SPLiT(J2518, ""🤙🏼"",FALSE,FALSE)"),839.0)</f>
        <v>839</v>
      </c>
      <c r="L2518" s="5" t="str">
        <f>IFERROR(__xludf.DUMMYFUNCTION("""COMPUTED_VALUE"""),"The Verdict")</f>
        <v>The Verdict</v>
      </c>
      <c r="M2518" s="5"/>
      <c r="N2518" s="5">
        <f>IFERROR(__xludf.DUMMYFUNCTION("""COMPUTED_VALUE"""),3.0)</f>
        <v>3</v>
      </c>
      <c r="S2518" s="5">
        <f>IFERROR(__xludf.DUMMYFUNCTION("""COMPUTED_VALUE"""),992.0)</f>
        <v>992</v>
      </c>
      <c r="T2518" s="5" t="str">
        <f>IFERROR(__xludf.DUMMYFUNCTION("""COMPUTED_VALUE"""),"Kelly's Heroes")</f>
        <v>Kelly's Heroes</v>
      </c>
      <c r="U2518" s="5" t="str">
        <f>IFERROR(__xludf.DUMMYFUNCTION("""COMPUTED_VALUE"""),"Adventure")</f>
        <v>Adventure</v>
      </c>
      <c r="V2518" s="5">
        <f>IFERROR(__xludf.DUMMYFUNCTION("""COMPUTED_VALUE"""),1.0)</f>
        <v>1</v>
      </c>
    </row>
    <row r="2519">
      <c r="J2519" s="5" t="str">
        <f>IFERROR(__xludf.DUMMYFUNCTION("""COMPUTED_VALUE"""),"840🤙🏼Star Trek II: The Wrath of Khan🤙🏼Action🤙🏼1")</f>
        <v>840🤙🏼Star Trek II: The Wrath of Khan🤙🏼Action🤙🏼1</v>
      </c>
      <c r="K2519" s="5">
        <f>IFERROR(__xludf.DUMMYFUNCTION("SPLiT(J2519, ""🤙🏼"",FALSE,FALSE)"),840.0)</f>
        <v>840</v>
      </c>
      <c r="L2519" s="5" t="str">
        <f>IFERROR(__xludf.DUMMYFUNCTION("""COMPUTED_VALUE"""),"Star Trek II: The Wrath of Khan")</f>
        <v>Star Trek II: The Wrath of Khan</v>
      </c>
      <c r="M2519" s="5" t="str">
        <f>IFERROR(__xludf.DUMMYFUNCTION("""COMPUTED_VALUE"""),"Action")</f>
        <v>Action</v>
      </c>
      <c r="N2519" s="5">
        <f>IFERROR(__xludf.DUMMYFUNCTION("""COMPUTED_VALUE"""),1.0)</f>
        <v>1</v>
      </c>
      <c r="S2519" s="5">
        <f>IFERROR(__xludf.DUMMYFUNCTION("""COMPUTED_VALUE"""),992.0)</f>
        <v>992</v>
      </c>
      <c r="T2519" s="5" t="str">
        <f>IFERROR(__xludf.DUMMYFUNCTION("""COMPUTED_VALUE"""),"Kelly's Heroes")</f>
        <v>Kelly's Heroes</v>
      </c>
      <c r="U2519" s="5" t="str">
        <f>IFERROR(__xludf.DUMMYFUNCTION("""COMPUTED_VALUE"""),"Comedy")</f>
        <v>Comedy</v>
      </c>
      <c r="V2519" s="5">
        <f>IFERROR(__xludf.DUMMYFUNCTION("""COMPUTED_VALUE"""),2.0)</f>
        <v>2</v>
      </c>
    </row>
    <row r="2520">
      <c r="J2520" s="5" t="str">
        <f>IFERROR(__xludf.DUMMYFUNCTION("""COMPUTED_VALUE"""),"840🤙🏼Star Trek II: The Wrath of Khan🤙🏼Adventure🤙🏼2")</f>
        <v>840🤙🏼Star Trek II: The Wrath of Khan🤙🏼Adventure🤙🏼2</v>
      </c>
      <c r="K2520" s="5">
        <f>IFERROR(__xludf.DUMMYFUNCTION("SPLiT(J2520, ""🤙🏼"",FALSE,FALSE)"),840.0)</f>
        <v>840</v>
      </c>
      <c r="L2520" s="5" t="str">
        <f>IFERROR(__xludf.DUMMYFUNCTION("""COMPUTED_VALUE"""),"Star Trek II: The Wrath of Khan")</f>
        <v>Star Trek II: The Wrath of Khan</v>
      </c>
      <c r="M2520" s="5" t="str">
        <f>IFERROR(__xludf.DUMMYFUNCTION("""COMPUTED_VALUE"""),"Adventure")</f>
        <v>Adventure</v>
      </c>
      <c r="N2520" s="5">
        <f>IFERROR(__xludf.DUMMYFUNCTION("""COMPUTED_VALUE"""),2.0)</f>
        <v>2</v>
      </c>
      <c r="S2520" s="5">
        <f>IFERROR(__xludf.DUMMYFUNCTION("""COMPUTED_VALUE"""),992.0)</f>
        <v>992</v>
      </c>
      <c r="T2520" s="5" t="str">
        <f>IFERROR(__xludf.DUMMYFUNCTION("""COMPUTED_VALUE"""),"Kelly's Heroes")</f>
        <v>Kelly's Heroes</v>
      </c>
      <c r="U2520" s="5" t="str">
        <f>IFERROR(__xludf.DUMMYFUNCTION("""COMPUTED_VALUE"""),"War")</f>
        <v>War</v>
      </c>
      <c r="V2520" s="5">
        <f>IFERROR(__xludf.DUMMYFUNCTION("""COMPUTED_VALUE"""),3.0)</f>
        <v>3</v>
      </c>
    </row>
    <row r="2521">
      <c r="J2521" s="5" t="str">
        <f>IFERROR(__xludf.DUMMYFUNCTION("""COMPUTED_VALUE"""),"840🤙🏼Star Trek II: The Wrath of Khan🤙🏼Sci-Fi🤙🏼3")</f>
        <v>840🤙🏼Star Trek II: The Wrath of Khan🤙🏼Sci-Fi🤙🏼3</v>
      </c>
      <c r="K2521" s="5">
        <f>IFERROR(__xludf.DUMMYFUNCTION("SPLiT(J2521, ""🤙🏼"",FALSE,FALSE)"),840.0)</f>
        <v>840</v>
      </c>
      <c r="L2521" s="5" t="str">
        <f>IFERROR(__xludf.DUMMYFUNCTION("""COMPUTED_VALUE"""),"Star Trek II: The Wrath of Khan")</f>
        <v>Star Trek II: The Wrath of Khan</v>
      </c>
      <c r="M2521" s="5" t="str">
        <f>IFERROR(__xludf.DUMMYFUNCTION("""COMPUTED_VALUE"""),"Sci-Fi")</f>
        <v>Sci-Fi</v>
      </c>
      <c r="N2521" s="5">
        <f>IFERROR(__xludf.DUMMYFUNCTION("""COMPUTED_VALUE"""),3.0)</f>
        <v>3</v>
      </c>
      <c r="S2521" s="5">
        <f>IFERROR(__xludf.DUMMYFUNCTION("""COMPUTED_VALUE"""),993.0)</f>
        <v>993</v>
      </c>
      <c r="T2521" s="5" t="str">
        <f>IFERROR(__xludf.DUMMYFUNCTION("""COMPUTED_VALUE"""),"The Jungle Book")</f>
        <v>The Jungle Book</v>
      </c>
      <c r="U2521" s="5" t="str">
        <f>IFERROR(__xludf.DUMMYFUNCTION("""COMPUTED_VALUE"""),"Animation")</f>
        <v>Animation</v>
      </c>
      <c r="V2521" s="5">
        <f>IFERROR(__xludf.DUMMYFUNCTION("""COMPUTED_VALUE"""),1.0)</f>
        <v>1</v>
      </c>
    </row>
    <row r="2522">
      <c r="J2522" s="5" t="str">
        <f>IFERROR(__xludf.DUMMYFUNCTION("""COMPUTED_VALUE"""),"841🤙🏼First Blood🤙🏼Action🤙🏼1")</f>
        <v>841🤙🏼First Blood🤙🏼Action🤙🏼1</v>
      </c>
      <c r="K2522" s="5">
        <f>IFERROR(__xludf.DUMMYFUNCTION("SPLiT(J2522, ""🤙🏼"",FALSE,FALSE)"),841.0)</f>
        <v>841</v>
      </c>
      <c r="L2522" s="5" t="str">
        <f>IFERROR(__xludf.DUMMYFUNCTION("""COMPUTED_VALUE"""),"First Blood")</f>
        <v>First Blood</v>
      </c>
      <c r="M2522" s="5" t="str">
        <f>IFERROR(__xludf.DUMMYFUNCTION("""COMPUTED_VALUE"""),"Action")</f>
        <v>Action</v>
      </c>
      <c r="N2522" s="5">
        <f>IFERROR(__xludf.DUMMYFUNCTION("""COMPUTED_VALUE"""),1.0)</f>
        <v>1</v>
      </c>
      <c r="S2522" s="5">
        <f>IFERROR(__xludf.DUMMYFUNCTION("""COMPUTED_VALUE"""),993.0)</f>
        <v>993</v>
      </c>
      <c r="T2522" s="5" t="str">
        <f>IFERROR(__xludf.DUMMYFUNCTION("""COMPUTED_VALUE"""),"The Jungle Book")</f>
        <v>The Jungle Book</v>
      </c>
      <c r="U2522" s="5" t="str">
        <f>IFERROR(__xludf.DUMMYFUNCTION("""COMPUTED_VALUE"""),"Adventure")</f>
        <v>Adventure</v>
      </c>
      <c r="V2522" s="5">
        <f>IFERROR(__xludf.DUMMYFUNCTION("""COMPUTED_VALUE"""),2.0)</f>
        <v>2</v>
      </c>
    </row>
    <row r="2523">
      <c r="J2523" s="5" t="str">
        <f>IFERROR(__xludf.DUMMYFUNCTION("""COMPUTED_VALUE"""),"841🤙🏼First Blood🤙🏼Adventure🤙🏼2")</f>
        <v>841🤙🏼First Blood🤙🏼Adventure🤙🏼2</v>
      </c>
      <c r="K2523" s="5">
        <f>IFERROR(__xludf.DUMMYFUNCTION("SPLiT(J2523, ""🤙🏼"",FALSE,FALSE)"),841.0)</f>
        <v>841</v>
      </c>
      <c r="L2523" s="5" t="str">
        <f>IFERROR(__xludf.DUMMYFUNCTION("""COMPUTED_VALUE"""),"First Blood")</f>
        <v>First Blood</v>
      </c>
      <c r="M2523" s="5" t="str">
        <f>IFERROR(__xludf.DUMMYFUNCTION("""COMPUTED_VALUE"""),"Adventure")</f>
        <v>Adventure</v>
      </c>
      <c r="N2523" s="5">
        <f>IFERROR(__xludf.DUMMYFUNCTION("""COMPUTED_VALUE"""),2.0)</f>
        <v>2</v>
      </c>
      <c r="S2523" s="5">
        <f>IFERROR(__xludf.DUMMYFUNCTION("""COMPUTED_VALUE"""),993.0)</f>
        <v>993</v>
      </c>
      <c r="T2523" s="5" t="str">
        <f>IFERROR(__xludf.DUMMYFUNCTION("""COMPUTED_VALUE"""),"The Jungle Book")</f>
        <v>The Jungle Book</v>
      </c>
      <c r="U2523" s="5" t="str">
        <f>IFERROR(__xludf.DUMMYFUNCTION("""COMPUTED_VALUE"""),"Family")</f>
        <v>Family</v>
      </c>
      <c r="V2523" s="5">
        <f>IFERROR(__xludf.DUMMYFUNCTION("""COMPUTED_VALUE"""),3.0)</f>
        <v>3</v>
      </c>
    </row>
    <row r="2524">
      <c r="J2524" s="5" t="str">
        <f>IFERROR(__xludf.DUMMYFUNCTION("""COMPUTED_VALUE"""),"841🤙🏼First Blood🤙🏼🤙🏼3")</f>
        <v>841🤙🏼First Blood🤙🏼🤙🏼3</v>
      </c>
      <c r="K2524" s="5">
        <f>IFERROR(__xludf.DUMMYFUNCTION("SPLiT(J2524, ""🤙🏼"",FALSE,FALSE)"),841.0)</f>
        <v>841</v>
      </c>
      <c r="L2524" s="5" t="str">
        <f>IFERROR(__xludf.DUMMYFUNCTION("""COMPUTED_VALUE"""),"First Blood")</f>
        <v>First Blood</v>
      </c>
      <c r="M2524" s="5"/>
      <c r="N2524" s="5">
        <f>IFERROR(__xludf.DUMMYFUNCTION("""COMPUTED_VALUE"""),3.0)</f>
        <v>3</v>
      </c>
      <c r="S2524" s="5">
        <f>IFERROR(__xludf.DUMMYFUNCTION("""COMPUTED_VALUE"""),994.0)</f>
        <v>994</v>
      </c>
      <c r="T2524" s="5" t="str">
        <f>IFERROR(__xludf.DUMMYFUNCTION("""COMPUTED_VALUE"""),"Blowup")</f>
        <v>Blowup</v>
      </c>
      <c r="U2524" s="5" t="str">
        <f>IFERROR(__xludf.DUMMYFUNCTION("""COMPUTED_VALUE"""),"Drama")</f>
        <v>Drama</v>
      </c>
      <c r="V2524" s="5">
        <f>IFERROR(__xludf.DUMMYFUNCTION("""COMPUTED_VALUE"""),1.0)</f>
        <v>1</v>
      </c>
    </row>
    <row r="2525">
      <c r="J2525" s="5" t="str">
        <f>IFERROR(__xludf.DUMMYFUNCTION("""COMPUTED_VALUE"""),"842🤙🏼Ordinary People🤙🏼Drama🤙🏼1")</f>
        <v>842🤙🏼Ordinary People🤙🏼Drama🤙🏼1</v>
      </c>
      <c r="K2525" s="5">
        <f>IFERROR(__xludf.DUMMYFUNCTION("SPLiT(J2525, ""🤙🏼"",FALSE,FALSE)"),842.0)</f>
        <v>842</v>
      </c>
      <c r="L2525" s="5" t="str">
        <f>IFERROR(__xludf.DUMMYFUNCTION("""COMPUTED_VALUE"""),"Ordinary People")</f>
        <v>Ordinary People</v>
      </c>
      <c r="M2525" s="5" t="str">
        <f>IFERROR(__xludf.DUMMYFUNCTION("""COMPUTED_VALUE"""),"Drama")</f>
        <v>Drama</v>
      </c>
      <c r="N2525" s="5">
        <f>IFERROR(__xludf.DUMMYFUNCTION("""COMPUTED_VALUE"""),1.0)</f>
        <v>1</v>
      </c>
      <c r="S2525" s="5">
        <f>IFERROR(__xludf.DUMMYFUNCTION("""COMPUTED_VALUE"""),994.0)</f>
        <v>994</v>
      </c>
      <c r="T2525" s="5" t="str">
        <f>IFERROR(__xludf.DUMMYFUNCTION("""COMPUTED_VALUE"""),"Blowup")</f>
        <v>Blowup</v>
      </c>
      <c r="U2525" s="5" t="str">
        <f>IFERROR(__xludf.DUMMYFUNCTION("""COMPUTED_VALUE"""),"Mystery")</f>
        <v>Mystery</v>
      </c>
      <c r="V2525" s="5">
        <f>IFERROR(__xludf.DUMMYFUNCTION("""COMPUTED_VALUE"""),2.0)</f>
        <v>2</v>
      </c>
    </row>
    <row r="2526">
      <c r="J2526" s="5" t="str">
        <f>IFERROR(__xludf.DUMMYFUNCTION("""COMPUTED_VALUE"""),"842🤙🏼Ordinary People🤙🏼🤙🏼2")</f>
        <v>842🤙🏼Ordinary People🤙🏼🤙🏼2</v>
      </c>
      <c r="K2526" s="5">
        <f>IFERROR(__xludf.DUMMYFUNCTION("SPLiT(J2526, ""🤙🏼"",FALSE,FALSE)"),842.0)</f>
        <v>842</v>
      </c>
      <c r="L2526" s="5" t="str">
        <f>IFERROR(__xludf.DUMMYFUNCTION("""COMPUTED_VALUE"""),"Ordinary People")</f>
        <v>Ordinary People</v>
      </c>
      <c r="M2526" s="5"/>
      <c r="N2526" s="5">
        <f>IFERROR(__xludf.DUMMYFUNCTION("""COMPUTED_VALUE"""),2.0)</f>
        <v>2</v>
      </c>
      <c r="S2526" s="5">
        <f>IFERROR(__xludf.DUMMYFUNCTION("""COMPUTED_VALUE"""),994.0)</f>
        <v>994</v>
      </c>
      <c r="T2526" s="5" t="str">
        <f>IFERROR(__xludf.DUMMYFUNCTION("""COMPUTED_VALUE"""),"Blowup")</f>
        <v>Blowup</v>
      </c>
      <c r="U2526" s="5" t="str">
        <f>IFERROR(__xludf.DUMMYFUNCTION("""COMPUTED_VALUE"""),"Thriller")</f>
        <v>Thriller</v>
      </c>
      <c r="V2526" s="5">
        <f>IFERROR(__xludf.DUMMYFUNCTION("""COMPUTED_VALUE"""),3.0)</f>
        <v>3</v>
      </c>
    </row>
    <row r="2527">
      <c r="J2527" s="5" t="str">
        <f>IFERROR(__xludf.DUMMYFUNCTION("""COMPUTED_VALUE"""),"842🤙🏼Ordinary People🤙🏼🤙🏼3")</f>
        <v>842🤙🏼Ordinary People🤙🏼🤙🏼3</v>
      </c>
      <c r="K2527" s="5">
        <f>IFERROR(__xludf.DUMMYFUNCTION("SPLiT(J2527, ""🤙🏼"",FALSE,FALSE)"),842.0)</f>
        <v>842</v>
      </c>
      <c r="L2527" s="5" t="str">
        <f>IFERROR(__xludf.DUMMYFUNCTION("""COMPUTED_VALUE"""),"Ordinary People")</f>
        <v>Ordinary People</v>
      </c>
      <c r="M2527" s="5"/>
      <c r="N2527" s="5">
        <f>IFERROR(__xludf.DUMMYFUNCTION("""COMPUTED_VALUE"""),3.0)</f>
        <v>3</v>
      </c>
      <c r="S2527" s="5">
        <f>IFERROR(__xludf.DUMMYFUNCTION("""COMPUTED_VALUE"""),995.0)</f>
        <v>995</v>
      </c>
      <c r="T2527" s="5" t="str">
        <f>IFERROR(__xludf.DUMMYFUNCTION("""COMPUTED_VALUE"""),"A Hard Day's Night")</f>
        <v>A Hard Day's Night</v>
      </c>
      <c r="U2527" s="5" t="str">
        <f>IFERROR(__xludf.DUMMYFUNCTION("""COMPUTED_VALUE"""),"Comedy")</f>
        <v>Comedy</v>
      </c>
      <c r="V2527" s="5">
        <f>IFERROR(__xludf.DUMMYFUNCTION("""COMPUTED_VALUE"""),1.0)</f>
        <v>1</v>
      </c>
    </row>
    <row r="2528">
      <c r="J2528" s="5" t="str">
        <f>IFERROR(__xludf.DUMMYFUNCTION("""COMPUTED_VALUE"""),"843🤙🏼Airplane!🤙🏼Comedy🤙🏼1")</f>
        <v>843🤙🏼Airplane!🤙🏼Comedy🤙🏼1</v>
      </c>
      <c r="K2528" s="5">
        <f>IFERROR(__xludf.DUMMYFUNCTION("SPLiT(J2528, ""🤙🏼"",FALSE,FALSE)"),843.0)</f>
        <v>843</v>
      </c>
      <c r="L2528" s="5" t="str">
        <f>IFERROR(__xludf.DUMMYFUNCTION("""COMPUTED_VALUE"""),"Airplane!")</f>
        <v>Airplane!</v>
      </c>
      <c r="M2528" s="5" t="str">
        <f>IFERROR(__xludf.DUMMYFUNCTION("""COMPUTED_VALUE"""),"Comedy")</f>
        <v>Comedy</v>
      </c>
      <c r="N2528" s="5">
        <f>IFERROR(__xludf.DUMMYFUNCTION("""COMPUTED_VALUE"""),1.0)</f>
        <v>1</v>
      </c>
      <c r="S2528" s="5">
        <f>IFERROR(__xludf.DUMMYFUNCTION("""COMPUTED_VALUE"""),995.0)</f>
        <v>995</v>
      </c>
      <c r="T2528" s="5" t="str">
        <f>IFERROR(__xludf.DUMMYFUNCTION("""COMPUTED_VALUE"""),"A Hard Day's Night")</f>
        <v>A Hard Day's Night</v>
      </c>
      <c r="U2528" s="5" t="str">
        <f>IFERROR(__xludf.DUMMYFUNCTION("""COMPUTED_VALUE"""),"Music")</f>
        <v>Music</v>
      </c>
      <c r="V2528" s="5">
        <f>IFERROR(__xludf.DUMMYFUNCTION("""COMPUTED_VALUE"""),2.0)</f>
        <v>2</v>
      </c>
    </row>
    <row r="2529">
      <c r="J2529" s="5" t="str">
        <f>IFERROR(__xludf.DUMMYFUNCTION("""COMPUTED_VALUE"""),"843🤙🏼Airplane!🤙🏼🤙🏼2")</f>
        <v>843🤙🏼Airplane!🤙🏼🤙🏼2</v>
      </c>
      <c r="K2529" s="5">
        <f>IFERROR(__xludf.DUMMYFUNCTION("SPLiT(J2529, ""🤙🏼"",FALSE,FALSE)"),843.0)</f>
        <v>843</v>
      </c>
      <c r="L2529" s="5" t="str">
        <f>IFERROR(__xludf.DUMMYFUNCTION("""COMPUTED_VALUE"""),"Airplane!")</f>
        <v>Airplane!</v>
      </c>
      <c r="M2529" s="5"/>
      <c r="N2529" s="5">
        <f>IFERROR(__xludf.DUMMYFUNCTION("""COMPUTED_VALUE"""),2.0)</f>
        <v>2</v>
      </c>
      <c r="S2529" s="5">
        <f>IFERROR(__xludf.DUMMYFUNCTION("""COMPUTED_VALUE"""),995.0)</f>
        <v>995</v>
      </c>
      <c r="T2529" s="5" t="str">
        <f>IFERROR(__xludf.DUMMYFUNCTION("""COMPUTED_VALUE"""),"A Hard Day's Night")</f>
        <v>A Hard Day's Night</v>
      </c>
      <c r="U2529" s="5" t="str">
        <f>IFERROR(__xludf.DUMMYFUNCTION("""COMPUTED_VALUE"""),"Musical")</f>
        <v>Musical</v>
      </c>
      <c r="V2529" s="5">
        <f>IFERROR(__xludf.DUMMYFUNCTION("""COMPUTED_VALUE"""),3.0)</f>
        <v>3</v>
      </c>
    </row>
    <row r="2530">
      <c r="J2530" s="5" t="str">
        <f>IFERROR(__xludf.DUMMYFUNCTION("""COMPUTED_VALUE"""),"843🤙🏼Airplane!🤙🏼🤙🏼3")</f>
        <v>843🤙🏼Airplane!🤙🏼🤙🏼3</v>
      </c>
      <c r="K2530" s="5">
        <f>IFERROR(__xludf.DUMMYFUNCTION("SPLiT(J2530, ""🤙🏼"",FALSE,FALSE)"),843.0)</f>
        <v>843</v>
      </c>
      <c r="L2530" s="5" t="str">
        <f>IFERROR(__xludf.DUMMYFUNCTION("""COMPUTED_VALUE"""),"Airplane!")</f>
        <v>Airplane!</v>
      </c>
      <c r="M2530" s="5"/>
      <c r="N2530" s="5">
        <f>IFERROR(__xludf.DUMMYFUNCTION("""COMPUTED_VALUE"""),3.0)</f>
        <v>3</v>
      </c>
      <c r="S2530" s="5">
        <f>IFERROR(__xludf.DUMMYFUNCTION("""COMPUTED_VALUE"""),996.0)</f>
        <v>996</v>
      </c>
      <c r="T2530" s="5" t="str">
        <f>IFERROR(__xludf.DUMMYFUNCTION("""COMPUTED_VALUE"""),"Breakfast at Tiffany's")</f>
        <v>Breakfast at Tiffany's</v>
      </c>
      <c r="U2530" s="5" t="str">
        <f>IFERROR(__xludf.DUMMYFUNCTION("""COMPUTED_VALUE"""),"Comedy")</f>
        <v>Comedy</v>
      </c>
      <c r="V2530" s="5">
        <f>IFERROR(__xludf.DUMMYFUNCTION("""COMPUTED_VALUE"""),1.0)</f>
        <v>1</v>
      </c>
    </row>
    <row r="2531">
      <c r="J2531" s="5" t="str">
        <f>IFERROR(__xludf.DUMMYFUNCTION("""COMPUTED_VALUE"""),"844🤙🏼Rupan sansei: Kariosutoro no shiro🤙🏼Animation🤙🏼1")</f>
        <v>844🤙🏼Rupan sansei: Kariosutoro no shiro🤙🏼Animation🤙🏼1</v>
      </c>
      <c r="K2531" s="5">
        <f>IFERROR(__xludf.DUMMYFUNCTION("SPLiT(J2531, ""🤙🏼"",FALSE,FALSE)"),844.0)</f>
        <v>844</v>
      </c>
      <c r="L2531" s="5" t="str">
        <f>IFERROR(__xludf.DUMMYFUNCTION("""COMPUTED_VALUE"""),"Rupan sansei: Kariosutoro no shiro")</f>
        <v>Rupan sansei: Kariosutoro no shiro</v>
      </c>
      <c r="M2531" s="5" t="str">
        <f>IFERROR(__xludf.DUMMYFUNCTION("""COMPUTED_VALUE"""),"Animation")</f>
        <v>Animation</v>
      </c>
      <c r="N2531" s="5">
        <f>IFERROR(__xludf.DUMMYFUNCTION("""COMPUTED_VALUE"""),1.0)</f>
        <v>1</v>
      </c>
      <c r="S2531" s="5">
        <f>IFERROR(__xludf.DUMMYFUNCTION("""COMPUTED_VALUE"""),996.0)</f>
        <v>996</v>
      </c>
      <c r="T2531" s="5" t="str">
        <f>IFERROR(__xludf.DUMMYFUNCTION("""COMPUTED_VALUE"""),"Breakfast at Tiffany's")</f>
        <v>Breakfast at Tiffany's</v>
      </c>
      <c r="U2531" s="5" t="str">
        <f>IFERROR(__xludf.DUMMYFUNCTION("""COMPUTED_VALUE"""),"Drama")</f>
        <v>Drama</v>
      </c>
      <c r="V2531" s="5">
        <f>IFERROR(__xludf.DUMMYFUNCTION("""COMPUTED_VALUE"""),2.0)</f>
        <v>2</v>
      </c>
    </row>
    <row r="2532">
      <c r="J2532" s="5" t="str">
        <f>IFERROR(__xludf.DUMMYFUNCTION("""COMPUTED_VALUE"""),"844🤙🏼Rupan sansei: Kariosutoro no shiro🤙🏼Adventure🤙🏼2")</f>
        <v>844🤙🏼Rupan sansei: Kariosutoro no shiro🤙🏼Adventure🤙🏼2</v>
      </c>
      <c r="K2532" s="5">
        <f>IFERROR(__xludf.DUMMYFUNCTION("SPLiT(J2532, ""🤙🏼"",FALSE,FALSE)"),844.0)</f>
        <v>844</v>
      </c>
      <c r="L2532" s="5" t="str">
        <f>IFERROR(__xludf.DUMMYFUNCTION("""COMPUTED_VALUE"""),"Rupan sansei: Kariosutoro no shiro")</f>
        <v>Rupan sansei: Kariosutoro no shiro</v>
      </c>
      <c r="M2532" s="5" t="str">
        <f>IFERROR(__xludf.DUMMYFUNCTION("""COMPUTED_VALUE"""),"Adventure")</f>
        <v>Adventure</v>
      </c>
      <c r="N2532" s="5">
        <f>IFERROR(__xludf.DUMMYFUNCTION("""COMPUTED_VALUE"""),2.0)</f>
        <v>2</v>
      </c>
      <c r="S2532" s="5">
        <f>IFERROR(__xludf.DUMMYFUNCTION("""COMPUTED_VALUE"""),996.0)</f>
        <v>996</v>
      </c>
      <c r="T2532" s="5" t="str">
        <f>IFERROR(__xludf.DUMMYFUNCTION("""COMPUTED_VALUE"""),"Breakfast at Tiffany's")</f>
        <v>Breakfast at Tiffany's</v>
      </c>
      <c r="U2532" s="5" t="str">
        <f>IFERROR(__xludf.DUMMYFUNCTION("""COMPUTED_VALUE"""),"Romance")</f>
        <v>Romance</v>
      </c>
      <c r="V2532" s="5">
        <f>IFERROR(__xludf.DUMMYFUNCTION("""COMPUTED_VALUE"""),3.0)</f>
        <v>3</v>
      </c>
    </row>
    <row r="2533">
      <c r="J2533" s="5" t="str">
        <f>IFERROR(__xludf.DUMMYFUNCTION("""COMPUTED_VALUE"""),"844🤙🏼Rupan sansei: Kariosutoro no shiro🤙🏼Family🤙🏼3")</f>
        <v>844🤙🏼Rupan sansei: Kariosutoro no shiro🤙🏼Family🤙🏼3</v>
      </c>
      <c r="K2533" s="5">
        <f>IFERROR(__xludf.DUMMYFUNCTION("SPLiT(J2533, ""🤙🏼"",FALSE,FALSE)"),844.0)</f>
        <v>844</v>
      </c>
      <c r="L2533" s="5" t="str">
        <f>IFERROR(__xludf.DUMMYFUNCTION("""COMPUTED_VALUE"""),"Rupan sansei: Kariosutoro no shiro")</f>
        <v>Rupan sansei: Kariosutoro no shiro</v>
      </c>
      <c r="M2533" s="5" t="str">
        <f>IFERROR(__xludf.DUMMYFUNCTION("""COMPUTED_VALUE"""),"Family")</f>
        <v>Family</v>
      </c>
      <c r="N2533" s="5">
        <f>IFERROR(__xludf.DUMMYFUNCTION("""COMPUTED_VALUE"""),3.0)</f>
        <v>3</v>
      </c>
      <c r="S2533" s="5">
        <f>IFERROR(__xludf.DUMMYFUNCTION("""COMPUTED_VALUE"""),997.0)</f>
        <v>997</v>
      </c>
      <c r="T2533" s="5" t="str">
        <f>IFERROR(__xludf.DUMMYFUNCTION("""COMPUTED_VALUE"""),"Giant")</f>
        <v>Giant</v>
      </c>
      <c r="U2533" s="5" t="str">
        <f>IFERROR(__xludf.DUMMYFUNCTION("""COMPUTED_VALUE"""),"Drama")</f>
        <v>Drama</v>
      </c>
      <c r="V2533" s="5">
        <f>IFERROR(__xludf.DUMMYFUNCTION("""COMPUTED_VALUE"""),1.0)</f>
        <v>1</v>
      </c>
    </row>
    <row r="2534">
      <c r="J2534" s="5" t="str">
        <f>IFERROR(__xludf.DUMMYFUNCTION("""COMPUTED_VALUE"""),"845🤙🏼Halloween🤙🏼Horror🤙🏼1")</f>
        <v>845🤙🏼Halloween🤙🏼Horror🤙🏼1</v>
      </c>
      <c r="K2534" s="5">
        <f>IFERROR(__xludf.DUMMYFUNCTION("SPLiT(J2534, ""🤙🏼"",FALSE,FALSE)"),845.0)</f>
        <v>845</v>
      </c>
      <c r="L2534" s="5" t="str">
        <f>IFERROR(__xludf.DUMMYFUNCTION("""COMPUTED_VALUE"""),"Halloween")</f>
        <v>Halloween</v>
      </c>
      <c r="M2534" s="5" t="str">
        <f>IFERROR(__xludf.DUMMYFUNCTION("""COMPUTED_VALUE"""),"Horror")</f>
        <v>Horror</v>
      </c>
      <c r="N2534" s="5">
        <f>IFERROR(__xludf.DUMMYFUNCTION("""COMPUTED_VALUE"""),1.0)</f>
        <v>1</v>
      </c>
      <c r="S2534" s="5">
        <f>IFERROR(__xludf.DUMMYFUNCTION("""COMPUTED_VALUE"""),997.0)</f>
        <v>997</v>
      </c>
      <c r="T2534" s="5" t="str">
        <f>IFERROR(__xludf.DUMMYFUNCTION("""COMPUTED_VALUE"""),"Giant")</f>
        <v>Giant</v>
      </c>
      <c r="U2534" s="5" t="str">
        <f>IFERROR(__xludf.DUMMYFUNCTION("""COMPUTED_VALUE"""),"Western")</f>
        <v>Western</v>
      </c>
      <c r="V2534" s="5">
        <f>IFERROR(__xludf.DUMMYFUNCTION("""COMPUTED_VALUE"""),2.0)</f>
        <v>2</v>
      </c>
    </row>
    <row r="2535">
      <c r="J2535" s="5" t="str">
        <f>IFERROR(__xludf.DUMMYFUNCTION("""COMPUTED_VALUE"""),"845🤙🏼Halloween🤙🏼Thriller🤙🏼2")</f>
        <v>845🤙🏼Halloween🤙🏼Thriller🤙🏼2</v>
      </c>
      <c r="K2535" s="5">
        <f>IFERROR(__xludf.DUMMYFUNCTION("SPLiT(J2535, ""🤙🏼"",FALSE,FALSE)"),845.0)</f>
        <v>845</v>
      </c>
      <c r="L2535" s="5" t="str">
        <f>IFERROR(__xludf.DUMMYFUNCTION("""COMPUTED_VALUE"""),"Halloween")</f>
        <v>Halloween</v>
      </c>
      <c r="M2535" s="5" t="str">
        <f>IFERROR(__xludf.DUMMYFUNCTION("""COMPUTED_VALUE"""),"Thriller")</f>
        <v>Thriller</v>
      </c>
      <c r="N2535" s="5">
        <f>IFERROR(__xludf.DUMMYFUNCTION("""COMPUTED_VALUE"""),2.0)</f>
        <v>2</v>
      </c>
      <c r="S2535" s="5">
        <f>IFERROR(__xludf.DUMMYFUNCTION("""COMPUTED_VALUE"""),998.0)</f>
        <v>998</v>
      </c>
      <c r="T2535" s="5" t="str">
        <f>IFERROR(__xludf.DUMMYFUNCTION("""COMPUTED_VALUE"""),"From Here to Eternity")</f>
        <v>From Here to Eternity</v>
      </c>
      <c r="U2535" s="5" t="str">
        <f>IFERROR(__xludf.DUMMYFUNCTION("""COMPUTED_VALUE"""),"Drama")</f>
        <v>Drama</v>
      </c>
      <c r="V2535" s="5">
        <f>IFERROR(__xludf.DUMMYFUNCTION("""COMPUTED_VALUE"""),1.0)</f>
        <v>1</v>
      </c>
    </row>
    <row r="2536">
      <c r="J2536" s="5" t="str">
        <f>IFERROR(__xludf.DUMMYFUNCTION("""COMPUTED_VALUE"""),"845🤙🏼Halloween🤙🏼🤙🏼3")</f>
        <v>845🤙🏼Halloween🤙🏼🤙🏼3</v>
      </c>
      <c r="K2536" s="5">
        <f>IFERROR(__xludf.DUMMYFUNCTION("SPLiT(J2536, ""🤙🏼"",FALSE,FALSE)"),845.0)</f>
        <v>845</v>
      </c>
      <c r="L2536" s="5" t="str">
        <f>IFERROR(__xludf.DUMMYFUNCTION("""COMPUTED_VALUE"""),"Halloween")</f>
        <v>Halloween</v>
      </c>
      <c r="M2536" s="5"/>
      <c r="N2536" s="5">
        <f>IFERROR(__xludf.DUMMYFUNCTION("""COMPUTED_VALUE"""),3.0)</f>
        <v>3</v>
      </c>
      <c r="S2536" s="5">
        <f>IFERROR(__xludf.DUMMYFUNCTION("""COMPUTED_VALUE"""),998.0)</f>
        <v>998</v>
      </c>
      <c r="T2536" s="5" t="str">
        <f>IFERROR(__xludf.DUMMYFUNCTION("""COMPUTED_VALUE"""),"From Here to Eternity")</f>
        <v>From Here to Eternity</v>
      </c>
      <c r="U2536" s="5" t="str">
        <f>IFERROR(__xludf.DUMMYFUNCTION("""COMPUTED_VALUE"""),"Romance")</f>
        <v>Romance</v>
      </c>
      <c r="V2536" s="5">
        <f>IFERROR(__xludf.DUMMYFUNCTION("""COMPUTED_VALUE"""),2.0)</f>
        <v>2</v>
      </c>
    </row>
    <row r="2537">
      <c r="J2537" s="5" t="str">
        <f>IFERROR(__xludf.DUMMYFUNCTION("""COMPUTED_VALUE"""),"846🤙🏼Le locataire🤙🏼Drama🤙🏼1")</f>
        <v>846🤙🏼Le locataire🤙🏼Drama🤙🏼1</v>
      </c>
      <c r="K2537" s="5">
        <f>IFERROR(__xludf.DUMMYFUNCTION("SPLiT(J2537, ""🤙🏼"",FALSE,FALSE)"),846.0)</f>
        <v>846</v>
      </c>
      <c r="L2537" s="5" t="str">
        <f>IFERROR(__xludf.DUMMYFUNCTION("""COMPUTED_VALUE"""),"Le locataire")</f>
        <v>Le locataire</v>
      </c>
      <c r="M2537" s="5" t="str">
        <f>IFERROR(__xludf.DUMMYFUNCTION("""COMPUTED_VALUE"""),"Drama")</f>
        <v>Drama</v>
      </c>
      <c r="N2537" s="5">
        <f>IFERROR(__xludf.DUMMYFUNCTION("""COMPUTED_VALUE"""),1.0)</f>
        <v>1</v>
      </c>
      <c r="S2537" s="5">
        <f>IFERROR(__xludf.DUMMYFUNCTION("""COMPUTED_VALUE"""),998.0)</f>
        <v>998</v>
      </c>
      <c r="T2537" s="5" t="str">
        <f>IFERROR(__xludf.DUMMYFUNCTION("""COMPUTED_VALUE"""),"From Here to Eternity")</f>
        <v>From Here to Eternity</v>
      </c>
      <c r="U2537" s="5" t="str">
        <f>IFERROR(__xludf.DUMMYFUNCTION("""COMPUTED_VALUE"""),"War")</f>
        <v>War</v>
      </c>
      <c r="V2537" s="5">
        <f>IFERROR(__xludf.DUMMYFUNCTION("""COMPUTED_VALUE"""),3.0)</f>
        <v>3</v>
      </c>
    </row>
    <row r="2538">
      <c r="J2538" s="5" t="str">
        <f>IFERROR(__xludf.DUMMYFUNCTION("""COMPUTED_VALUE"""),"846🤙🏼Le locataire🤙🏼Thriller🤙🏼2")</f>
        <v>846🤙🏼Le locataire🤙🏼Thriller🤙🏼2</v>
      </c>
      <c r="K2538" s="5">
        <f>IFERROR(__xludf.DUMMYFUNCTION("SPLiT(J2538, ""🤙🏼"",FALSE,FALSE)"),846.0)</f>
        <v>846</v>
      </c>
      <c r="L2538" s="5" t="str">
        <f>IFERROR(__xludf.DUMMYFUNCTION("""COMPUTED_VALUE"""),"Le locataire")</f>
        <v>Le locataire</v>
      </c>
      <c r="M2538" s="5" t="str">
        <f>IFERROR(__xludf.DUMMYFUNCTION("""COMPUTED_VALUE"""),"Thriller")</f>
        <v>Thriller</v>
      </c>
      <c r="N2538" s="5">
        <f>IFERROR(__xludf.DUMMYFUNCTION("""COMPUTED_VALUE"""),2.0)</f>
        <v>2</v>
      </c>
      <c r="S2538" s="5">
        <f>IFERROR(__xludf.DUMMYFUNCTION("""COMPUTED_VALUE"""),999.0)</f>
        <v>999</v>
      </c>
      <c r="T2538" s="5" t="str">
        <f>IFERROR(__xludf.DUMMYFUNCTION("""COMPUTED_VALUE"""),"Lifeboat")</f>
        <v>Lifeboat</v>
      </c>
      <c r="U2538" s="5" t="str">
        <f>IFERROR(__xludf.DUMMYFUNCTION("""COMPUTED_VALUE"""),"Drama")</f>
        <v>Drama</v>
      </c>
      <c r="V2538" s="5">
        <f>IFERROR(__xludf.DUMMYFUNCTION("""COMPUTED_VALUE"""),1.0)</f>
        <v>1</v>
      </c>
    </row>
    <row r="2539">
      <c r="J2539" s="5" t="str">
        <f>IFERROR(__xludf.DUMMYFUNCTION("""COMPUTED_VALUE"""),"846🤙🏼Le locataire🤙🏼🤙🏼3")</f>
        <v>846🤙🏼Le locataire🤙🏼🤙🏼3</v>
      </c>
      <c r="K2539" s="5">
        <f>IFERROR(__xludf.DUMMYFUNCTION("SPLiT(J2539, ""🤙🏼"",FALSE,FALSE)"),846.0)</f>
        <v>846</v>
      </c>
      <c r="L2539" s="5" t="str">
        <f>IFERROR(__xludf.DUMMYFUNCTION("""COMPUTED_VALUE"""),"Le locataire")</f>
        <v>Le locataire</v>
      </c>
      <c r="M2539" s="5"/>
      <c r="N2539" s="5">
        <f>IFERROR(__xludf.DUMMYFUNCTION("""COMPUTED_VALUE"""),3.0)</f>
        <v>3</v>
      </c>
      <c r="S2539" s="5">
        <f>IFERROR(__xludf.DUMMYFUNCTION("""COMPUTED_VALUE"""),999.0)</f>
        <v>999</v>
      </c>
      <c r="T2539" s="5" t="str">
        <f>IFERROR(__xludf.DUMMYFUNCTION("""COMPUTED_VALUE"""),"Lifeboat")</f>
        <v>Lifeboat</v>
      </c>
      <c r="U2539" s="5" t="str">
        <f>IFERROR(__xludf.DUMMYFUNCTION("""COMPUTED_VALUE"""),"War")</f>
        <v>War</v>
      </c>
      <c r="V2539" s="5">
        <f>IFERROR(__xludf.DUMMYFUNCTION("""COMPUTED_VALUE"""),2.0)</f>
        <v>2</v>
      </c>
    </row>
    <row r="2540">
      <c r="J2540" s="5" t="str">
        <f>IFERROR(__xludf.DUMMYFUNCTION("""COMPUTED_VALUE"""),"847🤙🏼Love and Death🤙🏼Comedy🤙🏼1")</f>
        <v>847🤙🏼Love and Death🤙🏼Comedy🤙🏼1</v>
      </c>
      <c r="K2540" s="5">
        <f>IFERROR(__xludf.DUMMYFUNCTION("SPLiT(J2540, ""🤙🏼"",FALSE,FALSE)"),847.0)</f>
        <v>847</v>
      </c>
      <c r="L2540" s="5" t="str">
        <f>IFERROR(__xludf.DUMMYFUNCTION("""COMPUTED_VALUE"""),"Love and Death")</f>
        <v>Love and Death</v>
      </c>
      <c r="M2540" s="5" t="str">
        <f>IFERROR(__xludf.DUMMYFUNCTION("""COMPUTED_VALUE"""),"Comedy")</f>
        <v>Comedy</v>
      </c>
      <c r="N2540" s="5">
        <f>IFERROR(__xludf.DUMMYFUNCTION("""COMPUTED_VALUE"""),1.0)</f>
        <v>1</v>
      </c>
      <c r="S2540" s="5">
        <f>IFERROR(__xludf.DUMMYFUNCTION("""COMPUTED_VALUE"""),1000.0)</f>
        <v>1000</v>
      </c>
      <c r="T2540" s="5" t="str">
        <f>IFERROR(__xludf.DUMMYFUNCTION("""COMPUTED_VALUE"""),"The 39 Steps")</f>
        <v>The 39 Steps</v>
      </c>
      <c r="U2540" s="5" t="str">
        <f>IFERROR(__xludf.DUMMYFUNCTION("""COMPUTED_VALUE"""),"Crime")</f>
        <v>Crime</v>
      </c>
      <c r="V2540" s="5">
        <f>IFERROR(__xludf.DUMMYFUNCTION("""COMPUTED_VALUE"""),1.0)</f>
        <v>1</v>
      </c>
    </row>
    <row r="2541">
      <c r="J2541" s="5" t="str">
        <f>IFERROR(__xludf.DUMMYFUNCTION("""COMPUTED_VALUE"""),"847🤙🏼Love and Death🤙🏼War🤙🏼2")</f>
        <v>847🤙🏼Love and Death🤙🏼War🤙🏼2</v>
      </c>
      <c r="K2541" s="5">
        <f>IFERROR(__xludf.DUMMYFUNCTION("SPLiT(J2541, ""🤙🏼"",FALSE,FALSE)"),847.0)</f>
        <v>847</v>
      </c>
      <c r="L2541" s="5" t="str">
        <f>IFERROR(__xludf.DUMMYFUNCTION("""COMPUTED_VALUE"""),"Love and Death")</f>
        <v>Love and Death</v>
      </c>
      <c r="M2541" s="5" t="str">
        <f>IFERROR(__xludf.DUMMYFUNCTION("""COMPUTED_VALUE"""),"War")</f>
        <v>War</v>
      </c>
      <c r="N2541" s="5">
        <f>IFERROR(__xludf.DUMMYFUNCTION("""COMPUTED_VALUE"""),2.0)</f>
        <v>2</v>
      </c>
      <c r="S2541" s="5">
        <f>IFERROR(__xludf.DUMMYFUNCTION("""COMPUTED_VALUE"""),1000.0)</f>
        <v>1000</v>
      </c>
      <c r="T2541" s="5" t="str">
        <f>IFERROR(__xludf.DUMMYFUNCTION("""COMPUTED_VALUE"""),"The 39 Steps")</f>
        <v>The 39 Steps</v>
      </c>
      <c r="U2541" s="5" t="str">
        <f>IFERROR(__xludf.DUMMYFUNCTION("""COMPUTED_VALUE"""),"Mystery")</f>
        <v>Mystery</v>
      </c>
      <c r="V2541" s="5">
        <f>IFERROR(__xludf.DUMMYFUNCTION("""COMPUTED_VALUE"""),2.0)</f>
        <v>2</v>
      </c>
    </row>
    <row r="2542">
      <c r="J2542" s="5" t="str">
        <f>IFERROR(__xludf.DUMMYFUNCTION("""COMPUTED_VALUE"""),"847🤙🏼Love and Death🤙🏼🤙🏼3")</f>
        <v>847🤙🏼Love and Death🤙🏼🤙🏼3</v>
      </c>
      <c r="K2542" s="5">
        <f>IFERROR(__xludf.DUMMYFUNCTION("SPLiT(J2542, ""🤙🏼"",FALSE,FALSE)"),847.0)</f>
        <v>847</v>
      </c>
      <c r="L2542" s="5" t="str">
        <f>IFERROR(__xludf.DUMMYFUNCTION("""COMPUTED_VALUE"""),"Love and Death")</f>
        <v>Love and Death</v>
      </c>
      <c r="M2542" s="5"/>
      <c r="N2542" s="5">
        <f>IFERROR(__xludf.DUMMYFUNCTION("""COMPUTED_VALUE"""),3.0)</f>
        <v>3</v>
      </c>
      <c r="S2542" s="5">
        <f>IFERROR(__xludf.DUMMYFUNCTION("""COMPUTED_VALUE"""),1000.0)</f>
        <v>1000</v>
      </c>
      <c r="T2542" s="5" t="str">
        <f>IFERROR(__xludf.DUMMYFUNCTION("""COMPUTED_VALUE"""),"The 39 Steps")</f>
        <v>The 39 Steps</v>
      </c>
      <c r="U2542" s="5" t="str">
        <f>IFERROR(__xludf.DUMMYFUNCTION("""COMPUTED_VALUE"""),"Thriller")</f>
        <v>Thriller</v>
      </c>
      <c r="V2542" s="5">
        <f>IFERROR(__xludf.DUMMYFUNCTION("""COMPUTED_VALUE"""),3.0)</f>
        <v>3</v>
      </c>
    </row>
    <row r="2543">
      <c r="J2543" s="5" t="str">
        <f>IFERROR(__xludf.DUMMYFUNCTION("""COMPUTED_VALUE"""),"848🤙🏼The Taking of Pelham One Two Three🤙🏼Action🤙🏼1")</f>
        <v>848🤙🏼The Taking of Pelham One Two Three🤙🏼Action🤙🏼1</v>
      </c>
      <c r="K2543" s="5">
        <f>IFERROR(__xludf.DUMMYFUNCTION("SPLiT(J2543, ""🤙🏼"",FALSE,FALSE)"),848.0)</f>
        <v>848</v>
      </c>
      <c r="L2543" s="5" t="str">
        <f>IFERROR(__xludf.DUMMYFUNCTION("""COMPUTED_VALUE"""),"The Taking of Pelham One Two Three")</f>
        <v>The Taking of Pelham One Two Three</v>
      </c>
      <c r="M2543" s="5" t="str">
        <f>IFERROR(__xludf.DUMMYFUNCTION("""COMPUTED_VALUE"""),"Action")</f>
        <v>Action</v>
      </c>
      <c r="N2543" s="5">
        <f>IFERROR(__xludf.DUMMYFUNCTION("""COMPUTED_VALUE"""),1.0)</f>
        <v>1</v>
      </c>
    </row>
    <row r="2544">
      <c r="J2544" s="5" t="str">
        <f>IFERROR(__xludf.DUMMYFUNCTION("""COMPUTED_VALUE"""),"848🤙🏼The Taking of Pelham One Two Three🤙🏼Crime🤙🏼2")</f>
        <v>848🤙🏼The Taking of Pelham One Two Three🤙🏼Crime🤙🏼2</v>
      </c>
      <c r="K2544" s="5">
        <f>IFERROR(__xludf.DUMMYFUNCTION("SPLiT(J2544, ""🤙🏼"",FALSE,FALSE)"),848.0)</f>
        <v>848</v>
      </c>
      <c r="L2544" s="5" t="str">
        <f>IFERROR(__xludf.DUMMYFUNCTION("""COMPUTED_VALUE"""),"The Taking of Pelham One Two Three")</f>
        <v>The Taking of Pelham One Two Three</v>
      </c>
      <c r="M2544" s="5" t="str">
        <f>IFERROR(__xludf.DUMMYFUNCTION("""COMPUTED_VALUE"""),"Crime")</f>
        <v>Crime</v>
      </c>
      <c r="N2544" s="5">
        <f>IFERROR(__xludf.DUMMYFUNCTION("""COMPUTED_VALUE"""),2.0)</f>
        <v>2</v>
      </c>
    </row>
    <row r="2545">
      <c r="J2545" s="5" t="str">
        <f>IFERROR(__xludf.DUMMYFUNCTION("""COMPUTED_VALUE"""),"848🤙🏼The Taking of Pelham One Two Three🤙🏼Thriller🤙🏼3")</f>
        <v>848🤙🏼The Taking of Pelham One Two Three🤙🏼Thriller🤙🏼3</v>
      </c>
      <c r="K2545" s="5">
        <f>IFERROR(__xludf.DUMMYFUNCTION("SPLiT(J2545, ""🤙🏼"",FALSE,FALSE)"),848.0)</f>
        <v>848</v>
      </c>
      <c r="L2545" s="5" t="str">
        <f>IFERROR(__xludf.DUMMYFUNCTION("""COMPUTED_VALUE"""),"The Taking of Pelham One Two Three")</f>
        <v>The Taking of Pelham One Two Three</v>
      </c>
      <c r="M2545" s="5" t="str">
        <f>IFERROR(__xludf.DUMMYFUNCTION("""COMPUTED_VALUE"""),"Thriller")</f>
        <v>Thriller</v>
      </c>
      <c r="N2545" s="5">
        <f>IFERROR(__xludf.DUMMYFUNCTION("""COMPUTED_VALUE"""),3.0)</f>
        <v>3</v>
      </c>
    </row>
    <row r="2546">
      <c r="J2546" s="5" t="str">
        <f>IFERROR(__xludf.DUMMYFUNCTION("""COMPUTED_VALUE"""),"849🤙🏼Blazing Saddles🤙🏼Comedy🤙🏼1")</f>
        <v>849🤙🏼Blazing Saddles🤙🏼Comedy🤙🏼1</v>
      </c>
      <c r="K2546" s="5">
        <f>IFERROR(__xludf.DUMMYFUNCTION("SPLiT(J2546, ""🤙🏼"",FALSE,FALSE)"),849.0)</f>
        <v>849</v>
      </c>
      <c r="L2546" s="5" t="str">
        <f>IFERROR(__xludf.DUMMYFUNCTION("""COMPUTED_VALUE"""),"Blazing Saddles")</f>
        <v>Blazing Saddles</v>
      </c>
      <c r="M2546" s="5" t="str">
        <f>IFERROR(__xludf.DUMMYFUNCTION("""COMPUTED_VALUE"""),"Comedy")</f>
        <v>Comedy</v>
      </c>
      <c r="N2546" s="5">
        <f>IFERROR(__xludf.DUMMYFUNCTION("""COMPUTED_VALUE"""),1.0)</f>
        <v>1</v>
      </c>
    </row>
    <row r="2547">
      <c r="J2547" s="5" t="str">
        <f>IFERROR(__xludf.DUMMYFUNCTION("""COMPUTED_VALUE"""),"849🤙🏼Blazing Saddles🤙🏼Western🤙🏼2")</f>
        <v>849🤙🏼Blazing Saddles🤙🏼Western🤙🏼2</v>
      </c>
      <c r="K2547" s="5">
        <f>IFERROR(__xludf.DUMMYFUNCTION("SPLiT(J2547, ""🤙🏼"",FALSE,FALSE)"),849.0)</f>
        <v>849</v>
      </c>
      <c r="L2547" s="5" t="str">
        <f>IFERROR(__xludf.DUMMYFUNCTION("""COMPUTED_VALUE"""),"Blazing Saddles")</f>
        <v>Blazing Saddles</v>
      </c>
      <c r="M2547" s="5" t="str">
        <f>IFERROR(__xludf.DUMMYFUNCTION("""COMPUTED_VALUE"""),"Western")</f>
        <v>Western</v>
      </c>
      <c r="N2547" s="5">
        <f>IFERROR(__xludf.DUMMYFUNCTION("""COMPUTED_VALUE"""),2.0)</f>
        <v>2</v>
      </c>
    </row>
    <row r="2548">
      <c r="J2548" s="5" t="str">
        <f>IFERROR(__xludf.DUMMYFUNCTION("""COMPUTED_VALUE"""),"849🤙🏼Blazing Saddles🤙🏼🤙🏼3")</f>
        <v>849🤙🏼Blazing Saddles🤙🏼🤙🏼3</v>
      </c>
      <c r="K2548" s="5">
        <f>IFERROR(__xludf.DUMMYFUNCTION("SPLiT(J2548, ""🤙🏼"",FALSE,FALSE)"),849.0)</f>
        <v>849</v>
      </c>
      <c r="L2548" s="5" t="str">
        <f>IFERROR(__xludf.DUMMYFUNCTION("""COMPUTED_VALUE"""),"Blazing Saddles")</f>
        <v>Blazing Saddles</v>
      </c>
      <c r="M2548" s="5"/>
      <c r="N2548" s="5">
        <f>IFERROR(__xludf.DUMMYFUNCTION("""COMPUTED_VALUE"""),3.0)</f>
        <v>3</v>
      </c>
    </row>
    <row r="2549">
      <c r="J2549" s="5" t="str">
        <f>IFERROR(__xludf.DUMMYFUNCTION("""COMPUTED_VALUE"""),"850🤙🏼Serpico🤙🏼Biography🤙🏼1")</f>
        <v>850🤙🏼Serpico🤙🏼Biography🤙🏼1</v>
      </c>
      <c r="K2549" s="5">
        <f>IFERROR(__xludf.DUMMYFUNCTION("SPLiT(J2549, ""🤙🏼"",FALSE,FALSE)"),850.0)</f>
        <v>850</v>
      </c>
      <c r="L2549" s="5" t="str">
        <f>IFERROR(__xludf.DUMMYFUNCTION("""COMPUTED_VALUE"""),"Serpico")</f>
        <v>Serpico</v>
      </c>
      <c r="M2549" s="5" t="str">
        <f>IFERROR(__xludf.DUMMYFUNCTION("""COMPUTED_VALUE"""),"Biography")</f>
        <v>Biography</v>
      </c>
      <c r="N2549" s="5">
        <f>IFERROR(__xludf.DUMMYFUNCTION("""COMPUTED_VALUE"""),1.0)</f>
        <v>1</v>
      </c>
    </row>
    <row r="2550">
      <c r="J2550" s="5" t="str">
        <f>IFERROR(__xludf.DUMMYFUNCTION("""COMPUTED_VALUE"""),"850🤙🏼Serpico🤙🏼Crime🤙🏼2")</f>
        <v>850🤙🏼Serpico🤙🏼Crime🤙🏼2</v>
      </c>
      <c r="K2550" s="5">
        <f>IFERROR(__xludf.DUMMYFUNCTION("SPLiT(J2550, ""🤙🏼"",FALSE,FALSE)"),850.0)</f>
        <v>850</v>
      </c>
      <c r="L2550" s="5" t="str">
        <f>IFERROR(__xludf.DUMMYFUNCTION("""COMPUTED_VALUE"""),"Serpico")</f>
        <v>Serpico</v>
      </c>
      <c r="M2550" s="5" t="str">
        <f>IFERROR(__xludf.DUMMYFUNCTION("""COMPUTED_VALUE"""),"Crime")</f>
        <v>Crime</v>
      </c>
      <c r="N2550" s="5">
        <f>IFERROR(__xludf.DUMMYFUNCTION("""COMPUTED_VALUE"""),2.0)</f>
        <v>2</v>
      </c>
    </row>
    <row r="2551">
      <c r="J2551" s="5" t="str">
        <f>IFERROR(__xludf.DUMMYFUNCTION("""COMPUTED_VALUE"""),"850🤙🏼Serpico🤙🏼Drama🤙🏼3")</f>
        <v>850🤙🏼Serpico🤙🏼Drama🤙🏼3</v>
      </c>
      <c r="K2551" s="5">
        <f>IFERROR(__xludf.DUMMYFUNCTION("SPLiT(J2551, ""🤙🏼"",FALSE,FALSE)"),850.0)</f>
        <v>850</v>
      </c>
      <c r="L2551" s="5" t="str">
        <f>IFERROR(__xludf.DUMMYFUNCTION("""COMPUTED_VALUE"""),"Serpico")</f>
        <v>Serpico</v>
      </c>
      <c r="M2551" s="5" t="str">
        <f>IFERROR(__xludf.DUMMYFUNCTION("""COMPUTED_VALUE"""),"Drama")</f>
        <v>Drama</v>
      </c>
      <c r="N2551" s="5">
        <f>IFERROR(__xludf.DUMMYFUNCTION("""COMPUTED_VALUE"""),3.0)</f>
        <v>3</v>
      </c>
    </row>
    <row r="2552">
      <c r="J2552" s="5" t="str">
        <f>IFERROR(__xludf.DUMMYFUNCTION("""COMPUTED_VALUE"""),"851🤙🏼Enter the Dragon🤙🏼Action🤙🏼1")</f>
        <v>851🤙🏼Enter the Dragon🤙🏼Action🤙🏼1</v>
      </c>
      <c r="K2552" s="5">
        <f>IFERROR(__xludf.DUMMYFUNCTION("SPLiT(J2552, ""🤙🏼"",FALSE,FALSE)"),851.0)</f>
        <v>851</v>
      </c>
      <c r="L2552" s="5" t="str">
        <f>IFERROR(__xludf.DUMMYFUNCTION("""COMPUTED_VALUE"""),"Enter the Dragon")</f>
        <v>Enter the Dragon</v>
      </c>
      <c r="M2552" s="5" t="str">
        <f>IFERROR(__xludf.DUMMYFUNCTION("""COMPUTED_VALUE"""),"Action")</f>
        <v>Action</v>
      </c>
      <c r="N2552" s="5">
        <f>IFERROR(__xludf.DUMMYFUNCTION("""COMPUTED_VALUE"""),1.0)</f>
        <v>1</v>
      </c>
    </row>
    <row r="2553">
      <c r="J2553" s="5" t="str">
        <f>IFERROR(__xludf.DUMMYFUNCTION("""COMPUTED_VALUE"""),"851🤙🏼Enter the Dragon🤙🏼Crime🤙🏼2")</f>
        <v>851🤙🏼Enter the Dragon🤙🏼Crime🤙🏼2</v>
      </c>
      <c r="K2553" s="5">
        <f>IFERROR(__xludf.DUMMYFUNCTION("SPLiT(J2553, ""🤙🏼"",FALSE,FALSE)"),851.0)</f>
        <v>851</v>
      </c>
      <c r="L2553" s="5" t="str">
        <f>IFERROR(__xludf.DUMMYFUNCTION("""COMPUTED_VALUE"""),"Enter the Dragon")</f>
        <v>Enter the Dragon</v>
      </c>
      <c r="M2553" s="5" t="str">
        <f>IFERROR(__xludf.DUMMYFUNCTION("""COMPUTED_VALUE"""),"Crime")</f>
        <v>Crime</v>
      </c>
      <c r="N2553" s="5">
        <f>IFERROR(__xludf.DUMMYFUNCTION("""COMPUTED_VALUE"""),2.0)</f>
        <v>2</v>
      </c>
    </row>
    <row r="2554">
      <c r="J2554" s="5" t="str">
        <f>IFERROR(__xludf.DUMMYFUNCTION("""COMPUTED_VALUE"""),"851🤙🏼Enter the Dragon🤙🏼Drama🤙🏼3")</f>
        <v>851🤙🏼Enter the Dragon🤙🏼Drama🤙🏼3</v>
      </c>
      <c r="K2554" s="5">
        <f>IFERROR(__xludf.DUMMYFUNCTION("SPLiT(J2554, ""🤙🏼"",FALSE,FALSE)"),851.0)</f>
        <v>851</v>
      </c>
      <c r="L2554" s="5" t="str">
        <f>IFERROR(__xludf.DUMMYFUNCTION("""COMPUTED_VALUE"""),"Enter the Dragon")</f>
        <v>Enter the Dragon</v>
      </c>
      <c r="M2554" s="5" t="str">
        <f>IFERROR(__xludf.DUMMYFUNCTION("""COMPUTED_VALUE"""),"Drama")</f>
        <v>Drama</v>
      </c>
      <c r="N2554" s="5">
        <f>IFERROR(__xludf.DUMMYFUNCTION("""COMPUTED_VALUE"""),3.0)</f>
        <v>3</v>
      </c>
    </row>
    <row r="2555">
      <c r="J2555" s="5" t="str">
        <f>IFERROR(__xludf.DUMMYFUNCTION("""COMPUTED_VALUE"""),"852🤙🏼Deliverance🤙🏼Adventure🤙🏼1")</f>
        <v>852🤙🏼Deliverance🤙🏼Adventure🤙🏼1</v>
      </c>
      <c r="K2555" s="5">
        <f>IFERROR(__xludf.DUMMYFUNCTION("SPLiT(J2555, ""🤙🏼"",FALSE,FALSE)"),852.0)</f>
        <v>852</v>
      </c>
      <c r="L2555" s="5" t="str">
        <f>IFERROR(__xludf.DUMMYFUNCTION("""COMPUTED_VALUE"""),"Deliverance")</f>
        <v>Deliverance</v>
      </c>
      <c r="M2555" s="5" t="str">
        <f>IFERROR(__xludf.DUMMYFUNCTION("""COMPUTED_VALUE"""),"Adventure")</f>
        <v>Adventure</v>
      </c>
      <c r="N2555" s="5">
        <f>IFERROR(__xludf.DUMMYFUNCTION("""COMPUTED_VALUE"""),1.0)</f>
        <v>1</v>
      </c>
    </row>
    <row r="2556">
      <c r="J2556" s="5" t="str">
        <f>IFERROR(__xludf.DUMMYFUNCTION("""COMPUTED_VALUE"""),"852🤙🏼Deliverance🤙🏼Drama🤙🏼2")</f>
        <v>852🤙🏼Deliverance🤙🏼Drama🤙🏼2</v>
      </c>
      <c r="K2556" s="5">
        <f>IFERROR(__xludf.DUMMYFUNCTION("SPLiT(J2556, ""🤙🏼"",FALSE,FALSE)"),852.0)</f>
        <v>852</v>
      </c>
      <c r="L2556" s="5" t="str">
        <f>IFERROR(__xludf.DUMMYFUNCTION("""COMPUTED_VALUE"""),"Deliverance")</f>
        <v>Deliverance</v>
      </c>
      <c r="M2556" s="5" t="str">
        <f>IFERROR(__xludf.DUMMYFUNCTION("""COMPUTED_VALUE"""),"Drama")</f>
        <v>Drama</v>
      </c>
      <c r="N2556" s="5">
        <f>IFERROR(__xludf.DUMMYFUNCTION("""COMPUTED_VALUE"""),2.0)</f>
        <v>2</v>
      </c>
    </row>
    <row r="2557">
      <c r="J2557" s="5" t="str">
        <f>IFERROR(__xludf.DUMMYFUNCTION("""COMPUTED_VALUE"""),"852🤙🏼Deliverance🤙🏼Thriller🤙🏼3")</f>
        <v>852🤙🏼Deliverance🤙🏼Thriller🤙🏼3</v>
      </c>
      <c r="K2557" s="5">
        <f>IFERROR(__xludf.DUMMYFUNCTION("SPLiT(J2557, ""🤙🏼"",FALSE,FALSE)"),852.0)</f>
        <v>852</v>
      </c>
      <c r="L2557" s="5" t="str">
        <f>IFERROR(__xludf.DUMMYFUNCTION("""COMPUTED_VALUE"""),"Deliverance")</f>
        <v>Deliverance</v>
      </c>
      <c r="M2557" s="5" t="str">
        <f>IFERROR(__xludf.DUMMYFUNCTION("""COMPUTED_VALUE"""),"Thriller")</f>
        <v>Thriller</v>
      </c>
      <c r="N2557" s="5">
        <f>IFERROR(__xludf.DUMMYFUNCTION("""COMPUTED_VALUE"""),3.0)</f>
        <v>3</v>
      </c>
    </row>
    <row r="2558">
      <c r="J2558" s="5" t="str">
        <f>IFERROR(__xludf.DUMMYFUNCTION("""COMPUTED_VALUE"""),"853🤙🏼The French Connection🤙🏼Action🤙🏼1")</f>
        <v>853🤙🏼The French Connection🤙🏼Action🤙🏼1</v>
      </c>
      <c r="K2558" s="5">
        <f>IFERROR(__xludf.DUMMYFUNCTION("SPLiT(J2558, ""🤙🏼"",FALSE,FALSE)"),853.0)</f>
        <v>853</v>
      </c>
      <c r="L2558" s="5" t="str">
        <f>IFERROR(__xludf.DUMMYFUNCTION("""COMPUTED_VALUE"""),"The French Connection")</f>
        <v>The French Connection</v>
      </c>
      <c r="M2558" s="5" t="str">
        <f>IFERROR(__xludf.DUMMYFUNCTION("""COMPUTED_VALUE"""),"Action")</f>
        <v>Action</v>
      </c>
      <c r="N2558" s="5">
        <f>IFERROR(__xludf.DUMMYFUNCTION("""COMPUTED_VALUE"""),1.0)</f>
        <v>1</v>
      </c>
    </row>
    <row r="2559">
      <c r="J2559" s="5" t="str">
        <f>IFERROR(__xludf.DUMMYFUNCTION("""COMPUTED_VALUE"""),"853🤙🏼The French Connection🤙🏼Crime🤙🏼2")</f>
        <v>853🤙🏼The French Connection🤙🏼Crime🤙🏼2</v>
      </c>
      <c r="K2559" s="5">
        <f>IFERROR(__xludf.DUMMYFUNCTION("SPLiT(J2559, ""🤙🏼"",FALSE,FALSE)"),853.0)</f>
        <v>853</v>
      </c>
      <c r="L2559" s="5" t="str">
        <f>IFERROR(__xludf.DUMMYFUNCTION("""COMPUTED_VALUE"""),"The French Connection")</f>
        <v>The French Connection</v>
      </c>
      <c r="M2559" s="5" t="str">
        <f>IFERROR(__xludf.DUMMYFUNCTION("""COMPUTED_VALUE"""),"Crime")</f>
        <v>Crime</v>
      </c>
      <c r="N2559" s="5">
        <f>IFERROR(__xludf.DUMMYFUNCTION("""COMPUTED_VALUE"""),2.0)</f>
        <v>2</v>
      </c>
    </row>
    <row r="2560">
      <c r="J2560" s="5" t="str">
        <f>IFERROR(__xludf.DUMMYFUNCTION("""COMPUTED_VALUE"""),"853🤙🏼The French Connection🤙🏼Drama🤙🏼3")</f>
        <v>853🤙🏼The French Connection🤙🏼Drama🤙🏼3</v>
      </c>
      <c r="K2560" s="5">
        <f>IFERROR(__xludf.DUMMYFUNCTION("SPLiT(J2560, ""🤙🏼"",FALSE,FALSE)"),853.0)</f>
        <v>853</v>
      </c>
      <c r="L2560" s="5" t="str">
        <f>IFERROR(__xludf.DUMMYFUNCTION("""COMPUTED_VALUE"""),"The French Connection")</f>
        <v>The French Connection</v>
      </c>
      <c r="M2560" s="5" t="str">
        <f>IFERROR(__xludf.DUMMYFUNCTION("""COMPUTED_VALUE"""),"Drama")</f>
        <v>Drama</v>
      </c>
      <c r="N2560" s="5">
        <f>IFERROR(__xludf.DUMMYFUNCTION("""COMPUTED_VALUE"""),3.0)</f>
        <v>3</v>
      </c>
    </row>
    <row r="2561">
      <c r="J2561" s="5" t="str">
        <f>IFERROR(__xludf.DUMMYFUNCTION("""COMPUTED_VALUE"""),"854🤙🏼Dirty Harry🤙🏼Action🤙🏼1")</f>
        <v>854🤙🏼Dirty Harry🤙🏼Action🤙🏼1</v>
      </c>
      <c r="K2561" s="5">
        <f>IFERROR(__xludf.DUMMYFUNCTION("SPLiT(J2561, ""🤙🏼"",FALSE,FALSE)"),854.0)</f>
        <v>854</v>
      </c>
      <c r="L2561" s="5" t="str">
        <f>IFERROR(__xludf.DUMMYFUNCTION("""COMPUTED_VALUE"""),"Dirty Harry")</f>
        <v>Dirty Harry</v>
      </c>
      <c r="M2561" s="5" t="str">
        <f>IFERROR(__xludf.DUMMYFUNCTION("""COMPUTED_VALUE"""),"Action")</f>
        <v>Action</v>
      </c>
      <c r="N2561" s="5">
        <f>IFERROR(__xludf.DUMMYFUNCTION("""COMPUTED_VALUE"""),1.0)</f>
        <v>1</v>
      </c>
    </row>
    <row r="2562">
      <c r="J2562" s="5" t="str">
        <f>IFERROR(__xludf.DUMMYFUNCTION("""COMPUTED_VALUE"""),"854🤙🏼Dirty Harry🤙🏼Crime🤙🏼2")</f>
        <v>854🤙🏼Dirty Harry🤙🏼Crime🤙🏼2</v>
      </c>
      <c r="K2562" s="5">
        <f>IFERROR(__xludf.DUMMYFUNCTION("SPLiT(J2562, ""🤙🏼"",FALSE,FALSE)"),854.0)</f>
        <v>854</v>
      </c>
      <c r="L2562" s="5" t="str">
        <f>IFERROR(__xludf.DUMMYFUNCTION("""COMPUTED_VALUE"""),"Dirty Harry")</f>
        <v>Dirty Harry</v>
      </c>
      <c r="M2562" s="5" t="str">
        <f>IFERROR(__xludf.DUMMYFUNCTION("""COMPUTED_VALUE"""),"Crime")</f>
        <v>Crime</v>
      </c>
      <c r="N2562" s="5">
        <f>IFERROR(__xludf.DUMMYFUNCTION("""COMPUTED_VALUE"""),2.0)</f>
        <v>2</v>
      </c>
    </row>
    <row r="2563">
      <c r="J2563" s="5" t="str">
        <f>IFERROR(__xludf.DUMMYFUNCTION("""COMPUTED_VALUE"""),"854🤙🏼Dirty Harry🤙🏼Thriller🤙🏼3")</f>
        <v>854🤙🏼Dirty Harry🤙🏼Thriller🤙🏼3</v>
      </c>
      <c r="K2563" s="5">
        <f>IFERROR(__xludf.DUMMYFUNCTION("SPLiT(J2563, ""🤙🏼"",FALSE,FALSE)"),854.0)</f>
        <v>854</v>
      </c>
      <c r="L2563" s="5" t="str">
        <f>IFERROR(__xludf.DUMMYFUNCTION("""COMPUTED_VALUE"""),"Dirty Harry")</f>
        <v>Dirty Harry</v>
      </c>
      <c r="M2563" s="5" t="str">
        <f>IFERROR(__xludf.DUMMYFUNCTION("""COMPUTED_VALUE"""),"Thriller")</f>
        <v>Thriller</v>
      </c>
      <c r="N2563" s="5">
        <f>IFERROR(__xludf.DUMMYFUNCTION("""COMPUTED_VALUE"""),3.0)</f>
        <v>3</v>
      </c>
    </row>
    <row r="2564">
      <c r="J2564" s="5" t="str">
        <f>IFERROR(__xludf.DUMMYFUNCTION("""COMPUTED_VALUE"""),"855🤙🏼Where Eagles Dare🤙🏼Action🤙🏼1")</f>
        <v>855🤙🏼Where Eagles Dare🤙🏼Action🤙🏼1</v>
      </c>
      <c r="K2564" s="5">
        <f>IFERROR(__xludf.DUMMYFUNCTION("SPLiT(J2564, ""🤙🏼"",FALSE,FALSE)"),855.0)</f>
        <v>855</v>
      </c>
      <c r="L2564" s="5" t="str">
        <f>IFERROR(__xludf.DUMMYFUNCTION("""COMPUTED_VALUE"""),"Where Eagles Dare")</f>
        <v>Where Eagles Dare</v>
      </c>
      <c r="M2564" s="5" t="str">
        <f>IFERROR(__xludf.DUMMYFUNCTION("""COMPUTED_VALUE"""),"Action")</f>
        <v>Action</v>
      </c>
      <c r="N2564" s="5">
        <f>IFERROR(__xludf.DUMMYFUNCTION("""COMPUTED_VALUE"""),1.0)</f>
        <v>1</v>
      </c>
    </row>
    <row r="2565">
      <c r="J2565" s="5" t="str">
        <f>IFERROR(__xludf.DUMMYFUNCTION("""COMPUTED_VALUE"""),"855🤙🏼Where Eagles Dare🤙🏼Adventure🤙🏼2")</f>
        <v>855🤙🏼Where Eagles Dare🤙🏼Adventure🤙🏼2</v>
      </c>
      <c r="K2565" s="5">
        <f>IFERROR(__xludf.DUMMYFUNCTION("SPLiT(J2565, ""🤙🏼"",FALSE,FALSE)"),855.0)</f>
        <v>855</v>
      </c>
      <c r="L2565" s="5" t="str">
        <f>IFERROR(__xludf.DUMMYFUNCTION("""COMPUTED_VALUE"""),"Where Eagles Dare")</f>
        <v>Where Eagles Dare</v>
      </c>
      <c r="M2565" s="5" t="str">
        <f>IFERROR(__xludf.DUMMYFUNCTION("""COMPUTED_VALUE"""),"Adventure")</f>
        <v>Adventure</v>
      </c>
      <c r="N2565" s="5">
        <f>IFERROR(__xludf.DUMMYFUNCTION("""COMPUTED_VALUE"""),2.0)</f>
        <v>2</v>
      </c>
    </row>
    <row r="2566">
      <c r="J2566" s="5" t="str">
        <f>IFERROR(__xludf.DUMMYFUNCTION("""COMPUTED_VALUE"""),"855🤙🏼Where Eagles Dare🤙🏼War🤙🏼3")</f>
        <v>855🤙🏼Where Eagles Dare🤙🏼War🤙🏼3</v>
      </c>
      <c r="K2566" s="5">
        <f>IFERROR(__xludf.DUMMYFUNCTION("SPLiT(J2566, ""🤙🏼"",FALSE,FALSE)"),855.0)</f>
        <v>855</v>
      </c>
      <c r="L2566" s="5" t="str">
        <f>IFERROR(__xludf.DUMMYFUNCTION("""COMPUTED_VALUE"""),"Where Eagles Dare")</f>
        <v>Where Eagles Dare</v>
      </c>
      <c r="M2566" s="5" t="str">
        <f>IFERROR(__xludf.DUMMYFUNCTION("""COMPUTED_VALUE"""),"War")</f>
        <v>War</v>
      </c>
      <c r="N2566" s="5">
        <f>IFERROR(__xludf.DUMMYFUNCTION("""COMPUTED_VALUE"""),3.0)</f>
        <v>3</v>
      </c>
    </row>
    <row r="2567">
      <c r="J2567" s="5" t="str">
        <f>IFERROR(__xludf.DUMMYFUNCTION("""COMPUTED_VALUE"""),"856🤙🏼The Odd Couple🤙🏼Comedy🤙🏼1")</f>
        <v>856🤙🏼The Odd Couple🤙🏼Comedy🤙🏼1</v>
      </c>
      <c r="K2567" s="5">
        <f>IFERROR(__xludf.DUMMYFUNCTION("SPLiT(J2567, ""🤙🏼"",FALSE,FALSE)"),856.0)</f>
        <v>856</v>
      </c>
      <c r="L2567" s="5" t="str">
        <f>IFERROR(__xludf.DUMMYFUNCTION("""COMPUTED_VALUE"""),"The Odd Couple")</f>
        <v>The Odd Couple</v>
      </c>
      <c r="M2567" s="5" t="str">
        <f>IFERROR(__xludf.DUMMYFUNCTION("""COMPUTED_VALUE"""),"Comedy")</f>
        <v>Comedy</v>
      </c>
      <c r="N2567" s="5">
        <f>IFERROR(__xludf.DUMMYFUNCTION("""COMPUTED_VALUE"""),1.0)</f>
        <v>1</v>
      </c>
    </row>
    <row r="2568">
      <c r="J2568" s="5" t="str">
        <f>IFERROR(__xludf.DUMMYFUNCTION("""COMPUTED_VALUE"""),"856🤙🏼The Odd Couple🤙🏼🤙🏼2")</f>
        <v>856🤙🏼The Odd Couple🤙🏼🤙🏼2</v>
      </c>
      <c r="K2568" s="5">
        <f>IFERROR(__xludf.DUMMYFUNCTION("SPLiT(J2568, ""🤙🏼"",FALSE,FALSE)"),856.0)</f>
        <v>856</v>
      </c>
      <c r="L2568" s="5" t="str">
        <f>IFERROR(__xludf.DUMMYFUNCTION("""COMPUTED_VALUE"""),"The Odd Couple")</f>
        <v>The Odd Couple</v>
      </c>
      <c r="M2568" s="5"/>
      <c r="N2568" s="5">
        <f>IFERROR(__xludf.DUMMYFUNCTION("""COMPUTED_VALUE"""),2.0)</f>
        <v>2</v>
      </c>
    </row>
    <row r="2569">
      <c r="J2569" s="5" t="str">
        <f>IFERROR(__xludf.DUMMYFUNCTION("""COMPUTED_VALUE"""),"856🤙🏼The Odd Couple🤙🏼🤙🏼3")</f>
        <v>856🤙🏼The Odd Couple🤙🏼🤙🏼3</v>
      </c>
      <c r="K2569" s="5">
        <f>IFERROR(__xludf.DUMMYFUNCTION("SPLiT(J2569, ""🤙🏼"",FALSE,FALSE)"),856.0)</f>
        <v>856</v>
      </c>
      <c r="L2569" s="5" t="str">
        <f>IFERROR(__xludf.DUMMYFUNCTION("""COMPUTED_VALUE"""),"The Odd Couple")</f>
        <v>The Odd Couple</v>
      </c>
      <c r="M2569" s="5"/>
      <c r="N2569" s="5">
        <f>IFERROR(__xludf.DUMMYFUNCTION("""COMPUTED_VALUE"""),3.0)</f>
        <v>3</v>
      </c>
    </row>
    <row r="2570">
      <c r="J2570" s="5" t="str">
        <f>IFERROR(__xludf.DUMMYFUNCTION("""COMPUTED_VALUE"""),"857🤙🏼The Dirty Dozen🤙🏼Action🤙🏼1")</f>
        <v>857🤙🏼The Dirty Dozen🤙🏼Action🤙🏼1</v>
      </c>
      <c r="K2570" s="5">
        <f>IFERROR(__xludf.DUMMYFUNCTION("SPLiT(J2570, ""🤙🏼"",FALSE,FALSE)"),857.0)</f>
        <v>857</v>
      </c>
      <c r="L2570" s="5" t="str">
        <f>IFERROR(__xludf.DUMMYFUNCTION("""COMPUTED_VALUE"""),"The Dirty Dozen")</f>
        <v>The Dirty Dozen</v>
      </c>
      <c r="M2570" s="5" t="str">
        <f>IFERROR(__xludf.DUMMYFUNCTION("""COMPUTED_VALUE"""),"Action")</f>
        <v>Action</v>
      </c>
      <c r="N2570" s="5">
        <f>IFERROR(__xludf.DUMMYFUNCTION("""COMPUTED_VALUE"""),1.0)</f>
        <v>1</v>
      </c>
    </row>
    <row r="2571">
      <c r="J2571" s="5" t="str">
        <f>IFERROR(__xludf.DUMMYFUNCTION("""COMPUTED_VALUE"""),"857🤙🏼The Dirty Dozen🤙🏼Adventure🤙🏼2")</f>
        <v>857🤙🏼The Dirty Dozen🤙🏼Adventure🤙🏼2</v>
      </c>
      <c r="K2571" s="5">
        <f>IFERROR(__xludf.DUMMYFUNCTION("SPLiT(J2571, ""🤙🏼"",FALSE,FALSE)"),857.0)</f>
        <v>857</v>
      </c>
      <c r="L2571" s="5" t="str">
        <f>IFERROR(__xludf.DUMMYFUNCTION("""COMPUTED_VALUE"""),"The Dirty Dozen")</f>
        <v>The Dirty Dozen</v>
      </c>
      <c r="M2571" s="5" t="str">
        <f>IFERROR(__xludf.DUMMYFUNCTION("""COMPUTED_VALUE"""),"Adventure")</f>
        <v>Adventure</v>
      </c>
      <c r="N2571" s="5">
        <f>IFERROR(__xludf.DUMMYFUNCTION("""COMPUTED_VALUE"""),2.0)</f>
        <v>2</v>
      </c>
    </row>
    <row r="2572">
      <c r="J2572" s="5" t="str">
        <f>IFERROR(__xludf.DUMMYFUNCTION("""COMPUTED_VALUE"""),"857🤙🏼The Dirty Dozen🤙🏼War🤙🏼3")</f>
        <v>857🤙🏼The Dirty Dozen🤙🏼War🤙🏼3</v>
      </c>
      <c r="K2572" s="5">
        <f>IFERROR(__xludf.DUMMYFUNCTION("SPLiT(J2572, ""🤙🏼"",FALSE,FALSE)"),857.0)</f>
        <v>857</v>
      </c>
      <c r="L2572" s="5" t="str">
        <f>IFERROR(__xludf.DUMMYFUNCTION("""COMPUTED_VALUE"""),"The Dirty Dozen")</f>
        <v>The Dirty Dozen</v>
      </c>
      <c r="M2572" s="5" t="str">
        <f>IFERROR(__xludf.DUMMYFUNCTION("""COMPUTED_VALUE"""),"War")</f>
        <v>War</v>
      </c>
      <c r="N2572" s="5">
        <f>IFERROR(__xludf.DUMMYFUNCTION("""COMPUTED_VALUE"""),3.0)</f>
        <v>3</v>
      </c>
    </row>
    <row r="2573">
      <c r="J2573" s="5" t="str">
        <f>IFERROR(__xludf.DUMMYFUNCTION("""COMPUTED_VALUE"""),"858🤙🏼Belle de jour🤙🏼Drama🤙🏼1")</f>
        <v>858🤙🏼Belle de jour🤙🏼Drama🤙🏼1</v>
      </c>
      <c r="K2573" s="5">
        <f>IFERROR(__xludf.DUMMYFUNCTION("SPLiT(J2573, ""🤙🏼"",FALSE,FALSE)"),858.0)</f>
        <v>858</v>
      </c>
      <c r="L2573" s="5" t="str">
        <f>IFERROR(__xludf.DUMMYFUNCTION("""COMPUTED_VALUE"""),"Belle de jour")</f>
        <v>Belle de jour</v>
      </c>
      <c r="M2573" s="5" t="str">
        <f>IFERROR(__xludf.DUMMYFUNCTION("""COMPUTED_VALUE"""),"Drama")</f>
        <v>Drama</v>
      </c>
      <c r="N2573" s="5">
        <f>IFERROR(__xludf.DUMMYFUNCTION("""COMPUTED_VALUE"""),1.0)</f>
        <v>1</v>
      </c>
    </row>
    <row r="2574">
      <c r="J2574" s="5" t="str">
        <f>IFERROR(__xludf.DUMMYFUNCTION("""COMPUTED_VALUE"""),"858🤙🏼Belle de jour🤙🏼Romance🤙🏼2")</f>
        <v>858🤙🏼Belle de jour🤙🏼Romance🤙🏼2</v>
      </c>
      <c r="K2574" s="5">
        <f>IFERROR(__xludf.DUMMYFUNCTION("SPLiT(J2574, ""🤙🏼"",FALSE,FALSE)"),858.0)</f>
        <v>858</v>
      </c>
      <c r="L2574" s="5" t="str">
        <f>IFERROR(__xludf.DUMMYFUNCTION("""COMPUTED_VALUE"""),"Belle de jour")</f>
        <v>Belle de jour</v>
      </c>
      <c r="M2574" s="5" t="str">
        <f>IFERROR(__xludf.DUMMYFUNCTION("""COMPUTED_VALUE"""),"Romance")</f>
        <v>Romance</v>
      </c>
      <c r="N2574" s="5">
        <f>IFERROR(__xludf.DUMMYFUNCTION("""COMPUTED_VALUE"""),2.0)</f>
        <v>2</v>
      </c>
    </row>
    <row r="2575">
      <c r="J2575" s="5" t="str">
        <f>IFERROR(__xludf.DUMMYFUNCTION("""COMPUTED_VALUE"""),"858🤙🏼Belle de jour🤙🏼🤙🏼3")</f>
        <v>858🤙🏼Belle de jour🤙🏼🤙🏼3</v>
      </c>
      <c r="K2575" s="5">
        <f>IFERROR(__xludf.DUMMYFUNCTION("SPLiT(J2575, ""🤙🏼"",FALSE,FALSE)"),858.0)</f>
        <v>858</v>
      </c>
      <c r="L2575" s="5" t="str">
        <f>IFERROR(__xludf.DUMMYFUNCTION("""COMPUTED_VALUE"""),"Belle de jour")</f>
        <v>Belle de jour</v>
      </c>
      <c r="M2575" s="5"/>
      <c r="N2575" s="5">
        <f>IFERROR(__xludf.DUMMYFUNCTION("""COMPUTED_VALUE"""),3.0)</f>
        <v>3</v>
      </c>
    </row>
    <row r="2576">
      <c r="J2576" s="5" t="str">
        <f>IFERROR(__xludf.DUMMYFUNCTION("""COMPUTED_VALUE"""),"859🤙🏼A Man for All Seasons🤙🏼Biography🤙🏼1")</f>
        <v>859🤙🏼A Man for All Seasons🤙🏼Biography🤙🏼1</v>
      </c>
      <c r="K2576" s="5">
        <f>IFERROR(__xludf.DUMMYFUNCTION("SPLiT(J2576, ""🤙🏼"",FALSE,FALSE)"),859.0)</f>
        <v>859</v>
      </c>
      <c r="L2576" s="5" t="str">
        <f>IFERROR(__xludf.DUMMYFUNCTION("""COMPUTED_VALUE"""),"A Man for All Seasons")</f>
        <v>A Man for All Seasons</v>
      </c>
      <c r="M2576" s="5" t="str">
        <f>IFERROR(__xludf.DUMMYFUNCTION("""COMPUTED_VALUE"""),"Biography")</f>
        <v>Biography</v>
      </c>
      <c r="N2576" s="5">
        <f>IFERROR(__xludf.DUMMYFUNCTION("""COMPUTED_VALUE"""),1.0)</f>
        <v>1</v>
      </c>
    </row>
    <row r="2577">
      <c r="J2577" s="5" t="str">
        <f>IFERROR(__xludf.DUMMYFUNCTION("""COMPUTED_VALUE"""),"859🤙🏼A Man for All Seasons🤙🏼Drama🤙🏼2")</f>
        <v>859🤙🏼A Man for All Seasons🤙🏼Drama🤙🏼2</v>
      </c>
      <c r="K2577" s="5">
        <f>IFERROR(__xludf.DUMMYFUNCTION("SPLiT(J2577, ""🤙🏼"",FALSE,FALSE)"),859.0)</f>
        <v>859</v>
      </c>
      <c r="L2577" s="5" t="str">
        <f>IFERROR(__xludf.DUMMYFUNCTION("""COMPUTED_VALUE"""),"A Man for All Seasons")</f>
        <v>A Man for All Seasons</v>
      </c>
      <c r="M2577" s="5" t="str">
        <f>IFERROR(__xludf.DUMMYFUNCTION("""COMPUTED_VALUE"""),"Drama")</f>
        <v>Drama</v>
      </c>
      <c r="N2577" s="5">
        <f>IFERROR(__xludf.DUMMYFUNCTION("""COMPUTED_VALUE"""),2.0)</f>
        <v>2</v>
      </c>
    </row>
    <row r="2578">
      <c r="J2578" s="5" t="str">
        <f>IFERROR(__xludf.DUMMYFUNCTION("""COMPUTED_VALUE"""),"859🤙🏼A Man for All Seasons🤙🏼History🤙🏼3")</f>
        <v>859🤙🏼A Man for All Seasons🤙🏼History🤙🏼3</v>
      </c>
      <c r="K2578" s="5">
        <f>IFERROR(__xludf.DUMMYFUNCTION("SPLiT(J2578, ""🤙🏼"",FALSE,FALSE)"),859.0)</f>
        <v>859</v>
      </c>
      <c r="L2578" s="5" t="str">
        <f>IFERROR(__xludf.DUMMYFUNCTION("""COMPUTED_VALUE"""),"A Man for All Seasons")</f>
        <v>A Man for All Seasons</v>
      </c>
      <c r="M2578" s="5" t="str">
        <f>IFERROR(__xludf.DUMMYFUNCTION("""COMPUTED_VALUE"""),"History")</f>
        <v>History</v>
      </c>
      <c r="N2578" s="5">
        <f>IFERROR(__xludf.DUMMYFUNCTION("""COMPUTED_VALUE"""),3.0)</f>
        <v>3</v>
      </c>
    </row>
    <row r="2579">
      <c r="J2579" s="5" t="str">
        <f>IFERROR(__xludf.DUMMYFUNCTION("""COMPUTED_VALUE"""),"860🤙🏼Repulsion🤙🏼Drama🤙🏼1")</f>
        <v>860🤙🏼Repulsion🤙🏼Drama🤙🏼1</v>
      </c>
      <c r="K2579" s="5">
        <f>IFERROR(__xludf.DUMMYFUNCTION("SPLiT(J2579, ""🤙🏼"",FALSE,FALSE)"),860.0)</f>
        <v>860</v>
      </c>
      <c r="L2579" s="5" t="str">
        <f>IFERROR(__xludf.DUMMYFUNCTION("""COMPUTED_VALUE"""),"Repulsion")</f>
        <v>Repulsion</v>
      </c>
      <c r="M2579" s="5" t="str">
        <f>IFERROR(__xludf.DUMMYFUNCTION("""COMPUTED_VALUE"""),"Drama")</f>
        <v>Drama</v>
      </c>
      <c r="N2579" s="5">
        <f>IFERROR(__xludf.DUMMYFUNCTION("""COMPUTED_VALUE"""),1.0)</f>
        <v>1</v>
      </c>
    </row>
    <row r="2580">
      <c r="J2580" s="5" t="str">
        <f>IFERROR(__xludf.DUMMYFUNCTION("""COMPUTED_VALUE"""),"860🤙🏼Repulsion🤙🏼Horror🤙🏼2")</f>
        <v>860🤙🏼Repulsion🤙🏼Horror🤙🏼2</v>
      </c>
      <c r="K2580" s="5">
        <f>IFERROR(__xludf.DUMMYFUNCTION("SPLiT(J2580, ""🤙🏼"",FALSE,FALSE)"),860.0)</f>
        <v>860</v>
      </c>
      <c r="L2580" s="5" t="str">
        <f>IFERROR(__xludf.DUMMYFUNCTION("""COMPUTED_VALUE"""),"Repulsion")</f>
        <v>Repulsion</v>
      </c>
      <c r="M2580" s="5" t="str">
        <f>IFERROR(__xludf.DUMMYFUNCTION("""COMPUTED_VALUE"""),"Horror")</f>
        <v>Horror</v>
      </c>
      <c r="N2580" s="5">
        <f>IFERROR(__xludf.DUMMYFUNCTION("""COMPUTED_VALUE"""),2.0)</f>
        <v>2</v>
      </c>
    </row>
    <row r="2581">
      <c r="J2581" s="5" t="str">
        <f>IFERROR(__xludf.DUMMYFUNCTION("""COMPUTED_VALUE"""),"860🤙🏼Repulsion🤙🏼Thriller🤙🏼3")</f>
        <v>860🤙🏼Repulsion🤙🏼Thriller🤙🏼3</v>
      </c>
      <c r="K2581" s="5">
        <f>IFERROR(__xludf.DUMMYFUNCTION("SPLiT(J2581, ""🤙🏼"",FALSE,FALSE)"),860.0)</f>
        <v>860</v>
      </c>
      <c r="L2581" s="5" t="str">
        <f>IFERROR(__xludf.DUMMYFUNCTION("""COMPUTED_VALUE"""),"Repulsion")</f>
        <v>Repulsion</v>
      </c>
      <c r="M2581" s="5" t="str">
        <f>IFERROR(__xludf.DUMMYFUNCTION("""COMPUTED_VALUE"""),"Thriller")</f>
        <v>Thriller</v>
      </c>
      <c r="N2581" s="5">
        <f>IFERROR(__xludf.DUMMYFUNCTION("""COMPUTED_VALUE"""),3.0)</f>
        <v>3</v>
      </c>
    </row>
    <row r="2582">
      <c r="J2582" s="5" t="str">
        <f>IFERROR(__xludf.DUMMYFUNCTION("""COMPUTED_VALUE"""),"861🤙🏼Zulu🤙🏼Drama🤙🏼1")</f>
        <v>861🤙🏼Zulu🤙🏼Drama🤙🏼1</v>
      </c>
      <c r="K2582" s="5">
        <f>IFERROR(__xludf.DUMMYFUNCTION("SPLiT(J2582, ""🤙🏼"",FALSE,FALSE)"),861.0)</f>
        <v>861</v>
      </c>
      <c r="L2582" s="5" t="str">
        <f>IFERROR(__xludf.DUMMYFUNCTION("""COMPUTED_VALUE"""),"Zulu")</f>
        <v>Zulu</v>
      </c>
      <c r="M2582" s="5" t="str">
        <f>IFERROR(__xludf.DUMMYFUNCTION("""COMPUTED_VALUE"""),"Drama")</f>
        <v>Drama</v>
      </c>
      <c r="N2582" s="5">
        <f>IFERROR(__xludf.DUMMYFUNCTION("""COMPUTED_VALUE"""),1.0)</f>
        <v>1</v>
      </c>
    </row>
    <row r="2583">
      <c r="J2583" s="5" t="str">
        <f>IFERROR(__xludf.DUMMYFUNCTION("""COMPUTED_VALUE"""),"861🤙🏼Zulu🤙🏼History🤙🏼2")</f>
        <v>861🤙🏼Zulu🤙🏼History🤙🏼2</v>
      </c>
      <c r="K2583" s="5">
        <f>IFERROR(__xludf.DUMMYFUNCTION("SPLiT(J2583, ""🤙🏼"",FALSE,FALSE)"),861.0)</f>
        <v>861</v>
      </c>
      <c r="L2583" s="5" t="str">
        <f>IFERROR(__xludf.DUMMYFUNCTION("""COMPUTED_VALUE"""),"Zulu")</f>
        <v>Zulu</v>
      </c>
      <c r="M2583" s="5" t="str">
        <f>IFERROR(__xludf.DUMMYFUNCTION("""COMPUTED_VALUE"""),"History")</f>
        <v>History</v>
      </c>
      <c r="N2583" s="5">
        <f>IFERROR(__xludf.DUMMYFUNCTION("""COMPUTED_VALUE"""),2.0)</f>
        <v>2</v>
      </c>
    </row>
    <row r="2584">
      <c r="J2584" s="5" t="str">
        <f>IFERROR(__xludf.DUMMYFUNCTION("""COMPUTED_VALUE"""),"861🤙🏼Zulu🤙🏼War🤙🏼3")</f>
        <v>861🤙🏼Zulu🤙🏼War🤙🏼3</v>
      </c>
      <c r="K2584" s="5">
        <f>IFERROR(__xludf.DUMMYFUNCTION("SPLiT(J2584, ""🤙🏼"",FALSE,FALSE)"),861.0)</f>
        <v>861</v>
      </c>
      <c r="L2584" s="5" t="str">
        <f>IFERROR(__xludf.DUMMYFUNCTION("""COMPUTED_VALUE"""),"Zulu")</f>
        <v>Zulu</v>
      </c>
      <c r="M2584" s="5" t="str">
        <f>IFERROR(__xludf.DUMMYFUNCTION("""COMPUTED_VALUE"""),"War")</f>
        <v>War</v>
      </c>
      <c r="N2584" s="5">
        <f>IFERROR(__xludf.DUMMYFUNCTION("""COMPUTED_VALUE"""),3.0)</f>
        <v>3</v>
      </c>
    </row>
    <row r="2585">
      <c r="J2585" s="5" t="str">
        <f>IFERROR(__xludf.DUMMYFUNCTION("""COMPUTED_VALUE"""),"862🤙🏼Goldfinger🤙🏼Action🤙🏼1")</f>
        <v>862🤙🏼Goldfinger🤙🏼Action🤙🏼1</v>
      </c>
      <c r="K2585" s="5">
        <f>IFERROR(__xludf.DUMMYFUNCTION("SPLiT(J2585, ""🤙🏼"",FALSE,FALSE)"),862.0)</f>
        <v>862</v>
      </c>
      <c r="L2585" s="5" t="str">
        <f>IFERROR(__xludf.DUMMYFUNCTION("""COMPUTED_VALUE"""),"Goldfinger")</f>
        <v>Goldfinger</v>
      </c>
      <c r="M2585" s="5" t="str">
        <f>IFERROR(__xludf.DUMMYFUNCTION("""COMPUTED_VALUE"""),"Action")</f>
        <v>Action</v>
      </c>
      <c r="N2585" s="5">
        <f>IFERROR(__xludf.DUMMYFUNCTION("""COMPUTED_VALUE"""),1.0)</f>
        <v>1</v>
      </c>
    </row>
    <row r="2586">
      <c r="J2586" s="5" t="str">
        <f>IFERROR(__xludf.DUMMYFUNCTION("""COMPUTED_VALUE"""),"862🤙🏼Goldfinger🤙🏼Adventure🤙🏼2")</f>
        <v>862🤙🏼Goldfinger🤙🏼Adventure🤙🏼2</v>
      </c>
      <c r="K2586" s="5">
        <f>IFERROR(__xludf.DUMMYFUNCTION("SPLiT(J2586, ""🤙🏼"",FALSE,FALSE)"),862.0)</f>
        <v>862</v>
      </c>
      <c r="L2586" s="5" t="str">
        <f>IFERROR(__xludf.DUMMYFUNCTION("""COMPUTED_VALUE"""),"Goldfinger")</f>
        <v>Goldfinger</v>
      </c>
      <c r="M2586" s="5" t="str">
        <f>IFERROR(__xludf.DUMMYFUNCTION("""COMPUTED_VALUE"""),"Adventure")</f>
        <v>Adventure</v>
      </c>
      <c r="N2586" s="5">
        <f>IFERROR(__xludf.DUMMYFUNCTION("""COMPUTED_VALUE"""),2.0)</f>
        <v>2</v>
      </c>
    </row>
    <row r="2587">
      <c r="J2587" s="5" t="str">
        <f>IFERROR(__xludf.DUMMYFUNCTION("""COMPUTED_VALUE"""),"862🤙🏼Goldfinger🤙🏼Thriller🤙🏼3")</f>
        <v>862🤙🏼Goldfinger🤙🏼Thriller🤙🏼3</v>
      </c>
      <c r="K2587" s="5">
        <f>IFERROR(__xludf.DUMMYFUNCTION("SPLiT(J2587, ""🤙🏼"",FALSE,FALSE)"),862.0)</f>
        <v>862</v>
      </c>
      <c r="L2587" s="5" t="str">
        <f>IFERROR(__xludf.DUMMYFUNCTION("""COMPUTED_VALUE"""),"Goldfinger")</f>
        <v>Goldfinger</v>
      </c>
      <c r="M2587" s="5" t="str">
        <f>IFERROR(__xludf.DUMMYFUNCTION("""COMPUTED_VALUE"""),"Thriller")</f>
        <v>Thriller</v>
      </c>
      <c r="N2587" s="5">
        <f>IFERROR(__xludf.DUMMYFUNCTION("""COMPUTED_VALUE"""),3.0)</f>
        <v>3</v>
      </c>
    </row>
    <row r="2588">
      <c r="J2588" s="5" t="str">
        <f>IFERROR(__xludf.DUMMYFUNCTION("""COMPUTED_VALUE"""),"863🤙🏼The Birds🤙🏼Drama🤙🏼1")</f>
        <v>863🤙🏼The Birds🤙🏼Drama🤙🏼1</v>
      </c>
      <c r="K2588" s="5">
        <f>IFERROR(__xludf.DUMMYFUNCTION("SPLiT(J2588, ""🤙🏼"",FALSE,FALSE)"),863.0)</f>
        <v>863</v>
      </c>
      <c r="L2588" s="5" t="str">
        <f>IFERROR(__xludf.DUMMYFUNCTION("""COMPUTED_VALUE"""),"The Birds")</f>
        <v>The Birds</v>
      </c>
      <c r="M2588" s="5" t="str">
        <f>IFERROR(__xludf.DUMMYFUNCTION("""COMPUTED_VALUE"""),"Drama")</f>
        <v>Drama</v>
      </c>
      <c r="N2588" s="5">
        <f>IFERROR(__xludf.DUMMYFUNCTION("""COMPUTED_VALUE"""),1.0)</f>
        <v>1</v>
      </c>
    </row>
    <row r="2589">
      <c r="J2589" s="5" t="str">
        <f>IFERROR(__xludf.DUMMYFUNCTION("""COMPUTED_VALUE"""),"863🤙🏼The Birds🤙🏼Horror🤙🏼2")</f>
        <v>863🤙🏼The Birds🤙🏼Horror🤙🏼2</v>
      </c>
      <c r="K2589" s="5">
        <f>IFERROR(__xludf.DUMMYFUNCTION("SPLiT(J2589, ""🤙🏼"",FALSE,FALSE)"),863.0)</f>
        <v>863</v>
      </c>
      <c r="L2589" s="5" t="str">
        <f>IFERROR(__xludf.DUMMYFUNCTION("""COMPUTED_VALUE"""),"The Birds")</f>
        <v>The Birds</v>
      </c>
      <c r="M2589" s="5" t="str">
        <f>IFERROR(__xludf.DUMMYFUNCTION("""COMPUTED_VALUE"""),"Horror")</f>
        <v>Horror</v>
      </c>
      <c r="N2589" s="5">
        <f>IFERROR(__xludf.DUMMYFUNCTION("""COMPUTED_VALUE"""),2.0)</f>
        <v>2</v>
      </c>
    </row>
    <row r="2590">
      <c r="J2590" s="5" t="str">
        <f>IFERROR(__xludf.DUMMYFUNCTION("""COMPUTED_VALUE"""),"863🤙🏼The Birds🤙🏼Mystery🤙🏼3")</f>
        <v>863🤙🏼The Birds🤙🏼Mystery🤙🏼3</v>
      </c>
      <c r="K2590" s="5">
        <f>IFERROR(__xludf.DUMMYFUNCTION("SPLiT(J2590, ""🤙🏼"",FALSE,FALSE)"),863.0)</f>
        <v>863</v>
      </c>
      <c r="L2590" s="5" t="str">
        <f>IFERROR(__xludf.DUMMYFUNCTION("""COMPUTED_VALUE"""),"The Birds")</f>
        <v>The Birds</v>
      </c>
      <c r="M2590" s="5" t="str">
        <f>IFERROR(__xludf.DUMMYFUNCTION("""COMPUTED_VALUE"""),"Mystery")</f>
        <v>Mystery</v>
      </c>
      <c r="N2590" s="5">
        <f>IFERROR(__xludf.DUMMYFUNCTION("""COMPUTED_VALUE"""),3.0)</f>
        <v>3</v>
      </c>
    </row>
    <row r="2591">
      <c r="J2591" s="5" t="str">
        <f>IFERROR(__xludf.DUMMYFUNCTION("""COMPUTED_VALUE"""),"864🤙🏼Cape Fear🤙🏼Drama🤙🏼1")</f>
        <v>864🤙🏼Cape Fear🤙🏼Drama🤙🏼1</v>
      </c>
      <c r="K2591" s="5">
        <f>IFERROR(__xludf.DUMMYFUNCTION("SPLiT(J2591, ""🤙🏼"",FALSE,FALSE)"),864.0)</f>
        <v>864</v>
      </c>
      <c r="L2591" s="5" t="str">
        <f>IFERROR(__xludf.DUMMYFUNCTION("""COMPUTED_VALUE"""),"Cape Fear")</f>
        <v>Cape Fear</v>
      </c>
      <c r="M2591" s="5" t="str">
        <f>IFERROR(__xludf.DUMMYFUNCTION("""COMPUTED_VALUE"""),"Drama")</f>
        <v>Drama</v>
      </c>
      <c r="N2591" s="5">
        <f>IFERROR(__xludf.DUMMYFUNCTION("""COMPUTED_VALUE"""),1.0)</f>
        <v>1</v>
      </c>
    </row>
    <row r="2592">
      <c r="J2592" s="5" t="str">
        <f>IFERROR(__xludf.DUMMYFUNCTION("""COMPUTED_VALUE"""),"864🤙🏼Cape Fear🤙🏼Thriller🤙🏼2")</f>
        <v>864🤙🏼Cape Fear🤙🏼Thriller🤙🏼2</v>
      </c>
      <c r="K2592" s="5">
        <f>IFERROR(__xludf.DUMMYFUNCTION("SPLiT(J2592, ""🤙🏼"",FALSE,FALSE)"),864.0)</f>
        <v>864</v>
      </c>
      <c r="L2592" s="5" t="str">
        <f>IFERROR(__xludf.DUMMYFUNCTION("""COMPUTED_VALUE"""),"Cape Fear")</f>
        <v>Cape Fear</v>
      </c>
      <c r="M2592" s="5" t="str">
        <f>IFERROR(__xludf.DUMMYFUNCTION("""COMPUTED_VALUE"""),"Thriller")</f>
        <v>Thriller</v>
      </c>
      <c r="N2592" s="5">
        <f>IFERROR(__xludf.DUMMYFUNCTION("""COMPUTED_VALUE"""),2.0)</f>
        <v>2</v>
      </c>
    </row>
    <row r="2593">
      <c r="J2593" s="5" t="str">
        <f>IFERROR(__xludf.DUMMYFUNCTION("""COMPUTED_VALUE"""),"864🤙🏼Cape Fear🤙🏼🤙🏼3")</f>
        <v>864🤙🏼Cape Fear🤙🏼🤙🏼3</v>
      </c>
      <c r="K2593" s="5">
        <f>IFERROR(__xludf.DUMMYFUNCTION("SPLiT(J2593, ""🤙🏼"",FALSE,FALSE)"),864.0)</f>
        <v>864</v>
      </c>
      <c r="L2593" s="5" t="str">
        <f>IFERROR(__xludf.DUMMYFUNCTION("""COMPUTED_VALUE"""),"Cape Fear")</f>
        <v>Cape Fear</v>
      </c>
      <c r="M2593" s="5"/>
      <c r="N2593" s="5">
        <f>IFERROR(__xludf.DUMMYFUNCTION("""COMPUTED_VALUE"""),3.0)</f>
        <v>3</v>
      </c>
    </row>
    <row r="2594">
      <c r="J2594" s="5" t="str">
        <f>IFERROR(__xludf.DUMMYFUNCTION("""COMPUTED_VALUE"""),"865🤙🏼Peeping Tom🤙🏼Drama🤙🏼1")</f>
        <v>865🤙🏼Peeping Tom🤙🏼Drama🤙🏼1</v>
      </c>
      <c r="K2594" s="5">
        <f>IFERROR(__xludf.DUMMYFUNCTION("SPLiT(J2594, ""🤙🏼"",FALSE,FALSE)"),865.0)</f>
        <v>865</v>
      </c>
      <c r="L2594" s="5" t="str">
        <f>IFERROR(__xludf.DUMMYFUNCTION("""COMPUTED_VALUE"""),"Peeping Tom")</f>
        <v>Peeping Tom</v>
      </c>
      <c r="M2594" s="5" t="str">
        <f>IFERROR(__xludf.DUMMYFUNCTION("""COMPUTED_VALUE"""),"Drama")</f>
        <v>Drama</v>
      </c>
      <c r="N2594" s="5">
        <f>IFERROR(__xludf.DUMMYFUNCTION("""COMPUTED_VALUE"""),1.0)</f>
        <v>1</v>
      </c>
    </row>
    <row r="2595">
      <c r="J2595" s="5" t="str">
        <f>IFERROR(__xludf.DUMMYFUNCTION("""COMPUTED_VALUE"""),"865🤙🏼Peeping Tom🤙🏼Horror🤙🏼2")</f>
        <v>865🤙🏼Peeping Tom🤙🏼Horror🤙🏼2</v>
      </c>
      <c r="K2595" s="5">
        <f>IFERROR(__xludf.DUMMYFUNCTION("SPLiT(J2595, ""🤙🏼"",FALSE,FALSE)"),865.0)</f>
        <v>865</v>
      </c>
      <c r="L2595" s="5" t="str">
        <f>IFERROR(__xludf.DUMMYFUNCTION("""COMPUTED_VALUE"""),"Peeping Tom")</f>
        <v>Peeping Tom</v>
      </c>
      <c r="M2595" s="5" t="str">
        <f>IFERROR(__xludf.DUMMYFUNCTION("""COMPUTED_VALUE"""),"Horror")</f>
        <v>Horror</v>
      </c>
      <c r="N2595" s="5">
        <f>IFERROR(__xludf.DUMMYFUNCTION("""COMPUTED_VALUE"""),2.0)</f>
        <v>2</v>
      </c>
    </row>
    <row r="2596">
      <c r="J2596" s="5" t="str">
        <f>IFERROR(__xludf.DUMMYFUNCTION("""COMPUTED_VALUE"""),"865🤙🏼Peeping Tom🤙🏼Thriller🤙🏼3")</f>
        <v>865🤙🏼Peeping Tom🤙🏼Thriller🤙🏼3</v>
      </c>
      <c r="K2596" s="5">
        <f>IFERROR(__xludf.DUMMYFUNCTION("SPLiT(J2596, ""🤙🏼"",FALSE,FALSE)"),865.0)</f>
        <v>865</v>
      </c>
      <c r="L2596" s="5" t="str">
        <f>IFERROR(__xludf.DUMMYFUNCTION("""COMPUTED_VALUE"""),"Peeping Tom")</f>
        <v>Peeping Tom</v>
      </c>
      <c r="M2596" s="5" t="str">
        <f>IFERROR(__xludf.DUMMYFUNCTION("""COMPUTED_VALUE"""),"Thriller")</f>
        <v>Thriller</v>
      </c>
      <c r="N2596" s="5">
        <f>IFERROR(__xludf.DUMMYFUNCTION("""COMPUTED_VALUE"""),3.0)</f>
        <v>3</v>
      </c>
    </row>
    <row r="2597">
      <c r="J2597" s="5" t="str">
        <f>IFERROR(__xludf.DUMMYFUNCTION("""COMPUTED_VALUE"""),"866🤙🏼The Magnificent Seven🤙🏼Action🤙🏼1")</f>
        <v>866🤙🏼The Magnificent Seven🤙🏼Action🤙🏼1</v>
      </c>
      <c r="K2597" s="5">
        <f>IFERROR(__xludf.DUMMYFUNCTION("SPLiT(J2597, ""🤙🏼"",FALSE,FALSE)"),866.0)</f>
        <v>866</v>
      </c>
      <c r="L2597" s="5" t="str">
        <f>IFERROR(__xludf.DUMMYFUNCTION("""COMPUTED_VALUE"""),"The Magnificent Seven")</f>
        <v>The Magnificent Seven</v>
      </c>
      <c r="M2597" s="5" t="str">
        <f>IFERROR(__xludf.DUMMYFUNCTION("""COMPUTED_VALUE"""),"Action")</f>
        <v>Action</v>
      </c>
      <c r="N2597" s="5">
        <f>IFERROR(__xludf.DUMMYFUNCTION("""COMPUTED_VALUE"""),1.0)</f>
        <v>1</v>
      </c>
    </row>
    <row r="2598">
      <c r="J2598" s="5" t="str">
        <f>IFERROR(__xludf.DUMMYFUNCTION("""COMPUTED_VALUE"""),"866🤙🏼The Magnificent Seven🤙🏼Adventure🤙🏼2")</f>
        <v>866🤙🏼The Magnificent Seven🤙🏼Adventure🤙🏼2</v>
      </c>
      <c r="K2598" s="5">
        <f>IFERROR(__xludf.DUMMYFUNCTION("SPLiT(J2598, ""🤙🏼"",FALSE,FALSE)"),866.0)</f>
        <v>866</v>
      </c>
      <c r="L2598" s="5" t="str">
        <f>IFERROR(__xludf.DUMMYFUNCTION("""COMPUTED_VALUE"""),"The Magnificent Seven")</f>
        <v>The Magnificent Seven</v>
      </c>
      <c r="M2598" s="5" t="str">
        <f>IFERROR(__xludf.DUMMYFUNCTION("""COMPUTED_VALUE"""),"Adventure")</f>
        <v>Adventure</v>
      </c>
      <c r="N2598" s="5">
        <f>IFERROR(__xludf.DUMMYFUNCTION("""COMPUTED_VALUE"""),2.0)</f>
        <v>2</v>
      </c>
    </row>
    <row r="2599">
      <c r="J2599" s="5" t="str">
        <f>IFERROR(__xludf.DUMMYFUNCTION("""COMPUTED_VALUE"""),"866🤙🏼The Magnificent Seven🤙🏼Western🤙🏼3")</f>
        <v>866🤙🏼The Magnificent Seven🤙🏼Western🤙🏼3</v>
      </c>
      <c r="K2599" s="5">
        <f>IFERROR(__xludf.DUMMYFUNCTION("SPLiT(J2599, ""🤙🏼"",FALSE,FALSE)"),866.0)</f>
        <v>866</v>
      </c>
      <c r="L2599" s="5" t="str">
        <f>IFERROR(__xludf.DUMMYFUNCTION("""COMPUTED_VALUE"""),"The Magnificent Seven")</f>
        <v>The Magnificent Seven</v>
      </c>
      <c r="M2599" s="5" t="str">
        <f>IFERROR(__xludf.DUMMYFUNCTION("""COMPUTED_VALUE"""),"Western")</f>
        <v>Western</v>
      </c>
      <c r="N2599" s="5">
        <f>IFERROR(__xludf.DUMMYFUNCTION("""COMPUTED_VALUE"""),3.0)</f>
        <v>3</v>
      </c>
    </row>
    <row r="2600">
      <c r="J2600" s="5" t="str">
        <f>IFERROR(__xludf.DUMMYFUNCTION("""COMPUTED_VALUE"""),"867🤙🏼Les yeux sans visage🤙🏼Drama🤙🏼1")</f>
        <v>867🤙🏼Les yeux sans visage🤙🏼Drama🤙🏼1</v>
      </c>
      <c r="K2600" s="5">
        <f>IFERROR(__xludf.DUMMYFUNCTION("SPLiT(J2600, ""🤙🏼"",FALSE,FALSE)"),867.0)</f>
        <v>867</v>
      </c>
      <c r="L2600" s="5" t="str">
        <f>IFERROR(__xludf.DUMMYFUNCTION("""COMPUTED_VALUE"""),"Les yeux sans visage")</f>
        <v>Les yeux sans visage</v>
      </c>
      <c r="M2600" s="5" t="str">
        <f>IFERROR(__xludf.DUMMYFUNCTION("""COMPUTED_VALUE"""),"Drama")</f>
        <v>Drama</v>
      </c>
      <c r="N2600" s="5">
        <f>IFERROR(__xludf.DUMMYFUNCTION("""COMPUTED_VALUE"""),1.0)</f>
        <v>1</v>
      </c>
    </row>
    <row r="2601">
      <c r="J2601" s="5" t="str">
        <f>IFERROR(__xludf.DUMMYFUNCTION("""COMPUTED_VALUE"""),"867🤙🏼Les yeux sans visage🤙🏼Horror🤙🏼2")</f>
        <v>867🤙🏼Les yeux sans visage🤙🏼Horror🤙🏼2</v>
      </c>
      <c r="K2601" s="5">
        <f>IFERROR(__xludf.DUMMYFUNCTION("SPLiT(J2601, ""🤙🏼"",FALSE,FALSE)"),867.0)</f>
        <v>867</v>
      </c>
      <c r="L2601" s="5" t="str">
        <f>IFERROR(__xludf.DUMMYFUNCTION("""COMPUTED_VALUE"""),"Les yeux sans visage")</f>
        <v>Les yeux sans visage</v>
      </c>
      <c r="M2601" s="5" t="str">
        <f>IFERROR(__xludf.DUMMYFUNCTION("""COMPUTED_VALUE"""),"Horror")</f>
        <v>Horror</v>
      </c>
      <c r="N2601" s="5">
        <f>IFERROR(__xludf.DUMMYFUNCTION("""COMPUTED_VALUE"""),2.0)</f>
        <v>2</v>
      </c>
    </row>
    <row r="2602">
      <c r="J2602" s="5" t="str">
        <f>IFERROR(__xludf.DUMMYFUNCTION("""COMPUTED_VALUE"""),"867🤙🏼Les yeux sans visage🤙🏼🤙🏼3")</f>
        <v>867🤙🏼Les yeux sans visage🤙🏼🤙🏼3</v>
      </c>
      <c r="K2602" s="5">
        <f>IFERROR(__xludf.DUMMYFUNCTION("SPLiT(J2602, ""🤙🏼"",FALSE,FALSE)"),867.0)</f>
        <v>867</v>
      </c>
      <c r="L2602" s="5" t="str">
        <f>IFERROR(__xludf.DUMMYFUNCTION("""COMPUTED_VALUE"""),"Les yeux sans visage")</f>
        <v>Les yeux sans visage</v>
      </c>
      <c r="M2602" s="5"/>
      <c r="N2602" s="5">
        <f>IFERROR(__xludf.DUMMYFUNCTION("""COMPUTED_VALUE"""),3.0)</f>
        <v>3</v>
      </c>
    </row>
    <row r="2603">
      <c r="J2603" s="5" t="str">
        <f>IFERROR(__xludf.DUMMYFUNCTION("""COMPUTED_VALUE"""),"868🤙🏼Invasion of the Body Snatchers🤙🏼Drama🤙🏼1")</f>
        <v>868🤙🏼Invasion of the Body Snatchers🤙🏼Drama🤙🏼1</v>
      </c>
      <c r="K2603" s="5">
        <f>IFERROR(__xludf.DUMMYFUNCTION("SPLiT(J2603, ""🤙🏼"",FALSE,FALSE)"),868.0)</f>
        <v>868</v>
      </c>
      <c r="L2603" s="5" t="str">
        <f>IFERROR(__xludf.DUMMYFUNCTION("""COMPUTED_VALUE"""),"Invasion of the Body Snatchers")</f>
        <v>Invasion of the Body Snatchers</v>
      </c>
      <c r="M2603" s="5" t="str">
        <f>IFERROR(__xludf.DUMMYFUNCTION("""COMPUTED_VALUE"""),"Drama")</f>
        <v>Drama</v>
      </c>
      <c r="N2603" s="5">
        <f>IFERROR(__xludf.DUMMYFUNCTION("""COMPUTED_VALUE"""),1.0)</f>
        <v>1</v>
      </c>
    </row>
    <row r="2604">
      <c r="J2604" s="5" t="str">
        <f>IFERROR(__xludf.DUMMYFUNCTION("""COMPUTED_VALUE"""),"868🤙🏼Invasion of the Body Snatchers🤙🏼Horror🤙🏼2")</f>
        <v>868🤙🏼Invasion of the Body Snatchers🤙🏼Horror🤙🏼2</v>
      </c>
      <c r="K2604" s="5">
        <f>IFERROR(__xludf.DUMMYFUNCTION("SPLiT(J2604, ""🤙🏼"",FALSE,FALSE)"),868.0)</f>
        <v>868</v>
      </c>
      <c r="L2604" s="5" t="str">
        <f>IFERROR(__xludf.DUMMYFUNCTION("""COMPUTED_VALUE"""),"Invasion of the Body Snatchers")</f>
        <v>Invasion of the Body Snatchers</v>
      </c>
      <c r="M2604" s="5" t="str">
        <f>IFERROR(__xludf.DUMMYFUNCTION("""COMPUTED_VALUE"""),"Horror")</f>
        <v>Horror</v>
      </c>
      <c r="N2604" s="5">
        <f>IFERROR(__xludf.DUMMYFUNCTION("""COMPUTED_VALUE"""),2.0)</f>
        <v>2</v>
      </c>
    </row>
    <row r="2605">
      <c r="J2605" s="5" t="str">
        <f>IFERROR(__xludf.DUMMYFUNCTION("""COMPUTED_VALUE"""),"868🤙🏼Invasion of the Body Snatchers🤙🏼Sci-Fi🤙🏼3")</f>
        <v>868🤙🏼Invasion of the Body Snatchers🤙🏼Sci-Fi🤙🏼3</v>
      </c>
      <c r="K2605" s="5">
        <f>IFERROR(__xludf.DUMMYFUNCTION("SPLiT(J2605, ""🤙🏼"",FALSE,FALSE)"),868.0)</f>
        <v>868</v>
      </c>
      <c r="L2605" s="5" t="str">
        <f>IFERROR(__xludf.DUMMYFUNCTION("""COMPUTED_VALUE"""),"Invasion of the Body Snatchers")</f>
        <v>Invasion of the Body Snatchers</v>
      </c>
      <c r="M2605" s="5" t="str">
        <f>IFERROR(__xludf.DUMMYFUNCTION("""COMPUTED_VALUE"""),"Sci-Fi")</f>
        <v>Sci-Fi</v>
      </c>
      <c r="N2605" s="5">
        <f>IFERROR(__xludf.DUMMYFUNCTION("""COMPUTED_VALUE"""),3.0)</f>
        <v>3</v>
      </c>
    </row>
    <row r="2606">
      <c r="J2606" s="5" t="str">
        <f>IFERROR(__xludf.DUMMYFUNCTION("""COMPUTED_VALUE"""),"869🤙🏼Rebel Without a Cause🤙🏼Drama🤙🏼1")</f>
        <v>869🤙🏼Rebel Without a Cause🤙🏼Drama🤙🏼1</v>
      </c>
      <c r="K2606" s="5">
        <f>IFERROR(__xludf.DUMMYFUNCTION("SPLiT(J2606, ""🤙🏼"",FALSE,FALSE)"),869.0)</f>
        <v>869</v>
      </c>
      <c r="L2606" s="5" t="str">
        <f>IFERROR(__xludf.DUMMYFUNCTION("""COMPUTED_VALUE"""),"Rebel Without a Cause")</f>
        <v>Rebel Without a Cause</v>
      </c>
      <c r="M2606" s="5" t="str">
        <f>IFERROR(__xludf.DUMMYFUNCTION("""COMPUTED_VALUE"""),"Drama")</f>
        <v>Drama</v>
      </c>
      <c r="N2606" s="5">
        <f>IFERROR(__xludf.DUMMYFUNCTION("""COMPUTED_VALUE"""),1.0)</f>
        <v>1</v>
      </c>
    </row>
    <row r="2607">
      <c r="J2607" s="5" t="str">
        <f>IFERROR(__xludf.DUMMYFUNCTION("""COMPUTED_VALUE"""),"869🤙🏼Rebel Without a Cause🤙🏼🤙🏼2")</f>
        <v>869🤙🏼Rebel Without a Cause🤙🏼🤙🏼2</v>
      </c>
      <c r="K2607" s="5">
        <f>IFERROR(__xludf.DUMMYFUNCTION("SPLiT(J2607, ""🤙🏼"",FALSE,FALSE)"),869.0)</f>
        <v>869</v>
      </c>
      <c r="L2607" s="5" t="str">
        <f>IFERROR(__xludf.DUMMYFUNCTION("""COMPUTED_VALUE"""),"Rebel Without a Cause")</f>
        <v>Rebel Without a Cause</v>
      </c>
      <c r="M2607" s="5"/>
      <c r="N2607" s="5">
        <f>IFERROR(__xludf.DUMMYFUNCTION("""COMPUTED_VALUE"""),2.0)</f>
        <v>2</v>
      </c>
    </row>
    <row r="2608">
      <c r="J2608" s="5" t="str">
        <f>IFERROR(__xludf.DUMMYFUNCTION("""COMPUTED_VALUE"""),"869🤙🏼Rebel Without a Cause🤙🏼🤙🏼3")</f>
        <v>869🤙🏼Rebel Without a Cause🤙🏼🤙🏼3</v>
      </c>
      <c r="K2608" s="5">
        <f>IFERROR(__xludf.DUMMYFUNCTION("SPLiT(J2608, ""🤙🏼"",FALSE,FALSE)"),869.0)</f>
        <v>869</v>
      </c>
      <c r="L2608" s="5" t="str">
        <f>IFERROR(__xludf.DUMMYFUNCTION("""COMPUTED_VALUE"""),"Rebel Without a Cause")</f>
        <v>Rebel Without a Cause</v>
      </c>
      <c r="M2608" s="5"/>
      <c r="N2608" s="5">
        <f>IFERROR(__xludf.DUMMYFUNCTION("""COMPUTED_VALUE"""),3.0)</f>
        <v>3</v>
      </c>
    </row>
    <row r="2609">
      <c r="J2609" s="5" t="str">
        <f>IFERROR(__xludf.DUMMYFUNCTION("""COMPUTED_VALUE"""),"870🤙🏼The Ladykillers🤙🏼Comedy🤙🏼1")</f>
        <v>870🤙🏼The Ladykillers🤙🏼Comedy🤙🏼1</v>
      </c>
      <c r="K2609" s="5">
        <f>IFERROR(__xludf.DUMMYFUNCTION("SPLiT(J2609, ""🤙🏼"",FALSE,FALSE)"),870.0)</f>
        <v>870</v>
      </c>
      <c r="L2609" s="5" t="str">
        <f>IFERROR(__xludf.DUMMYFUNCTION("""COMPUTED_VALUE"""),"The Ladykillers")</f>
        <v>The Ladykillers</v>
      </c>
      <c r="M2609" s="5" t="str">
        <f>IFERROR(__xludf.DUMMYFUNCTION("""COMPUTED_VALUE"""),"Comedy")</f>
        <v>Comedy</v>
      </c>
      <c r="N2609" s="5">
        <f>IFERROR(__xludf.DUMMYFUNCTION("""COMPUTED_VALUE"""),1.0)</f>
        <v>1</v>
      </c>
    </row>
    <row r="2610">
      <c r="J2610" s="5" t="str">
        <f>IFERROR(__xludf.DUMMYFUNCTION("""COMPUTED_VALUE"""),"870🤙🏼The Ladykillers🤙🏼Crime🤙🏼2")</f>
        <v>870🤙🏼The Ladykillers🤙🏼Crime🤙🏼2</v>
      </c>
      <c r="K2610" s="5">
        <f>IFERROR(__xludf.DUMMYFUNCTION("SPLiT(J2610, ""🤙🏼"",FALSE,FALSE)"),870.0)</f>
        <v>870</v>
      </c>
      <c r="L2610" s="5" t="str">
        <f>IFERROR(__xludf.DUMMYFUNCTION("""COMPUTED_VALUE"""),"The Ladykillers")</f>
        <v>The Ladykillers</v>
      </c>
      <c r="M2610" s="5" t="str">
        <f>IFERROR(__xludf.DUMMYFUNCTION("""COMPUTED_VALUE"""),"Crime")</f>
        <v>Crime</v>
      </c>
      <c r="N2610" s="5">
        <f>IFERROR(__xludf.DUMMYFUNCTION("""COMPUTED_VALUE"""),2.0)</f>
        <v>2</v>
      </c>
    </row>
    <row r="2611">
      <c r="J2611" s="5" t="str">
        <f>IFERROR(__xludf.DUMMYFUNCTION("""COMPUTED_VALUE"""),"870🤙🏼The Ladykillers🤙🏼🤙🏼3")</f>
        <v>870🤙🏼The Ladykillers🤙🏼🤙🏼3</v>
      </c>
      <c r="K2611" s="5">
        <f>IFERROR(__xludf.DUMMYFUNCTION("SPLiT(J2611, ""🤙🏼"",FALSE,FALSE)"),870.0)</f>
        <v>870</v>
      </c>
      <c r="L2611" s="5" t="str">
        <f>IFERROR(__xludf.DUMMYFUNCTION("""COMPUTED_VALUE"""),"The Ladykillers")</f>
        <v>The Ladykillers</v>
      </c>
      <c r="M2611" s="5"/>
      <c r="N2611" s="5">
        <f>IFERROR(__xludf.DUMMYFUNCTION("""COMPUTED_VALUE"""),3.0)</f>
        <v>3</v>
      </c>
    </row>
    <row r="2612">
      <c r="J2612" s="5" t="str">
        <f>IFERROR(__xludf.DUMMYFUNCTION("""COMPUTED_VALUE"""),"871🤙🏼Sabrina🤙🏼Comedy🤙🏼1")</f>
        <v>871🤙🏼Sabrina🤙🏼Comedy🤙🏼1</v>
      </c>
      <c r="K2612" s="5">
        <f>IFERROR(__xludf.DUMMYFUNCTION("SPLiT(J2612, ""🤙🏼"",FALSE,FALSE)"),871.0)</f>
        <v>871</v>
      </c>
      <c r="L2612" s="5" t="str">
        <f>IFERROR(__xludf.DUMMYFUNCTION("""COMPUTED_VALUE"""),"Sabrina")</f>
        <v>Sabrina</v>
      </c>
      <c r="M2612" s="5" t="str">
        <f>IFERROR(__xludf.DUMMYFUNCTION("""COMPUTED_VALUE"""),"Comedy")</f>
        <v>Comedy</v>
      </c>
      <c r="N2612" s="5">
        <f>IFERROR(__xludf.DUMMYFUNCTION("""COMPUTED_VALUE"""),1.0)</f>
        <v>1</v>
      </c>
    </row>
    <row r="2613">
      <c r="J2613" s="5" t="str">
        <f>IFERROR(__xludf.DUMMYFUNCTION("""COMPUTED_VALUE"""),"871🤙🏼Sabrina🤙🏼Drama🤙🏼2")</f>
        <v>871🤙🏼Sabrina🤙🏼Drama🤙🏼2</v>
      </c>
      <c r="K2613" s="5">
        <f>IFERROR(__xludf.DUMMYFUNCTION("SPLiT(J2613, ""🤙🏼"",FALSE,FALSE)"),871.0)</f>
        <v>871</v>
      </c>
      <c r="L2613" s="5" t="str">
        <f>IFERROR(__xludf.DUMMYFUNCTION("""COMPUTED_VALUE"""),"Sabrina")</f>
        <v>Sabrina</v>
      </c>
      <c r="M2613" s="5" t="str">
        <f>IFERROR(__xludf.DUMMYFUNCTION("""COMPUTED_VALUE"""),"Drama")</f>
        <v>Drama</v>
      </c>
      <c r="N2613" s="5">
        <f>IFERROR(__xludf.DUMMYFUNCTION("""COMPUTED_VALUE"""),2.0)</f>
        <v>2</v>
      </c>
    </row>
    <row r="2614">
      <c r="J2614" s="5" t="str">
        <f>IFERROR(__xludf.DUMMYFUNCTION("""COMPUTED_VALUE"""),"871🤙🏼Sabrina🤙🏼Romance🤙🏼3")</f>
        <v>871🤙🏼Sabrina🤙🏼Romance🤙🏼3</v>
      </c>
      <c r="K2614" s="5">
        <f>IFERROR(__xludf.DUMMYFUNCTION("SPLiT(J2614, ""🤙🏼"",FALSE,FALSE)"),871.0)</f>
        <v>871</v>
      </c>
      <c r="L2614" s="5" t="str">
        <f>IFERROR(__xludf.DUMMYFUNCTION("""COMPUTED_VALUE"""),"Sabrina")</f>
        <v>Sabrina</v>
      </c>
      <c r="M2614" s="5" t="str">
        <f>IFERROR(__xludf.DUMMYFUNCTION("""COMPUTED_VALUE"""),"Romance")</f>
        <v>Romance</v>
      </c>
      <c r="N2614" s="5">
        <f>IFERROR(__xludf.DUMMYFUNCTION("""COMPUTED_VALUE"""),3.0)</f>
        <v>3</v>
      </c>
    </row>
    <row r="2615">
      <c r="J2615" s="5" t="str">
        <f>IFERROR(__xludf.DUMMYFUNCTION("""COMPUTED_VALUE"""),"872🤙🏼The Quiet Man🤙🏼Comedy🤙🏼1")</f>
        <v>872🤙🏼The Quiet Man🤙🏼Comedy🤙🏼1</v>
      </c>
      <c r="K2615" s="5">
        <f>IFERROR(__xludf.DUMMYFUNCTION("SPLiT(J2615, ""🤙🏼"",FALSE,FALSE)"),872.0)</f>
        <v>872</v>
      </c>
      <c r="L2615" s="5" t="str">
        <f>IFERROR(__xludf.DUMMYFUNCTION("""COMPUTED_VALUE"""),"The Quiet Man")</f>
        <v>The Quiet Man</v>
      </c>
      <c r="M2615" s="5" t="str">
        <f>IFERROR(__xludf.DUMMYFUNCTION("""COMPUTED_VALUE"""),"Comedy")</f>
        <v>Comedy</v>
      </c>
      <c r="N2615" s="5">
        <f>IFERROR(__xludf.DUMMYFUNCTION("""COMPUTED_VALUE"""),1.0)</f>
        <v>1</v>
      </c>
    </row>
    <row r="2616">
      <c r="J2616" s="5" t="str">
        <f>IFERROR(__xludf.DUMMYFUNCTION("""COMPUTED_VALUE"""),"872🤙🏼The Quiet Man🤙🏼Drama🤙🏼2")</f>
        <v>872🤙🏼The Quiet Man🤙🏼Drama🤙🏼2</v>
      </c>
      <c r="K2616" s="5">
        <f>IFERROR(__xludf.DUMMYFUNCTION("SPLiT(J2616, ""🤙🏼"",FALSE,FALSE)"),872.0)</f>
        <v>872</v>
      </c>
      <c r="L2616" s="5" t="str">
        <f>IFERROR(__xludf.DUMMYFUNCTION("""COMPUTED_VALUE"""),"The Quiet Man")</f>
        <v>The Quiet Man</v>
      </c>
      <c r="M2616" s="5" t="str">
        <f>IFERROR(__xludf.DUMMYFUNCTION("""COMPUTED_VALUE"""),"Drama")</f>
        <v>Drama</v>
      </c>
      <c r="N2616" s="5">
        <f>IFERROR(__xludf.DUMMYFUNCTION("""COMPUTED_VALUE"""),2.0)</f>
        <v>2</v>
      </c>
    </row>
    <row r="2617">
      <c r="J2617" s="5" t="str">
        <f>IFERROR(__xludf.DUMMYFUNCTION("""COMPUTED_VALUE"""),"872🤙🏼The Quiet Man🤙🏼Romance🤙🏼3")</f>
        <v>872🤙🏼The Quiet Man🤙🏼Romance🤙🏼3</v>
      </c>
      <c r="K2617" s="5">
        <f>IFERROR(__xludf.DUMMYFUNCTION("SPLiT(J2617, ""🤙🏼"",FALSE,FALSE)"),872.0)</f>
        <v>872</v>
      </c>
      <c r="L2617" s="5" t="str">
        <f>IFERROR(__xludf.DUMMYFUNCTION("""COMPUTED_VALUE"""),"The Quiet Man")</f>
        <v>The Quiet Man</v>
      </c>
      <c r="M2617" s="5" t="str">
        <f>IFERROR(__xludf.DUMMYFUNCTION("""COMPUTED_VALUE"""),"Romance")</f>
        <v>Romance</v>
      </c>
      <c r="N2617" s="5">
        <f>IFERROR(__xludf.DUMMYFUNCTION("""COMPUTED_VALUE"""),3.0)</f>
        <v>3</v>
      </c>
    </row>
    <row r="2618">
      <c r="J2618" s="5" t="str">
        <f>IFERROR(__xludf.DUMMYFUNCTION("""COMPUTED_VALUE"""),"873🤙🏼The Day the Earth Stood Still🤙🏼Drama🤙🏼1")</f>
        <v>873🤙🏼The Day the Earth Stood Still🤙🏼Drama🤙🏼1</v>
      </c>
      <c r="K2618" s="5">
        <f>IFERROR(__xludf.DUMMYFUNCTION("SPLiT(J2618, ""🤙🏼"",FALSE,FALSE)"),873.0)</f>
        <v>873</v>
      </c>
      <c r="L2618" s="5" t="str">
        <f>IFERROR(__xludf.DUMMYFUNCTION("""COMPUTED_VALUE"""),"The Day the Earth Stood Still")</f>
        <v>The Day the Earth Stood Still</v>
      </c>
      <c r="M2618" s="5" t="str">
        <f>IFERROR(__xludf.DUMMYFUNCTION("""COMPUTED_VALUE"""),"Drama")</f>
        <v>Drama</v>
      </c>
      <c r="N2618" s="5">
        <f>IFERROR(__xludf.DUMMYFUNCTION("""COMPUTED_VALUE"""),1.0)</f>
        <v>1</v>
      </c>
    </row>
    <row r="2619">
      <c r="J2619" s="5" t="str">
        <f>IFERROR(__xludf.DUMMYFUNCTION("""COMPUTED_VALUE"""),"873🤙🏼The Day the Earth Stood Still🤙🏼Sci-Fi🤙🏼2")</f>
        <v>873🤙🏼The Day the Earth Stood Still🤙🏼Sci-Fi🤙🏼2</v>
      </c>
      <c r="K2619" s="5">
        <f>IFERROR(__xludf.DUMMYFUNCTION("SPLiT(J2619, ""🤙🏼"",FALSE,FALSE)"),873.0)</f>
        <v>873</v>
      </c>
      <c r="L2619" s="5" t="str">
        <f>IFERROR(__xludf.DUMMYFUNCTION("""COMPUTED_VALUE"""),"The Day the Earth Stood Still")</f>
        <v>The Day the Earth Stood Still</v>
      </c>
      <c r="M2619" s="5" t="str">
        <f>IFERROR(__xludf.DUMMYFUNCTION("""COMPUTED_VALUE"""),"Sci-Fi")</f>
        <v>Sci-Fi</v>
      </c>
      <c r="N2619" s="5">
        <f>IFERROR(__xludf.DUMMYFUNCTION("""COMPUTED_VALUE"""),2.0)</f>
        <v>2</v>
      </c>
    </row>
    <row r="2620">
      <c r="J2620" s="5" t="str">
        <f>IFERROR(__xludf.DUMMYFUNCTION("""COMPUTED_VALUE"""),"873🤙🏼The Day the Earth Stood Still🤙🏼🤙🏼3")</f>
        <v>873🤙🏼The Day the Earth Stood Still🤙🏼🤙🏼3</v>
      </c>
      <c r="K2620" s="5">
        <f>IFERROR(__xludf.DUMMYFUNCTION("SPLiT(J2620, ""🤙🏼"",FALSE,FALSE)"),873.0)</f>
        <v>873</v>
      </c>
      <c r="L2620" s="5" t="str">
        <f>IFERROR(__xludf.DUMMYFUNCTION("""COMPUTED_VALUE"""),"The Day the Earth Stood Still")</f>
        <v>The Day the Earth Stood Still</v>
      </c>
      <c r="M2620" s="5"/>
      <c r="N2620" s="5">
        <f>IFERROR(__xludf.DUMMYFUNCTION("""COMPUTED_VALUE"""),3.0)</f>
        <v>3</v>
      </c>
    </row>
    <row r="2621">
      <c r="J2621" s="5" t="str">
        <f>IFERROR(__xludf.DUMMYFUNCTION("""COMPUTED_VALUE"""),"874🤙🏼The African Queen🤙🏼Adventure🤙🏼1")</f>
        <v>874🤙🏼The African Queen🤙🏼Adventure🤙🏼1</v>
      </c>
      <c r="K2621" s="5">
        <f>IFERROR(__xludf.DUMMYFUNCTION("SPLiT(J2621, ""🤙🏼"",FALSE,FALSE)"),874.0)</f>
        <v>874</v>
      </c>
      <c r="L2621" s="5" t="str">
        <f>IFERROR(__xludf.DUMMYFUNCTION("""COMPUTED_VALUE"""),"The African Queen")</f>
        <v>The African Queen</v>
      </c>
      <c r="M2621" s="5" t="str">
        <f>IFERROR(__xludf.DUMMYFUNCTION("""COMPUTED_VALUE"""),"Adventure")</f>
        <v>Adventure</v>
      </c>
      <c r="N2621" s="5">
        <f>IFERROR(__xludf.DUMMYFUNCTION("""COMPUTED_VALUE"""),1.0)</f>
        <v>1</v>
      </c>
    </row>
    <row r="2622">
      <c r="J2622" s="5" t="str">
        <f>IFERROR(__xludf.DUMMYFUNCTION("""COMPUTED_VALUE"""),"874🤙🏼The African Queen🤙🏼Drama🤙🏼2")</f>
        <v>874🤙🏼The African Queen🤙🏼Drama🤙🏼2</v>
      </c>
      <c r="K2622" s="5">
        <f>IFERROR(__xludf.DUMMYFUNCTION("SPLiT(J2622, ""🤙🏼"",FALSE,FALSE)"),874.0)</f>
        <v>874</v>
      </c>
      <c r="L2622" s="5" t="str">
        <f>IFERROR(__xludf.DUMMYFUNCTION("""COMPUTED_VALUE"""),"The African Queen")</f>
        <v>The African Queen</v>
      </c>
      <c r="M2622" s="5" t="str">
        <f>IFERROR(__xludf.DUMMYFUNCTION("""COMPUTED_VALUE"""),"Drama")</f>
        <v>Drama</v>
      </c>
      <c r="N2622" s="5">
        <f>IFERROR(__xludf.DUMMYFUNCTION("""COMPUTED_VALUE"""),2.0)</f>
        <v>2</v>
      </c>
    </row>
    <row r="2623">
      <c r="J2623" s="5" t="str">
        <f>IFERROR(__xludf.DUMMYFUNCTION("""COMPUTED_VALUE"""),"874🤙🏼The African Queen🤙🏼Romance🤙🏼3")</f>
        <v>874🤙🏼The African Queen🤙🏼Romance🤙🏼3</v>
      </c>
      <c r="K2623" s="5">
        <f>IFERROR(__xludf.DUMMYFUNCTION("SPLiT(J2623, ""🤙🏼"",FALSE,FALSE)"),874.0)</f>
        <v>874</v>
      </c>
      <c r="L2623" s="5" t="str">
        <f>IFERROR(__xludf.DUMMYFUNCTION("""COMPUTED_VALUE"""),"The African Queen")</f>
        <v>The African Queen</v>
      </c>
      <c r="M2623" s="5" t="str">
        <f>IFERROR(__xludf.DUMMYFUNCTION("""COMPUTED_VALUE"""),"Romance")</f>
        <v>Romance</v>
      </c>
      <c r="N2623" s="5">
        <f>IFERROR(__xludf.DUMMYFUNCTION("""COMPUTED_VALUE"""),3.0)</f>
        <v>3</v>
      </c>
    </row>
    <row r="2624">
      <c r="J2624" s="5" t="str">
        <f>IFERROR(__xludf.DUMMYFUNCTION("""COMPUTED_VALUE"""),"875🤙🏼Gilda🤙🏼Drama🤙🏼1")</f>
        <v>875🤙🏼Gilda🤙🏼Drama🤙🏼1</v>
      </c>
      <c r="K2624" s="5">
        <f>IFERROR(__xludf.DUMMYFUNCTION("SPLiT(J2624, ""🤙🏼"",FALSE,FALSE)"),875.0)</f>
        <v>875</v>
      </c>
      <c r="L2624" s="5" t="str">
        <f>IFERROR(__xludf.DUMMYFUNCTION("""COMPUTED_VALUE"""),"Gilda")</f>
        <v>Gilda</v>
      </c>
      <c r="M2624" s="5" t="str">
        <f>IFERROR(__xludf.DUMMYFUNCTION("""COMPUTED_VALUE"""),"Drama")</f>
        <v>Drama</v>
      </c>
      <c r="N2624" s="5">
        <f>IFERROR(__xludf.DUMMYFUNCTION("""COMPUTED_VALUE"""),1.0)</f>
        <v>1</v>
      </c>
    </row>
    <row r="2625">
      <c r="J2625" s="5" t="str">
        <f>IFERROR(__xludf.DUMMYFUNCTION("""COMPUTED_VALUE"""),"875🤙🏼Gilda🤙🏼Film-Noir🤙🏼2")</f>
        <v>875🤙🏼Gilda🤙🏼Film-Noir🤙🏼2</v>
      </c>
      <c r="K2625" s="5">
        <f>IFERROR(__xludf.DUMMYFUNCTION("SPLiT(J2625, ""🤙🏼"",FALSE,FALSE)"),875.0)</f>
        <v>875</v>
      </c>
      <c r="L2625" s="5" t="str">
        <f>IFERROR(__xludf.DUMMYFUNCTION("""COMPUTED_VALUE"""),"Gilda")</f>
        <v>Gilda</v>
      </c>
      <c r="M2625" s="5" t="str">
        <f>IFERROR(__xludf.DUMMYFUNCTION("""COMPUTED_VALUE"""),"Film-Noir")</f>
        <v>Film-Noir</v>
      </c>
      <c r="N2625" s="5">
        <f>IFERROR(__xludf.DUMMYFUNCTION("""COMPUTED_VALUE"""),2.0)</f>
        <v>2</v>
      </c>
    </row>
    <row r="2626">
      <c r="J2626" s="5" t="str">
        <f>IFERROR(__xludf.DUMMYFUNCTION("""COMPUTED_VALUE"""),"875🤙🏼Gilda🤙🏼Romance🤙🏼3")</f>
        <v>875🤙🏼Gilda🤙🏼Romance🤙🏼3</v>
      </c>
      <c r="K2626" s="5">
        <f>IFERROR(__xludf.DUMMYFUNCTION("SPLiT(J2626, ""🤙🏼"",FALSE,FALSE)"),875.0)</f>
        <v>875</v>
      </c>
      <c r="L2626" s="5" t="str">
        <f>IFERROR(__xludf.DUMMYFUNCTION("""COMPUTED_VALUE"""),"Gilda")</f>
        <v>Gilda</v>
      </c>
      <c r="M2626" s="5" t="str">
        <f>IFERROR(__xludf.DUMMYFUNCTION("""COMPUTED_VALUE"""),"Romance")</f>
        <v>Romance</v>
      </c>
      <c r="N2626" s="5">
        <f>IFERROR(__xludf.DUMMYFUNCTION("""COMPUTED_VALUE"""),3.0)</f>
        <v>3</v>
      </c>
    </row>
    <row r="2627">
      <c r="J2627" s="5" t="str">
        <f>IFERROR(__xludf.DUMMYFUNCTION("""COMPUTED_VALUE"""),"876🤙🏼Fantasia🤙🏼Animation🤙🏼1")</f>
        <v>876🤙🏼Fantasia🤙🏼Animation🤙🏼1</v>
      </c>
      <c r="K2627" s="5">
        <f>IFERROR(__xludf.DUMMYFUNCTION("SPLiT(J2627, ""🤙🏼"",FALSE,FALSE)"),876.0)</f>
        <v>876</v>
      </c>
      <c r="L2627" s="5" t="str">
        <f>IFERROR(__xludf.DUMMYFUNCTION("""COMPUTED_VALUE"""),"Fantasia")</f>
        <v>Fantasia</v>
      </c>
      <c r="M2627" s="5" t="str">
        <f>IFERROR(__xludf.DUMMYFUNCTION("""COMPUTED_VALUE"""),"Animation")</f>
        <v>Animation</v>
      </c>
      <c r="N2627" s="5">
        <f>IFERROR(__xludf.DUMMYFUNCTION("""COMPUTED_VALUE"""),1.0)</f>
        <v>1</v>
      </c>
    </row>
    <row r="2628">
      <c r="J2628" s="5" t="str">
        <f>IFERROR(__xludf.DUMMYFUNCTION("""COMPUTED_VALUE"""),"876🤙🏼Fantasia🤙🏼Family🤙🏼2")</f>
        <v>876🤙🏼Fantasia🤙🏼Family🤙🏼2</v>
      </c>
      <c r="K2628" s="5">
        <f>IFERROR(__xludf.DUMMYFUNCTION("SPLiT(J2628, ""🤙🏼"",FALSE,FALSE)"),876.0)</f>
        <v>876</v>
      </c>
      <c r="L2628" s="5" t="str">
        <f>IFERROR(__xludf.DUMMYFUNCTION("""COMPUTED_VALUE"""),"Fantasia")</f>
        <v>Fantasia</v>
      </c>
      <c r="M2628" s="5" t="str">
        <f>IFERROR(__xludf.DUMMYFUNCTION("""COMPUTED_VALUE"""),"Family")</f>
        <v>Family</v>
      </c>
      <c r="N2628" s="5">
        <f>IFERROR(__xludf.DUMMYFUNCTION("""COMPUTED_VALUE"""),2.0)</f>
        <v>2</v>
      </c>
    </row>
    <row r="2629">
      <c r="J2629" s="5" t="str">
        <f>IFERROR(__xludf.DUMMYFUNCTION("""COMPUTED_VALUE"""),"876🤙🏼Fantasia🤙🏼Fantasy🤙🏼3")</f>
        <v>876🤙🏼Fantasia🤙🏼Fantasy🤙🏼3</v>
      </c>
      <c r="K2629" s="5">
        <f>IFERROR(__xludf.DUMMYFUNCTION("SPLiT(J2629, ""🤙🏼"",FALSE,FALSE)"),876.0)</f>
        <v>876</v>
      </c>
      <c r="L2629" s="5" t="str">
        <f>IFERROR(__xludf.DUMMYFUNCTION("""COMPUTED_VALUE"""),"Fantasia")</f>
        <v>Fantasia</v>
      </c>
      <c r="M2629" s="5" t="str">
        <f>IFERROR(__xludf.DUMMYFUNCTION("""COMPUTED_VALUE"""),"Fantasy")</f>
        <v>Fantasy</v>
      </c>
      <c r="N2629" s="5">
        <f>IFERROR(__xludf.DUMMYFUNCTION("""COMPUTED_VALUE"""),3.0)</f>
        <v>3</v>
      </c>
    </row>
    <row r="2630">
      <c r="J2630" s="5" t="str">
        <f>IFERROR(__xludf.DUMMYFUNCTION("""COMPUTED_VALUE"""),"877🤙🏼The Invisible Man🤙🏼Horror🤙🏼1")</f>
        <v>877🤙🏼The Invisible Man🤙🏼Horror🤙🏼1</v>
      </c>
      <c r="K2630" s="5">
        <f>IFERROR(__xludf.DUMMYFUNCTION("SPLiT(J2630, ""🤙🏼"",FALSE,FALSE)"),877.0)</f>
        <v>877</v>
      </c>
      <c r="L2630" s="5" t="str">
        <f>IFERROR(__xludf.DUMMYFUNCTION("""COMPUTED_VALUE"""),"The Invisible Man")</f>
        <v>The Invisible Man</v>
      </c>
      <c r="M2630" s="5" t="str">
        <f>IFERROR(__xludf.DUMMYFUNCTION("""COMPUTED_VALUE"""),"Horror")</f>
        <v>Horror</v>
      </c>
      <c r="N2630" s="5">
        <f>IFERROR(__xludf.DUMMYFUNCTION("""COMPUTED_VALUE"""),1.0)</f>
        <v>1</v>
      </c>
    </row>
    <row r="2631">
      <c r="J2631" s="5" t="str">
        <f>IFERROR(__xludf.DUMMYFUNCTION("""COMPUTED_VALUE"""),"877🤙🏼The Invisible Man🤙🏼Sci-Fi🤙🏼2")</f>
        <v>877🤙🏼The Invisible Man🤙🏼Sci-Fi🤙🏼2</v>
      </c>
      <c r="K2631" s="5">
        <f>IFERROR(__xludf.DUMMYFUNCTION("SPLiT(J2631, ""🤙🏼"",FALSE,FALSE)"),877.0)</f>
        <v>877</v>
      </c>
      <c r="L2631" s="5" t="str">
        <f>IFERROR(__xludf.DUMMYFUNCTION("""COMPUTED_VALUE"""),"The Invisible Man")</f>
        <v>The Invisible Man</v>
      </c>
      <c r="M2631" s="5" t="str">
        <f>IFERROR(__xludf.DUMMYFUNCTION("""COMPUTED_VALUE"""),"Sci-Fi")</f>
        <v>Sci-Fi</v>
      </c>
      <c r="N2631" s="5">
        <f>IFERROR(__xludf.DUMMYFUNCTION("""COMPUTED_VALUE"""),2.0)</f>
        <v>2</v>
      </c>
    </row>
    <row r="2632">
      <c r="J2632" s="5" t="str">
        <f>IFERROR(__xludf.DUMMYFUNCTION("""COMPUTED_VALUE"""),"877🤙🏼The Invisible Man🤙🏼🤙🏼3")</f>
        <v>877🤙🏼The Invisible Man🤙🏼🤙🏼3</v>
      </c>
      <c r="K2632" s="5">
        <f>IFERROR(__xludf.DUMMYFUNCTION("SPLiT(J2632, ""🤙🏼"",FALSE,FALSE)"),877.0)</f>
        <v>877</v>
      </c>
      <c r="L2632" s="5" t="str">
        <f>IFERROR(__xludf.DUMMYFUNCTION("""COMPUTED_VALUE"""),"The Invisible Man")</f>
        <v>The Invisible Man</v>
      </c>
      <c r="M2632" s="5"/>
      <c r="N2632" s="5">
        <f>IFERROR(__xludf.DUMMYFUNCTION("""COMPUTED_VALUE"""),3.0)</f>
        <v>3</v>
      </c>
    </row>
    <row r="2633">
      <c r="J2633" s="5" t="str">
        <f>IFERROR(__xludf.DUMMYFUNCTION("""COMPUTED_VALUE"""),"878🤙🏼Dark Waters🤙🏼Biography🤙🏼1")</f>
        <v>878🤙🏼Dark Waters🤙🏼Biography🤙🏼1</v>
      </c>
      <c r="K2633" s="5">
        <f>IFERROR(__xludf.DUMMYFUNCTION("SPLiT(J2633, ""🤙🏼"",FALSE,FALSE)"),878.0)</f>
        <v>878</v>
      </c>
      <c r="L2633" s="5" t="str">
        <f>IFERROR(__xludf.DUMMYFUNCTION("""COMPUTED_VALUE"""),"Dark Waters")</f>
        <v>Dark Waters</v>
      </c>
      <c r="M2633" s="5" t="str">
        <f>IFERROR(__xludf.DUMMYFUNCTION("""COMPUTED_VALUE"""),"Biography")</f>
        <v>Biography</v>
      </c>
      <c r="N2633" s="5">
        <f>IFERROR(__xludf.DUMMYFUNCTION("""COMPUTED_VALUE"""),1.0)</f>
        <v>1</v>
      </c>
    </row>
    <row r="2634">
      <c r="J2634" s="5" t="str">
        <f>IFERROR(__xludf.DUMMYFUNCTION("""COMPUTED_VALUE"""),"878🤙🏼Dark Waters🤙🏼Drama🤙🏼2")</f>
        <v>878🤙🏼Dark Waters🤙🏼Drama🤙🏼2</v>
      </c>
      <c r="K2634" s="5">
        <f>IFERROR(__xludf.DUMMYFUNCTION("SPLiT(J2634, ""🤙🏼"",FALSE,FALSE)"),878.0)</f>
        <v>878</v>
      </c>
      <c r="L2634" s="5" t="str">
        <f>IFERROR(__xludf.DUMMYFUNCTION("""COMPUTED_VALUE"""),"Dark Waters")</f>
        <v>Dark Waters</v>
      </c>
      <c r="M2634" s="5" t="str">
        <f>IFERROR(__xludf.DUMMYFUNCTION("""COMPUTED_VALUE"""),"Drama")</f>
        <v>Drama</v>
      </c>
      <c r="N2634" s="5">
        <f>IFERROR(__xludf.DUMMYFUNCTION("""COMPUTED_VALUE"""),2.0)</f>
        <v>2</v>
      </c>
    </row>
    <row r="2635">
      <c r="J2635" s="5" t="str">
        <f>IFERROR(__xludf.DUMMYFUNCTION("""COMPUTED_VALUE"""),"878🤙🏼Dark Waters🤙🏼History🤙🏼3")</f>
        <v>878🤙🏼Dark Waters🤙🏼History🤙🏼3</v>
      </c>
      <c r="K2635" s="5">
        <f>IFERROR(__xludf.DUMMYFUNCTION("SPLiT(J2635, ""🤙🏼"",FALSE,FALSE)"),878.0)</f>
        <v>878</v>
      </c>
      <c r="L2635" s="5" t="str">
        <f>IFERROR(__xludf.DUMMYFUNCTION("""COMPUTED_VALUE"""),"Dark Waters")</f>
        <v>Dark Waters</v>
      </c>
      <c r="M2635" s="5" t="str">
        <f>IFERROR(__xludf.DUMMYFUNCTION("""COMPUTED_VALUE"""),"History")</f>
        <v>History</v>
      </c>
      <c r="N2635" s="5">
        <f>IFERROR(__xludf.DUMMYFUNCTION("""COMPUTED_VALUE"""),3.0)</f>
        <v>3</v>
      </c>
    </row>
    <row r="2636">
      <c r="J2636" s="5" t="str">
        <f>IFERROR(__xludf.DUMMYFUNCTION("""COMPUTED_VALUE"""),"879🤙🏼Searching🤙🏼Drama🤙🏼1")</f>
        <v>879🤙🏼Searching🤙🏼Drama🤙🏼1</v>
      </c>
      <c r="K2636" s="5">
        <f>IFERROR(__xludf.DUMMYFUNCTION("SPLiT(J2636, ""🤙🏼"",FALSE,FALSE)"),879.0)</f>
        <v>879</v>
      </c>
      <c r="L2636" s="5" t="str">
        <f>IFERROR(__xludf.DUMMYFUNCTION("""COMPUTED_VALUE"""),"Searching")</f>
        <v>Searching</v>
      </c>
      <c r="M2636" s="5" t="str">
        <f>IFERROR(__xludf.DUMMYFUNCTION("""COMPUTED_VALUE"""),"Drama")</f>
        <v>Drama</v>
      </c>
      <c r="N2636" s="5">
        <f>IFERROR(__xludf.DUMMYFUNCTION("""COMPUTED_VALUE"""),1.0)</f>
        <v>1</v>
      </c>
    </row>
    <row r="2637">
      <c r="J2637" s="5" t="str">
        <f>IFERROR(__xludf.DUMMYFUNCTION("""COMPUTED_VALUE"""),"879🤙🏼Searching🤙🏼Mystery🤙🏼2")</f>
        <v>879🤙🏼Searching🤙🏼Mystery🤙🏼2</v>
      </c>
      <c r="K2637" s="5">
        <f>IFERROR(__xludf.DUMMYFUNCTION("SPLiT(J2637, ""🤙🏼"",FALSE,FALSE)"),879.0)</f>
        <v>879</v>
      </c>
      <c r="L2637" s="5" t="str">
        <f>IFERROR(__xludf.DUMMYFUNCTION("""COMPUTED_VALUE"""),"Searching")</f>
        <v>Searching</v>
      </c>
      <c r="M2637" s="5" t="str">
        <f>IFERROR(__xludf.DUMMYFUNCTION("""COMPUTED_VALUE"""),"Mystery")</f>
        <v>Mystery</v>
      </c>
      <c r="N2637" s="5">
        <f>IFERROR(__xludf.DUMMYFUNCTION("""COMPUTED_VALUE"""),2.0)</f>
        <v>2</v>
      </c>
    </row>
    <row r="2638">
      <c r="J2638" s="5" t="str">
        <f>IFERROR(__xludf.DUMMYFUNCTION("""COMPUTED_VALUE"""),"879🤙🏼Searching🤙🏼Thriller🤙🏼3")</f>
        <v>879🤙🏼Searching🤙🏼Thriller🤙🏼3</v>
      </c>
      <c r="K2638" s="5">
        <f>IFERROR(__xludf.DUMMYFUNCTION("SPLiT(J2638, ""🤙🏼"",FALSE,FALSE)"),879.0)</f>
        <v>879</v>
      </c>
      <c r="L2638" s="5" t="str">
        <f>IFERROR(__xludf.DUMMYFUNCTION("""COMPUTED_VALUE"""),"Searching")</f>
        <v>Searching</v>
      </c>
      <c r="M2638" s="5" t="str">
        <f>IFERROR(__xludf.DUMMYFUNCTION("""COMPUTED_VALUE"""),"Thriller")</f>
        <v>Thriller</v>
      </c>
      <c r="N2638" s="5">
        <f>IFERROR(__xludf.DUMMYFUNCTION("""COMPUTED_VALUE"""),3.0)</f>
        <v>3</v>
      </c>
    </row>
    <row r="2639">
      <c r="J2639" s="5" t="str">
        <f>IFERROR(__xludf.DUMMYFUNCTION("""COMPUTED_VALUE"""),"880🤙🏼Once Upon a Time... in Hollywood🤙🏼Comedy🤙🏼1")</f>
        <v>880🤙🏼Once Upon a Time... in Hollywood🤙🏼Comedy🤙🏼1</v>
      </c>
      <c r="K2639" s="5">
        <f>IFERROR(__xludf.DUMMYFUNCTION("SPLiT(J2639, ""🤙🏼"",FALSE,FALSE)"),880.0)</f>
        <v>880</v>
      </c>
      <c r="L2639" s="5" t="str">
        <f>IFERROR(__xludf.DUMMYFUNCTION("""COMPUTED_VALUE"""),"Once Upon a Time... in Hollywood")</f>
        <v>Once Upon a Time... in Hollywood</v>
      </c>
      <c r="M2639" s="5" t="str">
        <f>IFERROR(__xludf.DUMMYFUNCTION("""COMPUTED_VALUE"""),"Comedy")</f>
        <v>Comedy</v>
      </c>
      <c r="N2639" s="5">
        <f>IFERROR(__xludf.DUMMYFUNCTION("""COMPUTED_VALUE"""),1.0)</f>
        <v>1</v>
      </c>
    </row>
    <row r="2640">
      <c r="J2640" s="5" t="str">
        <f>IFERROR(__xludf.DUMMYFUNCTION("""COMPUTED_VALUE"""),"880🤙🏼Once Upon a Time... in Hollywood🤙🏼Drama🤙🏼2")</f>
        <v>880🤙🏼Once Upon a Time... in Hollywood🤙🏼Drama🤙🏼2</v>
      </c>
      <c r="K2640" s="5">
        <f>IFERROR(__xludf.DUMMYFUNCTION("SPLiT(J2640, ""🤙🏼"",FALSE,FALSE)"),880.0)</f>
        <v>880</v>
      </c>
      <c r="L2640" s="5" t="str">
        <f>IFERROR(__xludf.DUMMYFUNCTION("""COMPUTED_VALUE"""),"Once Upon a Time... in Hollywood")</f>
        <v>Once Upon a Time... in Hollywood</v>
      </c>
      <c r="M2640" s="5" t="str">
        <f>IFERROR(__xludf.DUMMYFUNCTION("""COMPUTED_VALUE"""),"Drama")</f>
        <v>Drama</v>
      </c>
      <c r="N2640" s="5">
        <f>IFERROR(__xludf.DUMMYFUNCTION("""COMPUTED_VALUE"""),2.0)</f>
        <v>2</v>
      </c>
    </row>
    <row r="2641">
      <c r="J2641" s="5" t="str">
        <f>IFERROR(__xludf.DUMMYFUNCTION("""COMPUTED_VALUE"""),"880🤙🏼Once Upon a Time... in Hollywood🤙🏼🤙🏼3")</f>
        <v>880🤙🏼Once Upon a Time... in Hollywood🤙🏼🤙🏼3</v>
      </c>
      <c r="K2641" s="5">
        <f>IFERROR(__xludf.DUMMYFUNCTION("SPLiT(J2641, ""🤙🏼"",FALSE,FALSE)"),880.0)</f>
        <v>880</v>
      </c>
      <c r="L2641" s="5" t="str">
        <f>IFERROR(__xludf.DUMMYFUNCTION("""COMPUTED_VALUE"""),"Once Upon a Time... in Hollywood")</f>
        <v>Once Upon a Time... in Hollywood</v>
      </c>
      <c r="M2641" s="5"/>
      <c r="N2641" s="5">
        <f>IFERROR(__xludf.DUMMYFUNCTION("""COMPUTED_VALUE"""),3.0)</f>
        <v>3</v>
      </c>
    </row>
    <row r="2642">
      <c r="J2642" s="5" t="str">
        <f>IFERROR(__xludf.DUMMYFUNCTION("""COMPUTED_VALUE"""),"881🤙🏼Nelyubov🤙🏼Drama🤙🏼1")</f>
        <v>881🤙🏼Nelyubov🤙🏼Drama🤙🏼1</v>
      </c>
      <c r="K2642" s="5">
        <f>IFERROR(__xludf.DUMMYFUNCTION("SPLiT(J2642, ""🤙🏼"",FALSE,FALSE)"),881.0)</f>
        <v>881</v>
      </c>
      <c r="L2642" s="5" t="str">
        <f>IFERROR(__xludf.DUMMYFUNCTION("""COMPUTED_VALUE"""),"Nelyubov")</f>
        <v>Nelyubov</v>
      </c>
      <c r="M2642" s="5" t="str">
        <f>IFERROR(__xludf.DUMMYFUNCTION("""COMPUTED_VALUE"""),"Drama")</f>
        <v>Drama</v>
      </c>
      <c r="N2642" s="5">
        <f>IFERROR(__xludf.DUMMYFUNCTION("""COMPUTED_VALUE"""),1.0)</f>
        <v>1</v>
      </c>
    </row>
    <row r="2643">
      <c r="J2643" s="5" t="str">
        <f>IFERROR(__xludf.DUMMYFUNCTION("""COMPUTED_VALUE"""),"881🤙🏼Nelyubov🤙🏼🤙🏼2")</f>
        <v>881🤙🏼Nelyubov🤙🏼🤙🏼2</v>
      </c>
      <c r="K2643" s="5">
        <f>IFERROR(__xludf.DUMMYFUNCTION("SPLiT(J2643, ""🤙🏼"",FALSE,FALSE)"),881.0)</f>
        <v>881</v>
      </c>
      <c r="L2643" s="5" t="str">
        <f>IFERROR(__xludf.DUMMYFUNCTION("""COMPUTED_VALUE"""),"Nelyubov")</f>
        <v>Nelyubov</v>
      </c>
      <c r="M2643" s="5"/>
      <c r="N2643" s="5">
        <f>IFERROR(__xludf.DUMMYFUNCTION("""COMPUTED_VALUE"""),2.0)</f>
        <v>2</v>
      </c>
    </row>
    <row r="2644">
      <c r="J2644" s="5" t="str">
        <f>IFERROR(__xludf.DUMMYFUNCTION("""COMPUTED_VALUE"""),"881🤙🏼Nelyubov🤙🏼🤙🏼3")</f>
        <v>881🤙🏼Nelyubov🤙🏼🤙🏼3</v>
      </c>
      <c r="K2644" s="5">
        <f>IFERROR(__xludf.DUMMYFUNCTION("SPLiT(J2644, ""🤙🏼"",FALSE,FALSE)"),881.0)</f>
        <v>881</v>
      </c>
      <c r="L2644" s="5" t="str">
        <f>IFERROR(__xludf.DUMMYFUNCTION("""COMPUTED_VALUE"""),"Nelyubov")</f>
        <v>Nelyubov</v>
      </c>
      <c r="M2644" s="5"/>
      <c r="N2644" s="5">
        <f>IFERROR(__xludf.DUMMYFUNCTION("""COMPUTED_VALUE"""),3.0)</f>
        <v>3</v>
      </c>
    </row>
    <row r="2645">
      <c r="J2645" s="5" t="str">
        <f>IFERROR(__xludf.DUMMYFUNCTION("""COMPUTED_VALUE"""),"882🤙🏼The Florida Project🤙🏼Drama🤙🏼1")</f>
        <v>882🤙🏼The Florida Project🤙🏼Drama🤙🏼1</v>
      </c>
      <c r="K2645" s="5">
        <f>IFERROR(__xludf.DUMMYFUNCTION("SPLiT(J2645, ""🤙🏼"",FALSE,FALSE)"),882.0)</f>
        <v>882</v>
      </c>
      <c r="L2645" s="5" t="str">
        <f>IFERROR(__xludf.DUMMYFUNCTION("""COMPUTED_VALUE"""),"The Florida Project")</f>
        <v>The Florida Project</v>
      </c>
      <c r="M2645" s="5" t="str">
        <f>IFERROR(__xludf.DUMMYFUNCTION("""COMPUTED_VALUE"""),"Drama")</f>
        <v>Drama</v>
      </c>
      <c r="N2645" s="5">
        <f>IFERROR(__xludf.DUMMYFUNCTION("""COMPUTED_VALUE"""),1.0)</f>
        <v>1</v>
      </c>
    </row>
    <row r="2646">
      <c r="J2646" s="5" t="str">
        <f>IFERROR(__xludf.DUMMYFUNCTION("""COMPUTED_VALUE"""),"882🤙🏼The Florida Project🤙🏼🤙🏼2")</f>
        <v>882🤙🏼The Florida Project🤙🏼🤙🏼2</v>
      </c>
      <c r="K2646" s="5">
        <f>IFERROR(__xludf.DUMMYFUNCTION("SPLiT(J2646, ""🤙🏼"",FALSE,FALSE)"),882.0)</f>
        <v>882</v>
      </c>
      <c r="L2646" s="5" t="str">
        <f>IFERROR(__xludf.DUMMYFUNCTION("""COMPUTED_VALUE"""),"The Florida Project")</f>
        <v>The Florida Project</v>
      </c>
      <c r="M2646" s="5"/>
      <c r="N2646" s="5">
        <f>IFERROR(__xludf.DUMMYFUNCTION("""COMPUTED_VALUE"""),2.0)</f>
        <v>2</v>
      </c>
    </row>
    <row r="2647">
      <c r="J2647" s="5" t="str">
        <f>IFERROR(__xludf.DUMMYFUNCTION("""COMPUTED_VALUE"""),"882🤙🏼The Florida Project🤙🏼🤙🏼3")</f>
        <v>882🤙🏼The Florida Project🤙🏼🤙🏼3</v>
      </c>
      <c r="K2647" s="5">
        <f>IFERROR(__xludf.DUMMYFUNCTION("SPLiT(J2647, ""🤙🏼"",FALSE,FALSE)"),882.0)</f>
        <v>882</v>
      </c>
      <c r="L2647" s="5" t="str">
        <f>IFERROR(__xludf.DUMMYFUNCTION("""COMPUTED_VALUE"""),"The Florida Project")</f>
        <v>The Florida Project</v>
      </c>
      <c r="M2647" s="5"/>
      <c r="N2647" s="5">
        <f>IFERROR(__xludf.DUMMYFUNCTION("""COMPUTED_VALUE"""),3.0)</f>
        <v>3</v>
      </c>
    </row>
    <row r="2648">
      <c r="J2648" s="5" t="str">
        <f>IFERROR(__xludf.DUMMYFUNCTION("""COMPUTED_VALUE"""),"883🤙🏼Just Mercy🤙🏼Biography🤙🏼1")</f>
        <v>883🤙🏼Just Mercy🤙🏼Biography🤙🏼1</v>
      </c>
      <c r="K2648" s="5">
        <f>IFERROR(__xludf.DUMMYFUNCTION("SPLiT(J2648, ""🤙🏼"",FALSE,FALSE)"),883.0)</f>
        <v>883</v>
      </c>
      <c r="L2648" s="5" t="str">
        <f>IFERROR(__xludf.DUMMYFUNCTION("""COMPUTED_VALUE"""),"Just Mercy")</f>
        <v>Just Mercy</v>
      </c>
      <c r="M2648" s="5" t="str">
        <f>IFERROR(__xludf.DUMMYFUNCTION("""COMPUTED_VALUE"""),"Biography")</f>
        <v>Biography</v>
      </c>
      <c r="N2648" s="5">
        <f>IFERROR(__xludf.DUMMYFUNCTION("""COMPUTED_VALUE"""),1.0)</f>
        <v>1</v>
      </c>
    </row>
    <row r="2649">
      <c r="J2649" s="5" t="str">
        <f>IFERROR(__xludf.DUMMYFUNCTION("""COMPUTED_VALUE"""),"883🤙🏼Just Mercy🤙🏼Crime🤙🏼2")</f>
        <v>883🤙🏼Just Mercy🤙🏼Crime🤙🏼2</v>
      </c>
      <c r="K2649" s="5">
        <f>IFERROR(__xludf.DUMMYFUNCTION("SPLiT(J2649, ""🤙🏼"",FALSE,FALSE)"),883.0)</f>
        <v>883</v>
      </c>
      <c r="L2649" s="5" t="str">
        <f>IFERROR(__xludf.DUMMYFUNCTION("""COMPUTED_VALUE"""),"Just Mercy")</f>
        <v>Just Mercy</v>
      </c>
      <c r="M2649" s="5" t="str">
        <f>IFERROR(__xludf.DUMMYFUNCTION("""COMPUTED_VALUE"""),"Crime")</f>
        <v>Crime</v>
      </c>
      <c r="N2649" s="5">
        <f>IFERROR(__xludf.DUMMYFUNCTION("""COMPUTED_VALUE"""),2.0)</f>
        <v>2</v>
      </c>
    </row>
    <row r="2650">
      <c r="J2650" s="5" t="str">
        <f>IFERROR(__xludf.DUMMYFUNCTION("""COMPUTED_VALUE"""),"883🤙🏼Just Mercy🤙🏼Drama🤙🏼3")</f>
        <v>883🤙🏼Just Mercy🤙🏼Drama🤙🏼3</v>
      </c>
      <c r="K2650" s="5">
        <f>IFERROR(__xludf.DUMMYFUNCTION("SPLiT(J2650, ""🤙🏼"",FALSE,FALSE)"),883.0)</f>
        <v>883</v>
      </c>
      <c r="L2650" s="5" t="str">
        <f>IFERROR(__xludf.DUMMYFUNCTION("""COMPUTED_VALUE"""),"Just Mercy")</f>
        <v>Just Mercy</v>
      </c>
      <c r="M2650" s="5" t="str">
        <f>IFERROR(__xludf.DUMMYFUNCTION("""COMPUTED_VALUE"""),"Drama")</f>
        <v>Drama</v>
      </c>
      <c r="N2650" s="5">
        <f>IFERROR(__xludf.DUMMYFUNCTION("""COMPUTED_VALUE"""),3.0)</f>
        <v>3</v>
      </c>
    </row>
    <row r="2651">
      <c r="J2651" s="5" t="str">
        <f>IFERROR(__xludf.DUMMYFUNCTION("""COMPUTED_VALUE"""),"884🤙🏼Gifted🤙🏼Drama🤙🏼1")</f>
        <v>884🤙🏼Gifted🤙🏼Drama🤙🏼1</v>
      </c>
      <c r="K2651" s="5">
        <f>IFERROR(__xludf.DUMMYFUNCTION("SPLiT(J2651, ""🤙🏼"",FALSE,FALSE)"),884.0)</f>
        <v>884</v>
      </c>
      <c r="L2651" s="5" t="str">
        <f>IFERROR(__xludf.DUMMYFUNCTION("""COMPUTED_VALUE"""),"Gifted")</f>
        <v>Gifted</v>
      </c>
      <c r="M2651" s="5" t="str">
        <f>IFERROR(__xludf.DUMMYFUNCTION("""COMPUTED_VALUE"""),"Drama")</f>
        <v>Drama</v>
      </c>
      <c r="N2651" s="5">
        <f>IFERROR(__xludf.DUMMYFUNCTION("""COMPUTED_VALUE"""),1.0)</f>
        <v>1</v>
      </c>
    </row>
    <row r="2652">
      <c r="J2652" s="5" t="str">
        <f>IFERROR(__xludf.DUMMYFUNCTION("""COMPUTED_VALUE"""),"884🤙🏼Gifted🤙🏼🤙🏼2")</f>
        <v>884🤙🏼Gifted🤙🏼🤙🏼2</v>
      </c>
      <c r="K2652" s="5">
        <f>IFERROR(__xludf.DUMMYFUNCTION("SPLiT(J2652, ""🤙🏼"",FALSE,FALSE)"),884.0)</f>
        <v>884</v>
      </c>
      <c r="L2652" s="5" t="str">
        <f>IFERROR(__xludf.DUMMYFUNCTION("""COMPUTED_VALUE"""),"Gifted")</f>
        <v>Gifted</v>
      </c>
      <c r="M2652" s="5"/>
      <c r="N2652" s="5">
        <f>IFERROR(__xludf.DUMMYFUNCTION("""COMPUTED_VALUE"""),2.0)</f>
        <v>2</v>
      </c>
    </row>
    <row r="2653">
      <c r="J2653" s="5" t="str">
        <f>IFERROR(__xludf.DUMMYFUNCTION("""COMPUTED_VALUE"""),"884🤙🏼Gifted🤙🏼🤙🏼3")</f>
        <v>884🤙🏼Gifted🤙🏼🤙🏼3</v>
      </c>
      <c r="K2653" s="5">
        <f>IFERROR(__xludf.DUMMYFUNCTION("SPLiT(J2653, ""🤙🏼"",FALSE,FALSE)"),884.0)</f>
        <v>884</v>
      </c>
      <c r="L2653" s="5" t="str">
        <f>IFERROR(__xludf.DUMMYFUNCTION("""COMPUTED_VALUE"""),"Gifted")</f>
        <v>Gifted</v>
      </c>
      <c r="M2653" s="5"/>
      <c r="N2653" s="5">
        <f>IFERROR(__xludf.DUMMYFUNCTION("""COMPUTED_VALUE"""),3.0)</f>
        <v>3</v>
      </c>
    </row>
    <row r="2654">
      <c r="J2654" s="5" t="str">
        <f>IFERROR(__xludf.DUMMYFUNCTION("""COMPUTED_VALUE"""),"885🤙🏼The Peanut Butter Falcon🤙🏼Adventure🤙🏼1")</f>
        <v>885🤙🏼The Peanut Butter Falcon🤙🏼Adventure🤙🏼1</v>
      </c>
      <c r="K2654" s="5">
        <f>IFERROR(__xludf.DUMMYFUNCTION("SPLiT(J2654, ""🤙🏼"",FALSE,FALSE)"),885.0)</f>
        <v>885</v>
      </c>
      <c r="L2654" s="5" t="str">
        <f>IFERROR(__xludf.DUMMYFUNCTION("""COMPUTED_VALUE"""),"The Peanut Butter Falcon")</f>
        <v>The Peanut Butter Falcon</v>
      </c>
      <c r="M2654" s="5" t="str">
        <f>IFERROR(__xludf.DUMMYFUNCTION("""COMPUTED_VALUE"""),"Adventure")</f>
        <v>Adventure</v>
      </c>
      <c r="N2654" s="5">
        <f>IFERROR(__xludf.DUMMYFUNCTION("""COMPUTED_VALUE"""),1.0)</f>
        <v>1</v>
      </c>
    </row>
    <row r="2655">
      <c r="J2655" s="5" t="str">
        <f>IFERROR(__xludf.DUMMYFUNCTION("""COMPUTED_VALUE"""),"885🤙🏼The Peanut Butter Falcon🤙🏼Comedy🤙🏼2")</f>
        <v>885🤙🏼The Peanut Butter Falcon🤙🏼Comedy🤙🏼2</v>
      </c>
      <c r="K2655" s="5">
        <f>IFERROR(__xludf.DUMMYFUNCTION("SPLiT(J2655, ""🤙🏼"",FALSE,FALSE)"),885.0)</f>
        <v>885</v>
      </c>
      <c r="L2655" s="5" t="str">
        <f>IFERROR(__xludf.DUMMYFUNCTION("""COMPUTED_VALUE"""),"The Peanut Butter Falcon")</f>
        <v>The Peanut Butter Falcon</v>
      </c>
      <c r="M2655" s="5" t="str">
        <f>IFERROR(__xludf.DUMMYFUNCTION("""COMPUTED_VALUE"""),"Comedy")</f>
        <v>Comedy</v>
      </c>
      <c r="N2655" s="5">
        <f>IFERROR(__xludf.DUMMYFUNCTION("""COMPUTED_VALUE"""),2.0)</f>
        <v>2</v>
      </c>
    </row>
    <row r="2656">
      <c r="J2656" s="5" t="str">
        <f>IFERROR(__xludf.DUMMYFUNCTION("""COMPUTED_VALUE"""),"885🤙🏼The Peanut Butter Falcon🤙🏼Drama🤙🏼3")</f>
        <v>885🤙🏼The Peanut Butter Falcon🤙🏼Drama🤙🏼3</v>
      </c>
      <c r="K2656" s="5">
        <f>IFERROR(__xludf.DUMMYFUNCTION("SPLiT(J2656, ""🤙🏼"",FALSE,FALSE)"),885.0)</f>
        <v>885</v>
      </c>
      <c r="L2656" s="5" t="str">
        <f>IFERROR(__xludf.DUMMYFUNCTION("""COMPUTED_VALUE"""),"The Peanut Butter Falcon")</f>
        <v>The Peanut Butter Falcon</v>
      </c>
      <c r="M2656" s="5" t="str">
        <f>IFERROR(__xludf.DUMMYFUNCTION("""COMPUTED_VALUE"""),"Drama")</f>
        <v>Drama</v>
      </c>
      <c r="N2656" s="5">
        <f>IFERROR(__xludf.DUMMYFUNCTION("""COMPUTED_VALUE"""),3.0)</f>
        <v>3</v>
      </c>
    </row>
    <row r="2657">
      <c r="J2657" s="5" t="str">
        <f>IFERROR(__xludf.DUMMYFUNCTION("""COMPUTED_VALUE"""),"886🤙🏼Victoria🤙🏼Crime🤙🏼1")</f>
        <v>886🤙🏼Victoria🤙🏼Crime🤙🏼1</v>
      </c>
      <c r="K2657" s="5">
        <f>IFERROR(__xludf.DUMMYFUNCTION("SPLiT(J2657, ""🤙🏼"",FALSE,FALSE)"),886.0)</f>
        <v>886</v>
      </c>
      <c r="L2657" s="5" t="str">
        <f>IFERROR(__xludf.DUMMYFUNCTION("""COMPUTED_VALUE"""),"Victoria")</f>
        <v>Victoria</v>
      </c>
      <c r="M2657" s="5" t="str">
        <f>IFERROR(__xludf.DUMMYFUNCTION("""COMPUTED_VALUE"""),"Crime")</f>
        <v>Crime</v>
      </c>
      <c r="N2657" s="5">
        <f>IFERROR(__xludf.DUMMYFUNCTION("""COMPUTED_VALUE"""),1.0)</f>
        <v>1</v>
      </c>
    </row>
    <row r="2658">
      <c r="J2658" s="5" t="str">
        <f>IFERROR(__xludf.DUMMYFUNCTION("""COMPUTED_VALUE"""),"886🤙🏼Victoria🤙🏼Drama🤙🏼2")</f>
        <v>886🤙🏼Victoria🤙🏼Drama🤙🏼2</v>
      </c>
      <c r="K2658" s="5">
        <f>IFERROR(__xludf.DUMMYFUNCTION("SPLiT(J2658, ""🤙🏼"",FALSE,FALSE)"),886.0)</f>
        <v>886</v>
      </c>
      <c r="L2658" s="5" t="str">
        <f>IFERROR(__xludf.DUMMYFUNCTION("""COMPUTED_VALUE"""),"Victoria")</f>
        <v>Victoria</v>
      </c>
      <c r="M2658" s="5" t="str">
        <f>IFERROR(__xludf.DUMMYFUNCTION("""COMPUTED_VALUE"""),"Drama")</f>
        <v>Drama</v>
      </c>
      <c r="N2658" s="5">
        <f>IFERROR(__xludf.DUMMYFUNCTION("""COMPUTED_VALUE"""),2.0)</f>
        <v>2</v>
      </c>
    </row>
    <row r="2659">
      <c r="J2659" s="5" t="str">
        <f>IFERROR(__xludf.DUMMYFUNCTION("""COMPUTED_VALUE"""),"886🤙🏼Victoria🤙🏼Romance🤙🏼3")</f>
        <v>886🤙🏼Victoria🤙🏼Romance🤙🏼3</v>
      </c>
      <c r="K2659" s="5">
        <f>IFERROR(__xludf.DUMMYFUNCTION("SPLiT(J2659, ""🤙🏼"",FALSE,FALSE)"),886.0)</f>
        <v>886</v>
      </c>
      <c r="L2659" s="5" t="str">
        <f>IFERROR(__xludf.DUMMYFUNCTION("""COMPUTED_VALUE"""),"Victoria")</f>
        <v>Victoria</v>
      </c>
      <c r="M2659" s="5" t="str">
        <f>IFERROR(__xludf.DUMMYFUNCTION("""COMPUTED_VALUE"""),"Romance")</f>
        <v>Romance</v>
      </c>
      <c r="N2659" s="5">
        <f>IFERROR(__xludf.DUMMYFUNCTION("""COMPUTED_VALUE"""),3.0)</f>
        <v>3</v>
      </c>
    </row>
    <row r="2660">
      <c r="J2660" s="5" t="str">
        <f>IFERROR(__xludf.DUMMYFUNCTION("""COMPUTED_VALUE"""),"887🤙🏼Mustang🤙🏼Drama🤙🏼1")</f>
        <v>887🤙🏼Mustang🤙🏼Drama🤙🏼1</v>
      </c>
      <c r="K2660" s="5">
        <f>IFERROR(__xludf.DUMMYFUNCTION("SPLiT(J2660, ""🤙🏼"",FALSE,FALSE)"),887.0)</f>
        <v>887</v>
      </c>
      <c r="L2660" s="5" t="str">
        <f>IFERROR(__xludf.DUMMYFUNCTION("""COMPUTED_VALUE"""),"Mustang")</f>
        <v>Mustang</v>
      </c>
      <c r="M2660" s="5" t="str">
        <f>IFERROR(__xludf.DUMMYFUNCTION("""COMPUTED_VALUE"""),"Drama")</f>
        <v>Drama</v>
      </c>
      <c r="N2660" s="5">
        <f>IFERROR(__xludf.DUMMYFUNCTION("""COMPUTED_VALUE"""),1.0)</f>
        <v>1</v>
      </c>
    </row>
    <row r="2661">
      <c r="J2661" s="5" t="str">
        <f>IFERROR(__xludf.DUMMYFUNCTION("""COMPUTED_VALUE"""),"887🤙🏼Mustang🤙🏼🤙🏼2")</f>
        <v>887🤙🏼Mustang🤙🏼🤙🏼2</v>
      </c>
      <c r="K2661" s="5">
        <f>IFERROR(__xludf.DUMMYFUNCTION("SPLiT(J2661, ""🤙🏼"",FALSE,FALSE)"),887.0)</f>
        <v>887</v>
      </c>
      <c r="L2661" s="5" t="str">
        <f>IFERROR(__xludf.DUMMYFUNCTION("""COMPUTED_VALUE"""),"Mustang")</f>
        <v>Mustang</v>
      </c>
      <c r="M2661" s="5"/>
      <c r="N2661" s="5">
        <f>IFERROR(__xludf.DUMMYFUNCTION("""COMPUTED_VALUE"""),2.0)</f>
        <v>2</v>
      </c>
    </row>
    <row r="2662">
      <c r="J2662" s="5" t="str">
        <f>IFERROR(__xludf.DUMMYFUNCTION("""COMPUTED_VALUE"""),"887🤙🏼Mustang🤙🏼🤙🏼3")</f>
        <v>887🤙🏼Mustang🤙🏼🤙🏼3</v>
      </c>
      <c r="K2662" s="5">
        <f>IFERROR(__xludf.DUMMYFUNCTION("SPLiT(J2662, ""🤙🏼"",FALSE,FALSE)"),887.0)</f>
        <v>887</v>
      </c>
      <c r="L2662" s="5" t="str">
        <f>IFERROR(__xludf.DUMMYFUNCTION("""COMPUTED_VALUE"""),"Mustang")</f>
        <v>Mustang</v>
      </c>
      <c r="M2662" s="5"/>
      <c r="N2662" s="5">
        <f>IFERROR(__xludf.DUMMYFUNCTION("""COMPUTED_VALUE"""),3.0)</f>
        <v>3</v>
      </c>
    </row>
    <row r="2663">
      <c r="J2663" s="5" t="str">
        <f>IFERROR(__xludf.DUMMYFUNCTION("""COMPUTED_VALUE"""),"888🤙🏼Guardians of the Galaxy Vol. 2🤙🏼Action🤙🏼1")</f>
        <v>888🤙🏼Guardians of the Galaxy Vol. 2🤙🏼Action🤙🏼1</v>
      </c>
      <c r="K2663" s="5">
        <f>IFERROR(__xludf.DUMMYFUNCTION("SPLiT(J2663, ""🤙🏼"",FALSE,FALSE)"),888.0)</f>
        <v>888</v>
      </c>
      <c r="L2663" s="5" t="str">
        <f>IFERROR(__xludf.DUMMYFUNCTION("""COMPUTED_VALUE"""),"Guardians of the Galaxy Vol. 2")</f>
        <v>Guardians of the Galaxy Vol. 2</v>
      </c>
      <c r="M2663" s="5" t="str">
        <f>IFERROR(__xludf.DUMMYFUNCTION("""COMPUTED_VALUE"""),"Action")</f>
        <v>Action</v>
      </c>
      <c r="N2663" s="5">
        <f>IFERROR(__xludf.DUMMYFUNCTION("""COMPUTED_VALUE"""),1.0)</f>
        <v>1</v>
      </c>
    </row>
    <row r="2664">
      <c r="J2664" s="5" t="str">
        <f>IFERROR(__xludf.DUMMYFUNCTION("""COMPUTED_VALUE"""),"888🤙🏼Guardians of the Galaxy Vol. 2🤙🏼Adventure🤙🏼2")</f>
        <v>888🤙🏼Guardians of the Galaxy Vol. 2🤙🏼Adventure🤙🏼2</v>
      </c>
      <c r="K2664" s="5">
        <f>IFERROR(__xludf.DUMMYFUNCTION("SPLiT(J2664, ""🤙🏼"",FALSE,FALSE)"),888.0)</f>
        <v>888</v>
      </c>
      <c r="L2664" s="5" t="str">
        <f>IFERROR(__xludf.DUMMYFUNCTION("""COMPUTED_VALUE"""),"Guardians of the Galaxy Vol. 2")</f>
        <v>Guardians of the Galaxy Vol. 2</v>
      </c>
      <c r="M2664" s="5" t="str">
        <f>IFERROR(__xludf.DUMMYFUNCTION("""COMPUTED_VALUE"""),"Adventure")</f>
        <v>Adventure</v>
      </c>
      <c r="N2664" s="5">
        <f>IFERROR(__xludf.DUMMYFUNCTION("""COMPUTED_VALUE"""),2.0)</f>
        <v>2</v>
      </c>
    </row>
    <row r="2665">
      <c r="J2665" s="5" t="str">
        <f>IFERROR(__xludf.DUMMYFUNCTION("""COMPUTED_VALUE"""),"888🤙🏼Guardians of the Galaxy Vol. 2🤙🏼Comedy🤙🏼3")</f>
        <v>888🤙🏼Guardians of the Galaxy Vol. 2🤙🏼Comedy🤙🏼3</v>
      </c>
      <c r="K2665" s="5">
        <f>IFERROR(__xludf.DUMMYFUNCTION("SPLiT(J2665, ""🤙🏼"",FALSE,FALSE)"),888.0)</f>
        <v>888</v>
      </c>
      <c r="L2665" s="5" t="str">
        <f>IFERROR(__xludf.DUMMYFUNCTION("""COMPUTED_VALUE"""),"Guardians of the Galaxy Vol. 2")</f>
        <v>Guardians of the Galaxy Vol. 2</v>
      </c>
      <c r="M2665" s="5" t="str">
        <f>IFERROR(__xludf.DUMMYFUNCTION("""COMPUTED_VALUE"""),"Comedy")</f>
        <v>Comedy</v>
      </c>
      <c r="N2665" s="5">
        <f>IFERROR(__xludf.DUMMYFUNCTION("""COMPUTED_VALUE"""),3.0)</f>
        <v>3</v>
      </c>
    </row>
    <row r="2666">
      <c r="J2666" s="5" t="str">
        <f>IFERROR(__xludf.DUMMYFUNCTION("""COMPUTED_VALUE"""),"889🤙🏼Baby Driver🤙🏼Action🤙🏼1")</f>
        <v>889🤙🏼Baby Driver🤙🏼Action🤙🏼1</v>
      </c>
      <c r="K2666" s="5">
        <f>IFERROR(__xludf.DUMMYFUNCTION("SPLiT(J2666, ""🤙🏼"",FALSE,FALSE)"),889.0)</f>
        <v>889</v>
      </c>
      <c r="L2666" s="5" t="str">
        <f>IFERROR(__xludf.DUMMYFUNCTION("""COMPUTED_VALUE"""),"Baby Driver")</f>
        <v>Baby Driver</v>
      </c>
      <c r="M2666" s="5" t="str">
        <f>IFERROR(__xludf.DUMMYFUNCTION("""COMPUTED_VALUE"""),"Action")</f>
        <v>Action</v>
      </c>
      <c r="N2666" s="5">
        <f>IFERROR(__xludf.DUMMYFUNCTION("""COMPUTED_VALUE"""),1.0)</f>
        <v>1</v>
      </c>
    </row>
    <row r="2667">
      <c r="J2667" s="5" t="str">
        <f>IFERROR(__xludf.DUMMYFUNCTION("""COMPUTED_VALUE"""),"889🤙🏼Baby Driver🤙🏼Crime🤙🏼2")</f>
        <v>889🤙🏼Baby Driver🤙🏼Crime🤙🏼2</v>
      </c>
      <c r="K2667" s="5">
        <f>IFERROR(__xludf.DUMMYFUNCTION("SPLiT(J2667, ""🤙🏼"",FALSE,FALSE)"),889.0)</f>
        <v>889</v>
      </c>
      <c r="L2667" s="5" t="str">
        <f>IFERROR(__xludf.DUMMYFUNCTION("""COMPUTED_VALUE"""),"Baby Driver")</f>
        <v>Baby Driver</v>
      </c>
      <c r="M2667" s="5" t="str">
        <f>IFERROR(__xludf.DUMMYFUNCTION("""COMPUTED_VALUE"""),"Crime")</f>
        <v>Crime</v>
      </c>
      <c r="N2667" s="5">
        <f>IFERROR(__xludf.DUMMYFUNCTION("""COMPUTED_VALUE"""),2.0)</f>
        <v>2</v>
      </c>
    </row>
    <row r="2668">
      <c r="J2668" s="5" t="str">
        <f>IFERROR(__xludf.DUMMYFUNCTION("""COMPUTED_VALUE"""),"889🤙🏼Baby Driver🤙🏼Drama🤙🏼3")</f>
        <v>889🤙🏼Baby Driver🤙🏼Drama🤙🏼3</v>
      </c>
      <c r="K2668" s="5">
        <f>IFERROR(__xludf.DUMMYFUNCTION("SPLiT(J2668, ""🤙🏼"",FALSE,FALSE)"),889.0)</f>
        <v>889</v>
      </c>
      <c r="L2668" s="5" t="str">
        <f>IFERROR(__xludf.DUMMYFUNCTION("""COMPUTED_VALUE"""),"Baby Driver")</f>
        <v>Baby Driver</v>
      </c>
      <c r="M2668" s="5" t="str">
        <f>IFERROR(__xludf.DUMMYFUNCTION("""COMPUTED_VALUE"""),"Drama")</f>
        <v>Drama</v>
      </c>
      <c r="N2668" s="5">
        <f>IFERROR(__xludf.DUMMYFUNCTION("""COMPUTED_VALUE"""),3.0)</f>
        <v>3</v>
      </c>
    </row>
    <row r="2669">
      <c r="J2669" s="5" t="str">
        <f>IFERROR(__xludf.DUMMYFUNCTION("""COMPUTED_VALUE"""),"890🤙🏼Only the Brave🤙🏼Action🤙🏼1")</f>
        <v>890🤙🏼Only the Brave🤙🏼Action🤙🏼1</v>
      </c>
      <c r="K2669" s="5">
        <f>IFERROR(__xludf.DUMMYFUNCTION("SPLiT(J2669, ""🤙🏼"",FALSE,FALSE)"),890.0)</f>
        <v>890</v>
      </c>
      <c r="L2669" s="5" t="str">
        <f>IFERROR(__xludf.DUMMYFUNCTION("""COMPUTED_VALUE"""),"Only the Brave")</f>
        <v>Only the Brave</v>
      </c>
      <c r="M2669" s="5" t="str">
        <f>IFERROR(__xludf.DUMMYFUNCTION("""COMPUTED_VALUE"""),"Action")</f>
        <v>Action</v>
      </c>
      <c r="N2669" s="5">
        <f>IFERROR(__xludf.DUMMYFUNCTION("""COMPUTED_VALUE"""),1.0)</f>
        <v>1</v>
      </c>
    </row>
    <row r="2670">
      <c r="J2670" s="5" t="str">
        <f>IFERROR(__xludf.DUMMYFUNCTION("""COMPUTED_VALUE"""),"890🤙🏼Only the Brave🤙🏼Biography🤙🏼2")</f>
        <v>890🤙🏼Only the Brave🤙🏼Biography🤙🏼2</v>
      </c>
      <c r="K2670" s="5">
        <f>IFERROR(__xludf.DUMMYFUNCTION("SPLiT(J2670, ""🤙🏼"",FALSE,FALSE)"),890.0)</f>
        <v>890</v>
      </c>
      <c r="L2670" s="5" t="str">
        <f>IFERROR(__xludf.DUMMYFUNCTION("""COMPUTED_VALUE"""),"Only the Brave")</f>
        <v>Only the Brave</v>
      </c>
      <c r="M2670" s="5" t="str">
        <f>IFERROR(__xludf.DUMMYFUNCTION("""COMPUTED_VALUE"""),"Biography")</f>
        <v>Biography</v>
      </c>
      <c r="N2670" s="5">
        <f>IFERROR(__xludf.DUMMYFUNCTION("""COMPUTED_VALUE"""),2.0)</f>
        <v>2</v>
      </c>
    </row>
    <row r="2671">
      <c r="J2671" s="5" t="str">
        <f>IFERROR(__xludf.DUMMYFUNCTION("""COMPUTED_VALUE"""),"890🤙🏼Only the Brave🤙🏼Drama🤙🏼3")</f>
        <v>890🤙🏼Only the Brave🤙🏼Drama🤙🏼3</v>
      </c>
      <c r="K2671" s="5">
        <f>IFERROR(__xludf.DUMMYFUNCTION("SPLiT(J2671, ""🤙🏼"",FALSE,FALSE)"),890.0)</f>
        <v>890</v>
      </c>
      <c r="L2671" s="5" t="str">
        <f>IFERROR(__xludf.DUMMYFUNCTION("""COMPUTED_VALUE"""),"Only the Brave")</f>
        <v>Only the Brave</v>
      </c>
      <c r="M2671" s="5" t="str">
        <f>IFERROR(__xludf.DUMMYFUNCTION("""COMPUTED_VALUE"""),"Drama")</f>
        <v>Drama</v>
      </c>
      <c r="N2671" s="5">
        <f>IFERROR(__xludf.DUMMYFUNCTION("""COMPUTED_VALUE"""),3.0)</f>
        <v>3</v>
      </c>
    </row>
    <row r="2672">
      <c r="J2672" s="5" t="str">
        <f>IFERROR(__xludf.DUMMYFUNCTION("""COMPUTED_VALUE"""),"891🤙🏼Bridge of Spies🤙🏼Drama🤙🏼1")</f>
        <v>891🤙🏼Bridge of Spies🤙🏼Drama🤙🏼1</v>
      </c>
      <c r="K2672" s="5">
        <f>IFERROR(__xludf.DUMMYFUNCTION("SPLiT(J2672, ""🤙🏼"",FALSE,FALSE)"),891.0)</f>
        <v>891</v>
      </c>
      <c r="L2672" s="5" t="str">
        <f>IFERROR(__xludf.DUMMYFUNCTION("""COMPUTED_VALUE"""),"Bridge of Spies")</f>
        <v>Bridge of Spies</v>
      </c>
      <c r="M2672" s="5" t="str">
        <f>IFERROR(__xludf.DUMMYFUNCTION("""COMPUTED_VALUE"""),"Drama")</f>
        <v>Drama</v>
      </c>
      <c r="N2672" s="5">
        <f>IFERROR(__xludf.DUMMYFUNCTION("""COMPUTED_VALUE"""),1.0)</f>
        <v>1</v>
      </c>
    </row>
    <row r="2673">
      <c r="J2673" s="5" t="str">
        <f>IFERROR(__xludf.DUMMYFUNCTION("""COMPUTED_VALUE"""),"891🤙🏼Bridge of Spies🤙🏼History🤙🏼2")</f>
        <v>891🤙🏼Bridge of Spies🤙🏼History🤙🏼2</v>
      </c>
      <c r="K2673" s="5">
        <f>IFERROR(__xludf.DUMMYFUNCTION("SPLiT(J2673, ""🤙🏼"",FALSE,FALSE)"),891.0)</f>
        <v>891</v>
      </c>
      <c r="L2673" s="5" t="str">
        <f>IFERROR(__xludf.DUMMYFUNCTION("""COMPUTED_VALUE"""),"Bridge of Spies")</f>
        <v>Bridge of Spies</v>
      </c>
      <c r="M2673" s="5" t="str">
        <f>IFERROR(__xludf.DUMMYFUNCTION("""COMPUTED_VALUE"""),"History")</f>
        <v>History</v>
      </c>
      <c r="N2673" s="5">
        <f>IFERROR(__xludf.DUMMYFUNCTION("""COMPUTED_VALUE"""),2.0)</f>
        <v>2</v>
      </c>
    </row>
    <row r="2674">
      <c r="J2674" s="5" t="str">
        <f>IFERROR(__xludf.DUMMYFUNCTION("""COMPUTED_VALUE"""),"891🤙🏼Bridge of Spies🤙🏼Thriller🤙🏼3")</f>
        <v>891🤙🏼Bridge of Spies🤙🏼Thriller🤙🏼3</v>
      </c>
      <c r="K2674" s="5">
        <f>IFERROR(__xludf.DUMMYFUNCTION("SPLiT(J2674, ""🤙🏼"",FALSE,FALSE)"),891.0)</f>
        <v>891</v>
      </c>
      <c r="L2674" s="5" t="str">
        <f>IFERROR(__xludf.DUMMYFUNCTION("""COMPUTED_VALUE"""),"Bridge of Spies")</f>
        <v>Bridge of Spies</v>
      </c>
      <c r="M2674" s="5" t="str">
        <f>IFERROR(__xludf.DUMMYFUNCTION("""COMPUTED_VALUE"""),"Thriller")</f>
        <v>Thriller</v>
      </c>
      <c r="N2674" s="5">
        <f>IFERROR(__xludf.DUMMYFUNCTION("""COMPUTED_VALUE"""),3.0)</f>
        <v>3</v>
      </c>
    </row>
    <row r="2675">
      <c r="J2675" s="5" t="str">
        <f>IFERROR(__xludf.DUMMYFUNCTION("""COMPUTED_VALUE"""),"892🤙🏼Incredibles 2🤙🏼Animation🤙🏼1")</f>
        <v>892🤙🏼Incredibles 2🤙🏼Animation🤙🏼1</v>
      </c>
      <c r="K2675" s="5">
        <f>IFERROR(__xludf.DUMMYFUNCTION("SPLiT(J2675, ""🤙🏼"",FALSE,FALSE)"),892.0)</f>
        <v>892</v>
      </c>
      <c r="L2675" s="5" t="str">
        <f>IFERROR(__xludf.DUMMYFUNCTION("""COMPUTED_VALUE"""),"Incredibles 2")</f>
        <v>Incredibles 2</v>
      </c>
      <c r="M2675" s="5" t="str">
        <f>IFERROR(__xludf.DUMMYFUNCTION("""COMPUTED_VALUE"""),"Animation")</f>
        <v>Animation</v>
      </c>
      <c r="N2675" s="5">
        <f>IFERROR(__xludf.DUMMYFUNCTION("""COMPUTED_VALUE"""),1.0)</f>
        <v>1</v>
      </c>
    </row>
    <row r="2676">
      <c r="J2676" s="5" t="str">
        <f>IFERROR(__xludf.DUMMYFUNCTION("""COMPUTED_VALUE"""),"892🤙🏼Incredibles 2🤙🏼Action🤙🏼2")</f>
        <v>892🤙🏼Incredibles 2🤙🏼Action🤙🏼2</v>
      </c>
      <c r="K2676" s="5">
        <f>IFERROR(__xludf.DUMMYFUNCTION("SPLiT(J2676, ""🤙🏼"",FALSE,FALSE)"),892.0)</f>
        <v>892</v>
      </c>
      <c r="L2676" s="5" t="str">
        <f>IFERROR(__xludf.DUMMYFUNCTION("""COMPUTED_VALUE"""),"Incredibles 2")</f>
        <v>Incredibles 2</v>
      </c>
      <c r="M2676" s="5" t="str">
        <f>IFERROR(__xludf.DUMMYFUNCTION("""COMPUTED_VALUE"""),"Action")</f>
        <v>Action</v>
      </c>
      <c r="N2676" s="5">
        <f>IFERROR(__xludf.DUMMYFUNCTION("""COMPUTED_VALUE"""),2.0)</f>
        <v>2</v>
      </c>
    </row>
    <row r="2677">
      <c r="J2677" s="5" t="str">
        <f>IFERROR(__xludf.DUMMYFUNCTION("""COMPUTED_VALUE"""),"892🤙🏼Incredibles 2🤙🏼Adventure🤙🏼3")</f>
        <v>892🤙🏼Incredibles 2🤙🏼Adventure🤙🏼3</v>
      </c>
      <c r="K2677" s="5">
        <f>IFERROR(__xludf.DUMMYFUNCTION("SPLiT(J2677, ""🤙🏼"",FALSE,FALSE)"),892.0)</f>
        <v>892</v>
      </c>
      <c r="L2677" s="5" t="str">
        <f>IFERROR(__xludf.DUMMYFUNCTION("""COMPUTED_VALUE"""),"Incredibles 2")</f>
        <v>Incredibles 2</v>
      </c>
      <c r="M2677" s="5" t="str">
        <f>IFERROR(__xludf.DUMMYFUNCTION("""COMPUTED_VALUE"""),"Adventure")</f>
        <v>Adventure</v>
      </c>
      <c r="N2677" s="5">
        <f>IFERROR(__xludf.DUMMYFUNCTION("""COMPUTED_VALUE"""),3.0)</f>
        <v>3</v>
      </c>
    </row>
    <row r="2678">
      <c r="J2678" s="5" t="str">
        <f>IFERROR(__xludf.DUMMYFUNCTION("""COMPUTED_VALUE"""),"893🤙🏼Moana🤙🏼Animation🤙🏼1")</f>
        <v>893🤙🏼Moana🤙🏼Animation🤙🏼1</v>
      </c>
      <c r="K2678" s="5">
        <f>IFERROR(__xludf.DUMMYFUNCTION("SPLiT(J2678, ""🤙🏼"",FALSE,FALSE)"),893.0)</f>
        <v>893</v>
      </c>
      <c r="L2678" s="5" t="str">
        <f>IFERROR(__xludf.DUMMYFUNCTION("""COMPUTED_VALUE"""),"Moana")</f>
        <v>Moana</v>
      </c>
      <c r="M2678" s="5" t="str">
        <f>IFERROR(__xludf.DUMMYFUNCTION("""COMPUTED_VALUE"""),"Animation")</f>
        <v>Animation</v>
      </c>
      <c r="N2678" s="5">
        <f>IFERROR(__xludf.DUMMYFUNCTION("""COMPUTED_VALUE"""),1.0)</f>
        <v>1</v>
      </c>
    </row>
    <row r="2679">
      <c r="J2679" s="5" t="str">
        <f>IFERROR(__xludf.DUMMYFUNCTION("""COMPUTED_VALUE"""),"893🤙🏼Moana🤙🏼Adventure🤙🏼2")</f>
        <v>893🤙🏼Moana🤙🏼Adventure🤙🏼2</v>
      </c>
      <c r="K2679" s="5">
        <f>IFERROR(__xludf.DUMMYFUNCTION("SPLiT(J2679, ""🤙🏼"",FALSE,FALSE)"),893.0)</f>
        <v>893</v>
      </c>
      <c r="L2679" s="5" t="str">
        <f>IFERROR(__xludf.DUMMYFUNCTION("""COMPUTED_VALUE"""),"Moana")</f>
        <v>Moana</v>
      </c>
      <c r="M2679" s="5" t="str">
        <f>IFERROR(__xludf.DUMMYFUNCTION("""COMPUTED_VALUE"""),"Adventure")</f>
        <v>Adventure</v>
      </c>
      <c r="N2679" s="5">
        <f>IFERROR(__xludf.DUMMYFUNCTION("""COMPUTED_VALUE"""),2.0)</f>
        <v>2</v>
      </c>
    </row>
    <row r="2680">
      <c r="J2680" s="5" t="str">
        <f>IFERROR(__xludf.DUMMYFUNCTION("""COMPUTED_VALUE"""),"893🤙🏼Moana🤙🏼Comedy🤙🏼3")</f>
        <v>893🤙🏼Moana🤙🏼Comedy🤙🏼3</v>
      </c>
      <c r="K2680" s="5">
        <f>IFERROR(__xludf.DUMMYFUNCTION("SPLiT(J2680, ""🤙🏼"",FALSE,FALSE)"),893.0)</f>
        <v>893</v>
      </c>
      <c r="L2680" s="5" t="str">
        <f>IFERROR(__xludf.DUMMYFUNCTION("""COMPUTED_VALUE"""),"Moana")</f>
        <v>Moana</v>
      </c>
      <c r="M2680" s="5" t="str">
        <f>IFERROR(__xludf.DUMMYFUNCTION("""COMPUTED_VALUE"""),"Comedy")</f>
        <v>Comedy</v>
      </c>
      <c r="N2680" s="5">
        <f>IFERROR(__xludf.DUMMYFUNCTION("""COMPUTED_VALUE"""),3.0)</f>
        <v>3</v>
      </c>
    </row>
    <row r="2681">
      <c r="J2681" s="5" t="str">
        <f>IFERROR(__xludf.DUMMYFUNCTION("""COMPUTED_VALUE"""),"894🤙🏼Sicario🤙🏼Action🤙🏼1")</f>
        <v>894🤙🏼Sicario🤙🏼Action🤙🏼1</v>
      </c>
      <c r="K2681" s="5">
        <f>IFERROR(__xludf.DUMMYFUNCTION("SPLiT(J2681, ""🤙🏼"",FALSE,FALSE)"),894.0)</f>
        <v>894</v>
      </c>
      <c r="L2681" s="5" t="str">
        <f>IFERROR(__xludf.DUMMYFUNCTION("""COMPUTED_VALUE"""),"Sicario")</f>
        <v>Sicario</v>
      </c>
      <c r="M2681" s="5" t="str">
        <f>IFERROR(__xludf.DUMMYFUNCTION("""COMPUTED_VALUE"""),"Action")</f>
        <v>Action</v>
      </c>
      <c r="N2681" s="5">
        <f>IFERROR(__xludf.DUMMYFUNCTION("""COMPUTED_VALUE"""),1.0)</f>
        <v>1</v>
      </c>
    </row>
    <row r="2682">
      <c r="J2682" s="5" t="str">
        <f>IFERROR(__xludf.DUMMYFUNCTION("""COMPUTED_VALUE"""),"894🤙🏼Sicario🤙🏼Crime🤙🏼2")</f>
        <v>894🤙🏼Sicario🤙🏼Crime🤙🏼2</v>
      </c>
      <c r="K2682" s="5">
        <f>IFERROR(__xludf.DUMMYFUNCTION("SPLiT(J2682, ""🤙🏼"",FALSE,FALSE)"),894.0)</f>
        <v>894</v>
      </c>
      <c r="L2682" s="5" t="str">
        <f>IFERROR(__xludf.DUMMYFUNCTION("""COMPUTED_VALUE"""),"Sicario")</f>
        <v>Sicario</v>
      </c>
      <c r="M2682" s="5" t="str">
        <f>IFERROR(__xludf.DUMMYFUNCTION("""COMPUTED_VALUE"""),"Crime")</f>
        <v>Crime</v>
      </c>
      <c r="N2682" s="5">
        <f>IFERROR(__xludf.DUMMYFUNCTION("""COMPUTED_VALUE"""),2.0)</f>
        <v>2</v>
      </c>
    </row>
    <row r="2683">
      <c r="J2683" s="5" t="str">
        <f>IFERROR(__xludf.DUMMYFUNCTION("""COMPUTED_VALUE"""),"894🤙🏼Sicario🤙🏼Drama🤙🏼3")</f>
        <v>894🤙🏼Sicario🤙🏼Drama🤙🏼3</v>
      </c>
      <c r="K2683" s="5">
        <f>IFERROR(__xludf.DUMMYFUNCTION("SPLiT(J2683, ""🤙🏼"",FALSE,FALSE)"),894.0)</f>
        <v>894</v>
      </c>
      <c r="L2683" s="5" t="str">
        <f>IFERROR(__xludf.DUMMYFUNCTION("""COMPUTED_VALUE"""),"Sicario")</f>
        <v>Sicario</v>
      </c>
      <c r="M2683" s="5" t="str">
        <f>IFERROR(__xludf.DUMMYFUNCTION("""COMPUTED_VALUE"""),"Drama")</f>
        <v>Drama</v>
      </c>
      <c r="N2683" s="5">
        <f>IFERROR(__xludf.DUMMYFUNCTION("""COMPUTED_VALUE"""),3.0)</f>
        <v>3</v>
      </c>
    </row>
    <row r="2684">
      <c r="J2684" s="5" t="str">
        <f>IFERROR(__xludf.DUMMYFUNCTION("""COMPUTED_VALUE"""),"895🤙🏼Creed🤙🏼Drama🤙🏼1")</f>
        <v>895🤙🏼Creed🤙🏼Drama🤙🏼1</v>
      </c>
      <c r="K2684" s="5">
        <f>IFERROR(__xludf.DUMMYFUNCTION("SPLiT(J2684, ""🤙🏼"",FALSE,FALSE)"),895.0)</f>
        <v>895</v>
      </c>
      <c r="L2684" s="5" t="str">
        <f>IFERROR(__xludf.DUMMYFUNCTION("""COMPUTED_VALUE"""),"Creed")</f>
        <v>Creed</v>
      </c>
      <c r="M2684" s="5" t="str">
        <f>IFERROR(__xludf.DUMMYFUNCTION("""COMPUTED_VALUE"""),"Drama")</f>
        <v>Drama</v>
      </c>
      <c r="N2684" s="5">
        <f>IFERROR(__xludf.DUMMYFUNCTION("""COMPUTED_VALUE"""),1.0)</f>
        <v>1</v>
      </c>
    </row>
    <row r="2685">
      <c r="J2685" s="5" t="str">
        <f>IFERROR(__xludf.DUMMYFUNCTION("""COMPUTED_VALUE"""),"895🤙🏼Creed🤙🏼Sport🤙🏼2")</f>
        <v>895🤙🏼Creed🤙🏼Sport🤙🏼2</v>
      </c>
      <c r="K2685" s="5">
        <f>IFERROR(__xludf.DUMMYFUNCTION("SPLiT(J2685, ""🤙🏼"",FALSE,FALSE)"),895.0)</f>
        <v>895</v>
      </c>
      <c r="L2685" s="5" t="str">
        <f>IFERROR(__xludf.DUMMYFUNCTION("""COMPUTED_VALUE"""),"Creed")</f>
        <v>Creed</v>
      </c>
      <c r="M2685" s="5" t="str">
        <f>IFERROR(__xludf.DUMMYFUNCTION("""COMPUTED_VALUE"""),"Sport")</f>
        <v>Sport</v>
      </c>
      <c r="N2685" s="5">
        <f>IFERROR(__xludf.DUMMYFUNCTION("""COMPUTED_VALUE"""),2.0)</f>
        <v>2</v>
      </c>
    </row>
    <row r="2686">
      <c r="J2686" s="5" t="str">
        <f>IFERROR(__xludf.DUMMYFUNCTION("""COMPUTED_VALUE"""),"895🤙🏼Creed🤙🏼🤙🏼3")</f>
        <v>895🤙🏼Creed🤙🏼🤙🏼3</v>
      </c>
      <c r="K2686" s="5">
        <f>IFERROR(__xludf.DUMMYFUNCTION("SPLiT(J2686, ""🤙🏼"",FALSE,FALSE)"),895.0)</f>
        <v>895</v>
      </c>
      <c r="L2686" s="5" t="str">
        <f>IFERROR(__xludf.DUMMYFUNCTION("""COMPUTED_VALUE"""),"Creed")</f>
        <v>Creed</v>
      </c>
      <c r="M2686" s="5"/>
      <c r="N2686" s="5">
        <f>IFERROR(__xludf.DUMMYFUNCTION("""COMPUTED_VALUE"""),3.0)</f>
        <v>3</v>
      </c>
    </row>
    <row r="2687">
      <c r="J2687" s="5" t="str">
        <f>IFERROR(__xludf.DUMMYFUNCTION("""COMPUTED_VALUE"""),"896🤙🏼Leviafan🤙🏼Crime🤙🏼1")</f>
        <v>896🤙🏼Leviafan🤙🏼Crime🤙🏼1</v>
      </c>
      <c r="K2687" s="5">
        <f>IFERROR(__xludf.DUMMYFUNCTION("SPLiT(J2687, ""🤙🏼"",FALSE,FALSE)"),896.0)</f>
        <v>896</v>
      </c>
      <c r="L2687" s="5" t="str">
        <f>IFERROR(__xludf.DUMMYFUNCTION("""COMPUTED_VALUE"""),"Leviafan")</f>
        <v>Leviafan</v>
      </c>
      <c r="M2687" s="5" t="str">
        <f>IFERROR(__xludf.DUMMYFUNCTION("""COMPUTED_VALUE"""),"Crime")</f>
        <v>Crime</v>
      </c>
      <c r="N2687" s="5">
        <f>IFERROR(__xludf.DUMMYFUNCTION("""COMPUTED_VALUE"""),1.0)</f>
        <v>1</v>
      </c>
    </row>
    <row r="2688">
      <c r="J2688" s="5" t="str">
        <f>IFERROR(__xludf.DUMMYFUNCTION("""COMPUTED_VALUE"""),"896🤙🏼Leviafan🤙🏼Drama🤙🏼2")</f>
        <v>896🤙🏼Leviafan🤙🏼Drama🤙🏼2</v>
      </c>
      <c r="K2688" s="5">
        <f>IFERROR(__xludf.DUMMYFUNCTION("SPLiT(J2688, ""🤙🏼"",FALSE,FALSE)"),896.0)</f>
        <v>896</v>
      </c>
      <c r="L2688" s="5" t="str">
        <f>IFERROR(__xludf.DUMMYFUNCTION("""COMPUTED_VALUE"""),"Leviafan")</f>
        <v>Leviafan</v>
      </c>
      <c r="M2688" s="5" t="str">
        <f>IFERROR(__xludf.DUMMYFUNCTION("""COMPUTED_VALUE"""),"Drama")</f>
        <v>Drama</v>
      </c>
      <c r="N2688" s="5">
        <f>IFERROR(__xludf.DUMMYFUNCTION("""COMPUTED_VALUE"""),2.0)</f>
        <v>2</v>
      </c>
    </row>
    <row r="2689">
      <c r="J2689" s="5" t="str">
        <f>IFERROR(__xludf.DUMMYFUNCTION("""COMPUTED_VALUE"""),"896🤙🏼Leviafan🤙🏼🤙🏼3")</f>
        <v>896🤙🏼Leviafan🤙🏼🤙🏼3</v>
      </c>
      <c r="K2689" s="5">
        <f>IFERROR(__xludf.DUMMYFUNCTION("SPLiT(J2689, ""🤙🏼"",FALSE,FALSE)"),896.0)</f>
        <v>896</v>
      </c>
      <c r="L2689" s="5" t="str">
        <f>IFERROR(__xludf.DUMMYFUNCTION("""COMPUTED_VALUE"""),"Leviafan")</f>
        <v>Leviafan</v>
      </c>
      <c r="M2689" s="5"/>
      <c r="N2689" s="5">
        <f>IFERROR(__xludf.DUMMYFUNCTION("""COMPUTED_VALUE"""),3.0)</f>
        <v>3</v>
      </c>
    </row>
    <row r="2690">
      <c r="J2690" s="5" t="str">
        <f>IFERROR(__xludf.DUMMYFUNCTION("""COMPUTED_VALUE"""),"897🤙🏼Hell or High Water🤙🏼Action🤙🏼1")</f>
        <v>897🤙🏼Hell or High Water🤙🏼Action🤙🏼1</v>
      </c>
      <c r="K2690" s="5">
        <f>IFERROR(__xludf.DUMMYFUNCTION("SPLiT(J2690, ""🤙🏼"",FALSE,FALSE)"),897.0)</f>
        <v>897</v>
      </c>
      <c r="L2690" s="5" t="str">
        <f>IFERROR(__xludf.DUMMYFUNCTION("""COMPUTED_VALUE"""),"Hell or High Water")</f>
        <v>Hell or High Water</v>
      </c>
      <c r="M2690" s="5" t="str">
        <f>IFERROR(__xludf.DUMMYFUNCTION("""COMPUTED_VALUE"""),"Action")</f>
        <v>Action</v>
      </c>
      <c r="N2690" s="5">
        <f>IFERROR(__xludf.DUMMYFUNCTION("""COMPUTED_VALUE"""),1.0)</f>
        <v>1</v>
      </c>
    </row>
    <row r="2691">
      <c r="J2691" s="5" t="str">
        <f>IFERROR(__xludf.DUMMYFUNCTION("""COMPUTED_VALUE"""),"897🤙🏼Hell or High Water🤙🏼Crime🤙🏼2")</f>
        <v>897🤙🏼Hell or High Water🤙🏼Crime🤙🏼2</v>
      </c>
      <c r="K2691" s="5">
        <f>IFERROR(__xludf.DUMMYFUNCTION("SPLiT(J2691, ""🤙🏼"",FALSE,FALSE)"),897.0)</f>
        <v>897</v>
      </c>
      <c r="L2691" s="5" t="str">
        <f>IFERROR(__xludf.DUMMYFUNCTION("""COMPUTED_VALUE"""),"Hell or High Water")</f>
        <v>Hell or High Water</v>
      </c>
      <c r="M2691" s="5" t="str">
        <f>IFERROR(__xludf.DUMMYFUNCTION("""COMPUTED_VALUE"""),"Crime")</f>
        <v>Crime</v>
      </c>
      <c r="N2691" s="5">
        <f>IFERROR(__xludf.DUMMYFUNCTION("""COMPUTED_VALUE"""),2.0)</f>
        <v>2</v>
      </c>
    </row>
    <row r="2692">
      <c r="J2692" s="5" t="str">
        <f>IFERROR(__xludf.DUMMYFUNCTION("""COMPUTED_VALUE"""),"897🤙🏼Hell or High Water🤙🏼Drama🤙🏼3")</f>
        <v>897🤙🏼Hell or High Water🤙🏼Drama🤙🏼3</v>
      </c>
      <c r="K2692" s="5">
        <f>IFERROR(__xludf.DUMMYFUNCTION("SPLiT(J2692, ""🤙🏼"",FALSE,FALSE)"),897.0)</f>
        <v>897</v>
      </c>
      <c r="L2692" s="5" t="str">
        <f>IFERROR(__xludf.DUMMYFUNCTION("""COMPUTED_VALUE"""),"Hell or High Water")</f>
        <v>Hell or High Water</v>
      </c>
      <c r="M2692" s="5" t="str">
        <f>IFERROR(__xludf.DUMMYFUNCTION("""COMPUTED_VALUE"""),"Drama")</f>
        <v>Drama</v>
      </c>
      <c r="N2692" s="5">
        <f>IFERROR(__xludf.DUMMYFUNCTION("""COMPUTED_VALUE"""),3.0)</f>
        <v>3</v>
      </c>
    </row>
    <row r="2693">
      <c r="J2693" s="5" t="str">
        <f>IFERROR(__xludf.DUMMYFUNCTION("""COMPUTED_VALUE"""),"898🤙🏼Philomena🤙🏼Biography🤙🏼1")</f>
        <v>898🤙🏼Philomena🤙🏼Biography🤙🏼1</v>
      </c>
      <c r="K2693" s="5">
        <f>IFERROR(__xludf.DUMMYFUNCTION("SPLiT(J2693, ""🤙🏼"",FALSE,FALSE)"),898.0)</f>
        <v>898</v>
      </c>
      <c r="L2693" s="5" t="str">
        <f>IFERROR(__xludf.DUMMYFUNCTION("""COMPUTED_VALUE"""),"Philomena")</f>
        <v>Philomena</v>
      </c>
      <c r="M2693" s="5" t="str">
        <f>IFERROR(__xludf.DUMMYFUNCTION("""COMPUTED_VALUE"""),"Biography")</f>
        <v>Biography</v>
      </c>
      <c r="N2693" s="5">
        <f>IFERROR(__xludf.DUMMYFUNCTION("""COMPUTED_VALUE"""),1.0)</f>
        <v>1</v>
      </c>
    </row>
    <row r="2694">
      <c r="J2694" s="5" t="str">
        <f>IFERROR(__xludf.DUMMYFUNCTION("""COMPUTED_VALUE"""),"898🤙🏼Philomena🤙🏼Comedy🤙🏼2")</f>
        <v>898🤙🏼Philomena🤙🏼Comedy🤙🏼2</v>
      </c>
      <c r="K2694" s="5">
        <f>IFERROR(__xludf.DUMMYFUNCTION("SPLiT(J2694, ""🤙🏼"",FALSE,FALSE)"),898.0)</f>
        <v>898</v>
      </c>
      <c r="L2694" s="5" t="str">
        <f>IFERROR(__xludf.DUMMYFUNCTION("""COMPUTED_VALUE"""),"Philomena")</f>
        <v>Philomena</v>
      </c>
      <c r="M2694" s="5" t="str">
        <f>IFERROR(__xludf.DUMMYFUNCTION("""COMPUTED_VALUE"""),"Comedy")</f>
        <v>Comedy</v>
      </c>
      <c r="N2694" s="5">
        <f>IFERROR(__xludf.DUMMYFUNCTION("""COMPUTED_VALUE"""),2.0)</f>
        <v>2</v>
      </c>
    </row>
    <row r="2695">
      <c r="J2695" s="5" t="str">
        <f>IFERROR(__xludf.DUMMYFUNCTION("""COMPUTED_VALUE"""),"898🤙🏼Philomena🤙🏼Drama🤙🏼3")</f>
        <v>898🤙🏼Philomena🤙🏼Drama🤙🏼3</v>
      </c>
      <c r="K2695" s="5">
        <f>IFERROR(__xludf.DUMMYFUNCTION("SPLiT(J2695, ""🤙🏼"",FALSE,FALSE)"),898.0)</f>
        <v>898</v>
      </c>
      <c r="L2695" s="5" t="str">
        <f>IFERROR(__xludf.DUMMYFUNCTION("""COMPUTED_VALUE"""),"Philomena")</f>
        <v>Philomena</v>
      </c>
      <c r="M2695" s="5" t="str">
        <f>IFERROR(__xludf.DUMMYFUNCTION("""COMPUTED_VALUE"""),"Drama")</f>
        <v>Drama</v>
      </c>
      <c r="N2695" s="5">
        <f>IFERROR(__xludf.DUMMYFUNCTION("""COMPUTED_VALUE"""),3.0)</f>
        <v>3</v>
      </c>
    </row>
    <row r="2696">
      <c r="J2696" s="5" t="str">
        <f>IFERROR(__xludf.DUMMYFUNCTION("""COMPUTED_VALUE"""),"899🤙🏼Dawn of the Planet of the Apes🤙🏼Action🤙🏼1")</f>
        <v>899🤙🏼Dawn of the Planet of the Apes🤙🏼Action🤙🏼1</v>
      </c>
      <c r="K2696" s="5">
        <f>IFERROR(__xludf.DUMMYFUNCTION("SPLiT(J2696, ""🤙🏼"",FALSE,FALSE)"),899.0)</f>
        <v>899</v>
      </c>
      <c r="L2696" s="5" t="str">
        <f>IFERROR(__xludf.DUMMYFUNCTION("""COMPUTED_VALUE"""),"Dawn of the Planet of the Apes")</f>
        <v>Dawn of the Planet of the Apes</v>
      </c>
      <c r="M2696" s="5" t="str">
        <f>IFERROR(__xludf.DUMMYFUNCTION("""COMPUTED_VALUE"""),"Action")</f>
        <v>Action</v>
      </c>
      <c r="N2696" s="5">
        <f>IFERROR(__xludf.DUMMYFUNCTION("""COMPUTED_VALUE"""),1.0)</f>
        <v>1</v>
      </c>
    </row>
    <row r="2697">
      <c r="J2697" s="5" t="str">
        <f>IFERROR(__xludf.DUMMYFUNCTION("""COMPUTED_VALUE"""),"899🤙🏼Dawn of the Planet of the Apes🤙🏼Adventure🤙🏼2")</f>
        <v>899🤙🏼Dawn of the Planet of the Apes🤙🏼Adventure🤙🏼2</v>
      </c>
      <c r="K2697" s="5">
        <f>IFERROR(__xludf.DUMMYFUNCTION("SPLiT(J2697, ""🤙🏼"",FALSE,FALSE)"),899.0)</f>
        <v>899</v>
      </c>
      <c r="L2697" s="5" t="str">
        <f>IFERROR(__xludf.DUMMYFUNCTION("""COMPUTED_VALUE"""),"Dawn of the Planet of the Apes")</f>
        <v>Dawn of the Planet of the Apes</v>
      </c>
      <c r="M2697" s="5" t="str">
        <f>IFERROR(__xludf.DUMMYFUNCTION("""COMPUTED_VALUE"""),"Adventure")</f>
        <v>Adventure</v>
      </c>
      <c r="N2697" s="5">
        <f>IFERROR(__xludf.DUMMYFUNCTION("""COMPUTED_VALUE"""),2.0)</f>
        <v>2</v>
      </c>
    </row>
    <row r="2698">
      <c r="J2698" s="5" t="str">
        <f>IFERROR(__xludf.DUMMYFUNCTION("""COMPUTED_VALUE"""),"899🤙🏼Dawn of the Planet of the Apes🤙🏼Drama🤙🏼3")</f>
        <v>899🤙🏼Dawn of the Planet of the Apes🤙🏼Drama🤙🏼3</v>
      </c>
      <c r="K2698" s="5">
        <f>IFERROR(__xludf.DUMMYFUNCTION("SPLiT(J2698, ""🤙🏼"",FALSE,FALSE)"),899.0)</f>
        <v>899</v>
      </c>
      <c r="L2698" s="5" t="str">
        <f>IFERROR(__xludf.DUMMYFUNCTION("""COMPUTED_VALUE"""),"Dawn of the Planet of the Apes")</f>
        <v>Dawn of the Planet of the Apes</v>
      </c>
      <c r="M2698" s="5" t="str">
        <f>IFERROR(__xludf.DUMMYFUNCTION("""COMPUTED_VALUE"""),"Drama")</f>
        <v>Drama</v>
      </c>
      <c r="N2698" s="5">
        <f>IFERROR(__xludf.DUMMYFUNCTION("""COMPUTED_VALUE"""),3.0)</f>
        <v>3</v>
      </c>
    </row>
    <row r="2699">
      <c r="J2699" s="5" t="str">
        <f>IFERROR(__xludf.DUMMYFUNCTION("""COMPUTED_VALUE"""),"900🤙🏼El cuerpo🤙🏼Mystery🤙🏼1")</f>
        <v>900🤙🏼El cuerpo🤙🏼Mystery🤙🏼1</v>
      </c>
      <c r="K2699" s="5">
        <f>IFERROR(__xludf.DUMMYFUNCTION("SPLiT(J2699, ""🤙🏼"",FALSE,FALSE)"),900.0)</f>
        <v>900</v>
      </c>
      <c r="L2699" s="5" t="str">
        <f>IFERROR(__xludf.DUMMYFUNCTION("""COMPUTED_VALUE"""),"El cuerpo")</f>
        <v>El cuerpo</v>
      </c>
      <c r="M2699" s="5" t="str">
        <f>IFERROR(__xludf.DUMMYFUNCTION("""COMPUTED_VALUE"""),"Mystery")</f>
        <v>Mystery</v>
      </c>
      <c r="N2699" s="5">
        <f>IFERROR(__xludf.DUMMYFUNCTION("""COMPUTED_VALUE"""),1.0)</f>
        <v>1</v>
      </c>
    </row>
    <row r="2700">
      <c r="J2700" s="5" t="str">
        <f>IFERROR(__xludf.DUMMYFUNCTION("""COMPUTED_VALUE"""),"900🤙🏼El cuerpo🤙🏼Thriller🤙🏼2")</f>
        <v>900🤙🏼El cuerpo🤙🏼Thriller🤙🏼2</v>
      </c>
      <c r="K2700" s="5">
        <f>IFERROR(__xludf.DUMMYFUNCTION("SPLiT(J2700, ""🤙🏼"",FALSE,FALSE)"),900.0)</f>
        <v>900</v>
      </c>
      <c r="L2700" s="5" t="str">
        <f>IFERROR(__xludf.DUMMYFUNCTION("""COMPUTED_VALUE"""),"El cuerpo")</f>
        <v>El cuerpo</v>
      </c>
      <c r="M2700" s="5" t="str">
        <f>IFERROR(__xludf.DUMMYFUNCTION("""COMPUTED_VALUE"""),"Thriller")</f>
        <v>Thriller</v>
      </c>
      <c r="N2700" s="5">
        <f>IFERROR(__xludf.DUMMYFUNCTION("""COMPUTED_VALUE"""),2.0)</f>
        <v>2</v>
      </c>
    </row>
    <row r="2701">
      <c r="J2701" s="5" t="str">
        <f>IFERROR(__xludf.DUMMYFUNCTION("""COMPUTED_VALUE"""),"900🤙🏼El cuerpo🤙🏼🤙🏼3")</f>
        <v>900🤙🏼El cuerpo🤙🏼🤙🏼3</v>
      </c>
      <c r="K2701" s="5">
        <f>IFERROR(__xludf.DUMMYFUNCTION("SPLiT(J2701, ""🤙🏼"",FALSE,FALSE)"),900.0)</f>
        <v>900</v>
      </c>
      <c r="L2701" s="5" t="str">
        <f>IFERROR(__xludf.DUMMYFUNCTION("""COMPUTED_VALUE"""),"El cuerpo")</f>
        <v>El cuerpo</v>
      </c>
      <c r="M2701" s="5"/>
      <c r="N2701" s="5">
        <f>IFERROR(__xludf.DUMMYFUNCTION("""COMPUTED_VALUE"""),3.0)</f>
        <v>3</v>
      </c>
    </row>
    <row r="2702">
      <c r="J2702" s="5" t="str">
        <f>IFERROR(__xludf.DUMMYFUNCTION("""COMPUTED_VALUE"""),"901🤙🏼Serbuan maut🤙🏼Action🤙🏼1")</f>
        <v>901🤙🏼Serbuan maut🤙🏼Action🤙🏼1</v>
      </c>
      <c r="K2702" s="5">
        <f>IFERROR(__xludf.DUMMYFUNCTION("SPLiT(J2702, ""🤙🏼"",FALSE,FALSE)"),901.0)</f>
        <v>901</v>
      </c>
      <c r="L2702" s="5" t="str">
        <f>IFERROR(__xludf.DUMMYFUNCTION("""COMPUTED_VALUE"""),"Serbuan maut")</f>
        <v>Serbuan maut</v>
      </c>
      <c r="M2702" s="5" t="str">
        <f>IFERROR(__xludf.DUMMYFUNCTION("""COMPUTED_VALUE"""),"Action")</f>
        <v>Action</v>
      </c>
      <c r="N2702" s="5">
        <f>IFERROR(__xludf.DUMMYFUNCTION("""COMPUTED_VALUE"""),1.0)</f>
        <v>1</v>
      </c>
    </row>
    <row r="2703">
      <c r="J2703" s="5" t="str">
        <f>IFERROR(__xludf.DUMMYFUNCTION("""COMPUTED_VALUE"""),"901🤙🏼Serbuan maut🤙🏼Thriller🤙🏼2")</f>
        <v>901🤙🏼Serbuan maut🤙🏼Thriller🤙🏼2</v>
      </c>
      <c r="K2703" s="5">
        <f>IFERROR(__xludf.DUMMYFUNCTION("SPLiT(J2703, ""🤙🏼"",FALSE,FALSE)"),901.0)</f>
        <v>901</v>
      </c>
      <c r="L2703" s="5" t="str">
        <f>IFERROR(__xludf.DUMMYFUNCTION("""COMPUTED_VALUE"""),"Serbuan maut")</f>
        <v>Serbuan maut</v>
      </c>
      <c r="M2703" s="5" t="str">
        <f>IFERROR(__xludf.DUMMYFUNCTION("""COMPUTED_VALUE"""),"Thriller")</f>
        <v>Thriller</v>
      </c>
      <c r="N2703" s="5">
        <f>IFERROR(__xludf.DUMMYFUNCTION("""COMPUTED_VALUE"""),2.0)</f>
        <v>2</v>
      </c>
    </row>
    <row r="2704">
      <c r="J2704" s="5" t="str">
        <f>IFERROR(__xludf.DUMMYFUNCTION("""COMPUTED_VALUE"""),"901🤙🏼Serbuan maut🤙🏼🤙🏼3")</f>
        <v>901🤙🏼Serbuan maut🤙🏼🤙🏼3</v>
      </c>
      <c r="K2704" s="5">
        <f>IFERROR(__xludf.DUMMYFUNCTION("SPLiT(J2704, ""🤙🏼"",FALSE,FALSE)"),901.0)</f>
        <v>901</v>
      </c>
      <c r="L2704" s="5" t="str">
        <f>IFERROR(__xludf.DUMMYFUNCTION("""COMPUTED_VALUE"""),"Serbuan maut")</f>
        <v>Serbuan maut</v>
      </c>
      <c r="M2704" s="5"/>
      <c r="N2704" s="5">
        <f>IFERROR(__xludf.DUMMYFUNCTION("""COMPUTED_VALUE"""),3.0)</f>
        <v>3</v>
      </c>
    </row>
    <row r="2705">
      <c r="J2705" s="5" t="str">
        <f>IFERROR(__xludf.DUMMYFUNCTION("""COMPUTED_VALUE"""),"902🤙🏼End of Watch🤙🏼Action🤙🏼1")</f>
        <v>902🤙🏼End of Watch🤙🏼Action🤙🏼1</v>
      </c>
      <c r="K2705" s="5">
        <f>IFERROR(__xludf.DUMMYFUNCTION("SPLiT(J2705, ""🤙🏼"",FALSE,FALSE)"),902.0)</f>
        <v>902</v>
      </c>
      <c r="L2705" s="5" t="str">
        <f>IFERROR(__xludf.DUMMYFUNCTION("""COMPUTED_VALUE"""),"End of Watch")</f>
        <v>End of Watch</v>
      </c>
      <c r="M2705" s="5" t="str">
        <f>IFERROR(__xludf.DUMMYFUNCTION("""COMPUTED_VALUE"""),"Action")</f>
        <v>Action</v>
      </c>
      <c r="N2705" s="5">
        <f>IFERROR(__xludf.DUMMYFUNCTION("""COMPUTED_VALUE"""),1.0)</f>
        <v>1</v>
      </c>
    </row>
    <row r="2706">
      <c r="J2706" s="5" t="str">
        <f>IFERROR(__xludf.DUMMYFUNCTION("""COMPUTED_VALUE"""),"902🤙🏼End of Watch🤙🏼Crime🤙🏼2")</f>
        <v>902🤙🏼End of Watch🤙🏼Crime🤙🏼2</v>
      </c>
      <c r="K2706" s="5">
        <f>IFERROR(__xludf.DUMMYFUNCTION("SPLiT(J2706, ""🤙🏼"",FALSE,FALSE)"),902.0)</f>
        <v>902</v>
      </c>
      <c r="L2706" s="5" t="str">
        <f>IFERROR(__xludf.DUMMYFUNCTION("""COMPUTED_VALUE"""),"End of Watch")</f>
        <v>End of Watch</v>
      </c>
      <c r="M2706" s="5" t="str">
        <f>IFERROR(__xludf.DUMMYFUNCTION("""COMPUTED_VALUE"""),"Crime")</f>
        <v>Crime</v>
      </c>
      <c r="N2706" s="5">
        <f>IFERROR(__xludf.DUMMYFUNCTION("""COMPUTED_VALUE"""),2.0)</f>
        <v>2</v>
      </c>
    </row>
    <row r="2707">
      <c r="J2707" s="5" t="str">
        <f>IFERROR(__xludf.DUMMYFUNCTION("""COMPUTED_VALUE"""),"902🤙🏼End of Watch🤙🏼Drama🤙🏼3")</f>
        <v>902🤙🏼End of Watch🤙🏼Drama🤙🏼3</v>
      </c>
      <c r="K2707" s="5">
        <f>IFERROR(__xludf.DUMMYFUNCTION("SPLiT(J2707, ""🤙🏼"",FALSE,FALSE)"),902.0)</f>
        <v>902</v>
      </c>
      <c r="L2707" s="5" t="str">
        <f>IFERROR(__xludf.DUMMYFUNCTION("""COMPUTED_VALUE"""),"End of Watch")</f>
        <v>End of Watch</v>
      </c>
      <c r="M2707" s="5" t="str">
        <f>IFERROR(__xludf.DUMMYFUNCTION("""COMPUTED_VALUE"""),"Drama")</f>
        <v>Drama</v>
      </c>
      <c r="N2707" s="5">
        <f>IFERROR(__xludf.DUMMYFUNCTION("""COMPUTED_VALUE"""),3.0)</f>
        <v>3</v>
      </c>
    </row>
    <row r="2708">
      <c r="J2708" s="5" t="str">
        <f>IFERROR(__xludf.DUMMYFUNCTION("""COMPUTED_VALUE"""),"903🤙🏼Kari-gurashi no Arietti🤙🏼Animation🤙🏼1")</f>
        <v>903🤙🏼Kari-gurashi no Arietti🤙🏼Animation🤙🏼1</v>
      </c>
      <c r="K2708" s="5">
        <f>IFERROR(__xludf.DUMMYFUNCTION("SPLiT(J2708, ""🤙🏼"",FALSE,FALSE)"),903.0)</f>
        <v>903</v>
      </c>
      <c r="L2708" s="5" t="str">
        <f>IFERROR(__xludf.DUMMYFUNCTION("""COMPUTED_VALUE"""),"Kari-gurashi no Arietti")</f>
        <v>Kari-gurashi no Arietti</v>
      </c>
      <c r="M2708" s="5" t="str">
        <f>IFERROR(__xludf.DUMMYFUNCTION("""COMPUTED_VALUE"""),"Animation")</f>
        <v>Animation</v>
      </c>
      <c r="N2708" s="5">
        <f>IFERROR(__xludf.DUMMYFUNCTION("""COMPUTED_VALUE"""),1.0)</f>
        <v>1</v>
      </c>
    </row>
    <row r="2709">
      <c r="J2709" s="5" t="str">
        <f>IFERROR(__xludf.DUMMYFUNCTION("""COMPUTED_VALUE"""),"903🤙🏼Kari-gurashi no Arietti🤙🏼Adventure🤙🏼2")</f>
        <v>903🤙🏼Kari-gurashi no Arietti🤙🏼Adventure🤙🏼2</v>
      </c>
      <c r="K2709" s="5">
        <f>IFERROR(__xludf.DUMMYFUNCTION("SPLiT(J2709, ""🤙🏼"",FALSE,FALSE)"),903.0)</f>
        <v>903</v>
      </c>
      <c r="L2709" s="5" t="str">
        <f>IFERROR(__xludf.DUMMYFUNCTION("""COMPUTED_VALUE"""),"Kari-gurashi no Arietti")</f>
        <v>Kari-gurashi no Arietti</v>
      </c>
      <c r="M2709" s="5" t="str">
        <f>IFERROR(__xludf.DUMMYFUNCTION("""COMPUTED_VALUE"""),"Adventure")</f>
        <v>Adventure</v>
      </c>
      <c r="N2709" s="5">
        <f>IFERROR(__xludf.DUMMYFUNCTION("""COMPUTED_VALUE"""),2.0)</f>
        <v>2</v>
      </c>
    </row>
    <row r="2710">
      <c r="J2710" s="5" t="str">
        <f>IFERROR(__xludf.DUMMYFUNCTION("""COMPUTED_VALUE"""),"903🤙🏼Kari-gurashi no Arietti🤙🏼Family🤙🏼3")</f>
        <v>903🤙🏼Kari-gurashi no Arietti🤙🏼Family🤙🏼3</v>
      </c>
      <c r="K2710" s="5">
        <f>IFERROR(__xludf.DUMMYFUNCTION("SPLiT(J2710, ""🤙🏼"",FALSE,FALSE)"),903.0)</f>
        <v>903</v>
      </c>
      <c r="L2710" s="5" t="str">
        <f>IFERROR(__xludf.DUMMYFUNCTION("""COMPUTED_VALUE"""),"Kari-gurashi no Arietti")</f>
        <v>Kari-gurashi no Arietti</v>
      </c>
      <c r="M2710" s="5" t="str">
        <f>IFERROR(__xludf.DUMMYFUNCTION("""COMPUTED_VALUE"""),"Family")</f>
        <v>Family</v>
      </c>
      <c r="N2710" s="5">
        <f>IFERROR(__xludf.DUMMYFUNCTION("""COMPUTED_VALUE"""),3.0)</f>
        <v>3</v>
      </c>
    </row>
    <row r="2711">
      <c r="J2711" s="5" t="str">
        <f>IFERROR(__xludf.DUMMYFUNCTION("""COMPUTED_VALUE"""),"904🤙🏼A Star Is Born🤙🏼Drama🤙🏼1")</f>
        <v>904🤙🏼A Star Is Born🤙🏼Drama🤙🏼1</v>
      </c>
      <c r="K2711" s="5">
        <f>IFERROR(__xludf.DUMMYFUNCTION("SPLiT(J2711, ""🤙🏼"",FALSE,FALSE)"),904.0)</f>
        <v>904</v>
      </c>
      <c r="L2711" s="5" t="str">
        <f>IFERROR(__xludf.DUMMYFUNCTION("""COMPUTED_VALUE"""),"A Star Is Born")</f>
        <v>A Star Is Born</v>
      </c>
      <c r="M2711" s="5" t="str">
        <f>IFERROR(__xludf.DUMMYFUNCTION("""COMPUTED_VALUE"""),"Drama")</f>
        <v>Drama</v>
      </c>
      <c r="N2711" s="5">
        <f>IFERROR(__xludf.DUMMYFUNCTION("""COMPUTED_VALUE"""),1.0)</f>
        <v>1</v>
      </c>
    </row>
    <row r="2712">
      <c r="J2712" s="5" t="str">
        <f>IFERROR(__xludf.DUMMYFUNCTION("""COMPUTED_VALUE"""),"904🤙🏼A Star Is Born🤙🏼Music🤙🏼2")</f>
        <v>904🤙🏼A Star Is Born🤙🏼Music🤙🏼2</v>
      </c>
      <c r="K2712" s="5">
        <f>IFERROR(__xludf.DUMMYFUNCTION("SPLiT(J2712, ""🤙🏼"",FALSE,FALSE)"),904.0)</f>
        <v>904</v>
      </c>
      <c r="L2712" s="5" t="str">
        <f>IFERROR(__xludf.DUMMYFUNCTION("""COMPUTED_VALUE"""),"A Star Is Born")</f>
        <v>A Star Is Born</v>
      </c>
      <c r="M2712" s="5" t="str">
        <f>IFERROR(__xludf.DUMMYFUNCTION("""COMPUTED_VALUE"""),"Music")</f>
        <v>Music</v>
      </c>
      <c r="N2712" s="5">
        <f>IFERROR(__xludf.DUMMYFUNCTION("""COMPUTED_VALUE"""),2.0)</f>
        <v>2</v>
      </c>
    </row>
    <row r="2713">
      <c r="J2713" s="5" t="str">
        <f>IFERROR(__xludf.DUMMYFUNCTION("""COMPUTED_VALUE"""),"904🤙🏼A Star Is Born🤙🏼Romance🤙🏼3")</f>
        <v>904🤙🏼A Star Is Born🤙🏼Romance🤙🏼3</v>
      </c>
      <c r="K2713" s="5">
        <f>IFERROR(__xludf.DUMMYFUNCTION("SPLiT(J2713, ""🤙🏼"",FALSE,FALSE)"),904.0)</f>
        <v>904</v>
      </c>
      <c r="L2713" s="5" t="str">
        <f>IFERROR(__xludf.DUMMYFUNCTION("""COMPUTED_VALUE"""),"A Star Is Born")</f>
        <v>A Star Is Born</v>
      </c>
      <c r="M2713" s="5" t="str">
        <f>IFERROR(__xludf.DUMMYFUNCTION("""COMPUTED_VALUE"""),"Romance")</f>
        <v>Romance</v>
      </c>
      <c r="N2713" s="5">
        <f>IFERROR(__xludf.DUMMYFUNCTION("""COMPUTED_VALUE"""),3.0)</f>
        <v>3</v>
      </c>
    </row>
    <row r="2714">
      <c r="J2714" s="5" t="str">
        <f>IFERROR(__xludf.DUMMYFUNCTION("""COMPUTED_VALUE"""),"905🤙🏼True Grit🤙🏼Drama🤙🏼1")</f>
        <v>905🤙🏼True Grit🤙🏼Drama🤙🏼1</v>
      </c>
      <c r="K2714" s="5">
        <f>IFERROR(__xludf.DUMMYFUNCTION("SPLiT(J2714, ""🤙🏼"",FALSE,FALSE)"),905.0)</f>
        <v>905</v>
      </c>
      <c r="L2714" s="5" t="str">
        <f>IFERROR(__xludf.DUMMYFUNCTION("""COMPUTED_VALUE"""),"True Grit")</f>
        <v>True Grit</v>
      </c>
      <c r="M2714" s="5" t="str">
        <f>IFERROR(__xludf.DUMMYFUNCTION("""COMPUTED_VALUE"""),"Drama")</f>
        <v>Drama</v>
      </c>
      <c r="N2714" s="5">
        <f>IFERROR(__xludf.DUMMYFUNCTION("""COMPUTED_VALUE"""),1.0)</f>
        <v>1</v>
      </c>
    </row>
    <row r="2715">
      <c r="J2715" s="5" t="str">
        <f>IFERROR(__xludf.DUMMYFUNCTION("""COMPUTED_VALUE"""),"905🤙🏼True Grit🤙🏼Western🤙🏼2")</f>
        <v>905🤙🏼True Grit🤙🏼Western🤙🏼2</v>
      </c>
      <c r="K2715" s="5">
        <f>IFERROR(__xludf.DUMMYFUNCTION("SPLiT(J2715, ""🤙🏼"",FALSE,FALSE)"),905.0)</f>
        <v>905</v>
      </c>
      <c r="L2715" s="5" t="str">
        <f>IFERROR(__xludf.DUMMYFUNCTION("""COMPUTED_VALUE"""),"True Grit")</f>
        <v>True Grit</v>
      </c>
      <c r="M2715" s="5" t="str">
        <f>IFERROR(__xludf.DUMMYFUNCTION("""COMPUTED_VALUE"""),"Western")</f>
        <v>Western</v>
      </c>
      <c r="N2715" s="5">
        <f>IFERROR(__xludf.DUMMYFUNCTION("""COMPUTED_VALUE"""),2.0)</f>
        <v>2</v>
      </c>
    </row>
    <row r="2716">
      <c r="J2716" s="5" t="str">
        <f>IFERROR(__xludf.DUMMYFUNCTION("""COMPUTED_VALUE"""),"905🤙🏼True Grit🤙🏼🤙🏼3")</f>
        <v>905🤙🏼True Grit🤙🏼🤙🏼3</v>
      </c>
      <c r="K2716" s="5">
        <f>IFERROR(__xludf.DUMMYFUNCTION("SPLiT(J2716, ""🤙🏼"",FALSE,FALSE)"),905.0)</f>
        <v>905</v>
      </c>
      <c r="L2716" s="5" t="str">
        <f>IFERROR(__xludf.DUMMYFUNCTION("""COMPUTED_VALUE"""),"True Grit")</f>
        <v>True Grit</v>
      </c>
      <c r="M2716" s="5"/>
      <c r="N2716" s="5">
        <f>IFERROR(__xludf.DUMMYFUNCTION("""COMPUTED_VALUE"""),3.0)</f>
        <v>3</v>
      </c>
    </row>
    <row r="2717">
      <c r="J2717" s="5" t="str">
        <f>IFERROR(__xludf.DUMMYFUNCTION("""COMPUTED_VALUE"""),"906🤙🏼Hævnen🤙🏼Drama🤙🏼1")</f>
        <v>906🤙🏼Hævnen🤙🏼Drama🤙🏼1</v>
      </c>
      <c r="K2717" s="5">
        <f>IFERROR(__xludf.DUMMYFUNCTION("SPLiT(J2717, ""🤙🏼"",FALSE,FALSE)"),906.0)</f>
        <v>906</v>
      </c>
      <c r="L2717" s="5" t="str">
        <f>IFERROR(__xludf.DUMMYFUNCTION("""COMPUTED_VALUE"""),"Hævnen")</f>
        <v>Hævnen</v>
      </c>
      <c r="M2717" s="5" t="str">
        <f>IFERROR(__xludf.DUMMYFUNCTION("""COMPUTED_VALUE"""),"Drama")</f>
        <v>Drama</v>
      </c>
      <c r="N2717" s="5">
        <f>IFERROR(__xludf.DUMMYFUNCTION("""COMPUTED_VALUE"""),1.0)</f>
        <v>1</v>
      </c>
    </row>
    <row r="2718">
      <c r="J2718" s="5" t="str">
        <f>IFERROR(__xludf.DUMMYFUNCTION("""COMPUTED_VALUE"""),"906🤙🏼Hævnen🤙🏼Romance🤙🏼2")</f>
        <v>906🤙🏼Hævnen🤙🏼Romance🤙🏼2</v>
      </c>
      <c r="K2718" s="5">
        <f>IFERROR(__xludf.DUMMYFUNCTION("SPLiT(J2718, ""🤙🏼"",FALSE,FALSE)"),906.0)</f>
        <v>906</v>
      </c>
      <c r="L2718" s="5" t="str">
        <f>IFERROR(__xludf.DUMMYFUNCTION("""COMPUTED_VALUE"""),"Hævnen")</f>
        <v>Hævnen</v>
      </c>
      <c r="M2718" s="5" t="str">
        <f>IFERROR(__xludf.DUMMYFUNCTION("""COMPUTED_VALUE"""),"Romance")</f>
        <v>Romance</v>
      </c>
      <c r="N2718" s="5">
        <f>IFERROR(__xludf.DUMMYFUNCTION("""COMPUTED_VALUE"""),2.0)</f>
        <v>2</v>
      </c>
    </row>
    <row r="2719">
      <c r="J2719" s="5" t="str">
        <f>IFERROR(__xludf.DUMMYFUNCTION("""COMPUTED_VALUE"""),"906🤙🏼Hævnen🤙🏼🤙🏼3")</f>
        <v>906🤙🏼Hævnen🤙🏼🤙🏼3</v>
      </c>
      <c r="K2719" s="5">
        <f>IFERROR(__xludf.DUMMYFUNCTION("SPLiT(J2719, ""🤙🏼"",FALSE,FALSE)"),906.0)</f>
        <v>906</v>
      </c>
      <c r="L2719" s="5" t="str">
        <f>IFERROR(__xludf.DUMMYFUNCTION("""COMPUTED_VALUE"""),"Hævnen")</f>
        <v>Hævnen</v>
      </c>
      <c r="M2719" s="5"/>
      <c r="N2719" s="5">
        <f>IFERROR(__xludf.DUMMYFUNCTION("""COMPUTED_VALUE"""),3.0)</f>
        <v>3</v>
      </c>
    </row>
    <row r="2720">
      <c r="J2720" s="5" t="str">
        <f>IFERROR(__xludf.DUMMYFUNCTION("""COMPUTED_VALUE"""),"907🤙🏼Despicable Me🤙🏼Animation🤙🏼1")</f>
        <v>907🤙🏼Despicable Me🤙🏼Animation🤙🏼1</v>
      </c>
      <c r="K2720" s="5">
        <f>IFERROR(__xludf.DUMMYFUNCTION("SPLiT(J2720, ""🤙🏼"",FALSE,FALSE)"),907.0)</f>
        <v>907</v>
      </c>
      <c r="L2720" s="5" t="str">
        <f>IFERROR(__xludf.DUMMYFUNCTION("""COMPUTED_VALUE"""),"Despicable Me")</f>
        <v>Despicable Me</v>
      </c>
      <c r="M2720" s="5" t="str">
        <f>IFERROR(__xludf.DUMMYFUNCTION("""COMPUTED_VALUE"""),"Animation")</f>
        <v>Animation</v>
      </c>
      <c r="N2720" s="5">
        <f>IFERROR(__xludf.DUMMYFUNCTION("""COMPUTED_VALUE"""),1.0)</f>
        <v>1</v>
      </c>
    </row>
    <row r="2721">
      <c r="J2721" s="5" t="str">
        <f>IFERROR(__xludf.DUMMYFUNCTION("""COMPUTED_VALUE"""),"907🤙🏼Despicable Me🤙🏼Comedy🤙🏼2")</f>
        <v>907🤙🏼Despicable Me🤙🏼Comedy🤙🏼2</v>
      </c>
      <c r="K2721" s="5">
        <f>IFERROR(__xludf.DUMMYFUNCTION("SPLiT(J2721, ""🤙🏼"",FALSE,FALSE)"),907.0)</f>
        <v>907</v>
      </c>
      <c r="L2721" s="5" t="str">
        <f>IFERROR(__xludf.DUMMYFUNCTION("""COMPUTED_VALUE"""),"Despicable Me")</f>
        <v>Despicable Me</v>
      </c>
      <c r="M2721" s="5" t="str">
        <f>IFERROR(__xludf.DUMMYFUNCTION("""COMPUTED_VALUE"""),"Comedy")</f>
        <v>Comedy</v>
      </c>
      <c r="N2721" s="5">
        <f>IFERROR(__xludf.DUMMYFUNCTION("""COMPUTED_VALUE"""),2.0)</f>
        <v>2</v>
      </c>
    </row>
    <row r="2722">
      <c r="J2722" s="5" t="str">
        <f>IFERROR(__xludf.DUMMYFUNCTION("""COMPUTED_VALUE"""),"907🤙🏼Despicable Me🤙🏼Crime🤙🏼3")</f>
        <v>907🤙🏼Despicable Me🤙🏼Crime🤙🏼3</v>
      </c>
      <c r="K2722" s="5">
        <f>IFERROR(__xludf.DUMMYFUNCTION("SPLiT(J2722, ""🤙🏼"",FALSE,FALSE)"),907.0)</f>
        <v>907</v>
      </c>
      <c r="L2722" s="5" t="str">
        <f>IFERROR(__xludf.DUMMYFUNCTION("""COMPUTED_VALUE"""),"Despicable Me")</f>
        <v>Despicable Me</v>
      </c>
      <c r="M2722" s="5" t="str">
        <f>IFERROR(__xludf.DUMMYFUNCTION("""COMPUTED_VALUE"""),"Crime")</f>
        <v>Crime</v>
      </c>
      <c r="N2722" s="5">
        <f>IFERROR(__xludf.DUMMYFUNCTION("""COMPUTED_VALUE"""),3.0)</f>
        <v>3</v>
      </c>
    </row>
    <row r="2723">
      <c r="J2723" s="5" t="str">
        <f>IFERROR(__xludf.DUMMYFUNCTION("""COMPUTED_VALUE"""),"908🤙🏼50/50🤙🏼Comedy🤙🏼1")</f>
        <v>908🤙🏼50/50🤙🏼Comedy🤙🏼1</v>
      </c>
      <c r="K2723" s="5">
        <f>IFERROR(__xludf.DUMMYFUNCTION("SPLiT(J2723, ""🤙🏼"",FALSE,FALSE)"),908.0)</f>
        <v>908</v>
      </c>
      <c r="L2723" s="5" t="str">
        <f>IFERROR(__xludf.DUMMYFUNCTION("""COMPUTED_VALUE"""),"50/50")</f>
        <v>50/50</v>
      </c>
      <c r="M2723" s="5" t="str">
        <f>IFERROR(__xludf.DUMMYFUNCTION("""COMPUTED_VALUE"""),"Comedy")</f>
        <v>Comedy</v>
      </c>
      <c r="N2723" s="5">
        <f>IFERROR(__xludf.DUMMYFUNCTION("""COMPUTED_VALUE"""),1.0)</f>
        <v>1</v>
      </c>
    </row>
    <row r="2724">
      <c r="J2724" s="5" t="str">
        <f>IFERROR(__xludf.DUMMYFUNCTION("""COMPUTED_VALUE"""),"908🤙🏼50/50🤙🏼Drama🤙🏼2")</f>
        <v>908🤙🏼50/50🤙🏼Drama🤙🏼2</v>
      </c>
      <c r="K2724" s="5">
        <f>IFERROR(__xludf.DUMMYFUNCTION("SPLiT(J2724, ""🤙🏼"",FALSE,FALSE)"),908.0)</f>
        <v>908</v>
      </c>
      <c r="L2724" s="5" t="str">
        <f>IFERROR(__xludf.DUMMYFUNCTION("""COMPUTED_VALUE"""),"50/50")</f>
        <v>50/50</v>
      </c>
      <c r="M2724" s="5" t="str">
        <f>IFERROR(__xludf.DUMMYFUNCTION("""COMPUTED_VALUE"""),"Drama")</f>
        <v>Drama</v>
      </c>
      <c r="N2724" s="5">
        <f>IFERROR(__xludf.DUMMYFUNCTION("""COMPUTED_VALUE"""),2.0)</f>
        <v>2</v>
      </c>
    </row>
    <row r="2725">
      <c r="J2725" s="5" t="str">
        <f>IFERROR(__xludf.DUMMYFUNCTION("""COMPUTED_VALUE"""),"908🤙🏼50/50🤙🏼Romance🤙🏼3")</f>
        <v>908🤙🏼50/50🤙🏼Romance🤙🏼3</v>
      </c>
      <c r="K2725" s="5">
        <f>IFERROR(__xludf.DUMMYFUNCTION("SPLiT(J2725, ""🤙🏼"",FALSE,FALSE)"),908.0)</f>
        <v>908</v>
      </c>
      <c r="L2725" s="5" t="str">
        <f>IFERROR(__xludf.DUMMYFUNCTION("""COMPUTED_VALUE"""),"50/50")</f>
        <v>50/50</v>
      </c>
      <c r="M2725" s="5" t="str">
        <f>IFERROR(__xludf.DUMMYFUNCTION("""COMPUTED_VALUE"""),"Romance")</f>
        <v>Romance</v>
      </c>
      <c r="N2725" s="5">
        <f>IFERROR(__xludf.DUMMYFUNCTION("""COMPUTED_VALUE"""),3.0)</f>
        <v>3</v>
      </c>
    </row>
    <row r="2726">
      <c r="J2726" s="5" t="str">
        <f>IFERROR(__xludf.DUMMYFUNCTION("""COMPUTED_VALUE"""),"909🤙🏼Kick-Ass🤙🏼Action🤙🏼1")</f>
        <v>909🤙🏼Kick-Ass🤙🏼Action🤙🏼1</v>
      </c>
      <c r="K2726" s="5">
        <f>IFERROR(__xludf.DUMMYFUNCTION("SPLiT(J2726, ""🤙🏼"",FALSE,FALSE)"),909.0)</f>
        <v>909</v>
      </c>
      <c r="L2726" s="5" t="str">
        <f>IFERROR(__xludf.DUMMYFUNCTION("""COMPUTED_VALUE"""),"Kick-Ass")</f>
        <v>Kick-Ass</v>
      </c>
      <c r="M2726" s="5" t="str">
        <f>IFERROR(__xludf.DUMMYFUNCTION("""COMPUTED_VALUE"""),"Action")</f>
        <v>Action</v>
      </c>
      <c r="N2726" s="5">
        <f>IFERROR(__xludf.DUMMYFUNCTION("""COMPUTED_VALUE"""),1.0)</f>
        <v>1</v>
      </c>
    </row>
    <row r="2727">
      <c r="J2727" s="5" t="str">
        <f>IFERROR(__xludf.DUMMYFUNCTION("""COMPUTED_VALUE"""),"909🤙🏼Kick-Ass🤙🏼Comedy🤙🏼2")</f>
        <v>909🤙🏼Kick-Ass🤙🏼Comedy🤙🏼2</v>
      </c>
      <c r="K2727" s="5">
        <f>IFERROR(__xludf.DUMMYFUNCTION("SPLiT(J2727, ""🤙🏼"",FALSE,FALSE)"),909.0)</f>
        <v>909</v>
      </c>
      <c r="L2727" s="5" t="str">
        <f>IFERROR(__xludf.DUMMYFUNCTION("""COMPUTED_VALUE"""),"Kick-Ass")</f>
        <v>Kick-Ass</v>
      </c>
      <c r="M2727" s="5" t="str">
        <f>IFERROR(__xludf.DUMMYFUNCTION("""COMPUTED_VALUE"""),"Comedy")</f>
        <v>Comedy</v>
      </c>
      <c r="N2727" s="5">
        <f>IFERROR(__xludf.DUMMYFUNCTION("""COMPUTED_VALUE"""),2.0)</f>
        <v>2</v>
      </c>
    </row>
    <row r="2728">
      <c r="J2728" s="5" t="str">
        <f>IFERROR(__xludf.DUMMYFUNCTION("""COMPUTED_VALUE"""),"909🤙🏼Kick-Ass🤙🏼Crime🤙🏼3")</f>
        <v>909🤙🏼Kick-Ass🤙🏼Crime🤙🏼3</v>
      </c>
      <c r="K2728" s="5">
        <f>IFERROR(__xludf.DUMMYFUNCTION("SPLiT(J2728, ""🤙🏼"",FALSE,FALSE)"),909.0)</f>
        <v>909</v>
      </c>
      <c r="L2728" s="5" t="str">
        <f>IFERROR(__xludf.DUMMYFUNCTION("""COMPUTED_VALUE"""),"Kick-Ass")</f>
        <v>Kick-Ass</v>
      </c>
      <c r="M2728" s="5" t="str">
        <f>IFERROR(__xludf.DUMMYFUNCTION("""COMPUTED_VALUE"""),"Crime")</f>
        <v>Crime</v>
      </c>
      <c r="N2728" s="5">
        <f>IFERROR(__xludf.DUMMYFUNCTION("""COMPUTED_VALUE"""),3.0)</f>
        <v>3</v>
      </c>
    </row>
    <row r="2729">
      <c r="J2729" s="5" t="str">
        <f>IFERROR(__xludf.DUMMYFUNCTION("""COMPUTED_VALUE"""),"910🤙🏼Celda 211🤙🏼Action🤙🏼1")</f>
        <v>910🤙🏼Celda 211🤙🏼Action🤙🏼1</v>
      </c>
      <c r="K2729" s="5">
        <f>IFERROR(__xludf.DUMMYFUNCTION("SPLiT(J2729, ""🤙🏼"",FALSE,FALSE)"),910.0)</f>
        <v>910</v>
      </c>
      <c r="L2729" s="5" t="str">
        <f>IFERROR(__xludf.DUMMYFUNCTION("""COMPUTED_VALUE"""),"Celda 211")</f>
        <v>Celda 211</v>
      </c>
      <c r="M2729" s="5" t="str">
        <f>IFERROR(__xludf.DUMMYFUNCTION("""COMPUTED_VALUE"""),"Action")</f>
        <v>Action</v>
      </c>
      <c r="N2729" s="5">
        <f>IFERROR(__xludf.DUMMYFUNCTION("""COMPUTED_VALUE"""),1.0)</f>
        <v>1</v>
      </c>
    </row>
    <row r="2730">
      <c r="J2730" s="5" t="str">
        <f>IFERROR(__xludf.DUMMYFUNCTION("""COMPUTED_VALUE"""),"910🤙🏼Celda 211🤙🏼Adventure🤙🏼2")</f>
        <v>910🤙🏼Celda 211🤙🏼Adventure🤙🏼2</v>
      </c>
      <c r="K2730" s="5">
        <f>IFERROR(__xludf.DUMMYFUNCTION("SPLiT(J2730, ""🤙🏼"",FALSE,FALSE)"),910.0)</f>
        <v>910</v>
      </c>
      <c r="L2730" s="5" t="str">
        <f>IFERROR(__xludf.DUMMYFUNCTION("""COMPUTED_VALUE"""),"Celda 211")</f>
        <v>Celda 211</v>
      </c>
      <c r="M2730" s="5" t="str">
        <f>IFERROR(__xludf.DUMMYFUNCTION("""COMPUTED_VALUE"""),"Adventure")</f>
        <v>Adventure</v>
      </c>
      <c r="N2730" s="5">
        <f>IFERROR(__xludf.DUMMYFUNCTION("""COMPUTED_VALUE"""),2.0)</f>
        <v>2</v>
      </c>
    </row>
    <row r="2731">
      <c r="J2731" s="5" t="str">
        <f>IFERROR(__xludf.DUMMYFUNCTION("""COMPUTED_VALUE"""),"910🤙🏼Celda 211🤙🏼Crime🤙🏼3")</f>
        <v>910🤙🏼Celda 211🤙🏼Crime🤙🏼3</v>
      </c>
      <c r="K2731" s="5">
        <f>IFERROR(__xludf.DUMMYFUNCTION("SPLiT(J2731, ""🤙🏼"",FALSE,FALSE)"),910.0)</f>
        <v>910</v>
      </c>
      <c r="L2731" s="5" t="str">
        <f>IFERROR(__xludf.DUMMYFUNCTION("""COMPUTED_VALUE"""),"Celda 211")</f>
        <v>Celda 211</v>
      </c>
      <c r="M2731" s="5" t="str">
        <f>IFERROR(__xludf.DUMMYFUNCTION("""COMPUTED_VALUE"""),"Crime")</f>
        <v>Crime</v>
      </c>
      <c r="N2731" s="5">
        <f>IFERROR(__xludf.DUMMYFUNCTION("""COMPUTED_VALUE"""),3.0)</f>
        <v>3</v>
      </c>
    </row>
    <row r="2732">
      <c r="J2732" s="5" t="str">
        <f>IFERROR(__xludf.DUMMYFUNCTION("""COMPUTED_VALUE"""),"911🤙🏼Moneyball🤙🏼Biography🤙🏼1")</f>
        <v>911🤙🏼Moneyball🤙🏼Biography🤙🏼1</v>
      </c>
      <c r="K2732" s="5">
        <f>IFERROR(__xludf.DUMMYFUNCTION("SPLiT(J2732, ""🤙🏼"",FALSE,FALSE)"),911.0)</f>
        <v>911</v>
      </c>
      <c r="L2732" s="5" t="str">
        <f>IFERROR(__xludf.DUMMYFUNCTION("""COMPUTED_VALUE"""),"Moneyball")</f>
        <v>Moneyball</v>
      </c>
      <c r="M2732" s="5" t="str">
        <f>IFERROR(__xludf.DUMMYFUNCTION("""COMPUTED_VALUE"""),"Biography")</f>
        <v>Biography</v>
      </c>
      <c r="N2732" s="5">
        <f>IFERROR(__xludf.DUMMYFUNCTION("""COMPUTED_VALUE"""),1.0)</f>
        <v>1</v>
      </c>
    </row>
    <row r="2733">
      <c r="J2733" s="5" t="str">
        <f>IFERROR(__xludf.DUMMYFUNCTION("""COMPUTED_VALUE"""),"911🤙🏼Moneyball🤙🏼Drama🤙🏼2")</f>
        <v>911🤙🏼Moneyball🤙🏼Drama🤙🏼2</v>
      </c>
      <c r="K2733" s="5">
        <f>IFERROR(__xludf.DUMMYFUNCTION("SPLiT(J2733, ""🤙🏼"",FALSE,FALSE)"),911.0)</f>
        <v>911</v>
      </c>
      <c r="L2733" s="5" t="str">
        <f>IFERROR(__xludf.DUMMYFUNCTION("""COMPUTED_VALUE"""),"Moneyball")</f>
        <v>Moneyball</v>
      </c>
      <c r="M2733" s="5" t="str">
        <f>IFERROR(__xludf.DUMMYFUNCTION("""COMPUTED_VALUE"""),"Drama")</f>
        <v>Drama</v>
      </c>
      <c r="N2733" s="5">
        <f>IFERROR(__xludf.DUMMYFUNCTION("""COMPUTED_VALUE"""),2.0)</f>
        <v>2</v>
      </c>
    </row>
    <row r="2734">
      <c r="J2734" s="5" t="str">
        <f>IFERROR(__xludf.DUMMYFUNCTION("""COMPUTED_VALUE"""),"911🤙🏼Moneyball🤙🏼Sport🤙🏼3")</f>
        <v>911🤙🏼Moneyball🤙🏼Sport🤙🏼3</v>
      </c>
      <c r="K2734" s="5">
        <f>IFERROR(__xludf.DUMMYFUNCTION("SPLiT(J2734, ""🤙🏼"",FALSE,FALSE)"),911.0)</f>
        <v>911</v>
      </c>
      <c r="L2734" s="5" t="str">
        <f>IFERROR(__xludf.DUMMYFUNCTION("""COMPUTED_VALUE"""),"Moneyball")</f>
        <v>Moneyball</v>
      </c>
      <c r="M2734" s="5" t="str">
        <f>IFERROR(__xludf.DUMMYFUNCTION("""COMPUTED_VALUE"""),"Sport")</f>
        <v>Sport</v>
      </c>
      <c r="N2734" s="5">
        <f>IFERROR(__xludf.DUMMYFUNCTION("""COMPUTED_VALUE"""),3.0)</f>
        <v>3</v>
      </c>
    </row>
    <row r="2735">
      <c r="J2735" s="5" t="str">
        <f>IFERROR(__xludf.DUMMYFUNCTION("""COMPUTED_VALUE"""),"912🤙🏼La piel que habito🤙🏼Drama🤙🏼1")</f>
        <v>912🤙🏼La piel que habito🤙🏼Drama🤙🏼1</v>
      </c>
      <c r="K2735" s="5">
        <f>IFERROR(__xludf.DUMMYFUNCTION("SPLiT(J2735, ""🤙🏼"",FALSE,FALSE)"),912.0)</f>
        <v>912</v>
      </c>
      <c r="L2735" s="5" t="str">
        <f>IFERROR(__xludf.DUMMYFUNCTION("""COMPUTED_VALUE"""),"La piel que habito")</f>
        <v>La piel que habito</v>
      </c>
      <c r="M2735" s="5" t="str">
        <f>IFERROR(__xludf.DUMMYFUNCTION("""COMPUTED_VALUE"""),"Drama")</f>
        <v>Drama</v>
      </c>
      <c r="N2735" s="5">
        <f>IFERROR(__xludf.DUMMYFUNCTION("""COMPUTED_VALUE"""),1.0)</f>
        <v>1</v>
      </c>
    </row>
    <row r="2736">
      <c r="J2736" s="5" t="str">
        <f>IFERROR(__xludf.DUMMYFUNCTION("""COMPUTED_VALUE"""),"912🤙🏼La piel que habito🤙🏼Horror🤙🏼2")</f>
        <v>912🤙🏼La piel que habito🤙🏼Horror🤙🏼2</v>
      </c>
      <c r="K2736" s="5">
        <f>IFERROR(__xludf.DUMMYFUNCTION("SPLiT(J2736, ""🤙🏼"",FALSE,FALSE)"),912.0)</f>
        <v>912</v>
      </c>
      <c r="L2736" s="5" t="str">
        <f>IFERROR(__xludf.DUMMYFUNCTION("""COMPUTED_VALUE"""),"La piel que habito")</f>
        <v>La piel que habito</v>
      </c>
      <c r="M2736" s="5" t="str">
        <f>IFERROR(__xludf.DUMMYFUNCTION("""COMPUTED_VALUE"""),"Horror")</f>
        <v>Horror</v>
      </c>
      <c r="N2736" s="5">
        <f>IFERROR(__xludf.DUMMYFUNCTION("""COMPUTED_VALUE"""),2.0)</f>
        <v>2</v>
      </c>
    </row>
    <row r="2737">
      <c r="J2737" s="5" t="str">
        <f>IFERROR(__xludf.DUMMYFUNCTION("""COMPUTED_VALUE"""),"912🤙🏼La piel que habito🤙🏼Thriller🤙🏼3")</f>
        <v>912🤙🏼La piel que habito🤙🏼Thriller🤙🏼3</v>
      </c>
      <c r="K2737" s="5">
        <f>IFERROR(__xludf.DUMMYFUNCTION("SPLiT(J2737, ""🤙🏼"",FALSE,FALSE)"),912.0)</f>
        <v>912</v>
      </c>
      <c r="L2737" s="5" t="str">
        <f>IFERROR(__xludf.DUMMYFUNCTION("""COMPUTED_VALUE"""),"La piel que habito")</f>
        <v>La piel que habito</v>
      </c>
      <c r="M2737" s="5" t="str">
        <f>IFERROR(__xludf.DUMMYFUNCTION("""COMPUTED_VALUE"""),"Thriller")</f>
        <v>Thriller</v>
      </c>
      <c r="N2737" s="5">
        <f>IFERROR(__xludf.DUMMYFUNCTION("""COMPUTED_VALUE"""),3.0)</f>
        <v>3</v>
      </c>
    </row>
    <row r="2738">
      <c r="J2738" s="5" t="str">
        <f>IFERROR(__xludf.DUMMYFUNCTION("""COMPUTED_VALUE"""),"913🤙🏼Zombieland🤙🏼Adventure🤙🏼1")</f>
        <v>913🤙🏼Zombieland🤙🏼Adventure🤙🏼1</v>
      </c>
      <c r="K2738" s="5">
        <f>IFERROR(__xludf.DUMMYFUNCTION("SPLiT(J2738, ""🤙🏼"",FALSE,FALSE)"),913.0)</f>
        <v>913</v>
      </c>
      <c r="L2738" s="5" t="str">
        <f>IFERROR(__xludf.DUMMYFUNCTION("""COMPUTED_VALUE"""),"Zombieland")</f>
        <v>Zombieland</v>
      </c>
      <c r="M2738" s="5" t="str">
        <f>IFERROR(__xludf.DUMMYFUNCTION("""COMPUTED_VALUE"""),"Adventure")</f>
        <v>Adventure</v>
      </c>
      <c r="N2738" s="5">
        <f>IFERROR(__xludf.DUMMYFUNCTION("""COMPUTED_VALUE"""),1.0)</f>
        <v>1</v>
      </c>
    </row>
    <row r="2739">
      <c r="J2739" s="5" t="str">
        <f>IFERROR(__xludf.DUMMYFUNCTION("""COMPUTED_VALUE"""),"913🤙🏼Zombieland🤙🏼Comedy🤙🏼2")</f>
        <v>913🤙🏼Zombieland🤙🏼Comedy🤙🏼2</v>
      </c>
      <c r="K2739" s="5">
        <f>IFERROR(__xludf.DUMMYFUNCTION("SPLiT(J2739, ""🤙🏼"",FALSE,FALSE)"),913.0)</f>
        <v>913</v>
      </c>
      <c r="L2739" s="5" t="str">
        <f>IFERROR(__xludf.DUMMYFUNCTION("""COMPUTED_VALUE"""),"Zombieland")</f>
        <v>Zombieland</v>
      </c>
      <c r="M2739" s="5" t="str">
        <f>IFERROR(__xludf.DUMMYFUNCTION("""COMPUTED_VALUE"""),"Comedy")</f>
        <v>Comedy</v>
      </c>
      <c r="N2739" s="5">
        <f>IFERROR(__xludf.DUMMYFUNCTION("""COMPUTED_VALUE"""),2.0)</f>
        <v>2</v>
      </c>
    </row>
    <row r="2740">
      <c r="J2740" s="5" t="str">
        <f>IFERROR(__xludf.DUMMYFUNCTION("""COMPUTED_VALUE"""),"913🤙🏼Zombieland🤙🏼Fantasy🤙🏼3")</f>
        <v>913🤙🏼Zombieland🤙🏼Fantasy🤙🏼3</v>
      </c>
      <c r="K2740" s="5">
        <f>IFERROR(__xludf.DUMMYFUNCTION("SPLiT(J2740, ""🤙🏼"",FALSE,FALSE)"),913.0)</f>
        <v>913</v>
      </c>
      <c r="L2740" s="5" t="str">
        <f>IFERROR(__xludf.DUMMYFUNCTION("""COMPUTED_VALUE"""),"Zombieland")</f>
        <v>Zombieland</v>
      </c>
      <c r="M2740" s="5" t="str">
        <f>IFERROR(__xludf.DUMMYFUNCTION("""COMPUTED_VALUE"""),"Fantasy")</f>
        <v>Fantasy</v>
      </c>
      <c r="N2740" s="5">
        <f>IFERROR(__xludf.DUMMYFUNCTION("""COMPUTED_VALUE"""),3.0)</f>
        <v>3</v>
      </c>
    </row>
    <row r="2741">
      <c r="J2741" s="5" t="str">
        <f>IFERROR(__xludf.DUMMYFUNCTION("""COMPUTED_VALUE"""),"914🤙🏼Die Welle🤙🏼Drama🤙🏼1")</f>
        <v>914🤙🏼Die Welle🤙🏼Drama🤙🏼1</v>
      </c>
      <c r="K2741" s="5">
        <f>IFERROR(__xludf.DUMMYFUNCTION("SPLiT(J2741, ""🤙🏼"",FALSE,FALSE)"),914.0)</f>
        <v>914</v>
      </c>
      <c r="L2741" s="5" t="str">
        <f>IFERROR(__xludf.DUMMYFUNCTION("""COMPUTED_VALUE"""),"Die Welle")</f>
        <v>Die Welle</v>
      </c>
      <c r="M2741" s="5" t="str">
        <f>IFERROR(__xludf.DUMMYFUNCTION("""COMPUTED_VALUE"""),"Drama")</f>
        <v>Drama</v>
      </c>
      <c r="N2741" s="5">
        <f>IFERROR(__xludf.DUMMYFUNCTION("""COMPUTED_VALUE"""),1.0)</f>
        <v>1</v>
      </c>
    </row>
    <row r="2742">
      <c r="J2742" s="5" t="str">
        <f>IFERROR(__xludf.DUMMYFUNCTION("""COMPUTED_VALUE"""),"914🤙🏼Die Welle🤙🏼Thriller🤙🏼2")</f>
        <v>914🤙🏼Die Welle🤙🏼Thriller🤙🏼2</v>
      </c>
      <c r="K2742" s="5">
        <f>IFERROR(__xludf.DUMMYFUNCTION("SPLiT(J2742, ""🤙🏼"",FALSE,FALSE)"),914.0)</f>
        <v>914</v>
      </c>
      <c r="L2742" s="5" t="str">
        <f>IFERROR(__xludf.DUMMYFUNCTION("""COMPUTED_VALUE"""),"Die Welle")</f>
        <v>Die Welle</v>
      </c>
      <c r="M2742" s="5" t="str">
        <f>IFERROR(__xludf.DUMMYFUNCTION("""COMPUTED_VALUE"""),"Thriller")</f>
        <v>Thriller</v>
      </c>
      <c r="N2742" s="5">
        <f>IFERROR(__xludf.DUMMYFUNCTION("""COMPUTED_VALUE"""),2.0)</f>
        <v>2</v>
      </c>
    </row>
    <row r="2743">
      <c r="J2743" s="5" t="str">
        <f>IFERROR(__xludf.DUMMYFUNCTION("""COMPUTED_VALUE"""),"914🤙🏼Die Welle🤙🏼🤙🏼3")</f>
        <v>914🤙🏼Die Welle🤙🏼🤙🏼3</v>
      </c>
      <c r="K2743" s="5">
        <f>IFERROR(__xludf.DUMMYFUNCTION("SPLiT(J2743, ""🤙🏼"",FALSE,FALSE)"),914.0)</f>
        <v>914</v>
      </c>
      <c r="L2743" s="5" t="str">
        <f>IFERROR(__xludf.DUMMYFUNCTION("""COMPUTED_VALUE"""),"Die Welle")</f>
        <v>Die Welle</v>
      </c>
      <c r="M2743" s="5"/>
      <c r="N2743" s="5">
        <f>IFERROR(__xludf.DUMMYFUNCTION("""COMPUTED_VALUE"""),3.0)</f>
        <v>3</v>
      </c>
    </row>
    <row r="2744">
      <c r="J2744" s="5" t="str">
        <f>IFERROR(__xludf.DUMMYFUNCTION("""COMPUTED_VALUE"""),"915🤙🏼Sherlock Holmes🤙🏼Action🤙🏼1")</f>
        <v>915🤙🏼Sherlock Holmes🤙🏼Action🤙🏼1</v>
      </c>
      <c r="K2744" s="5">
        <f>IFERROR(__xludf.DUMMYFUNCTION("SPLiT(J2744, ""🤙🏼"",FALSE,FALSE)"),915.0)</f>
        <v>915</v>
      </c>
      <c r="L2744" s="5" t="str">
        <f>IFERROR(__xludf.DUMMYFUNCTION("""COMPUTED_VALUE"""),"Sherlock Holmes")</f>
        <v>Sherlock Holmes</v>
      </c>
      <c r="M2744" s="5" t="str">
        <f>IFERROR(__xludf.DUMMYFUNCTION("""COMPUTED_VALUE"""),"Action")</f>
        <v>Action</v>
      </c>
      <c r="N2744" s="5">
        <f>IFERROR(__xludf.DUMMYFUNCTION("""COMPUTED_VALUE"""),1.0)</f>
        <v>1</v>
      </c>
    </row>
    <row r="2745">
      <c r="J2745" s="5" t="str">
        <f>IFERROR(__xludf.DUMMYFUNCTION("""COMPUTED_VALUE"""),"915🤙🏼Sherlock Holmes🤙🏼Adventure🤙🏼2")</f>
        <v>915🤙🏼Sherlock Holmes🤙🏼Adventure🤙🏼2</v>
      </c>
      <c r="K2745" s="5">
        <f>IFERROR(__xludf.DUMMYFUNCTION("SPLiT(J2745, ""🤙🏼"",FALSE,FALSE)"),915.0)</f>
        <v>915</v>
      </c>
      <c r="L2745" s="5" t="str">
        <f>IFERROR(__xludf.DUMMYFUNCTION("""COMPUTED_VALUE"""),"Sherlock Holmes")</f>
        <v>Sherlock Holmes</v>
      </c>
      <c r="M2745" s="5" t="str">
        <f>IFERROR(__xludf.DUMMYFUNCTION("""COMPUTED_VALUE"""),"Adventure")</f>
        <v>Adventure</v>
      </c>
      <c r="N2745" s="5">
        <f>IFERROR(__xludf.DUMMYFUNCTION("""COMPUTED_VALUE"""),2.0)</f>
        <v>2</v>
      </c>
    </row>
    <row r="2746">
      <c r="J2746" s="5" t="str">
        <f>IFERROR(__xludf.DUMMYFUNCTION("""COMPUTED_VALUE"""),"915🤙🏼Sherlock Holmes🤙🏼Mystery🤙🏼3")</f>
        <v>915🤙🏼Sherlock Holmes🤙🏼Mystery🤙🏼3</v>
      </c>
      <c r="K2746" s="5">
        <f>IFERROR(__xludf.DUMMYFUNCTION("SPLiT(J2746, ""🤙🏼"",FALSE,FALSE)"),915.0)</f>
        <v>915</v>
      </c>
      <c r="L2746" s="5" t="str">
        <f>IFERROR(__xludf.DUMMYFUNCTION("""COMPUTED_VALUE"""),"Sherlock Holmes")</f>
        <v>Sherlock Holmes</v>
      </c>
      <c r="M2746" s="5" t="str">
        <f>IFERROR(__xludf.DUMMYFUNCTION("""COMPUTED_VALUE"""),"Mystery")</f>
        <v>Mystery</v>
      </c>
      <c r="N2746" s="5">
        <f>IFERROR(__xludf.DUMMYFUNCTION("""COMPUTED_VALUE"""),3.0)</f>
        <v>3</v>
      </c>
    </row>
    <row r="2747">
      <c r="J2747" s="5" t="str">
        <f>IFERROR(__xludf.DUMMYFUNCTION("""COMPUTED_VALUE"""),"916🤙🏼The Blind Side🤙🏼Biography🤙🏼1")</f>
        <v>916🤙🏼The Blind Side🤙🏼Biography🤙🏼1</v>
      </c>
      <c r="K2747" s="5">
        <f>IFERROR(__xludf.DUMMYFUNCTION("SPLiT(J2747, ""🤙🏼"",FALSE,FALSE)"),916.0)</f>
        <v>916</v>
      </c>
      <c r="L2747" s="5" t="str">
        <f>IFERROR(__xludf.DUMMYFUNCTION("""COMPUTED_VALUE"""),"The Blind Side")</f>
        <v>The Blind Side</v>
      </c>
      <c r="M2747" s="5" t="str">
        <f>IFERROR(__xludf.DUMMYFUNCTION("""COMPUTED_VALUE"""),"Biography")</f>
        <v>Biography</v>
      </c>
      <c r="N2747" s="5">
        <f>IFERROR(__xludf.DUMMYFUNCTION("""COMPUTED_VALUE"""),1.0)</f>
        <v>1</v>
      </c>
    </row>
    <row r="2748">
      <c r="J2748" s="5" t="str">
        <f>IFERROR(__xludf.DUMMYFUNCTION("""COMPUTED_VALUE"""),"916🤙🏼The Blind Side🤙🏼Drama🤙🏼2")</f>
        <v>916🤙🏼The Blind Side🤙🏼Drama🤙🏼2</v>
      </c>
      <c r="K2748" s="5">
        <f>IFERROR(__xludf.DUMMYFUNCTION("SPLiT(J2748, ""🤙🏼"",FALSE,FALSE)"),916.0)</f>
        <v>916</v>
      </c>
      <c r="L2748" s="5" t="str">
        <f>IFERROR(__xludf.DUMMYFUNCTION("""COMPUTED_VALUE"""),"The Blind Side")</f>
        <v>The Blind Side</v>
      </c>
      <c r="M2748" s="5" t="str">
        <f>IFERROR(__xludf.DUMMYFUNCTION("""COMPUTED_VALUE"""),"Drama")</f>
        <v>Drama</v>
      </c>
      <c r="N2748" s="5">
        <f>IFERROR(__xludf.DUMMYFUNCTION("""COMPUTED_VALUE"""),2.0)</f>
        <v>2</v>
      </c>
    </row>
    <row r="2749">
      <c r="J2749" s="5" t="str">
        <f>IFERROR(__xludf.DUMMYFUNCTION("""COMPUTED_VALUE"""),"916🤙🏼The Blind Side🤙🏼Sport🤙🏼3")</f>
        <v>916🤙🏼The Blind Side🤙🏼Sport🤙🏼3</v>
      </c>
      <c r="K2749" s="5">
        <f>IFERROR(__xludf.DUMMYFUNCTION("SPLiT(J2749, ""🤙🏼"",FALSE,FALSE)"),916.0)</f>
        <v>916</v>
      </c>
      <c r="L2749" s="5" t="str">
        <f>IFERROR(__xludf.DUMMYFUNCTION("""COMPUTED_VALUE"""),"The Blind Side")</f>
        <v>The Blind Side</v>
      </c>
      <c r="M2749" s="5" t="str">
        <f>IFERROR(__xludf.DUMMYFUNCTION("""COMPUTED_VALUE"""),"Sport")</f>
        <v>Sport</v>
      </c>
      <c r="N2749" s="5">
        <f>IFERROR(__xludf.DUMMYFUNCTION("""COMPUTED_VALUE"""),3.0)</f>
        <v>3</v>
      </c>
    </row>
    <row r="2750">
      <c r="J2750" s="5" t="str">
        <f>IFERROR(__xludf.DUMMYFUNCTION("""COMPUTED_VALUE"""),"917🤙🏼The Visitor🤙🏼Drama🤙🏼1")</f>
        <v>917🤙🏼The Visitor🤙🏼Drama🤙🏼1</v>
      </c>
      <c r="K2750" s="5">
        <f>IFERROR(__xludf.DUMMYFUNCTION("SPLiT(J2750, ""🤙🏼"",FALSE,FALSE)"),917.0)</f>
        <v>917</v>
      </c>
      <c r="L2750" s="5" t="str">
        <f>IFERROR(__xludf.DUMMYFUNCTION("""COMPUTED_VALUE"""),"The Visitor")</f>
        <v>The Visitor</v>
      </c>
      <c r="M2750" s="5" t="str">
        <f>IFERROR(__xludf.DUMMYFUNCTION("""COMPUTED_VALUE"""),"Drama")</f>
        <v>Drama</v>
      </c>
      <c r="N2750" s="5">
        <f>IFERROR(__xludf.DUMMYFUNCTION("""COMPUTED_VALUE"""),1.0)</f>
        <v>1</v>
      </c>
    </row>
    <row r="2751">
      <c r="J2751" s="5" t="str">
        <f>IFERROR(__xludf.DUMMYFUNCTION("""COMPUTED_VALUE"""),"917🤙🏼The Visitor🤙🏼🤙🏼2")</f>
        <v>917🤙🏼The Visitor🤙🏼🤙🏼2</v>
      </c>
      <c r="K2751" s="5">
        <f>IFERROR(__xludf.DUMMYFUNCTION("SPLiT(J2751, ""🤙🏼"",FALSE,FALSE)"),917.0)</f>
        <v>917</v>
      </c>
      <c r="L2751" s="5" t="str">
        <f>IFERROR(__xludf.DUMMYFUNCTION("""COMPUTED_VALUE"""),"The Visitor")</f>
        <v>The Visitor</v>
      </c>
      <c r="M2751" s="5"/>
      <c r="N2751" s="5">
        <f>IFERROR(__xludf.DUMMYFUNCTION("""COMPUTED_VALUE"""),2.0)</f>
        <v>2</v>
      </c>
    </row>
    <row r="2752">
      <c r="J2752" s="5" t="str">
        <f>IFERROR(__xludf.DUMMYFUNCTION("""COMPUTED_VALUE"""),"917🤙🏼The Visitor🤙🏼🤙🏼3")</f>
        <v>917🤙🏼The Visitor🤙🏼🤙🏼3</v>
      </c>
      <c r="K2752" s="5">
        <f>IFERROR(__xludf.DUMMYFUNCTION("SPLiT(J2752, ""🤙🏼"",FALSE,FALSE)"),917.0)</f>
        <v>917</v>
      </c>
      <c r="L2752" s="5" t="str">
        <f>IFERROR(__xludf.DUMMYFUNCTION("""COMPUTED_VALUE"""),"The Visitor")</f>
        <v>The Visitor</v>
      </c>
      <c r="M2752" s="5"/>
      <c r="N2752" s="5">
        <f>IFERROR(__xludf.DUMMYFUNCTION("""COMPUTED_VALUE"""),3.0)</f>
        <v>3</v>
      </c>
    </row>
    <row r="2753">
      <c r="J2753" s="5" t="str">
        <f>IFERROR(__xludf.DUMMYFUNCTION("""COMPUTED_VALUE"""),"918🤙🏼Seven Pounds🤙🏼Drama🤙🏼1")</f>
        <v>918🤙🏼Seven Pounds🤙🏼Drama🤙🏼1</v>
      </c>
      <c r="K2753" s="5">
        <f>IFERROR(__xludf.DUMMYFUNCTION("SPLiT(J2753, ""🤙🏼"",FALSE,FALSE)"),918.0)</f>
        <v>918</v>
      </c>
      <c r="L2753" s="5" t="str">
        <f>IFERROR(__xludf.DUMMYFUNCTION("""COMPUTED_VALUE"""),"Seven Pounds")</f>
        <v>Seven Pounds</v>
      </c>
      <c r="M2753" s="5" t="str">
        <f>IFERROR(__xludf.DUMMYFUNCTION("""COMPUTED_VALUE"""),"Drama")</f>
        <v>Drama</v>
      </c>
      <c r="N2753" s="5">
        <f>IFERROR(__xludf.DUMMYFUNCTION("""COMPUTED_VALUE"""),1.0)</f>
        <v>1</v>
      </c>
    </row>
    <row r="2754">
      <c r="J2754" s="5" t="str">
        <f>IFERROR(__xludf.DUMMYFUNCTION("""COMPUTED_VALUE"""),"918🤙🏼Seven Pounds🤙🏼🤙🏼2")</f>
        <v>918🤙🏼Seven Pounds🤙🏼🤙🏼2</v>
      </c>
      <c r="K2754" s="5">
        <f>IFERROR(__xludf.DUMMYFUNCTION("SPLiT(J2754, ""🤙🏼"",FALSE,FALSE)"),918.0)</f>
        <v>918</v>
      </c>
      <c r="L2754" s="5" t="str">
        <f>IFERROR(__xludf.DUMMYFUNCTION("""COMPUTED_VALUE"""),"Seven Pounds")</f>
        <v>Seven Pounds</v>
      </c>
      <c r="M2754" s="5"/>
      <c r="N2754" s="5">
        <f>IFERROR(__xludf.DUMMYFUNCTION("""COMPUTED_VALUE"""),2.0)</f>
        <v>2</v>
      </c>
    </row>
    <row r="2755">
      <c r="J2755" s="5" t="str">
        <f>IFERROR(__xludf.DUMMYFUNCTION("""COMPUTED_VALUE"""),"918🤙🏼Seven Pounds🤙🏼🤙🏼3")</f>
        <v>918🤙🏼Seven Pounds🤙🏼🤙🏼3</v>
      </c>
      <c r="K2755" s="5">
        <f>IFERROR(__xludf.DUMMYFUNCTION("SPLiT(J2755, ""🤙🏼"",FALSE,FALSE)"),918.0)</f>
        <v>918</v>
      </c>
      <c r="L2755" s="5" t="str">
        <f>IFERROR(__xludf.DUMMYFUNCTION("""COMPUTED_VALUE"""),"Seven Pounds")</f>
        <v>Seven Pounds</v>
      </c>
      <c r="M2755" s="5"/>
      <c r="N2755" s="5">
        <f>IFERROR(__xludf.DUMMYFUNCTION("""COMPUTED_VALUE"""),3.0)</f>
        <v>3</v>
      </c>
    </row>
    <row r="2756">
      <c r="J2756" s="5" t="str">
        <f>IFERROR(__xludf.DUMMYFUNCTION("""COMPUTED_VALUE"""),"919🤙🏼Eastern Promises🤙🏼Action🤙🏼1")</f>
        <v>919🤙🏼Eastern Promises🤙🏼Action🤙🏼1</v>
      </c>
      <c r="K2756" s="5">
        <f>IFERROR(__xludf.DUMMYFUNCTION("SPLiT(J2756, ""🤙🏼"",FALSE,FALSE)"),919.0)</f>
        <v>919</v>
      </c>
      <c r="L2756" s="5" t="str">
        <f>IFERROR(__xludf.DUMMYFUNCTION("""COMPUTED_VALUE"""),"Eastern Promises")</f>
        <v>Eastern Promises</v>
      </c>
      <c r="M2756" s="5" t="str">
        <f>IFERROR(__xludf.DUMMYFUNCTION("""COMPUTED_VALUE"""),"Action")</f>
        <v>Action</v>
      </c>
      <c r="N2756" s="5">
        <f>IFERROR(__xludf.DUMMYFUNCTION("""COMPUTED_VALUE"""),1.0)</f>
        <v>1</v>
      </c>
    </row>
    <row r="2757">
      <c r="J2757" s="5" t="str">
        <f>IFERROR(__xludf.DUMMYFUNCTION("""COMPUTED_VALUE"""),"919🤙🏼Eastern Promises🤙🏼Crime🤙🏼2")</f>
        <v>919🤙🏼Eastern Promises🤙🏼Crime🤙🏼2</v>
      </c>
      <c r="K2757" s="5">
        <f>IFERROR(__xludf.DUMMYFUNCTION("SPLiT(J2757, ""🤙🏼"",FALSE,FALSE)"),919.0)</f>
        <v>919</v>
      </c>
      <c r="L2757" s="5" t="str">
        <f>IFERROR(__xludf.DUMMYFUNCTION("""COMPUTED_VALUE"""),"Eastern Promises")</f>
        <v>Eastern Promises</v>
      </c>
      <c r="M2757" s="5" t="str">
        <f>IFERROR(__xludf.DUMMYFUNCTION("""COMPUTED_VALUE"""),"Crime")</f>
        <v>Crime</v>
      </c>
      <c r="N2757" s="5">
        <f>IFERROR(__xludf.DUMMYFUNCTION("""COMPUTED_VALUE"""),2.0)</f>
        <v>2</v>
      </c>
    </row>
    <row r="2758">
      <c r="J2758" s="5" t="str">
        <f>IFERROR(__xludf.DUMMYFUNCTION("""COMPUTED_VALUE"""),"919🤙🏼Eastern Promises🤙🏼Drama🤙🏼3")</f>
        <v>919🤙🏼Eastern Promises🤙🏼Drama🤙🏼3</v>
      </c>
      <c r="K2758" s="5">
        <f>IFERROR(__xludf.DUMMYFUNCTION("SPLiT(J2758, ""🤙🏼"",FALSE,FALSE)"),919.0)</f>
        <v>919</v>
      </c>
      <c r="L2758" s="5" t="str">
        <f>IFERROR(__xludf.DUMMYFUNCTION("""COMPUTED_VALUE"""),"Eastern Promises")</f>
        <v>Eastern Promises</v>
      </c>
      <c r="M2758" s="5" t="str">
        <f>IFERROR(__xludf.DUMMYFUNCTION("""COMPUTED_VALUE"""),"Drama")</f>
        <v>Drama</v>
      </c>
      <c r="N2758" s="5">
        <f>IFERROR(__xludf.DUMMYFUNCTION("""COMPUTED_VALUE"""),3.0)</f>
        <v>3</v>
      </c>
    </row>
    <row r="2759">
      <c r="J2759" s="5" t="str">
        <f>IFERROR(__xludf.DUMMYFUNCTION("""COMPUTED_VALUE"""),"920🤙🏼Stardust🤙🏼Adventure🤙🏼1")</f>
        <v>920🤙🏼Stardust🤙🏼Adventure🤙🏼1</v>
      </c>
      <c r="K2759" s="5">
        <f>IFERROR(__xludf.DUMMYFUNCTION("SPLiT(J2759, ""🤙🏼"",FALSE,FALSE)"),920.0)</f>
        <v>920</v>
      </c>
      <c r="L2759" s="5" t="str">
        <f>IFERROR(__xludf.DUMMYFUNCTION("""COMPUTED_VALUE"""),"Stardust")</f>
        <v>Stardust</v>
      </c>
      <c r="M2759" s="5" t="str">
        <f>IFERROR(__xludf.DUMMYFUNCTION("""COMPUTED_VALUE"""),"Adventure")</f>
        <v>Adventure</v>
      </c>
      <c r="N2759" s="5">
        <f>IFERROR(__xludf.DUMMYFUNCTION("""COMPUTED_VALUE"""),1.0)</f>
        <v>1</v>
      </c>
    </row>
    <row r="2760">
      <c r="J2760" s="5" t="str">
        <f>IFERROR(__xludf.DUMMYFUNCTION("""COMPUTED_VALUE"""),"920🤙🏼Stardust🤙🏼Family🤙🏼2")</f>
        <v>920🤙🏼Stardust🤙🏼Family🤙🏼2</v>
      </c>
      <c r="K2760" s="5">
        <f>IFERROR(__xludf.DUMMYFUNCTION("SPLiT(J2760, ""🤙🏼"",FALSE,FALSE)"),920.0)</f>
        <v>920</v>
      </c>
      <c r="L2760" s="5" t="str">
        <f>IFERROR(__xludf.DUMMYFUNCTION("""COMPUTED_VALUE"""),"Stardust")</f>
        <v>Stardust</v>
      </c>
      <c r="M2760" s="5" t="str">
        <f>IFERROR(__xludf.DUMMYFUNCTION("""COMPUTED_VALUE"""),"Family")</f>
        <v>Family</v>
      </c>
      <c r="N2760" s="5">
        <f>IFERROR(__xludf.DUMMYFUNCTION("""COMPUTED_VALUE"""),2.0)</f>
        <v>2</v>
      </c>
    </row>
    <row r="2761">
      <c r="J2761" s="5" t="str">
        <f>IFERROR(__xludf.DUMMYFUNCTION("""COMPUTED_VALUE"""),"920🤙🏼Stardust🤙🏼Fantasy🤙🏼3")</f>
        <v>920🤙🏼Stardust🤙🏼Fantasy🤙🏼3</v>
      </c>
      <c r="K2761" s="5">
        <f>IFERROR(__xludf.DUMMYFUNCTION("SPLiT(J2761, ""🤙🏼"",FALSE,FALSE)"),920.0)</f>
        <v>920</v>
      </c>
      <c r="L2761" s="5" t="str">
        <f>IFERROR(__xludf.DUMMYFUNCTION("""COMPUTED_VALUE"""),"Stardust")</f>
        <v>Stardust</v>
      </c>
      <c r="M2761" s="5" t="str">
        <f>IFERROR(__xludf.DUMMYFUNCTION("""COMPUTED_VALUE"""),"Fantasy")</f>
        <v>Fantasy</v>
      </c>
      <c r="N2761" s="5">
        <f>IFERROR(__xludf.DUMMYFUNCTION("""COMPUTED_VALUE"""),3.0)</f>
        <v>3</v>
      </c>
    </row>
    <row r="2762">
      <c r="J2762" s="5" t="str">
        <f>IFERROR(__xludf.DUMMYFUNCTION("""COMPUTED_VALUE"""),"921🤙🏼The Secret of Kells🤙🏼Animation🤙🏼1")</f>
        <v>921🤙🏼The Secret of Kells🤙🏼Animation🤙🏼1</v>
      </c>
      <c r="K2762" s="5">
        <f>IFERROR(__xludf.DUMMYFUNCTION("SPLiT(J2762, ""🤙🏼"",FALSE,FALSE)"),921.0)</f>
        <v>921</v>
      </c>
      <c r="L2762" s="5" t="str">
        <f>IFERROR(__xludf.DUMMYFUNCTION("""COMPUTED_VALUE"""),"The Secret of Kells")</f>
        <v>The Secret of Kells</v>
      </c>
      <c r="M2762" s="5" t="str">
        <f>IFERROR(__xludf.DUMMYFUNCTION("""COMPUTED_VALUE"""),"Animation")</f>
        <v>Animation</v>
      </c>
      <c r="N2762" s="5">
        <f>IFERROR(__xludf.DUMMYFUNCTION("""COMPUTED_VALUE"""),1.0)</f>
        <v>1</v>
      </c>
    </row>
    <row r="2763">
      <c r="J2763" s="5" t="str">
        <f>IFERROR(__xludf.DUMMYFUNCTION("""COMPUTED_VALUE"""),"921🤙🏼The Secret of Kells🤙🏼Adventure🤙🏼2")</f>
        <v>921🤙🏼The Secret of Kells🤙🏼Adventure🤙🏼2</v>
      </c>
      <c r="K2763" s="5">
        <f>IFERROR(__xludf.DUMMYFUNCTION("SPLiT(J2763, ""🤙🏼"",FALSE,FALSE)"),921.0)</f>
        <v>921</v>
      </c>
      <c r="L2763" s="5" t="str">
        <f>IFERROR(__xludf.DUMMYFUNCTION("""COMPUTED_VALUE"""),"The Secret of Kells")</f>
        <v>The Secret of Kells</v>
      </c>
      <c r="M2763" s="5" t="str">
        <f>IFERROR(__xludf.DUMMYFUNCTION("""COMPUTED_VALUE"""),"Adventure")</f>
        <v>Adventure</v>
      </c>
      <c r="N2763" s="5">
        <f>IFERROR(__xludf.DUMMYFUNCTION("""COMPUTED_VALUE"""),2.0)</f>
        <v>2</v>
      </c>
    </row>
    <row r="2764">
      <c r="J2764" s="5" t="str">
        <f>IFERROR(__xludf.DUMMYFUNCTION("""COMPUTED_VALUE"""),"921🤙🏼The Secret of Kells🤙🏼Family🤙🏼3")</f>
        <v>921🤙🏼The Secret of Kells🤙🏼Family🤙🏼3</v>
      </c>
      <c r="K2764" s="5">
        <f>IFERROR(__xludf.DUMMYFUNCTION("SPLiT(J2764, ""🤙🏼"",FALSE,FALSE)"),921.0)</f>
        <v>921</v>
      </c>
      <c r="L2764" s="5" t="str">
        <f>IFERROR(__xludf.DUMMYFUNCTION("""COMPUTED_VALUE"""),"The Secret of Kells")</f>
        <v>The Secret of Kells</v>
      </c>
      <c r="M2764" s="5" t="str">
        <f>IFERROR(__xludf.DUMMYFUNCTION("""COMPUTED_VALUE"""),"Family")</f>
        <v>Family</v>
      </c>
      <c r="N2764" s="5">
        <f>IFERROR(__xludf.DUMMYFUNCTION("""COMPUTED_VALUE"""),3.0)</f>
        <v>3</v>
      </c>
    </row>
    <row r="2765">
      <c r="J2765" s="5" t="str">
        <f>IFERROR(__xludf.DUMMYFUNCTION("""COMPUTED_VALUE"""),"922🤙🏼Inside Man🤙🏼Crime🤙🏼1")</f>
        <v>922🤙🏼Inside Man🤙🏼Crime🤙🏼1</v>
      </c>
      <c r="K2765" s="5">
        <f>IFERROR(__xludf.DUMMYFUNCTION("SPLiT(J2765, ""🤙🏼"",FALSE,FALSE)"),922.0)</f>
        <v>922</v>
      </c>
      <c r="L2765" s="5" t="str">
        <f>IFERROR(__xludf.DUMMYFUNCTION("""COMPUTED_VALUE"""),"Inside Man")</f>
        <v>Inside Man</v>
      </c>
      <c r="M2765" s="5" t="str">
        <f>IFERROR(__xludf.DUMMYFUNCTION("""COMPUTED_VALUE"""),"Crime")</f>
        <v>Crime</v>
      </c>
      <c r="N2765" s="5">
        <f>IFERROR(__xludf.DUMMYFUNCTION("""COMPUTED_VALUE"""),1.0)</f>
        <v>1</v>
      </c>
    </row>
    <row r="2766">
      <c r="J2766" s="5" t="str">
        <f>IFERROR(__xludf.DUMMYFUNCTION("""COMPUTED_VALUE"""),"922🤙🏼Inside Man🤙🏼Drama🤙🏼2")</f>
        <v>922🤙🏼Inside Man🤙🏼Drama🤙🏼2</v>
      </c>
      <c r="K2766" s="5">
        <f>IFERROR(__xludf.DUMMYFUNCTION("SPLiT(J2766, ""🤙🏼"",FALSE,FALSE)"),922.0)</f>
        <v>922</v>
      </c>
      <c r="L2766" s="5" t="str">
        <f>IFERROR(__xludf.DUMMYFUNCTION("""COMPUTED_VALUE"""),"Inside Man")</f>
        <v>Inside Man</v>
      </c>
      <c r="M2766" s="5" t="str">
        <f>IFERROR(__xludf.DUMMYFUNCTION("""COMPUTED_VALUE"""),"Drama")</f>
        <v>Drama</v>
      </c>
      <c r="N2766" s="5">
        <f>IFERROR(__xludf.DUMMYFUNCTION("""COMPUTED_VALUE"""),2.0)</f>
        <v>2</v>
      </c>
    </row>
    <row r="2767">
      <c r="J2767" s="5" t="str">
        <f>IFERROR(__xludf.DUMMYFUNCTION("""COMPUTED_VALUE"""),"922🤙🏼Inside Man🤙🏼Mystery🤙🏼3")</f>
        <v>922🤙🏼Inside Man🤙🏼Mystery🤙🏼3</v>
      </c>
      <c r="K2767" s="5">
        <f>IFERROR(__xludf.DUMMYFUNCTION("SPLiT(J2767, ""🤙🏼"",FALSE,FALSE)"),922.0)</f>
        <v>922</v>
      </c>
      <c r="L2767" s="5" t="str">
        <f>IFERROR(__xludf.DUMMYFUNCTION("""COMPUTED_VALUE"""),"Inside Man")</f>
        <v>Inside Man</v>
      </c>
      <c r="M2767" s="5" t="str">
        <f>IFERROR(__xludf.DUMMYFUNCTION("""COMPUTED_VALUE"""),"Mystery")</f>
        <v>Mystery</v>
      </c>
      <c r="N2767" s="5">
        <f>IFERROR(__xludf.DUMMYFUNCTION("""COMPUTED_VALUE"""),3.0)</f>
        <v>3</v>
      </c>
    </row>
    <row r="2768">
      <c r="J2768" s="5" t="str">
        <f>IFERROR(__xludf.DUMMYFUNCTION("""COMPUTED_VALUE"""),"923🤙🏼Gone Baby Gone🤙🏼Crime🤙🏼1")</f>
        <v>923🤙🏼Gone Baby Gone🤙🏼Crime🤙🏼1</v>
      </c>
      <c r="K2768" s="5">
        <f>IFERROR(__xludf.DUMMYFUNCTION("SPLiT(J2768, ""🤙🏼"",FALSE,FALSE)"),923.0)</f>
        <v>923</v>
      </c>
      <c r="L2768" s="5" t="str">
        <f>IFERROR(__xludf.DUMMYFUNCTION("""COMPUTED_VALUE"""),"Gone Baby Gone")</f>
        <v>Gone Baby Gone</v>
      </c>
      <c r="M2768" s="5" t="str">
        <f>IFERROR(__xludf.DUMMYFUNCTION("""COMPUTED_VALUE"""),"Crime")</f>
        <v>Crime</v>
      </c>
      <c r="N2768" s="5">
        <f>IFERROR(__xludf.DUMMYFUNCTION("""COMPUTED_VALUE"""),1.0)</f>
        <v>1</v>
      </c>
    </row>
    <row r="2769">
      <c r="J2769" s="5" t="str">
        <f>IFERROR(__xludf.DUMMYFUNCTION("""COMPUTED_VALUE"""),"923🤙🏼Gone Baby Gone🤙🏼Drama🤙🏼2")</f>
        <v>923🤙🏼Gone Baby Gone🤙🏼Drama🤙🏼2</v>
      </c>
      <c r="K2769" s="5">
        <f>IFERROR(__xludf.DUMMYFUNCTION("SPLiT(J2769, ""🤙🏼"",FALSE,FALSE)"),923.0)</f>
        <v>923</v>
      </c>
      <c r="L2769" s="5" t="str">
        <f>IFERROR(__xludf.DUMMYFUNCTION("""COMPUTED_VALUE"""),"Gone Baby Gone")</f>
        <v>Gone Baby Gone</v>
      </c>
      <c r="M2769" s="5" t="str">
        <f>IFERROR(__xludf.DUMMYFUNCTION("""COMPUTED_VALUE"""),"Drama")</f>
        <v>Drama</v>
      </c>
      <c r="N2769" s="5">
        <f>IFERROR(__xludf.DUMMYFUNCTION("""COMPUTED_VALUE"""),2.0)</f>
        <v>2</v>
      </c>
    </row>
    <row r="2770">
      <c r="J2770" s="5" t="str">
        <f>IFERROR(__xludf.DUMMYFUNCTION("""COMPUTED_VALUE"""),"923🤙🏼Gone Baby Gone🤙🏼Mystery🤙🏼3")</f>
        <v>923🤙🏼Gone Baby Gone🤙🏼Mystery🤙🏼3</v>
      </c>
      <c r="K2770" s="5">
        <f>IFERROR(__xludf.DUMMYFUNCTION("SPLiT(J2770, ""🤙🏼"",FALSE,FALSE)"),923.0)</f>
        <v>923</v>
      </c>
      <c r="L2770" s="5" t="str">
        <f>IFERROR(__xludf.DUMMYFUNCTION("""COMPUTED_VALUE"""),"Gone Baby Gone")</f>
        <v>Gone Baby Gone</v>
      </c>
      <c r="M2770" s="5" t="str">
        <f>IFERROR(__xludf.DUMMYFUNCTION("""COMPUTED_VALUE"""),"Mystery")</f>
        <v>Mystery</v>
      </c>
      <c r="N2770" s="5">
        <f>IFERROR(__xludf.DUMMYFUNCTION("""COMPUTED_VALUE"""),3.0)</f>
        <v>3</v>
      </c>
    </row>
    <row r="2771">
      <c r="J2771" s="5" t="str">
        <f>IFERROR(__xludf.DUMMYFUNCTION("""COMPUTED_VALUE"""),"924🤙🏼La Vie En Rose🤙🏼Biography🤙🏼1")</f>
        <v>924🤙🏼La Vie En Rose🤙🏼Biography🤙🏼1</v>
      </c>
      <c r="K2771" s="5">
        <f>IFERROR(__xludf.DUMMYFUNCTION("SPLiT(J2771, ""🤙🏼"",FALSE,FALSE)"),924.0)</f>
        <v>924</v>
      </c>
      <c r="L2771" s="5" t="str">
        <f>IFERROR(__xludf.DUMMYFUNCTION("""COMPUTED_VALUE"""),"La Vie En Rose")</f>
        <v>La Vie En Rose</v>
      </c>
      <c r="M2771" s="5" t="str">
        <f>IFERROR(__xludf.DUMMYFUNCTION("""COMPUTED_VALUE"""),"Biography")</f>
        <v>Biography</v>
      </c>
      <c r="N2771" s="5">
        <f>IFERROR(__xludf.DUMMYFUNCTION("""COMPUTED_VALUE"""),1.0)</f>
        <v>1</v>
      </c>
    </row>
    <row r="2772">
      <c r="J2772" s="5" t="str">
        <f>IFERROR(__xludf.DUMMYFUNCTION("""COMPUTED_VALUE"""),"924🤙🏼La Vie En Rose🤙🏼Drama🤙🏼2")</f>
        <v>924🤙🏼La Vie En Rose🤙🏼Drama🤙🏼2</v>
      </c>
      <c r="K2772" s="5">
        <f>IFERROR(__xludf.DUMMYFUNCTION("SPLiT(J2772, ""🤙🏼"",FALSE,FALSE)"),924.0)</f>
        <v>924</v>
      </c>
      <c r="L2772" s="5" t="str">
        <f>IFERROR(__xludf.DUMMYFUNCTION("""COMPUTED_VALUE"""),"La Vie En Rose")</f>
        <v>La Vie En Rose</v>
      </c>
      <c r="M2772" s="5" t="str">
        <f>IFERROR(__xludf.DUMMYFUNCTION("""COMPUTED_VALUE"""),"Drama")</f>
        <v>Drama</v>
      </c>
      <c r="N2772" s="5">
        <f>IFERROR(__xludf.DUMMYFUNCTION("""COMPUTED_VALUE"""),2.0)</f>
        <v>2</v>
      </c>
    </row>
    <row r="2773">
      <c r="J2773" s="5" t="str">
        <f>IFERROR(__xludf.DUMMYFUNCTION("""COMPUTED_VALUE"""),"924🤙🏼La Vie En Rose🤙🏼Music🤙🏼3")</f>
        <v>924🤙🏼La Vie En Rose🤙🏼Music🤙🏼3</v>
      </c>
      <c r="K2773" s="5">
        <f>IFERROR(__xludf.DUMMYFUNCTION("SPLiT(J2773, ""🤙🏼"",FALSE,FALSE)"),924.0)</f>
        <v>924</v>
      </c>
      <c r="L2773" s="5" t="str">
        <f>IFERROR(__xludf.DUMMYFUNCTION("""COMPUTED_VALUE"""),"La Vie En Rose")</f>
        <v>La Vie En Rose</v>
      </c>
      <c r="M2773" s="5" t="str">
        <f>IFERROR(__xludf.DUMMYFUNCTION("""COMPUTED_VALUE"""),"Music")</f>
        <v>Music</v>
      </c>
      <c r="N2773" s="5">
        <f>IFERROR(__xludf.DUMMYFUNCTION("""COMPUTED_VALUE"""),3.0)</f>
        <v>3</v>
      </c>
    </row>
    <row r="2774">
      <c r="J2774" s="5" t="str">
        <f>IFERROR(__xludf.DUMMYFUNCTION("""COMPUTED_VALUE"""),"925🤙🏼Huo Yuan Jia🤙🏼Action🤙🏼1")</f>
        <v>925🤙🏼Huo Yuan Jia🤙🏼Action🤙🏼1</v>
      </c>
      <c r="K2774" s="5">
        <f>IFERROR(__xludf.DUMMYFUNCTION("SPLiT(J2774, ""🤙🏼"",FALSE,FALSE)"),925.0)</f>
        <v>925</v>
      </c>
      <c r="L2774" s="5" t="str">
        <f>IFERROR(__xludf.DUMMYFUNCTION("""COMPUTED_VALUE"""),"Huo Yuan Jia")</f>
        <v>Huo Yuan Jia</v>
      </c>
      <c r="M2774" s="5" t="str">
        <f>IFERROR(__xludf.DUMMYFUNCTION("""COMPUTED_VALUE"""),"Action")</f>
        <v>Action</v>
      </c>
      <c r="N2774" s="5">
        <f>IFERROR(__xludf.DUMMYFUNCTION("""COMPUTED_VALUE"""),1.0)</f>
        <v>1</v>
      </c>
    </row>
    <row r="2775">
      <c r="J2775" s="5" t="str">
        <f>IFERROR(__xludf.DUMMYFUNCTION("""COMPUTED_VALUE"""),"925🤙🏼Huo Yuan Jia🤙🏼Biography🤙🏼2")</f>
        <v>925🤙🏼Huo Yuan Jia🤙🏼Biography🤙🏼2</v>
      </c>
      <c r="K2775" s="5">
        <f>IFERROR(__xludf.DUMMYFUNCTION("SPLiT(J2775, ""🤙🏼"",FALSE,FALSE)"),925.0)</f>
        <v>925</v>
      </c>
      <c r="L2775" s="5" t="str">
        <f>IFERROR(__xludf.DUMMYFUNCTION("""COMPUTED_VALUE"""),"Huo Yuan Jia")</f>
        <v>Huo Yuan Jia</v>
      </c>
      <c r="M2775" s="5" t="str">
        <f>IFERROR(__xludf.DUMMYFUNCTION("""COMPUTED_VALUE"""),"Biography")</f>
        <v>Biography</v>
      </c>
      <c r="N2775" s="5">
        <f>IFERROR(__xludf.DUMMYFUNCTION("""COMPUTED_VALUE"""),2.0)</f>
        <v>2</v>
      </c>
    </row>
    <row r="2776">
      <c r="J2776" s="5" t="str">
        <f>IFERROR(__xludf.DUMMYFUNCTION("""COMPUTED_VALUE"""),"925🤙🏼Huo Yuan Jia🤙🏼Drama🤙🏼3")</f>
        <v>925🤙🏼Huo Yuan Jia🤙🏼Drama🤙🏼3</v>
      </c>
      <c r="K2776" s="5">
        <f>IFERROR(__xludf.DUMMYFUNCTION("SPLiT(J2776, ""🤙🏼"",FALSE,FALSE)"),925.0)</f>
        <v>925</v>
      </c>
      <c r="L2776" s="5" t="str">
        <f>IFERROR(__xludf.DUMMYFUNCTION("""COMPUTED_VALUE"""),"Huo Yuan Jia")</f>
        <v>Huo Yuan Jia</v>
      </c>
      <c r="M2776" s="5" t="str">
        <f>IFERROR(__xludf.DUMMYFUNCTION("""COMPUTED_VALUE"""),"Drama")</f>
        <v>Drama</v>
      </c>
      <c r="N2776" s="5">
        <f>IFERROR(__xludf.DUMMYFUNCTION("""COMPUTED_VALUE"""),3.0)</f>
        <v>3</v>
      </c>
    </row>
    <row r="2777">
      <c r="J2777" s="5" t="str">
        <f>IFERROR(__xludf.DUMMYFUNCTION("""COMPUTED_VALUE"""),"926🤙🏼The Illusionist🤙🏼Drama🤙🏼1")</f>
        <v>926🤙🏼The Illusionist🤙🏼Drama🤙🏼1</v>
      </c>
      <c r="K2777" s="5">
        <f>IFERROR(__xludf.DUMMYFUNCTION("SPLiT(J2777, ""🤙🏼"",FALSE,FALSE)"),926.0)</f>
        <v>926</v>
      </c>
      <c r="L2777" s="5" t="str">
        <f>IFERROR(__xludf.DUMMYFUNCTION("""COMPUTED_VALUE"""),"The Illusionist")</f>
        <v>The Illusionist</v>
      </c>
      <c r="M2777" s="5" t="str">
        <f>IFERROR(__xludf.DUMMYFUNCTION("""COMPUTED_VALUE"""),"Drama")</f>
        <v>Drama</v>
      </c>
      <c r="N2777" s="5">
        <f>IFERROR(__xludf.DUMMYFUNCTION("""COMPUTED_VALUE"""),1.0)</f>
        <v>1</v>
      </c>
    </row>
    <row r="2778">
      <c r="J2778" s="5" t="str">
        <f>IFERROR(__xludf.DUMMYFUNCTION("""COMPUTED_VALUE"""),"926🤙🏼The Illusionist🤙🏼Fantasy🤙🏼2")</f>
        <v>926🤙🏼The Illusionist🤙🏼Fantasy🤙🏼2</v>
      </c>
      <c r="K2778" s="5">
        <f>IFERROR(__xludf.DUMMYFUNCTION("SPLiT(J2778, ""🤙🏼"",FALSE,FALSE)"),926.0)</f>
        <v>926</v>
      </c>
      <c r="L2778" s="5" t="str">
        <f>IFERROR(__xludf.DUMMYFUNCTION("""COMPUTED_VALUE"""),"The Illusionist")</f>
        <v>The Illusionist</v>
      </c>
      <c r="M2778" s="5" t="str">
        <f>IFERROR(__xludf.DUMMYFUNCTION("""COMPUTED_VALUE"""),"Fantasy")</f>
        <v>Fantasy</v>
      </c>
      <c r="N2778" s="5">
        <f>IFERROR(__xludf.DUMMYFUNCTION("""COMPUTED_VALUE"""),2.0)</f>
        <v>2</v>
      </c>
    </row>
    <row r="2779">
      <c r="J2779" s="5" t="str">
        <f>IFERROR(__xludf.DUMMYFUNCTION("""COMPUTED_VALUE"""),"926🤙🏼The Illusionist🤙🏼Mystery🤙🏼3")</f>
        <v>926🤙🏼The Illusionist🤙🏼Mystery🤙🏼3</v>
      </c>
      <c r="K2779" s="5">
        <f>IFERROR(__xludf.DUMMYFUNCTION("SPLiT(J2779, ""🤙🏼"",FALSE,FALSE)"),926.0)</f>
        <v>926</v>
      </c>
      <c r="L2779" s="5" t="str">
        <f>IFERROR(__xludf.DUMMYFUNCTION("""COMPUTED_VALUE"""),"The Illusionist")</f>
        <v>The Illusionist</v>
      </c>
      <c r="M2779" s="5" t="str">
        <f>IFERROR(__xludf.DUMMYFUNCTION("""COMPUTED_VALUE"""),"Mystery")</f>
        <v>Mystery</v>
      </c>
      <c r="N2779" s="5">
        <f>IFERROR(__xludf.DUMMYFUNCTION("""COMPUTED_VALUE"""),3.0)</f>
        <v>3</v>
      </c>
    </row>
    <row r="2780">
      <c r="J2780" s="5" t="str">
        <f>IFERROR(__xludf.DUMMYFUNCTION("""COMPUTED_VALUE"""),"927🤙🏼Dead Man's Shoes🤙🏼Crime🤙🏼1")</f>
        <v>927🤙🏼Dead Man's Shoes🤙🏼Crime🤙🏼1</v>
      </c>
      <c r="K2780" s="5">
        <f>IFERROR(__xludf.DUMMYFUNCTION("SPLiT(J2780, ""🤙🏼"",FALSE,FALSE)"),927.0)</f>
        <v>927</v>
      </c>
      <c r="L2780" s="5" t="str">
        <f>IFERROR(__xludf.DUMMYFUNCTION("""COMPUTED_VALUE"""),"Dead Man's Shoes")</f>
        <v>Dead Man's Shoes</v>
      </c>
      <c r="M2780" s="5" t="str">
        <f>IFERROR(__xludf.DUMMYFUNCTION("""COMPUTED_VALUE"""),"Crime")</f>
        <v>Crime</v>
      </c>
      <c r="N2780" s="5">
        <f>IFERROR(__xludf.DUMMYFUNCTION("""COMPUTED_VALUE"""),1.0)</f>
        <v>1</v>
      </c>
    </row>
    <row r="2781">
      <c r="J2781" s="5" t="str">
        <f>IFERROR(__xludf.DUMMYFUNCTION("""COMPUTED_VALUE"""),"927🤙🏼Dead Man's Shoes🤙🏼Drama🤙🏼2")</f>
        <v>927🤙🏼Dead Man's Shoes🤙🏼Drama🤙🏼2</v>
      </c>
      <c r="K2781" s="5">
        <f>IFERROR(__xludf.DUMMYFUNCTION("SPLiT(J2781, ""🤙🏼"",FALSE,FALSE)"),927.0)</f>
        <v>927</v>
      </c>
      <c r="L2781" s="5" t="str">
        <f>IFERROR(__xludf.DUMMYFUNCTION("""COMPUTED_VALUE"""),"Dead Man's Shoes")</f>
        <v>Dead Man's Shoes</v>
      </c>
      <c r="M2781" s="5" t="str">
        <f>IFERROR(__xludf.DUMMYFUNCTION("""COMPUTED_VALUE"""),"Drama")</f>
        <v>Drama</v>
      </c>
      <c r="N2781" s="5">
        <f>IFERROR(__xludf.DUMMYFUNCTION("""COMPUTED_VALUE"""),2.0)</f>
        <v>2</v>
      </c>
    </row>
    <row r="2782">
      <c r="J2782" s="5" t="str">
        <f>IFERROR(__xludf.DUMMYFUNCTION("""COMPUTED_VALUE"""),"927🤙🏼Dead Man's Shoes🤙🏼Thriller🤙🏼3")</f>
        <v>927🤙🏼Dead Man's Shoes🤙🏼Thriller🤙🏼3</v>
      </c>
      <c r="K2782" s="5">
        <f>IFERROR(__xludf.DUMMYFUNCTION("SPLiT(J2782, ""🤙🏼"",FALSE,FALSE)"),927.0)</f>
        <v>927</v>
      </c>
      <c r="L2782" s="5" t="str">
        <f>IFERROR(__xludf.DUMMYFUNCTION("""COMPUTED_VALUE"""),"Dead Man's Shoes")</f>
        <v>Dead Man's Shoes</v>
      </c>
      <c r="M2782" s="5" t="str">
        <f>IFERROR(__xludf.DUMMYFUNCTION("""COMPUTED_VALUE"""),"Thriller")</f>
        <v>Thriller</v>
      </c>
      <c r="N2782" s="5">
        <f>IFERROR(__xludf.DUMMYFUNCTION("""COMPUTED_VALUE"""),3.0)</f>
        <v>3</v>
      </c>
    </row>
    <row r="2783">
      <c r="J2783" s="5" t="str">
        <f>IFERROR(__xludf.DUMMYFUNCTION("""COMPUTED_VALUE"""),"928🤙🏼Harry Potter and the Half-Blood Prince🤙🏼Action🤙🏼1")</f>
        <v>928🤙🏼Harry Potter and the Half-Blood Prince🤙🏼Action🤙🏼1</v>
      </c>
      <c r="K2783" s="5">
        <f>IFERROR(__xludf.DUMMYFUNCTION("SPLiT(J2783, ""🤙🏼"",FALSE,FALSE)"),928.0)</f>
        <v>928</v>
      </c>
      <c r="L2783" s="5" t="str">
        <f>IFERROR(__xludf.DUMMYFUNCTION("""COMPUTED_VALUE"""),"Harry Potter and the Half-Blood Prince")</f>
        <v>Harry Potter and the Half-Blood Prince</v>
      </c>
      <c r="M2783" s="5" t="str">
        <f>IFERROR(__xludf.DUMMYFUNCTION("""COMPUTED_VALUE"""),"Action")</f>
        <v>Action</v>
      </c>
      <c r="N2783" s="5">
        <f>IFERROR(__xludf.DUMMYFUNCTION("""COMPUTED_VALUE"""),1.0)</f>
        <v>1</v>
      </c>
    </row>
    <row r="2784">
      <c r="J2784" s="5" t="str">
        <f>IFERROR(__xludf.DUMMYFUNCTION("""COMPUTED_VALUE"""),"928🤙🏼Harry Potter and the Half-Blood Prince🤙🏼Adventure🤙🏼2")</f>
        <v>928🤙🏼Harry Potter and the Half-Blood Prince🤙🏼Adventure🤙🏼2</v>
      </c>
      <c r="K2784" s="5">
        <f>IFERROR(__xludf.DUMMYFUNCTION("SPLiT(J2784, ""🤙🏼"",FALSE,FALSE)"),928.0)</f>
        <v>928</v>
      </c>
      <c r="L2784" s="5" t="str">
        <f>IFERROR(__xludf.DUMMYFUNCTION("""COMPUTED_VALUE"""),"Harry Potter and the Half-Blood Prince")</f>
        <v>Harry Potter and the Half-Blood Prince</v>
      </c>
      <c r="M2784" s="5" t="str">
        <f>IFERROR(__xludf.DUMMYFUNCTION("""COMPUTED_VALUE"""),"Adventure")</f>
        <v>Adventure</v>
      </c>
      <c r="N2784" s="5">
        <f>IFERROR(__xludf.DUMMYFUNCTION("""COMPUTED_VALUE"""),2.0)</f>
        <v>2</v>
      </c>
    </row>
    <row r="2785">
      <c r="J2785" s="5" t="str">
        <f>IFERROR(__xludf.DUMMYFUNCTION("""COMPUTED_VALUE"""),"928🤙🏼Harry Potter and the Half-Blood Prince🤙🏼Family🤙🏼3")</f>
        <v>928🤙🏼Harry Potter and the Half-Blood Prince🤙🏼Family🤙🏼3</v>
      </c>
      <c r="K2785" s="5">
        <f>IFERROR(__xludf.DUMMYFUNCTION("SPLiT(J2785, ""🤙🏼"",FALSE,FALSE)"),928.0)</f>
        <v>928</v>
      </c>
      <c r="L2785" s="5" t="str">
        <f>IFERROR(__xludf.DUMMYFUNCTION("""COMPUTED_VALUE"""),"Harry Potter and the Half-Blood Prince")</f>
        <v>Harry Potter and the Half-Blood Prince</v>
      </c>
      <c r="M2785" s="5" t="str">
        <f>IFERROR(__xludf.DUMMYFUNCTION("""COMPUTED_VALUE"""),"Family")</f>
        <v>Family</v>
      </c>
      <c r="N2785" s="5">
        <f>IFERROR(__xludf.DUMMYFUNCTION("""COMPUTED_VALUE"""),3.0)</f>
        <v>3</v>
      </c>
    </row>
    <row r="2786">
      <c r="J2786" s="5" t="str">
        <f>IFERROR(__xludf.DUMMYFUNCTION("""COMPUTED_VALUE"""),"929🤙🏼300🤙🏼Action🤙🏼1")</f>
        <v>929🤙🏼300🤙🏼Action🤙🏼1</v>
      </c>
      <c r="K2786" s="5">
        <f>IFERROR(__xludf.DUMMYFUNCTION("SPLiT(J2786, ""🤙🏼"",FALSE,FALSE)"),929.0)</f>
        <v>929</v>
      </c>
      <c r="L2786" s="5">
        <f>IFERROR(__xludf.DUMMYFUNCTION("""COMPUTED_VALUE"""),300.0)</f>
        <v>300</v>
      </c>
      <c r="M2786" s="5" t="str">
        <f>IFERROR(__xludf.DUMMYFUNCTION("""COMPUTED_VALUE"""),"Action")</f>
        <v>Action</v>
      </c>
      <c r="N2786" s="5">
        <f>IFERROR(__xludf.DUMMYFUNCTION("""COMPUTED_VALUE"""),1.0)</f>
        <v>1</v>
      </c>
    </row>
    <row r="2787">
      <c r="J2787" s="5" t="str">
        <f>IFERROR(__xludf.DUMMYFUNCTION("""COMPUTED_VALUE"""),"929🤙🏼300🤙🏼Drama🤙🏼2")</f>
        <v>929🤙🏼300🤙🏼Drama🤙🏼2</v>
      </c>
      <c r="K2787" s="5">
        <f>IFERROR(__xludf.DUMMYFUNCTION("SPLiT(J2787, ""🤙🏼"",FALSE,FALSE)"),929.0)</f>
        <v>929</v>
      </c>
      <c r="L2787" s="5">
        <f>IFERROR(__xludf.DUMMYFUNCTION("""COMPUTED_VALUE"""),300.0)</f>
        <v>300</v>
      </c>
      <c r="M2787" s="5" t="str">
        <f>IFERROR(__xludf.DUMMYFUNCTION("""COMPUTED_VALUE"""),"Drama")</f>
        <v>Drama</v>
      </c>
      <c r="N2787" s="5">
        <f>IFERROR(__xludf.DUMMYFUNCTION("""COMPUTED_VALUE"""),2.0)</f>
        <v>2</v>
      </c>
    </row>
    <row r="2788">
      <c r="J2788" s="5" t="str">
        <f>IFERROR(__xludf.DUMMYFUNCTION("""COMPUTED_VALUE"""),"929🤙🏼300🤙🏼🤙🏼3")</f>
        <v>929🤙🏼300🤙🏼🤙🏼3</v>
      </c>
      <c r="K2788" s="5">
        <f>IFERROR(__xludf.DUMMYFUNCTION("SPLiT(J2788, ""🤙🏼"",FALSE,FALSE)"),929.0)</f>
        <v>929</v>
      </c>
      <c r="L2788" s="5">
        <f>IFERROR(__xludf.DUMMYFUNCTION("""COMPUTED_VALUE"""),300.0)</f>
        <v>300</v>
      </c>
      <c r="M2788" s="5"/>
      <c r="N2788" s="5">
        <f>IFERROR(__xludf.DUMMYFUNCTION("""COMPUTED_VALUE"""),3.0)</f>
        <v>3</v>
      </c>
    </row>
    <row r="2789">
      <c r="J2789" s="5" t="str">
        <f>IFERROR(__xludf.DUMMYFUNCTION("""COMPUTED_VALUE"""),"930🤙🏼Match Point🤙🏼Drama🤙🏼1")</f>
        <v>930🤙🏼Match Point🤙🏼Drama🤙🏼1</v>
      </c>
      <c r="K2789" s="5">
        <f>IFERROR(__xludf.DUMMYFUNCTION("SPLiT(J2789, ""🤙🏼"",FALSE,FALSE)"),930.0)</f>
        <v>930</v>
      </c>
      <c r="L2789" s="5" t="str">
        <f>IFERROR(__xludf.DUMMYFUNCTION("""COMPUTED_VALUE"""),"Match Point")</f>
        <v>Match Point</v>
      </c>
      <c r="M2789" s="5" t="str">
        <f>IFERROR(__xludf.DUMMYFUNCTION("""COMPUTED_VALUE"""),"Drama")</f>
        <v>Drama</v>
      </c>
      <c r="N2789" s="5">
        <f>IFERROR(__xludf.DUMMYFUNCTION("""COMPUTED_VALUE"""),1.0)</f>
        <v>1</v>
      </c>
    </row>
    <row r="2790">
      <c r="J2790" s="5" t="str">
        <f>IFERROR(__xludf.DUMMYFUNCTION("""COMPUTED_VALUE"""),"930🤙🏼Match Point🤙🏼Romance🤙🏼2")</f>
        <v>930🤙🏼Match Point🤙🏼Romance🤙🏼2</v>
      </c>
      <c r="K2790" s="5">
        <f>IFERROR(__xludf.DUMMYFUNCTION("SPLiT(J2790, ""🤙🏼"",FALSE,FALSE)"),930.0)</f>
        <v>930</v>
      </c>
      <c r="L2790" s="5" t="str">
        <f>IFERROR(__xludf.DUMMYFUNCTION("""COMPUTED_VALUE"""),"Match Point")</f>
        <v>Match Point</v>
      </c>
      <c r="M2790" s="5" t="str">
        <f>IFERROR(__xludf.DUMMYFUNCTION("""COMPUTED_VALUE"""),"Romance")</f>
        <v>Romance</v>
      </c>
      <c r="N2790" s="5">
        <f>IFERROR(__xludf.DUMMYFUNCTION("""COMPUTED_VALUE"""),2.0)</f>
        <v>2</v>
      </c>
    </row>
    <row r="2791">
      <c r="J2791" s="5" t="str">
        <f>IFERROR(__xludf.DUMMYFUNCTION("""COMPUTED_VALUE"""),"930🤙🏼Match Point🤙🏼Thriller🤙🏼3")</f>
        <v>930🤙🏼Match Point🤙🏼Thriller🤙🏼3</v>
      </c>
      <c r="K2791" s="5">
        <f>IFERROR(__xludf.DUMMYFUNCTION("SPLiT(J2791, ""🤙🏼"",FALSE,FALSE)"),930.0)</f>
        <v>930</v>
      </c>
      <c r="L2791" s="5" t="str">
        <f>IFERROR(__xludf.DUMMYFUNCTION("""COMPUTED_VALUE"""),"Match Point")</f>
        <v>Match Point</v>
      </c>
      <c r="M2791" s="5" t="str">
        <f>IFERROR(__xludf.DUMMYFUNCTION("""COMPUTED_VALUE"""),"Thriller")</f>
        <v>Thriller</v>
      </c>
      <c r="N2791" s="5">
        <f>IFERROR(__xludf.DUMMYFUNCTION("""COMPUTED_VALUE"""),3.0)</f>
        <v>3</v>
      </c>
    </row>
    <row r="2792">
      <c r="J2792" s="5" t="str">
        <f>IFERROR(__xludf.DUMMYFUNCTION("""COMPUTED_VALUE"""),"931🤙🏼Watchmen🤙🏼Action🤙🏼1")</f>
        <v>931🤙🏼Watchmen🤙🏼Action🤙🏼1</v>
      </c>
      <c r="K2792" s="5">
        <f>IFERROR(__xludf.DUMMYFUNCTION("SPLiT(J2792, ""🤙🏼"",FALSE,FALSE)"),931.0)</f>
        <v>931</v>
      </c>
      <c r="L2792" s="5" t="str">
        <f>IFERROR(__xludf.DUMMYFUNCTION("""COMPUTED_VALUE"""),"Watchmen")</f>
        <v>Watchmen</v>
      </c>
      <c r="M2792" s="5" t="str">
        <f>IFERROR(__xludf.DUMMYFUNCTION("""COMPUTED_VALUE"""),"Action")</f>
        <v>Action</v>
      </c>
      <c r="N2792" s="5">
        <f>IFERROR(__xludf.DUMMYFUNCTION("""COMPUTED_VALUE"""),1.0)</f>
        <v>1</v>
      </c>
    </row>
    <row r="2793">
      <c r="J2793" s="5" t="str">
        <f>IFERROR(__xludf.DUMMYFUNCTION("""COMPUTED_VALUE"""),"931🤙🏼Watchmen🤙🏼Drama🤙🏼2")</f>
        <v>931🤙🏼Watchmen🤙🏼Drama🤙🏼2</v>
      </c>
      <c r="K2793" s="5">
        <f>IFERROR(__xludf.DUMMYFUNCTION("SPLiT(J2793, ""🤙🏼"",FALSE,FALSE)"),931.0)</f>
        <v>931</v>
      </c>
      <c r="L2793" s="5" t="str">
        <f>IFERROR(__xludf.DUMMYFUNCTION("""COMPUTED_VALUE"""),"Watchmen")</f>
        <v>Watchmen</v>
      </c>
      <c r="M2793" s="5" t="str">
        <f>IFERROR(__xludf.DUMMYFUNCTION("""COMPUTED_VALUE"""),"Drama")</f>
        <v>Drama</v>
      </c>
      <c r="N2793" s="5">
        <f>IFERROR(__xludf.DUMMYFUNCTION("""COMPUTED_VALUE"""),2.0)</f>
        <v>2</v>
      </c>
    </row>
    <row r="2794">
      <c r="J2794" s="5" t="str">
        <f>IFERROR(__xludf.DUMMYFUNCTION("""COMPUTED_VALUE"""),"931🤙🏼Watchmen🤙🏼Mystery🤙🏼3")</f>
        <v>931🤙🏼Watchmen🤙🏼Mystery🤙🏼3</v>
      </c>
      <c r="K2794" s="5">
        <f>IFERROR(__xludf.DUMMYFUNCTION("SPLiT(J2794, ""🤙🏼"",FALSE,FALSE)"),931.0)</f>
        <v>931</v>
      </c>
      <c r="L2794" s="5" t="str">
        <f>IFERROR(__xludf.DUMMYFUNCTION("""COMPUTED_VALUE"""),"Watchmen")</f>
        <v>Watchmen</v>
      </c>
      <c r="M2794" s="5" t="str">
        <f>IFERROR(__xludf.DUMMYFUNCTION("""COMPUTED_VALUE"""),"Mystery")</f>
        <v>Mystery</v>
      </c>
      <c r="N2794" s="5">
        <f>IFERROR(__xludf.DUMMYFUNCTION("""COMPUTED_VALUE"""),3.0)</f>
        <v>3</v>
      </c>
    </row>
    <row r="2795">
      <c r="J2795" s="5" t="str">
        <f>IFERROR(__xludf.DUMMYFUNCTION("""COMPUTED_VALUE"""),"932🤙🏼Lord of War🤙🏼Action🤙🏼1")</f>
        <v>932🤙🏼Lord of War🤙🏼Action🤙🏼1</v>
      </c>
      <c r="K2795" s="5">
        <f>IFERROR(__xludf.DUMMYFUNCTION("SPLiT(J2795, ""🤙🏼"",FALSE,FALSE)"),932.0)</f>
        <v>932</v>
      </c>
      <c r="L2795" s="5" t="str">
        <f>IFERROR(__xludf.DUMMYFUNCTION("""COMPUTED_VALUE"""),"Lord of War")</f>
        <v>Lord of War</v>
      </c>
      <c r="M2795" s="5" t="str">
        <f>IFERROR(__xludf.DUMMYFUNCTION("""COMPUTED_VALUE"""),"Action")</f>
        <v>Action</v>
      </c>
      <c r="N2795" s="5">
        <f>IFERROR(__xludf.DUMMYFUNCTION("""COMPUTED_VALUE"""),1.0)</f>
        <v>1</v>
      </c>
    </row>
    <row r="2796">
      <c r="J2796" s="5" t="str">
        <f>IFERROR(__xludf.DUMMYFUNCTION("""COMPUTED_VALUE"""),"932🤙🏼Lord of War🤙🏼Crime🤙🏼2")</f>
        <v>932🤙🏼Lord of War🤙🏼Crime🤙🏼2</v>
      </c>
      <c r="K2796" s="5">
        <f>IFERROR(__xludf.DUMMYFUNCTION("SPLiT(J2796, ""🤙🏼"",FALSE,FALSE)"),932.0)</f>
        <v>932</v>
      </c>
      <c r="L2796" s="5" t="str">
        <f>IFERROR(__xludf.DUMMYFUNCTION("""COMPUTED_VALUE"""),"Lord of War")</f>
        <v>Lord of War</v>
      </c>
      <c r="M2796" s="5" t="str">
        <f>IFERROR(__xludf.DUMMYFUNCTION("""COMPUTED_VALUE"""),"Crime")</f>
        <v>Crime</v>
      </c>
      <c r="N2796" s="5">
        <f>IFERROR(__xludf.DUMMYFUNCTION("""COMPUTED_VALUE"""),2.0)</f>
        <v>2</v>
      </c>
    </row>
    <row r="2797">
      <c r="J2797" s="5" t="str">
        <f>IFERROR(__xludf.DUMMYFUNCTION("""COMPUTED_VALUE"""),"932🤙🏼Lord of War🤙🏼Drama🤙🏼3")</f>
        <v>932🤙🏼Lord of War🤙🏼Drama🤙🏼3</v>
      </c>
      <c r="K2797" s="5">
        <f>IFERROR(__xludf.DUMMYFUNCTION("SPLiT(J2797, ""🤙🏼"",FALSE,FALSE)"),932.0)</f>
        <v>932</v>
      </c>
      <c r="L2797" s="5" t="str">
        <f>IFERROR(__xludf.DUMMYFUNCTION("""COMPUTED_VALUE"""),"Lord of War")</f>
        <v>Lord of War</v>
      </c>
      <c r="M2797" s="5" t="str">
        <f>IFERROR(__xludf.DUMMYFUNCTION("""COMPUTED_VALUE"""),"Drama")</f>
        <v>Drama</v>
      </c>
      <c r="N2797" s="5">
        <f>IFERROR(__xludf.DUMMYFUNCTION("""COMPUTED_VALUE"""),3.0)</f>
        <v>3</v>
      </c>
    </row>
    <row r="2798">
      <c r="J2798" s="5" t="str">
        <f>IFERROR(__xludf.DUMMYFUNCTION("""COMPUTED_VALUE"""),"933🤙🏼Saw🤙🏼Horror🤙🏼1")</f>
        <v>933🤙🏼Saw🤙🏼Horror🤙🏼1</v>
      </c>
      <c r="K2798" s="5">
        <f>IFERROR(__xludf.DUMMYFUNCTION("SPLiT(J2798, ""🤙🏼"",FALSE,FALSE)"),933.0)</f>
        <v>933</v>
      </c>
      <c r="L2798" s="5" t="str">
        <f>IFERROR(__xludf.DUMMYFUNCTION("""COMPUTED_VALUE"""),"Saw")</f>
        <v>Saw</v>
      </c>
      <c r="M2798" s="5" t="str">
        <f>IFERROR(__xludf.DUMMYFUNCTION("""COMPUTED_VALUE"""),"Horror")</f>
        <v>Horror</v>
      </c>
      <c r="N2798" s="5">
        <f>IFERROR(__xludf.DUMMYFUNCTION("""COMPUTED_VALUE"""),1.0)</f>
        <v>1</v>
      </c>
    </row>
    <row r="2799">
      <c r="J2799" s="5" t="str">
        <f>IFERROR(__xludf.DUMMYFUNCTION("""COMPUTED_VALUE"""),"933🤙🏼Saw🤙🏼Mystery🤙🏼2")</f>
        <v>933🤙🏼Saw🤙🏼Mystery🤙🏼2</v>
      </c>
      <c r="K2799" s="5">
        <f>IFERROR(__xludf.DUMMYFUNCTION("SPLiT(J2799, ""🤙🏼"",FALSE,FALSE)"),933.0)</f>
        <v>933</v>
      </c>
      <c r="L2799" s="5" t="str">
        <f>IFERROR(__xludf.DUMMYFUNCTION("""COMPUTED_VALUE"""),"Saw")</f>
        <v>Saw</v>
      </c>
      <c r="M2799" s="5" t="str">
        <f>IFERROR(__xludf.DUMMYFUNCTION("""COMPUTED_VALUE"""),"Mystery")</f>
        <v>Mystery</v>
      </c>
      <c r="N2799" s="5">
        <f>IFERROR(__xludf.DUMMYFUNCTION("""COMPUTED_VALUE"""),2.0)</f>
        <v>2</v>
      </c>
    </row>
    <row r="2800">
      <c r="J2800" s="5" t="str">
        <f>IFERROR(__xludf.DUMMYFUNCTION("""COMPUTED_VALUE"""),"933🤙🏼Saw🤙🏼Thriller🤙🏼3")</f>
        <v>933🤙🏼Saw🤙🏼Thriller🤙🏼3</v>
      </c>
      <c r="K2800" s="5">
        <f>IFERROR(__xludf.DUMMYFUNCTION("SPLiT(J2800, ""🤙🏼"",FALSE,FALSE)"),933.0)</f>
        <v>933</v>
      </c>
      <c r="L2800" s="5" t="str">
        <f>IFERROR(__xludf.DUMMYFUNCTION("""COMPUTED_VALUE"""),"Saw")</f>
        <v>Saw</v>
      </c>
      <c r="M2800" s="5" t="str">
        <f>IFERROR(__xludf.DUMMYFUNCTION("""COMPUTED_VALUE"""),"Thriller")</f>
        <v>Thriller</v>
      </c>
      <c r="N2800" s="5">
        <f>IFERROR(__xludf.DUMMYFUNCTION("""COMPUTED_VALUE"""),3.0)</f>
        <v>3</v>
      </c>
    </row>
    <row r="2801">
      <c r="J2801" s="5" t="str">
        <f>IFERROR(__xludf.DUMMYFUNCTION("""COMPUTED_VALUE"""),"934🤙🏼Synecdoche, New York🤙🏼Drama🤙🏼1")</f>
        <v>934🤙🏼Synecdoche, New York🤙🏼Drama🤙🏼1</v>
      </c>
      <c r="K2801" s="5">
        <f>IFERROR(__xludf.DUMMYFUNCTION("SPLiT(J2801, ""🤙🏼"",FALSE,FALSE)"),934.0)</f>
        <v>934</v>
      </c>
      <c r="L2801" s="5" t="str">
        <f>IFERROR(__xludf.DUMMYFUNCTION("""COMPUTED_VALUE"""),"Synecdoche, New York")</f>
        <v>Synecdoche, New York</v>
      </c>
      <c r="M2801" s="5" t="str">
        <f>IFERROR(__xludf.DUMMYFUNCTION("""COMPUTED_VALUE"""),"Drama")</f>
        <v>Drama</v>
      </c>
      <c r="N2801" s="5">
        <f>IFERROR(__xludf.DUMMYFUNCTION("""COMPUTED_VALUE"""),1.0)</f>
        <v>1</v>
      </c>
    </row>
    <row r="2802">
      <c r="J2802" s="5" t="str">
        <f>IFERROR(__xludf.DUMMYFUNCTION("""COMPUTED_VALUE"""),"934🤙🏼Synecdoche, New York🤙🏼🤙🏼2")</f>
        <v>934🤙🏼Synecdoche, New York🤙🏼🤙🏼2</v>
      </c>
      <c r="K2802" s="5">
        <f>IFERROR(__xludf.DUMMYFUNCTION("SPLiT(J2802, ""🤙🏼"",FALSE,FALSE)"),934.0)</f>
        <v>934</v>
      </c>
      <c r="L2802" s="5" t="str">
        <f>IFERROR(__xludf.DUMMYFUNCTION("""COMPUTED_VALUE"""),"Synecdoche, New York")</f>
        <v>Synecdoche, New York</v>
      </c>
      <c r="M2802" s="5"/>
      <c r="N2802" s="5">
        <f>IFERROR(__xludf.DUMMYFUNCTION("""COMPUTED_VALUE"""),2.0)</f>
        <v>2</v>
      </c>
    </row>
    <row r="2803">
      <c r="J2803" s="5" t="str">
        <f>IFERROR(__xludf.DUMMYFUNCTION("""COMPUTED_VALUE"""),"934🤙🏼Synecdoche, New York🤙🏼🤙🏼3")</f>
        <v>934🤙🏼Synecdoche, New York🤙🏼🤙🏼3</v>
      </c>
      <c r="K2803" s="5">
        <f>IFERROR(__xludf.DUMMYFUNCTION("SPLiT(J2803, ""🤙🏼"",FALSE,FALSE)"),934.0)</f>
        <v>934</v>
      </c>
      <c r="L2803" s="5" t="str">
        <f>IFERROR(__xludf.DUMMYFUNCTION("""COMPUTED_VALUE"""),"Synecdoche, New York")</f>
        <v>Synecdoche, New York</v>
      </c>
      <c r="M2803" s="5"/>
      <c r="N2803" s="5">
        <f>IFERROR(__xludf.DUMMYFUNCTION("""COMPUTED_VALUE"""),3.0)</f>
        <v>3</v>
      </c>
    </row>
    <row r="2804">
      <c r="J2804" s="5" t="str">
        <f>IFERROR(__xludf.DUMMYFUNCTION("""COMPUTED_VALUE"""),"935🤙🏼Mysterious Skin🤙🏼Drama🤙🏼1")</f>
        <v>935🤙🏼Mysterious Skin🤙🏼Drama🤙🏼1</v>
      </c>
      <c r="K2804" s="5">
        <f>IFERROR(__xludf.DUMMYFUNCTION("SPLiT(J2804, ""🤙🏼"",FALSE,FALSE)"),935.0)</f>
        <v>935</v>
      </c>
      <c r="L2804" s="5" t="str">
        <f>IFERROR(__xludf.DUMMYFUNCTION("""COMPUTED_VALUE"""),"Mysterious Skin")</f>
        <v>Mysterious Skin</v>
      </c>
      <c r="M2804" s="5" t="str">
        <f>IFERROR(__xludf.DUMMYFUNCTION("""COMPUTED_VALUE"""),"Drama")</f>
        <v>Drama</v>
      </c>
      <c r="N2804" s="5">
        <f>IFERROR(__xludf.DUMMYFUNCTION("""COMPUTED_VALUE"""),1.0)</f>
        <v>1</v>
      </c>
    </row>
    <row r="2805">
      <c r="J2805" s="5" t="str">
        <f>IFERROR(__xludf.DUMMYFUNCTION("""COMPUTED_VALUE"""),"935🤙🏼Mysterious Skin🤙🏼🤙🏼2")</f>
        <v>935🤙🏼Mysterious Skin🤙🏼🤙🏼2</v>
      </c>
      <c r="K2805" s="5">
        <f>IFERROR(__xludf.DUMMYFUNCTION("SPLiT(J2805, ""🤙🏼"",FALSE,FALSE)"),935.0)</f>
        <v>935</v>
      </c>
      <c r="L2805" s="5" t="str">
        <f>IFERROR(__xludf.DUMMYFUNCTION("""COMPUTED_VALUE"""),"Mysterious Skin")</f>
        <v>Mysterious Skin</v>
      </c>
      <c r="M2805" s="5"/>
      <c r="N2805" s="5">
        <f>IFERROR(__xludf.DUMMYFUNCTION("""COMPUTED_VALUE"""),2.0)</f>
        <v>2</v>
      </c>
    </row>
    <row r="2806">
      <c r="J2806" s="5" t="str">
        <f>IFERROR(__xludf.DUMMYFUNCTION("""COMPUTED_VALUE"""),"935🤙🏼Mysterious Skin🤙🏼🤙🏼3")</f>
        <v>935🤙🏼Mysterious Skin🤙🏼🤙🏼3</v>
      </c>
      <c r="K2806" s="5">
        <f>IFERROR(__xludf.DUMMYFUNCTION("SPLiT(J2806, ""🤙🏼"",FALSE,FALSE)"),935.0)</f>
        <v>935</v>
      </c>
      <c r="L2806" s="5" t="str">
        <f>IFERROR(__xludf.DUMMYFUNCTION("""COMPUTED_VALUE"""),"Mysterious Skin")</f>
        <v>Mysterious Skin</v>
      </c>
      <c r="M2806" s="5"/>
      <c r="N2806" s="5">
        <f>IFERROR(__xludf.DUMMYFUNCTION("""COMPUTED_VALUE"""),3.0)</f>
        <v>3</v>
      </c>
    </row>
    <row r="2807">
      <c r="J2807" s="5" t="str">
        <f>IFERROR(__xludf.DUMMYFUNCTION("""COMPUTED_VALUE"""),"936🤙🏼Jeux d'enfants🤙🏼Comedy🤙🏼1")</f>
        <v>936🤙🏼Jeux d'enfants🤙🏼Comedy🤙🏼1</v>
      </c>
      <c r="K2807" s="5">
        <f>IFERROR(__xludf.DUMMYFUNCTION("SPLiT(J2807, ""🤙🏼"",FALSE,FALSE)"),936.0)</f>
        <v>936</v>
      </c>
      <c r="L2807" s="5" t="str">
        <f>IFERROR(__xludf.DUMMYFUNCTION("""COMPUTED_VALUE"""),"Jeux d'enfants")</f>
        <v>Jeux d'enfants</v>
      </c>
      <c r="M2807" s="5" t="str">
        <f>IFERROR(__xludf.DUMMYFUNCTION("""COMPUTED_VALUE"""),"Comedy")</f>
        <v>Comedy</v>
      </c>
      <c r="N2807" s="5">
        <f>IFERROR(__xludf.DUMMYFUNCTION("""COMPUTED_VALUE"""),1.0)</f>
        <v>1</v>
      </c>
    </row>
    <row r="2808">
      <c r="J2808" s="5" t="str">
        <f>IFERROR(__xludf.DUMMYFUNCTION("""COMPUTED_VALUE"""),"936🤙🏼Jeux d'enfants🤙🏼Drama🤙🏼2")</f>
        <v>936🤙🏼Jeux d'enfants🤙🏼Drama🤙🏼2</v>
      </c>
      <c r="K2808" s="5">
        <f>IFERROR(__xludf.DUMMYFUNCTION("SPLiT(J2808, ""🤙🏼"",FALSE,FALSE)"),936.0)</f>
        <v>936</v>
      </c>
      <c r="L2808" s="5" t="str">
        <f>IFERROR(__xludf.DUMMYFUNCTION("""COMPUTED_VALUE"""),"Jeux d'enfants")</f>
        <v>Jeux d'enfants</v>
      </c>
      <c r="M2808" s="5" t="str">
        <f>IFERROR(__xludf.DUMMYFUNCTION("""COMPUTED_VALUE"""),"Drama")</f>
        <v>Drama</v>
      </c>
      <c r="N2808" s="5">
        <f>IFERROR(__xludf.DUMMYFUNCTION("""COMPUTED_VALUE"""),2.0)</f>
        <v>2</v>
      </c>
    </row>
    <row r="2809">
      <c r="J2809" s="5" t="str">
        <f>IFERROR(__xludf.DUMMYFUNCTION("""COMPUTED_VALUE"""),"936🤙🏼Jeux d'enfants🤙🏼Romance🤙🏼3")</f>
        <v>936🤙🏼Jeux d'enfants🤙🏼Romance🤙🏼3</v>
      </c>
      <c r="K2809" s="5">
        <f>IFERROR(__xludf.DUMMYFUNCTION("SPLiT(J2809, ""🤙🏼"",FALSE,FALSE)"),936.0)</f>
        <v>936</v>
      </c>
      <c r="L2809" s="5" t="str">
        <f>IFERROR(__xludf.DUMMYFUNCTION("""COMPUTED_VALUE"""),"Jeux d'enfants")</f>
        <v>Jeux d'enfants</v>
      </c>
      <c r="M2809" s="5" t="str">
        <f>IFERROR(__xludf.DUMMYFUNCTION("""COMPUTED_VALUE"""),"Romance")</f>
        <v>Romance</v>
      </c>
      <c r="N2809" s="5">
        <f>IFERROR(__xludf.DUMMYFUNCTION("""COMPUTED_VALUE"""),3.0)</f>
        <v>3</v>
      </c>
    </row>
    <row r="2810">
      <c r="J2810" s="5" t="str">
        <f>IFERROR(__xludf.DUMMYFUNCTION("""COMPUTED_VALUE"""),"937🤙🏼Un long dimanche de fiançailles🤙🏼Drama🤙🏼1")</f>
        <v>937🤙🏼Un long dimanche de fiançailles🤙🏼Drama🤙🏼1</v>
      </c>
      <c r="K2810" s="5">
        <f>IFERROR(__xludf.DUMMYFUNCTION("SPLiT(J2810, ""🤙🏼"",FALSE,FALSE)"),937.0)</f>
        <v>937</v>
      </c>
      <c r="L2810" s="5" t="str">
        <f>IFERROR(__xludf.DUMMYFUNCTION("""COMPUTED_VALUE"""),"Un long dimanche de fiançailles")</f>
        <v>Un long dimanche de fiançailles</v>
      </c>
      <c r="M2810" s="5" t="str">
        <f>IFERROR(__xludf.DUMMYFUNCTION("""COMPUTED_VALUE"""),"Drama")</f>
        <v>Drama</v>
      </c>
      <c r="N2810" s="5">
        <f>IFERROR(__xludf.DUMMYFUNCTION("""COMPUTED_VALUE"""),1.0)</f>
        <v>1</v>
      </c>
    </row>
    <row r="2811">
      <c r="J2811" s="5" t="str">
        <f>IFERROR(__xludf.DUMMYFUNCTION("""COMPUTED_VALUE"""),"937🤙🏼Un long dimanche de fiançailles🤙🏼Mystery🤙🏼2")</f>
        <v>937🤙🏼Un long dimanche de fiançailles🤙🏼Mystery🤙🏼2</v>
      </c>
      <c r="K2811" s="5">
        <f>IFERROR(__xludf.DUMMYFUNCTION("SPLiT(J2811, ""🤙🏼"",FALSE,FALSE)"),937.0)</f>
        <v>937</v>
      </c>
      <c r="L2811" s="5" t="str">
        <f>IFERROR(__xludf.DUMMYFUNCTION("""COMPUTED_VALUE"""),"Un long dimanche de fiançailles")</f>
        <v>Un long dimanche de fiançailles</v>
      </c>
      <c r="M2811" s="5" t="str">
        <f>IFERROR(__xludf.DUMMYFUNCTION("""COMPUTED_VALUE"""),"Mystery")</f>
        <v>Mystery</v>
      </c>
      <c r="N2811" s="5">
        <f>IFERROR(__xludf.DUMMYFUNCTION("""COMPUTED_VALUE"""),2.0)</f>
        <v>2</v>
      </c>
    </row>
    <row r="2812">
      <c r="J2812" s="5" t="str">
        <f>IFERROR(__xludf.DUMMYFUNCTION("""COMPUTED_VALUE"""),"937🤙🏼Un long dimanche de fiançailles🤙🏼Romance🤙🏼3")</f>
        <v>937🤙🏼Un long dimanche de fiançailles🤙🏼Romance🤙🏼3</v>
      </c>
      <c r="K2812" s="5">
        <f>IFERROR(__xludf.DUMMYFUNCTION("SPLiT(J2812, ""🤙🏼"",FALSE,FALSE)"),937.0)</f>
        <v>937</v>
      </c>
      <c r="L2812" s="5" t="str">
        <f>IFERROR(__xludf.DUMMYFUNCTION("""COMPUTED_VALUE"""),"Un long dimanche de fiançailles")</f>
        <v>Un long dimanche de fiançailles</v>
      </c>
      <c r="M2812" s="5" t="str">
        <f>IFERROR(__xludf.DUMMYFUNCTION("""COMPUTED_VALUE"""),"Romance")</f>
        <v>Romance</v>
      </c>
      <c r="N2812" s="5">
        <f>IFERROR(__xludf.DUMMYFUNCTION("""COMPUTED_VALUE"""),3.0)</f>
        <v>3</v>
      </c>
    </row>
    <row r="2813">
      <c r="J2813" s="5" t="str">
        <f>IFERROR(__xludf.DUMMYFUNCTION("""COMPUTED_VALUE"""),"938🤙🏼The Station Agent🤙🏼Comedy🤙🏼1")</f>
        <v>938🤙🏼The Station Agent🤙🏼Comedy🤙🏼1</v>
      </c>
      <c r="K2813" s="5">
        <f>IFERROR(__xludf.DUMMYFUNCTION("SPLiT(J2813, ""🤙🏼"",FALSE,FALSE)"),938.0)</f>
        <v>938</v>
      </c>
      <c r="L2813" s="5" t="str">
        <f>IFERROR(__xludf.DUMMYFUNCTION("""COMPUTED_VALUE"""),"The Station Agent")</f>
        <v>The Station Agent</v>
      </c>
      <c r="M2813" s="5" t="str">
        <f>IFERROR(__xludf.DUMMYFUNCTION("""COMPUTED_VALUE"""),"Comedy")</f>
        <v>Comedy</v>
      </c>
      <c r="N2813" s="5">
        <f>IFERROR(__xludf.DUMMYFUNCTION("""COMPUTED_VALUE"""),1.0)</f>
        <v>1</v>
      </c>
    </row>
    <row r="2814">
      <c r="J2814" s="5" t="str">
        <f>IFERROR(__xludf.DUMMYFUNCTION("""COMPUTED_VALUE"""),"938🤙🏼The Station Agent🤙🏼Drama🤙🏼2")</f>
        <v>938🤙🏼The Station Agent🤙🏼Drama🤙🏼2</v>
      </c>
      <c r="K2814" s="5">
        <f>IFERROR(__xludf.DUMMYFUNCTION("SPLiT(J2814, ""🤙🏼"",FALSE,FALSE)"),938.0)</f>
        <v>938</v>
      </c>
      <c r="L2814" s="5" t="str">
        <f>IFERROR(__xludf.DUMMYFUNCTION("""COMPUTED_VALUE"""),"The Station Agent")</f>
        <v>The Station Agent</v>
      </c>
      <c r="M2814" s="5" t="str">
        <f>IFERROR(__xludf.DUMMYFUNCTION("""COMPUTED_VALUE"""),"Drama")</f>
        <v>Drama</v>
      </c>
      <c r="N2814" s="5">
        <f>IFERROR(__xludf.DUMMYFUNCTION("""COMPUTED_VALUE"""),2.0)</f>
        <v>2</v>
      </c>
    </row>
    <row r="2815">
      <c r="J2815" s="5" t="str">
        <f>IFERROR(__xludf.DUMMYFUNCTION("""COMPUTED_VALUE"""),"938🤙🏼The Station Agent🤙🏼🤙🏼3")</f>
        <v>938🤙🏼The Station Agent🤙🏼🤙🏼3</v>
      </c>
      <c r="K2815" s="5">
        <f>IFERROR(__xludf.DUMMYFUNCTION("SPLiT(J2815, ""🤙🏼"",FALSE,FALSE)"),938.0)</f>
        <v>938</v>
      </c>
      <c r="L2815" s="5" t="str">
        <f>IFERROR(__xludf.DUMMYFUNCTION("""COMPUTED_VALUE"""),"The Station Agent")</f>
        <v>The Station Agent</v>
      </c>
      <c r="M2815" s="5"/>
      <c r="N2815" s="5">
        <f>IFERROR(__xludf.DUMMYFUNCTION("""COMPUTED_VALUE"""),3.0)</f>
        <v>3</v>
      </c>
    </row>
    <row r="2816">
      <c r="J2816" s="5" t="str">
        <f>IFERROR(__xludf.DUMMYFUNCTION("""COMPUTED_VALUE"""),"939🤙🏼21 Grams🤙🏼Crime🤙🏼1")</f>
        <v>939🤙🏼21 Grams🤙🏼Crime🤙🏼1</v>
      </c>
      <c r="K2816" s="5">
        <f>IFERROR(__xludf.DUMMYFUNCTION("SPLiT(J2816, ""🤙🏼"",FALSE,FALSE)"),939.0)</f>
        <v>939</v>
      </c>
      <c r="L2816" s="5" t="str">
        <f>IFERROR(__xludf.DUMMYFUNCTION("""COMPUTED_VALUE"""),"21 Grams")</f>
        <v>21 Grams</v>
      </c>
      <c r="M2816" s="5" t="str">
        <f>IFERROR(__xludf.DUMMYFUNCTION("""COMPUTED_VALUE"""),"Crime")</f>
        <v>Crime</v>
      </c>
      <c r="N2816" s="5">
        <f>IFERROR(__xludf.DUMMYFUNCTION("""COMPUTED_VALUE"""),1.0)</f>
        <v>1</v>
      </c>
    </row>
    <row r="2817">
      <c r="J2817" s="5" t="str">
        <f>IFERROR(__xludf.DUMMYFUNCTION("""COMPUTED_VALUE"""),"939🤙🏼21 Grams🤙🏼Drama🤙🏼2")</f>
        <v>939🤙🏼21 Grams🤙🏼Drama🤙🏼2</v>
      </c>
      <c r="K2817" s="5">
        <f>IFERROR(__xludf.DUMMYFUNCTION("SPLiT(J2817, ""🤙🏼"",FALSE,FALSE)"),939.0)</f>
        <v>939</v>
      </c>
      <c r="L2817" s="5" t="str">
        <f>IFERROR(__xludf.DUMMYFUNCTION("""COMPUTED_VALUE"""),"21 Grams")</f>
        <v>21 Grams</v>
      </c>
      <c r="M2817" s="5" t="str">
        <f>IFERROR(__xludf.DUMMYFUNCTION("""COMPUTED_VALUE"""),"Drama")</f>
        <v>Drama</v>
      </c>
      <c r="N2817" s="5">
        <f>IFERROR(__xludf.DUMMYFUNCTION("""COMPUTED_VALUE"""),2.0)</f>
        <v>2</v>
      </c>
    </row>
    <row r="2818">
      <c r="J2818" s="5" t="str">
        <f>IFERROR(__xludf.DUMMYFUNCTION("""COMPUTED_VALUE"""),"939🤙🏼21 Grams🤙🏼Thriller🤙🏼3")</f>
        <v>939🤙🏼21 Grams🤙🏼Thriller🤙🏼3</v>
      </c>
      <c r="K2818" s="5">
        <f>IFERROR(__xludf.DUMMYFUNCTION("SPLiT(J2818, ""🤙🏼"",FALSE,FALSE)"),939.0)</f>
        <v>939</v>
      </c>
      <c r="L2818" s="5" t="str">
        <f>IFERROR(__xludf.DUMMYFUNCTION("""COMPUTED_VALUE"""),"21 Grams")</f>
        <v>21 Grams</v>
      </c>
      <c r="M2818" s="5" t="str">
        <f>IFERROR(__xludf.DUMMYFUNCTION("""COMPUTED_VALUE"""),"Thriller")</f>
        <v>Thriller</v>
      </c>
      <c r="N2818" s="5">
        <f>IFERROR(__xludf.DUMMYFUNCTION("""COMPUTED_VALUE"""),3.0)</f>
        <v>3</v>
      </c>
    </row>
    <row r="2819">
      <c r="J2819" s="5" t="str">
        <f>IFERROR(__xludf.DUMMYFUNCTION("""COMPUTED_VALUE"""),"940🤙🏼Boksuneun naui geot🤙🏼Crime🤙🏼1")</f>
        <v>940🤙🏼Boksuneun naui geot🤙🏼Crime🤙🏼1</v>
      </c>
      <c r="K2819" s="5">
        <f>IFERROR(__xludf.DUMMYFUNCTION("SPLiT(J2819, ""🤙🏼"",FALSE,FALSE)"),940.0)</f>
        <v>940</v>
      </c>
      <c r="L2819" s="5" t="str">
        <f>IFERROR(__xludf.DUMMYFUNCTION("""COMPUTED_VALUE"""),"Boksuneun naui geot")</f>
        <v>Boksuneun naui geot</v>
      </c>
      <c r="M2819" s="5" t="str">
        <f>IFERROR(__xludf.DUMMYFUNCTION("""COMPUTED_VALUE"""),"Crime")</f>
        <v>Crime</v>
      </c>
      <c r="N2819" s="5">
        <f>IFERROR(__xludf.DUMMYFUNCTION("""COMPUTED_VALUE"""),1.0)</f>
        <v>1</v>
      </c>
    </row>
    <row r="2820">
      <c r="J2820" s="5" t="str">
        <f>IFERROR(__xludf.DUMMYFUNCTION("""COMPUTED_VALUE"""),"940🤙🏼Boksuneun naui geot🤙🏼Drama🤙🏼2")</f>
        <v>940🤙🏼Boksuneun naui geot🤙🏼Drama🤙🏼2</v>
      </c>
      <c r="K2820" s="5">
        <f>IFERROR(__xludf.DUMMYFUNCTION("SPLiT(J2820, ""🤙🏼"",FALSE,FALSE)"),940.0)</f>
        <v>940</v>
      </c>
      <c r="L2820" s="5" t="str">
        <f>IFERROR(__xludf.DUMMYFUNCTION("""COMPUTED_VALUE"""),"Boksuneun naui geot")</f>
        <v>Boksuneun naui geot</v>
      </c>
      <c r="M2820" s="5" t="str">
        <f>IFERROR(__xludf.DUMMYFUNCTION("""COMPUTED_VALUE"""),"Drama")</f>
        <v>Drama</v>
      </c>
      <c r="N2820" s="5">
        <f>IFERROR(__xludf.DUMMYFUNCTION("""COMPUTED_VALUE"""),2.0)</f>
        <v>2</v>
      </c>
    </row>
    <row r="2821">
      <c r="J2821" s="5" t="str">
        <f>IFERROR(__xludf.DUMMYFUNCTION("""COMPUTED_VALUE"""),"940🤙🏼Boksuneun naui geot🤙🏼Thriller🤙🏼3")</f>
        <v>940🤙🏼Boksuneun naui geot🤙🏼Thriller🤙🏼3</v>
      </c>
      <c r="K2821" s="5">
        <f>IFERROR(__xludf.DUMMYFUNCTION("SPLiT(J2821, ""🤙🏼"",FALSE,FALSE)"),940.0)</f>
        <v>940</v>
      </c>
      <c r="L2821" s="5" t="str">
        <f>IFERROR(__xludf.DUMMYFUNCTION("""COMPUTED_VALUE"""),"Boksuneun naui geot")</f>
        <v>Boksuneun naui geot</v>
      </c>
      <c r="M2821" s="5" t="str">
        <f>IFERROR(__xludf.DUMMYFUNCTION("""COMPUTED_VALUE"""),"Thriller")</f>
        <v>Thriller</v>
      </c>
      <c r="N2821" s="5">
        <f>IFERROR(__xludf.DUMMYFUNCTION("""COMPUTED_VALUE"""),3.0)</f>
        <v>3</v>
      </c>
    </row>
    <row r="2822">
      <c r="J2822" s="5" t="str">
        <f>IFERROR(__xludf.DUMMYFUNCTION("""COMPUTED_VALUE"""),"941🤙🏼Finding Neverland🤙🏼Biography🤙🏼1")</f>
        <v>941🤙🏼Finding Neverland🤙🏼Biography🤙🏼1</v>
      </c>
      <c r="K2822" s="5">
        <f>IFERROR(__xludf.DUMMYFUNCTION("SPLiT(J2822, ""🤙🏼"",FALSE,FALSE)"),941.0)</f>
        <v>941</v>
      </c>
      <c r="L2822" s="5" t="str">
        <f>IFERROR(__xludf.DUMMYFUNCTION("""COMPUTED_VALUE"""),"Finding Neverland")</f>
        <v>Finding Neverland</v>
      </c>
      <c r="M2822" s="5" t="str">
        <f>IFERROR(__xludf.DUMMYFUNCTION("""COMPUTED_VALUE"""),"Biography")</f>
        <v>Biography</v>
      </c>
      <c r="N2822" s="5">
        <f>IFERROR(__xludf.DUMMYFUNCTION("""COMPUTED_VALUE"""),1.0)</f>
        <v>1</v>
      </c>
    </row>
    <row r="2823">
      <c r="J2823" s="5" t="str">
        <f>IFERROR(__xludf.DUMMYFUNCTION("""COMPUTED_VALUE"""),"941🤙🏼Finding Neverland🤙🏼Drama🤙🏼2")</f>
        <v>941🤙🏼Finding Neverland🤙🏼Drama🤙🏼2</v>
      </c>
      <c r="K2823" s="5">
        <f>IFERROR(__xludf.DUMMYFUNCTION("SPLiT(J2823, ""🤙🏼"",FALSE,FALSE)"),941.0)</f>
        <v>941</v>
      </c>
      <c r="L2823" s="5" t="str">
        <f>IFERROR(__xludf.DUMMYFUNCTION("""COMPUTED_VALUE"""),"Finding Neverland")</f>
        <v>Finding Neverland</v>
      </c>
      <c r="M2823" s="5" t="str">
        <f>IFERROR(__xludf.DUMMYFUNCTION("""COMPUTED_VALUE"""),"Drama")</f>
        <v>Drama</v>
      </c>
      <c r="N2823" s="5">
        <f>IFERROR(__xludf.DUMMYFUNCTION("""COMPUTED_VALUE"""),2.0)</f>
        <v>2</v>
      </c>
    </row>
    <row r="2824">
      <c r="J2824" s="5" t="str">
        <f>IFERROR(__xludf.DUMMYFUNCTION("""COMPUTED_VALUE"""),"941🤙🏼Finding Neverland🤙🏼Family🤙🏼3")</f>
        <v>941🤙🏼Finding Neverland🤙🏼Family🤙🏼3</v>
      </c>
      <c r="K2824" s="5">
        <f>IFERROR(__xludf.DUMMYFUNCTION("SPLiT(J2824, ""🤙🏼"",FALSE,FALSE)"),941.0)</f>
        <v>941</v>
      </c>
      <c r="L2824" s="5" t="str">
        <f>IFERROR(__xludf.DUMMYFUNCTION("""COMPUTED_VALUE"""),"Finding Neverland")</f>
        <v>Finding Neverland</v>
      </c>
      <c r="M2824" s="5" t="str">
        <f>IFERROR(__xludf.DUMMYFUNCTION("""COMPUTED_VALUE"""),"Family")</f>
        <v>Family</v>
      </c>
      <c r="N2824" s="5">
        <f>IFERROR(__xludf.DUMMYFUNCTION("""COMPUTED_VALUE"""),3.0)</f>
        <v>3</v>
      </c>
    </row>
    <row r="2825">
      <c r="J2825" s="5" t="str">
        <f>IFERROR(__xludf.DUMMYFUNCTION("""COMPUTED_VALUE"""),"942🤙🏼25th Hour🤙🏼Drama🤙🏼1")</f>
        <v>942🤙🏼25th Hour🤙🏼Drama🤙🏼1</v>
      </c>
      <c r="K2825" s="5">
        <f>IFERROR(__xludf.DUMMYFUNCTION("SPLiT(J2825, ""🤙🏼"",FALSE,FALSE)"),942.0)</f>
        <v>942</v>
      </c>
      <c r="L2825" s="5" t="str">
        <f>IFERROR(__xludf.DUMMYFUNCTION("""COMPUTED_VALUE"""),"25th Hour")</f>
        <v>25th Hour</v>
      </c>
      <c r="M2825" s="5" t="str">
        <f>IFERROR(__xludf.DUMMYFUNCTION("""COMPUTED_VALUE"""),"Drama")</f>
        <v>Drama</v>
      </c>
      <c r="N2825" s="5">
        <f>IFERROR(__xludf.DUMMYFUNCTION("""COMPUTED_VALUE"""),1.0)</f>
        <v>1</v>
      </c>
    </row>
    <row r="2826">
      <c r="J2826" s="5" t="str">
        <f>IFERROR(__xludf.DUMMYFUNCTION("""COMPUTED_VALUE"""),"942🤙🏼25th Hour🤙🏼🤙🏼2")</f>
        <v>942🤙🏼25th Hour🤙🏼🤙🏼2</v>
      </c>
      <c r="K2826" s="5">
        <f>IFERROR(__xludf.DUMMYFUNCTION("SPLiT(J2826, ""🤙🏼"",FALSE,FALSE)"),942.0)</f>
        <v>942</v>
      </c>
      <c r="L2826" s="5" t="str">
        <f>IFERROR(__xludf.DUMMYFUNCTION("""COMPUTED_VALUE"""),"25th Hour")</f>
        <v>25th Hour</v>
      </c>
      <c r="M2826" s="5"/>
      <c r="N2826" s="5">
        <f>IFERROR(__xludf.DUMMYFUNCTION("""COMPUTED_VALUE"""),2.0)</f>
        <v>2</v>
      </c>
    </row>
    <row r="2827">
      <c r="J2827" s="5" t="str">
        <f>IFERROR(__xludf.DUMMYFUNCTION("""COMPUTED_VALUE"""),"942🤙🏼25th Hour🤙🏼🤙🏼3")</f>
        <v>942🤙🏼25th Hour🤙🏼🤙🏼3</v>
      </c>
      <c r="K2827" s="5">
        <f>IFERROR(__xludf.DUMMYFUNCTION("SPLiT(J2827, ""🤙🏼"",FALSE,FALSE)"),942.0)</f>
        <v>942</v>
      </c>
      <c r="L2827" s="5" t="str">
        <f>IFERROR(__xludf.DUMMYFUNCTION("""COMPUTED_VALUE"""),"25th Hour")</f>
        <v>25th Hour</v>
      </c>
      <c r="M2827" s="5"/>
      <c r="N2827" s="5">
        <f>IFERROR(__xludf.DUMMYFUNCTION("""COMPUTED_VALUE"""),3.0)</f>
        <v>3</v>
      </c>
    </row>
    <row r="2828">
      <c r="J2828" s="5" t="str">
        <f>IFERROR(__xludf.DUMMYFUNCTION("""COMPUTED_VALUE"""),"943🤙🏼The Butterfly Effect🤙🏼Drama🤙🏼1")</f>
        <v>943🤙🏼The Butterfly Effect🤙🏼Drama🤙🏼1</v>
      </c>
      <c r="K2828" s="5">
        <f>IFERROR(__xludf.DUMMYFUNCTION("SPLiT(J2828, ""🤙🏼"",FALSE,FALSE)"),943.0)</f>
        <v>943</v>
      </c>
      <c r="L2828" s="5" t="str">
        <f>IFERROR(__xludf.DUMMYFUNCTION("""COMPUTED_VALUE"""),"The Butterfly Effect")</f>
        <v>The Butterfly Effect</v>
      </c>
      <c r="M2828" s="5" t="str">
        <f>IFERROR(__xludf.DUMMYFUNCTION("""COMPUTED_VALUE"""),"Drama")</f>
        <v>Drama</v>
      </c>
      <c r="N2828" s="5">
        <f>IFERROR(__xludf.DUMMYFUNCTION("""COMPUTED_VALUE"""),1.0)</f>
        <v>1</v>
      </c>
    </row>
    <row r="2829">
      <c r="J2829" s="5" t="str">
        <f>IFERROR(__xludf.DUMMYFUNCTION("""COMPUTED_VALUE"""),"943🤙🏼The Butterfly Effect🤙🏼Sci-Fi🤙🏼2")</f>
        <v>943🤙🏼The Butterfly Effect🤙🏼Sci-Fi🤙🏼2</v>
      </c>
      <c r="K2829" s="5">
        <f>IFERROR(__xludf.DUMMYFUNCTION("SPLiT(J2829, ""🤙🏼"",FALSE,FALSE)"),943.0)</f>
        <v>943</v>
      </c>
      <c r="L2829" s="5" t="str">
        <f>IFERROR(__xludf.DUMMYFUNCTION("""COMPUTED_VALUE"""),"The Butterfly Effect")</f>
        <v>The Butterfly Effect</v>
      </c>
      <c r="M2829" s="5" t="str">
        <f>IFERROR(__xludf.DUMMYFUNCTION("""COMPUTED_VALUE"""),"Sci-Fi")</f>
        <v>Sci-Fi</v>
      </c>
      <c r="N2829" s="5">
        <f>IFERROR(__xludf.DUMMYFUNCTION("""COMPUTED_VALUE"""),2.0)</f>
        <v>2</v>
      </c>
    </row>
    <row r="2830">
      <c r="J2830" s="5" t="str">
        <f>IFERROR(__xludf.DUMMYFUNCTION("""COMPUTED_VALUE"""),"943🤙🏼The Butterfly Effect🤙🏼Thriller🤙🏼3")</f>
        <v>943🤙🏼The Butterfly Effect🤙🏼Thriller🤙🏼3</v>
      </c>
      <c r="K2830" s="5">
        <f>IFERROR(__xludf.DUMMYFUNCTION("SPLiT(J2830, ""🤙🏼"",FALSE,FALSE)"),943.0)</f>
        <v>943</v>
      </c>
      <c r="L2830" s="5" t="str">
        <f>IFERROR(__xludf.DUMMYFUNCTION("""COMPUTED_VALUE"""),"The Butterfly Effect")</f>
        <v>The Butterfly Effect</v>
      </c>
      <c r="M2830" s="5" t="str">
        <f>IFERROR(__xludf.DUMMYFUNCTION("""COMPUTED_VALUE"""),"Thriller")</f>
        <v>Thriller</v>
      </c>
      <c r="N2830" s="5">
        <f>IFERROR(__xludf.DUMMYFUNCTION("""COMPUTED_VALUE"""),3.0)</f>
        <v>3</v>
      </c>
    </row>
    <row r="2831">
      <c r="J2831" s="5" t="str">
        <f>IFERROR(__xludf.DUMMYFUNCTION("""COMPUTED_VALUE"""),"944🤙🏼28 Days Later...🤙🏼Drama🤙🏼1")</f>
        <v>944🤙🏼28 Days Later...🤙🏼Drama🤙🏼1</v>
      </c>
      <c r="K2831" s="5">
        <f>IFERROR(__xludf.DUMMYFUNCTION("SPLiT(J2831, ""🤙🏼"",FALSE,FALSE)"),944.0)</f>
        <v>944</v>
      </c>
      <c r="L2831" s="5" t="str">
        <f>IFERROR(__xludf.DUMMYFUNCTION("""COMPUTED_VALUE"""),"28 Days Later...")</f>
        <v>28 Days Later...</v>
      </c>
      <c r="M2831" s="5" t="str">
        <f>IFERROR(__xludf.DUMMYFUNCTION("""COMPUTED_VALUE"""),"Drama")</f>
        <v>Drama</v>
      </c>
      <c r="N2831" s="5">
        <f>IFERROR(__xludf.DUMMYFUNCTION("""COMPUTED_VALUE"""),1.0)</f>
        <v>1</v>
      </c>
    </row>
    <row r="2832">
      <c r="J2832" s="5" t="str">
        <f>IFERROR(__xludf.DUMMYFUNCTION("""COMPUTED_VALUE"""),"944🤙🏼28 Days Later...🤙🏼Horror🤙🏼2")</f>
        <v>944🤙🏼28 Days Later...🤙🏼Horror🤙🏼2</v>
      </c>
      <c r="K2832" s="5">
        <f>IFERROR(__xludf.DUMMYFUNCTION("SPLiT(J2832, ""🤙🏼"",FALSE,FALSE)"),944.0)</f>
        <v>944</v>
      </c>
      <c r="L2832" s="5" t="str">
        <f>IFERROR(__xludf.DUMMYFUNCTION("""COMPUTED_VALUE"""),"28 Days Later...")</f>
        <v>28 Days Later...</v>
      </c>
      <c r="M2832" s="5" t="str">
        <f>IFERROR(__xludf.DUMMYFUNCTION("""COMPUTED_VALUE"""),"Horror")</f>
        <v>Horror</v>
      </c>
      <c r="N2832" s="5">
        <f>IFERROR(__xludf.DUMMYFUNCTION("""COMPUTED_VALUE"""),2.0)</f>
        <v>2</v>
      </c>
    </row>
    <row r="2833">
      <c r="J2833" s="5" t="str">
        <f>IFERROR(__xludf.DUMMYFUNCTION("""COMPUTED_VALUE"""),"944🤙🏼28 Days Later...🤙🏼Sci-Fi🤙🏼3")</f>
        <v>944🤙🏼28 Days Later...🤙🏼Sci-Fi🤙🏼3</v>
      </c>
      <c r="K2833" s="5">
        <f>IFERROR(__xludf.DUMMYFUNCTION("SPLiT(J2833, ""🤙🏼"",FALSE,FALSE)"),944.0)</f>
        <v>944</v>
      </c>
      <c r="L2833" s="5" t="str">
        <f>IFERROR(__xludf.DUMMYFUNCTION("""COMPUTED_VALUE"""),"28 Days Later...")</f>
        <v>28 Days Later...</v>
      </c>
      <c r="M2833" s="5" t="str">
        <f>IFERROR(__xludf.DUMMYFUNCTION("""COMPUTED_VALUE"""),"Sci-Fi")</f>
        <v>Sci-Fi</v>
      </c>
      <c r="N2833" s="5">
        <f>IFERROR(__xludf.DUMMYFUNCTION("""COMPUTED_VALUE"""),3.0)</f>
        <v>3</v>
      </c>
    </row>
    <row r="2834">
      <c r="J2834" s="5" t="str">
        <f>IFERROR(__xludf.DUMMYFUNCTION("""COMPUTED_VALUE"""),"945🤙🏼Batoru rowaiaru🤙🏼Action🤙🏼1")</f>
        <v>945🤙🏼Batoru rowaiaru🤙🏼Action🤙🏼1</v>
      </c>
      <c r="K2834" s="5">
        <f>IFERROR(__xludf.DUMMYFUNCTION("SPLiT(J2834, ""🤙🏼"",FALSE,FALSE)"),945.0)</f>
        <v>945</v>
      </c>
      <c r="L2834" s="5" t="str">
        <f>IFERROR(__xludf.DUMMYFUNCTION("""COMPUTED_VALUE"""),"Batoru rowaiaru")</f>
        <v>Batoru rowaiaru</v>
      </c>
      <c r="M2834" s="5" t="str">
        <f>IFERROR(__xludf.DUMMYFUNCTION("""COMPUTED_VALUE"""),"Action")</f>
        <v>Action</v>
      </c>
      <c r="N2834" s="5">
        <f>IFERROR(__xludf.DUMMYFUNCTION("""COMPUTED_VALUE"""),1.0)</f>
        <v>1</v>
      </c>
    </row>
    <row r="2835">
      <c r="J2835" s="5" t="str">
        <f>IFERROR(__xludf.DUMMYFUNCTION("""COMPUTED_VALUE"""),"945🤙🏼Batoru rowaiaru🤙🏼Adventure🤙🏼2")</f>
        <v>945🤙🏼Batoru rowaiaru🤙🏼Adventure🤙🏼2</v>
      </c>
      <c r="K2835" s="5">
        <f>IFERROR(__xludf.DUMMYFUNCTION("SPLiT(J2835, ""🤙🏼"",FALSE,FALSE)"),945.0)</f>
        <v>945</v>
      </c>
      <c r="L2835" s="5" t="str">
        <f>IFERROR(__xludf.DUMMYFUNCTION("""COMPUTED_VALUE"""),"Batoru rowaiaru")</f>
        <v>Batoru rowaiaru</v>
      </c>
      <c r="M2835" s="5" t="str">
        <f>IFERROR(__xludf.DUMMYFUNCTION("""COMPUTED_VALUE"""),"Adventure")</f>
        <v>Adventure</v>
      </c>
      <c r="N2835" s="5">
        <f>IFERROR(__xludf.DUMMYFUNCTION("""COMPUTED_VALUE"""),2.0)</f>
        <v>2</v>
      </c>
    </row>
    <row r="2836">
      <c r="J2836" s="5" t="str">
        <f>IFERROR(__xludf.DUMMYFUNCTION("""COMPUTED_VALUE"""),"945🤙🏼Batoru rowaiaru🤙🏼Drama🤙🏼3")</f>
        <v>945🤙🏼Batoru rowaiaru🤙🏼Drama🤙🏼3</v>
      </c>
      <c r="K2836" s="5">
        <f>IFERROR(__xludf.DUMMYFUNCTION("SPLiT(J2836, ""🤙🏼"",FALSE,FALSE)"),945.0)</f>
        <v>945</v>
      </c>
      <c r="L2836" s="5" t="str">
        <f>IFERROR(__xludf.DUMMYFUNCTION("""COMPUTED_VALUE"""),"Batoru rowaiaru")</f>
        <v>Batoru rowaiaru</v>
      </c>
      <c r="M2836" s="5" t="str">
        <f>IFERROR(__xludf.DUMMYFUNCTION("""COMPUTED_VALUE"""),"Drama")</f>
        <v>Drama</v>
      </c>
      <c r="N2836" s="5">
        <f>IFERROR(__xludf.DUMMYFUNCTION("""COMPUTED_VALUE"""),3.0)</f>
        <v>3</v>
      </c>
    </row>
    <row r="2837">
      <c r="J2837" s="5" t="str">
        <f>IFERROR(__xludf.DUMMYFUNCTION("""COMPUTED_VALUE"""),"946🤙🏼The Royal Tenenbaums🤙🏼Comedy🤙🏼1")</f>
        <v>946🤙🏼The Royal Tenenbaums🤙🏼Comedy🤙🏼1</v>
      </c>
      <c r="K2837" s="5">
        <f>IFERROR(__xludf.DUMMYFUNCTION("SPLiT(J2837, ""🤙🏼"",FALSE,FALSE)"),946.0)</f>
        <v>946</v>
      </c>
      <c r="L2837" s="5" t="str">
        <f>IFERROR(__xludf.DUMMYFUNCTION("""COMPUTED_VALUE"""),"The Royal Tenenbaums")</f>
        <v>The Royal Tenenbaums</v>
      </c>
      <c r="M2837" s="5" t="str">
        <f>IFERROR(__xludf.DUMMYFUNCTION("""COMPUTED_VALUE"""),"Comedy")</f>
        <v>Comedy</v>
      </c>
      <c r="N2837" s="5">
        <f>IFERROR(__xludf.DUMMYFUNCTION("""COMPUTED_VALUE"""),1.0)</f>
        <v>1</v>
      </c>
    </row>
    <row r="2838">
      <c r="J2838" s="5" t="str">
        <f>IFERROR(__xludf.DUMMYFUNCTION("""COMPUTED_VALUE"""),"946🤙🏼The Royal Tenenbaums🤙🏼Drama🤙🏼2")</f>
        <v>946🤙🏼The Royal Tenenbaums🤙🏼Drama🤙🏼2</v>
      </c>
      <c r="K2838" s="5">
        <f>IFERROR(__xludf.DUMMYFUNCTION("SPLiT(J2838, ""🤙🏼"",FALSE,FALSE)"),946.0)</f>
        <v>946</v>
      </c>
      <c r="L2838" s="5" t="str">
        <f>IFERROR(__xludf.DUMMYFUNCTION("""COMPUTED_VALUE"""),"The Royal Tenenbaums")</f>
        <v>The Royal Tenenbaums</v>
      </c>
      <c r="M2838" s="5" t="str">
        <f>IFERROR(__xludf.DUMMYFUNCTION("""COMPUTED_VALUE"""),"Drama")</f>
        <v>Drama</v>
      </c>
      <c r="N2838" s="5">
        <f>IFERROR(__xludf.DUMMYFUNCTION("""COMPUTED_VALUE"""),2.0)</f>
        <v>2</v>
      </c>
    </row>
    <row r="2839">
      <c r="J2839" s="5" t="str">
        <f>IFERROR(__xludf.DUMMYFUNCTION("""COMPUTED_VALUE"""),"946🤙🏼The Royal Tenenbaums🤙🏼🤙🏼3")</f>
        <v>946🤙🏼The Royal Tenenbaums🤙🏼🤙🏼3</v>
      </c>
      <c r="K2839" s="5">
        <f>IFERROR(__xludf.DUMMYFUNCTION("SPLiT(J2839, ""🤙🏼"",FALSE,FALSE)"),946.0)</f>
        <v>946</v>
      </c>
      <c r="L2839" s="5" t="str">
        <f>IFERROR(__xludf.DUMMYFUNCTION("""COMPUTED_VALUE"""),"The Royal Tenenbaums")</f>
        <v>The Royal Tenenbaums</v>
      </c>
      <c r="M2839" s="5"/>
      <c r="N2839" s="5">
        <f>IFERROR(__xludf.DUMMYFUNCTION("""COMPUTED_VALUE"""),3.0)</f>
        <v>3</v>
      </c>
    </row>
    <row r="2840">
      <c r="J2840" s="5" t="str">
        <f>IFERROR(__xludf.DUMMYFUNCTION("""COMPUTED_VALUE"""),"947🤙🏼Y tu mamá también🤙🏼Drama🤙🏼1")</f>
        <v>947🤙🏼Y tu mamá también🤙🏼Drama🤙🏼1</v>
      </c>
      <c r="K2840" s="5">
        <f>IFERROR(__xludf.DUMMYFUNCTION("SPLiT(J2840, ""🤙🏼"",FALSE,FALSE)"),947.0)</f>
        <v>947</v>
      </c>
      <c r="L2840" s="5" t="str">
        <f>IFERROR(__xludf.DUMMYFUNCTION("""COMPUTED_VALUE"""),"Y tu mamá también")</f>
        <v>Y tu mamá también</v>
      </c>
      <c r="M2840" s="5" t="str">
        <f>IFERROR(__xludf.DUMMYFUNCTION("""COMPUTED_VALUE"""),"Drama")</f>
        <v>Drama</v>
      </c>
      <c r="N2840" s="5">
        <f>IFERROR(__xludf.DUMMYFUNCTION("""COMPUTED_VALUE"""),1.0)</f>
        <v>1</v>
      </c>
    </row>
    <row r="2841">
      <c r="J2841" s="5" t="str">
        <f>IFERROR(__xludf.DUMMYFUNCTION("""COMPUTED_VALUE"""),"947🤙🏼Y tu mamá también🤙🏼🤙🏼2")</f>
        <v>947🤙🏼Y tu mamá también🤙🏼🤙🏼2</v>
      </c>
      <c r="K2841" s="5">
        <f>IFERROR(__xludf.DUMMYFUNCTION("SPLiT(J2841, ""🤙🏼"",FALSE,FALSE)"),947.0)</f>
        <v>947</v>
      </c>
      <c r="L2841" s="5" t="str">
        <f>IFERROR(__xludf.DUMMYFUNCTION("""COMPUTED_VALUE"""),"Y tu mamá también")</f>
        <v>Y tu mamá también</v>
      </c>
      <c r="M2841" s="5"/>
      <c r="N2841" s="5">
        <f>IFERROR(__xludf.DUMMYFUNCTION("""COMPUTED_VALUE"""),2.0)</f>
        <v>2</v>
      </c>
    </row>
    <row r="2842">
      <c r="J2842" s="5" t="str">
        <f>IFERROR(__xludf.DUMMYFUNCTION("""COMPUTED_VALUE"""),"947🤙🏼Y tu mamá también🤙🏼🤙🏼3")</f>
        <v>947🤙🏼Y tu mamá también🤙🏼🤙🏼3</v>
      </c>
      <c r="K2842" s="5">
        <f>IFERROR(__xludf.DUMMYFUNCTION("SPLiT(J2842, ""🤙🏼"",FALSE,FALSE)"),947.0)</f>
        <v>947</v>
      </c>
      <c r="L2842" s="5" t="str">
        <f>IFERROR(__xludf.DUMMYFUNCTION("""COMPUTED_VALUE"""),"Y tu mamá también")</f>
        <v>Y tu mamá también</v>
      </c>
      <c r="M2842" s="5"/>
      <c r="N2842" s="5">
        <f>IFERROR(__xludf.DUMMYFUNCTION("""COMPUTED_VALUE"""),3.0)</f>
        <v>3</v>
      </c>
    </row>
    <row r="2843">
      <c r="J2843" s="5" t="str">
        <f>IFERROR(__xludf.DUMMYFUNCTION("""COMPUTED_VALUE"""),"948🤙🏼Harry Potter and the Sorcerer's Stone🤙🏼Adventure🤙🏼1")</f>
        <v>948🤙🏼Harry Potter and the Sorcerer's Stone🤙🏼Adventure🤙🏼1</v>
      </c>
      <c r="K2843" s="5">
        <f>IFERROR(__xludf.DUMMYFUNCTION("SPLiT(J2843, ""🤙🏼"",FALSE,FALSE)"),948.0)</f>
        <v>948</v>
      </c>
      <c r="L2843" s="5" t="str">
        <f>IFERROR(__xludf.DUMMYFUNCTION("""COMPUTED_VALUE"""),"Harry Potter and the Sorcerer's Stone")</f>
        <v>Harry Potter and the Sorcerer's Stone</v>
      </c>
      <c r="M2843" s="5" t="str">
        <f>IFERROR(__xludf.DUMMYFUNCTION("""COMPUTED_VALUE"""),"Adventure")</f>
        <v>Adventure</v>
      </c>
      <c r="N2843" s="5">
        <f>IFERROR(__xludf.DUMMYFUNCTION("""COMPUTED_VALUE"""),1.0)</f>
        <v>1</v>
      </c>
    </row>
    <row r="2844">
      <c r="J2844" s="5" t="str">
        <f>IFERROR(__xludf.DUMMYFUNCTION("""COMPUTED_VALUE"""),"948🤙🏼Harry Potter and the Sorcerer's Stone🤙🏼Family🤙🏼2")</f>
        <v>948🤙🏼Harry Potter and the Sorcerer's Stone🤙🏼Family🤙🏼2</v>
      </c>
      <c r="K2844" s="5">
        <f>IFERROR(__xludf.DUMMYFUNCTION("SPLiT(J2844, ""🤙🏼"",FALSE,FALSE)"),948.0)</f>
        <v>948</v>
      </c>
      <c r="L2844" s="5" t="str">
        <f>IFERROR(__xludf.DUMMYFUNCTION("""COMPUTED_VALUE"""),"Harry Potter and the Sorcerer's Stone")</f>
        <v>Harry Potter and the Sorcerer's Stone</v>
      </c>
      <c r="M2844" s="5" t="str">
        <f>IFERROR(__xludf.DUMMYFUNCTION("""COMPUTED_VALUE"""),"Family")</f>
        <v>Family</v>
      </c>
      <c r="N2844" s="5">
        <f>IFERROR(__xludf.DUMMYFUNCTION("""COMPUTED_VALUE"""),2.0)</f>
        <v>2</v>
      </c>
    </row>
    <row r="2845">
      <c r="J2845" s="5" t="str">
        <f>IFERROR(__xludf.DUMMYFUNCTION("""COMPUTED_VALUE"""),"948🤙🏼Harry Potter and the Sorcerer's Stone🤙🏼Fantasy🤙🏼3")</f>
        <v>948🤙🏼Harry Potter and the Sorcerer's Stone🤙🏼Fantasy🤙🏼3</v>
      </c>
      <c r="K2845" s="5">
        <f>IFERROR(__xludf.DUMMYFUNCTION("SPLiT(J2845, ""🤙🏼"",FALSE,FALSE)"),948.0)</f>
        <v>948</v>
      </c>
      <c r="L2845" s="5" t="str">
        <f>IFERROR(__xludf.DUMMYFUNCTION("""COMPUTED_VALUE"""),"Harry Potter and the Sorcerer's Stone")</f>
        <v>Harry Potter and the Sorcerer's Stone</v>
      </c>
      <c r="M2845" s="5" t="str">
        <f>IFERROR(__xludf.DUMMYFUNCTION("""COMPUTED_VALUE"""),"Fantasy")</f>
        <v>Fantasy</v>
      </c>
      <c r="N2845" s="5">
        <f>IFERROR(__xludf.DUMMYFUNCTION("""COMPUTED_VALUE"""),3.0)</f>
        <v>3</v>
      </c>
    </row>
    <row r="2846">
      <c r="J2846" s="5" t="str">
        <f>IFERROR(__xludf.DUMMYFUNCTION("""COMPUTED_VALUE"""),"949🤙🏼The Others🤙🏼Horror🤙🏼1")</f>
        <v>949🤙🏼The Others🤙🏼Horror🤙🏼1</v>
      </c>
      <c r="K2846" s="5">
        <f>IFERROR(__xludf.DUMMYFUNCTION("SPLiT(J2846, ""🤙🏼"",FALSE,FALSE)"),949.0)</f>
        <v>949</v>
      </c>
      <c r="L2846" s="5" t="str">
        <f>IFERROR(__xludf.DUMMYFUNCTION("""COMPUTED_VALUE"""),"The Others")</f>
        <v>The Others</v>
      </c>
      <c r="M2846" s="5" t="str">
        <f>IFERROR(__xludf.DUMMYFUNCTION("""COMPUTED_VALUE"""),"Horror")</f>
        <v>Horror</v>
      </c>
      <c r="N2846" s="5">
        <f>IFERROR(__xludf.DUMMYFUNCTION("""COMPUTED_VALUE"""),1.0)</f>
        <v>1</v>
      </c>
    </row>
    <row r="2847">
      <c r="J2847" s="5" t="str">
        <f>IFERROR(__xludf.DUMMYFUNCTION("""COMPUTED_VALUE"""),"949🤙🏼The Others🤙🏼Mystery🤙🏼2")</f>
        <v>949🤙🏼The Others🤙🏼Mystery🤙🏼2</v>
      </c>
      <c r="K2847" s="5">
        <f>IFERROR(__xludf.DUMMYFUNCTION("SPLiT(J2847, ""🤙🏼"",FALSE,FALSE)"),949.0)</f>
        <v>949</v>
      </c>
      <c r="L2847" s="5" t="str">
        <f>IFERROR(__xludf.DUMMYFUNCTION("""COMPUTED_VALUE"""),"The Others")</f>
        <v>The Others</v>
      </c>
      <c r="M2847" s="5" t="str">
        <f>IFERROR(__xludf.DUMMYFUNCTION("""COMPUTED_VALUE"""),"Mystery")</f>
        <v>Mystery</v>
      </c>
      <c r="N2847" s="5">
        <f>IFERROR(__xludf.DUMMYFUNCTION("""COMPUTED_VALUE"""),2.0)</f>
        <v>2</v>
      </c>
    </row>
    <row r="2848">
      <c r="J2848" s="5" t="str">
        <f>IFERROR(__xludf.DUMMYFUNCTION("""COMPUTED_VALUE"""),"949🤙🏼The Others🤙🏼Thriller🤙🏼3")</f>
        <v>949🤙🏼The Others🤙🏼Thriller🤙🏼3</v>
      </c>
      <c r="K2848" s="5">
        <f>IFERROR(__xludf.DUMMYFUNCTION("SPLiT(J2848, ""🤙🏼"",FALSE,FALSE)"),949.0)</f>
        <v>949</v>
      </c>
      <c r="L2848" s="5" t="str">
        <f>IFERROR(__xludf.DUMMYFUNCTION("""COMPUTED_VALUE"""),"The Others")</f>
        <v>The Others</v>
      </c>
      <c r="M2848" s="5" t="str">
        <f>IFERROR(__xludf.DUMMYFUNCTION("""COMPUTED_VALUE"""),"Thriller")</f>
        <v>Thriller</v>
      </c>
      <c r="N2848" s="5">
        <f>IFERROR(__xludf.DUMMYFUNCTION("""COMPUTED_VALUE"""),3.0)</f>
        <v>3</v>
      </c>
    </row>
    <row r="2849">
      <c r="J2849" s="5" t="str">
        <f>IFERROR(__xludf.DUMMYFUNCTION("""COMPUTED_VALUE"""),"950🤙🏼Blow🤙🏼Biography🤙🏼1")</f>
        <v>950🤙🏼Blow🤙🏼Biography🤙🏼1</v>
      </c>
      <c r="K2849" s="5">
        <f>IFERROR(__xludf.DUMMYFUNCTION("SPLiT(J2849, ""🤙🏼"",FALSE,FALSE)"),950.0)</f>
        <v>950</v>
      </c>
      <c r="L2849" s="5" t="str">
        <f>IFERROR(__xludf.DUMMYFUNCTION("""COMPUTED_VALUE"""),"Blow")</f>
        <v>Blow</v>
      </c>
      <c r="M2849" s="5" t="str">
        <f>IFERROR(__xludf.DUMMYFUNCTION("""COMPUTED_VALUE"""),"Biography")</f>
        <v>Biography</v>
      </c>
      <c r="N2849" s="5">
        <f>IFERROR(__xludf.DUMMYFUNCTION("""COMPUTED_VALUE"""),1.0)</f>
        <v>1</v>
      </c>
    </row>
    <row r="2850">
      <c r="J2850" s="5" t="str">
        <f>IFERROR(__xludf.DUMMYFUNCTION("""COMPUTED_VALUE"""),"950🤙🏼Blow🤙🏼Crime🤙🏼2")</f>
        <v>950🤙🏼Blow🤙🏼Crime🤙🏼2</v>
      </c>
      <c r="K2850" s="5">
        <f>IFERROR(__xludf.DUMMYFUNCTION("SPLiT(J2850, ""🤙🏼"",FALSE,FALSE)"),950.0)</f>
        <v>950</v>
      </c>
      <c r="L2850" s="5" t="str">
        <f>IFERROR(__xludf.DUMMYFUNCTION("""COMPUTED_VALUE"""),"Blow")</f>
        <v>Blow</v>
      </c>
      <c r="M2850" s="5" t="str">
        <f>IFERROR(__xludf.DUMMYFUNCTION("""COMPUTED_VALUE"""),"Crime")</f>
        <v>Crime</v>
      </c>
      <c r="N2850" s="5">
        <f>IFERROR(__xludf.DUMMYFUNCTION("""COMPUTED_VALUE"""),2.0)</f>
        <v>2</v>
      </c>
    </row>
    <row r="2851">
      <c r="J2851" s="5" t="str">
        <f>IFERROR(__xludf.DUMMYFUNCTION("""COMPUTED_VALUE"""),"950🤙🏼Blow🤙🏼Drama🤙🏼3")</f>
        <v>950🤙🏼Blow🤙🏼Drama🤙🏼3</v>
      </c>
      <c r="K2851" s="5">
        <f>IFERROR(__xludf.DUMMYFUNCTION("SPLiT(J2851, ""🤙🏼"",FALSE,FALSE)"),950.0)</f>
        <v>950</v>
      </c>
      <c r="L2851" s="5" t="str">
        <f>IFERROR(__xludf.DUMMYFUNCTION("""COMPUTED_VALUE"""),"Blow")</f>
        <v>Blow</v>
      </c>
      <c r="M2851" s="5" t="str">
        <f>IFERROR(__xludf.DUMMYFUNCTION("""COMPUTED_VALUE"""),"Drama")</f>
        <v>Drama</v>
      </c>
      <c r="N2851" s="5">
        <f>IFERROR(__xludf.DUMMYFUNCTION("""COMPUTED_VALUE"""),3.0)</f>
        <v>3</v>
      </c>
    </row>
    <row r="2852">
      <c r="J2852" s="5" t="str">
        <f>IFERROR(__xludf.DUMMYFUNCTION("""COMPUTED_VALUE"""),"951🤙🏼Enemy at the Gates🤙🏼Drama🤙🏼1")</f>
        <v>951🤙🏼Enemy at the Gates🤙🏼Drama🤙🏼1</v>
      </c>
      <c r="K2852" s="5">
        <f>IFERROR(__xludf.DUMMYFUNCTION("SPLiT(J2852, ""🤙🏼"",FALSE,FALSE)"),951.0)</f>
        <v>951</v>
      </c>
      <c r="L2852" s="5" t="str">
        <f>IFERROR(__xludf.DUMMYFUNCTION("""COMPUTED_VALUE"""),"Enemy at the Gates")</f>
        <v>Enemy at the Gates</v>
      </c>
      <c r="M2852" s="5" t="str">
        <f>IFERROR(__xludf.DUMMYFUNCTION("""COMPUTED_VALUE"""),"Drama")</f>
        <v>Drama</v>
      </c>
      <c r="N2852" s="5">
        <f>IFERROR(__xludf.DUMMYFUNCTION("""COMPUTED_VALUE"""),1.0)</f>
        <v>1</v>
      </c>
    </row>
    <row r="2853">
      <c r="J2853" s="5" t="str">
        <f>IFERROR(__xludf.DUMMYFUNCTION("""COMPUTED_VALUE"""),"951🤙🏼Enemy at the Gates🤙🏼History🤙🏼2")</f>
        <v>951🤙🏼Enemy at the Gates🤙🏼History🤙🏼2</v>
      </c>
      <c r="K2853" s="5">
        <f>IFERROR(__xludf.DUMMYFUNCTION("SPLiT(J2853, ""🤙🏼"",FALSE,FALSE)"),951.0)</f>
        <v>951</v>
      </c>
      <c r="L2853" s="5" t="str">
        <f>IFERROR(__xludf.DUMMYFUNCTION("""COMPUTED_VALUE"""),"Enemy at the Gates")</f>
        <v>Enemy at the Gates</v>
      </c>
      <c r="M2853" s="5" t="str">
        <f>IFERROR(__xludf.DUMMYFUNCTION("""COMPUTED_VALUE"""),"History")</f>
        <v>History</v>
      </c>
      <c r="N2853" s="5">
        <f>IFERROR(__xludf.DUMMYFUNCTION("""COMPUTED_VALUE"""),2.0)</f>
        <v>2</v>
      </c>
    </row>
    <row r="2854">
      <c r="J2854" s="5" t="str">
        <f>IFERROR(__xludf.DUMMYFUNCTION("""COMPUTED_VALUE"""),"951🤙🏼Enemy at the Gates🤙🏼War🤙🏼3")</f>
        <v>951🤙🏼Enemy at the Gates🤙🏼War🤙🏼3</v>
      </c>
      <c r="K2854" s="5">
        <f>IFERROR(__xludf.DUMMYFUNCTION("SPLiT(J2854, ""🤙🏼"",FALSE,FALSE)"),951.0)</f>
        <v>951</v>
      </c>
      <c r="L2854" s="5" t="str">
        <f>IFERROR(__xludf.DUMMYFUNCTION("""COMPUTED_VALUE"""),"Enemy at the Gates")</f>
        <v>Enemy at the Gates</v>
      </c>
      <c r="M2854" s="5" t="str">
        <f>IFERROR(__xludf.DUMMYFUNCTION("""COMPUTED_VALUE"""),"War")</f>
        <v>War</v>
      </c>
      <c r="N2854" s="5">
        <f>IFERROR(__xludf.DUMMYFUNCTION("""COMPUTED_VALUE"""),3.0)</f>
        <v>3</v>
      </c>
    </row>
    <row r="2855">
      <c r="J2855" s="5" t="str">
        <f>IFERROR(__xludf.DUMMYFUNCTION("""COMPUTED_VALUE"""),"952🤙🏼Minority Report🤙🏼Action🤙🏼1")</f>
        <v>952🤙🏼Minority Report🤙🏼Action🤙🏼1</v>
      </c>
      <c r="K2855" s="5">
        <f>IFERROR(__xludf.DUMMYFUNCTION("SPLiT(J2855, ""🤙🏼"",FALSE,FALSE)"),952.0)</f>
        <v>952</v>
      </c>
      <c r="L2855" s="5" t="str">
        <f>IFERROR(__xludf.DUMMYFUNCTION("""COMPUTED_VALUE"""),"Minority Report")</f>
        <v>Minority Report</v>
      </c>
      <c r="M2855" s="5" t="str">
        <f>IFERROR(__xludf.DUMMYFUNCTION("""COMPUTED_VALUE"""),"Action")</f>
        <v>Action</v>
      </c>
      <c r="N2855" s="5">
        <f>IFERROR(__xludf.DUMMYFUNCTION("""COMPUTED_VALUE"""),1.0)</f>
        <v>1</v>
      </c>
    </row>
    <row r="2856">
      <c r="J2856" s="5" t="str">
        <f>IFERROR(__xludf.DUMMYFUNCTION("""COMPUTED_VALUE"""),"952🤙🏼Minority Report🤙🏼Crime🤙🏼2")</f>
        <v>952🤙🏼Minority Report🤙🏼Crime🤙🏼2</v>
      </c>
      <c r="K2856" s="5">
        <f>IFERROR(__xludf.DUMMYFUNCTION("SPLiT(J2856, ""🤙🏼"",FALSE,FALSE)"),952.0)</f>
        <v>952</v>
      </c>
      <c r="L2856" s="5" t="str">
        <f>IFERROR(__xludf.DUMMYFUNCTION("""COMPUTED_VALUE"""),"Minority Report")</f>
        <v>Minority Report</v>
      </c>
      <c r="M2856" s="5" t="str">
        <f>IFERROR(__xludf.DUMMYFUNCTION("""COMPUTED_VALUE"""),"Crime")</f>
        <v>Crime</v>
      </c>
      <c r="N2856" s="5">
        <f>IFERROR(__xludf.DUMMYFUNCTION("""COMPUTED_VALUE"""),2.0)</f>
        <v>2</v>
      </c>
    </row>
    <row r="2857">
      <c r="J2857" s="5" t="str">
        <f>IFERROR(__xludf.DUMMYFUNCTION("""COMPUTED_VALUE"""),"952🤙🏼Minority Report🤙🏼Mystery🤙🏼3")</f>
        <v>952🤙🏼Minority Report🤙🏼Mystery🤙🏼3</v>
      </c>
      <c r="K2857" s="5">
        <f>IFERROR(__xludf.DUMMYFUNCTION("SPLiT(J2857, ""🤙🏼"",FALSE,FALSE)"),952.0)</f>
        <v>952</v>
      </c>
      <c r="L2857" s="5" t="str">
        <f>IFERROR(__xludf.DUMMYFUNCTION("""COMPUTED_VALUE"""),"Minority Report")</f>
        <v>Minority Report</v>
      </c>
      <c r="M2857" s="5" t="str">
        <f>IFERROR(__xludf.DUMMYFUNCTION("""COMPUTED_VALUE"""),"Mystery")</f>
        <v>Mystery</v>
      </c>
      <c r="N2857" s="5">
        <f>IFERROR(__xludf.DUMMYFUNCTION("""COMPUTED_VALUE"""),3.0)</f>
        <v>3</v>
      </c>
    </row>
    <row r="2858">
      <c r="J2858" s="5" t="str">
        <f>IFERROR(__xludf.DUMMYFUNCTION("""COMPUTED_VALUE"""),"953🤙🏼The Hurricane🤙🏼Biography🤙🏼1")</f>
        <v>953🤙🏼The Hurricane🤙🏼Biography🤙🏼1</v>
      </c>
      <c r="K2858" s="5">
        <f>IFERROR(__xludf.DUMMYFUNCTION("SPLiT(J2858, ""🤙🏼"",FALSE,FALSE)"),953.0)</f>
        <v>953</v>
      </c>
      <c r="L2858" s="5" t="str">
        <f>IFERROR(__xludf.DUMMYFUNCTION("""COMPUTED_VALUE"""),"The Hurricane")</f>
        <v>The Hurricane</v>
      </c>
      <c r="M2858" s="5" t="str">
        <f>IFERROR(__xludf.DUMMYFUNCTION("""COMPUTED_VALUE"""),"Biography")</f>
        <v>Biography</v>
      </c>
      <c r="N2858" s="5">
        <f>IFERROR(__xludf.DUMMYFUNCTION("""COMPUTED_VALUE"""),1.0)</f>
        <v>1</v>
      </c>
    </row>
    <row r="2859">
      <c r="J2859" s="5" t="str">
        <f>IFERROR(__xludf.DUMMYFUNCTION("""COMPUTED_VALUE"""),"953🤙🏼The Hurricane🤙🏼Drama🤙🏼2")</f>
        <v>953🤙🏼The Hurricane🤙🏼Drama🤙🏼2</v>
      </c>
      <c r="K2859" s="5">
        <f>IFERROR(__xludf.DUMMYFUNCTION("SPLiT(J2859, ""🤙🏼"",FALSE,FALSE)"),953.0)</f>
        <v>953</v>
      </c>
      <c r="L2859" s="5" t="str">
        <f>IFERROR(__xludf.DUMMYFUNCTION("""COMPUTED_VALUE"""),"The Hurricane")</f>
        <v>The Hurricane</v>
      </c>
      <c r="M2859" s="5" t="str">
        <f>IFERROR(__xludf.DUMMYFUNCTION("""COMPUTED_VALUE"""),"Drama")</f>
        <v>Drama</v>
      </c>
      <c r="N2859" s="5">
        <f>IFERROR(__xludf.DUMMYFUNCTION("""COMPUTED_VALUE"""),2.0)</f>
        <v>2</v>
      </c>
    </row>
    <row r="2860">
      <c r="J2860" s="5" t="str">
        <f>IFERROR(__xludf.DUMMYFUNCTION("""COMPUTED_VALUE"""),"953🤙🏼The Hurricane🤙🏼Sport🤙🏼3")</f>
        <v>953🤙🏼The Hurricane🤙🏼Sport🤙🏼3</v>
      </c>
      <c r="K2860" s="5">
        <f>IFERROR(__xludf.DUMMYFUNCTION("SPLiT(J2860, ""🤙🏼"",FALSE,FALSE)"),953.0)</f>
        <v>953</v>
      </c>
      <c r="L2860" s="5" t="str">
        <f>IFERROR(__xludf.DUMMYFUNCTION("""COMPUTED_VALUE"""),"The Hurricane")</f>
        <v>The Hurricane</v>
      </c>
      <c r="M2860" s="5" t="str">
        <f>IFERROR(__xludf.DUMMYFUNCTION("""COMPUTED_VALUE"""),"Sport")</f>
        <v>Sport</v>
      </c>
      <c r="N2860" s="5">
        <f>IFERROR(__xludf.DUMMYFUNCTION("""COMPUTED_VALUE"""),3.0)</f>
        <v>3</v>
      </c>
    </row>
    <row r="2861">
      <c r="J2861" s="5" t="str">
        <f>IFERROR(__xludf.DUMMYFUNCTION("""COMPUTED_VALUE"""),"954🤙🏼American Psycho🤙🏼Comedy🤙🏼1")</f>
        <v>954🤙🏼American Psycho🤙🏼Comedy🤙🏼1</v>
      </c>
      <c r="K2861" s="5">
        <f>IFERROR(__xludf.DUMMYFUNCTION("SPLiT(J2861, ""🤙🏼"",FALSE,FALSE)"),954.0)</f>
        <v>954</v>
      </c>
      <c r="L2861" s="5" t="str">
        <f>IFERROR(__xludf.DUMMYFUNCTION("""COMPUTED_VALUE"""),"American Psycho")</f>
        <v>American Psycho</v>
      </c>
      <c r="M2861" s="5" t="str">
        <f>IFERROR(__xludf.DUMMYFUNCTION("""COMPUTED_VALUE"""),"Comedy")</f>
        <v>Comedy</v>
      </c>
      <c r="N2861" s="5">
        <f>IFERROR(__xludf.DUMMYFUNCTION("""COMPUTED_VALUE"""),1.0)</f>
        <v>1</v>
      </c>
    </row>
    <row r="2862">
      <c r="J2862" s="5" t="str">
        <f>IFERROR(__xludf.DUMMYFUNCTION("""COMPUTED_VALUE"""),"954🤙🏼American Psycho🤙🏼Crime🤙🏼2")</f>
        <v>954🤙🏼American Psycho🤙🏼Crime🤙🏼2</v>
      </c>
      <c r="K2862" s="5">
        <f>IFERROR(__xludf.DUMMYFUNCTION("SPLiT(J2862, ""🤙🏼"",FALSE,FALSE)"),954.0)</f>
        <v>954</v>
      </c>
      <c r="L2862" s="5" t="str">
        <f>IFERROR(__xludf.DUMMYFUNCTION("""COMPUTED_VALUE"""),"American Psycho")</f>
        <v>American Psycho</v>
      </c>
      <c r="M2862" s="5" t="str">
        <f>IFERROR(__xludf.DUMMYFUNCTION("""COMPUTED_VALUE"""),"Crime")</f>
        <v>Crime</v>
      </c>
      <c r="N2862" s="5">
        <f>IFERROR(__xludf.DUMMYFUNCTION("""COMPUTED_VALUE"""),2.0)</f>
        <v>2</v>
      </c>
    </row>
    <row r="2863">
      <c r="J2863" s="5" t="str">
        <f>IFERROR(__xludf.DUMMYFUNCTION("""COMPUTED_VALUE"""),"954🤙🏼American Psycho🤙🏼Drama🤙🏼3")</f>
        <v>954🤙🏼American Psycho🤙🏼Drama🤙🏼3</v>
      </c>
      <c r="K2863" s="5">
        <f>IFERROR(__xludf.DUMMYFUNCTION("SPLiT(J2863, ""🤙🏼"",FALSE,FALSE)"),954.0)</f>
        <v>954</v>
      </c>
      <c r="L2863" s="5" t="str">
        <f>IFERROR(__xludf.DUMMYFUNCTION("""COMPUTED_VALUE"""),"American Psycho")</f>
        <v>American Psycho</v>
      </c>
      <c r="M2863" s="5" t="str">
        <f>IFERROR(__xludf.DUMMYFUNCTION("""COMPUTED_VALUE"""),"Drama")</f>
        <v>Drama</v>
      </c>
      <c r="N2863" s="5">
        <f>IFERROR(__xludf.DUMMYFUNCTION("""COMPUTED_VALUE"""),3.0)</f>
        <v>3</v>
      </c>
    </row>
    <row r="2864">
      <c r="J2864" s="5" t="str">
        <f>IFERROR(__xludf.DUMMYFUNCTION("""COMPUTED_VALUE"""),"955🤙🏼Lola rennt🤙🏼Crime🤙🏼1")</f>
        <v>955🤙🏼Lola rennt🤙🏼Crime🤙🏼1</v>
      </c>
      <c r="K2864" s="5">
        <f>IFERROR(__xludf.DUMMYFUNCTION("SPLiT(J2864, ""🤙🏼"",FALSE,FALSE)"),955.0)</f>
        <v>955</v>
      </c>
      <c r="L2864" s="5" t="str">
        <f>IFERROR(__xludf.DUMMYFUNCTION("""COMPUTED_VALUE"""),"Lola rennt")</f>
        <v>Lola rennt</v>
      </c>
      <c r="M2864" s="5" t="str">
        <f>IFERROR(__xludf.DUMMYFUNCTION("""COMPUTED_VALUE"""),"Crime")</f>
        <v>Crime</v>
      </c>
      <c r="N2864" s="5">
        <f>IFERROR(__xludf.DUMMYFUNCTION("""COMPUTED_VALUE"""),1.0)</f>
        <v>1</v>
      </c>
    </row>
    <row r="2865">
      <c r="J2865" s="5" t="str">
        <f>IFERROR(__xludf.DUMMYFUNCTION("""COMPUTED_VALUE"""),"955🤙🏼Lola rennt🤙🏼Drama🤙🏼2")</f>
        <v>955🤙🏼Lola rennt🤙🏼Drama🤙🏼2</v>
      </c>
      <c r="K2865" s="5">
        <f>IFERROR(__xludf.DUMMYFUNCTION("SPLiT(J2865, ""🤙🏼"",FALSE,FALSE)"),955.0)</f>
        <v>955</v>
      </c>
      <c r="L2865" s="5" t="str">
        <f>IFERROR(__xludf.DUMMYFUNCTION("""COMPUTED_VALUE"""),"Lola rennt")</f>
        <v>Lola rennt</v>
      </c>
      <c r="M2865" s="5" t="str">
        <f>IFERROR(__xludf.DUMMYFUNCTION("""COMPUTED_VALUE"""),"Drama")</f>
        <v>Drama</v>
      </c>
      <c r="N2865" s="5">
        <f>IFERROR(__xludf.DUMMYFUNCTION("""COMPUTED_VALUE"""),2.0)</f>
        <v>2</v>
      </c>
    </row>
    <row r="2866">
      <c r="J2866" s="5" t="str">
        <f>IFERROR(__xludf.DUMMYFUNCTION("""COMPUTED_VALUE"""),"955🤙🏼Lola rennt🤙🏼Thriller🤙🏼3")</f>
        <v>955🤙🏼Lola rennt🤙🏼Thriller🤙🏼3</v>
      </c>
      <c r="K2866" s="5">
        <f>IFERROR(__xludf.DUMMYFUNCTION("SPLiT(J2866, ""🤙🏼"",FALSE,FALSE)"),955.0)</f>
        <v>955</v>
      </c>
      <c r="L2866" s="5" t="str">
        <f>IFERROR(__xludf.DUMMYFUNCTION("""COMPUTED_VALUE"""),"Lola rennt")</f>
        <v>Lola rennt</v>
      </c>
      <c r="M2866" s="5" t="str">
        <f>IFERROR(__xludf.DUMMYFUNCTION("""COMPUTED_VALUE"""),"Thriller")</f>
        <v>Thriller</v>
      </c>
      <c r="N2866" s="5">
        <f>IFERROR(__xludf.DUMMYFUNCTION("""COMPUTED_VALUE"""),3.0)</f>
        <v>3</v>
      </c>
    </row>
    <row r="2867">
      <c r="J2867" s="5" t="str">
        <f>IFERROR(__xludf.DUMMYFUNCTION("""COMPUTED_VALUE"""),"956🤙🏼The Thin Red Line🤙🏼Drama🤙🏼1")</f>
        <v>956🤙🏼The Thin Red Line🤙🏼Drama🤙🏼1</v>
      </c>
      <c r="K2867" s="5">
        <f>IFERROR(__xludf.DUMMYFUNCTION("SPLiT(J2867, ""🤙🏼"",FALSE,FALSE)"),956.0)</f>
        <v>956</v>
      </c>
      <c r="L2867" s="5" t="str">
        <f>IFERROR(__xludf.DUMMYFUNCTION("""COMPUTED_VALUE"""),"The Thin Red Line")</f>
        <v>The Thin Red Line</v>
      </c>
      <c r="M2867" s="5" t="str">
        <f>IFERROR(__xludf.DUMMYFUNCTION("""COMPUTED_VALUE"""),"Drama")</f>
        <v>Drama</v>
      </c>
      <c r="N2867" s="5">
        <f>IFERROR(__xludf.DUMMYFUNCTION("""COMPUTED_VALUE"""),1.0)</f>
        <v>1</v>
      </c>
    </row>
    <row r="2868">
      <c r="J2868" s="5" t="str">
        <f>IFERROR(__xludf.DUMMYFUNCTION("""COMPUTED_VALUE"""),"956🤙🏼The Thin Red Line🤙🏼War🤙🏼2")</f>
        <v>956🤙🏼The Thin Red Line🤙🏼War🤙🏼2</v>
      </c>
      <c r="K2868" s="5">
        <f>IFERROR(__xludf.DUMMYFUNCTION("SPLiT(J2868, ""🤙🏼"",FALSE,FALSE)"),956.0)</f>
        <v>956</v>
      </c>
      <c r="L2868" s="5" t="str">
        <f>IFERROR(__xludf.DUMMYFUNCTION("""COMPUTED_VALUE"""),"The Thin Red Line")</f>
        <v>The Thin Red Line</v>
      </c>
      <c r="M2868" s="5" t="str">
        <f>IFERROR(__xludf.DUMMYFUNCTION("""COMPUTED_VALUE"""),"War")</f>
        <v>War</v>
      </c>
      <c r="N2868" s="5">
        <f>IFERROR(__xludf.DUMMYFUNCTION("""COMPUTED_VALUE"""),2.0)</f>
        <v>2</v>
      </c>
    </row>
    <row r="2869">
      <c r="J2869" s="5" t="str">
        <f>IFERROR(__xludf.DUMMYFUNCTION("""COMPUTED_VALUE"""),"956🤙🏼The Thin Red Line🤙🏼🤙🏼3")</f>
        <v>956🤙🏼The Thin Red Line🤙🏼🤙🏼3</v>
      </c>
      <c r="K2869" s="5">
        <f>IFERROR(__xludf.DUMMYFUNCTION("SPLiT(J2869, ""🤙🏼"",FALSE,FALSE)"),956.0)</f>
        <v>956</v>
      </c>
      <c r="L2869" s="5" t="str">
        <f>IFERROR(__xludf.DUMMYFUNCTION("""COMPUTED_VALUE"""),"The Thin Red Line")</f>
        <v>The Thin Red Line</v>
      </c>
      <c r="M2869" s="5"/>
      <c r="N2869" s="5">
        <f>IFERROR(__xludf.DUMMYFUNCTION("""COMPUTED_VALUE"""),3.0)</f>
        <v>3</v>
      </c>
    </row>
    <row r="2870">
      <c r="J2870" s="5" t="str">
        <f>IFERROR(__xludf.DUMMYFUNCTION("""COMPUTED_VALUE"""),"957🤙🏼Mulan🤙🏼Animation🤙🏼1")</f>
        <v>957🤙🏼Mulan🤙🏼Animation🤙🏼1</v>
      </c>
      <c r="K2870" s="5">
        <f>IFERROR(__xludf.DUMMYFUNCTION("SPLiT(J2870, ""🤙🏼"",FALSE,FALSE)"),957.0)</f>
        <v>957</v>
      </c>
      <c r="L2870" s="5" t="str">
        <f>IFERROR(__xludf.DUMMYFUNCTION("""COMPUTED_VALUE"""),"Mulan")</f>
        <v>Mulan</v>
      </c>
      <c r="M2870" s="5" t="str">
        <f>IFERROR(__xludf.DUMMYFUNCTION("""COMPUTED_VALUE"""),"Animation")</f>
        <v>Animation</v>
      </c>
      <c r="N2870" s="5">
        <f>IFERROR(__xludf.DUMMYFUNCTION("""COMPUTED_VALUE"""),1.0)</f>
        <v>1</v>
      </c>
    </row>
    <row r="2871">
      <c r="J2871" s="5" t="str">
        <f>IFERROR(__xludf.DUMMYFUNCTION("""COMPUTED_VALUE"""),"957🤙🏼Mulan🤙🏼Adventure🤙🏼2")</f>
        <v>957🤙🏼Mulan🤙🏼Adventure🤙🏼2</v>
      </c>
      <c r="K2871" s="5">
        <f>IFERROR(__xludf.DUMMYFUNCTION("SPLiT(J2871, ""🤙🏼"",FALSE,FALSE)"),957.0)</f>
        <v>957</v>
      </c>
      <c r="L2871" s="5" t="str">
        <f>IFERROR(__xludf.DUMMYFUNCTION("""COMPUTED_VALUE"""),"Mulan")</f>
        <v>Mulan</v>
      </c>
      <c r="M2871" s="5" t="str">
        <f>IFERROR(__xludf.DUMMYFUNCTION("""COMPUTED_VALUE"""),"Adventure")</f>
        <v>Adventure</v>
      </c>
      <c r="N2871" s="5">
        <f>IFERROR(__xludf.DUMMYFUNCTION("""COMPUTED_VALUE"""),2.0)</f>
        <v>2</v>
      </c>
    </row>
    <row r="2872">
      <c r="J2872" s="5" t="str">
        <f>IFERROR(__xludf.DUMMYFUNCTION("""COMPUTED_VALUE"""),"957🤙🏼Mulan🤙🏼Family🤙🏼3")</f>
        <v>957🤙🏼Mulan🤙🏼Family🤙🏼3</v>
      </c>
      <c r="K2872" s="5">
        <f>IFERROR(__xludf.DUMMYFUNCTION("SPLiT(J2872, ""🤙🏼"",FALSE,FALSE)"),957.0)</f>
        <v>957</v>
      </c>
      <c r="L2872" s="5" t="str">
        <f>IFERROR(__xludf.DUMMYFUNCTION("""COMPUTED_VALUE"""),"Mulan")</f>
        <v>Mulan</v>
      </c>
      <c r="M2872" s="5" t="str">
        <f>IFERROR(__xludf.DUMMYFUNCTION("""COMPUTED_VALUE"""),"Family")</f>
        <v>Family</v>
      </c>
      <c r="N2872" s="5">
        <f>IFERROR(__xludf.DUMMYFUNCTION("""COMPUTED_VALUE"""),3.0)</f>
        <v>3</v>
      </c>
    </row>
    <row r="2873">
      <c r="J2873" s="5" t="str">
        <f>IFERROR(__xludf.DUMMYFUNCTION("""COMPUTED_VALUE"""),"958🤙🏼Fear and Loathing in Las Vegas🤙🏼Adventure🤙🏼1")</f>
        <v>958🤙🏼Fear and Loathing in Las Vegas🤙🏼Adventure🤙🏼1</v>
      </c>
      <c r="K2873" s="5">
        <f>IFERROR(__xludf.DUMMYFUNCTION("SPLiT(J2873, ""🤙🏼"",FALSE,FALSE)"),958.0)</f>
        <v>958</v>
      </c>
      <c r="L2873" s="5" t="str">
        <f>IFERROR(__xludf.DUMMYFUNCTION("""COMPUTED_VALUE"""),"Fear and Loathing in Las Vegas")</f>
        <v>Fear and Loathing in Las Vegas</v>
      </c>
      <c r="M2873" s="5" t="str">
        <f>IFERROR(__xludf.DUMMYFUNCTION("""COMPUTED_VALUE"""),"Adventure")</f>
        <v>Adventure</v>
      </c>
      <c r="N2873" s="5">
        <f>IFERROR(__xludf.DUMMYFUNCTION("""COMPUTED_VALUE"""),1.0)</f>
        <v>1</v>
      </c>
    </row>
    <row r="2874">
      <c r="J2874" s="5" t="str">
        <f>IFERROR(__xludf.DUMMYFUNCTION("""COMPUTED_VALUE"""),"958🤙🏼Fear and Loathing in Las Vegas🤙🏼Comedy🤙🏼2")</f>
        <v>958🤙🏼Fear and Loathing in Las Vegas🤙🏼Comedy🤙🏼2</v>
      </c>
      <c r="K2874" s="5">
        <f>IFERROR(__xludf.DUMMYFUNCTION("SPLiT(J2874, ""🤙🏼"",FALSE,FALSE)"),958.0)</f>
        <v>958</v>
      </c>
      <c r="L2874" s="5" t="str">
        <f>IFERROR(__xludf.DUMMYFUNCTION("""COMPUTED_VALUE"""),"Fear and Loathing in Las Vegas")</f>
        <v>Fear and Loathing in Las Vegas</v>
      </c>
      <c r="M2874" s="5" t="str">
        <f>IFERROR(__xludf.DUMMYFUNCTION("""COMPUTED_VALUE"""),"Comedy")</f>
        <v>Comedy</v>
      </c>
      <c r="N2874" s="5">
        <f>IFERROR(__xludf.DUMMYFUNCTION("""COMPUTED_VALUE"""),2.0)</f>
        <v>2</v>
      </c>
    </row>
    <row r="2875">
      <c r="J2875" s="5" t="str">
        <f>IFERROR(__xludf.DUMMYFUNCTION("""COMPUTED_VALUE"""),"958🤙🏼Fear and Loathing in Las Vegas🤙🏼Drama🤙🏼3")</f>
        <v>958🤙🏼Fear and Loathing in Las Vegas🤙🏼Drama🤙🏼3</v>
      </c>
      <c r="K2875" s="5">
        <f>IFERROR(__xludf.DUMMYFUNCTION("SPLiT(J2875, ""🤙🏼"",FALSE,FALSE)"),958.0)</f>
        <v>958</v>
      </c>
      <c r="L2875" s="5" t="str">
        <f>IFERROR(__xludf.DUMMYFUNCTION("""COMPUTED_VALUE"""),"Fear and Loathing in Las Vegas")</f>
        <v>Fear and Loathing in Las Vegas</v>
      </c>
      <c r="M2875" s="5" t="str">
        <f>IFERROR(__xludf.DUMMYFUNCTION("""COMPUTED_VALUE"""),"Drama")</f>
        <v>Drama</v>
      </c>
      <c r="N2875" s="5">
        <f>IFERROR(__xludf.DUMMYFUNCTION("""COMPUTED_VALUE"""),3.0)</f>
        <v>3</v>
      </c>
    </row>
    <row r="2876">
      <c r="J2876" s="5" t="str">
        <f>IFERROR(__xludf.DUMMYFUNCTION("""COMPUTED_VALUE"""),"959🤙🏼Funny Games🤙🏼Crime🤙🏼1")</f>
        <v>959🤙🏼Funny Games🤙🏼Crime🤙🏼1</v>
      </c>
      <c r="K2876" s="5">
        <f>IFERROR(__xludf.DUMMYFUNCTION("SPLiT(J2876, ""🤙🏼"",FALSE,FALSE)"),959.0)</f>
        <v>959</v>
      </c>
      <c r="L2876" s="5" t="str">
        <f>IFERROR(__xludf.DUMMYFUNCTION("""COMPUTED_VALUE"""),"Funny Games")</f>
        <v>Funny Games</v>
      </c>
      <c r="M2876" s="5" t="str">
        <f>IFERROR(__xludf.DUMMYFUNCTION("""COMPUTED_VALUE"""),"Crime")</f>
        <v>Crime</v>
      </c>
      <c r="N2876" s="5">
        <f>IFERROR(__xludf.DUMMYFUNCTION("""COMPUTED_VALUE"""),1.0)</f>
        <v>1</v>
      </c>
    </row>
    <row r="2877">
      <c r="J2877" s="5" t="str">
        <f>IFERROR(__xludf.DUMMYFUNCTION("""COMPUTED_VALUE"""),"959🤙🏼Funny Games🤙🏼Drama🤙🏼2")</f>
        <v>959🤙🏼Funny Games🤙🏼Drama🤙🏼2</v>
      </c>
      <c r="K2877" s="5">
        <f>IFERROR(__xludf.DUMMYFUNCTION("SPLiT(J2877, ""🤙🏼"",FALSE,FALSE)"),959.0)</f>
        <v>959</v>
      </c>
      <c r="L2877" s="5" t="str">
        <f>IFERROR(__xludf.DUMMYFUNCTION("""COMPUTED_VALUE"""),"Funny Games")</f>
        <v>Funny Games</v>
      </c>
      <c r="M2877" s="5" t="str">
        <f>IFERROR(__xludf.DUMMYFUNCTION("""COMPUTED_VALUE"""),"Drama")</f>
        <v>Drama</v>
      </c>
      <c r="N2877" s="5">
        <f>IFERROR(__xludf.DUMMYFUNCTION("""COMPUTED_VALUE"""),2.0)</f>
        <v>2</v>
      </c>
    </row>
    <row r="2878">
      <c r="J2878" s="5" t="str">
        <f>IFERROR(__xludf.DUMMYFUNCTION("""COMPUTED_VALUE"""),"959🤙🏼Funny Games🤙🏼Thriller🤙🏼3")</f>
        <v>959🤙🏼Funny Games🤙🏼Thriller🤙🏼3</v>
      </c>
      <c r="K2878" s="5">
        <f>IFERROR(__xludf.DUMMYFUNCTION("SPLiT(J2878, ""🤙🏼"",FALSE,FALSE)"),959.0)</f>
        <v>959</v>
      </c>
      <c r="L2878" s="5" t="str">
        <f>IFERROR(__xludf.DUMMYFUNCTION("""COMPUTED_VALUE"""),"Funny Games")</f>
        <v>Funny Games</v>
      </c>
      <c r="M2878" s="5" t="str">
        <f>IFERROR(__xludf.DUMMYFUNCTION("""COMPUTED_VALUE"""),"Thriller")</f>
        <v>Thriller</v>
      </c>
      <c r="N2878" s="5">
        <f>IFERROR(__xludf.DUMMYFUNCTION("""COMPUTED_VALUE"""),3.0)</f>
        <v>3</v>
      </c>
    </row>
    <row r="2879">
      <c r="J2879" s="5" t="str">
        <f>IFERROR(__xludf.DUMMYFUNCTION("""COMPUTED_VALUE"""),"960🤙🏼Dark City🤙🏼Mystery🤙🏼1")</f>
        <v>960🤙🏼Dark City🤙🏼Mystery🤙🏼1</v>
      </c>
      <c r="K2879" s="5">
        <f>IFERROR(__xludf.DUMMYFUNCTION("SPLiT(J2879, ""🤙🏼"",FALSE,FALSE)"),960.0)</f>
        <v>960</v>
      </c>
      <c r="L2879" s="5" t="str">
        <f>IFERROR(__xludf.DUMMYFUNCTION("""COMPUTED_VALUE"""),"Dark City")</f>
        <v>Dark City</v>
      </c>
      <c r="M2879" s="5" t="str">
        <f>IFERROR(__xludf.DUMMYFUNCTION("""COMPUTED_VALUE"""),"Mystery")</f>
        <v>Mystery</v>
      </c>
      <c r="N2879" s="5">
        <f>IFERROR(__xludf.DUMMYFUNCTION("""COMPUTED_VALUE"""),1.0)</f>
        <v>1</v>
      </c>
    </row>
    <row r="2880">
      <c r="J2880" s="5" t="str">
        <f>IFERROR(__xludf.DUMMYFUNCTION("""COMPUTED_VALUE"""),"960🤙🏼Dark City🤙🏼Sci-Fi🤙🏼2")</f>
        <v>960🤙🏼Dark City🤙🏼Sci-Fi🤙🏼2</v>
      </c>
      <c r="K2880" s="5">
        <f>IFERROR(__xludf.DUMMYFUNCTION("SPLiT(J2880, ""🤙🏼"",FALSE,FALSE)"),960.0)</f>
        <v>960</v>
      </c>
      <c r="L2880" s="5" t="str">
        <f>IFERROR(__xludf.DUMMYFUNCTION("""COMPUTED_VALUE"""),"Dark City")</f>
        <v>Dark City</v>
      </c>
      <c r="M2880" s="5" t="str">
        <f>IFERROR(__xludf.DUMMYFUNCTION("""COMPUTED_VALUE"""),"Sci-Fi")</f>
        <v>Sci-Fi</v>
      </c>
      <c r="N2880" s="5">
        <f>IFERROR(__xludf.DUMMYFUNCTION("""COMPUTED_VALUE"""),2.0)</f>
        <v>2</v>
      </c>
    </row>
    <row r="2881">
      <c r="J2881" s="5" t="str">
        <f>IFERROR(__xludf.DUMMYFUNCTION("""COMPUTED_VALUE"""),"960🤙🏼Dark City🤙🏼Thriller🤙🏼3")</f>
        <v>960🤙🏼Dark City🤙🏼Thriller🤙🏼3</v>
      </c>
      <c r="K2881" s="5">
        <f>IFERROR(__xludf.DUMMYFUNCTION("SPLiT(J2881, ""🤙🏼"",FALSE,FALSE)"),960.0)</f>
        <v>960</v>
      </c>
      <c r="L2881" s="5" t="str">
        <f>IFERROR(__xludf.DUMMYFUNCTION("""COMPUTED_VALUE"""),"Dark City")</f>
        <v>Dark City</v>
      </c>
      <c r="M2881" s="5" t="str">
        <f>IFERROR(__xludf.DUMMYFUNCTION("""COMPUTED_VALUE"""),"Thriller")</f>
        <v>Thriller</v>
      </c>
      <c r="N2881" s="5">
        <f>IFERROR(__xludf.DUMMYFUNCTION("""COMPUTED_VALUE"""),3.0)</f>
        <v>3</v>
      </c>
    </row>
    <row r="2882">
      <c r="J2882" s="5" t="str">
        <f>IFERROR(__xludf.DUMMYFUNCTION("""COMPUTED_VALUE"""),"961🤙🏼Sleepers🤙🏼Crime🤙🏼1")</f>
        <v>961🤙🏼Sleepers🤙🏼Crime🤙🏼1</v>
      </c>
      <c r="K2882" s="5">
        <f>IFERROR(__xludf.DUMMYFUNCTION("SPLiT(J2882, ""🤙🏼"",FALSE,FALSE)"),961.0)</f>
        <v>961</v>
      </c>
      <c r="L2882" s="5" t="str">
        <f>IFERROR(__xludf.DUMMYFUNCTION("""COMPUTED_VALUE"""),"Sleepers")</f>
        <v>Sleepers</v>
      </c>
      <c r="M2882" s="5" t="str">
        <f>IFERROR(__xludf.DUMMYFUNCTION("""COMPUTED_VALUE"""),"Crime")</f>
        <v>Crime</v>
      </c>
      <c r="N2882" s="5">
        <f>IFERROR(__xludf.DUMMYFUNCTION("""COMPUTED_VALUE"""),1.0)</f>
        <v>1</v>
      </c>
    </row>
    <row r="2883">
      <c r="J2883" s="5" t="str">
        <f>IFERROR(__xludf.DUMMYFUNCTION("""COMPUTED_VALUE"""),"961🤙🏼Sleepers🤙🏼Drama🤙🏼2")</f>
        <v>961🤙🏼Sleepers🤙🏼Drama🤙🏼2</v>
      </c>
      <c r="K2883" s="5">
        <f>IFERROR(__xludf.DUMMYFUNCTION("SPLiT(J2883, ""🤙🏼"",FALSE,FALSE)"),961.0)</f>
        <v>961</v>
      </c>
      <c r="L2883" s="5" t="str">
        <f>IFERROR(__xludf.DUMMYFUNCTION("""COMPUTED_VALUE"""),"Sleepers")</f>
        <v>Sleepers</v>
      </c>
      <c r="M2883" s="5" t="str">
        <f>IFERROR(__xludf.DUMMYFUNCTION("""COMPUTED_VALUE"""),"Drama")</f>
        <v>Drama</v>
      </c>
      <c r="N2883" s="5">
        <f>IFERROR(__xludf.DUMMYFUNCTION("""COMPUTED_VALUE"""),2.0)</f>
        <v>2</v>
      </c>
    </row>
    <row r="2884">
      <c r="J2884" s="5" t="str">
        <f>IFERROR(__xludf.DUMMYFUNCTION("""COMPUTED_VALUE"""),"961🤙🏼Sleepers🤙🏼Thriller🤙🏼3")</f>
        <v>961🤙🏼Sleepers🤙🏼Thriller🤙🏼3</v>
      </c>
      <c r="K2884" s="5">
        <f>IFERROR(__xludf.DUMMYFUNCTION("SPLiT(J2884, ""🤙🏼"",FALSE,FALSE)"),961.0)</f>
        <v>961</v>
      </c>
      <c r="L2884" s="5" t="str">
        <f>IFERROR(__xludf.DUMMYFUNCTION("""COMPUTED_VALUE"""),"Sleepers")</f>
        <v>Sleepers</v>
      </c>
      <c r="M2884" s="5" t="str">
        <f>IFERROR(__xludf.DUMMYFUNCTION("""COMPUTED_VALUE"""),"Thriller")</f>
        <v>Thriller</v>
      </c>
      <c r="N2884" s="5">
        <f>IFERROR(__xludf.DUMMYFUNCTION("""COMPUTED_VALUE"""),3.0)</f>
        <v>3</v>
      </c>
    </row>
    <row r="2885">
      <c r="J2885" s="5" t="str">
        <f>IFERROR(__xludf.DUMMYFUNCTION("""COMPUTED_VALUE"""),"962🤙🏼Lost Highway🤙🏼Mystery🤙🏼1")</f>
        <v>962🤙🏼Lost Highway🤙🏼Mystery🤙🏼1</v>
      </c>
      <c r="K2885" s="5">
        <f>IFERROR(__xludf.DUMMYFUNCTION("SPLiT(J2885, ""🤙🏼"",FALSE,FALSE)"),962.0)</f>
        <v>962</v>
      </c>
      <c r="L2885" s="5" t="str">
        <f>IFERROR(__xludf.DUMMYFUNCTION("""COMPUTED_VALUE"""),"Lost Highway")</f>
        <v>Lost Highway</v>
      </c>
      <c r="M2885" s="5" t="str">
        <f>IFERROR(__xludf.DUMMYFUNCTION("""COMPUTED_VALUE"""),"Mystery")</f>
        <v>Mystery</v>
      </c>
      <c r="N2885" s="5">
        <f>IFERROR(__xludf.DUMMYFUNCTION("""COMPUTED_VALUE"""),1.0)</f>
        <v>1</v>
      </c>
    </row>
    <row r="2886">
      <c r="J2886" s="5" t="str">
        <f>IFERROR(__xludf.DUMMYFUNCTION("""COMPUTED_VALUE"""),"962🤙🏼Lost Highway🤙🏼Thriller🤙🏼2")</f>
        <v>962🤙🏼Lost Highway🤙🏼Thriller🤙🏼2</v>
      </c>
      <c r="K2886" s="5">
        <f>IFERROR(__xludf.DUMMYFUNCTION("SPLiT(J2886, ""🤙🏼"",FALSE,FALSE)"),962.0)</f>
        <v>962</v>
      </c>
      <c r="L2886" s="5" t="str">
        <f>IFERROR(__xludf.DUMMYFUNCTION("""COMPUTED_VALUE"""),"Lost Highway")</f>
        <v>Lost Highway</v>
      </c>
      <c r="M2886" s="5" t="str">
        <f>IFERROR(__xludf.DUMMYFUNCTION("""COMPUTED_VALUE"""),"Thriller")</f>
        <v>Thriller</v>
      </c>
      <c r="N2886" s="5">
        <f>IFERROR(__xludf.DUMMYFUNCTION("""COMPUTED_VALUE"""),2.0)</f>
        <v>2</v>
      </c>
    </row>
    <row r="2887">
      <c r="J2887" s="5" t="str">
        <f>IFERROR(__xludf.DUMMYFUNCTION("""COMPUTED_VALUE"""),"962🤙🏼Lost Highway🤙🏼🤙🏼3")</f>
        <v>962🤙🏼Lost Highway🤙🏼🤙🏼3</v>
      </c>
      <c r="K2887" s="5">
        <f>IFERROR(__xludf.DUMMYFUNCTION("SPLiT(J2887, ""🤙🏼"",FALSE,FALSE)"),962.0)</f>
        <v>962</v>
      </c>
      <c r="L2887" s="5" t="str">
        <f>IFERROR(__xludf.DUMMYFUNCTION("""COMPUTED_VALUE"""),"Lost Highway")</f>
        <v>Lost Highway</v>
      </c>
      <c r="M2887" s="5"/>
      <c r="N2887" s="5">
        <f>IFERROR(__xludf.DUMMYFUNCTION("""COMPUTED_VALUE"""),3.0)</f>
        <v>3</v>
      </c>
    </row>
    <row r="2888">
      <c r="J2888" s="5" t="str">
        <f>IFERROR(__xludf.DUMMYFUNCTION("""COMPUTED_VALUE"""),"963🤙🏼Sense and Sensibility🤙🏼Drama🤙🏼1")</f>
        <v>963🤙🏼Sense and Sensibility🤙🏼Drama🤙🏼1</v>
      </c>
      <c r="K2888" s="5">
        <f>IFERROR(__xludf.DUMMYFUNCTION("SPLiT(J2888, ""🤙🏼"",FALSE,FALSE)"),963.0)</f>
        <v>963</v>
      </c>
      <c r="L2888" s="5" t="str">
        <f>IFERROR(__xludf.DUMMYFUNCTION("""COMPUTED_VALUE"""),"Sense and Sensibility")</f>
        <v>Sense and Sensibility</v>
      </c>
      <c r="M2888" s="5" t="str">
        <f>IFERROR(__xludf.DUMMYFUNCTION("""COMPUTED_VALUE"""),"Drama")</f>
        <v>Drama</v>
      </c>
      <c r="N2888" s="5">
        <f>IFERROR(__xludf.DUMMYFUNCTION("""COMPUTED_VALUE"""),1.0)</f>
        <v>1</v>
      </c>
    </row>
    <row r="2889">
      <c r="J2889" s="5" t="str">
        <f>IFERROR(__xludf.DUMMYFUNCTION("""COMPUTED_VALUE"""),"963🤙🏼Sense and Sensibility🤙🏼Romance🤙🏼2")</f>
        <v>963🤙🏼Sense and Sensibility🤙🏼Romance🤙🏼2</v>
      </c>
      <c r="K2889" s="5">
        <f>IFERROR(__xludf.DUMMYFUNCTION("SPLiT(J2889, ""🤙🏼"",FALSE,FALSE)"),963.0)</f>
        <v>963</v>
      </c>
      <c r="L2889" s="5" t="str">
        <f>IFERROR(__xludf.DUMMYFUNCTION("""COMPUTED_VALUE"""),"Sense and Sensibility")</f>
        <v>Sense and Sensibility</v>
      </c>
      <c r="M2889" s="5" t="str">
        <f>IFERROR(__xludf.DUMMYFUNCTION("""COMPUTED_VALUE"""),"Romance")</f>
        <v>Romance</v>
      </c>
      <c r="N2889" s="5">
        <f>IFERROR(__xludf.DUMMYFUNCTION("""COMPUTED_VALUE"""),2.0)</f>
        <v>2</v>
      </c>
    </row>
    <row r="2890">
      <c r="J2890" s="5" t="str">
        <f>IFERROR(__xludf.DUMMYFUNCTION("""COMPUTED_VALUE"""),"963🤙🏼Sense and Sensibility🤙🏼🤙🏼3")</f>
        <v>963🤙🏼Sense and Sensibility🤙🏼🤙🏼3</v>
      </c>
      <c r="K2890" s="5">
        <f>IFERROR(__xludf.DUMMYFUNCTION("SPLiT(J2890, ""🤙🏼"",FALSE,FALSE)"),963.0)</f>
        <v>963</v>
      </c>
      <c r="L2890" s="5" t="str">
        <f>IFERROR(__xludf.DUMMYFUNCTION("""COMPUTED_VALUE"""),"Sense and Sensibility")</f>
        <v>Sense and Sensibility</v>
      </c>
      <c r="M2890" s="5"/>
      <c r="N2890" s="5">
        <f>IFERROR(__xludf.DUMMYFUNCTION("""COMPUTED_VALUE"""),3.0)</f>
        <v>3</v>
      </c>
    </row>
    <row r="2891">
      <c r="J2891" s="5" t="str">
        <f>IFERROR(__xludf.DUMMYFUNCTION("""COMPUTED_VALUE"""),"964🤙🏼Die Hard: With a Vengeance🤙🏼Action🤙🏼1")</f>
        <v>964🤙🏼Die Hard: With a Vengeance🤙🏼Action🤙🏼1</v>
      </c>
      <c r="K2891" s="5">
        <f>IFERROR(__xludf.DUMMYFUNCTION("SPLiT(J2891, ""🤙🏼"",FALSE,FALSE)"),964.0)</f>
        <v>964</v>
      </c>
      <c r="L2891" s="5" t="str">
        <f>IFERROR(__xludf.DUMMYFUNCTION("""COMPUTED_VALUE"""),"Die Hard: With a Vengeance")</f>
        <v>Die Hard: With a Vengeance</v>
      </c>
      <c r="M2891" s="5" t="str">
        <f>IFERROR(__xludf.DUMMYFUNCTION("""COMPUTED_VALUE"""),"Action")</f>
        <v>Action</v>
      </c>
      <c r="N2891" s="5">
        <f>IFERROR(__xludf.DUMMYFUNCTION("""COMPUTED_VALUE"""),1.0)</f>
        <v>1</v>
      </c>
    </row>
    <row r="2892">
      <c r="J2892" s="5" t="str">
        <f>IFERROR(__xludf.DUMMYFUNCTION("""COMPUTED_VALUE"""),"964🤙🏼Die Hard: With a Vengeance🤙🏼Adventure🤙🏼2")</f>
        <v>964🤙🏼Die Hard: With a Vengeance🤙🏼Adventure🤙🏼2</v>
      </c>
      <c r="K2892" s="5">
        <f>IFERROR(__xludf.DUMMYFUNCTION("SPLiT(J2892, ""🤙🏼"",FALSE,FALSE)"),964.0)</f>
        <v>964</v>
      </c>
      <c r="L2892" s="5" t="str">
        <f>IFERROR(__xludf.DUMMYFUNCTION("""COMPUTED_VALUE"""),"Die Hard: With a Vengeance")</f>
        <v>Die Hard: With a Vengeance</v>
      </c>
      <c r="M2892" s="5" t="str">
        <f>IFERROR(__xludf.DUMMYFUNCTION("""COMPUTED_VALUE"""),"Adventure")</f>
        <v>Adventure</v>
      </c>
      <c r="N2892" s="5">
        <f>IFERROR(__xludf.DUMMYFUNCTION("""COMPUTED_VALUE"""),2.0)</f>
        <v>2</v>
      </c>
    </row>
    <row r="2893">
      <c r="J2893" s="5" t="str">
        <f>IFERROR(__xludf.DUMMYFUNCTION("""COMPUTED_VALUE"""),"964🤙🏼Die Hard: With a Vengeance🤙🏼Thriller🤙🏼3")</f>
        <v>964🤙🏼Die Hard: With a Vengeance🤙🏼Thriller🤙🏼3</v>
      </c>
      <c r="K2893" s="5">
        <f>IFERROR(__xludf.DUMMYFUNCTION("SPLiT(J2893, ""🤙🏼"",FALSE,FALSE)"),964.0)</f>
        <v>964</v>
      </c>
      <c r="L2893" s="5" t="str">
        <f>IFERROR(__xludf.DUMMYFUNCTION("""COMPUTED_VALUE"""),"Die Hard: With a Vengeance")</f>
        <v>Die Hard: With a Vengeance</v>
      </c>
      <c r="M2893" s="5" t="str">
        <f>IFERROR(__xludf.DUMMYFUNCTION("""COMPUTED_VALUE"""),"Thriller")</f>
        <v>Thriller</v>
      </c>
      <c r="N2893" s="5">
        <f>IFERROR(__xludf.DUMMYFUNCTION("""COMPUTED_VALUE"""),3.0)</f>
        <v>3</v>
      </c>
    </row>
    <row r="2894">
      <c r="J2894" s="5" t="str">
        <f>IFERROR(__xludf.DUMMYFUNCTION("""COMPUTED_VALUE"""),"965🤙🏼Dead Man🤙🏼Adventure🤙🏼1")</f>
        <v>965🤙🏼Dead Man🤙🏼Adventure🤙🏼1</v>
      </c>
      <c r="K2894" s="5">
        <f>IFERROR(__xludf.DUMMYFUNCTION("SPLiT(J2894, ""🤙🏼"",FALSE,FALSE)"),965.0)</f>
        <v>965</v>
      </c>
      <c r="L2894" s="5" t="str">
        <f>IFERROR(__xludf.DUMMYFUNCTION("""COMPUTED_VALUE"""),"Dead Man")</f>
        <v>Dead Man</v>
      </c>
      <c r="M2894" s="5" t="str">
        <f>IFERROR(__xludf.DUMMYFUNCTION("""COMPUTED_VALUE"""),"Adventure")</f>
        <v>Adventure</v>
      </c>
      <c r="N2894" s="5">
        <f>IFERROR(__xludf.DUMMYFUNCTION("""COMPUTED_VALUE"""),1.0)</f>
        <v>1</v>
      </c>
    </row>
    <row r="2895">
      <c r="J2895" s="5" t="str">
        <f>IFERROR(__xludf.DUMMYFUNCTION("""COMPUTED_VALUE"""),"965🤙🏼Dead Man🤙🏼Drama🤙🏼2")</f>
        <v>965🤙🏼Dead Man🤙🏼Drama🤙🏼2</v>
      </c>
      <c r="K2895" s="5">
        <f>IFERROR(__xludf.DUMMYFUNCTION("SPLiT(J2895, ""🤙🏼"",FALSE,FALSE)"),965.0)</f>
        <v>965</v>
      </c>
      <c r="L2895" s="5" t="str">
        <f>IFERROR(__xludf.DUMMYFUNCTION("""COMPUTED_VALUE"""),"Dead Man")</f>
        <v>Dead Man</v>
      </c>
      <c r="M2895" s="5" t="str">
        <f>IFERROR(__xludf.DUMMYFUNCTION("""COMPUTED_VALUE"""),"Drama")</f>
        <v>Drama</v>
      </c>
      <c r="N2895" s="5">
        <f>IFERROR(__xludf.DUMMYFUNCTION("""COMPUTED_VALUE"""),2.0)</f>
        <v>2</v>
      </c>
    </row>
    <row r="2896">
      <c r="J2896" s="5" t="str">
        <f>IFERROR(__xludf.DUMMYFUNCTION("""COMPUTED_VALUE"""),"965🤙🏼Dead Man🤙🏼Fantasy🤙🏼3")</f>
        <v>965🤙🏼Dead Man🤙🏼Fantasy🤙🏼3</v>
      </c>
      <c r="K2896" s="5">
        <f>IFERROR(__xludf.DUMMYFUNCTION("SPLiT(J2896, ""🤙🏼"",FALSE,FALSE)"),965.0)</f>
        <v>965</v>
      </c>
      <c r="L2896" s="5" t="str">
        <f>IFERROR(__xludf.DUMMYFUNCTION("""COMPUTED_VALUE"""),"Dead Man")</f>
        <v>Dead Man</v>
      </c>
      <c r="M2896" s="5" t="str">
        <f>IFERROR(__xludf.DUMMYFUNCTION("""COMPUTED_VALUE"""),"Fantasy")</f>
        <v>Fantasy</v>
      </c>
      <c r="N2896" s="5">
        <f>IFERROR(__xludf.DUMMYFUNCTION("""COMPUTED_VALUE"""),3.0)</f>
        <v>3</v>
      </c>
    </row>
    <row r="2897">
      <c r="J2897" s="5" t="str">
        <f>IFERROR(__xludf.DUMMYFUNCTION("""COMPUTED_VALUE"""),"966🤙🏼The Bridges of Madison County🤙🏼Drama🤙🏼1")</f>
        <v>966🤙🏼The Bridges of Madison County🤙🏼Drama🤙🏼1</v>
      </c>
      <c r="K2897" s="5">
        <f>IFERROR(__xludf.DUMMYFUNCTION("SPLiT(J2897, ""🤙🏼"",FALSE,FALSE)"),966.0)</f>
        <v>966</v>
      </c>
      <c r="L2897" s="5" t="str">
        <f>IFERROR(__xludf.DUMMYFUNCTION("""COMPUTED_VALUE"""),"The Bridges of Madison County")</f>
        <v>The Bridges of Madison County</v>
      </c>
      <c r="M2897" s="5" t="str">
        <f>IFERROR(__xludf.DUMMYFUNCTION("""COMPUTED_VALUE"""),"Drama")</f>
        <v>Drama</v>
      </c>
      <c r="N2897" s="5">
        <f>IFERROR(__xludf.DUMMYFUNCTION("""COMPUTED_VALUE"""),1.0)</f>
        <v>1</v>
      </c>
    </row>
    <row r="2898">
      <c r="J2898" s="5" t="str">
        <f>IFERROR(__xludf.DUMMYFUNCTION("""COMPUTED_VALUE"""),"966🤙🏼The Bridges of Madison County🤙🏼Romance🤙🏼2")</f>
        <v>966🤙🏼The Bridges of Madison County🤙🏼Romance🤙🏼2</v>
      </c>
      <c r="K2898" s="5">
        <f>IFERROR(__xludf.DUMMYFUNCTION("SPLiT(J2898, ""🤙🏼"",FALSE,FALSE)"),966.0)</f>
        <v>966</v>
      </c>
      <c r="L2898" s="5" t="str">
        <f>IFERROR(__xludf.DUMMYFUNCTION("""COMPUTED_VALUE"""),"The Bridges of Madison County")</f>
        <v>The Bridges of Madison County</v>
      </c>
      <c r="M2898" s="5" t="str">
        <f>IFERROR(__xludf.DUMMYFUNCTION("""COMPUTED_VALUE"""),"Romance")</f>
        <v>Romance</v>
      </c>
      <c r="N2898" s="5">
        <f>IFERROR(__xludf.DUMMYFUNCTION("""COMPUTED_VALUE"""),2.0)</f>
        <v>2</v>
      </c>
    </row>
    <row r="2899">
      <c r="J2899" s="5" t="str">
        <f>IFERROR(__xludf.DUMMYFUNCTION("""COMPUTED_VALUE"""),"966🤙🏼The Bridges of Madison County🤙🏼🤙🏼3")</f>
        <v>966🤙🏼The Bridges of Madison County🤙🏼🤙🏼3</v>
      </c>
      <c r="K2899" s="5">
        <f>IFERROR(__xludf.DUMMYFUNCTION("SPLiT(J2899, ""🤙🏼"",FALSE,FALSE)"),966.0)</f>
        <v>966</v>
      </c>
      <c r="L2899" s="5" t="str">
        <f>IFERROR(__xludf.DUMMYFUNCTION("""COMPUTED_VALUE"""),"The Bridges of Madison County")</f>
        <v>The Bridges of Madison County</v>
      </c>
      <c r="M2899" s="5"/>
      <c r="N2899" s="5">
        <f>IFERROR(__xludf.DUMMYFUNCTION("""COMPUTED_VALUE"""),3.0)</f>
        <v>3</v>
      </c>
    </row>
    <row r="2900">
      <c r="J2900" s="5" t="str">
        <f>IFERROR(__xludf.DUMMYFUNCTION("""COMPUTED_VALUE"""),"967🤙🏼Apollo 13🤙🏼Adventure🤙🏼1")</f>
        <v>967🤙🏼Apollo 13🤙🏼Adventure🤙🏼1</v>
      </c>
      <c r="K2900" s="5">
        <f>IFERROR(__xludf.DUMMYFUNCTION("SPLiT(J2900, ""🤙🏼"",FALSE,FALSE)"),967.0)</f>
        <v>967</v>
      </c>
      <c r="L2900" s="5" t="str">
        <f>IFERROR(__xludf.DUMMYFUNCTION("""COMPUTED_VALUE"""),"Apollo 13")</f>
        <v>Apollo 13</v>
      </c>
      <c r="M2900" s="5" t="str">
        <f>IFERROR(__xludf.DUMMYFUNCTION("""COMPUTED_VALUE"""),"Adventure")</f>
        <v>Adventure</v>
      </c>
      <c r="N2900" s="5">
        <f>IFERROR(__xludf.DUMMYFUNCTION("""COMPUTED_VALUE"""),1.0)</f>
        <v>1</v>
      </c>
    </row>
    <row r="2901">
      <c r="J2901" s="5" t="str">
        <f>IFERROR(__xludf.DUMMYFUNCTION("""COMPUTED_VALUE"""),"967🤙🏼Apollo 13🤙🏼Drama🤙🏼2")</f>
        <v>967🤙🏼Apollo 13🤙🏼Drama🤙🏼2</v>
      </c>
      <c r="K2901" s="5">
        <f>IFERROR(__xludf.DUMMYFUNCTION("SPLiT(J2901, ""🤙🏼"",FALSE,FALSE)"),967.0)</f>
        <v>967</v>
      </c>
      <c r="L2901" s="5" t="str">
        <f>IFERROR(__xludf.DUMMYFUNCTION("""COMPUTED_VALUE"""),"Apollo 13")</f>
        <v>Apollo 13</v>
      </c>
      <c r="M2901" s="5" t="str">
        <f>IFERROR(__xludf.DUMMYFUNCTION("""COMPUTED_VALUE"""),"Drama")</f>
        <v>Drama</v>
      </c>
      <c r="N2901" s="5">
        <f>IFERROR(__xludf.DUMMYFUNCTION("""COMPUTED_VALUE"""),2.0)</f>
        <v>2</v>
      </c>
    </row>
    <row r="2902">
      <c r="J2902" s="5" t="str">
        <f>IFERROR(__xludf.DUMMYFUNCTION("""COMPUTED_VALUE"""),"967🤙🏼Apollo 13🤙🏼History🤙🏼3")</f>
        <v>967🤙🏼Apollo 13🤙🏼History🤙🏼3</v>
      </c>
      <c r="K2902" s="5">
        <f>IFERROR(__xludf.DUMMYFUNCTION("SPLiT(J2902, ""🤙🏼"",FALSE,FALSE)"),967.0)</f>
        <v>967</v>
      </c>
      <c r="L2902" s="5" t="str">
        <f>IFERROR(__xludf.DUMMYFUNCTION("""COMPUTED_VALUE"""),"Apollo 13")</f>
        <v>Apollo 13</v>
      </c>
      <c r="M2902" s="5" t="str">
        <f>IFERROR(__xludf.DUMMYFUNCTION("""COMPUTED_VALUE"""),"History")</f>
        <v>History</v>
      </c>
      <c r="N2902" s="5">
        <f>IFERROR(__xludf.DUMMYFUNCTION("""COMPUTED_VALUE"""),3.0)</f>
        <v>3</v>
      </c>
    </row>
    <row r="2903">
      <c r="J2903" s="5" t="str">
        <f>IFERROR(__xludf.DUMMYFUNCTION("""COMPUTED_VALUE"""),"968🤙🏼Trois couleurs: Blanc🤙🏼Comedy🤙🏼1")</f>
        <v>968🤙🏼Trois couleurs: Blanc🤙🏼Comedy🤙🏼1</v>
      </c>
      <c r="K2903" s="5">
        <f>IFERROR(__xludf.DUMMYFUNCTION("SPLiT(J2903, ""🤙🏼"",FALSE,FALSE)"),968.0)</f>
        <v>968</v>
      </c>
      <c r="L2903" s="5" t="str">
        <f>IFERROR(__xludf.DUMMYFUNCTION("""COMPUTED_VALUE"""),"Trois couleurs: Blanc")</f>
        <v>Trois couleurs: Blanc</v>
      </c>
      <c r="M2903" s="5" t="str">
        <f>IFERROR(__xludf.DUMMYFUNCTION("""COMPUTED_VALUE"""),"Comedy")</f>
        <v>Comedy</v>
      </c>
      <c r="N2903" s="5">
        <f>IFERROR(__xludf.DUMMYFUNCTION("""COMPUTED_VALUE"""),1.0)</f>
        <v>1</v>
      </c>
    </row>
    <row r="2904">
      <c r="J2904" s="5" t="str">
        <f>IFERROR(__xludf.DUMMYFUNCTION("""COMPUTED_VALUE"""),"968🤙🏼Trois couleurs: Blanc🤙🏼Drama🤙🏼2")</f>
        <v>968🤙🏼Trois couleurs: Blanc🤙🏼Drama🤙🏼2</v>
      </c>
      <c r="K2904" s="5">
        <f>IFERROR(__xludf.DUMMYFUNCTION("SPLiT(J2904, ""🤙🏼"",FALSE,FALSE)"),968.0)</f>
        <v>968</v>
      </c>
      <c r="L2904" s="5" t="str">
        <f>IFERROR(__xludf.DUMMYFUNCTION("""COMPUTED_VALUE"""),"Trois couleurs: Blanc")</f>
        <v>Trois couleurs: Blanc</v>
      </c>
      <c r="M2904" s="5" t="str">
        <f>IFERROR(__xludf.DUMMYFUNCTION("""COMPUTED_VALUE"""),"Drama")</f>
        <v>Drama</v>
      </c>
      <c r="N2904" s="5">
        <f>IFERROR(__xludf.DUMMYFUNCTION("""COMPUTED_VALUE"""),2.0)</f>
        <v>2</v>
      </c>
    </row>
    <row r="2905">
      <c r="J2905" s="5" t="str">
        <f>IFERROR(__xludf.DUMMYFUNCTION("""COMPUTED_VALUE"""),"968🤙🏼Trois couleurs: Blanc🤙🏼Romance🤙🏼3")</f>
        <v>968🤙🏼Trois couleurs: Blanc🤙🏼Romance🤙🏼3</v>
      </c>
      <c r="K2905" s="5">
        <f>IFERROR(__xludf.DUMMYFUNCTION("SPLiT(J2905, ""🤙🏼"",FALSE,FALSE)"),968.0)</f>
        <v>968</v>
      </c>
      <c r="L2905" s="5" t="str">
        <f>IFERROR(__xludf.DUMMYFUNCTION("""COMPUTED_VALUE"""),"Trois couleurs: Blanc")</f>
        <v>Trois couleurs: Blanc</v>
      </c>
      <c r="M2905" s="5" t="str">
        <f>IFERROR(__xludf.DUMMYFUNCTION("""COMPUTED_VALUE"""),"Romance")</f>
        <v>Romance</v>
      </c>
      <c r="N2905" s="5">
        <f>IFERROR(__xludf.DUMMYFUNCTION("""COMPUTED_VALUE"""),3.0)</f>
        <v>3</v>
      </c>
    </row>
    <row r="2906">
      <c r="J2906" s="5" t="str">
        <f>IFERROR(__xludf.DUMMYFUNCTION("""COMPUTED_VALUE"""),"969🤙🏼Falling Down🤙🏼Action🤙🏼1")</f>
        <v>969🤙🏼Falling Down🤙🏼Action🤙🏼1</v>
      </c>
      <c r="K2906" s="5">
        <f>IFERROR(__xludf.DUMMYFUNCTION("SPLiT(J2906, ""🤙🏼"",FALSE,FALSE)"),969.0)</f>
        <v>969</v>
      </c>
      <c r="L2906" s="5" t="str">
        <f>IFERROR(__xludf.DUMMYFUNCTION("""COMPUTED_VALUE"""),"Falling Down")</f>
        <v>Falling Down</v>
      </c>
      <c r="M2906" s="5" t="str">
        <f>IFERROR(__xludf.DUMMYFUNCTION("""COMPUTED_VALUE"""),"Action")</f>
        <v>Action</v>
      </c>
      <c r="N2906" s="5">
        <f>IFERROR(__xludf.DUMMYFUNCTION("""COMPUTED_VALUE"""),1.0)</f>
        <v>1</v>
      </c>
    </row>
    <row r="2907">
      <c r="J2907" s="5" t="str">
        <f>IFERROR(__xludf.DUMMYFUNCTION("""COMPUTED_VALUE"""),"969🤙🏼Falling Down🤙🏼Crime🤙🏼2")</f>
        <v>969🤙🏼Falling Down🤙🏼Crime🤙🏼2</v>
      </c>
      <c r="K2907" s="5">
        <f>IFERROR(__xludf.DUMMYFUNCTION("SPLiT(J2907, ""🤙🏼"",FALSE,FALSE)"),969.0)</f>
        <v>969</v>
      </c>
      <c r="L2907" s="5" t="str">
        <f>IFERROR(__xludf.DUMMYFUNCTION("""COMPUTED_VALUE"""),"Falling Down")</f>
        <v>Falling Down</v>
      </c>
      <c r="M2907" s="5" t="str">
        <f>IFERROR(__xludf.DUMMYFUNCTION("""COMPUTED_VALUE"""),"Crime")</f>
        <v>Crime</v>
      </c>
      <c r="N2907" s="5">
        <f>IFERROR(__xludf.DUMMYFUNCTION("""COMPUTED_VALUE"""),2.0)</f>
        <v>2</v>
      </c>
    </row>
    <row r="2908">
      <c r="J2908" s="5" t="str">
        <f>IFERROR(__xludf.DUMMYFUNCTION("""COMPUTED_VALUE"""),"969🤙🏼Falling Down🤙🏼Drama🤙🏼3")</f>
        <v>969🤙🏼Falling Down🤙🏼Drama🤙🏼3</v>
      </c>
      <c r="K2908" s="5">
        <f>IFERROR(__xludf.DUMMYFUNCTION("SPLiT(J2908, ""🤙🏼"",FALSE,FALSE)"),969.0)</f>
        <v>969</v>
      </c>
      <c r="L2908" s="5" t="str">
        <f>IFERROR(__xludf.DUMMYFUNCTION("""COMPUTED_VALUE"""),"Falling Down")</f>
        <v>Falling Down</v>
      </c>
      <c r="M2908" s="5" t="str">
        <f>IFERROR(__xludf.DUMMYFUNCTION("""COMPUTED_VALUE"""),"Drama")</f>
        <v>Drama</v>
      </c>
      <c r="N2908" s="5">
        <f>IFERROR(__xludf.DUMMYFUNCTION("""COMPUTED_VALUE"""),3.0)</f>
        <v>3</v>
      </c>
    </row>
    <row r="2909">
      <c r="J2909" s="5" t="str">
        <f>IFERROR(__xludf.DUMMYFUNCTION("""COMPUTED_VALUE"""),"970🤙🏼Dazed and Confused🤙🏼Comedy🤙🏼1")</f>
        <v>970🤙🏼Dazed and Confused🤙🏼Comedy🤙🏼1</v>
      </c>
      <c r="K2909" s="5">
        <f>IFERROR(__xludf.DUMMYFUNCTION("SPLiT(J2909, ""🤙🏼"",FALSE,FALSE)"),970.0)</f>
        <v>970</v>
      </c>
      <c r="L2909" s="5" t="str">
        <f>IFERROR(__xludf.DUMMYFUNCTION("""COMPUTED_VALUE"""),"Dazed and Confused")</f>
        <v>Dazed and Confused</v>
      </c>
      <c r="M2909" s="5" t="str">
        <f>IFERROR(__xludf.DUMMYFUNCTION("""COMPUTED_VALUE"""),"Comedy")</f>
        <v>Comedy</v>
      </c>
      <c r="N2909" s="5">
        <f>IFERROR(__xludf.DUMMYFUNCTION("""COMPUTED_VALUE"""),1.0)</f>
        <v>1</v>
      </c>
    </row>
    <row r="2910">
      <c r="J2910" s="5" t="str">
        <f>IFERROR(__xludf.DUMMYFUNCTION("""COMPUTED_VALUE"""),"970🤙🏼Dazed and Confused🤙🏼🤙🏼2")</f>
        <v>970🤙🏼Dazed and Confused🤙🏼🤙🏼2</v>
      </c>
      <c r="K2910" s="5">
        <f>IFERROR(__xludf.DUMMYFUNCTION("SPLiT(J2910, ""🤙🏼"",FALSE,FALSE)"),970.0)</f>
        <v>970</v>
      </c>
      <c r="L2910" s="5" t="str">
        <f>IFERROR(__xludf.DUMMYFUNCTION("""COMPUTED_VALUE"""),"Dazed and Confused")</f>
        <v>Dazed and Confused</v>
      </c>
      <c r="M2910" s="5"/>
      <c r="N2910" s="5">
        <f>IFERROR(__xludf.DUMMYFUNCTION("""COMPUTED_VALUE"""),2.0)</f>
        <v>2</v>
      </c>
    </row>
    <row r="2911">
      <c r="J2911" s="5" t="str">
        <f>IFERROR(__xludf.DUMMYFUNCTION("""COMPUTED_VALUE"""),"970🤙🏼Dazed and Confused🤙🏼🤙🏼3")</f>
        <v>970🤙🏼Dazed and Confused🤙🏼🤙🏼3</v>
      </c>
      <c r="K2911" s="5">
        <f>IFERROR(__xludf.DUMMYFUNCTION("SPLiT(J2911, ""🤙🏼"",FALSE,FALSE)"),970.0)</f>
        <v>970</v>
      </c>
      <c r="L2911" s="5" t="str">
        <f>IFERROR(__xludf.DUMMYFUNCTION("""COMPUTED_VALUE"""),"Dazed and Confused")</f>
        <v>Dazed and Confused</v>
      </c>
      <c r="M2911" s="5"/>
      <c r="N2911" s="5">
        <f>IFERROR(__xludf.DUMMYFUNCTION("""COMPUTED_VALUE"""),3.0)</f>
        <v>3</v>
      </c>
    </row>
    <row r="2912">
      <c r="J2912" s="5" t="str">
        <f>IFERROR(__xludf.DUMMYFUNCTION("""COMPUTED_VALUE"""),"971🤙🏼My Cousin Vinny🤙🏼Comedy🤙🏼1")</f>
        <v>971🤙🏼My Cousin Vinny🤙🏼Comedy🤙🏼1</v>
      </c>
      <c r="K2912" s="5">
        <f>IFERROR(__xludf.DUMMYFUNCTION("SPLiT(J2912, ""🤙🏼"",FALSE,FALSE)"),971.0)</f>
        <v>971</v>
      </c>
      <c r="L2912" s="5" t="str">
        <f>IFERROR(__xludf.DUMMYFUNCTION("""COMPUTED_VALUE"""),"My Cousin Vinny")</f>
        <v>My Cousin Vinny</v>
      </c>
      <c r="M2912" s="5" t="str">
        <f>IFERROR(__xludf.DUMMYFUNCTION("""COMPUTED_VALUE"""),"Comedy")</f>
        <v>Comedy</v>
      </c>
      <c r="N2912" s="5">
        <f>IFERROR(__xludf.DUMMYFUNCTION("""COMPUTED_VALUE"""),1.0)</f>
        <v>1</v>
      </c>
    </row>
    <row r="2913">
      <c r="J2913" s="5" t="str">
        <f>IFERROR(__xludf.DUMMYFUNCTION("""COMPUTED_VALUE"""),"971🤙🏼My Cousin Vinny🤙🏼Crime🤙🏼2")</f>
        <v>971🤙🏼My Cousin Vinny🤙🏼Crime🤙🏼2</v>
      </c>
      <c r="K2913" s="5">
        <f>IFERROR(__xludf.DUMMYFUNCTION("SPLiT(J2913, ""🤙🏼"",FALSE,FALSE)"),971.0)</f>
        <v>971</v>
      </c>
      <c r="L2913" s="5" t="str">
        <f>IFERROR(__xludf.DUMMYFUNCTION("""COMPUTED_VALUE"""),"My Cousin Vinny")</f>
        <v>My Cousin Vinny</v>
      </c>
      <c r="M2913" s="5" t="str">
        <f>IFERROR(__xludf.DUMMYFUNCTION("""COMPUTED_VALUE"""),"Crime")</f>
        <v>Crime</v>
      </c>
      <c r="N2913" s="5">
        <f>IFERROR(__xludf.DUMMYFUNCTION("""COMPUTED_VALUE"""),2.0)</f>
        <v>2</v>
      </c>
    </row>
    <row r="2914">
      <c r="J2914" s="5" t="str">
        <f>IFERROR(__xludf.DUMMYFUNCTION("""COMPUTED_VALUE"""),"971🤙🏼My Cousin Vinny🤙🏼🤙🏼3")</f>
        <v>971🤙🏼My Cousin Vinny🤙🏼🤙🏼3</v>
      </c>
      <c r="K2914" s="5">
        <f>IFERROR(__xludf.DUMMYFUNCTION("SPLiT(J2914, ""🤙🏼"",FALSE,FALSE)"),971.0)</f>
        <v>971</v>
      </c>
      <c r="L2914" s="5" t="str">
        <f>IFERROR(__xludf.DUMMYFUNCTION("""COMPUTED_VALUE"""),"My Cousin Vinny")</f>
        <v>My Cousin Vinny</v>
      </c>
      <c r="M2914" s="5"/>
      <c r="N2914" s="5">
        <f>IFERROR(__xludf.DUMMYFUNCTION("""COMPUTED_VALUE"""),3.0)</f>
        <v>3</v>
      </c>
    </row>
    <row r="2915">
      <c r="J2915" s="5" t="str">
        <f>IFERROR(__xludf.DUMMYFUNCTION("""COMPUTED_VALUE"""),"972🤙🏼Omohide poro poro🤙🏼Animation🤙🏼1")</f>
        <v>972🤙🏼Omohide poro poro🤙🏼Animation🤙🏼1</v>
      </c>
      <c r="K2915" s="5">
        <f>IFERROR(__xludf.DUMMYFUNCTION("SPLiT(J2915, ""🤙🏼"",FALSE,FALSE)"),972.0)</f>
        <v>972</v>
      </c>
      <c r="L2915" s="5" t="str">
        <f>IFERROR(__xludf.DUMMYFUNCTION("""COMPUTED_VALUE"""),"Omohide poro poro")</f>
        <v>Omohide poro poro</v>
      </c>
      <c r="M2915" s="5" t="str">
        <f>IFERROR(__xludf.DUMMYFUNCTION("""COMPUTED_VALUE"""),"Animation")</f>
        <v>Animation</v>
      </c>
      <c r="N2915" s="5">
        <f>IFERROR(__xludf.DUMMYFUNCTION("""COMPUTED_VALUE"""),1.0)</f>
        <v>1</v>
      </c>
    </row>
    <row r="2916">
      <c r="J2916" s="5" t="str">
        <f>IFERROR(__xludf.DUMMYFUNCTION("""COMPUTED_VALUE"""),"972🤙🏼Omohide poro poro🤙🏼Drama🤙🏼2")</f>
        <v>972🤙🏼Omohide poro poro🤙🏼Drama🤙🏼2</v>
      </c>
      <c r="K2916" s="5">
        <f>IFERROR(__xludf.DUMMYFUNCTION("SPLiT(J2916, ""🤙🏼"",FALSE,FALSE)"),972.0)</f>
        <v>972</v>
      </c>
      <c r="L2916" s="5" t="str">
        <f>IFERROR(__xludf.DUMMYFUNCTION("""COMPUTED_VALUE"""),"Omohide poro poro")</f>
        <v>Omohide poro poro</v>
      </c>
      <c r="M2916" s="5" t="str">
        <f>IFERROR(__xludf.DUMMYFUNCTION("""COMPUTED_VALUE"""),"Drama")</f>
        <v>Drama</v>
      </c>
      <c r="N2916" s="5">
        <f>IFERROR(__xludf.DUMMYFUNCTION("""COMPUTED_VALUE"""),2.0)</f>
        <v>2</v>
      </c>
    </row>
    <row r="2917">
      <c r="J2917" s="5" t="str">
        <f>IFERROR(__xludf.DUMMYFUNCTION("""COMPUTED_VALUE"""),"972🤙🏼Omohide poro poro🤙🏼Romance🤙🏼3")</f>
        <v>972🤙🏼Omohide poro poro🤙🏼Romance🤙🏼3</v>
      </c>
      <c r="K2917" s="5">
        <f>IFERROR(__xludf.DUMMYFUNCTION("SPLiT(J2917, ""🤙🏼"",FALSE,FALSE)"),972.0)</f>
        <v>972</v>
      </c>
      <c r="L2917" s="5" t="str">
        <f>IFERROR(__xludf.DUMMYFUNCTION("""COMPUTED_VALUE"""),"Omohide poro poro")</f>
        <v>Omohide poro poro</v>
      </c>
      <c r="M2917" s="5" t="str">
        <f>IFERROR(__xludf.DUMMYFUNCTION("""COMPUTED_VALUE"""),"Romance")</f>
        <v>Romance</v>
      </c>
      <c r="N2917" s="5">
        <f>IFERROR(__xludf.DUMMYFUNCTION("""COMPUTED_VALUE"""),3.0)</f>
        <v>3</v>
      </c>
    </row>
    <row r="2918">
      <c r="J2918" s="5" t="str">
        <f>IFERROR(__xludf.DUMMYFUNCTION("""COMPUTED_VALUE"""),"973🤙🏼Delicatessen🤙🏼Comedy🤙🏼1")</f>
        <v>973🤙🏼Delicatessen🤙🏼Comedy🤙🏼1</v>
      </c>
      <c r="K2918" s="5">
        <f>IFERROR(__xludf.DUMMYFUNCTION("SPLiT(J2918, ""🤙🏼"",FALSE,FALSE)"),973.0)</f>
        <v>973</v>
      </c>
      <c r="L2918" s="5" t="str">
        <f>IFERROR(__xludf.DUMMYFUNCTION("""COMPUTED_VALUE"""),"Delicatessen")</f>
        <v>Delicatessen</v>
      </c>
      <c r="M2918" s="5" t="str">
        <f>IFERROR(__xludf.DUMMYFUNCTION("""COMPUTED_VALUE"""),"Comedy")</f>
        <v>Comedy</v>
      </c>
      <c r="N2918" s="5">
        <f>IFERROR(__xludf.DUMMYFUNCTION("""COMPUTED_VALUE"""),1.0)</f>
        <v>1</v>
      </c>
    </row>
    <row r="2919">
      <c r="J2919" s="5" t="str">
        <f>IFERROR(__xludf.DUMMYFUNCTION("""COMPUTED_VALUE"""),"973🤙🏼Delicatessen🤙🏼Crime🤙🏼2")</f>
        <v>973🤙🏼Delicatessen🤙🏼Crime🤙🏼2</v>
      </c>
      <c r="K2919" s="5">
        <f>IFERROR(__xludf.DUMMYFUNCTION("SPLiT(J2919, ""🤙🏼"",FALSE,FALSE)"),973.0)</f>
        <v>973</v>
      </c>
      <c r="L2919" s="5" t="str">
        <f>IFERROR(__xludf.DUMMYFUNCTION("""COMPUTED_VALUE"""),"Delicatessen")</f>
        <v>Delicatessen</v>
      </c>
      <c r="M2919" s="5" t="str">
        <f>IFERROR(__xludf.DUMMYFUNCTION("""COMPUTED_VALUE"""),"Crime")</f>
        <v>Crime</v>
      </c>
      <c r="N2919" s="5">
        <f>IFERROR(__xludf.DUMMYFUNCTION("""COMPUTED_VALUE"""),2.0)</f>
        <v>2</v>
      </c>
    </row>
    <row r="2920">
      <c r="J2920" s="5" t="str">
        <f>IFERROR(__xludf.DUMMYFUNCTION("""COMPUTED_VALUE"""),"973🤙🏼Delicatessen🤙🏼🤙🏼3")</f>
        <v>973🤙🏼Delicatessen🤙🏼🤙🏼3</v>
      </c>
      <c r="K2920" s="5">
        <f>IFERROR(__xludf.DUMMYFUNCTION("SPLiT(J2920, ""🤙🏼"",FALSE,FALSE)"),973.0)</f>
        <v>973</v>
      </c>
      <c r="L2920" s="5" t="str">
        <f>IFERROR(__xludf.DUMMYFUNCTION("""COMPUTED_VALUE"""),"Delicatessen")</f>
        <v>Delicatessen</v>
      </c>
      <c r="M2920" s="5"/>
      <c r="N2920" s="5">
        <f>IFERROR(__xludf.DUMMYFUNCTION("""COMPUTED_VALUE"""),3.0)</f>
        <v>3</v>
      </c>
    </row>
    <row r="2921">
      <c r="J2921" s="5" t="str">
        <f>IFERROR(__xludf.DUMMYFUNCTION("""COMPUTED_VALUE"""),"974🤙🏼Home Alone🤙🏼Comedy🤙🏼1")</f>
        <v>974🤙🏼Home Alone🤙🏼Comedy🤙🏼1</v>
      </c>
      <c r="K2921" s="5">
        <f>IFERROR(__xludf.DUMMYFUNCTION("SPLiT(J2921, ""🤙🏼"",FALSE,FALSE)"),974.0)</f>
        <v>974</v>
      </c>
      <c r="L2921" s="5" t="str">
        <f>IFERROR(__xludf.DUMMYFUNCTION("""COMPUTED_VALUE"""),"Home Alone")</f>
        <v>Home Alone</v>
      </c>
      <c r="M2921" s="5" t="str">
        <f>IFERROR(__xludf.DUMMYFUNCTION("""COMPUTED_VALUE"""),"Comedy")</f>
        <v>Comedy</v>
      </c>
      <c r="N2921" s="5">
        <f>IFERROR(__xludf.DUMMYFUNCTION("""COMPUTED_VALUE"""),1.0)</f>
        <v>1</v>
      </c>
    </row>
    <row r="2922">
      <c r="J2922" s="5" t="str">
        <f>IFERROR(__xludf.DUMMYFUNCTION("""COMPUTED_VALUE"""),"974🤙🏼Home Alone🤙🏼Family🤙🏼2")</f>
        <v>974🤙🏼Home Alone🤙🏼Family🤙🏼2</v>
      </c>
      <c r="K2922" s="5">
        <f>IFERROR(__xludf.DUMMYFUNCTION("SPLiT(J2922, ""🤙🏼"",FALSE,FALSE)"),974.0)</f>
        <v>974</v>
      </c>
      <c r="L2922" s="5" t="str">
        <f>IFERROR(__xludf.DUMMYFUNCTION("""COMPUTED_VALUE"""),"Home Alone")</f>
        <v>Home Alone</v>
      </c>
      <c r="M2922" s="5" t="str">
        <f>IFERROR(__xludf.DUMMYFUNCTION("""COMPUTED_VALUE"""),"Family")</f>
        <v>Family</v>
      </c>
      <c r="N2922" s="5">
        <f>IFERROR(__xludf.DUMMYFUNCTION("""COMPUTED_VALUE"""),2.0)</f>
        <v>2</v>
      </c>
    </row>
    <row r="2923">
      <c r="J2923" s="5" t="str">
        <f>IFERROR(__xludf.DUMMYFUNCTION("""COMPUTED_VALUE"""),"974🤙🏼Home Alone🤙🏼🤙🏼3")</f>
        <v>974🤙🏼Home Alone🤙🏼🤙🏼3</v>
      </c>
      <c r="K2923" s="5">
        <f>IFERROR(__xludf.DUMMYFUNCTION("SPLiT(J2923, ""🤙🏼"",FALSE,FALSE)"),974.0)</f>
        <v>974</v>
      </c>
      <c r="L2923" s="5" t="str">
        <f>IFERROR(__xludf.DUMMYFUNCTION("""COMPUTED_VALUE"""),"Home Alone")</f>
        <v>Home Alone</v>
      </c>
      <c r="M2923" s="5"/>
      <c r="N2923" s="5">
        <f>IFERROR(__xludf.DUMMYFUNCTION("""COMPUTED_VALUE"""),3.0)</f>
        <v>3</v>
      </c>
    </row>
    <row r="2924">
      <c r="J2924" s="5" t="str">
        <f>IFERROR(__xludf.DUMMYFUNCTION("""COMPUTED_VALUE"""),"975🤙🏼The Godfather: Part III🤙🏼Crime🤙🏼1")</f>
        <v>975🤙🏼The Godfather: Part III🤙🏼Crime🤙🏼1</v>
      </c>
      <c r="K2924" s="5">
        <f>IFERROR(__xludf.DUMMYFUNCTION("SPLiT(J2924, ""🤙🏼"",FALSE,FALSE)"),975.0)</f>
        <v>975</v>
      </c>
      <c r="L2924" s="5" t="str">
        <f>IFERROR(__xludf.DUMMYFUNCTION("""COMPUTED_VALUE"""),"The Godfather: Part III")</f>
        <v>The Godfather: Part III</v>
      </c>
      <c r="M2924" s="5" t="str">
        <f>IFERROR(__xludf.DUMMYFUNCTION("""COMPUTED_VALUE"""),"Crime")</f>
        <v>Crime</v>
      </c>
      <c r="N2924" s="5">
        <f>IFERROR(__xludf.DUMMYFUNCTION("""COMPUTED_VALUE"""),1.0)</f>
        <v>1</v>
      </c>
    </row>
    <row r="2925">
      <c r="J2925" s="5" t="str">
        <f>IFERROR(__xludf.DUMMYFUNCTION("""COMPUTED_VALUE"""),"975🤙🏼The Godfather: Part III🤙🏼Drama🤙🏼2")</f>
        <v>975🤙🏼The Godfather: Part III🤙🏼Drama🤙🏼2</v>
      </c>
      <c r="K2925" s="5">
        <f>IFERROR(__xludf.DUMMYFUNCTION("SPLiT(J2925, ""🤙🏼"",FALSE,FALSE)"),975.0)</f>
        <v>975</v>
      </c>
      <c r="L2925" s="5" t="str">
        <f>IFERROR(__xludf.DUMMYFUNCTION("""COMPUTED_VALUE"""),"The Godfather: Part III")</f>
        <v>The Godfather: Part III</v>
      </c>
      <c r="M2925" s="5" t="str">
        <f>IFERROR(__xludf.DUMMYFUNCTION("""COMPUTED_VALUE"""),"Drama")</f>
        <v>Drama</v>
      </c>
      <c r="N2925" s="5">
        <f>IFERROR(__xludf.DUMMYFUNCTION("""COMPUTED_VALUE"""),2.0)</f>
        <v>2</v>
      </c>
    </row>
    <row r="2926">
      <c r="J2926" s="5" t="str">
        <f>IFERROR(__xludf.DUMMYFUNCTION("""COMPUTED_VALUE"""),"975🤙🏼The Godfather: Part III🤙🏼🤙🏼3")</f>
        <v>975🤙🏼The Godfather: Part III🤙🏼🤙🏼3</v>
      </c>
      <c r="K2926" s="5">
        <f>IFERROR(__xludf.DUMMYFUNCTION("SPLiT(J2926, ""🤙🏼"",FALSE,FALSE)"),975.0)</f>
        <v>975</v>
      </c>
      <c r="L2926" s="5" t="str">
        <f>IFERROR(__xludf.DUMMYFUNCTION("""COMPUTED_VALUE"""),"The Godfather: Part III")</f>
        <v>The Godfather: Part III</v>
      </c>
      <c r="M2926" s="5"/>
      <c r="N2926" s="5">
        <f>IFERROR(__xludf.DUMMYFUNCTION("""COMPUTED_VALUE"""),3.0)</f>
        <v>3</v>
      </c>
    </row>
    <row r="2927">
      <c r="J2927" s="5" t="str">
        <f>IFERROR(__xludf.DUMMYFUNCTION("""COMPUTED_VALUE"""),"976🤙🏼When Harry Met Sally...🤙🏼Comedy🤙🏼1")</f>
        <v>976🤙🏼When Harry Met Sally...🤙🏼Comedy🤙🏼1</v>
      </c>
      <c r="K2927" s="5">
        <f>IFERROR(__xludf.DUMMYFUNCTION("SPLiT(J2927, ""🤙🏼"",FALSE,FALSE)"),976.0)</f>
        <v>976</v>
      </c>
      <c r="L2927" s="5" t="str">
        <f>IFERROR(__xludf.DUMMYFUNCTION("""COMPUTED_VALUE"""),"When Harry Met Sally...")</f>
        <v>When Harry Met Sally...</v>
      </c>
      <c r="M2927" s="5" t="str">
        <f>IFERROR(__xludf.DUMMYFUNCTION("""COMPUTED_VALUE"""),"Comedy")</f>
        <v>Comedy</v>
      </c>
      <c r="N2927" s="5">
        <f>IFERROR(__xludf.DUMMYFUNCTION("""COMPUTED_VALUE"""),1.0)</f>
        <v>1</v>
      </c>
    </row>
    <row r="2928">
      <c r="J2928" s="5" t="str">
        <f>IFERROR(__xludf.DUMMYFUNCTION("""COMPUTED_VALUE"""),"976🤙🏼When Harry Met Sally...🤙🏼Drama🤙🏼2")</f>
        <v>976🤙🏼When Harry Met Sally...🤙🏼Drama🤙🏼2</v>
      </c>
      <c r="K2928" s="5">
        <f>IFERROR(__xludf.DUMMYFUNCTION("SPLiT(J2928, ""🤙🏼"",FALSE,FALSE)"),976.0)</f>
        <v>976</v>
      </c>
      <c r="L2928" s="5" t="str">
        <f>IFERROR(__xludf.DUMMYFUNCTION("""COMPUTED_VALUE"""),"When Harry Met Sally...")</f>
        <v>When Harry Met Sally...</v>
      </c>
      <c r="M2928" s="5" t="str">
        <f>IFERROR(__xludf.DUMMYFUNCTION("""COMPUTED_VALUE"""),"Drama")</f>
        <v>Drama</v>
      </c>
      <c r="N2928" s="5">
        <f>IFERROR(__xludf.DUMMYFUNCTION("""COMPUTED_VALUE"""),2.0)</f>
        <v>2</v>
      </c>
    </row>
    <row r="2929">
      <c r="J2929" s="5" t="str">
        <f>IFERROR(__xludf.DUMMYFUNCTION("""COMPUTED_VALUE"""),"976🤙🏼When Harry Met Sally...🤙🏼Romance🤙🏼3")</f>
        <v>976🤙🏼When Harry Met Sally...🤙🏼Romance🤙🏼3</v>
      </c>
      <c r="K2929" s="5">
        <f>IFERROR(__xludf.DUMMYFUNCTION("SPLiT(J2929, ""🤙🏼"",FALSE,FALSE)"),976.0)</f>
        <v>976</v>
      </c>
      <c r="L2929" s="5" t="str">
        <f>IFERROR(__xludf.DUMMYFUNCTION("""COMPUTED_VALUE"""),"When Harry Met Sally...")</f>
        <v>When Harry Met Sally...</v>
      </c>
      <c r="M2929" s="5" t="str">
        <f>IFERROR(__xludf.DUMMYFUNCTION("""COMPUTED_VALUE"""),"Romance")</f>
        <v>Romance</v>
      </c>
      <c r="N2929" s="5">
        <f>IFERROR(__xludf.DUMMYFUNCTION("""COMPUTED_VALUE"""),3.0)</f>
        <v>3</v>
      </c>
    </row>
    <row r="2930">
      <c r="J2930" s="5" t="str">
        <f>IFERROR(__xludf.DUMMYFUNCTION("""COMPUTED_VALUE"""),"977🤙🏼The Little Mermaid🤙🏼Animation🤙🏼1")</f>
        <v>977🤙🏼The Little Mermaid🤙🏼Animation🤙🏼1</v>
      </c>
      <c r="K2930" s="5">
        <f>IFERROR(__xludf.DUMMYFUNCTION("SPLiT(J2930, ""🤙🏼"",FALSE,FALSE)"),977.0)</f>
        <v>977</v>
      </c>
      <c r="L2930" s="5" t="str">
        <f>IFERROR(__xludf.DUMMYFUNCTION("""COMPUTED_VALUE"""),"The Little Mermaid")</f>
        <v>The Little Mermaid</v>
      </c>
      <c r="M2930" s="5" t="str">
        <f>IFERROR(__xludf.DUMMYFUNCTION("""COMPUTED_VALUE"""),"Animation")</f>
        <v>Animation</v>
      </c>
      <c r="N2930" s="5">
        <f>IFERROR(__xludf.DUMMYFUNCTION("""COMPUTED_VALUE"""),1.0)</f>
        <v>1</v>
      </c>
    </row>
    <row r="2931">
      <c r="J2931" s="5" t="str">
        <f>IFERROR(__xludf.DUMMYFUNCTION("""COMPUTED_VALUE"""),"977🤙🏼The Little Mermaid🤙🏼Family🤙🏼2")</f>
        <v>977🤙🏼The Little Mermaid🤙🏼Family🤙🏼2</v>
      </c>
      <c r="K2931" s="5">
        <f>IFERROR(__xludf.DUMMYFUNCTION("SPLiT(J2931, ""🤙🏼"",FALSE,FALSE)"),977.0)</f>
        <v>977</v>
      </c>
      <c r="L2931" s="5" t="str">
        <f>IFERROR(__xludf.DUMMYFUNCTION("""COMPUTED_VALUE"""),"The Little Mermaid")</f>
        <v>The Little Mermaid</v>
      </c>
      <c r="M2931" s="5" t="str">
        <f>IFERROR(__xludf.DUMMYFUNCTION("""COMPUTED_VALUE"""),"Family")</f>
        <v>Family</v>
      </c>
      <c r="N2931" s="5">
        <f>IFERROR(__xludf.DUMMYFUNCTION("""COMPUTED_VALUE"""),2.0)</f>
        <v>2</v>
      </c>
    </row>
    <row r="2932">
      <c r="J2932" s="5" t="str">
        <f>IFERROR(__xludf.DUMMYFUNCTION("""COMPUTED_VALUE"""),"977🤙🏼The Little Mermaid🤙🏼Fantasy🤙🏼3")</f>
        <v>977🤙🏼The Little Mermaid🤙🏼Fantasy🤙🏼3</v>
      </c>
      <c r="K2932" s="5">
        <f>IFERROR(__xludf.DUMMYFUNCTION("SPLiT(J2932, ""🤙🏼"",FALSE,FALSE)"),977.0)</f>
        <v>977</v>
      </c>
      <c r="L2932" s="5" t="str">
        <f>IFERROR(__xludf.DUMMYFUNCTION("""COMPUTED_VALUE"""),"The Little Mermaid")</f>
        <v>The Little Mermaid</v>
      </c>
      <c r="M2932" s="5" t="str">
        <f>IFERROR(__xludf.DUMMYFUNCTION("""COMPUTED_VALUE"""),"Fantasy")</f>
        <v>Fantasy</v>
      </c>
      <c r="N2932" s="5">
        <f>IFERROR(__xludf.DUMMYFUNCTION("""COMPUTED_VALUE"""),3.0)</f>
        <v>3</v>
      </c>
    </row>
    <row r="2933">
      <c r="J2933" s="5" t="str">
        <f>IFERROR(__xludf.DUMMYFUNCTION("""COMPUTED_VALUE"""),"978🤙🏼The Naked Gun: From the Files of Police Squad!🤙🏼Comedy🤙🏼1")</f>
        <v>978🤙🏼The Naked Gun: From the Files of Police Squad!🤙🏼Comedy🤙🏼1</v>
      </c>
      <c r="K2933" s="5">
        <f>IFERROR(__xludf.DUMMYFUNCTION("SPLiT(J2933, ""🤙🏼"",FALSE,FALSE)"),978.0)</f>
        <v>978</v>
      </c>
      <c r="L2933" s="5" t="str">
        <f>IFERROR(__xludf.DUMMYFUNCTION("""COMPUTED_VALUE"""),"The Naked Gun: From the Files of Police Squad!")</f>
        <v>The Naked Gun: From the Files of Police Squad!</v>
      </c>
      <c r="M2933" s="5" t="str">
        <f>IFERROR(__xludf.DUMMYFUNCTION("""COMPUTED_VALUE"""),"Comedy")</f>
        <v>Comedy</v>
      </c>
      <c r="N2933" s="5">
        <f>IFERROR(__xludf.DUMMYFUNCTION("""COMPUTED_VALUE"""),1.0)</f>
        <v>1</v>
      </c>
    </row>
    <row r="2934">
      <c r="J2934" s="5" t="str">
        <f>IFERROR(__xludf.DUMMYFUNCTION("""COMPUTED_VALUE"""),"978🤙🏼The Naked Gun: From the Files of Police Squad!🤙🏼Crime🤙🏼2")</f>
        <v>978🤙🏼The Naked Gun: From the Files of Police Squad!🤙🏼Crime🤙🏼2</v>
      </c>
      <c r="K2934" s="5">
        <f>IFERROR(__xludf.DUMMYFUNCTION("SPLiT(J2934, ""🤙🏼"",FALSE,FALSE)"),978.0)</f>
        <v>978</v>
      </c>
      <c r="L2934" s="5" t="str">
        <f>IFERROR(__xludf.DUMMYFUNCTION("""COMPUTED_VALUE"""),"The Naked Gun: From the Files of Police Squad!")</f>
        <v>The Naked Gun: From the Files of Police Squad!</v>
      </c>
      <c r="M2934" s="5" t="str">
        <f>IFERROR(__xludf.DUMMYFUNCTION("""COMPUTED_VALUE"""),"Crime")</f>
        <v>Crime</v>
      </c>
      <c r="N2934" s="5">
        <f>IFERROR(__xludf.DUMMYFUNCTION("""COMPUTED_VALUE"""),2.0)</f>
        <v>2</v>
      </c>
    </row>
    <row r="2935">
      <c r="J2935" s="5" t="str">
        <f>IFERROR(__xludf.DUMMYFUNCTION("""COMPUTED_VALUE"""),"978🤙🏼The Naked Gun: From the Files of Police Squad!🤙🏼🤙🏼3")</f>
        <v>978🤙🏼The Naked Gun: From the Files of Police Squad!🤙🏼🤙🏼3</v>
      </c>
      <c r="K2935" s="5">
        <f>IFERROR(__xludf.DUMMYFUNCTION("SPLiT(J2935, ""🤙🏼"",FALSE,FALSE)"),978.0)</f>
        <v>978</v>
      </c>
      <c r="L2935" s="5" t="str">
        <f>IFERROR(__xludf.DUMMYFUNCTION("""COMPUTED_VALUE"""),"The Naked Gun: From the Files of Police Squad!")</f>
        <v>The Naked Gun: From the Files of Police Squad!</v>
      </c>
      <c r="M2935" s="5"/>
      <c r="N2935" s="5">
        <f>IFERROR(__xludf.DUMMYFUNCTION("""COMPUTED_VALUE"""),3.0)</f>
        <v>3</v>
      </c>
    </row>
    <row r="2936">
      <c r="J2936" s="5" t="str">
        <f>IFERROR(__xludf.DUMMYFUNCTION("""COMPUTED_VALUE"""),"979🤙🏼Planes, Trains &amp; Automobiles🤙🏼Comedy🤙🏼1")</f>
        <v>979🤙🏼Planes, Trains &amp; Automobiles🤙🏼Comedy🤙🏼1</v>
      </c>
      <c r="K2936" s="5">
        <f>IFERROR(__xludf.DUMMYFUNCTION("SPLiT(J2936, ""🤙🏼"",FALSE,FALSE)"),979.0)</f>
        <v>979</v>
      </c>
      <c r="L2936" s="5" t="str">
        <f>IFERROR(__xludf.DUMMYFUNCTION("""COMPUTED_VALUE"""),"Planes, Trains &amp; Automobiles")</f>
        <v>Planes, Trains &amp; Automobiles</v>
      </c>
      <c r="M2936" s="5" t="str">
        <f>IFERROR(__xludf.DUMMYFUNCTION("""COMPUTED_VALUE"""),"Comedy")</f>
        <v>Comedy</v>
      </c>
      <c r="N2936" s="5">
        <f>IFERROR(__xludf.DUMMYFUNCTION("""COMPUTED_VALUE"""),1.0)</f>
        <v>1</v>
      </c>
    </row>
    <row r="2937">
      <c r="J2937" s="5" t="str">
        <f>IFERROR(__xludf.DUMMYFUNCTION("""COMPUTED_VALUE"""),"979🤙🏼Planes, Trains &amp; Automobiles🤙🏼Drama🤙🏼2")</f>
        <v>979🤙🏼Planes, Trains &amp; Automobiles🤙🏼Drama🤙🏼2</v>
      </c>
      <c r="K2937" s="5">
        <f>IFERROR(__xludf.DUMMYFUNCTION("SPLiT(J2937, ""🤙🏼"",FALSE,FALSE)"),979.0)</f>
        <v>979</v>
      </c>
      <c r="L2937" s="5" t="str">
        <f>IFERROR(__xludf.DUMMYFUNCTION("""COMPUTED_VALUE"""),"Planes, Trains &amp; Automobiles")</f>
        <v>Planes, Trains &amp; Automobiles</v>
      </c>
      <c r="M2937" s="5" t="str">
        <f>IFERROR(__xludf.DUMMYFUNCTION("""COMPUTED_VALUE"""),"Drama")</f>
        <v>Drama</v>
      </c>
      <c r="N2937" s="5">
        <f>IFERROR(__xludf.DUMMYFUNCTION("""COMPUTED_VALUE"""),2.0)</f>
        <v>2</v>
      </c>
    </row>
    <row r="2938">
      <c r="J2938" s="5" t="str">
        <f>IFERROR(__xludf.DUMMYFUNCTION("""COMPUTED_VALUE"""),"979🤙🏼Planes, Trains &amp; Automobiles🤙🏼🤙🏼3")</f>
        <v>979🤙🏼Planes, Trains &amp; Automobiles🤙🏼🤙🏼3</v>
      </c>
      <c r="K2938" s="5">
        <f>IFERROR(__xludf.DUMMYFUNCTION("SPLiT(J2938, ""🤙🏼"",FALSE,FALSE)"),979.0)</f>
        <v>979</v>
      </c>
      <c r="L2938" s="5" t="str">
        <f>IFERROR(__xludf.DUMMYFUNCTION("""COMPUTED_VALUE"""),"Planes, Trains &amp; Automobiles")</f>
        <v>Planes, Trains &amp; Automobiles</v>
      </c>
      <c r="M2938" s="5"/>
      <c r="N2938" s="5">
        <f>IFERROR(__xludf.DUMMYFUNCTION("""COMPUTED_VALUE"""),3.0)</f>
        <v>3</v>
      </c>
    </row>
    <row r="2939">
      <c r="J2939" s="5" t="str">
        <f>IFERROR(__xludf.DUMMYFUNCTION("""COMPUTED_VALUE"""),"980🤙🏼Lethal Weapon🤙🏼Action🤙🏼1")</f>
        <v>980🤙🏼Lethal Weapon🤙🏼Action🤙🏼1</v>
      </c>
      <c r="K2939" s="5">
        <f>IFERROR(__xludf.DUMMYFUNCTION("SPLiT(J2939, ""🤙🏼"",FALSE,FALSE)"),980.0)</f>
        <v>980</v>
      </c>
      <c r="L2939" s="5" t="str">
        <f>IFERROR(__xludf.DUMMYFUNCTION("""COMPUTED_VALUE"""),"Lethal Weapon")</f>
        <v>Lethal Weapon</v>
      </c>
      <c r="M2939" s="5" t="str">
        <f>IFERROR(__xludf.DUMMYFUNCTION("""COMPUTED_VALUE"""),"Action")</f>
        <v>Action</v>
      </c>
      <c r="N2939" s="5">
        <f>IFERROR(__xludf.DUMMYFUNCTION("""COMPUTED_VALUE"""),1.0)</f>
        <v>1</v>
      </c>
    </row>
    <row r="2940">
      <c r="J2940" s="5" t="str">
        <f>IFERROR(__xludf.DUMMYFUNCTION("""COMPUTED_VALUE"""),"980🤙🏼Lethal Weapon🤙🏼Crime🤙🏼2")</f>
        <v>980🤙🏼Lethal Weapon🤙🏼Crime🤙🏼2</v>
      </c>
      <c r="K2940" s="5">
        <f>IFERROR(__xludf.DUMMYFUNCTION("SPLiT(J2940, ""🤙🏼"",FALSE,FALSE)"),980.0)</f>
        <v>980</v>
      </c>
      <c r="L2940" s="5" t="str">
        <f>IFERROR(__xludf.DUMMYFUNCTION("""COMPUTED_VALUE"""),"Lethal Weapon")</f>
        <v>Lethal Weapon</v>
      </c>
      <c r="M2940" s="5" t="str">
        <f>IFERROR(__xludf.DUMMYFUNCTION("""COMPUTED_VALUE"""),"Crime")</f>
        <v>Crime</v>
      </c>
      <c r="N2940" s="5">
        <f>IFERROR(__xludf.DUMMYFUNCTION("""COMPUTED_VALUE"""),2.0)</f>
        <v>2</v>
      </c>
    </row>
    <row r="2941">
      <c r="J2941" s="5" t="str">
        <f>IFERROR(__xludf.DUMMYFUNCTION("""COMPUTED_VALUE"""),"980🤙🏼Lethal Weapon🤙🏼Thriller🤙🏼3")</f>
        <v>980🤙🏼Lethal Weapon🤙🏼Thriller🤙🏼3</v>
      </c>
      <c r="K2941" s="5">
        <f>IFERROR(__xludf.DUMMYFUNCTION("SPLiT(J2941, ""🤙🏼"",FALSE,FALSE)"),980.0)</f>
        <v>980</v>
      </c>
      <c r="L2941" s="5" t="str">
        <f>IFERROR(__xludf.DUMMYFUNCTION("""COMPUTED_VALUE"""),"Lethal Weapon")</f>
        <v>Lethal Weapon</v>
      </c>
      <c r="M2941" s="5" t="str">
        <f>IFERROR(__xludf.DUMMYFUNCTION("""COMPUTED_VALUE"""),"Thriller")</f>
        <v>Thriller</v>
      </c>
      <c r="N2941" s="5">
        <f>IFERROR(__xludf.DUMMYFUNCTION("""COMPUTED_VALUE"""),3.0)</f>
        <v>3</v>
      </c>
    </row>
    <row r="2942">
      <c r="J2942" s="5" t="str">
        <f>IFERROR(__xludf.DUMMYFUNCTION("""COMPUTED_VALUE"""),"981🤙🏼Blood Simple🤙🏼Crime🤙🏼1")</f>
        <v>981🤙🏼Blood Simple🤙🏼Crime🤙🏼1</v>
      </c>
      <c r="K2942" s="5">
        <f>IFERROR(__xludf.DUMMYFUNCTION("SPLiT(J2942, ""🤙🏼"",FALSE,FALSE)"),981.0)</f>
        <v>981</v>
      </c>
      <c r="L2942" s="5" t="str">
        <f>IFERROR(__xludf.DUMMYFUNCTION("""COMPUTED_VALUE"""),"Blood Simple")</f>
        <v>Blood Simple</v>
      </c>
      <c r="M2942" s="5" t="str">
        <f>IFERROR(__xludf.DUMMYFUNCTION("""COMPUTED_VALUE"""),"Crime")</f>
        <v>Crime</v>
      </c>
      <c r="N2942" s="5">
        <f>IFERROR(__xludf.DUMMYFUNCTION("""COMPUTED_VALUE"""),1.0)</f>
        <v>1</v>
      </c>
    </row>
    <row r="2943">
      <c r="J2943" s="5" t="str">
        <f>IFERROR(__xludf.DUMMYFUNCTION("""COMPUTED_VALUE"""),"981🤙🏼Blood Simple🤙🏼Drama🤙🏼2")</f>
        <v>981🤙🏼Blood Simple🤙🏼Drama🤙🏼2</v>
      </c>
      <c r="K2943" s="5">
        <f>IFERROR(__xludf.DUMMYFUNCTION("SPLiT(J2943, ""🤙🏼"",FALSE,FALSE)"),981.0)</f>
        <v>981</v>
      </c>
      <c r="L2943" s="5" t="str">
        <f>IFERROR(__xludf.DUMMYFUNCTION("""COMPUTED_VALUE"""),"Blood Simple")</f>
        <v>Blood Simple</v>
      </c>
      <c r="M2943" s="5" t="str">
        <f>IFERROR(__xludf.DUMMYFUNCTION("""COMPUTED_VALUE"""),"Drama")</f>
        <v>Drama</v>
      </c>
      <c r="N2943" s="5">
        <f>IFERROR(__xludf.DUMMYFUNCTION("""COMPUTED_VALUE"""),2.0)</f>
        <v>2</v>
      </c>
    </row>
    <row r="2944">
      <c r="J2944" s="5" t="str">
        <f>IFERROR(__xludf.DUMMYFUNCTION("""COMPUTED_VALUE"""),"981🤙🏼Blood Simple🤙🏼Thriller🤙🏼3")</f>
        <v>981🤙🏼Blood Simple🤙🏼Thriller🤙🏼3</v>
      </c>
      <c r="K2944" s="5">
        <f>IFERROR(__xludf.DUMMYFUNCTION("SPLiT(J2944, ""🤙🏼"",FALSE,FALSE)"),981.0)</f>
        <v>981</v>
      </c>
      <c r="L2944" s="5" t="str">
        <f>IFERROR(__xludf.DUMMYFUNCTION("""COMPUTED_VALUE"""),"Blood Simple")</f>
        <v>Blood Simple</v>
      </c>
      <c r="M2944" s="5" t="str">
        <f>IFERROR(__xludf.DUMMYFUNCTION("""COMPUTED_VALUE"""),"Thriller")</f>
        <v>Thriller</v>
      </c>
      <c r="N2944" s="5">
        <f>IFERROR(__xludf.DUMMYFUNCTION("""COMPUTED_VALUE"""),3.0)</f>
        <v>3</v>
      </c>
    </row>
    <row r="2945">
      <c r="J2945" s="5" t="str">
        <f>IFERROR(__xludf.DUMMYFUNCTION("""COMPUTED_VALUE"""),"982🤙🏼On Golden Pond🤙🏼Drama🤙🏼1")</f>
        <v>982🤙🏼On Golden Pond🤙🏼Drama🤙🏼1</v>
      </c>
      <c r="K2945" s="5">
        <f>IFERROR(__xludf.DUMMYFUNCTION("SPLiT(J2945, ""🤙🏼"",FALSE,FALSE)"),982.0)</f>
        <v>982</v>
      </c>
      <c r="L2945" s="5" t="str">
        <f>IFERROR(__xludf.DUMMYFUNCTION("""COMPUTED_VALUE"""),"On Golden Pond")</f>
        <v>On Golden Pond</v>
      </c>
      <c r="M2945" s="5" t="str">
        <f>IFERROR(__xludf.DUMMYFUNCTION("""COMPUTED_VALUE"""),"Drama")</f>
        <v>Drama</v>
      </c>
      <c r="N2945" s="5">
        <f>IFERROR(__xludf.DUMMYFUNCTION("""COMPUTED_VALUE"""),1.0)</f>
        <v>1</v>
      </c>
    </row>
    <row r="2946">
      <c r="J2946" s="5" t="str">
        <f>IFERROR(__xludf.DUMMYFUNCTION("""COMPUTED_VALUE"""),"982🤙🏼On Golden Pond🤙🏼🤙🏼2")</f>
        <v>982🤙🏼On Golden Pond🤙🏼🤙🏼2</v>
      </c>
      <c r="K2946" s="5">
        <f>IFERROR(__xludf.DUMMYFUNCTION("SPLiT(J2946, ""🤙🏼"",FALSE,FALSE)"),982.0)</f>
        <v>982</v>
      </c>
      <c r="L2946" s="5" t="str">
        <f>IFERROR(__xludf.DUMMYFUNCTION("""COMPUTED_VALUE"""),"On Golden Pond")</f>
        <v>On Golden Pond</v>
      </c>
      <c r="M2946" s="5"/>
      <c r="N2946" s="5">
        <f>IFERROR(__xludf.DUMMYFUNCTION("""COMPUTED_VALUE"""),2.0)</f>
        <v>2</v>
      </c>
    </row>
    <row r="2947">
      <c r="J2947" s="5" t="str">
        <f>IFERROR(__xludf.DUMMYFUNCTION("""COMPUTED_VALUE"""),"982🤙🏼On Golden Pond🤙🏼🤙🏼3")</f>
        <v>982🤙🏼On Golden Pond🤙🏼🤙🏼3</v>
      </c>
      <c r="K2947" s="5">
        <f>IFERROR(__xludf.DUMMYFUNCTION("SPLiT(J2947, ""🤙🏼"",FALSE,FALSE)"),982.0)</f>
        <v>982</v>
      </c>
      <c r="L2947" s="5" t="str">
        <f>IFERROR(__xludf.DUMMYFUNCTION("""COMPUTED_VALUE"""),"On Golden Pond")</f>
        <v>On Golden Pond</v>
      </c>
      <c r="M2947" s="5"/>
      <c r="N2947" s="5">
        <f>IFERROR(__xludf.DUMMYFUNCTION("""COMPUTED_VALUE"""),3.0)</f>
        <v>3</v>
      </c>
    </row>
    <row r="2948">
      <c r="J2948" s="5" t="str">
        <f>IFERROR(__xludf.DUMMYFUNCTION("""COMPUTED_VALUE"""),"983🤙🏼Mad Max 2🤙🏼Action🤙🏼1")</f>
        <v>983🤙🏼Mad Max 2🤙🏼Action🤙🏼1</v>
      </c>
      <c r="K2948" s="5">
        <f>IFERROR(__xludf.DUMMYFUNCTION("SPLiT(J2948, ""🤙🏼"",FALSE,FALSE)"),983.0)</f>
        <v>983</v>
      </c>
      <c r="L2948" s="5" t="str">
        <f>IFERROR(__xludf.DUMMYFUNCTION("""COMPUTED_VALUE"""),"Mad Max 2")</f>
        <v>Mad Max 2</v>
      </c>
      <c r="M2948" s="5" t="str">
        <f>IFERROR(__xludf.DUMMYFUNCTION("""COMPUTED_VALUE"""),"Action")</f>
        <v>Action</v>
      </c>
      <c r="N2948" s="5">
        <f>IFERROR(__xludf.DUMMYFUNCTION("""COMPUTED_VALUE"""),1.0)</f>
        <v>1</v>
      </c>
    </row>
    <row r="2949">
      <c r="J2949" s="5" t="str">
        <f>IFERROR(__xludf.DUMMYFUNCTION("""COMPUTED_VALUE"""),"983🤙🏼Mad Max 2🤙🏼Adventure🤙🏼2")</f>
        <v>983🤙🏼Mad Max 2🤙🏼Adventure🤙🏼2</v>
      </c>
      <c r="K2949" s="5">
        <f>IFERROR(__xludf.DUMMYFUNCTION("SPLiT(J2949, ""🤙🏼"",FALSE,FALSE)"),983.0)</f>
        <v>983</v>
      </c>
      <c r="L2949" s="5" t="str">
        <f>IFERROR(__xludf.DUMMYFUNCTION("""COMPUTED_VALUE"""),"Mad Max 2")</f>
        <v>Mad Max 2</v>
      </c>
      <c r="M2949" s="5" t="str">
        <f>IFERROR(__xludf.DUMMYFUNCTION("""COMPUTED_VALUE"""),"Adventure")</f>
        <v>Adventure</v>
      </c>
      <c r="N2949" s="5">
        <f>IFERROR(__xludf.DUMMYFUNCTION("""COMPUTED_VALUE"""),2.0)</f>
        <v>2</v>
      </c>
    </row>
    <row r="2950">
      <c r="J2950" s="5" t="str">
        <f>IFERROR(__xludf.DUMMYFUNCTION("""COMPUTED_VALUE"""),"983🤙🏼Mad Max 2🤙🏼Sci-Fi🤙🏼3")</f>
        <v>983🤙🏼Mad Max 2🤙🏼Sci-Fi🤙🏼3</v>
      </c>
      <c r="K2950" s="5">
        <f>IFERROR(__xludf.DUMMYFUNCTION("SPLiT(J2950, ""🤙🏼"",FALSE,FALSE)"),983.0)</f>
        <v>983</v>
      </c>
      <c r="L2950" s="5" t="str">
        <f>IFERROR(__xludf.DUMMYFUNCTION("""COMPUTED_VALUE"""),"Mad Max 2")</f>
        <v>Mad Max 2</v>
      </c>
      <c r="M2950" s="5" t="str">
        <f>IFERROR(__xludf.DUMMYFUNCTION("""COMPUTED_VALUE"""),"Sci-Fi")</f>
        <v>Sci-Fi</v>
      </c>
      <c r="N2950" s="5">
        <f>IFERROR(__xludf.DUMMYFUNCTION("""COMPUTED_VALUE"""),3.0)</f>
        <v>3</v>
      </c>
    </row>
    <row r="2951">
      <c r="J2951" s="5" t="str">
        <f>IFERROR(__xludf.DUMMYFUNCTION("""COMPUTED_VALUE"""),"984🤙🏼The Warriors🤙🏼Action🤙🏼1")</f>
        <v>984🤙🏼The Warriors🤙🏼Action🤙🏼1</v>
      </c>
      <c r="K2951" s="5">
        <f>IFERROR(__xludf.DUMMYFUNCTION("SPLiT(J2951, ""🤙🏼"",FALSE,FALSE)"),984.0)</f>
        <v>984</v>
      </c>
      <c r="L2951" s="5" t="str">
        <f>IFERROR(__xludf.DUMMYFUNCTION("""COMPUTED_VALUE"""),"The Warriors")</f>
        <v>The Warriors</v>
      </c>
      <c r="M2951" s="5" t="str">
        <f>IFERROR(__xludf.DUMMYFUNCTION("""COMPUTED_VALUE"""),"Action")</f>
        <v>Action</v>
      </c>
      <c r="N2951" s="5">
        <f>IFERROR(__xludf.DUMMYFUNCTION("""COMPUTED_VALUE"""),1.0)</f>
        <v>1</v>
      </c>
    </row>
    <row r="2952">
      <c r="J2952" s="5" t="str">
        <f>IFERROR(__xludf.DUMMYFUNCTION("""COMPUTED_VALUE"""),"984🤙🏼The Warriors🤙🏼Crime🤙🏼2")</f>
        <v>984🤙🏼The Warriors🤙🏼Crime🤙🏼2</v>
      </c>
      <c r="K2952" s="5">
        <f>IFERROR(__xludf.DUMMYFUNCTION("SPLiT(J2952, ""🤙🏼"",FALSE,FALSE)"),984.0)</f>
        <v>984</v>
      </c>
      <c r="L2952" s="5" t="str">
        <f>IFERROR(__xludf.DUMMYFUNCTION("""COMPUTED_VALUE"""),"The Warriors")</f>
        <v>The Warriors</v>
      </c>
      <c r="M2952" s="5" t="str">
        <f>IFERROR(__xludf.DUMMYFUNCTION("""COMPUTED_VALUE"""),"Crime")</f>
        <v>Crime</v>
      </c>
      <c r="N2952" s="5">
        <f>IFERROR(__xludf.DUMMYFUNCTION("""COMPUTED_VALUE"""),2.0)</f>
        <v>2</v>
      </c>
    </row>
    <row r="2953">
      <c r="J2953" s="5" t="str">
        <f>IFERROR(__xludf.DUMMYFUNCTION("""COMPUTED_VALUE"""),"984🤙🏼The Warriors🤙🏼Thriller🤙🏼3")</f>
        <v>984🤙🏼The Warriors🤙🏼Thriller🤙🏼3</v>
      </c>
      <c r="K2953" s="5">
        <f>IFERROR(__xludf.DUMMYFUNCTION("SPLiT(J2953, ""🤙🏼"",FALSE,FALSE)"),984.0)</f>
        <v>984</v>
      </c>
      <c r="L2953" s="5" t="str">
        <f>IFERROR(__xludf.DUMMYFUNCTION("""COMPUTED_VALUE"""),"The Warriors")</f>
        <v>The Warriors</v>
      </c>
      <c r="M2953" s="5" t="str">
        <f>IFERROR(__xludf.DUMMYFUNCTION("""COMPUTED_VALUE"""),"Thriller")</f>
        <v>Thriller</v>
      </c>
      <c r="N2953" s="5">
        <f>IFERROR(__xludf.DUMMYFUNCTION("""COMPUTED_VALUE"""),3.0)</f>
        <v>3</v>
      </c>
    </row>
    <row r="2954">
      <c r="J2954" s="5" t="str">
        <f>IFERROR(__xludf.DUMMYFUNCTION("""COMPUTED_VALUE"""),"985🤙🏼The Muppet Movie🤙🏼Adventure🤙🏼1")</f>
        <v>985🤙🏼The Muppet Movie🤙🏼Adventure🤙🏼1</v>
      </c>
      <c r="K2954" s="5">
        <f>IFERROR(__xludf.DUMMYFUNCTION("SPLiT(J2954, ""🤙🏼"",FALSE,FALSE)"),985.0)</f>
        <v>985</v>
      </c>
      <c r="L2954" s="5" t="str">
        <f>IFERROR(__xludf.DUMMYFUNCTION("""COMPUTED_VALUE"""),"The Muppet Movie")</f>
        <v>The Muppet Movie</v>
      </c>
      <c r="M2954" s="5" t="str">
        <f>IFERROR(__xludf.DUMMYFUNCTION("""COMPUTED_VALUE"""),"Adventure")</f>
        <v>Adventure</v>
      </c>
      <c r="N2954" s="5">
        <f>IFERROR(__xludf.DUMMYFUNCTION("""COMPUTED_VALUE"""),1.0)</f>
        <v>1</v>
      </c>
    </row>
    <row r="2955">
      <c r="J2955" s="5" t="str">
        <f>IFERROR(__xludf.DUMMYFUNCTION("""COMPUTED_VALUE"""),"985🤙🏼The Muppet Movie🤙🏼Comedy🤙🏼2")</f>
        <v>985🤙🏼The Muppet Movie🤙🏼Comedy🤙🏼2</v>
      </c>
      <c r="K2955" s="5">
        <f>IFERROR(__xludf.DUMMYFUNCTION("SPLiT(J2955, ""🤙🏼"",FALSE,FALSE)"),985.0)</f>
        <v>985</v>
      </c>
      <c r="L2955" s="5" t="str">
        <f>IFERROR(__xludf.DUMMYFUNCTION("""COMPUTED_VALUE"""),"The Muppet Movie")</f>
        <v>The Muppet Movie</v>
      </c>
      <c r="M2955" s="5" t="str">
        <f>IFERROR(__xludf.DUMMYFUNCTION("""COMPUTED_VALUE"""),"Comedy")</f>
        <v>Comedy</v>
      </c>
      <c r="N2955" s="5">
        <f>IFERROR(__xludf.DUMMYFUNCTION("""COMPUTED_VALUE"""),2.0)</f>
        <v>2</v>
      </c>
    </row>
    <row r="2956">
      <c r="J2956" s="5" t="str">
        <f>IFERROR(__xludf.DUMMYFUNCTION("""COMPUTED_VALUE"""),"985🤙🏼The Muppet Movie🤙🏼Family🤙🏼3")</f>
        <v>985🤙🏼The Muppet Movie🤙🏼Family🤙🏼3</v>
      </c>
      <c r="K2956" s="5">
        <f>IFERROR(__xludf.DUMMYFUNCTION("SPLiT(J2956, ""🤙🏼"",FALSE,FALSE)"),985.0)</f>
        <v>985</v>
      </c>
      <c r="L2956" s="5" t="str">
        <f>IFERROR(__xludf.DUMMYFUNCTION("""COMPUTED_VALUE"""),"The Muppet Movie")</f>
        <v>The Muppet Movie</v>
      </c>
      <c r="M2956" s="5" t="str">
        <f>IFERROR(__xludf.DUMMYFUNCTION("""COMPUTED_VALUE"""),"Family")</f>
        <v>Family</v>
      </c>
      <c r="N2956" s="5">
        <f>IFERROR(__xludf.DUMMYFUNCTION("""COMPUTED_VALUE"""),3.0)</f>
        <v>3</v>
      </c>
    </row>
    <row r="2957">
      <c r="J2957" s="5" t="str">
        <f>IFERROR(__xludf.DUMMYFUNCTION("""COMPUTED_VALUE"""),"986🤙🏼Escape from Alcatraz🤙🏼Action🤙🏼1")</f>
        <v>986🤙🏼Escape from Alcatraz🤙🏼Action🤙🏼1</v>
      </c>
      <c r="K2957" s="5">
        <f>IFERROR(__xludf.DUMMYFUNCTION("SPLiT(J2957, ""🤙🏼"",FALSE,FALSE)"),986.0)</f>
        <v>986</v>
      </c>
      <c r="L2957" s="5" t="str">
        <f>IFERROR(__xludf.DUMMYFUNCTION("""COMPUTED_VALUE"""),"Escape from Alcatraz")</f>
        <v>Escape from Alcatraz</v>
      </c>
      <c r="M2957" s="5" t="str">
        <f>IFERROR(__xludf.DUMMYFUNCTION("""COMPUTED_VALUE"""),"Action")</f>
        <v>Action</v>
      </c>
      <c r="N2957" s="5">
        <f>IFERROR(__xludf.DUMMYFUNCTION("""COMPUTED_VALUE"""),1.0)</f>
        <v>1</v>
      </c>
    </row>
    <row r="2958">
      <c r="J2958" s="5" t="str">
        <f>IFERROR(__xludf.DUMMYFUNCTION("""COMPUTED_VALUE"""),"986🤙🏼Escape from Alcatraz🤙🏼Biography🤙🏼2")</f>
        <v>986🤙🏼Escape from Alcatraz🤙🏼Biography🤙🏼2</v>
      </c>
      <c r="K2958" s="5">
        <f>IFERROR(__xludf.DUMMYFUNCTION("SPLiT(J2958, ""🤙🏼"",FALSE,FALSE)"),986.0)</f>
        <v>986</v>
      </c>
      <c r="L2958" s="5" t="str">
        <f>IFERROR(__xludf.DUMMYFUNCTION("""COMPUTED_VALUE"""),"Escape from Alcatraz")</f>
        <v>Escape from Alcatraz</v>
      </c>
      <c r="M2958" s="5" t="str">
        <f>IFERROR(__xludf.DUMMYFUNCTION("""COMPUTED_VALUE"""),"Biography")</f>
        <v>Biography</v>
      </c>
      <c r="N2958" s="5">
        <f>IFERROR(__xludf.DUMMYFUNCTION("""COMPUTED_VALUE"""),2.0)</f>
        <v>2</v>
      </c>
    </row>
    <row r="2959">
      <c r="J2959" s="5" t="str">
        <f>IFERROR(__xludf.DUMMYFUNCTION("""COMPUTED_VALUE"""),"986🤙🏼Escape from Alcatraz🤙🏼Crime🤙🏼3")</f>
        <v>986🤙🏼Escape from Alcatraz🤙🏼Crime🤙🏼3</v>
      </c>
      <c r="K2959" s="5">
        <f>IFERROR(__xludf.DUMMYFUNCTION("SPLiT(J2959, ""🤙🏼"",FALSE,FALSE)"),986.0)</f>
        <v>986</v>
      </c>
      <c r="L2959" s="5" t="str">
        <f>IFERROR(__xludf.DUMMYFUNCTION("""COMPUTED_VALUE"""),"Escape from Alcatraz")</f>
        <v>Escape from Alcatraz</v>
      </c>
      <c r="M2959" s="5" t="str">
        <f>IFERROR(__xludf.DUMMYFUNCTION("""COMPUTED_VALUE"""),"Crime")</f>
        <v>Crime</v>
      </c>
      <c r="N2959" s="5">
        <f>IFERROR(__xludf.DUMMYFUNCTION("""COMPUTED_VALUE"""),3.0)</f>
        <v>3</v>
      </c>
    </row>
    <row r="2960">
      <c r="J2960" s="5" t="str">
        <f>IFERROR(__xludf.DUMMYFUNCTION("""COMPUTED_VALUE"""),"987🤙🏼Watership Down🤙🏼Animation🤙🏼1")</f>
        <v>987🤙🏼Watership Down🤙🏼Animation🤙🏼1</v>
      </c>
      <c r="K2960" s="5">
        <f>IFERROR(__xludf.DUMMYFUNCTION("SPLiT(J2960, ""🤙🏼"",FALSE,FALSE)"),987.0)</f>
        <v>987</v>
      </c>
      <c r="L2960" s="5" t="str">
        <f>IFERROR(__xludf.DUMMYFUNCTION("""COMPUTED_VALUE"""),"Watership Down")</f>
        <v>Watership Down</v>
      </c>
      <c r="M2960" s="5" t="str">
        <f>IFERROR(__xludf.DUMMYFUNCTION("""COMPUTED_VALUE"""),"Animation")</f>
        <v>Animation</v>
      </c>
      <c r="N2960" s="5">
        <f>IFERROR(__xludf.DUMMYFUNCTION("""COMPUTED_VALUE"""),1.0)</f>
        <v>1</v>
      </c>
    </row>
    <row r="2961">
      <c r="J2961" s="5" t="str">
        <f>IFERROR(__xludf.DUMMYFUNCTION("""COMPUTED_VALUE"""),"987🤙🏼Watership Down🤙🏼Adventure🤙🏼2")</f>
        <v>987🤙🏼Watership Down🤙🏼Adventure🤙🏼2</v>
      </c>
      <c r="K2961" s="5">
        <f>IFERROR(__xludf.DUMMYFUNCTION("SPLiT(J2961, ""🤙🏼"",FALSE,FALSE)"),987.0)</f>
        <v>987</v>
      </c>
      <c r="L2961" s="5" t="str">
        <f>IFERROR(__xludf.DUMMYFUNCTION("""COMPUTED_VALUE"""),"Watership Down")</f>
        <v>Watership Down</v>
      </c>
      <c r="M2961" s="5" t="str">
        <f>IFERROR(__xludf.DUMMYFUNCTION("""COMPUTED_VALUE"""),"Adventure")</f>
        <v>Adventure</v>
      </c>
      <c r="N2961" s="5">
        <f>IFERROR(__xludf.DUMMYFUNCTION("""COMPUTED_VALUE"""),2.0)</f>
        <v>2</v>
      </c>
    </row>
    <row r="2962">
      <c r="J2962" s="5" t="str">
        <f>IFERROR(__xludf.DUMMYFUNCTION("""COMPUTED_VALUE"""),"987🤙🏼Watership Down🤙🏼Drama🤙🏼3")</f>
        <v>987🤙🏼Watership Down🤙🏼Drama🤙🏼3</v>
      </c>
      <c r="K2962" s="5">
        <f>IFERROR(__xludf.DUMMYFUNCTION("SPLiT(J2962, ""🤙🏼"",FALSE,FALSE)"),987.0)</f>
        <v>987</v>
      </c>
      <c r="L2962" s="5" t="str">
        <f>IFERROR(__xludf.DUMMYFUNCTION("""COMPUTED_VALUE"""),"Watership Down")</f>
        <v>Watership Down</v>
      </c>
      <c r="M2962" s="5" t="str">
        <f>IFERROR(__xludf.DUMMYFUNCTION("""COMPUTED_VALUE"""),"Drama")</f>
        <v>Drama</v>
      </c>
      <c r="N2962" s="5">
        <f>IFERROR(__xludf.DUMMYFUNCTION("""COMPUTED_VALUE"""),3.0)</f>
        <v>3</v>
      </c>
    </row>
    <row r="2963">
      <c r="J2963" s="5" t="str">
        <f>IFERROR(__xludf.DUMMYFUNCTION("""COMPUTED_VALUE"""),"988🤙🏼Midnight Express🤙🏼Biography🤙🏼1")</f>
        <v>988🤙🏼Midnight Express🤙🏼Biography🤙🏼1</v>
      </c>
      <c r="K2963" s="5">
        <f>IFERROR(__xludf.DUMMYFUNCTION("SPLiT(J2963, ""🤙🏼"",FALSE,FALSE)"),988.0)</f>
        <v>988</v>
      </c>
      <c r="L2963" s="5" t="str">
        <f>IFERROR(__xludf.DUMMYFUNCTION("""COMPUTED_VALUE"""),"Midnight Express")</f>
        <v>Midnight Express</v>
      </c>
      <c r="M2963" s="5" t="str">
        <f>IFERROR(__xludf.DUMMYFUNCTION("""COMPUTED_VALUE"""),"Biography")</f>
        <v>Biography</v>
      </c>
      <c r="N2963" s="5">
        <f>IFERROR(__xludf.DUMMYFUNCTION("""COMPUTED_VALUE"""),1.0)</f>
        <v>1</v>
      </c>
    </row>
    <row r="2964">
      <c r="J2964" s="5" t="str">
        <f>IFERROR(__xludf.DUMMYFUNCTION("""COMPUTED_VALUE"""),"988🤙🏼Midnight Express🤙🏼Crime🤙🏼2")</f>
        <v>988🤙🏼Midnight Express🤙🏼Crime🤙🏼2</v>
      </c>
      <c r="K2964" s="5">
        <f>IFERROR(__xludf.DUMMYFUNCTION("SPLiT(J2964, ""🤙🏼"",FALSE,FALSE)"),988.0)</f>
        <v>988</v>
      </c>
      <c r="L2964" s="5" t="str">
        <f>IFERROR(__xludf.DUMMYFUNCTION("""COMPUTED_VALUE"""),"Midnight Express")</f>
        <v>Midnight Express</v>
      </c>
      <c r="M2964" s="5" t="str">
        <f>IFERROR(__xludf.DUMMYFUNCTION("""COMPUTED_VALUE"""),"Crime")</f>
        <v>Crime</v>
      </c>
      <c r="N2964" s="5">
        <f>IFERROR(__xludf.DUMMYFUNCTION("""COMPUTED_VALUE"""),2.0)</f>
        <v>2</v>
      </c>
    </row>
    <row r="2965">
      <c r="J2965" s="5" t="str">
        <f>IFERROR(__xludf.DUMMYFUNCTION("""COMPUTED_VALUE"""),"988🤙🏼Midnight Express🤙🏼Drama🤙🏼3")</f>
        <v>988🤙🏼Midnight Express🤙🏼Drama🤙🏼3</v>
      </c>
      <c r="K2965" s="5">
        <f>IFERROR(__xludf.DUMMYFUNCTION("SPLiT(J2965, ""🤙🏼"",FALSE,FALSE)"),988.0)</f>
        <v>988</v>
      </c>
      <c r="L2965" s="5" t="str">
        <f>IFERROR(__xludf.DUMMYFUNCTION("""COMPUTED_VALUE"""),"Midnight Express")</f>
        <v>Midnight Express</v>
      </c>
      <c r="M2965" s="5" t="str">
        <f>IFERROR(__xludf.DUMMYFUNCTION("""COMPUTED_VALUE"""),"Drama")</f>
        <v>Drama</v>
      </c>
      <c r="N2965" s="5">
        <f>IFERROR(__xludf.DUMMYFUNCTION("""COMPUTED_VALUE"""),3.0)</f>
        <v>3</v>
      </c>
    </row>
    <row r="2966">
      <c r="J2966" s="5" t="str">
        <f>IFERROR(__xludf.DUMMYFUNCTION("""COMPUTED_VALUE"""),"989🤙🏼Close Encounters of the Third Kind🤙🏼Drama🤙🏼1")</f>
        <v>989🤙🏼Close Encounters of the Third Kind🤙🏼Drama🤙🏼1</v>
      </c>
      <c r="K2966" s="5">
        <f>IFERROR(__xludf.DUMMYFUNCTION("SPLiT(J2966, ""🤙🏼"",FALSE,FALSE)"),989.0)</f>
        <v>989</v>
      </c>
      <c r="L2966" s="5" t="str">
        <f>IFERROR(__xludf.DUMMYFUNCTION("""COMPUTED_VALUE"""),"Close Encounters of the Third Kind")</f>
        <v>Close Encounters of the Third Kind</v>
      </c>
      <c r="M2966" s="5" t="str">
        <f>IFERROR(__xludf.DUMMYFUNCTION("""COMPUTED_VALUE"""),"Drama")</f>
        <v>Drama</v>
      </c>
      <c r="N2966" s="5">
        <f>IFERROR(__xludf.DUMMYFUNCTION("""COMPUTED_VALUE"""),1.0)</f>
        <v>1</v>
      </c>
    </row>
    <row r="2967">
      <c r="J2967" s="5" t="str">
        <f>IFERROR(__xludf.DUMMYFUNCTION("""COMPUTED_VALUE"""),"989🤙🏼Close Encounters of the Third Kind🤙🏼Sci-Fi🤙🏼2")</f>
        <v>989🤙🏼Close Encounters of the Third Kind🤙🏼Sci-Fi🤙🏼2</v>
      </c>
      <c r="K2967" s="5">
        <f>IFERROR(__xludf.DUMMYFUNCTION("SPLiT(J2967, ""🤙🏼"",FALSE,FALSE)"),989.0)</f>
        <v>989</v>
      </c>
      <c r="L2967" s="5" t="str">
        <f>IFERROR(__xludf.DUMMYFUNCTION("""COMPUTED_VALUE"""),"Close Encounters of the Third Kind")</f>
        <v>Close Encounters of the Third Kind</v>
      </c>
      <c r="M2967" s="5" t="str">
        <f>IFERROR(__xludf.DUMMYFUNCTION("""COMPUTED_VALUE"""),"Sci-Fi")</f>
        <v>Sci-Fi</v>
      </c>
      <c r="N2967" s="5">
        <f>IFERROR(__xludf.DUMMYFUNCTION("""COMPUTED_VALUE"""),2.0)</f>
        <v>2</v>
      </c>
    </row>
    <row r="2968">
      <c r="J2968" s="5" t="str">
        <f>IFERROR(__xludf.DUMMYFUNCTION("""COMPUTED_VALUE"""),"989🤙🏼Close Encounters of the Third Kind🤙🏼🤙🏼3")</f>
        <v>989🤙🏼Close Encounters of the Third Kind🤙🏼🤙🏼3</v>
      </c>
      <c r="K2968" s="5">
        <f>IFERROR(__xludf.DUMMYFUNCTION("SPLiT(J2968, ""🤙🏼"",FALSE,FALSE)"),989.0)</f>
        <v>989</v>
      </c>
      <c r="L2968" s="5" t="str">
        <f>IFERROR(__xludf.DUMMYFUNCTION("""COMPUTED_VALUE"""),"Close Encounters of the Third Kind")</f>
        <v>Close Encounters of the Third Kind</v>
      </c>
      <c r="M2968" s="5"/>
      <c r="N2968" s="5">
        <f>IFERROR(__xludf.DUMMYFUNCTION("""COMPUTED_VALUE"""),3.0)</f>
        <v>3</v>
      </c>
    </row>
    <row r="2969">
      <c r="J2969" s="5" t="str">
        <f>IFERROR(__xludf.DUMMYFUNCTION("""COMPUTED_VALUE"""),"990🤙🏼The Long Goodbye🤙🏼Comedy🤙🏼1")</f>
        <v>990🤙🏼The Long Goodbye🤙🏼Comedy🤙🏼1</v>
      </c>
      <c r="K2969" s="5">
        <f>IFERROR(__xludf.DUMMYFUNCTION("SPLiT(J2969, ""🤙🏼"",FALSE,FALSE)"),990.0)</f>
        <v>990</v>
      </c>
      <c r="L2969" s="5" t="str">
        <f>IFERROR(__xludf.DUMMYFUNCTION("""COMPUTED_VALUE"""),"The Long Goodbye")</f>
        <v>The Long Goodbye</v>
      </c>
      <c r="M2969" s="5" t="str">
        <f>IFERROR(__xludf.DUMMYFUNCTION("""COMPUTED_VALUE"""),"Comedy")</f>
        <v>Comedy</v>
      </c>
      <c r="N2969" s="5">
        <f>IFERROR(__xludf.DUMMYFUNCTION("""COMPUTED_VALUE"""),1.0)</f>
        <v>1</v>
      </c>
    </row>
    <row r="2970">
      <c r="J2970" s="5" t="str">
        <f>IFERROR(__xludf.DUMMYFUNCTION("""COMPUTED_VALUE"""),"990🤙🏼The Long Goodbye🤙🏼Crime🤙🏼2")</f>
        <v>990🤙🏼The Long Goodbye🤙🏼Crime🤙🏼2</v>
      </c>
      <c r="K2970" s="5">
        <f>IFERROR(__xludf.DUMMYFUNCTION("SPLiT(J2970, ""🤙🏼"",FALSE,FALSE)"),990.0)</f>
        <v>990</v>
      </c>
      <c r="L2970" s="5" t="str">
        <f>IFERROR(__xludf.DUMMYFUNCTION("""COMPUTED_VALUE"""),"The Long Goodbye")</f>
        <v>The Long Goodbye</v>
      </c>
      <c r="M2970" s="5" t="str">
        <f>IFERROR(__xludf.DUMMYFUNCTION("""COMPUTED_VALUE"""),"Crime")</f>
        <v>Crime</v>
      </c>
      <c r="N2970" s="5">
        <f>IFERROR(__xludf.DUMMYFUNCTION("""COMPUTED_VALUE"""),2.0)</f>
        <v>2</v>
      </c>
    </row>
    <row r="2971">
      <c r="J2971" s="5" t="str">
        <f>IFERROR(__xludf.DUMMYFUNCTION("""COMPUTED_VALUE"""),"990🤙🏼The Long Goodbye🤙🏼Drama🤙🏼3")</f>
        <v>990🤙🏼The Long Goodbye🤙🏼Drama🤙🏼3</v>
      </c>
      <c r="K2971" s="5">
        <f>IFERROR(__xludf.DUMMYFUNCTION("SPLiT(J2971, ""🤙🏼"",FALSE,FALSE)"),990.0)</f>
        <v>990</v>
      </c>
      <c r="L2971" s="5" t="str">
        <f>IFERROR(__xludf.DUMMYFUNCTION("""COMPUTED_VALUE"""),"The Long Goodbye")</f>
        <v>The Long Goodbye</v>
      </c>
      <c r="M2971" s="5" t="str">
        <f>IFERROR(__xludf.DUMMYFUNCTION("""COMPUTED_VALUE"""),"Drama")</f>
        <v>Drama</v>
      </c>
      <c r="N2971" s="5">
        <f>IFERROR(__xludf.DUMMYFUNCTION("""COMPUTED_VALUE"""),3.0)</f>
        <v>3</v>
      </c>
    </row>
    <row r="2972">
      <c r="J2972" s="5" t="str">
        <f>IFERROR(__xludf.DUMMYFUNCTION("""COMPUTED_VALUE"""),"991🤙🏼Giù la testa🤙🏼Drama🤙🏼1")</f>
        <v>991🤙🏼Giù la testa🤙🏼Drama🤙🏼1</v>
      </c>
      <c r="K2972" s="5">
        <f>IFERROR(__xludf.DUMMYFUNCTION("SPLiT(J2972, ""🤙🏼"",FALSE,FALSE)"),991.0)</f>
        <v>991</v>
      </c>
      <c r="L2972" s="5" t="str">
        <f>IFERROR(__xludf.DUMMYFUNCTION("""COMPUTED_VALUE"""),"Giù la testa")</f>
        <v>Giù la testa</v>
      </c>
      <c r="M2972" s="5" t="str">
        <f>IFERROR(__xludf.DUMMYFUNCTION("""COMPUTED_VALUE"""),"Drama")</f>
        <v>Drama</v>
      </c>
      <c r="N2972" s="5">
        <f>IFERROR(__xludf.DUMMYFUNCTION("""COMPUTED_VALUE"""),1.0)</f>
        <v>1</v>
      </c>
    </row>
    <row r="2973">
      <c r="J2973" s="5" t="str">
        <f>IFERROR(__xludf.DUMMYFUNCTION("""COMPUTED_VALUE"""),"991🤙🏼Giù la testa🤙🏼War🤙🏼2")</f>
        <v>991🤙🏼Giù la testa🤙🏼War🤙🏼2</v>
      </c>
      <c r="K2973" s="5">
        <f>IFERROR(__xludf.DUMMYFUNCTION("SPLiT(J2973, ""🤙🏼"",FALSE,FALSE)"),991.0)</f>
        <v>991</v>
      </c>
      <c r="L2973" s="5" t="str">
        <f>IFERROR(__xludf.DUMMYFUNCTION("""COMPUTED_VALUE"""),"Giù la testa")</f>
        <v>Giù la testa</v>
      </c>
      <c r="M2973" s="5" t="str">
        <f>IFERROR(__xludf.DUMMYFUNCTION("""COMPUTED_VALUE"""),"War")</f>
        <v>War</v>
      </c>
      <c r="N2973" s="5">
        <f>IFERROR(__xludf.DUMMYFUNCTION("""COMPUTED_VALUE"""),2.0)</f>
        <v>2</v>
      </c>
    </row>
    <row r="2974">
      <c r="J2974" s="5" t="str">
        <f>IFERROR(__xludf.DUMMYFUNCTION("""COMPUTED_VALUE"""),"991🤙🏼Giù la testa🤙🏼Western🤙🏼3")</f>
        <v>991🤙🏼Giù la testa🤙🏼Western🤙🏼3</v>
      </c>
      <c r="K2974" s="5">
        <f>IFERROR(__xludf.DUMMYFUNCTION("SPLiT(J2974, ""🤙🏼"",FALSE,FALSE)"),991.0)</f>
        <v>991</v>
      </c>
      <c r="L2974" s="5" t="str">
        <f>IFERROR(__xludf.DUMMYFUNCTION("""COMPUTED_VALUE"""),"Giù la testa")</f>
        <v>Giù la testa</v>
      </c>
      <c r="M2974" s="5" t="str">
        <f>IFERROR(__xludf.DUMMYFUNCTION("""COMPUTED_VALUE"""),"Western")</f>
        <v>Western</v>
      </c>
      <c r="N2974" s="5">
        <f>IFERROR(__xludf.DUMMYFUNCTION("""COMPUTED_VALUE"""),3.0)</f>
        <v>3</v>
      </c>
    </row>
    <row r="2975">
      <c r="J2975" s="5" t="str">
        <f>IFERROR(__xludf.DUMMYFUNCTION("""COMPUTED_VALUE"""),"992🤙🏼Kelly's Heroes🤙🏼Adventure🤙🏼1")</f>
        <v>992🤙🏼Kelly's Heroes🤙🏼Adventure🤙🏼1</v>
      </c>
      <c r="K2975" s="5">
        <f>IFERROR(__xludf.DUMMYFUNCTION("SPLiT(J2975, ""🤙🏼"",FALSE,FALSE)"),992.0)</f>
        <v>992</v>
      </c>
      <c r="L2975" s="5" t="str">
        <f>IFERROR(__xludf.DUMMYFUNCTION("""COMPUTED_VALUE"""),"Kelly's Heroes")</f>
        <v>Kelly's Heroes</v>
      </c>
      <c r="M2975" s="5" t="str">
        <f>IFERROR(__xludf.DUMMYFUNCTION("""COMPUTED_VALUE"""),"Adventure")</f>
        <v>Adventure</v>
      </c>
      <c r="N2975" s="5">
        <f>IFERROR(__xludf.DUMMYFUNCTION("""COMPUTED_VALUE"""),1.0)</f>
        <v>1</v>
      </c>
    </row>
    <row r="2976">
      <c r="J2976" s="5" t="str">
        <f>IFERROR(__xludf.DUMMYFUNCTION("""COMPUTED_VALUE"""),"992🤙🏼Kelly's Heroes🤙🏼Comedy🤙🏼2")</f>
        <v>992🤙🏼Kelly's Heroes🤙🏼Comedy🤙🏼2</v>
      </c>
      <c r="K2976" s="5">
        <f>IFERROR(__xludf.DUMMYFUNCTION("SPLiT(J2976, ""🤙🏼"",FALSE,FALSE)"),992.0)</f>
        <v>992</v>
      </c>
      <c r="L2976" s="5" t="str">
        <f>IFERROR(__xludf.DUMMYFUNCTION("""COMPUTED_VALUE"""),"Kelly's Heroes")</f>
        <v>Kelly's Heroes</v>
      </c>
      <c r="M2976" s="5" t="str">
        <f>IFERROR(__xludf.DUMMYFUNCTION("""COMPUTED_VALUE"""),"Comedy")</f>
        <v>Comedy</v>
      </c>
      <c r="N2976" s="5">
        <f>IFERROR(__xludf.DUMMYFUNCTION("""COMPUTED_VALUE"""),2.0)</f>
        <v>2</v>
      </c>
    </row>
    <row r="2977">
      <c r="J2977" s="5" t="str">
        <f>IFERROR(__xludf.DUMMYFUNCTION("""COMPUTED_VALUE"""),"992🤙🏼Kelly's Heroes🤙🏼War🤙🏼3")</f>
        <v>992🤙🏼Kelly's Heroes🤙🏼War🤙🏼3</v>
      </c>
      <c r="K2977" s="5">
        <f>IFERROR(__xludf.DUMMYFUNCTION("SPLiT(J2977, ""🤙🏼"",FALSE,FALSE)"),992.0)</f>
        <v>992</v>
      </c>
      <c r="L2977" s="5" t="str">
        <f>IFERROR(__xludf.DUMMYFUNCTION("""COMPUTED_VALUE"""),"Kelly's Heroes")</f>
        <v>Kelly's Heroes</v>
      </c>
      <c r="M2977" s="5" t="str">
        <f>IFERROR(__xludf.DUMMYFUNCTION("""COMPUTED_VALUE"""),"War")</f>
        <v>War</v>
      </c>
      <c r="N2977" s="5">
        <f>IFERROR(__xludf.DUMMYFUNCTION("""COMPUTED_VALUE"""),3.0)</f>
        <v>3</v>
      </c>
    </row>
    <row r="2978">
      <c r="J2978" s="5" t="str">
        <f>IFERROR(__xludf.DUMMYFUNCTION("""COMPUTED_VALUE"""),"993🤙🏼The Jungle Book🤙🏼Animation🤙🏼1")</f>
        <v>993🤙🏼The Jungle Book🤙🏼Animation🤙🏼1</v>
      </c>
      <c r="K2978" s="5">
        <f>IFERROR(__xludf.DUMMYFUNCTION("SPLiT(J2978, ""🤙🏼"",FALSE,FALSE)"),993.0)</f>
        <v>993</v>
      </c>
      <c r="L2978" s="5" t="str">
        <f>IFERROR(__xludf.DUMMYFUNCTION("""COMPUTED_VALUE"""),"The Jungle Book")</f>
        <v>The Jungle Book</v>
      </c>
      <c r="M2978" s="5" t="str">
        <f>IFERROR(__xludf.DUMMYFUNCTION("""COMPUTED_VALUE"""),"Animation")</f>
        <v>Animation</v>
      </c>
      <c r="N2978" s="5">
        <f>IFERROR(__xludf.DUMMYFUNCTION("""COMPUTED_VALUE"""),1.0)</f>
        <v>1</v>
      </c>
    </row>
    <row r="2979">
      <c r="J2979" s="5" t="str">
        <f>IFERROR(__xludf.DUMMYFUNCTION("""COMPUTED_VALUE"""),"993🤙🏼The Jungle Book🤙🏼Adventure🤙🏼2")</f>
        <v>993🤙🏼The Jungle Book🤙🏼Adventure🤙🏼2</v>
      </c>
      <c r="K2979" s="5">
        <f>IFERROR(__xludf.DUMMYFUNCTION("SPLiT(J2979, ""🤙🏼"",FALSE,FALSE)"),993.0)</f>
        <v>993</v>
      </c>
      <c r="L2979" s="5" t="str">
        <f>IFERROR(__xludf.DUMMYFUNCTION("""COMPUTED_VALUE"""),"The Jungle Book")</f>
        <v>The Jungle Book</v>
      </c>
      <c r="M2979" s="5" t="str">
        <f>IFERROR(__xludf.DUMMYFUNCTION("""COMPUTED_VALUE"""),"Adventure")</f>
        <v>Adventure</v>
      </c>
      <c r="N2979" s="5">
        <f>IFERROR(__xludf.DUMMYFUNCTION("""COMPUTED_VALUE"""),2.0)</f>
        <v>2</v>
      </c>
    </row>
    <row r="2980">
      <c r="J2980" s="5" t="str">
        <f>IFERROR(__xludf.DUMMYFUNCTION("""COMPUTED_VALUE"""),"993🤙🏼The Jungle Book🤙🏼Family🤙🏼3")</f>
        <v>993🤙🏼The Jungle Book🤙🏼Family🤙🏼3</v>
      </c>
      <c r="K2980" s="5">
        <f>IFERROR(__xludf.DUMMYFUNCTION("SPLiT(J2980, ""🤙🏼"",FALSE,FALSE)"),993.0)</f>
        <v>993</v>
      </c>
      <c r="L2980" s="5" t="str">
        <f>IFERROR(__xludf.DUMMYFUNCTION("""COMPUTED_VALUE"""),"The Jungle Book")</f>
        <v>The Jungle Book</v>
      </c>
      <c r="M2980" s="5" t="str">
        <f>IFERROR(__xludf.DUMMYFUNCTION("""COMPUTED_VALUE"""),"Family")</f>
        <v>Family</v>
      </c>
      <c r="N2980" s="5">
        <f>IFERROR(__xludf.DUMMYFUNCTION("""COMPUTED_VALUE"""),3.0)</f>
        <v>3</v>
      </c>
    </row>
    <row r="2981">
      <c r="J2981" s="5" t="str">
        <f>IFERROR(__xludf.DUMMYFUNCTION("""COMPUTED_VALUE"""),"994🤙🏼Blowup🤙🏼Drama🤙🏼1")</f>
        <v>994🤙🏼Blowup🤙🏼Drama🤙🏼1</v>
      </c>
      <c r="K2981" s="5">
        <f>IFERROR(__xludf.DUMMYFUNCTION("SPLiT(J2981, ""🤙🏼"",FALSE,FALSE)"),994.0)</f>
        <v>994</v>
      </c>
      <c r="L2981" s="5" t="str">
        <f>IFERROR(__xludf.DUMMYFUNCTION("""COMPUTED_VALUE"""),"Blowup")</f>
        <v>Blowup</v>
      </c>
      <c r="M2981" s="5" t="str">
        <f>IFERROR(__xludf.DUMMYFUNCTION("""COMPUTED_VALUE"""),"Drama")</f>
        <v>Drama</v>
      </c>
      <c r="N2981" s="5">
        <f>IFERROR(__xludf.DUMMYFUNCTION("""COMPUTED_VALUE"""),1.0)</f>
        <v>1</v>
      </c>
    </row>
    <row r="2982">
      <c r="J2982" s="5" t="str">
        <f>IFERROR(__xludf.DUMMYFUNCTION("""COMPUTED_VALUE"""),"994🤙🏼Blowup🤙🏼Mystery🤙🏼2")</f>
        <v>994🤙🏼Blowup🤙🏼Mystery🤙🏼2</v>
      </c>
      <c r="K2982" s="5">
        <f>IFERROR(__xludf.DUMMYFUNCTION("SPLiT(J2982, ""🤙🏼"",FALSE,FALSE)"),994.0)</f>
        <v>994</v>
      </c>
      <c r="L2982" s="5" t="str">
        <f>IFERROR(__xludf.DUMMYFUNCTION("""COMPUTED_VALUE"""),"Blowup")</f>
        <v>Blowup</v>
      </c>
      <c r="M2982" s="5" t="str">
        <f>IFERROR(__xludf.DUMMYFUNCTION("""COMPUTED_VALUE"""),"Mystery")</f>
        <v>Mystery</v>
      </c>
      <c r="N2982" s="5">
        <f>IFERROR(__xludf.DUMMYFUNCTION("""COMPUTED_VALUE"""),2.0)</f>
        <v>2</v>
      </c>
    </row>
    <row r="2983">
      <c r="J2983" s="5" t="str">
        <f>IFERROR(__xludf.DUMMYFUNCTION("""COMPUTED_VALUE"""),"994🤙🏼Blowup🤙🏼Thriller🤙🏼3")</f>
        <v>994🤙🏼Blowup🤙🏼Thriller🤙🏼3</v>
      </c>
      <c r="K2983" s="5">
        <f>IFERROR(__xludf.DUMMYFUNCTION("SPLiT(J2983, ""🤙🏼"",FALSE,FALSE)"),994.0)</f>
        <v>994</v>
      </c>
      <c r="L2983" s="5" t="str">
        <f>IFERROR(__xludf.DUMMYFUNCTION("""COMPUTED_VALUE"""),"Blowup")</f>
        <v>Blowup</v>
      </c>
      <c r="M2983" s="5" t="str">
        <f>IFERROR(__xludf.DUMMYFUNCTION("""COMPUTED_VALUE"""),"Thriller")</f>
        <v>Thriller</v>
      </c>
      <c r="N2983" s="5">
        <f>IFERROR(__xludf.DUMMYFUNCTION("""COMPUTED_VALUE"""),3.0)</f>
        <v>3</v>
      </c>
    </row>
    <row r="2984">
      <c r="J2984" s="5" t="str">
        <f>IFERROR(__xludf.DUMMYFUNCTION("""COMPUTED_VALUE"""),"995🤙🏼A Hard Day's Night🤙🏼Comedy🤙🏼1")</f>
        <v>995🤙🏼A Hard Day's Night🤙🏼Comedy🤙🏼1</v>
      </c>
      <c r="K2984" s="5">
        <f>IFERROR(__xludf.DUMMYFUNCTION("SPLiT(J2984, ""🤙🏼"",FALSE,FALSE)"),995.0)</f>
        <v>995</v>
      </c>
      <c r="L2984" s="5" t="str">
        <f>IFERROR(__xludf.DUMMYFUNCTION("""COMPUTED_VALUE"""),"A Hard Day's Night")</f>
        <v>A Hard Day's Night</v>
      </c>
      <c r="M2984" s="5" t="str">
        <f>IFERROR(__xludf.DUMMYFUNCTION("""COMPUTED_VALUE"""),"Comedy")</f>
        <v>Comedy</v>
      </c>
      <c r="N2984" s="5">
        <f>IFERROR(__xludf.DUMMYFUNCTION("""COMPUTED_VALUE"""),1.0)</f>
        <v>1</v>
      </c>
    </row>
    <row r="2985">
      <c r="J2985" s="5" t="str">
        <f>IFERROR(__xludf.DUMMYFUNCTION("""COMPUTED_VALUE"""),"995🤙🏼A Hard Day's Night🤙🏼Music🤙🏼2")</f>
        <v>995🤙🏼A Hard Day's Night🤙🏼Music🤙🏼2</v>
      </c>
      <c r="K2985" s="5">
        <f>IFERROR(__xludf.DUMMYFUNCTION("SPLiT(J2985, ""🤙🏼"",FALSE,FALSE)"),995.0)</f>
        <v>995</v>
      </c>
      <c r="L2985" s="5" t="str">
        <f>IFERROR(__xludf.DUMMYFUNCTION("""COMPUTED_VALUE"""),"A Hard Day's Night")</f>
        <v>A Hard Day's Night</v>
      </c>
      <c r="M2985" s="5" t="str">
        <f>IFERROR(__xludf.DUMMYFUNCTION("""COMPUTED_VALUE"""),"Music")</f>
        <v>Music</v>
      </c>
      <c r="N2985" s="5">
        <f>IFERROR(__xludf.DUMMYFUNCTION("""COMPUTED_VALUE"""),2.0)</f>
        <v>2</v>
      </c>
    </row>
    <row r="2986">
      <c r="J2986" s="5" t="str">
        <f>IFERROR(__xludf.DUMMYFUNCTION("""COMPUTED_VALUE"""),"995🤙🏼A Hard Day's Night🤙🏼Musical🤙🏼3")</f>
        <v>995🤙🏼A Hard Day's Night🤙🏼Musical🤙🏼3</v>
      </c>
      <c r="K2986" s="5">
        <f>IFERROR(__xludf.DUMMYFUNCTION("SPLiT(J2986, ""🤙🏼"",FALSE,FALSE)"),995.0)</f>
        <v>995</v>
      </c>
      <c r="L2986" s="5" t="str">
        <f>IFERROR(__xludf.DUMMYFUNCTION("""COMPUTED_VALUE"""),"A Hard Day's Night")</f>
        <v>A Hard Day's Night</v>
      </c>
      <c r="M2986" s="5" t="str">
        <f>IFERROR(__xludf.DUMMYFUNCTION("""COMPUTED_VALUE"""),"Musical")</f>
        <v>Musical</v>
      </c>
      <c r="N2986" s="5">
        <f>IFERROR(__xludf.DUMMYFUNCTION("""COMPUTED_VALUE"""),3.0)</f>
        <v>3</v>
      </c>
    </row>
    <row r="2987">
      <c r="J2987" s="5" t="str">
        <f>IFERROR(__xludf.DUMMYFUNCTION("""COMPUTED_VALUE"""),"996🤙🏼Breakfast at Tiffany's🤙🏼Comedy🤙🏼1")</f>
        <v>996🤙🏼Breakfast at Tiffany's🤙🏼Comedy🤙🏼1</v>
      </c>
      <c r="K2987" s="5">
        <f>IFERROR(__xludf.DUMMYFUNCTION("SPLiT(J2987, ""🤙🏼"",FALSE,FALSE)"),996.0)</f>
        <v>996</v>
      </c>
      <c r="L2987" s="5" t="str">
        <f>IFERROR(__xludf.DUMMYFUNCTION("""COMPUTED_VALUE"""),"Breakfast at Tiffany's")</f>
        <v>Breakfast at Tiffany's</v>
      </c>
      <c r="M2987" s="5" t="str">
        <f>IFERROR(__xludf.DUMMYFUNCTION("""COMPUTED_VALUE"""),"Comedy")</f>
        <v>Comedy</v>
      </c>
      <c r="N2987" s="5">
        <f>IFERROR(__xludf.DUMMYFUNCTION("""COMPUTED_VALUE"""),1.0)</f>
        <v>1</v>
      </c>
    </row>
    <row r="2988">
      <c r="J2988" s="5" t="str">
        <f>IFERROR(__xludf.DUMMYFUNCTION("""COMPUTED_VALUE"""),"996🤙🏼Breakfast at Tiffany's🤙🏼Drama🤙🏼2")</f>
        <v>996🤙🏼Breakfast at Tiffany's🤙🏼Drama🤙🏼2</v>
      </c>
      <c r="K2988" s="5">
        <f>IFERROR(__xludf.DUMMYFUNCTION("SPLiT(J2988, ""🤙🏼"",FALSE,FALSE)"),996.0)</f>
        <v>996</v>
      </c>
      <c r="L2988" s="5" t="str">
        <f>IFERROR(__xludf.DUMMYFUNCTION("""COMPUTED_VALUE"""),"Breakfast at Tiffany's")</f>
        <v>Breakfast at Tiffany's</v>
      </c>
      <c r="M2988" s="5" t="str">
        <f>IFERROR(__xludf.DUMMYFUNCTION("""COMPUTED_VALUE"""),"Drama")</f>
        <v>Drama</v>
      </c>
      <c r="N2988" s="5">
        <f>IFERROR(__xludf.DUMMYFUNCTION("""COMPUTED_VALUE"""),2.0)</f>
        <v>2</v>
      </c>
    </row>
    <row r="2989">
      <c r="J2989" s="5" t="str">
        <f>IFERROR(__xludf.DUMMYFUNCTION("""COMPUTED_VALUE"""),"996🤙🏼Breakfast at Tiffany's🤙🏼Romance🤙🏼3")</f>
        <v>996🤙🏼Breakfast at Tiffany's🤙🏼Romance🤙🏼3</v>
      </c>
      <c r="K2989" s="5">
        <f>IFERROR(__xludf.DUMMYFUNCTION("SPLiT(J2989, ""🤙🏼"",FALSE,FALSE)"),996.0)</f>
        <v>996</v>
      </c>
      <c r="L2989" s="5" t="str">
        <f>IFERROR(__xludf.DUMMYFUNCTION("""COMPUTED_VALUE"""),"Breakfast at Tiffany's")</f>
        <v>Breakfast at Tiffany's</v>
      </c>
      <c r="M2989" s="5" t="str">
        <f>IFERROR(__xludf.DUMMYFUNCTION("""COMPUTED_VALUE"""),"Romance")</f>
        <v>Romance</v>
      </c>
      <c r="N2989" s="5">
        <f>IFERROR(__xludf.DUMMYFUNCTION("""COMPUTED_VALUE"""),3.0)</f>
        <v>3</v>
      </c>
    </row>
    <row r="2990">
      <c r="J2990" s="5" t="str">
        <f>IFERROR(__xludf.DUMMYFUNCTION("""COMPUTED_VALUE"""),"997🤙🏼Giant🤙🏼Drama🤙🏼1")</f>
        <v>997🤙🏼Giant🤙🏼Drama🤙🏼1</v>
      </c>
      <c r="K2990" s="5">
        <f>IFERROR(__xludf.DUMMYFUNCTION("SPLiT(J2990, ""🤙🏼"",FALSE,FALSE)"),997.0)</f>
        <v>997</v>
      </c>
      <c r="L2990" s="5" t="str">
        <f>IFERROR(__xludf.DUMMYFUNCTION("""COMPUTED_VALUE"""),"Giant")</f>
        <v>Giant</v>
      </c>
      <c r="M2990" s="5" t="str">
        <f>IFERROR(__xludf.DUMMYFUNCTION("""COMPUTED_VALUE"""),"Drama")</f>
        <v>Drama</v>
      </c>
      <c r="N2990" s="5">
        <f>IFERROR(__xludf.DUMMYFUNCTION("""COMPUTED_VALUE"""),1.0)</f>
        <v>1</v>
      </c>
    </row>
    <row r="2991">
      <c r="J2991" s="5" t="str">
        <f>IFERROR(__xludf.DUMMYFUNCTION("""COMPUTED_VALUE"""),"997🤙🏼Giant🤙🏼Western🤙🏼2")</f>
        <v>997🤙🏼Giant🤙🏼Western🤙🏼2</v>
      </c>
      <c r="K2991" s="5">
        <f>IFERROR(__xludf.DUMMYFUNCTION("SPLiT(J2991, ""🤙🏼"",FALSE,FALSE)"),997.0)</f>
        <v>997</v>
      </c>
      <c r="L2991" s="5" t="str">
        <f>IFERROR(__xludf.DUMMYFUNCTION("""COMPUTED_VALUE"""),"Giant")</f>
        <v>Giant</v>
      </c>
      <c r="M2991" s="5" t="str">
        <f>IFERROR(__xludf.DUMMYFUNCTION("""COMPUTED_VALUE"""),"Western")</f>
        <v>Western</v>
      </c>
      <c r="N2991" s="5">
        <f>IFERROR(__xludf.DUMMYFUNCTION("""COMPUTED_VALUE"""),2.0)</f>
        <v>2</v>
      </c>
    </row>
    <row r="2992">
      <c r="J2992" s="5" t="str">
        <f>IFERROR(__xludf.DUMMYFUNCTION("""COMPUTED_VALUE"""),"997🤙🏼Giant🤙🏼🤙🏼3")</f>
        <v>997🤙🏼Giant🤙🏼🤙🏼3</v>
      </c>
      <c r="K2992" s="5">
        <f>IFERROR(__xludf.DUMMYFUNCTION("SPLiT(J2992, ""🤙🏼"",FALSE,FALSE)"),997.0)</f>
        <v>997</v>
      </c>
      <c r="L2992" s="5" t="str">
        <f>IFERROR(__xludf.DUMMYFUNCTION("""COMPUTED_VALUE"""),"Giant")</f>
        <v>Giant</v>
      </c>
      <c r="M2992" s="5"/>
      <c r="N2992" s="5">
        <f>IFERROR(__xludf.DUMMYFUNCTION("""COMPUTED_VALUE"""),3.0)</f>
        <v>3</v>
      </c>
    </row>
    <row r="2993">
      <c r="J2993" s="5" t="str">
        <f>IFERROR(__xludf.DUMMYFUNCTION("""COMPUTED_VALUE"""),"998🤙🏼From Here to Eternity🤙🏼Drama🤙🏼1")</f>
        <v>998🤙🏼From Here to Eternity🤙🏼Drama🤙🏼1</v>
      </c>
      <c r="K2993" s="5">
        <f>IFERROR(__xludf.DUMMYFUNCTION("SPLiT(J2993, ""🤙🏼"",FALSE,FALSE)"),998.0)</f>
        <v>998</v>
      </c>
      <c r="L2993" s="5" t="str">
        <f>IFERROR(__xludf.DUMMYFUNCTION("""COMPUTED_VALUE"""),"From Here to Eternity")</f>
        <v>From Here to Eternity</v>
      </c>
      <c r="M2993" s="5" t="str">
        <f>IFERROR(__xludf.DUMMYFUNCTION("""COMPUTED_VALUE"""),"Drama")</f>
        <v>Drama</v>
      </c>
      <c r="N2993" s="5">
        <f>IFERROR(__xludf.DUMMYFUNCTION("""COMPUTED_VALUE"""),1.0)</f>
        <v>1</v>
      </c>
    </row>
    <row r="2994">
      <c r="J2994" s="5" t="str">
        <f>IFERROR(__xludf.DUMMYFUNCTION("""COMPUTED_VALUE"""),"998🤙🏼From Here to Eternity🤙🏼Romance🤙🏼2")</f>
        <v>998🤙🏼From Here to Eternity🤙🏼Romance🤙🏼2</v>
      </c>
      <c r="K2994" s="5">
        <f>IFERROR(__xludf.DUMMYFUNCTION("SPLiT(J2994, ""🤙🏼"",FALSE,FALSE)"),998.0)</f>
        <v>998</v>
      </c>
      <c r="L2994" s="5" t="str">
        <f>IFERROR(__xludf.DUMMYFUNCTION("""COMPUTED_VALUE"""),"From Here to Eternity")</f>
        <v>From Here to Eternity</v>
      </c>
      <c r="M2994" s="5" t="str">
        <f>IFERROR(__xludf.DUMMYFUNCTION("""COMPUTED_VALUE"""),"Romance")</f>
        <v>Romance</v>
      </c>
      <c r="N2994" s="5">
        <f>IFERROR(__xludf.DUMMYFUNCTION("""COMPUTED_VALUE"""),2.0)</f>
        <v>2</v>
      </c>
    </row>
    <row r="2995">
      <c r="J2995" s="5" t="str">
        <f>IFERROR(__xludf.DUMMYFUNCTION("""COMPUTED_VALUE"""),"998🤙🏼From Here to Eternity🤙🏼War🤙🏼3")</f>
        <v>998🤙🏼From Here to Eternity🤙🏼War🤙🏼3</v>
      </c>
      <c r="K2995" s="5">
        <f>IFERROR(__xludf.DUMMYFUNCTION("SPLiT(J2995, ""🤙🏼"",FALSE,FALSE)"),998.0)</f>
        <v>998</v>
      </c>
      <c r="L2995" s="5" t="str">
        <f>IFERROR(__xludf.DUMMYFUNCTION("""COMPUTED_VALUE"""),"From Here to Eternity")</f>
        <v>From Here to Eternity</v>
      </c>
      <c r="M2995" s="5" t="str">
        <f>IFERROR(__xludf.DUMMYFUNCTION("""COMPUTED_VALUE"""),"War")</f>
        <v>War</v>
      </c>
      <c r="N2995" s="5">
        <f>IFERROR(__xludf.DUMMYFUNCTION("""COMPUTED_VALUE"""),3.0)</f>
        <v>3</v>
      </c>
    </row>
    <row r="2996">
      <c r="J2996" s="5" t="str">
        <f>IFERROR(__xludf.DUMMYFUNCTION("""COMPUTED_VALUE"""),"999🤙🏼Lifeboat🤙🏼Drama🤙🏼1")</f>
        <v>999🤙🏼Lifeboat🤙🏼Drama🤙🏼1</v>
      </c>
      <c r="K2996" s="5">
        <f>IFERROR(__xludf.DUMMYFUNCTION("SPLiT(J2996, ""🤙🏼"",FALSE,FALSE)"),999.0)</f>
        <v>999</v>
      </c>
      <c r="L2996" s="5" t="str">
        <f>IFERROR(__xludf.DUMMYFUNCTION("""COMPUTED_VALUE"""),"Lifeboat")</f>
        <v>Lifeboat</v>
      </c>
      <c r="M2996" s="5" t="str">
        <f>IFERROR(__xludf.DUMMYFUNCTION("""COMPUTED_VALUE"""),"Drama")</f>
        <v>Drama</v>
      </c>
      <c r="N2996" s="5">
        <f>IFERROR(__xludf.DUMMYFUNCTION("""COMPUTED_VALUE"""),1.0)</f>
        <v>1</v>
      </c>
    </row>
    <row r="2997">
      <c r="J2997" s="5" t="str">
        <f>IFERROR(__xludf.DUMMYFUNCTION("""COMPUTED_VALUE"""),"999🤙🏼Lifeboat🤙🏼War🤙🏼2")</f>
        <v>999🤙🏼Lifeboat🤙🏼War🤙🏼2</v>
      </c>
      <c r="K2997" s="5">
        <f>IFERROR(__xludf.DUMMYFUNCTION("SPLiT(J2997, ""🤙🏼"",FALSE,FALSE)"),999.0)</f>
        <v>999</v>
      </c>
      <c r="L2997" s="5" t="str">
        <f>IFERROR(__xludf.DUMMYFUNCTION("""COMPUTED_VALUE"""),"Lifeboat")</f>
        <v>Lifeboat</v>
      </c>
      <c r="M2997" s="5" t="str">
        <f>IFERROR(__xludf.DUMMYFUNCTION("""COMPUTED_VALUE"""),"War")</f>
        <v>War</v>
      </c>
      <c r="N2997" s="5">
        <f>IFERROR(__xludf.DUMMYFUNCTION("""COMPUTED_VALUE"""),2.0)</f>
        <v>2</v>
      </c>
    </row>
    <row r="2998">
      <c r="J2998" s="5" t="str">
        <f>IFERROR(__xludf.DUMMYFUNCTION("""COMPUTED_VALUE"""),"999🤙🏼Lifeboat🤙🏼🤙🏼3")</f>
        <v>999🤙🏼Lifeboat🤙🏼🤙🏼3</v>
      </c>
      <c r="K2998" s="5">
        <f>IFERROR(__xludf.DUMMYFUNCTION("SPLiT(J2998, ""🤙🏼"",FALSE,FALSE)"),999.0)</f>
        <v>999</v>
      </c>
      <c r="L2998" s="5" t="str">
        <f>IFERROR(__xludf.DUMMYFUNCTION("""COMPUTED_VALUE"""),"Lifeboat")</f>
        <v>Lifeboat</v>
      </c>
      <c r="M2998" s="5"/>
      <c r="N2998" s="5">
        <f>IFERROR(__xludf.DUMMYFUNCTION("""COMPUTED_VALUE"""),3.0)</f>
        <v>3</v>
      </c>
    </row>
    <row r="2999">
      <c r="J2999" s="5" t="str">
        <f>IFERROR(__xludf.DUMMYFUNCTION("""COMPUTED_VALUE"""),"1000🤙🏼The 39 Steps🤙🏼Crime🤙🏼1")</f>
        <v>1000🤙🏼The 39 Steps🤙🏼Crime🤙🏼1</v>
      </c>
      <c r="K2999" s="5">
        <f>IFERROR(__xludf.DUMMYFUNCTION("SPLiT(J2999, ""🤙🏼"",FALSE,FALSE)"),1000.0)</f>
        <v>1000</v>
      </c>
      <c r="L2999" s="5" t="str">
        <f>IFERROR(__xludf.DUMMYFUNCTION("""COMPUTED_VALUE"""),"The 39 Steps")</f>
        <v>The 39 Steps</v>
      </c>
      <c r="M2999" s="5" t="str">
        <f>IFERROR(__xludf.DUMMYFUNCTION("""COMPUTED_VALUE"""),"Crime")</f>
        <v>Crime</v>
      </c>
      <c r="N2999" s="5">
        <f>IFERROR(__xludf.DUMMYFUNCTION("""COMPUTED_VALUE"""),1.0)</f>
        <v>1</v>
      </c>
    </row>
    <row r="3000">
      <c r="J3000" s="5" t="str">
        <f>IFERROR(__xludf.DUMMYFUNCTION("""COMPUTED_VALUE"""),"1000🤙🏼The 39 Steps🤙🏼Mystery🤙🏼2")</f>
        <v>1000🤙🏼The 39 Steps🤙🏼Mystery🤙🏼2</v>
      </c>
      <c r="K3000" s="5">
        <f>IFERROR(__xludf.DUMMYFUNCTION("SPLiT(J3000, ""🤙🏼"",FALSE,FALSE)"),1000.0)</f>
        <v>1000</v>
      </c>
      <c r="L3000" s="5" t="str">
        <f>IFERROR(__xludf.DUMMYFUNCTION("""COMPUTED_VALUE"""),"The 39 Steps")</f>
        <v>The 39 Steps</v>
      </c>
      <c r="M3000" s="5" t="str">
        <f>IFERROR(__xludf.DUMMYFUNCTION("""COMPUTED_VALUE"""),"Mystery")</f>
        <v>Mystery</v>
      </c>
      <c r="N3000" s="5">
        <f>IFERROR(__xludf.DUMMYFUNCTION("""COMPUTED_VALUE"""),2.0)</f>
        <v>2</v>
      </c>
    </row>
    <row r="3001">
      <c r="J3001" s="5" t="str">
        <f>IFERROR(__xludf.DUMMYFUNCTION("""COMPUTED_VALUE"""),"1000🤙🏼The 39 Steps🤙🏼Thriller🤙🏼3")</f>
        <v>1000🤙🏼The 39 Steps🤙🏼Thriller🤙🏼3</v>
      </c>
      <c r="K3001" s="5">
        <f>IFERROR(__xludf.DUMMYFUNCTION("SPLiT(J3001, ""🤙🏼"",FALSE,FALSE)"),1000.0)</f>
        <v>1000</v>
      </c>
      <c r="L3001" s="5" t="str">
        <f>IFERROR(__xludf.DUMMYFUNCTION("""COMPUTED_VALUE"""),"The 39 Steps")</f>
        <v>The 39 Steps</v>
      </c>
      <c r="M3001" s="5" t="str">
        <f>IFERROR(__xludf.DUMMYFUNCTION("""COMPUTED_VALUE"""),"Thriller")</f>
        <v>Thriller</v>
      </c>
      <c r="N3001" s="5">
        <f>IFERROR(__xludf.DUMMYFUNCTION("""COMPUTED_VALUE"""),3.0)</f>
        <v>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63"/>
    <col customWidth="1" min="6" max="6" width="14.0"/>
  </cols>
  <sheetData>
    <row r="1">
      <c r="A1" s="1" t="s">
        <v>0</v>
      </c>
      <c r="B1" s="1" t="s">
        <v>1</v>
      </c>
      <c r="C1" s="1" t="s">
        <v>6634</v>
      </c>
      <c r="D1" s="1" t="s">
        <v>6635</v>
      </c>
      <c r="E1" s="1" t="s">
        <v>6636</v>
      </c>
      <c r="F1" s="1" t="s">
        <v>6637</v>
      </c>
      <c r="G1" s="10" t="s">
        <v>6644</v>
      </c>
      <c r="H1" s="1" t="s">
        <v>0</v>
      </c>
      <c r="I1" s="1" t="s">
        <v>1</v>
      </c>
      <c r="J1" s="1" t="s">
        <v>6</v>
      </c>
      <c r="K1" s="1" t="s">
        <v>6645</v>
      </c>
      <c r="P1" s="10" t="s">
        <v>0</v>
      </c>
      <c r="Q1" s="10" t="s">
        <v>1</v>
      </c>
      <c r="R1" s="10" t="s">
        <v>6</v>
      </c>
      <c r="S1" s="10" t="s">
        <v>6614</v>
      </c>
    </row>
    <row r="2">
      <c r="A2" s="1">
        <v>1.0</v>
      </c>
      <c r="B2" s="1" t="s">
        <v>17</v>
      </c>
      <c r="C2" s="1" t="s">
        <v>23</v>
      </c>
      <c r="D2" s="1" t="s">
        <v>24</v>
      </c>
      <c r="E2" s="1" t="s">
        <v>25</v>
      </c>
      <c r="F2" s="1" t="s">
        <v>26</v>
      </c>
      <c r="G2" s="5" t="str">
        <f>IFERROR(__xludf.DUMMYFUNCTION("ARRAYFORMULA(FLATTEN(A2:A1001&amp;""🤙🏼""&amp;B2:B1001&amp;""🤙🏼""&amp;C2:F1001&amp;""🤙🏼""&amp;C1:F1))"),"1🤙🏼The Shawshank Redemption🤙🏼Tim Robbins🤙🏼Estrela 1")</f>
        <v>1🤙🏼The Shawshank Redemption🤙🏼Tim Robbins🤙🏼Estrela 1</v>
      </c>
      <c r="H2" s="5">
        <f>IFERROR(__xludf.DUMMYFUNCTION("SPLiT(G2, ""🤙🏼"",FALSE,FALSE)"),1.0)</f>
        <v>1</v>
      </c>
      <c r="I2" s="5" t="str">
        <f>IFERROR(__xludf.DUMMYFUNCTION("""COMPUTED_VALUE"""),"The Shawshank Redemption")</f>
        <v>The Shawshank Redemption</v>
      </c>
      <c r="J2" s="5" t="str">
        <f>IFERROR(__xludf.DUMMYFUNCTION("""COMPUTED_VALUE"""),"Tim Robbins")</f>
        <v>Tim Robbins</v>
      </c>
      <c r="K2" s="5" t="str">
        <f>IFERROR(__xludf.DUMMYFUNCTION("""COMPUTED_VALUE"""),"Estrela 1")</f>
        <v>Estrela 1</v>
      </c>
      <c r="P2" s="5">
        <f>IFERROR(__xludf.DUMMYFUNCTION("FILTER(H2:K4501,NOT(ISBLANK(J2:J4501)))"),1.0)</f>
        <v>1</v>
      </c>
      <c r="Q2" s="5" t="str">
        <f>IFERROR(__xludf.DUMMYFUNCTION("""COMPUTED_VALUE"""),"The Shawshank Redemption")</f>
        <v>The Shawshank Redemption</v>
      </c>
      <c r="R2" s="5" t="str">
        <f>IFERROR(__xludf.DUMMYFUNCTION("""COMPUTED_VALUE"""),"Tim Robbins")</f>
        <v>Tim Robbins</v>
      </c>
      <c r="S2" s="5" t="str">
        <f>IFERROR(__xludf.DUMMYFUNCTION("""COMPUTED_VALUE"""),"Estrela 1")</f>
        <v>Estrela 1</v>
      </c>
    </row>
    <row r="3">
      <c r="A3" s="1">
        <v>2.0</v>
      </c>
      <c r="B3" s="1" t="s">
        <v>27</v>
      </c>
      <c r="C3" s="1" t="s">
        <v>32</v>
      </c>
      <c r="D3" s="1" t="s">
        <v>33</v>
      </c>
      <c r="E3" s="1" t="s">
        <v>34</v>
      </c>
      <c r="F3" s="1" t="s">
        <v>35</v>
      </c>
      <c r="G3" s="5" t="str">
        <f>IFERROR(__xludf.DUMMYFUNCTION("""COMPUTED_VALUE"""),"1🤙🏼The Shawshank Redemption🤙🏼Morgan Freeman🤙🏼Estrela 2")</f>
        <v>1🤙🏼The Shawshank Redemption🤙🏼Morgan Freeman🤙🏼Estrela 2</v>
      </c>
      <c r="H3" s="5">
        <f>IFERROR(__xludf.DUMMYFUNCTION("SPLiT(G3, ""🤙🏼"",FALSE,FALSE)"),1.0)</f>
        <v>1</v>
      </c>
      <c r="I3" s="5" t="str">
        <f>IFERROR(__xludf.DUMMYFUNCTION("""COMPUTED_VALUE"""),"The Shawshank Redemption")</f>
        <v>The Shawshank Redemption</v>
      </c>
      <c r="J3" s="5" t="str">
        <f>IFERROR(__xludf.DUMMYFUNCTION("""COMPUTED_VALUE"""),"Morgan Freeman")</f>
        <v>Morgan Freeman</v>
      </c>
      <c r="K3" s="5" t="str">
        <f>IFERROR(__xludf.DUMMYFUNCTION("""COMPUTED_VALUE"""),"Estrela 2")</f>
        <v>Estrela 2</v>
      </c>
      <c r="P3" s="5">
        <f>IFERROR(__xludf.DUMMYFUNCTION("""COMPUTED_VALUE"""),1.0)</f>
        <v>1</v>
      </c>
      <c r="Q3" s="5" t="str">
        <f>IFERROR(__xludf.DUMMYFUNCTION("""COMPUTED_VALUE"""),"The Shawshank Redemption")</f>
        <v>The Shawshank Redemption</v>
      </c>
      <c r="R3" s="5" t="str">
        <f>IFERROR(__xludf.DUMMYFUNCTION("""COMPUTED_VALUE"""),"Morgan Freeman")</f>
        <v>Morgan Freeman</v>
      </c>
      <c r="S3" s="5" t="str">
        <f>IFERROR(__xludf.DUMMYFUNCTION("""COMPUTED_VALUE"""),"Estrela 2")</f>
        <v>Estrela 2</v>
      </c>
    </row>
    <row r="4">
      <c r="A4" s="1">
        <v>3.0</v>
      </c>
      <c r="B4" s="1" t="s">
        <v>36</v>
      </c>
      <c r="C4" s="1" t="s">
        <v>42</v>
      </c>
      <c r="D4" s="1" t="s">
        <v>43</v>
      </c>
      <c r="E4" s="1" t="s">
        <v>44</v>
      </c>
      <c r="F4" s="1" t="s">
        <v>45</v>
      </c>
      <c r="G4" s="5" t="str">
        <f>IFERROR(__xludf.DUMMYFUNCTION("""COMPUTED_VALUE"""),"1🤙🏼The Shawshank Redemption🤙🏼Bob Gunton🤙🏼Estrela 3")</f>
        <v>1🤙🏼The Shawshank Redemption🤙🏼Bob Gunton🤙🏼Estrela 3</v>
      </c>
      <c r="H4" s="5">
        <f>IFERROR(__xludf.DUMMYFUNCTION("SPLiT(G4, ""🤙🏼"",FALSE,FALSE)"),1.0)</f>
        <v>1</v>
      </c>
      <c r="I4" s="5" t="str">
        <f>IFERROR(__xludf.DUMMYFUNCTION("""COMPUTED_VALUE"""),"The Shawshank Redemption")</f>
        <v>The Shawshank Redemption</v>
      </c>
      <c r="J4" s="5" t="str">
        <f>IFERROR(__xludf.DUMMYFUNCTION("""COMPUTED_VALUE"""),"Bob Gunton")</f>
        <v>Bob Gunton</v>
      </c>
      <c r="K4" s="5" t="str">
        <f>IFERROR(__xludf.DUMMYFUNCTION("""COMPUTED_VALUE"""),"Estrela 3")</f>
        <v>Estrela 3</v>
      </c>
      <c r="P4" s="5">
        <f>IFERROR(__xludf.DUMMYFUNCTION("""COMPUTED_VALUE"""),1.0)</f>
        <v>1</v>
      </c>
      <c r="Q4" s="5" t="str">
        <f>IFERROR(__xludf.DUMMYFUNCTION("""COMPUTED_VALUE"""),"The Shawshank Redemption")</f>
        <v>The Shawshank Redemption</v>
      </c>
      <c r="R4" s="5" t="str">
        <f>IFERROR(__xludf.DUMMYFUNCTION("""COMPUTED_VALUE"""),"Bob Gunton")</f>
        <v>Bob Gunton</v>
      </c>
      <c r="S4" s="5" t="str">
        <f>IFERROR(__xludf.DUMMYFUNCTION("""COMPUTED_VALUE"""),"Estrela 3")</f>
        <v>Estrela 3</v>
      </c>
    </row>
    <row r="5">
      <c r="A5" s="1">
        <v>4.0</v>
      </c>
      <c r="B5" s="1" t="s">
        <v>46</v>
      </c>
      <c r="C5" s="1" t="s">
        <v>33</v>
      </c>
      <c r="D5" s="1" t="s">
        <v>49</v>
      </c>
      <c r="E5" s="1" t="s">
        <v>50</v>
      </c>
      <c r="F5" s="1" t="s">
        <v>35</v>
      </c>
      <c r="G5" s="5" t="str">
        <f>IFERROR(__xludf.DUMMYFUNCTION("""COMPUTED_VALUE"""),"1🤙🏼The Shawshank Redemption🤙🏼William Sadler🤙🏼Estrela 4")</f>
        <v>1🤙🏼The Shawshank Redemption🤙🏼William Sadler🤙🏼Estrela 4</v>
      </c>
      <c r="H5" s="5">
        <f>IFERROR(__xludf.DUMMYFUNCTION("SPLiT(G5, ""🤙🏼"",FALSE,FALSE)"),1.0)</f>
        <v>1</v>
      </c>
      <c r="I5" s="5" t="str">
        <f>IFERROR(__xludf.DUMMYFUNCTION("""COMPUTED_VALUE"""),"The Shawshank Redemption")</f>
        <v>The Shawshank Redemption</v>
      </c>
      <c r="J5" s="5" t="str">
        <f>IFERROR(__xludf.DUMMYFUNCTION("""COMPUTED_VALUE"""),"William Sadler")</f>
        <v>William Sadler</v>
      </c>
      <c r="K5" s="5" t="str">
        <f>IFERROR(__xludf.DUMMYFUNCTION("""COMPUTED_VALUE"""),"Estrela 4")</f>
        <v>Estrela 4</v>
      </c>
      <c r="P5" s="5">
        <f>IFERROR(__xludf.DUMMYFUNCTION("""COMPUTED_VALUE"""),1.0)</f>
        <v>1</v>
      </c>
      <c r="Q5" s="5" t="str">
        <f>IFERROR(__xludf.DUMMYFUNCTION("""COMPUTED_VALUE"""),"The Shawshank Redemption")</f>
        <v>The Shawshank Redemption</v>
      </c>
      <c r="R5" s="5" t="str">
        <f>IFERROR(__xludf.DUMMYFUNCTION("""COMPUTED_VALUE"""),"William Sadler")</f>
        <v>William Sadler</v>
      </c>
      <c r="S5" s="5" t="str">
        <f>IFERROR(__xludf.DUMMYFUNCTION("""COMPUTED_VALUE"""),"Estrela 4")</f>
        <v>Estrela 4</v>
      </c>
    </row>
    <row r="6">
      <c r="A6" s="1">
        <v>5.0</v>
      </c>
      <c r="B6" s="1" t="s">
        <v>51</v>
      </c>
      <c r="C6" s="1" t="s">
        <v>56</v>
      </c>
      <c r="D6" s="1" t="s">
        <v>57</v>
      </c>
      <c r="E6" s="1" t="s">
        <v>58</v>
      </c>
      <c r="F6" s="1" t="s">
        <v>59</v>
      </c>
      <c r="G6" s="5" t="str">
        <f>IFERROR(__xludf.DUMMYFUNCTION("""COMPUTED_VALUE"""),"2🤙🏼The Godfather🤙🏼Marlon Brando🤙🏼Estrela 1")</f>
        <v>2🤙🏼The Godfather🤙🏼Marlon Brando🤙🏼Estrela 1</v>
      </c>
      <c r="H6" s="5">
        <f>IFERROR(__xludf.DUMMYFUNCTION("SPLiT(G6, ""🤙🏼"",FALSE,FALSE)"),2.0)</f>
        <v>2</v>
      </c>
      <c r="I6" s="5" t="str">
        <f>IFERROR(__xludf.DUMMYFUNCTION("""COMPUTED_VALUE"""),"The Godfather")</f>
        <v>The Godfather</v>
      </c>
      <c r="J6" s="5" t="str">
        <f>IFERROR(__xludf.DUMMYFUNCTION("""COMPUTED_VALUE"""),"Marlon Brando")</f>
        <v>Marlon Brando</v>
      </c>
      <c r="K6" s="5" t="str">
        <f>IFERROR(__xludf.DUMMYFUNCTION("""COMPUTED_VALUE"""),"Estrela 1")</f>
        <v>Estrela 1</v>
      </c>
      <c r="P6" s="5">
        <f>IFERROR(__xludf.DUMMYFUNCTION("""COMPUTED_VALUE"""),2.0)</f>
        <v>2</v>
      </c>
      <c r="Q6" s="5" t="str">
        <f>IFERROR(__xludf.DUMMYFUNCTION("""COMPUTED_VALUE"""),"The Godfather")</f>
        <v>The Godfather</v>
      </c>
      <c r="R6" s="5" t="str">
        <f>IFERROR(__xludf.DUMMYFUNCTION("""COMPUTED_VALUE"""),"Marlon Brando")</f>
        <v>Marlon Brando</v>
      </c>
      <c r="S6" s="5" t="str">
        <f>IFERROR(__xludf.DUMMYFUNCTION("""COMPUTED_VALUE"""),"Estrela 1")</f>
        <v>Estrela 1</v>
      </c>
    </row>
    <row r="7">
      <c r="A7" s="1">
        <v>6.0</v>
      </c>
      <c r="B7" s="1" t="s">
        <v>60</v>
      </c>
      <c r="C7" s="1" t="s">
        <v>65</v>
      </c>
      <c r="D7" s="1" t="s">
        <v>66</v>
      </c>
      <c r="E7" s="1" t="s">
        <v>67</v>
      </c>
      <c r="F7" s="1" t="s">
        <v>68</v>
      </c>
      <c r="G7" s="5" t="str">
        <f>IFERROR(__xludf.DUMMYFUNCTION("""COMPUTED_VALUE"""),"2🤙🏼The Godfather🤙🏼Al Pacino🤙🏼Estrela 2")</f>
        <v>2🤙🏼The Godfather🤙🏼Al Pacino🤙🏼Estrela 2</v>
      </c>
      <c r="H7" s="5">
        <f>IFERROR(__xludf.DUMMYFUNCTION("SPLiT(G7, ""🤙🏼"",FALSE,FALSE)"),2.0)</f>
        <v>2</v>
      </c>
      <c r="I7" s="5" t="str">
        <f>IFERROR(__xludf.DUMMYFUNCTION("""COMPUTED_VALUE"""),"The Godfather")</f>
        <v>The Godfather</v>
      </c>
      <c r="J7" s="5" t="str">
        <f>IFERROR(__xludf.DUMMYFUNCTION("""COMPUTED_VALUE"""),"Al Pacino")</f>
        <v>Al Pacino</v>
      </c>
      <c r="K7" s="5" t="str">
        <f>IFERROR(__xludf.DUMMYFUNCTION("""COMPUTED_VALUE"""),"Estrela 2")</f>
        <v>Estrela 2</v>
      </c>
      <c r="P7" s="5">
        <f>IFERROR(__xludf.DUMMYFUNCTION("""COMPUTED_VALUE"""),2.0)</f>
        <v>2</v>
      </c>
      <c r="Q7" s="5" t="str">
        <f>IFERROR(__xludf.DUMMYFUNCTION("""COMPUTED_VALUE"""),"The Godfather")</f>
        <v>The Godfather</v>
      </c>
      <c r="R7" s="5" t="str">
        <f>IFERROR(__xludf.DUMMYFUNCTION("""COMPUTED_VALUE"""),"Al Pacino")</f>
        <v>Al Pacino</v>
      </c>
      <c r="S7" s="5" t="str">
        <f>IFERROR(__xludf.DUMMYFUNCTION("""COMPUTED_VALUE"""),"Estrela 2")</f>
        <v>Estrela 2</v>
      </c>
    </row>
    <row r="8">
      <c r="A8" s="1">
        <v>7.0</v>
      </c>
      <c r="B8" s="1" t="s">
        <v>69</v>
      </c>
      <c r="C8" s="1" t="s">
        <v>73</v>
      </c>
      <c r="D8" s="1" t="s">
        <v>74</v>
      </c>
      <c r="E8" s="1" t="s">
        <v>75</v>
      </c>
      <c r="F8" s="1" t="s">
        <v>76</v>
      </c>
      <c r="G8" s="5" t="str">
        <f>IFERROR(__xludf.DUMMYFUNCTION("""COMPUTED_VALUE"""),"2🤙🏼The Godfather🤙🏼James Caan🤙🏼Estrela 3")</f>
        <v>2🤙🏼The Godfather🤙🏼James Caan🤙🏼Estrela 3</v>
      </c>
      <c r="H8" s="5">
        <f>IFERROR(__xludf.DUMMYFUNCTION("SPLiT(G8, ""🤙🏼"",FALSE,FALSE)"),2.0)</f>
        <v>2</v>
      </c>
      <c r="I8" s="5" t="str">
        <f>IFERROR(__xludf.DUMMYFUNCTION("""COMPUTED_VALUE"""),"The Godfather")</f>
        <v>The Godfather</v>
      </c>
      <c r="J8" s="5" t="str">
        <f>IFERROR(__xludf.DUMMYFUNCTION("""COMPUTED_VALUE"""),"James Caan")</f>
        <v>James Caan</v>
      </c>
      <c r="K8" s="5" t="str">
        <f>IFERROR(__xludf.DUMMYFUNCTION("""COMPUTED_VALUE"""),"Estrela 3")</f>
        <v>Estrela 3</v>
      </c>
      <c r="P8" s="5">
        <f>IFERROR(__xludf.DUMMYFUNCTION("""COMPUTED_VALUE"""),2.0)</f>
        <v>2</v>
      </c>
      <c r="Q8" s="5" t="str">
        <f>IFERROR(__xludf.DUMMYFUNCTION("""COMPUTED_VALUE"""),"The Godfather")</f>
        <v>The Godfather</v>
      </c>
      <c r="R8" s="5" t="str">
        <f>IFERROR(__xludf.DUMMYFUNCTION("""COMPUTED_VALUE"""),"James Caan")</f>
        <v>James Caan</v>
      </c>
      <c r="S8" s="5" t="str">
        <f>IFERROR(__xludf.DUMMYFUNCTION("""COMPUTED_VALUE"""),"Estrela 3")</f>
        <v>Estrela 3</v>
      </c>
    </row>
    <row r="9">
      <c r="A9" s="1">
        <v>8.0</v>
      </c>
      <c r="B9" s="1" t="s">
        <v>77</v>
      </c>
      <c r="C9" s="1" t="s">
        <v>82</v>
      </c>
      <c r="D9" s="1" t="s">
        <v>83</v>
      </c>
      <c r="E9" s="1" t="s">
        <v>84</v>
      </c>
      <c r="F9" s="1" t="s">
        <v>85</v>
      </c>
      <c r="G9" s="5" t="str">
        <f>IFERROR(__xludf.DUMMYFUNCTION("""COMPUTED_VALUE"""),"2🤙🏼The Godfather🤙🏼Diane Keaton🤙🏼Estrela 4")</f>
        <v>2🤙🏼The Godfather🤙🏼Diane Keaton🤙🏼Estrela 4</v>
      </c>
      <c r="H9" s="5">
        <f>IFERROR(__xludf.DUMMYFUNCTION("SPLiT(G9, ""🤙🏼"",FALSE,FALSE)"),2.0)</f>
        <v>2</v>
      </c>
      <c r="I9" s="5" t="str">
        <f>IFERROR(__xludf.DUMMYFUNCTION("""COMPUTED_VALUE"""),"The Godfather")</f>
        <v>The Godfather</v>
      </c>
      <c r="J9" s="5" t="str">
        <f>IFERROR(__xludf.DUMMYFUNCTION("""COMPUTED_VALUE"""),"Diane Keaton")</f>
        <v>Diane Keaton</v>
      </c>
      <c r="K9" s="5" t="str">
        <f>IFERROR(__xludf.DUMMYFUNCTION("""COMPUTED_VALUE"""),"Estrela 4")</f>
        <v>Estrela 4</v>
      </c>
      <c r="P9" s="5">
        <f>IFERROR(__xludf.DUMMYFUNCTION("""COMPUTED_VALUE"""),2.0)</f>
        <v>2</v>
      </c>
      <c r="Q9" s="5" t="str">
        <f>IFERROR(__xludf.DUMMYFUNCTION("""COMPUTED_VALUE"""),"The Godfather")</f>
        <v>The Godfather</v>
      </c>
      <c r="R9" s="5" t="str">
        <f>IFERROR(__xludf.DUMMYFUNCTION("""COMPUTED_VALUE"""),"Diane Keaton")</f>
        <v>Diane Keaton</v>
      </c>
      <c r="S9" s="5" t="str">
        <f>IFERROR(__xludf.DUMMYFUNCTION("""COMPUTED_VALUE"""),"Estrela 4")</f>
        <v>Estrela 4</v>
      </c>
    </row>
    <row r="10">
      <c r="A10" s="1">
        <v>9.0</v>
      </c>
      <c r="B10" s="1" t="s">
        <v>86</v>
      </c>
      <c r="C10" s="1" t="s">
        <v>90</v>
      </c>
      <c r="D10" s="1" t="s">
        <v>91</v>
      </c>
      <c r="E10" s="1" t="s">
        <v>92</v>
      </c>
      <c r="F10" s="1" t="s">
        <v>93</v>
      </c>
      <c r="G10" s="5" t="str">
        <f>IFERROR(__xludf.DUMMYFUNCTION("""COMPUTED_VALUE"""),"3🤙🏼The Dark Knight🤙🏼Christian Bale🤙🏼Estrela 1")</f>
        <v>3🤙🏼The Dark Knight🤙🏼Christian Bale🤙🏼Estrela 1</v>
      </c>
      <c r="H10" s="5">
        <f>IFERROR(__xludf.DUMMYFUNCTION("SPLiT(G10, ""🤙🏼"",FALSE,FALSE)"),3.0)</f>
        <v>3</v>
      </c>
      <c r="I10" s="5" t="str">
        <f>IFERROR(__xludf.DUMMYFUNCTION("""COMPUTED_VALUE"""),"The Dark Knight")</f>
        <v>The Dark Knight</v>
      </c>
      <c r="J10" s="5" t="str">
        <f>IFERROR(__xludf.DUMMYFUNCTION("""COMPUTED_VALUE"""),"Christian Bale")</f>
        <v>Christian Bale</v>
      </c>
      <c r="K10" s="5" t="str">
        <f>IFERROR(__xludf.DUMMYFUNCTION("""COMPUTED_VALUE"""),"Estrela 1")</f>
        <v>Estrela 1</v>
      </c>
      <c r="P10" s="5">
        <f>IFERROR(__xludf.DUMMYFUNCTION("""COMPUTED_VALUE"""),3.0)</f>
        <v>3</v>
      </c>
      <c r="Q10" s="5" t="str">
        <f>IFERROR(__xludf.DUMMYFUNCTION("""COMPUTED_VALUE"""),"The Dark Knight")</f>
        <v>The Dark Knight</v>
      </c>
      <c r="R10" s="5" t="str">
        <f>IFERROR(__xludf.DUMMYFUNCTION("""COMPUTED_VALUE"""),"Christian Bale")</f>
        <v>Christian Bale</v>
      </c>
      <c r="S10" s="5" t="str">
        <f>IFERROR(__xludf.DUMMYFUNCTION("""COMPUTED_VALUE"""),"Estrela 1")</f>
        <v>Estrela 1</v>
      </c>
    </row>
    <row r="11">
      <c r="A11" s="1">
        <v>10.0</v>
      </c>
      <c r="B11" s="1" t="s">
        <v>94</v>
      </c>
      <c r="C11" s="1" t="s">
        <v>98</v>
      </c>
      <c r="D11" s="1" t="s">
        <v>99</v>
      </c>
      <c r="E11" s="1" t="s">
        <v>100</v>
      </c>
      <c r="F11" s="1" t="s">
        <v>101</v>
      </c>
      <c r="G11" s="5" t="str">
        <f>IFERROR(__xludf.DUMMYFUNCTION("""COMPUTED_VALUE"""),"3🤙🏼The Dark Knight🤙🏼Heath Ledger🤙🏼Estrela 2")</f>
        <v>3🤙🏼The Dark Knight🤙🏼Heath Ledger🤙🏼Estrela 2</v>
      </c>
      <c r="H11" s="5">
        <f>IFERROR(__xludf.DUMMYFUNCTION("SPLiT(G11, ""🤙🏼"",FALSE,FALSE)"),3.0)</f>
        <v>3</v>
      </c>
      <c r="I11" s="5" t="str">
        <f>IFERROR(__xludf.DUMMYFUNCTION("""COMPUTED_VALUE"""),"The Dark Knight")</f>
        <v>The Dark Knight</v>
      </c>
      <c r="J11" s="5" t="str">
        <f>IFERROR(__xludf.DUMMYFUNCTION("""COMPUTED_VALUE"""),"Heath Ledger")</f>
        <v>Heath Ledger</v>
      </c>
      <c r="K11" s="5" t="str">
        <f>IFERROR(__xludf.DUMMYFUNCTION("""COMPUTED_VALUE"""),"Estrela 2")</f>
        <v>Estrela 2</v>
      </c>
      <c r="P11" s="5">
        <f>IFERROR(__xludf.DUMMYFUNCTION("""COMPUTED_VALUE"""),3.0)</f>
        <v>3</v>
      </c>
      <c r="Q11" s="5" t="str">
        <f>IFERROR(__xludf.DUMMYFUNCTION("""COMPUTED_VALUE"""),"The Dark Knight")</f>
        <v>The Dark Knight</v>
      </c>
      <c r="R11" s="5" t="str">
        <f>IFERROR(__xludf.DUMMYFUNCTION("""COMPUTED_VALUE"""),"Heath Ledger")</f>
        <v>Heath Ledger</v>
      </c>
      <c r="S11" s="5" t="str">
        <f>IFERROR(__xludf.DUMMYFUNCTION("""COMPUTED_VALUE"""),"Estrela 2")</f>
        <v>Estrela 2</v>
      </c>
    </row>
    <row r="12">
      <c r="A12" s="1">
        <v>11.0</v>
      </c>
      <c r="B12" s="1" t="s">
        <v>102</v>
      </c>
      <c r="C12" s="1" t="s">
        <v>65</v>
      </c>
      <c r="D12" s="1" t="s">
        <v>67</v>
      </c>
      <c r="E12" s="1" t="s">
        <v>68</v>
      </c>
      <c r="F12" s="1" t="s">
        <v>105</v>
      </c>
      <c r="G12" s="5" t="str">
        <f>IFERROR(__xludf.DUMMYFUNCTION("""COMPUTED_VALUE"""),"3🤙🏼The Dark Knight🤙🏼Aaron Eckhart🤙🏼Estrela 3")</f>
        <v>3🤙🏼The Dark Knight🤙🏼Aaron Eckhart🤙🏼Estrela 3</v>
      </c>
      <c r="H12" s="5">
        <f>IFERROR(__xludf.DUMMYFUNCTION("SPLiT(G12, ""🤙🏼"",FALSE,FALSE)"),3.0)</f>
        <v>3</v>
      </c>
      <c r="I12" s="5" t="str">
        <f>IFERROR(__xludf.DUMMYFUNCTION("""COMPUTED_VALUE"""),"The Dark Knight")</f>
        <v>The Dark Knight</v>
      </c>
      <c r="J12" s="5" t="str">
        <f>IFERROR(__xludf.DUMMYFUNCTION("""COMPUTED_VALUE"""),"Aaron Eckhart")</f>
        <v>Aaron Eckhart</v>
      </c>
      <c r="K12" s="5" t="str">
        <f>IFERROR(__xludf.DUMMYFUNCTION("""COMPUTED_VALUE"""),"Estrela 3")</f>
        <v>Estrela 3</v>
      </c>
      <c r="P12" s="5">
        <f>IFERROR(__xludf.DUMMYFUNCTION("""COMPUTED_VALUE"""),3.0)</f>
        <v>3</v>
      </c>
      <c r="Q12" s="5" t="str">
        <f>IFERROR(__xludf.DUMMYFUNCTION("""COMPUTED_VALUE"""),"The Dark Knight")</f>
        <v>The Dark Knight</v>
      </c>
      <c r="R12" s="5" t="str">
        <f>IFERROR(__xludf.DUMMYFUNCTION("""COMPUTED_VALUE"""),"Aaron Eckhart")</f>
        <v>Aaron Eckhart</v>
      </c>
      <c r="S12" s="5" t="str">
        <f>IFERROR(__xludf.DUMMYFUNCTION("""COMPUTED_VALUE"""),"Estrela 3")</f>
        <v>Estrela 3</v>
      </c>
    </row>
    <row r="13">
      <c r="A13" s="1">
        <v>12.0</v>
      </c>
      <c r="B13" s="1" t="s">
        <v>106</v>
      </c>
      <c r="C13" s="1" t="s">
        <v>110</v>
      </c>
      <c r="D13" s="1" t="s">
        <v>111</v>
      </c>
      <c r="E13" s="1" t="s">
        <v>112</v>
      </c>
      <c r="F13" s="1" t="s">
        <v>113</v>
      </c>
      <c r="G13" s="5" t="str">
        <f>IFERROR(__xludf.DUMMYFUNCTION("""COMPUTED_VALUE"""),"3🤙🏼The Dark Knight🤙🏼Michael Caine🤙🏼Estrela 4")</f>
        <v>3🤙🏼The Dark Knight🤙🏼Michael Caine🤙🏼Estrela 4</v>
      </c>
      <c r="H13" s="5">
        <f>IFERROR(__xludf.DUMMYFUNCTION("SPLiT(G13, ""🤙🏼"",FALSE,FALSE)"),3.0)</f>
        <v>3</v>
      </c>
      <c r="I13" s="5" t="str">
        <f>IFERROR(__xludf.DUMMYFUNCTION("""COMPUTED_VALUE"""),"The Dark Knight")</f>
        <v>The Dark Knight</v>
      </c>
      <c r="J13" s="5" t="str">
        <f>IFERROR(__xludf.DUMMYFUNCTION("""COMPUTED_VALUE"""),"Michael Caine")</f>
        <v>Michael Caine</v>
      </c>
      <c r="K13" s="5" t="str">
        <f>IFERROR(__xludf.DUMMYFUNCTION("""COMPUTED_VALUE"""),"Estrela 4")</f>
        <v>Estrela 4</v>
      </c>
      <c r="P13" s="5">
        <f>IFERROR(__xludf.DUMMYFUNCTION("""COMPUTED_VALUE"""),3.0)</f>
        <v>3</v>
      </c>
      <c r="Q13" s="5" t="str">
        <f>IFERROR(__xludf.DUMMYFUNCTION("""COMPUTED_VALUE"""),"The Dark Knight")</f>
        <v>The Dark Knight</v>
      </c>
      <c r="R13" s="5" t="str">
        <f>IFERROR(__xludf.DUMMYFUNCTION("""COMPUTED_VALUE"""),"Michael Caine")</f>
        <v>Michael Caine</v>
      </c>
      <c r="S13" s="5" t="str">
        <f>IFERROR(__xludf.DUMMYFUNCTION("""COMPUTED_VALUE"""),"Estrela 4")</f>
        <v>Estrela 4</v>
      </c>
    </row>
    <row r="14">
      <c r="A14" s="1">
        <v>13.0</v>
      </c>
      <c r="B14" s="1" t="s">
        <v>114</v>
      </c>
      <c r="C14" s="1" t="s">
        <v>119</v>
      </c>
      <c r="D14" s="1" t="s">
        <v>120</v>
      </c>
      <c r="E14" s="1" t="s">
        <v>121</v>
      </c>
      <c r="F14" s="1" t="s">
        <v>122</v>
      </c>
      <c r="G14" s="5" t="str">
        <f>IFERROR(__xludf.DUMMYFUNCTION("""COMPUTED_VALUE"""),"4🤙🏼The Godfather: Part II🤙🏼Al Pacino🤙🏼Estrela 1")</f>
        <v>4🤙🏼The Godfather: Part II🤙🏼Al Pacino🤙🏼Estrela 1</v>
      </c>
      <c r="H14" s="5">
        <f>IFERROR(__xludf.DUMMYFUNCTION("SPLiT(G14, ""🤙🏼"",FALSE,FALSE)"),4.0)</f>
        <v>4</v>
      </c>
      <c r="I14" s="5" t="str">
        <f>IFERROR(__xludf.DUMMYFUNCTION("""COMPUTED_VALUE"""),"The Godfather: Part II")</f>
        <v>The Godfather: Part II</v>
      </c>
      <c r="J14" s="5" t="str">
        <f>IFERROR(__xludf.DUMMYFUNCTION("""COMPUTED_VALUE"""),"Al Pacino")</f>
        <v>Al Pacino</v>
      </c>
      <c r="K14" s="5" t="str">
        <f>IFERROR(__xludf.DUMMYFUNCTION("""COMPUTED_VALUE"""),"Estrela 1")</f>
        <v>Estrela 1</v>
      </c>
      <c r="P14" s="5">
        <f>IFERROR(__xludf.DUMMYFUNCTION("""COMPUTED_VALUE"""),4.0)</f>
        <v>4</v>
      </c>
      <c r="Q14" s="5" t="str">
        <f>IFERROR(__xludf.DUMMYFUNCTION("""COMPUTED_VALUE"""),"The Godfather: Part II")</f>
        <v>The Godfather: Part II</v>
      </c>
      <c r="R14" s="5" t="str">
        <f>IFERROR(__xludf.DUMMYFUNCTION("""COMPUTED_VALUE"""),"Al Pacino")</f>
        <v>Al Pacino</v>
      </c>
      <c r="S14" s="5" t="str">
        <f>IFERROR(__xludf.DUMMYFUNCTION("""COMPUTED_VALUE"""),"Estrela 1")</f>
        <v>Estrela 1</v>
      </c>
    </row>
    <row r="15">
      <c r="A15" s="1">
        <v>14.0</v>
      </c>
      <c r="B15" s="1" t="s">
        <v>123</v>
      </c>
      <c r="C15" s="1" t="s">
        <v>65</v>
      </c>
      <c r="D15" s="1" t="s">
        <v>67</v>
      </c>
      <c r="E15" s="1" t="s">
        <v>66</v>
      </c>
      <c r="F15" s="1" t="s">
        <v>68</v>
      </c>
      <c r="G15" s="5" t="str">
        <f>IFERROR(__xludf.DUMMYFUNCTION("""COMPUTED_VALUE"""),"4🤙🏼The Godfather: Part II🤙🏼Robert De Niro🤙🏼Estrela 2")</f>
        <v>4🤙🏼The Godfather: Part II🤙🏼Robert De Niro🤙🏼Estrela 2</v>
      </c>
      <c r="H15" s="5">
        <f>IFERROR(__xludf.DUMMYFUNCTION("SPLiT(G15, ""🤙🏼"",FALSE,FALSE)"),4.0)</f>
        <v>4</v>
      </c>
      <c r="I15" s="5" t="str">
        <f>IFERROR(__xludf.DUMMYFUNCTION("""COMPUTED_VALUE"""),"The Godfather: Part II")</f>
        <v>The Godfather: Part II</v>
      </c>
      <c r="J15" s="5" t="str">
        <f>IFERROR(__xludf.DUMMYFUNCTION("""COMPUTED_VALUE"""),"Robert De Niro")</f>
        <v>Robert De Niro</v>
      </c>
      <c r="K15" s="5" t="str">
        <f>IFERROR(__xludf.DUMMYFUNCTION("""COMPUTED_VALUE"""),"Estrela 2")</f>
        <v>Estrela 2</v>
      </c>
      <c r="P15" s="5">
        <f>IFERROR(__xludf.DUMMYFUNCTION("""COMPUTED_VALUE"""),4.0)</f>
        <v>4</v>
      </c>
      <c r="Q15" s="5" t="str">
        <f>IFERROR(__xludf.DUMMYFUNCTION("""COMPUTED_VALUE"""),"The Godfather: Part II")</f>
        <v>The Godfather: Part II</v>
      </c>
      <c r="R15" s="5" t="str">
        <f>IFERROR(__xludf.DUMMYFUNCTION("""COMPUTED_VALUE"""),"Robert De Niro")</f>
        <v>Robert De Niro</v>
      </c>
      <c r="S15" s="5" t="str">
        <f>IFERROR(__xludf.DUMMYFUNCTION("""COMPUTED_VALUE"""),"Estrela 2")</f>
        <v>Estrela 2</v>
      </c>
    </row>
    <row r="16">
      <c r="A16" s="1">
        <v>15.0</v>
      </c>
      <c r="B16" s="1" t="s">
        <v>126</v>
      </c>
      <c r="C16" s="1" t="s">
        <v>131</v>
      </c>
      <c r="D16" s="1" t="s">
        <v>132</v>
      </c>
      <c r="E16" s="1" t="s">
        <v>133</v>
      </c>
      <c r="F16" s="1" t="s">
        <v>134</v>
      </c>
      <c r="G16" s="5" t="str">
        <f>IFERROR(__xludf.DUMMYFUNCTION("""COMPUTED_VALUE"""),"4🤙🏼The Godfather: Part II🤙🏼Robert Duvall🤙🏼Estrela 3")</f>
        <v>4🤙🏼The Godfather: Part II🤙🏼Robert Duvall🤙🏼Estrela 3</v>
      </c>
      <c r="H16" s="5">
        <f>IFERROR(__xludf.DUMMYFUNCTION("SPLiT(G16, ""🤙🏼"",FALSE,FALSE)"),4.0)</f>
        <v>4</v>
      </c>
      <c r="I16" s="5" t="str">
        <f>IFERROR(__xludf.DUMMYFUNCTION("""COMPUTED_VALUE"""),"The Godfather: Part II")</f>
        <v>The Godfather: Part II</v>
      </c>
      <c r="J16" s="5" t="str">
        <f>IFERROR(__xludf.DUMMYFUNCTION("""COMPUTED_VALUE"""),"Robert Duvall")</f>
        <v>Robert Duvall</v>
      </c>
      <c r="K16" s="5" t="str">
        <f>IFERROR(__xludf.DUMMYFUNCTION("""COMPUTED_VALUE"""),"Estrela 3")</f>
        <v>Estrela 3</v>
      </c>
      <c r="P16" s="5">
        <f>IFERROR(__xludf.DUMMYFUNCTION("""COMPUTED_VALUE"""),4.0)</f>
        <v>4</v>
      </c>
      <c r="Q16" s="5" t="str">
        <f>IFERROR(__xludf.DUMMYFUNCTION("""COMPUTED_VALUE"""),"The Godfather: Part II")</f>
        <v>The Godfather: Part II</v>
      </c>
      <c r="R16" s="5" t="str">
        <f>IFERROR(__xludf.DUMMYFUNCTION("""COMPUTED_VALUE"""),"Robert Duvall")</f>
        <v>Robert Duvall</v>
      </c>
      <c r="S16" s="5" t="str">
        <f>IFERROR(__xludf.DUMMYFUNCTION("""COMPUTED_VALUE"""),"Estrela 3")</f>
        <v>Estrela 3</v>
      </c>
    </row>
    <row r="17">
      <c r="A17" s="1">
        <v>16.0</v>
      </c>
      <c r="B17" s="1" t="s">
        <v>135</v>
      </c>
      <c r="C17" s="1" t="s">
        <v>49</v>
      </c>
      <c r="D17" s="1" t="s">
        <v>140</v>
      </c>
      <c r="E17" s="1" t="s">
        <v>141</v>
      </c>
      <c r="F17" s="1" t="s">
        <v>142</v>
      </c>
      <c r="G17" s="5" t="str">
        <f>IFERROR(__xludf.DUMMYFUNCTION("""COMPUTED_VALUE"""),"4🤙🏼The Godfather: Part II🤙🏼Diane Keaton🤙🏼Estrela 4")</f>
        <v>4🤙🏼The Godfather: Part II🤙🏼Diane Keaton🤙🏼Estrela 4</v>
      </c>
      <c r="H17" s="5">
        <f>IFERROR(__xludf.DUMMYFUNCTION("SPLiT(G17, ""🤙🏼"",FALSE,FALSE)"),4.0)</f>
        <v>4</v>
      </c>
      <c r="I17" s="5" t="str">
        <f>IFERROR(__xludf.DUMMYFUNCTION("""COMPUTED_VALUE"""),"The Godfather: Part II")</f>
        <v>The Godfather: Part II</v>
      </c>
      <c r="J17" s="5" t="str">
        <f>IFERROR(__xludf.DUMMYFUNCTION("""COMPUTED_VALUE"""),"Diane Keaton")</f>
        <v>Diane Keaton</v>
      </c>
      <c r="K17" s="5" t="str">
        <f>IFERROR(__xludf.DUMMYFUNCTION("""COMPUTED_VALUE"""),"Estrela 4")</f>
        <v>Estrela 4</v>
      </c>
      <c r="P17" s="5">
        <f>IFERROR(__xludf.DUMMYFUNCTION("""COMPUTED_VALUE"""),4.0)</f>
        <v>4</v>
      </c>
      <c r="Q17" s="5" t="str">
        <f>IFERROR(__xludf.DUMMYFUNCTION("""COMPUTED_VALUE"""),"The Godfather: Part II")</f>
        <v>The Godfather: Part II</v>
      </c>
      <c r="R17" s="5" t="str">
        <f>IFERROR(__xludf.DUMMYFUNCTION("""COMPUTED_VALUE"""),"Diane Keaton")</f>
        <v>Diane Keaton</v>
      </c>
      <c r="S17" s="5" t="str">
        <f>IFERROR(__xludf.DUMMYFUNCTION("""COMPUTED_VALUE"""),"Estrela 4")</f>
        <v>Estrela 4</v>
      </c>
    </row>
    <row r="18">
      <c r="A18" s="1">
        <v>17.0</v>
      </c>
      <c r="B18" s="1" t="s">
        <v>143</v>
      </c>
      <c r="C18" s="1" t="s">
        <v>148</v>
      </c>
      <c r="D18" s="1" t="s">
        <v>149</v>
      </c>
      <c r="E18" s="1" t="s">
        <v>150</v>
      </c>
      <c r="F18" s="1" t="s">
        <v>151</v>
      </c>
      <c r="G18" s="5" t="str">
        <f>IFERROR(__xludf.DUMMYFUNCTION("""COMPUTED_VALUE"""),"5🤙🏼12 Angry Men🤙🏼Henry Fonda🤙🏼Estrela 1")</f>
        <v>5🤙🏼12 Angry Men🤙🏼Henry Fonda🤙🏼Estrela 1</v>
      </c>
      <c r="H18" s="5">
        <f>IFERROR(__xludf.DUMMYFUNCTION("SPLiT(G18, ""🤙🏼"",FALSE,FALSE)"),5.0)</f>
        <v>5</v>
      </c>
      <c r="I18" s="5" t="str">
        <f>IFERROR(__xludf.DUMMYFUNCTION("""COMPUTED_VALUE"""),"12 Angry Men")</f>
        <v>12 Angry Men</v>
      </c>
      <c r="J18" s="5" t="str">
        <f>IFERROR(__xludf.DUMMYFUNCTION("""COMPUTED_VALUE"""),"Henry Fonda")</f>
        <v>Henry Fonda</v>
      </c>
      <c r="K18" s="5" t="str">
        <f>IFERROR(__xludf.DUMMYFUNCTION("""COMPUTED_VALUE"""),"Estrela 1")</f>
        <v>Estrela 1</v>
      </c>
      <c r="P18" s="5">
        <f>IFERROR(__xludf.DUMMYFUNCTION("""COMPUTED_VALUE"""),5.0)</f>
        <v>5</v>
      </c>
      <c r="Q18" s="5" t="str">
        <f>IFERROR(__xludf.DUMMYFUNCTION("""COMPUTED_VALUE"""),"12 Angry Men")</f>
        <v>12 Angry Men</v>
      </c>
      <c r="R18" s="5" t="str">
        <f>IFERROR(__xludf.DUMMYFUNCTION("""COMPUTED_VALUE"""),"Henry Fonda")</f>
        <v>Henry Fonda</v>
      </c>
      <c r="S18" s="5" t="str">
        <f>IFERROR(__xludf.DUMMYFUNCTION("""COMPUTED_VALUE"""),"Estrela 1")</f>
        <v>Estrela 1</v>
      </c>
    </row>
    <row r="19">
      <c r="A19" s="1">
        <v>18.0</v>
      </c>
      <c r="B19" s="1" t="s">
        <v>152</v>
      </c>
      <c r="C19" s="1" t="s">
        <v>156</v>
      </c>
      <c r="D19" s="1" t="s">
        <v>157</v>
      </c>
      <c r="E19" s="1" t="s">
        <v>158</v>
      </c>
      <c r="F19" s="1" t="s">
        <v>159</v>
      </c>
      <c r="G19" s="5" t="str">
        <f>IFERROR(__xludf.DUMMYFUNCTION("""COMPUTED_VALUE"""),"5🤙🏼12 Angry Men🤙🏼Lee J. Cobb🤙🏼Estrela 2")</f>
        <v>5🤙🏼12 Angry Men🤙🏼Lee J. Cobb🤙🏼Estrela 2</v>
      </c>
      <c r="H19" s="5">
        <f>IFERROR(__xludf.DUMMYFUNCTION("SPLiT(G19, ""🤙🏼"",FALSE,FALSE)"),5.0)</f>
        <v>5</v>
      </c>
      <c r="I19" s="5" t="str">
        <f>IFERROR(__xludf.DUMMYFUNCTION("""COMPUTED_VALUE"""),"12 Angry Men")</f>
        <v>12 Angry Men</v>
      </c>
      <c r="J19" s="5" t="str">
        <f>IFERROR(__xludf.DUMMYFUNCTION("""COMPUTED_VALUE"""),"Lee J. Cobb")</f>
        <v>Lee J. Cobb</v>
      </c>
      <c r="K19" s="5" t="str">
        <f>IFERROR(__xludf.DUMMYFUNCTION("""COMPUTED_VALUE"""),"Estrela 2")</f>
        <v>Estrela 2</v>
      </c>
      <c r="P19" s="5">
        <f>IFERROR(__xludf.DUMMYFUNCTION("""COMPUTED_VALUE"""),5.0)</f>
        <v>5</v>
      </c>
      <c r="Q19" s="5" t="str">
        <f>IFERROR(__xludf.DUMMYFUNCTION("""COMPUTED_VALUE"""),"12 Angry Men")</f>
        <v>12 Angry Men</v>
      </c>
      <c r="R19" s="5" t="str">
        <f>IFERROR(__xludf.DUMMYFUNCTION("""COMPUTED_VALUE"""),"Lee J. Cobb")</f>
        <v>Lee J. Cobb</v>
      </c>
      <c r="S19" s="5" t="str">
        <f>IFERROR(__xludf.DUMMYFUNCTION("""COMPUTED_VALUE"""),"Estrela 2")</f>
        <v>Estrela 2</v>
      </c>
    </row>
    <row r="20">
      <c r="A20" s="1">
        <v>19.0</v>
      </c>
      <c r="B20" s="1" t="s">
        <v>160</v>
      </c>
      <c r="C20" s="1" t="s">
        <v>165</v>
      </c>
      <c r="D20" s="1" t="s">
        <v>166</v>
      </c>
      <c r="E20" s="1" t="s">
        <v>167</v>
      </c>
      <c r="F20" s="1" t="s">
        <v>168</v>
      </c>
      <c r="G20" s="5" t="str">
        <f>IFERROR(__xludf.DUMMYFUNCTION("""COMPUTED_VALUE"""),"5🤙🏼12 Angry Men🤙🏼Martin Balsam🤙🏼Estrela 3")</f>
        <v>5🤙🏼12 Angry Men🤙🏼Martin Balsam🤙🏼Estrela 3</v>
      </c>
      <c r="H20" s="5">
        <f>IFERROR(__xludf.DUMMYFUNCTION("SPLiT(G20, ""🤙🏼"",FALSE,FALSE)"),5.0)</f>
        <v>5</v>
      </c>
      <c r="I20" s="5" t="str">
        <f>IFERROR(__xludf.DUMMYFUNCTION("""COMPUTED_VALUE"""),"12 Angry Men")</f>
        <v>12 Angry Men</v>
      </c>
      <c r="J20" s="5" t="str">
        <f>IFERROR(__xludf.DUMMYFUNCTION("""COMPUTED_VALUE"""),"Martin Balsam")</f>
        <v>Martin Balsam</v>
      </c>
      <c r="K20" s="5" t="str">
        <f>IFERROR(__xludf.DUMMYFUNCTION("""COMPUTED_VALUE"""),"Estrela 3")</f>
        <v>Estrela 3</v>
      </c>
      <c r="P20" s="5">
        <f>IFERROR(__xludf.DUMMYFUNCTION("""COMPUTED_VALUE"""),5.0)</f>
        <v>5</v>
      </c>
      <c r="Q20" s="5" t="str">
        <f>IFERROR(__xludf.DUMMYFUNCTION("""COMPUTED_VALUE"""),"12 Angry Men")</f>
        <v>12 Angry Men</v>
      </c>
      <c r="R20" s="5" t="str">
        <f>IFERROR(__xludf.DUMMYFUNCTION("""COMPUTED_VALUE"""),"Martin Balsam")</f>
        <v>Martin Balsam</v>
      </c>
      <c r="S20" s="5" t="str">
        <f>IFERROR(__xludf.DUMMYFUNCTION("""COMPUTED_VALUE"""),"Estrela 3")</f>
        <v>Estrela 3</v>
      </c>
    </row>
    <row r="21">
      <c r="A21" s="1">
        <v>20.0</v>
      </c>
      <c r="B21" s="1" t="s">
        <v>169</v>
      </c>
      <c r="C21" s="1" t="s">
        <v>174</v>
      </c>
      <c r="D21" s="1" t="s">
        <v>175</v>
      </c>
      <c r="E21" s="1" t="s">
        <v>176</v>
      </c>
      <c r="F21" s="1" t="s">
        <v>177</v>
      </c>
      <c r="G21" s="5" t="str">
        <f>IFERROR(__xludf.DUMMYFUNCTION("""COMPUTED_VALUE"""),"5🤙🏼12 Angry Men🤙🏼John Fiedler🤙🏼Estrela 4")</f>
        <v>5🤙🏼12 Angry Men🤙🏼John Fiedler🤙🏼Estrela 4</v>
      </c>
      <c r="H21" s="5">
        <f>IFERROR(__xludf.DUMMYFUNCTION("SPLiT(G21, ""🤙🏼"",FALSE,FALSE)"),5.0)</f>
        <v>5</v>
      </c>
      <c r="I21" s="5" t="str">
        <f>IFERROR(__xludf.DUMMYFUNCTION("""COMPUTED_VALUE"""),"12 Angry Men")</f>
        <v>12 Angry Men</v>
      </c>
      <c r="J21" s="5" t="str">
        <f>IFERROR(__xludf.DUMMYFUNCTION("""COMPUTED_VALUE"""),"John Fiedler")</f>
        <v>John Fiedler</v>
      </c>
      <c r="K21" s="5" t="str">
        <f>IFERROR(__xludf.DUMMYFUNCTION("""COMPUTED_VALUE"""),"Estrela 4")</f>
        <v>Estrela 4</v>
      </c>
      <c r="P21" s="5">
        <f>IFERROR(__xludf.DUMMYFUNCTION("""COMPUTED_VALUE"""),5.0)</f>
        <v>5</v>
      </c>
      <c r="Q21" s="5" t="str">
        <f>IFERROR(__xludf.DUMMYFUNCTION("""COMPUTED_VALUE"""),"12 Angry Men")</f>
        <v>12 Angry Men</v>
      </c>
      <c r="R21" s="5" t="str">
        <f>IFERROR(__xludf.DUMMYFUNCTION("""COMPUTED_VALUE"""),"John Fiedler")</f>
        <v>John Fiedler</v>
      </c>
      <c r="S21" s="5" t="str">
        <f>IFERROR(__xludf.DUMMYFUNCTION("""COMPUTED_VALUE"""),"Estrela 4")</f>
        <v>Estrela 4</v>
      </c>
    </row>
    <row r="22">
      <c r="A22" s="1">
        <v>21.0</v>
      </c>
      <c r="B22" s="1" t="s">
        <v>178</v>
      </c>
      <c r="C22" s="1" t="s">
        <v>182</v>
      </c>
      <c r="D22" s="1" t="s">
        <v>183</v>
      </c>
      <c r="E22" s="1" t="s">
        <v>184</v>
      </c>
      <c r="F22" s="1" t="s">
        <v>185</v>
      </c>
      <c r="G22" s="5" t="str">
        <f>IFERROR(__xludf.DUMMYFUNCTION("""COMPUTED_VALUE"""),"6🤙🏼The Lord of the Rings: The Return of the King🤙🏼Elijah Wood🤙🏼Estrela 1")</f>
        <v>6🤙🏼The Lord of the Rings: The Return of the King🤙🏼Elijah Wood🤙🏼Estrela 1</v>
      </c>
      <c r="H22" s="5">
        <f>IFERROR(__xludf.DUMMYFUNCTION("SPLiT(G22, ""🤙🏼"",FALSE,FALSE)"),6.0)</f>
        <v>6</v>
      </c>
      <c r="I22" s="5" t="str">
        <f>IFERROR(__xludf.DUMMYFUNCTION("""COMPUTED_VALUE"""),"The Lord of the Rings: The Return of the King")</f>
        <v>The Lord of the Rings: The Return of the King</v>
      </c>
      <c r="J22" s="5" t="str">
        <f>IFERROR(__xludf.DUMMYFUNCTION("""COMPUTED_VALUE"""),"Elijah Wood")</f>
        <v>Elijah Wood</v>
      </c>
      <c r="K22" s="5" t="str">
        <f>IFERROR(__xludf.DUMMYFUNCTION("""COMPUTED_VALUE"""),"Estrela 1")</f>
        <v>Estrela 1</v>
      </c>
      <c r="P22" s="5">
        <f>IFERROR(__xludf.DUMMYFUNCTION("""COMPUTED_VALUE"""),6.0)</f>
        <v>6</v>
      </c>
      <c r="Q22" s="5" t="str">
        <f>IFERROR(__xludf.DUMMYFUNCTION("""COMPUTED_VALUE"""),"The Lord of the Rings: The Return of the King")</f>
        <v>The Lord of the Rings: The Return of the King</v>
      </c>
      <c r="R22" s="5" t="str">
        <f>IFERROR(__xludf.DUMMYFUNCTION("""COMPUTED_VALUE"""),"Elijah Wood")</f>
        <v>Elijah Wood</v>
      </c>
      <c r="S22" s="5" t="str">
        <f>IFERROR(__xludf.DUMMYFUNCTION("""COMPUTED_VALUE"""),"Estrela 1")</f>
        <v>Estrela 1</v>
      </c>
    </row>
    <row r="23">
      <c r="A23" s="1">
        <v>22.0</v>
      </c>
      <c r="B23" s="1" t="s">
        <v>186</v>
      </c>
      <c r="C23" s="1" t="s">
        <v>190</v>
      </c>
      <c r="D23" s="1" t="s">
        <v>191</v>
      </c>
      <c r="E23" s="1" t="s">
        <v>192</v>
      </c>
      <c r="F23" s="1" t="s">
        <v>193</v>
      </c>
      <c r="G23" s="5" t="str">
        <f>IFERROR(__xludf.DUMMYFUNCTION("""COMPUTED_VALUE"""),"6🤙🏼The Lord of the Rings: The Return of the King🤙🏼Viggo Mortensen🤙🏼Estrela 2")</f>
        <v>6🤙🏼The Lord of the Rings: The Return of the King🤙🏼Viggo Mortensen🤙🏼Estrela 2</v>
      </c>
      <c r="H23" s="5">
        <f>IFERROR(__xludf.DUMMYFUNCTION("SPLiT(G23, ""🤙🏼"",FALSE,FALSE)"),6.0)</f>
        <v>6</v>
      </c>
      <c r="I23" s="5" t="str">
        <f>IFERROR(__xludf.DUMMYFUNCTION("""COMPUTED_VALUE"""),"The Lord of the Rings: The Return of the King")</f>
        <v>The Lord of the Rings: The Return of the King</v>
      </c>
      <c r="J23" s="5" t="str">
        <f>IFERROR(__xludf.DUMMYFUNCTION("""COMPUTED_VALUE"""),"Viggo Mortensen")</f>
        <v>Viggo Mortensen</v>
      </c>
      <c r="K23" s="5" t="str">
        <f>IFERROR(__xludf.DUMMYFUNCTION("""COMPUTED_VALUE"""),"Estrela 2")</f>
        <v>Estrela 2</v>
      </c>
      <c r="P23" s="5">
        <f>IFERROR(__xludf.DUMMYFUNCTION("""COMPUTED_VALUE"""),6.0)</f>
        <v>6</v>
      </c>
      <c r="Q23" s="5" t="str">
        <f>IFERROR(__xludf.DUMMYFUNCTION("""COMPUTED_VALUE"""),"The Lord of the Rings: The Return of the King")</f>
        <v>The Lord of the Rings: The Return of the King</v>
      </c>
      <c r="R23" s="5" t="str">
        <f>IFERROR(__xludf.DUMMYFUNCTION("""COMPUTED_VALUE"""),"Viggo Mortensen")</f>
        <v>Viggo Mortensen</v>
      </c>
      <c r="S23" s="5" t="str">
        <f>IFERROR(__xludf.DUMMYFUNCTION("""COMPUTED_VALUE"""),"Estrela 2")</f>
        <v>Estrela 2</v>
      </c>
    </row>
    <row r="24">
      <c r="A24" s="1">
        <v>23.0</v>
      </c>
      <c r="B24" s="1" t="s">
        <v>194</v>
      </c>
      <c r="C24" s="1" t="s">
        <v>198</v>
      </c>
      <c r="D24" s="1" t="s">
        <v>199</v>
      </c>
      <c r="E24" s="1" t="s">
        <v>200</v>
      </c>
      <c r="F24" s="1" t="s">
        <v>201</v>
      </c>
      <c r="G24" s="5" t="str">
        <f>IFERROR(__xludf.DUMMYFUNCTION("""COMPUTED_VALUE"""),"6🤙🏼The Lord of the Rings: The Return of the King🤙🏼Ian McKellen🤙🏼Estrela 3")</f>
        <v>6🤙🏼The Lord of the Rings: The Return of the King🤙🏼Ian McKellen🤙🏼Estrela 3</v>
      </c>
      <c r="H24" s="5">
        <f>IFERROR(__xludf.DUMMYFUNCTION("SPLiT(G24, ""🤙🏼"",FALSE,FALSE)"),6.0)</f>
        <v>6</v>
      </c>
      <c r="I24" s="5" t="str">
        <f>IFERROR(__xludf.DUMMYFUNCTION("""COMPUTED_VALUE"""),"The Lord of the Rings: The Return of the King")</f>
        <v>The Lord of the Rings: The Return of the King</v>
      </c>
      <c r="J24" s="5" t="str">
        <f>IFERROR(__xludf.DUMMYFUNCTION("""COMPUTED_VALUE"""),"Ian McKellen")</f>
        <v>Ian McKellen</v>
      </c>
      <c r="K24" s="5" t="str">
        <f>IFERROR(__xludf.DUMMYFUNCTION("""COMPUTED_VALUE"""),"Estrela 3")</f>
        <v>Estrela 3</v>
      </c>
      <c r="P24" s="5">
        <f>IFERROR(__xludf.DUMMYFUNCTION("""COMPUTED_VALUE"""),6.0)</f>
        <v>6</v>
      </c>
      <c r="Q24" s="5" t="str">
        <f>IFERROR(__xludf.DUMMYFUNCTION("""COMPUTED_VALUE"""),"The Lord of the Rings: The Return of the King")</f>
        <v>The Lord of the Rings: The Return of the King</v>
      </c>
      <c r="R24" s="5" t="str">
        <f>IFERROR(__xludf.DUMMYFUNCTION("""COMPUTED_VALUE"""),"Ian McKellen")</f>
        <v>Ian McKellen</v>
      </c>
      <c r="S24" s="5" t="str">
        <f>IFERROR(__xludf.DUMMYFUNCTION("""COMPUTED_VALUE"""),"Estrela 3")</f>
        <v>Estrela 3</v>
      </c>
    </row>
    <row r="25">
      <c r="A25" s="1">
        <v>24.0</v>
      </c>
      <c r="B25" s="1" t="s">
        <v>202</v>
      </c>
      <c r="C25" s="1" t="s">
        <v>207</v>
      </c>
      <c r="D25" s="1" t="s">
        <v>208</v>
      </c>
      <c r="E25" s="1" t="s">
        <v>209</v>
      </c>
      <c r="F25" s="1" t="s">
        <v>210</v>
      </c>
      <c r="G25" s="5" t="str">
        <f>IFERROR(__xludf.DUMMYFUNCTION("""COMPUTED_VALUE"""),"6🤙🏼The Lord of the Rings: The Return of the King🤙🏼Orlando Bloom🤙🏼Estrela 4")</f>
        <v>6🤙🏼The Lord of the Rings: The Return of the King🤙🏼Orlando Bloom🤙🏼Estrela 4</v>
      </c>
      <c r="H25" s="5">
        <f>IFERROR(__xludf.DUMMYFUNCTION("SPLiT(G25, ""🤙🏼"",FALSE,FALSE)"),6.0)</f>
        <v>6</v>
      </c>
      <c r="I25" s="5" t="str">
        <f>IFERROR(__xludf.DUMMYFUNCTION("""COMPUTED_VALUE"""),"The Lord of the Rings: The Return of the King")</f>
        <v>The Lord of the Rings: The Return of the King</v>
      </c>
      <c r="J25" s="5" t="str">
        <f>IFERROR(__xludf.DUMMYFUNCTION("""COMPUTED_VALUE"""),"Orlando Bloom")</f>
        <v>Orlando Bloom</v>
      </c>
      <c r="K25" s="5" t="str">
        <f>IFERROR(__xludf.DUMMYFUNCTION("""COMPUTED_VALUE"""),"Estrela 4")</f>
        <v>Estrela 4</v>
      </c>
      <c r="P25" s="5">
        <f>IFERROR(__xludf.DUMMYFUNCTION("""COMPUTED_VALUE"""),6.0)</f>
        <v>6</v>
      </c>
      <c r="Q25" s="5" t="str">
        <f>IFERROR(__xludf.DUMMYFUNCTION("""COMPUTED_VALUE"""),"The Lord of the Rings: The Return of the King")</f>
        <v>The Lord of the Rings: The Return of the King</v>
      </c>
      <c r="R25" s="5" t="str">
        <f>IFERROR(__xludf.DUMMYFUNCTION("""COMPUTED_VALUE"""),"Orlando Bloom")</f>
        <v>Orlando Bloom</v>
      </c>
      <c r="S25" s="5" t="str">
        <f>IFERROR(__xludf.DUMMYFUNCTION("""COMPUTED_VALUE"""),"Estrela 4")</f>
        <v>Estrela 4</v>
      </c>
    </row>
    <row r="26">
      <c r="A26" s="1">
        <v>25.0</v>
      </c>
      <c r="B26" s="1" t="s">
        <v>211</v>
      </c>
      <c r="C26" s="1" t="s">
        <v>110</v>
      </c>
      <c r="D26" s="1" t="s">
        <v>215</v>
      </c>
      <c r="E26" s="1" t="s">
        <v>216</v>
      </c>
      <c r="F26" s="1" t="s">
        <v>217</v>
      </c>
      <c r="G26" s="5" t="str">
        <f>IFERROR(__xludf.DUMMYFUNCTION("""COMPUTED_VALUE"""),"7🤙🏼Pulp Fiction🤙🏼John Travolta🤙🏼Estrela 1")</f>
        <v>7🤙🏼Pulp Fiction🤙🏼John Travolta🤙🏼Estrela 1</v>
      </c>
      <c r="H26" s="5">
        <f>IFERROR(__xludf.DUMMYFUNCTION("SPLiT(G26, ""🤙🏼"",FALSE,FALSE)"),7.0)</f>
        <v>7</v>
      </c>
      <c r="I26" s="5" t="str">
        <f>IFERROR(__xludf.DUMMYFUNCTION("""COMPUTED_VALUE"""),"Pulp Fiction")</f>
        <v>Pulp Fiction</v>
      </c>
      <c r="J26" s="5" t="str">
        <f>IFERROR(__xludf.DUMMYFUNCTION("""COMPUTED_VALUE"""),"John Travolta")</f>
        <v>John Travolta</v>
      </c>
      <c r="K26" s="5" t="str">
        <f>IFERROR(__xludf.DUMMYFUNCTION("""COMPUTED_VALUE"""),"Estrela 1")</f>
        <v>Estrela 1</v>
      </c>
      <c r="P26" s="5">
        <f>IFERROR(__xludf.DUMMYFUNCTION("""COMPUTED_VALUE"""),7.0)</f>
        <v>7</v>
      </c>
      <c r="Q26" s="5" t="str">
        <f>IFERROR(__xludf.DUMMYFUNCTION("""COMPUTED_VALUE"""),"Pulp Fiction")</f>
        <v>Pulp Fiction</v>
      </c>
      <c r="R26" s="5" t="str">
        <f>IFERROR(__xludf.DUMMYFUNCTION("""COMPUTED_VALUE"""),"John Travolta")</f>
        <v>John Travolta</v>
      </c>
      <c r="S26" s="5" t="str">
        <f>IFERROR(__xludf.DUMMYFUNCTION("""COMPUTED_VALUE"""),"Estrela 1")</f>
        <v>Estrela 1</v>
      </c>
    </row>
    <row r="27">
      <c r="A27" s="1">
        <v>26.0</v>
      </c>
      <c r="B27" s="1" t="s">
        <v>218</v>
      </c>
      <c r="C27" s="1" t="s">
        <v>110</v>
      </c>
      <c r="D27" s="1" t="s">
        <v>222</v>
      </c>
      <c r="E27" s="1" t="s">
        <v>223</v>
      </c>
      <c r="F27" s="1" t="s">
        <v>224</v>
      </c>
      <c r="G27" s="5" t="str">
        <f>IFERROR(__xludf.DUMMYFUNCTION("""COMPUTED_VALUE"""),"7🤙🏼Pulp Fiction🤙🏼Uma Thurman🤙🏼Estrela 2")</f>
        <v>7🤙🏼Pulp Fiction🤙🏼Uma Thurman🤙🏼Estrela 2</v>
      </c>
      <c r="H27" s="5">
        <f>IFERROR(__xludf.DUMMYFUNCTION("SPLiT(G27, ""🤙🏼"",FALSE,FALSE)"),7.0)</f>
        <v>7</v>
      </c>
      <c r="I27" s="5" t="str">
        <f>IFERROR(__xludf.DUMMYFUNCTION("""COMPUTED_VALUE"""),"Pulp Fiction")</f>
        <v>Pulp Fiction</v>
      </c>
      <c r="J27" s="5" t="str">
        <f>IFERROR(__xludf.DUMMYFUNCTION("""COMPUTED_VALUE"""),"Uma Thurman")</f>
        <v>Uma Thurman</v>
      </c>
      <c r="K27" s="5" t="str">
        <f>IFERROR(__xludf.DUMMYFUNCTION("""COMPUTED_VALUE"""),"Estrela 2")</f>
        <v>Estrela 2</v>
      </c>
      <c r="P27" s="5">
        <f>IFERROR(__xludf.DUMMYFUNCTION("""COMPUTED_VALUE"""),7.0)</f>
        <v>7</v>
      </c>
      <c r="Q27" s="5" t="str">
        <f>IFERROR(__xludf.DUMMYFUNCTION("""COMPUTED_VALUE"""),"Pulp Fiction")</f>
        <v>Pulp Fiction</v>
      </c>
      <c r="R27" s="5" t="str">
        <f>IFERROR(__xludf.DUMMYFUNCTION("""COMPUTED_VALUE"""),"Uma Thurman")</f>
        <v>Uma Thurman</v>
      </c>
      <c r="S27" s="5" t="str">
        <f>IFERROR(__xludf.DUMMYFUNCTION("""COMPUTED_VALUE"""),"Estrela 2")</f>
        <v>Estrela 2</v>
      </c>
    </row>
    <row r="28">
      <c r="A28" s="1">
        <v>27.0</v>
      </c>
      <c r="B28" s="1" t="s">
        <v>225</v>
      </c>
      <c r="C28" s="1" t="s">
        <v>229</v>
      </c>
      <c r="D28" s="1" t="s">
        <v>230</v>
      </c>
      <c r="E28" s="1" t="s">
        <v>231</v>
      </c>
      <c r="F28" s="1" t="s">
        <v>232</v>
      </c>
      <c r="G28" s="5" t="str">
        <f>IFERROR(__xludf.DUMMYFUNCTION("""COMPUTED_VALUE"""),"7🤙🏼Pulp Fiction🤙🏼Samuel L. Jackson🤙🏼Estrela 3")</f>
        <v>7🤙🏼Pulp Fiction🤙🏼Samuel L. Jackson🤙🏼Estrela 3</v>
      </c>
      <c r="H28" s="5">
        <f>IFERROR(__xludf.DUMMYFUNCTION("SPLiT(G28, ""🤙🏼"",FALSE,FALSE)"),7.0)</f>
        <v>7</v>
      </c>
      <c r="I28" s="5" t="str">
        <f>IFERROR(__xludf.DUMMYFUNCTION("""COMPUTED_VALUE"""),"Pulp Fiction")</f>
        <v>Pulp Fiction</v>
      </c>
      <c r="J28" s="5" t="str">
        <f>IFERROR(__xludf.DUMMYFUNCTION("""COMPUTED_VALUE"""),"Samuel L. Jackson")</f>
        <v>Samuel L. Jackson</v>
      </c>
      <c r="K28" s="5" t="str">
        <f>IFERROR(__xludf.DUMMYFUNCTION("""COMPUTED_VALUE"""),"Estrela 3")</f>
        <v>Estrela 3</v>
      </c>
      <c r="P28" s="5">
        <f>IFERROR(__xludf.DUMMYFUNCTION("""COMPUTED_VALUE"""),7.0)</f>
        <v>7</v>
      </c>
      <c r="Q28" s="5" t="str">
        <f>IFERROR(__xludf.DUMMYFUNCTION("""COMPUTED_VALUE"""),"Pulp Fiction")</f>
        <v>Pulp Fiction</v>
      </c>
      <c r="R28" s="5" t="str">
        <f>IFERROR(__xludf.DUMMYFUNCTION("""COMPUTED_VALUE"""),"Samuel L. Jackson")</f>
        <v>Samuel L. Jackson</v>
      </c>
      <c r="S28" s="5" t="str">
        <f>IFERROR(__xludf.DUMMYFUNCTION("""COMPUTED_VALUE"""),"Estrela 3")</f>
        <v>Estrela 3</v>
      </c>
    </row>
    <row r="29">
      <c r="A29" s="1">
        <v>28.0</v>
      </c>
      <c r="B29" s="1" t="s">
        <v>233</v>
      </c>
      <c r="C29" s="1" t="s">
        <v>24</v>
      </c>
      <c r="D29" s="1" t="s">
        <v>98</v>
      </c>
      <c r="E29" s="1" t="s">
        <v>237</v>
      </c>
      <c r="F29" s="1" t="s">
        <v>238</v>
      </c>
      <c r="G29" s="5" t="str">
        <f>IFERROR(__xludf.DUMMYFUNCTION("""COMPUTED_VALUE"""),"7🤙🏼Pulp Fiction🤙🏼Bruce Willis🤙🏼Estrela 4")</f>
        <v>7🤙🏼Pulp Fiction🤙🏼Bruce Willis🤙🏼Estrela 4</v>
      </c>
      <c r="H29" s="5">
        <f>IFERROR(__xludf.DUMMYFUNCTION("SPLiT(G29, ""🤙🏼"",FALSE,FALSE)"),7.0)</f>
        <v>7</v>
      </c>
      <c r="I29" s="5" t="str">
        <f>IFERROR(__xludf.DUMMYFUNCTION("""COMPUTED_VALUE"""),"Pulp Fiction")</f>
        <v>Pulp Fiction</v>
      </c>
      <c r="J29" s="5" t="str">
        <f>IFERROR(__xludf.DUMMYFUNCTION("""COMPUTED_VALUE"""),"Bruce Willis")</f>
        <v>Bruce Willis</v>
      </c>
      <c r="K29" s="5" t="str">
        <f>IFERROR(__xludf.DUMMYFUNCTION("""COMPUTED_VALUE"""),"Estrela 4")</f>
        <v>Estrela 4</v>
      </c>
      <c r="P29" s="5">
        <f>IFERROR(__xludf.DUMMYFUNCTION("""COMPUTED_VALUE"""),7.0)</f>
        <v>7</v>
      </c>
      <c r="Q29" s="5" t="str">
        <f>IFERROR(__xludf.DUMMYFUNCTION("""COMPUTED_VALUE"""),"Pulp Fiction")</f>
        <v>Pulp Fiction</v>
      </c>
      <c r="R29" s="5" t="str">
        <f>IFERROR(__xludf.DUMMYFUNCTION("""COMPUTED_VALUE"""),"Bruce Willis")</f>
        <v>Bruce Willis</v>
      </c>
      <c r="S29" s="5" t="str">
        <f>IFERROR(__xludf.DUMMYFUNCTION("""COMPUTED_VALUE"""),"Estrela 4")</f>
        <v>Estrela 4</v>
      </c>
    </row>
    <row r="30">
      <c r="A30" s="1">
        <v>29.0</v>
      </c>
      <c r="B30" s="1" t="s">
        <v>239</v>
      </c>
      <c r="C30" s="1" t="s">
        <v>244</v>
      </c>
      <c r="D30" s="1" t="s">
        <v>245</v>
      </c>
      <c r="E30" s="1" t="s">
        <v>246</v>
      </c>
      <c r="F30" s="1" t="s">
        <v>247</v>
      </c>
      <c r="G30" s="5" t="str">
        <f>IFERROR(__xludf.DUMMYFUNCTION("""COMPUTED_VALUE"""),"8🤙🏼Schindler's List🤙🏼Liam Neeson🤙🏼Estrela 1")</f>
        <v>8🤙🏼Schindler's List🤙🏼Liam Neeson🤙🏼Estrela 1</v>
      </c>
      <c r="H30" s="5">
        <f>IFERROR(__xludf.DUMMYFUNCTION("SPLiT(G30, ""🤙🏼"",FALSE,FALSE)"),8.0)</f>
        <v>8</v>
      </c>
      <c r="I30" s="5" t="str">
        <f>IFERROR(__xludf.DUMMYFUNCTION("""COMPUTED_VALUE"""),"Schindler's List")</f>
        <v>Schindler's List</v>
      </c>
      <c r="J30" s="5" t="str">
        <f>IFERROR(__xludf.DUMMYFUNCTION("""COMPUTED_VALUE"""),"Liam Neeson")</f>
        <v>Liam Neeson</v>
      </c>
      <c r="K30" s="5" t="str">
        <f>IFERROR(__xludf.DUMMYFUNCTION("""COMPUTED_VALUE"""),"Estrela 1")</f>
        <v>Estrela 1</v>
      </c>
      <c r="P30" s="5">
        <f>IFERROR(__xludf.DUMMYFUNCTION("""COMPUTED_VALUE"""),8.0)</f>
        <v>8</v>
      </c>
      <c r="Q30" s="5" t="str">
        <f>IFERROR(__xludf.DUMMYFUNCTION("""COMPUTED_VALUE"""),"Schindler's List")</f>
        <v>Schindler's List</v>
      </c>
      <c r="R30" s="5" t="str">
        <f>IFERROR(__xludf.DUMMYFUNCTION("""COMPUTED_VALUE"""),"Liam Neeson")</f>
        <v>Liam Neeson</v>
      </c>
      <c r="S30" s="5" t="str">
        <f>IFERROR(__xludf.DUMMYFUNCTION("""COMPUTED_VALUE"""),"Estrela 1")</f>
        <v>Estrela 1</v>
      </c>
    </row>
    <row r="31">
      <c r="A31" s="1">
        <v>30.0</v>
      </c>
      <c r="B31" s="1" t="s">
        <v>248</v>
      </c>
      <c r="C31" s="1" t="s">
        <v>148</v>
      </c>
      <c r="D31" s="1" t="s">
        <v>149</v>
      </c>
      <c r="E31" s="1" t="s">
        <v>150</v>
      </c>
      <c r="F31" s="1" t="s">
        <v>252</v>
      </c>
      <c r="G31" s="5" t="str">
        <f>IFERROR(__xludf.DUMMYFUNCTION("""COMPUTED_VALUE"""),"8🤙🏼Schindler's List🤙🏼Ralph Fiennes🤙🏼Estrela 2")</f>
        <v>8🤙🏼Schindler's List🤙🏼Ralph Fiennes🤙🏼Estrela 2</v>
      </c>
      <c r="H31" s="5">
        <f>IFERROR(__xludf.DUMMYFUNCTION("SPLiT(G31, ""🤙🏼"",FALSE,FALSE)"),8.0)</f>
        <v>8</v>
      </c>
      <c r="I31" s="5" t="str">
        <f>IFERROR(__xludf.DUMMYFUNCTION("""COMPUTED_VALUE"""),"Schindler's List")</f>
        <v>Schindler's List</v>
      </c>
      <c r="J31" s="5" t="str">
        <f>IFERROR(__xludf.DUMMYFUNCTION("""COMPUTED_VALUE"""),"Ralph Fiennes")</f>
        <v>Ralph Fiennes</v>
      </c>
      <c r="K31" s="5" t="str">
        <f>IFERROR(__xludf.DUMMYFUNCTION("""COMPUTED_VALUE"""),"Estrela 2")</f>
        <v>Estrela 2</v>
      </c>
      <c r="P31" s="5">
        <f>IFERROR(__xludf.DUMMYFUNCTION("""COMPUTED_VALUE"""),8.0)</f>
        <v>8</v>
      </c>
      <c r="Q31" s="5" t="str">
        <f>IFERROR(__xludf.DUMMYFUNCTION("""COMPUTED_VALUE"""),"Schindler's List")</f>
        <v>Schindler's List</v>
      </c>
      <c r="R31" s="5" t="str">
        <f>IFERROR(__xludf.DUMMYFUNCTION("""COMPUTED_VALUE"""),"Ralph Fiennes")</f>
        <v>Ralph Fiennes</v>
      </c>
      <c r="S31" s="5" t="str">
        <f>IFERROR(__xludf.DUMMYFUNCTION("""COMPUTED_VALUE"""),"Estrela 2")</f>
        <v>Estrela 2</v>
      </c>
    </row>
    <row r="32">
      <c r="A32" s="1">
        <v>31.0</v>
      </c>
      <c r="B32" s="1" t="s">
        <v>253</v>
      </c>
      <c r="C32" s="1" t="s">
        <v>257</v>
      </c>
      <c r="D32" s="1" t="s">
        <v>258</v>
      </c>
      <c r="E32" s="1" t="s">
        <v>259</v>
      </c>
      <c r="F32" s="1" t="s">
        <v>260</v>
      </c>
      <c r="G32" s="5" t="str">
        <f>IFERROR(__xludf.DUMMYFUNCTION("""COMPUTED_VALUE"""),"8🤙🏼Schindler's List🤙🏼Ben Kingsley🤙🏼Estrela 3")</f>
        <v>8🤙🏼Schindler's List🤙🏼Ben Kingsley🤙🏼Estrela 3</v>
      </c>
      <c r="H32" s="5">
        <f>IFERROR(__xludf.DUMMYFUNCTION("SPLiT(G32, ""🤙🏼"",FALSE,FALSE)"),8.0)</f>
        <v>8</v>
      </c>
      <c r="I32" s="5" t="str">
        <f>IFERROR(__xludf.DUMMYFUNCTION("""COMPUTED_VALUE"""),"Schindler's List")</f>
        <v>Schindler's List</v>
      </c>
      <c r="J32" s="5" t="str">
        <f>IFERROR(__xludf.DUMMYFUNCTION("""COMPUTED_VALUE"""),"Ben Kingsley")</f>
        <v>Ben Kingsley</v>
      </c>
      <c r="K32" s="5" t="str">
        <f>IFERROR(__xludf.DUMMYFUNCTION("""COMPUTED_VALUE"""),"Estrela 3")</f>
        <v>Estrela 3</v>
      </c>
      <c r="P32" s="5">
        <f>IFERROR(__xludf.DUMMYFUNCTION("""COMPUTED_VALUE"""),8.0)</f>
        <v>8</v>
      </c>
      <c r="Q32" s="5" t="str">
        <f>IFERROR(__xludf.DUMMYFUNCTION("""COMPUTED_VALUE"""),"Schindler's List")</f>
        <v>Schindler's List</v>
      </c>
      <c r="R32" s="5" t="str">
        <f>IFERROR(__xludf.DUMMYFUNCTION("""COMPUTED_VALUE"""),"Ben Kingsley")</f>
        <v>Ben Kingsley</v>
      </c>
      <c r="S32" s="5" t="str">
        <f>IFERROR(__xludf.DUMMYFUNCTION("""COMPUTED_VALUE"""),"Estrela 3")</f>
        <v>Estrela 3</v>
      </c>
    </row>
    <row r="33">
      <c r="A33" s="1">
        <v>32.0</v>
      </c>
      <c r="B33" s="1" t="s">
        <v>261</v>
      </c>
      <c r="C33" s="1" t="s">
        <v>265</v>
      </c>
      <c r="D33" s="1" t="s">
        <v>266</v>
      </c>
      <c r="E33" s="1" t="s">
        <v>267</v>
      </c>
      <c r="F33" s="1" t="s">
        <v>268</v>
      </c>
      <c r="G33" s="5" t="str">
        <f>IFERROR(__xludf.DUMMYFUNCTION("""COMPUTED_VALUE"""),"8🤙🏼Schindler's List🤙🏼Caroline Goodall🤙🏼Estrela 4")</f>
        <v>8🤙🏼Schindler's List🤙🏼Caroline Goodall🤙🏼Estrela 4</v>
      </c>
      <c r="H33" s="5">
        <f>IFERROR(__xludf.DUMMYFUNCTION("SPLiT(G33, ""🤙🏼"",FALSE,FALSE)"),8.0)</f>
        <v>8</v>
      </c>
      <c r="I33" s="5" t="str">
        <f>IFERROR(__xludf.DUMMYFUNCTION("""COMPUTED_VALUE"""),"Schindler's List")</f>
        <v>Schindler's List</v>
      </c>
      <c r="J33" s="5" t="str">
        <f>IFERROR(__xludf.DUMMYFUNCTION("""COMPUTED_VALUE"""),"Caroline Goodall")</f>
        <v>Caroline Goodall</v>
      </c>
      <c r="K33" s="5" t="str">
        <f>IFERROR(__xludf.DUMMYFUNCTION("""COMPUTED_VALUE"""),"Estrela 4")</f>
        <v>Estrela 4</v>
      </c>
      <c r="P33" s="5">
        <f>IFERROR(__xludf.DUMMYFUNCTION("""COMPUTED_VALUE"""),8.0)</f>
        <v>8</v>
      </c>
      <c r="Q33" s="5" t="str">
        <f>IFERROR(__xludf.DUMMYFUNCTION("""COMPUTED_VALUE"""),"Schindler's List")</f>
        <v>Schindler's List</v>
      </c>
      <c r="R33" s="5" t="str">
        <f>IFERROR(__xludf.DUMMYFUNCTION("""COMPUTED_VALUE"""),"Caroline Goodall")</f>
        <v>Caroline Goodall</v>
      </c>
      <c r="S33" s="5" t="str">
        <f>IFERROR(__xludf.DUMMYFUNCTION("""COMPUTED_VALUE"""),"Estrela 4")</f>
        <v>Estrela 4</v>
      </c>
    </row>
    <row r="34">
      <c r="A34" s="1">
        <v>33.0</v>
      </c>
      <c r="B34" s="1" t="s">
        <v>269</v>
      </c>
      <c r="C34" s="1" t="s">
        <v>274</v>
      </c>
      <c r="D34" s="1" t="s">
        <v>275</v>
      </c>
      <c r="E34" s="1" t="s">
        <v>276</v>
      </c>
      <c r="F34" s="1" t="s">
        <v>277</v>
      </c>
      <c r="G34" s="5" t="str">
        <f>IFERROR(__xludf.DUMMYFUNCTION("""COMPUTED_VALUE"""),"9🤙🏼Inception🤙🏼Leonardo DiCaprio🤙🏼Estrela 1")</f>
        <v>9🤙🏼Inception🤙🏼Leonardo DiCaprio🤙🏼Estrela 1</v>
      </c>
      <c r="H34" s="5">
        <f>IFERROR(__xludf.DUMMYFUNCTION("SPLiT(G34, ""🤙🏼"",FALSE,FALSE)"),9.0)</f>
        <v>9</v>
      </c>
      <c r="I34" s="5" t="str">
        <f>IFERROR(__xludf.DUMMYFUNCTION("""COMPUTED_VALUE"""),"Inception")</f>
        <v>Inception</v>
      </c>
      <c r="J34" s="5" t="str">
        <f>IFERROR(__xludf.DUMMYFUNCTION("""COMPUTED_VALUE"""),"Leonardo DiCaprio")</f>
        <v>Leonardo DiCaprio</v>
      </c>
      <c r="K34" s="5" t="str">
        <f>IFERROR(__xludf.DUMMYFUNCTION("""COMPUTED_VALUE"""),"Estrela 1")</f>
        <v>Estrela 1</v>
      </c>
      <c r="P34" s="5">
        <f>IFERROR(__xludf.DUMMYFUNCTION("""COMPUTED_VALUE"""),9.0)</f>
        <v>9</v>
      </c>
      <c r="Q34" s="5" t="str">
        <f>IFERROR(__xludf.DUMMYFUNCTION("""COMPUTED_VALUE"""),"Inception")</f>
        <v>Inception</v>
      </c>
      <c r="R34" s="5" t="str">
        <f>IFERROR(__xludf.DUMMYFUNCTION("""COMPUTED_VALUE"""),"Leonardo DiCaprio")</f>
        <v>Leonardo DiCaprio</v>
      </c>
      <c r="S34" s="5" t="str">
        <f>IFERROR(__xludf.DUMMYFUNCTION("""COMPUTED_VALUE"""),"Estrela 1")</f>
        <v>Estrela 1</v>
      </c>
    </row>
    <row r="35">
      <c r="A35" s="1">
        <v>34.0</v>
      </c>
      <c r="B35" s="1" t="s">
        <v>278</v>
      </c>
      <c r="C35" s="1" t="s">
        <v>282</v>
      </c>
      <c r="D35" s="1" t="s">
        <v>49</v>
      </c>
      <c r="E35" s="1" t="s">
        <v>283</v>
      </c>
      <c r="F35" s="1" t="s">
        <v>284</v>
      </c>
      <c r="G35" s="5" t="str">
        <f>IFERROR(__xludf.DUMMYFUNCTION("""COMPUTED_VALUE"""),"9🤙🏼Inception🤙🏼Joseph Gordon-Levitt🤙🏼Estrela 2")</f>
        <v>9🤙🏼Inception🤙🏼Joseph Gordon-Levitt🤙🏼Estrela 2</v>
      </c>
      <c r="H35" s="5">
        <f>IFERROR(__xludf.DUMMYFUNCTION("SPLiT(G35, ""🤙🏼"",FALSE,FALSE)"),9.0)</f>
        <v>9</v>
      </c>
      <c r="I35" s="5" t="str">
        <f>IFERROR(__xludf.DUMMYFUNCTION("""COMPUTED_VALUE"""),"Inception")</f>
        <v>Inception</v>
      </c>
      <c r="J35" s="5" t="str">
        <f>IFERROR(__xludf.DUMMYFUNCTION("""COMPUTED_VALUE"""),"Joseph Gordon-Levitt")</f>
        <v>Joseph Gordon-Levitt</v>
      </c>
      <c r="K35" s="5" t="str">
        <f>IFERROR(__xludf.DUMMYFUNCTION("""COMPUTED_VALUE"""),"Estrela 2")</f>
        <v>Estrela 2</v>
      </c>
      <c r="P35" s="5">
        <f>IFERROR(__xludf.DUMMYFUNCTION("""COMPUTED_VALUE"""),9.0)</f>
        <v>9</v>
      </c>
      <c r="Q35" s="5" t="str">
        <f>IFERROR(__xludf.DUMMYFUNCTION("""COMPUTED_VALUE"""),"Inception")</f>
        <v>Inception</v>
      </c>
      <c r="R35" s="5" t="str">
        <f>IFERROR(__xludf.DUMMYFUNCTION("""COMPUTED_VALUE"""),"Joseph Gordon-Levitt")</f>
        <v>Joseph Gordon-Levitt</v>
      </c>
      <c r="S35" s="5" t="str">
        <f>IFERROR(__xludf.DUMMYFUNCTION("""COMPUTED_VALUE"""),"Estrela 2")</f>
        <v>Estrela 2</v>
      </c>
    </row>
    <row r="36">
      <c r="A36" s="1">
        <v>35.0</v>
      </c>
      <c r="B36" s="1" t="s">
        <v>285</v>
      </c>
      <c r="C36" s="1" t="s">
        <v>290</v>
      </c>
      <c r="D36" s="1" t="s">
        <v>291</v>
      </c>
      <c r="E36" s="1" t="s">
        <v>292</v>
      </c>
      <c r="F36" s="1" t="s">
        <v>293</v>
      </c>
      <c r="G36" s="5" t="str">
        <f>IFERROR(__xludf.DUMMYFUNCTION("""COMPUTED_VALUE"""),"9🤙🏼Inception🤙🏼Elliot Page🤙🏼Estrela 3")</f>
        <v>9🤙🏼Inception🤙🏼Elliot Page🤙🏼Estrela 3</v>
      </c>
      <c r="H36" s="5">
        <f>IFERROR(__xludf.DUMMYFUNCTION("SPLiT(G36, ""🤙🏼"",FALSE,FALSE)"),9.0)</f>
        <v>9</v>
      </c>
      <c r="I36" s="5" t="str">
        <f>IFERROR(__xludf.DUMMYFUNCTION("""COMPUTED_VALUE"""),"Inception")</f>
        <v>Inception</v>
      </c>
      <c r="J36" s="5" t="str">
        <f>IFERROR(__xludf.DUMMYFUNCTION("""COMPUTED_VALUE"""),"Elliot Page")</f>
        <v>Elliot Page</v>
      </c>
      <c r="K36" s="5" t="str">
        <f>IFERROR(__xludf.DUMMYFUNCTION("""COMPUTED_VALUE"""),"Estrela 3")</f>
        <v>Estrela 3</v>
      </c>
      <c r="P36" s="5">
        <f>IFERROR(__xludf.DUMMYFUNCTION("""COMPUTED_VALUE"""),9.0)</f>
        <v>9</v>
      </c>
      <c r="Q36" s="5" t="str">
        <f>IFERROR(__xludf.DUMMYFUNCTION("""COMPUTED_VALUE"""),"Inception")</f>
        <v>Inception</v>
      </c>
      <c r="R36" s="5" t="str">
        <f>IFERROR(__xludf.DUMMYFUNCTION("""COMPUTED_VALUE"""),"Elliot Page")</f>
        <v>Elliot Page</v>
      </c>
      <c r="S36" s="5" t="str">
        <f>IFERROR(__xludf.DUMMYFUNCTION("""COMPUTED_VALUE"""),"Estrela 3")</f>
        <v>Estrela 3</v>
      </c>
    </row>
    <row r="37">
      <c r="A37" s="1">
        <v>36.0</v>
      </c>
      <c r="B37" s="1" t="s">
        <v>294</v>
      </c>
      <c r="C37" s="1" t="s">
        <v>299</v>
      </c>
      <c r="D37" s="1" t="s">
        <v>300</v>
      </c>
      <c r="E37" s="1" t="s">
        <v>301</v>
      </c>
      <c r="F37" s="1" t="s">
        <v>302</v>
      </c>
      <c r="G37" s="5" t="str">
        <f>IFERROR(__xludf.DUMMYFUNCTION("""COMPUTED_VALUE"""),"9🤙🏼Inception🤙🏼Ken Watanabe🤙🏼Estrela 4")</f>
        <v>9🤙🏼Inception🤙🏼Ken Watanabe🤙🏼Estrela 4</v>
      </c>
      <c r="H37" s="5">
        <f>IFERROR(__xludf.DUMMYFUNCTION("SPLiT(G37, ""🤙🏼"",FALSE,FALSE)"),9.0)</f>
        <v>9</v>
      </c>
      <c r="I37" s="5" t="str">
        <f>IFERROR(__xludf.DUMMYFUNCTION("""COMPUTED_VALUE"""),"Inception")</f>
        <v>Inception</v>
      </c>
      <c r="J37" s="5" t="str">
        <f>IFERROR(__xludf.DUMMYFUNCTION("""COMPUTED_VALUE"""),"Ken Watanabe")</f>
        <v>Ken Watanabe</v>
      </c>
      <c r="K37" s="5" t="str">
        <f>IFERROR(__xludf.DUMMYFUNCTION("""COMPUTED_VALUE"""),"Estrela 4")</f>
        <v>Estrela 4</v>
      </c>
      <c r="P37" s="5">
        <f>IFERROR(__xludf.DUMMYFUNCTION("""COMPUTED_VALUE"""),9.0)</f>
        <v>9</v>
      </c>
      <c r="Q37" s="5" t="str">
        <f>IFERROR(__xludf.DUMMYFUNCTION("""COMPUTED_VALUE"""),"Inception")</f>
        <v>Inception</v>
      </c>
      <c r="R37" s="5" t="str">
        <f>IFERROR(__xludf.DUMMYFUNCTION("""COMPUTED_VALUE"""),"Ken Watanabe")</f>
        <v>Ken Watanabe</v>
      </c>
      <c r="S37" s="5" t="str">
        <f>IFERROR(__xludf.DUMMYFUNCTION("""COMPUTED_VALUE"""),"Estrela 4")</f>
        <v>Estrela 4</v>
      </c>
    </row>
    <row r="38">
      <c r="A38" s="1">
        <v>37.0</v>
      </c>
      <c r="B38" s="1" t="s">
        <v>303</v>
      </c>
      <c r="C38" s="1" t="s">
        <v>42</v>
      </c>
      <c r="D38" s="1" t="s">
        <v>306</v>
      </c>
      <c r="E38" s="1" t="s">
        <v>307</v>
      </c>
      <c r="F38" s="1" t="s">
        <v>45</v>
      </c>
      <c r="G38" s="5" t="str">
        <f>IFERROR(__xludf.DUMMYFUNCTION("""COMPUTED_VALUE"""),"10🤙🏼Fight Club🤙🏼Brad Pitt🤙🏼Estrela 1")</f>
        <v>10🤙🏼Fight Club🤙🏼Brad Pitt🤙🏼Estrela 1</v>
      </c>
      <c r="H38" s="5">
        <f>IFERROR(__xludf.DUMMYFUNCTION("SPLiT(G38, ""🤙🏼"",FALSE,FALSE)"),10.0)</f>
        <v>10</v>
      </c>
      <c r="I38" s="5" t="str">
        <f>IFERROR(__xludf.DUMMYFUNCTION("""COMPUTED_VALUE"""),"Fight Club")</f>
        <v>Fight Club</v>
      </c>
      <c r="J38" s="5" t="str">
        <f>IFERROR(__xludf.DUMMYFUNCTION("""COMPUTED_VALUE"""),"Brad Pitt")</f>
        <v>Brad Pitt</v>
      </c>
      <c r="K38" s="5" t="str">
        <f>IFERROR(__xludf.DUMMYFUNCTION("""COMPUTED_VALUE"""),"Estrela 1")</f>
        <v>Estrela 1</v>
      </c>
      <c r="P38" s="5">
        <f>IFERROR(__xludf.DUMMYFUNCTION("""COMPUTED_VALUE"""),10.0)</f>
        <v>10</v>
      </c>
      <c r="Q38" s="5" t="str">
        <f>IFERROR(__xludf.DUMMYFUNCTION("""COMPUTED_VALUE"""),"Fight Club")</f>
        <v>Fight Club</v>
      </c>
      <c r="R38" s="5" t="str">
        <f>IFERROR(__xludf.DUMMYFUNCTION("""COMPUTED_VALUE"""),"Brad Pitt")</f>
        <v>Brad Pitt</v>
      </c>
      <c r="S38" s="5" t="str">
        <f>IFERROR(__xludf.DUMMYFUNCTION("""COMPUTED_VALUE"""),"Estrela 1")</f>
        <v>Estrela 1</v>
      </c>
    </row>
    <row r="39">
      <c r="A39" s="1">
        <v>38.0</v>
      </c>
      <c r="B39" s="1" t="s">
        <v>308</v>
      </c>
      <c r="C39" s="1" t="s">
        <v>90</v>
      </c>
      <c r="D39" s="1" t="s">
        <v>215</v>
      </c>
      <c r="E39" s="1" t="s">
        <v>156</v>
      </c>
      <c r="F39" s="1" t="s">
        <v>311</v>
      </c>
      <c r="G39" s="5" t="str">
        <f>IFERROR(__xludf.DUMMYFUNCTION("""COMPUTED_VALUE"""),"10🤙🏼Fight Club🤙🏼Edward Norton🤙🏼Estrela 2")</f>
        <v>10🤙🏼Fight Club🤙🏼Edward Norton🤙🏼Estrela 2</v>
      </c>
      <c r="H39" s="5">
        <f>IFERROR(__xludf.DUMMYFUNCTION("SPLiT(G39, ""🤙🏼"",FALSE,FALSE)"),10.0)</f>
        <v>10</v>
      </c>
      <c r="I39" s="5" t="str">
        <f>IFERROR(__xludf.DUMMYFUNCTION("""COMPUTED_VALUE"""),"Fight Club")</f>
        <v>Fight Club</v>
      </c>
      <c r="J39" s="5" t="str">
        <f>IFERROR(__xludf.DUMMYFUNCTION("""COMPUTED_VALUE"""),"Edward Norton")</f>
        <v>Edward Norton</v>
      </c>
      <c r="K39" s="5" t="str">
        <f>IFERROR(__xludf.DUMMYFUNCTION("""COMPUTED_VALUE"""),"Estrela 2")</f>
        <v>Estrela 2</v>
      </c>
      <c r="P39" s="5">
        <f>IFERROR(__xludf.DUMMYFUNCTION("""COMPUTED_VALUE"""),10.0)</f>
        <v>10</v>
      </c>
      <c r="Q39" s="5" t="str">
        <f>IFERROR(__xludf.DUMMYFUNCTION("""COMPUTED_VALUE"""),"Fight Club")</f>
        <v>Fight Club</v>
      </c>
      <c r="R39" s="5" t="str">
        <f>IFERROR(__xludf.DUMMYFUNCTION("""COMPUTED_VALUE"""),"Edward Norton")</f>
        <v>Edward Norton</v>
      </c>
      <c r="S39" s="5" t="str">
        <f>IFERROR(__xludf.DUMMYFUNCTION("""COMPUTED_VALUE"""),"Estrela 2")</f>
        <v>Estrela 2</v>
      </c>
    </row>
    <row r="40">
      <c r="A40" s="1">
        <v>39.0</v>
      </c>
      <c r="B40" s="1" t="s">
        <v>312</v>
      </c>
      <c r="C40" s="1" t="s">
        <v>317</v>
      </c>
      <c r="D40" s="1" t="s">
        <v>318</v>
      </c>
      <c r="E40" s="1" t="s">
        <v>319</v>
      </c>
      <c r="F40" s="1" t="s">
        <v>320</v>
      </c>
      <c r="G40" s="5" t="str">
        <f>IFERROR(__xludf.DUMMYFUNCTION("""COMPUTED_VALUE"""),"10🤙🏼Fight Club🤙🏼Meat Loaf🤙🏼Estrela 3")</f>
        <v>10🤙🏼Fight Club🤙🏼Meat Loaf🤙🏼Estrela 3</v>
      </c>
      <c r="H40" s="5">
        <f>IFERROR(__xludf.DUMMYFUNCTION("SPLiT(G40, ""🤙🏼"",FALSE,FALSE)"),10.0)</f>
        <v>10</v>
      </c>
      <c r="I40" s="5" t="str">
        <f>IFERROR(__xludf.DUMMYFUNCTION("""COMPUTED_VALUE"""),"Fight Club")</f>
        <v>Fight Club</v>
      </c>
      <c r="J40" s="5" t="str">
        <f>IFERROR(__xludf.DUMMYFUNCTION("""COMPUTED_VALUE"""),"Meat Loaf")</f>
        <v>Meat Loaf</v>
      </c>
      <c r="K40" s="5" t="str">
        <f>IFERROR(__xludf.DUMMYFUNCTION("""COMPUTED_VALUE"""),"Estrela 3")</f>
        <v>Estrela 3</v>
      </c>
      <c r="P40" s="5">
        <f>IFERROR(__xludf.DUMMYFUNCTION("""COMPUTED_VALUE"""),10.0)</f>
        <v>10</v>
      </c>
      <c r="Q40" s="5" t="str">
        <f>IFERROR(__xludf.DUMMYFUNCTION("""COMPUTED_VALUE"""),"Fight Club")</f>
        <v>Fight Club</v>
      </c>
      <c r="R40" s="5" t="str">
        <f>IFERROR(__xludf.DUMMYFUNCTION("""COMPUTED_VALUE"""),"Meat Loaf")</f>
        <v>Meat Loaf</v>
      </c>
      <c r="S40" s="5" t="str">
        <f>IFERROR(__xludf.DUMMYFUNCTION("""COMPUTED_VALUE"""),"Estrela 3")</f>
        <v>Estrela 3</v>
      </c>
    </row>
    <row r="41">
      <c r="A41" s="1">
        <v>40.0</v>
      </c>
      <c r="B41" s="1" t="s">
        <v>321</v>
      </c>
      <c r="C41" s="1" t="s">
        <v>325</v>
      </c>
      <c r="D41" s="1" t="s">
        <v>282</v>
      </c>
      <c r="E41" s="1" t="s">
        <v>326</v>
      </c>
      <c r="F41" s="1" t="s">
        <v>327</v>
      </c>
      <c r="G41" s="5" t="str">
        <f>IFERROR(__xludf.DUMMYFUNCTION("""COMPUTED_VALUE"""),"10🤙🏼Fight Club🤙🏼Zach Grenier🤙🏼Estrela 4")</f>
        <v>10🤙🏼Fight Club🤙🏼Zach Grenier🤙🏼Estrela 4</v>
      </c>
      <c r="H41" s="5">
        <f>IFERROR(__xludf.DUMMYFUNCTION("SPLiT(G41, ""🤙🏼"",FALSE,FALSE)"),10.0)</f>
        <v>10</v>
      </c>
      <c r="I41" s="5" t="str">
        <f>IFERROR(__xludf.DUMMYFUNCTION("""COMPUTED_VALUE"""),"Fight Club")</f>
        <v>Fight Club</v>
      </c>
      <c r="J41" s="5" t="str">
        <f>IFERROR(__xludf.DUMMYFUNCTION("""COMPUTED_VALUE"""),"Zach Grenier")</f>
        <v>Zach Grenier</v>
      </c>
      <c r="K41" s="5" t="str">
        <f>IFERROR(__xludf.DUMMYFUNCTION("""COMPUTED_VALUE"""),"Estrela 4")</f>
        <v>Estrela 4</v>
      </c>
      <c r="P41" s="5">
        <f>IFERROR(__xludf.DUMMYFUNCTION("""COMPUTED_VALUE"""),10.0)</f>
        <v>10</v>
      </c>
      <c r="Q41" s="5" t="str">
        <f>IFERROR(__xludf.DUMMYFUNCTION("""COMPUTED_VALUE"""),"Fight Club")</f>
        <v>Fight Club</v>
      </c>
      <c r="R41" s="5" t="str">
        <f>IFERROR(__xludf.DUMMYFUNCTION("""COMPUTED_VALUE"""),"Zach Grenier")</f>
        <v>Zach Grenier</v>
      </c>
      <c r="S41" s="5" t="str">
        <f>IFERROR(__xludf.DUMMYFUNCTION("""COMPUTED_VALUE"""),"Estrela 4")</f>
        <v>Estrela 4</v>
      </c>
    </row>
    <row r="42">
      <c r="A42" s="1">
        <v>41.0</v>
      </c>
      <c r="B42" s="1" t="s">
        <v>328</v>
      </c>
      <c r="C42" s="1" t="s">
        <v>99</v>
      </c>
      <c r="D42" s="1" t="s">
        <v>332</v>
      </c>
      <c r="E42" s="1" t="s">
        <v>333</v>
      </c>
      <c r="F42" s="1" t="s">
        <v>334</v>
      </c>
      <c r="G42" s="5" t="str">
        <f>IFERROR(__xludf.DUMMYFUNCTION("""COMPUTED_VALUE"""),"11🤙🏼The Lord of the Rings: The Fellowship of the Ring🤙🏼Elijah Wood🤙🏼Estrela 1")</f>
        <v>11🤙🏼The Lord of the Rings: The Fellowship of the Ring🤙🏼Elijah Wood🤙🏼Estrela 1</v>
      </c>
      <c r="H42" s="5">
        <f>IFERROR(__xludf.DUMMYFUNCTION("SPLiT(G42, ""🤙🏼"",FALSE,FALSE)"),11.0)</f>
        <v>11</v>
      </c>
      <c r="I42" s="5" t="str">
        <f>IFERROR(__xludf.DUMMYFUNCTION("""COMPUTED_VALUE"""),"The Lord of the Rings: The Fellowship of the Ring")</f>
        <v>The Lord of the Rings: The Fellowship of the Ring</v>
      </c>
      <c r="J42" s="5" t="str">
        <f>IFERROR(__xludf.DUMMYFUNCTION("""COMPUTED_VALUE"""),"Elijah Wood")</f>
        <v>Elijah Wood</v>
      </c>
      <c r="K42" s="5" t="str">
        <f>IFERROR(__xludf.DUMMYFUNCTION("""COMPUTED_VALUE"""),"Estrela 1")</f>
        <v>Estrela 1</v>
      </c>
      <c r="P42" s="5">
        <f>IFERROR(__xludf.DUMMYFUNCTION("""COMPUTED_VALUE"""),11.0)</f>
        <v>11</v>
      </c>
      <c r="Q42" s="5" t="str">
        <f>IFERROR(__xludf.DUMMYFUNCTION("""COMPUTED_VALUE"""),"The Lord of the Rings: The Fellowship of the Ring")</f>
        <v>The Lord of the Rings: The Fellowship of the Ring</v>
      </c>
      <c r="R42" s="5" t="str">
        <f>IFERROR(__xludf.DUMMYFUNCTION("""COMPUTED_VALUE"""),"Elijah Wood")</f>
        <v>Elijah Wood</v>
      </c>
      <c r="S42" s="5" t="str">
        <f>IFERROR(__xludf.DUMMYFUNCTION("""COMPUTED_VALUE"""),"Estrela 1")</f>
        <v>Estrela 1</v>
      </c>
    </row>
    <row r="43">
      <c r="A43" s="1">
        <v>42.0</v>
      </c>
      <c r="B43" s="1" t="s">
        <v>335</v>
      </c>
      <c r="C43" s="1" t="s">
        <v>237</v>
      </c>
      <c r="D43" s="1" t="s">
        <v>339</v>
      </c>
      <c r="E43" s="1" t="s">
        <v>340</v>
      </c>
      <c r="F43" s="1" t="s">
        <v>341</v>
      </c>
      <c r="G43" s="5" t="str">
        <f>IFERROR(__xludf.DUMMYFUNCTION("""COMPUTED_VALUE"""),"11🤙🏼The Lord of the Rings: The Fellowship of the Ring🤙🏼Ian McKellen🤙🏼Estrela 2")</f>
        <v>11🤙🏼The Lord of the Rings: The Fellowship of the Ring🤙🏼Ian McKellen🤙🏼Estrela 2</v>
      </c>
      <c r="H43" s="5">
        <f>IFERROR(__xludf.DUMMYFUNCTION("SPLiT(G43, ""🤙🏼"",FALSE,FALSE)"),11.0)</f>
        <v>11</v>
      </c>
      <c r="I43" s="5" t="str">
        <f>IFERROR(__xludf.DUMMYFUNCTION("""COMPUTED_VALUE"""),"The Lord of the Rings: The Fellowship of the Ring")</f>
        <v>The Lord of the Rings: The Fellowship of the Ring</v>
      </c>
      <c r="J43" s="5" t="str">
        <f>IFERROR(__xludf.DUMMYFUNCTION("""COMPUTED_VALUE"""),"Ian McKellen")</f>
        <v>Ian McKellen</v>
      </c>
      <c r="K43" s="5" t="str">
        <f>IFERROR(__xludf.DUMMYFUNCTION("""COMPUTED_VALUE"""),"Estrela 2")</f>
        <v>Estrela 2</v>
      </c>
      <c r="P43" s="5">
        <f>IFERROR(__xludf.DUMMYFUNCTION("""COMPUTED_VALUE"""),11.0)</f>
        <v>11</v>
      </c>
      <c r="Q43" s="5" t="str">
        <f>IFERROR(__xludf.DUMMYFUNCTION("""COMPUTED_VALUE"""),"The Lord of the Rings: The Fellowship of the Ring")</f>
        <v>The Lord of the Rings: The Fellowship of the Ring</v>
      </c>
      <c r="R43" s="5" t="str">
        <f>IFERROR(__xludf.DUMMYFUNCTION("""COMPUTED_VALUE"""),"Ian McKellen")</f>
        <v>Ian McKellen</v>
      </c>
      <c r="S43" s="5" t="str">
        <f>IFERROR(__xludf.DUMMYFUNCTION("""COMPUTED_VALUE"""),"Estrela 2")</f>
        <v>Estrela 2</v>
      </c>
    </row>
    <row r="44">
      <c r="A44" s="1">
        <v>43.0</v>
      </c>
      <c r="B44" s="1" t="s">
        <v>342</v>
      </c>
      <c r="C44" s="1" t="s">
        <v>346</v>
      </c>
      <c r="D44" s="1" t="s">
        <v>347</v>
      </c>
      <c r="E44" s="1" t="s">
        <v>348</v>
      </c>
      <c r="F44" s="1" t="s">
        <v>349</v>
      </c>
      <c r="G44" s="5" t="str">
        <f>IFERROR(__xludf.DUMMYFUNCTION("""COMPUTED_VALUE"""),"11🤙🏼The Lord of the Rings: The Fellowship of the Ring🤙🏼Orlando Bloom🤙🏼Estrela 3")</f>
        <v>11🤙🏼The Lord of the Rings: The Fellowship of the Ring🤙🏼Orlando Bloom🤙🏼Estrela 3</v>
      </c>
      <c r="H44" s="5">
        <f>IFERROR(__xludf.DUMMYFUNCTION("SPLiT(G44, ""🤙🏼"",FALSE,FALSE)"),11.0)</f>
        <v>11</v>
      </c>
      <c r="I44" s="5" t="str">
        <f>IFERROR(__xludf.DUMMYFUNCTION("""COMPUTED_VALUE"""),"The Lord of the Rings: The Fellowship of the Ring")</f>
        <v>The Lord of the Rings: The Fellowship of the Ring</v>
      </c>
      <c r="J44" s="5" t="str">
        <f>IFERROR(__xludf.DUMMYFUNCTION("""COMPUTED_VALUE"""),"Orlando Bloom")</f>
        <v>Orlando Bloom</v>
      </c>
      <c r="K44" s="5" t="str">
        <f>IFERROR(__xludf.DUMMYFUNCTION("""COMPUTED_VALUE"""),"Estrela 3")</f>
        <v>Estrela 3</v>
      </c>
      <c r="P44" s="5">
        <f>IFERROR(__xludf.DUMMYFUNCTION("""COMPUTED_VALUE"""),11.0)</f>
        <v>11</v>
      </c>
      <c r="Q44" s="5" t="str">
        <f>IFERROR(__xludf.DUMMYFUNCTION("""COMPUTED_VALUE"""),"The Lord of the Rings: The Fellowship of the Ring")</f>
        <v>The Lord of the Rings: The Fellowship of the Ring</v>
      </c>
      <c r="R44" s="5" t="str">
        <f>IFERROR(__xludf.DUMMYFUNCTION("""COMPUTED_VALUE"""),"Orlando Bloom")</f>
        <v>Orlando Bloom</v>
      </c>
      <c r="S44" s="5" t="str">
        <f>IFERROR(__xludf.DUMMYFUNCTION("""COMPUTED_VALUE"""),"Estrela 3")</f>
        <v>Estrela 3</v>
      </c>
    </row>
    <row r="45">
      <c r="A45" s="1">
        <v>44.0</v>
      </c>
      <c r="B45" s="1" t="s">
        <v>350</v>
      </c>
      <c r="C45" s="1" t="s">
        <v>355</v>
      </c>
      <c r="D45" s="1" t="s">
        <v>356</v>
      </c>
      <c r="E45" s="1" t="s">
        <v>357</v>
      </c>
      <c r="F45" s="1" t="s">
        <v>358</v>
      </c>
      <c r="G45" s="5" t="str">
        <f>IFERROR(__xludf.DUMMYFUNCTION("""COMPUTED_VALUE"""),"11🤙🏼The Lord of the Rings: The Fellowship of the Ring🤙🏼Sean Bean🤙🏼Estrela 4")</f>
        <v>11🤙🏼The Lord of the Rings: The Fellowship of the Ring🤙🏼Sean Bean🤙🏼Estrela 4</v>
      </c>
      <c r="H45" s="5">
        <f>IFERROR(__xludf.DUMMYFUNCTION("SPLiT(G45, ""🤙🏼"",FALSE,FALSE)"),11.0)</f>
        <v>11</v>
      </c>
      <c r="I45" s="5" t="str">
        <f>IFERROR(__xludf.DUMMYFUNCTION("""COMPUTED_VALUE"""),"The Lord of the Rings: The Fellowship of the Ring")</f>
        <v>The Lord of the Rings: The Fellowship of the Ring</v>
      </c>
      <c r="J45" s="5" t="str">
        <f>IFERROR(__xludf.DUMMYFUNCTION("""COMPUTED_VALUE"""),"Sean Bean")</f>
        <v>Sean Bean</v>
      </c>
      <c r="K45" s="5" t="str">
        <f>IFERROR(__xludf.DUMMYFUNCTION("""COMPUTED_VALUE"""),"Estrela 4")</f>
        <v>Estrela 4</v>
      </c>
      <c r="P45" s="5">
        <f>IFERROR(__xludf.DUMMYFUNCTION("""COMPUTED_VALUE"""),11.0)</f>
        <v>11</v>
      </c>
      <c r="Q45" s="5" t="str">
        <f>IFERROR(__xludf.DUMMYFUNCTION("""COMPUTED_VALUE"""),"The Lord of the Rings: The Fellowship of the Ring")</f>
        <v>The Lord of the Rings: The Fellowship of the Ring</v>
      </c>
      <c r="R45" s="5" t="str">
        <f>IFERROR(__xludf.DUMMYFUNCTION("""COMPUTED_VALUE"""),"Sean Bean")</f>
        <v>Sean Bean</v>
      </c>
      <c r="S45" s="5" t="str">
        <f>IFERROR(__xludf.DUMMYFUNCTION("""COMPUTED_VALUE"""),"Estrela 4")</f>
        <v>Estrela 4</v>
      </c>
    </row>
    <row r="46">
      <c r="A46" s="1">
        <v>45.0</v>
      </c>
      <c r="B46" s="1" t="s">
        <v>359</v>
      </c>
      <c r="C46" s="1" t="s">
        <v>363</v>
      </c>
      <c r="D46" s="1" t="s">
        <v>364</v>
      </c>
      <c r="E46" s="1" t="s">
        <v>332</v>
      </c>
      <c r="F46" s="1" t="s">
        <v>365</v>
      </c>
      <c r="G46" s="5" t="str">
        <f>IFERROR(__xludf.DUMMYFUNCTION("""COMPUTED_VALUE"""),"12🤙🏼Forrest Gump🤙🏼Tom Hanks🤙🏼Estrela 1")</f>
        <v>12🤙🏼Forrest Gump🤙🏼Tom Hanks🤙🏼Estrela 1</v>
      </c>
      <c r="H46" s="5">
        <f>IFERROR(__xludf.DUMMYFUNCTION("SPLiT(G46, ""🤙🏼"",FALSE,FALSE)"),12.0)</f>
        <v>12</v>
      </c>
      <c r="I46" s="5" t="str">
        <f>IFERROR(__xludf.DUMMYFUNCTION("""COMPUTED_VALUE"""),"Forrest Gump")</f>
        <v>Forrest Gump</v>
      </c>
      <c r="J46" s="5" t="str">
        <f>IFERROR(__xludf.DUMMYFUNCTION("""COMPUTED_VALUE"""),"Tom Hanks")</f>
        <v>Tom Hanks</v>
      </c>
      <c r="K46" s="5" t="str">
        <f>IFERROR(__xludf.DUMMYFUNCTION("""COMPUTED_VALUE"""),"Estrela 1")</f>
        <v>Estrela 1</v>
      </c>
      <c r="P46" s="5">
        <f>IFERROR(__xludf.DUMMYFUNCTION("""COMPUTED_VALUE"""),12.0)</f>
        <v>12</v>
      </c>
      <c r="Q46" s="5" t="str">
        <f>IFERROR(__xludf.DUMMYFUNCTION("""COMPUTED_VALUE"""),"Forrest Gump")</f>
        <v>Forrest Gump</v>
      </c>
      <c r="R46" s="5" t="str">
        <f>IFERROR(__xludf.DUMMYFUNCTION("""COMPUTED_VALUE"""),"Tom Hanks")</f>
        <v>Tom Hanks</v>
      </c>
      <c r="S46" s="5" t="str">
        <f>IFERROR(__xludf.DUMMYFUNCTION("""COMPUTED_VALUE"""),"Estrela 1")</f>
        <v>Estrela 1</v>
      </c>
    </row>
    <row r="47">
      <c r="A47" s="1">
        <v>46.0</v>
      </c>
      <c r="B47" s="1" t="s">
        <v>366</v>
      </c>
      <c r="C47" s="1" t="s">
        <v>369</v>
      </c>
      <c r="D47" s="1" t="s">
        <v>370</v>
      </c>
      <c r="E47" s="1" t="s">
        <v>371</v>
      </c>
      <c r="F47" s="1" t="s">
        <v>372</v>
      </c>
      <c r="G47" s="5" t="str">
        <f>IFERROR(__xludf.DUMMYFUNCTION("""COMPUTED_VALUE"""),"12🤙🏼Forrest Gump🤙🏼Robin Wright🤙🏼Estrela 2")</f>
        <v>12🤙🏼Forrest Gump🤙🏼Robin Wright🤙🏼Estrela 2</v>
      </c>
      <c r="H47" s="5">
        <f>IFERROR(__xludf.DUMMYFUNCTION("SPLiT(G47, ""🤙🏼"",FALSE,FALSE)"),12.0)</f>
        <v>12</v>
      </c>
      <c r="I47" s="5" t="str">
        <f>IFERROR(__xludf.DUMMYFUNCTION("""COMPUTED_VALUE"""),"Forrest Gump")</f>
        <v>Forrest Gump</v>
      </c>
      <c r="J47" s="5" t="str">
        <f>IFERROR(__xludf.DUMMYFUNCTION("""COMPUTED_VALUE"""),"Robin Wright")</f>
        <v>Robin Wright</v>
      </c>
      <c r="K47" s="5" t="str">
        <f>IFERROR(__xludf.DUMMYFUNCTION("""COMPUTED_VALUE"""),"Estrela 2")</f>
        <v>Estrela 2</v>
      </c>
      <c r="P47" s="5">
        <f>IFERROR(__xludf.DUMMYFUNCTION("""COMPUTED_VALUE"""),12.0)</f>
        <v>12</v>
      </c>
      <c r="Q47" s="5" t="str">
        <f>IFERROR(__xludf.DUMMYFUNCTION("""COMPUTED_VALUE"""),"Forrest Gump")</f>
        <v>Forrest Gump</v>
      </c>
      <c r="R47" s="5" t="str">
        <f>IFERROR(__xludf.DUMMYFUNCTION("""COMPUTED_VALUE"""),"Robin Wright")</f>
        <v>Robin Wright</v>
      </c>
      <c r="S47" s="5" t="str">
        <f>IFERROR(__xludf.DUMMYFUNCTION("""COMPUTED_VALUE"""),"Estrela 2")</f>
        <v>Estrela 2</v>
      </c>
    </row>
    <row r="48">
      <c r="A48" s="1">
        <v>47.0</v>
      </c>
      <c r="B48" s="1" t="s">
        <v>373</v>
      </c>
      <c r="C48" s="1" t="s">
        <v>378</v>
      </c>
      <c r="D48" s="1" t="s">
        <v>379</v>
      </c>
      <c r="E48" s="1" t="s">
        <v>380</v>
      </c>
      <c r="F48" s="1" t="s">
        <v>381</v>
      </c>
      <c r="G48" s="5" t="str">
        <f>IFERROR(__xludf.DUMMYFUNCTION("""COMPUTED_VALUE"""),"12🤙🏼Forrest Gump🤙🏼Gary Sinise🤙🏼Estrela 3")</f>
        <v>12🤙🏼Forrest Gump🤙🏼Gary Sinise🤙🏼Estrela 3</v>
      </c>
      <c r="H48" s="5">
        <f>IFERROR(__xludf.DUMMYFUNCTION("SPLiT(G48, ""🤙🏼"",FALSE,FALSE)"),12.0)</f>
        <v>12</v>
      </c>
      <c r="I48" s="5" t="str">
        <f>IFERROR(__xludf.DUMMYFUNCTION("""COMPUTED_VALUE"""),"Forrest Gump")</f>
        <v>Forrest Gump</v>
      </c>
      <c r="J48" s="5" t="str">
        <f>IFERROR(__xludf.DUMMYFUNCTION("""COMPUTED_VALUE"""),"Gary Sinise")</f>
        <v>Gary Sinise</v>
      </c>
      <c r="K48" s="5" t="str">
        <f>IFERROR(__xludf.DUMMYFUNCTION("""COMPUTED_VALUE"""),"Estrela 3")</f>
        <v>Estrela 3</v>
      </c>
      <c r="P48" s="5">
        <f>IFERROR(__xludf.DUMMYFUNCTION("""COMPUTED_VALUE"""),12.0)</f>
        <v>12</v>
      </c>
      <c r="Q48" s="5" t="str">
        <f>IFERROR(__xludf.DUMMYFUNCTION("""COMPUTED_VALUE"""),"Forrest Gump")</f>
        <v>Forrest Gump</v>
      </c>
      <c r="R48" s="5" t="str">
        <f>IFERROR(__xludf.DUMMYFUNCTION("""COMPUTED_VALUE"""),"Gary Sinise")</f>
        <v>Gary Sinise</v>
      </c>
      <c r="S48" s="5" t="str">
        <f>IFERROR(__xludf.DUMMYFUNCTION("""COMPUTED_VALUE"""),"Estrela 3")</f>
        <v>Estrela 3</v>
      </c>
    </row>
    <row r="49">
      <c r="A49" s="1">
        <v>48.0</v>
      </c>
      <c r="B49" s="1" t="s">
        <v>382</v>
      </c>
      <c r="C49" s="1" t="s">
        <v>385</v>
      </c>
      <c r="D49" s="1" t="s">
        <v>386</v>
      </c>
      <c r="E49" s="1" t="s">
        <v>387</v>
      </c>
      <c r="F49" s="1" t="s">
        <v>388</v>
      </c>
      <c r="G49" s="5" t="str">
        <f>IFERROR(__xludf.DUMMYFUNCTION("""COMPUTED_VALUE"""),"12🤙🏼Forrest Gump🤙🏼Sally Field🤙🏼Estrela 4")</f>
        <v>12🤙🏼Forrest Gump🤙🏼Sally Field🤙🏼Estrela 4</v>
      </c>
      <c r="H49" s="5">
        <f>IFERROR(__xludf.DUMMYFUNCTION("SPLiT(G49, ""🤙🏼"",FALSE,FALSE)"),12.0)</f>
        <v>12</v>
      </c>
      <c r="I49" s="5" t="str">
        <f>IFERROR(__xludf.DUMMYFUNCTION("""COMPUTED_VALUE"""),"Forrest Gump")</f>
        <v>Forrest Gump</v>
      </c>
      <c r="J49" s="5" t="str">
        <f>IFERROR(__xludf.DUMMYFUNCTION("""COMPUTED_VALUE"""),"Sally Field")</f>
        <v>Sally Field</v>
      </c>
      <c r="K49" s="5" t="str">
        <f>IFERROR(__xludf.DUMMYFUNCTION("""COMPUTED_VALUE"""),"Estrela 4")</f>
        <v>Estrela 4</v>
      </c>
      <c r="P49" s="5">
        <f>IFERROR(__xludf.DUMMYFUNCTION("""COMPUTED_VALUE"""),12.0)</f>
        <v>12</v>
      </c>
      <c r="Q49" s="5" t="str">
        <f>IFERROR(__xludf.DUMMYFUNCTION("""COMPUTED_VALUE"""),"Forrest Gump")</f>
        <v>Forrest Gump</v>
      </c>
      <c r="R49" s="5" t="str">
        <f>IFERROR(__xludf.DUMMYFUNCTION("""COMPUTED_VALUE"""),"Sally Field")</f>
        <v>Sally Field</v>
      </c>
      <c r="S49" s="5" t="str">
        <f>IFERROR(__xludf.DUMMYFUNCTION("""COMPUTED_VALUE"""),"Estrela 4")</f>
        <v>Estrela 4</v>
      </c>
    </row>
    <row r="50">
      <c r="A50" s="1">
        <v>49.0</v>
      </c>
      <c r="B50" s="1" t="s">
        <v>389</v>
      </c>
      <c r="C50" s="1" t="s">
        <v>56</v>
      </c>
      <c r="D50" s="1" t="s">
        <v>392</v>
      </c>
      <c r="E50" s="1" t="s">
        <v>393</v>
      </c>
      <c r="F50" s="1" t="s">
        <v>394</v>
      </c>
      <c r="G50" s="5" t="str">
        <f>IFERROR(__xludf.DUMMYFUNCTION("""COMPUTED_VALUE"""),"13🤙🏼Il buono, il brutto, il cattivo🤙🏼Clint Eastwood🤙🏼Estrela 1")</f>
        <v>13🤙🏼Il buono, il brutto, il cattivo🤙🏼Clint Eastwood🤙🏼Estrela 1</v>
      </c>
      <c r="H50" s="5">
        <f>IFERROR(__xludf.DUMMYFUNCTION("SPLiT(G50, ""🤙🏼"",FALSE,FALSE)"),13.0)</f>
        <v>13</v>
      </c>
      <c r="I50" s="5" t="str">
        <f>IFERROR(__xludf.DUMMYFUNCTION("""COMPUTED_VALUE"""),"Il buono, il brutto, il cattivo")</f>
        <v>Il buono, il brutto, il cattivo</v>
      </c>
      <c r="J50" s="5" t="str">
        <f>IFERROR(__xludf.DUMMYFUNCTION("""COMPUTED_VALUE"""),"Clint Eastwood")</f>
        <v>Clint Eastwood</v>
      </c>
      <c r="K50" s="5" t="str">
        <f>IFERROR(__xludf.DUMMYFUNCTION("""COMPUTED_VALUE"""),"Estrela 1")</f>
        <v>Estrela 1</v>
      </c>
      <c r="P50" s="5">
        <f>IFERROR(__xludf.DUMMYFUNCTION("""COMPUTED_VALUE"""),13.0)</f>
        <v>13</v>
      </c>
      <c r="Q50" s="5" t="str">
        <f>IFERROR(__xludf.DUMMYFUNCTION("""COMPUTED_VALUE"""),"Il buono, il brutto, il cattivo")</f>
        <v>Il buono, il brutto, il cattivo</v>
      </c>
      <c r="R50" s="5" t="str">
        <f>IFERROR(__xludf.DUMMYFUNCTION("""COMPUTED_VALUE"""),"Clint Eastwood")</f>
        <v>Clint Eastwood</v>
      </c>
      <c r="S50" s="5" t="str">
        <f>IFERROR(__xludf.DUMMYFUNCTION("""COMPUTED_VALUE"""),"Estrela 1")</f>
        <v>Estrela 1</v>
      </c>
    </row>
    <row r="51">
      <c r="A51" s="1">
        <v>50.0</v>
      </c>
      <c r="B51" s="1" t="s">
        <v>395</v>
      </c>
      <c r="C51" s="1" t="s">
        <v>400</v>
      </c>
      <c r="D51" s="1" t="s">
        <v>401</v>
      </c>
      <c r="E51" s="1" t="s">
        <v>402</v>
      </c>
      <c r="F51" s="1" t="s">
        <v>403</v>
      </c>
      <c r="G51" s="5" t="str">
        <f>IFERROR(__xludf.DUMMYFUNCTION("""COMPUTED_VALUE"""),"13🤙🏼Il buono, il brutto, il cattivo🤙🏼Eli Wallach🤙🏼Estrela 2")</f>
        <v>13🤙🏼Il buono, il brutto, il cattivo🤙🏼Eli Wallach🤙🏼Estrela 2</v>
      </c>
      <c r="H51" s="5">
        <f>IFERROR(__xludf.DUMMYFUNCTION("SPLiT(G51, ""🤙🏼"",FALSE,FALSE)"),13.0)</f>
        <v>13</v>
      </c>
      <c r="I51" s="5" t="str">
        <f>IFERROR(__xludf.DUMMYFUNCTION("""COMPUTED_VALUE"""),"Il buono, il brutto, il cattivo")</f>
        <v>Il buono, il brutto, il cattivo</v>
      </c>
      <c r="J51" s="5" t="str">
        <f>IFERROR(__xludf.DUMMYFUNCTION("""COMPUTED_VALUE"""),"Eli Wallach")</f>
        <v>Eli Wallach</v>
      </c>
      <c r="K51" s="5" t="str">
        <f>IFERROR(__xludf.DUMMYFUNCTION("""COMPUTED_VALUE"""),"Estrela 2")</f>
        <v>Estrela 2</v>
      </c>
      <c r="P51" s="5">
        <f>IFERROR(__xludf.DUMMYFUNCTION("""COMPUTED_VALUE"""),13.0)</f>
        <v>13</v>
      </c>
      <c r="Q51" s="5" t="str">
        <f>IFERROR(__xludf.DUMMYFUNCTION("""COMPUTED_VALUE"""),"Il buono, il brutto, il cattivo")</f>
        <v>Il buono, il brutto, il cattivo</v>
      </c>
      <c r="R51" s="5" t="str">
        <f>IFERROR(__xludf.DUMMYFUNCTION("""COMPUTED_VALUE"""),"Eli Wallach")</f>
        <v>Eli Wallach</v>
      </c>
      <c r="S51" s="5" t="str">
        <f>IFERROR(__xludf.DUMMYFUNCTION("""COMPUTED_VALUE"""),"Estrela 2")</f>
        <v>Estrela 2</v>
      </c>
    </row>
    <row r="52">
      <c r="A52" s="1">
        <v>51.0</v>
      </c>
      <c r="B52" s="1" t="s">
        <v>404</v>
      </c>
      <c r="C52" s="1" t="s">
        <v>409</v>
      </c>
      <c r="D52" s="1" t="s">
        <v>410</v>
      </c>
      <c r="E52" s="1" t="s">
        <v>411</v>
      </c>
      <c r="F52" s="1" t="s">
        <v>412</v>
      </c>
      <c r="G52" s="5" t="str">
        <f>IFERROR(__xludf.DUMMYFUNCTION("""COMPUTED_VALUE"""),"13🤙🏼Il buono, il brutto, il cattivo🤙🏼Lee Van Cleef🤙🏼Estrela 3")</f>
        <v>13🤙🏼Il buono, il brutto, il cattivo🤙🏼Lee Van Cleef🤙🏼Estrela 3</v>
      </c>
      <c r="H52" s="5">
        <f>IFERROR(__xludf.DUMMYFUNCTION("SPLiT(G52, ""🤙🏼"",FALSE,FALSE)"),13.0)</f>
        <v>13</v>
      </c>
      <c r="I52" s="5" t="str">
        <f>IFERROR(__xludf.DUMMYFUNCTION("""COMPUTED_VALUE"""),"Il buono, il brutto, il cattivo")</f>
        <v>Il buono, il brutto, il cattivo</v>
      </c>
      <c r="J52" s="5" t="str">
        <f>IFERROR(__xludf.DUMMYFUNCTION("""COMPUTED_VALUE"""),"Lee Van Cleef")</f>
        <v>Lee Van Cleef</v>
      </c>
      <c r="K52" s="5" t="str">
        <f>IFERROR(__xludf.DUMMYFUNCTION("""COMPUTED_VALUE"""),"Estrela 3")</f>
        <v>Estrela 3</v>
      </c>
      <c r="P52" s="5">
        <f>IFERROR(__xludf.DUMMYFUNCTION("""COMPUTED_VALUE"""),13.0)</f>
        <v>13</v>
      </c>
      <c r="Q52" s="5" t="str">
        <f>IFERROR(__xludf.DUMMYFUNCTION("""COMPUTED_VALUE"""),"Il buono, il brutto, il cattivo")</f>
        <v>Il buono, il brutto, il cattivo</v>
      </c>
      <c r="R52" s="5" t="str">
        <f>IFERROR(__xludf.DUMMYFUNCTION("""COMPUTED_VALUE"""),"Lee Van Cleef")</f>
        <v>Lee Van Cleef</v>
      </c>
      <c r="S52" s="5" t="str">
        <f>IFERROR(__xludf.DUMMYFUNCTION("""COMPUTED_VALUE"""),"Estrela 3")</f>
        <v>Estrela 3</v>
      </c>
    </row>
    <row r="53">
      <c r="A53" s="1">
        <v>52.0</v>
      </c>
      <c r="B53" s="1" t="s">
        <v>413</v>
      </c>
      <c r="C53" s="1" t="s">
        <v>418</v>
      </c>
      <c r="D53" s="1" t="s">
        <v>419</v>
      </c>
      <c r="E53" s="1" t="s">
        <v>420</v>
      </c>
      <c r="F53" s="1" t="s">
        <v>421</v>
      </c>
      <c r="G53" s="5" t="str">
        <f>IFERROR(__xludf.DUMMYFUNCTION("""COMPUTED_VALUE"""),"13🤙🏼Il buono, il brutto, il cattivo🤙🏼Aldo Giuffrè🤙🏼Estrela 4")</f>
        <v>13🤙🏼Il buono, il brutto, il cattivo🤙🏼Aldo Giuffrè🤙🏼Estrela 4</v>
      </c>
      <c r="H53" s="5">
        <f>IFERROR(__xludf.DUMMYFUNCTION("SPLiT(G53, ""🤙🏼"",FALSE,FALSE)"),13.0)</f>
        <v>13</v>
      </c>
      <c r="I53" s="5" t="str">
        <f>IFERROR(__xludf.DUMMYFUNCTION("""COMPUTED_VALUE"""),"Il buono, il brutto, il cattivo")</f>
        <v>Il buono, il brutto, il cattivo</v>
      </c>
      <c r="J53" s="5" t="str">
        <f>IFERROR(__xludf.DUMMYFUNCTION("""COMPUTED_VALUE"""),"Aldo Giuffrè")</f>
        <v>Aldo Giuffrè</v>
      </c>
      <c r="K53" s="5" t="str">
        <f>IFERROR(__xludf.DUMMYFUNCTION("""COMPUTED_VALUE"""),"Estrela 4")</f>
        <v>Estrela 4</v>
      </c>
      <c r="P53" s="5">
        <f>IFERROR(__xludf.DUMMYFUNCTION("""COMPUTED_VALUE"""),13.0)</f>
        <v>13</v>
      </c>
      <c r="Q53" s="5" t="str">
        <f>IFERROR(__xludf.DUMMYFUNCTION("""COMPUTED_VALUE"""),"Il buono, il brutto, il cattivo")</f>
        <v>Il buono, il brutto, il cattivo</v>
      </c>
      <c r="R53" s="5" t="str">
        <f>IFERROR(__xludf.DUMMYFUNCTION("""COMPUTED_VALUE"""),"Aldo Giuffrè")</f>
        <v>Aldo Giuffrè</v>
      </c>
      <c r="S53" s="5" t="str">
        <f>IFERROR(__xludf.DUMMYFUNCTION("""COMPUTED_VALUE"""),"Estrela 4")</f>
        <v>Estrela 4</v>
      </c>
    </row>
    <row r="54">
      <c r="A54" s="1">
        <v>53.0</v>
      </c>
      <c r="B54" s="1" t="s">
        <v>422</v>
      </c>
      <c r="C54" s="1" t="s">
        <v>418</v>
      </c>
      <c r="D54" s="1" t="s">
        <v>424</v>
      </c>
      <c r="E54" s="1" t="s">
        <v>425</v>
      </c>
      <c r="F54" s="1" t="s">
        <v>426</v>
      </c>
      <c r="G54" s="5" t="str">
        <f>IFERROR(__xludf.DUMMYFUNCTION("""COMPUTED_VALUE"""),"14🤙🏼The Lord of the Rings: The Two Towers🤙🏼Elijah Wood🤙🏼Estrela 1")</f>
        <v>14🤙🏼The Lord of the Rings: The Two Towers🤙🏼Elijah Wood🤙🏼Estrela 1</v>
      </c>
      <c r="H54" s="5">
        <f>IFERROR(__xludf.DUMMYFUNCTION("SPLiT(G54, ""🤙🏼"",FALSE,FALSE)"),14.0)</f>
        <v>14</v>
      </c>
      <c r="I54" s="5" t="str">
        <f>IFERROR(__xludf.DUMMYFUNCTION("""COMPUTED_VALUE"""),"The Lord of the Rings: The Two Towers")</f>
        <v>The Lord of the Rings: The Two Towers</v>
      </c>
      <c r="J54" s="5" t="str">
        <f>IFERROR(__xludf.DUMMYFUNCTION("""COMPUTED_VALUE"""),"Elijah Wood")</f>
        <v>Elijah Wood</v>
      </c>
      <c r="K54" s="5" t="str">
        <f>IFERROR(__xludf.DUMMYFUNCTION("""COMPUTED_VALUE"""),"Estrela 1")</f>
        <v>Estrela 1</v>
      </c>
      <c r="P54" s="5">
        <f>IFERROR(__xludf.DUMMYFUNCTION("""COMPUTED_VALUE"""),14.0)</f>
        <v>14</v>
      </c>
      <c r="Q54" s="5" t="str">
        <f>IFERROR(__xludf.DUMMYFUNCTION("""COMPUTED_VALUE"""),"The Lord of the Rings: The Two Towers")</f>
        <v>The Lord of the Rings: The Two Towers</v>
      </c>
      <c r="R54" s="5" t="str">
        <f>IFERROR(__xludf.DUMMYFUNCTION("""COMPUTED_VALUE"""),"Elijah Wood")</f>
        <v>Elijah Wood</v>
      </c>
      <c r="S54" s="5" t="str">
        <f>IFERROR(__xludf.DUMMYFUNCTION("""COMPUTED_VALUE"""),"Estrela 1")</f>
        <v>Estrela 1</v>
      </c>
    </row>
    <row r="55">
      <c r="A55" s="1">
        <v>54.0</v>
      </c>
      <c r="B55" s="1" t="s">
        <v>427</v>
      </c>
      <c r="C55" s="1" t="s">
        <v>431</v>
      </c>
      <c r="D55" s="1" t="s">
        <v>432</v>
      </c>
      <c r="E55" s="1" t="s">
        <v>433</v>
      </c>
      <c r="F55" s="1" t="s">
        <v>434</v>
      </c>
      <c r="G55" s="5" t="str">
        <f>IFERROR(__xludf.DUMMYFUNCTION("""COMPUTED_VALUE"""),"14🤙🏼The Lord of the Rings: The Two Towers🤙🏼Ian McKellen🤙🏼Estrela 2")</f>
        <v>14🤙🏼The Lord of the Rings: The Two Towers🤙🏼Ian McKellen🤙🏼Estrela 2</v>
      </c>
      <c r="H55" s="5">
        <f>IFERROR(__xludf.DUMMYFUNCTION("SPLiT(G55, ""🤙🏼"",FALSE,FALSE)"),14.0)</f>
        <v>14</v>
      </c>
      <c r="I55" s="5" t="str">
        <f>IFERROR(__xludf.DUMMYFUNCTION("""COMPUTED_VALUE"""),"The Lord of the Rings: The Two Towers")</f>
        <v>The Lord of the Rings: The Two Towers</v>
      </c>
      <c r="J55" s="5" t="str">
        <f>IFERROR(__xludf.DUMMYFUNCTION("""COMPUTED_VALUE"""),"Ian McKellen")</f>
        <v>Ian McKellen</v>
      </c>
      <c r="K55" s="5" t="str">
        <f>IFERROR(__xludf.DUMMYFUNCTION("""COMPUTED_VALUE"""),"Estrela 2")</f>
        <v>Estrela 2</v>
      </c>
      <c r="P55" s="5">
        <f>IFERROR(__xludf.DUMMYFUNCTION("""COMPUTED_VALUE"""),14.0)</f>
        <v>14</v>
      </c>
      <c r="Q55" s="5" t="str">
        <f>IFERROR(__xludf.DUMMYFUNCTION("""COMPUTED_VALUE"""),"The Lord of the Rings: The Two Towers")</f>
        <v>The Lord of the Rings: The Two Towers</v>
      </c>
      <c r="R55" s="5" t="str">
        <f>IFERROR(__xludf.DUMMYFUNCTION("""COMPUTED_VALUE"""),"Ian McKellen")</f>
        <v>Ian McKellen</v>
      </c>
      <c r="S55" s="5" t="str">
        <f>IFERROR(__xludf.DUMMYFUNCTION("""COMPUTED_VALUE"""),"Estrela 2")</f>
        <v>Estrela 2</v>
      </c>
    </row>
    <row r="56">
      <c r="A56" s="1">
        <v>55.0</v>
      </c>
      <c r="B56" s="1" t="s">
        <v>435</v>
      </c>
      <c r="C56" s="1" t="s">
        <v>438</v>
      </c>
      <c r="D56" s="1" t="s">
        <v>439</v>
      </c>
      <c r="E56" s="1" t="s">
        <v>440</v>
      </c>
      <c r="F56" s="1" t="s">
        <v>441</v>
      </c>
      <c r="G56" s="5" t="str">
        <f>IFERROR(__xludf.DUMMYFUNCTION("""COMPUTED_VALUE"""),"14🤙🏼The Lord of the Rings: The Two Towers🤙🏼Viggo Mortensen🤙🏼Estrela 3")</f>
        <v>14🤙🏼The Lord of the Rings: The Two Towers🤙🏼Viggo Mortensen🤙🏼Estrela 3</v>
      </c>
      <c r="H56" s="5">
        <f>IFERROR(__xludf.DUMMYFUNCTION("SPLiT(G56, ""🤙🏼"",FALSE,FALSE)"),14.0)</f>
        <v>14</v>
      </c>
      <c r="I56" s="5" t="str">
        <f>IFERROR(__xludf.DUMMYFUNCTION("""COMPUTED_VALUE"""),"The Lord of the Rings: The Two Towers")</f>
        <v>The Lord of the Rings: The Two Towers</v>
      </c>
      <c r="J56" s="5" t="str">
        <f>IFERROR(__xludf.DUMMYFUNCTION("""COMPUTED_VALUE"""),"Viggo Mortensen")</f>
        <v>Viggo Mortensen</v>
      </c>
      <c r="K56" s="5" t="str">
        <f>IFERROR(__xludf.DUMMYFUNCTION("""COMPUTED_VALUE"""),"Estrela 3")</f>
        <v>Estrela 3</v>
      </c>
      <c r="P56" s="5">
        <f>IFERROR(__xludf.DUMMYFUNCTION("""COMPUTED_VALUE"""),14.0)</f>
        <v>14</v>
      </c>
      <c r="Q56" s="5" t="str">
        <f>IFERROR(__xludf.DUMMYFUNCTION("""COMPUTED_VALUE"""),"The Lord of the Rings: The Two Towers")</f>
        <v>The Lord of the Rings: The Two Towers</v>
      </c>
      <c r="R56" s="5" t="str">
        <f>IFERROR(__xludf.DUMMYFUNCTION("""COMPUTED_VALUE"""),"Viggo Mortensen")</f>
        <v>Viggo Mortensen</v>
      </c>
      <c r="S56" s="5" t="str">
        <f>IFERROR(__xludf.DUMMYFUNCTION("""COMPUTED_VALUE"""),"Estrela 3")</f>
        <v>Estrela 3</v>
      </c>
    </row>
    <row r="57">
      <c r="A57" s="1">
        <v>56.0</v>
      </c>
      <c r="B57" s="1" t="s">
        <v>442</v>
      </c>
      <c r="C57" s="1" t="s">
        <v>446</v>
      </c>
      <c r="D57" s="1" t="s">
        <v>183</v>
      </c>
      <c r="E57" s="1" t="s">
        <v>447</v>
      </c>
      <c r="F57" s="1" t="s">
        <v>448</v>
      </c>
      <c r="G57" s="5" t="str">
        <f>IFERROR(__xludf.DUMMYFUNCTION("""COMPUTED_VALUE"""),"14🤙🏼The Lord of the Rings: The Two Towers🤙🏼Orlando Bloom🤙🏼Estrela 4")</f>
        <v>14🤙🏼The Lord of the Rings: The Two Towers🤙🏼Orlando Bloom🤙🏼Estrela 4</v>
      </c>
      <c r="H57" s="5">
        <f>IFERROR(__xludf.DUMMYFUNCTION("SPLiT(G57, ""🤙🏼"",FALSE,FALSE)"),14.0)</f>
        <v>14</v>
      </c>
      <c r="I57" s="5" t="str">
        <f>IFERROR(__xludf.DUMMYFUNCTION("""COMPUTED_VALUE"""),"The Lord of the Rings: The Two Towers")</f>
        <v>The Lord of the Rings: The Two Towers</v>
      </c>
      <c r="J57" s="5" t="str">
        <f>IFERROR(__xludf.DUMMYFUNCTION("""COMPUTED_VALUE"""),"Orlando Bloom")</f>
        <v>Orlando Bloom</v>
      </c>
      <c r="K57" s="5" t="str">
        <f>IFERROR(__xludf.DUMMYFUNCTION("""COMPUTED_VALUE"""),"Estrela 4")</f>
        <v>Estrela 4</v>
      </c>
      <c r="P57" s="5">
        <f>IFERROR(__xludf.DUMMYFUNCTION("""COMPUTED_VALUE"""),14.0)</f>
        <v>14</v>
      </c>
      <c r="Q57" s="5" t="str">
        <f>IFERROR(__xludf.DUMMYFUNCTION("""COMPUTED_VALUE"""),"The Lord of the Rings: The Two Towers")</f>
        <v>The Lord of the Rings: The Two Towers</v>
      </c>
      <c r="R57" s="5" t="str">
        <f>IFERROR(__xludf.DUMMYFUNCTION("""COMPUTED_VALUE"""),"Orlando Bloom")</f>
        <v>Orlando Bloom</v>
      </c>
      <c r="S57" s="5" t="str">
        <f>IFERROR(__xludf.DUMMYFUNCTION("""COMPUTED_VALUE"""),"Estrela 4")</f>
        <v>Estrela 4</v>
      </c>
    </row>
    <row r="58">
      <c r="A58" s="1">
        <v>57.0</v>
      </c>
      <c r="B58" s="1" t="s">
        <v>449</v>
      </c>
      <c r="C58" s="1" t="s">
        <v>453</v>
      </c>
      <c r="D58" s="1" t="s">
        <v>454</v>
      </c>
      <c r="E58" s="1" t="s">
        <v>455</v>
      </c>
      <c r="F58" s="1" t="s">
        <v>456</v>
      </c>
      <c r="G58" s="5" t="str">
        <f>IFERROR(__xludf.DUMMYFUNCTION("""COMPUTED_VALUE"""),"15🤙🏼The Matrix🤙🏼Lilly Wachowski🤙🏼Estrela 1")</f>
        <v>15🤙🏼The Matrix🤙🏼Lilly Wachowski🤙🏼Estrela 1</v>
      </c>
      <c r="H58" s="5">
        <f>IFERROR(__xludf.DUMMYFUNCTION("SPLiT(G58, ""🤙🏼"",FALSE,FALSE)"),15.0)</f>
        <v>15</v>
      </c>
      <c r="I58" s="5" t="str">
        <f>IFERROR(__xludf.DUMMYFUNCTION("""COMPUTED_VALUE"""),"The Matrix")</f>
        <v>The Matrix</v>
      </c>
      <c r="J58" s="5" t="str">
        <f>IFERROR(__xludf.DUMMYFUNCTION("""COMPUTED_VALUE"""),"Lilly Wachowski")</f>
        <v>Lilly Wachowski</v>
      </c>
      <c r="K58" s="5" t="str">
        <f>IFERROR(__xludf.DUMMYFUNCTION("""COMPUTED_VALUE"""),"Estrela 1")</f>
        <v>Estrela 1</v>
      </c>
      <c r="P58" s="5">
        <f>IFERROR(__xludf.DUMMYFUNCTION("""COMPUTED_VALUE"""),15.0)</f>
        <v>15</v>
      </c>
      <c r="Q58" s="5" t="str">
        <f>IFERROR(__xludf.DUMMYFUNCTION("""COMPUTED_VALUE"""),"The Matrix")</f>
        <v>The Matrix</v>
      </c>
      <c r="R58" s="5" t="str">
        <f>IFERROR(__xludf.DUMMYFUNCTION("""COMPUTED_VALUE"""),"Lilly Wachowski")</f>
        <v>Lilly Wachowski</v>
      </c>
      <c r="S58" s="5" t="str">
        <f>IFERROR(__xludf.DUMMYFUNCTION("""COMPUTED_VALUE"""),"Estrela 1")</f>
        <v>Estrela 1</v>
      </c>
    </row>
    <row r="59">
      <c r="A59" s="1">
        <v>58.0</v>
      </c>
      <c r="B59" s="1" t="s">
        <v>457</v>
      </c>
      <c r="C59" s="1" t="s">
        <v>461</v>
      </c>
      <c r="D59" s="1" t="s">
        <v>462</v>
      </c>
      <c r="E59" s="1" t="s">
        <v>463</v>
      </c>
      <c r="F59" s="1" t="s">
        <v>464</v>
      </c>
      <c r="G59" s="5" t="str">
        <f>IFERROR(__xludf.DUMMYFUNCTION("""COMPUTED_VALUE"""),"15🤙🏼The Matrix🤙🏼Keanu Reeves🤙🏼Estrela 2")</f>
        <v>15🤙🏼The Matrix🤙🏼Keanu Reeves🤙🏼Estrela 2</v>
      </c>
      <c r="H59" s="5">
        <f>IFERROR(__xludf.DUMMYFUNCTION("SPLiT(G59, ""🤙🏼"",FALSE,FALSE)"),15.0)</f>
        <v>15</v>
      </c>
      <c r="I59" s="5" t="str">
        <f>IFERROR(__xludf.DUMMYFUNCTION("""COMPUTED_VALUE"""),"The Matrix")</f>
        <v>The Matrix</v>
      </c>
      <c r="J59" s="5" t="str">
        <f>IFERROR(__xludf.DUMMYFUNCTION("""COMPUTED_VALUE"""),"Keanu Reeves")</f>
        <v>Keanu Reeves</v>
      </c>
      <c r="K59" s="5" t="str">
        <f>IFERROR(__xludf.DUMMYFUNCTION("""COMPUTED_VALUE"""),"Estrela 2")</f>
        <v>Estrela 2</v>
      </c>
      <c r="P59" s="5">
        <f>IFERROR(__xludf.DUMMYFUNCTION("""COMPUTED_VALUE"""),15.0)</f>
        <v>15</v>
      </c>
      <c r="Q59" s="5" t="str">
        <f>IFERROR(__xludf.DUMMYFUNCTION("""COMPUTED_VALUE"""),"The Matrix")</f>
        <v>The Matrix</v>
      </c>
      <c r="R59" s="5" t="str">
        <f>IFERROR(__xludf.DUMMYFUNCTION("""COMPUTED_VALUE"""),"Keanu Reeves")</f>
        <v>Keanu Reeves</v>
      </c>
      <c r="S59" s="5" t="str">
        <f>IFERROR(__xludf.DUMMYFUNCTION("""COMPUTED_VALUE"""),"Estrela 2")</f>
        <v>Estrela 2</v>
      </c>
    </row>
    <row r="60">
      <c r="A60" s="1">
        <v>59.0</v>
      </c>
      <c r="B60" s="1" t="s">
        <v>465</v>
      </c>
      <c r="C60" s="1" t="s">
        <v>470</v>
      </c>
      <c r="D60" s="1" t="s">
        <v>471</v>
      </c>
      <c r="E60" s="1" t="s">
        <v>472</v>
      </c>
      <c r="F60" s="1" t="s">
        <v>473</v>
      </c>
      <c r="G60" s="5" t="str">
        <f>IFERROR(__xludf.DUMMYFUNCTION("""COMPUTED_VALUE"""),"15🤙🏼The Matrix🤙🏼Laurence Fishburne🤙🏼Estrela 3")</f>
        <v>15🤙🏼The Matrix🤙🏼Laurence Fishburne🤙🏼Estrela 3</v>
      </c>
      <c r="H60" s="5">
        <f>IFERROR(__xludf.DUMMYFUNCTION("SPLiT(G60, ""🤙🏼"",FALSE,FALSE)"),15.0)</f>
        <v>15</v>
      </c>
      <c r="I60" s="5" t="str">
        <f>IFERROR(__xludf.DUMMYFUNCTION("""COMPUTED_VALUE"""),"The Matrix")</f>
        <v>The Matrix</v>
      </c>
      <c r="J60" s="5" t="str">
        <f>IFERROR(__xludf.DUMMYFUNCTION("""COMPUTED_VALUE"""),"Laurence Fishburne")</f>
        <v>Laurence Fishburne</v>
      </c>
      <c r="K60" s="5" t="str">
        <f>IFERROR(__xludf.DUMMYFUNCTION("""COMPUTED_VALUE"""),"Estrela 3")</f>
        <v>Estrela 3</v>
      </c>
      <c r="P60" s="5">
        <f>IFERROR(__xludf.DUMMYFUNCTION("""COMPUTED_VALUE"""),15.0)</f>
        <v>15</v>
      </c>
      <c r="Q60" s="5" t="str">
        <f>IFERROR(__xludf.DUMMYFUNCTION("""COMPUTED_VALUE"""),"The Matrix")</f>
        <v>The Matrix</v>
      </c>
      <c r="R60" s="5" t="str">
        <f>IFERROR(__xludf.DUMMYFUNCTION("""COMPUTED_VALUE"""),"Laurence Fishburne")</f>
        <v>Laurence Fishburne</v>
      </c>
      <c r="S60" s="5" t="str">
        <f>IFERROR(__xludf.DUMMYFUNCTION("""COMPUTED_VALUE"""),"Estrela 3")</f>
        <v>Estrela 3</v>
      </c>
    </row>
    <row r="61">
      <c r="A61" s="1">
        <v>60.0</v>
      </c>
      <c r="B61" s="1" t="s">
        <v>474</v>
      </c>
      <c r="C61" s="1" t="s">
        <v>478</v>
      </c>
      <c r="D61" s="1" t="s">
        <v>479</v>
      </c>
      <c r="E61" s="1" t="s">
        <v>480</v>
      </c>
      <c r="F61" s="1" t="s">
        <v>481</v>
      </c>
      <c r="G61" s="5" t="str">
        <f>IFERROR(__xludf.DUMMYFUNCTION("""COMPUTED_VALUE"""),"15🤙🏼The Matrix🤙🏼Carrie-Anne Moss🤙🏼Estrela 4")</f>
        <v>15🤙🏼The Matrix🤙🏼Carrie-Anne Moss🤙🏼Estrela 4</v>
      </c>
      <c r="H61" s="5">
        <f>IFERROR(__xludf.DUMMYFUNCTION("SPLiT(G61, ""🤙🏼"",FALSE,FALSE)"),15.0)</f>
        <v>15</v>
      </c>
      <c r="I61" s="5" t="str">
        <f>IFERROR(__xludf.DUMMYFUNCTION("""COMPUTED_VALUE"""),"The Matrix")</f>
        <v>The Matrix</v>
      </c>
      <c r="J61" s="5" t="str">
        <f>IFERROR(__xludf.DUMMYFUNCTION("""COMPUTED_VALUE"""),"Carrie-Anne Moss")</f>
        <v>Carrie-Anne Moss</v>
      </c>
      <c r="K61" s="5" t="str">
        <f>IFERROR(__xludf.DUMMYFUNCTION("""COMPUTED_VALUE"""),"Estrela 4")</f>
        <v>Estrela 4</v>
      </c>
      <c r="P61" s="5">
        <f>IFERROR(__xludf.DUMMYFUNCTION("""COMPUTED_VALUE"""),15.0)</f>
        <v>15</v>
      </c>
      <c r="Q61" s="5" t="str">
        <f>IFERROR(__xludf.DUMMYFUNCTION("""COMPUTED_VALUE"""),"The Matrix")</f>
        <v>The Matrix</v>
      </c>
      <c r="R61" s="5" t="str">
        <f>IFERROR(__xludf.DUMMYFUNCTION("""COMPUTED_VALUE"""),"Carrie-Anne Moss")</f>
        <v>Carrie-Anne Moss</v>
      </c>
      <c r="S61" s="5" t="str">
        <f>IFERROR(__xludf.DUMMYFUNCTION("""COMPUTED_VALUE"""),"Estrela 4")</f>
        <v>Estrela 4</v>
      </c>
    </row>
    <row r="62">
      <c r="A62" s="1">
        <v>61.0</v>
      </c>
      <c r="B62" s="1" t="s">
        <v>482</v>
      </c>
      <c r="C62" s="1" t="s">
        <v>478</v>
      </c>
      <c r="D62" s="1" t="s">
        <v>479</v>
      </c>
      <c r="E62" s="1" t="s">
        <v>485</v>
      </c>
      <c r="F62" s="1" t="s">
        <v>481</v>
      </c>
      <c r="G62" s="5" t="str">
        <f>IFERROR(__xludf.DUMMYFUNCTION("""COMPUTED_VALUE"""),"16🤙🏼Goodfellas🤙🏼Robert De Niro🤙🏼Estrela 1")</f>
        <v>16🤙🏼Goodfellas🤙🏼Robert De Niro🤙🏼Estrela 1</v>
      </c>
      <c r="H62" s="5">
        <f>IFERROR(__xludf.DUMMYFUNCTION("SPLiT(G62, ""🤙🏼"",FALSE,FALSE)"),16.0)</f>
        <v>16</v>
      </c>
      <c r="I62" s="5" t="str">
        <f>IFERROR(__xludf.DUMMYFUNCTION("""COMPUTED_VALUE"""),"Goodfellas")</f>
        <v>Goodfellas</v>
      </c>
      <c r="J62" s="5" t="str">
        <f>IFERROR(__xludf.DUMMYFUNCTION("""COMPUTED_VALUE"""),"Robert De Niro")</f>
        <v>Robert De Niro</v>
      </c>
      <c r="K62" s="5" t="str">
        <f>IFERROR(__xludf.DUMMYFUNCTION("""COMPUTED_VALUE"""),"Estrela 1")</f>
        <v>Estrela 1</v>
      </c>
      <c r="P62" s="5">
        <f>IFERROR(__xludf.DUMMYFUNCTION("""COMPUTED_VALUE"""),16.0)</f>
        <v>16</v>
      </c>
      <c r="Q62" s="5" t="str">
        <f>IFERROR(__xludf.DUMMYFUNCTION("""COMPUTED_VALUE"""),"Goodfellas")</f>
        <v>Goodfellas</v>
      </c>
      <c r="R62" s="5" t="str">
        <f>IFERROR(__xludf.DUMMYFUNCTION("""COMPUTED_VALUE"""),"Robert De Niro")</f>
        <v>Robert De Niro</v>
      </c>
      <c r="S62" s="5" t="str">
        <f>IFERROR(__xludf.DUMMYFUNCTION("""COMPUTED_VALUE"""),"Estrela 1")</f>
        <v>Estrela 1</v>
      </c>
    </row>
    <row r="63">
      <c r="A63" s="1">
        <v>62.0</v>
      </c>
      <c r="B63" s="1" t="s">
        <v>486</v>
      </c>
      <c r="C63" s="1" t="s">
        <v>490</v>
      </c>
      <c r="D63" s="1" t="s">
        <v>491</v>
      </c>
      <c r="E63" s="1" t="s">
        <v>492</v>
      </c>
      <c r="F63" s="1" t="s">
        <v>493</v>
      </c>
      <c r="G63" s="5" t="str">
        <f>IFERROR(__xludf.DUMMYFUNCTION("""COMPUTED_VALUE"""),"16🤙🏼Goodfellas🤙🏼Ray Liotta🤙🏼Estrela 2")</f>
        <v>16🤙🏼Goodfellas🤙🏼Ray Liotta🤙🏼Estrela 2</v>
      </c>
      <c r="H63" s="5">
        <f>IFERROR(__xludf.DUMMYFUNCTION("SPLiT(G63, ""🤙🏼"",FALSE,FALSE)"),16.0)</f>
        <v>16</v>
      </c>
      <c r="I63" s="5" t="str">
        <f>IFERROR(__xludf.DUMMYFUNCTION("""COMPUTED_VALUE"""),"Goodfellas")</f>
        <v>Goodfellas</v>
      </c>
      <c r="J63" s="5" t="str">
        <f>IFERROR(__xludf.DUMMYFUNCTION("""COMPUTED_VALUE"""),"Ray Liotta")</f>
        <v>Ray Liotta</v>
      </c>
      <c r="K63" s="5" t="str">
        <f>IFERROR(__xludf.DUMMYFUNCTION("""COMPUTED_VALUE"""),"Estrela 2")</f>
        <v>Estrela 2</v>
      </c>
      <c r="P63" s="5">
        <f>IFERROR(__xludf.DUMMYFUNCTION("""COMPUTED_VALUE"""),16.0)</f>
        <v>16</v>
      </c>
      <c r="Q63" s="5" t="str">
        <f>IFERROR(__xludf.DUMMYFUNCTION("""COMPUTED_VALUE"""),"Goodfellas")</f>
        <v>Goodfellas</v>
      </c>
      <c r="R63" s="5" t="str">
        <f>IFERROR(__xludf.DUMMYFUNCTION("""COMPUTED_VALUE"""),"Ray Liotta")</f>
        <v>Ray Liotta</v>
      </c>
      <c r="S63" s="5" t="str">
        <f>IFERROR(__xludf.DUMMYFUNCTION("""COMPUTED_VALUE"""),"Estrela 2")</f>
        <v>Estrela 2</v>
      </c>
    </row>
    <row r="64">
      <c r="A64" s="1">
        <v>63.0</v>
      </c>
      <c r="B64" s="1" t="s">
        <v>494</v>
      </c>
      <c r="C64" s="1" t="s">
        <v>497</v>
      </c>
      <c r="D64" s="1" t="s">
        <v>498</v>
      </c>
      <c r="E64" s="1" t="s">
        <v>90</v>
      </c>
      <c r="F64" s="1" t="s">
        <v>499</v>
      </c>
      <c r="G64" s="5" t="str">
        <f>IFERROR(__xludf.DUMMYFUNCTION("""COMPUTED_VALUE"""),"16🤙🏼Goodfellas🤙🏼Joe Pesci🤙🏼Estrela 3")</f>
        <v>16🤙🏼Goodfellas🤙🏼Joe Pesci🤙🏼Estrela 3</v>
      </c>
      <c r="H64" s="5">
        <f>IFERROR(__xludf.DUMMYFUNCTION("SPLiT(G64, ""🤙🏼"",FALSE,FALSE)"),16.0)</f>
        <v>16</v>
      </c>
      <c r="I64" s="5" t="str">
        <f>IFERROR(__xludf.DUMMYFUNCTION("""COMPUTED_VALUE"""),"Goodfellas")</f>
        <v>Goodfellas</v>
      </c>
      <c r="J64" s="5" t="str">
        <f>IFERROR(__xludf.DUMMYFUNCTION("""COMPUTED_VALUE"""),"Joe Pesci")</f>
        <v>Joe Pesci</v>
      </c>
      <c r="K64" s="5" t="str">
        <f>IFERROR(__xludf.DUMMYFUNCTION("""COMPUTED_VALUE"""),"Estrela 3")</f>
        <v>Estrela 3</v>
      </c>
      <c r="P64" s="5">
        <f>IFERROR(__xludf.DUMMYFUNCTION("""COMPUTED_VALUE"""),16.0)</f>
        <v>16</v>
      </c>
      <c r="Q64" s="5" t="str">
        <f>IFERROR(__xludf.DUMMYFUNCTION("""COMPUTED_VALUE"""),"Goodfellas")</f>
        <v>Goodfellas</v>
      </c>
      <c r="R64" s="5" t="str">
        <f>IFERROR(__xludf.DUMMYFUNCTION("""COMPUTED_VALUE"""),"Joe Pesci")</f>
        <v>Joe Pesci</v>
      </c>
      <c r="S64" s="5" t="str">
        <f>IFERROR(__xludf.DUMMYFUNCTION("""COMPUTED_VALUE"""),"Estrela 3")</f>
        <v>Estrela 3</v>
      </c>
    </row>
    <row r="65">
      <c r="A65" s="1">
        <v>64.0</v>
      </c>
      <c r="B65" s="1" t="s">
        <v>500</v>
      </c>
      <c r="C65" s="1" t="s">
        <v>42</v>
      </c>
      <c r="D65" s="1" t="s">
        <v>504</v>
      </c>
      <c r="E65" s="1" t="s">
        <v>191</v>
      </c>
      <c r="F65" s="1" t="s">
        <v>347</v>
      </c>
      <c r="G65" s="5" t="str">
        <f>IFERROR(__xludf.DUMMYFUNCTION("""COMPUTED_VALUE"""),"16🤙🏼Goodfellas🤙🏼Lorraine Bracco🤙🏼Estrela 4")</f>
        <v>16🤙🏼Goodfellas🤙🏼Lorraine Bracco🤙🏼Estrela 4</v>
      </c>
      <c r="H65" s="5">
        <f>IFERROR(__xludf.DUMMYFUNCTION("SPLiT(G65, ""🤙🏼"",FALSE,FALSE)"),16.0)</f>
        <v>16</v>
      </c>
      <c r="I65" s="5" t="str">
        <f>IFERROR(__xludf.DUMMYFUNCTION("""COMPUTED_VALUE"""),"Goodfellas")</f>
        <v>Goodfellas</v>
      </c>
      <c r="J65" s="5" t="str">
        <f>IFERROR(__xludf.DUMMYFUNCTION("""COMPUTED_VALUE"""),"Lorraine Bracco")</f>
        <v>Lorraine Bracco</v>
      </c>
      <c r="K65" s="5" t="str">
        <f>IFERROR(__xludf.DUMMYFUNCTION("""COMPUTED_VALUE"""),"Estrela 4")</f>
        <v>Estrela 4</v>
      </c>
      <c r="P65" s="5">
        <f>IFERROR(__xludf.DUMMYFUNCTION("""COMPUTED_VALUE"""),16.0)</f>
        <v>16</v>
      </c>
      <c r="Q65" s="5" t="str">
        <f>IFERROR(__xludf.DUMMYFUNCTION("""COMPUTED_VALUE"""),"Goodfellas")</f>
        <v>Goodfellas</v>
      </c>
      <c r="R65" s="5" t="str">
        <f>IFERROR(__xludf.DUMMYFUNCTION("""COMPUTED_VALUE"""),"Lorraine Bracco")</f>
        <v>Lorraine Bracco</v>
      </c>
      <c r="S65" s="5" t="str">
        <f>IFERROR(__xludf.DUMMYFUNCTION("""COMPUTED_VALUE"""),"Estrela 4")</f>
        <v>Estrela 4</v>
      </c>
    </row>
    <row r="66">
      <c r="A66" s="1">
        <v>65.0</v>
      </c>
      <c r="B66" s="1" t="s">
        <v>505</v>
      </c>
      <c r="C66" s="1" t="s">
        <v>461</v>
      </c>
      <c r="D66" s="1" t="s">
        <v>183</v>
      </c>
      <c r="E66" s="1" t="s">
        <v>510</v>
      </c>
      <c r="F66" s="1" t="s">
        <v>511</v>
      </c>
      <c r="G66" s="5" t="str">
        <f>IFERROR(__xludf.DUMMYFUNCTION("""COMPUTED_VALUE"""),"17🤙🏼Star Wars: Episode V - The Empire Strikes Back🤙🏼Mark Hamill🤙🏼Estrela 1")</f>
        <v>17🤙🏼Star Wars: Episode V - The Empire Strikes Back🤙🏼Mark Hamill🤙🏼Estrela 1</v>
      </c>
      <c r="H66" s="5">
        <f>IFERROR(__xludf.DUMMYFUNCTION("SPLiT(G66, ""🤙🏼"",FALSE,FALSE)"),17.0)</f>
        <v>17</v>
      </c>
      <c r="I66" s="5" t="str">
        <f>IFERROR(__xludf.DUMMYFUNCTION("""COMPUTED_VALUE"""),"Star Wars: Episode V - The Empire Strikes Back")</f>
        <v>Star Wars: Episode V - The Empire Strikes Back</v>
      </c>
      <c r="J66" s="5" t="str">
        <f>IFERROR(__xludf.DUMMYFUNCTION("""COMPUTED_VALUE"""),"Mark Hamill")</f>
        <v>Mark Hamill</v>
      </c>
      <c r="K66" s="5" t="str">
        <f>IFERROR(__xludf.DUMMYFUNCTION("""COMPUTED_VALUE"""),"Estrela 1")</f>
        <v>Estrela 1</v>
      </c>
      <c r="P66" s="5">
        <f>IFERROR(__xludf.DUMMYFUNCTION("""COMPUTED_VALUE"""),17.0)</f>
        <v>17</v>
      </c>
      <c r="Q66" s="5" t="str">
        <f>IFERROR(__xludf.DUMMYFUNCTION("""COMPUTED_VALUE"""),"Star Wars: Episode V - The Empire Strikes Back")</f>
        <v>Star Wars: Episode V - The Empire Strikes Back</v>
      </c>
      <c r="R66" s="5" t="str">
        <f>IFERROR(__xludf.DUMMYFUNCTION("""COMPUTED_VALUE"""),"Mark Hamill")</f>
        <v>Mark Hamill</v>
      </c>
      <c r="S66" s="5" t="str">
        <f>IFERROR(__xludf.DUMMYFUNCTION("""COMPUTED_VALUE"""),"Estrela 1")</f>
        <v>Estrela 1</v>
      </c>
    </row>
    <row r="67">
      <c r="A67" s="1">
        <v>66.0</v>
      </c>
      <c r="B67" s="1" t="s">
        <v>512</v>
      </c>
      <c r="C67" s="1" t="s">
        <v>515</v>
      </c>
      <c r="D67" s="1" t="s">
        <v>516</v>
      </c>
      <c r="E67" s="1" t="s">
        <v>461</v>
      </c>
      <c r="F67" s="1" t="s">
        <v>517</v>
      </c>
      <c r="G67" s="5" t="str">
        <f>IFERROR(__xludf.DUMMYFUNCTION("""COMPUTED_VALUE"""),"17🤙🏼Star Wars: Episode V - The Empire Strikes Back🤙🏼Harrison Ford🤙🏼Estrela 2")</f>
        <v>17🤙🏼Star Wars: Episode V - The Empire Strikes Back🤙🏼Harrison Ford🤙🏼Estrela 2</v>
      </c>
      <c r="H67" s="5">
        <f>IFERROR(__xludf.DUMMYFUNCTION("SPLiT(G67, ""🤙🏼"",FALSE,FALSE)"),17.0)</f>
        <v>17</v>
      </c>
      <c r="I67" s="5" t="str">
        <f>IFERROR(__xludf.DUMMYFUNCTION("""COMPUTED_VALUE"""),"Star Wars: Episode V - The Empire Strikes Back")</f>
        <v>Star Wars: Episode V - The Empire Strikes Back</v>
      </c>
      <c r="J67" s="5" t="str">
        <f>IFERROR(__xludf.DUMMYFUNCTION("""COMPUTED_VALUE"""),"Harrison Ford")</f>
        <v>Harrison Ford</v>
      </c>
      <c r="K67" s="5" t="str">
        <f>IFERROR(__xludf.DUMMYFUNCTION("""COMPUTED_VALUE"""),"Estrela 2")</f>
        <v>Estrela 2</v>
      </c>
      <c r="P67" s="5">
        <f>IFERROR(__xludf.DUMMYFUNCTION("""COMPUTED_VALUE"""),17.0)</f>
        <v>17</v>
      </c>
      <c r="Q67" s="5" t="str">
        <f>IFERROR(__xludf.DUMMYFUNCTION("""COMPUTED_VALUE"""),"Star Wars: Episode V - The Empire Strikes Back")</f>
        <v>Star Wars: Episode V - The Empire Strikes Back</v>
      </c>
      <c r="R67" s="5" t="str">
        <f>IFERROR(__xludf.DUMMYFUNCTION("""COMPUTED_VALUE"""),"Harrison Ford")</f>
        <v>Harrison Ford</v>
      </c>
      <c r="S67" s="5" t="str">
        <f>IFERROR(__xludf.DUMMYFUNCTION("""COMPUTED_VALUE"""),"Estrela 2")</f>
        <v>Estrela 2</v>
      </c>
    </row>
    <row r="68">
      <c r="A68" s="1">
        <v>67.0</v>
      </c>
      <c r="B68" s="1" t="s">
        <v>518</v>
      </c>
      <c r="C68" s="1" t="s">
        <v>522</v>
      </c>
      <c r="D68" s="1" t="s">
        <v>523</v>
      </c>
      <c r="E68" s="1" t="s">
        <v>524</v>
      </c>
      <c r="F68" s="1" t="s">
        <v>525</v>
      </c>
      <c r="G68" s="5" t="str">
        <f>IFERROR(__xludf.DUMMYFUNCTION("""COMPUTED_VALUE"""),"17🤙🏼Star Wars: Episode V - The Empire Strikes Back🤙🏼Carrie Fisher🤙🏼Estrela 3")</f>
        <v>17🤙🏼Star Wars: Episode V - The Empire Strikes Back🤙🏼Carrie Fisher🤙🏼Estrela 3</v>
      </c>
      <c r="H68" s="5">
        <f>IFERROR(__xludf.DUMMYFUNCTION("SPLiT(G68, ""🤙🏼"",FALSE,FALSE)"),17.0)</f>
        <v>17</v>
      </c>
      <c r="I68" s="5" t="str">
        <f>IFERROR(__xludf.DUMMYFUNCTION("""COMPUTED_VALUE"""),"Star Wars: Episode V - The Empire Strikes Back")</f>
        <v>Star Wars: Episode V - The Empire Strikes Back</v>
      </c>
      <c r="J68" s="5" t="str">
        <f>IFERROR(__xludf.DUMMYFUNCTION("""COMPUTED_VALUE"""),"Carrie Fisher")</f>
        <v>Carrie Fisher</v>
      </c>
      <c r="K68" s="5" t="str">
        <f>IFERROR(__xludf.DUMMYFUNCTION("""COMPUTED_VALUE"""),"Estrela 3")</f>
        <v>Estrela 3</v>
      </c>
      <c r="P68" s="5">
        <f>IFERROR(__xludf.DUMMYFUNCTION("""COMPUTED_VALUE"""),17.0)</f>
        <v>17</v>
      </c>
      <c r="Q68" s="5" t="str">
        <f>IFERROR(__xludf.DUMMYFUNCTION("""COMPUTED_VALUE"""),"Star Wars: Episode V - The Empire Strikes Back")</f>
        <v>Star Wars: Episode V - The Empire Strikes Back</v>
      </c>
      <c r="R68" s="5" t="str">
        <f>IFERROR(__xludf.DUMMYFUNCTION("""COMPUTED_VALUE"""),"Carrie Fisher")</f>
        <v>Carrie Fisher</v>
      </c>
      <c r="S68" s="5" t="str">
        <f>IFERROR(__xludf.DUMMYFUNCTION("""COMPUTED_VALUE"""),"Estrela 3")</f>
        <v>Estrela 3</v>
      </c>
    </row>
    <row r="69">
      <c r="A69" s="1">
        <v>68.0</v>
      </c>
      <c r="B69" s="1" t="s">
        <v>526</v>
      </c>
      <c r="C69" s="1" t="s">
        <v>530</v>
      </c>
      <c r="D69" s="1" t="s">
        <v>531</v>
      </c>
      <c r="E69" s="1" t="s">
        <v>532</v>
      </c>
      <c r="F69" s="1" t="s">
        <v>533</v>
      </c>
      <c r="G69" s="5" t="str">
        <f>IFERROR(__xludf.DUMMYFUNCTION("""COMPUTED_VALUE"""),"17🤙🏼Star Wars: Episode V - The Empire Strikes Back🤙🏼Billy Dee Williams🤙🏼Estrela 4")</f>
        <v>17🤙🏼Star Wars: Episode V - The Empire Strikes Back🤙🏼Billy Dee Williams🤙🏼Estrela 4</v>
      </c>
      <c r="H69" s="5">
        <f>IFERROR(__xludf.DUMMYFUNCTION("SPLiT(G69, ""🤙🏼"",FALSE,FALSE)"),17.0)</f>
        <v>17</v>
      </c>
      <c r="I69" s="5" t="str">
        <f>IFERROR(__xludf.DUMMYFUNCTION("""COMPUTED_VALUE"""),"Star Wars: Episode V - The Empire Strikes Back")</f>
        <v>Star Wars: Episode V - The Empire Strikes Back</v>
      </c>
      <c r="J69" s="5" t="str">
        <f>IFERROR(__xludf.DUMMYFUNCTION("""COMPUTED_VALUE"""),"Billy Dee Williams")</f>
        <v>Billy Dee Williams</v>
      </c>
      <c r="K69" s="5" t="str">
        <f>IFERROR(__xludf.DUMMYFUNCTION("""COMPUTED_VALUE"""),"Estrela 4")</f>
        <v>Estrela 4</v>
      </c>
      <c r="P69" s="5">
        <f>IFERROR(__xludf.DUMMYFUNCTION("""COMPUTED_VALUE"""),17.0)</f>
        <v>17</v>
      </c>
      <c r="Q69" s="5" t="str">
        <f>IFERROR(__xludf.DUMMYFUNCTION("""COMPUTED_VALUE"""),"Star Wars: Episode V - The Empire Strikes Back")</f>
        <v>Star Wars: Episode V - The Empire Strikes Back</v>
      </c>
      <c r="R69" s="5" t="str">
        <f>IFERROR(__xludf.DUMMYFUNCTION("""COMPUTED_VALUE"""),"Billy Dee Williams")</f>
        <v>Billy Dee Williams</v>
      </c>
      <c r="S69" s="5" t="str">
        <f>IFERROR(__xludf.DUMMYFUNCTION("""COMPUTED_VALUE"""),"Estrela 4")</f>
        <v>Estrela 4</v>
      </c>
    </row>
    <row r="70">
      <c r="A70" s="1">
        <v>69.0</v>
      </c>
      <c r="B70" s="1" t="s">
        <v>534</v>
      </c>
      <c r="C70" s="1" t="s">
        <v>538</v>
      </c>
      <c r="D70" s="1" t="s">
        <v>539</v>
      </c>
      <c r="E70" s="1" t="s">
        <v>540</v>
      </c>
      <c r="F70" s="1" t="s">
        <v>541</v>
      </c>
      <c r="G70" s="5" t="str">
        <f>IFERROR(__xludf.DUMMYFUNCTION("""COMPUTED_VALUE"""),"18🤙🏼One Flew Over the Cuckoo's Nest🤙🏼Jack Nicholson🤙🏼Estrela 1")</f>
        <v>18🤙🏼One Flew Over the Cuckoo's Nest🤙🏼Jack Nicholson🤙🏼Estrela 1</v>
      </c>
      <c r="H70" s="5">
        <f>IFERROR(__xludf.DUMMYFUNCTION("SPLiT(G70, ""🤙🏼"",FALSE,FALSE)"),18.0)</f>
        <v>18</v>
      </c>
      <c r="I70" s="5" t="str">
        <f>IFERROR(__xludf.DUMMYFUNCTION("""COMPUTED_VALUE"""),"One Flew Over the Cuckoo's Nest")</f>
        <v>One Flew Over the Cuckoo's Nest</v>
      </c>
      <c r="J70" s="5" t="str">
        <f>IFERROR(__xludf.DUMMYFUNCTION("""COMPUTED_VALUE"""),"Jack Nicholson")</f>
        <v>Jack Nicholson</v>
      </c>
      <c r="K70" s="5" t="str">
        <f>IFERROR(__xludf.DUMMYFUNCTION("""COMPUTED_VALUE"""),"Estrela 1")</f>
        <v>Estrela 1</v>
      </c>
      <c r="P70" s="5">
        <f>IFERROR(__xludf.DUMMYFUNCTION("""COMPUTED_VALUE"""),18.0)</f>
        <v>18</v>
      </c>
      <c r="Q70" s="5" t="str">
        <f>IFERROR(__xludf.DUMMYFUNCTION("""COMPUTED_VALUE"""),"One Flew Over the Cuckoo's Nest")</f>
        <v>One Flew Over the Cuckoo's Nest</v>
      </c>
      <c r="R70" s="5" t="str">
        <f>IFERROR(__xludf.DUMMYFUNCTION("""COMPUTED_VALUE"""),"Jack Nicholson")</f>
        <v>Jack Nicholson</v>
      </c>
      <c r="S70" s="5" t="str">
        <f>IFERROR(__xludf.DUMMYFUNCTION("""COMPUTED_VALUE"""),"Estrela 1")</f>
        <v>Estrela 1</v>
      </c>
    </row>
    <row r="71">
      <c r="A71" s="1">
        <v>70.0</v>
      </c>
      <c r="B71" s="1" t="s">
        <v>542</v>
      </c>
      <c r="C71" s="1" t="s">
        <v>546</v>
      </c>
      <c r="D71" s="1" t="s">
        <v>134</v>
      </c>
      <c r="E71" s="1" t="s">
        <v>547</v>
      </c>
      <c r="F71" s="1" t="s">
        <v>548</v>
      </c>
      <c r="G71" s="5" t="str">
        <f>IFERROR(__xludf.DUMMYFUNCTION("""COMPUTED_VALUE"""),"18🤙🏼One Flew Over the Cuckoo's Nest🤙🏼Louise Fletcher🤙🏼Estrela 2")</f>
        <v>18🤙🏼One Flew Over the Cuckoo's Nest🤙🏼Louise Fletcher🤙🏼Estrela 2</v>
      </c>
      <c r="H71" s="5">
        <f>IFERROR(__xludf.DUMMYFUNCTION("SPLiT(G71, ""🤙🏼"",FALSE,FALSE)"),18.0)</f>
        <v>18</v>
      </c>
      <c r="I71" s="5" t="str">
        <f>IFERROR(__xludf.DUMMYFUNCTION("""COMPUTED_VALUE"""),"One Flew Over the Cuckoo's Nest")</f>
        <v>One Flew Over the Cuckoo's Nest</v>
      </c>
      <c r="J71" s="5" t="str">
        <f>IFERROR(__xludf.DUMMYFUNCTION("""COMPUTED_VALUE"""),"Louise Fletcher")</f>
        <v>Louise Fletcher</v>
      </c>
      <c r="K71" s="5" t="str">
        <f>IFERROR(__xludf.DUMMYFUNCTION("""COMPUTED_VALUE"""),"Estrela 2")</f>
        <v>Estrela 2</v>
      </c>
      <c r="P71" s="5">
        <f>IFERROR(__xludf.DUMMYFUNCTION("""COMPUTED_VALUE"""),18.0)</f>
        <v>18</v>
      </c>
      <c r="Q71" s="5" t="str">
        <f>IFERROR(__xludf.DUMMYFUNCTION("""COMPUTED_VALUE"""),"One Flew Over the Cuckoo's Nest")</f>
        <v>One Flew Over the Cuckoo's Nest</v>
      </c>
      <c r="R71" s="5" t="str">
        <f>IFERROR(__xludf.DUMMYFUNCTION("""COMPUTED_VALUE"""),"Louise Fletcher")</f>
        <v>Louise Fletcher</v>
      </c>
      <c r="S71" s="5" t="str">
        <f>IFERROR(__xludf.DUMMYFUNCTION("""COMPUTED_VALUE"""),"Estrela 2")</f>
        <v>Estrela 2</v>
      </c>
    </row>
    <row r="72">
      <c r="A72" s="1">
        <v>71.0</v>
      </c>
      <c r="B72" s="1" t="s">
        <v>549</v>
      </c>
      <c r="C72" s="1" t="s">
        <v>552</v>
      </c>
      <c r="D72" s="1" t="s">
        <v>553</v>
      </c>
      <c r="E72" s="1" t="s">
        <v>554</v>
      </c>
      <c r="F72" s="1" t="s">
        <v>555</v>
      </c>
      <c r="G72" s="5" t="str">
        <f>IFERROR(__xludf.DUMMYFUNCTION("""COMPUTED_VALUE"""),"18🤙🏼One Flew Over the Cuckoo's Nest🤙🏼Michael Berryman🤙🏼Estrela 3")</f>
        <v>18🤙🏼One Flew Over the Cuckoo's Nest🤙🏼Michael Berryman🤙🏼Estrela 3</v>
      </c>
      <c r="H72" s="5">
        <f>IFERROR(__xludf.DUMMYFUNCTION("SPLiT(G72, ""🤙🏼"",FALSE,FALSE)"),18.0)</f>
        <v>18</v>
      </c>
      <c r="I72" s="5" t="str">
        <f>IFERROR(__xludf.DUMMYFUNCTION("""COMPUTED_VALUE"""),"One Flew Over the Cuckoo's Nest")</f>
        <v>One Flew Over the Cuckoo's Nest</v>
      </c>
      <c r="J72" s="5" t="str">
        <f>IFERROR(__xludf.DUMMYFUNCTION("""COMPUTED_VALUE"""),"Michael Berryman")</f>
        <v>Michael Berryman</v>
      </c>
      <c r="K72" s="5" t="str">
        <f>IFERROR(__xludf.DUMMYFUNCTION("""COMPUTED_VALUE"""),"Estrela 3")</f>
        <v>Estrela 3</v>
      </c>
      <c r="P72" s="5">
        <f>IFERROR(__xludf.DUMMYFUNCTION("""COMPUTED_VALUE"""),18.0)</f>
        <v>18</v>
      </c>
      <c r="Q72" s="5" t="str">
        <f>IFERROR(__xludf.DUMMYFUNCTION("""COMPUTED_VALUE"""),"One Flew Over the Cuckoo's Nest")</f>
        <v>One Flew Over the Cuckoo's Nest</v>
      </c>
      <c r="R72" s="5" t="str">
        <f>IFERROR(__xludf.DUMMYFUNCTION("""COMPUTED_VALUE"""),"Michael Berryman")</f>
        <v>Michael Berryman</v>
      </c>
      <c r="S72" s="5" t="str">
        <f>IFERROR(__xludf.DUMMYFUNCTION("""COMPUTED_VALUE"""),"Estrela 3")</f>
        <v>Estrela 3</v>
      </c>
    </row>
    <row r="73">
      <c r="A73" s="1">
        <v>72.0</v>
      </c>
      <c r="B73" s="1" t="s">
        <v>556</v>
      </c>
      <c r="C73" s="1" t="s">
        <v>49</v>
      </c>
      <c r="D73" s="1" t="s">
        <v>559</v>
      </c>
      <c r="E73" s="1" t="s">
        <v>560</v>
      </c>
      <c r="F73" s="1" t="s">
        <v>561</v>
      </c>
      <c r="G73" s="5" t="str">
        <f>IFERROR(__xludf.DUMMYFUNCTION("""COMPUTED_VALUE"""),"18🤙🏼One Flew Over the Cuckoo's Nest🤙🏼Peter Brocco🤙🏼Estrela 4")</f>
        <v>18🤙🏼One Flew Over the Cuckoo's Nest🤙🏼Peter Brocco🤙🏼Estrela 4</v>
      </c>
      <c r="H73" s="5">
        <f>IFERROR(__xludf.DUMMYFUNCTION("SPLiT(G73, ""🤙🏼"",FALSE,FALSE)"),18.0)</f>
        <v>18</v>
      </c>
      <c r="I73" s="5" t="str">
        <f>IFERROR(__xludf.DUMMYFUNCTION("""COMPUTED_VALUE"""),"One Flew Over the Cuckoo's Nest")</f>
        <v>One Flew Over the Cuckoo's Nest</v>
      </c>
      <c r="J73" s="5" t="str">
        <f>IFERROR(__xludf.DUMMYFUNCTION("""COMPUTED_VALUE"""),"Peter Brocco")</f>
        <v>Peter Brocco</v>
      </c>
      <c r="K73" s="5" t="str">
        <f>IFERROR(__xludf.DUMMYFUNCTION("""COMPUTED_VALUE"""),"Estrela 4")</f>
        <v>Estrela 4</v>
      </c>
      <c r="P73" s="5">
        <f>IFERROR(__xludf.DUMMYFUNCTION("""COMPUTED_VALUE"""),18.0)</f>
        <v>18</v>
      </c>
      <c r="Q73" s="5" t="str">
        <f>IFERROR(__xludf.DUMMYFUNCTION("""COMPUTED_VALUE"""),"One Flew Over the Cuckoo's Nest")</f>
        <v>One Flew Over the Cuckoo's Nest</v>
      </c>
      <c r="R73" s="5" t="str">
        <f>IFERROR(__xludf.DUMMYFUNCTION("""COMPUTED_VALUE"""),"Peter Brocco")</f>
        <v>Peter Brocco</v>
      </c>
      <c r="S73" s="5" t="str">
        <f>IFERROR(__xludf.DUMMYFUNCTION("""COMPUTED_VALUE"""),"Estrela 4")</f>
        <v>Estrela 4</v>
      </c>
    </row>
    <row r="74">
      <c r="A74" s="1">
        <v>73.0</v>
      </c>
      <c r="B74" s="1" t="s">
        <v>562</v>
      </c>
      <c r="C74" s="1" t="s">
        <v>149</v>
      </c>
      <c r="D74" s="1" t="s">
        <v>565</v>
      </c>
      <c r="E74" s="1" t="s">
        <v>566</v>
      </c>
      <c r="F74" s="1" t="s">
        <v>567</v>
      </c>
      <c r="G74" s="5" t="str">
        <f>IFERROR(__xludf.DUMMYFUNCTION("""COMPUTED_VALUE"""),"19🤙🏼Hamilton🤙🏼Lin-Manuel Miranda🤙🏼Estrela 1")</f>
        <v>19🤙🏼Hamilton🤙🏼Lin-Manuel Miranda🤙🏼Estrela 1</v>
      </c>
      <c r="H74" s="5">
        <f>IFERROR(__xludf.DUMMYFUNCTION("SPLiT(G74, ""🤙🏼"",FALSE,FALSE)"),19.0)</f>
        <v>19</v>
      </c>
      <c r="I74" s="5" t="str">
        <f>IFERROR(__xludf.DUMMYFUNCTION("""COMPUTED_VALUE"""),"Hamilton")</f>
        <v>Hamilton</v>
      </c>
      <c r="J74" s="5" t="str">
        <f>IFERROR(__xludf.DUMMYFUNCTION("""COMPUTED_VALUE"""),"Lin-Manuel Miranda")</f>
        <v>Lin-Manuel Miranda</v>
      </c>
      <c r="K74" s="5" t="str">
        <f>IFERROR(__xludf.DUMMYFUNCTION("""COMPUTED_VALUE"""),"Estrela 1")</f>
        <v>Estrela 1</v>
      </c>
      <c r="P74" s="5">
        <f>IFERROR(__xludf.DUMMYFUNCTION("""COMPUTED_VALUE"""),19.0)</f>
        <v>19</v>
      </c>
      <c r="Q74" s="5" t="str">
        <f>IFERROR(__xludf.DUMMYFUNCTION("""COMPUTED_VALUE"""),"Hamilton")</f>
        <v>Hamilton</v>
      </c>
      <c r="R74" s="5" t="str">
        <f>IFERROR(__xludf.DUMMYFUNCTION("""COMPUTED_VALUE"""),"Lin-Manuel Miranda")</f>
        <v>Lin-Manuel Miranda</v>
      </c>
      <c r="S74" s="5" t="str">
        <f>IFERROR(__xludf.DUMMYFUNCTION("""COMPUTED_VALUE"""),"Estrela 1")</f>
        <v>Estrela 1</v>
      </c>
    </row>
    <row r="75">
      <c r="A75" s="1">
        <v>74.0</v>
      </c>
      <c r="B75" s="1" t="s">
        <v>568</v>
      </c>
      <c r="C75" s="1" t="s">
        <v>156</v>
      </c>
      <c r="D75" s="1" t="s">
        <v>572</v>
      </c>
      <c r="E75" s="1" t="s">
        <v>573</v>
      </c>
      <c r="F75" s="1" t="s">
        <v>574</v>
      </c>
      <c r="G75" s="5" t="str">
        <f>IFERROR(__xludf.DUMMYFUNCTION("""COMPUTED_VALUE"""),"19🤙🏼Hamilton🤙🏼Phillipa Soo🤙🏼Estrela 2")</f>
        <v>19🤙🏼Hamilton🤙🏼Phillipa Soo🤙🏼Estrela 2</v>
      </c>
      <c r="H75" s="5">
        <f>IFERROR(__xludf.DUMMYFUNCTION("SPLiT(G75, ""🤙🏼"",FALSE,FALSE)"),19.0)</f>
        <v>19</v>
      </c>
      <c r="I75" s="5" t="str">
        <f>IFERROR(__xludf.DUMMYFUNCTION("""COMPUTED_VALUE"""),"Hamilton")</f>
        <v>Hamilton</v>
      </c>
      <c r="J75" s="5" t="str">
        <f>IFERROR(__xludf.DUMMYFUNCTION("""COMPUTED_VALUE"""),"Phillipa Soo")</f>
        <v>Phillipa Soo</v>
      </c>
      <c r="K75" s="5" t="str">
        <f>IFERROR(__xludf.DUMMYFUNCTION("""COMPUTED_VALUE"""),"Estrela 2")</f>
        <v>Estrela 2</v>
      </c>
      <c r="P75" s="5">
        <f>IFERROR(__xludf.DUMMYFUNCTION("""COMPUTED_VALUE"""),19.0)</f>
        <v>19</v>
      </c>
      <c r="Q75" s="5" t="str">
        <f>IFERROR(__xludf.DUMMYFUNCTION("""COMPUTED_VALUE"""),"Hamilton")</f>
        <v>Hamilton</v>
      </c>
      <c r="R75" s="5" t="str">
        <f>IFERROR(__xludf.DUMMYFUNCTION("""COMPUTED_VALUE"""),"Phillipa Soo")</f>
        <v>Phillipa Soo</v>
      </c>
      <c r="S75" s="5" t="str">
        <f>IFERROR(__xludf.DUMMYFUNCTION("""COMPUTED_VALUE"""),"Estrela 2")</f>
        <v>Estrela 2</v>
      </c>
    </row>
    <row r="76">
      <c r="A76" s="1">
        <v>75.0</v>
      </c>
      <c r="B76" s="1" t="s">
        <v>575</v>
      </c>
      <c r="C76" s="1" t="s">
        <v>578</v>
      </c>
      <c r="D76" s="1" t="s">
        <v>32</v>
      </c>
      <c r="E76" s="1" t="s">
        <v>50</v>
      </c>
      <c r="F76" s="1" t="s">
        <v>579</v>
      </c>
      <c r="G76" s="5" t="str">
        <f>IFERROR(__xludf.DUMMYFUNCTION("""COMPUTED_VALUE"""),"19🤙🏼Hamilton🤙🏼Leslie Odom Jr.🤙🏼Estrela 3")</f>
        <v>19🤙🏼Hamilton🤙🏼Leslie Odom Jr.🤙🏼Estrela 3</v>
      </c>
      <c r="H76" s="5">
        <f>IFERROR(__xludf.DUMMYFUNCTION("SPLiT(G76, ""🤙🏼"",FALSE,FALSE)"),19.0)</f>
        <v>19</v>
      </c>
      <c r="I76" s="5" t="str">
        <f>IFERROR(__xludf.DUMMYFUNCTION("""COMPUTED_VALUE"""),"Hamilton")</f>
        <v>Hamilton</v>
      </c>
      <c r="J76" s="5" t="str">
        <f>IFERROR(__xludf.DUMMYFUNCTION("""COMPUTED_VALUE"""),"Leslie Odom Jr.")</f>
        <v>Leslie Odom Jr.</v>
      </c>
      <c r="K76" s="5" t="str">
        <f>IFERROR(__xludf.DUMMYFUNCTION("""COMPUTED_VALUE"""),"Estrela 3")</f>
        <v>Estrela 3</v>
      </c>
      <c r="P76" s="5">
        <f>IFERROR(__xludf.DUMMYFUNCTION("""COMPUTED_VALUE"""),19.0)</f>
        <v>19</v>
      </c>
      <c r="Q76" s="5" t="str">
        <f>IFERROR(__xludf.DUMMYFUNCTION("""COMPUTED_VALUE"""),"Hamilton")</f>
        <v>Hamilton</v>
      </c>
      <c r="R76" s="5" t="str">
        <f>IFERROR(__xludf.DUMMYFUNCTION("""COMPUTED_VALUE"""),"Leslie Odom Jr.")</f>
        <v>Leslie Odom Jr.</v>
      </c>
      <c r="S76" s="5" t="str">
        <f>IFERROR(__xludf.DUMMYFUNCTION("""COMPUTED_VALUE"""),"Estrela 3")</f>
        <v>Estrela 3</v>
      </c>
    </row>
    <row r="77">
      <c r="A77" s="1">
        <v>76.0</v>
      </c>
      <c r="B77" s="1" t="s">
        <v>580</v>
      </c>
      <c r="C77" s="1" t="s">
        <v>583</v>
      </c>
      <c r="D77" s="1" t="s">
        <v>584</v>
      </c>
      <c r="E77" s="1" t="s">
        <v>585</v>
      </c>
      <c r="F77" s="1" t="s">
        <v>586</v>
      </c>
      <c r="G77" s="5" t="str">
        <f>IFERROR(__xludf.DUMMYFUNCTION("""COMPUTED_VALUE"""),"19🤙🏼Hamilton🤙🏼Renée Elise Goldsberry🤙🏼Estrela 4")</f>
        <v>19🤙🏼Hamilton🤙🏼Renée Elise Goldsberry🤙🏼Estrela 4</v>
      </c>
      <c r="H77" s="5">
        <f>IFERROR(__xludf.DUMMYFUNCTION("SPLiT(G77, ""🤙🏼"",FALSE,FALSE)"),19.0)</f>
        <v>19</v>
      </c>
      <c r="I77" s="5" t="str">
        <f>IFERROR(__xludf.DUMMYFUNCTION("""COMPUTED_VALUE"""),"Hamilton")</f>
        <v>Hamilton</v>
      </c>
      <c r="J77" s="5" t="str">
        <f>IFERROR(__xludf.DUMMYFUNCTION("""COMPUTED_VALUE"""),"Renée Elise Goldsberry")</f>
        <v>Renée Elise Goldsberry</v>
      </c>
      <c r="K77" s="5" t="str">
        <f>IFERROR(__xludf.DUMMYFUNCTION("""COMPUTED_VALUE"""),"Estrela 4")</f>
        <v>Estrela 4</v>
      </c>
      <c r="P77" s="5">
        <f>IFERROR(__xludf.DUMMYFUNCTION("""COMPUTED_VALUE"""),19.0)</f>
        <v>19</v>
      </c>
      <c r="Q77" s="5" t="str">
        <f>IFERROR(__xludf.DUMMYFUNCTION("""COMPUTED_VALUE"""),"Hamilton")</f>
        <v>Hamilton</v>
      </c>
      <c r="R77" s="5" t="str">
        <f>IFERROR(__xludf.DUMMYFUNCTION("""COMPUTED_VALUE"""),"Renée Elise Goldsberry")</f>
        <v>Renée Elise Goldsberry</v>
      </c>
      <c r="S77" s="5" t="str">
        <f>IFERROR(__xludf.DUMMYFUNCTION("""COMPUTED_VALUE"""),"Estrela 4")</f>
        <v>Estrela 4</v>
      </c>
    </row>
    <row r="78">
      <c r="A78" s="1">
        <v>77.0</v>
      </c>
      <c r="B78" s="1" t="s">
        <v>587</v>
      </c>
      <c r="C78" s="1" t="s">
        <v>591</v>
      </c>
      <c r="D78" s="1" t="s">
        <v>592</v>
      </c>
      <c r="E78" s="1" t="s">
        <v>593</v>
      </c>
      <c r="F78" s="1" t="s">
        <v>594</v>
      </c>
      <c r="G78" s="5" t="str">
        <f>IFERROR(__xludf.DUMMYFUNCTION("""COMPUTED_VALUE"""),"20🤙🏼Gisaengchung🤙🏼Kang-ho Song🤙🏼Estrela 1")</f>
        <v>20🤙🏼Gisaengchung🤙🏼Kang-ho Song🤙🏼Estrela 1</v>
      </c>
      <c r="H78" s="5">
        <f>IFERROR(__xludf.DUMMYFUNCTION("SPLiT(G78, ""🤙🏼"",FALSE,FALSE)"),20.0)</f>
        <v>20</v>
      </c>
      <c r="I78" s="5" t="str">
        <f>IFERROR(__xludf.DUMMYFUNCTION("""COMPUTED_VALUE"""),"Gisaengchung")</f>
        <v>Gisaengchung</v>
      </c>
      <c r="J78" s="5" t="str">
        <f>IFERROR(__xludf.DUMMYFUNCTION("""COMPUTED_VALUE"""),"Kang-ho Song")</f>
        <v>Kang-ho Song</v>
      </c>
      <c r="K78" s="5" t="str">
        <f>IFERROR(__xludf.DUMMYFUNCTION("""COMPUTED_VALUE"""),"Estrela 1")</f>
        <v>Estrela 1</v>
      </c>
      <c r="P78" s="5">
        <f>IFERROR(__xludf.DUMMYFUNCTION("""COMPUTED_VALUE"""),20.0)</f>
        <v>20</v>
      </c>
      <c r="Q78" s="5" t="str">
        <f>IFERROR(__xludf.DUMMYFUNCTION("""COMPUTED_VALUE"""),"Gisaengchung")</f>
        <v>Gisaengchung</v>
      </c>
      <c r="R78" s="5" t="str">
        <f>IFERROR(__xludf.DUMMYFUNCTION("""COMPUTED_VALUE"""),"Kang-ho Song")</f>
        <v>Kang-ho Song</v>
      </c>
      <c r="S78" s="5" t="str">
        <f>IFERROR(__xludf.DUMMYFUNCTION("""COMPUTED_VALUE"""),"Estrela 1")</f>
        <v>Estrela 1</v>
      </c>
    </row>
    <row r="79">
      <c r="A79" s="1">
        <v>78.0</v>
      </c>
      <c r="B79" s="1" t="s">
        <v>595</v>
      </c>
      <c r="C79" s="1" t="s">
        <v>265</v>
      </c>
      <c r="D79" s="1" t="s">
        <v>598</v>
      </c>
      <c r="E79" s="1" t="s">
        <v>257</v>
      </c>
      <c r="F79" s="1" t="s">
        <v>599</v>
      </c>
      <c r="G79" s="5" t="str">
        <f>IFERROR(__xludf.DUMMYFUNCTION("""COMPUTED_VALUE"""),"20🤙🏼Gisaengchung🤙🏼Lee Sun-kyun🤙🏼Estrela 2")</f>
        <v>20🤙🏼Gisaengchung🤙🏼Lee Sun-kyun🤙🏼Estrela 2</v>
      </c>
      <c r="H79" s="5">
        <f>IFERROR(__xludf.DUMMYFUNCTION("SPLiT(G79, ""🤙🏼"",FALSE,FALSE)"),20.0)</f>
        <v>20</v>
      </c>
      <c r="I79" s="5" t="str">
        <f>IFERROR(__xludf.DUMMYFUNCTION("""COMPUTED_VALUE"""),"Gisaengchung")</f>
        <v>Gisaengchung</v>
      </c>
      <c r="J79" s="5" t="str">
        <f>IFERROR(__xludf.DUMMYFUNCTION("""COMPUTED_VALUE"""),"Lee Sun-kyun")</f>
        <v>Lee Sun-kyun</v>
      </c>
      <c r="K79" s="5" t="str">
        <f>IFERROR(__xludf.DUMMYFUNCTION("""COMPUTED_VALUE"""),"Estrela 2")</f>
        <v>Estrela 2</v>
      </c>
      <c r="P79" s="5">
        <f>IFERROR(__xludf.DUMMYFUNCTION("""COMPUTED_VALUE"""),20.0)</f>
        <v>20</v>
      </c>
      <c r="Q79" s="5" t="str">
        <f>IFERROR(__xludf.DUMMYFUNCTION("""COMPUTED_VALUE"""),"Gisaengchung")</f>
        <v>Gisaengchung</v>
      </c>
      <c r="R79" s="5" t="str">
        <f>IFERROR(__xludf.DUMMYFUNCTION("""COMPUTED_VALUE"""),"Lee Sun-kyun")</f>
        <v>Lee Sun-kyun</v>
      </c>
      <c r="S79" s="5" t="str">
        <f>IFERROR(__xludf.DUMMYFUNCTION("""COMPUTED_VALUE"""),"Estrela 2")</f>
        <v>Estrela 2</v>
      </c>
    </row>
    <row r="80">
      <c r="A80" s="1">
        <v>79.0</v>
      </c>
      <c r="B80" s="1" t="s">
        <v>600</v>
      </c>
      <c r="C80" s="1" t="s">
        <v>604</v>
      </c>
      <c r="D80" s="1" t="s">
        <v>605</v>
      </c>
      <c r="E80" s="1" t="s">
        <v>606</v>
      </c>
      <c r="F80" s="1" t="s">
        <v>607</v>
      </c>
      <c r="G80" s="5" t="str">
        <f>IFERROR(__xludf.DUMMYFUNCTION("""COMPUTED_VALUE"""),"20🤙🏼Gisaengchung🤙🏼Cho Yeo-jeong🤙🏼Estrela 3")</f>
        <v>20🤙🏼Gisaengchung🤙🏼Cho Yeo-jeong🤙🏼Estrela 3</v>
      </c>
      <c r="H80" s="5">
        <f>IFERROR(__xludf.DUMMYFUNCTION("SPLiT(G80, ""🤙🏼"",FALSE,FALSE)"),20.0)</f>
        <v>20</v>
      </c>
      <c r="I80" s="5" t="str">
        <f>IFERROR(__xludf.DUMMYFUNCTION("""COMPUTED_VALUE"""),"Gisaengchung")</f>
        <v>Gisaengchung</v>
      </c>
      <c r="J80" s="5" t="str">
        <f>IFERROR(__xludf.DUMMYFUNCTION("""COMPUTED_VALUE"""),"Cho Yeo-jeong")</f>
        <v>Cho Yeo-jeong</v>
      </c>
      <c r="K80" s="5" t="str">
        <f>IFERROR(__xludf.DUMMYFUNCTION("""COMPUTED_VALUE"""),"Estrela 3")</f>
        <v>Estrela 3</v>
      </c>
      <c r="P80" s="5">
        <f>IFERROR(__xludf.DUMMYFUNCTION("""COMPUTED_VALUE"""),20.0)</f>
        <v>20</v>
      </c>
      <c r="Q80" s="5" t="str">
        <f>IFERROR(__xludf.DUMMYFUNCTION("""COMPUTED_VALUE"""),"Gisaengchung")</f>
        <v>Gisaengchung</v>
      </c>
      <c r="R80" s="5" t="str">
        <f>IFERROR(__xludf.DUMMYFUNCTION("""COMPUTED_VALUE"""),"Cho Yeo-jeong")</f>
        <v>Cho Yeo-jeong</v>
      </c>
      <c r="S80" s="5" t="str">
        <f>IFERROR(__xludf.DUMMYFUNCTION("""COMPUTED_VALUE"""),"Estrela 3")</f>
        <v>Estrela 3</v>
      </c>
    </row>
    <row r="81">
      <c r="A81" s="1">
        <v>80.0</v>
      </c>
      <c r="B81" s="1" t="s">
        <v>608</v>
      </c>
      <c r="C81" s="1" t="s">
        <v>611</v>
      </c>
      <c r="D81" s="1" t="s">
        <v>612</v>
      </c>
      <c r="E81" s="1" t="s">
        <v>613</v>
      </c>
      <c r="F81" s="1" t="s">
        <v>614</v>
      </c>
      <c r="G81" s="5" t="str">
        <f>IFERROR(__xludf.DUMMYFUNCTION("""COMPUTED_VALUE"""),"20🤙🏼Gisaengchung🤙🏼Choi Woo-sik🤙🏼Estrela 4")</f>
        <v>20🤙🏼Gisaengchung🤙🏼Choi Woo-sik🤙🏼Estrela 4</v>
      </c>
      <c r="H81" s="5">
        <f>IFERROR(__xludf.DUMMYFUNCTION("SPLiT(G81, ""🤙🏼"",FALSE,FALSE)"),20.0)</f>
        <v>20</v>
      </c>
      <c r="I81" s="5" t="str">
        <f>IFERROR(__xludf.DUMMYFUNCTION("""COMPUTED_VALUE"""),"Gisaengchung")</f>
        <v>Gisaengchung</v>
      </c>
      <c r="J81" s="5" t="str">
        <f>IFERROR(__xludf.DUMMYFUNCTION("""COMPUTED_VALUE"""),"Choi Woo-sik")</f>
        <v>Choi Woo-sik</v>
      </c>
      <c r="K81" s="5" t="str">
        <f>IFERROR(__xludf.DUMMYFUNCTION("""COMPUTED_VALUE"""),"Estrela 4")</f>
        <v>Estrela 4</v>
      </c>
      <c r="P81" s="5">
        <f>IFERROR(__xludf.DUMMYFUNCTION("""COMPUTED_VALUE"""),20.0)</f>
        <v>20</v>
      </c>
      <c r="Q81" s="5" t="str">
        <f>IFERROR(__xludf.DUMMYFUNCTION("""COMPUTED_VALUE"""),"Gisaengchung")</f>
        <v>Gisaengchung</v>
      </c>
      <c r="R81" s="5" t="str">
        <f>IFERROR(__xludf.DUMMYFUNCTION("""COMPUTED_VALUE"""),"Choi Woo-sik")</f>
        <v>Choi Woo-sik</v>
      </c>
      <c r="S81" s="5" t="str">
        <f>IFERROR(__xludf.DUMMYFUNCTION("""COMPUTED_VALUE"""),"Estrela 4")</f>
        <v>Estrela 4</v>
      </c>
    </row>
    <row r="82">
      <c r="A82" s="1">
        <v>81.0</v>
      </c>
      <c r="B82" s="1" t="s">
        <v>615</v>
      </c>
      <c r="C82" s="1" t="s">
        <v>617</v>
      </c>
      <c r="D82" s="1" t="s">
        <v>618</v>
      </c>
      <c r="E82" s="1" t="s">
        <v>619</v>
      </c>
      <c r="F82" s="1" t="s">
        <v>620</v>
      </c>
      <c r="G82" s="5" t="str">
        <f>IFERROR(__xludf.DUMMYFUNCTION("""COMPUTED_VALUE"""),"21🤙🏼Soorarai Pottru🤙🏼Suriya🤙🏼Estrela 1")</f>
        <v>21🤙🏼Soorarai Pottru🤙🏼Suriya🤙🏼Estrela 1</v>
      </c>
      <c r="H82" s="5">
        <f>IFERROR(__xludf.DUMMYFUNCTION("SPLiT(G82, ""🤙🏼"",FALSE,FALSE)"),21.0)</f>
        <v>21</v>
      </c>
      <c r="I82" s="5" t="str">
        <f>IFERROR(__xludf.DUMMYFUNCTION("""COMPUTED_VALUE"""),"Soorarai Pottru")</f>
        <v>Soorarai Pottru</v>
      </c>
      <c r="J82" s="5" t="str">
        <f>IFERROR(__xludf.DUMMYFUNCTION("""COMPUTED_VALUE"""),"Suriya")</f>
        <v>Suriya</v>
      </c>
      <c r="K82" s="5" t="str">
        <f>IFERROR(__xludf.DUMMYFUNCTION("""COMPUTED_VALUE"""),"Estrela 1")</f>
        <v>Estrela 1</v>
      </c>
      <c r="P82" s="5">
        <f>IFERROR(__xludf.DUMMYFUNCTION("""COMPUTED_VALUE"""),21.0)</f>
        <v>21</v>
      </c>
      <c r="Q82" s="5" t="str">
        <f>IFERROR(__xludf.DUMMYFUNCTION("""COMPUTED_VALUE"""),"Soorarai Pottru")</f>
        <v>Soorarai Pottru</v>
      </c>
      <c r="R82" s="5" t="str">
        <f>IFERROR(__xludf.DUMMYFUNCTION("""COMPUTED_VALUE"""),"Suriya")</f>
        <v>Suriya</v>
      </c>
      <c r="S82" s="5" t="str">
        <f>IFERROR(__xludf.DUMMYFUNCTION("""COMPUTED_VALUE"""),"Estrela 1")</f>
        <v>Estrela 1</v>
      </c>
    </row>
    <row r="83">
      <c r="A83" s="1">
        <v>82.0</v>
      </c>
      <c r="B83" s="1" t="s">
        <v>621</v>
      </c>
      <c r="C83" s="1" t="s">
        <v>274</v>
      </c>
      <c r="D83" s="1" t="s">
        <v>623</v>
      </c>
      <c r="E83" s="1" t="s">
        <v>624</v>
      </c>
      <c r="F83" s="1" t="s">
        <v>625</v>
      </c>
      <c r="G83" s="5" t="str">
        <f>IFERROR(__xludf.DUMMYFUNCTION("""COMPUTED_VALUE"""),"21🤙🏼Soorarai Pottru🤙🏼Madhavan🤙🏼Estrela 2")</f>
        <v>21🤙🏼Soorarai Pottru🤙🏼Madhavan🤙🏼Estrela 2</v>
      </c>
      <c r="H83" s="5">
        <f>IFERROR(__xludf.DUMMYFUNCTION("SPLiT(G83, ""🤙🏼"",FALSE,FALSE)"),21.0)</f>
        <v>21</v>
      </c>
      <c r="I83" s="5" t="str">
        <f>IFERROR(__xludf.DUMMYFUNCTION("""COMPUTED_VALUE"""),"Soorarai Pottru")</f>
        <v>Soorarai Pottru</v>
      </c>
      <c r="J83" s="5" t="str">
        <f>IFERROR(__xludf.DUMMYFUNCTION("""COMPUTED_VALUE"""),"Madhavan")</f>
        <v>Madhavan</v>
      </c>
      <c r="K83" s="5" t="str">
        <f>IFERROR(__xludf.DUMMYFUNCTION("""COMPUTED_VALUE"""),"Estrela 2")</f>
        <v>Estrela 2</v>
      </c>
      <c r="P83" s="5">
        <f>IFERROR(__xludf.DUMMYFUNCTION("""COMPUTED_VALUE"""),21.0)</f>
        <v>21</v>
      </c>
      <c r="Q83" s="5" t="str">
        <f>IFERROR(__xludf.DUMMYFUNCTION("""COMPUTED_VALUE"""),"Soorarai Pottru")</f>
        <v>Soorarai Pottru</v>
      </c>
      <c r="R83" s="5" t="str">
        <f>IFERROR(__xludf.DUMMYFUNCTION("""COMPUTED_VALUE"""),"Madhavan")</f>
        <v>Madhavan</v>
      </c>
      <c r="S83" s="5" t="str">
        <f>IFERROR(__xludf.DUMMYFUNCTION("""COMPUTED_VALUE"""),"Estrela 2")</f>
        <v>Estrela 2</v>
      </c>
    </row>
    <row r="84">
      <c r="A84" s="1">
        <v>83.0</v>
      </c>
      <c r="B84" s="1" t="s">
        <v>626</v>
      </c>
      <c r="C84" s="1" t="s">
        <v>630</v>
      </c>
      <c r="D84" s="1" t="s">
        <v>631</v>
      </c>
      <c r="E84" s="1" t="s">
        <v>632</v>
      </c>
      <c r="F84" s="1" t="s">
        <v>633</v>
      </c>
      <c r="G84" s="5" t="str">
        <f>IFERROR(__xludf.DUMMYFUNCTION("""COMPUTED_VALUE"""),"21🤙🏼Soorarai Pottru🤙🏼Paresh Rawal🤙🏼Estrela 3")</f>
        <v>21🤙🏼Soorarai Pottru🤙🏼Paresh Rawal🤙🏼Estrela 3</v>
      </c>
      <c r="H84" s="5">
        <f>IFERROR(__xludf.DUMMYFUNCTION("SPLiT(G84, ""🤙🏼"",FALSE,FALSE)"),21.0)</f>
        <v>21</v>
      </c>
      <c r="I84" s="5" t="str">
        <f>IFERROR(__xludf.DUMMYFUNCTION("""COMPUTED_VALUE"""),"Soorarai Pottru")</f>
        <v>Soorarai Pottru</v>
      </c>
      <c r="J84" s="5" t="str">
        <f>IFERROR(__xludf.DUMMYFUNCTION("""COMPUTED_VALUE"""),"Paresh Rawal")</f>
        <v>Paresh Rawal</v>
      </c>
      <c r="K84" s="5" t="str">
        <f>IFERROR(__xludf.DUMMYFUNCTION("""COMPUTED_VALUE"""),"Estrela 3")</f>
        <v>Estrela 3</v>
      </c>
      <c r="P84" s="5">
        <f>IFERROR(__xludf.DUMMYFUNCTION("""COMPUTED_VALUE"""),21.0)</f>
        <v>21</v>
      </c>
      <c r="Q84" s="5" t="str">
        <f>IFERROR(__xludf.DUMMYFUNCTION("""COMPUTED_VALUE"""),"Soorarai Pottru")</f>
        <v>Soorarai Pottru</v>
      </c>
      <c r="R84" s="5" t="str">
        <f>IFERROR(__xludf.DUMMYFUNCTION("""COMPUTED_VALUE"""),"Paresh Rawal")</f>
        <v>Paresh Rawal</v>
      </c>
      <c r="S84" s="5" t="str">
        <f>IFERROR(__xludf.DUMMYFUNCTION("""COMPUTED_VALUE"""),"Estrela 3")</f>
        <v>Estrela 3</v>
      </c>
    </row>
    <row r="85">
      <c r="A85" s="1">
        <v>84.0</v>
      </c>
      <c r="B85" s="1" t="s">
        <v>634</v>
      </c>
      <c r="C85" s="1" t="s">
        <v>418</v>
      </c>
      <c r="D85" s="1" t="s">
        <v>419</v>
      </c>
      <c r="E85" s="1" t="s">
        <v>637</v>
      </c>
      <c r="F85" s="1" t="s">
        <v>638</v>
      </c>
      <c r="G85" s="5" t="str">
        <f>IFERROR(__xludf.DUMMYFUNCTION("""COMPUTED_VALUE"""),"21🤙🏼Soorarai Pottru🤙🏼Aparna Balamurali🤙🏼Estrela 4")</f>
        <v>21🤙🏼Soorarai Pottru🤙🏼Aparna Balamurali🤙🏼Estrela 4</v>
      </c>
      <c r="H85" s="5">
        <f>IFERROR(__xludf.DUMMYFUNCTION("SPLiT(G85, ""🤙🏼"",FALSE,FALSE)"),21.0)</f>
        <v>21</v>
      </c>
      <c r="I85" s="5" t="str">
        <f>IFERROR(__xludf.DUMMYFUNCTION("""COMPUTED_VALUE"""),"Soorarai Pottru")</f>
        <v>Soorarai Pottru</v>
      </c>
      <c r="J85" s="5" t="str">
        <f>IFERROR(__xludf.DUMMYFUNCTION("""COMPUTED_VALUE"""),"Aparna Balamurali")</f>
        <v>Aparna Balamurali</v>
      </c>
      <c r="K85" s="5" t="str">
        <f>IFERROR(__xludf.DUMMYFUNCTION("""COMPUTED_VALUE"""),"Estrela 4")</f>
        <v>Estrela 4</v>
      </c>
      <c r="P85" s="5">
        <f>IFERROR(__xludf.DUMMYFUNCTION("""COMPUTED_VALUE"""),21.0)</f>
        <v>21</v>
      </c>
      <c r="Q85" s="5" t="str">
        <f>IFERROR(__xludf.DUMMYFUNCTION("""COMPUTED_VALUE"""),"Soorarai Pottru")</f>
        <v>Soorarai Pottru</v>
      </c>
      <c r="R85" s="5" t="str">
        <f>IFERROR(__xludf.DUMMYFUNCTION("""COMPUTED_VALUE"""),"Aparna Balamurali")</f>
        <v>Aparna Balamurali</v>
      </c>
      <c r="S85" s="5" t="str">
        <f>IFERROR(__xludf.DUMMYFUNCTION("""COMPUTED_VALUE"""),"Estrela 4")</f>
        <v>Estrela 4</v>
      </c>
    </row>
    <row r="86">
      <c r="A86" s="1">
        <v>85.0</v>
      </c>
      <c r="B86" s="1">
        <v>1917.0</v>
      </c>
      <c r="C86" s="1" t="s">
        <v>642</v>
      </c>
      <c r="D86" s="1" t="s">
        <v>643</v>
      </c>
      <c r="E86" s="1" t="s">
        <v>644</v>
      </c>
      <c r="F86" s="1" t="s">
        <v>645</v>
      </c>
      <c r="G86" s="5" t="str">
        <f>IFERROR(__xludf.DUMMYFUNCTION("""COMPUTED_VALUE"""),"22🤙🏼Interstellar🤙🏼Matthew McConaughey🤙🏼Estrela 1")</f>
        <v>22🤙🏼Interstellar🤙🏼Matthew McConaughey🤙🏼Estrela 1</v>
      </c>
      <c r="H86" s="5">
        <f>IFERROR(__xludf.DUMMYFUNCTION("SPLiT(G86, ""🤙🏼"",FALSE,FALSE)"),22.0)</f>
        <v>22</v>
      </c>
      <c r="I86" s="5" t="str">
        <f>IFERROR(__xludf.DUMMYFUNCTION("""COMPUTED_VALUE"""),"Interstellar")</f>
        <v>Interstellar</v>
      </c>
      <c r="J86" s="5" t="str">
        <f>IFERROR(__xludf.DUMMYFUNCTION("""COMPUTED_VALUE"""),"Matthew McConaughey")</f>
        <v>Matthew McConaughey</v>
      </c>
      <c r="K86" s="5" t="str">
        <f>IFERROR(__xludf.DUMMYFUNCTION("""COMPUTED_VALUE"""),"Estrela 1")</f>
        <v>Estrela 1</v>
      </c>
      <c r="P86" s="5">
        <f>IFERROR(__xludf.DUMMYFUNCTION("""COMPUTED_VALUE"""),22.0)</f>
        <v>22</v>
      </c>
      <c r="Q86" s="5" t="str">
        <f>IFERROR(__xludf.DUMMYFUNCTION("""COMPUTED_VALUE"""),"Interstellar")</f>
        <v>Interstellar</v>
      </c>
      <c r="R86" s="5" t="str">
        <f>IFERROR(__xludf.DUMMYFUNCTION("""COMPUTED_VALUE"""),"Matthew McConaughey")</f>
        <v>Matthew McConaughey</v>
      </c>
      <c r="S86" s="5" t="str">
        <f>IFERROR(__xludf.DUMMYFUNCTION("""COMPUTED_VALUE"""),"Estrela 1")</f>
        <v>Estrela 1</v>
      </c>
    </row>
    <row r="87">
      <c r="A87" s="1">
        <v>86.0</v>
      </c>
      <c r="B87" s="1" t="s">
        <v>646</v>
      </c>
      <c r="C87" s="1" t="s">
        <v>651</v>
      </c>
      <c r="D87" s="1" t="s">
        <v>652</v>
      </c>
      <c r="E87" s="1" t="s">
        <v>653</v>
      </c>
      <c r="F87" s="1" t="s">
        <v>654</v>
      </c>
      <c r="G87" s="5" t="str">
        <f>IFERROR(__xludf.DUMMYFUNCTION("""COMPUTED_VALUE"""),"22🤙🏼Interstellar🤙🏼Anne Hathaway🤙🏼Estrela 2")</f>
        <v>22🤙🏼Interstellar🤙🏼Anne Hathaway🤙🏼Estrela 2</v>
      </c>
      <c r="H87" s="5">
        <f>IFERROR(__xludf.DUMMYFUNCTION("SPLiT(G87, ""🤙🏼"",FALSE,FALSE)"),22.0)</f>
        <v>22</v>
      </c>
      <c r="I87" s="5" t="str">
        <f>IFERROR(__xludf.DUMMYFUNCTION("""COMPUTED_VALUE"""),"Interstellar")</f>
        <v>Interstellar</v>
      </c>
      <c r="J87" s="5" t="str">
        <f>IFERROR(__xludf.DUMMYFUNCTION("""COMPUTED_VALUE"""),"Anne Hathaway")</f>
        <v>Anne Hathaway</v>
      </c>
      <c r="K87" s="5" t="str">
        <f>IFERROR(__xludf.DUMMYFUNCTION("""COMPUTED_VALUE"""),"Estrela 2")</f>
        <v>Estrela 2</v>
      </c>
      <c r="P87" s="5">
        <f>IFERROR(__xludf.DUMMYFUNCTION("""COMPUTED_VALUE"""),22.0)</f>
        <v>22</v>
      </c>
      <c r="Q87" s="5" t="str">
        <f>IFERROR(__xludf.DUMMYFUNCTION("""COMPUTED_VALUE"""),"Interstellar")</f>
        <v>Interstellar</v>
      </c>
      <c r="R87" s="5" t="str">
        <f>IFERROR(__xludf.DUMMYFUNCTION("""COMPUTED_VALUE"""),"Anne Hathaway")</f>
        <v>Anne Hathaway</v>
      </c>
      <c r="S87" s="5" t="str">
        <f>IFERROR(__xludf.DUMMYFUNCTION("""COMPUTED_VALUE"""),"Estrela 2")</f>
        <v>Estrela 2</v>
      </c>
    </row>
    <row r="88">
      <c r="A88" s="1">
        <v>87.0</v>
      </c>
      <c r="B88" s="1" t="s">
        <v>655</v>
      </c>
      <c r="C88" s="1" t="s">
        <v>659</v>
      </c>
      <c r="D88" s="1" t="s">
        <v>660</v>
      </c>
      <c r="E88" s="1" t="s">
        <v>661</v>
      </c>
      <c r="F88" s="1" t="s">
        <v>662</v>
      </c>
      <c r="G88" s="5" t="str">
        <f>IFERROR(__xludf.DUMMYFUNCTION("""COMPUTED_VALUE"""),"22🤙🏼Interstellar🤙🏼Jessica Chastain🤙🏼Estrela 3")</f>
        <v>22🤙🏼Interstellar🤙🏼Jessica Chastain🤙🏼Estrela 3</v>
      </c>
      <c r="H88" s="5">
        <f>IFERROR(__xludf.DUMMYFUNCTION("SPLiT(G88, ""🤙🏼"",FALSE,FALSE)"),22.0)</f>
        <v>22</v>
      </c>
      <c r="I88" s="5" t="str">
        <f>IFERROR(__xludf.DUMMYFUNCTION("""COMPUTED_VALUE"""),"Interstellar")</f>
        <v>Interstellar</v>
      </c>
      <c r="J88" s="5" t="str">
        <f>IFERROR(__xludf.DUMMYFUNCTION("""COMPUTED_VALUE"""),"Jessica Chastain")</f>
        <v>Jessica Chastain</v>
      </c>
      <c r="K88" s="5" t="str">
        <f>IFERROR(__xludf.DUMMYFUNCTION("""COMPUTED_VALUE"""),"Estrela 3")</f>
        <v>Estrela 3</v>
      </c>
      <c r="P88" s="5">
        <f>IFERROR(__xludf.DUMMYFUNCTION("""COMPUTED_VALUE"""),22.0)</f>
        <v>22</v>
      </c>
      <c r="Q88" s="5" t="str">
        <f>IFERROR(__xludf.DUMMYFUNCTION("""COMPUTED_VALUE"""),"Interstellar")</f>
        <v>Interstellar</v>
      </c>
      <c r="R88" s="5" t="str">
        <f>IFERROR(__xludf.DUMMYFUNCTION("""COMPUTED_VALUE"""),"Jessica Chastain")</f>
        <v>Jessica Chastain</v>
      </c>
      <c r="S88" s="5" t="str">
        <f>IFERROR(__xludf.DUMMYFUNCTION("""COMPUTED_VALUE"""),"Estrela 3")</f>
        <v>Estrela 3</v>
      </c>
    </row>
    <row r="89">
      <c r="A89" s="1">
        <v>88.0</v>
      </c>
      <c r="B89" s="1" t="s">
        <v>663</v>
      </c>
      <c r="C89" s="1" t="s">
        <v>666</v>
      </c>
      <c r="D89" s="1" t="s">
        <v>667</v>
      </c>
      <c r="E89" s="1" t="s">
        <v>668</v>
      </c>
      <c r="F89" s="1" t="s">
        <v>669</v>
      </c>
      <c r="G89" s="5" t="str">
        <f>IFERROR(__xludf.DUMMYFUNCTION("""COMPUTED_VALUE"""),"22🤙🏼Interstellar🤙🏼Mackenzie Foy🤙🏼Estrela 4")</f>
        <v>22🤙🏼Interstellar🤙🏼Mackenzie Foy🤙🏼Estrela 4</v>
      </c>
      <c r="H89" s="5">
        <f>IFERROR(__xludf.DUMMYFUNCTION("SPLiT(G89, ""🤙🏼"",FALSE,FALSE)"),22.0)</f>
        <v>22</v>
      </c>
      <c r="I89" s="5" t="str">
        <f>IFERROR(__xludf.DUMMYFUNCTION("""COMPUTED_VALUE"""),"Interstellar")</f>
        <v>Interstellar</v>
      </c>
      <c r="J89" s="5" t="str">
        <f>IFERROR(__xludf.DUMMYFUNCTION("""COMPUTED_VALUE"""),"Mackenzie Foy")</f>
        <v>Mackenzie Foy</v>
      </c>
      <c r="K89" s="5" t="str">
        <f>IFERROR(__xludf.DUMMYFUNCTION("""COMPUTED_VALUE"""),"Estrela 4")</f>
        <v>Estrela 4</v>
      </c>
      <c r="P89" s="5">
        <f>IFERROR(__xludf.DUMMYFUNCTION("""COMPUTED_VALUE"""),22.0)</f>
        <v>22</v>
      </c>
      <c r="Q89" s="5" t="str">
        <f>IFERROR(__xludf.DUMMYFUNCTION("""COMPUTED_VALUE"""),"Interstellar")</f>
        <v>Interstellar</v>
      </c>
      <c r="R89" s="5" t="str">
        <f>IFERROR(__xludf.DUMMYFUNCTION("""COMPUTED_VALUE"""),"Mackenzie Foy")</f>
        <v>Mackenzie Foy</v>
      </c>
      <c r="S89" s="5" t="str">
        <f>IFERROR(__xludf.DUMMYFUNCTION("""COMPUTED_VALUE"""),"Estrela 4")</f>
        <v>Estrela 4</v>
      </c>
    </row>
    <row r="90">
      <c r="A90" s="1">
        <v>89.0</v>
      </c>
      <c r="B90" s="1" t="s">
        <v>670</v>
      </c>
      <c r="C90" s="1" t="s">
        <v>673</v>
      </c>
      <c r="D90" s="1" t="s">
        <v>674</v>
      </c>
      <c r="E90" s="1" t="s">
        <v>675</v>
      </c>
      <c r="F90" s="1" t="s">
        <v>676</v>
      </c>
      <c r="G90" s="5" t="str">
        <f>IFERROR(__xludf.DUMMYFUNCTION("""COMPUTED_VALUE"""),"23🤙🏼Cidade de Deus🤙🏼Kátia Lund🤙🏼Estrela 1")</f>
        <v>23🤙🏼Cidade de Deus🤙🏼Kátia Lund🤙🏼Estrela 1</v>
      </c>
      <c r="H90" s="5">
        <f>IFERROR(__xludf.DUMMYFUNCTION("SPLiT(G90, ""🤙🏼"",FALSE,FALSE)"),23.0)</f>
        <v>23</v>
      </c>
      <c r="I90" s="5" t="str">
        <f>IFERROR(__xludf.DUMMYFUNCTION("""COMPUTED_VALUE"""),"Cidade de Deus")</f>
        <v>Cidade de Deus</v>
      </c>
      <c r="J90" s="5" t="str">
        <f>IFERROR(__xludf.DUMMYFUNCTION("""COMPUTED_VALUE"""),"Kátia Lund")</f>
        <v>Kátia Lund</v>
      </c>
      <c r="K90" s="5" t="str">
        <f>IFERROR(__xludf.DUMMYFUNCTION("""COMPUTED_VALUE"""),"Estrela 1")</f>
        <v>Estrela 1</v>
      </c>
      <c r="P90" s="5">
        <f>IFERROR(__xludf.DUMMYFUNCTION("""COMPUTED_VALUE"""),23.0)</f>
        <v>23</v>
      </c>
      <c r="Q90" s="5" t="str">
        <f>IFERROR(__xludf.DUMMYFUNCTION("""COMPUTED_VALUE"""),"Cidade de Deus")</f>
        <v>Cidade de Deus</v>
      </c>
      <c r="R90" s="5" t="str">
        <f>IFERROR(__xludf.DUMMYFUNCTION("""COMPUTED_VALUE"""),"Kátia Lund")</f>
        <v>Kátia Lund</v>
      </c>
      <c r="S90" s="5" t="str">
        <f>IFERROR(__xludf.DUMMYFUNCTION("""COMPUTED_VALUE"""),"Estrela 1")</f>
        <v>Estrela 1</v>
      </c>
    </row>
    <row r="91">
      <c r="A91" s="1">
        <v>90.0</v>
      </c>
      <c r="B91" s="1" t="s">
        <v>677</v>
      </c>
      <c r="C91" s="1" t="s">
        <v>681</v>
      </c>
      <c r="D91" s="1" t="s">
        <v>682</v>
      </c>
      <c r="E91" s="1" t="s">
        <v>683</v>
      </c>
      <c r="F91" s="1" t="s">
        <v>684</v>
      </c>
      <c r="G91" s="5" t="str">
        <f>IFERROR(__xludf.DUMMYFUNCTION("""COMPUTED_VALUE"""),"23🤙🏼Cidade de Deus🤙🏼Alexandre Rodrigues🤙🏼Estrela 2")</f>
        <v>23🤙🏼Cidade de Deus🤙🏼Alexandre Rodrigues🤙🏼Estrela 2</v>
      </c>
      <c r="H91" s="5">
        <f>IFERROR(__xludf.DUMMYFUNCTION("SPLiT(G91, ""🤙🏼"",FALSE,FALSE)"),23.0)</f>
        <v>23</v>
      </c>
      <c r="I91" s="5" t="str">
        <f>IFERROR(__xludf.DUMMYFUNCTION("""COMPUTED_VALUE"""),"Cidade de Deus")</f>
        <v>Cidade de Deus</v>
      </c>
      <c r="J91" s="5" t="str">
        <f>IFERROR(__xludf.DUMMYFUNCTION("""COMPUTED_VALUE"""),"Alexandre Rodrigues")</f>
        <v>Alexandre Rodrigues</v>
      </c>
      <c r="K91" s="5" t="str">
        <f>IFERROR(__xludf.DUMMYFUNCTION("""COMPUTED_VALUE"""),"Estrela 2")</f>
        <v>Estrela 2</v>
      </c>
      <c r="P91" s="5">
        <f>IFERROR(__xludf.DUMMYFUNCTION("""COMPUTED_VALUE"""),23.0)</f>
        <v>23</v>
      </c>
      <c r="Q91" s="5" t="str">
        <f>IFERROR(__xludf.DUMMYFUNCTION("""COMPUTED_VALUE"""),"Cidade de Deus")</f>
        <v>Cidade de Deus</v>
      </c>
      <c r="R91" s="5" t="str">
        <f>IFERROR(__xludf.DUMMYFUNCTION("""COMPUTED_VALUE"""),"Alexandre Rodrigues")</f>
        <v>Alexandre Rodrigues</v>
      </c>
      <c r="S91" s="5" t="str">
        <f>IFERROR(__xludf.DUMMYFUNCTION("""COMPUTED_VALUE"""),"Estrela 2")</f>
        <v>Estrela 2</v>
      </c>
    </row>
    <row r="92">
      <c r="A92" s="1">
        <v>91.0</v>
      </c>
      <c r="B92" s="1" t="s">
        <v>685</v>
      </c>
      <c r="C92" s="1" t="s">
        <v>689</v>
      </c>
      <c r="D92" s="1" t="s">
        <v>690</v>
      </c>
      <c r="E92" s="1" t="s">
        <v>691</v>
      </c>
      <c r="F92" s="1" t="s">
        <v>692</v>
      </c>
      <c r="G92" s="5" t="str">
        <f>IFERROR(__xludf.DUMMYFUNCTION("""COMPUTED_VALUE"""),"23🤙🏼Cidade de Deus🤙🏼Leandro Firmino🤙🏼Estrela 3")</f>
        <v>23🤙🏼Cidade de Deus🤙🏼Leandro Firmino🤙🏼Estrela 3</v>
      </c>
      <c r="H92" s="5">
        <f>IFERROR(__xludf.DUMMYFUNCTION("SPLiT(G92, ""🤙🏼"",FALSE,FALSE)"),23.0)</f>
        <v>23</v>
      </c>
      <c r="I92" s="5" t="str">
        <f>IFERROR(__xludf.DUMMYFUNCTION("""COMPUTED_VALUE"""),"Cidade de Deus")</f>
        <v>Cidade de Deus</v>
      </c>
      <c r="J92" s="5" t="str">
        <f>IFERROR(__xludf.DUMMYFUNCTION("""COMPUTED_VALUE"""),"Leandro Firmino")</f>
        <v>Leandro Firmino</v>
      </c>
      <c r="K92" s="5" t="str">
        <f>IFERROR(__xludf.DUMMYFUNCTION("""COMPUTED_VALUE"""),"Estrela 3")</f>
        <v>Estrela 3</v>
      </c>
      <c r="P92" s="5">
        <f>IFERROR(__xludf.DUMMYFUNCTION("""COMPUTED_VALUE"""),23.0)</f>
        <v>23</v>
      </c>
      <c r="Q92" s="5" t="str">
        <f>IFERROR(__xludf.DUMMYFUNCTION("""COMPUTED_VALUE"""),"Cidade de Deus")</f>
        <v>Cidade de Deus</v>
      </c>
      <c r="R92" s="5" t="str">
        <f>IFERROR(__xludf.DUMMYFUNCTION("""COMPUTED_VALUE"""),"Leandro Firmino")</f>
        <v>Leandro Firmino</v>
      </c>
      <c r="S92" s="5" t="str">
        <f>IFERROR(__xludf.DUMMYFUNCTION("""COMPUTED_VALUE"""),"Estrela 3")</f>
        <v>Estrela 3</v>
      </c>
    </row>
    <row r="93">
      <c r="A93" s="1">
        <v>92.0</v>
      </c>
      <c r="B93" s="1" t="s">
        <v>693</v>
      </c>
      <c r="C93" s="1" t="s">
        <v>697</v>
      </c>
      <c r="D93" s="1" t="s">
        <v>698</v>
      </c>
      <c r="E93" s="1" t="s">
        <v>699</v>
      </c>
      <c r="F93" s="1" t="s">
        <v>700</v>
      </c>
      <c r="G93" s="5" t="str">
        <f>IFERROR(__xludf.DUMMYFUNCTION("""COMPUTED_VALUE"""),"23🤙🏼Cidade de Deus🤙🏼Matheus Nachtergaele🤙🏼Estrela 4")</f>
        <v>23🤙🏼Cidade de Deus🤙🏼Matheus Nachtergaele🤙🏼Estrela 4</v>
      </c>
      <c r="H93" s="5">
        <f>IFERROR(__xludf.DUMMYFUNCTION("SPLiT(G93, ""🤙🏼"",FALSE,FALSE)"),23.0)</f>
        <v>23</v>
      </c>
      <c r="I93" s="5" t="str">
        <f>IFERROR(__xludf.DUMMYFUNCTION("""COMPUTED_VALUE"""),"Cidade de Deus")</f>
        <v>Cidade de Deus</v>
      </c>
      <c r="J93" s="5" t="str">
        <f>IFERROR(__xludf.DUMMYFUNCTION("""COMPUTED_VALUE"""),"Matheus Nachtergaele")</f>
        <v>Matheus Nachtergaele</v>
      </c>
      <c r="K93" s="5" t="str">
        <f>IFERROR(__xludf.DUMMYFUNCTION("""COMPUTED_VALUE"""),"Estrela 4")</f>
        <v>Estrela 4</v>
      </c>
      <c r="P93" s="5">
        <f>IFERROR(__xludf.DUMMYFUNCTION("""COMPUTED_VALUE"""),23.0)</f>
        <v>23</v>
      </c>
      <c r="Q93" s="5" t="str">
        <f>IFERROR(__xludf.DUMMYFUNCTION("""COMPUTED_VALUE"""),"Cidade de Deus")</f>
        <v>Cidade de Deus</v>
      </c>
      <c r="R93" s="5" t="str">
        <f>IFERROR(__xludf.DUMMYFUNCTION("""COMPUTED_VALUE"""),"Matheus Nachtergaele")</f>
        <v>Matheus Nachtergaele</v>
      </c>
      <c r="S93" s="5" t="str">
        <f>IFERROR(__xludf.DUMMYFUNCTION("""COMPUTED_VALUE"""),"Estrela 4")</f>
        <v>Estrela 4</v>
      </c>
    </row>
    <row r="94">
      <c r="A94" s="1">
        <v>93.0</v>
      </c>
      <c r="B94" s="1" t="s">
        <v>701</v>
      </c>
      <c r="C94" s="1" t="s">
        <v>439</v>
      </c>
      <c r="D94" s="1" t="s">
        <v>704</v>
      </c>
      <c r="E94" s="1" t="s">
        <v>705</v>
      </c>
      <c r="F94" s="1" t="s">
        <v>706</v>
      </c>
      <c r="G94" s="5" t="str">
        <f>IFERROR(__xludf.DUMMYFUNCTION("""COMPUTED_VALUE"""),"24🤙🏼Sen to Chihiro no kamikakushi🤙🏼Daveigh Chase🤙🏼Estrela 1")</f>
        <v>24🤙🏼Sen to Chihiro no kamikakushi🤙🏼Daveigh Chase🤙🏼Estrela 1</v>
      </c>
      <c r="H94" s="5">
        <f>IFERROR(__xludf.DUMMYFUNCTION("SPLiT(G94, ""🤙🏼"",FALSE,FALSE)"),24.0)</f>
        <v>24</v>
      </c>
      <c r="I94" s="5" t="str">
        <f>IFERROR(__xludf.DUMMYFUNCTION("""COMPUTED_VALUE"""),"Sen to Chihiro no kamikakushi")</f>
        <v>Sen to Chihiro no kamikakushi</v>
      </c>
      <c r="J94" s="5" t="str">
        <f>IFERROR(__xludf.DUMMYFUNCTION("""COMPUTED_VALUE"""),"Daveigh Chase")</f>
        <v>Daveigh Chase</v>
      </c>
      <c r="K94" s="5" t="str">
        <f>IFERROR(__xludf.DUMMYFUNCTION("""COMPUTED_VALUE"""),"Estrela 1")</f>
        <v>Estrela 1</v>
      </c>
      <c r="P94" s="5">
        <f>IFERROR(__xludf.DUMMYFUNCTION("""COMPUTED_VALUE"""),24.0)</f>
        <v>24</v>
      </c>
      <c r="Q94" s="5" t="str">
        <f>IFERROR(__xludf.DUMMYFUNCTION("""COMPUTED_VALUE"""),"Sen to Chihiro no kamikakushi")</f>
        <v>Sen to Chihiro no kamikakushi</v>
      </c>
      <c r="R94" s="5" t="str">
        <f>IFERROR(__xludf.DUMMYFUNCTION("""COMPUTED_VALUE"""),"Daveigh Chase")</f>
        <v>Daveigh Chase</v>
      </c>
      <c r="S94" s="5" t="str">
        <f>IFERROR(__xludf.DUMMYFUNCTION("""COMPUTED_VALUE"""),"Estrela 1")</f>
        <v>Estrela 1</v>
      </c>
    </row>
    <row r="95">
      <c r="A95" s="1">
        <v>94.0</v>
      </c>
      <c r="B95" s="1" t="s">
        <v>707</v>
      </c>
      <c r="C95" s="1" t="s">
        <v>98</v>
      </c>
      <c r="D95" s="1" t="s">
        <v>710</v>
      </c>
      <c r="E95" s="1" t="s">
        <v>711</v>
      </c>
      <c r="F95" s="1" t="s">
        <v>712</v>
      </c>
      <c r="G95" s="5" t="str">
        <f>IFERROR(__xludf.DUMMYFUNCTION("""COMPUTED_VALUE"""),"24🤙🏼Sen to Chihiro no kamikakushi🤙🏼Suzanne Pleshette🤙🏼Estrela 2")</f>
        <v>24🤙🏼Sen to Chihiro no kamikakushi🤙🏼Suzanne Pleshette🤙🏼Estrela 2</v>
      </c>
      <c r="H95" s="5">
        <f>IFERROR(__xludf.DUMMYFUNCTION("SPLiT(G95, ""🤙🏼"",FALSE,FALSE)"),24.0)</f>
        <v>24</v>
      </c>
      <c r="I95" s="5" t="str">
        <f>IFERROR(__xludf.DUMMYFUNCTION("""COMPUTED_VALUE"""),"Sen to Chihiro no kamikakushi")</f>
        <v>Sen to Chihiro no kamikakushi</v>
      </c>
      <c r="J95" s="5" t="str">
        <f>IFERROR(__xludf.DUMMYFUNCTION("""COMPUTED_VALUE"""),"Suzanne Pleshette")</f>
        <v>Suzanne Pleshette</v>
      </c>
      <c r="K95" s="5" t="str">
        <f>IFERROR(__xludf.DUMMYFUNCTION("""COMPUTED_VALUE"""),"Estrela 2")</f>
        <v>Estrela 2</v>
      </c>
      <c r="P95" s="5">
        <f>IFERROR(__xludf.DUMMYFUNCTION("""COMPUTED_VALUE"""),24.0)</f>
        <v>24</v>
      </c>
      <c r="Q95" s="5" t="str">
        <f>IFERROR(__xludf.DUMMYFUNCTION("""COMPUTED_VALUE"""),"Sen to Chihiro no kamikakushi")</f>
        <v>Sen to Chihiro no kamikakushi</v>
      </c>
      <c r="R95" s="5" t="str">
        <f>IFERROR(__xludf.DUMMYFUNCTION("""COMPUTED_VALUE"""),"Suzanne Pleshette")</f>
        <v>Suzanne Pleshette</v>
      </c>
      <c r="S95" s="5" t="str">
        <f>IFERROR(__xludf.DUMMYFUNCTION("""COMPUTED_VALUE"""),"Estrela 2")</f>
        <v>Estrela 2</v>
      </c>
    </row>
    <row r="96">
      <c r="A96" s="1">
        <v>95.0</v>
      </c>
      <c r="B96" s="1" t="s">
        <v>713</v>
      </c>
      <c r="C96" s="1" t="s">
        <v>718</v>
      </c>
      <c r="D96" s="1" t="s">
        <v>719</v>
      </c>
      <c r="E96" s="1" t="s">
        <v>720</v>
      </c>
      <c r="F96" s="1" t="s">
        <v>721</v>
      </c>
      <c r="G96" s="5" t="str">
        <f>IFERROR(__xludf.DUMMYFUNCTION("""COMPUTED_VALUE"""),"24🤙🏼Sen to Chihiro no kamikakushi🤙🏼Miyu Irino🤙🏼Estrela 3")</f>
        <v>24🤙🏼Sen to Chihiro no kamikakushi🤙🏼Miyu Irino🤙🏼Estrela 3</v>
      </c>
      <c r="H96" s="5">
        <f>IFERROR(__xludf.DUMMYFUNCTION("SPLiT(G96, ""🤙🏼"",FALSE,FALSE)"),24.0)</f>
        <v>24</v>
      </c>
      <c r="I96" s="5" t="str">
        <f>IFERROR(__xludf.DUMMYFUNCTION("""COMPUTED_VALUE"""),"Sen to Chihiro no kamikakushi")</f>
        <v>Sen to Chihiro no kamikakushi</v>
      </c>
      <c r="J96" s="5" t="str">
        <f>IFERROR(__xludf.DUMMYFUNCTION("""COMPUTED_VALUE"""),"Miyu Irino")</f>
        <v>Miyu Irino</v>
      </c>
      <c r="K96" s="5" t="str">
        <f>IFERROR(__xludf.DUMMYFUNCTION("""COMPUTED_VALUE"""),"Estrela 3")</f>
        <v>Estrela 3</v>
      </c>
      <c r="P96" s="5">
        <f>IFERROR(__xludf.DUMMYFUNCTION("""COMPUTED_VALUE"""),24.0)</f>
        <v>24</v>
      </c>
      <c r="Q96" s="5" t="str">
        <f>IFERROR(__xludf.DUMMYFUNCTION("""COMPUTED_VALUE"""),"Sen to Chihiro no kamikakushi")</f>
        <v>Sen to Chihiro no kamikakushi</v>
      </c>
      <c r="R96" s="5" t="str">
        <f>IFERROR(__xludf.DUMMYFUNCTION("""COMPUTED_VALUE"""),"Miyu Irino")</f>
        <v>Miyu Irino</v>
      </c>
      <c r="S96" s="5" t="str">
        <f>IFERROR(__xludf.DUMMYFUNCTION("""COMPUTED_VALUE"""),"Estrela 3")</f>
        <v>Estrela 3</v>
      </c>
    </row>
    <row r="97">
      <c r="A97" s="1">
        <v>96.0</v>
      </c>
      <c r="B97" s="1" t="s">
        <v>722</v>
      </c>
      <c r="C97" s="1" t="s">
        <v>726</v>
      </c>
      <c r="D97" s="1" t="s">
        <v>727</v>
      </c>
      <c r="E97" s="1" t="s">
        <v>728</v>
      </c>
      <c r="F97" s="1" t="s">
        <v>729</v>
      </c>
      <c r="G97" s="5" t="str">
        <f>IFERROR(__xludf.DUMMYFUNCTION("""COMPUTED_VALUE"""),"24🤙🏼Sen to Chihiro no kamikakushi🤙🏼Rumi Hiiragi🤙🏼Estrela 4")</f>
        <v>24🤙🏼Sen to Chihiro no kamikakushi🤙🏼Rumi Hiiragi🤙🏼Estrela 4</v>
      </c>
      <c r="H97" s="5">
        <f>IFERROR(__xludf.DUMMYFUNCTION("SPLiT(G97, ""🤙🏼"",FALSE,FALSE)"),24.0)</f>
        <v>24</v>
      </c>
      <c r="I97" s="5" t="str">
        <f>IFERROR(__xludf.DUMMYFUNCTION("""COMPUTED_VALUE"""),"Sen to Chihiro no kamikakushi")</f>
        <v>Sen to Chihiro no kamikakushi</v>
      </c>
      <c r="J97" s="5" t="str">
        <f>IFERROR(__xludf.DUMMYFUNCTION("""COMPUTED_VALUE"""),"Rumi Hiiragi")</f>
        <v>Rumi Hiiragi</v>
      </c>
      <c r="K97" s="5" t="str">
        <f>IFERROR(__xludf.DUMMYFUNCTION("""COMPUTED_VALUE"""),"Estrela 4")</f>
        <v>Estrela 4</v>
      </c>
      <c r="P97" s="5">
        <f>IFERROR(__xludf.DUMMYFUNCTION("""COMPUTED_VALUE"""),24.0)</f>
        <v>24</v>
      </c>
      <c r="Q97" s="5" t="str">
        <f>IFERROR(__xludf.DUMMYFUNCTION("""COMPUTED_VALUE"""),"Sen to Chihiro no kamikakushi")</f>
        <v>Sen to Chihiro no kamikakushi</v>
      </c>
      <c r="R97" s="5" t="str">
        <f>IFERROR(__xludf.DUMMYFUNCTION("""COMPUTED_VALUE"""),"Rumi Hiiragi")</f>
        <v>Rumi Hiiragi</v>
      </c>
      <c r="S97" s="5" t="str">
        <f>IFERROR(__xludf.DUMMYFUNCTION("""COMPUTED_VALUE"""),"Estrela 4")</f>
        <v>Estrela 4</v>
      </c>
    </row>
    <row r="98">
      <c r="A98" s="1">
        <v>97.0</v>
      </c>
      <c r="B98" s="1" t="s">
        <v>730</v>
      </c>
      <c r="C98" s="1" t="s">
        <v>734</v>
      </c>
      <c r="D98" s="1" t="s">
        <v>98</v>
      </c>
      <c r="E98" s="1" t="s">
        <v>735</v>
      </c>
      <c r="F98" s="1" t="s">
        <v>736</v>
      </c>
      <c r="G98" s="5" t="str">
        <f>IFERROR(__xludf.DUMMYFUNCTION("""COMPUTED_VALUE"""),"25🤙🏼Saving Private Ryan🤙🏼Tom Hanks🤙🏼Estrela 1")</f>
        <v>25🤙🏼Saving Private Ryan🤙🏼Tom Hanks🤙🏼Estrela 1</v>
      </c>
      <c r="H98" s="5">
        <f>IFERROR(__xludf.DUMMYFUNCTION("SPLiT(G98, ""🤙🏼"",FALSE,FALSE)"),25.0)</f>
        <v>25</v>
      </c>
      <c r="I98" s="5" t="str">
        <f>IFERROR(__xludf.DUMMYFUNCTION("""COMPUTED_VALUE"""),"Saving Private Ryan")</f>
        <v>Saving Private Ryan</v>
      </c>
      <c r="J98" s="5" t="str">
        <f>IFERROR(__xludf.DUMMYFUNCTION("""COMPUTED_VALUE"""),"Tom Hanks")</f>
        <v>Tom Hanks</v>
      </c>
      <c r="K98" s="5" t="str">
        <f>IFERROR(__xludf.DUMMYFUNCTION("""COMPUTED_VALUE"""),"Estrela 1")</f>
        <v>Estrela 1</v>
      </c>
      <c r="P98" s="5">
        <f>IFERROR(__xludf.DUMMYFUNCTION("""COMPUTED_VALUE"""),25.0)</f>
        <v>25</v>
      </c>
      <c r="Q98" s="5" t="str">
        <f>IFERROR(__xludf.DUMMYFUNCTION("""COMPUTED_VALUE"""),"Saving Private Ryan")</f>
        <v>Saving Private Ryan</v>
      </c>
      <c r="R98" s="5" t="str">
        <f>IFERROR(__xludf.DUMMYFUNCTION("""COMPUTED_VALUE"""),"Tom Hanks")</f>
        <v>Tom Hanks</v>
      </c>
      <c r="S98" s="5" t="str">
        <f>IFERROR(__xludf.DUMMYFUNCTION("""COMPUTED_VALUE"""),"Estrela 1")</f>
        <v>Estrela 1</v>
      </c>
    </row>
    <row r="99">
      <c r="A99" s="1">
        <v>98.0</v>
      </c>
      <c r="B99" s="1" t="s">
        <v>737</v>
      </c>
      <c r="C99" s="1" t="s">
        <v>740</v>
      </c>
      <c r="D99" s="1" t="s">
        <v>741</v>
      </c>
      <c r="E99" s="1" t="s">
        <v>742</v>
      </c>
      <c r="F99" s="1" t="s">
        <v>743</v>
      </c>
      <c r="G99" s="5" t="str">
        <f>IFERROR(__xludf.DUMMYFUNCTION("""COMPUTED_VALUE"""),"25🤙🏼Saving Private Ryan🤙🏼Matt Damon🤙🏼Estrela 2")</f>
        <v>25🤙🏼Saving Private Ryan🤙🏼Matt Damon🤙🏼Estrela 2</v>
      </c>
      <c r="H99" s="5">
        <f>IFERROR(__xludf.DUMMYFUNCTION("SPLiT(G99, ""🤙🏼"",FALSE,FALSE)"),25.0)</f>
        <v>25</v>
      </c>
      <c r="I99" s="5" t="str">
        <f>IFERROR(__xludf.DUMMYFUNCTION("""COMPUTED_VALUE"""),"Saving Private Ryan")</f>
        <v>Saving Private Ryan</v>
      </c>
      <c r="J99" s="5" t="str">
        <f>IFERROR(__xludf.DUMMYFUNCTION("""COMPUTED_VALUE"""),"Matt Damon")</f>
        <v>Matt Damon</v>
      </c>
      <c r="K99" s="5" t="str">
        <f>IFERROR(__xludf.DUMMYFUNCTION("""COMPUTED_VALUE"""),"Estrela 2")</f>
        <v>Estrela 2</v>
      </c>
      <c r="P99" s="5">
        <f>IFERROR(__xludf.DUMMYFUNCTION("""COMPUTED_VALUE"""),25.0)</f>
        <v>25</v>
      </c>
      <c r="Q99" s="5" t="str">
        <f>IFERROR(__xludf.DUMMYFUNCTION("""COMPUTED_VALUE"""),"Saving Private Ryan")</f>
        <v>Saving Private Ryan</v>
      </c>
      <c r="R99" s="5" t="str">
        <f>IFERROR(__xludf.DUMMYFUNCTION("""COMPUTED_VALUE"""),"Matt Damon")</f>
        <v>Matt Damon</v>
      </c>
      <c r="S99" s="5" t="str">
        <f>IFERROR(__xludf.DUMMYFUNCTION("""COMPUTED_VALUE"""),"Estrela 2")</f>
        <v>Estrela 2</v>
      </c>
    </row>
    <row r="100">
      <c r="A100" s="1">
        <v>99.0</v>
      </c>
      <c r="B100" s="1" t="s">
        <v>744</v>
      </c>
      <c r="C100" s="1" t="s">
        <v>237</v>
      </c>
      <c r="D100" s="1" t="s">
        <v>746</v>
      </c>
      <c r="E100" s="1" t="s">
        <v>747</v>
      </c>
      <c r="F100" s="1" t="s">
        <v>748</v>
      </c>
      <c r="G100" s="5" t="str">
        <f>IFERROR(__xludf.DUMMYFUNCTION("""COMPUTED_VALUE"""),"25🤙🏼Saving Private Ryan🤙🏼Tom Sizemore🤙🏼Estrela 3")</f>
        <v>25🤙🏼Saving Private Ryan🤙🏼Tom Sizemore🤙🏼Estrela 3</v>
      </c>
      <c r="H100" s="5">
        <f>IFERROR(__xludf.DUMMYFUNCTION("SPLiT(G100, ""🤙🏼"",FALSE,FALSE)"),25.0)</f>
        <v>25</v>
      </c>
      <c r="I100" s="5" t="str">
        <f>IFERROR(__xludf.DUMMYFUNCTION("""COMPUTED_VALUE"""),"Saving Private Ryan")</f>
        <v>Saving Private Ryan</v>
      </c>
      <c r="J100" s="5" t="str">
        <f>IFERROR(__xludf.DUMMYFUNCTION("""COMPUTED_VALUE"""),"Tom Sizemore")</f>
        <v>Tom Sizemore</v>
      </c>
      <c r="K100" s="5" t="str">
        <f>IFERROR(__xludf.DUMMYFUNCTION("""COMPUTED_VALUE"""),"Estrela 3")</f>
        <v>Estrela 3</v>
      </c>
      <c r="P100" s="5">
        <f>IFERROR(__xludf.DUMMYFUNCTION("""COMPUTED_VALUE"""),25.0)</f>
        <v>25</v>
      </c>
      <c r="Q100" s="5" t="str">
        <f>IFERROR(__xludf.DUMMYFUNCTION("""COMPUTED_VALUE"""),"Saving Private Ryan")</f>
        <v>Saving Private Ryan</v>
      </c>
      <c r="R100" s="5" t="str">
        <f>IFERROR(__xludf.DUMMYFUNCTION("""COMPUTED_VALUE"""),"Tom Sizemore")</f>
        <v>Tom Sizemore</v>
      </c>
      <c r="S100" s="5" t="str">
        <f>IFERROR(__xludf.DUMMYFUNCTION("""COMPUTED_VALUE"""),"Estrela 3")</f>
        <v>Estrela 3</v>
      </c>
    </row>
    <row r="101">
      <c r="A101" s="1">
        <v>100.0</v>
      </c>
      <c r="B101" s="1" t="s">
        <v>749</v>
      </c>
      <c r="C101" s="1" t="s">
        <v>752</v>
      </c>
      <c r="D101" s="1" t="s">
        <v>215</v>
      </c>
      <c r="E101" s="1" t="s">
        <v>753</v>
      </c>
      <c r="F101" s="1" t="s">
        <v>754</v>
      </c>
      <c r="G101" s="5" t="str">
        <f>IFERROR(__xludf.DUMMYFUNCTION("""COMPUTED_VALUE"""),"25🤙🏼Saving Private Ryan🤙🏼Edward Burns🤙🏼Estrela 4")</f>
        <v>25🤙🏼Saving Private Ryan🤙🏼Edward Burns🤙🏼Estrela 4</v>
      </c>
      <c r="H101" s="5">
        <f>IFERROR(__xludf.DUMMYFUNCTION("SPLiT(G101, ""🤙🏼"",FALSE,FALSE)"),25.0)</f>
        <v>25</v>
      </c>
      <c r="I101" s="5" t="str">
        <f>IFERROR(__xludf.DUMMYFUNCTION("""COMPUTED_VALUE"""),"Saving Private Ryan")</f>
        <v>Saving Private Ryan</v>
      </c>
      <c r="J101" s="5" t="str">
        <f>IFERROR(__xludf.DUMMYFUNCTION("""COMPUTED_VALUE"""),"Edward Burns")</f>
        <v>Edward Burns</v>
      </c>
      <c r="K101" s="5" t="str">
        <f>IFERROR(__xludf.DUMMYFUNCTION("""COMPUTED_VALUE"""),"Estrela 4")</f>
        <v>Estrela 4</v>
      </c>
      <c r="P101" s="5">
        <f>IFERROR(__xludf.DUMMYFUNCTION("""COMPUTED_VALUE"""),25.0)</f>
        <v>25</v>
      </c>
      <c r="Q101" s="5" t="str">
        <f>IFERROR(__xludf.DUMMYFUNCTION("""COMPUTED_VALUE"""),"Saving Private Ryan")</f>
        <v>Saving Private Ryan</v>
      </c>
      <c r="R101" s="5" t="str">
        <f>IFERROR(__xludf.DUMMYFUNCTION("""COMPUTED_VALUE"""),"Edward Burns")</f>
        <v>Edward Burns</v>
      </c>
      <c r="S101" s="5" t="str">
        <f>IFERROR(__xludf.DUMMYFUNCTION("""COMPUTED_VALUE"""),"Estrela 4")</f>
        <v>Estrela 4</v>
      </c>
    </row>
    <row r="102">
      <c r="A102" s="1">
        <v>101.0</v>
      </c>
      <c r="B102" s="1" t="s">
        <v>755</v>
      </c>
      <c r="C102" s="1" t="s">
        <v>759</v>
      </c>
      <c r="D102" s="1" t="s">
        <v>760</v>
      </c>
      <c r="E102" s="1" t="s">
        <v>761</v>
      </c>
      <c r="F102" s="1" t="s">
        <v>762</v>
      </c>
      <c r="G102" s="5" t="str">
        <f>IFERROR(__xludf.DUMMYFUNCTION("""COMPUTED_VALUE"""),"26🤙🏼The Green Mile🤙🏼Tom Hanks🤙🏼Estrela 1")</f>
        <v>26🤙🏼The Green Mile🤙🏼Tom Hanks🤙🏼Estrela 1</v>
      </c>
      <c r="H102" s="5">
        <f>IFERROR(__xludf.DUMMYFUNCTION("SPLiT(G102, ""🤙🏼"",FALSE,FALSE)"),26.0)</f>
        <v>26</v>
      </c>
      <c r="I102" s="5" t="str">
        <f>IFERROR(__xludf.DUMMYFUNCTION("""COMPUTED_VALUE"""),"The Green Mile")</f>
        <v>The Green Mile</v>
      </c>
      <c r="J102" s="5" t="str">
        <f>IFERROR(__xludf.DUMMYFUNCTION("""COMPUTED_VALUE"""),"Tom Hanks")</f>
        <v>Tom Hanks</v>
      </c>
      <c r="K102" s="5" t="str">
        <f>IFERROR(__xludf.DUMMYFUNCTION("""COMPUTED_VALUE"""),"Estrela 1")</f>
        <v>Estrela 1</v>
      </c>
      <c r="P102" s="5">
        <f>IFERROR(__xludf.DUMMYFUNCTION("""COMPUTED_VALUE"""),26.0)</f>
        <v>26</v>
      </c>
      <c r="Q102" s="5" t="str">
        <f>IFERROR(__xludf.DUMMYFUNCTION("""COMPUTED_VALUE"""),"The Green Mile")</f>
        <v>The Green Mile</v>
      </c>
      <c r="R102" s="5" t="str">
        <f>IFERROR(__xludf.DUMMYFUNCTION("""COMPUTED_VALUE"""),"Tom Hanks")</f>
        <v>Tom Hanks</v>
      </c>
      <c r="S102" s="5" t="str">
        <f>IFERROR(__xludf.DUMMYFUNCTION("""COMPUTED_VALUE"""),"Estrela 1")</f>
        <v>Estrela 1</v>
      </c>
    </row>
    <row r="103">
      <c r="A103" s="1">
        <v>102.0</v>
      </c>
      <c r="B103" s="1" t="s">
        <v>763</v>
      </c>
      <c r="C103" s="1" t="s">
        <v>110</v>
      </c>
      <c r="D103" s="1" t="s">
        <v>768</v>
      </c>
      <c r="E103" s="1" t="s">
        <v>769</v>
      </c>
      <c r="F103" s="1" t="s">
        <v>770</v>
      </c>
      <c r="G103" s="5" t="str">
        <f>IFERROR(__xludf.DUMMYFUNCTION("""COMPUTED_VALUE"""),"26🤙🏼The Green Mile🤙🏼Michael Clarke Duncan🤙🏼Estrela 2")</f>
        <v>26🤙🏼The Green Mile🤙🏼Michael Clarke Duncan🤙🏼Estrela 2</v>
      </c>
      <c r="H103" s="5">
        <f>IFERROR(__xludf.DUMMYFUNCTION("SPLiT(G103, ""🤙🏼"",FALSE,FALSE)"),26.0)</f>
        <v>26</v>
      </c>
      <c r="I103" s="5" t="str">
        <f>IFERROR(__xludf.DUMMYFUNCTION("""COMPUTED_VALUE"""),"The Green Mile")</f>
        <v>The Green Mile</v>
      </c>
      <c r="J103" s="5" t="str">
        <f>IFERROR(__xludf.DUMMYFUNCTION("""COMPUTED_VALUE"""),"Michael Clarke Duncan")</f>
        <v>Michael Clarke Duncan</v>
      </c>
      <c r="K103" s="5" t="str">
        <f>IFERROR(__xludf.DUMMYFUNCTION("""COMPUTED_VALUE"""),"Estrela 2")</f>
        <v>Estrela 2</v>
      </c>
      <c r="P103" s="5">
        <f>IFERROR(__xludf.DUMMYFUNCTION("""COMPUTED_VALUE"""),26.0)</f>
        <v>26</v>
      </c>
      <c r="Q103" s="5" t="str">
        <f>IFERROR(__xludf.DUMMYFUNCTION("""COMPUTED_VALUE"""),"The Green Mile")</f>
        <v>The Green Mile</v>
      </c>
      <c r="R103" s="5" t="str">
        <f>IFERROR(__xludf.DUMMYFUNCTION("""COMPUTED_VALUE"""),"Michael Clarke Duncan")</f>
        <v>Michael Clarke Duncan</v>
      </c>
      <c r="S103" s="5" t="str">
        <f>IFERROR(__xludf.DUMMYFUNCTION("""COMPUTED_VALUE"""),"Estrela 2")</f>
        <v>Estrela 2</v>
      </c>
    </row>
    <row r="104">
      <c r="A104" s="1">
        <v>103.0</v>
      </c>
      <c r="B104" s="1" t="s">
        <v>771</v>
      </c>
      <c r="C104" s="1" t="s">
        <v>773</v>
      </c>
      <c r="D104" s="1" t="s">
        <v>774</v>
      </c>
      <c r="E104" s="1" t="s">
        <v>775</v>
      </c>
      <c r="F104" s="1" t="s">
        <v>776</v>
      </c>
      <c r="G104" s="5" t="str">
        <f>IFERROR(__xludf.DUMMYFUNCTION("""COMPUTED_VALUE"""),"26🤙🏼The Green Mile🤙🏼David Morse🤙🏼Estrela 3")</f>
        <v>26🤙🏼The Green Mile🤙🏼David Morse🤙🏼Estrela 3</v>
      </c>
      <c r="H104" s="5">
        <f>IFERROR(__xludf.DUMMYFUNCTION("SPLiT(G104, ""🤙🏼"",FALSE,FALSE)"),26.0)</f>
        <v>26</v>
      </c>
      <c r="I104" s="5" t="str">
        <f>IFERROR(__xludf.DUMMYFUNCTION("""COMPUTED_VALUE"""),"The Green Mile")</f>
        <v>The Green Mile</v>
      </c>
      <c r="J104" s="5" t="str">
        <f>IFERROR(__xludf.DUMMYFUNCTION("""COMPUTED_VALUE"""),"David Morse")</f>
        <v>David Morse</v>
      </c>
      <c r="K104" s="5" t="str">
        <f>IFERROR(__xludf.DUMMYFUNCTION("""COMPUTED_VALUE"""),"Estrela 3")</f>
        <v>Estrela 3</v>
      </c>
      <c r="P104" s="5">
        <f>IFERROR(__xludf.DUMMYFUNCTION("""COMPUTED_VALUE"""),26.0)</f>
        <v>26</v>
      </c>
      <c r="Q104" s="5" t="str">
        <f>IFERROR(__xludf.DUMMYFUNCTION("""COMPUTED_VALUE"""),"The Green Mile")</f>
        <v>The Green Mile</v>
      </c>
      <c r="R104" s="5" t="str">
        <f>IFERROR(__xludf.DUMMYFUNCTION("""COMPUTED_VALUE"""),"David Morse")</f>
        <v>David Morse</v>
      </c>
      <c r="S104" s="5" t="str">
        <f>IFERROR(__xludf.DUMMYFUNCTION("""COMPUTED_VALUE"""),"Estrela 3")</f>
        <v>Estrela 3</v>
      </c>
    </row>
    <row r="105">
      <c r="A105" s="1">
        <v>104.0</v>
      </c>
      <c r="B105" s="1" t="s">
        <v>777</v>
      </c>
      <c r="C105" s="1" t="s">
        <v>780</v>
      </c>
      <c r="D105" s="1" t="s">
        <v>781</v>
      </c>
      <c r="E105" s="1" t="s">
        <v>782</v>
      </c>
      <c r="F105" s="1" t="s">
        <v>783</v>
      </c>
      <c r="G105" s="5" t="str">
        <f>IFERROR(__xludf.DUMMYFUNCTION("""COMPUTED_VALUE"""),"26🤙🏼The Green Mile🤙🏼Bonnie Hunt🤙🏼Estrela 4")</f>
        <v>26🤙🏼The Green Mile🤙🏼Bonnie Hunt🤙🏼Estrela 4</v>
      </c>
      <c r="H105" s="5">
        <f>IFERROR(__xludf.DUMMYFUNCTION("SPLiT(G105, ""🤙🏼"",FALSE,FALSE)"),26.0)</f>
        <v>26</v>
      </c>
      <c r="I105" s="5" t="str">
        <f>IFERROR(__xludf.DUMMYFUNCTION("""COMPUTED_VALUE"""),"The Green Mile")</f>
        <v>The Green Mile</v>
      </c>
      <c r="J105" s="5" t="str">
        <f>IFERROR(__xludf.DUMMYFUNCTION("""COMPUTED_VALUE"""),"Bonnie Hunt")</f>
        <v>Bonnie Hunt</v>
      </c>
      <c r="K105" s="5" t="str">
        <f>IFERROR(__xludf.DUMMYFUNCTION("""COMPUTED_VALUE"""),"Estrela 4")</f>
        <v>Estrela 4</v>
      </c>
      <c r="P105" s="5">
        <f>IFERROR(__xludf.DUMMYFUNCTION("""COMPUTED_VALUE"""),26.0)</f>
        <v>26</v>
      </c>
      <c r="Q105" s="5" t="str">
        <f>IFERROR(__xludf.DUMMYFUNCTION("""COMPUTED_VALUE"""),"The Green Mile")</f>
        <v>The Green Mile</v>
      </c>
      <c r="R105" s="5" t="str">
        <f>IFERROR(__xludf.DUMMYFUNCTION("""COMPUTED_VALUE"""),"Bonnie Hunt")</f>
        <v>Bonnie Hunt</v>
      </c>
      <c r="S105" s="5" t="str">
        <f>IFERROR(__xludf.DUMMYFUNCTION("""COMPUTED_VALUE"""),"Estrela 4")</f>
        <v>Estrela 4</v>
      </c>
    </row>
    <row r="106">
      <c r="A106" s="1">
        <v>105.0</v>
      </c>
      <c r="B106" s="1" t="s">
        <v>784</v>
      </c>
      <c r="C106" s="1" t="s">
        <v>786</v>
      </c>
      <c r="D106" s="1" t="s">
        <v>787</v>
      </c>
      <c r="E106" s="1" t="s">
        <v>788</v>
      </c>
      <c r="F106" s="1" t="s">
        <v>789</v>
      </c>
      <c r="G106" s="5" t="str">
        <f>IFERROR(__xludf.DUMMYFUNCTION("""COMPUTED_VALUE"""),"27🤙🏼La vita è bella🤙🏼Roberto Benigni🤙🏼Estrela 1")</f>
        <v>27🤙🏼La vita è bella🤙🏼Roberto Benigni🤙🏼Estrela 1</v>
      </c>
      <c r="H106" s="5">
        <f>IFERROR(__xludf.DUMMYFUNCTION("SPLiT(G106, ""🤙🏼"",FALSE,FALSE)"),27.0)</f>
        <v>27</v>
      </c>
      <c r="I106" s="5" t="str">
        <f>IFERROR(__xludf.DUMMYFUNCTION("""COMPUTED_VALUE"""),"La vita è bella")</f>
        <v>La vita è bella</v>
      </c>
      <c r="J106" s="5" t="str">
        <f>IFERROR(__xludf.DUMMYFUNCTION("""COMPUTED_VALUE"""),"Roberto Benigni")</f>
        <v>Roberto Benigni</v>
      </c>
      <c r="K106" s="5" t="str">
        <f>IFERROR(__xludf.DUMMYFUNCTION("""COMPUTED_VALUE"""),"Estrela 1")</f>
        <v>Estrela 1</v>
      </c>
      <c r="P106" s="5">
        <f>IFERROR(__xludf.DUMMYFUNCTION("""COMPUTED_VALUE"""),27.0)</f>
        <v>27</v>
      </c>
      <c r="Q106" s="5" t="str">
        <f>IFERROR(__xludf.DUMMYFUNCTION("""COMPUTED_VALUE"""),"La vita è bella")</f>
        <v>La vita è bella</v>
      </c>
      <c r="R106" s="5" t="str">
        <f>IFERROR(__xludf.DUMMYFUNCTION("""COMPUTED_VALUE"""),"Roberto Benigni")</f>
        <v>Roberto Benigni</v>
      </c>
      <c r="S106" s="5" t="str">
        <f>IFERROR(__xludf.DUMMYFUNCTION("""COMPUTED_VALUE"""),"Estrela 1")</f>
        <v>Estrela 1</v>
      </c>
    </row>
    <row r="107">
      <c r="A107" s="1">
        <v>106.0</v>
      </c>
      <c r="B107" s="1" t="s">
        <v>790</v>
      </c>
      <c r="C107" s="1" t="s">
        <v>793</v>
      </c>
      <c r="D107" s="1" t="s">
        <v>794</v>
      </c>
      <c r="E107" s="1" t="s">
        <v>795</v>
      </c>
      <c r="F107" s="1" t="s">
        <v>796</v>
      </c>
      <c r="G107" s="5" t="str">
        <f>IFERROR(__xludf.DUMMYFUNCTION("""COMPUTED_VALUE"""),"27🤙🏼La vita è bella🤙🏼Nicoletta Braschi🤙🏼Estrela 2")</f>
        <v>27🤙🏼La vita è bella🤙🏼Nicoletta Braschi🤙🏼Estrela 2</v>
      </c>
      <c r="H107" s="5">
        <f>IFERROR(__xludf.DUMMYFUNCTION("SPLiT(G107, ""🤙🏼"",FALSE,FALSE)"),27.0)</f>
        <v>27</v>
      </c>
      <c r="I107" s="5" t="str">
        <f>IFERROR(__xludf.DUMMYFUNCTION("""COMPUTED_VALUE"""),"La vita è bella")</f>
        <v>La vita è bella</v>
      </c>
      <c r="J107" s="5" t="str">
        <f>IFERROR(__xludf.DUMMYFUNCTION("""COMPUTED_VALUE"""),"Nicoletta Braschi")</f>
        <v>Nicoletta Braschi</v>
      </c>
      <c r="K107" s="5" t="str">
        <f>IFERROR(__xludf.DUMMYFUNCTION("""COMPUTED_VALUE"""),"Estrela 2")</f>
        <v>Estrela 2</v>
      </c>
      <c r="P107" s="5">
        <f>IFERROR(__xludf.DUMMYFUNCTION("""COMPUTED_VALUE"""),27.0)</f>
        <v>27</v>
      </c>
      <c r="Q107" s="5" t="str">
        <f>IFERROR(__xludf.DUMMYFUNCTION("""COMPUTED_VALUE"""),"La vita è bella")</f>
        <v>La vita è bella</v>
      </c>
      <c r="R107" s="5" t="str">
        <f>IFERROR(__xludf.DUMMYFUNCTION("""COMPUTED_VALUE"""),"Nicoletta Braschi")</f>
        <v>Nicoletta Braschi</v>
      </c>
      <c r="S107" s="5" t="str">
        <f>IFERROR(__xludf.DUMMYFUNCTION("""COMPUTED_VALUE"""),"Estrela 2")</f>
        <v>Estrela 2</v>
      </c>
    </row>
    <row r="108">
      <c r="A108" s="1">
        <v>107.0</v>
      </c>
      <c r="B108" s="1" t="s">
        <v>797</v>
      </c>
      <c r="C108" s="1" t="s">
        <v>583</v>
      </c>
      <c r="D108" s="1" t="s">
        <v>799</v>
      </c>
      <c r="E108" s="1" t="s">
        <v>800</v>
      </c>
      <c r="F108" s="1" t="s">
        <v>293</v>
      </c>
      <c r="G108" s="5" t="str">
        <f>IFERROR(__xludf.DUMMYFUNCTION("""COMPUTED_VALUE"""),"27🤙🏼La vita è bella🤙🏼Giorgio Cantarini🤙🏼Estrela 3")</f>
        <v>27🤙🏼La vita è bella🤙🏼Giorgio Cantarini🤙🏼Estrela 3</v>
      </c>
      <c r="H108" s="5">
        <f>IFERROR(__xludf.DUMMYFUNCTION("SPLiT(G108, ""🤙🏼"",FALSE,FALSE)"),27.0)</f>
        <v>27</v>
      </c>
      <c r="I108" s="5" t="str">
        <f>IFERROR(__xludf.DUMMYFUNCTION("""COMPUTED_VALUE"""),"La vita è bella")</f>
        <v>La vita è bella</v>
      </c>
      <c r="J108" s="5" t="str">
        <f>IFERROR(__xludf.DUMMYFUNCTION("""COMPUTED_VALUE"""),"Giorgio Cantarini")</f>
        <v>Giorgio Cantarini</v>
      </c>
      <c r="K108" s="5" t="str">
        <f>IFERROR(__xludf.DUMMYFUNCTION("""COMPUTED_VALUE"""),"Estrela 3")</f>
        <v>Estrela 3</v>
      </c>
      <c r="P108" s="5">
        <f>IFERROR(__xludf.DUMMYFUNCTION("""COMPUTED_VALUE"""),27.0)</f>
        <v>27</v>
      </c>
      <c r="Q108" s="5" t="str">
        <f>IFERROR(__xludf.DUMMYFUNCTION("""COMPUTED_VALUE"""),"La vita è bella")</f>
        <v>La vita è bella</v>
      </c>
      <c r="R108" s="5" t="str">
        <f>IFERROR(__xludf.DUMMYFUNCTION("""COMPUTED_VALUE"""),"Giorgio Cantarini")</f>
        <v>Giorgio Cantarini</v>
      </c>
      <c r="S108" s="5" t="str">
        <f>IFERROR(__xludf.DUMMYFUNCTION("""COMPUTED_VALUE"""),"Estrela 3")</f>
        <v>Estrela 3</v>
      </c>
    </row>
    <row r="109">
      <c r="A109" s="1">
        <v>108.0</v>
      </c>
      <c r="B109" s="1" t="s">
        <v>801</v>
      </c>
      <c r="C109" s="1" t="s">
        <v>803</v>
      </c>
      <c r="D109" s="1" t="s">
        <v>804</v>
      </c>
      <c r="E109" s="1" t="s">
        <v>805</v>
      </c>
      <c r="F109" s="1" t="s">
        <v>806</v>
      </c>
      <c r="G109" s="5" t="str">
        <f>IFERROR(__xludf.DUMMYFUNCTION("""COMPUTED_VALUE"""),"27🤙🏼La vita è bella🤙🏼Giustino Durano🤙🏼Estrela 4")</f>
        <v>27🤙🏼La vita è bella🤙🏼Giustino Durano🤙🏼Estrela 4</v>
      </c>
      <c r="H109" s="5">
        <f>IFERROR(__xludf.DUMMYFUNCTION("SPLiT(G109, ""🤙🏼"",FALSE,FALSE)"),27.0)</f>
        <v>27</v>
      </c>
      <c r="I109" s="5" t="str">
        <f>IFERROR(__xludf.DUMMYFUNCTION("""COMPUTED_VALUE"""),"La vita è bella")</f>
        <v>La vita è bella</v>
      </c>
      <c r="J109" s="5" t="str">
        <f>IFERROR(__xludf.DUMMYFUNCTION("""COMPUTED_VALUE"""),"Giustino Durano")</f>
        <v>Giustino Durano</v>
      </c>
      <c r="K109" s="5" t="str">
        <f>IFERROR(__xludf.DUMMYFUNCTION("""COMPUTED_VALUE"""),"Estrela 4")</f>
        <v>Estrela 4</v>
      </c>
      <c r="P109" s="5">
        <f>IFERROR(__xludf.DUMMYFUNCTION("""COMPUTED_VALUE"""),27.0)</f>
        <v>27</v>
      </c>
      <c r="Q109" s="5" t="str">
        <f>IFERROR(__xludf.DUMMYFUNCTION("""COMPUTED_VALUE"""),"La vita è bella")</f>
        <v>La vita è bella</v>
      </c>
      <c r="R109" s="5" t="str">
        <f>IFERROR(__xludf.DUMMYFUNCTION("""COMPUTED_VALUE"""),"Giustino Durano")</f>
        <v>Giustino Durano</v>
      </c>
      <c r="S109" s="5" t="str">
        <f>IFERROR(__xludf.DUMMYFUNCTION("""COMPUTED_VALUE"""),"Estrela 4")</f>
        <v>Estrela 4</v>
      </c>
    </row>
    <row r="110">
      <c r="A110" s="1">
        <v>109.0</v>
      </c>
      <c r="B110" s="1" t="s">
        <v>807</v>
      </c>
      <c r="C110" s="1" t="s">
        <v>33</v>
      </c>
      <c r="D110" s="1" t="s">
        <v>810</v>
      </c>
      <c r="E110" s="1" t="s">
        <v>811</v>
      </c>
      <c r="F110" s="1" t="s">
        <v>812</v>
      </c>
      <c r="G110" s="5" t="str">
        <f>IFERROR(__xludf.DUMMYFUNCTION("""COMPUTED_VALUE"""),"28🤙🏼Se7en🤙🏼Morgan Freeman🤙🏼Estrela 1")</f>
        <v>28🤙🏼Se7en🤙🏼Morgan Freeman🤙🏼Estrela 1</v>
      </c>
      <c r="H110" s="5">
        <f>IFERROR(__xludf.DUMMYFUNCTION("SPLiT(G110, ""🤙🏼"",FALSE,FALSE)"),28.0)</f>
        <v>28</v>
      </c>
      <c r="I110" s="5" t="str">
        <f>IFERROR(__xludf.DUMMYFUNCTION("""COMPUTED_VALUE"""),"Se7en")</f>
        <v>Se7en</v>
      </c>
      <c r="J110" s="5" t="str">
        <f>IFERROR(__xludf.DUMMYFUNCTION("""COMPUTED_VALUE"""),"Morgan Freeman")</f>
        <v>Morgan Freeman</v>
      </c>
      <c r="K110" s="5" t="str">
        <f>IFERROR(__xludf.DUMMYFUNCTION("""COMPUTED_VALUE"""),"Estrela 1")</f>
        <v>Estrela 1</v>
      </c>
      <c r="P110" s="5">
        <f>IFERROR(__xludf.DUMMYFUNCTION("""COMPUTED_VALUE"""),28.0)</f>
        <v>28</v>
      </c>
      <c r="Q110" s="5" t="str">
        <f>IFERROR(__xludf.DUMMYFUNCTION("""COMPUTED_VALUE"""),"Se7en")</f>
        <v>Se7en</v>
      </c>
      <c r="R110" s="5" t="str">
        <f>IFERROR(__xludf.DUMMYFUNCTION("""COMPUTED_VALUE"""),"Morgan Freeman")</f>
        <v>Morgan Freeman</v>
      </c>
      <c r="S110" s="5" t="str">
        <f>IFERROR(__xludf.DUMMYFUNCTION("""COMPUTED_VALUE"""),"Estrela 1")</f>
        <v>Estrela 1</v>
      </c>
    </row>
    <row r="111">
      <c r="A111" s="1">
        <v>110.0</v>
      </c>
      <c r="B111" s="1" t="s">
        <v>813</v>
      </c>
      <c r="C111" s="1" t="s">
        <v>148</v>
      </c>
      <c r="D111" s="1" t="s">
        <v>149</v>
      </c>
      <c r="E111" s="1" t="s">
        <v>150</v>
      </c>
      <c r="F111" s="1" t="s">
        <v>151</v>
      </c>
      <c r="G111" s="5" t="str">
        <f>IFERROR(__xludf.DUMMYFUNCTION("""COMPUTED_VALUE"""),"28🤙🏼Se7en🤙🏼Brad Pitt🤙🏼Estrela 2")</f>
        <v>28🤙🏼Se7en🤙🏼Brad Pitt🤙🏼Estrela 2</v>
      </c>
      <c r="H111" s="5">
        <f>IFERROR(__xludf.DUMMYFUNCTION("SPLiT(G111, ""🤙🏼"",FALSE,FALSE)"),28.0)</f>
        <v>28</v>
      </c>
      <c r="I111" s="5" t="str">
        <f>IFERROR(__xludf.DUMMYFUNCTION("""COMPUTED_VALUE"""),"Se7en")</f>
        <v>Se7en</v>
      </c>
      <c r="J111" s="5" t="str">
        <f>IFERROR(__xludf.DUMMYFUNCTION("""COMPUTED_VALUE"""),"Brad Pitt")</f>
        <v>Brad Pitt</v>
      </c>
      <c r="K111" s="5" t="str">
        <f>IFERROR(__xludf.DUMMYFUNCTION("""COMPUTED_VALUE"""),"Estrela 2")</f>
        <v>Estrela 2</v>
      </c>
      <c r="P111" s="5">
        <f>IFERROR(__xludf.DUMMYFUNCTION("""COMPUTED_VALUE"""),28.0)</f>
        <v>28</v>
      </c>
      <c r="Q111" s="5" t="str">
        <f>IFERROR(__xludf.DUMMYFUNCTION("""COMPUTED_VALUE"""),"Se7en")</f>
        <v>Se7en</v>
      </c>
      <c r="R111" s="5" t="str">
        <f>IFERROR(__xludf.DUMMYFUNCTION("""COMPUTED_VALUE"""),"Brad Pitt")</f>
        <v>Brad Pitt</v>
      </c>
      <c r="S111" s="5" t="str">
        <f>IFERROR(__xludf.DUMMYFUNCTION("""COMPUTED_VALUE"""),"Estrela 2")</f>
        <v>Estrela 2</v>
      </c>
    </row>
    <row r="112">
      <c r="A112" s="1">
        <v>111.0</v>
      </c>
      <c r="B112" s="1" t="s">
        <v>816</v>
      </c>
      <c r="C112" s="1" t="s">
        <v>820</v>
      </c>
      <c r="D112" s="1" t="s">
        <v>821</v>
      </c>
      <c r="E112" s="1" t="s">
        <v>822</v>
      </c>
      <c r="F112" s="1" t="s">
        <v>823</v>
      </c>
      <c r="G112" s="5" t="str">
        <f>IFERROR(__xludf.DUMMYFUNCTION("""COMPUTED_VALUE"""),"28🤙🏼Se7en🤙🏼Kevin Spacey🤙🏼Estrela 3")</f>
        <v>28🤙🏼Se7en🤙🏼Kevin Spacey🤙🏼Estrela 3</v>
      </c>
      <c r="H112" s="5">
        <f>IFERROR(__xludf.DUMMYFUNCTION("SPLiT(G112, ""🤙🏼"",FALSE,FALSE)"),28.0)</f>
        <v>28</v>
      </c>
      <c r="I112" s="5" t="str">
        <f>IFERROR(__xludf.DUMMYFUNCTION("""COMPUTED_VALUE"""),"Se7en")</f>
        <v>Se7en</v>
      </c>
      <c r="J112" s="5" t="str">
        <f>IFERROR(__xludf.DUMMYFUNCTION("""COMPUTED_VALUE"""),"Kevin Spacey")</f>
        <v>Kevin Spacey</v>
      </c>
      <c r="K112" s="5" t="str">
        <f>IFERROR(__xludf.DUMMYFUNCTION("""COMPUTED_VALUE"""),"Estrela 3")</f>
        <v>Estrela 3</v>
      </c>
      <c r="P112" s="5">
        <f>IFERROR(__xludf.DUMMYFUNCTION("""COMPUTED_VALUE"""),28.0)</f>
        <v>28</v>
      </c>
      <c r="Q112" s="5" t="str">
        <f>IFERROR(__xludf.DUMMYFUNCTION("""COMPUTED_VALUE"""),"Se7en")</f>
        <v>Se7en</v>
      </c>
      <c r="R112" s="5" t="str">
        <f>IFERROR(__xludf.DUMMYFUNCTION("""COMPUTED_VALUE"""),"Kevin Spacey")</f>
        <v>Kevin Spacey</v>
      </c>
      <c r="S112" s="5" t="str">
        <f>IFERROR(__xludf.DUMMYFUNCTION("""COMPUTED_VALUE"""),"Estrela 3")</f>
        <v>Estrela 3</v>
      </c>
    </row>
    <row r="113">
      <c r="A113" s="1">
        <v>112.0</v>
      </c>
      <c r="B113" s="1" t="s">
        <v>824</v>
      </c>
      <c r="C113" s="1" t="s">
        <v>49</v>
      </c>
      <c r="D113" s="1" t="s">
        <v>244</v>
      </c>
      <c r="E113" s="1" t="s">
        <v>827</v>
      </c>
      <c r="F113" s="1" t="s">
        <v>828</v>
      </c>
      <c r="G113" s="5" t="str">
        <f>IFERROR(__xludf.DUMMYFUNCTION("""COMPUTED_VALUE"""),"28🤙🏼Se7en🤙🏼Andrew Kevin Walker🤙🏼Estrela 4")</f>
        <v>28🤙🏼Se7en🤙🏼Andrew Kevin Walker🤙🏼Estrela 4</v>
      </c>
      <c r="H113" s="5">
        <f>IFERROR(__xludf.DUMMYFUNCTION("SPLiT(G113, ""🤙🏼"",FALSE,FALSE)"),28.0)</f>
        <v>28</v>
      </c>
      <c r="I113" s="5" t="str">
        <f>IFERROR(__xludf.DUMMYFUNCTION("""COMPUTED_VALUE"""),"Se7en")</f>
        <v>Se7en</v>
      </c>
      <c r="J113" s="5" t="str">
        <f>IFERROR(__xludf.DUMMYFUNCTION("""COMPUTED_VALUE"""),"Andrew Kevin Walker")</f>
        <v>Andrew Kevin Walker</v>
      </c>
      <c r="K113" s="5" t="str">
        <f>IFERROR(__xludf.DUMMYFUNCTION("""COMPUTED_VALUE"""),"Estrela 4")</f>
        <v>Estrela 4</v>
      </c>
      <c r="P113" s="5">
        <f>IFERROR(__xludf.DUMMYFUNCTION("""COMPUTED_VALUE"""),28.0)</f>
        <v>28</v>
      </c>
      <c r="Q113" s="5" t="str">
        <f>IFERROR(__xludf.DUMMYFUNCTION("""COMPUTED_VALUE"""),"Se7en")</f>
        <v>Se7en</v>
      </c>
      <c r="R113" s="5" t="str">
        <f>IFERROR(__xludf.DUMMYFUNCTION("""COMPUTED_VALUE"""),"Andrew Kevin Walker")</f>
        <v>Andrew Kevin Walker</v>
      </c>
      <c r="S113" s="5" t="str">
        <f>IFERROR(__xludf.DUMMYFUNCTION("""COMPUTED_VALUE"""),"Estrela 4")</f>
        <v>Estrela 4</v>
      </c>
    </row>
    <row r="114">
      <c r="A114" s="1">
        <v>113.0</v>
      </c>
      <c r="B114" s="1" t="s">
        <v>829</v>
      </c>
      <c r="C114" s="1" t="s">
        <v>834</v>
      </c>
      <c r="D114" s="1" t="s">
        <v>835</v>
      </c>
      <c r="E114" s="1" t="s">
        <v>836</v>
      </c>
      <c r="F114" s="1" t="s">
        <v>837</v>
      </c>
      <c r="G114" s="5" t="str">
        <f>IFERROR(__xludf.DUMMYFUNCTION("""COMPUTED_VALUE"""),"29🤙🏼The Silence of the Lambs🤙🏼Jodie Foster🤙🏼Estrela 1")</f>
        <v>29🤙🏼The Silence of the Lambs🤙🏼Jodie Foster🤙🏼Estrela 1</v>
      </c>
      <c r="H114" s="5">
        <f>IFERROR(__xludf.DUMMYFUNCTION("SPLiT(G114, ""🤙🏼"",FALSE,FALSE)"),29.0)</f>
        <v>29</v>
      </c>
      <c r="I114" s="5" t="str">
        <f>IFERROR(__xludf.DUMMYFUNCTION("""COMPUTED_VALUE"""),"The Silence of the Lambs")</f>
        <v>The Silence of the Lambs</v>
      </c>
      <c r="J114" s="5" t="str">
        <f>IFERROR(__xludf.DUMMYFUNCTION("""COMPUTED_VALUE"""),"Jodie Foster")</f>
        <v>Jodie Foster</v>
      </c>
      <c r="K114" s="5" t="str">
        <f>IFERROR(__xludf.DUMMYFUNCTION("""COMPUTED_VALUE"""),"Estrela 1")</f>
        <v>Estrela 1</v>
      </c>
      <c r="P114" s="5">
        <f>IFERROR(__xludf.DUMMYFUNCTION("""COMPUTED_VALUE"""),29.0)</f>
        <v>29</v>
      </c>
      <c r="Q114" s="5" t="str">
        <f>IFERROR(__xludf.DUMMYFUNCTION("""COMPUTED_VALUE"""),"The Silence of the Lambs")</f>
        <v>The Silence of the Lambs</v>
      </c>
      <c r="R114" s="5" t="str">
        <f>IFERROR(__xludf.DUMMYFUNCTION("""COMPUTED_VALUE"""),"Jodie Foster")</f>
        <v>Jodie Foster</v>
      </c>
      <c r="S114" s="5" t="str">
        <f>IFERROR(__xludf.DUMMYFUNCTION("""COMPUTED_VALUE"""),"Estrela 1")</f>
        <v>Estrela 1</v>
      </c>
    </row>
    <row r="115">
      <c r="A115" s="1">
        <v>114.0</v>
      </c>
      <c r="B115" s="1" t="s">
        <v>838</v>
      </c>
      <c r="C115" s="1" t="s">
        <v>841</v>
      </c>
      <c r="D115" s="1" t="s">
        <v>842</v>
      </c>
      <c r="E115" s="1" t="s">
        <v>843</v>
      </c>
      <c r="F115" s="1" t="s">
        <v>844</v>
      </c>
      <c r="G115" s="5" t="str">
        <f>IFERROR(__xludf.DUMMYFUNCTION("""COMPUTED_VALUE"""),"29🤙🏼The Silence of the Lambs🤙🏼Anthony Hopkins🤙🏼Estrela 2")</f>
        <v>29🤙🏼The Silence of the Lambs🤙🏼Anthony Hopkins🤙🏼Estrela 2</v>
      </c>
      <c r="H115" s="5">
        <f>IFERROR(__xludf.DUMMYFUNCTION("SPLiT(G115, ""🤙🏼"",FALSE,FALSE)"),29.0)</f>
        <v>29</v>
      </c>
      <c r="I115" s="5" t="str">
        <f>IFERROR(__xludf.DUMMYFUNCTION("""COMPUTED_VALUE"""),"The Silence of the Lambs")</f>
        <v>The Silence of the Lambs</v>
      </c>
      <c r="J115" s="5" t="str">
        <f>IFERROR(__xludf.DUMMYFUNCTION("""COMPUTED_VALUE"""),"Anthony Hopkins")</f>
        <v>Anthony Hopkins</v>
      </c>
      <c r="K115" s="5" t="str">
        <f>IFERROR(__xludf.DUMMYFUNCTION("""COMPUTED_VALUE"""),"Estrela 2")</f>
        <v>Estrela 2</v>
      </c>
      <c r="P115" s="5">
        <f>IFERROR(__xludf.DUMMYFUNCTION("""COMPUTED_VALUE"""),29.0)</f>
        <v>29</v>
      </c>
      <c r="Q115" s="5" t="str">
        <f>IFERROR(__xludf.DUMMYFUNCTION("""COMPUTED_VALUE"""),"The Silence of the Lambs")</f>
        <v>The Silence of the Lambs</v>
      </c>
      <c r="R115" s="5" t="str">
        <f>IFERROR(__xludf.DUMMYFUNCTION("""COMPUTED_VALUE"""),"Anthony Hopkins")</f>
        <v>Anthony Hopkins</v>
      </c>
      <c r="S115" s="5" t="str">
        <f>IFERROR(__xludf.DUMMYFUNCTION("""COMPUTED_VALUE"""),"Estrela 2")</f>
        <v>Estrela 2</v>
      </c>
    </row>
    <row r="116">
      <c r="A116" s="1">
        <v>115.0</v>
      </c>
      <c r="B116" s="1" t="s">
        <v>845</v>
      </c>
      <c r="C116" s="1" t="s">
        <v>848</v>
      </c>
      <c r="D116" s="1" t="s">
        <v>849</v>
      </c>
      <c r="E116" s="1" t="s">
        <v>850</v>
      </c>
      <c r="F116" s="1" t="s">
        <v>851</v>
      </c>
      <c r="G116" s="5" t="str">
        <f>IFERROR(__xludf.DUMMYFUNCTION("""COMPUTED_VALUE"""),"29🤙🏼The Silence of the Lambs🤙🏼Lawrence A. Bonney🤙🏼Estrela 3")</f>
        <v>29🤙🏼The Silence of the Lambs🤙🏼Lawrence A. Bonney🤙🏼Estrela 3</v>
      </c>
      <c r="H116" s="5">
        <f>IFERROR(__xludf.DUMMYFUNCTION("SPLiT(G116, ""🤙🏼"",FALSE,FALSE)"),29.0)</f>
        <v>29</v>
      </c>
      <c r="I116" s="5" t="str">
        <f>IFERROR(__xludf.DUMMYFUNCTION("""COMPUTED_VALUE"""),"The Silence of the Lambs")</f>
        <v>The Silence of the Lambs</v>
      </c>
      <c r="J116" s="5" t="str">
        <f>IFERROR(__xludf.DUMMYFUNCTION("""COMPUTED_VALUE"""),"Lawrence A. Bonney")</f>
        <v>Lawrence A. Bonney</v>
      </c>
      <c r="K116" s="5" t="str">
        <f>IFERROR(__xludf.DUMMYFUNCTION("""COMPUTED_VALUE"""),"Estrela 3")</f>
        <v>Estrela 3</v>
      </c>
      <c r="P116" s="5">
        <f>IFERROR(__xludf.DUMMYFUNCTION("""COMPUTED_VALUE"""),29.0)</f>
        <v>29</v>
      </c>
      <c r="Q116" s="5" t="str">
        <f>IFERROR(__xludf.DUMMYFUNCTION("""COMPUTED_VALUE"""),"The Silence of the Lambs")</f>
        <v>The Silence of the Lambs</v>
      </c>
      <c r="R116" s="5" t="str">
        <f>IFERROR(__xludf.DUMMYFUNCTION("""COMPUTED_VALUE"""),"Lawrence A. Bonney")</f>
        <v>Lawrence A. Bonney</v>
      </c>
      <c r="S116" s="5" t="str">
        <f>IFERROR(__xludf.DUMMYFUNCTION("""COMPUTED_VALUE"""),"Estrela 3")</f>
        <v>Estrela 3</v>
      </c>
    </row>
    <row r="117">
      <c r="A117" s="1">
        <v>116.0</v>
      </c>
      <c r="B117" s="1" t="s">
        <v>852</v>
      </c>
      <c r="C117" s="1" t="s">
        <v>119</v>
      </c>
      <c r="D117" s="1" t="s">
        <v>121</v>
      </c>
      <c r="E117" s="1" t="s">
        <v>854</v>
      </c>
      <c r="F117" s="1" t="s">
        <v>855</v>
      </c>
      <c r="G117" s="5" t="str">
        <f>IFERROR(__xludf.DUMMYFUNCTION("""COMPUTED_VALUE"""),"29🤙🏼The Silence of the Lambs🤙🏼Kasi Lemmons🤙🏼Estrela 4")</f>
        <v>29🤙🏼The Silence of the Lambs🤙🏼Kasi Lemmons🤙🏼Estrela 4</v>
      </c>
      <c r="H117" s="5">
        <f>IFERROR(__xludf.DUMMYFUNCTION("SPLiT(G117, ""🤙🏼"",FALSE,FALSE)"),29.0)</f>
        <v>29</v>
      </c>
      <c r="I117" s="5" t="str">
        <f>IFERROR(__xludf.DUMMYFUNCTION("""COMPUTED_VALUE"""),"The Silence of the Lambs")</f>
        <v>The Silence of the Lambs</v>
      </c>
      <c r="J117" s="5" t="str">
        <f>IFERROR(__xludf.DUMMYFUNCTION("""COMPUTED_VALUE"""),"Kasi Lemmons")</f>
        <v>Kasi Lemmons</v>
      </c>
      <c r="K117" s="5" t="str">
        <f>IFERROR(__xludf.DUMMYFUNCTION("""COMPUTED_VALUE"""),"Estrela 4")</f>
        <v>Estrela 4</v>
      </c>
      <c r="P117" s="5">
        <f>IFERROR(__xludf.DUMMYFUNCTION("""COMPUTED_VALUE"""),29.0)</f>
        <v>29</v>
      </c>
      <c r="Q117" s="5" t="str">
        <f>IFERROR(__xludf.DUMMYFUNCTION("""COMPUTED_VALUE"""),"The Silence of the Lambs")</f>
        <v>The Silence of the Lambs</v>
      </c>
      <c r="R117" s="5" t="str">
        <f>IFERROR(__xludf.DUMMYFUNCTION("""COMPUTED_VALUE"""),"Kasi Lemmons")</f>
        <v>Kasi Lemmons</v>
      </c>
      <c r="S117" s="5" t="str">
        <f>IFERROR(__xludf.DUMMYFUNCTION("""COMPUTED_VALUE"""),"Estrela 4")</f>
        <v>Estrela 4</v>
      </c>
    </row>
    <row r="118">
      <c r="A118" s="1">
        <v>117.0</v>
      </c>
      <c r="B118" s="1" t="s">
        <v>856</v>
      </c>
      <c r="C118" s="1" t="s">
        <v>861</v>
      </c>
      <c r="D118" s="1" t="s">
        <v>252</v>
      </c>
      <c r="E118" s="1" t="s">
        <v>862</v>
      </c>
      <c r="F118" s="1" t="s">
        <v>863</v>
      </c>
      <c r="G118" s="5" t="str">
        <f>IFERROR(__xludf.DUMMYFUNCTION("""COMPUTED_VALUE"""),"30🤙🏼Star Wars🤙🏼Mark Hamill🤙🏼Estrela 1")</f>
        <v>30🤙🏼Star Wars🤙🏼Mark Hamill🤙🏼Estrela 1</v>
      </c>
      <c r="H118" s="5">
        <f>IFERROR(__xludf.DUMMYFUNCTION("SPLiT(G118, ""🤙🏼"",FALSE,FALSE)"),30.0)</f>
        <v>30</v>
      </c>
      <c r="I118" s="5" t="str">
        <f>IFERROR(__xludf.DUMMYFUNCTION("""COMPUTED_VALUE"""),"Star Wars")</f>
        <v>Star Wars</v>
      </c>
      <c r="J118" s="5" t="str">
        <f>IFERROR(__xludf.DUMMYFUNCTION("""COMPUTED_VALUE"""),"Mark Hamill")</f>
        <v>Mark Hamill</v>
      </c>
      <c r="K118" s="5" t="str">
        <f>IFERROR(__xludf.DUMMYFUNCTION("""COMPUTED_VALUE"""),"Estrela 1")</f>
        <v>Estrela 1</v>
      </c>
      <c r="P118" s="5">
        <f>IFERROR(__xludf.DUMMYFUNCTION("""COMPUTED_VALUE"""),30.0)</f>
        <v>30</v>
      </c>
      <c r="Q118" s="5" t="str">
        <f>IFERROR(__xludf.DUMMYFUNCTION("""COMPUTED_VALUE"""),"Star Wars")</f>
        <v>Star Wars</v>
      </c>
      <c r="R118" s="5" t="str">
        <f>IFERROR(__xludf.DUMMYFUNCTION("""COMPUTED_VALUE"""),"Mark Hamill")</f>
        <v>Mark Hamill</v>
      </c>
      <c r="S118" s="5" t="str">
        <f>IFERROR(__xludf.DUMMYFUNCTION("""COMPUTED_VALUE"""),"Estrela 1")</f>
        <v>Estrela 1</v>
      </c>
    </row>
    <row r="119">
      <c r="A119" s="1">
        <v>118.0</v>
      </c>
      <c r="B119" s="1" t="s">
        <v>864</v>
      </c>
      <c r="C119" s="1" t="s">
        <v>866</v>
      </c>
      <c r="D119" s="1" t="s">
        <v>867</v>
      </c>
      <c r="E119" s="1" t="s">
        <v>868</v>
      </c>
      <c r="F119" s="1" t="s">
        <v>869</v>
      </c>
      <c r="G119" s="5" t="str">
        <f>IFERROR(__xludf.DUMMYFUNCTION("""COMPUTED_VALUE"""),"30🤙🏼Star Wars🤙🏼Harrison Ford🤙🏼Estrela 2")</f>
        <v>30🤙🏼Star Wars🤙🏼Harrison Ford🤙🏼Estrela 2</v>
      </c>
      <c r="H119" s="5">
        <f>IFERROR(__xludf.DUMMYFUNCTION("SPLiT(G119, ""🤙🏼"",FALSE,FALSE)"),30.0)</f>
        <v>30</v>
      </c>
      <c r="I119" s="5" t="str">
        <f>IFERROR(__xludf.DUMMYFUNCTION("""COMPUTED_VALUE"""),"Star Wars")</f>
        <v>Star Wars</v>
      </c>
      <c r="J119" s="5" t="str">
        <f>IFERROR(__xludf.DUMMYFUNCTION("""COMPUTED_VALUE"""),"Harrison Ford")</f>
        <v>Harrison Ford</v>
      </c>
      <c r="K119" s="5" t="str">
        <f>IFERROR(__xludf.DUMMYFUNCTION("""COMPUTED_VALUE"""),"Estrela 2")</f>
        <v>Estrela 2</v>
      </c>
      <c r="P119" s="5">
        <f>IFERROR(__xludf.DUMMYFUNCTION("""COMPUTED_VALUE"""),30.0)</f>
        <v>30</v>
      </c>
      <c r="Q119" s="5" t="str">
        <f>IFERROR(__xludf.DUMMYFUNCTION("""COMPUTED_VALUE"""),"Star Wars")</f>
        <v>Star Wars</v>
      </c>
      <c r="R119" s="5" t="str">
        <f>IFERROR(__xludf.DUMMYFUNCTION("""COMPUTED_VALUE"""),"Harrison Ford")</f>
        <v>Harrison Ford</v>
      </c>
      <c r="S119" s="5" t="str">
        <f>IFERROR(__xludf.DUMMYFUNCTION("""COMPUTED_VALUE"""),"Estrela 2")</f>
        <v>Estrela 2</v>
      </c>
    </row>
    <row r="120">
      <c r="A120" s="1">
        <v>119.0</v>
      </c>
      <c r="B120" s="1" t="s">
        <v>870</v>
      </c>
      <c r="C120" s="1" t="s">
        <v>873</v>
      </c>
      <c r="D120" s="1" t="s">
        <v>874</v>
      </c>
      <c r="E120" s="1" t="s">
        <v>875</v>
      </c>
      <c r="F120" s="1" t="s">
        <v>876</v>
      </c>
      <c r="G120" s="5" t="str">
        <f>IFERROR(__xludf.DUMMYFUNCTION("""COMPUTED_VALUE"""),"30🤙🏼Star Wars🤙🏼Carrie Fisher🤙🏼Estrela 3")</f>
        <v>30🤙🏼Star Wars🤙🏼Carrie Fisher🤙🏼Estrela 3</v>
      </c>
      <c r="H120" s="5">
        <f>IFERROR(__xludf.DUMMYFUNCTION("SPLiT(G120, ""🤙🏼"",FALSE,FALSE)"),30.0)</f>
        <v>30</v>
      </c>
      <c r="I120" s="5" t="str">
        <f>IFERROR(__xludf.DUMMYFUNCTION("""COMPUTED_VALUE"""),"Star Wars")</f>
        <v>Star Wars</v>
      </c>
      <c r="J120" s="5" t="str">
        <f>IFERROR(__xludf.DUMMYFUNCTION("""COMPUTED_VALUE"""),"Carrie Fisher")</f>
        <v>Carrie Fisher</v>
      </c>
      <c r="K120" s="5" t="str">
        <f>IFERROR(__xludf.DUMMYFUNCTION("""COMPUTED_VALUE"""),"Estrela 3")</f>
        <v>Estrela 3</v>
      </c>
      <c r="P120" s="5">
        <f>IFERROR(__xludf.DUMMYFUNCTION("""COMPUTED_VALUE"""),30.0)</f>
        <v>30</v>
      </c>
      <c r="Q120" s="5" t="str">
        <f>IFERROR(__xludf.DUMMYFUNCTION("""COMPUTED_VALUE"""),"Star Wars")</f>
        <v>Star Wars</v>
      </c>
      <c r="R120" s="5" t="str">
        <f>IFERROR(__xludf.DUMMYFUNCTION("""COMPUTED_VALUE"""),"Carrie Fisher")</f>
        <v>Carrie Fisher</v>
      </c>
      <c r="S120" s="5" t="str">
        <f>IFERROR(__xludf.DUMMYFUNCTION("""COMPUTED_VALUE"""),"Estrela 3")</f>
        <v>Estrela 3</v>
      </c>
    </row>
    <row r="121">
      <c r="A121" s="1">
        <v>120.0</v>
      </c>
      <c r="B121" s="1" t="s">
        <v>877</v>
      </c>
      <c r="C121" s="1" t="s">
        <v>274</v>
      </c>
      <c r="D121" s="1" t="s">
        <v>881</v>
      </c>
      <c r="E121" s="1" t="s">
        <v>882</v>
      </c>
      <c r="F121" s="1" t="s">
        <v>883</v>
      </c>
      <c r="G121" s="5" t="str">
        <f>IFERROR(__xludf.DUMMYFUNCTION("""COMPUTED_VALUE"""),"30🤙🏼Star Wars🤙🏼Alec Guinness🤙🏼Estrela 4")</f>
        <v>30🤙🏼Star Wars🤙🏼Alec Guinness🤙🏼Estrela 4</v>
      </c>
      <c r="H121" s="5">
        <f>IFERROR(__xludf.DUMMYFUNCTION("SPLiT(G121, ""🤙🏼"",FALSE,FALSE)"),30.0)</f>
        <v>30</v>
      </c>
      <c r="I121" s="5" t="str">
        <f>IFERROR(__xludf.DUMMYFUNCTION("""COMPUTED_VALUE"""),"Star Wars")</f>
        <v>Star Wars</v>
      </c>
      <c r="J121" s="5" t="str">
        <f>IFERROR(__xludf.DUMMYFUNCTION("""COMPUTED_VALUE"""),"Alec Guinness")</f>
        <v>Alec Guinness</v>
      </c>
      <c r="K121" s="5" t="str">
        <f>IFERROR(__xludf.DUMMYFUNCTION("""COMPUTED_VALUE"""),"Estrela 4")</f>
        <v>Estrela 4</v>
      </c>
      <c r="P121" s="5">
        <f>IFERROR(__xludf.DUMMYFUNCTION("""COMPUTED_VALUE"""),30.0)</f>
        <v>30</v>
      </c>
      <c r="Q121" s="5" t="str">
        <f>IFERROR(__xludf.DUMMYFUNCTION("""COMPUTED_VALUE"""),"Star Wars")</f>
        <v>Star Wars</v>
      </c>
      <c r="R121" s="5" t="str">
        <f>IFERROR(__xludf.DUMMYFUNCTION("""COMPUTED_VALUE"""),"Alec Guinness")</f>
        <v>Alec Guinness</v>
      </c>
      <c r="S121" s="5" t="str">
        <f>IFERROR(__xludf.DUMMYFUNCTION("""COMPUTED_VALUE"""),"Estrela 4")</f>
        <v>Estrela 4</v>
      </c>
    </row>
    <row r="122">
      <c r="A122" s="1">
        <v>121.0</v>
      </c>
      <c r="B122" s="1" t="s">
        <v>884</v>
      </c>
      <c r="C122" s="1" t="s">
        <v>889</v>
      </c>
      <c r="D122" s="1" t="s">
        <v>889</v>
      </c>
      <c r="E122" s="1" t="s">
        <v>890</v>
      </c>
      <c r="F122" s="1" t="s">
        <v>891</v>
      </c>
      <c r="G122" s="5" t="str">
        <f>IFERROR(__xludf.DUMMYFUNCTION("""COMPUTED_VALUE"""),"31🤙🏼Seppuku🤙🏼Tatsuya Nakadai🤙🏼Estrela 1")</f>
        <v>31🤙🏼Seppuku🤙🏼Tatsuya Nakadai🤙🏼Estrela 1</v>
      </c>
      <c r="H122" s="5">
        <f>IFERROR(__xludf.DUMMYFUNCTION("SPLiT(G122, ""🤙🏼"",FALSE,FALSE)"),31.0)</f>
        <v>31</v>
      </c>
      <c r="I122" s="5" t="str">
        <f>IFERROR(__xludf.DUMMYFUNCTION("""COMPUTED_VALUE"""),"Seppuku")</f>
        <v>Seppuku</v>
      </c>
      <c r="J122" s="5" t="str">
        <f>IFERROR(__xludf.DUMMYFUNCTION("""COMPUTED_VALUE"""),"Tatsuya Nakadai")</f>
        <v>Tatsuya Nakadai</v>
      </c>
      <c r="K122" s="5" t="str">
        <f>IFERROR(__xludf.DUMMYFUNCTION("""COMPUTED_VALUE"""),"Estrela 1")</f>
        <v>Estrela 1</v>
      </c>
      <c r="P122" s="5">
        <f>IFERROR(__xludf.DUMMYFUNCTION("""COMPUTED_VALUE"""),31.0)</f>
        <v>31</v>
      </c>
      <c r="Q122" s="5" t="str">
        <f>IFERROR(__xludf.DUMMYFUNCTION("""COMPUTED_VALUE"""),"Seppuku")</f>
        <v>Seppuku</v>
      </c>
      <c r="R122" s="5" t="str">
        <f>IFERROR(__xludf.DUMMYFUNCTION("""COMPUTED_VALUE"""),"Tatsuya Nakadai")</f>
        <v>Tatsuya Nakadai</v>
      </c>
      <c r="S122" s="5" t="str">
        <f>IFERROR(__xludf.DUMMYFUNCTION("""COMPUTED_VALUE"""),"Estrela 1")</f>
        <v>Estrela 1</v>
      </c>
    </row>
    <row r="123">
      <c r="A123" s="1">
        <v>122.0</v>
      </c>
      <c r="B123" s="1" t="s">
        <v>892</v>
      </c>
      <c r="C123" s="1" t="s">
        <v>266</v>
      </c>
      <c r="D123" s="1" t="s">
        <v>895</v>
      </c>
      <c r="E123" s="1" t="s">
        <v>896</v>
      </c>
      <c r="F123" s="1" t="s">
        <v>897</v>
      </c>
      <c r="G123" s="5" t="str">
        <f>IFERROR(__xludf.DUMMYFUNCTION("""COMPUTED_VALUE"""),"31🤙🏼Seppuku🤙🏼Akira Ishihama🤙🏼Estrela 2")</f>
        <v>31🤙🏼Seppuku🤙🏼Akira Ishihama🤙🏼Estrela 2</v>
      </c>
      <c r="H123" s="5">
        <f>IFERROR(__xludf.DUMMYFUNCTION("SPLiT(G123, ""🤙🏼"",FALSE,FALSE)"),31.0)</f>
        <v>31</v>
      </c>
      <c r="I123" s="5" t="str">
        <f>IFERROR(__xludf.DUMMYFUNCTION("""COMPUTED_VALUE"""),"Seppuku")</f>
        <v>Seppuku</v>
      </c>
      <c r="J123" s="5" t="str">
        <f>IFERROR(__xludf.DUMMYFUNCTION("""COMPUTED_VALUE"""),"Akira Ishihama")</f>
        <v>Akira Ishihama</v>
      </c>
      <c r="K123" s="5" t="str">
        <f>IFERROR(__xludf.DUMMYFUNCTION("""COMPUTED_VALUE"""),"Estrela 2")</f>
        <v>Estrela 2</v>
      </c>
      <c r="P123" s="5">
        <f>IFERROR(__xludf.DUMMYFUNCTION("""COMPUTED_VALUE"""),31.0)</f>
        <v>31</v>
      </c>
      <c r="Q123" s="5" t="str">
        <f>IFERROR(__xludf.DUMMYFUNCTION("""COMPUTED_VALUE"""),"Seppuku")</f>
        <v>Seppuku</v>
      </c>
      <c r="R123" s="5" t="str">
        <f>IFERROR(__xludf.DUMMYFUNCTION("""COMPUTED_VALUE"""),"Akira Ishihama")</f>
        <v>Akira Ishihama</v>
      </c>
      <c r="S123" s="5" t="str">
        <f>IFERROR(__xludf.DUMMYFUNCTION("""COMPUTED_VALUE"""),"Estrela 2")</f>
        <v>Estrela 2</v>
      </c>
    </row>
    <row r="124">
      <c r="A124" s="1">
        <v>123.0</v>
      </c>
      <c r="B124" s="1" t="s">
        <v>898</v>
      </c>
      <c r="C124" s="1" t="s">
        <v>902</v>
      </c>
      <c r="D124" s="1" t="s">
        <v>903</v>
      </c>
      <c r="E124" s="1" t="s">
        <v>904</v>
      </c>
      <c r="F124" s="1" t="s">
        <v>905</v>
      </c>
      <c r="G124" s="5" t="str">
        <f>IFERROR(__xludf.DUMMYFUNCTION("""COMPUTED_VALUE"""),"31🤙🏼Seppuku🤙🏼Shima Iwashita🤙🏼Estrela 3")</f>
        <v>31🤙🏼Seppuku🤙🏼Shima Iwashita🤙🏼Estrela 3</v>
      </c>
      <c r="H124" s="5">
        <f>IFERROR(__xludf.DUMMYFUNCTION("SPLiT(G124, ""🤙🏼"",FALSE,FALSE)"),31.0)</f>
        <v>31</v>
      </c>
      <c r="I124" s="5" t="str">
        <f>IFERROR(__xludf.DUMMYFUNCTION("""COMPUTED_VALUE"""),"Seppuku")</f>
        <v>Seppuku</v>
      </c>
      <c r="J124" s="5" t="str">
        <f>IFERROR(__xludf.DUMMYFUNCTION("""COMPUTED_VALUE"""),"Shima Iwashita")</f>
        <v>Shima Iwashita</v>
      </c>
      <c r="K124" s="5" t="str">
        <f>IFERROR(__xludf.DUMMYFUNCTION("""COMPUTED_VALUE"""),"Estrela 3")</f>
        <v>Estrela 3</v>
      </c>
      <c r="P124" s="5">
        <f>IFERROR(__xludf.DUMMYFUNCTION("""COMPUTED_VALUE"""),31.0)</f>
        <v>31</v>
      </c>
      <c r="Q124" s="5" t="str">
        <f>IFERROR(__xludf.DUMMYFUNCTION("""COMPUTED_VALUE"""),"Seppuku")</f>
        <v>Seppuku</v>
      </c>
      <c r="R124" s="5" t="str">
        <f>IFERROR(__xludf.DUMMYFUNCTION("""COMPUTED_VALUE"""),"Shima Iwashita")</f>
        <v>Shima Iwashita</v>
      </c>
      <c r="S124" s="5" t="str">
        <f>IFERROR(__xludf.DUMMYFUNCTION("""COMPUTED_VALUE"""),"Estrela 3")</f>
        <v>Estrela 3</v>
      </c>
    </row>
    <row r="125">
      <c r="A125" s="1">
        <v>124.0</v>
      </c>
      <c r="B125" s="1" t="s">
        <v>906</v>
      </c>
      <c r="C125" s="1" t="s">
        <v>868</v>
      </c>
      <c r="D125" s="1" t="s">
        <v>910</v>
      </c>
      <c r="E125" s="1" t="s">
        <v>911</v>
      </c>
      <c r="F125" s="1" t="s">
        <v>912</v>
      </c>
      <c r="G125" s="5" t="str">
        <f>IFERROR(__xludf.DUMMYFUNCTION("""COMPUTED_VALUE"""),"31🤙🏼Seppuku🤙🏼Tetsurô Tanba🤙🏼Estrela 4")</f>
        <v>31🤙🏼Seppuku🤙🏼Tetsurô Tanba🤙🏼Estrela 4</v>
      </c>
      <c r="H125" s="5">
        <f>IFERROR(__xludf.DUMMYFUNCTION("SPLiT(G125, ""🤙🏼"",FALSE,FALSE)"),31.0)</f>
        <v>31</v>
      </c>
      <c r="I125" s="5" t="str">
        <f>IFERROR(__xludf.DUMMYFUNCTION("""COMPUTED_VALUE"""),"Seppuku")</f>
        <v>Seppuku</v>
      </c>
      <c r="J125" s="5" t="str">
        <f>IFERROR(__xludf.DUMMYFUNCTION("""COMPUTED_VALUE"""),"Tetsurô Tanba")</f>
        <v>Tetsurô Tanba</v>
      </c>
      <c r="K125" s="5" t="str">
        <f>IFERROR(__xludf.DUMMYFUNCTION("""COMPUTED_VALUE"""),"Estrela 4")</f>
        <v>Estrela 4</v>
      </c>
      <c r="P125" s="5">
        <f>IFERROR(__xludf.DUMMYFUNCTION("""COMPUTED_VALUE"""),31.0)</f>
        <v>31</v>
      </c>
      <c r="Q125" s="5" t="str">
        <f>IFERROR(__xludf.DUMMYFUNCTION("""COMPUTED_VALUE"""),"Seppuku")</f>
        <v>Seppuku</v>
      </c>
      <c r="R125" s="5" t="str">
        <f>IFERROR(__xludf.DUMMYFUNCTION("""COMPUTED_VALUE"""),"Tetsurô Tanba")</f>
        <v>Tetsurô Tanba</v>
      </c>
      <c r="S125" s="5" t="str">
        <f>IFERROR(__xludf.DUMMYFUNCTION("""COMPUTED_VALUE"""),"Estrela 4")</f>
        <v>Estrela 4</v>
      </c>
    </row>
    <row r="126">
      <c r="A126" s="1">
        <v>125.0</v>
      </c>
      <c r="B126" s="1" t="s">
        <v>913</v>
      </c>
      <c r="C126" s="1" t="s">
        <v>916</v>
      </c>
      <c r="D126" s="1" t="s">
        <v>917</v>
      </c>
      <c r="E126" s="1" t="s">
        <v>918</v>
      </c>
      <c r="F126" s="1" t="s">
        <v>919</v>
      </c>
      <c r="G126" s="5" t="str">
        <f>IFERROR(__xludf.DUMMYFUNCTION("""COMPUTED_VALUE"""),"32🤙🏼Shichinin no samurai🤙🏼Toshirô Mifune🤙🏼Estrela 1")</f>
        <v>32🤙🏼Shichinin no samurai🤙🏼Toshirô Mifune🤙🏼Estrela 1</v>
      </c>
      <c r="H126" s="5">
        <f>IFERROR(__xludf.DUMMYFUNCTION("SPLiT(G126, ""🤙🏼"",FALSE,FALSE)"),32.0)</f>
        <v>32</v>
      </c>
      <c r="I126" s="5" t="str">
        <f>IFERROR(__xludf.DUMMYFUNCTION("""COMPUTED_VALUE"""),"Shichinin no samurai")</f>
        <v>Shichinin no samurai</v>
      </c>
      <c r="J126" s="5" t="str">
        <f>IFERROR(__xludf.DUMMYFUNCTION("""COMPUTED_VALUE"""),"Toshirô Mifune")</f>
        <v>Toshirô Mifune</v>
      </c>
      <c r="K126" s="5" t="str">
        <f>IFERROR(__xludf.DUMMYFUNCTION("""COMPUTED_VALUE"""),"Estrela 1")</f>
        <v>Estrela 1</v>
      </c>
      <c r="P126" s="5">
        <f>IFERROR(__xludf.DUMMYFUNCTION("""COMPUTED_VALUE"""),32.0)</f>
        <v>32</v>
      </c>
      <c r="Q126" s="5" t="str">
        <f>IFERROR(__xludf.DUMMYFUNCTION("""COMPUTED_VALUE"""),"Shichinin no samurai")</f>
        <v>Shichinin no samurai</v>
      </c>
      <c r="R126" s="5" t="str">
        <f>IFERROR(__xludf.DUMMYFUNCTION("""COMPUTED_VALUE"""),"Toshirô Mifune")</f>
        <v>Toshirô Mifune</v>
      </c>
      <c r="S126" s="5" t="str">
        <f>IFERROR(__xludf.DUMMYFUNCTION("""COMPUTED_VALUE"""),"Estrela 1")</f>
        <v>Estrela 1</v>
      </c>
    </row>
    <row r="127">
      <c r="A127" s="1">
        <v>126.0</v>
      </c>
      <c r="B127" s="1" t="s">
        <v>920</v>
      </c>
      <c r="C127" s="1" t="s">
        <v>923</v>
      </c>
      <c r="D127" s="1" t="s">
        <v>924</v>
      </c>
      <c r="E127" s="1" t="s">
        <v>925</v>
      </c>
      <c r="F127" s="1" t="s">
        <v>926</v>
      </c>
      <c r="G127" s="5" t="str">
        <f>IFERROR(__xludf.DUMMYFUNCTION("""COMPUTED_VALUE"""),"32🤙🏼Shichinin no samurai🤙🏼Takashi Shimura🤙🏼Estrela 2")</f>
        <v>32🤙🏼Shichinin no samurai🤙🏼Takashi Shimura🤙🏼Estrela 2</v>
      </c>
      <c r="H127" s="5">
        <f>IFERROR(__xludf.DUMMYFUNCTION("SPLiT(G127, ""🤙🏼"",FALSE,FALSE)"),32.0)</f>
        <v>32</v>
      </c>
      <c r="I127" s="5" t="str">
        <f>IFERROR(__xludf.DUMMYFUNCTION("""COMPUTED_VALUE"""),"Shichinin no samurai")</f>
        <v>Shichinin no samurai</v>
      </c>
      <c r="J127" s="5" t="str">
        <f>IFERROR(__xludf.DUMMYFUNCTION("""COMPUTED_VALUE"""),"Takashi Shimura")</f>
        <v>Takashi Shimura</v>
      </c>
      <c r="K127" s="5" t="str">
        <f>IFERROR(__xludf.DUMMYFUNCTION("""COMPUTED_VALUE"""),"Estrela 2")</f>
        <v>Estrela 2</v>
      </c>
      <c r="P127" s="5">
        <f>IFERROR(__xludf.DUMMYFUNCTION("""COMPUTED_VALUE"""),32.0)</f>
        <v>32</v>
      </c>
      <c r="Q127" s="5" t="str">
        <f>IFERROR(__xludf.DUMMYFUNCTION("""COMPUTED_VALUE"""),"Shichinin no samurai")</f>
        <v>Shichinin no samurai</v>
      </c>
      <c r="R127" s="5" t="str">
        <f>IFERROR(__xludf.DUMMYFUNCTION("""COMPUTED_VALUE"""),"Takashi Shimura")</f>
        <v>Takashi Shimura</v>
      </c>
      <c r="S127" s="5" t="str">
        <f>IFERROR(__xludf.DUMMYFUNCTION("""COMPUTED_VALUE"""),"Estrela 2")</f>
        <v>Estrela 2</v>
      </c>
    </row>
    <row r="128">
      <c r="A128" s="1">
        <v>127.0</v>
      </c>
      <c r="B128" s="1" t="s">
        <v>927</v>
      </c>
      <c r="C128" s="1" t="s">
        <v>930</v>
      </c>
      <c r="D128" s="1" t="s">
        <v>931</v>
      </c>
      <c r="E128" s="1" t="s">
        <v>932</v>
      </c>
      <c r="F128" s="1" t="s">
        <v>933</v>
      </c>
      <c r="G128" s="5" t="str">
        <f>IFERROR(__xludf.DUMMYFUNCTION("""COMPUTED_VALUE"""),"32🤙🏼Shichinin no samurai🤙🏼Keiko Tsushima🤙🏼Estrela 3")</f>
        <v>32🤙🏼Shichinin no samurai🤙🏼Keiko Tsushima🤙🏼Estrela 3</v>
      </c>
      <c r="H128" s="5">
        <f>IFERROR(__xludf.DUMMYFUNCTION("SPLiT(G128, ""🤙🏼"",FALSE,FALSE)"),32.0)</f>
        <v>32</v>
      </c>
      <c r="I128" s="5" t="str">
        <f>IFERROR(__xludf.DUMMYFUNCTION("""COMPUTED_VALUE"""),"Shichinin no samurai")</f>
        <v>Shichinin no samurai</v>
      </c>
      <c r="J128" s="5" t="str">
        <f>IFERROR(__xludf.DUMMYFUNCTION("""COMPUTED_VALUE"""),"Keiko Tsushima")</f>
        <v>Keiko Tsushima</v>
      </c>
      <c r="K128" s="5" t="str">
        <f>IFERROR(__xludf.DUMMYFUNCTION("""COMPUTED_VALUE"""),"Estrela 3")</f>
        <v>Estrela 3</v>
      </c>
      <c r="P128" s="5">
        <f>IFERROR(__xludf.DUMMYFUNCTION("""COMPUTED_VALUE"""),32.0)</f>
        <v>32</v>
      </c>
      <c r="Q128" s="5" t="str">
        <f>IFERROR(__xludf.DUMMYFUNCTION("""COMPUTED_VALUE"""),"Shichinin no samurai")</f>
        <v>Shichinin no samurai</v>
      </c>
      <c r="R128" s="5" t="str">
        <f>IFERROR(__xludf.DUMMYFUNCTION("""COMPUTED_VALUE"""),"Keiko Tsushima")</f>
        <v>Keiko Tsushima</v>
      </c>
      <c r="S128" s="5" t="str">
        <f>IFERROR(__xludf.DUMMYFUNCTION("""COMPUTED_VALUE"""),"Estrela 3")</f>
        <v>Estrela 3</v>
      </c>
    </row>
    <row r="129">
      <c r="A129" s="1">
        <v>128.0</v>
      </c>
      <c r="B129" s="1" t="s">
        <v>934</v>
      </c>
      <c r="C129" s="1" t="s">
        <v>418</v>
      </c>
      <c r="D129" s="1" t="s">
        <v>937</v>
      </c>
      <c r="E129" s="1" t="s">
        <v>938</v>
      </c>
      <c r="F129" s="1" t="s">
        <v>939</v>
      </c>
      <c r="G129" s="5" t="str">
        <f>IFERROR(__xludf.DUMMYFUNCTION("""COMPUTED_VALUE"""),"32🤙🏼Shichinin no samurai🤙🏼Yukiko Shimazaki🤙🏼Estrela 4")</f>
        <v>32🤙🏼Shichinin no samurai🤙🏼Yukiko Shimazaki🤙🏼Estrela 4</v>
      </c>
      <c r="H129" s="5">
        <f>IFERROR(__xludf.DUMMYFUNCTION("SPLiT(G129, ""🤙🏼"",FALSE,FALSE)"),32.0)</f>
        <v>32</v>
      </c>
      <c r="I129" s="5" t="str">
        <f>IFERROR(__xludf.DUMMYFUNCTION("""COMPUTED_VALUE"""),"Shichinin no samurai")</f>
        <v>Shichinin no samurai</v>
      </c>
      <c r="J129" s="5" t="str">
        <f>IFERROR(__xludf.DUMMYFUNCTION("""COMPUTED_VALUE"""),"Yukiko Shimazaki")</f>
        <v>Yukiko Shimazaki</v>
      </c>
      <c r="K129" s="5" t="str">
        <f>IFERROR(__xludf.DUMMYFUNCTION("""COMPUTED_VALUE"""),"Estrela 4")</f>
        <v>Estrela 4</v>
      </c>
      <c r="P129" s="5">
        <f>IFERROR(__xludf.DUMMYFUNCTION("""COMPUTED_VALUE"""),32.0)</f>
        <v>32</v>
      </c>
      <c r="Q129" s="5" t="str">
        <f>IFERROR(__xludf.DUMMYFUNCTION("""COMPUTED_VALUE"""),"Shichinin no samurai")</f>
        <v>Shichinin no samurai</v>
      </c>
      <c r="R129" s="5" t="str">
        <f>IFERROR(__xludf.DUMMYFUNCTION("""COMPUTED_VALUE"""),"Yukiko Shimazaki")</f>
        <v>Yukiko Shimazaki</v>
      </c>
      <c r="S129" s="5" t="str">
        <f>IFERROR(__xludf.DUMMYFUNCTION("""COMPUTED_VALUE"""),"Estrela 4")</f>
        <v>Estrela 4</v>
      </c>
    </row>
    <row r="130">
      <c r="A130" s="1">
        <v>129.0</v>
      </c>
      <c r="B130" s="1" t="s">
        <v>940</v>
      </c>
      <c r="C130" s="1" t="s">
        <v>942</v>
      </c>
      <c r="D130" s="1" t="s">
        <v>943</v>
      </c>
      <c r="E130" s="1" t="s">
        <v>944</v>
      </c>
      <c r="F130" s="1" t="s">
        <v>945</v>
      </c>
      <c r="G130" s="5" t="str">
        <f>IFERROR(__xludf.DUMMYFUNCTION("""COMPUTED_VALUE"""),"33🤙🏼It's a Wonderful Life🤙🏼James Stewart🤙🏼Estrela 1")</f>
        <v>33🤙🏼It's a Wonderful Life🤙🏼James Stewart🤙🏼Estrela 1</v>
      </c>
      <c r="H130" s="5">
        <f>IFERROR(__xludf.DUMMYFUNCTION("SPLiT(G130, ""🤙🏼"",FALSE,FALSE)"),33.0)</f>
        <v>33</v>
      </c>
      <c r="I130" s="5" t="str">
        <f>IFERROR(__xludf.DUMMYFUNCTION("""COMPUTED_VALUE"""),"It's a Wonderful Life")</f>
        <v>It's a Wonderful Life</v>
      </c>
      <c r="J130" s="5" t="str">
        <f>IFERROR(__xludf.DUMMYFUNCTION("""COMPUTED_VALUE"""),"James Stewart")</f>
        <v>James Stewart</v>
      </c>
      <c r="K130" s="5" t="str">
        <f>IFERROR(__xludf.DUMMYFUNCTION("""COMPUTED_VALUE"""),"Estrela 1")</f>
        <v>Estrela 1</v>
      </c>
      <c r="P130" s="5">
        <f>IFERROR(__xludf.DUMMYFUNCTION("""COMPUTED_VALUE"""),33.0)</f>
        <v>33</v>
      </c>
      <c r="Q130" s="5" t="str">
        <f>IFERROR(__xludf.DUMMYFUNCTION("""COMPUTED_VALUE"""),"It's a Wonderful Life")</f>
        <v>It's a Wonderful Life</v>
      </c>
      <c r="R130" s="5" t="str">
        <f>IFERROR(__xludf.DUMMYFUNCTION("""COMPUTED_VALUE"""),"James Stewart")</f>
        <v>James Stewart</v>
      </c>
      <c r="S130" s="5" t="str">
        <f>IFERROR(__xludf.DUMMYFUNCTION("""COMPUTED_VALUE"""),"Estrela 1")</f>
        <v>Estrela 1</v>
      </c>
    </row>
    <row r="131">
      <c r="A131" s="1">
        <v>130.0</v>
      </c>
      <c r="B131" s="1" t="s">
        <v>946</v>
      </c>
      <c r="C131" s="1" t="s">
        <v>951</v>
      </c>
      <c r="D131" s="1" t="s">
        <v>184</v>
      </c>
      <c r="E131" s="1" t="s">
        <v>952</v>
      </c>
      <c r="F131" s="1" t="s">
        <v>953</v>
      </c>
      <c r="G131" s="5" t="str">
        <f>IFERROR(__xludf.DUMMYFUNCTION("""COMPUTED_VALUE"""),"33🤙🏼It's a Wonderful Life🤙🏼Donna Reed🤙🏼Estrela 2")</f>
        <v>33🤙🏼It's a Wonderful Life🤙🏼Donna Reed🤙🏼Estrela 2</v>
      </c>
      <c r="H131" s="5">
        <f>IFERROR(__xludf.DUMMYFUNCTION("SPLiT(G131, ""🤙🏼"",FALSE,FALSE)"),33.0)</f>
        <v>33</v>
      </c>
      <c r="I131" s="5" t="str">
        <f>IFERROR(__xludf.DUMMYFUNCTION("""COMPUTED_VALUE"""),"It's a Wonderful Life")</f>
        <v>It's a Wonderful Life</v>
      </c>
      <c r="J131" s="5" t="str">
        <f>IFERROR(__xludf.DUMMYFUNCTION("""COMPUTED_VALUE"""),"Donna Reed")</f>
        <v>Donna Reed</v>
      </c>
      <c r="K131" s="5" t="str">
        <f>IFERROR(__xludf.DUMMYFUNCTION("""COMPUTED_VALUE"""),"Estrela 2")</f>
        <v>Estrela 2</v>
      </c>
      <c r="P131" s="5">
        <f>IFERROR(__xludf.DUMMYFUNCTION("""COMPUTED_VALUE"""),33.0)</f>
        <v>33</v>
      </c>
      <c r="Q131" s="5" t="str">
        <f>IFERROR(__xludf.DUMMYFUNCTION("""COMPUTED_VALUE"""),"It's a Wonderful Life")</f>
        <v>It's a Wonderful Life</v>
      </c>
      <c r="R131" s="5" t="str">
        <f>IFERROR(__xludf.DUMMYFUNCTION("""COMPUTED_VALUE"""),"Donna Reed")</f>
        <v>Donna Reed</v>
      </c>
      <c r="S131" s="5" t="str">
        <f>IFERROR(__xludf.DUMMYFUNCTION("""COMPUTED_VALUE"""),"Estrela 2")</f>
        <v>Estrela 2</v>
      </c>
    </row>
    <row r="132">
      <c r="A132" s="1">
        <v>131.0</v>
      </c>
      <c r="B132" s="1" t="s">
        <v>954</v>
      </c>
      <c r="C132" s="1" t="s">
        <v>959</v>
      </c>
      <c r="D132" s="1" t="s">
        <v>960</v>
      </c>
      <c r="E132" s="1" t="s">
        <v>961</v>
      </c>
      <c r="F132" s="1" t="s">
        <v>962</v>
      </c>
      <c r="G132" s="5" t="str">
        <f>IFERROR(__xludf.DUMMYFUNCTION("""COMPUTED_VALUE"""),"33🤙🏼It's a Wonderful Life🤙🏼Lionel Barrymore🤙🏼Estrela 3")</f>
        <v>33🤙🏼It's a Wonderful Life🤙🏼Lionel Barrymore🤙🏼Estrela 3</v>
      </c>
      <c r="H132" s="5">
        <f>IFERROR(__xludf.DUMMYFUNCTION("SPLiT(G132, ""🤙🏼"",FALSE,FALSE)"),33.0)</f>
        <v>33</v>
      </c>
      <c r="I132" s="5" t="str">
        <f>IFERROR(__xludf.DUMMYFUNCTION("""COMPUTED_VALUE"""),"It's a Wonderful Life")</f>
        <v>It's a Wonderful Life</v>
      </c>
      <c r="J132" s="5" t="str">
        <f>IFERROR(__xludf.DUMMYFUNCTION("""COMPUTED_VALUE"""),"Lionel Barrymore")</f>
        <v>Lionel Barrymore</v>
      </c>
      <c r="K132" s="5" t="str">
        <f>IFERROR(__xludf.DUMMYFUNCTION("""COMPUTED_VALUE"""),"Estrela 3")</f>
        <v>Estrela 3</v>
      </c>
      <c r="P132" s="5">
        <f>IFERROR(__xludf.DUMMYFUNCTION("""COMPUTED_VALUE"""),33.0)</f>
        <v>33</v>
      </c>
      <c r="Q132" s="5" t="str">
        <f>IFERROR(__xludf.DUMMYFUNCTION("""COMPUTED_VALUE"""),"It's a Wonderful Life")</f>
        <v>It's a Wonderful Life</v>
      </c>
      <c r="R132" s="5" t="str">
        <f>IFERROR(__xludf.DUMMYFUNCTION("""COMPUTED_VALUE"""),"Lionel Barrymore")</f>
        <v>Lionel Barrymore</v>
      </c>
      <c r="S132" s="5" t="str">
        <f>IFERROR(__xludf.DUMMYFUNCTION("""COMPUTED_VALUE"""),"Estrela 3")</f>
        <v>Estrela 3</v>
      </c>
    </row>
    <row r="133">
      <c r="A133" s="1">
        <v>132.0</v>
      </c>
      <c r="B133" s="1" t="s">
        <v>963</v>
      </c>
      <c r="C133" s="1" t="s">
        <v>66</v>
      </c>
      <c r="D133" s="1" t="s">
        <v>966</v>
      </c>
      <c r="E133" s="1" t="s">
        <v>967</v>
      </c>
      <c r="F133" s="1" t="s">
        <v>968</v>
      </c>
      <c r="G133" s="5" t="str">
        <f>IFERROR(__xludf.DUMMYFUNCTION("""COMPUTED_VALUE"""),"33🤙🏼It's a Wonderful Life🤙🏼Thomas Mitchell🤙🏼Estrela 4")</f>
        <v>33🤙🏼It's a Wonderful Life🤙🏼Thomas Mitchell🤙🏼Estrela 4</v>
      </c>
      <c r="H133" s="5">
        <f>IFERROR(__xludf.DUMMYFUNCTION("SPLiT(G133, ""🤙🏼"",FALSE,FALSE)"),33.0)</f>
        <v>33</v>
      </c>
      <c r="I133" s="5" t="str">
        <f>IFERROR(__xludf.DUMMYFUNCTION("""COMPUTED_VALUE"""),"It's a Wonderful Life")</f>
        <v>It's a Wonderful Life</v>
      </c>
      <c r="J133" s="5" t="str">
        <f>IFERROR(__xludf.DUMMYFUNCTION("""COMPUTED_VALUE"""),"Thomas Mitchell")</f>
        <v>Thomas Mitchell</v>
      </c>
      <c r="K133" s="5" t="str">
        <f>IFERROR(__xludf.DUMMYFUNCTION("""COMPUTED_VALUE"""),"Estrela 4")</f>
        <v>Estrela 4</v>
      </c>
      <c r="P133" s="5">
        <f>IFERROR(__xludf.DUMMYFUNCTION("""COMPUTED_VALUE"""),33.0)</f>
        <v>33</v>
      </c>
      <c r="Q133" s="5" t="str">
        <f>IFERROR(__xludf.DUMMYFUNCTION("""COMPUTED_VALUE"""),"It's a Wonderful Life")</f>
        <v>It's a Wonderful Life</v>
      </c>
      <c r="R133" s="5" t="str">
        <f>IFERROR(__xludf.DUMMYFUNCTION("""COMPUTED_VALUE"""),"Thomas Mitchell")</f>
        <v>Thomas Mitchell</v>
      </c>
      <c r="S133" s="5" t="str">
        <f>IFERROR(__xludf.DUMMYFUNCTION("""COMPUTED_VALUE"""),"Estrela 4")</f>
        <v>Estrela 4</v>
      </c>
    </row>
    <row r="134">
      <c r="A134" s="1">
        <v>133.0</v>
      </c>
      <c r="B134" s="1" t="s">
        <v>969</v>
      </c>
      <c r="C134" s="1" t="s">
        <v>972</v>
      </c>
      <c r="D134" s="1" t="s">
        <v>973</v>
      </c>
      <c r="E134" s="1" t="s">
        <v>974</v>
      </c>
      <c r="F134" s="1" t="s">
        <v>975</v>
      </c>
      <c r="G134" s="5" t="str">
        <f>IFERROR(__xludf.DUMMYFUNCTION("""COMPUTED_VALUE"""),"34🤙🏼Joker🤙🏼Joaquin Phoenix🤙🏼Estrela 1")</f>
        <v>34🤙🏼Joker🤙🏼Joaquin Phoenix🤙🏼Estrela 1</v>
      </c>
      <c r="H134" s="5">
        <f>IFERROR(__xludf.DUMMYFUNCTION("SPLiT(G134, ""🤙🏼"",FALSE,FALSE)"),34.0)</f>
        <v>34</v>
      </c>
      <c r="I134" s="5" t="str">
        <f>IFERROR(__xludf.DUMMYFUNCTION("""COMPUTED_VALUE"""),"Joker")</f>
        <v>Joker</v>
      </c>
      <c r="J134" s="5" t="str">
        <f>IFERROR(__xludf.DUMMYFUNCTION("""COMPUTED_VALUE"""),"Joaquin Phoenix")</f>
        <v>Joaquin Phoenix</v>
      </c>
      <c r="K134" s="5" t="str">
        <f>IFERROR(__xludf.DUMMYFUNCTION("""COMPUTED_VALUE"""),"Estrela 1")</f>
        <v>Estrela 1</v>
      </c>
      <c r="P134" s="5">
        <f>IFERROR(__xludf.DUMMYFUNCTION("""COMPUTED_VALUE"""),34.0)</f>
        <v>34</v>
      </c>
      <c r="Q134" s="5" t="str">
        <f>IFERROR(__xludf.DUMMYFUNCTION("""COMPUTED_VALUE"""),"Joker")</f>
        <v>Joker</v>
      </c>
      <c r="R134" s="5" t="str">
        <f>IFERROR(__xludf.DUMMYFUNCTION("""COMPUTED_VALUE"""),"Joaquin Phoenix")</f>
        <v>Joaquin Phoenix</v>
      </c>
      <c r="S134" s="5" t="str">
        <f>IFERROR(__xludf.DUMMYFUNCTION("""COMPUTED_VALUE"""),"Estrela 1")</f>
        <v>Estrela 1</v>
      </c>
    </row>
    <row r="135">
      <c r="A135" s="1">
        <v>134.0</v>
      </c>
      <c r="B135" s="1" t="s">
        <v>976</v>
      </c>
      <c r="C135" s="1" t="s">
        <v>980</v>
      </c>
      <c r="D135" s="1" t="s">
        <v>981</v>
      </c>
      <c r="E135" s="1" t="s">
        <v>982</v>
      </c>
      <c r="F135" s="1" t="s">
        <v>653</v>
      </c>
      <c r="G135" s="5" t="str">
        <f>IFERROR(__xludf.DUMMYFUNCTION("""COMPUTED_VALUE"""),"34🤙🏼Joker🤙🏼Robert De Niro🤙🏼Estrela 2")</f>
        <v>34🤙🏼Joker🤙🏼Robert De Niro🤙🏼Estrela 2</v>
      </c>
      <c r="H135" s="5">
        <f>IFERROR(__xludf.DUMMYFUNCTION("SPLiT(G135, ""🤙🏼"",FALSE,FALSE)"),34.0)</f>
        <v>34</v>
      </c>
      <c r="I135" s="5" t="str">
        <f>IFERROR(__xludf.DUMMYFUNCTION("""COMPUTED_VALUE"""),"Joker")</f>
        <v>Joker</v>
      </c>
      <c r="J135" s="5" t="str">
        <f>IFERROR(__xludf.DUMMYFUNCTION("""COMPUTED_VALUE"""),"Robert De Niro")</f>
        <v>Robert De Niro</v>
      </c>
      <c r="K135" s="5" t="str">
        <f>IFERROR(__xludf.DUMMYFUNCTION("""COMPUTED_VALUE"""),"Estrela 2")</f>
        <v>Estrela 2</v>
      </c>
      <c r="P135" s="5">
        <f>IFERROR(__xludf.DUMMYFUNCTION("""COMPUTED_VALUE"""),34.0)</f>
        <v>34</v>
      </c>
      <c r="Q135" s="5" t="str">
        <f>IFERROR(__xludf.DUMMYFUNCTION("""COMPUTED_VALUE"""),"Joker")</f>
        <v>Joker</v>
      </c>
      <c r="R135" s="5" t="str">
        <f>IFERROR(__xludf.DUMMYFUNCTION("""COMPUTED_VALUE"""),"Robert De Niro")</f>
        <v>Robert De Niro</v>
      </c>
      <c r="S135" s="5" t="str">
        <f>IFERROR(__xludf.DUMMYFUNCTION("""COMPUTED_VALUE"""),"Estrela 2")</f>
        <v>Estrela 2</v>
      </c>
    </row>
    <row r="136">
      <c r="A136" s="1">
        <v>135.0</v>
      </c>
      <c r="B136" s="1" t="s">
        <v>983</v>
      </c>
      <c r="C136" s="1" t="s">
        <v>987</v>
      </c>
      <c r="D136" s="1" t="s">
        <v>988</v>
      </c>
      <c r="E136" s="1" t="s">
        <v>989</v>
      </c>
      <c r="F136" s="1" t="s">
        <v>990</v>
      </c>
      <c r="G136" s="5" t="str">
        <f>IFERROR(__xludf.DUMMYFUNCTION("""COMPUTED_VALUE"""),"34🤙🏼Joker🤙🏼Zazie Beetz🤙🏼Estrela 3")</f>
        <v>34🤙🏼Joker🤙🏼Zazie Beetz🤙🏼Estrela 3</v>
      </c>
      <c r="H136" s="5">
        <f>IFERROR(__xludf.DUMMYFUNCTION("SPLiT(G136, ""🤙🏼"",FALSE,FALSE)"),34.0)</f>
        <v>34</v>
      </c>
      <c r="I136" s="5" t="str">
        <f>IFERROR(__xludf.DUMMYFUNCTION("""COMPUTED_VALUE"""),"Joker")</f>
        <v>Joker</v>
      </c>
      <c r="J136" s="5" t="str">
        <f>IFERROR(__xludf.DUMMYFUNCTION("""COMPUTED_VALUE"""),"Zazie Beetz")</f>
        <v>Zazie Beetz</v>
      </c>
      <c r="K136" s="5" t="str">
        <f>IFERROR(__xludf.DUMMYFUNCTION("""COMPUTED_VALUE"""),"Estrela 3")</f>
        <v>Estrela 3</v>
      </c>
      <c r="P136" s="5">
        <f>IFERROR(__xludf.DUMMYFUNCTION("""COMPUTED_VALUE"""),34.0)</f>
        <v>34</v>
      </c>
      <c r="Q136" s="5" t="str">
        <f>IFERROR(__xludf.DUMMYFUNCTION("""COMPUTED_VALUE"""),"Joker")</f>
        <v>Joker</v>
      </c>
      <c r="R136" s="5" t="str">
        <f>IFERROR(__xludf.DUMMYFUNCTION("""COMPUTED_VALUE"""),"Zazie Beetz")</f>
        <v>Zazie Beetz</v>
      </c>
      <c r="S136" s="5" t="str">
        <f>IFERROR(__xludf.DUMMYFUNCTION("""COMPUTED_VALUE"""),"Estrela 3")</f>
        <v>Estrela 3</v>
      </c>
    </row>
    <row r="137">
      <c r="A137" s="1">
        <v>136.0</v>
      </c>
      <c r="B137" s="1" t="s">
        <v>991</v>
      </c>
      <c r="C137" s="1" t="s">
        <v>994</v>
      </c>
      <c r="D137" s="1" t="s">
        <v>995</v>
      </c>
      <c r="E137" s="1" t="s">
        <v>291</v>
      </c>
      <c r="F137" s="1" t="s">
        <v>996</v>
      </c>
      <c r="G137" s="5" t="str">
        <f>IFERROR(__xludf.DUMMYFUNCTION("""COMPUTED_VALUE"""),"34🤙🏼Joker🤙🏼Frances Conroy🤙🏼Estrela 4")</f>
        <v>34🤙🏼Joker🤙🏼Frances Conroy🤙🏼Estrela 4</v>
      </c>
      <c r="H137" s="5">
        <f>IFERROR(__xludf.DUMMYFUNCTION("SPLiT(G137, ""🤙🏼"",FALSE,FALSE)"),34.0)</f>
        <v>34</v>
      </c>
      <c r="I137" s="5" t="str">
        <f>IFERROR(__xludf.DUMMYFUNCTION("""COMPUTED_VALUE"""),"Joker")</f>
        <v>Joker</v>
      </c>
      <c r="J137" s="5" t="str">
        <f>IFERROR(__xludf.DUMMYFUNCTION("""COMPUTED_VALUE"""),"Frances Conroy")</f>
        <v>Frances Conroy</v>
      </c>
      <c r="K137" s="5" t="str">
        <f>IFERROR(__xludf.DUMMYFUNCTION("""COMPUTED_VALUE"""),"Estrela 4")</f>
        <v>Estrela 4</v>
      </c>
      <c r="P137" s="5">
        <f>IFERROR(__xludf.DUMMYFUNCTION("""COMPUTED_VALUE"""),34.0)</f>
        <v>34</v>
      </c>
      <c r="Q137" s="5" t="str">
        <f>IFERROR(__xludf.DUMMYFUNCTION("""COMPUTED_VALUE"""),"Joker")</f>
        <v>Joker</v>
      </c>
      <c r="R137" s="5" t="str">
        <f>IFERROR(__xludf.DUMMYFUNCTION("""COMPUTED_VALUE"""),"Frances Conroy")</f>
        <v>Frances Conroy</v>
      </c>
      <c r="S137" s="5" t="str">
        <f>IFERROR(__xludf.DUMMYFUNCTION("""COMPUTED_VALUE"""),"Estrela 4")</f>
        <v>Estrela 4</v>
      </c>
    </row>
    <row r="138">
      <c r="A138" s="1">
        <v>137.0</v>
      </c>
      <c r="B138" s="1" t="s">
        <v>663</v>
      </c>
      <c r="C138" s="1" t="s">
        <v>1000</v>
      </c>
      <c r="D138" s="1" t="s">
        <v>1001</v>
      </c>
      <c r="E138" s="1" t="s">
        <v>660</v>
      </c>
      <c r="F138" s="1" t="s">
        <v>1002</v>
      </c>
      <c r="G138" s="5" t="str">
        <f>IFERROR(__xludf.DUMMYFUNCTION("""COMPUTED_VALUE"""),"35🤙🏼Whiplash🤙🏼Miles Teller🤙🏼Estrela 1")</f>
        <v>35🤙🏼Whiplash🤙🏼Miles Teller🤙🏼Estrela 1</v>
      </c>
      <c r="H138" s="5">
        <f>IFERROR(__xludf.DUMMYFUNCTION("SPLiT(G138, ""🤙🏼"",FALSE,FALSE)"),35.0)</f>
        <v>35</v>
      </c>
      <c r="I138" s="5" t="str">
        <f>IFERROR(__xludf.DUMMYFUNCTION("""COMPUTED_VALUE"""),"Whiplash")</f>
        <v>Whiplash</v>
      </c>
      <c r="J138" s="5" t="str">
        <f>IFERROR(__xludf.DUMMYFUNCTION("""COMPUTED_VALUE"""),"Miles Teller")</f>
        <v>Miles Teller</v>
      </c>
      <c r="K138" s="5" t="str">
        <f>IFERROR(__xludf.DUMMYFUNCTION("""COMPUTED_VALUE"""),"Estrela 1")</f>
        <v>Estrela 1</v>
      </c>
      <c r="P138" s="5">
        <f>IFERROR(__xludf.DUMMYFUNCTION("""COMPUTED_VALUE"""),35.0)</f>
        <v>35</v>
      </c>
      <c r="Q138" s="5" t="str">
        <f>IFERROR(__xludf.DUMMYFUNCTION("""COMPUTED_VALUE"""),"Whiplash")</f>
        <v>Whiplash</v>
      </c>
      <c r="R138" s="5" t="str">
        <f>IFERROR(__xludf.DUMMYFUNCTION("""COMPUTED_VALUE"""),"Miles Teller")</f>
        <v>Miles Teller</v>
      </c>
      <c r="S138" s="5" t="str">
        <f>IFERROR(__xludf.DUMMYFUNCTION("""COMPUTED_VALUE"""),"Estrela 1")</f>
        <v>Estrela 1</v>
      </c>
    </row>
    <row r="139">
      <c r="A139" s="1">
        <v>138.0</v>
      </c>
      <c r="B139" s="1" t="s">
        <v>1003</v>
      </c>
      <c r="C139" s="1" t="s">
        <v>1007</v>
      </c>
      <c r="D139" s="1" t="s">
        <v>1008</v>
      </c>
      <c r="E139" s="1" t="s">
        <v>1009</v>
      </c>
      <c r="F139" s="1" t="s">
        <v>1010</v>
      </c>
      <c r="G139" s="5" t="str">
        <f>IFERROR(__xludf.DUMMYFUNCTION("""COMPUTED_VALUE"""),"35🤙🏼Whiplash🤙🏼J.K. Simmons🤙🏼Estrela 2")</f>
        <v>35🤙🏼Whiplash🤙🏼J.K. Simmons🤙🏼Estrela 2</v>
      </c>
      <c r="H139" s="5">
        <f>IFERROR(__xludf.DUMMYFUNCTION("SPLiT(G139, ""🤙🏼"",FALSE,FALSE)"),35.0)</f>
        <v>35</v>
      </c>
      <c r="I139" s="5" t="str">
        <f>IFERROR(__xludf.DUMMYFUNCTION("""COMPUTED_VALUE"""),"Whiplash")</f>
        <v>Whiplash</v>
      </c>
      <c r="J139" s="5" t="str">
        <f>IFERROR(__xludf.DUMMYFUNCTION("""COMPUTED_VALUE"""),"J.K. Simmons")</f>
        <v>J.K. Simmons</v>
      </c>
      <c r="K139" s="5" t="str">
        <f>IFERROR(__xludf.DUMMYFUNCTION("""COMPUTED_VALUE"""),"Estrela 2")</f>
        <v>Estrela 2</v>
      </c>
      <c r="P139" s="5">
        <f>IFERROR(__xludf.DUMMYFUNCTION("""COMPUTED_VALUE"""),35.0)</f>
        <v>35</v>
      </c>
      <c r="Q139" s="5" t="str">
        <f>IFERROR(__xludf.DUMMYFUNCTION("""COMPUTED_VALUE"""),"Whiplash")</f>
        <v>Whiplash</v>
      </c>
      <c r="R139" s="5" t="str">
        <f>IFERROR(__xludf.DUMMYFUNCTION("""COMPUTED_VALUE"""),"J.K. Simmons")</f>
        <v>J.K. Simmons</v>
      </c>
      <c r="S139" s="5" t="str">
        <f>IFERROR(__xludf.DUMMYFUNCTION("""COMPUTED_VALUE"""),"Estrela 2")</f>
        <v>Estrela 2</v>
      </c>
    </row>
    <row r="140">
      <c r="A140" s="1">
        <v>139.0</v>
      </c>
      <c r="B140" s="1" t="s">
        <v>1011</v>
      </c>
      <c r="C140" s="1" t="s">
        <v>1014</v>
      </c>
      <c r="D140" s="1" t="s">
        <v>1015</v>
      </c>
      <c r="E140" s="1" t="s">
        <v>1016</v>
      </c>
      <c r="F140" s="1" t="s">
        <v>1017</v>
      </c>
      <c r="G140" s="5" t="str">
        <f>IFERROR(__xludf.DUMMYFUNCTION("""COMPUTED_VALUE"""),"35🤙🏼Whiplash🤙🏼Melissa Benoist🤙🏼Estrela 3")</f>
        <v>35🤙🏼Whiplash🤙🏼Melissa Benoist🤙🏼Estrela 3</v>
      </c>
      <c r="H140" s="5">
        <f>IFERROR(__xludf.DUMMYFUNCTION("SPLiT(G140, ""🤙🏼"",FALSE,FALSE)"),35.0)</f>
        <v>35</v>
      </c>
      <c r="I140" s="5" t="str">
        <f>IFERROR(__xludf.DUMMYFUNCTION("""COMPUTED_VALUE"""),"Whiplash")</f>
        <v>Whiplash</v>
      </c>
      <c r="J140" s="5" t="str">
        <f>IFERROR(__xludf.DUMMYFUNCTION("""COMPUTED_VALUE"""),"Melissa Benoist")</f>
        <v>Melissa Benoist</v>
      </c>
      <c r="K140" s="5" t="str">
        <f>IFERROR(__xludf.DUMMYFUNCTION("""COMPUTED_VALUE"""),"Estrela 3")</f>
        <v>Estrela 3</v>
      </c>
      <c r="P140" s="5">
        <f>IFERROR(__xludf.DUMMYFUNCTION("""COMPUTED_VALUE"""),35.0)</f>
        <v>35</v>
      </c>
      <c r="Q140" s="5" t="str">
        <f>IFERROR(__xludf.DUMMYFUNCTION("""COMPUTED_VALUE"""),"Whiplash")</f>
        <v>Whiplash</v>
      </c>
      <c r="R140" s="5" t="str">
        <f>IFERROR(__xludf.DUMMYFUNCTION("""COMPUTED_VALUE"""),"Melissa Benoist")</f>
        <v>Melissa Benoist</v>
      </c>
      <c r="S140" s="5" t="str">
        <f>IFERROR(__xludf.DUMMYFUNCTION("""COMPUTED_VALUE"""),"Estrela 3")</f>
        <v>Estrela 3</v>
      </c>
    </row>
    <row r="141">
      <c r="A141" s="1">
        <v>140.0</v>
      </c>
      <c r="B141" s="1" t="s">
        <v>1018</v>
      </c>
      <c r="C141" s="1" t="s">
        <v>1023</v>
      </c>
      <c r="D141" s="1" t="s">
        <v>1024</v>
      </c>
      <c r="E141" s="1" t="s">
        <v>1025</v>
      </c>
      <c r="F141" s="1" t="s">
        <v>1026</v>
      </c>
      <c r="G141" s="5" t="str">
        <f>IFERROR(__xludf.DUMMYFUNCTION("""COMPUTED_VALUE"""),"35🤙🏼Whiplash🤙🏼Paul Reiser🤙🏼Estrela 4")</f>
        <v>35🤙🏼Whiplash🤙🏼Paul Reiser🤙🏼Estrela 4</v>
      </c>
      <c r="H141" s="5">
        <f>IFERROR(__xludf.DUMMYFUNCTION("SPLiT(G141, ""🤙🏼"",FALSE,FALSE)"),35.0)</f>
        <v>35</v>
      </c>
      <c r="I141" s="5" t="str">
        <f>IFERROR(__xludf.DUMMYFUNCTION("""COMPUTED_VALUE"""),"Whiplash")</f>
        <v>Whiplash</v>
      </c>
      <c r="J141" s="5" t="str">
        <f>IFERROR(__xludf.DUMMYFUNCTION("""COMPUTED_VALUE"""),"Paul Reiser")</f>
        <v>Paul Reiser</v>
      </c>
      <c r="K141" s="5" t="str">
        <f>IFERROR(__xludf.DUMMYFUNCTION("""COMPUTED_VALUE"""),"Estrela 4")</f>
        <v>Estrela 4</v>
      </c>
      <c r="P141" s="5">
        <f>IFERROR(__xludf.DUMMYFUNCTION("""COMPUTED_VALUE"""),35.0)</f>
        <v>35</v>
      </c>
      <c r="Q141" s="5" t="str">
        <f>IFERROR(__xludf.DUMMYFUNCTION("""COMPUTED_VALUE"""),"Whiplash")</f>
        <v>Whiplash</v>
      </c>
      <c r="R141" s="5" t="str">
        <f>IFERROR(__xludf.DUMMYFUNCTION("""COMPUTED_VALUE"""),"Paul Reiser")</f>
        <v>Paul Reiser</v>
      </c>
      <c r="S141" s="5" t="str">
        <f>IFERROR(__xludf.DUMMYFUNCTION("""COMPUTED_VALUE"""),"Estrela 4")</f>
        <v>Estrela 4</v>
      </c>
    </row>
    <row r="142">
      <c r="A142" s="1">
        <v>141.0</v>
      </c>
      <c r="B142" s="1" t="s">
        <v>1027</v>
      </c>
      <c r="C142" s="1" t="s">
        <v>1032</v>
      </c>
      <c r="D142" s="1" t="s">
        <v>1033</v>
      </c>
      <c r="E142" s="1" t="s">
        <v>1034</v>
      </c>
      <c r="F142" s="1" t="s">
        <v>1035</v>
      </c>
      <c r="G142" s="5" t="str">
        <f>IFERROR(__xludf.DUMMYFUNCTION("""COMPUTED_VALUE"""),"36🤙🏼The Intouchables🤙🏼Éric Toledano🤙🏼Estrela 1")</f>
        <v>36🤙🏼The Intouchables🤙🏼Éric Toledano🤙🏼Estrela 1</v>
      </c>
      <c r="H142" s="5">
        <f>IFERROR(__xludf.DUMMYFUNCTION("SPLiT(G142, ""🤙🏼"",FALSE,FALSE)"),36.0)</f>
        <v>36</v>
      </c>
      <c r="I142" s="5" t="str">
        <f>IFERROR(__xludf.DUMMYFUNCTION("""COMPUTED_VALUE"""),"The Intouchables")</f>
        <v>The Intouchables</v>
      </c>
      <c r="J142" s="5" t="str">
        <f>IFERROR(__xludf.DUMMYFUNCTION("""COMPUTED_VALUE"""),"Éric Toledano")</f>
        <v>Éric Toledano</v>
      </c>
      <c r="K142" s="5" t="str">
        <f>IFERROR(__xludf.DUMMYFUNCTION("""COMPUTED_VALUE"""),"Estrela 1")</f>
        <v>Estrela 1</v>
      </c>
      <c r="P142" s="5">
        <f>IFERROR(__xludf.DUMMYFUNCTION("""COMPUTED_VALUE"""),36.0)</f>
        <v>36</v>
      </c>
      <c r="Q142" s="5" t="str">
        <f>IFERROR(__xludf.DUMMYFUNCTION("""COMPUTED_VALUE"""),"The Intouchables")</f>
        <v>The Intouchables</v>
      </c>
      <c r="R142" s="5" t="str">
        <f>IFERROR(__xludf.DUMMYFUNCTION("""COMPUTED_VALUE"""),"Éric Toledano")</f>
        <v>Éric Toledano</v>
      </c>
      <c r="S142" s="5" t="str">
        <f>IFERROR(__xludf.DUMMYFUNCTION("""COMPUTED_VALUE"""),"Estrela 1")</f>
        <v>Estrela 1</v>
      </c>
    </row>
    <row r="143">
      <c r="A143" s="1">
        <v>142.0</v>
      </c>
      <c r="B143" s="1" t="s">
        <v>1036</v>
      </c>
      <c r="C143" s="1" t="s">
        <v>1039</v>
      </c>
      <c r="D143" s="1" t="s">
        <v>1040</v>
      </c>
      <c r="E143" s="1" t="s">
        <v>1041</v>
      </c>
      <c r="F143" s="1" t="s">
        <v>1042</v>
      </c>
      <c r="G143" s="5" t="str">
        <f>IFERROR(__xludf.DUMMYFUNCTION("""COMPUTED_VALUE"""),"36🤙🏼The Intouchables🤙🏼François Cluzet🤙🏼Estrela 2")</f>
        <v>36🤙🏼The Intouchables🤙🏼François Cluzet🤙🏼Estrela 2</v>
      </c>
      <c r="H143" s="5">
        <f>IFERROR(__xludf.DUMMYFUNCTION("SPLiT(G143, ""🤙🏼"",FALSE,FALSE)"),36.0)</f>
        <v>36</v>
      </c>
      <c r="I143" s="5" t="str">
        <f>IFERROR(__xludf.DUMMYFUNCTION("""COMPUTED_VALUE"""),"The Intouchables")</f>
        <v>The Intouchables</v>
      </c>
      <c r="J143" s="5" t="str">
        <f>IFERROR(__xludf.DUMMYFUNCTION("""COMPUTED_VALUE"""),"François Cluzet")</f>
        <v>François Cluzet</v>
      </c>
      <c r="K143" s="5" t="str">
        <f>IFERROR(__xludf.DUMMYFUNCTION("""COMPUTED_VALUE"""),"Estrela 2")</f>
        <v>Estrela 2</v>
      </c>
      <c r="P143" s="5">
        <f>IFERROR(__xludf.DUMMYFUNCTION("""COMPUTED_VALUE"""),36.0)</f>
        <v>36</v>
      </c>
      <c r="Q143" s="5" t="str">
        <f>IFERROR(__xludf.DUMMYFUNCTION("""COMPUTED_VALUE"""),"The Intouchables")</f>
        <v>The Intouchables</v>
      </c>
      <c r="R143" s="5" t="str">
        <f>IFERROR(__xludf.DUMMYFUNCTION("""COMPUTED_VALUE"""),"François Cluzet")</f>
        <v>François Cluzet</v>
      </c>
      <c r="S143" s="5" t="str">
        <f>IFERROR(__xludf.DUMMYFUNCTION("""COMPUTED_VALUE"""),"Estrela 2")</f>
        <v>Estrela 2</v>
      </c>
    </row>
    <row r="144">
      <c r="A144" s="1">
        <v>143.0</v>
      </c>
      <c r="B144" s="1" t="s">
        <v>1043</v>
      </c>
      <c r="C144" s="1" t="s">
        <v>980</v>
      </c>
      <c r="D144" s="1" t="s">
        <v>1047</v>
      </c>
      <c r="E144" s="1" t="s">
        <v>1048</v>
      </c>
      <c r="F144" s="1" t="s">
        <v>1049</v>
      </c>
      <c r="G144" s="5" t="str">
        <f>IFERROR(__xludf.DUMMYFUNCTION("""COMPUTED_VALUE"""),"36🤙🏼The Intouchables🤙🏼Omar Sy🤙🏼Estrela 3")</f>
        <v>36🤙🏼The Intouchables🤙🏼Omar Sy🤙🏼Estrela 3</v>
      </c>
      <c r="H144" s="5">
        <f>IFERROR(__xludf.DUMMYFUNCTION("SPLiT(G144, ""🤙🏼"",FALSE,FALSE)"),36.0)</f>
        <v>36</v>
      </c>
      <c r="I144" s="5" t="str">
        <f>IFERROR(__xludf.DUMMYFUNCTION("""COMPUTED_VALUE"""),"The Intouchables")</f>
        <v>The Intouchables</v>
      </c>
      <c r="J144" s="5" t="str">
        <f>IFERROR(__xludf.DUMMYFUNCTION("""COMPUTED_VALUE"""),"Omar Sy")</f>
        <v>Omar Sy</v>
      </c>
      <c r="K144" s="5" t="str">
        <f>IFERROR(__xludf.DUMMYFUNCTION("""COMPUTED_VALUE"""),"Estrela 3")</f>
        <v>Estrela 3</v>
      </c>
      <c r="P144" s="5">
        <f>IFERROR(__xludf.DUMMYFUNCTION("""COMPUTED_VALUE"""),36.0)</f>
        <v>36</v>
      </c>
      <c r="Q144" s="5" t="str">
        <f>IFERROR(__xludf.DUMMYFUNCTION("""COMPUTED_VALUE"""),"The Intouchables")</f>
        <v>The Intouchables</v>
      </c>
      <c r="R144" s="5" t="str">
        <f>IFERROR(__xludf.DUMMYFUNCTION("""COMPUTED_VALUE"""),"Omar Sy")</f>
        <v>Omar Sy</v>
      </c>
      <c r="S144" s="5" t="str">
        <f>IFERROR(__xludf.DUMMYFUNCTION("""COMPUTED_VALUE"""),"Estrela 3")</f>
        <v>Estrela 3</v>
      </c>
    </row>
    <row r="145">
      <c r="A145" s="1">
        <v>144.0</v>
      </c>
      <c r="B145" s="1" t="s">
        <v>1050</v>
      </c>
      <c r="C145" s="1" t="s">
        <v>1054</v>
      </c>
      <c r="D145" s="1" t="s">
        <v>1055</v>
      </c>
      <c r="E145" s="1" t="s">
        <v>1056</v>
      </c>
      <c r="F145" s="1" t="s">
        <v>1057</v>
      </c>
      <c r="G145" s="5" t="str">
        <f>IFERROR(__xludf.DUMMYFUNCTION("""COMPUTED_VALUE"""),"36🤙🏼The Intouchables🤙🏼Anne Le Ny🤙🏼Estrela 4")</f>
        <v>36🤙🏼The Intouchables🤙🏼Anne Le Ny🤙🏼Estrela 4</v>
      </c>
      <c r="H145" s="5">
        <f>IFERROR(__xludf.DUMMYFUNCTION("SPLiT(G145, ""🤙🏼"",FALSE,FALSE)"),36.0)</f>
        <v>36</v>
      </c>
      <c r="I145" s="5" t="str">
        <f>IFERROR(__xludf.DUMMYFUNCTION("""COMPUTED_VALUE"""),"The Intouchables")</f>
        <v>The Intouchables</v>
      </c>
      <c r="J145" s="5" t="str">
        <f>IFERROR(__xludf.DUMMYFUNCTION("""COMPUTED_VALUE"""),"Anne Le Ny")</f>
        <v>Anne Le Ny</v>
      </c>
      <c r="K145" s="5" t="str">
        <f>IFERROR(__xludf.DUMMYFUNCTION("""COMPUTED_VALUE"""),"Estrela 4")</f>
        <v>Estrela 4</v>
      </c>
      <c r="P145" s="5">
        <f>IFERROR(__xludf.DUMMYFUNCTION("""COMPUTED_VALUE"""),36.0)</f>
        <v>36</v>
      </c>
      <c r="Q145" s="5" t="str">
        <f>IFERROR(__xludf.DUMMYFUNCTION("""COMPUTED_VALUE"""),"The Intouchables")</f>
        <v>The Intouchables</v>
      </c>
      <c r="R145" s="5" t="str">
        <f>IFERROR(__xludf.DUMMYFUNCTION("""COMPUTED_VALUE"""),"Anne Le Ny")</f>
        <v>Anne Le Ny</v>
      </c>
      <c r="S145" s="5" t="str">
        <f>IFERROR(__xludf.DUMMYFUNCTION("""COMPUTED_VALUE"""),"Estrela 4")</f>
        <v>Estrela 4</v>
      </c>
    </row>
    <row r="146">
      <c r="A146" s="1">
        <v>145.0</v>
      </c>
      <c r="B146" s="1" t="s">
        <v>1058</v>
      </c>
      <c r="C146" s="1" t="s">
        <v>504</v>
      </c>
      <c r="D146" s="1" t="s">
        <v>1063</v>
      </c>
      <c r="E146" s="1" t="s">
        <v>1064</v>
      </c>
      <c r="F146" s="1" t="s">
        <v>1065</v>
      </c>
      <c r="G146" s="5" t="str">
        <f>IFERROR(__xludf.DUMMYFUNCTION("""COMPUTED_VALUE"""),"37🤙🏼The Prestige🤙🏼Christian Bale🤙🏼Estrela 1")</f>
        <v>37🤙🏼The Prestige🤙🏼Christian Bale🤙🏼Estrela 1</v>
      </c>
      <c r="H146" s="5">
        <f>IFERROR(__xludf.DUMMYFUNCTION("SPLiT(G146, ""🤙🏼"",FALSE,FALSE)"),37.0)</f>
        <v>37</v>
      </c>
      <c r="I146" s="5" t="str">
        <f>IFERROR(__xludf.DUMMYFUNCTION("""COMPUTED_VALUE"""),"The Prestige")</f>
        <v>The Prestige</v>
      </c>
      <c r="J146" s="5" t="str">
        <f>IFERROR(__xludf.DUMMYFUNCTION("""COMPUTED_VALUE"""),"Christian Bale")</f>
        <v>Christian Bale</v>
      </c>
      <c r="K146" s="5" t="str">
        <f>IFERROR(__xludf.DUMMYFUNCTION("""COMPUTED_VALUE"""),"Estrela 1")</f>
        <v>Estrela 1</v>
      </c>
      <c r="P146" s="5">
        <f>IFERROR(__xludf.DUMMYFUNCTION("""COMPUTED_VALUE"""),37.0)</f>
        <v>37</v>
      </c>
      <c r="Q146" s="5" t="str">
        <f>IFERROR(__xludf.DUMMYFUNCTION("""COMPUTED_VALUE"""),"The Prestige")</f>
        <v>The Prestige</v>
      </c>
      <c r="R146" s="5" t="str">
        <f>IFERROR(__xludf.DUMMYFUNCTION("""COMPUTED_VALUE"""),"Christian Bale")</f>
        <v>Christian Bale</v>
      </c>
      <c r="S146" s="5" t="str">
        <f>IFERROR(__xludf.DUMMYFUNCTION("""COMPUTED_VALUE"""),"Estrela 1")</f>
        <v>Estrela 1</v>
      </c>
    </row>
    <row r="147">
      <c r="A147" s="1">
        <v>146.0</v>
      </c>
      <c r="B147" s="1" t="s">
        <v>1066</v>
      </c>
      <c r="C147" s="1" t="s">
        <v>90</v>
      </c>
      <c r="D147" s="1" t="s">
        <v>1068</v>
      </c>
      <c r="E147" s="1" t="s">
        <v>481</v>
      </c>
      <c r="F147" s="1" t="s">
        <v>84</v>
      </c>
      <c r="G147" s="5" t="str">
        <f>IFERROR(__xludf.DUMMYFUNCTION("""COMPUTED_VALUE"""),"37🤙🏼The Prestige🤙🏼Hugh Jackman🤙🏼Estrela 2")</f>
        <v>37🤙🏼The Prestige🤙🏼Hugh Jackman🤙🏼Estrela 2</v>
      </c>
      <c r="H147" s="5">
        <f>IFERROR(__xludf.DUMMYFUNCTION("SPLiT(G147, ""🤙🏼"",FALSE,FALSE)"),37.0)</f>
        <v>37</v>
      </c>
      <c r="I147" s="5" t="str">
        <f>IFERROR(__xludf.DUMMYFUNCTION("""COMPUTED_VALUE"""),"The Prestige")</f>
        <v>The Prestige</v>
      </c>
      <c r="J147" s="5" t="str">
        <f>IFERROR(__xludf.DUMMYFUNCTION("""COMPUTED_VALUE"""),"Hugh Jackman")</f>
        <v>Hugh Jackman</v>
      </c>
      <c r="K147" s="5" t="str">
        <f>IFERROR(__xludf.DUMMYFUNCTION("""COMPUTED_VALUE"""),"Estrela 2")</f>
        <v>Estrela 2</v>
      </c>
      <c r="P147" s="5">
        <f>IFERROR(__xludf.DUMMYFUNCTION("""COMPUTED_VALUE"""),37.0)</f>
        <v>37</v>
      </c>
      <c r="Q147" s="5" t="str">
        <f>IFERROR(__xludf.DUMMYFUNCTION("""COMPUTED_VALUE"""),"The Prestige")</f>
        <v>The Prestige</v>
      </c>
      <c r="R147" s="5" t="str">
        <f>IFERROR(__xludf.DUMMYFUNCTION("""COMPUTED_VALUE"""),"Hugh Jackman")</f>
        <v>Hugh Jackman</v>
      </c>
      <c r="S147" s="5" t="str">
        <f>IFERROR(__xludf.DUMMYFUNCTION("""COMPUTED_VALUE"""),"Estrela 2")</f>
        <v>Estrela 2</v>
      </c>
    </row>
    <row r="148">
      <c r="A148" s="1">
        <v>147.0</v>
      </c>
      <c r="B148" s="1" t="s">
        <v>1069</v>
      </c>
      <c r="C148" s="1" t="s">
        <v>1072</v>
      </c>
      <c r="D148" s="1" t="s">
        <v>1073</v>
      </c>
      <c r="E148" s="1" t="s">
        <v>1074</v>
      </c>
      <c r="F148" s="1" t="s">
        <v>1075</v>
      </c>
      <c r="G148" s="5" t="str">
        <f>IFERROR(__xludf.DUMMYFUNCTION("""COMPUTED_VALUE"""),"37🤙🏼The Prestige🤙🏼Scarlett Johansson🤙🏼Estrela 3")</f>
        <v>37🤙🏼The Prestige🤙🏼Scarlett Johansson🤙🏼Estrela 3</v>
      </c>
      <c r="H148" s="5">
        <f>IFERROR(__xludf.DUMMYFUNCTION("SPLiT(G148, ""🤙🏼"",FALSE,FALSE)"),37.0)</f>
        <v>37</v>
      </c>
      <c r="I148" s="5" t="str">
        <f>IFERROR(__xludf.DUMMYFUNCTION("""COMPUTED_VALUE"""),"The Prestige")</f>
        <v>The Prestige</v>
      </c>
      <c r="J148" s="5" t="str">
        <f>IFERROR(__xludf.DUMMYFUNCTION("""COMPUTED_VALUE"""),"Scarlett Johansson")</f>
        <v>Scarlett Johansson</v>
      </c>
      <c r="K148" s="5" t="str">
        <f>IFERROR(__xludf.DUMMYFUNCTION("""COMPUTED_VALUE"""),"Estrela 3")</f>
        <v>Estrela 3</v>
      </c>
      <c r="P148" s="5">
        <f>IFERROR(__xludf.DUMMYFUNCTION("""COMPUTED_VALUE"""),37.0)</f>
        <v>37</v>
      </c>
      <c r="Q148" s="5" t="str">
        <f>IFERROR(__xludf.DUMMYFUNCTION("""COMPUTED_VALUE"""),"The Prestige")</f>
        <v>The Prestige</v>
      </c>
      <c r="R148" s="5" t="str">
        <f>IFERROR(__xludf.DUMMYFUNCTION("""COMPUTED_VALUE"""),"Scarlett Johansson")</f>
        <v>Scarlett Johansson</v>
      </c>
      <c r="S148" s="5" t="str">
        <f>IFERROR(__xludf.DUMMYFUNCTION("""COMPUTED_VALUE"""),"Estrela 3")</f>
        <v>Estrela 3</v>
      </c>
    </row>
    <row r="149">
      <c r="A149" s="1">
        <v>148.0</v>
      </c>
      <c r="B149" s="1" t="s">
        <v>1076</v>
      </c>
      <c r="C149" s="1" t="s">
        <v>90</v>
      </c>
      <c r="D149" s="1" t="s">
        <v>1079</v>
      </c>
      <c r="E149" s="1" t="s">
        <v>1080</v>
      </c>
      <c r="F149" s="1" t="s">
        <v>190</v>
      </c>
      <c r="G149" s="5" t="str">
        <f>IFERROR(__xludf.DUMMYFUNCTION("""COMPUTED_VALUE"""),"37🤙🏼The Prestige🤙🏼Michael Caine🤙🏼Estrela 4")</f>
        <v>37🤙🏼The Prestige🤙🏼Michael Caine🤙🏼Estrela 4</v>
      </c>
      <c r="H149" s="5">
        <f>IFERROR(__xludf.DUMMYFUNCTION("SPLiT(G149, ""🤙🏼"",FALSE,FALSE)"),37.0)</f>
        <v>37</v>
      </c>
      <c r="I149" s="5" t="str">
        <f>IFERROR(__xludf.DUMMYFUNCTION("""COMPUTED_VALUE"""),"The Prestige")</f>
        <v>The Prestige</v>
      </c>
      <c r="J149" s="5" t="str">
        <f>IFERROR(__xludf.DUMMYFUNCTION("""COMPUTED_VALUE"""),"Michael Caine")</f>
        <v>Michael Caine</v>
      </c>
      <c r="K149" s="5" t="str">
        <f>IFERROR(__xludf.DUMMYFUNCTION("""COMPUTED_VALUE"""),"Estrela 4")</f>
        <v>Estrela 4</v>
      </c>
      <c r="P149" s="5">
        <f>IFERROR(__xludf.DUMMYFUNCTION("""COMPUTED_VALUE"""),37.0)</f>
        <v>37</v>
      </c>
      <c r="Q149" s="5" t="str">
        <f>IFERROR(__xludf.DUMMYFUNCTION("""COMPUTED_VALUE"""),"The Prestige")</f>
        <v>The Prestige</v>
      </c>
      <c r="R149" s="5" t="str">
        <f>IFERROR(__xludf.DUMMYFUNCTION("""COMPUTED_VALUE"""),"Michael Caine")</f>
        <v>Michael Caine</v>
      </c>
      <c r="S149" s="5" t="str">
        <f>IFERROR(__xludf.DUMMYFUNCTION("""COMPUTED_VALUE"""),"Estrela 4")</f>
        <v>Estrela 4</v>
      </c>
    </row>
    <row r="150">
      <c r="A150" s="1">
        <v>149.0</v>
      </c>
      <c r="B150" s="1" t="s">
        <v>1081</v>
      </c>
      <c r="C150" s="1" t="s">
        <v>1084</v>
      </c>
      <c r="D150" s="1" t="s">
        <v>1085</v>
      </c>
      <c r="E150" s="1" t="s">
        <v>1086</v>
      </c>
      <c r="F150" s="1" t="s">
        <v>1087</v>
      </c>
      <c r="G150" s="5" t="str">
        <f>IFERROR(__xludf.DUMMYFUNCTION("""COMPUTED_VALUE"""),"38🤙🏼The Departed🤙🏼Leonardo DiCaprio🤙🏼Estrela 1")</f>
        <v>38🤙🏼The Departed🤙🏼Leonardo DiCaprio🤙🏼Estrela 1</v>
      </c>
      <c r="H150" s="5">
        <f>IFERROR(__xludf.DUMMYFUNCTION("SPLiT(G150, ""🤙🏼"",FALSE,FALSE)"),38.0)</f>
        <v>38</v>
      </c>
      <c r="I150" s="5" t="str">
        <f>IFERROR(__xludf.DUMMYFUNCTION("""COMPUTED_VALUE"""),"The Departed")</f>
        <v>The Departed</v>
      </c>
      <c r="J150" s="5" t="str">
        <f>IFERROR(__xludf.DUMMYFUNCTION("""COMPUTED_VALUE"""),"Leonardo DiCaprio")</f>
        <v>Leonardo DiCaprio</v>
      </c>
      <c r="K150" s="5" t="str">
        <f>IFERROR(__xludf.DUMMYFUNCTION("""COMPUTED_VALUE"""),"Estrela 1")</f>
        <v>Estrela 1</v>
      </c>
      <c r="P150" s="5">
        <f>IFERROR(__xludf.DUMMYFUNCTION("""COMPUTED_VALUE"""),38.0)</f>
        <v>38</v>
      </c>
      <c r="Q150" s="5" t="str">
        <f>IFERROR(__xludf.DUMMYFUNCTION("""COMPUTED_VALUE"""),"The Departed")</f>
        <v>The Departed</v>
      </c>
      <c r="R150" s="5" t="str">
        <f>IFERROR(__xludf.DUMMYFUNCTION("""COMPUTED_VALUE"""),"Leonardo DiCaprio")</f>
        <v>Leonardo DiCaprio</v>
      </c>
      <c r="S150" s="5" t="str">
        <f>IFERROR(__xludf.DUMMYFUNCTION("""COMPUTED_VALUE"""),"Estrela 1")</f>
        <v>Estrela 1</v>
      </c>
    </row>
    <row r="151">
      <c r="A151" s="1">
        <v>150.0</v>
      </c>
      <c r="B151" s="1" t="s">
        <v>1088</v>
      </c>
      <c r="C151" s="1" t="s">
        <v>1092</v>
      </c>
      <c r="D151" s="1" t="s">
        <v>1093</v>
      </c>
      <c r="E151" s="1" t="s">
        <v>1094</v>
      </c>
      <c r="F151" s="1" t="s">
        <v>1095</v>
      </c>
      <c r="G151" s="5" t="str">
        <f>IFERROR(__xludf.DUMMYFUNCTION("""COMPUTED_VALUE"""),"38🤙🏼The Departed🤙🏼Matt Damon🤙🏼Estrela 2")</f>
        <v>38🤙🏼The Departed🤙🏼Matt Damon🤙🏼Estrela 2</v>
      </c>
      <c r="H151" s="5">
        <f>IFERROR(__xludf.DUMMYFUNCTION("SPLiT(G151, ""🤙🏼"",FALSE,FALSE)"),38.0)</f>
        <v>38</v>
      </c>
      <c r="I151" s="5" t="str">
        <f>IFERROR(__xludf.DUMMYFUNCTION("""COMPUTED_VALUE"""),"The Departed")</f>
        <v>The Departed</v>
      </c>
      <c r="J151" s="5" t="str">
        <f>IFERROR(__xludf.DUMMYFUNCTION("""COMPUTED_VALUE"""),"Matt Damon")</f>
        <v>Matt Damon</v>
      </c>
      <c r="K151" s="5" t="str">
        <f>IFERROR(__xludf.DUMMYFUNCTION("""COMPUTED_VALUE"""),"Estrela 2")</f>
        <v>Estrela 2</v>
      </c>
      <c r="P151" s="5">
        <f>IFERROR(__xludf.DUMMYFUNCTION("""COMPUTED_VALUE"""),38.0)</f>
        <v>38</v>
      </c>
      <c r="Q151" s="5" t="str">
        <f>IFERROR(__xludf.DUMMYFUNCTION("""COMPUTED_VALUE"""),"The Departed")</f>
        <v>The Departed</v>
      </c>
      <c r="R151" s="5" t="str">
        <f>IFERROR(__xludf.DUMMYFUNCTION("""COMPUTED_VALUE"""),"Matt Damon")</f>
        <v>Matt Damon</v>
      </c>
      <c r="S151" s="5" t="str">
        <f>IFERROR(__xludf.DUMMYFUNCTION("""COMPUTED_VALUE"""),"Estrela 2")</f>
        <v>Estrela 2</v>
      </c>
    </row>
    <row r="152">
      <c r="A152" s="1">
        <v>151.0</v>
      </c>
      <c r="B152" s="1" t="s">
        <v>1096</v>
      </c>
      <c r="C152" s="1" t="s">
        <v>1100</v>
      </c>
      <c r="D152" s="1" t="s">
        <v>1101</v>
      </c>
      <c r="E152" s="1" t="s">
        <v>1102</v>
      </c>
      <c r="F152" s="1" t="s">
        <v>1103</v>
      </c>
      <c r="G152" s="5" t="str">
        <f>IFERROR(__xludf.DUMMYFUNCTION("""COMPUTED_VALUE"""),"38🤙🏼The Departed🤙🏼Jack Nicholson🤙🏼Estrela 3")</f>
        <v>38🤙🏼The Departed🤙🏼Jack Nicholson🤙🏼Estrela 3</v>
      </c>
      <c r="H152" s="5">
        <f>IFERROR(__xludf.DUMMYFUNCTION("SPLiT(G152, ""🤙🏼"",FALSE,FALSE)"),38.0)</f>
        <v>38</v>
      </c>
      <c r="I152" s="5" t="str">
        <f>IFERROR(__xludf.DUMMYFUNCTION("""COMPUTED_VALUE"""),"The Departed")</f>
        <v>The Departed</v>
      </c>
      <c r="J152" s="5" t="str">
        <f>IFERROR(__xludf.DUMMYFUNCTION("""COMPUTED_VALUE"""),"Jack Nicholson")</f>
        <v>Jack Nicholson</v>
      </c>
      <c r="K152" s="5" t="str">
        <f>IFERROR(__xludf.DUMMYFUNCTION("""COMPUTED_VALUE"""),"Estrela 3")</f>
        <v>Estrela 3</v>
      </c>
      <c r="P152" s="5">
        <f>IFERROR(__xludf.DUMMYFUNCTION("""COMPUTED_VALUE"""),38.0)</f>
        <v>38</v>
      </c>
      <c r="Q152" s="5" t="str">
        <f>IFERROR(__xludf.DUMMYFUNCTION("""COMPUTED_VALUE"""),"The Departed")</f>
        <v>The Departed</v>
      </c>
      <c r="R152" s="5" t="str">
        <f>IFERROR(__xludf.DUMMYFUNCTION("""COMPUTED_VALUE"""),"Jack Nicholson")</f>
        <v>Jack Nicholson</v>
      </c>
      <c r="S152" s="5" t="str">
        <f>IFERROR(__xludf.DUMMYFUNCTION("""COMPUTED_VALUE"""),"Estrela 3")</f>
        <v>Estrela 3</v>
      </c>
    </row>
    <row r="153">
      <c r="A153" s="1">
        <v>152.0</v>
      </c>
      <c r="B153" s="1" t="s">
        <v>1104</v>
      </c>
      <c r="C153" s="1" t="s">
        <v>110</v>
      </c>
      <c r="D153" s="1" t="s">
        <v>768</v>
      </c>
      <c r="E153" s="1" t="s">
        <v>1106</v>
      </c>
      <c r="F153" s="1" t="s">
        <v>1107</v>
      </c>
      <c r="G153" s="5" t="str">
        <f>IFERROR(__xludf.DUMMYFUNCTION("""COMPUTED_VALUE"""),"38🤙🏼The Departed🤙🏼Mark Wahlberg🤙🏼Estrela 4")</f>
        <v>38🤙🏼The Departed🤙🏼Mark Wahlberg🤙🏼Estrela 4</v>
      </c>
      <c r="H153" s="5">
        <f>IFERROR(__xludf.DUMMYFUNCTION("SPLiT(G153, ""🤙🏼"",FALSE,FALSE)"),38.0)</f>
        <v>38</v>
      </c>
      <c r="I153" s="5" t="str">
        <f>IFERROR(__xludf.DUMMYFUNCTION("""COMPUTED_VALUE"""),"The Departed")</f>
        <v>The Departed</v>
      </c>
      <c r="J153" s="5" t="str">
        <f>IFERROR(__xludf.DUMMYFUNCTION("""COMPUTED_VALUE"""),"Mark Wahlberg")</f>
        <v>Mark Wahlberg</v>
      </c>
      <c r="K153" s="5" t="str">
        <f>IFERROR(__xludf.DUMMYFUNCTION("""COMPUTED_VALUE"""),"Estrela 4")</f>
        <v>Estrela 4</v>
      </c>
      <c r="P153" s="5">
        <f>IFERROR(__xludf.DUMMYFUNCTION("""COMPUTED_VALUE"""),38.0)</f>
        <v>38</v>
      </c>
      <c r="Q153" s="5" t="str">
        <f>IFERROR(__xludf.DUMMYFUNCTION("""COMPUTED_VALUE"""),"The Departed")</f>
        <v>The Departed</v>
      </c>
      <c r="R153" s="5" t="str">
        <f>IFERROR(__xludf.DUMMYFUNCTION("""COMPUTED_VALUE"""),"Mark Wahlberg")</f>
        <v>Mark Wahlberg</v>
      </c>
      <c r="S153" s="5" t="str">
        <f>IFERROR(__xludf.DUMMYFUNCTION("""COMPUTED_VALUE"""),"Estrela 4")</f>
        <v>Estrela 4</v>
      </c>
    </row>
    <row r="154">
      <c r="A154" s="1">
        <v>153.0</v>
      </c>
      <c r="B154" s="1" t="s">
        <v>1108</v>
      </c>
      <c r="C154" s="1" t="s">
        <v>1112</v>
      </c>
      <c r="D154" s="1" t="s">
        <v>348</v>
      </c>
      <c r="E154" s="1" t="s">
        <v>1113</v>
      </c>
      <c r="F154" s="1" t="s">
        <v>1114</v>
      </c>
      <c r="G154" s="5" t="str">
        <f>IFERROR(__xludf.DUMMYFUNCTION("""COMPUTED_VALUE"""),"39🤙🏼The Pianist🤙🏼Adrien Brody🤙🏼Estrela 1")</f>
        <v>39🤙🏼The Pianist🤙🏼Adrien Brody🤙🏼Estrela 1</v>
      </c>
      <c r="H154" s="5">
        <f>IFERROR(__xludf.DUMMYFUNCTION("SPLiT(G154, ""🤙🏼"",FALSE,FALSE)"),39.0)</f>
        <v>39</v>
      </c>
      <c r="I154" s="5" t="str">
        <f>IFERROR(__xludf.DUMMYFUNCTION("""COMPUTED_VALUE"""),"The Pianist")</f>
        <v>The Pianist</v>
      </c>
      <c r="J154" s="5" t="str">
        <f>IFERROR(__xludf.DUMMYFUNCTION("""COMPUTED_VALUE"""),"Adrien Brody")</f>
        <v>Adrien Brody</v>
      </c>
      <c r="K154" s="5" t="str">
        <f>IFERROR(__xludf.DUMMYFUNCTION("""COMPUTED_VALUE"""),"Estrela 1")</f>
        <v>Estrela 1</v>
      </c>
      <c r="P154" s="5">
        <f>IFERROR(__xludf.DUMMYFUNCTION("""COMPUTED_VALUE"""),39.0)</f>
        <v>39</v>
      </c>
      <c r="Q154" s="5" t="str">
        <f>IFERROR(__xludf.DUMMYFUNCTION("""COMPUTED_VALUE"""),"The Pianist")</f>
        <v>The Pianist</v>
      </c>
      <c r="R154" s="5" t="str">
        <f>IFERROR(__xludf.DUMMYFUNCTION("""COMPUTED_VALUE"""),"Adrien Brody")</f>
        <v>Adrien Brody</v>
      </c>
      <c r="S154" s="5" t="str">
        <f>IFERROR(__xludf.DUMMYFUNCTION("""COMPUTED_VALUE"""),"Estrela 1")</f>
        <v>Estrela 1</v>
      </c>
    </row>
    <row r="155">
      <c r="A155" s="1">
        <v>154.0</v>
      </c>
      <c r="B155" s="1" t="s">
        <v>1115</v>
      </c>
      <c r="C155" s="1" t="s">
        <v>461</v>
      </c>
      <c r="D155" s="1" t="s">
        <v>1117</v>
      </c>
      <c r="E155" s="1" t="s">
        <v>1118</v>
      </c>
      <c r="F155" s="1" t="s">
        <v>511</v>
      </c>
      <c r="G155" s="5" t="str">
        <f>IFERROR(__xludf.DUMMYFUNCTION("""COMPUTED_VALUE"""),"39🤙🏼The Pianist🤙🏼Thomas Kretschmann🤙🏼Estrela 2")</f>
        <v>39🤙🏼The Pianist🤙🏼Thomas Kretschmann🤙🏼Estrela 2</v>
      </c>
      <c r="H155" s="5">
        <f>IFERROR(__xludf.DUMMYFUNCTION("SPLiT(G155, ""🤙🏼"",FALSE,FALSE)"),39.0)</f>
        <v>39</v>
      </c>
      <c r="I155" s="5" t="str">
        <f>IFERROR(__xludf.DUMMYFUNCTION("""COMPUTED_VALUE"""),"The Pianist")</f>
        <v>The Pianist</v>
      </c>
      <c r="J155" s="5" t="str">
        <f>IFERROR(__xludf.DUMMYFUNCTION("""COMPUTED_VALUE"""),"Thomas Kretschmann")</f>
        <v>Thomas Kretschmann</v>
      </c>
      <c r="K155" s="5" t="str">
        <f>IFERROR(__xludf.DUMMYFUNCTION("""COMPUTED_VALUE"""),"Estrela 2")</f>
        <v>Estrela 2</v>
      </c>
      <c r="P155" s="5">
        <f>IFERROR(__xludf.DUMMYFUNCTION("""COMPUTED_VALUE"""),39.0)</f>
        <v>39</v>
      </c>
      <c r="Q155" s="5" t="str">
        <f>IFERROR(__xludf.DUMMYFUNCTION("""COMPUTED_VALUE"""),"The Pianist")</f>
        <v>The Pianist</v>
      </c>
      <c r="R155" s="5" t="str">
        <f>IFERROR(__xludf.DUMMYFUNCTION("""COMPUTED_VALUE"""),"Thomas Kretschmann")</f>
        <v>Thomas Kretschmann</v>
      </c>
      <c r="S155" s="5" t="str">
        <f>IFERROR(__xludf.DUMMYFUNCTION("""COMPUTED_VALUE"""),"Estrela 2")</f>
        <v>Estrela 2</v>
      </c>
    </row>
    <row r="156">
      <c r="A156" s="1">
        <v>155.0</v>
      </c>
      <c r="B156" s="1" t="s">
        <v>1119</v>
      </c>
      <c r="C156" s="1" t="s">
        <v>592</v>
      </c>
      <c r="D156" s="1" t="s">
        <v>1122</v>
      </c>
      <c r="E156" s="1" t="s">
        <v>1123</v>
      </c>
      <c r="F156" s="1" t="s">
        <v>1124</v>
      </c>
      <c r="G156" s="5" t="str">
        <f>IFERROR(__xludf.DUMMYFUNCTION("""COMPUTED_VALUE"""),"39🤙🏼The Pianist🤙🏼Frank Finlay🤙🏼Estrela 3")</f>
        <v>39🤙🏼The Pianist🤙🏼Frank Finlay🤙🏼Estrela 3</v>
      </c>
      <c r="H156" s="5">
        <f>IFERROR(__xludf.DUMMYFUNCTION("SPLiT(G156, ""🤙🏼"",FALSE,FALSE)"),39.0)</f>
        <v>39</v>
      </c>
      <c r="I156" s="5" t="str">
        <f>IFERROR(__xludf.DUMMYFUNCTION("""COMPUTED_VALUE"""),"The Pianist")</f>
        <v>The Pianist</v>
      </c>
      <c r="J156" s="5" t="str">
        <f>IFERROR(__xludf.DUMMYFUNCTION("""COMPUTED_VALUE"""),"Frank Finlay")</f>
        <v>Frank Finlay</v>
      </c>
      <c r="K156" s="5" t="str">
        <f>IFERROR(__xludf.DUMMYFUNCTION("""COMPUTED_VALUE"""),"Estrela 3")</f>
        <v>Estrela 3</v>
      </c>
      <c r="P156" s="5">
        <f>IFERROR(__xludf.DUMMYFUNCTION("""COMPUTED_VALUE"""),39.0)</f>
        <v>39</v>
      </c>
      <c r="Q156" s="5" t="str">
        <f>IFERROR(__xludf.DUMMYFUNCTION("""COMPUTED_VALUE"""),"The Pianist")</f>
        <v>The Pianist</v>
      </c>
      <c r="R156" s="5" t="str">
        <f>IFERROR(__xludf.DUMMYFUNCTION("""COMPUTED_VALUE"""),"Frank Finlay")</f>
        <v>Frank Finlay</v>
      </c>
      <c r="S156" s="5" t="str">
        <f>IFERROR(__xludf.DUMMYFUNCTION("""COMPUTED_VALUE"""),"Estrela 3")</f>
        <v>Estrela 3</v>
      </c>
    </row>
    <row r="157">
      <c r="A157" s="1">
        <v>156.0</v>
      </c>
      <c r="B157" s="1" t="s">
        <v>1125</v>
      </c>
      <c r="C157" s="1" t="s">
        <v>42</v>
      </c>
      <c r="D157" s="1" t="s">
        <v>45</v>
      </c>
      <c r="E157" s="1" t="s">
        <v>93</v>
      </c>
      <c r="F157" s="1" t="s">
        <v>82</v>
      </c>
      <c r="G157" s="5" t="str">
        <f>IFERROR(__xludf.DUMMYFUNCTION("""COMPUTED_VALUE"""),"39🤙🏼The Pianist🤙🏼Emilia Fox🤙🏼Estrela 4")</f>
        <v>39🤙🏼The Pianist🤙🏼Emilia Fox🤙🏼Estrela 4</v>
      </c>
      <c r="H157" s="5">
        <f>IFERROR(__xludf.DUMMYFUNCTION("SPLiT(G157, ""🤙🏼"",FALSE,FALSE)"),39.0)</f>
        <v>39</v>
      </c>
      <c r="I157" s="5" t="str">
        <f>IFERROR(__xludf.DUMMYFUNCTION("""COMPUTED_VALUE"""),"The Pianist")</f>
        <v>The Pianist</v>
      </c>
      <c r="J157" s="5" t="str">
        <f>IFERROR(__xludf.DUMMYFUNCTION("""COMPUTED_VALUE"""),"Emilia Fox")</f>
        <v>Emilia Fox</v>
      </c>
      <c r="K157" s="5" t="str">
        <f>IFERROR(__xludf.DUMMYFUNCTION("""COMPUTED_VALUE"""),"Estrela 4")</f>
        <v>Estrela 4</v>
      </c>
      <c r="P157" s="5">
        <f>IFERROR(__xludf.DUMMYFUNCTION("""COMPUTED_VALUE"""),39.0)</f>
        <v>39</v>
      </c>
      <c r="Q157" s="5" t="str">
        <f>IFERROR(__xludf.DUMMYFUNCTION("""COMPUTED_VALUE"""),"The Pianist")</f>
        <v>The Pianist</v>
      </c>
      <c r="R157" s="5" t="str">
        <f>IFERROR(__xludf.DUMMYFUNCTION("""COMPUTED_VALUE"""),"Emilia Fox")</f>
        <v>Emilia Fox</v>
      </c>
      <c r="S157" s="5" t="str">
        <f>IFERROR(__xludf.DUMMYFUNCTION("""COMPUTED_VALUE"""),"Estrela 4")</f>
        <v>Estrela 4</v>
      </c>
    </row>
    <row r="158">
      <c r="A158" s="1">
        <v>157.0</v>
      </c>
      <c r="B158" s="1" t="s">
        <v>1127</v>
      </c>
      <c r="C158" s="1" t="s">
        <v>1084</v>
      </c>
      <c r="D158" s="1" t="s">
        <v>1131</v>
      </c>
      <c r="E158" s="1" t="s">
        <v>1132</v>
      </c>
      <c r="F158" s="1" t="s">
        <v>1133</v>
      </c>
      <c r="G158" s="5" t="str">
        <f>IFERROR(__xludf.DUMMYFUNCTION("""COMPUTED_VALUE"""),"40🤙🏼Gladiator🤙🏼Russell Crowe🤙🏼Estrela 1")</f>
        <v>40🤙🏼Gladiator🤙🏼Russell Crowe🤙🏼Estrela 1</v>
      </c>
      <c r="H158" s="5">
        <f>IFERROR(__xludf.DUMMYFUNCTION("SPLiT(G158, ""🤙🏼"",FALSE,FALSE)"),40.0)</f>
        <v>40</v>
      </c>
      <c r="I158" s="5" t="str">
        <f>IFERROR(__xludf.DUMMYFUNCTION("""COMPUTED_VALUE"""),"Gladiator")</f>
        <v>Gladiator</v>
      </c>
      <c r="J158" s="5" t="str">
        <f>IFERROR(__xludf.DUMMYFUNCTION("""COMPUTED_VALUE"""),"Russell Crowe")</f>
        <v>Russell Crowe</v>
      </c>
      <c r="K158" s="5" t="str">
        <f>IFERROR(__xludf.DUMMYFUNCTION("""COMPUTED_VALUE"""),"Estrela 1")</f>
        <v>Estrela 1</v>
      </c>
      <c r="P158" s="5">
        <f>IFERROR(__xludf.DUMMYFUNCTION("""COMPUTED_VALUE"""),40.0)</f>
        <v>40</v>
      </c>
      <c r="Q158" s="5" t="str">
        <f>IFERROR(__xludf.DUMMYFUNCTION("""COMPUTED_VALUE"""),"Gladiator")</f>
        <v>Gladiator</v>
      </c>
      <c r="R158" s="5" t="str">
        <f>IFERROR(__xludf.DUMMYFUNCTION("""COMPUTED_VALUE"""),"Russell Crowe")</f>
        <v>Russell Crowe</v>
      </c>
      <c r="S158" s="5" t="str">
        <f>IFERROR(__xludf.DUMMYFUNCTION("""COMPUTED_VALUE"""),"Estrela 1")</f>
        <v>Estrela 1</v>
      </c>
    </row>
    <row r="159">
      <c r="A159" s="1">
        <v>158.0</v>
      </c>
      <c r="B159" s="1" t="s">
        <v>1134</v>
      </c>
      <c r="C159" s="1" t="s">
        <v>1137</v>
      </c>
      <c r="D159" s="1" t="s">
        <v>1138</v>
      </c>
      <c r="E159" s="1" t="s">
        <v>1139</v>
      </c>
      <c r="F159" s="1" t="s">
        <v>1140</v>
      </c>
      <c r="G159" s="5" t="str">
        <f>IFERROR(__xludf.DUMMYFUNCTION("""COMPUTED_VALUE"""),"40🤙🏼Gladiator🤙🏼Joaquin Phoenix🤙🏼Estrela 2")</f>
        <v>40🤙🏼Gladiator🤙🏼Joaquin Phoenix🤙🏼Estrela 2</v>
      </c>
      <c r="H159" s="5">
        <f>IFERROR(__xludf.DUMMYFUNCTION("SPLiT(G159, ""🤙🏼"",FALSE,FALSE)"),40.0)</f>
        <v>40</v>
      </c>
      <c r="I159" s="5" t="str">
        <f>IFERROR(__xludf.DUMMYFUNCTION("""COMPUTED_VALUE"""),"Gladiator")</f>
        <v>Gladiator</v>
      </c>
      <c r="J159" s="5" t="str">
        <f>IFERROR(__xludf.DUMMYFUNCTION("""COMPUTED_VALUE"""),"Joaquin Phoenix")</f>
        <v>Joaquin Phoenix</v>
      </c>
      <c r="K159" s="5" t="str">
        <f>IFERROR(__xludf.DUMMYFUNCTION("""COMPUTED_VALUE"""),"Estrela 2")</f>
        <v>Estrela 2</v>
      </c>
      <c r="P159" s="5">
        <f>IFERROR(__xludf.DUMMYFUNCTION("""COMPUTED_VALUE"""),40.0)</f>
        <v>40</v>
      </c>
      <c r="Q159" s="5" t="str">
        <f>IFERROR(__xludf.DUMMYFUNCTION("""COMPUTED_VALUE"""),"Gladiator")</f>
        <v>Gladiator</v>
      </c>
      <c r="R159" s="5" t="str">
        <f>IFERROR(__xludf.DUMMYFUNCTION("""COMPUTED_VALUE"""),"Joaquin Phoenix")</f>
        <v>Joaquin Phoenix</v>
      </c>
      <c r="S159" s="5" t="str">
        <f>IFERROR(__xludf.DUMMYFUNCTION("""COMPUTED_VALUE"""),"Estrela 2")</f>
        <v>Estrela 2</v>
      </c>
    </row>
    <row r="160">
      <c r="A160" s="1">
        <v>159.0</v>
      </c>
      <c r="B160" s="1" t="s">
        <v>1141</v>
      </c>
      <c r="C160" s="1" t="s">
        <v>1143</v>
      </c>
      <c r="D160" s="1" t="s">
        <v>1144</v>
      </c>
      <c r="E160" s="1" t="s">
        <v>1145</v>
      </c>
      <c r="F160" s="1" t="s">
        <v>1146</v>
      </c>
      <c r="G160" s="5" t="str">
        <f>IFERROR(__xludf.DUMMYFUNCTION("""COMPUTED_VALUE"""),"40🤙🏼Gladiator🤙🏼Connie Nielsen🤙🏼Estrela 3")</f>
        <v>40🤙🏼Gladiator🤙🏼Connie Nielsen🤙🏼Estrela 3</v>
      </c>
      <c r="H160" s="5">
        <f>IFERROR(__xludf.DUMMYFUNCTION("SPLiT(G160, ""🤙🏼"",FALSE,FALSE)"),40.0)</f>
        <v>40</v>
      </c>
      <c r="I160" s="5" t="str">
        <f>IFERROR(__xludf.DUMMYFUNCTION("""COMPUTED_VALUE"""),"Gladiator")</f>
        <v>Gladiator</v>
      </c>
      <c r="J160" s="5" t="str">
        <f>IFERROR(__xludf.DUMMYFUNCTION("""COMPUTED_VALUE"""),"Connie Nielsen")</f>
        <v>Connie Nielsen</v>
      </c>
      <c r="K160" s="5" t="str">
        <f>IFERROR(__xludf.DUMMYFUNCTION("""COMPUTED_VALUE"""),"Estrela 3")</f>
        <v>Estrela 3</v>
      </c>
      <c r="P160" s="5">
        <f>IFERROR(__xludf.DUMMYFUNCTION("""COMPUTED_VALUE"""),40.0)</f>
        <v>40</v>
      </c>
      <c r="Q160" s="5" t="str">
        <f>IFERROR(__xludf.DUMMYFUNCTION("""COMPUTED_VALUE"""),"Gladiator")</f>
        <v>Gladiator</v>
      </c>
      <c r="R160" s="5" t="str">
        <f>IFERROR(__xludf.DUMMYFUNCTION("""COMPUTED_VALUE"""),"Connie Nielsen")</f>
        <v>Connie Nielsen</v>
      </c>
      <c r="S160" s="5" t="str">
        <f>IFERROR(__xludf.DUMMYFUNCTION("""COMPUTED_VALUE"""),"Estrela 3")</f>
        <v>Estrela 3</v>
      </c>
    </row>
    <row r="161">
      <c r="A161" s="1">
        <v>160.0</v>
      </c>
      <c r="B161" s="1" t="s">
        <v>1147</v>
      </c>
      <c r="C161" s="1" t="s">
        <v>325</v>
      </c>
      <c r="D161" s="1" t="s">
        <v>1151</v>
      </c>
      <c r="E161" s="1" t="s">
        <v>742</v>
      </c>
      <c r="F161" s="1" t="s">
        <v>1152</v>
      </c>
      <c r="G161" s="5" t="str">
        <f>IFERROR(__xludf.DUMMYFUNCTION("""COMPUTED_VALUE"""),"40🤙🏼Gladiator🤙🏼Oliver Reed🤙🏼Estrela 4")</f>
        <v>40🤙🏼Gladiator🤙🏼Oliver Reed🤙🏼Estrela 4</v>
      </c>
      <c r="H161" s="5">
        <f>IFERROR(__xludf.DUMMYFUNCTION("SPLiT(G161, ""🤙🏼"",FALSE,FALSE)"),40.0)</f>
        <v>40</v>
      </c>
      <c r="I161" s="5" t="str">
        <f>IFERROR(__xludf.DUMMYFUNCTION("""COMPUTED_VALUE"""),"Gladiator")</f>
        <v>Gladiator</v>
      </c>
      <c r="J161" s="5" t="str">
        <f>IFERROR(__xludf.DUMMYFUNCTION("""COMPUTED_VALUE"""),"Oliver Reed")</f>
        <v>Oliver Reed</v>
      </c>
      <c r="K161" s="5" t="str">
        <f>IFERROR(__xludf.DUMMYFUNCTION("""COMPUTED_VALUE"""),"Estrela 4")</f>
        <v>Estrela 4</v>
      </c>
      <c r="P161" s="5">
        <f>IFERROR(__xludf.DUMMYFUNCTION("""COMPUTED_VALUE"""),40.0)</f>
        <v>40</v>
      </c>
      <c r="Q161" s="5" t="str">
        <f>IFERROR(__xludf.DUMMYFUNCTION("""COMPUTED_VALUE"""),"Gladiator")</f>
        <v>Gladiator</v>
      </c>
      <c r="R161" s="5" t="str">
        <f>IFERROR(__xludf.DUMMYFUNCTION("""COMPUTED_VALUE"""),"Oliver Reed")</f>
        <v>Oliver Reed</v>
      </c>
      <c r="S161" s="5" t="str">
        <f>IFERROR(__xludf.DUMMYFUNCTION("""COMPUTED_VALUE"""),"Estrela 4")</f>
        <v>Estrela 4</v>
      </c>
    </row>
    <row r="162">
      <c r="A162" s="1">
        <v>161.0</v>
      </c>
      <c r="B162" s="1" t="s">
        <v>1153</v>
      </c>
      <c r="C162" s="1" t="s">
        <v>1156</v>
      </c>
      <c r="D162" s="1" t="s">
        <v>1157</v>
      </c>
      <c r="E162" s="1" t="s">
        <v>184</v>
      </c>
      <c r="F162" s="1" t="s">
        <v>660</v>
      </c>
      <c r="G162" s="5" t="str">
        <f>IFERROR(__xludf.DUMMYFUNCTION("""COMPUTED_VALUE"""),"41🤙🏼American History X🤙🏼Edward Norton🤙🏼Estrela 1")</f>
        <v>41🤙🏼American History X🤙🏼Edward Norton🤙🏼Estrela 1</v>
      </c>
      <c r="H162" s="5">
        <f>IFERROR(__xludf.DUMMYFUNCTION("SPLiT(G162, ""🤙🏼"",FALSE,FALSE)"),41.0)</f>
        <v>41</v>
      </c>
      <c r="I162" s="5" t="str">
        <f>IFERROR(__xludf.DUMMYFUNCTION("""COMPUTED_VALUE"""),"American History X")</f>
        <v>American History X</v>
      </c>
      <c r="J162" s="5" t="str">
        <f>IFERROR(__xludf.DUMMYFUNCTION("""COMPUTED_VALUE"""),"Edward Norton")</f>
        <v>Edward Norton</v>
      </c>
      <c r="K162" s="5" t="str">
        <f>IFERROR(__xludf.DUMMYFUNCTION("""COMPUTED_VALUE"""),"Estrela 1")</f>
        <v>Estrela 1</v>
      </c>
      <c r="P162" s="5">
        <f>IFERROR(__xludf.DUMMYFUNCTION("""COMPUTED_VALUE"""),41.0)</f>
        <v>41</v>
      </c>
      <c r="Q162" s="5" t="str">
        <f>IFERROR(__xludf.DUMMYFUNCTION("""COMPUTED_VALUE"""),"American History X")</f>
        <v>American History X</v>
      </c>
      <c r="R162" s="5" t="str">
        <f>IFERROR(__xludf.DUMMYFUNCTION("""COMPUTED_VALUE"""),"Edward Norton")</f>
        <v>Edward Norton</v>
      </c>
      <c r="S162" s="5" t="str">
        <f>IFERROR(__xludf.DUMMYFUNCTION("""COMPUTED_VALUE"""),"Estrela 1")</f>
        <v>Estrela 1</v>
      </c>
    </row>
    <row r="163">
      <c r="A163" s="1">
        <v>162.0</v>
      </c>
      <c r="B163" s="1" t="s">
        <v>1158</v>
      </c>
      <c r="C163" s="1" t="s">
        <v>1160</v>
      </c>
      <c r="D163" s="1" t="s">
        <v>1161</v>
      </c>
      <c r="E163" s="1" t="s">
        <v>1162</v>
      </c>
      <c r="F163" s="1" t="s">
        <v>734</v>
      </c>
      <c r="G163" s="5" t="str">
        <f>IFERROR(__xludf.DUMMYFUNCTION("""COMPUTED_VALUE"""),"41🤙🏼American History X🤙🏼Edward Furlong🤙🏼Estrela 2")</f>
        <v>41🤙🏼American History X🤙🏼Edward Furlong🤙🏼Estrela 2</v>
      </c>
      <c r="H163" s="5">
        <f>IFERROR(__xludf.DUMMYFUNCTION("SPLiT(G163, ""🤙🏼"",FALSE,FALSE)"),41.0)</f>
        <v>41</v>
      </c>
      <c r="I163" s="5" t="str">
        <f>IFERROR(__xludf.DUMMYFUNCTION("""COMPUTED_VALUE"""),"American History X")</f>
        <v>American History X</v>
      </c>
      <c r="J163" s="5" t="str">
        <f>IFERROR(__xludf.DUMMYFUNCTION("""COMPUTED_VALUE"""),"Edward Furlong")</f>
        <v>Edward Furlong</v>
      </c>
      <c r="K163" s="5" t="str">
        <f>IFERROR(__xludf.DUMMYFUNCTION("""COMPUTED_VALUE"""),"Estrela 2")</f>
        <v>Estrela 2</v>
      </c>
      <c r="P163" s="5">
        <f>IFERROR(__xludf.DUMMYFUNCTION("""COMPUTED_VALUE"""),41.0)</f>
        <v>41</v>
      </c>
      <c r="Q163" s="5" t="str">
        <f>IFERROR(__xludf.DUMMYFUNCTION("""COMPUTED_VALUE"""),"American History X")</f>
        <v>American History X</v>
      </c>
      <c r="R163" s="5" t="str">
        <f>IFERROR(__xludf.DUMMYFUNCTION("""COMPUTED_VALUE"""),"Edward Furlong")</f>
        <v>Edward Furlong</v>
      </c>
      <c r="S163" s="5" t="str">
        <f>IFERROR(__xludf.DUMMYFUNCTION("""COMPUTED_VALUE"""),"Estrela 2")</f>
        <v>Estrela 2</v>
      </c>
    </row>
    <row r="164">
      <c r="A164" s="1">
        <v>163.0</v>
      </c>
      <c r="B164" s="1" t="s">
        <v>1163</v>
      </c>
      <c r="C164" s="1" t="s">
        <v>237</v>
      </c>
      <c r="D164" s="1" t="s">
        <v>325</v>
      </c>
      <c r="E164" s="1" t="s">
        <v>546</v>
      </c>
      <c r="F164" s="1" t="s">
        <v>1166</v>
      </c>
      <c r="G164" s="5" t="str">
        <f>IFERROR(__xludf.DUMMYFUNCTION("""COMPUTED_VALUE"""),"41🤙🏼American History X🤙🏼Beverly D'Angelo🤙🏼Estrela 3")</f>
        <v>41🤙🏼American History X🤙🏼Beverly D'Angelo🤙🏼Estrela 3</v>
      </c>
      <c r="H164" s="5">
        <f>IFERROR(__xludf.DUMMYFUNCTION("SPLiT(G164, ""🤙🏼"",FALSE,FALSE)"),41.0)</f>
        <v>41</v>
      </c>
      <c r="I164" s="5" t="str">
        <f>IFERROR(__xludf.DUMMYFUNCTION("""COMPUTED_VALUE"""),"American History X")</f>
        <v>American History X</v>
      </c>
      <c r="J164" s="5" t="str">
        <f>IFERROR(__xludf.DUMMYFUNCTION("""COMPUTED_VALUE"""),"Beverly D'Angelo")</f>
        <v>Beverly D'Angelo</v>
      </c>
      <c r="K164" s="5" t="str">
        <f>IFERROR(__xludf.DUMMYFUNCTION("""COMPUTED_VALUE"""),"Estrela 3")</f>
        <v>Estrela 3</v>
      </c>
      <c r="P164" s="5">
        <f>IFERROR(__xludf.DUMMYFUNCTION("""COMPUTED_VALUE"""),41.0)</f>
        <v>41</v>
      </c>
      <c r="Q164" s="5" t="str">
        <f>IFERROR(__xludf.DUMMYFUNCTION("""COMPUTED_VALUE"""),"American History X")</f>
        <v>American History X</v>
      </c>
      <c r="R164" s="5" t="str">
        <f>IFERROR(__xludf.DUMMYFUNCTION("""COMPUTED_VALUE"""),"Beverly D'Angelo")</f>
        <v>Beverly D'Angelo</v>
      </c>
      <c r="S164" s="5" t="str">
        <f>IFERROR(__xludf.DUMMYFUNCTION("""COMPUTED_VALUE"""),"Estrela 3")</f>
        <v>Estrela 3</v>
      </c>
    </row>
    <row r="165">
      <c r="A165" s="1">
        <v>164.0</v>
      </c>
      <c r="B165" s="1" t="s">
        <v>1167</v>
      </c>
      <c r="C165" s="1" t="s">
        <v>1170</v>
      </c>
      <c r="D165" s="1" t="s">
        <v>1171</v>
      </c>
      <c r="E165" s="1" t="s">
        <v>1172</v>
      </c>
      <c r="F165" s="1" t="s">
        <v>1173</v>
      </c>
      <c r="G165" s="5" t="str">
        <f>IFERROR(__xludf.DUMMYFUNCTION("""COMPUTED_VALUE"""),"41🤙🏼American History X🤙🏼Jennifer Lien🤙🏼Estrela 4")</f>
        <v>41🤙🏼American History X🤙🏼Jennifer Lien🤙🏼Estrela 4</v>
      </c>
      <c r="H165" s="5">
        <f>IFERROR(__xludf.DUMMYFUNCTION("SPLiT(G165, ""🤙🏼"",FALSE,FALSE)"),41.0)</f>
        <v>41</v>
      </c>
      <c r="I165" s="5" t="str">
        <f>IFERROR(__xludf.DUMMYFUNCTION("""COMPUTED_VALUE"""),"American History X")</f>
        <v>American History X</v>
      </c>
      <c r="J165" s="5" t="str">
        <f>IFERROR(__xludf.DUMMYFUNCTION("""COMPUTED_VALUE"""),"Jennifer Lien")</f>
        <v>Jennifer Lien</v>
      </c>
      <c r="K165" s="5" t="str">
        <f>IFERROR(__xludf.DUMMYFUNCTION("""COMPUTED_VALUE"""),"Estrela 4")</f>
        <v>Estrela 4</v>
      </c>
      <c r="P165" s="5">
        <f>IFERROR(__xludf.DUMMYFUNCTION("""COMPUTED_VALUE"""),41.0)</f>
        <v>41</v>
      </c>
      <c r="Q165" s="5" t="str">
        <f>IFERROR(__xludf.DUMMYFUNCTION("""COMPUTED_VALUE"""),"American History X")</f>
        <v>American History X</v>
      </c>
      <c r="R165" s="5" t="str">
        <f>IFERROR(__xludf.DUMMYFUNCTION("""COMPUTED_VALUE"""),"Jennifer Lien")</f>
        <v>Jennifer Lien</v>
      </c>
      <c r="S165" s="5" t="str">
        <f>IFERROR(__xludf.DUMMYFUNCTION("""COMPUTED_VALUE"""),"Estrela 4")</f>
        <v>Estrela 4</v>
      </c>
    </row>
    <row r="166">
      <c r="A166" s="1">
        <v>165.0</v>
      </c>
      <c r="B166" s="1" t="s">
        <v>1174</v>
      </c>
      <c r="C166" s="1" t="s">
        <v>33</v>
      </c>
      <c r="D166" s="1" t="s">
        <v>49</v>
      </c>
      <c r="E166" s="1" t="s">
        <v>1177</v>
      </c>
      <c r="F166" s="1" t="s">
        <v>1178</v>
      </c>
      <c r="G166" s="5" t="str">
        <f>IFERROR(__xludf.DUMMYFUNCTION("""COMPUTED_VALUE"""),"42🤙🏼The Usual Suspects🤙🏼Kevin Spacey🤙🏼Estrela 1")</f>
        <v>42🤙🏼The Usual Suspects🤙🏼Kevin Spacey🤙🏼Estrela 1</v>
      </c>
      <c r="H166" s="5">
        <f>IFERROR(__xludf.DUMMYFUNCTION("SPLiT(G166, ""🤙🏼"",FALSE,FALSE)"),42.0)</f>
        <v>42</v>
      </c>
      <c r="I166" s="5" t="str">
        <f>IFERROR(__xludf.DUMMYFUNCTION("""COMPUTED_VALUE"""),"The Usual Suspects")</f>
        <v>The Usual Suspects</v>
      </c>
      <c r="J166" s="5" t="str">
        <f>IFERROR(__xludf.DUMMYFUNCTION("""COMPUTED_VALUE"""),"Kevin Spacey")</f>
        <v>Kevin Spacey</v>
      </c>
      <c r="K166" s="5" t="str">
        <f>IFERROR(__xludf.DUMMYFUNCTION("""COMPUTED_VALUE"""),"Estrela 1")</f>
        <v>Estrela 1</v>
      </c>
      <c r="P166" s="5">
        <f>IFERROR(__xludf.DUMMYFUNCTION("""COMPUTED_VALUE"""),42.0)</f>
        <v>42</v>
      </c>
      <c r="Q166" s="5" t="str">
        <f>IFERROR(__xludf.DUMMYFUNCTION("""COMPUTED_VALUE"""),"The Usual Suspects")</f>
        <v>The Usual Suspects</v>
      </c>
      <c r="R166" s="5" t="str">
        <f>IFERROR(__xludf.DUMMYFUNCTION("""COMPUTED_VALUE"""),"Kevin Spacey")</f>
        <v>Kevin Spacey</v>
      </c>
      <c r="S166" s="5" t="str">
        <f>IFERROR(__xludf.DUMMYFUNCTION("""COMPUTED_VALUE"""),"Estrela 1")</f>
        <v>Estrela 1</v>
      </c>
    </row>
    <row r="167">
      <c r="A167" s="1">
        <v>166.0</v>
      </c>
      <c r="B167" s="1" t="s">
        <v>1179</v>
      </c>
      <c r="C167" s="1" t="s">
        <v>49</v>
      </c>
      <c r="D167" s="1" t="s">
        <v>1181</v>
      </c>
      <c r="E167" s="1" t="s">
        <v>141</v>
      </c>
      <c r="F167" s="1" t="s">
        <v>559</v>
      </c>
      <c r="G167" s="5" t="str">
        <f>IFERROR(__xludf.DUMMYFUNCTION("""COMPUTED_VALUE"""),"42🤙🏼The Usual Suspects🤙🏼Gabriel Byrne🤙🏼Estrela 2")</f>
        <v>42🤙🏼The Usual Suspects🤙🏼Gabriel Byrne🤙🏼Estrela 2</v>
      </c>
      <c r="H167" s="5">
        <f>IFERROR(__xludf.DUMMYFUNCTION("SPLiT(G167, ""🤙🏼"",FALSE,FALSE)"),42.0)</f>
        <v>42</v>
      </c>
      <c r="I167" s="5" t="str">
        <f>IFERROR(__xludf.DUMMYFUNCTION("""COMPUTED_VALUE"""),"The Usual Suspects")</f>
        <v>The Usual Suspects</v>
      </c>
      <c r="J167" s="5" t="str">
        <f>IFERROR(__xludf.DUMMYFUNCTION("""COMPUTED_VALUE"""),"Gabriel Byrne")</f>
        <v>Gabriel Byrne</v>
      </c>
      <c r="K167" s="5" t="str">
        <f>IFERROR(__xludf.DUMMYFUNCTION("""COMPUTED_VALUE"""),"Estrela 2")</f>
        <v>Estrela 2</v>
      </c>
      <c r="P167" s="5">
        <f>IFERROR(__xludf.DUMMYFUNCTION("""COMPUTED_VALUE"""),42.0)</f>
        <v>42</v>
      </c>
      <c r="Q167" s="5" t="str">
        <f>IFERROR(__xludf.DUMMYFUNCTION("""COMPUTED_VALUE"""),"The Usual Suspects")</f>
        <v>The Usual Suspects</v>
      </c>
      <c r="R167" s="5" t="str">
        <f>IFERROR(__xludf.DUMMYFUNCTION("""COMPUTED_VALUE"""),"Gabriel Byrne")</f>
        <v>Gabriel Byrne</v>
      </c>
      <c r="S167" s="5" t="str">
        <f>IFERROR(__xludf.DUMMYFUNCTION("""COMPUTED_VALUE"""),"Estrela 2")</f>
        <v>Estrela 2</v>
      </c>
    </row>
    <row r="168">
      <c r="A168" s="1">
        <v>167.0</v>
      </c>
      <c r="B168" s="1" t="s">
        <v>1182</v>
      </c>
      <c r="C168" s="1" t="s">
        <v>461</v>
      </c>
      <c r="D168" s="1" t="s">
        <v>1186</v>
      </c>
      <c r="E168" s="1" t="s">
        <v>1187</v>
      </c>
      <c r="F168" s="1" t="s">
        <v>1188</v>
      </c>
      <c r="G168" s="5" t="str">
        <f>IFERROR(__xludf.DUMMYFUNCTION("""COMPUTED_VALUE"""),"42🤙🏼The Usual Suspects🤙🏼Chazz Palminteri🤙🏼Estrela 3")</f>
        <v>42🤙🏼The Usual Suspects🤙🏼Chazz Palminteri🤙🏼Estrela 3</v>
      </c>
      <c r="H168" s="5">
        <f>IFERROR(__xludf.DUMMYFUNCTION("SPLiT(G168, ""🤙🏼"",FALSE,FALSE)"),42.0)</f>
        <v>42</v>
      </c>
      <c r="I168" s="5" t="str">
        <f>IFERROR(__xludf.DUMMYFUNCTION("""COMPUTED_VALUE"""),"The Usual Suspects")</f>
        <v>The Usual Suspects</v>
      </c>
      <c r="J168" s="5" t="str">
        <f>IFERROR(__xludf.DUMMYFUNCTION("""COMPUTED_VALUE"""),"Chazz Palminteri")</f>
        <v>Chazz Palminteri</v>
      </c>
      <c r="K168" s="5" t="str">
        <f>IFERROR(__xludf.DUMMYFUNCTION("""COMPUTED_VALUE"""),"Estrela 3")</f>
        <v>Estrela 3</v>
      </c>
      <c r="P168" s="5">
        <f>IFERROR(__xludf.DUMMYFUNCTION("""COMPUTED_VALUE"""),42.0)</f>
        <v>42</v>
      </c>
      <c r="Q168" s="5" t="str">
        <f>IFERROR(__xludf.DUMMYFUNCTION("""COMPUTED_VALUE"""),"The Usual Suspects")</f>
        <v>The Usual Suspects</v>
      </c>
      <c r="R168" s="5" t="str">
        <f>IFERROR(__xludf.DUMMYFUNCTION("""COMPUTED_VALUE"""),"Chazz Palminteri")</f>
        <v>Chazz Palminteri</v>
      </c>
      <c r="S168" s="5" t="str">
        <f>IFERROR(__xludf.DUMMYFUNCTION("""COMPUTED_VALUE"""),"Estrela 3")</f>
        <v>Estrela 3</v>
      </c>
    </row>
    <row r="169">
      <c r="A169" s="1">
        <v>168.0</v>
      </c>
      <c r="B169" s="1" t="s">
        <v>1189</v>
      </c>
      <c r="C169" s="1" t="s">
        <v>119</v>
      </c>
      <c r="D169" s="1" t="s">
        <v>1191</v>
      </c>
      <c r="E169" s="1" t="s">
        <v>24</v>
      </c>
      <c r="F169" s="1" t="s">
        <v>1192</v>
      </c>
      <c r="G169" s="5" t="str">
        <f>IFERROR(__xludf.DUMMYFUNCTION("""COMPUTED_VALUE"""),"42🤙🏼The Usual Suspects🤙🏼Stephen Baldwin🤙🏼Estrela 4")</f>
        <v>42🤙🏼The Usual Suspects🤙🏼Stephen Baldwin🤙🏼Estrela 4</v>
      </c>
      <c r="H169" s="5">
        <f>IFERROR(__xludf.DUMMYFUNCTION("SPLiT(G169, ""🤙🏼"",FALSE,FALSE)"),42.0)</f>
        <v>42</v>
      </c>
      <c r="I169" s="5" t="str">
        <f>IFERROR(__xludf.DUMMYFUNCTION("""COMPUTED_VALUE"""),"The Usual Suspects")</f>
        <v>The Usual Suspects</v>
      </c>
      <c r="J169" s="5" t="str">
        <f>IFERROR(__xludf.DUMMYFUNCTION("""COMPUTED_VALUE"""),"Stephen Baldwin")</f>
        <v>Stephen Baldwin</v>
      </c>
      <c r="K169" s="5" t="str">
        <f>IFERROR(__xludf.DUMMYFUNCTION("""COMPUTED_VALUE"""),"Estrela 4")</f>
        <v>Estrela 4</v>
      </c>
      <c r="P169" s="5">
        <f>IFERROR(__xludf.DUMMYFUNCTION("""COMPUTED_VALUE"""),42.0)</f>
        <v>42</v>
      </c>
      <c r="Q169" s="5" t="str">
        <f>IFERROR(__xludf.DUMMYFUNCTION("""COMPUTED_VALUE"""),"The Usual Suspects")</f>
        <v>The Usual Suspects</v>
      </c>
      <c r="R169" s="5" t="str">
        <f>IFERROR(__xludf.DUMMYFUNCTION("""COMPUTED_VALUE"""),"Stephen Baldwin")</f>
        <v>Stephen Baldwin</v>
      </c>
      <c r="S169" s="5" t="str">
        <f>IFERROR(__xludf.DUMMYFUNCTION("""COMPUTED_VALUE"""),"Estrela 4")</f>
        <v>Estrela 4</v>
      </c>
    </row>
    <row r="170">
      <c r="A170" s="1">
        <v>169.0</v>
      </c>
      <c r="B170" s="1" t="s">
        <v>1193</v>
      </c>
      <c r="C170" s="1" t="s">
        <v>149</v>
      </c>
      <c r="D170" s="1" t="s">
        <v>1195</v>
      </c>
      <c r="E170" s="1" t="s">
        <v>1196</v>
      </c>
      <c r="F170" s="1" t="s">
        <v>1197</v>
      </c>
      <c r="G170" s="5" t="str">
        <f>IFERROR(__xludf.DUMMYFUNCTION("""COMPUTED_VALUE"""),"43🤙🏼Léon🤙🏼Jean Reno🤙🏼Estrela 1")</f>
        <v>43🤙🏼Léon🤙🏼Jean Reno🤙🏼Estrela 1</v>
      </c>
      <c r="H170" s="5">
        <f>IFERROR(__xludf.DUMMYFUNCTION("SPLiT(G170, ""🤙🏼"",FALSE,FALSE)"),43.0)</f>
        <v>43</v>
      </c>
      <c r="I170" s="5" t="str">
        <f>IFERROR(__xludf.DUMMYFUNCTION("""COMPUTED_VALUE"""),"Léon")</f>
        <v>Léon</v>
      </c>
      <c r="J170" s="5" t="str">
        <f>IFERROR(__xludf.DUMMYFUNCTION("""COMPUTED_VALUE"""),"Jean Reno")</f>
        <v>Jean Reno</v>
      </c>
      <c r="K170" s="5" t="str">
        <f>IFERROR(__xludf.DUMMYFUNCTION("""COMPUTED_VALUE"""),"Estrela 1")</f>
        <v>Estrela 1</v>
      </c>
      <c r="P170" s="5">
        <f>IFERROR(__xludf.DUMMYFUNCTION("""COMPUTED_VALUE"""),43.0)</f>
        <v>43</v>
      </c>
      <c r="Q170" s="5" t="str">
        <f>IFERROR(__xludf.DUMMYFUNCTION("""COMPUTED_VALUE"""),"Léon")</f>
        <v>Léon</v>
      </c>
      <c r="R170" s="5" t="str">
        <f>IFERROR(__xludf.DUMMYFUNCTION("""COMPUTED_VALUE"""),"Jean Reno")</f>
        <v>Jean Reno</v>
      </c>
      <c r="S170" s="5" t="str">
        <f>IFERROR(__xludf.DUMMYFUNCTION("""COMPUTED_VALUE"""),"Estrela 1")</f>
        <v>Estrela 1</v>
      </c>
    </row>
    <row r="171">
      <c r="A171" s="1">
        <v>170.0</v>
      </c>
      <c r="B171" s="1" t="s">
        <v>1198</v>
      </c>
      <c r="C171" s="1" t="s">
        <v>1201</v>
      </c>
      <c r="D171" s="1" t="s">
        <v>1202</v>
      </c>
      <c r="E171" s="1" t="s">
        <v>1203</v>
      </c>
      <c r="F171" s="1" t="s">
        <v>1204</v>
      </c>
      <c r="G171" s="5" t="str">
        <f>IFERROR(__xludf.DUMMYFUNCTION("""COMPUTED_VALUE"""),"43🤙🏼Léon🤙🏼Gary Oldman🤙🏼Estrela 2")</f>
        <v>43🤙🏼Léon🤙🏼Gary Oldman🤙🏼Estrela 2</v>
      </c>
      <c r="H171" s="5">
        <f>IFERROR(__xludf.DUMMYFUNCTION("SPLiT(G171, ""🤙🏼"",FALSE,FALSE)"),43.0)</f>
        <v>43</v>
      </c>
      <c r="I171" s="5" t="str">
        <f>IFERROR(__xludf.DUMMYFUNCTION("""COMPUTED_VALUE"""),"Léon")</f>
        <v>Léon</v>
      </c>
      <c r="J171" s="5" t="str">
        <f>IFERROR(__xludf.DUMMYFUNCTION("""COMPUTED_VALUE"""),"Gary Oldman")</f>
        <v>Gary Oldman</v>
      </c>
      <c r="K171" s="5" t="str">
        <f>IFERROR(__xludf.DUMMYFUNCTION("""COMPUTED_VALUE"""),"Estrela 2")</f>
        <v>Estrela 2</v>
      </c>
      <c r="P171" s="5">
        <f>IFERROR(__xludf.DUMMYFUNCTION("""COMPUTED_VALUE"""),43.0)</f>
        <v>43</v>
      </c>
      <c r="Q171" s="5" t="str">
        <f>IFERROR(__xludf.DUMMYFUNCTION("""COMPUTED_VALUE"""),"Léon")</f>
        <v>Léon</v>
      </c>
      <c r="R171" s="5" t="str">
        <f>IFERROR(__xludf.DUMMYFUNCTION("""COMPUTED_VALUE"""),"Gary Oldman")</f>
        <v>Gary Oldman</v>
      </c>
      <c r="S171" s="5" t="str">
        <f>IFERROR(__xludf.DUMMYFUNCTION("""COMPUTED_VALUE"""),"Estrela 2")</f>
        <v>Estrela 2</v>
      </c>
    </row>
    <row r="172">
      <c r="A172" s="1">
        <v>171.0</v>
      </c>
      <c r="B172" s="1" t="s">
        <v>1205</v>
      </c>
      <c r="C172" s="1" t="s">
        <v>1209</v>
      </c>
      <c r="D172" s="1" t="s">
        <v>1210</v>
      </c>
      <c r="E172" s="1" t="s">
        <v>1211</v>
      </c>
      <c r="F172" s="1" t="s">
        <v>1212</v>
      </c>
      <c r="G172" s="5" t="str">
        <f>IFERROR(__xludf.DUMMYFUNCTION("""COMPUTED_VALUE"""),"43🤙🏼Léon🤙🏼Natalie Portman🤙🏼Estrela 3")</f>
        <v>43🤙🏼Léon🤙🏼Natalie Portman🤙🏼Estrela 3</v>
      </c>
      <c r="H172" s="5">
        <f>IFERROR(__xludf.DUMMYFUNCTION("SPLiT(G172, ""🤙🏼"",FALSE,FALSE)"),43.0)</f>
        <v>43</v>
      </c>
      <c r="I172" s="5" t="str">
        <f>IFERROR(__xludf.DUMMYFUNCTION("""COMPUTED_VALUE"""),"Léon")</f>
        <v>Léon</v>
      </c>
      <c r="J172" s="5" t="str">
        <f>IFERROR(__xludf.DUMMYFUNCTION("""COMPUTED_VALUE"""),"Natalie Portman")</f>
        <v>Natalie Portman</v>
      </c>
      <c r="K172" s="5" t="str">
        <f>IFERROR(__xludf.DUMMYFUNCTION("""COMPUTED_VALUE"""),"Estrela 3")</f>
        <v>Estrela 3</v>
      </c>
      <c r="P172" s="5">
        <f>IFERROR(__xludf.DUMMYFUNCTION("""COMPUTED_VALUE"""),43.0)</f>
        <v>43</v>
      </c>
      <c r="Q172" s="5" t="str">
        <f>IFERROR(__xludf.DUMMYFUNCTION("""COMPUTED_VALUE"""),"Léon")</f>
        <v>Léon</v>
      </c>
      <c r="R172" s="5" t="str">
        <f>IFERROR(__xludf.DUMMYFUNCTION("""COMPUTED_VALUE"""),"Natalie Portman")</f>
        <v>Natalie Portman</v>
      </c>
      <c r="S172" s="5" t="str">
        <f>IFERROR(__xludf.DUMMYFUNCTION("""COMPUTED_VALUE"""),"Estrela 3")</f>
        <v>Estrela 3</v>
      </c>
    </row>
    <row r="173">
      <c r="A173" s="1">
        <v>172.0</v>
      </c>
      <c r="B173" s="1" t="s">
        <v>1213</v>
      </c>
      <c r="C173" s="1" t="s">
        <v>76</v>
      </c>
      <c r="D173" s="1" t="s">
        <v>1217</v>
      </c>
      <c r="E173" s="1" t="s">
        <v>1218</v>
      </c>
      <c r="F173" s="1" t="s">
        <v>1219</v>
      </c>
      <c r="G173" s="5" t="str">
        <f>IFERROR(__xludf.DUMMYFUNCTION("""COMPUTED_VALUE"""),"43🤙🏼Léon🤙🏼Danny Aiello🤙🏼Estrela 4")</f>
        <v>43🤙🏼Léon🤙🏼Danny Aiello🤙🏼Estrela 4</v>
      </c>
      <c r="H173" s="5">
        <f>IFERROR(__xludf.DUMMYFUNCTION("SPLiT(G173, ""🤙🏼"",FALSE,FALSE)"),43.0)</f>
        <v>43</v>
      </c>
      <c r="I173" s="5" t="str">
        <f>IFERROR(__xludf.DUMMYFUNCTION("""COMPUTED_VALUE"""),"Léon")</f>
        <v>Léon</v>
      </c>
      <c r="J173" s="5" t="str">
        <f>IFERROR(__xludf.DUMMYFUNCTION("""COMPUTED_VALUE"""),"Danny Aiello")</f>
        <v>Danny Aiello</v>
      </c>
      <c r="K173" s="5" t="str">
        <f>IFERROR(__xludf.DUMMYFUNCTION("""COMPUTED_VALUE"""),"Estrela 4")</f>
        <v>Estrela 4</v>
      </c>
      <c r="P173" s="5">
        <f>IFERROR(__xludf.DUMMYFUNCTION("""COMPUTED_VALUE"""),43.0)</f>
        <v>43</v>
      </c>
      <c r="Q173" s="5" t="str">
        <f>IFERROR(__xludf.DUMMYFUNCTION("""COMPUTED_VALUE"""),"Léon")</f>
        <v>Léon</v>
      </c>
      <c r="R173" s="5" t="str">
        <f>IFERROR(__xludf.DUMMYFUNCTION("""COMPUTED_VALUE"""),"Danny Aiello")</f>
        <v>Danny Aiello</v>
      </c>
      <c r="S173" s="5" t="str">
        <f>IFERROR(__xludf.DUMMYFUNCTION("""COMPUTED_VALUE"""),"Estrela 4")</f>
        <v>Estrela 4</v>
      </c>
    </row>
    <row r="174">
      <c r="A174" s="1">
        <v>173.0</v>
      </c>
      <c r="B174" s="1" t="s">
        <v>1220</v>
      </c>
      <c r="C174" s="1" t="s">
        <v>257</v>
      </c>
      <c r="D174" s="1" t="s">
        <v>1223</v>
      </c>
      <c r="E174" s="1" t="s">
        <v>1224</v>
      </c>
      <c r="F174" s="1" t="s">
        <v>1225</v>
      </c>
      <c r="G174" s="5" t="str">
        <f>IFERROR(__xludf.DUMMYFUNCTION("""COMPUTED_VALUE"""),"44🤙🏼The Lion King🤙🏼Rob Minkoff🤙🏼Estrela 1")</f>
        <v>44🤙🏼The Lion King🤙🏼Rob Minkoff🤙🏼Estrela 1</v>
      </c>
      <c r="H174" s="5">
        <f>IFERROR(__xludf.DUMMYFUNCTION("SPLiT(G174, ""🤙🏼"",FALSE,FALSE)"),44.0)</f>
        <v>44</v>
      </c>
      <c r="I174" s="5" t="str">
        <f>IFERROR(__xludf.DUMMYFUNCTION("""COMPUTED_VALUE"""),"The Lion King")</f>
        <v>The Lion King</v>
      </c>
      <c r="J174" s="5" t="str">
        <f>IFERROR(__xludf.DUMMYFUNCTION("""COMPUTED_VALUE"""),"Rob Minkoff")</f>
        <v>Rob Minkoff</v>
      </c>
      <c r="K174" s="5" t="str">
        <f>IFERROR(__xludf.DUMMYFUNCTION("""COMPUTED_VALUE"""),"Estrela 1")</f>
        <v>Estrela 1</v>
      </c>
      <c r="P174" s="5">
        <f>IFERROR(__xludf.DUMMYFUNCTION("""COMPUTED_VALUE"""),44.0)</f>
        <v>44</v>
      </c>
      <c r="Q174" s="5" t="str">
        <f>IFERROR(__xludf.DUMMYFUNCTION("""COMPUTED_VALUE"""),"The Lion King")</f>
        <v>The Lion King</v>
      </c>
      <c r="R174" s="5" t="str">
        <f>IFERROR(__xludf.DUMMYFUNCTION("""COMPUTED_VALUE"""),"Rob Minkoff")</f>
        <v>Rob Minkoff</v>
      </c>
      <c r="S174" s="5" t="str">
        <f>IFERROR(__xludf.DUMMYFUNCTION("""COMPUTED_VALUE"""),"Estrela 1")</f>
        <v>Estrela 1</v>
      </c>
    </row>
    <row r="175">
      <c r="A175" s="1">
        <v>174.0</v>
      </c>
      <c r="B175" s="1" t="s">
        <v>1226</v>
      </c>
      <c r="C175" s="1" t="s">
        <v>49</v>
      </c>
      <c r="D175" s="1" t="s">
        <v>1228</v>
      </c>
      <c r="E175" s="1" t="s">
        <v>141</v>
      </c>
      <c r="F175" s="1" t="s">
        <v>1229</v>
      </c>
      <c r="G175" s="5" t="str">
        <f>IFERROR(__xludf.DUMMYFUNCTION("""COMPUTED_VALUE"""),"44🤙🏼The Lion King🤙🏼Matthew Broderick🤙🏼Estrela 2")</f>
        <v>44🤙🏼The Lion King🤙🏼Matthew Broderick🤙🏼Estrela 2</v>
      </c>
      <c r="H175" s="5">
        <f>IFERROR(__xludf.DUMMYFUNCTION("SPLiT(G175, ""🤙🏼"",FALSE,FALSE)"),44.0)</f>
        <v>44</v>
      </c>
      <c r="I175" s="5" t="str">
        <f>IFERROR(__xludf.DUMMYFUNCTION("""COMPUTED_VALUE"""),"The Lion King")</f>
        <v>The Lion King</v>
      </c>
      <c r="J175" s="5" t="str">
        <f>IFERROR(__xludf.DUMMYFUNCTION("""COMPUTED_VALUE"""),"Matthew Broderick")</f>
        <v>Matthew Broderick</v>
      </c>
      <c r="K175" s="5" t="str">
        <f>IFERROR(__xludf.DUMMYFUNCTION("""COMPUTED_VALUE"""),"Estrela 2")</f>
        <v>Estrela 2</v>
      </c>
      <c r="P175" s="5">
        <f>IFERROR(__xludf.DUMMYFUNCTION("""COMPUTED_VALUE"""),44.0)</f>
        <v>44</v>
      </c>
      <c r="Q175" s="5" t="str">
        <f>IFERROR(__xludf.DUMMYFUNCTION("""COMPUTED_VALUE"""),"The Lion King")</f>
        <v>The Lion King</v>
      </c>
      <c r="R175" s="5" t="str">
        <f>IFERROR(__xludf.DUMMYFUNCTION("""COMPUTED_VALUE"""),"Matthew Broderick")</f>
        <v>Matthew Broderick</v>
      </c>
      <c r="S175" s="5" t="str">
        <f>IFERROR(__xludf.DUMMYFUNCTION("""COMPUTED_VALUE"""),"Estrela 2")</f>
        <v>Estrela 2</v>
      </c>
    </row>
    <row r="176">
      <c r="A176" s="1">
        <v>175.0</v>
      </c>
      <c r="B176" s="1" t="s">
        <v>1230</v>
      </c>
      <c r="C176" s="1" t="s">
        <v>1233</v>
      </c>
      <c r="D176" s="1" t="s">
        <v>1234</v>
      </c>
      <c r="E176" s="1" t="s">
        <v>1235</v>
      </c>
      <c r="F176" s="1" t="s">
        <v>1236</v>
      </c>
      <c r="G176" s="5" t="str">
        <f>IFERROR(__xludf.DUMMYFUNCTION("""COMPUTED_VALUE"""),"44🤙🏼The Lion King🤙🏼Jeremy Irons🤙🏼Estrela 3")</f>
        <v>44🤙🏼The Lion King🤙🏼Jeremy Irons🤙🏼Estrela 3</v>
      </c>
      <c r="H176" s="5">
        <f>IFERROR(__xludf.DUMMYFUNCTION("SPLiT(G176, ""🤙🏼"",FALSE,FALSE)"),44.0)</f>
        <v>44</v>
      </c>
      <c r="I176" s="5" t="str">
        <f>IFERROR(__xludf.DUMMYFUNCTION("""COMPUTED_VALUE"""),"The Lion King")</f>
        <v>The Lion King</v>
      </c>
      <c r="J176" s="5" t="str">
        <f>IFERROR(__xludf.DUMMYFUNCTION("""COMPUTED_VALUE"""),"Jeremy Irons")</f>
        <v>Jeremy Irons</v>
      </c>
      <c r="K176" s="5" t="str">
        <f>IFERROR(__xludf.DUMMYFUNCTION("""COMPUTED_VALUE"""),"Estrela 3")</f>
        <v>Estrela 3</v>
      </c>
      <c r="P176" s="5">
        <f>IFERROR(__xludf.DUMMYFUNCTION("""COMPUTED_VALUE"""),44.0)</f>
        <v>44</v>
      </c>
      <c r="Q176" s="5" t="str">
        <f>IFERROR(__xludf.DUMMYFUNCTION("""COMPUTED_VALUE"""),"The Lion King")</f>
        <v>The Lion King</v>
      </c>
      <c r="R176" s="5" t="str">
        <f>IFERROR(__xludf.DUMMYFUNCTION("""COMPUTED_VALUE"""),"Jeremy Irons")</f>
        <v>Jeremy Irons</v>
      </c>
      <c r="S176" s="5" t="str">
        <f>IFERROR(__xludf.DUMMYFUNCTION("""COMPUTED_VALUE"""),"Estrela 3")</f>
        <v>Estrela 3</v>
      </c>
    </row>
    <row r="177">
      <c r="A177" s="1">
        <v>176.0</v>
      </c>
      <c r="B177" s="1" t="s">
        <v>1237</v>
      </c>
      <c r="C177" s="1" t="s">
        <v>410</v>
      </c>
      <c r="D177" s="1" t="s">
        <v>1240</v>
      </c>
      <c r="E177" s="1" t="s">
        <v>1241</v>
      </c>
      <c r="F177" s="1" t="s">
        <v>1242</v>
      </c>
      <c r="G177" s="5" t="str">
        <f>IFERROR(__xludf.DUMMYFUNCTION("""COMPUTED_VALUE"""),"44🤙🏼The Lion King🤙🏼James Earl Jones🤙🏼Estrela 4")</f>
        <v>44🤙🏼The Lion King🤙🏼James Earl Jones🤙🏼Estrela 4</v>
      </c>
      <c r="H177" s="5">
        <f>IFERROR(__xludf.DUMMYFUNCTION("SPLiT(G177, ""🤙🏼"",FALSE,FALSE)"),44.0)</f>
        <v>44</v>
      </c>
      <c r="I177" s="5" t="str">
        <f>IFERROR(__xludf.DUMMYFUNCTION("""COMPUTED_VALUE"""),"The Lion King")</f>
        <v>The Lion King</v>
      </c>
      <c r="J177" s="5" t="str">
        <f>IFERROR(__xludf.DUMMYFUNCTION("""COMPUTED_VALUE"""),"James Earl Jones")</f>
        <v>James Earl Jones</v>
      </c>
      <c r="K177" s="5" t="str">
        <f>IFERROR(__xludf.DUMMYFUNCTION("""COMPUTED_VALUE"""),"Estrela 4")</f>
        <v>Estrela 4</v>
      </c>
      <c r="P177" s="5">
        <f>IFERROR(__xludf.DUMMYFUNCTION("""COMPUTED_VALUE"""),44.0)</f>
        <v>44</v>
      </c>
      <c r="Q177" s="5" t="str">
        <f>IFERROR(__xludf.DUMMYFUNCTION("""COMPUTED_VALUE"""),"The Lion King")</f>
        <v>The Lion King</v>
      </c>
      <c r="R177" s="5" t="str">
        <f>IFERROR(__xludf.DUMMYFUNCTION("""COMPUTED_VALUE"""),"James Earl Jones")</f>
        <v>James Earl Jones</v>
      </c>
      <c r="S177" s="5" t="str">
        <f>IFERROR(__xludf.DUMMYFUNCTION("""COMPUTED_VALUE"""),"Estrela 4")</f>
        <v>Estrela 4</v>
      </c>
    </row>
    <row r="178">
      <c r="A178" s="1">
        <v>177.0</v>
      </c>
      <c r="B178" s="1" t="s">
        <v>1243</v>
      </c>
      <c r="C178" s="1" t="s">
        <v>862</v>
      </c>
      <c r="D178" s="1" t="s">
        <v>1247</v>
      </c>
      <c r="E178" s="1" t="s">
        <v>1248</v>
      </c>
      <c r="F178" s="1" t="s">
        <v>1249</v>
      </c>
      <c r="G178" s="5" t="str">
        <f>IFERROR(__xludf.DUMMYFUNCTION("""COMPUTED_VALUE"""),"45🤙🏼Terminator 2: Judgment Day🤙🏼Arnold Schwarzenegger🤙🏼Estrela 1")</f>
        <v>45🤙🏼Terminator 2: Judgment Day🤙🏼Arnold Schwarzenegger🤙🏼Estrela 1</v>
      </c>
      <c r="H178" s="5">
        <f>IFERROR(__xludf.DUMMYFUNCTION("SPLiT(G178, ""🤙🏼"",FALSE,FALSE)"),45.0)</f>
        <v>45</v>
      </c>
      <c r="I178" s="5" t="str">
        <f>IFERROR(__xludf.DUMMYFUNCTION("""COMPUTED_VALUE"""),"Terminator 2: Judgment Day")</f>
        <v>Terminator 2: Judgment Day</v>
      </c>
      <c r="J178" s="5" t="str">
        <f>IFERROR(__xludf.DUMMYFUNCTION("""COMPUTED_VALUE"""),"Arnold Schwarzenegger")</f>
        <v>Arnold Schwarzenegger</v>
      </c>
      <c r="K178" s="5" t="str">
        <f>IFERROR(__xludf.DUMMYFUNCTION("""COMPUTED_VALUE"""),"Estrela 1")</f>
        <v>Estrela 1</v>
      </c>
      <c r="P178" s="5">
        <f>IFERROR(__xludf.DUMMYFUNCTION("""COMPUTED_VALUE"""),45.0)</f>
        <v>45</v>
      </c>
      <c r="Q178" s="5" t="str">
        <f>IFERROR(__xludf.DUMMYFUNCTION("""COMPUTED_VALUE"""),"Terminator 2: Judgment Day")</f>
        <v>Terminator 2: Judgment Day</v>
      </c>
      <c r="R178" s="5" t="str">
        <f>IFERROR(__xludf.DUMMYFUNCTION("""COMPUTED_VALUE"""),"Arnold Schwarzenegger")</f>
        <v>Arnold Schwarzenegger</v>
      </c>
      <c r="S178" s="5" t="str">
        <f>IFERROR(__xludf.DUMMYFUNCTION("""COMPUTED_VALUE"""),"Estrela 1")</f>
        <v>Estrela 1</v>
      </c>
    </row>
    <row r="179">
      <c r="A179" s="1">
        <v>178.0</v>
      </c>
      <c r="B179" s="1" t="s">
        <v>1250</v>
      </c>
      <c r="C179" s="1" t="s">
        <v>1255</v>
      </c>
      <c r="D179" s="1" t="s">
        <v>1256</v>
      </c>
      <c r="E179" s="1" t="s">
        <v>592</v>
      </c>
      <c r="F179" s="1" t="s">
        <v>1257</v>
      </c>
      <c r="G179" s="5" t="str">
        <f>IFERROR(__xludf.DUMMYFUNCTION("""COMPUTED_VALUE"""),"45🤙🏼Terminator 2: Judgment Day🤙🏼Linda Hamilton🤙🏼Estrela 2")</f>
        <v>45🤙🏼Terminator 2: Judgment Day🤙🏼Linda Hamilton🤙🏼Estrela 2</v>
      </c>
      <c r="H179" s="5">
        <f>IFERROR(__xludf.DUMMYFUNCTION("SPLiT(G179, ""🤙🏼"",FALSE,FALSE)"),45.0)</f>
        <v>45</v>
      </c>
      <c r="I179" s="5" t="str">
        <f>IFERROR(__xludf.DUMMYFUNCTION("""COMPUTED_VALUE"""),"Terminator 2: Judgment Day")</f>
        <v>Terminator 2: Judgment Day</v>
      </c>
      <c r="J179" s="5" t="str">
        <f>IFERROR(__xludf.DUMMYFUNCTION("""COMPUTED_VALUE"""),"Linda Hamilton")</f>
        <v>Linda Hamilton</v>
      </c>
      <c r="K179" s="5" t="str">
        <f>IFERROR(__xludf.DUMMYFUNCTION("""COMPUTED_VALUE"""),"Estrela 2")</f>
        <v>Estrela 2</v>
      </c>
      <c r="P179" s="5">
        <f>IFERROR(__xludf.DUMMYFUNCTION("""COMPUTED_VALUE"""),45.0)</f>
        <v>45</v>
      </c>
      <c r="Q179" s="5" t="str">
        <f>IFERROR(__xludf.DUMMYFUNCTION("""COMPUTED_VALUE"""),"Terminator 2: Judgment Day")</f>
        <v>Terminator 2: Judgment Day</v>
      </c>
      <c r="R179" s="5" t="str">
        <f>IFERROR(__xludf.DUMMYFUNCTION("""COMPUTED_VALUE"""),"Linda Hamilton")</f>
        <v>Linda Hamilton</v>
      </c>
      <c r="S179" s="5" t="str">
        <f>IFERROR(__xludf.DUMMYFUNCTION("""COMPUTED_VALUE"""),"Estrela 2")</f>
        <v>Estrela 2</v>
      </c>
    </row>
    <row r="180">
      <c r="A180" s="1">
        <v>179.0</v>
      </c>
      <c r="B180" s="1" t="s">
        <v>1258</v>
      </c>
      <c r="C180" s="1" t="s">
        <v>1263</v>
      </c>
      <c r="D180" s="1" t="s">
        <v>1264</v>
      </c>
      <c r="E180" s="1" t="s">
        <v>1265</v>
      </c>
      <c r="F180" s="1" t="s">
        <v>1266</v>
      </c>
      <c r="G180" s="5" t="str">
        <f>IFERROR(__xludf.DUMMYFUNCTION("""COMPUTED_VALUE"""),"45🤙🏼Terminator 2: Judgment Day🤙🏼Edward Furlong🤙🏼Estrela 3")</f>
        <v>45🤙🏼Terminator 2: Judgment Day🤙🏼Edward Furlong🤙🏼Estrela 3</v>
      </c>
      <c r="H180" s="5">
        <f>IFERROR(__xludf.DUMMYFUNCTION("SPLiT(G180, ""🤙🏼"",FALSE,FALSE)"),45.0)</f>
        <v>45</v>
      </c>
      <c r="I180" s="5" t="str">
        <f>IFERROR(__xludf.DUMMYFUNCTION("""COMPUTED_VALUE"""),"Terminator 2: Judgment Day")</f>
        <v>Terminator 2: Judgment Day</v>
      </c>
      <c r="J180" s="5" t="str">
        <f>IFERROR(__xludf.DUMMYFUNCTION("""COMPUTED_VALUE"""),"Edward Furlong")</f>
        <v>Edward Furlong</v>
      </c>
      <c r="K180" s="5" t="str">
        <f>IFERROR(__xludf.DUMMYFUNCTION("""COMPUTED_VALUE"""),"Estrela 3")</f>
        <v>Estrela 3</v>
      </c>
      <c r="P180" s="5">
        <f>IFERROR(__xludf.DUMMYFUNCTION("""COMPUTED_VALUE"""),45.0)</f>
        <v>45</v>
      </c>
      <c r="Q180" s="5" t="str">
        <f>IFERROR(__xludf.DUMMYFUNCTION("""COMPUTED_VALUE"""),"Terminator 2: Judgment Day")</f>
        <v>Terminator 2: Judgment Day</v>
      </c>
      <c r="R180" s="5" t="str">
        <f>IFERROR(__xludf.DUMMYFUNCTION("""COMPUTED_VALUE"""),"Edward Furlong")</f>
        <v>Edward Furlong</v>
      </c>
      <c r="S180" s="5" t="str">
        <f>IFERROR(__xludf.DUMMYFUNCTION("""COMPUTED_VALUE"""),"Estrela 3")</f>
        <v>Estrela 3</v>
      </c>
    </row>
    <row r="181">
      <c r="A181" s="1">
        <v>180.0</v>
      </c>
      <c r="B181" s="1" t="s">
        <v>1267</v>
      </c>
      <c r="C181" s="1" t="s">
        <v>1272</v>
      </c>
      <c r="D181" s="1" t="s">
        <v>1273</v>
      </c>
      <c r="E181" s="1" t="s">
        <v>1274</v>
      </c>
      <c r="F181" s="1" t="s">
        <v>392</v>
      </c>
      <c r="G181" s="5" t="str">
        <f>IFERROR(__xludf.DUMMYFUNCTION("""COMPUTED_VALUE"""),"45🤙🏼Terminator 2: Judgment Day🤙🏼Robert Patrick🤙🏼Estrela 4")</f>
        <v>45🤙🏼Terminator 2: Judgment Day🤙🏼Robert Patrick🤙🏼Estrela 4</v>
      </c>
      <c r="H181" s="5">
        <f>IFERROR(__xludf.DUMMYFUNCTION("SPLiT(G181, ""🤙🏼"",FALSE,FALSE)"),45.0)</f>
        <v>45</v>
      </c>
      <c r="I181" s="5" t="str">
        <f>IFERROR(__xludf.DUMMYFUNCTION("""COMPUTED_VALUE"""),"Terminator 2: Judgment Day")</f>
        <v>Terminator 2: Judgment Day</v>
      </c>
      <c r="J181" s="5" t="str">
        <f>IFERROR(__xludf.DUMMYFUNCTION("""COMPUTED_VALUE"""),"Robert Patrick")</f>
        <v>Robert Patrick</v>
      </c>
      <c r="K181" s="5" t="str">
        <f>IFERROR(__xludf.DUMMYFUNCTION("""COMPUTED_VALUE"""),"Estrela 4")</f>
        <v>Estrela 4</v>
      </c>
      <c r="P181" s="5">
        <f>IFERROR(__xludf.DUMMYFUNCTION("""COMPUTED_VALUE"""),45.0)</f>
        <v>45</v>
      </c>
      <c r="Q181" s="5" t="str">
        <f>IFERROR(__xludf.DUMMYFUNCTION("""COMPUTED_VALUE"""),"Terminator 2: Judgment Day")</f>
        <v>Terminator 2: Judgment Day</v>
      </c>
      <c r="R181" s="5" t="str">
        <f>IFERROR(__xludf.DUMMYFUNCTION("""COMPUTED_VALUE"""),"Robert Patrick")</f>
        <v>Robert Patrick</v>
      </c>
      <c r="S181" s="5" t="str">
        <f>IFERROR(__xludf.DUMMYFUNCTION("""COMPUTED_VALUE"""),"Estrela 4")</f>
        <v>Estrela 4</v>
      </c>
    </row>
    <row r="182">
      <c r="A182" s="1">
        <v>181.0</v>
      </c>
      <c r="B182" s="1" t="s">
        <v>1275</v>
      </c>
      <c r="C182" s="1" t="s">
        <v>1278</v>
      </c>
      <c r="D182" s="1" t="s">
        <v>1279</v>
      </c>
      <c r="E182" s="1" t="s">
        <v>1280</v>
      </c>
      <c r="F182" s="1" t="s">
        <v>1281</v>
      </c>
      <c r="G182" s="5" t="str">
        <f>IFERROR(__xludf.DUMMYFUNCTION("""COMPUTED_VALUE"""),"46🤙🏼Nuovo Cinema Paradiso🤙🏼Philippe Noiret🤙🏼Estrela 1")</f>
        <v>46🤙🏼Nuovo Cinema Paradiso🤙🏼Philippe Noiret🤙🏼Estrela 1</v>
      </c>
      <c r="H182" s="5">
        <f>IFERROR(__xludf.DUMMYFUNCTION("SPLiT(G182, ""🤙🏼"",FALSE,FALSE)"),46.0)</f>
        <v>46</v>
      </c>
      <c r="I182" s="5" t="str">
        <f>IFERROR(__xludf.DUMMYFUNCTION("""COMPUTED_VALUE"""),"Nuovo Cinema Paradiso")</f>
        <v>Nuovo Cinema Paradiso</v>
      </c>
      <c r="J182" s="5" t="str">
        <f>IFERROR(__xludf.DUMMYFUNCTION("""COMPUTED_VALUE"""),"Philippe Noiret")</f>
        <v>Philippe Noiret</v>
      </c>
      <c r="K182" s="5" t="str">
        <f>IFERROR(__xludf.DUMMYFUNCTION("""COMPUTED_VALUE"""),"Estrela 1")</f>
        <v>Estrela 1</v>
      </c>
      <c r="P182" s="5">
        <f>IFERROR(__xludf.DUMMYFUNCTION("""COMPUTED_VALUE"""),46.0)</f>
        <v>46</v>
      </c>
      <c r="Q182" s="5" t="str">
        <f>IFERROR(__xludf.DUMMYFUNCTION("""COMPUTED_VALUE"""),"Nuovo Cinema Paradiso")</f>
        <v>Nuovo Cinema Paradiso</v>
      </c>
      <c r="R182" s="5" t="str">
        <f>IFERROR(__xludf.DUMMYFUNCTION("""COMPUTED_VALUE"""),"Philippe Noiret")</f>
        <v>Philippe Noiret</v>
      </c>
      <c r="S182" s="5" t="str">
        <f>IFERROR(__xludf.DUMMYFUNCTION("""COMPUTED_VALUE"""),"Estrela 1")</f>
        <v>Estrela 1</v>
      </c>
    </row>
    <row r="183">
      <c r="A183" s="1">
        <v>182.0</v>
      </c>
      <c r="B183" s="1" t="s">
        <v>1282</v>
      </c>
      <c r="C183" s="1" t="s">
        <v>265</v>
      </c>
      <c r="D183" s="1" t="s">
        <v>1285</v>
      </c>
      <c r="E183" s="1" t="s">
        <v>257</v>
      </c>
      <c r="F183" s="1" t="s">
        <v>1286</v>
      </c>
      <c r="G183" s="5" t="str">
        <f>IFERROR(__xludf.DUMMYFUNCTION("""COMPUTED_VALUE"""),"46🤙🏼Nuovo Cinema Paradiso🤙🏼Enzo Cannavale🤙🏼Estrela 2")</f>
        <v>46🤙🏼Nuovo Cinema Paradiso🤙🏼Enzo Cannavale🤙🏼Estrela 2</v>
      </c>
      <c r="H183" s="5">
        <f>IFERROR(__xludf.DUMMYFUNCTION("SPLiT(G183, ""🤙🏼"",FALSE,FALSE)"),46.0)</f>
        <v>46</v>
      </c>
      <c r="I183" s="5" t="str">
        <f>IFERROR(__xludf.DUMMYFUNCTION("""COMPUTED_VALUE"""),"Nuovo Cinema Paradiso")</f>
        <v>Nuovo Cinema Paradiso</v>
      </c>
      <c r="J183" s="5" t="str">
        <f>IFERROR(__xludf.DUMMYFUNCTION("""COMPUTED_VALUE"""),"Enzo Cannavale")</f>
        <v>Enzo Cannavale</v>
      </c>
      <c r="K183" s="5" t="str">
        <f>IFERROR(__xludf.DUMMYFUNCTION("""COMPUTED_VALUE"""),"Estrela 2")</f>
        <v>Estrela 2</v>
      </c>
      <c r="P183" s="5">
        <f>IFERROR(__xludf.DUMMYFUNCTION("""COMPUTED_VALUE"""),46.0)</f>
        <v>46</v>
      </c>
      <c r="Q183" s="5" t="str">
        <f>IFERROR(__xludf.DUMMYFUNCTION("""COMPUTED_VALUE"""),"Nuovo Cinema Paradiso")</f>
        <v>Nuovo Cinema Paradiso</v>
      </c>
      <c r="R183" s="5" t="str">
        <f>IFERROR(__xludf.DUMMYFUNCTION("""COMPUTED_VALUE"""),"Enzo Cannavale")</f>
        <v>Enzo Cannavale</v>
      </c>
      <c r="S183" s="5" t="str">
        <f>IFERROR(__xludf.DUMMYFUNCTION("""COMPUTED_VALUE"""),"Estrela 2")</f>
        <v>Estrela 2</v>
      </c>
    </row>
    <row r="184">
      <c r="A184" s="1">
        <v>183.0</v>
      </c>
      <c r="B184" s="1" t="s">
        <v>1287</v>
      </c>
      <c r="C184" s="1" t="s">
        <v>1291</v>
      </c>
      <c r="D184" s="1" t="s">
        <v>1292</v>
      </c>
      <c r="E184" s="1" t="s">
        <v>1293</v>
      </c>
      <c r="F184" s="1" t="s">
        <v>612</v>
      </c>
      <c r="G184" s="5" t="str">
        <f>IFERROR(__xludf.DUMMYFUNCTION("""COMPUTED_VALUE"""),"46🤙🏼Nuovo Cinema Paradiso🤙🏼Antonella Attili🤙🏼Estrela 3")</f>
        <v>46🤙🏼Nuovo Cinema Paradiso🤙🏼Antonella Attili🤙🏼Estrela 3</v>
      </c>
      <c r="H184" s="5">
        <f>IFERROR(__xludf.DUMMYFUNCTION("SPLiT(G184, ""🤙🏼"",FALSE,FALSE)"),46.0)</f>
        <v>46</v>
      </c>
      <c r="I184" s="5" t="str">
        <f>IFERROR(__xludf.DUMMYFUNCTION("""COMPUTED_VALUE"""),"Nuovo Cinema Paradiso")</f>
        <v>Nuovo Cinema Paradiso</v>
      </c>
      <c r="J184" s="5" t="str">
        <f>IFERROR(__xludf.DUMMYFUNCTION("""COMPUTED_VALUE"""),"Antonella Attili")</f>
        <v>Antonella Attili</v>
      </c>
      <c r="K184" s="5" t="str">
        <f>IFERROR(__xludf.DUMMYFUNCTION("""COMPUTED_VALUE"""),"Estrela 3")</f>
        <v>Estrela 3</v>
      </c>
      <c r="P184" s="5">
        <f>IFERROR(__xludf.DUMMYFUNCTION("""COMPUTED_VALUE"""),46.0)</f>
        <v>46</v>
      </c>
      <c r="Q184" s="5" t="str">
        <f>IFERROR(__xludf.DUMMYFUNCTION("""COMPUTED_VALUE"""),"Nuovo Cinema Paradiso")</f>
        <v>Nuovo Cinema Paradiso</v>
      </c>
      <c r="R184" s="5" t="str">
        <f>IFERROR(__xludf.DUMMYFUNCTION("""COMPUTED_VALUE"""),"Antonella Attili")</f>
        <v>Antonella Attili</v>
      </c>
      <c r="S184" s="5" t="str">
        <f>IFERROR(__xludf.DUMMYFUNCTION("""COMPUTED_VALUE"""),"Estrela 3")</f>
        <v>Estrela 3</v>
      </c>
    </row>
    <row r="185">
      <c r="A185" s="1">
        <v>184.0</v>
      </c>
      <c r="B185" s="1" t="s">
        <v>1294</v>
      </c>
      <c r="C185" s="1" t="s">
        <v>1297</v>
      </c>
      <c r="D185" s="1" t="s">
        <v>1298</v>
      </c>
      <c r="E185" s="1" t="s">
        <v>866</v>
      </c>
      <c r="F185" s="1" t="s">
        <v>1299</v>
      </c>
      <c r="G185" s="5" t="str">
        <f>IFERROR(__xludf.DUMMYFUNCTION("""COMPUTED_VALUE"""),"46🤙🏼Nuovo Cinema Paradiso🤙🏼Isa Danieli🤙🏼Estrela 4")</f>
        <v>46🤙🏼Nuovo Cinema Paradiso🤙🏼Isa Danieli🤙🏼Estrela 4</v>
      </c>
      <c r="H185" s="5">
        <f>IFERROR(__xludf.DUMMYFUNCTION("SPLiT(G185, ""🤙🏼"",FALSE,FALSE)"),46.0)</f>
        <v>46</v>
      </c>
      <c r="I185" s="5" t="str">
        <f>IFERROR(__xludf.DUMMYFUNCTION("""COMPUTED_VALUE"""),"Nuovo Cinema Paradiso")</f>
        <v>Nuovo Cinema Paradiso</v>
      </c>
      <c r="J185" s="5" t="str">
        <f>IFERROR(__xludf.DUMMYFUNCTION("""COMPUTED_VALUE"""),"Isa Danieli")</f>
        <v>Isa Danieli</v>
      </c>
      <c r="K185" s="5" t="str">
        <f>IFERROR(__xludf.DUMMYFUNCTION("""COMPUTED_VALUE"""),"Estrela 4")</f>
        <v>Estrela 4</v>
      </c>
      <c r="P185" s="5">
        <f>IFERROR(__xludf.DUMMYFUNCTION("""COMPUTED_VALUE"""),46.0)</f>
        <v>46</v>
      </c>
      <c r="Q185" s="5" t="str">
        <f>IFERROR(__xludf.DUMMYFUNCTION("""COMPUTED_VALUE"""),"Nuovo Cinema Paradiso")</f>
        <v>Nuovo Cinema Paradiso</v>
      </c>
      <c r="R185" s="5" t="str">
        <f>IFERROR(__xludf.DUMMYFUNCTION("""COMPUTED_VALUE"""),"Isa Danieli")</f>
        <v>Isa Danieli</v>
      </c>
      <c r="S185" s="5" t="str">
        <f>IFERROR(__xludf.DUMMYFUNCTION("""COMPUTED_VALUE"""),"Estrela 4")</f>
        <v>Estrela 4</v>
      </c>
    </row>
    <row r="186">
      <c r="A186" s="1">
        <v>185.0</v>
      </c>
      <c r="B186" s="1" t="s">
        <v>1300</v>
      </c>
      <c r="C186" s="1" t="s">
        <v>1302</v>
      </c>
      <c r="D186" s="1" t="s">
        <v>1303</v>
      </c>
      <c r="E186" s="1" t="s">
        <v>1304</v>
      </c>
      <c r="F186" s="1" t="s">
        <v>1305</v>
      </c>
      <c r="G186" s="5" t="str">
        <f>IFERROR(__xludf.DUMMYFUNCTION("""COMPUTED_VALUE"""),"47🤙🏼Hotaru no haka🤙🏼Tsutomu Tatsumi🤙🏼Estrela 1")</f>
        <v>47🤙🏼Hotaru no haka🤙🏼Tsutomu Tatsumi🤙🏼Estrela 1</v>
      </c>
      <c r="H186" s="5">
        <f>IFERROR(__xludf.DUMMYFUNCTION("SPLiT(G186, ""🤙🏼"",FALSE,FALSE)"),47.0)</f>
        <v>47</v>
      </c>
      <c r="I186" s="5" t="str">
        <f>IFERROR(__xludf.DUMMYFUNCTION("""COMPUTED_VALUE"""),"Hotaru no haka")</f>
        <v>Hotaru no haka</v>
      </c>
      <c r="J186" s="5" t="str">
        <f>IFERROR(__xludf.DUMMYFUNCTION("""COMPUTED_VALUE"""),"Tsutomu Tatsumi")</f>
        <v>Tsutomu Tatsumi</v>
      </c>
      <c r="K186" s="5" t="str">
        <f>IFERROR(__xludf.DUMMYFUNCTION("""COMPUTED_VALUE"""),"Estrela 1")</f>
        <v>Estrela 1</v>
      </c>
      <c r="P186" s="5">
        <f>IFERROR(__xludf.DUMMYFUNCTION("""COMPUTED_VALUE"""),47.0)</f>
        <v>47</v>
      </c>
      <c r="Q186" s="5" t="str">
        <f>IFERROR(__xludf.DUMMYFUNCTION("""COMPUTED_VALUE"""),"Hotaru no haka")</f>
        <v>Hotaru no haka</v>
      </c>
      <c r="R186" s="5" t="str">
        <f>IFERROR(__xludf.DUMMYFUNCTION("""COMPUTED_VALUE"""),"Tsutomu Tatsumi")</f>
        <v>Tsutomu Tatsumi</v>
      </c>
      <c r="S186" s="5" t="str">
        <f>IFERROR(__xludf.DUMMYFUNCTION("""COMPUTED_VALUE"""),"Estrela 1")</f>
        <v>Estrela 1</v>
      </c>
    </row>
    <row r="187">
      <c r="A187" s="1">
        <v>186.0</v>
      </c>
      <c r="B187" s="1" t="s">
        <v>1306</v>
      </c>
      <c r="C187" s="1" t="s">
        <v>1309</v>
      </c>
      <c r="D187" s="1" t="s">
        <v>1305</v>
      </c>
      <c r="E187" s="1" t="s">
        <v>1310</v>
      </c>
      <c r="F187" s="1" t="s">
        <v>1311</v>
      </c>
      <c r="G187" s="5" t="str">
        <f>IFERROR(__xludf.DUMMYFUNCTION("""COMPUTED_VALUE"""),"47🤙🏼Hotaru no haka🤙🏼Ayano Shiraishi🤙🏼Estrela 2")</f>
        <v>47🤙🏼Hotaru no haka🤙🏼Ayano Shiraishi🤙🏼Estrela 2</v>
      </c>
      <c r="H187" s="5">
        <f>IFERROR(__xludf.DUMMYFUNCTION("SPLiT(G187, ""🤙🏼"",FALSE,FALSE)"),47.0)</f>
        <v>47</v>
      </c>
      <c r="I187" s="5" t="str">
        <f>IFERROR(__xludf.DUMMYFUNCTION("""COMPUTED_VALUE"""),"Hotaru no haka")</f>
        <v>Hotaru no haka</v>
      </c>
      <c r="J187" s="5" t="str">
        <f>IFERROR(__xludf.DUMMYFUNCTION("""COMPUTED_VALUE"""),"Ayano Shiraishi")</f>
        <v>Ayano Shiraishi</v>
      </c>
      <c r="K187" s="5" t="str">
        <f>IFERROR(__xludf.DUMMYFUNCTION("""COMPUTED_VALUE"""),"Estrela 2")</f>
        <v>Estrela 2</v>
      </c>
      <c r="P187" s="5">
        <f>IFERROR(__xludf.DUMMYFUNCTION("""COMPUTED_VALUE"""),47.0)</f>
        <v>47</v>
      </c>
      <c r="Q187" s="5" t="str">
        <f>IFERROR(__xludf.DUMMYFUNCTION("""COMPUTED_VALUE"""),"Hotaru no haka")</f>
        <v>Hotaru no haka</v>
      </c>
      <c r="R187" s="5" t="str">
        <f>IFERROR(__xludf.DUMMYFUNCTION("""COMPUTED_VALUE"""),"Ayano Shiraishi")</f>
        <v>Ayano Shiraishi</v>
      </c>
      <c r="S187" s="5" t="str">
        <f>IFERROR(__xludf.DUMMYFUNCTION("""COMPUTED_VALUE"""),"Estrela 2")</f>
        <v>Estrela 2</v>
      </c>
    </row>
    <row r="188">
      <c r="A188" s="1">
        <v>187.0</v>
      </c>
      <c r="B188" s="1" t="s">
        <v>1312</v>
      </c>
      <c r="C188" s="1" t="s">
        <v>1315</v>
      </c>
      <c r="D188" s="1" t="s">
        <v>1316</v>
      </c>
      <c r="E188" s="1" t="s">
        <v>1317</v>
      </c>
      <c r="F188" s="1" t="s">
        <v>1318</v>
      </c>
      <c r="G188" s="5" t="str">
        <f>IFERROR(__xludf.DUMMYFUNCTION("""COMPUTED_VALUE"""),"47🤙🏼Hotaru no haka🤙🏼Akemi Yamaguchi🤙🏼Estrela 3")</f>
        <v>47🤙🏼Hotaru no haka🤙🏼Akemi Yamaguchi🤙🏼Estrela 3</v>
      </c>
      <c r="H188" s="5">
        <f>IFERROR(__xludf.DUMMYFUNCTION("SPLiT(G188, ""🤙🏼"",FALSE,FALSE)"),47.0)</f>
        <v>47</v>
      </c>
      <c r="I188" s="5" t="str">
        <f>IFERROR(__xludf.DUMMYFUNCTION("""COMPUTED_VALUE"""),"Hotaru no haka")</f>
        <v>Hotaru no haka</v>
      </c>
      <c r="J188" s="5" t="str">
        <f>IFERROR(__xludf.DUMMYFUNCTION("""COMPUTED_VALUE"""),"Akemi Yamaguchi")</f>
        <v>Akemi Yamaguchi</v>
      </c>
      <c r="K188" s="5" t="str">
        <f>IFERROR(__xludf.DUMMYFUNCTION("""COMPUTED_VALUE"""),"Estrela 3")</f>
        <v>Estrela 3</v>
      </c>
      <c r="P188" s="5">
        <f>IFERROR(__xludf.DUMMYFUNCTION("""COMPUTED_VALUE"""),47.0)</f>
        <v>47</v>
      </c>
      <c r="Q188" s="5" t="str">
        <f>IFERROR(__xludf.DUMMYFUNCTION("""COMPUTED_VALUE"""),"Hotaru no haka")</f>
        <v>Hotaru no haka</v>
      </c>
      <c r="R188" s="5" t="str">
        <f>IFERROR(__xludf.DUMMYFUNCTION("""COMPUTED_VALUE"""),"Akemi Yamaguchi")</f>
        <v>Akemi Yamaguchi</v>
      </c>
      <c r="S188" s="5" t="str">
        <f>IFERROR(__xludf.DUMMYFUNCTION("""COMPUTED_VALUE"""),"Estrela 3")</f>
        <v>Estrela 3</v>
      </c>
    </row>
    <row r="189">
      <c r="A189" s="1">
        <v>188.0</v>
      </c>
      <c r="B189" s="1" t="s">
        <v>1319</v>
      </c>
      <c r="C189" s="1" t="s">
        <v>1322</v>
      </c>
      <c r="D189" s="1" t="s">
        <v>623</v>
      </c>
      <c r="E189" s="1" t="s">
        <v>1323</v>
      </c>
      <c r="F189" s="1" t="s">
        <v>1324</v>
      </c>
      <c r="G189" s="5" t="str">
        <f>IFERROR(__xludf.DUMMYFUNCTION("""COMPUTED_VALUE"""),"47🤙🏼Hotaru no haka🤙🏼Yoshiko Shinohara🤙🏼Estrela 4")</f>
        <v>47🤙🏼Hotaru no haka🤙🏼Yoshiko Shinohara🤙🏼Estrela 4</v>
      </c>
      <c r="H189" s="5">
        <f>IFERROR(__xludf.DUMMYFUNCTION("SPLiT(G189, ""🤙🏼"",FALSE,FALSE)"),47.0)</f>
        <v>47</v>
      </c>
      <c r="I189" s="5" t="str">
        <f>IFERROR(__xludf.DUMMYFUNCTION("""COMPUTED_VALUE"""),"Hotaru no haka")</f>
        <v>Hotaru no haka</v>
      </c>
      <c r="J189" s="5" t="str">
        <f>IFERROR(__xludf.DUMMYFUNCTION("""COMPUTED_VALUE"""),"Yoshiko Shinohara")</f>
        <v>Yoshiko Shinohara</v>
      </c>
      <c r="K189" s="5" t="str">
        <f>IFERROR(__xludf.DUMMYFUNCTION("""COMPUTED_VALUE"""),"Estrela 4")</f>
        <v>Estrela 4</v>
      </c>
      <c r="P189" s="5">
        <f>IFERROR(__xludf.DUMMYFUNCTION("""COMPUTED_VALUE"""),47.0)</f>
        <v>47</v>
      </c>
      <c r="Q189" s="5" t="str">
        <f>IFERROR(__xludf.DUMMYFUNCTION("""COMPUTED_VALUE"""),"Hotaru no haka")</f>
        <v>Hotaru no haka</v>
      </c>
      <c r="R189" s="5" t="str">
        <f>IFERROR(__xludf.DUMMYFUNCTION("""COMPUTED_VALUE"""),"Yoshiko Shinohara")</f>
        <v>Yoshiko Shinohara</v>
      </c>
      <c r="S189" s="5" t="str">
        <f>IFERROR(__xludf.DUMMYFUNCTION("""COMPUTED_VALUE"""),"Estrela 4")</f>
        <v>Estrela 4</v>
      </c>
    </row>
    <row r="190">
      <c r="A190" s="1">
        <v>189.0</v>
      </c>
      <c r="B190" s="1" t="s">
        <v>1325</v>
      </c>
      <c r="C190" s="1" t="s">
        <v>1328</v>
      </c>
      <c r="D190" s="1" t="s">
        <v>1329</v>
      </c>
      <c r="E190" s="1" t="s">
        <v>1330</v>
      </c>
      <c r="F190" s="1" t="s">
        <v>1331</v>
      </c>
      <c r="G190" s="5" t="str">
        <f>IFERROR(__xludf.DUMMYFUNCTION("""COMPUTED_VALUE"""),"48🤙🏼Back to the Future🤙🏼Michael J. Fox🤙🏼Estrela 1")</f>
        <v>48🤙🏼Back to the Future🤙🏼Michael J. Fox🤙🏼Estrela 1</v>
      </c>
      <c r="H190" s="5">
        <f>IFERROR(__xludf.DUMMYFUNCTION("SPLiT(G190, ""🤙🏼"",FALSE,FALSE)"),48.0)</f>
        <v>48</v>
      </c>
      <c r="I190" s="5" t="str">
        <f>IFERROR(__xludf.DUMMYFUNCTION("""COMPUTED_VALUE"""),"Back to the Future")</f>
        <v>Back to the Future</v>
      </c>
      <c r="J190" s="5" t="str">
        <f>IFERROR(__xludf.DUMMYFUNCTION("""COMPUTED_VALUE"""),"Michael J. Fox")</f>
        <v>Michael J. Fox</v>
      </c>
      <c r="K190" s="5" t="str">
        <f>IFERROR(__xludf.DUMMYFUNCTION("""COMPUTED_VALUE"""),"Estrela 1")</f>
        <v>Estrela 1</v>
      </c>
      <c r="P190" s="5">
        <f>IFERROR(__xludf.DUMMYFUNCTION("""COMPUTED_VALUE"""),48.0)</f>
        <v>48</v>
      </c>
      <c r="Q190" s="5" t="str">
        <f>IFERROR(__xludf.DUMMYFUNCTION("""COMPUTED_VALUE"""),"Back to the Future")</f>
        <v>Back to the Future</v>
      </c>
      <c r="R190" s="5" t="str">
        <f>IFERROR(__xludf.DUMMYFUNCTION("""COMPUTED_VALUE"""),"Michael J. Fox")</f>
        <v>Michael J. Fox</v>
      </c>
      <c r="S190" s="5" t="str">
        <f>IFERROR(__xludf.DUMMYFUNCTION("""COMPUTED_VALUE"""),"Estrela 1")</f>
        <v>Estrela 1</v>
      </c>
    </row>
    <row r="191">
      <c r="A191" s="1">
        <v>190.0</v>
      </c>
      <c r="B191" s="1" t="s">
        <v>1332</v>
      </c>
      <c r="C191" s="1" t="s">
        <v>265</v>
      </c>
      <c r="D191" s="1" t="s">
        <v>1334</v>
      </c>
      <c r="E191" s="1" t="s">
        <v>1335</v>
      </c>
      <c r="F191" s="1" t="s">
        <v>266</v>
      </c>
      <c r="G191" s="5" t="str">
        <f>IFERROR(__xludf.DUMMYFUNCTION("""COMPUTED_VALUE"""),"48🤙🏼Back to the Future🤙🏼Christopher Lloyd🤙🏼Estrela 2")</f>
        <v>48🤙🏼Back to the Future🤙🏼Christopher Lloyd🤙🏼Estrela 2</v>
      </c>
      <c r="H191" s="5">
        <f>IFERROR(__xludf.DUMMYFUNCTION("SPLiT(G191, ""🤙🏼"",FALSE,FALSE)"),48.0)</f>
        <v>48</v>
      </c>
      <c r="I191" s="5" t="str">
        <f>IFERROR(__xludf.DUMMYFUNCTION("""COMPUTED_VALUE"""),"Back to the Future")</f>
        <v>Back to the Future</v>
      </c>
      <c r="J191" s="5" t="str">
        <f>IFERROR(__xludf.DUMMYFUNCTION("""COMPUTED_VALUE"""),"Christopher Lloyd")</f>
        <v>Christopher Lloyd</v>
      </c>
      <c r="K191" s="5" t="str">
        <f>IFERROR(__xludf.DUMMYFUNCTION("""COMPUTED_VALUE"""),"Estrela 2")</f>
        <v>Estrela 2</v>
      </c>
      <c r="P191" s="5">
        <f>IFERROR(__xludf.DUMMYFUNCTION("""COMPUTED_VALUE"""),48.0)</f>
        <v>48</v>
      </c>
      <c r="Q191" s="5" t="str">
        <f>IFERROR(__xludf.DUMMYFUNCTION("""COMPUTED_VALUE"""),"Back to the Future")</f>
        <v>Back to the Future</v>
      </c>
      <c r="R191" s="5" t="str">
        <f>IFERROR(__xludf.DUMMYFUNCTION("""COMPUTED_VALUE"""),"Christopher Lloyd")</f>
        <v>Christopher Lloyd</v>
      </c>
      <c r="S191" s="5" t="str">
        <f>IFERROR(__xludf.DUMMYFUNCTION("""COMPUTED_VALUE"""),"Estrela 2")</f>
        <v>Estrela 2</v>
      </c>
    </row>
    <row r="192">
      <c r="A192" s="1">
        <v>191.0</v>
      </c>
      <c r="B192" s="1" t="s">
        <v>1336</v>
      </c>
      <c r="C192" s="1" t="s">
        <v>1339</v>
      </c>
      <c r="D192" s="1" t="s">
        <v>1340</v>
      </c>
      <c r="E192" s="1" t="s">
        <v>1341</v>
      </c>
      <c r="F192" s="1" t="s">
        <v>1342</v>
      </c>
      <c r="G192" s="5" t="str">
        <f>IFERROR(__xludf.DUMMYFUNCTION("""COMPUTED_VALUE"""),"48🤙🏼Back to the Future🤙🏼Lea Thompson🤙🏼Estrela 3")</f>
        <v>48🤙🏼Back to the Future🤙🏼Lea Thompson🤙🏼Estrela 3</v>
      </c>
      <c r="H192" s="5">
        <f>IFERROR(__xludf.DUMMYFUNCTION("SPLiT(G192, ""🤙🏼"",FALSE,FALSE)"),48.0)</f>
        <v>48</v>
      </c>
      <c r="I192" s="5" t="str">
        <f>IFERROR(__xludf.DUMMYFUNCTION("""COMPUTED_VALUE"""),"Back to the Future")</f>
        <v>Back to the Future</v>
      </c>
      <c r="J192" s="5" t="str">
        <f>IFERROR(__xludf.DUMMYFUNCTION("""COMPUTED_VALUE"""),"Lea Thompson")</f>
        <v>Lea Thompson</v>
      </c>
      <c r="K192" s="5" t="str">
        <f>IFERROR(__xludf.DUMMYFUNCTION("""COMPUTED_VALUE"""),"Estrela 3")</f>
        <v>Estrela 3</v>
      </c>
      <c r="P192" s="5">
        <f>IFERROR(__xludf.DUMMYFUNCTION("""COMPUTED_VALUE"""),48.0)</f>
        <v>48</v>
      </c>
      <c r="Q192" s="5" t="str">
        <f>IFERROR(__xludf.DUMMYFUNCTION("""COMPUTED_VALUE"""),"Back to the Future")</f>
        <v>Back to the Future</v>
      </c>
      <c r="R192" s="5" t="str">
        <f>IFERROR(__xludf.DUMMYFUNCTION("""COMPUTED_VALUE"""),"Lea Thompson")</f>
        <v>Lea Thompson</v>
      </c>
      <c r="S192" s="5" t="str">
        <f>IFERROR(__xludf.DUMMYFUNCTION("""COMPUTED_VALUE"""),"Estrela 3")</f>
        <v>Estrela 3</v>
      </c>
    </row>
    <row r="193">
      <c r="A193" s="1">
        <v>192.0</v>
      </c>
      <c r="B193" s="1" t="s">
        <v>1343</v>
      </c>
      <c r="C193" s="1" t="s">
        <v>409</v>
      </c>
      <c r="D193" s="1" t="s">
        <v>1347</v>
      </c>
      <c r="E193" s="1" t="s">
        <v>1348</v>
      </c>
      <c r="F193" s="1" t="s">
        <v>1349</v>
      </c>
      <c r="G193" s="5" t="str">
        <f>IFERROR(__xludf.DUMMYFUNCTION("""COMPUTED_VALUE"""),"48🤙🏼Back to the Future🤙🏼Crispin Glover🤙🏼Estrela 4")</f>
        <v>48🤙🏼Back to the Future🤙🏼Crispin Glover🤙🏼Estrela 4</v>
      </c>
      <c r="H193" s="5">
        <f>IFERROR(__xludf.DUMMYFUNCTION("SPLiT(G193, ""🤙🏼"",FALSE,FALSE)"),48.0)</f>
        <v>48</v>
      </c>
      <c r="I193" s="5" t="str">
        <f>IFERROR(__xludf.DUMMYFUNCTION("""COMPUTED_VALUE"""),"Back to the Future")</f>
        <v>Back to the Future</v>
      </c>
      <c r="J193" s="5" t="str">
        <f>IFERROR(__xludf.DUMMYFUNCTION("""COMPUTED_VALUE"""),"Crispin Glover")</f>
        <v>Crispin Glover</v>
      </c>
      <c r="K193" s="5" t="str">
        <f>IFERROR(__xludf.DUMMYFUNCTION("""COMPUTED_VALUE"""),"Estrela 4")</f>
        <v>Estrela 4</v>
      </c>
      <c r="P193" s="5">
        <f>IFERROR(__xludf.DUMMYFUNCTION("""COMPUTED_VALUE"""),48.0)</f>
        <v>48</v>
      </c>
      <c r="Q193" s="5" t="str">
        <f>IFERROR(__xludf.DUMMYFUNCTION("""COMPUTED_VALUE"""),"Back to the Future")</f>
        <v>Back to the Future</v>
      </c>
      <c r="R193" s="5" t="str">
        <f>IFERROR(__xludf.DUMMYFUNCTION("""COMPUTED_VALUE"""),"Crispin Glover")</f>
        <v>Crispin Glover</v>
      </c>
      <c r="S193" s="5" t="str">
        <f>IFERROR(__xludf.DUMMYFUNCTION("""COMPUTED_VALUE"""),"Estrela 4")</f>
        <v>Estrela 4</v>
      </c>
    </row>
    <row r="194">
      <c r="A194" s="1">
        <v>193.0</v>
      </c>
      <c r="B194" s="1" t="s">
        <v>1350</v>
      </c>
      <c r="C194" s="1" t="s">
        <v>1354</v>
      </c>
      <c r="D194" s="1" t="s">
        <v>1355</v>
      </c>
      <c r="E194" s="1" t="s">
        <v>1356</v>
      </c>
      <c r="F194" s="1" t="s">
        <v>1357</v>
      </c>
      <c r="G194" s="5" t="str">
        <f>IFERROR(__xludf.DUMMYFUNCTION("""COMPUTED_VALUE"""),"49🤙🏼Once Upon a Time in the West🤙🏼Henry Fonda🤙🏼Estrela 1")</f>
        <v>49🤙🏼Once Upon a Time in the West🤙🏼Henry Fonda🤙🏼Estrela 1</v>
      </c>
      <c r="H194" s="5">
        <f>IFERROR(__xludf.DUMMYFUNCTION("SPLiT(G194, ""🤙🏼"",FALSE,FALSE)"),49.0)</f>
        <v>49</v>
      </c>
      <c r="I194" s="5" t="str">
        <f>IFERROR(__xludf.DUMMYFUNCTION("""COMPUTED_VALUE"""),"Once Upon a Time in the West")</f>
        <v>Once Upon a Time in the West</v>
      </c>
      <c r="J194" s="5" t="str">
        <f>IFERROR(__xludf.DUMMYFUNCTION("""COMPUTED_VALUE"""),"Henry Fonda")</f>
        <v>Henry Fonda</v>
      </c>
      <c r="K194" s="5" t="str">
        <f>IFERROR(__xludf.DUMMYFUNCTION("""COMPUTED_VALUE"""),"Estrela 1")</f>
        <v>Estrela 1</v>
      </c>
      <c r="P194" s="5">
        <f>IFERROR(__xludf.DUMMYFUNCTION("""COMPUTED_VALUE"""),49.0)</f>
        <v>49</v>
      </c>
      <c r="Q194" s="5" t="str">
        <f>IFERROR(__xludf.DUMMYFUNCTION("""COMPUTED_VALUE"""),"Once Upon a Time in the West")</f>
        <v>Once Upon a Time in the West</v>
      </c>
      <c r="R194" s="5" t="str">
        <f>IFERROR(__xludf.DUMMYFUNCTION("""COMPUTED_VALUE"""),"Henry Fonda")</f>
        <v>Henry Fonda</v>
      </c>
      <c r="S194" s="5" t="str">
        <f>IFERROR(__xludf.DUMMYFUNCTION("""COMPUTED_VALUE"""),"Estrela 1")</f>
        <v>Estrela 1</v>
      </c>
    </row>
    <row r="195">
      <c r="A195" s="1">
        <v>194.0</v>
      </c>
      <c r="B195" s="1" t="s">
        <v>1358</v>
      </c>
      <c r="C195" s="1" t="s">
        <v>418</v>
      </c>
      <c r="D195" s="1" t="s">
        <v>1360</v>
      </c>
      <c r="E195" s="1" t="s">
        <v>1361</v>
      </c>
      <c r="F195" s="1" t="s">
        <v>420</v>
      </c>
      <c r="G195" s="5" t="str">
        <f>IFERROR(__xludf.DUMMYFUNCTION("""COMPUTED_VALUE"""),"49🤙🏼Once Upon a Time in the West🤙🏼Charles Bronson🤙🏼Estrela 2")</f>
        <v>49🤙🏼Once Upon a Time in the West🤙🏼Charles Bronson🤙🏼Estrela 2</v>
      </c>
      <c r="H195" s="5">
        <f>IFERROR(__xludf.DUMMYFUNCTION("SPLiT(G195, ""🤙🏼"",FALSE,FALSE)"),49.0)</f>
        <v>49</v>
      </c>
      <c r="I195" s="5" t="str">
        <f>IFERROR(__xludf.DUMMYFUNCTION("""COMPUTED_VALUE"""),"Once Upon a Time in the West")</f>
        <v>Once Upon a Time in the West</v>
      </c>
      <c r="J195" s="5" t="str">
        <f>IFERROR(__xludf.DUMMYFUNCTION("""COMPUTED_VALUE"""),"Charles Bronson")</f>
        <v>Charles Bronson</v>
      </c>
      <c r="K195" s="5" t="str">
        <f>IFERROR(__xludf.DUMMYFUNCTION("""COMPUTED_VALUE"""),"Estrela 2")</f>
        <v>Estrela 2</v>
      </c>
      <c r="P195" s="5">
        <f>IFERROR(__xludf.DUMMYFUNCTION("""COMPUTED_VALUE"""),49.0)</f>
        <v>49</v>
      </c>
      <c r="Q195" s="5" t="str">
        <f>IFERROR(__xludf.DUMMYFUNCTION("""COMPUTED_VALUE"""),"Once Upon a Time in the West")</f>
        <v>Once Upon a Time in the West</v>
      </c>
      <c r="R195" s="5" t="str">
        <f>IFERROR(__xludf.DUMMYFUNCTION("""COMPUTED_VALUE"""),"Charles Bronson")</f>
        <v>Charles Bronson</v>
      </c>
      <c r="S195" s="5" t="str">
        <f>IFERROR(__xludf.DUMMYFUNCTION("""COMPUTED_VALUE"""),"Estrela 2")</f>
        <v>Estrela 2</v>
      </c>
    </row>
    <row r="196">
      <c r="A196" s="1">
        <v>195.0</v>
      </c>
      <c r="B196" s="1" t="s">
        <v>1362</v>
      </c>
      <c r="C196" s="1" t="s">
        <v>1365</v>
      </c>
      <c r="D196" s="1" t="s">
        <v>1366</v>
      </c>
      <c r="E196" s="1" t="s">
        <v>1367</v>
      </c>
      <c r="F196" s="1" t="s">
        <v>1368</v>
      </c>
      <c r="G196" s="5" t="str">
        <f>IFERROR(__xludf.DUMMYFUNCTION("""COMPUTED_VALUE"""),"49🤙🏼Once Upon a Time in the West🤙🏼Claudia Cardinale🤙🏼Estrela 3")</f>
        <v>49🤙🏼Once Upon a Time in the West🤙🏼Claudia Cardinale🤙🏼Estrela 3</v>
      </c>
      <c r="H196" s="5">
        <f>IFERROR(__xludf.DUMMYFUNCTION("SPLiT(G196, ""🤙🏼"",FALSE,FALSE)"),49.0)</f>
        <v>49</v>
      </c>
      <c r="I196" s="5" t="str">
        <f>IFERROR(__xludf.DUMMYFUNCTION("""COMPUTED_VALUE"""),"Once Upon a Time in the West")</f>
        <v>Once Upon a Time in the West</v>
      </c>
      <c r="J196" s="5" t="str">
        <f>IFERROR(__xludf.DUMMYFUNCTION("""COMPUTED_VALUE"""),"Claudia Cardinale")</f>
        <v>Claudia Cardinale</v>
      </c>
      <c r="K196" s="5" t="str">
        <f>IFERROR(__xludf.DUMMYFUNCTION("""COMPUTED_VALUE"""),"Estrela 3")</f>
        <v>Estrela 3</v>
      </c>
      <c r="P196" s="5">
        <f>IFERROR(__xludf.DUMMYFUNCTION("""COMPUTED_VALUE"""),49.0)</f>
        <v>49</v>
      </c>
      <c r="Q196" s="5" t="str">
        <f>IFERROR(__xludf.DUMMYFUNCTION("""COMPUTED_VALUE"""),"Once Upon a Time in the West")</f>
        <v>Once Upon a Time in the West</v>
      </c>
      <c r="R196" s="5" t="str">
        <f>IFERROR(__xludf.DUMMYFUNCTION("""COMPUTED_VALUE"""),"Claudia Cardinale")</f>
        <v>Claudia Cardinale</v>
      </c>
      <c r="S196" s="5" t="str">
        <f>IFERROR(__xludf.DUMMYFUNCTION("""COMPUTED_VALUE"""),"Estrela 3")</f>
        <v>Estrela 3</v>
      </c>
    </row>
    <row r="197">
      <c r="A197" s="1">
        <v>196.0</v>
      </c>
      <c r="B197" s="1" t="s">
        <v>1369</v>
      </c>
      <c r="C197" s="1" t="s">
        <v>1372</v>
      </c>
      <c r="D197" s="1" t="s">
        <v>1373</v>
      </c>
      <c r="E197" s="1" t="s">
        <v>1374</v>
      </c>
      <c r="F197" s="1" t="s">
        <v>1375</v>
      </c>
      <c r="G197" s="5" t="str">
        <f>IFERROR(__xludf.DUMMYFUNCTION("""COMPUTED_VALUE"""),"49🤙🏼Once Upon a Time in the West🤙🏼Jason Robards🤙🏼Estrela 4")</f>
        <v>49🤙🏼Once Upon a Time in the West🤙🏼Jason Robards🤙🏼Estrela 4</v>
      </c>
      <c r="H197" s="5">
        <f>IFERROR(__xludf.DUMMYFUNCTION("SPLiT(G197, ""🤙🏼"",FALSE,FALSE)"),49.0)</f>
        <v>49</v>
      </c>
      <c r="I197" s="5" t="str">
        <f>IFERROR(__xludf.DUMMYFUNCTION("""COMPUTED_VALUE"""),"Once Upon a Time in the West")</f>
        <v>Once Upon a Time in the West</v>
      </c>
      <c r="J197" s="5" t="str">
        <f>IFERROR(__xludf.DUMMYFUNCTION("""COMPUTED_VALUE"""),"Jason Robards")</f>
        <v>Jason Robards</v>
      </c>
      <c r="K197" s="5" t="str">
        <f>IFERROR(__xludf.DUMMYFUNCTION("""COMPUTED_VALUE"""),"Estrela 4")</f>
        <v>Estrela 4</v>
      </c>
      <c r="P197" s="5">
        <f>IFERROR(__xludf.DUMMYFUNCTION("""COMPUTED_VALUE"""),49.0)</f>
        <v>49</v>
      </c>
      <c r="Q197" s="5" t="str">
        <f>IFERROR(__xludf.DUMMYFUNCTION("""COMPUTED_VALUE"""),"Once Upon a Time in the West")</f>
        <v>Once Upon a Time in the West</v>
      </c>
      <c r="R197" s="5" t="str">
        <f>IFERROR(__xludf.DUMMYFUNCTION("""COMPUTED_VALUE"""),"Jason Robards")</f>
        <v>Jason Robards</v>
      </c>
      <c r="S197" s="5" t="str">
        <f>IFERROR(__xludf.DUMMYFUNCTION("""COMPUTED_VALUE"""),"Estrela 4")</f>
        <v>Estrela 4</v>
      </c>
    </row>
    <row r="198">
      <c r="A198" s="1">
        <v>197.0</v>
      </c>
      <c r="B198" s="1" t="s">
        <v>1376</v>
      </c>
      <c r="C198" s="1" t="s">
        <v>1380</v>
      </c>
      <c r="D198" s="1" t="s">
        <v>592</v>
      </c>
      <c r="E198" s="1" t="s">
        <v>1381</v>
      </c>
      <c r="F198" s="1" t="s">
        <v>1382</v>
      </c>
      <c r="G198" s="5" t="str">
        <f>IFERROR(__xludf.DUMMYFUNCTION("""COMPUTED_VALUE"""),"50🤙🏼Psycho🤙🏼Anthony Perkins🤙🏼Estrela 1")</f>
        <v>50🤙🏼Psycho🤙🏼Anthony Perkins🤙🏼Estrela 1</v>
      </c>
      <c r="H198" s="5">
        <f>IFERROR(__xludf.DUMMYFUNCTION("SPLiT(G198, ""🤙🏼"",FALSE,FALSE)"),50.0)</f>
        <v>50</v>
      </c>
      <c r="I198" s="5" t="str">
        <f>IFERROR(__xludf.DUMMYFUNCTION("""COMPUTED_VALUE"""),"Psycho")</f>
        <v>Psycho</v>
      </c>
      <c r="J198" s="5" t="str">
        <f>IFERROR(__xludf.DUMMYFUNCTION("""COMPUTED_VALUE"""),"Anthony Perkins")</f>
        <v>Anthony Perkins</v>
      </c>
      <c r="K198" s="5" t="str">
        <f>IFERROR(__xludf.DUMMYFUNCTION("""COMPUTED_VALUE"""),"Estrela 1")</f>
        <v>Estrela 1</v>
      </c>
      <c r="P198" s="5">
        <f>IFERROR(__xludf.DUMMYFUNCTION("""COMPUTED_VALUE"""),50.0)</f>
        <v>50</v>
      </c>
      <c r="Q198" s="5" t="str">
        <f>IFERROR(__xludf.DUMMYFUNCTION("""COMPUTED_VALUE"""),"Psycho")</f>
        <v>Psycho</v>
      </c>
      <c r="R198" s="5" t="str">
        <f>IFERROR(__xludf.DUMMYFUNCTION("""COMPUTED_VALUE"""),"Anthony Perkins")</f>
        <v>Anthony Perkins</v>
      </c>
      <c r="S198" s="5" t="str">
        <f>IFERROR(__xludf.DUMMYFUNCTION("""COMPUTED_VALUE"""),"Estrela 1")</f>
        <v>Estrela 1</v>
      </c>
    </row>
    <row r="199">
      <c r="A199" s="1">
        <v>198.0</v>
      </c>
      <c r="B199" s="1" t="s">
        <v>1383</v>
      </c>
      <c r="C199" s="1" t="s">
        <v>209</v>
      </c>
      <c r="D199" s="1" t="s">
        <v>1387</v>
      </c>
      <c r="E199" s="1" t="s">
        <v>456</v>
      </c>
      <c r="F199" s="1" t="s">
        <v>1388</v>
      </c>
      <c r="G199" s="5" t="str">
        <f>IFERROR(__xludf.DUMMYFUNCTION("""COMPUTED_VALUE"""),"50🤙🏼Psycho🤙🏼Janet Leigh🤙🏼Estrela 2")</f>
        <v>50🤙🏼Psycho🤙🏼Janet Leigh🤙🏼Estrela 2</v>
      </c>
      <c r="H199" s="5">
        <f>IFERROR(__xludf.DUMMYFUNCTION("SPLiT(G199, ""🤙🏼"",FALSE,FALSE)"),50.0)</f>
        <v>50</v>
      </c>
      <c r="I199" s="5" t="str">
        <f>IFERROR(__xludf.DUMMYFUNCTION("""COMPUTED_VALUE"""),"Psycho")</f>
        <v>Psycho</v>
      </c>
      <c r="J199" s="5" t="str">
        <f>IFERROR(__xludf.DUMMYFUNCTION("""COMPUTED_VALUE"""),"Janet Leigh")</f>
        <v>Janet Leigh</v>
      </c>
      <c r="K199" s="5" t="str">
        <f>IFERROR(__xludf.DUMMYFUNCTION("""COMPUTED_VALUE"""),"Estrela 2")</f>
        <v>Estrela 2</v>
      </c>
      <c r="P199" s="5">
        <f>IFERROR(__xludf.DUMMYFUNCTION("""COMPUTED_VALUE"""),50.0)</f>
        <v>50</v>
      </c>
      <c r="Q199" s="5" t="str">
        <f>IFERROR(__xludf.DUMMYFUNCTION("""COMPUTED_VALUE"""),"Psycho")</f>
        <v>Psycho</v>
      </c>
      <c r="R199" s="5" t="str">
        <f>IFERROR(__xludf.DUMMYFUNCTION("""COMPUTED_VALUE"""),"Janet Leigh")</f>
        <v>Janet Leigh</v>
      </c>
      <c r="S199" s="5" t="str">
        <f>IFERROR(__xludf.DUMMYFUNCTION("""COMPUTED_VALUE"""),"Estrela 2")</f>
        <v>Estrela 2</v>
      </c>
    </row>
    <row r="200">
      <c r="A200" s="1">
        <v>199.0</v>
      </c>
      <c r="B200" s="1" t="s">
        <v>1389</v>
      </c>
      <c r="C200" s="1" t="s">
        <v>1393</v>
      </c>
      <c r="D200" s="1" t="s">
        <v>1394</v>
      </c>
      <c r="E200" s="1" t="s">
        <v>1395</v>
      </c>
      <c r="F200" s="1" t="s">
        <v>1396</v>
      </c>
      <c r="G200" s="5" t="str">
        <f>IFERROR(__xludf.DUMMYFUNCTION("""COMPUTED_VALUE"""),"50🤙🏼Psycho🤙🏼Vera Miles🤙🏼Estrela 3")</f>
        <v>50🤙🏼Psycho🤙🏼Vera Miles🤙🏼Estrela 3</v>
      </c>
      <c r="H200" s="5">
        <f>IFERROR(__xludf.DUMMYFUNCTION("SPLiT(G200, ""🤙🏼"",FALSE,FALSE)"),50.0)</f>
        <v>50</v>
      </c>
      <c r="I200" s="5" t="str">
        <f>IFERROR(__xludf.DUMMYFUNCTION("""COMPUTED_VALUE"""),"Psycho")</f>
        <v>Psycho</v>
      </c>
      <c r="J200" s="5" t="str">
        <f>IFERROR(__xludf.DUMMYFUNCTION("""COMPUTED_VALUE"""),"Vera Miles")</f>
        <v>Vera Miles</v>
      </c>
      <c r="K200" s="5" t="str">
        <f>IFERROR(__xludf.DUMMYFUNCTION("""COMPUTED_VALUE"""),"Estrela 3")</f>
        <v>Estrela 3</v>
      </c>
      <c r="P200" s="5">
        <f>IFERROR(__xludf.DUMMYFUNCTION("""COMPUTED_VALUE"""),50.0)</f>
        <v>50</v>
      </c>
      <c r="Q200" s="5" t="str">
        <f>IFERROR(__xludf.DUMMYFUNCTION("""COMPUTED_VALUE"""),"Psycho")</f>
        <v>Psycho</v>
      </c>
      <c r="R200" s="5" t="str">
        <f>IFERROR(__xludf.DUMMYFUNCTION("""COMPUTED_VALUE"""),"Vera Miles")</f>
        <v>Vera Miles</v>
      </c>
      <c r="S200" s="5" t="str">
        <f>IFERROR(__xludf.DUMMYFUNCTION("""COMPUTED_VALUE"""),"Estrela 3")</f>
        <v>Estrela 3</v>
      </c>
    </row>
    <row r="201">
      <c r="A201" s="1">
        <v>200.0</v>
      </c>
      <c r="B201" s="1" t="s">
        <v>1397</v>
      </c>
      <c r="C201" s="1" t="s">
        <v>1401</v>
      </c>
      <c r="D201" s="1" t="s">
        <v>1402</v>
      </c>
      <c r="E201" s="1" t="s">
        <v>1403</v>
      </c>
      <c r="F201" s="1" t="s">
        <v>1404</v>
      </c>
      <c r="G201" s="5" t="str">
        <f>IFERROR(__xludf.DUMMYFUNCTION("""COMPUTED_VALUE"""),"50🤙🏼Psycho🤙🏼John Gavin🤙🏼Estrela 4")</f>
        <v>50🤙🏼Psycho🤙🏼John Gavin🤙🏼Estrela 4</v>
      </c>
      <c r="H201" s="5">
        <f>IFERROR(__xludf.DUMMYFUNCTION("SPLiT(G201, ""🤙🏼"",FALSE,FALSE)"),50.0)</f>
        <v>50</v>
      </c>
      <c r="I201" s="5" t="str">
        <f>IFERROR(__xludf.DUMMYFUNCTION("""COMPUTED_VALUE"""),"Psycho")</f>
        <v>Psycho</v>
      </c>
      <c r="J201" s="5" t="str">
        <f>IFERROR(__xludf.DUMMYFUNCTION("""COMPUTED_VALUE"""),"John Gavin")</f>
        <v>John Gavin</v>
      </c>
      <c r="K201" s="5" t="str">
        <f>IFERROR(__xludf.DUMMYFUNCTION("""COMPUTED_VALUE"""),"Estrela 4")</f>
        <v>Estrela 4</v>
      </c>
      <c r="P201" s="5">
        <f>IFERROR(__xludf.DUMMYFUNCTION("""COMPUTED_VALUE"""),50.0)</f>
        <v>50</v>
      </c>
      <c r="Q201" s="5" t="str">
        <f>IFERROR(__xludf.DUMMYFUNCTION("""COMPUTED_VALUE"""),"Psycho")</f>
        <v>Psycho</v>
      </c>
      <c r="R201" s="5" t="str">
        <f>IFERROR(__xludf.DUMMYFUNCTION("""COMPUTED_VALUE"""),"John Gavin")</f>
        <v>John Gavin</v>
      </c>
      <c r="S201" s="5" t="str">
        <f>IFERROR(__xludf.DUMMYFUNCTION("""COMPUTED_VALUE"""),"Estrela 4")</f>
        <v>Estrela 4</v>
      </c>
    </row>
    <row r="202">
      <c r="A202" s="1">
        <v>201.0</v>
      </c>
      <c r="B202" s="1" t="s">
        <v>1405</v>
      </c>
      <c r="C202" s="1" t="s">
        <v>1408</v>
      </c>
      <c r="D202" s="1" t="s">
        <v>1409</v>
      </c>
      <c r="E202" s="1" t="s">
        <v>1410</v>
      </c>
      <c r="F202" s="1" t="s">
        <v>1411</v>
      </c>
      <c r="G202" s="5" t="str">
        <f>IFERROR(__xludf.DUMMYFUNCTION("""COMPUTED_VALUE"""),"51🤙🏼Casablanca🤙🏼Humphrey Bogart🤙🏼Estrela 1")</f>
        <v>51🤙🏼Casablanca🤙🏼Humphrey Bogart🤙🏼Estrela 1</v>
      </c>
      <c r="H202" s="5">
        <f>IFERROR(__xludf.DUMMYFUNCTION("SPLiT(G202, ""🤙🏼"",FALSE,FALSE)"),51.0)</f>
        <v>51</v>
      </c>
      <c r="I202" s="5" t="str">
        <f>IFERROR(__xludf.DUMMYFUNCTION("""COMPUTED_VALUE"""),"Casablanca")</f>
        <v>Casablanca</v>
      </c>
      <c r="J202" s="5" t="str">
        <f>IFERROR(__xludf.DUMMYFUNCTION("""COMPUTED_VALUE"""),"Humphrey Bogart")</f>
        <v>Humphrey Bogart</v>
      </c>
      <c r="K202" s="5" t="str">
        <f>IFERROR(__xludf.DUMMYFUNCTION("""COMPUTED_VALUE"""),"Estrela 1")</f>
        <v>Estrela 1</v>
      </c>
      <c r="P202" s="5">
        <f>IFERROR(__xludf.DUMMYFUNCTION("""COMPUTED_VALUE"""),51.0)</f>
        <v>51</v>
      </c>
      <c r="Q202" s="5" t="str">
        <f>IFERROR(__xludf.DUMMYFUNCTION("""COMPUTED_VALUE"""),"Casablanca")</f>
        <v>Casablanca</v>
      </c>
      <c r="R202" s="5" t="str">
        <f>IFERROR(__xludf.DUMMYFUNCTION("""COMPUTED_VALUE"""),"Humphrey Bogart")</f>
        <v>Humphrey Bogart</v>
      </c>
      <c r="S202" s="5" t="str">
        <f>IFERROR(__xludf.DUMMYFUNCTION("""COMPUTED_VALUE"""),"Estrela 1")</f>
        <v>Estrela 1</v>
      </c>
    </row>
    <row r="203">
      <c r="A203" s="1">
        <v>202.0</v>
      </c>
      <c r="B203" s="1" t="s">
        <v>1412</v>
      </c>
      <c r="C203" s="1" t="s">
        <v>1416</v>
      </c>
      <c r="D203" s="1" t="s">
        <v>660</v>
      </c>
      <c r="E203" s="1" t="s">
        <v>943</v>
      </c>
      <c r="F203" s="1" t="s">
        <v>1417</v>
      </c>
      <c r="G203" s="5" t="str">
        <f>IFERROR(__xludf.DUMMYFUNCTION("""COMPUTED_VALUE"""),"51🤙🏼Casablanca🤙🏼Ingrid Bergman🤙🏼Estrela 2")</f>
        <v>51🤙🏼Casablanca🤙🏼Ingrid Bergman🤙🏼Estrela 2</v>
      </c>
      <c r="H203" s="5">
        <f>IFERROR(__xludf.DUMMYFUNCTION("SPLiT(G203, ""🤙🏼"",FALSE,FALSE)"),51.0)</f>
        <v>51</v>
      </c>
      <c r="I203" s="5" t="str">
        <f>IFERROR(__xludf.DUMMYFUNCTION("""COMPUTED_VALUE"""),"Casablanca")</f>
        <v>Casablanca</v>
      </c>
      <c r="J203" s="5" t="str">
        <f>IFERROR(__xludf.DUMMYFUNCTION("""COMPUTED_VALUE"""),"Ingrid Bergman")</f>
        <v>Ingrid Bergman</v>
      </c>
      <c r="K203" s="5" t="str">
        <f>IFERROR(__xludf.DUMMYFUNCTION("""COMPUTED_VALUE"""),"Estrela 2")</f>
        <v>Estrela 2</v>
      </c>
      <c r="P203" s="5">
        <f>IFERROR(__xludf.DUMMYFUNCTION("""COMPUTED_VALUE"""),51.0)</f>
        <v>51</v>
      </c>
      <c r="Q203" s="5" t="str">
        <f>IFERROR(__xludf.DUMMYFUNCTION("""COMPUTED_VALUE"""),"Casablanca")</f>
        <v>Casablanca</v>
      </c>
      <c r="R203" s="5" t="str">
        <f>IFERROR(__xludf.DUMMYFUNCTION("""COMPUTED_VALUE"""),"Ingrid Bergman")</f>
        <v>Ingrid Bergman</v>
      </c>
      <c r="S203" s="5" t="str">
        <f>IFERROR(__xludf.DUMMYFUNCTION("""COMPUTED_VALUE"""),"Estrela 2")</f>
        <v>Estrela 2</v>
      </c>
    </row>
    <row r="204">
      <c r="A204" s="1">
        <v>203.0</v>
      </c>
      <c r="B204" s="1" t="s">
        <v>1418</v>
      </c>
      <c r="C204" s="1" t="s">
        <v>306</v>
      </c>
      <c r="D204" s="1" t="s">
        <v>1421</v>
      </c>
      <c r="E204" s="1" t="s">
        <v>1422</v>
      </c>
      <c r="F204" s="1" t="s">
        <v>1423</v>
      </c>
      <c r="G204" s="5" t="str">
        <f>IFERROR(__xludf.DUMMYFUNCTION("""COMPUTED_VALUE"""),"51🤙🏼Casablanca🤙🏼Paul Henreid🤙🏼Estrela 3")</f>
        <v>51🤙🏼Casablanca🤙🏼Paul Henreid🤙🏼Estrela 3</v>
      </c>
      <c r="H204" s="5">
        <f>IFERROR(__xludf.DUMMYFUNCTION("SPLiT(G204, ""🤙🏼"",FALSE,FALSE)"),51.0)</f>
        <v>51</v>
      </c>
      <c r="I204" s="5" t="str">
        <f>IFERROR(__xludf.DUMMYFUNCTION("""COMPUTED_VALUE"""),"Casablanca")</f>
        <v>Casablanca</v>
      </c>
      <c r="J204" s="5" t="str">
        <f>IFERROR(__xludf.DUMMYFUNCTION("""COMPUTED_VALUE"""),"Paul Henreid")</f>
        <v>Paul Henreid</v>
      </c>
      <c r="K204" s="5" t="str">
        <f>IFERROR(__xludf.DUMMYFUNCTION("""COMPUTED_VALUE"""),"Estrela 3")</f>
        <v>Estrela 3</v>
      </c>
      <c r="P204" s="5">
        <f>IFERROR(__xludf.DUMMYFUNCTION("""COMPUTED_VALUE"""),51.0)</f>
        <v>51</v>
      </c>
      <c r="Q204" s="5" t="str">
        <f>IFERROR(__xludf.DUMMYFUNCTION("""COMPUTED_VALUE"""),"Casablanca")</f>
        <v>Casablanca</v>
      </c>
      <c r="R204" s="5" t="str">
        <f>IFERROR(__xludf.DUMMYFUNCTION("""COMPUTED_VALUE"""),"Paul Henreid")</f>
        <v>Paul Henreid</v>
      </c>
      <c r="S204" s="5" t="str">
        <f>IFERROR(__xludf.DUMMYFUNCTION("""COMPUTED_VALUE"""),"Estrela 3")</f>
        <v>Estrela 3</v>
      </c>
    </row>
    <row r="205">
      <c r="A205" s="1">
        <v>204.0</v>
      </c>
      <c r="B205" s="1" t="s">
        <v>1424</v>
      </c>
      <c r="C205" s="1" t="s">
        <v>1427</v>
      </c>
      <c r="D205" s="1" t="s">
        <v>1428</v>
      </c>
      <c r="E205" s="1" t="s">
        <v>1429</v>
      </c>
      <c r="F205" s="1" t="s">
        <v>1430</v>
      </c>
      <c r="G205" s="5" t="str">
        <f>IFERROR(__xludf.DUMMYFUNCTION("""COMPUTED_VALUE"""),"51🤙🏼Casablanca🤙🏼Claude Rains🤙🏼Estrela 4")</f>
        <v>51🤙🏼Casablanca🤙🏼Claude Rains🤙🏼Estrela 4</v>
      </c>
      <c r="H205" s="5">
        <f>IFERROR(__xludf.DUMMYFUNCTION("SPLiT(G205, ""🤙🏼"",FALSE,FALSE)"),51.0)</f>
        <v>51</v>
      </c>
      <c r="I205" s="5" t="str">
        <f>IFERROR(__xludf.DUMMYFUNCTION("""COMPUTED_VALUE"""),"Casablanca")</f>
        <v>Casablanca</v>
      </c>
      <c r="J205" s="5" t="str">
        <f>IFERROR(__xludf.DUMMYFUNCTION("""COMPUTED_VALUE"""),"Claude Rains")</f>
        <v>Claude Rains</v>
      </c>
      <c r="K205" s="5" t="str">
        <f>IFERROR(__xludf.DUMMYFUNCTION("""COMPUTED_VALUE"""),"Estrela 4")</f>
        <v>Estrela 4</v>
      </c>
      <c r="P205" s="5">
        <f>IFERROR(__xludf.DUMMYFUNCTION("""COMPUTED_VALUE"""),51.0)</f>
        <v>51</v>
      </c>
      <c r="Q205" s="5" t="str">
        <f>IFERROR(__xludf.DUMMYFUNCTION("""COMPUTED_VALUE"""),"Casablanca")</f>
        <v>Casablanca</v>
      </c>
      <c r="R205" s="5" t="str">
        <f>IFERROR(__xludf.DUMMYFUNCTION("""COMPUTED_VALUE"""),"Claude Rains")</f>
        <v>Claude Rains</v>
      </c>
      <c r="S205" s="5" t="str">
        <f>IFERROR(__xludf.DUMMYFUNCTION("""COMPUTED_VALUE"""),"Estrela 4")</f>
        <v>Estrela 4</v>
      </c>
    </row>
    <row r="206">
      <c r="A206" s="1">
        <v>205.0</v>
      </c>
      <c r="B206" s="1" t="s">
        <v>1431</v>
      </c>
      <c r="C206" s="1" t="s">
        <v>1434</v>
      </c>
      <c r="D206" s="1" t="s">
        <v>1435</v>
      </c>
      <c r="E206" s="1" t="s">
        <v>1436</v>
      </c>
      <c r="F206" s="1" t="s">
        <v>1437</v>
      </c>
      <c r="G206" s="5" t="str">
        <f>IFERROR(__xludf.DUMMYFUNCTION("""COMPUTED_VALUE"""),"52🤙🏼Modern Times🤙🏼Charles Chaplin🤙🏼Estrela 1")</f>
        <v>52🤙🏼Modern Times🤙🏼Charles Chaplin🤙🏼Estrela 1</v>
      </c>
      <c r="H206" s="5">
        <f>IFERROR(__xludf.DUMMYFUNCTION("SPLiT(G206, ""🤙🏼"",FALSE,FALSE)"),52.0)</f>
        <v>52</v>
      </c>
      <c r="I206" s="5" t="str">
        <f>IFERROR(__xludf.DUMMYFUNCTION("""COMPUTED_VALUE"""),"Modern Times")</f>
        <v>Modern Times</v>
      </c>
      <c r="J206" s="5" t="str">
        <f>IFERROR(__xludf.DUMMYFUNCTION("""COMPUTED_VALUE"""),"Charles Chaplin")</f>
        <v>Charles Chaplin</v>
      </c>
      <c r="K206" s="5" t="str">
        <f>IFERROR(__xludf.DUMMYFUNCTION("""COMPUTED_VALUE"""),"Estrela 1")</f>
        <v>Estrela 1</v>
      </c>
      <c r="P206" s="5">
        <f>IFERROR(__xludf.DUMMYFUNCTION("""COMPUTED_VALUE"""),52.0)</f>
        <v>52</v>
      </c>
      <c r="Q206" s="5" t="str">
        <f>IFERROR(__xludf.DUMMYFUNCTION("""COMPUTED_VALUE"""),"Modern Times")</f>
        <v>Modern Times</v>
      </c>
      <c r="R206" s="5" t="str">
        <f>IFERROR(__xludf.DUMMYFUNCTION("""COMPUTED_VALUE"""),"Charles Chaplin")</f>
        <v>Charles Chaplin</v>
      </c>
      <c r="S206" s="5" t="str">
        <f>IFERROR(__xludf.DUMMYFUNCTION("""COMPUTED_VALUE"""),"Estrela 1")</f>
        <v>Estrela 1</v>
      </c>
    </row>
    <row r="207">
      <c r="A207" s="1">
        <v>206.0</v>
      </c>
      <c r="B207" s="1" t="s">
        <v>1438</v>
      </c>
      <c r="C207" s="1" t="s">
        <v>1441</v>
      </c>
      <c r="D207" s="1" t="s">
        <v>497</v>
      </c>
      <c r="E207" s="1" t="s">
        <v>1442</v>
      </c>
      <c r="F207" s="1" t="s">
        <v>1443</v>
      </c>
      <c r="G207" s="5" t="str">
        <f>IFERROR(__xludf.DUMMYFUNCTION("""COMPUTED_VALUE"""),"52🤙🏼Modern Times🤙🏼Paulette Goddard🤙🏼Estrela 2")</f>
        <v>52🤙🏼Modern Times🤙🏼Paulette Goddard🤙🏼Estrela 2</v>
      </c>
      <c r="H207" s="5">
        <f>IFERROR(__xludf.DUMMYFUNCTION("SPLiT(G207, ""🤙🏼"",FALSE,FALSE)"),52.0)</f>
        <v>52</v>
      </c>
      <c r="I207" s="5" t="str">
        <f>IFERROR(__xludf.DUMMYFUNCTION("""COMPUTED_VALUE"""),"Modern Times")</f>
        <v>Modern Times</v>
      </c>
      <c r="J207" s="5" t="str">
        <f>IFERROR(__xludf.DUMMYFUNCTION("""COMPUTED_VALUE"""),"Paulette Goddard")</f>
        <v>Paulette Goddard</v>
      </c>
      <c r="K207" s="5" t="str">
        <f>IFERROR(__xludf.DUMMYFUNCTION("""COMPUTED_VALUE"""),"Estrela 2")</f>
        <v>Estrela 2</v>
      </c>
      <c r="P207" s="5">
        <f>IFERROR(__xludf.DUMMYFUNCTION("""COMPUTED_VALUE"""),52.0)</f>
        <v>52</v>
      </c>
      <c r="Q207" s="5" t="str">
        <f>IFERROR(__xludf.DUMMYFUNCTION("""COMPUTED_VALUE"""),"Modern Times")</f>
        <v>Modern Times</v>
      </c>
      <c r="R207" s="5" t="str">
        <f>IFERROR(__xludf.DUMMYFUNCTION("""COMPUTED_VALUE"""),"Paulette Goddard")</f>
        <v>Paulette Goddard</v>
      </c>
      <c r="S207" s="5" t="str">
        <f>IFERROR(__xludf.DUMMYFUNCTION("""COMPUTED_VALUE"""),"Estrela 2")</f>
        <v>Estrela 2</v>
      </c>
    </row>
    <row r="208">
      <c r="A208" s="1">
        <v>207.0</v>
      </c>
      <c r="B208" s="1" t="s">
        <v>1444</v>
      </c>
      <c r="C208" s="1" t="s">
        <v>1449</v>
      </c>
      <c r="D208" s="1" t="s">
        <v>1450</v>
      </c>
      <c r="E208" s="1" t="s">
        <v>1451</v>
      </c>
      <c r="F208" s="1" t="s">
        <v>1452</v>
      </c>
      <c r="G208" s="5" t="str">
        <f>IFERROR(__xludf.DUMMYFUNCTION("""COMPUTED_VALUE"""),"52🤙🏼Modern Times🤙🏼Henry Bergman🤙🏼Estrela 3")</f>
        <v>52🤙🏼Modern Times🤙🏼Henry Bergman🤙🏼Estrela 3</v>
      </c>
      <c r="H208" s="5">
        <f>IFERROR(__xludf.DUMMYFUNCTION("SPLiT(G208, ""🤙🏼"",FALSE,FALSE)"),52.0)</f>
        <v>52</v>
      </c>
      <c r="I208" s="5" t="str">
        <f>IFERROR(__xludf.DUMMYFUNCTION("""COMPUTED_VALUE"""),"Modern Times")</f>
        <v>Modern Times</v>
      </c>
      <c r="J208" s="5" t="str">
        <f>IFERROR(__xludf.DUMMYFUNCTION("""COMPUTED_VALUE"""),"Henry Bergman")</f>
        <v>Henry Bergman</v>
      </c>
      <c r="K208" s="5" t="str">
        <f>IFERROR(__xludf.DUMMYFUNCTION("""COMPUTED_VALUE"""),"Estrela 3")</f>
        <v>Estrela 3</v>
      </c>
      <c r="P208" s="5">
        <f>IFERROR(__xludf.DUMMYFUNCTION("""COMPUTED_VALUE"""),52.0)</f>
        <v>52</v>
      </c>
      <c r="Q208" s="5" t="str">
        <f>IFERROR(__xludf.DUMMYFUNCTION("""COMPUTED_VALUE"""),"Modern Times")</f>
        <v>Modern Times</v>
      </c>
      <c r="R208" s="5" t="str">
        <f>IFERROR(__xludf.DUMMYFUNCTION("""COMPUTED_VALUE"""),"Henry Bergman")</f>
        <v>Henry Bergman</v>
      </c>
      <c r="S208" s="5" t="str">
        <f>IFERROR(__xludf.DUMMYFUNCTION("""COMPUTED_VALUE"""),"Estrela 3")</f>
        <v>Estrela 3</v>
      </c>
    </row>
    <row r="209">
      <c r="A209" s="1">
        <v>208.0</v>
      </c>
      <c r="B209" s="1" t="s">
        <v>1453</v>
      </c>
      <c r="C209" s="1" t="s">
        <v>461</v>
      </c>
      <c r="D209" s="1" t="s">
        <v>1456</v>
      </c>
      <c r="E209" s="1" t="s">
        <v>1457</v>
      </c>
      <c r="F209" s="1" t="s">
        <v>1458</v>
      </c>
      <c r="G209" s="5" t="str">
        <f>IFERROR(__xludf.DUMMYFUNCTION("""COMPUTED_VALUE"""),"52🤙🏼Modern Times🤙🏼Tiny Sandford🤙🏼Estrela 4")</f>
        <v>52🤙🏼Modern Times🤙🏼Tiny Sandford🤙🏼Estrela 4</v>
      </c>
      <c r="H209" s="5">
        <f>IFERROR(__xludf.DUMMYFUNCTION("SPLiT(G209, ""🤙🏼"",FALSE,FALSE)"),52.0)</f>
        <v>52</v>
      </c>
      <c r="I209" s="5" t="str">
        <f>IFERROR(__xludf.DUMMYFUNCTION("""COMPUTED_VALUE"""),"Modern Times")</f>
        <v>Modern Times</v>
      </c>
      <c r="J209" s="5" t="str">
        <f>IFERROR(__xludf.DUMMYFUNCTION("""COMPUTED_VALUE"""),"Tiny Sandford")</f>
        <v>Tiny Sandford</v>
      </c>
      <c r="K209" s="5" t="str">
        <f>IFERROR(__xludf.DUMMYFUNCTION("""COMPUTED_VALUE"""),"Estrela 4")</f>
        <v>Estrela 4</v>
      </c>
      <c r="P209" s="5">
        <f>IFERROR(__xludf.DUMMYFUNCTION("""COMPUTED_VALUE"""),52.0)</f>
        <v>52</v>
      </c>
      <c r="Q209" s="5" t="str">
        <f>IFERROR(__xludf.DUMMYFUNCTION("""COMPUTED_VALUE"""),"Modern Times")</f>
        <v>Modern Times</v>
      </c>
      <c r="R209" s="5" t="str">
        <f>IFERROR(__xludf.DUMMYFUNCTION("""COMPUTED_VALUE"""),"Tiny Sandford")</f>
        <v>Tiny Sandford</v>
      </c>
      <c r="S209" s="5" t="str">
        <f>IFERROR(__xludf.DUMMYFUNCTION("""COMPUTED_VALUE"""),"Estrela 4")</f>
        <v>Estrela 4</v>
      </c>
    </row>
    <row r="210">
      <c r="A210" s="1">
        <v>209.0</v>
      </c>
      <c r="B210" s="1" t="s">
        <v>1459</v>
      </c>
      <c r="C210" s="1" t="s">
        <v>184</v>
      </c>
      <c r="D210" s="1" t="s">
        <v>1156</v>
      </c>
      <c r="E210" s="1" t="s">
        <v>1463</v>
      </c>
      <c r="F210" s="1" t="s">
        <v>1464</v>
      </c>
      <c r="G210" s="5" t="str">
        <f>IFERROR(__xludf.DUMMYFUNCTION("""COMPUTED_VALUE"""),"53🤙🏼City Lights🤙🏼Charles Chaplin🤙🏼Estrela 1")</f>
        <v>53🤙🏼City Lights🤙🏼Charles Chaplin🤙🏼Estrela 1</v>
      </c>
      <c r="H210" s="5">
        <f>IFERROR(__xludf.DUMMYFUNCTION("SPLiT(G210, ""🤙🏼"",FALSE,FALSE)"),53.0)</f>
        <v>53</v>
      </c>
      <c r="I210" s="5" t="str">
        <f>IFERROR(__xludf.DUMMYFUNCTION("""COMPUTED_VALUE"""),"City Lights")</f>
        <v>City Lights</v>
      </c>
      <c r="J210" s="5" t="str">
        <f>IFERROR(__xludf.DUMMYFUNCTION("""COMPUTED_VALUE"""),"Charles Chaplin")</f>
        <v>Charles Chaplin</v>
      </c>
      <c r="K210" s="5" t="str">
        <f>IFERROR(__xludf.DUMMYFUNCTION("""COMPUTED_VALUE"""),"Estrela 1")</f>
        <v>Estrela 1</v>
      </c>
      <c r="P210" s="5">
        <f>IFERROR(__xludf.DUMMYFUNCTION("""COMPUTED_VALUE"""),53.0)</f>
        <v>53</v>
      </c>
      <c r="Q210" s="5" t="str">
        <f>IFERROR(__xludf.DUMMYFUNCTION("""COMPUTED_VALUE"""),"City Lights")</f>
        <v>City Lights</v>
      </c>
      <c r="R210" s="5" t="str">
        <f>IFERROR(__xludf.DUMMYFUNCTION("""COMPUTED_VALUE"""),"Charles Chaplin")</f>
        <v>Charles Chaplin</v>
      </c>
      <c r="S210" s="5" t="str">
        <f>IFERROR(__xludf.DUMMYFUNCTION("""COMPUTED_VALUE"""),"Estrela 1")</f>
        <v>Estrela 1</v>
      </c>
    </row>
    <row r="211">
      <c r="A211" s="1">
        <v>210.0</v>
      </c>
      <c r="B211" s="1" t="s">
        <v>1465</v>
      </c>
      <c r="C211" s="1" t="s">
        <v>83</v>
      </c>
      <c r="D211" s="1" t="s">
        <v>803</v>
      </c>
      <c r="E211" s="1" t="s">
        <v>1469</v>
      </c>
      <c r="F211" s="1" t="s">
        <v>317</v>
      </c>
      <c r="G211" s="5" t="str">
        <f>IFERROR(__xludf.DUMMYFUNCTION("""COMPUTED_VALUE"""),"53🤙🏼City Lights🤙🏼Virginia Cherrill🤙🏼Estrela 2")</f>
        <v>53🤙🏼City Lights🤙🏼Virginia Cherrill🤙🏼Estrela 2</v>
      </c>
      <c r="H211" s="5">
        <f>IFERROR(__xludf.DUMMYFUNCTION("SPLiT(G211, ""🤙🏼"",FALSE,FALSE)"),53.0)</f>
        <v>53</v>
      </c>
      <c r="I211" s="5" t="str">
        <f>IFERROR(__xludf.DUMMYFUNCTION("""COMPUTED_VALUE"""),"City Lights")</f>
        <v>City Lights</v>
      </c>
      <c r="J211" s="5" t="str">
        <f>IFERROR(__xludf.DUMMYFUNCTION("""COMPUTED_VALUE"""),"Virginia Cherrill")</f>
        <v>Virginia Cherrill</v>
      </c>
      <c r="K211" s="5" t="str">
        <f>IFERROR(__xludf.DUMMYFUNCTION("""COMPUTED_VALUE"""),"Estrela 2")</f>
        <v>Estrela 2</v>
      </c>
      <c r="P211" s="5">
        <f>IFERROR(__xludf.DUMMYFUNCTION("""COMPUTED_VALUE"""),53.0)</f>
        <v>53</v>
      </c>
      <c r="Q211" s="5" t="str">
        <f>IFERROR(__xludf.DUMMYFUNCTION("""COMPUTED_VALUE"""),"City Lights")</f>
        <v>City Lights</v>
      </c>
      <c r="R211" s="5" t="str">
        <f>IFERROR(__xludf.DUMMYFUNCTION("""COMPUTED_VALUE"""),"Virginia Cherrill")</f>
        <v>Virginia Cherrill</v>
      </c>
      <c r="S211" s="5" t="str">
        <f>IFERROR(__xludf.DUMMYFUNCTION("""COMPUTED_VALUE"""),"Estrela 2")</f>
        <v>Estrela 2</v>
      </c>
    </row>
    <row r="212">
      <c r="A212" s="1">
        <v>211.0</v>
      </c>
      <c r="B212" s="1" t="s">
        <v>1470</v>
      </c>
      <c r="C212" s="1" t="s">
        <v>753</v>
      </c>
      <c r="D212" s="1" t="s">
        <v>1472</v>
      </c>
      <c r="E212" s="1" t="s">
        <v>1473</v>
      </c>
      <c r="F212" s="1" t="s">
        <v>1474</v>
      </c>
      <c r="G212" s="5" t="str">
        <f>IFERROR(__xludf.DUMMYFUNCTION("""COMPUTED_VALUE"""),"53🤙🏼City Lights🤙🏼Florence Lee🤙🏼Estrela 3")</f>
        <v>53🤙🏼City Lights🤙🏼Florence Lee🤙🏼Estrela 3</v>
      </c>
      <c r="H212" s="5">
        <f>IFERROR(__xludf.DUMMYFUNCTION("SPLiT(G212, ""🤙🏼"",FALSE,FALSE)"),53.0)</f>
        <v>53</v>
      </c>
      <c r="I212" s="5" t="str">
        <f>IFERROR(__xludf.DUMMYFUNCTION("""COMPUTED_VALUE"""),"City Lights")</f>
        <v>City Lights</v>
      </c>
      <c r="J212" s="5" t="str">
        <f>IFERROR(__xludf.DUMMYFUNCTION("""COMPUTED_VALUE"""),"Florence Lee")</f>
        <v>Florence Lee</v>
      </c>
      <c r="K212" s="5" t="str">
        <f>IFERROR(__xludf.DUMMYFUNCTION("""COMPUTED_VALUE"""),"Estrela 3")</f>
        <v>Estrela 3</v>
      </c>
      <c r="P212" s="5">
        <f>IFERROR(__xludf.DUMMYFUNCTION("""COMPUTED_VALUE"""),53.0)</f>
        <v>53</v>
      </c>
      <c r="Q212" s="5" t="str">
        <f>IFERROR(__xludf.DUMMYFUNCTION("""COMPUTED_VALUE"""),"City Lights")</f>
        <v>City Lights</v>
      </c>
      <c r="R212" s="5" t="str">
        <f>IFERROR(__xludf.DUMMYFUNCTION("""COMPUTED_VALUE"""),"Florence Lee")</f>
        <v>Florence Lee</v>
      </c>
      <c r="S212" s="5" t="str">
        <f>IFERROR(__xludf.DUMMYFUNCTION("""COMPUTED_VALUE"""),"Estrela 3")</f>
        <v>Estrela 3</v>
      </c>
    </row>
    <row r="213">
      <c r="A213" s="1">
        <v>212.0</v>
      </c>
      <c r="B213" s="1" t="s">
        <v>1475</v>
      </c>
      <c r="C213" s="1" t="s">
        <v>1478</v>
      </c>
      <c r="D213" s="1" t="s">
        <v>1479</v>
      </c>
      <c r="E213" s="1" t="s">
        <v>1480</v>
      </c>
      <c r="F213" s="1" t="s">
        <v>1481</v>
      </c>
      <c r="G213" s="5" t="str">
        <f>IFERROR(__xludf.DUMMYFUNCTION("""COMPUTED_VALUE"""),"53🤙🏼City Lights🤙🏼Harry Myers🤙🏼Estrela 4")</f>
        <v>53🤙🏼City Lights🤙🏼Harry Myers🤙🏼Estrela 4</v>
      </c>
      <c r="H213" s="5">
        <f>IFERROR(__xludf.DUMMYFUNCTION("SPLiT(G213, ""🤙🏼"",FALSE,FALSE)"),53.0)</f>
        <v>53</v>
      </c>
      <c r="I213" s="5" t="str">
        <f>IFERROR(__xludf.DUMMYFUNCTION("""COMPUTED_VALUE"""),"City Lights")</f>
        <v>City Lights</v>
      </c>
      <c r="J213" s="5" t="str">
        <f>IFERROR(__xludf.DUMMYFUNCTION("""COMPUTED_VALUE"""),"Harry Myers")</f>
        <v>Harry Myers</v>
      </c>
      <c r="K213" s="5" t="str">
        <f>IFERROR(__xludf.DUMMYFUNCTION("""COMPUTED_VALUE"""),"Estrela 4")</f>
        <v>Estrela 4</v>
      </c>
      <c r="P213" s="5">
        <f>IFERROR(__xludf.DUMMYFUNCTION("""COMPUTED_VALUE"""),53.0)</f>
        <v>53</v>
      </c>
      <c r="Q213" s="5" t="str">
        <f>IFERROR(__xludf.DUMMYFUNCTION("""COMPUTED_VALUE"""),"City Lights")</f>
        <v>City Lights</v>
      </c>
      <c r="R213" s="5" t="str">
        <f>IFERROR(__xludf.DUMMYFUNCTION("""COMPUTED_VALUE"""),"Harry Myers")</f>
        <v>Harry Myers</v>
      </c>
      <c r="S213" s="5" t="str">
        <f>IFERROR(__xludf.DUMMYFUNCTION("""COMPUTED_VALUE"""),"Estrela 4")</f>
        <v>Estrela 4</v>
      </c>
    </row>
    <row r="214">
      <c r="A214" s="1">
        <v>213.0</v>
      </c>
      <c r="B214" s="1" t="s">
        <v>1482</v>
      </c>
      <c r="C214" s="1" t="s">
        <v>1484</v>
      </c>
      <c r="D214" s="1" t="s">
        <v>1485</v>
      </c>
      <c r="E214" s="1" t="s">
        <v>1486</v>
      </c>
      <c r="F214" s="1" t="s">
        <v>1487</v>
      </c>
      <c r="G214" s="5" t="str">
        <f>IFERROR(__xludf.DUMMYFUNCTION("""COMPUTED_VALUE"""),"54🤙🏼Capharnaüm🤙🏼Zain Al Rafeea🤙🏼Estrela 1")</f>
        <v>54🤙🏼Capharnaüm🤙🏼Zain Al Rafeea🤙🏼Estrela 1</v>
      </c>
      <c r="H214" s="5">
        <f>IFERROR(__xludf.DUMMYFUNCTION("SPLiT(G214, ""🤙🏼"",FALSE,FALSE)"),54.0)</f>
        <v>54</v>
      </c>
      <c r="I214" s="5" t="str">
        <f>IFERROR(__xludf.DUMMYFUNCTION("""COMPUTED_VALUE"""),"Capharnaüm")</f>
        <v>Capharnaüm</v>
      </c>
      <c r="J214" s="5" t="str">
        <f>IFERROR(__xludf.DUMMYFUNCTION("""COMPUTED_VALUE"""),"Zain Al Rafeea")</f>
        <v>Zain Al Rafeea</v>
      </c>
      <c r="K214" s="5" t="str">
        <f>IFERROR(__xludf.DUMMYFUNCTION("""COMPUTED_VALUE"""),"Estrela 1")</f>
        <v>Estrela 1</v>
      </c>
      <c r="P214" s="5">
        <f>IFERROR(__xludf.DUMMYFUNCTION("""COMPUTED_VALUE"""),54.0)</f>
        <v>54</v>
      </c>
      <c r="Q214" s="5" t="str">
        <f>IFERROR(__xludf.DUMMYFUNCTION("""COMPUTED_VALUE"""),"Capharnaüm")</f>
        <v>Capharnaüm</v>
      </c>
      <c r="R214" s="5" t="str">
        <f>IFERROR(__xludf.DUMMYFUNCTION("""COMPUTED_VALUE"""),"Zain Al Rafeea")</f>
        <v>Zain Al Rafeea</v>
      </c>
      <c r="S214" s="5" t="str">
        <f>IFERROR(__xludf.DUMMYFUNCTION("""COMPUTED_VALUE"""),"Estrela 1")</f>
        <v>Estrela 1</v>
      </c>
    </row>
    <row r="215">
      <c r="A215" s="1">
        <v>214.0</v>
      </c>
      <c r="B215" s="1" t="s">
        <v>1488</v>
      </c>
      <c r="C215" s="1" t="s">
        <v>1490</v>
      </c>
      <c r="D215" s="1" t="s">
        <v>1491</v>
      </c>
      <c r="E215" s="1" t="s">
        <v>1492</v>
      </c>
      <c r="F215" s="1" t="s">
        <v>1493</v>
      </c>
      <c r="G215" s="5" t="str">
        <f>IFERROR(__xludf.DUMMYFUNCTION("""COMPUTED_VALUE"""),"54🤙🏼Capharnaüm🤙🏼Yordanos Shiferaw🤙🏼Estrela 2")</f>
        <v>54🤙🏼Capharnaüm🤙🏼Yordanos Shiferaw🤙🏼Estrela 2</v>
      </c>
      <c r="H215" s="5">
        <f>IFERROR(__xludf.DUMMYFUNCTION("SPLiT(G215, ""🤙🏼"",FALSE,FALSE)"),54.0)</f>
        <v>54</v>
      </c>
      <c r="I215" s="5" t="str">
        <f>IFERROR(__xludf.DUMMYFUNCTION("""COMPUTED_VALUE"""),"Capharnaüm")</f>
        <v>Capharnaüm</v>
      </c>
      <c r="J215" s="5" t="str">
        <f>IFERROR(__xludf.DUMMYFUNCTION("""COMPUTED_VALUE"""),"Yordanos Shiferaw")</f>
        <v>Yordanos Shiferaw</v>
      </c>
      <c r="K215" s="5" t="str">
        <f>IFERROR(__xludf.DUMMYFUNCTION("""COMPUTED_VALUE"""),"Estrela 2")</f>
        <v>Estrela 2</v>
      </c>
      <c r="P215" s="5">
        <f>IFERROR(__xludf.DUMMYFUNCTION("""COMPUTED_VALUE"""),54.0)</f>
        <v>54</v>
      </c>
      <c r="Q215" s="5" t="str">
        <f>IFERROR(__xludf.DUMMYFUNCTION("""COMPUTED_VALUE"""),"Capharnaüm")</f>
        <v>Capharnaüm</v>
      </c>
      <c r="R215" s="5" t="str">
        <f>IFERROR(__xludf.DUMMYFUNCTION("""COMPUTED_VALUE"""),"Yordanos Shiferaw")</f>
        <v>Yordanos Shiferaw</v>
      </c>
      <c r="S215" s="5" t="str">
        <f>IFERROR(__xludf.DUMMYFUNCTION("""COMPUTED_VALUE"""),"Estrela 2")</f>
        <v>Estrela 2</v>
      </c>
    </row>
    <row r="216">
      <c r="A216" s="1">
        <v>215.0</v>
      </c>
      <c r="B216" s="1" t="s">
        <v>1494</v>
      </c>
      <c r="C216" s="1" t="s">
        <v>1497</v>
      </c>
      <c r="D216" s="1" t="s">
        <v>1498</v>
      </c>
      <c r="E216" s="1" t="s">
        <v>1499</v>
      </c>
      <c r="F216" s="1" t="s">
        <v>1500</v>
      </c>
      <c r="G216" s="5" t="str">
        <f>IFERROR(__xludf.DUMMYFUNCTION("""COMPUTED_VALUE"""),"54🤙🏼Capharnaüm🤙🏼Boluwatife Treasure Bankole🤙🏼Estrela 3")</f>
        <v>54🤙🏼Capharnaüm🤙🏼Boluwatife Treasure Bankole🤙🏼Estrela 3</v>
      </c>
      <c r="H216" s="5">
        <f>IFERROR(__xludf.DUMMYFUNCTION("SPLiT(G216, ""🤙🏼"",FALSE,FALSE)"),54.0)</f>
        <v>54</v>
      </c>
      <c r="I216" s="5" t="str">
        <f>IFERROR(__xludf.DUMMYFUNCTION("""COMPUTED_VALUE"""),"Capharnaüm")</f>
        <v>Capharnaüm</v>
      </c>
      <c r="J216" s="5" t="str">
        <f>IFERROR(__xludf.DUMMYFUNCTION("""COMPUTED_VALUE"""),"Boluwatife Treasure Bankole")</f>
        <v>Boluwatife Treasure Bankole</v>
      </c>
      <c r="K216" s="5" t="str">
        <f>IFERROR(__xludf.DUMMYFUNCTION("""COMPUTED_VALUE"""),"Estrela 3")</f>
        <v>Estrela 3</v>
      </c>
      <c r="P216" s="5">
        <f>IFERROR(__xludf.DUMMYFUNCTION("""COMPUTED_VALUE"""),54.0)</f>
        <v>54</v>
      </c>
      <c r="Q216" s="5" t="str">
        <f>IFERROR(__xludf.DUMMYFUNCTION("""COMPUTED_VALUE"""),"Capharnaüm")</f>
        <v>Capharnaüm</v>
      </c>
      <c r="R216" s="5" t="str">
        <f>IFERROR(__xludf.DUMMYFUNCTION("""COMPUTED_VALUE"""),"Boluwatife Treasure Bankole")</f>
        <v>Boluwatife Treasure Bankole</v>
      </c>
      <c r="S216" s="5" t="str">
        <f>IFERROR(__xludf.DUMMYFUNCTION("""COMPUTED_VALUE"""),"Estrela 3")</f>
        <v>Estrela 3</v>
      </c>
    </row>
    <row r="217">
      <c r="A217" s="1">
        <v>216.0</v>
      </c>
      <c r="B217" s="1" t="s">
        <v>1501</v>
      </c>
      <c r="C217" s="1" t="s">
        <v>1503</v>
      </c>
      <c r="D217" s="1" t="s">
        <v>1504</v>
      </c>
      <c r="E217" s="1" t="s">
        <v>1505</v>
      </c>
      <c r="F217" s="1" t="s">
        <v>98</v>
      </c>
      <c r="G217" s="5" t="str">
        <f>IFERROR(__xludf.DUMMYFUNCTION("""COMPUTED_VALUE"""),"54🤙🏼Capharnaüm🤙🏼Kawsar Al Haddad🤙🏼Estrela 4")</f>
        <v>54🤙🏼Capharnaüm🤙🏼Kawsar Al Haddad🤙🏼Estrela 4</v>
      </c>
      <c r="H217" s="5">
        <f>IFERROR(__xludf.DUMMYFUNCTION("SPLiT(G217, ""🤙🏼"",FALSE,FALSE)"),54.0)</f>
        <v>54</v>
      </c>
      <c r="I217" s="5" t="str">
        <f>IFERROR(__xludf.DUMMYFUNCTION("""COMPUTED_VALUE"""),"Capharnaüm")</f>
        <v>Capharnaüm</v>
      </c>
      <c r="J217" s="5" t="str">
        <f>IFERROR(__xludf.DUMMYFUNCTION("""COMPUTED_VALUE"""),"Kawsar Al Haddad")</f>
        <v>Kawsar Al Haddad</v>
      </c>
      <c r="K217" s="5" t="str">
        <f>IFERROR(__xludf.DUMMYFUNCTION("""COMPUTED_VALUE"""),"Estrela 4")</f>
        <v>Estrela 4</v>
      </c>
      <c r="P217" s="5">
        <f>IFERROR(__xludf.DUMMYFUNCTION("""COMPUTED_VALUE"""),54.0)</f>
        <v>54</v>
      </c>
      <c r="Q217" s="5" t="str">
        <f>IFERROR(__xludf.DUMMYFUNCTION("""COMPUTED_VALUE"""),"Capharnaüm")</f>
        <v>Capharnaüm</v>
      </c>
      <c r="R217" s="5" t="str">
        <f>IFERROR(__xludf.DUMMYFUNCTION("""COMPUTED_VALUE"""),"Kawsar Al Haddad")</f>
        <v>Kawsar Al Haddad</v>
      </c>
      <c r="S217" s="5" t="str">
        <f>IFERROR(__xludf.DUMMYFUNCTION("""COMPUTED_VALUE"""),"Estrela 4")</f>
        <v>Estrela 4</v>
      </c>
    </row>
    <row r="218">
      <c r="A218" s="1">
        <v>217.0</v>
      </c>
      <c r="B218" s="1" t="s">
        <v>1506</v>
      </c>
      <c r="C218" s="1" t="s">
        <v>1508</v>
      </c>
      <c r="D218" s="1" t="s">
        <v>485</v>
      </c>
      <c r="E218" s="1" t="s">
        <v>1509</v>
      </c>
      <c r="F218" s="1" t="s">
        <v>1138</v>
      </c>
      <c r="G218" s="5" t="str">
        <f>IFERROR(__xludf.DUMMYFUNCTION("""COMPUTED_VALUE"""),"55🤙🏼Ayla: The Daughter of War🤙🏼Erdem Can🤙🏼Estrela 1")</f>
        <v>55🤙🏼Ayla: The Daughter of War🤙🏼Erdem Can🤙🏼Estrela 1</v>
      </c>
      <c r="H218" s="5">
        <f>IFERROR(__xludf.DUMMYFUNCTION("SPLiT(G218, ""🤙🏼"",FALSE,FALSE)"),55.0)</f>
        <v>55</v>
      </c>
      <c r="I218" s="5" t="str">
        <f>IFERROR(__xludf.DUMMYFUNCTION("""COMPUTED_VALUE"""),"Ayla: The Daughter of War")</f>
        <v>Ayla: The Daughter of War</v>
      </c>
      <c r="J218" s="5" t="str">
        <f>IFERROR(__xludf.DUMMYFUNCTION("""COMPUTED_VALUE"""),"Erdem Can")</f>
        <v>Erdem Can</v>
      </c>
      <c r="K218" s="5" t="str">
        <f>IFERROR(__xludf.DUMMYFUNCTION("""COMPUTED_VALUE"""),"Estrela 1")</f>
        <v>Estrela 1</v>
      </c>
      <c r="P218" s="5">
        <f>IFERROR(__xludf.DUMMYFUNCTION("""COMPUTED_VALUE"""),55.0)</f>
        <v>55</v>
      </c>
      <c r="Q218" s="5" t="str">
        <f>IFERROR(__xludf.DUMMYFUNCTION("""COMPUTED_VALUE"""),"Ayla: The Daughter of War")</f>
        <v>Ayla: The Daughter of War</v>
      </c>
      <c r="R218" s="5" t="str">
        <f>IFERROR(__xludf.DUMMYFUNCTION("""COMPUTED_VALUE"""),"Erdem Can")</f>
        <v>Erdem Can</v>
      </c>
      <c r="S218" s="5" t="str">
        <f>IFERROR(__xludf.DUMMYFUNCTION("""COMPUTED_VALUE"""),"Estrela 1")</f>
        <v>Estrela 1</v>
      </c>
    </row>
    <row r="219">
      <c r="A219" s="1">
        <v>218.0</v>
      </c>
      <c r="B219" s="1" t="s">
        <v>1510</v>
      </c>
      <c r="C219" s="1" t="s">
        <v>215</v>
      </c>
      <c r="D219" s="1" t="s">
        <v>42</v>
      </c>
      <c r="E219" s="1" t="s">
        <v>1512</v>
      </c>
      <c r="F219" s="1" t="s">
        <v>1513</v>
      </c>
      <c r="G219" s="5" t="str">
        <f>IFERROR(__xludf.DUMMYFUNCTION("""COMPUTED_VALUE"""),"55🤙🏼Ayla: The Daughter of War🤙🏼Çetin Tekindor🤙🏼Estrela 2")</f>
        <v>55🤙🏼Ayla: The Daughter of War🤙🏼Çetin Tekindor🤙🏼Estrela 2</v>
      </c>
      <c r="H219" s="5">
        <f>IFERROR(__xludf.DUMMYFUNCTION("SPLiT(G219, ""🤙🏼"",FALSE,FALSE)"),55.0)</f>
        <v>55</v>
      </c>
      <c r="I219" s="5" t="str">
        <f>IFERROR(__xludf.DUMMYFUNCTION("""COMPUTED_VALUE"""),"Ayla: The Daughter of War")</f>
        <v>Ayla: The Daughter of War</v>
      </c>
      <c r="J219" s="5" t="str">
        <f>IFERROR(__xludf.DUMMYFUNCTION("""COMPUTED_VALUE"""),"Çetin Tekindor")</f>
        <v>Çetin Tekindor</v>
      </c>
      <c r="K219" s="5" t="str">
        <f>IFERROR(__xludf.DUMMYFUNCTION("""COMPUTED_VALUE"""),"Estrela 2")</f>
        <v>Estrela 2</v>
      </c>
      <c r="P219" s="5">
        <f>IFERROR(__xludf.DUMMYFUNCTION("""COMPUTED_VALUE"""),55.0)</f>
        <v>55</v>
      </c>
      <c r="Q219" s="5" t="str">
        <f>IFERROR(__xludf.DUMMYFUNCTION("""COMPUTED_VALUE"""),"Ayla: The Daughter of War")</f>
        <v>Ayla: The Daughter of War</v>
      </c>
      <c r="R219" s="5" t="str">
        <f>IFERROR(__xludf.DUMMYFUNCTION("""COMPUTED_VALUE"""),"Çetin Tekindor")</f>
        <v>Çetin Tekindor</v>
      </c>
      <c r="S219" s="5" t="str">
        <f>IFERROR(__xludf.DUMMYFUNCTION("""COMPUTED_VALUE"""),"Estrela 2")</f>
        <v>Estrela 2</v>
      </c>
    </row>
    <row r="220">
      <c r="A220" s="1">
        <v>219.0</v>
      </c>
      <c r="B220" s="1" t="s">
        <v>1514</v>
      </c>
      <c r="C220" s="1" t="s">
        <v>481</v>
      </c>
      <c r="D220" s="1" t="s">
        <v>1517</v>
      </c>
      <c r="E220" s="1" t="s">
        <v>1518</v>
      </c>
      <c r="F220" s="1" t="s">
        <v>1519</v>
      </c>
      <c r="G220" s="5" t="str">
        <f>IFERROR(__xludf.DUMMYFUNCTION("""COMPUTED_VALUE"""),"55🤙🏼Ayla: The Daughter of War🤙🏼Ismail Hacioglu🤙🏼Estrela 3")</f>
        <v>55🤙🏼Ayla: The Daughter of War🤙🏼Ismail Hacioglu🤙🏼Estrela 3</v>
      </c>
      <c r="H220" s="5">
        <f>IFERROR(__xludf.DUMMYFUNCTION("SPLiT(G220, ""🤙🏼"",FALSE,FALSE)"),55.0)</f>
        <v>55</v>
      </c>
      <c r="I220" s="5" t="str">
        <f>IFERROR(__xludf.DUMMYFUNCTION("""COMPUTED_VALUE"""),"Ayla: The Daughter of War")</f>
        <v>Ayla: The Daughter of War</v>
      </c>
      <c r="J220" s="5" t="str">
        <f>IFERROR(__xludf.DUMMYFUNCTION("""COMPUTED_VALUE"""),"Ismail Hacioglu")</f>
        <v>Ismail Hacioglu</v>
      </c>
      <c r="K220" s="5" t="str">
        <f>IFERROR(__xludf.DUMMYFUNCTION("""COMPUTED_VALUE"""),"Estrela 3")</f>
        <v>Estrela 3</v>
      </c>
      <c r="P220" s="5">
        <f>IFERROR(__xludf.DUMMYFUNCTION("""COMPUTED_VALUE"""),55.0)</f>
        <v>55</v>
      </c>
      <c r="Q220" s="5" t="str">
        <f>IFERROR(__xludf.DUMMYFUNCTION("""COMPUTED_VALUE"""),"Ayla: The Daughter of War")</f>
        <v>Ayla: The Daughter of War</v>
      </c>
      <c r="R220" s="5" t="str">
        <f>IFERROR(__xludf.DUMMYFUNCTION("""COMPUTED_VALUE"""),"Ismail Hacioglu")</f>
        <v>Ismail Hacioglu</v>
      </c>
      <c r="S220" s="5" t="str">
        <f>IFERROR(__xludf.DUMMYFUNCTION("""COMPUTED_VALUE"""),"Estrela 3")</f>
        <v>Estrela 3</v>
      </c>
    </row>
    <row r="221">
      <c r="A221" s="1">
        <v>220.0</v>
      </c>
      <c r="B221" s="1" t="s">
        <v>1520</v>
      </c>
      <c r="C221" s="1" t="s">
        <v>1524</v>
      </c>
      <c r="D221" s="1" t="s">
        <v>1525</v>
      </c>
      <c r="E221" s="1" t="s">
        <v>1526</v>
      </c>
      <c r="F221" s="1" t="s">
        <v>1527</v>
      </c>
      <c r="G221" s="5" t="str">
        <f>IFERROR(__xludf.DUMMYFUNCTION("""COMPUTED_VALUE"""),"55🤙🏼Ayla: The Daughter of War🤙🏼Kyung-jin Lee🤙🏼Estrela 4")</f>
        <v>55🤙🏼Ayla: The Daughter of War🤙🏼Kyung-jin Lee🤙🏼Estrela 4</v>
      </c>
      <c r="H221" s="5">
        <f>IFERROR(__xludf.DUMMYFUNCTION("SPLiT(G221, ""🤙🏼"",FALSE,FALSE)"),55.0)</f>
        <v>55</v>
      </c>
      <c r="I221" s="5" t="str">
        <f>IFERROR(__xludf.DUMMYFUNCTION("""COMPUTED_VALUE"""),"Ayla: The Daughter of War")</f>
        <v>Ayla: The Daughter of War</v>
      </c>
      <c r="J221" s="5" t="str">
        <f>IFERROR(__xludf.DUMMYFUNCTION("""COMPUTED_VALUE"""),"Kyung-jin Lee")</f>
        <v>Kyung-jin Lee</v>
      </c>
      <c r="K221" s="5" t="str">
        <f>IFERROR(__xludf.DUMMYFUNCTION("""COMPUTED_VALUE"""),"Estrela 4")</f>
        <v>Estrela 4</v>
      </c>
      <c r="P221" s="5">
        <f>IFERROR(__xludf.DUMMYFUNCTION("""COMPUTED_VALUE"""),55.0)</f>
        <v>55</v>
      </c>
      <c r="Q221" s="5" t="str">
        <f>IFERROR(__xludf.DUMMYFUNCTION("""COMPUTED_VALUE"""),"Ayla: The Daughter of War")</f>
        <v>Ayla: The Daughter of War</v>
      </c>
      <c r="R221" s="5" t="str">
        <f>IFERROR(__xludf.DUMMYFUNCTION("""COMPUTED_VALUE"""),"Kyung-jin Lee")</f>
        <v>Kyung-jin Lee</v>
      </c>
      <c r="S221" s="5" t="str">
        <f>IFERROR(__xludf.DUMMYFUNCTION("""COMPUTED_VALUE"""),"Estrela 4")</f>
        <v>Estrela 4</v>
      </c>
    </row>
    <row r="222">
      <c r="A222" s="1">
        <v>221.0</v>
      </c>
      <c r="B222" s="1" t="s">
        <v>1528</v>
      </c>
      <c r="C222" s="1" t="s">
        <v>1531</v>
      </c>
      <c r="D222" s="1" t="s">
        <v>1532</v>
      </c>
      <c r="E222" s="1" t="s">
        <v>1533</v>
      </c>
      <c r="F222" s="1" t="s">
        <v>1034</v>
      </c>
      <c r="G222" s="5" t="str">
        <f>IFERROR(__xludf.DUMMYFUNCTION("""COMPUTED_VALUE"""),"56🤙🏼Vikram Vedha🤙🏼Pushkar🤙🏼Estrela 1")</f>
        <v>56🤙🏼Vikram Vedha🤙🏼Pushkar🤙🏼Estrela 1</v>
      </c>
      <c r="H222" s="5">
        <f>IFERROR(__xludf.DUMMYFUNCTION("SPLiT(G222, ""🤙🏼"",FALSE,FALSE)"),56.0)</f>
        <v>56</v>
      </c>
      <c r="I222" s="5" t="str">
        <f>IFERROR(__xludf.DUMMYFUNCTION("""COMPUTED_VALUE"""),"Vikram Vedha")</f>
        <v>Vikram Vedha</v>
      </c>
      <c r="J222" s="5" t="str">
        <f>IFERROR(__xludf.DUMMYFUNCTION("""COMPUTED_VALUE"""),"Pushkar")</f>
        <v>Pushkar</v>
      </c>
      <c r="K222" s="5" t="str">
        <f>IFERROR(__xludf.DUMMYFUNCTION("""COMPUTED_VALUE"""),"Estrela 1")</f>
        <v>Estrela 1</v>
      </c>
      <c r="P222" s="5">
        <f>IFERROR(__xludf.DUMMYFUNCTION("""COMPUTED_VALUE"""),56.0)</f>
        <v>56</v>
      </c>
      <c r="Q222" s="5" t="str">
        <f>IFERROR(__xludf.DUMMYFUNCTION("""COMPUTED_VALUE"""),"Vikram Vedha")</f>
        <v>Vikram Vedha</v>
      </c>
      <c r="R222" s="5" t="str">
        <f>IFERROR(__xludf.DUMMYFUNCTION("""COMPUTED_VALUE"""),"Pushkar")</f>
        <v>Pushkar</v>
      </c>
      <c r="S222" s="5" t="str">
        <f>IFERROR(__xludf.DUMMYFUNCTION("""COMPUTED_VALUE"""),"Estrela 1")</f>
        <v>Estrela 1</v>
      </c>
    </row>
    <row r="223">
      <c r="A223" s="1">
        <v>222.0</v>
      </c>
      <c r="B223" s="1" t="s">
        <v>1534</v>
      </c>
      <c r="C223" s="1" t="s">
        <v>1537</v>
      </c>
      <c r="D223" s="1" t="s">
        <v>1023</v>
      </c>
      <c r="E223" s="1" t="s">
        <v>1538</v>
      </c>
      <c r="F223" s="1" t="s">
        <v>1539</v>
      </c>
      <c r="G223" s="5" t="str">
        <f>IFERROR(__xludf.DUMMYFUNCTION("""COMPUTED_VALUE"""),"56🤙🏼Vikram Vedha🤙🏼Madhavan🤙🏼Estrela 2")</f>
        <v>56🤙🏼Vikram Vedha🤙🏼Madhavan🤙🏼Estrela 2</v>
      </c>
      <c r="H223" s="5">
        <f>IFERROR(__xludf.DUMMYFUNCTION("SPLiT(G223, ""🤙🏼"",FALSE,FALSE)"),56.0)</f>
        <v>56</v>
      </c>
      <c r="I223" s="5" t="str">
        <f>IFERROR(__xludf.DUMMYFUNCTION("""COMPUTED_VALUE"""),"Vikram Vedha")</f>
        <v>Vikram Vedha</v>
      </c>
      <c r="J223" s="5" t="str">
        <f>IFERROR(__xludf.DUMMYFUNCTION("""COMPUTED_VALUE"""),"Madhavan")</f>
        <v>Madhavan</v>
      </c>
      <c r="K223" s="5" t="str">
        <f>IFERROR(__xludf.DUMMYFUNCTION("""COMPUTED_VALUE"""),"Estrela 2")</f>
        <v>Estrela 2</v>
      </c>
      <c r="P223" s="5">
        <f>IFERROR(__xludf.DUMMYFUNCTION("""COMPUTED_VALUE"""),56.0)</f>
        <v>56</v>
      </c>
      <c r="Q223" s="5" t="str">
        <f>IFERROR(__xludf.DUMMYFUNCTION("""COMPUTED_VALUE"""),"Vikram Vedha")</f>
        <v>Vikram Vedha</v>
      </c>
      <c r="R223" s="5" t="str">
        <f>IFERROR(__xludf.DUMMYFUNCTION("""COMPUTED_VALUE"""),"Madhavan")</f>
        <v>Madhavan</v>
      </c>
      <c r="S223" s="5" t="str">
        <f>IFERROR(__xludf.DUMMYFUNCTION("""COMPUTED_VALUE"""),"Estrela 2")</f>
        <v>Estrela 2</v>
      </c>
    </row>
    <row r="224">
      <c r="A224" s="1">
        <v>223.0</v>
      </c>
      <c r="B224" s="1" t="s">
        <v>1540</v>
      </c>
      <c r="C224" s="1" t="s">
        <v>306</v>
      </c>
      <c r="D224" s="1" t="s">
        <v>1542</v>
      </c>
      <c r="E224" s="1" t="s">
        <v>1543</v>
      </c>
      <c r="F224" s="1" t="s">
        <v>1544</v>
      </c>
      <c r="G224" s="5" t="str">
        <f>IFERROR(__xludf.DUMMYFUNCTION("""COMPUTED_VALUE"""),"56🤙🏼Vikram Vedha🤙🏼Vijay Sethupathi🤙🏼Estrela 3")</f>
        <v>56🤙🏼Vikram Vedha🤙🏼Vijay Sethupathi🤙🏼Estrela 3</v>
      </c>
      <c r="H224" s="5">
        <f>IFERROR(__xludf.DUMMYFUNCTION("SPLiT(G224, ""🤙🏼"",FALSE,FALSE)"),56.0)</f>
        <v>56</v>
      </c>
      <c r="I224" s="5" t="str">
        <f>IFERROR(__xludf.DUMMYFUNCTION("""COMPUTED_VALUE"""),"Vikram Vedha")</f>
        <v>Vikram Vedha</v>
      </c>
      <c r="J224" s="5" t="str">
        <f>IFERROR(__xludf.DUMMYFUNCTION("""COMPUTED_VALUE"""),"Vijay Sethupathi")</f>
        <v>Vijay Sethupathi</v>
      </c>
      <c r="K224" s="5" t="str">
        <f>IFERROR(__xludf.DUMMYFUNCTION("""COMPUTED_VALUE"""),"Estrela 3")</f>
        <v>Estrela 3</v>
      </c>
      <c r="P224" s="5">
        <f>IFERROR(__xludf.DUMMYFUNCTION("""COMPUTED_VALUE"""),56.0)</f>
        <v>56</v>
      </c>
      <c r="Q224" s="5" t="str">
        <f>IFERROR(__xludf.DUMMYFUNCTION("""COMPUTED_VALUE"""),"Vikram Vedha")</f>
        <v>Vikram Vedha</v>
      </c>
      <c r="R224" s="5" t="str">
        <f>IFERROR(__xludf.DUMMYFUNCTION("""COMPUTED_VALUE"""),"Vijay Sethupathi")</f>
        <v>Vijay Sethupathi</v>
      </c>
      <c r="S224" s="5" t="str">
        <f>IFERROR(__xludf.DUMMYFUNCTION("""COMPUTED_VALUE"""),"Estrela 3")</f>
        <v>Estrela 3</v>
      </c>
    </row>
    <row r="225">
      <c r="A225" s="1">
        <v>224.0</v>
      </c>
      <c r="B225" s="1" t="s">
        <v>1545</v>
      </c>
      <c r="C225" s="1" t="s">
        <v>504</v>
      </c>
      <c r="D225" s="1" t="s">
        <v>1549</v>
      </c>
      <c r="E225" s="1" t="s">
        <v>1550</v>
      </c>
      <c r="F225" s="1" t="s">
        <v>1551</v>
      </c>
      <c r="G225" s="5" t="str">
        <f>IFERROR(__xludf.DUMMYFUNCTION("""COMPUTED_VALUE"""),"56🤙🏼Vikram Vedha🤙🏼Shraddha Srinath🤙🏼Estrela 4")</f>
        <v>56🤙🏼Vikram Vedha🤙🏼Shraddha Srinath🤙🏼Estrela 4</v>
      </c>
      <c r="H225" s="5">
        <f>IFERROR(__xludf.DUMMYFUNCTION("SPLiT(G225, ""🤙🏼"",FALSE,FALSE)"),56.0)</f>
        <v>56</v>
      </c>
      <c r="I225" s="5" t="str">
        <f>IFERROR(__xludf.DUMMYFUNCTION("""COMPUTED_VALUE"""),"Vikram Vedha")</f>
        <v>Vikram Vedha</v>
      </c>
      <c r="J225" s="5" t="str">
        <f>IFERROR(__xludf.DUMMYFUNCTION("""COMPUTED_VALUE"""),"Shraddha Srinath")</f>
        <v>Shraddha Srinath</v>
      </c>
      <c r="K225" s="5" t="str">
        <f>IFERROR(__xludf.DUMMYFUNCTION("""COMPUTED_VALUE"""),"Estrela 4")</f>
        <v>Estrela 4</v>
      </c>
      <c r="P225" s="5">
        <f>IFERROR(__xludf.DUMMYFUNCTION("""COMPUTED_VALUE"""),56.0)</f>
        <v>56</v>
      </c>
      <c r="Q225" s="5" t="str">
        <f>IFERROR(__xludf.DUMMYFUNCTION("""COMPUTED_VALUE"""),"Vikram Vedha")</f>
        <v>Vikram Vedha</v>
      </c>
      <c r="R225" s="5" t="str">
        <f>IFERROR(__xludf.DUMMYFUNCTION("""COMPUTED_VALUE"""),"Shraddha Srinath")</f>
        <v>Shraddha Srinath</v>
      </c>
      <c r="S225" s="5" t="str">
        <f>IFERROR(__xludf.DUMMYFUNCTION("""COMPUTED_VALUE"""),"Estrela 4")</f>
        <v>Estrela 4</v>
      </c>
    </row>
    <row r="226">
      <c r="A226" s="1">
        <v>225.0</v>
      </c>
      <c r="B226" s="1" t="s">
        <v>1552</v>
      </c>
      <c r="C226" s="1" t="s">
        <v>1555</v>
      </c>
      <c r="D226" s="1" t="s">
        <v>1556</v>
      </c>
      <c r="E226" s="1" t="s">
        <v>1557</v>
      </c>
      <c r="F226" s="1" t="s">
        <v>1558</v>
      </c>
      <c r="G226" s="5" t="str">
        <f>IFERROR(__xludf.DUMMYFUNCTION("""COMPUTED_VALUE"""),"57🤙🏼Kimi no na wa.🤙🏼Ryûnosuke Kamiki🤙🏼Estrela 1")</f>
        <v>57🤙🏼Kimi no na wa.🤙🏼Ryûnosuke Kamiki🤙🏼Estrela 1</v>
      </c>
      <c r="H226" s="5">
        <f>IFERROR(__xludf.DUMMYFUNCTION("SPLiT(G226, ""🤙🏼"",FALSE,FALSE)"),57.0)</f>
        <v>57</v>
      </c>
      <c r="I226" s="5" t="str">
        <f>IFERROR(__xludf.DUMMYFUNCTION("""COMPUTED_VALUE"""),"Kimi no na wa.")</f>
        <v>Kimi no na wa.</v>
      </c>
      <c r="J226" s="5" t="str">
        <f>IFERROR(__xludf.DUMMYFUNCTION("""COMPUTED_VALUE"""),"Ryûnosuke Kamiki")</f>
        <v>Ryûnosuke Kamiki</v>
      </c>
      <c r="K226" s="5" t="str">
        <f>IFERROR(__xludf.DUMMYFUNCTION("""COMPUTED_VALUE"""),"Estrela 1")</f>
        <v>Estrela 1</v>
      </c>
      <c r="P226" s="5">
        <f>IFERROR(__xludf.DUMMYFUNCTION("""COMPUTED_VALUE"""),57.0)</f>
        <v>57</v>
      </c>
      <c r="Q226" s="5" t="str">
        <f>IFERROR(__xludf.DUMMYFUNCTION("""COMPUTED_VALUE"""),"Kimi no na wa.")</f>
        <v>Kimi no na wa.</v>
      </c>
      <c r="R226" s="5" t="str">
        <f>IFERROR(__xludf.DUMMYFUNCTION("""COMPUTED_VALUE"""),"Ryûnosuke Kamiki")</f>
        <v>Ryûnosuke Kamiki</v>
      </c>
      <c r="S226" s="5" t="str">
        <f>IFERROR(__xludf.DUMMYFUNCTION("""COMPUTED_VALUE"""),"Estrela 1")</f>
        <v>Estrela 1</v>
      </c>
    </row>
    <row r="227">
      <c r="A227" s="1">
        <v>226.0</v>
      </c>
      <c r="B227" s="1" t="s">
        <v>1559</v>
      </c>
      <c r="C227" s="1" t="s">
        <v>119</v>
      </c>
      <c r="D227" s="1" t="s">
        <v>1561</v>
      </c>
      <c r="E227" s="1" t="s">
        <v>1562</v>
      </c>
      <c r="F227" s="1" t="s">
        <v>1563</v>
      </c>
      <c r="G227" s="5" t="str">
        <f>IFERROR(__xludf.DUMMYFUNCTION("""COMPUTED_VALUE"""),"57🤙🏼Kimi no na wa.🤙🏼Mone Kamishiraishi🤙🏼Estrela 2")</f>
        <v>57🤙🏼Kimi no na wa.🤙🏼Mone Kamishiraishi🤙🏼Estrela 2</v>
      </c>
      <c r="H227" s="5">
        <f>IFERROR(__xludf.DUMMYFUNCTION("SPLiT(G227, ""🤙🏼"",FALSE,FALSE)"),57.0)</f>
        <v>57</v>
      </c>
      <c r="I227" s="5" t="str">
        <f>IFERROR(__xludf.DUMMYFUNCTION("""COMPUTED_VALUE"""),"Kimi no na wa.")</f>
        <v>Kimi no na wa.</v>
      </c>
      <c r="J227" s="5" t="str">
        <f>IFERROR(__xludf.DUMMYFUNCTION("""COMPUTED_VALUE"""),"Mone Kamishiraishi")</f>
        <v>Mone Kamishiraishi</v>
      </c>
      <c r="K227" s="5" t="str">
        <f>IFERROR(__xludf.DUMMYFUNCTION("""COMPUTED_VALUE"""),"Estrela 2")</f>
        <v>Estrela 2</v>
      </c>
      <c r="P227" s="5">
        <f>IFERROR(__xludf.DUMMYFUNCTION("""COMPUTED_VALUE"""),57.0)</f>
        <v>57</v>
      </c>
      <c r="Q227" s="5" t="str">
        <f>IFERROR(__xludf.DUMMYFUNCTION("""COMPUTED_VALUE"""),"Kimi no na wa.")</f>
        <v>Kimi no na wa.</v>
      </c>
      <c r="R227" s="5" t="str">
        <f>IFERROR(__xludf.DUMMYFUNCTION("""COMPUTED_VALUE"""),"Mone Kamishiraishi")</f>
        <v>Mone Kamishiraishi</v>
      </c>
      <c r="S227" s="5" t="str">
        <f>IFERROR(__xludf.DUMMYFUNCTION("""COMPUTED_VALUE"""),"Estrela 2")</f>
        <v>Estrela 2</v>
      </c>
    </row>
    <row r="228">
      <c r="A228" s="1">
        <v>227.0</v>
      </c>
      <c r="B228" s="1" t="s">
        <v>1564</v>
      </c>
      <c r="C228" s="1" t="s">
        <v>1568</v>
      </c>
      <c r="D228" s="1" t="s">
        <v>1569</v>
      </c>
      <c r="E228" s="1" t="s">
        <v>1570</v>
      </c>
      <c r="F228" s="1" t="s">
        <v>1571</v>
      </c>
      <c r="G228" s="5" t="str">
        <f>IFERROR(__xludf.DUMMYFUNCTION("""COMPUTED_VALUE"""),"57🤙🏼Kimi no na wa.🤙🏼Ryô Narita🤙🏼Estrela 3")</f>
        <v>57🤙🏼Kimi no na wa.🤙🏼Ryô Narita🤙🏼Estrela 3</v>
      </c>
      <c r="H228" s="5">
        <f>IFERROR(__xludf.DUMMYFUNCTION("SPLiT(G228, ""🤙🏼"",FALSE,FALSE)"),57.0)</f>
        <v>57</v>
      </c>
      <c r="I228" s="5" t="str">
        <f>IFERROR(__xludf.DUMMYFUNCTION("""COMPUTED_VALUE"""),"Kimi no na wa.")</f>
        <v>Kimi no na wa.</v>
      </c>
      <c r="J228" s="5" t="str">
        <f>IFERROR(__xludf.DUMMYFUNCTION("""COMPUTED_VALUE"""),"Ryô Narita")</f>
        <v>Ryô Narita</v>
      </c>
      <c r="K228" s="5" t="str">
        <f>IFERROR(__xludf.DUMMYFUNCTION("""COMPUTED_VALUE"""),"Estrela 3")</f>
        <v>Estrela 3</v>
      </c>
      <c r="P228" s="5">
        <f>IFERROR(__xludf.DUMMYFUNCTION("""COMPUTED_VALUE"""),57.0)</f>
        <v>57</v>
      </c>
      <c r="Q228" s="5" t="str">
        <f>IFERROR(__xludf.DUMMYFUNCTION("""COMPUTED_VALUE"""),"Kimi no na wa.")</f>
        <v>Kimi no na wa.</v>
      </c>
      <c r="R228" s="5" t="str">
        <f>IFERROR(__xludf.DUMMYFUNCTION("""COMPUTED_VALUE"""),"Ryô Narita")</f>
        <v>Ryô Narita</v>
      </c>
      <c r="S228" s="5" t="str">
        <f>IFERROR(__xludf.DUMMYFUNCTION("""COMPUTED_VALUE"""),"Estrela 3")</f>
        <v>Estrela 3</v>
      </c>
    </row>
    <row r="229">
      <c r="A229" s="1">
        <v>228.0</v>
      </c>
      <c r="B229" s="1" t="s">
        <v>1572</v>
      </c>
      <c r="C229" s="1" t="s">
        <v>1575</v>
      </c>
      <c r="D229" s="1" t="s">
        <v>1576</v>
      </c>
      <c r="E229" s="1" t="s">
        <v>1577</v>
      </c>
      <c r="F229" s="1" t="s">
        <v>1578</v>
      </c>
      <c r="G229" s="5" t="str">
        <f>IFERROR(__xludf.DUMMYFUNCTION("""COMPUTED_VALUE"""),"57🤙🏼Kimi no na wa.🤙🏼Aoi Yûki🤙🏼Estrela 4")</f>
        <v>57🤙🏼Kimi no na wa.🤙🏼Aoi Yûki🤙🏼Estrela 4</v>
      </c>
      <c r="H229" s="5">
        <f>IFERROR(__xludf.DUMMYFUNCTION("SPLiT(G229, ""🤙🏼"",FALSE,FALSE)"),57.0)</f>
        <v>57</v>
      </c>
      <c r="I229" s="5" t="str">
        <f>IFERROR(__xludf.DUMMYFUNCTION("""COMPUTED_VALUE"""),"Kimi no na wa.")</f>
        <v>Kimi no na wa.</v>
      </c>
      <c r="J229" s="5" t="str">
        <f>IFERROR(__xludf.DUMMYFUNCTION("""COMPUTED_VALUE"""),"Aoi Yûki")</f>
        <v>Aoi Yûki</v>
      </c>
      <c r="K229" s="5" t="str">
        <f>IFERROR(__xludf.DUMMYFUNCTION("""COMPUTED_VALUE"""),"Estrela 4")</f>
        <v>Estrela 4</v>
      </c>
      <c r="P229" s="5">
        <f>IFERROR(__xludf.DUMMYFUNCTION("""COMPUTED_VALUE"""),57.0)</f>
        <v>57</v>
      </c>
      <c r="Q229" s="5" t="str">
        <f>IFERROR(__xludf.DUMMYFUNCTION("""COMPUTED_VALUE"""),"Kimi no na wa.")</f>
        <v>Kimi no na wa.</v>
      </c>
      <c r="R229" s="5" t="str">
        <f>IFERROR(__xludf.DUMMYFUNCTION("""COMPUTED_VALUE"""),"Aoi Yûki")</f>
        <v>Aoi Yûki</v>
      </c>
      <c r="S229" s="5" t="str">
        <f>IFERROR(__xludf.DUMMYFUNCTION("""COMPUTED_VALUE"""),"Estrela 4")</f>
        <v>Estrela 4</v>
      </c>
    </row>
    <row r="230">
      <c r="A230" s="1">
        <v>229.0</v>
      </c>
      <c r="B230" s="1" t="s">
        <v>1579</v>
      </c>
      <c r="C230" s="1" t="s">
        <v>1583</v>
      </c>
      <c r="D230" s="1" t="s">
        <v>1584</v>
      </c>
      <c r="E230" s="1" t="s">
        <v>1585</v>
      </c>
      <c r="F230" s="1" t="s">
        <v>1586</v>
      </c>
      <c r="G230" s="5" t="str">
        <f>IFERROR(__xludf.DUMMYFUNCTION("""COMPUTED_VALUE"""),"58🤙🏼Dangal🤙🏼Aamir Khan🤙🏼Estrela 1")</f>
        <v>58🤙🏼Dangal🤙🏼Aamir Khan🤙🏼Estrela 1</v>
      </c>
      <c r="H230" s="5">
        <f>IFERROR(__xludf.DUMMYFUNCTION("SPLiT(G230, ""🤙🏼"",FALSE,FALSE)"),58.0)</f>
        <v>58</v>
      </c>
      <c r="I230" s="5" t="str">
        <f>IFERROR(__xludf.DUMMYFUNCTION("""COMPUTED_VALUE"""),"Dangal")</f>
        <v>Dangal</v>
      </c>
      <c r="J230" s="5" t="str">
        <f>IFERROR(__xludf.DUMMYFUNCTION("""COMPUTED_VALUE"""),"Aamir Khan")</f>
        <v>Aamir Khan</v>
      </c>
      <c r="K230" s="5" t="str">
        <f>IFERROR(__xludf.DUMMYFUNCTION("""COMPUTED_VALUE"""),"Estrela 1")</f>
        <v>Estrela 1</v>
      </c>
      <c r="P230" s="5">
        <f>IFERROR(__xludf.DUMMYFUNCTION("""COMPUTED_VALUE"""),58.0)</f>
        <v>58</v>
      </c>
      <c r="Q230" s="5" t="str">
        <f>IFERROR(__xludf.DUMMYFUNCTION("""COMPUTED_VALUE"""),"Dangal")</f>
        <v>Dangal</v>
      </c>
      <c r="R230" s="5" t="str">
        <f>IFERROR(__xludf.DUMMYFUNCTION("""COMPUTED_VALUE"""),"Aamir Khan")</f>
        <v>Aamir Khan</v>
      </c>
      <c r="S230" s="5" t="str">
        <f>IFERROR(__xludf.DUMMYFUNCTION("""COMPUTED_VALUE"""),"Estrela 1")</f>
        <v>Estrela 1</v>
      </c>
    </row>
    <row r="231">
      <c r="A231" s="1">
        <v>230.0</v>
      </c>
      <c r="B231" s="1" t="s">
        <v>1587</v>
      </c>
      <c r="C231" s="1" t="s">
        <v>1592</v>
      </c>
      <c r="D231" s="1" t="s">
        <v>1593</v>
      </c>
      <c r="E231" s="1" t="s">
        <v>1594</v>
      </c>
      <c r="F231" s="1" t="s">
        <v>1595</v>
      </c>
      <c r="G231" s="5" t="str">
        <f>IFERROR(__xludf.DUMMYFUNCTION("""COMPUTED_VALUE"""),"58🤙🏼Dangal🤙🏼Sakshi Tanwar🤙🏼Estrela 2")</f>
        <v>58🤙🏼Dangal🤙🏼Sakshi Tanwar🤙🏼Estrela 2</v>
      </c>
      <c r="H231" s="5">
        <f>IFERROR(__xludf.DUMMYFUNCTION("SPLiT(G231, ""🤙🏼"",FALSE,FALSE)"),58.0)</f>
        <v>58</v>
      </c>
      <c r="I231" s="5" t="str">
        <f>IFERROR(__xludf.DUMMYFUNCTION("""COMPUTED_VALUE"""),"Dangal")</f>
        <v>Dangal</v>
      </c>
      <c r="J231" s="5" t="str">
        <f>IFERROR(__xludf.DUMMYFUNCTION("""COMPUTED_VALUE"""),"Sakshi Tanwar")</f>
        <v>Sakshi Tanwar</v>
      </c>
      <c r="K231" s="5" t="str">
        <f>IFERROR(__xludf.DUMMYFUNCTION("""COMPUTED_VALUE"""),"Estrela 2")</f>
        <v>Estrela 2</v>
      </c>
      <c r="P231" s="5">
        <f>IFERROR(__xludf.DUMMYFUNCTION("""COMPUTED_VALUE"""),58.0)</f>
        <v>58</v>
      </c>
      <c r="Q231" s="5" t="str">
        <f>IFERROR(__xludf.DUMMYFUNCTION("""COMPUTED_VALUE"""),"Dangal")</f>
        <v>Dangal</v>
      </c>
      <c r="R231" s="5" t="str">
        <f>IFERROR(__xludf.DUMMYFUNCTION("""COMPUTED_VALUE"""),"Sakshi Tanwar")</f>
        <v>Sakshi Tanwar</v>
      </c>
      <c r="S231" s="5" t="str">
        <f>IFERROR(__xludf.DUMMYFUNCTION("""COMPUTED_VALUE"""),"Estrela 2")</f>
        <v>Estrela 2</v>
      </c>
    </row>
    <row r="232">
      <c r="A232" s="1">
        <v>231.0</v>
      </c>
      <c r="B232" s="1" t="s">
        <v>1596</v>
      </c>
      <c r="C232" s="1" t="s">
        <v>1599</v>
      </c>
      <c r="D232" s="1" t="s">
        <v>1600</v>
      </c>
      <c r="E232" s="1" t="s">
        <v>1601</v>
      </c>
      <c r="F232" s="1" t="s">
        <v>1602</v>
      </c>
      <c r="G232" s="5" t="str">
        <f>IFERROR(__xludf.DUMMYFUNCTION("""COMPUTED_VALUE"""),"58🤙🏼Dangal🤙🏼Fatima Sana Shaikh🤙🏼Estrela 3")</f>
        <v>58🤙🏼Dangal🤙🏼Fatima Sana Shaikh🤙🏼Estrela 3</v>
      </c>
      <c r="H232" s="5">
        <f>IFERROR(__xludf.DUMMYFUNCTION("SPLiT(G232, ""🤙🏼"",FALSE,FALSE)"),58.0)</f>
        <v>58</v>
      </c>
      <c r="I232" s="5" t="str">
        <f>IFERROR(__xludf.DUMMYFUNCTION("""COMPUTED_VALUE"""),"Dangal")</f>
        <v>Dangal</v>
      </c>
      <c r="J232" s="5" t="str">
        <f>IFERROR(__xludf.DUMMYFUNCTION("""COMPUTED_VALUE"""),"Fatima Sana Shaikh")</f>
        <v>Fatima Sana Shaikh</v>
      </c>
      <c r="K232" s="5" t="str">
        <f>IFERROR(__xludf.DUMMYFUNCTION("""COMPUTED_VALUE"""),"Estrela 3")</f>
        <v>Estrela 3</v>
      </c>
      <c r="P232" s="5">
        <f>IFERROR(__xludf.DUMMYFUNCTION("""COMPUTED_VALUE"""),58.0)</f>
        <v>58</v>
      </c>
      <c r="Q232" s="5" t="str">
        <f>IFERROR(__xludf.DUMMYFUNCTION("""COMPUTED_VALUE"""),"Dangal")</f>
        <v>Dangal</v>
      </c>
      <c r="R232" s="5" t="str">
        <f>IFERROR(__xludf.DUMMYFUNCTION("""COMPUTED_VALUE"""),"Fatima Sana Shaikh")</f>
        <v>Fatima Sana Shaikh</v>
      </c>
      <c r="S232" s="5" t="str">
        <f>IFERROR(__xludf.DUMMYFUNCTION("""COMPUTED_VALUE"""),"Estrela 3")</f>
        <v>Estrela 3</v>
      </c>
    </row>
    <row r="233">
      <c r="A233" s="1">
        <v>232.0</v>
      </c>
      <c r="B233" s="1" t="s">
        <v>1603</v>
      </c>
      <c r="C233" s="1" t="s">
        <v>1606</v>
      </c>
      <c r="D233" s="1" t="s">
        <v>1607</v>
      </c>
      <c r="E233" s="1" t="s">
        <v>1608</v>
      </c>
      <c r="F233" s="1" t="s">
        <v>1609</v>
      </c>
      <c r="G233" s="5" t="str">
        <f>IFERROR(__xludf.DUMMYFUNCTION("""COMPUTED_VALUE"""),"58🤙🏼Dangal🤙🏼Sanya Malhotra🤙🏼Estrela 4")</f>
        <v>58🤙🏼Dangal🤙🏼Sanya Malhotra🤙🏼Estrela 4</v>
      </c>
      <c r="H233" s="5">
        <f>IFERROR(__xludf.DUMMYFUNCTION("SPLiT(G233, ""🤙🏼"",FALSE,FALSE)"),58.0)</f>
        <v>58</v>
      </c>
      <c r="I233" s="5" t="str">
        <f>IFERROR(__xludf.DUMMYFUNCTION("""COMPUTED_VALUE"""),"Dangal")</f>
        <v>Dangal</v>
      </c>
      <c r="J233" s="5" t="str">
        <f>IFERROR(__xludf.DUMMYFUNCTION("""COMPUTED_VALUE"""),"Sanya Malhotra")</f>
        <v>Sanya Malhotra</v>
      </c>
      <c r="K233" s="5" t="str">
        <f>IFERROR(__xludf.DUMMYFUNCTION("""COMPUTED_VALUE"""),"Estrela 4")</f>
        <v>Estrela 4</v>
      </c>
      <c r="P233" s="5">
        <f>IFERROR(__xludf.DUMMYFUNCTION("""COMPUTED_VALUE"""),58.0)</f>
        <v>58</v>
      </c>
      <c r="Q233" s="5" t="str">
        <f>IFERROR(__xludf.DUMMYFUNCTION("""COMPUTED_VALUE"""),"Dangal")</f>
        <v>Dangal</v>
      </c>
      <c r="R233" s="5" t="str">
        <f>IFERROR(__xludf.DUMMYFUNCTION("""COMPUTED_VALUE"""),"Sanya Malhotra")</f>
        <v>Sanya Malhotra</v>
      </c>
      <c r="S233" s="5" t="str">
        <f>IFERROR(__xludf.DUMMYFUNCTION("""COMPUTED_VALUE"""),"Estrela 4")</f>
        <v>Estrela 4</v>
      </c>
    </row>
    <row r="234">
      <c r="A234" s="1">
        <v>233.0</v>
      </c>
      <c r="B234" s="1" t="s">
        <v>1610</v>
      </c>
      <c r="C234" s="1" t="s">
        <v>1613</v>
      </c>
      <c r="D234" s="1" t="s">
        <v>1614</v>
      </c>
      <c r="E234" s="1" t="s">
        <v>1615</v>
      </c>
      <c r="F234" s="1" t="s">
        <v>1616</v>
      </c>
      <c r="G234" s="5" t="str">
        <f>IFERROR(__xludf.DUMMYFUNCTION("""COMPUTED_VALUE"""),"59🤙🏼Spider-Man: Into the Spider-Verse🤙🏼Peter Ramsey🤙🏼Estrela 1")</f>
        <v>59🤙🏼Spider-Man: Into the Spider-Verse🤙🏼Peter Ramsey🤙🏼Estrela 1</v>
      </c>
      <c r="H234" s="5">
        <f>IFERROR(__xludf.DUMMYFUNCTION("SPLiT(G234, ""🤙🏼"",FALSE,FALSE)"),59.0)</f>
        <v>59</v>
      </c>
      <c r="I234" s="5" t="str">
        <f>IFERROR(__xludf.DUMMYFUNCTION("""COMPUTED_VALUE"""),"Spider-Man: Into the Spider-Verse")</f>
        <v>Spider-Man: Into the Spider-Verse</v>
      </c>
      <c r="J234" s="5" t="str">
        <f>IFERROR(__xludf.DUMMYFUNCTION("""COMPUTED_VALUE"""),"Peter Ramsey")</f>
        <v>Peter Ramsey</v>
      </c>
      <c r="K234" s="5" t="str">
        <f>IFERROR(__xludf.DUMMYFUNCTION("""COMPUTED_VALUE"""),"Estrela 1")</f>
        <v>Estrela 1</v>
      </c>
      <c r="P234" s="5">
        <f>IFERROR(__xludf.DUMMYFUNCTION("""COMPUTED_VALUE"""),59.0)</f>
        <v>59</v>
      </c>
      <c r="Q234" s="5" t="str">
        <f>IFERROR(__xludf.DUMMYFUNCTION("""COMPUTED_VALUE"""),"Spider-Man: Into the Spider-Verse")</f>
        <v>Spider-Man: Into the Spider-Verse</v>
      </c>
      <c r="R234" s="5" t="str">
        <f>IFERROR(__xludf.DUMMYFUNCTION("""COMPUTED_VALUE"""),"Peter Ramsey")</f>
        <v>Peter Ramsey</v>
      </c>
      <c r="S234" s="5" t="str">
        <f>IFERROR(__xludf.DUMMYFUNCTION("""COMPUTED_VALUE"""),"Estrela 1")</f>
        <v>Estrela 1</v>
      </c>
    </row>
    <row r="235">
      <c r="A235" s="1">
        <v>234.0</v>
      </c>
      <c r="B235" s="1" t="s">
        <v>1617</v>
      </c>
      <c r="C235" s="1" t="s">
        <v>1457</v>
      </c>
      <c r="D235" s="1" t="s">
        <v>1620</v>
      </c>
      <c r="E235" s="1" t="s">
        <v>1531</v>
      </c>
      <c r="F235" s="1" t="s">
        <v>1458</v>
      </c>
      <c r="G235" s="5" t="str">
        <f>IFERROR(__xludf.DUMMYFUNCTION("""COMPUTED_VALUE"""),"59🤙🏼Spider-Man: Into the Spider-Verse🤙🏼Rodney Rothman🤙🏼Estrela 2")</f>
        <v>59🤙🏼Spider-Man: Into the Spider-Verse🤙🏼Rodney Rothman🤙🏼Estrela 2</v>
      </c>
      <c r="H235" s="5">
        <f>IFERROR(__xludf.DUMMYFUNCTION("SPLiT(G235, ""🤙🏼"",FALSE,FALSE)"),59.0)</f>
        <v>59</v>
      </c>
      <c r="I235" s="5" t="str">
        <f>IFERROR(__xludf.DUMMYFUNCTION("""COMPUTED_VALUE"""),"Spider-Man: Into the Spider-Verse")</f>
        <v>Spider-Man: Into the Spider-Verse</v>
      </c>
      <c r="J235" s="5" t="str">
        <f>IFERROR(__xludf.DUMMYFUNCTION("""COMPUTED_VALUE"""),"Rodney Rothman")</f>
        <v>Rodney Rothman</v>
      </c>
      <c r="K235" s="5" t="str">
        <f>IFERROR(__xludf.DUMMYFUNCTION("""COMPUTED_VALUE"""),"Estrela 2")</f>
        <v>Estrela 2</v>
      </c>
      <c r="P235" s="5">
        <f>IFERROR(__xludf.DUMMYFUNCTION("""COMPUTED_VALUE"""),59.0)</f>
        <v>59</v>
      </c>
      <c r="Q235" s="5" t="str">
        <f>IFERROR(__xludf.DUMMYFUNCTION("""COMPUTED_VALUE"""),"Spider-Man: Into the Spider-Verse")</f>
        <v>Spider-Man: Into the Spider-Verse</v>
      </c>
      <c r="R235" s="5" t="str">
        <f>IFERROR(__xludf.DUMMYFUNCTION("""COMPUTED_VALUE"""),"Rodney Rothman")</f>
        <v>Rodney Rothman</v>
      </c>
      <c r="S235" s="5" t="str">
        <f>IFERROR(__xludf.DUMMYFUNCTION("""COMPUTED_VALUE"""),"Estrela 2")</f>
        <v>Estrela 2</v>
      </c>
    </row>
    <row r="236">
      <c r="A236" s="1">
        <v>235.0</v>
      </c>
      <c r="B236" s="1" t="s">
        <v>1621</v>
      </c>
      <c r="C236" s="1" t="s">
        <v>1624</v>
      </c>
      <c r="D236" s="1" t="s">
        <v>119</v>
      </c>
      <c r="E236" s="1" t="s">
        <v>24</v>
      </c>
      <c r="F236" s="1" t="s">
        <v>1600</v>
      </c>
      <c r="G236" s="5" t="str">
        <f>IFERROR(__xludf.DUMMYFUNCTION("""COMPUTED_VALUE"""),"59🤙🏼Spider-Man: Into the Spider-Verse🤙🏼Shameik Moore🤙🏼Estrela 3")</f>
        <v>59🤙🏼Spider-Man: Into the Spider-Verse🤙🏼Shameik Moore🤙🏼Estrela 3</v>
      </c>
      <c r="H236" s="5">
        <f>IFERROR(__xludf.DUMMYFUNCTION("SPLiT(G236, ""🤙🏼"",FALSE,FALSE)"),59.0)</f>
        <v>59</v>
      </c>
      <c r="I236" s="5" t="str">
        <f>IFERROR(__xludf.DUMMYFUNCTION("""COMPUTED_VALUE"""),"Spider-Man: Into the Spider-Verse")</f>
        <v>Spider-Man: Into the Spider-Verse</v>
      </c>
      <c r="J236" s="5" t="str">
        <f>IFERROR(__xludf.DUMMYFUNCTION("""COMPUTED_VALUE"""),"Shameik Moore")</f>
        <v>Shameik Moore</v>
      </c>
      <c r="K236" s="5" t="str">
        <f>IFERROR(__xludf.DUMMYFUNCTION("""COMPUTED_VALUE"""),"Estrela 3")</f>
        <v>Estrela 3</v>
      </c>
      <c r="P236" s="5">
        <f>IFERROR(__xludf.DUMMYFUNCTION("""COMPUTED_VALUE"""),59.0)</f>
        <v>59</v>
      </c>
      <c r="Q236" s="5" t="str">
        <f>IFERROR(__xludf.DUMMYFUNCTION("""COMPUTED_VALUE"""),"Spider-Man: Into the Spider-Verse")</f>
        <v>Spider-Man: Into the Spider-Verse</v>
      </c>
      <c r="R236" s="5" t="str">
        <f>IFERROR(__xludf.DUMMYFUNCTION("""COMPUTED_VALUE"""),"Shameik Moore")</f>
        <v>Shameik Moore</v>
      </c>
      <c r="S236" s="5" t="str">
        <f>IFERROR(__xludf.DUMMYFUNCTION("""COMPUTED_VALUE"""),"Estrela 3")</f>
        <v>Estrela 3</v>
      </c>
    </row>
    <row r="237">
      <c r="A237" s="1">
        <v>236.0</v>
      </c>
      <c r="B237" s="1" t="s">
        <v>1625</v>
      </c>
      <c r="C237" s="1" t="s">
        <v>1628</v>
      </c>
      <c r="D237" s="1" t="s">
        <v>1629</v>
      </c>
      <c r="E237" s="1" t="s">
        <v>282</v>
      </c>
      <c r="F237" s="1" t="s">
        <v>1630</v>
      </c>
      <c r="G237" s="5" t="str">
        <f>IFERROR(__xludf.DUMMYFUNCTION("""COMPUTED_VALUE"""),"59🤙🏼Spider-Man: Into the Spider-Verse🤙🏼Jake Johnson🤙🏼Estrela 4")</f>
        <v>59🤙🏼Spider-Man: Into the Spider-Verse🤙🏼Jake Johnson🤙🏼Estrela 4</v>
      </c>
      <c r="H237" s="5">
        <f>IFERROR(__xludf.DUMMYFUNCTION("SPLiT(G237, ""🤙🏼"",FALSE,FALSE)"),59.0)</f>
        <v>59</v>
      </c>
      <c r="I237" s="5" t="str">
        <f>IFERROR(__xludf.DUMMYFUNCTION("""COMPUTED_VALUE"""),"Spider-Man: Into the Spider-Verse")</f>
        <v>Spider-Man: Into the Spider-Verse</v>
      </c>
      <c r="J237" s="5" t="str">
        <f>IFERROR(__xludf.DUMMYFUNCTION("""COMPUTED_VALUE"""),"Jake Johnson")</f>
        <v>Jake Johnson</v>
      </c>
      <c r="K237" s="5" t="str">
        <f>IFERROR(__xludf.DUMMYFUNCTION("""COMPUTED_VALUE"""),"Estrela 4")</f>
        <v>Estrela 4</v>
      </c>
      <c r="P237" s="5">
        <f>IFERROR(__xludf.DUMMYFUNCTION("""COMPUTED_VALUE"""),59.0)</f>
        <v>59</v>
      </c>
      <c r="Q237" s="5" t="str">
        <f>IFERROR(__xludf.DUMMYFUNCTION("""COMPUTED_VALUE"""),"Spider-Man: Into the Spider-Verse")</f>
        <v>Spider-Man: Into the Spider-Verse</v>
      </c>
      <c r="R237" s="5" t="str">
        <f>IFERROR(__xludf.DUMMYFUNCTION("""COMPUTED_VALUE"""),"Jake Johnson")</f>
        <v>Jake Johnson</v>
      </c>
      <c r="S237" s="5" t="str">
        <f>IFERROR(__xludf.DUMMYFUNCTION("""COMPUTED_VALUE"""),"Estrela 4")</f>
        <v>Estrela 4</v>
      </c>
    </row>
    <row r="238">
      <c r="A238" s="1">
        <v>237.0</v>
      </c>
      <c r="B238" s="1" t="s">
        <v>1631</v>
      </c>
      <c r="C238" s="1" t="s">
        <v>1634</v>
      </c>
      <c r="D238" s="1" t="s">
        <v>1635</v>
      </c>
      <c r="E238" s="1" t="s">
        <v>1636</v>
      </c>
      <c r="F238" s="1" t="s">
        <v>1637</v>
      </c>
      <c r="G238" s="5" t="str">
        <f>IFERROR(__xludf.DUMMYFUNCTION("""COMPUTED_VALUE"""),"60🤙🏼Avengers: Endgame🤙🏼Joe Russo🤙🏼Estrela 1")</f>
        <v>60🤙🏼Avengers: Endgame🤙🏼Joe Russo🤙🏼Estrela 1</v>
      </c>
      <c r="H238" s="5">
        <f>IFERROR(__xludf.DUMMYFUNCTION("SPLiT(G238, ""🤙🏼"",FALSE,FALSE)"),60.0)</f>
        <v>60</v>
      </c>
      <c r="I238" s="5" t="str">
        <f>IFERROR(__xludf.DUMMYFUNCTION("""COMPUTED_VALUE"""),"Avengers: Endgame")</f>
        <v>Avengers: Endgame</v>
      </c>
      <c r="J238" s="5" t="str">
        <f>IFERROR(__xludf.DUMMYFUNCTION("""COMPUTED_VALUE"""),"Joe Russo")</f>
        <v>Joe Russo</v>
      </c>
      <c r="K238" s="5" t="str">
        <f>IFERROR(__xludf.DUMMYFUNCTION("""COMPUTED_VALUE"""),"Estrela 1")</f>
        <v>Estrela 1</v>
      </c>
      <c r="P238" s="5">
        <f>IFERROR(__xludf.DUMMYFUNCTION("""COMPUTED_VALUE"""),60.0)</f>
        <v>60</v>
      </c>
      <c r="Q238" s="5" t="str">
        <f>IFERROR(__xludf.DUMMYFUNCTION("""COMPUTED_VALUE"""),"Avengers: Endgame")</f>
        <v>Avengers: Endgame</v>
      </c>
      <c r="R238" s="5" t="str">
        <f>IFERROR(__xludf.DUMMYFUNCTION("""COMPUTED_VALUE"""),"Joe Russo")</f>
        <v>Joe Russo</v>
      </c>
      <c r="S238" s="5" t="str">
        <f>IFERROR(__xludf.DUMMYFUNCTION("""COMPUTED_VALUE"""),"Estrela 1")</f>
        <v>Estrela 1</v>
      </c>
    </row>
    <row r="239">
      <c r="A239" s="1">
        <v>238.0</v>
      </c>
      <c r="B239" s="1" t="s">
        <v>1638</v>
      </c>
      <c r="C239" s="1" t="s">
        <v>1642</v>
      </c>
      <c r="D239" s="1" t="s">
        <v>1643</v>
      </c>
      <c r="E239" s="1" t="s">
        <v>1644</v>
      </c>
      <c r="F239" s="1" t="s">
        <v>1645</v>
      </c>
      <c r="G239" s="5" t="str">
        <f>IFERROR(__xludf.DUMMYFUNCTION("""COMPUTED_VALUE"""),"60🤙🏼Avengers: Endgame🤙🏼Robert Downey Jr.🤙🏼Estrela 2")</f>
        <v>60🤙🏼Avengers: Endgame🤙🏼Robert Downey Jr.🤙🏼Estrela 2</v>
      </c>
      <c r="H239" s="5">
        <f>IFERROR(__xludf.DUMMYFUNCTION("SPLiT(G239, ""🤙🏼"",FALSE,FALSE)"),60.0)</f>
        <v>60</v>
      </c>
      <c r="I239" s="5" t="str">
        <f>IFERROR(__xludf.DUMMYFUNCTION("""COMPUTED_VALUE"""),"Avengers: Endgame")</f>
        <v>Avengers: Endgame</v>
      </c>
      <c r="J239" s="5" t="str">
        <f>IFERROR(__xludf.DUMMYFUNCTION("""COMPUTED_VALUE"""),"Robert Downey Jr.")</f>
        <v>Robert Downey Jr.</v>
      </c>
      <c r="K239" s="5" t="str">
        <f>IFERROR(__xludf.DUMMYFUNCTION("""COMPUTED_VALUE"""),"Estrela 2")</f>
        <v>Estrela 2</v>
      </c>
      <c r="P239" s="5">
        <f>IFERROR(__xludf.DUMMYFUNCTION("""COMPUTED_VALUE"""),60.0)</f>
        <v>60</v>
      </c>
      <c r="Q239" s="5" t="str">
        <f>IFERROR(__xludf.DUMMYFUNCTION("""COMPUTED_VALUE"""),"Avengers: Endgame")</f>
        <v>Avengers: Endgame</v>
      </c>
      <c r="R239" s="5" t="str">
        <f>IFERROR(__xludf.DUMMYFUNCTION("""COMPUTED_VALUE"""),"Robert Downey Jr.")</f>
        <v>Robert Downey Jr.</v>
      </c>
      <c r="S239" s="5" t="str">
        <f>IFERROR(__xludf.DUMMYFUNCTION("""COMPUTED_VALUE"""),"Estrela 2")</f>
        <v>Estrela 2</v>
      </c>
    </row>
    <row r="240">
      <c r="A240" s="1">
        <v>239.0</v>
      </c>
      <c r="B240" s="1" t="s">
        <v>1646</v>
      </c>
      <c r="C240" s="1" t="s">
        <v>1457</v>
      </c>
      <c r="D240" s="1" t="s">
        <v>1620</v>
      </c>
      <c r="E240" s="1" t="s">
        <v>1648</v>
      </c>
      <c r="F240" s="1" t="s">
        <v>1649</v>
      </c>
      <c r="G240" s="5" t="str">
        <f>IFERROR(__xludf.DUMMYFUNCTION("""COMPUTED_VALUE"""),"60🤙🏼Avengers: Endgame🤙🏼Chris Evans🤙🏼Estrela 3")</f>
        <v>60🤙🏼Avengers: Endgame🤙🏼Chris Evans🤙🏼Estrela 3</v>
      </c>
      <c r="H240" s="5">
        <f>IFERROR(__xludf.DUMMYFUNCTION("SPLiT(G240, ""🤙🏼"",FALSE,FALSE)"),60.0)</f>
        <v>60</v>
      </c>
      <c r="I240" s="5" t="str">
        <f>IFERROR(__xludf.DUMMYFUNCTION("""COMPUTED_VALUE"""),"Avengers: Endgame")</f>
        <v>Avengers: Endgame</v>
      </c>
      <c r="J240" s="5" t="str">
        <f>IFERROR(__xludf.DUMMYFUNCTION("""COMPUTED_VALUE"""),"Chris Evans")</f>
        <v>Chris Evans</v>
      </c>
      <c r="K240" s="5" t="str">
        <f>IFERROR(__xludf.DUMMYFUNCTION("""COMPUTED_VALUE"""),"Estrela 3")</f>
        <v>Estrela 3</v>
      </c>
      <c r="P240" s="5">
        <f>IFERROR(__xludf.DUMMYFUNCTION("""COMPUTED_VALUE"""),60.0)</f>
        <v>60</v>
      </c>
      <c r="Q240" s="5" t="str">
        <f>IFERROR(__xludf.DUMMYFUNCTION("""COMPUTED_VALUE"""),"Avengers: Endgame")</f>
        <v>Avengers: Endgame</v>
      </c>
      <c r="R240" s="5" t="str">
        <f>IFERROR(__xludf.DUMMYFUNCTION("""COMPUTED_VALUE"""),"Chris Evans")</f>
        <v>Chris Evans</v>
      </c>
      <c r="S240" s="5" t="str">
        <f>IFERROR(__xludf.DUMMYFUNCTION("""COMPUTED_VALUE"""),"Estrela 3")</f>
        <v>Estrela 3</v>
      </c>
    </row>
    <row r="241">
      <c r="A241" s="1">
        <v>240.0</v>
      </c>
      <c r="B241" s="1" t="s">
        <v>1650</v>
      </c>
      <c r="C241" s="1" t="s">
        <v>174</v>
      </c>
      <c r="D241" s="1" t="s">
        <v>1652</v>
      </c>
      <c r="E241" s="1" t="s">
        <v>1653</v>
      </c>
      <c r="F241" s="1" t="s">
        <v>1654</v>
      </c>
      <c r="G241" s="5" t="str">
        <f>IFERROR(__xludf.DUMMYFUNCTION("""COMPUTED_VALUE"""),"60🤙🏼Avengers: Endgame🤙🏼Mark Ruffalo🤙🏼Estrela 4")</f>
        <v>60🤙🏼Avengers: Endgame🤙🏼Mark Ruffalo🤙🏼Estrela 4</v>
      </c>
      <c r="H241" s="5">
        <f>IFERROR(__xludf.DUMMYFUNCTION("SPLiT(G241, ""🤙🏼"",FALSE,FALSE)"),60.0)</f>
        <v>60</v>
      </c>
      <c r="I241" s="5" t="str">
        <f>IFERROR(__xludf.DUMMYFUNCTION("""COMPUTED_VALUE"""),"Avengers: Endgame")</f>
        <v>Avengers: Endgame</v>
      </c>
      <c r="J241" s="5" t="str">
        <f>IFERROR(__xludf.DUMMYFUNCTION("""COMPUTED_VALUE"""),"Mark Ruffalo")</f>
        <v>Mark Ruffalo</v>
      </c>
      <c r="K241" s="5" t="str">
        <f>IFERROR(__xludf.DUMMYFUNCTION("""COMPUTED_VALUE"""),"Estrela 4")</f>
        <v>Estrela 4</v>
      </c>
      <c r="P241" s="5">
        <f>IFERROR(__xludf.DUMMYFUNCTION("""COMPUTED_VALUE"""),60.0)</f>
        <v>60</v>
      </c>
      <c r="Q241" s="5" t="str">
        <f>IFERROR(__xludf.DUMMYFUNCTION("""COMPUTED_VALUE"""),"Avengers: Endgame")</f>
        <v>Avengers: Endgame</v>
      </c>
      <c r="R241" s="5" t="str">
        <f>IFERROR(__xludf.DUMMYFUNCTION("""COMPUTED_VALUE"""),"Mark Ruffalo")</f>
        <v>Mark Ruffalo</v>
      </c>
      <c r="S241" s="5" t="str">
        <f>IFERROR(__xludf.DUMMYFUNCTION("""COMPUTED_VALUE"""),"Estrela 4")</f>
        <v>Estrela 4</v>
      </c>
    </row>
    <row r="242">
      <c r="A242" s="1">
        <v>241.0</v>
      </c>
      <c r="B242" s="1" t="s">
        <v>1655</v>
      </c>
      <c r="C242" s="1" t="s">
        <v>461</v>
      </c>
      <c r="D242" s="1" t="s">
        <v>1659</v>
      </c>
      <c r="E242" s="1" t="s">
        <v>1660</v>
      </c>
      <c r="F242" s="1" t="s">
        <v>1661</v>
      </c>
      <c r="G242" s="5" t="str">
        <f>IFERROR(__xludf.DUMMYFUNCTION("""COMPUTED_VALUE"""),"61🤙🏼Avengers: Infinity War🤙🏼Joe Russo🤙🏼Estrela 1")</f>
        <v>61🤙🏼Avengers: Infinity War🤙🏼Joe Russo🤙🏼Estrela 1</v>
      </c>
      <c r="H242" s="5">
        <f>IFERROR(__xludf.DUMMYFUNCTION("SPLiT(G242, ""🤙🏼"",FALSE,FALSE)"),61.0)</f>
        <v>61</v>
      </c>
      <c r="I242" s="5" t="str">
        <f>IFERROR(__xludf.DUMMYFUNCTION("""COMPUTED_VALUE"""),"Avengers: Infinity War")</f>
        <v>Avengers: Infinity War</v>
      </c>
      <c r="J242" s="5" t="str">
        <f>IFERROR(__xludf.DUMMYFUNCTION("""COMPUTED_VALUE"""),"Joe Russo")</f>
        <v>Joe Russo</v>
      </c>
      <c r="K242" s="5" t="str">
        <f>IFERROR(__xludf.DUMMYFUNCTION("""COMPUTED_VALUE"""),"Estrela 1")</f>
        <v>Estrela 1</v>
      </c>
      <c r="P242" s="5">
        <f>IFERROR(__xludf.DUMMYFUNCTION("""COMPUTED_VALUE"""),61.0)</f>
        <v>61</v>
      </c>
      <c r="Q242" s="5" t="str">
        <f>IFERROR(__xludf.DUMMYFUNCTION("""COMPUTED_VALUE"""),"Avengers: Infinity War")</f>
        <v>Avengers: Infinity War</v>
      </c>
      <c r="R242" s="5" t="str">
        <f>IFERROR(__xludf.DUMMYFUNCTION("""COMPUTED_VALUE"""),"Joe Russo")</f>
        <v>Joe Russo</v>
      </c>
      <c r="S242" s="5" t="str">
        <f>IFERROR(__xludf.DUMMYFUNCTION("""COMPUTED_VALUE"""),"Estrela 1")</f>
        <v>Estrela 1</v>
      </c>
    </row>
    <row r="243">
      <c r="A243" s="1">
        <v>242.0</v>
      </c>
      <c r="B243" s="1" t="s">
        <v>1662</v>
      </c>
      <c r="C243" s="1" t="s">
        <v>74</v>
      </c>
      <c r="D243" s="1" t="s">
        <v>1665</v>
      </c>
      <c r="E243" s="1" t="s">
        <v>1666</v>
      </c>
      <c r="F243" s="1" t="s">
        <v>782</v>
      </c>
      <c r="G243" s="5" t="str">
        <f>IFERROR(__xludf.DUMMYFUNCTION("""COMPUTED_VALUE"""),"61🤙🏼Avengers: Infinity War🤙🏼Robert Downey Jr.🤙🏼Estrela 2")</f>
        <v>61🤙🏼Avengers: Infinity War🤙🏼Robert Downey Jr.🤙🏼Estrela 2</v>
      </c>
      <c r="H243" s="5">
        <f>IFERROR(__xludf.DUMMYFUNCTION("SPLiT(G243, ""🤙🏼"",FALSE,FALSE)"),61.0)</f>
        <v>61</v>
      </c>
      <c r="I243" s="5" t="str">
        <f>IFERROR(__xludf.DUMMYFUNCTION("""COMPUTED_VALUE"""),"Avengers: Infinity War")</f>
        <v>Avengers: Infinity War</v>
      </c>
      <c r="J243" s="5" t="str">
        <f>IFERROR(__xludf.DUMMYFUNCTION("""COMPUTED_VALUE"""),"Robert Downey Jr.")</f>
        <v>Robert Downey Jr.</v>
      </c>
      <c r="K243" s="5" t="str">
        <f>IFERROR(__xludf.DUMMYFUNCTION("""COMPUTED_VALUE"""),"Estrela 2")</f>
        <v>Estrela 2</v>
      </c>
      <c r="P243" s="5">
        <f>IFERROR(__xludf.DUMMYFUNCTION("""COMPUTED_VALUE"""),61.0)</f>
        <v>61</v>
      </c>
      <c r="Q243" s="5" t="str">
        <f>IFERROR(__xludf.DUMMYFUNCTION("""COMPUTED_VALUE"""),"Avengers: Infinity War")</f>
        <v>Avengers: Infinity War</v>
      </c>
      <c r="R243" s="5" t="str">
        <f>IFERROR(__xludf.DUMMYFUNCTION("""COMPUTED_VALUE"""),"Robert Downey Jr.")</f>
        <v>Robert Downey Jr.</v>
      </c>
      <c r="S243" s="5" t="str">
        <f>IFERROR(__xludf.DUMMYFUNCTION("""COMPUTED_VALUE"""),"Estrela 2")</f>
        <v>Estrela 2</v>
      </c>
    </row>
    <row r="244">
      <c r="A244" s="1">
        <v>243.0</v>
      </c>
      <c r="B244" s="1" t="s">
        <v>1667</v>
      </c>
      <c r="C244" s="1" t="s">
        <v>489</v>
      </c>
      <c r="D244" s="1" t="s">
        <v>828</v>
      </c>
      <c r="E244" s="1" t="s">
        <v>1669</v>
      </c>
      <c r="F244" s="1" t="s">
        <v>1670</v>
      </c>
      <c r="G244" s="5" t="str">
        <f>IFERROR(__xludf.DUMMYFUNCTION("""COMPUTED_VALUE"""),"61🤙🏼Avengers: Infinity War🤙🏼Chris Hemsworth🤙🏼Estrela 3")</f>
        <v>61🤙🏼Avengers: Infinity War🤙🏼Chris Hemsworth🤙🏼Estrela 3</v>
      </c>
      <c r="H244" s="5">
        <f>IFERROR(__xludf.DUMMYFUNCTION("SPLiT(G244, ""🤙🏼"",FALSE,FALSE)"),61.0)</f>
        <v>61</v>
      </c>
      <c r="I244" s="5" t="str">
        <f>IFERROR(__xludf.DUMMYFUNCTION("""COMPUTED_VALUE"""),"Avengers: Infinity War")</f>
        <v>Avengers: Infinity War</v>
      </c>
      <c r="J244" s="5" t="str">
        <f>IFERROR(__xludf.DUMMYFUNCTION("""COMPUTED_VALUE"""),"Chris Hemsworth")</f>
        <v>Chris Hemsworth</v>
      </c>
      <c r="K244" s="5" t="str">
        <f>IFERROR(__xludf.DUMMYFUNCTION("""COMPUTED_VALUE"""),"Estrela 3")</f>
        <v>Estrela 3</v>
      </c>
      <c r="P244" s="5">
        <f>IFERROR(__xludf.DUMMYFUNCTION("""COMPUTED_VALUE"""),61.0)</f>
        <v>61</v>
      </c>
      <c r="Q244" s="5" t="str">
        <f>IFERROR(__xludf.DUMMYFUNCTION("""COMPUTED_VALUE"""),"Avengers: Infinity War")</f>
        <v>Avengers: Infinity War</v>
      </c>
      <c r="R244" s="5" t="str">
        <f>IFERROR(__xludf.DUMMYFUNCTION("""COMPUTED_VALUE"""),"Chris Hemsworth")</f>
        <v>Chris Hemsworth</v>
      </c>
      <c r="S244" s="5" t="str">
        <f>IFERROR(__xludf.DUMMYFUNCTION("""COMPUTED_VALUE"""),"Estrela 3")</f>
        <v>Estrela 3</v>
      </c>
    </row>
    <row r="245">
      <c r="A245" s="1">
        <v>244.0</v>
      </c>
      <c r="B245" s="1" t="s">
        <v>1671</v>
      </c>
      <c r="C245" s="1" t="s">
        <v>90</v>
      </c>
      <c r="D245" s="1" t="s">
        <v>110</v>
      </c>
      <c r="E245" s="1" t="s">
        <v>1674</v>
      </c>
      <c r="F245" s="1" t="s">
        <v>578</v>
      </c>
      <c r="G245" s="5" t="str">
        <f>IFERROR(__xludf.DUMMYFUNCTION("""COMPUTED_VALUE"""),"61🤙🏼Avengers: Infinity War🤙🏼Mark Ruffalo🤙🏼Estrela 4")</f>
        <v>61🤙🏼Avengers: Infinity War🤙🏼Mark Ruffalo🤙🏼Estrela 4</v>
      </c>
      <c r="H245" s="5">
        <f>IFERROR(__xludf.DUMMYFUNCTION("SPLiT(G245, ""🤙🏼"",FALSE,FALSE)"),61.0)</f>
        <v>61</v>
      </c>
      <c r="I245" s="5" t="str">
        <f>IFERROR(__xludf.DUMMYFUNCTION("""COMPUTED_VALUE"""),"Avengers: Infinity War")</f>
        <v>Avengers: Infinity War</v>
      </c>
      <c r="J245" s="5" t="str">
        <f>IFERROR(__xludf.DUMMYFUNCTION("""COMPUTED_VALUE"""),"Mark Ruffalo")</f>
        <v>Mark Ruffalo</v>
      </c>
      <c r="K245" s="5" t="str">
        <f>IFERROR(__xludf.DUMMYFUNCTION("""COMPUTED_VALUE"""),"Estrela 4")</f>
        <v>Estrela 4</v>
      </c>
      <c r="P245" s="5">
        <f>IFERROR(__xludf.DUMMYFUNCTION("""COMPUTED_VALUE"""),61.0)</f>
        <v>61</v>
      </c>
      <c r="Q245" s="5" t="str">
        <f>IFERROR(__xludf.DUMMYFUNCTION("""COMPUTED_VALUE"""),"Avengers: Infinity War")</f>
        <v>Avengers: Infinity War</v>
      </c>
      <c r="R245" s="5" t="str">
        <f>IFERROR(__xludf.DUMMYFUNCTION("""COMPUTED_VALUE"""),"Mark Ruffalo")</f>
        <v>Mark Ruffalo</v>
      </c>
      <c r="S245" s="5" t="str">
        <f>IFERROR(__xludf.DUMMYFUNCTION("""COMPUTED_VALUE"""),"Estrela 4")</f>
        <v>Estrela 4</v>
      </c>
    </row>
    <row r="246">
      <c r="A246" s="1">
        <v>245.0</v>
      </c>
      <c r="B246" s="1" t="s">
        <v>1675</v>
      </c>
      <c r="C246" s="1" t="s">
        <v>1678</v>
      </c>
      <c r="D246" s="1" t="s">
        <v>492</v>
      </c>
      <c r="E246" s="1" t="s">
        <v>1679</v>
      </c>
      <c r="F246" s="1" t="s">
        <v>1680</v>
      </c>
      <c r="G246" s="5" t="str">
        <f>IFERROR(__xludf.DUMMYFUNCTION("""COMPUTED_VALUE"""),"62🤙🏼Coco🤙🏼Adrian Molina🤙🏼Estrela 1")</f>
        <v>62🤙🏼Coco🤙🏼Adrian Molina🤙🏼Estrela 1</v>
      </c>
      <c r="H246" s="5">
        <f>IFERROR(__xludf.DUMMYFUNCTION("SPLiT(G246, ""🤙🏼"",FALSE,FALSE)"),62.0)</f>
        <v>62</v>
      </c>
      <c r="I246" s="5" t="str">
        <f>IFERROR(__xludf.DUMMYFUNCTION("""COMPUTED_VALUE"""),"Coco")</f>
        <v>Coco</v>
      </c>
      <c r="J246" s="5" t="str">
        <f>IFERROR(__xludf.DUMMYFUNCTION("""COMPUTED_VALUE"""),"Adrian Molina")</f>
        <v>Adrian Molina</v>
      </c>
      <c r="K246" s="5" t="str">
        <f>IFERROR(__xludf.DUMMYFUNCTION("""COMPUTED_VALUE"""),"Estrela 1")</f>
        <v>Estrela 1</v>
      </c>
      <c r="P246" s="5">
        <f>IFERROR(__xludf.DUMMYFUNCTION("""COMPUTED_VALUE"""),62.0)</f>
        <v>62</v>
      </c>
      <c r="Q246" s="5" t="str">
        <f>IFERROR(__xludf.DUMMYFUNCTION("""COMPUTED_VALUE"""),"Coco")</f>
        <v>Coco</v>
      </c>
      <c r="R246" s="5" t="str">
        <f>IFERROR(__xludf.DUMMYFUNCTION("""COMPUTED_VALUE"""),"Adrian Molina")</f>
        <v>Adrian Molina</v>
      </c>
      <c r="S246" s="5" t="str">
        <f>IFERROR(__xludf.DUMMYFUNCTION("""COMPUTED_VALUE"""),"Estrela 1")</f>
        <v>Estrela 1</v>
      </c>
    </row>
    <row r="247">
      <c r="A247" s="1">
        <v>246.0</v>
      </c>
      <c r="B247" s="1" t="s">
        <v>1681</v>
      </c>
      <c r="C247" s="1" t="s">
        <v>1683</v>
      </c>
      <c r="D247" s="1" t="s">
        <v>489</v>
      </c>
      <c r="E247" s="1" t="s">
        <v>1684</v>
      </c>
      <c r="F247" s="1" t="s">
        <v>1685</v>
      </c>
      <c r="G247" s="5" t="str">
        <f>IFERROR(__xludf.DUMMYFUNCTION("""COMPUTED_VALUE"""),"62🤙🏼Coco🤙🏼Anthony Gonzalez🤙🏼Estrela 2")</f>
        <v>62🤙🏼Coco🤙🏼Anthony Gonzalez🤙🏼Estrela 2</v>
      </c>
      <c r="H247" s="5">
        <f>IFERROR(__xludf.DUMMYFUNCTION("SPLiT(G247, ""🤙🏼"",FALSE,FALSE)"),62.0)</f>
        <v>62</v>
      </c>
      <c r="I247" s="5" t="str">
        <f>IFERROR(__xludf.DUMMYFUNCTION("""COMPUTED_VALUE"""),"Coco")</f>
        <v>Coco</v>
      </c>
      <c r="J247" s="5" t="str">
        <f>IFERROR(__xludf.DUMMYFUNCTION("""COMPUTED_VALUE"""),"Anthony Gonzalez")</f>
        <v>Anthony Gonzalez</v>
      </c>
      <c r="K247" s="5" t="str">
        <f>IFERROR(__xludf.DUMMYFUNCTION("""COMPUTED_VALUE"""),"Estrela 2")</f>
        <v>Estrela 2</v>
      </c>
      <c r="P247" s="5">
        <f>IFERROR(__xludf.DUMMYFUNCTION("""COMPUTED_VALUE"""),62.0)</f>
        <v>62</v>
      </c>
      <c r="Q247" s="5" t="str">
        <f>IFERROR(__xludf.DUMMYFUNCTION("""COMPUTED_VALUE"""),"Coco")</f>
        <v>Coco</v>
      </c>
      <c r="R247" s="5" t="str">
        <f>IFERROR(__xludf.DUMMYFUNCTION("""COMPUTED_VALUE"""),"Anthony Gonzalez")</f>
        <v>Anthony Gonzalez</v>
      </c>
      <c r="S247" s="5" t="str">
        <f>IFERROR(__xludf.DUMMYFUNCTION("""COMPUTED_VALUE"""),"Estrela 2")</f>
        <v>Estrela 2</v>
      </c>
    </row>
    <row r="248">
      <c r="A248" s="1">
        <v>247.0</v>
      </c>
      <c r="B248" s="1" t="s">
        <v>1686</v>
      </c>
      <c r="C248" s="1" t="s">
        <v>1690</v>
      </c>
      <c r="D248" s="1" t="s">
        <v>1691</v>
      </c>
      <c r="E248" s="1" t="s">
        <v>1692</v>
      </c>
      <c r="F248" s="1" t="s">
        <v>1693</v>
      </c>
      <c r="G248" s="5" t="str">
        <f>IFERROR(__xludf.DUMMYFUNCTION("""COMPUTED_VALUE"""),"62🤙🏼Coco🤙🏼Gael García Bernal🤙🏼Estrela 3")</f>
        <v>62🤙🏼Coco🤙🏼Gael García Bernal🤙🏼Estrela 3</v>
      </c>
      <c r="H248" s="5">
        <f>IFERROR(__xludf.DUMMYFUNCTION("SPLiT(G248, ""🤙🏼"",FALSE,FALSE)"),62.0)</f>
        <v>62</v>
      </c>
      <c r="I248" s="5" t="str">
        <f>IFERROR(__xludf.DUMMYFUNCTION("""COMPUTED_VALUE"""),"Coco")</f>
        <v>Coco</v>
      </c>
      <c r="J248" s="5" t="str">
        <f>IFERROR(__xludf.DUMMYFUNCTION("""COMPUTED_VALUE"""),"Gael García Bernal")</f>
        <v>Gael García Bernal</v>
      </c>
      <c r="K248" s="5" t="str">
        <f>IFERROR(__xludf.DUMMYFUNCTION("""COMPUTED_VALUE"""),"Estrela 3")</f>
        <v>Estrela 3</v>
      </c>
      <c r="P248" s="5">
        <f>IFERROR(__xludf.DUMMYFUNCTION("""COMPUTED_VALUE"""),62.0)</f>
        <v>62</v>
      </c>
      <c r="Q248" s="5" t="str">
        <f>IFERROR(__xludf.DUMMYFUNCTION("""COMPUTED_VALUE"""),"Coco")</f>
        <v>Coco</v>
      </c>
      <c r="R248" s="5" t="str">
        <f>IFERROR(__xludf.DUMMYFUNCTION("""COMPUTED_VALUE"""),"Gael García Bernal")</f>
        <v>Gael García Bernal</v>
      </c>
      <c r="S248" s="5" t="str">
        <f>IFERROR(__xludf.DUMMYFUNCTION("""COMPUTED_VALUE"""),"Estrela 3")</f>
        <v>Estrela 3</v>
      </c>
    </row>
    <row r="249">
      <c r="A249" s="1">
        <v>248.0</v>
      </c>
      <c r="B249" s="1" t="s">
        <v>1694</v>
      </c>
      <c r="C249" s="1" t="s">
        <v>461</v>
      </c>
      <c r="D249" s="1" t="s">
        <v>1698</v>
      </c>
      <c r="E249" s="1" t="s">
        <v>1648</v>
      </c>
      <c r="F249" s="1" t="s">
        <v>1699</v>
      </c>
      <c r="G249" s="5" t="str">
        <f>IFERROR(__xludf.DUMMYFUNCTION("""COMPUTED_VALUE"""),"62🤙🏼Coco🤙🏼Benjamin Bratt🤙🏼Estrela 4")</f>
        <v>62🤙🏼Coco🤙🏼Benjamin Bratt🤙🏼Estrela 4</v>
      </c>
      <c r="H249" s="5">
        <f>IFERROR(__xludf.DUMMYFUNCTION("SPLiT(G249, ""🤙🏼"",FALSE,FALSE)"),62.0)</f>
        <v>62</v>
      </c>
      <c r="I249" s="5" t="str">
        <f>IFERROR(__xludf.DUMMYFUNCTION("""COMPUTED_VALUE"""),"Coco")</f>
        <v>Coco</v>
      </c>
      <c r="J249" s="5" t="str">
        <f>IFERROR(__xludf.DUMMYFUNCTION("""COMPUTED_VALUE"""),"Benjamin Bratt")</f>
        <v>Benjamin Bratt</v>
      </c>
      <c r="K249" s="5" t="str">
        <f>IFERROR(__xludf.DUMMYFUNCTION("""COMPUTED_VALUE"""),"Estrela 4")</f>
        <v>Estrela 4</v>
      </c>
      <c r="P249" s="5">
        <f>IFERROR(__xludf.DUMMYFUNCTION("""COMPUTED_VALUE"""),62.0)</f>
        <v>62</v>
      </c>
      <c r="Q249" s="5" t="str">
        <f>IFERROR(__xludf.DUMMYFUNCTION("""COMPUTED_VALUE"""),"Coco")</f>
        <v>Coco</v>
      </c>
      <c r="R249" s="5" t="str">
        <f>IFERROR(__xludf.DUMMYFUNCTION("""COMPUTED_VALUE"""),"Benjamin Bratt")</f>
        <v>Benjamin Bratt</v>
      </c>
      <c r="S249" s="5" t="str">
        <f>IFERROR(__xludf.DUMMYFUNCTION("""COMPUTED_VALUE"""),"Estrela 4")</f>
        <v>Estrela 4</v>
      </c>
    </row>
    <row r="250">
      <c r="A250" s="1">
        <v>249.0</v>
      </c>
      <c r="B250" s="1" t="s">
        <v>1700</v>
      </c>
      <c r="C250" s="1" t="s">
        <v>76</v>
      </c>
      <c r="D250" s="1" t="s">
        <v>1703</v>
      </c>
      <c r="E250" s="1" t="s">
        <v>1592</v>
      </c>
      <c r="F250" s="1" t="s">
        <v>1704</v>
      </c>
      <c r="G250" s="5" t="str">
        <f>IFERROR(__xludf.DUMMYFUNCTION("""COMPUTED_VALUE"""),"63🤙🏼Django Unchained🤙🏼Jamie Foxx🤙🏼Estrela 1")</f>
        <v>63🤙🏼Django Unchained🤙🏼Jamie Foxx🤙🏼Estrela 1</v>
      </c>
      <c r="H250" s="5">
        <f>IFERROR(__xludf.DUMMYFUNCTION("SPLiT(G250, ""🤙🏼"",FALSE,FALSE)"),63.0)</f>
        <v>63</v>
      </c>
      <c r="I250" s="5" t="str">
        <f>IFERROR(__xludf.DUMMYFUNCTION("""COMPUTED_VALUE"""),"Django Unchained")</f>
        <v>Django Unchained</v>
      </c>
      <c r="J250" s="5" t="str">
        <f>IFERROR(__xludf.DUMMYFUNCTION("""COMPUTED_VALUE"""),"Jamie Foxx")</f>
        <v>Jamie Foxx</v>
      </c>
      <c r="K250" s="5" t="str">
        <f>IFERROR(__xludf.DUMMYFUNCTION("""COMPUTED_VALUE"""),"Estrela 1")</f>
        <v>Estrela 1</v>
      </c>
      <c r="P250" s="5">
        <f>IFERROR(__xludf.DUMMYFUNCTION("""COMPUTED_VALUE"""),63.0)</f>
        <v>63</v>
      </c>
      <c r="Q250" s="5" t="str">
        <f>IFERROR(__xludf.DUMMYFUNCTION("""COMPUTED_VALUE"""),"Django Unchained")</f>
        <v>Django Unchained</v>
      </c>
      <c r="R250" s="5" t="str">
        <f>IFERROR(__xludf.DUMMYFUNCTION("""COMPUTED_VALUE"""),"Jamie Foxx")</f>
        <v>Jamie Foxx</v>
      </c>
      <c r="S250" s="5" t="str">
        <f>IFERROR(__xludf.DUMMYFUNCTION("""COMPUTED_VALUE"""),"Estrela 1")</f>
        <v>Estrela 1</v>
      </c>
    </row>
    <row r="251">
      <c r="A251" s="1">
        <v>250.0</v>
      </c>
      <c r="B251" s="1" t="s">
        <v>1705</v>
      </c>
      <c r="C251" s="1" t="s">
        <v>781</v>
      </c>
      <c r="D251" s="1" t="s">
        <v>1708</v>
      </c>
      <c r="E251" s="1" t="s">
        <v>1709</v>
      </c>
      <c r="F251" s="1" t="s">
        <v>1710</v>
      </c>
      <c r="G251" s="5" t="str">
        <f>IFERROR(__xludf.DUMMYFUNCTION("""COMPUTED_VALUE"""),"63🤙🏼Django Unchained🤙🏼Christoph Waltz🤙🏼Estrela 2")</f>
        <v>63🤙🏼Django Unchained🤙🏼Christoph Waltz🤙🏼Estrela 2</v>
      </c>
      <c r="H251" s="5">
        <f>IFERROR(__xludf.DUMMYFUNCTION("SPLiT(G251, ""🤙🏼"",FALSE,FALSE)"),63.0)</f>
        <v>63</v>
      </c>
      <c r="I251" s="5" t="str">
        <f>IFERROR(__xludf.DUMMYFUNCTION("""COMPUTED_VALUE"""),"Django Unchained")</f>
        <v>Django Unchained</v>
      </c>
      <c r="J251" s="5" t="str">
        <f>IFERROR(__xludf.DUMMYFUNCTION("""COMPUTED_VALUE"""),"Christoph Waltz")</f>
        <v>Christoph Waltz</v>
      </c>
      <c r="K251" s="5" t="str">
        <f>IFERROR(__xludf.DUMMYFUNCTION("""COMPUTED_VALUE"""),"Estrela 2")</f>
        <v>Estrela 2</v>
      </c>
      <c r="P251" s="5">
        <f>IFERROR(__xludf.DUMMYFUNCTION("""COMPUTED_VALUE"""),63.0)</f>
        <v>63</v>
      </c>
      <c r="Q251" s="5" t="str">
        <f>IFERROR(__xludf.DUMMYFUNCTION("""COMPUTED_VALUE"""),"Django Unchained")</f>
        <v>Django Unchained</v>
      </c>
      <c r="R251" s="5" t="str">
        <f>IFERROR(__xludf.DUMMYFUNCTION("""COMPUTED_VALUE"""),"Christoph Waltz")</f>
        <v>Christoph Waltz</v>
      </c>
      <c r="S251" s="5" t="str">
        <f>IFERROR(__xludf.DUMMYFUNCTION("""COMPUTED_VALUE"""),"Estrela 2")</f>
        <v>Estrela 2</v>
      </c>
    </row>
    <row r="252">
      <c r="A252" s="1">
        <v>251.0</v>
      </c>
      <c r="B252" s="1" t="s">
        <v>1711</v>
      </c>
      <c r="C252" s="1" t="s">
        <v>718</v>
      </c>
      <c r="D252" s="1" t="s">
        <v>1151</v>
      </c>
      <c r="E252" s="1" t="s">
        <v>1714</v>
      </c>
      <c r="F252" s="1" t="s">
        <v>1715</v>
      </c>
      <c r="G252" s="5" t="str">
        <f>IFERROR(__xludf.DUMMYFUNCTION("""COMPUTED_VALUE"""),"63🤙🏼Django Unchained🤙🏼Leonardo DiCaprio🤙🏼Estrela 3")</f>
        <v>63🤙🏼Django Unchained🤙🏼Leonardo DiCaprio🤙🏼Estrela 3</v>
      </c>
      <c r="H252" s="5">
        <f>IFERROR(__xludf.DUMMYFUNCTION("SPLiT(G252, ""🤙🏼"",FALSE,FALSE)"),63.0)</f>
        <v>63</v>
      </c>
      <c r="I252" s="5" t="str">
        <f>IFERROR(__xludf.DUMMYFUNCTION("""COMPUTED_VALUE"""),"Django Unchained")</f>
        <v>Django Unchained</v>
      </c>
      <c r="J252" s="5" t="str">
        <f>IFERROR(__xludf.DUMMYFUNCTION("""COMPUTED_VALUE"""),"Leonardo DiCaprio")</f>
        <v>Leonardo DiCaprio</v>
      </c>
      <c r="K252" s="5" t="str">
        <f>IFERROR(__xludf.DUMMYFUNCTION("""COMPUTED_VALUE"""),"Estrela 3")</f>
        <v>Estrela 3</v>
      </c>
      <c r="P252" s="5">
        <f>IFERROR(__xludf.DUMMYFUNCTION("""COMPUTED_VALUE"""),63.0)</f>
        <v>63</v>
      </c>
      <c r="Q252" s="5" t="str">
        <f>IFERROR(__xludf.DUMMYFUNCTION("""COMPUTED_VALUE"""),"Django Unchained")</f>
        <v>Django Unchained</v>
      </c>
      <c r="R252" s="5" t="str">
        <f>IFERROR(__xludf.DUMMYFUNCTION("""COMPUTED_VALUE"""),"Leonardo DiCaprio")</f>
        <v>Leonardo DiCaprio</v>
      </c>
      <c r="S252" s="5" t="str">
        <f>IFERROR(__xludf.DUMMYFUNCTION("""COMPUTED_VALUE"""),"Estrela 3")</f>
        <v>Estrela 3</v>
      </c>
    </row>
    <row r="253">
      <c r="A253" s="1">
        <v>252.0</v>
      </c>
      <c r="B253" s="1" t="s">
        <v>1716</v>
      </c>
      <c r="C253" s="1" t="s">
        <v>1720</v>
      </c>
      <c r="D253" s="1" t="s">
        <v>1721</v>
      </c>
      <c r="E253" s="1" t="s">
        <v>1722</v>
      </c>
      <c r="F253" s="1" t="s">
        <v>1723</v>
      </c>
      <c r="G253" s="5" t="str">
        <f>IFERROR(__xludf.DUMMYFUNCTION("""COMPUTED_VALUE"""),"63🤙🏼Django Unchained🤙🏼Kerry Washington🤙🏼Estrela 4")</f>
        <v>63🤙🏼Django Unchained🤙🏼Kerry Washington🤙🏼Estrela 4</v>
      </c>
      <c r="H253" s="5">
        <f>IFERROR(__xludf.DUMMYFUNCTION("SPLiT(G253, ""🤙🏼"",FALSE,FALSE)"),63.0)</f>
        <v>63</v>
      </c>
      <c r="I253" s="5" t="str">
        <f>IFERROR(__xludf.DUMMYFUNCTION("""COMPUTED_VALUE"""),"Django Unchained")</f>
        <v>Django Unchained</v>
      </c>
      <c r="J253" s="5" t="str">
        <f>IFERROR(__xludf.DUMMYFUNCTION("""COMPUTED_VALUE"""),"Kerry Washington")</f>
        <v>Kerry Washington</v>
      </c>
      <c r="K253" s="5" t="str">
        <f>IFERROR(__xludf.DUMMYFUNCTION("""COMPUTED_VALUE"""),"Estrela 4")</f>
        <v>Estrela 4</v>
      </c>
      <c r="P253" s="5">
        <f>IFERROR(__xludf.DUMMYFUNCTION("""COMPUTED_VALUE"""),63.0)</f>
        <v>63</v>
      </c>
      <c r="Q253" s="5" t="str">
        <f>IFERROR(__xludf.DUMMYFUNCTION("""COMPUTED_VALUE"""),"Django Unchained")</f>
        <v>Django Unchained</v>
      </c>
      <c r="R253" s="5" t="str">
        <f>IFERROR(__xludf.DUMMYFUNCTION("""COMPUTED_VALUE"""),"Kerry Washington")</f>
        <v>Kerry Washington</v>
      </c>
      <c r="S253" s="5" t="str">
        <f>IFERROR(__xludf.DUMMYFUNCTION("""COMPUTED_VALUE"""),"Estrela 4")</f>
        <v>Estrela 4</v>
      </c>
    </row>
    <row r="254">
      <c r="A254" s="1">
        <v>253.0</v>
      </c>
      <c r="B254" s="1" t="s">
        <v>1724</v>
      </c>
      <c r="C254" s="1" t="s">
        <v>1612</v>
      </c>
      <c r="D254" s="1" t="s">
        <v>1727</v>
      </c>
      <c r="E254" s="1" t="s">
        <v>1685</v>
      </c>
      <c r="F254" s="1" t="s">
        <v>1728</v>
      </c>
      <c r="G254" s="5" t="str">
        <f>IFERROR(__xludf.DUMMYFUNCTION("""COMPUTED_VALUE"""),"64🤙🏼The Dark Knight Rises🤙🏼Christian Bale🤙🏼Estrela 1")</f>
        <v>64🤙🏼The Dark Knight Rises🤙🏼Christian Bale🤙🏼Estrela 1</v>
      </c>
      <c r="H254" s="5">
        <f>IFERROR(__xludf.DUMMYFUNCTION("SPLiT(G254, ""🤙🏼"",FALSE,FALSE)"),64.0)</f>
        <v>64</v>
      </c>
      <c r="I254" s="5" t="str">
        <f>IFERROR(__xludf.DUMMYFUNCTION("""COMPUTED_VALUE"""),"The Dark Knight Rises")</f>
        <v>The Dark Knight Rises</v>
      </c>
      <c r="J254" s="5" t="str">
        <f>IFERROR(__xludf.DUMMYFUNCTION("""COMPUTED_VALUE"""),"Christian Bale")</f>
        <v>Christian Bale</v>
      </c>
      <c r="K254" s="5" t="str">
        <f>IFERROR(__xludf.DUMMYFUNCTION("""COMPUTED_VALUE"""),"Estrela 1")</f>
        <v>Estrela 1</v>
      </c>
      <c r="P254" s="5">
        <f>IFERROR(__xludf.DUMMYFUNCTION("""COMPUTED_VALUE"""),64.0)</f>
        <v>64</v>
      </c>
      <c r="Q254" s="5" t="str">
        <f>IFERROR(__xludf.DUMMYFUNCTION("""COMPUTED_VALUE"""),"The Dark Knight Rises")</f>
        <v>The Dark Knight Rises</v>
      </c>
      <c r="R254" s="5" t="str">
        <f>IFERROR(__xludf.DUMMYFUNCTION("""COMPUTED_VALUE"""),"Christian Bale")</f>
        <v>Christian Bale</v>
      </c>
      <c r="S254" s="5" t="str">
        <f>IFERROR(__xludf.DUMMYFUNCTION("""COMPUTED_VALUE"""),"Estrela 1")</f>
        <v>Estrela 1</v>
      </c>
    </row>
    <row r="255">
      <c r="A255" s="1">
        <v>254.0</v>
      </c>
      <c r="B255" s="1" t="s">
        <v>1729</v>
      </c>
      <c r="C255" s="1" t="s">
        <v>1732</v>
      </c>
      <c r="D255" s="1" t="s">
        <v>1733</v>
      </c>
      <c r="E255" s="1" t="s">
        <v>1734</v>
      </c>
      <c r="F255" s="1" t="s">
        <v>1735</v>
      </c>
      <c r="G255" s="5" t="str">
        <f>IFERROR(__xludf.DUMMYFUNCTION("""COMPUTED_VALUE"""),"64🤙🏼The Dark Knight Rises🤙🏼Tom Hardy🤙🏼Estrela 2")</f>
        <v>64🤙🏼The Dark Knight Rises🤙🏼Tom Hardy🤙🏼Estrela 2</v>
      </c>
      <c r="H255" s="5">
        <f>IFERROR(__xludf.DUMMYFUNCTION("SPLiT(G255, ""🤙🏼"",FALSE,FALSE)"),64.0)</f>
        <v>64</v>
      </c>
      <c r="I255" s="5" t="str">
        <f>IFERROR(__xludf.DUMMYFUNCTION("""COMPUTED_VALUE"""),"The Dark Knight Rises")</f>
        <v>The Dark Knight Rises</v>
      </c>
      <c r="J255" s="5" t="str">
        <f>IFERROR(__xludf.DUMMYFUNCTION("""COMPUTED_VALUE"""),"Tom Hardy")</f>
        <v>Tom Hardy</v>
      </c>
      <c r="K255" s="5" t="str">
        <f>IFERROR(__xludf.DUMMYFUNCTION("""COMPUTED_VALUE"""),"Estrela 2")</f>
        <v>Estrela 2</v>
      </c>
      <c r="P255" s="5">
        <f>IFERROR(__xludf.DUMMYFUNCTION("""COMPUTED_VALUE"""),64.0)</f>
        <v>64</v>
      </c>
      <c r="Q255" s="5" t="str">
        <f>IFERROR(__xludf.DUMMYFUNCTION("""COMPUTED_VALUE"""),"The Dark Knight Rises")</f>
        <v>The Dark Knight Rises</v>
      </c>
      <c r="R255" s="5" t="str">
        <f>IFERROR(__xludf.DUMMYFUNCTION("""COMPUTED_VALUE"""),"Tom Hardy")</f>
        <v>Tom Hardy</v>
      </c>
      <c r="S255" s="5" t="str">
        <f>IFERROR(__xludf.DUMMYFUNCTION("""COMPUTED_VALUE"""),"Estrela 2")</f>
        <v>Estrela 2</v>
      </c>
    </row>
    <row r="256">
      <c r="A256" s="1">
        <v>255.0</v>
      </c>
      <c r="B256" s="1" t="s">
        <v>1736</v>
      </c>
      <c r="C256" s="1" t="s">
        <v>1739</v>
      </c>
      <c r="D256" s="1" t="s">
        <v>1740</v>
      </c>
      <c r="E256" s="1" t="s">
        <v>1741</v>
      </c>
      <c r="F256" s="1" t="s">
        <v>1742</v>
      </c>
      <c r="G256" s="5" t="str">
        <f>IFERROR(__xludf.DUMMYFUNCTION("""COMPUTED_VALUE"""),"64🤙🏼The Dark Knight Rises🤙🏼Anne Hathaway🤙🏼Estrela 3")</f>
        <v>64🤙🏼The Dark Knight Rises🤙🏼Anne Hathaway🤙🏼Estrela 3</v>
      </c>
      <c r="H256" s="5">
        <f>IFERROR(__xludf.DUMMYFUNCTION("SPLiT(G256, ""🤙🏼"",FALSE,FALSE)"),64.0)</f>
        <v>64</v>
      </c>
      <c r="I256" s="5" t="str">
        <f>IFERROR(__xludf.DUMMYFUNCTION("""COMPUTED_VALUE"""),"The Dark Knight Rises")</f>
        <v>The Dark Knight Rises</v>
      </c>
      <c r="J256" s="5" t="str">
        <f>IFERROR(__xludf.DUMMYFUNCTION("""COMPUTED_VALUE"""),"Anne Hathaway")</f>
        <v>Anne Hathaway</v>
      </c>
      <c r="K256" s="5" t="str">
        <f>IFERROR(__xludf.DUMMYFUNCTION("""COMPUTED_VALUE"""),"Estrela 3")</f>
        <v>Estrela 3</v>
      </c>
      <c r="P256" s="5">
        <f>IFERROR(__xludf.DUMMYFUNCTION("""COMPUTED_VALUE"""),64.0)</f>
        <v>64</v>
      </c>
      <c r="Q256" s="5" t="str">
        <f>IFERROR(__xludf.DUMMYFUNCTION("""COMPUTED_VALUE"""),"The Dark Knight Rises")</f>
        <v>The Dark Knight Rises</v>
      </c>
      <c r="R256" s="5" t="str">
        <f>IFERROR(__xludf.DUMMYFUNCTION("""COMPUTED_VALUE"""),"Anne Hathaway")</f>
        <v>Anne Hathaway</v>
      </c>
      <c r="S256" s="5" t="str">
        <f>IFERROR(__xludf.DUMMYFUNCTION("""COMPUTED_VALUE"""),"Estrela 3")</f>
        <v>Estrela 3</v>
      </c>
    </row>
    <row r="257">
      <c r="A257" s="1">
        <v>256.0</v>
      </c>
      <c r="B257" s="1" t="s">
        <v>1743</v>
      </c>
      <c r="C257" s="1" t="s">
        <v>1612</v>
      </c>
      <c r="D257" s="1" t="s">
        <v>1745</v>
      </c>
      <c r="E257" s="1" t="s">
        <v>972</v>
      </c>
      <c r="F257" s="1" t="s">
        <v>1746</v>
      </c>
      <c r="G257" s="5" t="str">
        <f>IFERROR(__xludf.DUMMYFUNCTION("""COMPUTED_VALUE"""),"64🤙🏼The Dark Knight Rises🤙🏼Gary Oldman🤙🏼Estrela 4")</f>
        <v>64🤙🏼The Dark Knight Rises🤙🏼Gary Oldman🤙🏼Estrela 4</v>
      </c>
      <c r="H257" s="5">
        <f>IFERROR(__xludf.DUMMYFUNCTION("SPLiT(G257, ""🤙🏼"",FALSE,FALSE)"),64.0)</f>
        <v>64</v>
      </c>
      <c r="I257" s="5" t="str">
        <f>IFERROR(__xludf.DUMMYFUNCTION("""COMPUTED_VALUE"""),"The Dark Knight Rises")</f>
        <v>The Dark Knight Rises</v>
      </c>
      <c r="J257" s="5" t="str">
        <f>IFERROR(__xludf.DUMMYFUNCTION("""COMPUTED_VALUE"""),"Gary Oldman")</f>
        <v>Gary Oldman</v>
      </c>
      <c r="K257" s="5" t="str">
        <f>IFERROR(__xludf.DUMMYFUNCTION("""COMPUTED_VALUE"""),"Estrela 4")</f>
        <v>Estrela 4</v>
      </c>
      <c r="P257" s="5">
        <f>IFERROR(__xludf.DUMMYFUNCTION("""COMPUTED_VALUE"""),64.0)</f>
        <v>64</v>
      </c>
      <c r="Q257" s="5" t="str">
        <f>IFERROR(__xludf.DUMMYFUNCTION("""COMPUTED_VALUE"""),"The Dark Knight Rises")</f>
        <v>The Dark Knight Rises</v>
      </c>
      <c r="R257" s="5" t="str">
        <f>IFERROR(__xludf.DUMMYFUNCTION("""COMPUTED_VALUE"""),"Gary Oldman")</f>
        <v>Gary Oldman</v>
      </c>
      <c r="S257" s="5" t="str">
        <f>IFERROR(__xludf.DUMMYFUNCTION("""COMPUTED_VALUE"""),"Estrela 4")</f>
        <v>Estrela 4</v>
      </c>
    </row>
    <row r="258">
      <c r="A258" s="1">
        <v>257.0</v>
      </c>
      <c r="B258" s="1" t="s">
        <v>1747</v>
      </c>
      <c r="C258" s="1" t="s">
        <v>1749</v>
      </c>
      <c r="D258" s="1" t="s">
        <v>1750</v>
      </c>
      <c r="E258" s="1" t="s">
        <v>1751</v>
      </c>
      <c r="F258" s="1" t="s">
        <v>1752</v>
      </c>
      <c r="G258" s="5" t="str">
        <f>IFERROR(__xludf.DUMMYFUNCTION("""COMPUTED_VALUE"""),"65🤙🏼3 Idiots🤙🏼Aamir Khan🤙🏼Estrela 1")</f>
        <v>65🤙🏼3 Idiots🤙🏼Aamir Khan🤙🏼Estrela 1</v>
      </c>
      <c r="H258" s="5">
        <f>IFERROR(__xludf.DUMMYFUNCTION("SPLiT(G258, ""🤙🏼"",FALSE,FALSE)"),65.0)</f>
        <v>65</v>
      </c>
      <c r="I258" s="5" t="str">
        <f>IFERROR(__xludf.DUMMYFUNCTION("""COMPUTED_VALUE"""),"3 Idiots")</f>
        <v>3 Idiots</v>
      </c>
      <c r="J258" s="5" t="str">
        <f>IFERROR(__xludf.DUMMYFUNCTION("""COMPUTED_VALUE"""),"Aamir Khan")</f>
        <v>Aamir Khan</v>
      </c>
      <c r="K258" s="5" t="str">
        <f>IFERROR(__xludf.DUMMYFUNCTION("""COMPUTED_VALUE"""),"Estrela 1")</f>
        <v>Estrela 1</v>
      </c>
      <c r="P258" s="5">
        <f>IFERROR(__xludf.DUMMYFUNCTION("""COMPUTED_VALUE"""),65.0)</f>
        <v>65</v>
      </c>
      <c r="Q258" s="5" t="str">
        <f>IFERROR(__xludf.DUMMYFUNCTION("""COMPUTED_VALUE"""),"3 Idiots")</f>
        <v>3 Idiots</v>
      </c>
      <c r="R258" s="5" t="str">
        <f>IFERROR(__xludf.DUMMYFUNCTION("""COMPUTED_VALUE"""),"Aamir Khan")</f>
        <v>Aamir Khan</v>
      </c>
      <c r="S258" s="5" t="str">
        <f>IFERROR(__xludf.DUMMYFUNCTION("""COMPUTED_VALUE"""),"Estrela 1")</f>
        <v>Estrela 1</v>
      </c>
    </row>
    <row r="259">
      <c r="A259" s="1">
        <v>258.0</v>
      </c>
      <c r="B259" s="1" t="s">
        <v>1753</v>
      </c>
      <c r="C259" s="1" t="s">
        <v>1755</v>
      </c>
      <c r="D259" s="1" t="s">
        <v>1756</v>
      </c>
      <c r="E259" s="1" t="s">
        <v>1757</v>
      </c>
      <c r="F259" s="1" t="s">
        <v>1758</v>
      </c>
      <c r="G259" s="5" t="str">
        <f>IFERROR(__xludf.DUMMYFUNCTION("""COMPUTED_VALUE"""),"65🤙🏼3 Idiots🤙🏼Madhavan🤙🏼Estrela 2")</f>
        <v>65🤙🏼3 Idiots🤙🏼Madhavan🤙🏼Estrela 2</v>
      </c>
      <c r="H259" s="5">
        <f>IFERROR(__xludf.DUMMYFUNCTION("SPLiT(G259, ""🤙🏼"",FALSE,FALSE)"),65.0)</f>
        <v>65</v>
      </c>
      <c r="I259" s="5" t="str">
        <f>IFERROR(__xludf.DUMMYFUNCTION("""COMPUTED_VALUE"""),"3 Idiots")</f>
        <v>3 Idiots</v>
      </c>
      <c r="J259" s="5" t="str">
        <f>IFERROR(__xludf.DUMMYFUNCTION("""COMPUTED_VALUE"""),"Madhavan")</f>
        <v>Madhavan</v>
      </c>
      <c r="K259" s="5" t="str">
        <f>IFERROR(__xludf.DUMMYFUNCTION("""COMPUTED_VALUE"""),"Estrela 2")</f>
        <v>Estrela 2</v>
      </c>
      <c r="P259" s="5">
        <f>IFERROR(__xludf.DUMMYFUNCTION("""COMPUTED_VALUE"""),65.0)</f>
        <v>65</v>
      </c>
      <c r="Q259" s="5" t="str">
        <f>IFERROR(__xludf.DUMMYFUNCTION("""COMPUTED_VALUE"""),"3 Idiots")</f>
        <v>3 Idiots</v>
      </c>
      <c r="R259" s="5" t="str">
        <f>IFERROR(__xludf.DUMMYFUNCTION("""COMPUTED_VALUE"""),"Madhavan")</f>
        <v>Madhavan</v>
      </c>
      <c r="S259" s="5" t="str">
        <f>IFERROR(__xludf.DUMMYFUNCTION("""COMPUTED_VALUE"""),"Estrela 2")</f>
        <v>Estrela 2</v>
      </c>
    </row>
    <row r="260">
      <c r="A260" s="1">
        <v>259.0</v>
      </c>
      <c r="B260" s="1" t="s">
        <v>1759</v>
      </c>
      <c r="C260" s="1" t="s">
        <v>1084</v>
      </c>
      <c r="D260" s="1" t="s">
        <v>1762</v>
      </c>
      <c r="E260" s="1" t="s">
        <v>1763</v>
      </c>
      <c r="F260" s="1" t="s">
        <v>1764</v>
      </c>
      <c r="G260" s="5" t="str">
        <f>IFERROR(__xludf.DUMMYFUNCTION("""COMPUTED_VALUE"""),"65🤙🏼3 Idiots🤙🏼Mona Singh🤙🏼Estrela 3")</f>
        <v>65🤙🏼3 Idiots🤙🏼Mona Singh🤙🏼Estrela 3</v>
      </c>
      <c r="H260" s="5">
        <f>IFERROR(__xludf.DUMMYFUNCTION("SPLiT(G260, ""🤙🏼"",FALSE,FALSE)"),65.0)</f>
        <v>65</v>
      </c>
      <c r="I260" s="5" t="str">
        <f>IFERROR(__xludf.DUMMYFUNCTION("""COMPUTED_VALUE"""),"3 Idiots")</f>
        <v>3 Idiots</v>
      </c>
      <c r="J260" s="5" t="str">
        <f>IFERROR(__xludf.DUMMYFUNCTION("""COMPUTED_VALUE"""),"Mona Singh")</f>
        <v>Mona Singh</v>
      </c>
      <c r="K260" s="5" t="str">
        <f>IFERROR(__xludf.DUMMYFUNCTION("""COMPUTED_VALUE"""),"Estrela 3")</f>
        <v>Estrela 3</v>
      </c>
      <c r="P260" s="5">
        <f>IFERROR(__xludf.DUMMYFUNCTION("""COMPUTED_VALUE"""),65.0)</f>
        <v>65</v>
      </c>
      <c r="Q260" s="5" t="str">
        <f>IFERROR(__xludf.DUMMYFUNCTION("""COMPUTED_VALUE"""),"3 Idiots")</f>
        <v>3 Idiots</v>
      </c>
      <c r="R260" s="5" t="str">
        <f>IFERROR(__xludf.DUMMYFUNCTION("""COMPUTED_VALUE"""),"Mona Singh")</f>
        <v>Mona Singh</v>
      </c>
      <c r="S260" s="5" t="str">
        <f>IFERROR(__xludf.DUMMYFUNCTION("""COMPUTED_VALUE"""),"Estrela 3")</f>
        <v>Estrela 3</v>
      </c>
    </row>
    <row r="261">
      <c r="A261" s="1">
        <v>260.0</v>
      </c>
      <c r="B261" s="1" t="s">
        <v>1765</v>
      </c>
      <c r="C261" s="1" t="s">
        <v>1642</v>
      </c>
      <c r="D261" s="1" t="s">
        <v>1643</v>
      </c>
      <c r="E261" s="1" t="s">
        <v>1767</v>
      </c>
      <c r="F261" s="1" t="s">
        <v>1768</v>
      </c>
      <c r="G261" s="5" t="str">
        <f>IFERROR(__xludf.DUMMYFUNCTION("""COMPUTED_VALUE"""),"65🤙🏼3 Idiots🤙🏼Sharman Joshi🤙🏼Estrela 4")</f>
        <v>65🤙🏼3 Idiots🤙🏼Sharman Joshi🤙🏼Estrela 4</v>
      </c>
      <c r="H261" s="5">
        <f>IFERROR(__xludf.DUMMYFUNCTION("SPLiT(G261, ""🤙🏼"",FALSE,FALSE)"),65.0)</f>
        <v>65</v>
      </c>
      <c r="I261" s="5" t="str">
        <f>IFERROR(__xludf.DUMMYFUNCTION("""COMPUTED_VALUE"""),"3 Idiots")</f>
        <v>3 Idiots</v>
      </c>
      <c r="J261" s="5" t="str">
        <f>IFERROR(__xludf.DUMMYFUNCTION("""COMPUTED_VALUE"""),"Sharman Joshi")</f>
        <v>Sharman Joshi</v>
      </c>
      <c r="K261" s="5" t="str">
        <f>IFERROR(__xludf.DUMMYFUNCTION("""COMPUTED_VALUE"""),"Estrela 4")</f>
        <v>Estrela 4</v>
      </c>
      <c r="P261" s="5">
        <f>IFERROR(__xludf.DUMMYFUNCTION("""COMPUTED_VALUE"""),65.0)</f>
        <v>65</v>
      </c>
      <c r="Q261" s="5" t="str">
        <f>IFERROR(__xludf.DUMMYFUNCTION("""COMPUTED_VALUE"""),"3 Idiots")</f>
        <v>3 Idiots</v>
      </c>
      <c r="R261" s="5" t="str">
        <f>IFERROR(__xludf.DUMMYFUNCTION("""COMPUTED_VALUE"""),"Sharman Joshi")</f>
        <v>Sharman Joshi</v>
      </c>
      <c r="S261" s="5" t="str">
        <f>IFERROR(__xludf.DUMMYFUNCTION("""COMPUTED_VALUE"""),"Estrela 4")</f>
        <v>Estrela 4</v>
      </c>
    </row>
    <row r="262">
      <c r="A262" s="1">
        <v>261.0</v>
      </c>
      <c r="B262" s="1" t="s">
        <v>1769</v>
      </c>
      <c r="C262" s="1" t="s">
        <v>1772</v>
      </c>
      <c r="D262" s="1" t="s">
        <v>1773</v>
      </c>
      <c r="E262" s="1" t="s">
        <v>1774</v>
      </c>
      <c r="F262" s="1" t="s">
        <v>1775</v>
      </c>
      <c r="G262" s="5" t="str">
        <f>IFERROR(__xludf.DUMMYFUNCTION("""COMPUTED_VALUE"""),"66🤙🏼Taare Zameen Par🤙🏼Amole Gupte🤙🏼Estrela 1")</f>
        <v>66🤙🏼Taare Zameen Par🤙🏼Amole Gupte🤙🏼Estrela 1</v>
      </c>
      <c r="H262" s="5">
        <f>IFERROR(__xludf.DUMMYFUNCTION("SPLiT(G262, ""🤙🏼"",FALSE,FALSE)"),66.0)</f>
        <v>66</v>
      </c>
      <c r="I262" s="5" t="str">
        <f>IFERROR(__xludf.DUMMYFUNCTION("""COMPUTED_VALUE"""),"Taare Zameen Par")</f>
        <v>Taare Zameen Par</v>
      </c>
      <c r="J262" s="5" t="str">
        <f>IFERROR(__xludf.DUMMYFUNCTION("""COMPUTED_VALUE"""),"Amole Gupte")</f>
        <v>Amole Gupte</v>
      </c>
      <c r="K262" s="5" t="str">
        <f>IFERROR(__xludf.DUMMYFUNCTION("""COMPUTED_VALUE"""),"Estrela 1")</f>
        <v>Estrela 1</v>
      </c>
      <c r="P262" s="5">
        <f>IFERROR(__xludf.DUMMYFUNCTION("""COMPUTED_VALUE"""),66.0)</f>
        <v>66</v>
      </c>
      <c r="Q262" s="5" t="str">
        <f>IFERROR(__xludf.DUMMYFUNCTION("""COMPUTED_VALUE"""),"Taare Zameen Par")</f>
        <v>Taare Zameen Par</v>
      </c>
      <c r="R262" s="5" t="str">
        <f>IFERROR(__xludf.DUMMYFUNCTION("""COMPUTED_VALUE"""),"Amole Gupte")</f>
        <v>Amole Gupte</v>
      </c>
      <c r="S262" s="5" t="str">
        <f>IFERROR(__xludf.DUMMYFUNCTION("""COMPUTED_VALUE"""),"Estrela 1")</f>
        <v>Estrela 1</v>
      </c>
    </row>
    <row r="263">
      <c r="A263" s="1">
        <v>262.0</v>
      </c>
      <c r="B263" s="1" t="s">
        <v>1776</v>
      </c>
      <c r="C263" s="1" t="s">
        <v>1779</v>
      </c>
      <c r="D263" s="1" t="s">
        <v>1780</v>
      </c>
      <c r="E263" s="1" t="s">
        <v>1732</v>
      </c>
      <c r="F263" s="1" t="s">
        <v>1781</v>
      </c>
      <c r="G263" s="5" t="str">
        <f>IFERROR(__xludf.DUMMYFUNCTION("""COMPUTED_VALUE"""),"66🤙🏼Taare Zameen Par🤙🏼Darsheel Safary🤙🏼Estrela 2")</f>
        <v>66🤙🏼Taare Zameen Par🤙🏼Darsheel Safary🤙🏼Estrela 2</v>
      </c>
      <c r="H263" s="5">
        <f>IFERROR(__xludf.DUMMYFUNCTION("SPLiT(G263, ""🤙🏼"",FALSE,FALSE)"),66.0)</f>
        <v>66</v>
      </c>
      <c r="I263" s="5" t="str">
        <f>IFERROR(__xludf.DUMMYFUNCTION("""COMPUTED_VALUE"""),"Taare Zameen Par")</f>
        <v>Taare Zameen Par</v>
      </c>
      <c r="J263" s="5" t="str">
        <f>IFERROR(__xludf.DUMMYFUNCTION("""COMPUTED_VALUE"""),"Darsheel Safary")</f>
        <v>Darsheel Safary</v>
      </c>
      <c r="K263" s="5" t="str">
        <f>IFERROR(__xludf.DUMMYFUNCTION("""COMPUTED_VALUE"""),"Estrela 2")</f>
        <v>Estrela 2</v>
      </c>
      <c r="P263" s="5">
        <f>IFERROR(__xludf.DUMMYFUNCTION("""COMPUTED_VALUE"""),66.0)</f>
        <v>66</v>
      </c>
      <c r="Q263" s="5" t="str">
        <f>IFERROR(__xludf.DUMMYFUNCTION("""COMPUTED_VALUE"""),"Taare Zameen Par")</f>
        <v>Taare Zameen Par</v>
      </c>
      <c r="R263" s="5" t="str">
        <f>IFERROR(__xludf.DUMMYFUNCTION("""COMPUTED_VALUE"""),"Darsheel Safary")</f>
        <v>Darsheel Safary</v>
      </c>
      <c r="S263" s="5" t="str">
        <f>IFERROR(__xludf.DUMMYFUNCTION("""COMPUTED_VALUE"""),"Estrela 2")</f>
        <v>Estrela 2</v>
      </c>
    </row>
    <row r="264">
      <c r="A264" s="1">
        <v>263.0</v>
      </c>
      <c r="B264" s="1" t="s">
        <v>1782</v>
      </c>
      <c r="C264" s="1" t="s">
        <v>1784</v>
      </c>
      <c r="D264" s="1" t="s">
        <v>1785</v>
      </c>
      <c r="E264" s="1" t="s">
        <v>1786</v>
      </c>
      <c r="F264" s="1" t="s">
        <v>1274</v>
      </c>
      <c r="G264" s="5" t="str">
        <f>IFERROR(__xludf.DUMMYFUNCTION("""COMPUTED_VALUE"""),"66🤙🏼Taare Zameen Par🤙🏼Aamir Khan🤙🏼Estrela 3")</f>
        <v>66🤙🏼Taare Zameen Par🤙🏼Aamir Khan🤙🏼Estrela 3</v>
      </c>
      <c r="H264" s="5">
        <f>IFERROR(__xludf.DUMMYFUNCTION("SPLiT(G264, ""🤙🏼"",FALSE,FALSE)"),66.0)</f>
        <v>66</v>
      </c>
      <c r="I264" s="5" t="str">
        <f>IFERROR(__xludf.DUMMYFUNCTION("""COMPUTED_VALUE"""),"Taare Zameen Par")</f>
        <v>Taare Zameen Par</v>
      </c>
      <c r="J264" s="5" t="str">
        <f>IFERROR(__xludf.DUMMYFUNCTION("""COMPUTED_VALUE"""),"Aamir Khan")</f>
        <v>Aamir Khan</v>
      </c>
      <c r="K264" s="5" t="str">
        <f>IFERROR(__xludf.DUMMYFUNCTION("""COMPUTED_VALUE"""),"Estrela 3")</f>
        <v>Estrela 3</v>
      </c>
      <c r="P264" s="5">
        <f>IFERROR(__xludf.DUMMYFUNCTION("""COMPUTED_VALUE"""),66.0)</f>
        <v>66</v>
      </c>
      <c r="Q264" s="5" t="str">
        <f>IFERROR(__xludf.DUMMYFUNCTION("""COMPUTED_VALUE"""),"Taare Zameen Par")</f>
        <v>Taare Zameen Par</v>
      </c>
      <c r="R264" s="5" t="str">
        <f>IFERROR(__xludf.DUMMYFUNCTION("""COMPUTED_VALUE"""),"Aamir Khan")</f>
        <v>Aamir Khan</v>
      </c>
      <c r="S264" s="5" t="str">
        <f>IFERROR(__xludf.DUMMYFUNCTION("""COMPUTED_VALUE"""),"Estrela 3")</f>
        <v>Estrela 3</v>
      </c>
    </row>
    <row r="265">
      <c r="A265" s="1">
        <v>264.0</v>
      </c>
      <c r="B265" s="1" t="s">
        <v>1787</v>
      </c>
      <c r="C265" s="1" t="s">
        <v>1092</v>
      </c>
      <c r="D265" s="1" t="s">
        <v>1790</v>
      </c>
      <c r="E265" s="1" t="s">
        <v>1791</v>
      </c>
      <c r="F265" s="1" t="s">
        <v>1792</v>
      </c>
      <c r="G265" s="5" t="str">
        <f>IFERROR(__xludf.DUMMYFUNCTION("""COMPUTED_VALUE"""),"66🤙🏼Taare Zameen Par🤙🏼Tisca Chopra🤙🏼Estrela 4")</f>
        <v>66🤙🏼Taare Zameen Par🤙🏼Tisca Chopra🤙🏼Estrela 4</v>
      </c>
      <c r="H265" s="5">
        <f>IFERROR(__xludf.DUMMYFUNCTION("SPLiT(G265, ""🤙🏼"",FALSE,FALSE)"),66.0)</f>
        <v>66</v>
      </c>
      <c r="I265" s="5" t="str">
        <f>IFERROR(__xludf.DUMMYFUNCTION("""COMPUTED_VALUE"""),"Taare Zameen Par")</f>
        <v>Taare Zameen Par</v>
      </c>
      <c r="J265" s="5" t="str">
        <f>IFERROR(__xludf.DUMMYFUNCTION("""COMPUTED_VALUE"""),"Tisca Chopra")</f>
        <v>Tisca Chopra</v>
      </c>
      <c r="K265" s="5" t="str">
        <f>IFERROR(__xludf.DUMMYFUNCTION("""COMPUTED_VALUE"""),"Estrela 4")</f>
        <v>Estrela 4</v>
      </c>
      <c r="P265" s="5">
        <f>IFERROR(__xludf.DUMMYFUNCTION("""COMPUTED_VALUE"""),66.0)</f>
        <v>66</v>
      </c>
      <c r="Q265" s="5" t="str">
        <f>IFERROR(__xludf.DUMMYFUNCTION("""COMPUTED_VALUE"""),"Taare Zameen Par")</f>
        <v>Taare Zameen Par</v>
      </c>
      <c r="R265" s="5" t="str">
        <f>IFERROR(__xludf.DUMMYFUNCTION("""COMPUTED_VALUE"""),"Tisca Chopra")</f>
        <v>Tisca Chopra</v>
      </c>
      <c r="S265" s="5" t="str">
        <f>IFERROR(__xludf.DUMMYFUNCTION("""COMPUTED_VALUE"""),"Estrela 4")</f>
        <v>Estrela 4</v>
      </c>
    </row>
    <row r="266">
      <c r="A266" s="1">
        <v>265.0</v>
      </c>
      <c r="B266" s="1" t="s">
        <v>1793</v>
      </c>
      <c r="C266" s="1" t="s">
        <v>1797</v>
      </c>
      <c r="D266" s="1" t="s">
        <v>1798</v>
      </c>
      <c r="E266" s="1" t="s">
        <v>1799</v>
      </c>
      <c r="F266" s="1" t="s">
        <v>1800</v>
      </c>
      <c r="G266" s="5" t="str">
        <f>IFERROR(__xludf.DUMMYFUNCTION("""COMPUTED_VALUE"""),"67🤙🏼WALL·E🤙🏼Ben Burtt🤙🏼Estrela 1")</f>
        <v>67🤙🏼WALL·E🤙🏼Ben Burtt🤙🏼Estrela 1</v>
      </c>
      <c r="H266" s="5">
        <f>IFERROR(__xludf.DUMMYFUNCTION("SPLiT(G266, ""🤙🏼"",FALSE,FALSE)"),67.0)</f>
        <v>67</v>
      </c>
      <c r="I266" s="5" t="str">
        <f>IFERROR(__xludf.DUMMYFUNCTION("""COMPUTED_VALUE"""),"WALL·E")</f>
        <v>WALL·E</v>
      </c>
      <c r="J266" s="5" t="str">
        <f>IFERROR(__xludf.DUMMYFUNCTION("""COMPUTED_VALUE"""),"Ben Burtt")</f>
        <v>Ben Burtt</v>
      </c>
      <c r="K266" s="5" t="str">
        <f>IFERROR(__xludf.DUMMYFUNCTION("""COMPUTED_VALUE"""),"Estrela 1")</f>
        <v>Estrela 1</v>
      </c>
      <c r="P266" s="5">
        <f>IFERROR(__xludf.DUMMYFUNCTION("""COMPUTED_VALUE"""),67.0)</f>
        <v>67</v>
      </c>
      <c r="Q266" s="5" t="str">
        <f>IFERROR(__xludf.DUMMYFUNCTION("""COMPUTED_VALUE"""),"WALL·E")</f>
        <v>WALL·E</v>
      </c>
      <c r="R266" s="5" t="str">
        <f>IFERROR(__xludf.DUMMYFUNCTION("""COMPUTED_VALUE"""),"Ben Burtt")</f>
        <v>Ben Burtt</v>
      </c>
      <c r="S266" s="5" t="str">
        <f>IFERROR(__xludf.DUMMYFUNCTION("""COMPUTED_VALUE"""),"Estrela 1")</f>
        <v>Estrela 1</v>
      </c>
    </row>
    <row r="267">
      <c r="A267" s="1">
        <v>266.0</v>
      </c>
      <c r="B267" s="1" t="s">
        <v>1801</v>
      </c>
      <c r="C267" s="1" t="s">
        <v>1799</v>
      </c>
      <c r="D267" s="1" t="s">
        <v>1805</v>
      </c>
      <c r="E267" s="1" t="s">
        <v>1806</v>
      </c>
      <c r="F267" s="1" t="s">
        <v>1807</v>
      </c>
      <c r="G267" s="5" t="str">
        <f>IFERROR(__xludf.DUMMYFUNCTION("""COMPUTED_VALUE"""),"67🤙🏼WALL·E🤙🏼Elissa Knight🤙🏼Estrela 2")</f>
        <v>67🤙🏼WALL·E🤙🏼Elissa Knight🤙🏼Estrela 2</v>
      </c>
      <c r="H267" s="5">
        <f>IFERROR(__xludf.DUMMYFUNCTION("SPLiT(G267, ""🤙🏼"",FALSE,FALSE)"),67.0)</f>
        <v>67</v>
      </c>
      <c r="I267" s="5" t="str">
        <f>IFERROR(__xludf.DUMMYFUNCTION("""COMPUTED_VALUE"""),"WALL·E")</f>
        <v>WALL·E</v>
      </c>
      <c r="J267" s="5" t="str">
        <f>IFERROR(__xludf.DUMMYFUNCTION("""COMPUTED_VALUE"""),"Elissa Knight")</f>
        <v>Elissa Knight</v>
      </c>
      <c r="K267" s="5" t="str">
        <f>IFERROR(__xludf.DUMMYFUNCTION("""COMPUTED_VALUE"""),"Estrela 2")</f>
        <v>Estrela 2</v>
      </c>
      <c r="P267" s="5">
        <f>IFERROR(__xludf.DUMMYFUNCTION("""COMPUTED_VALUE"""),67.0)</f>
        <v>67</v>
      </c>
      <c r="Q267" s="5" t="str">
        <f>IFERROR(__xludf.DUMMYFUNCTION("""COMPUTED_VALUE"""),"WALL·E")</f>
        <v>WALL·E</v>
      </c>
      <c r="R267" s="5" t="str">
        <f>IFERROR(__xludf.DUMMYFUNCTION("""COMPUTED_VALUE"""),"Elissa Knight")</f>
        <v>Elissa Knight</v>
      </c>
      <c r="S267" s="5" t="str">
        <f>IFERROR(__xludf.DUMMYFUNCTION("""COMPUTED_VALUE"""),"Estrela 2")</f>
        <v>Estrela 2</v>
      </c>
    </row>
    <row r="268">
      <c r="A268" s="1">
        <v>267.0</v>
      </c>
      <c r="B268" s="1" t="s">
        <v>1808</v>
      </c>
      <c r="C268" s="1" t="s">
        <v>752</v>
      </c>
      <c r="D268" s="1" t="s">
        <v>1810</v>
      </c>
      <c r="E268" s="1" t="s">
        <v>1642</v>
      </c>
      <c r="F268" s="1" t="s">
        <v>1811</v>
      </c>
      <c r="G268" s="5" t="str">
        <f>IFERROR(__xludf.DUMMYFUNCTION("""COMPUTED_VALUE"""),"67🤙🏼WALL·E🤙🏼Jeff Garlin🤙🏼Estrela 3")</f>
        <v>67🤙🏼WALL·E🤙🏼Jeff Garlin🤙🏼Estrela 3</v>
      </c>
      <c r="H268" s="5">
        <f>IFERROR(__xludf.DUMMYFUNCTION("SPLiT(G268, ""🤙🏼"",FALSE,FALSE)"),67.0)</f>
        <v>67</v>
      </c>
      <c r="I268" s="5" t="str">
        <f>IFERROR(__xludf.DUMMYFUNCTION("""COMPUTED_VALUE"""),"WALL·E")</f>
        <v>WALL·E</v>
      </c>
      <c r="J268" s="5" t="str">
        <f>IFERROR(__xludf.DUMMYFUNCTION("""COMPUTED_VALUE"""),"Jeff Garlin")</f>
        <v>Jeff Garlin</v>
      </c>
      <c r="K268" s="5" t="str">
        <f>IFERROR(__xludf.DUMMYFUNCTION("""COMPUTED_VALUE"""),"Estrela 3")</f>
        <v>Estrela 3</v>
      </c>
      <c r="P268" s="5">
        <f>IFERROR(__xludf.DUMMYFUNCTION("""COMPUTED_VALUE"""),67.0)</f>
        <v>67</v>
      </c>
      <c r="Q268" s="5" t="str">
        <f>IFERROR(__xludf.DUMMYFUNCTION("""COMPUTED_VALUE"""),"WALL·E")</f>
        <v>WALL·E</v>
      </c>
      <c r="R268" s="5" t="str">
        <f>IFERROR(__xludf.DUMMYFUNCTION("""COMPUTED_VALUE"""),"Jeff Garlin")</f>
        <v>Jeff Garlin</v>
      </c>
      <c r="S268" s="5" t="str">
        <f>IFERROR(__xludf.DUMMYFUNCTION("""COMPUTED_VALUE"""),"Estrela 3")</f>
        <v>Estrela 3</v>
      </c>
    </row>
    <row r="269">
      <c r="A269" s="1">
        <v>268.0</v>
      </c>
      <c r="B269" s="1" t="s">
        <v>1812</v>
      </c>
      <c r="C269" s="1" t="s">
        <v>1816</v>
      </c>
      <c r="D269" s="1" t="s">
        <v>1817</v>
      </c>
      <c r="E269" s="1" t="s">
        <v>1818</v>
      </c>
      <c r="F269" s="1" t="s">
        <v>1819</v>
      </c>
      <c r="G269" s="5" t="str">
        <f>IFERROR(__xludf.DUMMYFUNCTION("""COMPUTED_VALUE"""),"67🤙🏼WALL·E🤙🏼Fred Willard🤙🏼Estrela 4")</f>
        <v>67🤙🏼WALL·E🤙🏼Fred Willard🤙🏼Estrela 4</v>
      </c>
      <c r="H269" s="5">
        <f>IFERROR(__xludf.DUMMYFUNCTION("SPLiT(G269, ""🤙🏼"",FALSE,FALSE)"),67.0)</f>
        <v>67</v>
      </c>
      <c r="I269" s="5" t="str">
        <f>IFERROR(__xludf.DUMMYFUNCTION("""COMPUTED_VALUE"""),"WALL·E")</f>
        <v>WALL·E</v>
      </c>
      <c r="J269" s="5" t="str">
        <f>IFERROR(__xludf.DUMMYFUNCTION("""COMPUTED_VALUE"""),"Fred Willard")</f>
        <v>Fred Willard</v>
      </c>
      <c r="K269" s="5" t="str">
        <f>IFERROR(__xludf.DUMMYFUNCTION("""COMPUTED_VALUE"""),"Estrela 4")</f>
        <v>Estrela 4</v>
      </c>
      <c r="P269" s="5">
        <f>IFERROR(__xludf.DUMMYFUNCTION("""COMPUTED_VALUE"""),67.0)</f>
        <v>67</v>
      </c>
      <c r="Q269" s="5" t="str">
        <f>IFERROR(__xludf.DUMMYFUNCTION("""COMPUTED_VALUE"""),"WALL·E")</f>
        <v>WALL·E</v>
      </c>
      <c r="R269" s="5" t="str">
        <f>IFERROR(__xludf.DUMMYFUNCTION("""COMPUTED_VALUE"""),"Fred Willard")</f>
        <v>Fred Willard</v>
      </c>
      <c r="S269" s="5" t="str">
        <f>IFERROR(__xludf.DUMMYFUNCTION("""COMPUTED_VALUE"""),"Estrela 4")</f>
        <v>Estrela 4</v>
      </c>
    </row>
    <row r="270">
      <c r="A270" s="1">
        <v>269.0</v>
      </c>
      <c r="B270" s="1" t="s">
        <v>1820</v>
      </c>
      <c r="C270" s="1" t="s">
        <v>1823</v>
      </c>
      <c r="D270" s="1" t="s">
        <v>1824</v>
      </c>
      <c r="E270" s="1" t="s">
        <v>1825</v>
      </c>
      <c r="F270" s="1" t="s">
        <v>1826</v>
      </c>
      <c r="G270" s="5" t="str">
        <f>IFERROR(__xludf.DUMMYFUNCTION("""COMPUTED_VALUE"""),"68🤙🏼The Lives of Others🤙🏼Ulrich Mühe🤙🏼Estrela 1")</f>
        <v>68🤙🏼The Lives of Others🤙🏼Ulrich Mühe🤙🏼Estrela 1</v>
      </c>
      <c r="H270" s="5">
        <f>IFERROR(__xludf.DUMMYFUNCTION("SPLiT(G270, ""🤙🏼"",FALSE,FALSE)"),68.0)</f>
        <v>68</v>
      </c>
      <c r="I270" s="5" t="str">
        <f>IFERROR(__xludf.DUMMYFUNCTION("""COMPUTED_VALUE"""),"The Lives of Others")</f>
        <v>The Lives of Others</v>
      </c>
      <c r="J270" s="5" t="str">
        <f>IFERROR(__xludf.DUMMYFUNCTION("""COMPUTED_VALUE"""),"Ulrich Mühe")</f>
        <v>Ulrich Mühe</v>
      </c>
      <c r="K270" s="5" t="str">
        <f>IFERROR(__xludf.DUMMYFUNCTION("""COMPUTED_VALUE"""),"Estrela 1")</f>
        <v>Estrela 1</v>
      </c>
      <c r="P270" s="5">
        <f>IFERROR(__xludf.DUMMYFUNCTION("""COMPUTED_VALUE"""),68.0)</f>
        <v>68</v>
      </c>
      <c r="Q270" s="5" t="str">
        <f>IFERROR(__xludf.DUMMYFUNCTION("""COMPUTED_VALUE"""),"The Lives of Others")</f>
        <v>The Lives of Others</v>
      </c>
      <c r="R270" s="5" t="str">
        <f>IFERROR(__xludf.DUMMYFUNCTION("""COMPUTED_VALUE"""),"Ulrich Mühe")</f>
        <v>Ulrich Mühe</v>
      </c>
      <c r="S270" s="5" t="str">
        <f>IFERROR(__xludf.DUMMYFUNCTION("""COMPUTED_VALUE"""),"Estrela 1")</f>
        <v>Estrela 1</v>
      </c>
    </row>
    <row r="271">
      <c r="A271" s="1">
        <v>270.0</v>
      </c>
      <c r="B271" s="1" t="s">
        <v>1827</v>
      </c>
      <c r="C271" s="1" t="s">
        <v>1830</v>
      </c>
      <c r="D271" s="1" t="s">
        <v>1831</v>
      </c>
      <c r="E271" s="1" t="s">
        <v>1832</v>
      </c>
      <c r="F271" s="1" t="s">
        <v>1833</v>
      </c>
      <c r="G271" s="5" t="str">
        <f>IFERROR(__xludf.DUMMYFUNCTION("""COMPUTED_VALUE"""),"68🤙🏼The Lives of Others🤙🏼Martina Gedeck🤙🏼Estrela 2")</f>
        <v>68🤙🏼The Lives of Others🤙🏼Martina Gedeck🤙🏼Estrela 2</v>
      </c>
      <c r="H271" s="5">
        <f>IFERROR(__xludf.DUMMYFUNCTION("SPLiT(G271, ""🤙🏼"",FALSE,FALSE)"),68.0)</f>
        <v>68</v>
      </c>
      <c r="I271" s="5" t="str">
        <f>IFERROR(__xludf.DUMMYFUNCTION("""COMPUTED_VALUE"""),"The Lives of Others")</f>
        <v>The Lives of Others</v>
      </c>
      <c r="J271" s="5" t="str">
        <f>IFERROR(__xludf.DUMMYFUNCTION("""COMPUTED_VALUE"""),"Martina Gedeck")</f>
        <v>Martina Gedeck</v>
      </c>
      <c r="K271" s="5" t="str">
        <f>IFERROR(__xludf.DUMMYFUNCTION("""COMPUTED_VALUE"""),"Estrela 2")</f>
        <v>Estrela 2</v>
      </c>
      <c r="P271" s="5">
        <f>IFERROR(__xludf.DUMMYFUNCTION("""COMPUTED_VALUE"""),68.0)</f>
        <v>68</v>
      </c>
      <c r="Q271" s="5" t="str">
        <f>IFERROR(__xludf.DUMMYFUNCTION("""COMPUTED_VALUE"""),"The Lives of Others")</f>
        <v>The Lives of Others</v>
      </c>
      <c r="R271" s="5" t="str">
        <f>IFERROR(__xludf.DUMMYFUNCTION("""COMPUTED_VALUE"""),"Martina Gedeck")</f>
        <v>Martina Gedeck</v>
      </c>
      <c r="S271" s="5" t="str">
        <f>IFERROR(__xludf.DUMMYFUNCTION("""COMPUTED_VALUE"""),"Estrela 2")</f>
        <v>Estrela 2</v>
      </c>
    </row>
    <row r="272">
      <c r="A272" s="1">
        <v>271.0</v>
      </c>
      <c r="B272" s="1" t="s">
        <v>1834</v>
      </c>
      <c r="C272" s="1" t="s">
        <v>1838</v>
      </c>
      <c r="D272" s="1" t="s">
        <v>1839</v>
      </c>
      <c r="E272" s="1" t="s">
        <v>1840</v>
      </c>
      <c r="F272" s="1" t="s">
        <v>1841</v>
      </c>
      <c r="G272" s="5" t="str">
        <f>IFERROR(__xludf.DUMMYFUNCTION("""COMPUTED_VALUE"""),"68🤙🏼The Lives of Others🤙🏼Sebastian Koch🤙🏼Estrela 3")</f>
        <v>68🤙🏼The Lives of Others🤙🏼Sebastian Koch🤙🏼Estrela 3</v>
      </c>
      <c r="H272" s="5">
        <f>IFERROR(__xludf.DUMMYFUNCTION("SPLiT(G272, ""🤙🏼"",FALSE,FALSE)"),68.0)</f>
        <v>68</v>
      </c>
      <c r="I272" s="5" t="str">
        <f>IFERROR(__xludf.DUMMYFUNCTION("""COMPUTED_VALUE"""),"The Lives of Others")</f>
        <v>The Lives of Others</v>
      </c>
      <c r="J272" s="5" t="str">
        <f>IFERROR(__xludf.DUMMYFUNCTION("""COMPUTED_VALUE"""),"Sebastian Koch")</f>
        <v>Sebastian Koch</v>
      </c>
      <c r="K272" s="5" t="str">
        <f>IFERROR(__xludf.DUMMYFUNCTION("""COMPUTED_VALUE"""),"Estrela 3")</f>
        <v>Estrela 3</v>
      </c>
      <c r="P272" s="5">
        <f>IFERROR(__xludf.DUMMYFUNCTION("""COMPUTED_VALUE"""),68.0)</f>
        <v>68</v>
      </c>
      <c r="Q272" s="5" t="str">
        <f>IFERROR(__xludf.DUMMYFUNCTION("""COMPUTED_VALUE"""),"The Lives of Others")</f>
        <v>The Lives of Others</v>
      </c>
      <c r="R272" s="5" t="str">
        <f>IFERROR(__xludf.DUMMYFUNCTION("""COMPUTED_VALUE"""),"Sebastian Koch")</f>
        <v>Sebastian Koch</v>
      </c>
      <c r="S272" s="5" t="str">
        <f>IFERROR(__xludf.DUMMYFUNCTION("""COMPUTED_VALUE"""),"Estrela 3")</f>
        <v>Estrela 3</v>
      </c>
    </row>
    <row r="273">
      <c r="A273" s="1">
        <v>272.0</v>
      </c>
      <c r="B273" s="1" t="s">
        <v>1842</v>
      </c>
      <c r="C273" s="1" t="s">
        <v>1846</v>
      </c>
      <c r="D273" s="1" t="s">
        <v>1847</v>
      </c>
      <c r="E273" s="1" t="s">
        <v>1826</v>
      </c>
      <c r="F273" s="1" t="s">
        <v>1848</v>
      </c>
      <c r="G273" s="5" t="str">
        <f>IFERROR(__xludf.DUMMYFUNCTION("""COMPUTED_VALUE"""),"68🤙🏼The Lives of Others🤙🏼Ulrich Tukur🤙🏼Estrela 4")</f>
        <v>68🤙🏼The Lives of Others🤙🏼Ulrich Tukur🤙🏼Estrela 4</v>
      </c>
      <c r="H273" s="5">
        <f>IFERROR(__xludf.DUMMYFUNCTION("SPLiT(G273, ""🤙🏼"",FALSE,FALSE)"),68.0)</f>
        <v>68</v>
      </c>
      <c r="I273" s="5" t="str">
        <f>IFERROR(__xludf.DUMMYFUNCTION("""COMPUTED_VALUE"""),"The Lives of Others")</f>
        <v>The Lives of Others</v>
      </c>
      <c r="J273" s="5" t="str">
        <f>IFERROR(__xludf.DUMMYFUNCTION("""COMPUTED_VALUE"""),"Ulrich Tukur")</f>
        <v>Ulrich Tukur</v>
      </c>
      <c r="K273" s="5" t="str">
        <f>IFERROR(__xludf.DUMMYFUNCTION("""COMPUTED_VALUE"""),"Estrela 4")</f>
        <v>Estrela 4</v>
      </c>
      <c r="P273" s="5">
        <f>IFERROR(__xludf.DUMMYFUNCTION("""COMPUTED_VALUE"""),68.0)</f>
        <v>68</v>
      </c>
      <c r="Q273" s="5" t="str">
        <f>IFERROR(__xludf.DUMMYFUNCTION("""COMPUTED_VALUE"""),"The Lives of Others")</f>
        <v>The Lives of Others</v>
      </c>
      <c r="R273" s="5" t="str">
        <f>IFERROR(__xludf.DUMMYFUNCTION("""COMPUTED_VALUE"""),"Ulrich Tukur")</f>
        <v>Ulrich Tukur</v>
      </c>
      <c r="S273" s="5" t="str">
        <f>IFERROR(__xludf.DUMMYFUNCTION("""COMPUTED_VALUE"""),"Estrela 4")</f>
        <v>Estrela 4</v>
      </c>
    </row>
    <row r="274">
      <c r="A274" s="1">
        <v>273.0</v>
      </c>
      <c r="B274" s="1" t="s">
        <v>1849</v>
      </c>
      <c r="C274" s="1" t="s">
        <v>1853</v>
      </c>
      <c r="D274" s="1" t="s">
        <v>1854</v>
      </c>
      <c r="E274" s="1" t="s">
        <v>1855</v>
      </c>
      <c r="F274" s="1" t="s">
        <v>1856</v>
      </c>
      <c r="G274" s="5" t="str">
        <f>IFERROR(__xludf.DUMMYFUNCTION("""COMPUTED_VALUE"""),"69🤙🏼Oldeuboi🤙🏼Choi Min-sik🤙🏼Estrela 1")</f>
        <v>69🤙🏼Oldeuboi🤙🏼Choi Min-sik🤙🏼Estrela 1</v>
      </c>
      <c r="H274" s="5">
        <f>IFERROR(__xludf.DUMMYFUNCTION("SPLiT(G274, ""🤙🏼"",FALSE,FALSE)"),69.0)</f>
        <v>69</v>
      </c>
      <c r="I274" s="5" t="str">
        <f>IFERROR(__xludf.DUMMYFUNCTION("""COMPUTED_VALUE"""),"Oldeuboi")</f>
        <v>Oldeuboi</v>
      </c>
      <c r="J274" s="5" t="str">
        <f>IFERROR(__xludf.DUMMYFUNCTION("""COMPUTED_VALUE"""),"Choi Min-sik")</f>
        <v>Choi Min-sik</v>
      </c>
      <c r="K274" s="5" t="str">
        <f>IFERROR(__xludf.DUMMYFUNCTION("""COMPUTED_VALUE"""),"Estrela 1")</f>
        <v>Estrela 1</v>
      </c>
      <c r="P274" s="5">
        <f>IFERROR(__xludf.DUMMYFUNCTION("""COMPUTED_VALUE"""),69.0)</f>
        <v>69</v>
      </c>
      <c r="Q274" s="5" t="str">
        <f>IFERROR(__xludf.DUMMYFUNCTION("""COMPUTED_VALUE"""),"Oldeuboi")</f>
        <v>Oldeuboi</v>
      </c>
      <c r="R274" s="5" t="str">
        <f>IFERROR(__xludf.DUMMYFUNCTION("""COMPUTED_VALUE"""),"Choi Min-sik")</f>
        <v>Choi Min-sik</v>
      </c>
      <c r="S274" s="5" t="str">
        <f>IFERROR(__xludf.DUMMYFUNCTION("""COMPUTED_VALUE"""),"Estrela 1")</f>
        <v>Estrela 1</v>
      </c>
    </row>
    <row r="275">
      <c r="A275" s="1">
        <v>274.0</v>
      </c>
      <c r="B275" s="1" t="s">
        <v>1857</v>
      </c>
      <c r="C275" s="1" t="s">
        <v>1860</v>
      </c>
      <c r="D275" s="1" t="s">
        <v>393</v>
      </c>
      <c r="E275" s="1" t="s">
        <v>1861</v>
      </c>
      <c r="F275" s="1" t="s">
        <v>1862</v>
      </c>
      <c r="G275" s="5" t="str">
        <f>IFERROR(__xludf.DUMMYFUNCTION("""COMPUTED_VALUE"""),"69🤙🏼Oldeuboi🤙🏼Yoo Ji-Tae🤙🏼Estrela 2")</f>
        <v>69🤙🏼Oldeuboi🤙🏼Yoo Ji-Tae🤙🏼Estrela 2</v>
      </c>
      <c r="H275" s="5">
        <f>IFERROR(__xludf.DUMMYFUNCTION("SPLiT(G275, ""🤙🏼"",FALSE,FALSE)"),69.0)</f>
        <v>69</v>
      </c>
      <c r="I275" s="5" t="str">
        <f>IFERROR(__xludf.DUMMYFUNCTION("""COMPUTED_VALUE"""),"Oldeuboi")</f>
        <v>Oldeuboi</v>
      </c>
      <c r="J275" s="5" t="str">
        <f>IFERROR(__xludf.DUMMYFUNCTION("""COMPUTED_VALUE"""),"Yoo Ji-Tae")</f>
        <v>Yoo Ji-Tae</v>
      </c>
      <c r="K275" s="5" t="str">
        <f>IFERROR(__xludf.DUMMYFUNCTION("""COMPUTED_VALUE"""),"Estrela 2")</f>
        <v>Estrela 2</v>
      </c>
      <c r="P275" s="5">
        <f>IFERROR(__xludf.DUMMYFUNCTION("""COMPUTED_VALUE"""),69.0)</f>
        <v>69</v>
      </c>
      <c r="Q275" s="5" t="str">
        <f>IFERROR(__xludf.DUMMYFUNCTION("""COMPUTED_VALUE"""),"Oldeuboi")</f>
        <v>Oldeuboi</v>
      </c>
      <c r="R275" s="5" t="str">
        <f>IFERROR(__xludf.DUMMYFUNCTION("""COMPUTED_VALUE"""),"Yoo Ji-Tae")</f>
        <v>Yoo Ji-Tae</v>
      </c>
      <c r="S275" s="5" t="str">
        <f>IFERROR(__xludf.DUMMYFUNCTION("""COMPUTED_VALUE"""),"Estrela 2")</f>
        <v>Estrela 2</v>
      </c>
    </row>
    <row r="276">
      <c r="A276" s="1">
        <v>275.0</v>
      </c>
      <c r="B276" s="1" t="s">
        <v>1863</v>
      </c>
      <c r="C276" s="1" t="s">
        <v>1866</v>
      </c>
      <c r="D276" s="1" t="s">
        <v>1867</v>
      </c>
      <c r="E276" s="1" t="s">
        <v>1868</v>
      </c>
      <c r="F276" s="1" t="s">
        <v>1869</v>
      </c>
      <c r="G276" s="5" t="str">
        <f>IFERROR(__xludf.DUMMYFUNCTION("""COMPUTED_VALUE"""),"69🤙🏼Oldeuboi🤙🏼Kang Hye-jeong🤙🏼Estrela 3")</f>
        <v>69🤙🏼Oldeuboi🤙🏼Kang Hye-jeong🤙🏼Estrela 3</v>
      </c>
      <c r="H276" s="5">
        <f>IFERROR(__xludf.DUMMYFUNCTION("SPLiT(G276, ""🤙🏼"",FALSE,FALSE)"),69.0)</f>
        <v>69</v>
      </c>
      <c r="I276" s="5" t="str">
        <f>IFERROR(__xludf.DUMMYFUNCTION("""COMPUTED_VALUE"""),"Oldeuboi")</f>
        <v>Oldeuboi</v>
      </c>
      <c r="J276" s="5" t="str">
        <f>IFERROR(__xludf.DUMMYFUNCTION("""COMPUTED_VALUE"""),"Kang Hye-jeong")</f>
        <v>Kang Hye-jeong</v>
      </c>
      <c r="K276" s="5" t="str">
        <f>IFERROR(__xludf.DUMMYFUNCTION("""COMPUTED_VALUE"""),"Estrela 3")</f>
        <v>Estrela 3</v>
      </c>
      <c r="P276" s="5">
        <f>IFERROR(__xludf.DUMMYFUNCTION("""COMPUTED_VALUE"""),69.0)</f>
        <v>69</v>
      </c>
      <c r="Q276" s="5" t="str">
        <f>IFERROR(__xludf.DUMMYFUNCTION("""COMPUTED_VALUE"""),"Oldeuboi")</f>
        <v>Oldeuboi</v>
      </c>
      <c r="R276" s="5" t="str">
        <f>IFERROR(__xludf.DUMMYFUNCTION("""COMPUTED_VALUE"""),"Kang Hye-jeong")</f>
        <v>Kang Hye-jeong</v>
      </c>
      <c r="S276" s="5" t="str">
        <f>IFERROR(__xludf.DUMMYFUNCTION("""COMPUTED_VALUE"""),"Estrela 3")</f>
        <v>Estrela 3</v>
      </c>
    </row>
    <row r="277">
      <c r="A277" s="1">
        <v>276.0</v>
      </c>
      <c r="B277" s="1" t="s">
        <v>1870</v>
      </c>
      <c r="C277" s="1" t="s">
        <v>149</v>
      </c>
      <c r="D277" s="1" t="s">
        <v>1873</v>
      </c>
      <c r="E277" s="1" t="s">
        <v>1874</v>
      </c>
      <c r="F277" s="1" t="s">
        <v>1875</v>
      </c>
      <c r="G277" s="5" t="str">
        <f>IFERROR(__xludf.DUMMYFUNCTION("""COMPUTED_VALUE"""),"69🤙🏼Oldeuboi🤙🏼Kim Byeong-Ok🤙🏼Estrela 4")</f>
        <v>69🤙🏼Oldeuboi🤙🏼Kim Byeong-Ok🤙🏼Estrela 4</v>
      </c>
      <c r="H277" s="5">
        <f>IFERROR(__xludf.DUMMYFUNCTION("SPLiT(G277, ""🤙🏼"",FALSE,FALSE)"),69.0)</f>
        <v>69</v>
      </c>
      <c r="I277" s="5" t="str">
        <f>IFERROR(__xludf.DUMMYFUNCTION("""COMPUTED_VALUE"""),"Oldeuboi")</f>
        <v>Oldeuboi</v>
      </c>
      <c r="J277" s="5" t="str">
        <f>IFERROR(__xludf.DUMMYFUNCTION("""COMPUTED_VALUE"""),"Kim Byeong-Ok")</f>
        <v>Kim Byeong-Ok</v>
      </c>
      <c r="K277" s="5" t="str">
        <f>IFERROR(__xludf.DUMMYFUNCTION("""COMPUTED_VALUE"""),"Estrela 4")</f>
        <v>Estrela 4</v>
      </c>
      <c r="P277" s="5">
        <f>IFERROR(__xludf.DUMMYFUNCTION("""COMPUTED_VALUE"""),69.0)</f>
        <v>69</v>
      </c>
      <c r="Q277" s="5" t="str">
        <f>IFERROR(__xludf.DUMMYFUNCTION("""COMPUTED_VALUE"""),"Oldeuboi")</f>
        <v>Oldeuboi</v>
      </c>
      <c r="R277" s="5" t="str">
        <f>IFERROR(__xludf.DUMMYFUNCTION("""COMPUTED_VALUE"""),"Kim Byeong-Ok")</f>
        <v>Kim Byeong-Ok</v>
      </c>
      <c r="S277" s="5" t="str">
        <f>IFERROR(__xludf.DUMMYFUNCTION("""COMPUTED_VALUE"""),"Estrela 4")</f>
        <v>Estrela 4</v>
      </c>
    </row>
    <row r="278">
      <c r="A278" s="1">
        <v>277.0</v>
      </c>
      <c r="B278" s="1" t="s">
        <v>1876</v>
      </c>
      <c r="C278" s="1" t="s">
        <v>245</v>
      </c>
      <c r="D278" s="1" t="s">
        <v>585</v>
      </c>
      <c r="E278" s="1" t="s">
        <v>1879</v>
      </c>
      <c r="F278" s="1" t="s">
        <v>1880</v>
      </c>
      <c r="G278" s="5" t="str">
        <f>IFERROR(__xludf.DUMMYFUNCTION("""COMPUTED_VALUE"""),"70🤙🏼Memento🤙🏼Guy Pearce🤙🏼Estrela 1")</f>
        <v>70🤙🏼Memento🤙🏼Guy Pearce🤙🏼Estrela 1</v>
      </c>
      <c r="H278" s="5">
        <f>IFERROR(__xludf.DUMMYFUNCTION("SPLiT(G278, ""🤙🏼"",FALSE,FALSE)"),70.0)</f>
        <v>70</v>
      </c>
      <c r="I278" s="5" t="str">
        <f>IFERROR(__xludf.DUMMYFUNCTION("""COMPUTED_VALUE"""),"Memento")</f>
        <v>Memento</v>
      </c>
      <c r="J278" s="5" t="str">
        <f>IFERROR(__xludf.DUMMYFUNCTION("""COMPUTED_VALUE"""),"Guy Pearce")</f>
        <v>Guy Pearce</v>
      </c>
      <c r="K278" s="5" t="str">
        <f>IFERROR(__xludf.DUMMYFUNCTION("""COMPUTED_VALUE"""),"Estrela 1")</f>
        <v>Estrela 1</v>
      </c>
      <c r="P278" s="5">
        <f>IFERROR(__xludf.DUMMYFUNCTION("""COMPUTED_VALUE"""),70.0)</f>
        <v>70</v>
      </c>
      <c r="Q278" s="5" t="str">
        <f>IFERROR(__xludf.DUMMYFUNCTION("""COMPUTED_VALUE"""),"Memento")</f>
        <v>Memento</v>
      </c>
      <c r="R278" s="5" t="str">
        <f>IFERROR(__xludf.DUMMYFUNCTION("""COMPUTED_VALUE"""),"Guy Pearce")</f>
        <v>Guy Pearce</v>
      </c>
      <c r="S278" s="5" t="str">
        <f>IFERROR(__xludf.DUMMYFUNCTION("""COMPUTED_VALUE"""),"Estrela 1")</f>
        <v>Estrela 1</v>
      </c>
    </row>
    <row r="279">
      <c r="A279" s="1">
        <v>278.0</v>
      </c>
      <c r="B279" s="1" t="s">
        <v>1881</v>
      </c>
      <c r="C279" s="1" t="s">
        <v>1264</v>
      </c>
      <c r="D279" s="1" t="s">
        <v>1265</v>
      </c>
      <c r="E279" s="1" t="s">
        <v>1884</v>
      </c>
      <c r="F279" s="1" t="s">
        <v>1262</v>
      </c>
      <c r="G279" s="5" t="str">
        <f>IFERROR(__xludf.DUMMYFUNCTION("""COMPUTED_VALUE"""),"70🤙🏼Memento🤙🏼Carrie-Anne Moss🤙🏼Estrela 2")</f>
        <v>70🤙🏼Memento🤙🏼Carrie-Anne Moss🤙🏼Estrela 2</v>
      </c>
      <c r="H279" s="5">
        <f>IFERROR(__xludf.DUMMYFUNCTION("SPLiT(G279, ""🤙🏼"",FALSE,FALSE)"),70.0)</f>
        <v>70</v>
      </c>
      <c r="I279" s="5" t="str">
        <f>IFERROR(__xludf.DUMMYFUNCTION("""COMPUTED_VALUE"""),"Memento")</f>
        <v>Memento</v>
      </c>
      <c r="J279" s="5" t="str">
        <f>IFERROR(__xludf.DUMMYFUNCTION("""COMPUTED_VALUE"""),"Carrie-Anne Moss")</f>
        <v>Carrie-Anne Moss</v>
      </c>
      <c r="K279" s="5" t="str">
        <f>IFERROR(__xludf.DUMMYFUNCTION("""COMPUTED_VALUE"""),"Estrela 2")</f>
        <v>Estrela 2</v>
      </c>
      <c r="P279" s="5">
        <f>IFERROR(__xludf.DUMMYFUNCTION("""COMPUTED_VALUE"""),70.0)</f>
        <v>70</v>
      </c>
      <c r="Q279" s="5" t="str">
        <f>IFERROR(__xludf.DUMMYFUNCTION("""COMPUTED_VALUE"""),"Memento")</f>
        <v>Memento</v>
      </c>
      <c r="R279" s="5" t="str">
        <f>IFERROR(__xludf.DUMMYFUNCTION("""COMPUTED_VALUE"""),"Carrie-Anne Moss")</f>
        <v>Carrie-Anne Moss</v>
      </c>
      <c r="S279" s="5" t="str">
        <f>IFERROR(__xludf.DUMMYFUNCTION("""COMPUTED_VALUE"""),"Estrela 2")</f>
        <v>Estrela 2</v>
      </c>
    </row>
    <row r="280">
      <c r="A280" s="1">
        <v>279.0</v>
      </c>
      <c r="B280" s="1" t="s">
        <v>1885</v>
      </c>
      <c r="C280" s="1" t="s">
        <v>49</v>
      </c>
      <c r="D280" s="1" t="s">
        <v>1674</v>
      </c>
      <c r="E280" s="1" t="s">
        <v>1888</v>
      </c>
      <c r="F280" s="1" t="s">
        <v>1889</v>
      </c>
      <c r="G280" s="5" t="str">
        <f>IFERROR(__xludf.DUMMYFUNCTION("""COMPUTED_VALUE"""),"70🤙🏼Memento🤙🏼Joe Pantoliano🤙🏼Estrela 3")</f>
        <v>70🤙🏼Memento🤙🏼Joe Pantoliano🤙🏼Estrela 3</v>
      </c>
      <c r="H280" s="5">
        <f>IFERROR(__xludf.DUMMYFUNCTION("SPLiT(G280, ""🤙🏼"",FALSE,FALSE)"),70.0)</f>
        <v>70</v>
      </c>
      <c r="I280" s="5" t="str">
        <f>IFERROR(__xludf.DUMMYFUNCTION("""COMPUTED_VALUE"""),"Memento")</f>
        <v>Memento</v>
      </c>
      <c r="J280" s="5" t="str">
        <f>IFERROR(__xludf.DUMMYFUNCTION("""COMPUTED_VALUE"""),"Joe Pantoliano")</f>
        <v>Joe Pantoliano</v>
      </c>
      <c r="K280" s="5" t="str">
        <f>IFERROR(__xludf.DUMMYFUNCTION("""COMPUTED_VALUE"""),"Estrela 3")</f>
        <v>Estrela 3</v>
      </c>
      <c r="P280" s="5">
        <f>IFERROR(__xludf.DUMMYFUNCTION("""COMPUTED_VALUE"""),70.0)</f>
        <v>70</v>
      </c>
      <c r="Q280" s="5" t="str">
        <f>IFERROR(__xludf.DUMMYFUNCTION("""COMPUTED_VALUE"""),"Memento")</f>
        <v>Memento</v>
      </c>
      <c r="R280" s="5" t="str">
        <f>IFERROR(__xludf.DUMMYFUNCTION("""COMPUTED_VALUE"""),"Joe Pantoliano")</f>
        <v>Joe Pantoliano</v>
      </c>
      <c r="S280" s="5" t="str">
        <f>IFERROR(__xludf.DUMMYFUNCTION("""COMPUTED_VALUE"""),"Estrela 3")</f>
        <v>Estrela 3</v>
      </c>
    </row>
    <row r="281">
      <c r="A281" s="1">
        <v>280.0</v>
      </c>
      <c r="B281" s="1" t="s">
        <v>1890</v>
      </c>
      <c r="C281" s="1" t="s">
        <v>1893</v>
      </c>
      <c r="D281" s="1" t="s">
        <v>1894</v>
      </c>
      <c r="E281" s="1" t="s">
        <v>1895</v>
      </c>
      <c r="F281" s="1" t="s">
        <v>1896</v>
      </c>
      <c r="G281" s="5" t="str">
        <f>IFERROR(__xludf.DUMMYFUNCTION("""COMPUTED_VALUE"""),"70🤙🏼Memento🤙🏼Mark Boone Junior🤙🏼Estrela 4")</f>
        <v>70🤙🏼Memento🤙🏼Mark Boone Junior🤙🏼Estrela 4</v>
      </c>
      <c r="H281" s="5">
        <f>IFERROR(__xludf.DUMMYFUNCTION("SPLiT(G281, ""🤙🏼"",FALSE,FALSE)"),70.0)</f>
        <v>70</v>
      </c>
      <c r="I281" s="5" t="str">
        <f>IFERROR(__xludf.DUMMYFUNCTION("""COMPUTED_VALUE"""),"Memento")</f>
        <v>Memento</v>
      </c>
      <c r="J281" s="5" t="str">
        <f>IFERROR(__xludf.DUMMYFUNCTION("""COMPUTED_VALUE"""),"Mark Boone Junior")</f>
        <v>Mark Boone Junior</v>
      </c>
      <c r="K281" s="5" t="str">
        <f>IFERROR(__xludf.DUMMYFUNCTION("""COMPUTED_VALUE"""),"Estrela 4")</f>
        <v>Estrela 4</v>
      </c>
      <c r="P281" s="5">
        <f>IFERROR(__xludf.DUMMYFUNCTION("""COMPUTED_VALUE"""),70.0)</f>
        <v>70</v>
      </c>
      <c r="Q281" s="5" t="str">
        <f>IFERROR(__xludf.DUMMYFUNCTION("""COMPUTED_VALUE"""),"Memento")</f>
        <v>Memento</v>
      </c>
      <c r="R281" s="5" t="str">
        <f>IFERROR(__xludf.DUMMYFUNCTION("""COMPUTED_VALUE"""),"Mark Boone Junior")</f>
        <v>Mark Boone Junior</v>
      </c>
      <c r="S281" s="5" t="str">
        <f>IFERROR(__xludf.DUMMYFUNCTION("""COMPUTED_VALUE"""),"Estrela 4")</f>
        <v>Estrela 4</v>
      </c>
    </row>
    <row r="282">
      <c r="A282" s="1">
        <v>281.0</v>
      </c>
      <c r="B282" s="1" t="s">
        <v>1897</v>
      </c>
      <c r="C282" s="1" t="s">
        <v>1899</v>
      </c>
      <c r="D282" s="1" t="s">
        <v>630</v>
      </c>
      <c r="E282" s="1" t="s">
        <v>1900</v>
      </c>
      <c r="F282" s="1" t="s">
        <v>50</v>
      </c>
      <c r="G282" s="5" t="str">
        <f>IFERROR(__xludf.DUMMYFUNCTION("""COMPUTED_VALUE"""),"71🤙🏼Mononoke-hime🤙🏼Yôji Matsuda🤙🏼Estrela 1")</f>
        <v>71🤙🏼Mononoke-hime🤙🏼Yôji Matsuda🤙🏼Estrela 1</v>
      </c>
      <c r="H282" s="5">
        <f>IFERROR(__xludf.DUMMYFUNCTION("SPLiT(G282, ""🤙🏼"",FALSE,FALSE)"),71.0)</f>
        <v>71</v>
      </c>
      <c r="I282" s="5" t="str">
        <f>IFERROR(__xludf.DUMMYFUNCTION("""COMPUTED_VALUE"""),"Mononoke-hime")</f>
        <v>Mononoke-hime</v>
      </c>
      <c r="J282" s="5" t="str">
        <f>IFERROR(__xludf.DUMMYFUNCTION("""COMPUTED_VALUE"""),"Yôji Matsuda")</f>
        <v>Yôji Matsuda</v>
      </c>
      <c r="K282" s="5" t="str">
        <f>IFERROR(__xludf.DUMMYFUNCTION("""COMPUTED_VALUE"""),"Estrela 1")</f>
        <v>Estrela 1</v>
      </c>
      <c r="P282" s="5">
        <f>IFERROR(__xludf.DUMMYFUNCTION("""COMPUTED_VALUE"""),71.0)</f>
        <v>71</v>
      </c>
      <c r="Q282" s="5" t="str">
        <f>IFERROR(__xludf.DUMMYFUNCTION("""COMPUTED_VALUE"""),"Mononoke-hime")</f>
        <v>Mononoke-hime</v>
      </c>
      <c r="R282" s="5" t="str">
        <f>IFERROR(__xludf.DUMMYFUNCTION("""COMPUTED_VALUE"""),"Yôji Matsuda")</f>
        <v>Yôji Matsuda</v>
      </c>
      <c r="S282" s="5" t="str">
        <f>IFERROR(__xludf.DUMMYFUNCTION("""COMPUTED_VALUE"""),"Estrela 1")</f>
        <v>Estrela 1</v>
      </c>
    </row>
    <row r="283">
      <c r="A283" s="1">
        <v>282.0</v>
      </c>
      <c r="B283" s="1" t="s">
        <v>1901</v>
      </c>
      <c r="C283" s="1" t="s">
        <v>1904</v>
      </c>
      <c r="D283" s="1" t="s">
        <v>1905</v>
      </c>
      <c r="E283" s="1" t="s">
        <v>842</v>
      </c>
      <c r="F283" s="1" t="s">
        <v>1906</v>
      </c>
      <c r="G283" s="5" t="str">
        <f>IFERROR(__xludf.DUMMYFUNCTION("""COMPUTED_VALUE"""),"71🤙🏼Mononoke-hime🤙🏼Yuriko Ishida🤙🏼Estrela 2")</f>
        <v>71🤙🏼Mononoke-hime🤙🏼Yuriko Ishida🤙🏼Estrela 2</v>
      </c>
      <c r="H283" s="5">
        <f>IFERROR(__xludf.DUMMYFUNCTION("SPLiT(G283, ""🤙🏼"",FALSE,FALSE)"),71.0)</f>
        <v>71</v>
      </c>
      <c r="I283" s="5" t="str">
        <f>IFERROR(__xludf.DUMMYFUNCTION("""COMPUTED_VALUE"""),"Mononoke-hime")</f>
        <v>Mononoke-hime</v>
      </c>
      <c r="J283" s="5" t="str">
        <f>IFERROR(__xludf.DUMMYFUNCTION("""COMPUTED_VALUE"""),"Yuriko Ishida")</f>
        <v>Yuriko Ishida</v>
      </c>
      <c r="K283" s="5" t="str">
        <f>IFERROR(__xludf.DUMMYFUNCTION("""COMPUTED_VALUE"""),"Estrela 2")</f>
        <v>Estrela 2</v>
      </c>
      <c r="P283" s="5">
        <f>IFERROR(__xludf.DUMMYFUNCTION("""COMPUTED_VALUE"""),71.0)</f>
        <v>71</v>
      </c>
      <c r="Q283" s="5" t="str">
        <f>IFERROR(__xludf.DUMMYFUNCTION("""COMPUTED_VALUE"""),"Mononoke-hime")</f>
        <v>Mononoke-hime</v>
      </c>
      <c r="R283" s="5" t="str">
        <f>IFERROR(__xludf.DUMMYFUNCTION("""COMPUTED_VALUE"""),"Yuriko Ishida")</f>
        <v>Yuriko Ishida</v>
      </c>
      <c r="S283" s="5" t="str">
        <f>IFERROR(__xludf.DUMMYFUNCTION("""COMPUTED_VALUE"""),"Estrela 2")</f>
        <v>Estrela 2</v>
      </c>
    </row>
    <row r="284">
      <c r="A284" s="1">
        <v>283.0</v>
      </c>
      <c r="B284" s="1" t="s">
        <v>1907</v>
      </c>
      <c r="C284" s="1" t="s">
        <v>1909</v>
      </c>
      <c r="D284" s="1" t="s">
        <v>1910</v>
      </c>
      <c r="E284" s="1" t="s">
        <v>1911</v>
      </c>
      <c r="F284" s="1" t="s">
        <v>1912</v>
      </c>
      <c r="G284" s="5" t="str">
        <f>IFERROR(__xludf.DUMMYFUNCTION("""COMPUTED_VALUE"""),"71🤙🏼Mononoke-hime🤙🏼Yûko Tanaka🤙🏼Estrela 3")</f>
        <v>71🤙🏼Mononoke-hime🤙🏼Yûko Tanaka🤙🏼Estrela 3</v>
      </c>
      <c r="H284" s="5">
        <f>IFERROR(__xludf.DUMMYFUNCTION("SPLiT(G284, ""🤙🏼"",FALSE,FALSE)"),71.0)</f>
        <v>71</v>
      </c>
      <c r="I284" s="5" t="str">
        <f>IFERROR(__xludf.DUMMYFUNCTION("""COMPUTED_VALUE"""),"Mononoke-hime")</f>
        <v>Mononoke-hime</v>
      </c>
      <c r="J284" s="5" t="str">
        <f>IFERROR(__xludf.DUMMYFUNCTION("""COMPUTED_VALUE"""),"Yûko Tanaka")</f>
        <v>Yûko Tanaka</v>
      </c>
      <c r="K284" s="5" t="str">
        <f>IFERROR(__xludf.DUMMYFUNCTION("""COMPUTED_VALUE"""),"Estrela 3")</f>
        <v>Estrela 3</v>
      </c>
      <c r="P284" s="5">
        <f>IFERROR(__xludf.DUMMYFUNCTION("""COMPUTED_VALUE"""),71.0)</f>
        <v>71</v>
      </c>
      <c r="Q284" s="5" t="str">
        <f>IFERROR(__xludf.DUMMYFUNCTION("""COMPUTED_VALUE"""),"Mononoke-hime")</f>
        <v>Mononoke-hime</v>
      </c>
      <c r="R284" s="5" t="str">
        <f>IFERROR(__xludf.DUMMYFUNCTION("""COMPUTED_VALUE"""),"Yûko Tanaka")</f>
        <v>Yûko Tanaka</v>
      </c>
      <c r="S284" s="5" t="str">
        <f>IFERROR(__xludf.DUMMYFUNCTION("""COMPUTED_VALUE"""),"Estrela 3")</f>
        <v>Estrela 3</v>
      </c>
    </row>
    <row r="285">
      <c r="A285" s="1">
        <v>284.0</v>
      </c>
      <c r="B285" s="1" t="s">
        <v>1913</v>
      </c>
      <c r="C285" s="1" t="s">
        <v>156</v>
      </c>
      <c r="D285" s="1" t="s">
        <v>1899</v>
      </c>
      <c r="E285" s="1" t="s">
        <v>1346</v>
      </c>
      <c r="F285" s="1" t="s">
        <v>1915</v>
      </c>
      <c r="G285" s="5" t="str">
        <f>IFERROR(__xludf.DUMMYFUNCTION("""COMPUTED_VALUE"""),"71🤙🏼Mononoke-hime🤙🏼Billy Crudup🤙🏼Estrela 4")</f>
        <v>71🤙🏼Mononoke-hime🤙🏼Billy Crudup🤙🏼Estrela 4</v>
      </c>
      <c r="H285" s="5">
        <f>IFERROR(__xludf.DUMMYFUNCTION("SPLiT(G285, ""🤙🏼"",FALSE,FALSE)"),71.0)</f>
        <v>71</v>
      </c>
      <c r="I285" s="5" t="str">
        <f>IFERROR(__xludf.DUMMYFUNCTION("""COMPUTED_VALUE"""),"Mononoke-hime")</f>
        <v>Mononoke-hime</v>
      </c>
      <c r="J285" s="5" t="str">
        <f>IFERROR(__xludf.DUMMYFUNCTION("""COMPUTED_VALUE"""),"Billy Crudup")</f>
        <v>Billy Crudup</v>
      </c>
      <c r="K285" s="5" t="str">
        <f>IFERROR(__xludf.DUMMYFUNCTION("""COMPUTED_VALUE"""),"Estrela 4")</f>
        <v>Estrela 4</v>
      </c>
      <c r="P285" s="5">
        <f>IFERROR(__xludf.DUMMYFUNCTION("""COMPUTED_VALUE"""),71.0)</f>
        <v>71</v>
      </c>
      <c r="Q285" s="5" t="str">
        <f>IFERROR(__xludf.DUMMYFUNCTION("""COMPUTED_VALUE"""),"Mononoke-hime")</f>
        <v>Mononoke-hime</v>
      </c>
      <c r="R285" s="5" t="str">
        <f>IFERROR(__xludf.DUMMYFUNCTION("""COMPUTED_VALUE"""),"Billy Crudup")</f>
        <v>Billy Crudup</v>
      </c>
      <c r="S285" s="5" t="str">
        <f>IFERROR(__xludf.DUMMYFUNCTION("""COMPUTED_VALUE"""),"Estrela 4")</f>
        <v>Estrela 4</v>
      </c>
    </row>
    <row r="286">
      <c r="A286" s="1">
        <v>285.0</v>
      </c>
      <c r="B286" s="1" t="s">
        <v>1916</v>
      </c>
      <c r="C286" s="1" t="s">
        <v>1904</v>
      </c>
      <c r="D286" s="1" t="s">
        <v>1919</v>
      </c>
      <c r="E286" s="1" t="s">
        <v>1920</v>
      </c>
      <c r="F286" s="1" t="s">
        <v>1921</v>
      </c>
      <c r="G286" s="5" t="str">
        <f>IFERROR(__xludf.DUMMYFUNCTION("""COMPUTED_VALUE"""),"72🤙🏼Once Upon a Time in America🤙🏼Robert De Niro🤙🏼Estrela 1")</f>
        <v>72🤙🏼Once Upon a Time in America🤙🏼Robert De Niro🤙🏼Estrela 1</v>
      </c>
      <c r="H286" s="5">
        <f>IFERROR(__xludf.DUMMYFUNCTION("SPLiT(G286, ""🤙🏼"",FALSE,FALSE)"),72.0)</f>
        <v>72</v>
      </c>
      <c r="I286" s="5" t="str">
        <f>IFERROR(__xludf.DUMMYFUNCTION("""COMPUTED_VALUE"""),"Once Upon a Time in America")</f>
        <v>Once Upon a Time in America</v>
      </c>
      <c r="J286" s="5" t="str">
        <f>IFERROR(__xludf.DUMMYFUNCTION("""COMPUTED_VALUE"""),"Robert De Niro")</f>
        <v>Robert De Niro</v>
      </c>
      <c r="K286" s="5" t="str">
        <f>IFERROR(__xludf.DUMMYFUNCTION("""COMPUTED_VALUE"""),"Estrela 1")</f>
        <v>Estrela 1</v>
      </c>
      <c r="P286" s="5">
        <f>IFERROR(__xludf.DUMMYFUNCTION("""COMPUTED_VALUE"""),72.0)</f>
        <v>72</v>
      </c>
      <c r="Q286" s="5" t="str">
        <f>IFERROR(__xludf.DUMMYFUNCTION("""COMPUTED_VALUE"""),"Once Upon a Time in America")</f>
        <v>Once Upon a Time in America</v>
      </c>
      <c r="R286" s="5" t="str">
        <f>IFERROR(__xludf.DUMMYFUNCTION("""COMPUTED_VALUE"""),"Robert De Niro")</f>
        <v>Robert De Niro</v>
      </c>
      <c r="S286" s="5" t="str">
        <f>IFERROR(__xludf.DUMMYFUNCTION("""COMPUTED_VALUE"""),"Estrela 1")</f>
        <v>Estrela 1</v>
      </c>
    </row>
    <row r="287">
      <c r="A287" s="1">
        <v>286.0</v>
      </c>
      <c r="B287" s="1" t="s">
        <v>1922</v>
      </c>
      <c r="C287" s="1" t="s">
        <v>1924</v>
      </c>
      <c r="D287" s="1" t="s">
        <v>1240</v>
      </c>
      <c r="E287" s="1" t="s">
        <v>1925</v>
      </c>
      <c r="F287" s="1" t="s">
        <v>1304</v>
      </c>
      <c r="G287" s="5" t="str">
        <f>IFERROR(__xludf.DUMMYFUNCTION("""COMPUTED_VALUE"""),"72🤙🏼Once Upon a Time in America🤙🏼James Woods🤙🏼Estrela 2")</f>
        <v>72🤙🏼Once Upon a Time in America🤙🏼James Woods🤙🏼Estrela 2</v>
      </c>
      <c r="H287" s="5">
        <f>IFERROR(__xludf.DUMMYFUNCTION("SPLiT(G287, ""🤙🏼"",FALSE,FALSE)"),72.0)</f>
        <v>72</v>
      </c>
      <c r="I287" s="5" t="str">
        <f>IFERROR(__xludf.DUMMYFUNCTION("""COMPUTED_VALUE"""),"Once Upon a Time in America")</f>
        <v>Once Upon a Time in America</v>
      </c>
      <c r="J287" s="5" t="str">
        <f>IFERROR(__xludf.DUMMYFUNCTION("""COMPUTED_VALUE"""),"James Woods")</f>
        <v>James Woods</v>
      </c>
      <c r="K287" s="5" t="str">
        <f>IFERROR(__xludf.DUMMYFUNCTION("""COMPUTED_VALUE"""),"Estrela 2")</f>
        <v>Estrela 2</v>
      </c>
      <c r="P287" s="5">
        <f>IFERROR(__xludf.DUMMYFUNCTION("""COMPUTED_VALUE"""),72.0)</f>
        <v>72</v>
      </c>
      <c r="Q287" s="5" t="str">
        <f>IFERROR(__xludf.DUMMYFUNCTION("""COMPUTED_VALUE"""),"Once Upon a Time in America")</f>
        <v>Once Upon a Time in America</v>
      </c>
      <c r="R287" s="5" t="str">
        <f>IFERROR(__xludf.DUMMYFUNCTION("""COMPUTED_VALUE"""),"James Woods")</f>
        <v>James Woods</v>
      </c>
      <c r="S287" s="5" t="str">
        <f>IFERROR(__xludf.DUMMYFUNCTION("""COMPUTED_VALUE"""),"Estrela 2")</f>
        <v>Estrela 2</v>
      </c>
    </row>
    <row r="288">
      <c r="A288" s="1">
        <v>287.0</v>
      </c>
      <c r="B288" s="1" t="s">
        <v>1926</v>
      </c>
      <c r="C288" s="1" t="s">
        <v>1928</v>
      </c>
      <c r="D288" s="1" t="s">
        <v>1929</v>
      </c>
      <c r="E288" s="1" t="s">
        <v>1930</v>
      </c>
      <c r="F288" s="1" t="s">
        <v>1931</v>
      </c>
      <c r="G288" s="5" t="str">
        <f>IFERROR(__xludf.DUMMYFUNCTION("""COMPUTED_VALUE"""),"72🤙🏼Once Upon a Time in America🤙🏼Elizabeth McGovern🤙🏼Estrela 3")</f>
        <v>72🤙🏼Once Upon a Time in America🤙🏼Elizabeth McGovern🤙🏼Estrela 3</v>
      </c>
      <c r="H288" s="5">
        <f>IFERROR(__xludf.DUMMYFUNCTION("SPLiT(G288, ""🤙🏼"",FALSE,FALSE)"),72.0)</f>
        <v>72</v>
      </c>
      <c r="I288" s="5" t="str">
        <f>IFERROR(__xludf.DUMMYFUNCTION("""COMPUTED_VALUE"""),"Once Upon a Time in America")</f>
        <v>Once Upon a Time in America</v>
      </c>
      <c r="J288" s="5" t="str">
        <f>IFERROR(__xludf.DUMMYFUNCTION("""COMPUTED_VALUE"""),"Elizabeth McGovern")</f>
        <v>Elizabeth McGovern</v>
      </c>
      <c r="K288" s="5" t="str">
        <f>IFERROR(__xludf.DUMMYFUNCTION("""COMPUTED_VALUE"""),"Estrela 3")</f>
        <v>Estrela 3</v>
      </c>
      <c r="P288" s="5">
        <f>IFERROR(__xludf.DUMMYFUNCTION("""COMPUTED_VALUE"""),72.0)</f>
        <v>72</v>
      </c>
      <c r="Q288" s="5" t="str">
        <f>IFERROR(__xludf.DUMMYFUNCTION("""COMPUTED_VALUE"""),"Once Upon a Time in America")</f>
        <v>Once Upon a Time in America</v>
      </c>
      <c r="R288" s="5" t="str">
        <f>IFERROR(__xludf.DUMMYFUNCTION("""COMPUTED_VALUE"""),"Elizabeth McGovern")</f>
        <v>Elizabeth McGovern</v>
      </c>
      <c r="S288" s="5" t="str">
        <f>IFERROR(__xludf.DUMMYFUNCTION("""COMPUTED_VALUE"""),"Estrela 3")</f>
        <v>Estrela 3</v>
      </c>
    </row>
    <row r="289">
      <c r="A289" s="1">
        <v>288.0</v>
      </c>
      <c r="B289" s="1" t="s">
        <v>1932</v>
      </c>
      <c r="C289" s="1" t="s">
        <v>1936</v>
      </c>
      <c r="D289" s="1" t="s">
        <v>1937</v>
      </c>
      <c r="E289" s="1" t="s">
        <v>1938</v>
      </c>
      <c r="F289" s="1" t="s">
        <v>1939</v>
      </c>
      <c r="G289" s="5" t="str">
        <f>IFERROR(__xludf.DUMMYFUNCTION("""COMPUTED_VALUE"""),"72🤙🏼Once Upon a Time in America🤙🏼Treat Williams🤙🏼Estrela 4")</f>
        <v>72🤙🏼Once Upon a Time in America🤙🏼Treat Williams🤙🏼Estrela 4</v>
      </c>
      <c r="H289" s="5">
        <f>IFERROR(__xludf.DUMMYFUNCTION("SPLiT(G289, ""🤙🏼"",FALSE,FALSE)"),72.0)</f>
        <v>72</v>
      </c>
      <c r="I289" s="5" t="str">
        <f>IFERROR(__xludf.DUMMYFUNCTION("""COMPUTED_VALUE"""),"Once Upon a Time in America")</f>
        <v>Once Upon a Time in America</v>
      </c>
      <c r="J289" s="5" t="str">
        <f>IFERROR(__xludf.DUMMYFUNCTION("""COMPUTED_VALUE"""),"Treat Williams")</f>
        <v>Treat Williams</v>
      </c>
      <c r="K289" s="5" t="str">
        <f>IFERROR(__xludf.DUMMYFUNCTION("""COMPUTED_VALUE"""),"Estrela 4")</f>
        <v>Estrela 4</v>
      </c>
      <c r="P289" s="5">
        <f>IFERROR(__xludf.DUMMYFUNCTION("""COMPUTED_VALUE"""),72.0)</f>
        <v>72</v>
      </c>
      <c r="Q289" s="5" t="str">
        <f>IFERROR(__xludf.DUMMYFUNCTION("""COMPUTED_VALUE"""),"Once Upon a Time in America")</f>
        <v>Once Upon a Time in America</v>
      </c>
      <c r="R289" s="5" t="str">
        <f>IFERROR(__xludf.DUMMYFUNCTION("""COMPUTED_VALUE"""),"Treat Williams")</f>
        <v>Treat Williams</v>
      </c>
      <c r="S289" s="5" t="str">
        <f>IFERROR(__xludf.DUMMYFUNCTION("""COMPUTED_VALUE"""),"Estrela 4")</f>
        <v>Estrela 4</v>
      </c>
    </row>
    <row r="290">
      <c r="A290" s="1">
        <v>289.0</v>
      </c>
      <c r="B290" s="1" t="s">
        <v>1940</v>
      </c>
      <c r="C290" s="1" t="s">
        <v>834</v>
      </c>
      <c r="D290" s="1" t="s">
        <v>1943</v>
      </c>
      <c r="E290" s="1" t="s">
        <v>1944</v>
      </c>
      <c r="F290" s="1" t="s">
        <v>1945</v>
      </c>
      <c r="G290" s="5" t="str">
        <f>IFERROR(__xludf.DUMMYFUNCTION("""COMPUTED_VALUE"""),"73🤙🏼Raiders of the Lost Ark🤙🏼Harrison Ford🤙🏼Estrela 1")</f>
        <v>73🤙🏼Raiders of the Lost Ark🤙🏼Harrison Ford🤙🏼Estrela 1</v>
      </c>
      <c r="H290" s="5">
        <f>IFERROR(__xludf.DUMMYFUNCTION("SPLiT(G290, ""🤙🏼"",FALSE,FALSE)"),73.0)</f>
        <v>73</v>
      </c>
      <c r="I290" s="5" t="str">
        <f>IFERROR(__xludf.DUMMYFUNCTION("""COMPUTED_VALUE"""),"Raiders of the Lost Ark")</f>
        <v>Raiders of the Lost Ark</v>
      </c>
      <c r="J290" s="5" t="str">
        <f>IFERROR(__xludf.DUMMYFUNCTION("""COMPUTED_VALUE"""),"Harrison Ford")</f>
        <v>Harrison Ford</v>
      </c>
      <c r="K290" s="5" t="str">
        <f>IFERROR(__xludf.DUMMYFUNCTION("""COMPUTED_VALUE"""),"Estrela 1")</f>
        <v>Estrela 1</v>
      </c>
      <c r="P290" s="5">
        <f>IFERROR(__xludf.DUMMYFUNCTION("""COMPUTED_VALUE"""),73.0)</f>
        <v>73</v>
      </c>
      <c r="Q290" s="5" t="str">
        <f>IFERROR(__xludf.DUMMYFUNCTION("""COMPUTED_VALUE"""),"Raiders of the Lost Ark")</f>
        <v>Raiders of the Lost Ark</v>
      </c>
      <c r="R290" s="5" t="str">
        <f>IFERROR(__xludf.DUMMYFUNCTION("""COMPUTED_VALUE"""),"Harrison Ford")</f>
        <v>Harrison Ford</v>
      </c>
      <c r="S290" s="5" t="str">
        <f>IFERROR(__xludf.DUMMYFUNCTION("""COMPUTED_VALUE"""),"Estrela 1")</f>
        <v>Estrela 1</v>
      </c>
    </row>
    <row r="291">
      <c r="A291" s="1">
        <v>290.0</v>
      </c>
      <c r="B291" s="1" t="s">
        <v>1946</v>
      </c>
      <c r="C291" s="1" t="s">
        <v>1303</v>
      </c>
      <c r="D291" s="1" t="s">
        <v>1240</v>
      </c>
      <c r="E291" s="1" t="s">
        <v>1949</v>
      </c>
      <c r="F291" s="1" t="s">
        <v>1305</v>
      </c>
      <c r="G291" s="5" t="str">
        <f>IFERROR(__xludf.DUMMYFUNCTION("""COMPUTED_VALUE"""),"73🤙🏼Raiders of the Lost Ark🤙🏼Karen Allen🤙🏼Estrela 2")</f>
        <v>73🤙🏼Raiders of the Lost Ark🤙🏼Karen Allen🤙🏼Estrela 2</v>
      </c>
      <c r="H291" s="5">
        <f>IFERROR(__xludf.DUMMYFUNCTION("SPLiT(G291, ""🤙🏼"",FALSE,FALSE)"),73.0)</f>
        <v>73</v>
      </c>
      <c r="I291" s="5" t="str">
        <f>IFERROR(__xludf.DUMMYFUNCTION("""COMPUTED_VALUE"""),"Raiders of the Lost Ark")</f>
        <v>Raiders of the Lost Ark</v>
      </c>
      <c r="J291" s="5" t="str">
        <f>IFERROR(__xludf.DUMMYFUNCTION("""COMPUTED_VALUE"""),"Karen Allen")</f>
        <v>Karen Allen</v>
      </c>
      <c r="K291" s="5" t="str">
        <f>IFERROR(__xludf.DUMMYFUNCTION("""COMPUTED_VALUE"""),"Estrela 2")</f>
        <v>Estrela 2</v>
      </c>
      <c r="P291" s="5">
        <f>IFERROR(__xludf.DUMMYFUNCTION("""COMPUTED_VALUE"""),73.0)</f>
        <v>73</v>
      </c>
      <c r="Q291" s="5" t="str">
        <f>IFERROR(__xludf.DUMMYFUNCTION("""COMPUTED_VALUE"""),"Raiders of the Lost Ark")</f>
        <v>Raiders of the Lost Ark</v>
      </c>
      <c r="R291" s="5" t="str">
        <f>IFERROR(__xludf.DUMMYFUNCTION("""COMPUTED_VALUE"""),"Karen Allen")</f>
        <v>Karen Allen</v>
      </c>
      <c r="S291" s="5" t="str">
        <f>IFERROR(__xludf.DUMMYFUNCTION("""COMPUTED_VALUE"""),"Estrela 2")</f>
        <v>Estrela 2</v>
      </c>
    </row>
    <row r="292">
      <c r="A292" s="1">
        <v>291.0</v>
      </c>
      <c r="B292" s="1" t="s">
        <v>1950</v>
      </c>
      <c r="C292" s="1" t="s">
        <v>1235</v>
      </c>
      <c r="D292" s="1" t="s">
        <v>1953</v>
      </c>
      <c r="E292" s="1" t="s">
        <v>1236</v>
      </c>
      <c r="F292" s="1" t="s">
        <v>1954</v>
      </c>
      <c r="G292" s="5" t="str">
        <f>IFERROR(__xludf.DUMMYFUNCTION("""COMPUTED_VALUE"""),"73🤙🏼Raiders of the Lost Ark🤙🏼Paul Freeman🤙🏼Estrela 3")</f>
        <v>73🤙🏼Raiders of the Lost Ark🤙🏼Paul Freeman🤙🏼Estrela 3</v>
      </c>
      <c r="H292" s="5">
        <f>IFERROR(__xludf.DUMMYFUNCTION("SPLiT(G292, ""🤙🏼"",FALSE,FALSE)"),73.0)</f>
        <v>73</v>
      </c>
      <c r="I292" s="5" t="str">
        <f>IFERROR(__xludf.DUMMYFUNCTION("""COMPUTED_VALUE"""),"Raiders of the Lost Ark")</f>
        <v>Raiders of the Lost Ark</v>
      </c>
      <c r="J292" s="5" t="str">
        <f>IFERROR(__xludf.DUMMYFUNCTION("""COMPUTED_VALUE"""),"Paul Freeman")</f>
        <v>Paul Freeman</v>
      </c>
      <c r="K292" s="5" t="str">
        <f>IFERROR(__xludf.DUMMYFUNCTION("""COMPUTED_VALUE"""),"Estrela 3")</f>
        <v>Estrela 3</v>
      </c>
      <c r="P292" s="5">
        <f>IFERROR(__xludf.DUMMYFUNCTION("""COMPUTED_VALUE"""),73.0)</f>
        <v>73</v>
      </c>
      <c r="Q292" s="5" t="str">
        <f>IFERROR(__xludf.DUMMYFUNCTION("""COMPUTED_VALUE"""),"Raiders of the Lost Ark")</f>
        <v>Raiders of the Lost Ark</v>
      </c>
      <c r="R292" s="5" t="str">
        <f>IFERROR(__xludf.DUMMYFUNCTION("""COMPUTED_VALUE"""),"Paul Freeman")</f>
        <v>Paul Freeman</v>
      </c>
      <c r="S292" s="5" t="str">
        <f>IFERROR(__xludf.DUMMYFUNCTION("""COMPUTED_VALUE"""),"Estrela 3")</f>
        <v>Estrela 3</v>
      </c>
    </row>
    <row r="293">
      <c r="A293" s="1">
        <v>292.0</v>
      </c>
      <c r="B293" s="1" t="s">
        <v>1955</v>
      </c>
      <c r="C293" s="1" t="s">
        <v>1958</v>
      </c>
      <c r="D293" s="1" t="s">
        <v>1959</v>
      </c>
      <c r="E293" s="1" t="s">
        <v>1960</v>
      </c>
      <c r="F293" s="1" t="s">
        <v>1961</v>
      </c>
      <c r="G293" s="5" t="str">
        <f>IFERROR(__xludf.DUMMYFUNCTION("""COMPUTED_VALUE"""),"73🤙🏼Raiders of the Lost Ark🤙🏼John Rhys-Davies🤙🏼Estrela 4")</f>
        <v>73🤙🏼Raiders of the Lost Ark🤙🏼John Rhys-Davies🤙🏼Estrela 4</v>
      </c>
      <c r="H293" s="5">
        <f>IFERROR(__xludf.DUMMYFUNCTION("SPLiT(G293, ""🤙🏼"",FALSE,FALSE)"),73.0)</f>
        <v>73</v>
      </c>
      <c r="I293" s="5" t="str">
        <f>IFERROR(__xludf.DUMMYFUNCTION("""COMPUTED_VALUE"""),"Raiders of the Lost Ark")</f>
        <v>Raiders of the Lost Ark</v>
      </c>
      <c r="J293" s="5" t="str">
        <f>IFERROR(__xludf.DUMMYFUNCTION("""COMPUTED_VALUE"""),"John Rhys-Davies")</f>
        <v>John Rhys-Davies</v>
      </c>
      <c r="K293" s="5" t="str">
        <f>IFERROR(__xludf.DUMMYFUNCTION("""COMPUTED_VALUE"""),"Estrela 4")</f>
        <v>Estrela 4</v>
      </c>
      <c r="P293" s="5">
        <f>IFERROR(__xludf.DUMMYFUNCTION("""COMPUTED_VALUE"""),73.0)</f>
        <v>73</v>
      </c>
      <c r="Q293" s="5" t="str">
        <f>IFERROR(__xludf.DUMMYFUNCTION("""COMPUTED_VALUE"""),"Raiders of the Lost Ark")</f>
        <v>Raiders of the Lost Ark</v>
      </c>
      <c r="R293" s="5" t="str">
        <f>IFERROR(__xludf.DUMMYFUNCTION("""COMPUTED_VALUE"""),"John Rhys-Davies")</f>
        <v>John Rhys-Davies</v>
      </c>
      <c r="S293" s="5" t="str">
        <f>IFERROR(__xludf.DUMMYFUNCTION("""COMPUTED_VALUE"""),"Estrela 4")</f>
        <v>Estrela 4</v>
      </c>
    </row>
    <row r="294">
      <c r="A294" s="1">
        <v>293.0</v>
      </c>
      <c r="B294" s="1" t="s">
        <v>1962</v>
      </c>
      <c r="C294" s="1" t="s">
        <v>1967</v>
      </c>
      <c r="D294" s="1" t="s">
        <v>1968</v>
      </c>
      <c r="E294" s="1" t="s">
        <v>1969</v>
      </c>
      <c r="F294" s="1" t="s">
        <v>1970</v>
      </c>
      <c r="G294" s="5" t="str">
        <f>IFERROR(__xludf.DUMMYFUNCTION("""COMPUTED_VALUE"""),"74🤙🏼The Shining🤙🏼Jack Nicholson🤙🏼Estrela 1")</f>
        <v>74🤙🏼The Shining🤙🏼Jack Nicholson🤙🏼Estrela 1</v>
      </c>
      <c r="H294" s="5">
        <f>IFERROR(__xludf.DUMMYFUNCTION("SPLiT(G294, ""🤙🏼"",FALSE,FALSE)"),74.0)</f>
        <v>74</v>
      </c>
      <c r="I294" s="5" t="str">
        <f>IFERROR(__xludf.DUMMYFUNCTION("""COMPUTED_VALUE"""),"The Shining")</f>
        <v>The Shining</v>
      </c>
      <c r="J294" s="5" t="str">
        <f>IFERROR(__xludf.DUMMYFUNCTION("""COMPUTED_VALUE"""),"Jack Nicholson")</f>
        <v>Jack Nicholson</v>
      </c>
      <c r="K294" s="5" t="str">
        <f>IFERROR(__xludf.DUMMYFUNCTION("""COMPUTED_VALUE"""),"Estrela 1")</f>
        <v>Estrela 1</v>
      </c>
      <c r="P294" s="5">
        <f>IFERROR(__xludf.DUMMYFUNCTION("""COMPUTED_VALUE"""),74.0)</f>
        <v>74</v>
      </c>
      <c r="Q294" s="5" t="str">
        <f>IFERROR(__xludf.DUMMYFUNCTION("""COMPUTED_VALUE"""),"The Shining")</f>
        <v>The Shining</v>
      </c>
      <c r="R294" s="5" t="str">
        <f>IFERROR(__xludf.DUMMYFUNCTION("""COMPUTED_VALUE"""),"Jack Nicholson")</f>
        <v>Jack Nicholson</v>
      </c>
      <c r="S294" s="5" t="str">
        <f>IFERROR(__xludf.DUMMYFUNCTION("""COMPUTED_VALUE"""),"Estrela 1")</f>
        <v>Estrela 1</v>
      </c>
    </row>
    <row r="295">
      <c r="A295" s="1">
        <v>294.0</v>
      </c>
      <c r="B295" s="1" t="s">
        <v>1971</v>
      </c>
      <c r="C295" s="1" t="s">
        <v>1339</v>
      </c>
      <c r="D295" s="1" t="s">
        <v>1975</v>
      </c>
      <c r="E295" s="1" t="s">
        <v>1976</v>
      </c>
      <c r="F295" s="1" t="s">
        <v>1977</v>
      </c>
      <c r="G295" s="5" t="str">
        <f>IFERROR(__xludf.DUMMYFUNCTION("""COMPUTED_VALUE"""),"74🤙🏼The Shining🤙🏼Shelley Duvall🤙🏼Estrela 2")</f>
        <v>74🤙🏼The Shining🤙🏼Shelley Duvall🤙🏼Estrela 2</v>
      </c>
      <c r="H295" s="5">
        <f>IFERROR(__xludf.DUMMYFUNCTION("SPLiT(G295, ""🤙🏼"",FALSE,FALSE)"),74.0)</f>
        <v>74</v>
      </c>
      <c r="I295" s="5" t="str">
        <f>IFERROR(__xludf.DUMMYFUNCTION("""COMPUTED_VALUE"""),"The Shining")</f>
        <v>The Shining</v>
      </c>
      <c r="J295" s="5" t="str">
        <f>IFERROR(__xludf.DUMMYFUNCTION("""COMPUTED_VALUE"""),"Shelley Duvall")</f>
        <v>Shelley Duvall</v>
      </c>
      <c r="K295" s="5" t="str">
        <f>IFERROR(__xludf.DUMMYFUNCTION("""COMPUTED_VALUE"""),"Estrela 2")</f>
        <v>Estrela 2</v>
      </c>
      <c r="P295" s="5">
        <f>IFERROR(__xludf.DUMMYFUNCTION("""COMPUTED_VALUE"""),74.0)</f>
        <v>74</v>
      </c>
      <c r="Q295" s="5" t="str">
        <f>IFERROR(__xludf.DUMMYFUNCTION("""COMPUTED_VALUE"""),"The Shining")</f>
        <v>The Shining</v>
      </c>
      <c r="R295" s="5" t="str">
        <f>IFERROR(__xludf.DUMMYFUNCTION("""COMPUTED_VALUE"""),"Shelley Duvall")</f>
        <v>Shelley Duvall</v>
      </c>
      <c r="S295" s="5" t="str">
        <f>IFERROR(__xludf.DUMMYFUNCTION("""COMPUTED_VALUE"""),"Estrela 2")</f>
        <v>Estrela 2</v>
      </c>
    </row>
    <row r="296">
      <c r="A296" s="1">
        <v>295.0</v>
      </c>
      <c r="B296" s="1" t="s">
        <v>1978</v>
      </c>
      <c r="C296" s="1" t="s">
        <v>265</v>
      </c>
      <c r="D296" s="1" t="s">
        <v>257</v>
      </c>
      <c r="E296" s="1" t="s">
        <v>1980</v>
      </c>
      <c r="F296" s="1" t="s">
        <v>1981</v>
      </c>
      <c r="G296" s="5" t="str">
        <f>IFERROR(__xludf.DUMMYFUNCTION("""COMPUTED_VALUE"""),"74🤙🏼The Shining🤙🏼Danny Lloyd🤙🏼Estrela 3")</f>
        <v>74🤙🏼The Shining🤙🏼Danny Lloyd🤙🏼Estrela 3</v>
      </c>
      <c r="H296" s="5">
        <f>IFERROR(__xludf.DUMMYFUNCTION("SPLiT(G296, ""🤙🏼"",FALSE,FALSE)"),74.0)</f>
        <v>74</v>
      </c>
      <c r="I296" s="5" t="str">
        <f>IFERROR(__xludf.DUMMYFUNCTION("""COMPUTED_VALUE"""),"The Shining")</f>
        <v>The Shining</v>
      </c>
      <c r="J296" s="5" t="str">
        <f>IFERROR(__xludf.DUMMYFUNCTION("""COMPUTED_VALUE"""),"Danny Lloyd")</f>
        <v>Danny Lloyd</v>
      </c>
      <c r="K296" s="5" t="str">
        <f>IFERROR(__xludf.DUMMYFUNCTION("""COMPUTED_VALUE"""),"Estrela 3")</f>
        <v>Estrela 3</v>
      </c>
      <c r="P296" s="5">
        <f>IFERROR(__xludf.DUMMYFUNCTION("""COMPUTED_VALUE"""),74.0)</f>
        <v>74</v>
      </c>
      <c r="Q296" s="5" t="str">
        <f>IFERROR(__xludf.DUMMYFUNCTION("""COMPUTED_VALUE"""),"The Shining")</f>
        <v>The Shining</v>
      </c>
      <c r="R296" s="5" t="str">
        <f>IFERROR(__xludf.DUMMYFUNCTION("""COMPUTED_VALUE"""),"Danny Lloyd")</f>
        <v>Danny Lloyd</v>
      </c>
      <c r="S296" s="5" t="str">
        <f>IFERROR(__xludf.DUMMYFUNCTION("""COMPUTED_VALUE"""),"Estrela 3")</f>
        <v>Estrela 3</v>
      </c>
    </row>
    <row r="297">
      <c r="A297" s="1">
        <v>296.0</v>
      </c>
      <c r="B297" s="1" t="s">
        <v>1982</v>
      </c>
      <c r="C297" s="1" t="s">
        <v>274</v>
      </c>
      <c r="D297" s="1" t="s">
        <v>1985</v>
      </c>
      <c r="E297" s="1" t="s">
        <v>402</v>
      </c>
      <c r="F297" s="1" t="s">
        <v>1986</v>
      </c>
      <c r="G297" s="5" t="str">
        <f>IFERROR(__xludf.DUMMYFUNCTION("""COMPUTED_VALUE"""),"74🤙🏼The Shining🤙🏼Scatman Crothers🤙🏼Estrela 4")</f>
        <v>74🤙🏼The Shining🤙🏼Scatman Crothers🤙🏼Estrela 4</v>
      </c>
      <c r="H297" s="5">
        <f>IFERROR(__xludf.DUMMYFUNCTION("SPLiT(G297, ""🤙🏼"",FALSE,FALSE)"),74.0)</f>
        <v>74</v>
      </c>
      <c r="I297" s="5" t="str">
        <f>IFERROR(__xludf.DUMMYFUNCTION("""COMPUTED_VALUE"""),"The Shining")</f>
        <v>The Shining</v>
      </c>
      <c r="J297" s="5" t="str">
        <f>IFERROR(__xludf.DUMMYFUNCTION("""COMPUTED_VALUE"""),"Scatman Crothers")</f>
        <v>Scatman Crothers</v>
      </c>
      <c r="K297" s="5" t="str">
        <f>IFERROR(__xludf.DUMMYFUNCTION("""COMPUTED_VALUE"""),"Estrela 4")</f>
        <v>Estrela 4</v>
      </c>
      <c r="P297" s="5">
        <f>IFERROR(__xludf.DUMMYFUNCTION("""COMPUTED_VALUE"""),74.0)</f>
        <v>74</v>
      </c>
      <c r="Q297" s="5" t="str">
        <f>IFERROR(__xludf.DUMMYFUNCTION("""COMPUTED_VALUE"""),"The Shining")</f>
        <v>The Shining</v>
      </c>
      <c r="R297" s="5" t="str">
        <f>IFERROR(__xludf.DUMMYFUNCTION("""COMPUTED_VALUE"""),"Scatman Crothers")</f>
        <v>Scatman Crothers</v>
      </c>
      <c r="S297" s="5" t="str">
        <f>IFERROR(__xludf.DUMMYFUNCTION("""COMPUTED_VALUE"""),"Estrela 4")</f>
        <v>Estrela 4</v>
      </c>
    </row>
    <row r="298">
      <c r="A298" s="1">
        <v>297.0</v>
      </c>
      <c r="B298" s="1" t="s">
        <v>1987</v>
      </c>
      <c r="C298" s="1" t="s">
        <v>1989</v>
      </c>
      <c r="D298" s="1" t="s">
        <v>1990</v>
      </c>
      <c r="E298" s="1" t="s">
        <v>1991</v>
      </c>
      <c r="F298" s="1" t="s">
        <v>1992</v>
      </c>
      <c r="G298" s="5" t="str">
        <f>IFERROR(__xludf.DUMMYFUNCTION("""COMPUTED_VALUE"""),"75🤙🏼Apocalypse Now🤙🏼Martin Sheen🤙🏼Estrela 1")</f>
        <v>75🤙🏼Apocalypse Now🤙🏼Martin Sheen🤙🏼Estrela 1</v>
      </c>
      <c r="H298" s="5">
        <f>IFERROR(__xludf.DUMMYFUNCTION("SPLiT(G298, ""🤙🏼"",FALSE,FALSE)"),75.0)</f>
        <v>75</v>
      </c>
      <c r="I298" s="5" t="str">
        <f>IFERROR(__xludf.DUMMYFUNCTION("""COMPUTED_VALUE"""),"Apocalypse Now")</f>
        <v>Apocalypse Now</v>
      </c>
      <c r="J298" s="5" t="str">
        <f>IFERROR(__xludf.DUMMYFUNCTION("""COMPUTED_VALUE"""),"Martin Sheen")</f>
        <v>Martin Sheen</v>
      </c>
      <c r="K298" s="5" t="str">
        <f>IFERROR(__xludf.DUMMYFUNCTION("""COMPUTED_VALUE"""),"Estrela 1")</f>
        <v>Estrela 1</v>
      </c>
      <c r="P298" s="5">
        <f>IFERROR(__xludf.DUMMYFUNCTION("""COMPUTED_VALUE"""),75.0)</f>
        <v>75</v>
      </c>
      <c r="Q298" s="5" t="str">
        <f>IFERROR(__xludf.DUMMYFUNCTION("""COMPUTED_VALUE"""),"Apocalypse Now")</f>
        <v>Apocalypse Now</v>
      </c>
      <c r="R298" s="5" t="str">
        <f>IFERROR(__xludf.DUMMYFUNCTION("""COMPUTED_VALUE"""),"Martin Sheen")</f>
        <v>Martin Sheen</v>
      </c>
      <c r="S298" s="5" t="str">
        <f>IFERROR(__xludf.DUMMYFUNCTION("""COMPUTED_VALUE"""),"Estrela 1")</f>
        <v>Estrela 1</v>
      </c>
    </row>
    <row r="299">
      <c r="A299" s="1">
        <v>298.0</v>
      </c>
      <c r="B299" s="1" t="s">
        <v>1993</v>
      </c>
      <c r="C299" s="1" t="s">
        <v>1309</v>
      </c>
      <c r="D299" s="1" t="s">
        <v>1995</v>
      </c>
      <c r="E299" s="1" t="s">
        <v>1996</v>
      </c>
      <c r="F299" s="1" t="s">
        <v>1997</v>
      </c>
      <c r="G299" s="5" t="str">
        <f>IFERROR(__xludf.DUMMYFUNCTION("""COMPUTED_VALUE"""),"75🤙🏼Apocalypse Now🤙🏼Marlon Brando🤙🏼Estrela 2")</f>
        <v>75🤙🏼Apocalypse Now🤙🏼Marlon Brando🤙🏼Estrela 2</v>
      </c>
      <c r="H299" s="5">
        <f>IFERROR(__xludf.DUMMYFUNCTION("SPLiT(G299, ""🤙🏼"",FALSE,FALSE)"),75.0)</f>
        <v>75</v>
      </c>
      <c r="I299" s="5" t="str">
        <f>IFERROR(__xludf.DUMMYFUNCTION("""COMPUTED_VALUE"""),"Apocalypse Now")</f>
        <v>Apocalypse Now</v>
      </c>
      <c r="J299" s="5" t="str">
        <f>IFERROR(__xludf.DUMMYFUNCTION("""COMPUTED_VALUE"""),"Marlon Brando")</f>
        <v>Marlon Brando</v>
      </c>
      <c r="K299" s="5" t="str">
        <f>IFERROR(__xludf.DUMMYFUNCTION("""COMPUTED_VALUE"""),"Estrela 2")</f>
        <v>Estrela 2</v>
      </c>
      <c r="P299" s="5">
        <f>IFERROR(__xludf.DUMMYFUNCTION("""COMPUTED_VALUE"""),75.0)</f>
        <v>75</v>
      </c>
      <c r="Q299" s="5" t="str">
        <f>IFERROR(__xludf.DUMMYFUNCTION("""COMPUTED_VALUE"""),"Apocalypse Now")</f>
        <v>Apocalypse Now</v>
      </c>
      <c r="R299" s="5" t="str">
        <f>IFERROR(__xludf.DUMMYFUNCTION("""COMPUTED_VALUE"""),"Marlon Brando")</f>
        <v>Marlon Brando</v>
      </c>
      <c r="S299" s="5" t="str">
        <f>IFERROR(__xludf.DUMMYFUNCTION("""COMPUTED_VALUE"""),"Estrela 2")</f>
        <v>Estrela 2</v>
      </c>
    </row>
    <row r="300">
      <c r="A300" s="1">
        <v>299.0</v>
      </c>
      <c r="B300" s="1" t="s">
        <v>1998</v>
      </c>
      <c r="C300" s="1" t="s">
        <v>1291</v>
      </c>
      <c r="D300" s="1" t="s">
        <v>2000</v>
      </c>
      <c r="E300" s="1" t="s">
        <v>889</v>
      </c>
      <c r="F300" s="1" t="s">
        <v>2001</v>
      </c>
      <c r="G300" s="5" t="str">
        <f>IFERROR(__xludf.DUMMYFUNCTION("""COMPUTED_VALUE"""),"75🤙🏼Apocalypse Now🤙🏼Robert Duvall🤙🏼Estrela 3")</f>
        <v>75🤙🏼Apocalypse Now🤙🏼Robert Duvall🤙🏼Estrela 3</v>
      </c>
      <c r="H300" s="5">
        <f>IFERROR(__xludf.DUMMYFUNCTION("SPLiT(G300, ""🤙🏼"",FALSE,FALSE)"),75.0)</f>
        <v>75</v>
      </c>
      <c r="I300" s="5" t="str">
        <f>IFERROR(__xludf.DUMMYFUNCTION("""COMPUTED_VALUE"""),"Apocalypse Now")</f>
        <v>Apocalypse Now</v>
      </c>
      <c r="J300" s="5" t="str">
        <f>IFERROR(__xludf.DUMMYFUNCTION("""COMPUTED_VALUE"""),"Robert Duvall")</f>
        <v>Robert Duvall</v>
      </c>
      <c r="K300" s="5" t="str">
        <f>IFERROR(__xludf.DUMMYFUNCTION("""COMPUTED_VALUE"""),"Estrela 3")</f>
        <v>Estrela 3</v>
      </c>
      <c r="P300" s="5">
        <f>IFERROR(__xludf.DUMMYFUNCTION("""COMPUTED_VALUE"""),75.0)</f>
        <v>75</v>
      </c>
      <c r="Q300" s="5" t="str">
        <f>IFERROR(__xludf.DUMMYFUNCTION("""COMPUTED_VALUE"""),"Apocalypse Now")</f>
        <v>Apocalypse Now</v>
      </c>
      <c r="R300" s="5" t="str">
        <f>IFERROR(__xludf.DUMMYFUNCTION("""COMPUTED_VALUE"""),"Robert Duvall")</f>
        <v>Robert Duvall</v>
      </c>
      <c r="S300" s="5" t="str">
        <f>IFERROR(__xludf.DUMMYFUNCTION("""COMPUTED_VALUE"""),"Estrela 3")</f>
        <v>Estrela 3</v>
      </c>
    </row>
    <row r="301">
      <c r="A301" s="1">
        <v>300.0</v>
      </c>
      <c r="B301" s="1" t="s">
        <v>2002</v>
      </c>
      <c r="C301" s="1" t="s">
        <v>2005</v>
      </c>
      <c r="D301" s="1" t="s">
        <v>2006</v>
      </c>
      <c r="E301" s="1" t="s">
        <v>2007</v>
      </c>
      <c r="F301" s="1" t="s">
        <v>2008</v>
      </c>
      <c r="G301" s="5" t="str">
        <f>IFERROR(__xludf.DUMMYFUNCTION("""COMPUTED_VALUE"""),"75🤙🏼Apocalypse Now🤙🏼Frederic Forrest🤙🏼Estrela 4")</f>
        <v>75🤙🏼Apocalypse Now🤙🏼Frederic Forrest🤙🏼Estrela 4</v>
      </c>
      <c r="H301" s="5">
        <f>IFERROR(__xludf.DUMMYFUNCTION("SPLiT(G301, ""🤙🏼"",FALSE,FALSE)"),75.0)</f>
        <v>75</v>
      </c>
      <c r="I301" s="5" t="str">
        <f>IFERROR(__xludf.DUMMYFUNCTION("""COMPUTED_VALUE"""),"Apocalypse Now")</f>
        <v>Apocalypse Now</v>
      </c>
      <c r="J301" s="5" t="str">
        <f>IFERROR(__xludf.DUMMYFUNCTION("""COMPUTED_VALUE"""),"Frederic Forrest")</f>
        <v>Frederic Forrest</v>
      </c>
      <c r="K301" s="5" t="str">
        <f>IFERROR(__xludf.DUMMYFUNCTION("""COMPUTED_VALUE"""),"Estrela 4")</f>
        <v>Estrela 4</v>
      </c>
      <c r="P301" s="5">
        <f>IFERROR(__xludf.DUMMYFUNCTION("""COMPUTED_VALUE"""),75.0)</f>
        <v>75</v>
      </c>
      <c r="Q301" s="5" t="str">
        <f>IFERROR(__xludf.DUMMYFUNCTION("""COMPUTED_VALUE"""),"Apocalypse Now")</f>
        <v>Apocalypse Now</v>
      </c>
      <c r="R301" s="5" t="str">
        <f>IFERROR(__xludf.DUMMYFUNCTION("""COMPUTED_VALUE"""),"Frederic Forrest")</f>
        <v>Frederic Forrest</v>
      </c>
      <c r="S301" s="5" t="str">
        <f>IFERROR(__xludf.DUMMYFUNCTION("""COMPUTED_VALUE"""),"Estrela 4")</f>
        <v>Estrela 4</v>
      </c>
    </row>
    <row r="302">
      <c r="A302" s="1">
        <v>301.0</v>
      </c>
      <c r="B302" s="1" t="s">
        <v>2009</v>
      </c>
      <c r="C302" s="1" t="s">
        <v>2013</v>
      </c>
      <c r="D302" s="1" t="s">
        <v>863</v>
      </c>
      <c r="E302" s="1" t="s">
        <v>2014</v>
      </c>
      <c r="F302" s="1" t="s">
        <v>2015</v>
      </c>
      <c r="G302" s="5" t="str">
        <f>IFERROR(__xludf.DUMMYFUNCTION("""COMPUTED_VALUE"""),"76🤙🏼Alien🤙🏼Sigourney Weaver🤙🏼Estrela 1")</f>
        <v>76🤙🏼Alien🤙🏼Sigourney Weaver🤙🏼Estrela 1</v>
      </c>
      <c r="H302" s="5">
        <f>IFERROR(__xludf.DUMMYFUNCTION("SPLiT(G302, ""🤙🏼"",FALSE,FALSE)"),76.0)</f>
        <v>76</v>
      </c>
      <c r="I302" s="5" t="str">
        <f>IFERROR(__xludf.DUMMYFUNCTION("""COMPUTED_VALUE"""),"Alien")</f>
        <v>Alien</v>
      </c>
      <c r="J302" s="5" t="str">
        <f>IFERROR(__xludf.DUMMYFUNCTION("""COMPUTED_VALUE"""),"Sigourney Weaver")</f>
        <v>Sigourney Weaver</v>
      </c>
      <c r="K302" s="5" t="str">
        <f>IFERROR(__xludf.DUMMYFUNCTION("""COMPUTED_VALUE"""),"Estrela 1")</f>
        <v>Estrela 1</v>
      </c>
      <c r="P302" s="5">
        <f>IFERROR(__xludf.DUMMYFUNCTION("""COMPUTED_VALUE"""),76.0)</f>
        <v>76</v>
      </c>
      <c r="Q302" s="5" t="str">
        <f>IFERROR(__xludf.DUMMYFUNCTION("""COMPUTED_VALUE"""),"Alien")</f>
        <v>Alien</v>
      </c>
      <c r="R302" s="5" t="str">
        <f>IFERROR(__xludf.DUMMYFUNCTION("""COMPUTED_VALUE"""),"Sigourney Weaver")</f>
        <v>Sigourney Weaver</v>
      </c>
      <c r="S302" s="5" t="str">
        <f>IFERROR(__xludf.DUMMYFUNCTION("""COMPUTED_VALUE"""),"Estrela 1")</f>
        <v>Estrela 1</v>
      </c>
    </row>
    <row r="303">
      <c r="A303" s="1">
        <v>302.0</v>
      </c>
      <c r="B303" s="1" t="s">
        <v>2016</v>
      </c>
      <c r="C303" s="1" t="s">
        <v>265</v>
      </c>
      <c r="D303" s="1" t="s">
        <v>2018</v>
      </c>
      <c r="E303" s="1" t="s">
        <v>2019</v>
      </c>
      <c r="F303" s="1" t="s">
        <v>2020</v>
      </c>
      <c r="G303" s="5" t="str">
        <f>IFERROR(__xludf.DUMMYFUNCTION("""COMPUTED_VALUE"""),"76🤙🏼Alien🤙🏼Tom Skerritt🤙🏼Estrela 2")</f>
        <v>76🤙🏼Alien🤙🏼Tom Skerritt🤙🏼Estrela 2</v>
      </c>
      <c r="H303" s="5">
        <f>IFERROR(__xludf.DUMMYFUNCTION("SPLiT(G303, ""🤙🏼"",FALSE,FALSE)"),76.0)</f>
        <v>76</v>
      </c>
      <c r="I303" s="5" t="str">
        <f>IFERROR(__xludf.DUMMYFUNCTION("""COMPUTED_VALUE"""),"Alien")</f>
        <v>Alien</v>
      </c>
      <c r="J303" s="5" t="str">
        <f>IFERROR(__xludf.DUMMYFUNCTION("""COMPUTED_VALUE"""),"Tom Skerritt")</f>
        <v>Tom Skerritt</v>
      </c>
      <c r="K303" s="5" t="str">
        <f>IFERROR(__xludf.DUMMYFUNCTION("""COMPUTED_VALUE"""),"Estrela 2")</f>
        <v>Estrela 2</v>
      </c>
      <c r="P303" s="5">
        <f>IFERROR(__xludf.DUMMYFUNCTION("""COMPUTED_VALUE"""),76.0)</f>
        <v>76</v>
      </c>
      <c r="Q303" s="5" t="str">
        <f>IFERROR(__xludf.DUMMYFUNCTION("""COMPUTED_VALUE"""),"Alien")</f>
        <v>Alien</v>
      </c>
      <c r="R303" s="5" t="str">
        <f>IFERROR(__xludf.DUMMYFUNCTION("""COMPUTED_VALUE"""),"Tom Skerritt")</f>
        <v>Tom Skerritt</v>
      </c>
      <c r="S303" s="5" t="str">
        <f>IFERROR(__xludf.DUMMYFUNCTION("""COMPUTED_VALUE"""),"Estrela 2")</f>
        <v>Estrela 2</v>
      </c>
    </row>
    <row r="304">
      <c r="A304" s="1">
        <v>303.0</v>
      </c>
      <c r="B304" s="1" t="s">
        <v>2021</v>
      </c>
      <c r="C304" s="1" t="s">
        <v>2024</v>
      </c>
      <c r="D304" s="1" t="s">
        <v>1937</v>
      </c>
      <c r="E304" s="1" t="s">
        <v>2025</v>
      </c>
      <c r="F304" s="1" t="s">
        <v>2026</v>
      </c>
      <c r="G304" s="5" t="str">
        <f>IFERROR(__xludf.DUMMYFUNCTION("""COMPUTED_VALUE"""),"76🤙🏼Alien🤙🏼John Hurt🤙🏼Estrela 3")</f>
        <v>76🤙🏼Alien🤙🏼John Hurt🤙🏼Estrela 3</v>
      </c>
      <c r="H304" s="5">
        <f>IFERROR(__xludf.DUMMYFUNCTION("SPLiT(G304, ""🤙🏼"",FALSE,FALSE)"),76.0)</f>
        <v>76</v>
      </c>
      <c r="I304" s="5" t="str">
        <f>IFERROR(__xludf.DUMMYFUNCTION("""COMPUTED_VALUE"""),"Alien")</f>
        <v>Alien</v>
      </c>
      <c r="J304" s="5" t="str">
        <f>IFERROR(__xludf.DUMMYFUNCTION("""COMPUTED_VALUE"""),"John Hurt")</f>
        <v>John Hurt</v>
      </c>
      <c r="K304" s="5" t="str">
        <f>IFERROR(__xludf.DUMMYFUNCTION("""COMPUTED_VALUE"""),"Estrela 3")</f>
        <v>Estrela 3</v>
      </c>
      <c r="P304" s="5">
        <f>IFERROR(__xludf.DUMMYFUNCTION("""COMPUTED_VALUE"""),76.0)</f>
        <v>76</v>
      </c>
      <c r="Q304" s="5" t="str">
        <f>IFERROR(__xludf.DUMMYFUNCTION("""COMPUTED_VALUE"""),"Alien")</f>
        <v>Alien</v>
      </c>
      <c r="R304" s="5" t="str">
        <f>IFERROR(__xludf.DUMMYFUNCTION("""COMPUTED_VALUE"""),"John Hurt")</f>
        <v>John Hurt</v>
      </c>
      <c r="S304" s="5" t="str">
        <f>IFERROR(__xludf.DUMMYFUNCTION("""COMPUTED_VALUE"""),"Estrela 3")</f>
        <v>Estrela 3</v>
      </c>
    </row>
    <row r="305">
      <c r="A305" s="1">
        <v>304.0</v>
      </c>
      <c r="B305" s="1" t="s">
        <v>2027</v>
      </c>
      <c r="C305" s="1" t="s">
        <v>265</v>
      </c>
      <c r="D305" s="1" t="s">
        <v>2019</v>
      </c>
      <c r="E305" s="1" t="s">
        <v>2030</v>
      </c>
      <c r="F305" s="1" t="s">
        <v>266</v>
      </c>
      <c r="G305" s="5" t="str">
        <f>IFERROR(__xludf.DUMMYFUNCTION("""COMPUTED_VALUE"""),"76🤙🏼Alien🤙🏼Veronica Cartwright🤙🏼Estrela 4")</f>
        <v>76🤙🏼Alien🤙🏼Veronica Cartwright🤙🏼Estrela 4</v>
      </c>
      <c r="H305" s="5">
        <f>IFERROR(__xludf.DUMMYFUNCTION("SPLiT(G305, ""🤙🏼"",FALSE,FALSE)"),76.0)</f>
        <v>76</v>
      </c>
      <c r="I305" s="5" t="str">
        <f>IFERROR(__xludf.DUMMYFUNCTION("""COMPUTED_VALUE"""),"Alien")</f>
        <v>Alien</v>
      </c>
      <c r="J305" s="5" t="str">
        <f>IFERROR(__xludf.DUMMYFUNCTION("""COMPUTED_VALUE"""),"Veronica Cartwright")</f>
        <v>Veronica Cartwright</v>
      </c>
      <c r="K305" s="5" t="str">
        <f>IFERROR(__xludf.DUMMYFUNCTION("""COMPUTED_VALUE"""),"Estrela 4")</f>
        <v>Estrela 4</v>
      </c>
      <c r="P305" s="5">
        <f>IFERROR(__xludf.DUMMYFUNCTION("""COMPUTED_VALUE"""),76.0)</f>
        <v>76</v>
      </c>
      <c r="Q305" s="5" t="str">
        <f>IFERROR(__xludf.DUMMYFUNCTION("""COMPUTED_VALUE"""),"Alien")</f>
        <v>Alien</v>
      </c>
      <c r="R305" s="5" t="str">
        <f>IFERROR(__xludf.DUMMYFUNCTION("""COMPUTED_VALUE"""),"Veronica Cartwright")</f>
        <v>Veronica Cartwright</v>
      </c>
      <c r="S305" s="5" t="str">
        <f>IFERROR(__xludf.DUMMYFUNCTION("""COMPUTED_VALUE"""),"Estrela 4")</f>
        <v>Estrela 4</v>
      </c>
    </row>
    <row r="306">
      <c r="A306" s="1">
        <v>305.0</v>
      </c>
      <c r="B306" s="1" t="s">
        <v>2031</v>
      </c>
      <c r="C306" s="1" t="s">
        <v>630</v>
      </c>
      <c r="D306" s="1" t="s">
        <v>252</v>
      </c>
      <c r="E306" s="1" t="s">
        <v>863</v>
      </c>
      <c r="F306" s="1" t="s">
        <v>2033</v>
      </c>
      <c r="G306" s="5" t="str">
        <f>IFERROR(__xludf.DUMMYFUNCTION("""COMPUTED_VALUE"""),"77🤙🏼Anand🤙🏼Rajesh Khanna🤙🏼Estrela 1")</f>
        <v>77🤙🏼Anand🤙🏼Rajesh Khanna🤙🏼Estrela 1</v>
      </c>
      <c r="H306" s="5">
        <f>IFERROR(__xludf.DUMMYFUNCTION("SPLiT(G306, ""🤙🏼"",FALSE,FALSE)"),77.0)</f>
        <v>77</v>
      </c>
      <c r="I306" s="5" t="str">
        <f>IFERROR(__xludf.DUMMYFUNCTION("""COMPUTED_VALUE"""),"Anand")</f>
        <v>Anand</v>
      </c>
      <c r="J306" s="5" t="str">
        <f>IFERROR(__xludf.DUMMYFUNCTION("""COMPUTED_VALUE"""),"Rajesh Khanna")</f>
        <v>Rajesh Khanna</v>
      </c>
      <c r="K306" s="5" t="str">
        <f>IFERROR(__xludf.DUMMYFUNCTION("""COMPUTED_VALUE"""),"Estrela 1")</f>
        <v>Estrela 1</v>
      </c>
      <c r="P306" s="5">
        <f>IFERROR(__xludf.DUMMYFUNCTION("""COMPUTED_VALUE"""),77.0)</f>
        <v>77</v>
      </c>
      <c r="Q306" s="5" t="str">
        <f>IFERROR(__xludf.DUMMYFUNCTION("""COMPUTED_VALUE"""),"Anand")</f>
        <v>Anand</v>
      </c>
      <c r="R306" s="5" t="str">
        <f>IFERROR(__xludf.DUMMYFUNCTION("""COMPUTED_VALUE"""),"Rajesh Khanna")</f>
        <v>Rajesh Khanna</v>
      </c>
      <c r="S306" s="5" t="str">
        <f>IFERROR(__xludf.DUMMYFUNCTION("""COMPUTED_VALUE"""),"Estrela 1")</f>
        <v>Estrela 1</v>
      </c>
    </row>
    <row r="307">
      <c r="A307" s="1">
        <v>306.0</v>
      </c>
      <c r="B307" s="1" t="s">
        <v>2034</v>
      </c>
      <c r="C307" s="1" t="s">
        <v>32</v>
      </c>
      <c r="D307" s="1" t="s">
        <v>2037</v>
      </c>
      <c r="E307" s="1" t="s">
        <v>57</v>
      </c>
      <c r="F307" s="1" t="s">
        <v>2038</v>
      </c>
      <c r="G307" s="5" t="str">
        <f>IFERROR(__xludf.DUMMYFUNCTION("""COMPUTED_VALUE"""),"77🤙🏼Anand🤙🏼Amitabh Bachchan🤙🏼Estrela 2")</f>
        <v>77🤙🏼Anand🤙🏼Amitabh Bachchan🤙🏼Estrela 2</v>
      </c>
      <c r="H307" s="5">
        <f>IFERROR(__xludf.DUMMYFUNCTION("SPLiT(G307, ""🤙🏼"",FALSE,FALSE)"),77.0)</f>
        <v>77</v>
      </c>
      <c r="I307" s="5" t="str">
        <f>IFERROR(__xludf.DUMMYFUNCTION("""COMPUTED_VALUE"""),"Anand")</f>
        <v>Anand</v>
      </c>
      <c r="J307" s="5" t="str">
        <f>IFERROR(__xludf.DUMMYFUNCTION("""COMPUTED_VALUE"""),"Amitabh Bachchan")</f>
        <v>Amitabh Bachchan</v>
      </c>
      <c r="K307" s="5" t="str">
        <f>IFERROR(__xludf.DUMMYFUNCTION("""COMPUTED_VALUE"""),"Estrela 2")</f>
        <v>Estrela 2</v>
      </c>
      <c r="P307" s="5">
        <f>IFERROR(__xludf.DUMMYFUNCTION("""COMPUTED_VALUE"""),77.0)</f>
        <v>77</v>
      </c>
      <c r="Q307" s="5" t="str">
        <f>IFERROR(__xludf.DUMMYFUNCTION("""COMPUTED_VALUE"""),"Anand")</f>
        <v>Anand</v>
      </c>
      <c r="R307" s="5" t="str">
        <f>IFERROR(__xludf.DUMMYFUNCTION("""COMPUTED_VALUE"""),"Amitabh Bachchan")</f>
        <v>Amitabh Bachchan</v>
      </c>
      <c r="S307" s="5" t="str">
        <f>IFERROR(__xludf.DUMMYFUNCTION("""COMPUTED_VALUE"""),"Estrela 2")</f>
        <v>Estrela 2</v>
      </c>
    </row>
    <row r="308">
      <c r="A308" s="1">
        <v>307.0</v>
      </c>
      <c r="B308" s="1" t="s">
        <v>2039</v>
      </c>
      <c r="C308" s="1" t="s">
        <v>2042</v>
      </c>
      <c r="D308" s="1" t="s">
        <v>2043</v>
      </c>
      <c r="E308" s="1" t="s">
        <v>2044</v>
      </c>
      <c r="F308" s="1" t="s">
        <v>2045</v>
      </c>
      <c r="G308" s="5" t="str">
        <f>IFERROR(__xludf.DUMMYFUNCTION("""COMPUTED_VALUE"""),"77🤙🏼Anand🤙🏼Sumita Sanyal🤙🏼Estrela 3")</f>
        <v>77🤙🏼Anand🤙🏼Sumita Sanyal🤙🏼Estrela 3</v>
      </c>
      <c r="H308" s="5">
        <f>IFERROR(__xludf.DUMMYFUNCTION("SPLiT(G308, ""🤙🏼"",FALSE,FALSE)"),77.0)</f>
        <v>77</v>
      </c>
      <c r="I308" s="5" t="str">
        <f>IFERROR(__xludf.DUMMYFUNCTION("""COMPUTED_VALUE"""),"Anand")</f>
        <v>Anand</v>
      </c>
      <c r="J308" s="5" t="str">
        <f>IFERROR(__xludf.DUMMYFUNCTION("""COMPUTED_VALUE"""),"Sumita Sanyal")</f>
        <v>Sumita Sanyal</v>
      </c>
      <c r="K308" s="5" t="str">
        <f>IFERROR(__xludf.DUMMYFUNCTION("""COMPUTED_VALUE"""),"Estrela 3")</f>
        <v>Estrela 3</v>
      </c>
      <c r="P308" s="5">
        <f>IFERROR(__xludf.DUMMYFUNCTION("""COMPUTED_VALUE"""),77.0)</f>
        <v>77</v>
      </c>
      <c r="Q308" s="5" t="str">
        <f>IFERROR(__xludf.DUMMYFUNCTION("""COMPUTED_VALUE"""),"Anand")</f>
        <v>Anand</v>
      </c>
      <c r="R308" s="5" t="str">
        <f>IFERROR(__xludf.DUMMYFUNCTION("""COMPUTED_VALUE"""),"Sumita Sanyal")</f>
        <v>Sumita Sanyal</v>
      </c>
      <c r="S308" s="5" t="str">
        <f>IFERROR(__xludf.DUMMYFUNCTION("""COMPUTED_VALUE"""),"Estrela 3")</f>
        <v>Estrela 3</v>
      </c>
    </row>
    <row r="309">
      <c r="A309" s="1">
        <v>308.0</v>
      </c>
      <c r="B309" s="1" t="s">
        <v>2046</v>
      </c>
      <c r="C309" s="1" t="s">
        <v>617</v>
      </c>
      <c r="D309" s="1" t="s">
        <v>2049</v>
      </c>
      <c r="E309" s="1" t="s">
        <v>2050</v>
      </c>
      <c r="F309" s="1" t="s">
        <v>2051</v>
      </c>
      <c r="G309" s="5" t="str">
        <f>IFERROR(__xludf.DUMMYFUNCTION("""COMPUTED_VALUE"""),"77🤙🏼Anand🤙🏼Ramesh Deo🤙🏼Estrela 4")</f>
        <v>77🤙🏼Anand🤙🏼Ramesh Deo🤙🏼Estrela 4</v>
      </c>
      <c r="H309" s="5">
        <f>IFERROR(__xludf.DUMMYFUNCTION("SPLiT(G309, ""🤙🏼"",FALSE,FALSE)"),77.0)</f>
        <v>77</v>
      </c>
      <c r="I309" s="5" t="str">
        <f>IFERROR(__xludf.DUMMYFUNCTION("""COMPUTED_VALUE"""),"Anand")</f>
        <v>Anand</v>
      </c>
      <c r="J309" s="5" t="str">
        <f>IFERROR(__xludf.DUMMYFUNCTION("""COMPUTED_VALUE"""),"Ramesh Deo")</f>
        <v>Ramesh Deo</v>
      </c>
      <c r="K309" s="5" t="str">
        <f>IFERROR(__xludf.DUMMYFUNCTION("""COMPUTED_VALUE"""),"Estrela 4")</f>
        <v>Estrela 4</v>
      </c>
      <c r="P309" s="5">
        <f>IFERROR(__xludf.DUMMYFUNCTION("""COMPUTED_VALUE"""),77.0)</f>
        <v>77</v>
      </c>
      <c r="Q309" s="5" t="str">
        <f>IFERROR(__xludf.DUMMYFUNCTION("""COMPUTED_VALUE"""),"Anand")</f>
        <v>Anand</v>
      </c>
      <c r="R309" s="5" t="str">
        <f>IFERROR(__xludf.DUMMYFUNCTION("""COMPUTED_VALUE"""),"Ramesh Deo")</f>
        <v>Ramesh Deo</v>
      </c>
      <c r="S309" s="5" t="str">
        <f>IFERROR(__xludf.DUMMYFUNCTION("""COMPUTED_VALUE"""),"Estrela 4")</f>
        <v>Estrela 4</v>
      </c>
    </row>
    <row r="310">
      <c r="A310" s="1">
        <v>309.0</v>
      </c>
      <c r="B310" s="1" t="s">
        <v>2052</v>
      </c>
      <c r="C310" s="1" t="s">
        <v>2055</v>
      </c>
      <c r="D310" s="1" t="s">
        <v>2056</v>
      </c>
      <c r="E310" s="1" t="s">
        <v>2057</v>
      </c>
      <c r="F310" s="1" t="s">
        <v>2058</v>
      </c>
      <c r="G310" s="5" t="str">
        <f>IFERROR(__xludf.DUMMYFUNCTION("""COMPUTED_VALUE"""),"78🤙🏼Tengoku to jigoku🤙🏼Toshirô Mifune🤙🏼Estrela 1")</f>
        <v>78🤙🏼Tengoku to jigoku🤙🏼Toshirô Mifune🤙🏼Estrela 1</v>
      </c>
      <c r="H310" s="5">
        <f>IFERROR(__xludf.DUMMYFUNCTION("SPLiT(G310, ""🤙🏼"",FALSE,FALSE)"),78.0)</f>
        <v>78</v>
      </c>
      <c r="I310" s="5" t="str">
        <f>IFERROR(__xludf.DUMMYFUNCTION("""COMPUTED_VALUE"""),"Tengoku to jigoku")</f>
        <v>Tengoku to jigoku</v>
      </c>
      <c r="J310" s="5" t="str">
        <f>IFERROR(__xludf.DUMMYFUNCTION("""COMPUTED_VALUE"""),"Toshirô Mifune")</f>
        <v>Toshirô Mifune</v>
      </c>
      <c r="K310" s="5" t="str">
        <f>IFERROR(__xludf.DUMMYFUNCTION("""COMPUTED_VALUE"""),"Estrela 1")</f>
        <v>Estrela 1</v>
      </c>
      <c r="P310" s="5">
        <f>IFERROR(__xludf.DUMMYFUNCTION("""COMPUTED_VALUE"""),78.0)</f>
        <v>78</v>
      </c>
      <c r="Q310" s="5" t="str">
        <f>IFERROR(__xludf.DUMMYFUNCTION("""COMPUTED_VALUE"""),"Tengoku to jigoku")</f>
        <v>Tengoku to jigoku</v>
      </c>
      <c r="R310" s="5" t="str">
        <f>IFERROR(__xludf.DUMMYFUNCTION("""COMPUTED_VALUE"""),"Toshirô Mifune")</f>
        <v>Toshirô Mifune</v>
      </c>
      <c r="S310" s="5" t="str">
        <f>IFERROR(__xludf.DUMMYFUNCTION("""COMPUTED_VALUE"""),"Estrela 1")</f>
        <v>Estrela 1</v>
      </c>
    </row>
    <row r="311">
      <c r="A311" s="1">
        <v>310.0</v>
      </c>
      <c r="B311" s="1" t="s">
        <v>2059</v>
      </c>
      <c r="C311" s="1" t="s">
        <v>916</v>
      </c>
      <c r="D311" s="1" t="s">
        <v>917</v>
      </c>
      <c r="E311" s="1" t="s">
        <v>2063</v>
      </c>
      <c r="F311" s="1" t="s">
        <v>2064</v>
      </c>
      <c r="G311" s="5" t="str">
        <f>IFERROR(__xludf.DUMMYFUNCTION("""COMPUTED_VALUE"""),"78🤙🏼Tengoku to jigoku🤙🏼Yutaka Sada🤙🏼Estrela 2")</f>
        <v>78🤙🏼Tengoku to jigoku🤙🏼Yutaka Sada🤙🏼Estrela 2</v>
      </c>
      <c r="H311" s="5">
        <f>IFERROR(__xludf.DUMMYFUNCTION("SPLiT(G311, ""🤙🏼"",FALSE,FALSE)"),78.0)</f>
        <v>78</v>
      </c>
      <c r="I311" s="5" t="str">
        <f>IFERROR(__xludf.DUMMYFUNCTION("""COMPUTED_VALUE"""),"Tengoku to jigoku")</f>
        <v>Tengoku to jigoku</v>
      </c>
      <c r="J311" s="5" t="str">
        <f>IFERROR(__xludf.DUMMYFUNCTION("""COMPUTED_VALUE"""),"Yutaka Sada")</f>
        <v>Yutaka Sada</v>
      </c>
      <c r="K311" s="5" t="str">
        <f>IFERROR(__xludf.DUMMYFUNCTION("""COMPUTED_VALUE"""),"Estrela 2")</f>
        <v>Estrela 2</v>
      </c>
      <c r="P311" s="5">
        <f>IFERROR(__xludf.DUMMYFUNCTION("""COMPUTED_VALUE"""),78.0)</f>
        <v>78</v>
      </c>
      <c r="Q311" s="5" t="str">
        <f>IFERROR(__xludf.DUMMYFUNCTION("""COMPUTED_VALUE"""),"Tengoku to jigoku")</f>
        <v>Tengoku to jigoku</v>
      </c>
      <c r="R311" s="5" t="str">
        <f>IFERROR(__xludf.DUMMYFUNCTION("""COMPUTED_VALUE"""),"Yutaka Sada")</f>
        <v>Yutaka Sada</v>
      </c>
      <c r="S311" s="5" t="str">
        <f>IFERROR(__xludf.DUMMYFUNCTION("""COMPUTED_VALUE"""),"Estrela 2")</f>
        <v>Estrela 2</v>
      </c>
    </row>
    <row r="312">
      <c r="A312" s="1">
        <v>311.0</v>
      </c>
      <c r="B312" s="1" t="s">
        <v>2065</v>
      </c>
      <c r="C312" s="1" t="s">
        <v>2069</v>
      </c>
      <c r="D312" s="1" t="s">
        <v>2070</v>
      </c>
      <c r="E312" s="1" t="s">
        <v>2071</v>
      </c>
      <c r="F312" s="1" t="s">
        <v>2072</v>
      </c>
      <c r="G312" s="5" t="str">
        <f>IFERROR(__xludf.DUMMYFUNCTION("""COMPUTED_VALUE"""),"78🤙🏼Tengoku to jigoku🤙🏼Tatsuya Nakadai🤙🏼Estrela 3")</f>
        <v>78🤙🏼Tengoku to jigoku🤙🏼Tatsuya Nakadai🤙🏼Estrela 3</v>
      </c>
      <c r="H312" s="5">
        <f>IFERROR(__xludf.DUMMYFUNCTION("SPLiT(G312, ""🤙🏼"",FALSE,FALSE)"),78.0)</f>
        <v>78</v>
      </c>
      <c r="I312" s="5" t="str">
        <f>IFERROR(__xludf.DUMMYFUNCTION("""COMPUTED_VALUE"""),"Tengoku to jigoku")</f>
        <v>Tengoku to jigoku</v>
      </c>
      <c r="J312" s="5" t="str">
        <f>IFERROR(__xludf.DUMMYFUNCTION("""COMPUTED_VALUE"""),"Tatsuya Nakadai")</f>
        <v>Tatsuya Nakadai</v>
      </c>
      <c r="K312" s="5" t="str">
        <f>IFERROR(__xludf.DUMMYFUNCTION("""COMPUTED_VALUE"""),"Estrela 3")</f>
        <v>Estrela 3</v>
      </c>
      <c r="P312" s="5">
        <f>IFERROR(__xludf.DUMMYFUNCTION("""COMPUTED_VALUE"""),78.0)</f>
        <v>78</v>
      </c>
      <c r="Q312" s="5" t="str">
        <f>IFERROR(__xludf.DUMMYFUNCTION("""COMPUTED_VALUE"""),"Tengoku to jigoku")</f>
        <v>Tengoku to jigoku</v>
      </c>
      <c r="R312" s="5" t="str">
        <f>IFERROR(__xludf.DUMMYFUNCTION("""COMPUTED_VALUE"""),"Tatsuya Nakadai")</f>
        <v>Tatsuya Nakadai</v>
      </c>
      <c r="S312" s="5" t="str">
        <f>IFERROR(__xludf.DUMMYFUNCTION("""COMPUTED_VALUE"""),"Estrela 3")</f>
        <v>Estrela 3</v>
      </c>
    </row>
    <row r="313">
      <c r="A313" s="1">
        <v>312.0</v>
      </c>
      <c r="B313" s="1" t="s">
        <v>2073</v>
      </c>
      <c r="C313" s="1" t="s">
        <v>2076</v>
      </c>
      <c r="D313" s="1" t="s">
        <v>274</v>
      </c>
      <c r="E313" s="1" t="s">
        <v>2077</v>
      </c>
      <c r="F313" s="1" t="s">
        <v>2078</v>
      </c>
      <c r="G313" s="5" t="str">
        <f>IFERROR(__xludf.DUMMYFUNCTION("""COMPUTED_VALUE"""),"78🤙🏼Tengoku to jigoku🤙🏼Kyôko Kagawa🤙🏼Estrela 4")</f>
        <v>78🤙🏼Tengoku to jigoku🤙🏼Kyôko Kagawa🤙🏼Estrela 4</v>
      </c>
      <c r="H313" s="5">
        <f>IFERROR(__xludf.DUMMYFUNCTION("SPLiT(G313, ""🤙🏼"",FALSE,FALSE)"),78.0)</f>
        <v>78</v>
      </c>
      <c r="I313" s="5" t="str">
        <f>IFERROR(__xludf.DUMMYFUNCTION("""COMPUTED_VALUE"""),"Tengoku to jigoku")</f>
        <v>Tengoku to jigoku</v>
      </c>
      <c r="J313" s="5" t="str">
        <f>IFERROR(__xludf.DUMMYFUNCTION("""COMPUTED_VALUE"""),"Kyôko Kagawa")</f>
        <v>Kyôko Kagawa</v>
      </c>
      <c r="K313" s="5" t="str">
        <f>IFERROR(__xludf.DUMMYFUNCTION("""COMPUTED_VALUE"""),"Estrela 4")</f>
        <v>Estrela 4</v>
      </c>
      <c r="P313" s="5">
        <f>IFERROR(__xludf.DUMMYFUNCTION("""COMPUTED_VALUE"""),78.0)</f>
        <v>78</v>
      </c>
      <c r="Q313" s="5" t="str">
        <f>IFERROR(__xludf.DUMMYFUNCTION("""COMPUTED_VALUE"""),"Tengoku to jigoku")</f>
        <v>Tengoku to jigoku</v>
      </c>
      <c r="R313" s="5" t="str">
        <f>IFERROR(__xludf.DUMMYFUNCTION("""COMPUTED_VALUE"""),"Kyôko Kagawa")</f>
        <v>Kyôko Kagawa</v>
      </c>
      <c r="S313" s="5" t="str">
        <f>IFERROR(__xludf.DUMMYFUNCTION("""COMPUTED_VALUE"""),"Estrela 4")</f>
        <v>Estrela 4</v>
      </c>
    </row>
    <row r="314">
      <c r="A314" s="1">
        <v>313.0</v>
      </c>
      <c r="B314" s="1" t="s">
        <v>2079</v>
      </c>
      <c r="C314" s="1" t="s">
        <v>2081</v>
      </c>
      <c r="D314" s="1" t="s">
        <v>2082</v>
      </c>
      <c r="E314" s="1" t="s">
        <v>1341</v>
      </c>
      <c r="F314" s="1" t="s">
        <v>2083</v>
      </c>
      <c r="G314" s="5" t="str">
        <f>IFERROR(__xludf.DUMMYFUNCTION("""COMPUTED_VALUE"""),"79🤙🏼Dr. Strangelove or: How I Learned to Stop Worrying and Love the Bomb🤙🏼Peter Sellers🤙🏼Estrela 1")</f>
        <v>79🤙🏼Dr. Strangelove or: How I Learned to Stop Worrying and Love the Bomb🤙🏼Peter Sellers🤙🏼Estrela 1</v>
      </c>
      <c r="H314" s="5">
        <f>IFERROR(__xludf.DUMMYFUNCTION("SPLiT(G314, ""🤙🏼"",FALSE,FALSE)"),79.0)</f>
        <v>79</v>
      </c>
      <c r="I314" s="5" t="str">
        <f>IFERROR(__xludf.DUMMYFUNCTION("""COMPUTED_VALUE"""),"Dr. Strangelove or: How I Learned to Stop Worrying and Love the Bomb")</f>
        <v>Dr. Strangelove or: How I Learned to Stop Worrying and Love the Bomb</v>
      </c>
      <c r="J314" s="5" t="str">
        <f>IFERROR(__xludf.DUMMYFUNCTION("""COMPUTED_VALUE"""),"Peter Sellers")</f>
        <v>Peter Sellers</v>
      </c>
      <c r="K314" s="5" t="str">
        <f>IFERROR(__xludf.DUMMYFUNCTION("""COMPUTED_VALUE"""),"Estrela 1")</f>
        <v>Estrela 1</v>
      </c>
      <c r="P314" s="5">
        <f>IFERROR(__xludf.DUMMYFUNCTION("""COMPUTED_VALUE"""),79.0)</f>
        <v>79</v>
      </c>
      <c r="Q314" s="5" t="str">
        <f>IFERROR(__xludf.DUMMYFUNCTION("""COMPUTED_VALUE"""),"Dr. Strangelove or: How I Learned to Stop Worrying and Love the Bomb")</f>
        <v>Dr. Strangelove or: How I Learned to Stop Worrying and Love the Bomb</v>
      </c>
      <c r="R314" s="5" t="str">
        <f>IFERROR(__xludf.DUMMYFUNCTION("""COMPUTED_VALUE"""),"Peter Sellers")</f>
        <v>Peter Sellers</v>
      </c>
      <c r="S314" s="5" t="str">
        <f>IFERROR(__xludf.DUMMYFUNCTION("""COMPUTED_VALUE"""),"Estrela 1")</f>
        <v>Estrela 1</v>
      </c>
    </row>
    <row r="315">
      <c r="A315" s="1">
        <v>314.0</v>
      </c>
      <c r="B315" s="1" t="s">
        <v>2084</v>
      </c>
      <c r="C315" s="1" t="s">
        <v>274</v>
      </c>
      <c r="D315" s="1" t="s">
        <v>2086</v>
      </c>
      <c r="E315" s="1" t="s">
        <v>412</v>
      </c>
      <c r="F315" s="1" t="s">
        <v>2087</v>
      </c>
      <c r="G315" s="5" t="str">
        <f>IFERROR(__xludf.DUMMYFUNCTION("""COMPUTED_VALUE"""),"79🤙🏼Dr. Strangelove or: How I Learned to Stop Worrying and Love the Bomb🤙🏼George C. Scott🤙🏼Estrela 2")</f>
        <v>79🤙🏼Dr. Strangelove or: How I Learned to Stop Worrying and Love the Bomb🤙🏼George C. Scott🤙🏼Estrela 2</v>
      </c>
      <c r="H315" s="5">
        <f>IFERROR(__xludf.DUMMYFUNCTION("SPLiT(G315, ""🤙🏼"",FALSE,FALSE)"),79.0)</f>
        <v>79</v>
      </c>
      <c r="I315" s="5" t="str">
        <f>IFERROR(__xludf.DUMMYFUNCTION("""COMPUTED_VALUE"""),"Dr. Strangelove or: How I Learned to Stop Worrying and Love the Bomb")</f>
        <v>Dr. Strangelove or: How I Learned to Stop Worrying and Love the Bomb</v>
      </c>
      <c r="J315" s="5" t="str">
        <f>IFERROR(__xludf.DUMMYFUNCTION("""COMPUTED_VALUE"""),"George C. Scott")</f>
        <v>George C. Scott</v>
      </c>
      <c r="K315" s="5" t="str">
        <f>IFERROR(__xludf.DUMMYFUNCTION("""COMPUTED_VALUE"""),"Estrela 2")</f>
        <v>Estrela 2</v>
      </c>
      <c r="P315" s="5">
        <f>IFERROR(__xludf.DUMMYFUNCTION("""COMPUTED_VALUE"""),79.0)</f>
        <v>79</v>
      </c>
      <c r="Q315" s="5" t="str">
        <f>IFERROR(__xludf.DUMMYFUNCTION("""COMPUTED_VALUE"""),"Dr. Strangelove or: How I Learned to Stop Worrying and Love the Bomb")</f>
        <v>Dr. Strangelove or: How I Learned to Stop Worrying and Love the Bomb</v>
      </c>
      <c r="R315" s="5" t="str">
        <f>IFERROR(__xludf.DUMMYFUNCTION("""COMPUTED_VALUE"""),"George C. Scott")</f>
        <v>George C. Scott</v>
      </c>
      <c r="S315" s="5" t="str">
        <f>IFERROR(__xludf.DUMMYFUNCTION("""COMPUTED_VALUE"""),"Estrela 2")</f>
        <v>Estrela 2</v>
      </c>
    </row>
    <row r="316">
      <c r="A316" s="1">
        <v>315.0</v>
      </c>
      <c r="B316" s="1" t="s">
        <v>2088</v>
      </c>
      <c r="C316" s="1" t="s">
        <v>2092</v>
      </c>
      <c r="D316" s="1" t="s">
        <v>2093</v>
      </c>
      <c r="E316" s="1" t="s">
        <v>2094</v>
      </c>
      <c r="F316" s="1" t="s">
        <v>2095</v>
      </c>
      <c r="G316" s="5" t="str">
        <f>IFERROR(__xludf.DUMMYFUNCTION("""COMPUTED_VALUE"""),"79🤙🏼Dr. Strangelove or: How I Learned to Stop Worrying and Love the Bomb🤙🏼Sterling Hayden🤙🏼Estrela 3")</f>
        <v>79🤙🏼Dr. Strangelove or: How I Learned to Stop Worrying and Love the Bomb🤙🏼Sterling Hayden🤙🏼Estrela 3</v>
      </c>
      <c r="H316" s="5">
        <f>IFERROR(__xludf.DUMMYFUNCTION("SPLiT(G316, ""🤙🏼"",FALSE,FALSE)"),79.0)</f>
        <v>79</v>
      </c>
      <c r="I316" s="5" t="str">
        <f>IFERROR(__xludf.DUMMYFUNCTION("""COMPUTED_VALUE"""),"Dr. Strangelove or: How I Learned to Stop Worrying and Love the Bomb")</f>
        <v>Dr. Strangelove or: How I Learned to Stop Worrying and Love the Bomb</v>
      </c>
      <c r="J316" s="5" t="str">
        <f>IFERROR(__xludf.DUMMYFUNCTION("""COMPUTED_VALUE"""),"Sterling Hayden")</f>
        <v>Sterling Hayden</v>
      </c>
      <c r="K316" s="5" t="str">
        <f>IFERROR(__xludf.DUMMYFUNCTION("""COMPUTED_VALUE"""),"Estrela 3")</f>
        <v>Estrela 3</v>
      </c>
      <c r="P316" s="5">
        <f>IFERROR(__xludf.DUMMYFUNCTION("""COMPUTED_VALUE"""),79.0)</f>
        <v>79</v>
      </c>
      <c r="Q316" s="5" t="str">
        <f>IFERROR(__xludf.DUMMYFUNCTION("""COMPUTED_VALUE"""),"Dr. Strangelove or: How I Learned to Stop Worrying and Love the Bomb")</f>
        <v>Dr. Strangelove or: How I Learned to Stop Worrying and Love the Bomb</v>
      </c>
      <c r="R316" s="5" t="str">
        <f>IFERROR(__xludf.DUMMYFUNCTION("""COMPUTED_VALUE"""),"Sterling Hayden")</f>
        <v>Sterling Hayden</v>
      </c>
      <c r="S316" s="5" t="str">
        <f>IFERROR(__xludf.DUMMYFUNCTION("""COMPUTED_VALUE"""),"Estrela 3")</f>
        <v>Estrela 3</v>
      </c>
    </row>
    <row r="317">
      <c r="A317" s="1">
        <v>316.0</v>
      </c>
      <c r="B317" s="1" t="s">
        <v>2096</v>
      </c>
      <c r="C317" s="1" t="s">
        <v>2100</v>
      </c>
      <c r="D317" s="1" t="s">
        <v>2101</v>
      </c>
      <c r="E317" s="1" t="s">
        <v>2102</v>
      </c>
      <c r="F317" s="1" t="s">
        <v>632</v>
      </c>
      <c r="G317" s="5" t="str">
        <f>IFERROR(__xludf.DUMMYFUNCTION("""COMPUTED_VALUE"""),"79🤙🏼Dr. Strangelove or: How I Learned to Stop Worrying and Love the Bomb🤙🏼Keenan Wynn🤙🏼Estrela 4")</f>
        <v>79🤙🏼Dr. Strangelove or: How I Learned to Stop Worrying and Love the Bomb🤙🏼Keenan Wynn🤙🏼Estrela 4</v>
      </c>
      <c r="H317" s="5">
        <f>IFERROR(__xludf.DUMMYFUNCTION("SPLiT(G317, ""🤙🏼"",FALSE,FALSE)"),79.0)</f>
        <v>79</v>
      </c>
      <c r="I317" s="5" t="str">
        <f>IFERROR(__xludf.DUMMYFUNCTION("""COMPUTED_VALUE"""),"Dr. Strangelove or: How I Learned to Stop Worrying and Love the Bomb")</f>
        <v>Dr. Strangelove or: How I Learned to Stop Worrying and Love the Bomb</v>
      </c>
      <c r="J317" s="5" t="str">
        <f>IFERROR(__xludf.DUMMYFUNCTION("""COMPUTED_VALUE"""),"Keenan Wynn")</f>
        <v>Keenan Wynn</v>
      </c>
      <c r="K317" s="5" t="str">
        <f>IFERROR(__xludf.DUMMYFUNCTION("""COMPUTED_VALUE"""),"Estrela 4")</f>
        <v>Estrela 4</v>
      </c>
      <c r="P317" s="5">
        <f>IFERROR(__xludf.DUMMYFUNCTION("""COMPUTED_VALUE"""),79.0)</f>
        <v>79</v>
      </c>
      <c r="Q317" s="5" t="str">
        <f>IFERROR(__xludf.DUMMYFUNCTION("""COMPUTED_VALUE"""),"Dr. Strangelove or: How I Learned to Stop Worrying and Love the Bomb")</f>
        <v>Dr. Strangelove or: How I Learned to Stop Worrying and Love the Bomb</v>
      </c>
      <c r="R317" s="5" t="str">
        <f>IFERROR(__xludf.DUMMYFUNCTION("""COMPUTED_VALUE"""),"Keenan Wynn")</f>
        <v>Keenan Wynn</v>
      </c>
      <c r="S317" s="5" t="str">
        <f>IFERROR(__xludf.DUMMYFUNCTION("""COMPUTED_VALUE"""),"Estrela 4")</f>
        <v>Estrela 4</v>
      </c>
    </row>
    <row r="318">
      <c r="A318" s="1">
        <v>317.0</v>
      </c>
      <c r="B318" s="1" t="s">
        <v>2103</v>
      </c>
      <c r="C318" s="1" t="s">
        <v>2094</v>
      </c>
      <c r="D318" s="1" t="s">
        <v>2105</v>
      </c>
      <c r="E318" s="1" t="s">
        <v>2106</v>
      </c>
      <c r="F318" s="1" t="s">
        <v>2107</v>
      </c>
      <c r="G318" s="5" t="str">
        <f>IFERROR(__xludf.DUMMYFUNCTION("""COMPUTED_VALUE"""),"80🤙🏼Witness for the Prosecution🤙🏼Tyrone Power🤙🏼Estrela 1")</f>
        <v>80🤙🏼Witness for the Prosecution🤙🏼Tyrone Power🤙🏼Estrela 1</v>
      </c>
      <c r="H318" s="5">
        <f>IFERROR(__xludf.DUMMYFUNCTION("SPLiT(G318, ""🤙🏼"",FALSE,FALSE)"),80.0)</f>
        <v>80</v>
      </c>
      <c r="I318" s="5" t="str">
        <f>IFERROR(__xludf.DUMMYFUNCTION("""COMPUTED_VALUE"""),"Witness for the Prosecution")</f>
        <v>Witness for the Prosecution</v>
      </c>
      <c r="J318" s="5" t="str">
        <f>IFERROR(__xludf.DUMMYFUNCTION("""COMPUTED_VALUE"""),"Tyrone Power")</f>
        <v>Tyrone Power</v>
      </c>
      <c r="K318" s="5" t="str">
        <f>IFERROR(__xludf.DUMMYFUNCTION("""COMPUTED_VALUE"""),"Estrela 1")</f>
        <v>Estrela 1</v>
      </c>
      <c r="P318" s="5">
        <f>IFERROR(__xludf.DUMMYFUNCTION("""COMPUTED_VALUE"""),80.0)</f>
        <v>80</v>
      </c>
      <c r="Q318" s="5" t="str">
        <f>IFERROR(__xludf.DUMMYFUNCTION("""COMPUTED_VALUE"""),"Witness for the Prosecution")</f>
        <v>Witness for the Prosecution</v>
      </c>
      <c r="R318" s="5" t="str">
        <f>IFERROR(__xludf.DUMMYFUNCTION("""COMPUTED_VALUE"""),"Tyrone Power")</f>
        <v>Tyrone Power</v>
      </c>
      <c r="S318" s="5" t="str">
        <f>IFERROR(__xludf.DUMMYFUNCTION("""COMPUTED_VALUE"""),"Estrela 1")</f>
        <v>Estrela 1</v>
      </c>
    </row>
    <row r="319">
      <c r="A319" s="1">
        <v>318.0</v>
      </c>
      <c r="B319" s="1" t="s">
        <v>2108</v>
      </c>
      <c r="C319" s="1" t="s">
        <v>2111</v>
      </c>
      <c r="D319" s="1" t="s">
        <v>2112</v>
      </c>
      <c r="E319" s="1" t="s">
        <v>2113</v>
      </c>
      <c r="F319" s="1" t="s">
        <v>2114</v>
      </c>
      <c r="G319" s="5" t="str">
        <f>IFERROR(__xludf.DUMMYFUNCTION("""COMPUTED_VALUE"""),"80🤙🏼Witness for the Prosecution🤙🏼Marlene Dietrich🤙🏼Estrela 2")</f>
        <v>80🤙🏼Witness for the Prosecution🤙🏼Marlene Dietrich🤙🏼Estrela 2</v>
      </c>
      <c r="H319" s="5">
        <f>IFERROR(__xludf.DUMMYFUNCTION("SPLiT(G319, ""🤙🏼"",FALSE,FALSE)"),80.0)</f>
        <v>80</v>
      </c>
      <c r="I319" s="5" t="str">
        <f>IFERROR(__xludf.DUMMYFUNCTION("""COMPUTED_VALUE"""),"Witness for the Prosecution")</f>
        <v>Witness for the Prosecution</v>
      </c>
      <c r="J319" s="5" t="str">
        <f>IFERROR(__xludf.DUMMYFUNCTION("""COMPUTED_VALUE"""),"Marlene Dietrich")</f>
        <v>Marlene Dietrich</v>
      </c>
      <c r="K319" s="5" t="str">
        <f>IFERROR(__xludf.DUMMYFUNCTION("""COMPUTED_VALUE"""),"Estrela 2")</f>
        <v>Estrela 2</v>
      </c>
      <c r="P319" s="5">
        <f>IFERROR(__xludf.DUMMYFUNCTION("""COMPUTED_VALUE"""),80.0)</f>
        <v>80</v>
      </c>
      <c r="Q319" s="5" t="str">
        <f>IFERROR(__xludf.DUMMYFUNCTION("""COMPUTED_VALUE"""),"Witness for the Prosecution")</f>
        <v>Witness for the Prosecution</v>
      </c>
      <c r="R319" s="5" t="str">
        <f>IFERROR(__xludf.DUMMYFUNCTION("""COMPUTED_VALUE"""),"Marlene Dietrich")</f>
        <v>Marlene Dietrich</v>
      </c>
      <c r="S319" s="5" t="str">
        <f>IFERROR(__xludf.DUMMYFUNCTION("""COMPUTED_VALUE"""),"Estrela 2")</f>
        <v>Estrela 2</v>
      </c>
    </row>
    <row r="320">
      <c r="A320" s="1">
        <v>319.0</v>
      </c>
      <c r="B320" s="1" t="s">
        <v>2115</v>
      </c>
      <c r="C320" s="1" t="s">
        <v>418</v>
      </c>
      <c r="D320" s="1" t="s">
        <v>2119</v>
      </c>
      <c r="E320" s="1" t="s">
        <v>2120</v>
      </c>
      <c r="F320" s="1" t="s">
        <v>2121</v>
      </c>
      <c r="G320" s="5" t="str">
        <f>IFERROR(__xludf.DUMMYFUNCTION("""COMPUTED_VALUE"""),"80🤙🏼Witness for the Prosecution🤙🏼Charles Laughton🤙🏼Estrela 3")</f>
        <v>80🤙🏼Witness for the Prosecution🤙🏼Charles Laughton🤙🏼Estrela 3</v>
      </c>
      <c r="H320" s="5">
        <f>IFERROR(__xludf.DUMMYFUNCTION("SPLiT(G320, ""🤙🏼"",FALSE,FALSE)"),80.0)</f>
        <v>80</v>
      </c>
      <c r="I320" s="5" t="str">
        <f>IFERROR(__xludf.DUMMYFUNCTION("""COMPUTED_VALUE"""),"Witness for the Prosecution")</f>
        <v>Witness for the Prosecution</v>
      </c>
      <c r="J320" s="5" t="str">
        <f>IFERROR(__xludf.DUMMYFUNCTION("""COMPUTED_VALUE"""),"Charles Laughton")</f>
        <v>Charles Laughton</v>
      </c>
      <c r="K320" s="5" t="str">
        <f>IFERROR(__xludf.DUMMYFUNCTION("""COMPUTED_VALUE"""),"Estrela 3")</f>
        <v>Estrela 3</v>
      </c>
      <c r="P320" s="5">
        <f>IFERROR(__xludf.DUMMYFUNCTION("""COMPUTED_VALUE"""),80.0)</f>
        <v>80</v>
      </c>
      <c r="Q320" s="5" t="str">
        <f>IFERROR(__xludf.DUMMYFUNCTION("""COMPUTED_VALUE"""),"Witness for the Prosecution")</f>
        <v>Witness for the Prosecution</v>
      </c>
      <c r="R320" s="5" t="str">
        <f>IFERROR(__xludf.DUMMYFUNCTION("""COMPUTED_VALUE"""),"Charles Laughton")</f>
        <v>Charles Laughton</v>
      </c>
      <c r="S320" s="5" t="str">
        <f>IFERROR(__xludf.DUMMYFUNCTION("""COMPUTED_VALUE"""),"Estrela 3")</f>
        <v>Estrela 3</v>
      </c>
    </row>
    <row r="321">
      <c r="A321" s="1">
        <v>320.0</v>
      </c>
      <c r="B321" s="1" t="s">
        <v>2122</v>
      </c>
      <c r="C321" s="1" t="s">
        <v>2126</v>
      </c>
      <c r="D321" s="1" t="s">
        <v>2127</v>
      </c>
      <c r="E321" s="1" t="s">
        <v>2128</v>
      </c>
      <c r="F321" s="1" t="s">
        <v>2129</v>
      </c>
      <c r="G321" s="5" t="str">
        <f>IFERROR(__xludf.DUMMYFUNCTION("""COMPUTED_VALUE"""),"80🤙🏼Witness for the Prosecution🤙🏼Elsa Lanchester🤙🏼Estrela 4")</f>
        <v>80🤙🏼Witness for the Prosecution🤙🏼Elsa Lanchester🤙🏼Estrela 4</v>
      </c>
      <c r="H321" s="5">
        <f>IFERROR(__xludf.DUMMYFUNCTION("SPLiT(G321, ""🤙🏼"",FALSE,FALSE)"),80.0)</f>
        <v>80</v>
      </c>
      <c r="I321" s="5" t="str">
        <f>IFERROR(__xludf.DUMMYFUNCTION("""COMPUTED_VALUE"""),"Witness for the Prosecution")</f>
        <v>Witness for the Prosecution</v>
      </c>
      <c r="J321" s="5" t="str">
        <f>IFERROR(__xludf.DUMMYFUNCTION("""COMPUTED_VALUE"""),"Elsa Lanchester")</f>
        <v>Elsa Lanchester</v>
      </c>
      <c r="K321" s="5" t="str">
        <f>IFERROR(__xludf.DUMMYFUNCTION("""COMPUTED_VALUE"""),"Estrela 4")</f>
        <v>Estrela 4</v>
      </c>
      <c r="P321" s="5">
        <f>IFERROR(__xludf.DUMMYFUNCTION("""COMPUTED_VALUE"""),80.0)</f>
        <v>80</v>
      </c>
      <c r="Q321" s="5" t="str">
        <f>IFERROR(__xludf.DUMMYFUNCTION("""COMPUTED_VALUE"""),"Witness for the Prosecution")</f>
        <v>Witness for the Prosecution</v>
      </c>
      <c r="R321" s="5" t="str">
        <f>IFERROR(__xludf.DUMMYFUNCTION("""COMPUTED_VALUE"""),"Elsa Lanchester")</f>
        <v>Elsa Lanchester</v>
      </c>
      <c r="S321" s="5" t="str">
        <f>IFERROR(__xludf.DUMMYFUNCTION("""COMPUTED_VALUE"""),"Estrela 4")</f>
        <v>Estrela 4</v>
      </c>
    </row>
    <row r="322">
      <c r="A322" s="1">
        <v>321.0</v>
      </c>
      <c r="B322" s="1" t="s">
        <v>2130</v>
      </c>
      <c r="C322" s="1" t="s">
        <v>1365</v>
      </c>
      <c r="D322" s="1" t="s">
        <v>1365</v>
      </c>
      <c r="E322" s="1" t="s">
        <v>2134</v>
      </c>
      <c r="F322" s="1" t="s">
        <v>2135</v>
      </c>
      <c r="G322" s="5" t="str">
        <f>IFERROR(__xludf.DUMMYFUNCTION("""COMPUTED_VALUE"""),"81🤙🏼Paths of Glory🤙🏼Kirk Douglas🤙🏼Estrela 1")</f>
        <v>81🤙🏼Paths of Glory🤙🏼Kirk Douglas🤙🏼Estrela 1</v>
      </c>
      <c r="H322" s="5">
        <f>IFERROR(__xludf.DUMMYFUNCTION("SPLiT(G322, ""🤙🏼"",FALSE,FALSE)"),81.0)</f>
        <v>81</v>
      </c>
      <c r="I322" s="5" t="str">
        <f>IFERROR(__xludf.DUMMYFUNCTION("""COMPUTED_VALUE"""),"Paths of Glory")</f>
        <v>Paths of Glory</v>
      </c>
      <c r="J322" s="5" t="str">
        <f>IFERROR(__xludf.DUMMYFUNCTION("""COMPUTED_VALUE"""),"Kirk Douglas")</f>
        <v>Kirk Douglas</v>
      </c>
      <c r="K322" s="5" t="str">
        <f>IFERROR(__xludf.DUMMYFUNCTION("""COMPUTED_VALUE"""),"Estrela 1")</f>
        <v>Estrela 1</v>
      </c>
      <c r="P322" s="5">
        <f>IFERROR(__xludf.DUMMYFUNCTION("""COMPUTED_VALUE"""),81.0)</f>
        <v>81</v>
      </c>
      <c r="Q322" s="5" t="str">
        <f>IFERROR(__xludf.DUMMYFUNCTION("""COMPUTED_VALUE"""),"Paths of Glory")</f>
        <v>Paths of Glory</v>
      </c>
      <c r="R322" s="5" t="str">
        <f>IFERROR(__xludf.DUMMYFUNCTION("""COMPUTED_VALUE"""),"Kirk Douglas")</f>
        <v>Kirk Douglas</v>
      </c>
      <c r="S322" s="5" t="str">
        <f>IFERROR(__xludf.DUMMYFUNCTION("""COMPUTED_VALUE"""),"Estrela 1")</f>
        <v>Estrela 1</v>
      </c>
    </row>
    <row r="323">
      <c r="A323" s="1">
        <v>322.0</v>
      </c>
      <c r="B323" s="1" t="s">
        <v>2136</v>
      </c>
      <c r="C323" s="1" t="s">
        <v>2141</v>
      </c>
      <c r="D323" s="1" t="s">
        <v>2142</v>
      </c>
      <c r="E323" s="1" t="s">
        <v>2143</v>
      </c>
      <c r="F323" s="1" t="s">
        <v>2144</v>
      </c>
      <c r="G323" s="5" t="str">
        <f>IFERROR(__xludf.DUMMYFUNCTION("""COMPUTED_VALUE"""),"81🤙🏼Paths of Glory🤙🏼Ralph Meeker🤙🏼Estrela 2")</f>
        <v>81🤙🏼Paths of Glory🤙🏼Ralph Meeker🤙🏼Estrela 2</v>
      </c>
      <c r="H323" s="5">
        <f>IFERROR(__xludf.DUMMYFUNCTION("SPLiT(G323, ""🤙🏼"",FALSE,FALSE)"),81.0)</f>
        <v>81</v>
      </c>
      <c r="I323" s="5" t="str">
        <f>IFERROR(__xludf.DUMMYFUNCTION("""COMPUTED_VALUE"""),"Paths of Glory")</f>
        <v>Paths of Glory</v>
      </c>
      <c r="J323" s="5" t="str">
        <f>IFERROR(__xludf.DUMMYFUNCTION("""COMPUTED_VALUE"""),"Ralph Meeker")</f>
        <v>Ralph Meeker</v>
      </c>
      <c r="K323" s="5" t="str">
        <f>IFERROR(__xludf.DUMMYFUNCTION("""COMPUTED_VALUE"""),"Estrela 2")</f>
        <v>Estrela 2</v>
      </c>
      <c r="P323" s="5">
        <f>IFERROR(__xludf.DUMMYFUNCTION("""COMPUTED_VALUE"""),81.0)</f>
        <v>81</v>
      </c>
      <c r="Q323" s="5" t="str">
        <f>IFERROR(__xludf.DUMMYFUNCTION("""COMPUTED_VALUE"""),"Paths of Glory")</f>
        <v>Paths of Glory</v>
      </c>
      <c r="R323" s="5" t="str">
        <f>IFERROR(__xludf.DUMMYFUNCTION("""COMPUTED_VALUE"""),"Ralph Meeker")</f>
        <v>Ralph Meeker</v>
      </c>
      <c r="S323" s="5" t="str">
        <f>IFERROR(__xludf.DUMMYFUNCTION("""COMPUTED_VALUE"""),"Estrela 2")</f>
        <v>Estrela 2</v>
      </c>
    </row>
    <row r="324">
      <c r="A324" s="1">
        <v>323.0</v>
      </c>
      <c r="B324" s="1" t="s">
        <v>2145</v>
      </c>
      <c r="C324" s="1" t="s">
        <v>659</v>
      </c>
      <c r="D324" s="1" t="s">
        <v>2148</v>
      </c>
      <c r="E324" s="1" t="s">
        <v>2149</v>
      </c>
      <c r="F324" s="1" t="s">
        <v>464</v>
      </c>
      <c r="G324" s="5" t="str">
        <f>IFERROR(__xludf.DUMMYFUNCTION("""COMPUTED_VALUE"""),"81🤙🏼Paths of Glory🤙🏼Adolphe Menjou🤙🏼Estrela 3")</f>
        <v>81🤙🏼Paths of Glory🤙🏼Adolphe Menjou🤙🏼Estrela 3</v>
      </c>
      <c r="H324" s="5">
        <f>IFERROR(__xludf.DUMMYFUNCTION("SPLiT(G324, ""🤙🏼"",FALSE,FALSE)"),81.0)</f>
        <v>81</v>
      </c>
      <c r="I324" s="5" t="str">
        <f>IFERROR(__xludf.DUMMYFUNCTION("""COMPUTED_VALUE"""),"Paths of Glory")</f>
        <v>Paths of Glory</v>
      </c>
      <c r="J324" s="5" t="str">
        <f>IFERROR(__xludf.DUMMYFUNCTION("""COMPUTED_VALUE"""),"Adolphe Menjou")</f>
        <v>Adolphe Menjou</v>
      </c>
      <c r="K324" s="5" t="str">
        <f>IFERROR(__xludf.DUMMYFUNCTION("""COMPUTED_VALUE"""),"Estrela 3")</f>
        <v>Estrela 3</v>
      </c>
      <c r="P324" s="5">
        <f>IFERROR(__xludf.DUMMYFUNCTION("""COMPUTED_VALUE"""),81.0)</f>
        <v>81</v>
      </c>
      <c r="Q324" s="5" t="str">
        <f>IFERROR(__xludf.DUMMYFUNCTION("""COMPUTED_VALUE"""),"Paths of Glory")</f>
        <v>Paths of Glory</v>
      </c>
      <c r="R324" s="5" t="str">
        <f>IFERROR(__xludf.DUMMYFUNCTION("""COMPUTED_VALUE"""),"Adolphe Menjou")</f>
        <v>Adolphe Menjou</v>
      </c>
      <c r="S324" s="5" t="str">
        <f>IFERROR(__xludf.DUMMYFUNCTION("""COMPUTED_VALUE"""),"Estrela 3")</f>
        <v>Estrela 3</v>
      </c>
    </row>
    <row r="325">
      <c r="A325" s="1">
        <v>324.0</v>
      </c>
      <c r="B325" s="1" t="s">
        <v>2150</v>
      </c>
      <c r="C325" s="1" t="s">
        <v>1825</v>
      </c>
      <c r="D325" s="1" t="s">
        <v>2153</v>
      </c>
      <c r="E325" s="1" t="s">
        <v>2154</v>
      </c>
      <c r="F325" s="1" t="s">
        <v>2155</v>
      </c>
      <c r="G325" s="5" t="str">
        <f>IFERROR(__xludf.DUMMYFUNCTION("""COMPUTED_VALUE"""),"81🤙🏼Paths of Glory🤙🏼George Macready🤙🏼Estrela 4")</f>
        <v>81🤙🏼Paths of Glory🤙🏼George Macready🤙🏼Estrela 4</v>
      </c>
      <c r="H325" s="5">
        <f>IFERROR(__xludf.DUMMYFUNCTION("SPLiT(G325, ""🤙🏼"",FALSE,FALSE)"),81.0)</f>
        <v>81</v>
      </c>
      <c r="I325" s="5" t="str">
        <f>IFERROR(__xludf.DUMMYFUNCTION("""COMPUTED_VALUE"""),"Paths of Glory")</f>
        <v>Paths of Glory</v>
      </c>
      <c r="J325" s="5" t="str">
        <f>IFERROR(__xludf.DUMMYFUNCTION("""COMPUTED_VALUE"""),"George Macready")</f>
        <v>George Macready</v>
      </c>
      <c r="K325" s="5" t="str">
        <f>IFERROR(__xludf.DUMMYFUNCTION("""COMPUTED_VALUE"""),"Estrela 4")</f>
        <v>Estrela 4</v>
      </c>
      <c r="P325" s="5">
        <f>IFERROR(__xludf.DUMMYFUNCTION("""COMPUTED_VALUE"""),81.0)</f>
        <v>81</v>
      </c>
      <c r="Q325" s="5" t="str">
        <f>IFERROR(__xludf.DUMMYFUNCTION("""COMPUTED_VALUE"""),"Paths of Glory")</f>
        <v>Paths of Glory</v>
      </c>
      <c r="R325" s="5" t="str">
        <f>IFERROR(__xludf.DUMMYFUNCTION("""COMPUTED_VALUE"""),"George Macready")</f>
        <v>George Macready</v>
      </c>
      <c r="S325" s="5" t="str">
        <f>IFERROR(__xludf.DUMMYFUNCTION("""COMPUTED_VALUE"""),"Estrela 4")</f>
        <v>Estrela 4</v>
      </c>
    </row>
    <row r="326">
      <c r="A326" s="1">
        <v>325.0</v>
      </c>
      <c r="B326" s="1" t="s">
        <v>2156</v>
      </c>
      <c r="C326" s="1" t="s">
        <v>1156</v>
      </c>
      <c r="D326" s="1" t="s">
        <v>2159</v>
      </c>
      <c r="E326" s="1" t="s">
        <v>2160</v>
      </c>
      <c r="F326" s="1" t="s">
        <v>2161</v>
      </c>
      <c r="G326" s="5" t="str">
        <f>IFERROR(__xludf.DUMMYFUNCTION("""COMPUTED_VALUE"""),"82🤙🏼Rear Window🤙🏼James Stewart🤙🏼Estrela 1")</f>
        <v>82🤙🏼Rear Window🤙🏼James Stewart🤙🏼Estrela 1</v>
      </c>
      <c r="H326" s="5">
        <f>IFERROR(__xludf.DUMMYFUNCTION("SPLiT(G326, ""🤙🏼"",FALSE,FALSE)"),82.0)</f>
        <v>82</v>
      </c>
      <c r="I326" s="5" t="str">
        <f>IFERROR(__xludf.DUMMYFUNCTION("""COMPUTED_VALUE"""),"Rear Window")</f>
        <v>Rear Window</v>
      </c>
      <c r="J326" s="5" t="str">
        <f>IFERROR(__xludf.DUMMYFUNCTION("""COMPUTED_VALUE"""),"James Stewart")</f>
        <v>James Stewart</v>
      </c>
      <c r="K326" s="5" t="str">
        <f>IFERROR(__xludf.DUMMYFUNCTION("""COMPUTED_VALUE"""),"Estrela 1")</f>
        <v>Estrela 1</v>
      </c>
      <c r="P326" s="5">
        <f>IFERROR(__xludf.DUMMYFUNCTION("""COMPUTED_VALUE"""),82.0)</f>
        <v>82</v>
      </c>
      <c r="Q326" s="5" t="str">
        <f>IFERROR(__xludf.DUMMYFUNCTION("""COMPUTED_VALUE"""),"Rear Window")</f>
        <v>Rear Window</v>
      </c>
      <c r="R326" s="5" t="str">
        <f>IFERROR(__xludf.DUMMYFUNCTION("""COMPUTED_VALUE"""),"James Stewart")</f>
        <v>James Stewart</v>
      </c>
      <c r="S326" s="5" t="str">
        <f>IFERROR(__xludf.DUMMYFUNCTION("""COMPUTED_VALUE"""),"Estrela 1")</f>
        <v>Estrela 1</v>
      </c>
    </row>
    <row r="327">
      <c r="A327" s="1">
        <v>326.0</v>
      </c>
      <c r="B327" s="1" t="s">
        <v>2162</v>
      </c>
      <c r="C327" s="1" t="s">
        <v>1186</v>
      </c>
      <c r="D327" s="1" t="s">
        <v>2165</v>
      </c>
      <c r="E327" s="1" t="s">
        <v>1034</v>
      </c>
      <c r="F327" s="1" t="s">
        <v>2166</v>
      </c>
      <c r="G327" s="5" t="str">
        <f>IFERROR(__xludf.DUMMYFUNCTION("""COMPUTED_VALUE"""),"82🤙🏼Rear Window🤙🏼Grace Kelly🤙🏼Estrela 2")</f>
        <v>82🤙🏼Rear Window🤙🏼Grace Kelly🤙🏼Estrela 2</v>
      </c>
      <c r="H327" s="5">
        <f>IFERROR(__xludf.DUMMYFUNCTION("SPLiT(G327, ""🤙🏼"",FALSE,FALSE)"),82.0)</f>
        <v>82</v>
      </c>
      <c r="I327" s="5" t="str">
        <f>IFERROR(__xludf.DUMMYFUNCTION("""COMPUTED_VALUE"""),"Rear Window")</f>
        <v>Rear Window</v>
      </c>
      <c r="J327" s="5" t="str">
        <f>IFERROR(__xludf.DUMMYFUNCTION("""COMPUTED_VALUE"""),"Grace Kelly")</f>
        <v>Grace Kelly</v>
      </c>
      <c r="K327" s="5" t="str">
        <f>IFERROR(__xludf.DUMMYFUNCTION("""COMPUTED_VALUE"""),"Estrela 2")</f>
        <v>Estrela 2</v>
      </c>
      <c r="P327" s="5">
        <f>IFERROR(__xludf.DUMMYFUNCTION("""COMPUTED_VALUE"""),82.0)</f>
        <v>82</v>
      </c>
      <c r="Q327" s="5" t="str">
        <f>IFERROR(__xludf.DUMMYFUNCTION("""COMPUTED_VALUE"""),"Rear Window")</f>
        <v>Rear Window</v>
      </c>
      <c r="R327" s="5" t="str">
        <f>IFERROR(__xludf.DUMMYFUNCTION("""COMPUTED_VALUE"""),"Grace Kelly")</f>
        <v>Grace Kelly</v>
      </c>
      <c r="S327" s="5" t="str">
        <f>IFERROR(__xludf.DUMMYFUNCTION("""COMPUTED_VALUE"""),"Estrela 2")</f>
        <v>Estrela 2</v>
      </c>
    </row>
    <row r="328">
      <c r="A328" s="1">
        <v>327.0</v>
      </c>
      <c r="B328" s="1" t="s">
        <v>2167</v>
      </c>
      <c r="C328" s="1" t="s">
        <v>1156</v>
      </c>
      <c r="D328" s="1" t="s">
        <v>2171</v>
      </c>
      <c r="E328" s="1" t="s">
        <v>988</v>
      </c>
      <c r="F328" s="1" t="s">
        <v>1380</v>
      </c>
      <c r="G328" s="5" t="str">
        <f>IFERROR(__xludf.DUMMYFUNCTION("""COMPUTED_VALUE"""),"82🤙🏼Rear Window🤙🏼Wendell Corey🤙🏼Estrela 3")</f>
        <v>82🤙🏼Rear Window🤙🏼Wendell Corey🤙🏼Estrela 3</v>
      </c>
      <c r="H328" s="5">
        <f>IFERROR(__xludf.DUMMYFUNCTION("SPLiT(G328, ""🤙🏼"",FALSE,FALSE)"),82.0)</f>
        <v>82</v>
      </c>
      <c r="I328" s="5" t="str">
        <f>IFERROR(__xludf.DUMMYFUNCTION("""COMPUTED_VALUE"""),"Rear Window")</f>
        <v>Rear Window</v>
      </c>
      <c r="J328" s="5" t="str">
        <f>IFERROR(__xludf.DUMMYFUNCTION("""COMPUTED_VALUE"""),"Wendell Corey")</f>
        <v>Wendell Corey</v>
      </c>
      <c r="K328" s="5" t="str">
        <f>IFERROR(__xludf.DUMMYFUNCTION("""COMPUTED_VALUE"""),"Estrela 3")</f>
        <v>Estrela 3</v>
      </c>
      <c r="P328" s="5">
        <f>IFERROR(__xludf.DUMMYFUNCTION("""COMPUTED_VALUE"""),82.0)</f>
        <v>82</v>
      </c>
      <c r="Q328" s="5" t="str">
        <f>IFERROR(__xludf.DUMMYFUNCTION("""COMPUTED_VALUE"""),"Rear Window")</f>
        <v>Rear Window</v>
      </c>
      <c r="R328" s="5" t="str">
        <f>IFERROR(__xludf.DUMMYFUNCTION("""COMPUTED_VALUE"""),"Wendell Corey")</f>
        <v>Wendell Corey</v>
      </c>
      <c r="S328" s="5" t="str">
        <f>IFERROR(__xludf.DUMMYFUNCTION("""COMPUTED_VALUE"""),"Estrela 3")</f>
        <v>Estrela 3</v>
      </c>
    </row>
    <row r="329">
      <c r="A329" s="1">
        <v>328.0</v>
      </c>
      <c r="B329" s="1" t="s">
        <v>2172</v>
      </c>
      <c r="C329" s="1" t="s">
        <v>2175</v>
      </c>
      <c r="D329" s="1" t="s">
        <v>2176</v>
      </c>
      <c r="E329" s="1" t="s">
        <v>2177</v>
      </c>
      <c r="F329" s="1" t="s">
        <v>291</v>
      </c>
      <c r="G329" s="5" t="str">
        <f>IFERROR(__xludf.DUMMYFUNCTION("""COMPUTED_VALUE"""),"82🤙🏼Rear Window🤙🏼Thelma Ritter🤙🏼Estrela 4")</f>
        <v>82🤙🏼Rear Window🤙🏼Thelma Ritter🤙🏼Estrela 4</v>
      </c>
      <c r="H329" s="5">
        <f>IFERROR(__xludf.DUMMYFUNCTION("SPLiT(G329, ""🤙🏼"",FALSE,FALSE)"),82.0)</f>
        <v>82</v>
      </c>
      <c r="I329" s="5" t="str">
        <f>IFERROR(__xludf.DUMMYFUNCTION("""COMPUTED_VALUE"""),"Rear Window")</f>
        <v>Rear Window</v>
      </c>
      <c r="J329" s="5" t="str">
        <f>IFERROR(__xludf.DUMMYFUNCTION("""COMPUTED_VALUE"""),"Thelma Ritter")</f>
        <v>Thelma Ritter</v>
      </c>
      <c r="K329" s="5" t="str">
        <f>IFERROR(__xludf.DUMMYFUNCTION("""COMPUTED_VALUE"""),"Estrela 4")</f>
        <v>Estrela 4</v>
      </c>
      <c r="P329" s="5">
        <f>IFERROR(__xludf.DUMMYFUNCTION("""COMPUTED_VALUE"""),82.0)</f>
        <v>82</v>
      </c>
      <c r="Q329" s="5" t="str">
        <f>IFERROR(__xludf.DUMMYFUNCTION("""COMPUTED_VALUE"""),"Rear Window")</f>
        <v>Rear Window</v>
      </c>
      <c r="R329" s="5" t="str">
        <f>IFERROR(__xludf.DUMMYFUNCTION("""COMPUTED_VALUE"""),"Thelma Ritter")</f>
        <v>Thelma Ritter</v>
      </c>
      <c r="S329" s="5" t="str">
        <f>IFERROR(__xludf.DUMMYFUNCTION("""COMPUTED_VALUE"""),"Estrela 4")</f>
        <v>Estrela 4</v>
      </c>
    </row>
    <row r="330">
      <c r="A330" s="1">
        <v>329.0</v>
      </c>
      <c r="B330" s="1" t="s">
        <v>2178</v>
      </c>
      <c r="C330" s="1" t="s">
        <v>2181</v>
      </c>
      <c r="D330" s="1" t="s">
        <v>2182</v>
      </c>
      <c r="E330" s="1" t="s">
        <v>2183</v>
      </c>
      <c r="F330" s="1" t="s">
        <v>2184</v>
      </c>
      <c r="G330" s="5" t="str">
        <f>IFERROR(__xludf.DUMMYFUNCTION("""COMPUTED_VALUE"""),"83🤙🏼Sunset Blvd.🤙🏼William Holden🤙🏼Estrela 1")</f>
        <v>83🤙🏼Sunset Blvd.🤙🏼William Holden🤙🏼Estrela 1</v>
      </c>
      <c r="H330" s="5">
        <f>IFERROR(__xludf.DUMMYFUNCTION("SPLiT(G330, ""🤙🏼"",FALSE,FALSE)"),83.0)</f>
        <v>83</v>
      </c>
      <c r="I330" s="5" t="str">
        <f>IFERROR(__xludf.DUMMYFUNCTION("""COMPUTED_VALUE"""),"Sunset Blvd.")</f>
        <v>Sunset Blvd.</v>
      </c>
      <c r="J330" s="5" t="str">
        <f>IFERROR(__xludf.DUMMYFUNCTION("""COMPUTED_VALUE"""),"William Holden")</f>
        <v>William Holden</v>
      </c>
      <c r="K330" s="5" t="str">
        <f>IFERROR(__xludf.DUMMYFUNCTION("""COMPUTED_VALUE"""),"Estrela 1")</f>
        <v>Estrela 1</v>
      </c>
      <c r="P330" s="5">
        <f>IFERROR(__xludf.DUMMYFUNCTION("""COMPUTED_VALUE"""),83.0)</f>
        <v>83</v>
      </c>
      <c r="Q330" s="5" t="str">
        <f>IFERROR(__xludf.DUMMYFUNCTION("""COMPUTED_VALUE"""),"Sunset Blvd.")</f>
        <v>Sunset Blvd.</v>
      </c>
      <c r="R330" s="5" t="str">
        <f>IFERROR(__xludf.DUMMYFUNCTION("""COMPUTED_VALUE"""),"William Holden")</f>
        <v>William Holden</v>
      </c>
      <c r="S330" s="5" t="str">
        <f>IFERROR(__xludf.DUMMYFUNCTION("""COMPUTED_VALUE"""),"Estrela 1")</f>
        <v>Estrela 1</v>
      </c>
    </row>
    <row r="331">
      <c r="A331" s="1">
        <v>330.0</v>
      </c>
      <c r="B331" s="1" t="s">
        <v>2185</v>
      </c>
      <c r="C331" s="1" t="s">
        <v>215</v>
      </c>
      <c r="D331" s="1" t="s">
        <v>192</v>
      </c>
      <c r="E331" s="1" t="s">
        <v>2187</v>
      </c>
      <c r="F331" s="1" t="s">
        <v>2188</v>
      </c>
      <c r="G331" s="5" t="str">
        <f>IFERROR(__xludf.DUMMYFUNCTION("""COMPUTED_VALUE"""),"83🤙🏼Sunset Blvd.🤙🏼Gloria Swanson🤙🏼Estrela 2")</f>
        <v>83🤙🏼Sunset Blvd.🤙🏼Gloria Swanson🤙🏼Estrela 2</v>
      </c>
      <c r="H331" s="5">
        <f>IFERROR(__xludf.DUMMYFUNCTION("SPLiT(G331, ""🤙🏼"",FALSE,FALSE)"),83.0)</f>
        <v>83</v>
      </c>
      <c r="I331" s="5" t="str">
        <f>IFERROR(__xludf.DUMMYFUNCTION("""COMPUTED_VALUE"""),"Sunset Blvd.")</f>
        <v>Sunset Blvd.</v>
      </c>
      <c r="J331" s="5" t="str">
        <f>IFERROR(__xludf.DUMMYFUNCTION("""COMPUTED_VALUE"""),"Gloria Swanson")</f>
        <v>Gloria Swanson</v>
      </c>
      <c r="K331" s="5" t="str">
        <f>IFERROR(__xludf.DUMMYFUNCTION("""COMPUTED_VALUE"""),"Estrela 2")</f>
        <v>Estrela 2</v>
      </c>
      <c r="P331" s="5">
        <f>IFERROR(__xludf.DUMMYFUNCTION("""COMPUTED_VALUE"""),83.0)</f>
        <v>83</v>
      </c>
      <c r="Q331" s="5" t="str">
        <f>IFERROR(__xludf.DUMMYFUNCTION("""COMPUTED_VALUE"""),"Sunset Blvd.")</f>
        <v>Sunset Blvd.</v>
      </c>
      <c r="R331" s="5" t="str">
        <f>IFERROR(__xludf.DUMMYFUNCTION("""COMPUTED_VALUE"""),"Gloria Swanson")</f>
        <v>Gloria Swanson</v>
      </c>
      <c r="S331" s="5" t="str">
        <f>IFERROR(__xludf.DUMMYFUNCTION("""COMPUTED_VALUE"""),"Estrela 2")</f>
        <v>Estrela 2</v>
      </c>
    </row>
    <row r="332">
      <c r="A332" s="1">
        <v>331.0</v>
      </c>
      <c r="B332" s="1" t="s">
        <v>2189</v>
      </c>
      <c r="C332" s="1" t="s">
        <v>2192</v>
      </c>
      <c r="D332" s="1" t="s">
        <v>2193</v>
      </c>
      <c r="E332" s="1" t="s">
        <v>2194</v>
      </c>
      <c r="F332" s="1" t="s">
        <v>2195</v>
      </c>
      <c r="G332" s="5" t="str">
        <f>IFERROR(__xludf.DUMMYFUNCTION("""COMPUTED_VALUE"""),"83🤙🏼Sunset Blvd.🤙🏼Erich von Stroheim🤙🏼Estrela 3")</f>
        <v>83🤙🏼Sunset Blvd.🤙🏼Erich von Stroheim🤙🏼Estrela 3</v>
      </c>
      <c r="H332" s="5">
        <f>IFERROR(__xludf.DUMMYFUNCTION("SPLiT(G332, ""🤙🏼"",FALSE,FALSE)"),83.0)</f>
        <v>83</v>
      </c>
      <c r="I332" s="5" t="str">
        <f>IFERROR(__xludf.DUMMYFUNCTION("""COMPUTED_VALUE"""),"Sunset Blvd.")</f>
        <v>Sunset Blvd.</v>
      </c>
      <c r="J332" s="5" t="str">
        <f>IFERROR(__xludf.DUMMYFUNCTION("""COMPUTED_VALUE"""),"Erich von Stroheim")</f>
        <v>Erich von Stroheim</v>
      </c>
      <c r="K332" s="5" t="str">
        <f>IFERROR(__xludf.DUMMYFUNCTION("""COMPUTED_VALUE"""),"Estrela 3")</f>
        <v>Estrela 3</v>
      </c>
      <c r="P332" s="5">
        <f>IFERROR(__xludf.DUMMYFUNCTION("""COMPUTED_VALUE"""),83.0)</f>
        <v>83</v>
      </c>
      <c r="Q332" s="5" t="str">
        <f>IFERROR(__xludf.DUMMYFUNCTION("""COMPUTED_VALUE"""),"Sunset Blvd.")</f>
        <v>Sunset Blvd.</v>
      </c>
      <c r="R332" s="5" t="str">
        <f>IFERROR(__xludf.DUMMYFUNCTION("""COMPUTED_VALUE"""),"Erich von Stroheim")</f>
        <v>Erich von Stroheim</v>
      </c>
      <c r="S332" s="5" t="str">
        <f>IFERROR(__xludf.DUMMYFUNCTION("""COMPUTED_VALUE"""),"Estrela 3")</f>
        <v>Estrela 3</v>
      </c>
    </row>
    <row r="333">
      <c r="A333" s="1">
        <v>332.0</v>
      </c>
      <c r="B333" s="1" t="s">
        <v>2196</v>
      </c>
      <c r="C333" s="1" t="s">
        <v>987</v>
      </c>
      <c r="D333" s="1" t="s">
        <v>988</v>
      </c>
      <c r="E333" s="1" t="s">
        <v>2198</v>
      </c>
      <c r="F333" s="1" t="s">
        <v>2199</v>
      </c>
      <c r="G333" s="5" t="str">
        <f>IFERROR(__xludf.DUMMYFUNCTION("""COMPUTED_VALUE"""),"83🤙🏼Sunset Blvd.🤙🏼Nancy Olson🤙🏼Estrela 4")</f>
        <v>83🤙🏼Sunset Blvd.🤙🏼Nancy Olson🤙🏼Estrela 4</v>
      </c>
      <c r="H333" s="5">
        <f>IFERROR(__xludf.DUMMYFUNCTION("SPLiT(G333, ""🤙🏼"",FALSE,FALSE)"),83.0)</f>
        <v>83</v>
      </c>
      <c r="I333" s="5" t="str">
        <f>IFERROR(__xludf.DUMMYFUNCTION("""COMPUTED_VALUE"""),"Sunset Blvd.")</f>
        <v>Sunset Blvd.</v>
      </c>
      <c r="J333" s="5" t="str">
        <f>IFERROR(__xludf.DUMMYFUNCTION("""COMPUTED_VALUE"""),"Nancy Olson")</f>
        <v>Nancy Olson</v>
      </c>
      <c r="K333" s="5" t="str">
        <f>IFERROR(__xludf.DUMMYFUNCTION("""COMPUTED_VALUE"""),"Estrela 4")</f>
        <v>Estrela 4</v>
      </c>
      <c r="P333" s="5">
        <f>IFERROR(__xludf.DUMMYFUNCTION("""COMPUTED_VALUE"""),83.0)</f>
        <v>83</v>
      </c>
      <c r="Q333" s="5" t="str">
        <f>IFERROR(__xludf.DUMMYFUNCTION("""COMPUTED_VALUE"""),"Sunset Blvd.")</f>
        <v>Sunset Blvd.</v>
      </c>
      <c r="R333" s="5" t="str">
        <f>IFERROR(__xludf.DUMMYFUNCTION("""COMPUTED_VALUE"""),"Nancy Olson")</f>
        <v>Nancy Olson</v>
      </c>
      <c r="S333" s="5" t="str">
        <f>IFERROR(__xludf.DUMMYFUNCTION("""COMPUTED_VALUE"""),"Estrela 4")</f>
        <v>Estrela 4</v>
      </c>
    </row>
    <row r="334">
      <c r="A334" s="1">
        <v>333.0</v>
      </c>
      <c r="B334" s="1" t="s">
        <v>2200</v>
      </c>
      <c r="C334" s="1" t="s">
        <v>2202</v>
      </c>
      <c r="D334" s="1" t="s">
        <v>34</v>
      </c>
      <c r="E334" s="1" t="s">
        <v>2203</v>
      </c>
      <c r="F334" s="1" t="s">
        <v>2204</v>
      </c>
      <c r="G334" s="5" t="str">
        <f>IFERROR(__xludf.DUMMYFUNCTION("""COMPUTED_VALUE"""),"84🤙🏼The Great Dictator🤙🏼Charles Chaplin🤙🏼Estrela 1")</f>
        <v>84🤙🏼The Great Dictator🤙🏼Charles Chaplin🤙🏼Estrela 1</v>
      </c>
      <c r="H334" s="5">
        <f>IFERROR(__xludf.DUMMYFUNCTION("SPLiT(G334, ""🤙🏼"",FALSE,FALSE)"),84.0)</f>
        <v>84</v>
      </c>
      <c r="I334" s="5" t="str">
        <f>IFERROR(__xludf.DUMMYFUNCTION("""COMPUTED_VALUE"""),"The Great Dictator")</f>
        <v>The Great Dictator</v>
      </c>
      <c r="J334" s="5" t="str">
        <f>IFERROR(__xludf.DUMMYFUNCTION("""COMPUTED_VALUE"""),"Charles Chaplin")</f>
        <v>Charles Chaplin</v>
      </c>
      <c r="K334" s="5" t="str">
        <f>IFERROR(__xludf.DUMMYFUNCTION("""COMPUTED_VALUE"""),"Estrela 1")</f>
        <v>Estrela 1</v>
      </c>
      <c r="P334" s="5">
        <f>IFERROR(__xludf.DUMMYFUNCTION("""COMPUTED_VALUE"""),84.0)</f>
        <v>84</v>
      </c>
      <c r="Q334" s="5" t="str">
        <f>IFERROR(__xludf.DUMMYFUNCTION("""COMPUTED_VALUE"""),"The Great Dictator")</f>
        <v>The Great Dictator</v>
      </c>
      <c r="R334" s="5" t="str">
        <f>IFERROR(__xludf.DUMMYFUNCTION("""COMPUTED_VALUE"""),"Charles Chaplin")</f>
        <v>Charles Chaplin</v>
      </c>
      <c r="S334" s="5" t="str">
        <f>IFERROR(__xludf.DUMMYFUNCTION("""COMPUTED_VALUE"""),"Estrela 1")</f>
        <v>Estrela 1</v>
      </c>
    </row>
    <row r="335">
      <c r="A335" s="1">
        <v>334.0</v>
      </c>
      <c r="B335" s="1" t="s">
        <v>2205</v>
      </c>
      <c r="C335" s="1" t="s">
        <v>1428</v>
      </c>
      <c r="D335" s="1" t="s">
        <v>2208</v>
      </c>
      <c r="E335" s="1" t="s">
        <v>2209</v>
      </c>
      <c r="F335" s="1" t="s">
        <v>2210</v>
      </c>
      <c r="G335" s="5" t="str">
        <f>IFERROR(__xludf.DUMMYFUNCTION("""COMPUTED_VALUE"""),"84🤙🏼The Great Dictator🤙🏼Paulette Goddard🤙🏼Estrela 2")</f>
        <v>84🤙🏼The Great Dictator🤙🏼Paulette Goddard🤙🏼Estrela 2</v>
      </c>
      <c r="H335" s="5">
        <f>IFERROR(__xludf.DUMMYFUNCTION("SPLiT(G335, ""🤙🏼"",FALSE,FALSE)"),84.0)</f>
        <v>84</v>
      </c>
      <c r="I335" s="5" t="str">
        <f>IFERROR(__xludf.DUMMYFUNCTION("""COMPUTED_VALUE"""),"The Great Dictator")</f>
        <v>The Great Dictator</v>
      </c>
      <c r="J335" s="5" t="str">
        <f>IFERROR(__xludf.DUMMYFUNCTION("""COMPUTED_VALUE"""),"Paulette Goddard")</f>
        <v>Paulette Goddard</v>
      </c>
      <c r="K335" s="5" t="str">
        <f>IFERROR(__xludf.DUMMYFUNCTION("""COMPUTED_VALUE"""),"Estrela 2")</f>
        <v>Estrela 2</v>
      </c>
      <c r="P335" s="5">
        <f>IFERROR(__xludf.DUMMYFUNCTION("""COMPUTED_VALUE"""),84.0)</f>
        <v>84</v>
      </c>
      <c r="Q335" s="5" t="str">
        <f>IFERROR(__xludf.DUMMYFUNCTION("""COMPUTED_VALUE"""),"The Great Dictator")</f>
        <v>The Great Dictator</v>
      </c>
      <c r="R335" s="5" t="str">
        <f>IFERROR(__xludf.DUMMYFUNCTION("""COMPUTED_VALUE"""),"Paulette Goddard")</f>
        <v>Paulette Goddard</v>
      </c>
      <c r="S335" s="5" t="str">
        <f>IFERROR(__xludf.DUMMYFUNCTION("""COMPUTED_VALUE"""),"Estrela 2")</f>
        <v>Estrela 2</v>
      </c>
    </row>
    <row r="336">
      <c r="A336" s="1">
        <v>335.0</v>
      </c>
      <c r="B336" s="1" t="s">
        <v>2211</v>
      </c>
      <c r="C336" s="1" t="s">
        <v>2213</v>
      </c>
      <c r="D336" s="1" t="s">
        <v>2214</v>
      </c>
      <c r="E336" s="1" t="s">
        <v>2215</v>
      </c>
      <c r="F336" s="1" t="s">
        <v>2216</v>
      </c>
      <c r="G336" s="5" t="str">
        <f>IFERROR(__xludf.DUMMYFUNCTION("""COMPUTED_VALUE"""),"84🤙🏼The Great Dictator🤙🏼Jack Oakie🤙🏼Estrela 3")</f>
        <v>84🤙🏼The Great Dictator🤙🏼Jack Oakie🤙🏼Estrela 3</v>
      </c>
      <c r="H336" s="5">
        <f>IFERROR(__xludf.DUMMYFUNCTION("SPLiT(G336, ""🤙🏼"",FALSE,FALSE)"),84.0)</f>
        <v>84</v>
      </c>
      <c r="I336" s="5" t="str">
        <f>IFERROR(__xludf.DUMMYFUNCTION("""COMPUTED_VALUE"""),"The Great Dictator")</f>
        <v>The Great Dictator</v>
      </c>
      <c r="J336" s="5" t="str">
        <f>IFERROR(__xludf.DUMMYFUNCTION("""COMPUTED_VALUE"""),"Jack Oakie")</f>
        <v>Jack Oakie</v>
      </c>
      <c r="K336" s="5" t="str">
        <f>IFERROR(__xludf.DUMMYFUNCTION("""COMPUTED_VALUE"""),"Estrela 3")</f>
        <v>Estrela 3</v>
      </c>
      <c r="P336" s="5">
        <f>IFERROR(__xludf.DUMMYFUNCTION("""COMPUTED_VALUE"""),84.0)</f>
        <v>84</v>
      </c>
      <c r="Q336" s="5" t="str">
        <f>IFERROR(__xludf.DUMMYFUNCTION("""COMPUTED_VALUE"""),"The Great Dictator")</f>
        <v>The Great Dictator</v>
      </c>
      <c r="R336" s="5" t="str">
        <f>IFERROR(__xludf.DUMMYFUNCTION("""COMPUTED_VALUE"""),"Jack Oakie")</f>
        <v>Jack Oakie</v>
      </c>
      <c r="S336" s="5" t="str">
        <f>IFERROR(__xludf.DUMMYFUNCTION("""COMPUTED_VALUE"""),"Estrela 3")</f>
        <v>Estrela 3</v>
      </c>
    </row>
    <row r="337">
      <c r="A337" s="1">
        <v>336.0</v>
      </c>
      <c r="B337" s="1" t="s">
        <v>2217</v>
      </c>
      <c r="C337" s="1" t="s">
        <v>1156</v>
      </c>
      <c r="D337" s="1" t="s">
        <v>1555</v>
      </c>
      <c r="E337" s="1" t="s">
        <v>1032</v>
      </c>
      <c r="F337" s="1" t="s">
        <v>1557</v>
      </c>
      <c r="G337" s="5" t="str">
        <f>IFERROR(__xludf.DUMMYFUNCTION("""COMPUTED_VALUE"""),"84🤙🏼The Great Dictator🤙🏼Reginald Gardiner🤙🏼Estrela 4")</f>
        <v>84🤙🏼The Great Dictator🤙🏼Reginald Gardiner🤙🏼Estrela 4</v>
      </c>
      <c r="H337" s="5">
        <f>IFERROR(__xludf.DUMMYFUNCTION("SPLiT(G337, ""🤙🏼"",FALSE,FALSE)"),84.0)</f>
        <v>84</v>
      </c>
      <c r="I337" s="5" t="str">
        <f>IFERROR(__xludf.DUMMYFUNCTION("""COMPUTED_VALUE"""),"The Great Dictator")</f>
        <v>The Great Dictator</v>
      </c>
      <c r="J337" s="5" t="str">
        <f>IFERROR(__xludf.DUMMYFUNCTION("""COMPUTED_VALUE"""),"Reginald Gardiner")</f>
        <v>Reginald Gardiner</v>
      </c>
      <c r="K337" s="5" t="str">
        <f>IFERROR(__xludf.DUMMYFUNCTION("""COMPUTED_VALUE"""),"Estrela 4")</f>
        <v>Estrela 4</v>
      </c>
      <c r="P337" s="5">
        <f>IFERROR(__xludf.DUMMYFUNCTION("""COMPUTED_VALUE"""),84.0)</f>
        <v>84</v>
      </c>
      <c r="Q337" s="5" t="str">
        <f>IFERROR(__xludf.DUMMYFUNCTION("""COMPUTED_VALUE"""),"The Great Dictator")</f>
        <v>The Great Dictator</v>
      </c>
      <c r="R337" s="5" t="str">
        <f>IFERROR(__xludf.DUMMYFUNCTION("""COMPUTED_VALUE"""),"Reginald Gardiner")</f>
        <v>Reginald Gardiner</v>
      </c>
      <c r="S337" s="5" t="str">
        <f>IFERROR(__xludf.DUMMYFUNCTION("""COMPUTED_VALUE"""),"Estrela 4")</f>
        <v>Estrela 4</v>
      </c>
    </row>
    <row r="338">
      <c r="A338" s="1">
        <v>337.0</v>
      </c>
      <c r="B338" s="1" t="s">
        <v>2219</v>
      </c>
      <c r="C338" s="1" t="s">
        <v>1427</v>
      </c>
      <c r="D338" s="1" t="s">
        <v>2222</v>
      </c>
      <c r="E338" s="1" t="s">
        <v>2223</v>
      </c>
      <c r="F338" s="1" t="s">
        <v>2224</v>
      </c>
      <c r="G338" s="5" t="str">
        <f>IFERROR(__xludf.DUMMYFUNCTION("""COMPUTED_VALUE"""),"85🤙🏼1917🤙🏼Dean-Charles Chapman🤙🏼Estrela 1")</f>
        <v>85🤙🏼1917🤙🏼Dean-Charles Chapman🤙🏼Estrela 1</v>
      </c>
      <c r="H338" s="5">
        <f>IFERROR(__xludf.DUMMYFUNCTION("SPLiT(G338, ""🤙🏼"",FALSE,FALSE)"),85.0)</f>
        <v>85</v>
      </c>
      <c r="I338" s="5">
        <f>IFERROR(__xludf.DUMMYFUNCTION("""COMPUTED_VALUE"""),1917.0)</f>
        <v>1917</v>
      </c>
      <c r="J338" s="5" t="str">
        <f>IFERROR(__xludf.DUMMYFUNCTION("""COMPUTED_VALUE"""),"Dean-Charles Chapman")</f>
        <v>Dean-Charles Chapman</v>
      </c>
      <c r="K338" s="5" t="str">
        <f>IFERROR(__xludf.DUMMYFUNCTION("""COMPUTED_VALUE"""),"Estrela 1")</f>
        <v>Estrela 1</v>
      </c>
      <c r="P338" s="5">
        <f>IFERROR(__xludf.DUMMYFUNCTION("""COMPUTED_VALUE"""),85.0)</f>
        <v>85</v>
      </c>
      <c r="Q338" s="5">
        <f>IFERROR(__xludf.DUMMYFUNCTION("""COMPUTED_VALUE"""),1917.0)</f>
        <v>1917</v>
      </c>
      <c r="R338" s="5" t="str">
        <f>IFERROR(__xludf.DUMMYFUNCTION("""COMPUTED_VALUE"""),"Dean-Charles Chapman")</f>
        <v>Dean-Charles Chapman</v>
      </c>
      <c r="S338" s="5" t="str">
        <f>IFERROR(__xludf.DUMMYFUNCTION("""COMPUTED_VALUE"""),"Estrela 1")</f>
        <v>Estrela 1</v>
      </c>
    </row>
    <row r="339">
      <c r="A339" s="1">
        <v>338.0</v>
      </c>
      <c r="B339" s="1" t="s">
        <v>2225</v>
      </c>
      <c r="C339" s="1" t="s">
        <v>2228</v>
      </c>
      <c r="D339" s="1" t="s">
        <v>2229</v>
      </c>
      <c r="E339" s="1" t="s">
        <v>2230</v>
      </c>
      <c r="F339" s="1" t="s">
        <v>2231</v>
      </c>
      <c r="G339" s="5" t="str">
        <f>IFERROR(__xludf.DUMMYFUNCTION("""COMPUTED_VALUE"""),"85🤙🏼1917🤙🏼George MacKay🤙🏼Estrela 2")</f>
        <v>85🤙🏼1917🤙🏼George MacKay🤙🏼Estrela 2</v>
      </c>
      <c r="H339" s="5">
        <f>IFERROR(__xludf.DUMMYFUNCTION("SPLiT(G339, ""🤙🏼"",FALSE,FALSE)"),85.0)</f>
        <v>85</v>
      </c>
      <c r="I339" s="5">
        <f>IFERROR(__xludf.DUMMYFUNCTION("""COMPUTED_VALUE"""),1917.0)</f>
        <v>1917</v>
      </c>
      <c r="J339" s="5" t="str">
        <f>IFERROR(__xludf.DUMMYFUNCTION("""COMPUTED_VALUE"""),"George MacKay")</f>
        <v>George MacKay</v>
      </c>
      <c r="K339" s="5" t="str">
        <f>IFERROR(__xludf.DUMMYFUNCTION("""COMPUTED_VALUE"""),"Estrela 2")</f>
        <v>Estrela 2</v>
      </c>
      <c r="P339" s="5">
        <f>IFERROR(__xludf.DUMMYFUNCTION("""COMPUTED_VALUE"""),85.0)</f>
        <v>85</v>
      </c>
      <c r="Q339" s="5">
        <f>IFERROR(__xludf.DUMMYFUNCTION("""COMPUTED_VALUE"""),1917.0)</f>
        <v>1917</v>
      </c>
      <c r="R339" s="5" t="str">
        <f>IFERROR(__xludf.DUMMYFUNCTION("""COMPUTED_VALUE"""),"George MacKay")</f>
        <v>George MacKay</v>
      </c>
      <c r="S339" s="5" t="str">
        <f>IFERROR(__xludf.DUMMYFUNCTION("""COMPUTED_VALUE"""),"Estrela 2")</f>
        <v>Estrela 2</v>
      </c>
    </row>
    <row r="340">
      <c r="A340" s="1">
        <v>339.0</v>
      </c>
      <c r="B340" s="1" t="s">
        <v>2232</v>
      </c>
      <c r="C340" s="1" t="s">
        <v>2236</v>
      </c>
      <c r="D340" s="1" t="s">
        <v>2237</v>
      </c>
      <c r="E340" s="1" t="s">
        <v>2238</v>
      </c>
      <c r="F340" s="1" t="s">
        <v>2239</v>
      </c>
      <c r="G340" s="5" t="str">
        <f>IFERROR(__xludf.DUMMYFUNCTION("""COMPUTED_VALUE"""),"85🤙🏼1917🤙🏼Daniel Mays🤙🏼Estrela 3")</f>
        <v>85🤙🏼1917🤙🏼Daniel Mays🤙🏼Estrela 3</v>
      </c>
      <c r="H340" s="5">
        <f>IFERROR(__xludf.DUMMYFUNCTION("SPLiT(G340, ""🤙🏼"",FALSE,FALSE)"),85.0)</f>
        <v>85</v>
      </c>
      <c r="I340" s="5">
        <f>IFERROR(__xludf.DUMMYFUNCTION("""COMPUTED_VALUE"""),1917.0)</f>
        <v>1917</v>
      </c>
      <c r="J340" s="5" t="str">
        <f>IFERROR(__xludf.DUMMYFUNCTION("""COMPUTED_VALUE"""),"Daniel Mays")</f>
        <v>Daniel Mays</v>
      </c>
      <c r="K340" s="5" t="str">
        <f>IFERROR(__xludf.DUMMYFUNCTION("""COMPUTED_VALUE"""),"Estrela 3")</f>
        <v>Estrela 3</v>
      </c>
      <c r="P340" s="5">
        <f>IFERROR(__xludf.DUMMYFUNCTION("""COMPUTED_VALUE"""),85.0)</f>
        <v>85</v>
      </c>
      <c r="Q340" s="5">
        <f>IFERROR(__xludf.DUMMYFUNCTION("""COMPUTED_VALUE"""),1917.0)</f>
        <v>1917</v>
      </c>
      <c r="R340" s="5" t="str">
        <f>IFERROR(__xludf.DUMMYFUNCTION("""COMPUTED_VALUE"""),"Daniel Mays")</f>
        <v>Daniel Mays</v>
      </c>
      <c r="S340" s="5" t="str">
        <f>IFERROR(__xludf.DUMMYFUNCTION("""COMPUTED_VALUE"""),"Estrela 3")</f>
        <v>Estrela 3</v>
      </c>
    </row>
    <row r="341">
      <c r="A341" s="1">
        <v>340.0</v>
      </c>
      <c r="B341" s="1" t="s">
        <v>2240</v>
      </c>
      <c r="C341" s="1" t="s">
        <v>2243</v>
      </c>
      <c r="D341" s="1" t="s">
        <v>2244</v>
      </c>
      <c r="E341" s="1" t="s">
        <v>2245</v>
      </c>
      <c r="F341" s="1" t="s">
        <v>2246</v>
      </c>
      <c r="G341" s="5" t="str">
        <f>IFERROR(__xludf.DUMMYFUNCTION("""COMPUTED_VALUE"""),"85🤙🏼1917🤙🏼Colin Firth🤙🏼Estrela 4")</f>
        <v>85🤙🏼1917🤙🏼Colin Firth🤙🏼Estrela 4</v>
      </c>
      <c r="H341" s="5">
        <f>IFERROR(__xludf.DUMMYFUNCTION("SPLiT(G341, ""🤙🏼"",FALSE,FALSE)"),85.0)</f>
        <v>85</v>
      </c>
      <c r="I341" s="5">
        <f>IFERROR(__xludf.DUMMYFUNCTION("""COMPUTED_VALUE"""),1917.0)</f>
        <v>1917</v>
      </c>
      <c r="J341" s="5" t="str">
        <f>IFERROR(__xludf.DUMMYFUNCTION("""COMPUTED_VALUE"""),"Colin Firth")</f>
        <v>Colin Firth</v>
      </c>
      <c r="K341" s="5" t="str">
        <f>IFERROR(__xludf.DUMMYFUNCTION("""COMPUTED_VALUE"""),"Estrela 4")</f>
        <v>Estrela 4</v>
      </c>
      <c r="P341" s="5">
        <f>IFERROR(__xludf.DUMMYFUNCTION("""COMPUTED_VALUE"""),85.0)</f>
        <v>85</v>
      </c>
      <c r="Q341" s="5">
        <f>IFERROR(__xludf.DUMMYFUNCTION("""COMPUTED_VALUE"""),1917.0)</f>
        <v>1917</v>
      </c>
      <c r="R341" s="5" t="str">
        <f>IFERROR(__xludf.DUMMYFUNCTION("""COMPUTED_VALUE"""),"Colin Firth")</f>
        <v>Colin Firth</v>
      </c>
      <c r="S341" s="5" t="str">
        <f>IFERROR(__xludf.DUMMYFUNCTION("""COMPUTED_VALUE"""),"Estrela 4")</f>
        <v>Estrela 4</v>
      </c>
    </row>
    <row r="342">
      <c r="A342" s="1">
        <v>341.0</v>
      </c>
      <c r="B342" s="1" t="s">
        <v>2247</v>
      </c>
      <c r="C342" s="1" t="s">
        <v>149</v>
      </c>
      <c r="D342" s="1" t="s">
        <v>2175</v>
      </c>
      <c r="E342" s="1" t="s">
        <v>2249</v>
      </c>
      <c r="F342" s="1" t="s">
        <v>2250</v>
      </c>
      <c r="G342" s="5" t="str">
        <f>IFERROR(__xludf.DUMMYFUNCTION("""COMPUTED_VALUE"""),"86🤙🏼Tumbbad🤙🏼Anand Gandhi🤙🏼Estrela 1")</f>
        <v>86🤙🏼Tumbbad🤙🏼Anand Gandhi🤙🏼Estrela 1</v>
      </c>
      <c r="H342" s="5">
        <f>IFERROR(__xludf.DUMMYFUNCTION("SPLiT(G342, ""🤙🏼"",FALSE,FALSE)"),86.0)</f>
        <v>86</v>
      </c>
      <c r="I342" s="5" t="str">
        <f>IFERROR(__xludf.DUMMYFUNCTION("""COMPUTED_VALUE"""),"Tumbbad")</f>
        <v>Tumbbad</v>
      </c>
      <c r="J342" s="5" t="str">
        <f>IFERROR(__xludf.DUMMYFUNCTION("""COMPUTED_VALUE"""),"Anand Gandhi")</f>
        <v>Anand Gandhi</v>
      </c>
      <c r="K342" s="5" t="str">
        <f>IFERROR(__xludf.DUMMYFUNCTION("""COMPUTED_VALUE"""),"Estrela 1")</f>
        <v>Estrela 1</v>
      </c>
      <c r="P342" s="5">
        <f>IFERROR(__xludf.DUMMYFUNCTION("""COMPUTED_VALUE"""),86.0)</f>
        <v>86</v>
      </c>
      <c r="Q342" s="5" t="str">
        <f>IFERROR(__xludf.DUMMYFUNCTION("""COMPUTED_VALUE"""),"Tumbbad")</f>
        <v>Tumbbad</v>
      </c>
      <c r="R342" s="5" t="str">
        <f>IFERROR(__xludf.DUMMYFUNCTION("""COMPUTED_VALUE"""),"Anand Gandhi")</f>
        <v>Anand Gandhi</v>
      </c>
      <c r="S342" s="5" t="str">
        <f>IFERROR(__xludf.DUMMYFUNCTION("""COMPUTED_VALUE"""),"Estrela 1")</f>
        <v>Estrela 1</v>
      </c>
    </row>
    <row r="343">
      <c r="A343" s="1">
        <v>342.0</v>
      </c>
      <c r="B343" s="1" t="s">
        <v>2251</v>
      </c>
      <c r="C343" s="1" t="s">
        <v>282</v>
      </c>
      <c r="D343" s="1" t="s">
        <v>2254</v>
      </c>
      <c r="E343" s="1" t="s">
        <v>307</v>
      </c>
      <c r="F343" s="1" t="s">
        <v>2183</v>
      </c>
      <c r="G343" s="5" t="str">
        <f>IFERROR(__xludf.DUMMYFUNCTION("""COMPUTED_VALUE"""),"86🤙🏼Tumbbad🤙🏼Adesh Prasad🤙🏼Estrela 2")</f>
        <v>86🤙🏼Tumbbad🤙🏼Adesh Prasad🤙🏼Estrela 2</v>
      </c>
      <c r="H343" s="5">
        <f>IFERROR(__xludf.DUMMYFUNCTION("SPLiT(G343, ""🤙🏼"",FALSE,FALSE)"),86.0)</f>
        <v>86</v>
      </c>
      <c r="I343" s="5" t="str">
        <f>IFERROR(__xludf.DUMMYFUNCTION("""COMPUTED_VALUE"""),"Tumbbad")</f>
        <v>Tumbbad</v>
      </c>
      <c r="J343" s="5" t="str">
        <f>IFERROR(__xludf.DUMMYFUNCTION("""COMPUTED_VALUE"""),"Adesh Prasad")</f>
        <v>Adesh Prasad</v>
      </c>
      <c r="K343" s="5" t="str">
        <f>IFERROR(__xludf.DUMMYFUNCTION("""COMPUTED_VALUE"""),"Estrela 2")</f>
        <v>Estrela 2</v>
      </c>
      <c r="P343" s="5">
        <f>IFERROR(__xludf.DUMMYFUNCTION("""COMPUTED_VALUE"""),86.0)</f>
        <v>86</v>
      </c>
      <c r="Q343" s="5" t="str">
        <f>IFERROR(__xludf.DUMMYFUNCTION("""COMPUTED_VALUE"""),"Tumbbad")</f>
        <v>Tumbbad</v>
      </c>
      <c r="R343" s="5" t="str">
        <f>IFERROR(__xludf.DUMMYFUNCTION("""COMPUTED_VALUE"""),"Adesh Prasad")</f>
        <v>Adesh Prasad</v>
      </c>
      <c r="S343" s="5" t="str">
        <f>IFERROR(__xludf.DUMMYFUNCTION("""COMPUTED_VALUE"""),"Estrela 2")</f>
        <v>Estrela 2</v>
      </c>
    </row>
    <row r="344">
      <c r="A344" s="1">
        <v>343.0</v>
      </c>
      <c r="B344" s="1" t="s">
        <v>2255</v>
      </c>
      <c r="C344" s="1" t="s">
        <v>2257</v>
      </c>
      <c r="D344" s="1" t="s">
        <v>2258</v>
      </c>
      <c r="E344" s="1" t="s">
        <v>2259</v>
      </c>
      <c r="F344" s="1" t="s">
        <v>2260</v>
      </c>
      <c r="G344" s="5" t="str">
        <f>IFERROR(__xludf.DUMMYFUNCTION("""COMPUTED_VALUE"""),"86🤙🏼Tumbbad🤙🏼Sohum Shah🤙🏼Estrela 3")</f>
        <v>86🤙🏼Tumbbad🤙🏼Sohum Shah🤙🏼Estrela 3</v>
      </c>
      <c r="H344" s="5">
        <f>IFERROR(__xludf.DUMMYFUNCTION("SPLiT(G344, ""🤙🏼"",FALSE,FALSE)"),86.0)</f>
        <v>86</v>
      </c>
      <c r="I344" s="5" t="str">
        <f>IFERROR(__xludf.DUMMYFUNCTION("""COMPUTED_VALUE"""),"Tumbbad")</f>
        <v>Tumbbad</v>
      </c>
      <c r="J344" s="5" t="str">
        <f>IFERROR(__xludf.DUMMYFUNCTION("""COMPUTED_VALUE"""),"Sohum Shah")</f>
        <v>Sohum Shah</v>
      </c>
      <c r="K344" s="5" t="str">
        <f>IFERROR(__xludf.DUMMYFUNCTION("""COMPUTED_VALUE"""),"Estrela 3")</f>
        <v>Estrela 3</v>
      </c>
      <c r="P344" s="5">
        <f>IFERROR(__xludf.DUMMYFUNCTION("""COMPUTED_VALUE"""),86.0)</f>
        <v>86</v>
      </c>
      <c r="Q344" s="5" t="str">
        <f>IFERROR(__xludf.DUMMYFUNCTION("""COMPUTED_VALUE"""),"Tumbbad")</f>
        <v>Tumbbad</v>
      </c>
      <c r="R344" s="5" t="str">
        <f>IFERROR(__xludf.DUMMYFUNCTION("""COMPUTED_VALUE"""),"Sohum Shah")</f>
        <v>Sohum Shah</v>
      </c>
      <c r="S344" s="5" t="str">
        <f>IFERROR(__xludf.DUMMYFUNCTION("""COMPUTED_VALUE"""),"Estrela 3")</f>
        <v>Estrela 3</v>
      </c>
    </row>
    <row r="345">
      <c r="A345" s="1">
        <v>344.0</v>
      </c>
      <c r="B345" s="1" t="s">
        <v>2261</v>
      </c>
      <c r="C345" s="1" t="s">
        <v>90</v>
      </c>
      <c r="D345" s="1" t="s">
        <v>504</v>
      </c>
      <c r="E345" s="1" t="s">
        <v>2263</v>
      </c>
      <c r="F345" s="1" t="s">
        <v>2264</v>
      </c>
      <c r="G345" s="5" t="str">
        <f>IFERROR(__xludf.DUMMYFUNCTION("""COMPUTED_VALUE"""),"86🤙🏼Tumbbad🤙🏼Jyoti Malshe🤙🏼Estrela 4")</f>
        <v>86🤙🏼Tumbbad🤙🏼Jyoti Malshe🤙🏼Estrela 4</v>
      </c>
      <c r="H345" s="5">
        <f>IFERROR(__xludf.DUMMYFUNCTION("SPLiT(G345, ""🤙🏼"",FALSE,FALSE)"),86.0)</f>
        <v>86</v>
      </c>
      <c r="I345" s="5" t="str">
        <f>IFERROR(__xludf.DUMMYFUNCTION("""COMPUTED_VALUE"""),"Tumbbad")</f>
        <v>Tumbbad</v>
      </c>
      <c r="J345" s="5" t="str">
        <f>IFERROR(__xludf.DUMMYFUNCTION("""COMPUTED_VALUE"""),"Jyoti Malshe")</f>
        <v>Jyoti Malshe</v>
      </c>
      <c r="K345" s="5" t="str">
        <f>IFERROR(__xludf.DUMMYFUNCTION("""COMPUTED_VALUE"""),"Estrela 4")</f>
        <v>Estrela 4</v>
      </c>
      <c r="P345" s="5">
        <f>IFERROR(__xludf.DUMMYFUNCTION("""COMPUTED_VALUE"""),86.0)</f>
        <v>86</v>
      </c>
      <c r="Q345" s="5" t="str">
        <f>IFERROR(__xludf.DUMMYFUNCTION("""COMPUTED_VALUE"""),"Tumbbad")</f>
        <v>Tumbbad</v>
      </c>
      <c r="R345" s="5" t="str">
        <f>IFERROR(__xludf.DUMMYFUNCTION("""COMPUTED_VALUE"""),"Jyoti Malshe")</f>
        <v>Jyoti Malshe</v>
      </c>
      <c r="S345" s="5" t="str">
        <f>IFERROR(__xludf.DUMMYFUNCTION("""COMPUTED_VALUE"""),"Estrela 4")</f>
        <v>Estrela 4</v>
      </c>
    </row>
    <row r="346">
      <c r="A346" s="1">
        <v>345.0</v>
      </c>
      <c r="B346" s="1" t="s">
        <v>2265</v>
      </c>
      <c r="C346" s="1" t="s">
        <v>2267</v>
      </c>
      <c r="D346" s="1" t="s">
        <v>1569</v>
      </c>
      <c r="E346" s="1" t="s">
        <v>2268</v>
      </c>
      <c r="F346" s="1" t="s">
        <v>2269</v>
      </c>
      <c r="G346" s="5" t="str">
        <f>IFERROR(__xludf.DUMMYFUNCTION("""COMPUTED_VALUE"""),"87🤙🏼Andhadhun🤙🏼Ayushmann Khurrana🤙🏼Estrela 1")</f>
        <v>87🤙🏼Andhadhun🤙🏼Ayushmann Khurrana🤙🏼Estrela 1</v>
      </c>
      <c r="H346" s="5">
        <f>IFERROR(__xludf.DUMMYFUNCTION("SPLiT(G346, ""🤙🏼"",FALSE,FALSE)"),87.0)</f>
        <v>87</v>
      </c>
      <c r="I346" s="5" t="str">
        <f>IFERROR(__xludf.DUMMYFUNCTION("""COMPUTED_VALUE"""),"Andhadhun")</f>
        <v>Andhadhun</v>
      </c>
      <c r="J346" s="5" t="str">
        <f>IFERROR(__xludf.DUMMYFUNCTION("""COMPUTED_VALUE"""),"Ayushmann Khurrana")</f>
        <v>Ayushmann Khurrana</v>
      </c>
      <c r="K346" s="5" t="str">
        <f>IFERROR(__xludf.DUMMYFUNCTION("""COMPUTED_VALUE"""),"Estrela 1")</f>
        <v>Estrela 1</v>
      </c>
      <c r="P346" s="5">
        <f>IFERROR(__xludf.DUMMYFUNCTION("""COMPUTED_VALUE"""),87.0)</f>
        <v>87</v>
      </c>
      <c r="Q346" s="5" t="str">
        <f>IFERROR(__xludf.DUMMYFUNCTION("""COMPUTED_VALUE"""),"Andhadhun")</f>
        <v>Andhadhun</v>
      </c>
      <c r="R346" s="5" t="str">
        <f>IFERROR(__xludf.DUMMYFUNCTION("""COMPUTED_VALUE"""),"Ayushmann Khurrana")</f>
        <v>Ayushmann Khurrana</v>
      </c>
      <c r="S346" s="5" t="str">
        <f>IFERROR(__xludf.DUMMYFUNCTION("""COMPUTED_VALUE"""),"Estrela 1")</f>
        <v>Estrela 1</v>
      </c>
    </row>
    <row r="347">
      <c r="A347" s="1">
        <v>346.0</v>
      </c>
      <c r="B347" s="1" t="s">
        <v>2270</v>
      </c>
      <c r="C347" s="1" t="s">
        <v>2273</v>
      </c>
      <c r="D347" s="1" t="s">
        <v>2274</v>
      </c>
      <c r="E347" s="1" t="s">
        <v>2275</v>
      </c>
      <c r="F347" s="1" t="s">
        <v>2276</v>
      </c>
      <c r="G347" s="5" t="str">
        <f>IFERROR(__xludf.DUMMYFUNCTION("""COMPUTED_VALUE"""),"87🤙🏼Andhadhun🤙🏼Tabu🤙🏼Estrela 2")</f>
        <v>87🤙🏼Andhadhun🤙🏼Tabu🤙🏼Estrela 2</v>
      </c>
      <c r="H347" s="5">
        <f>IFERROR(__xludf.DUMMYFUNCTION("SPLiT(G347, ""🤙🏼"",FALSE,FALSE)"),87.0)</f>
        <v>87</v>
      </c>
      <c r="I347" s="5" t="str">
        <f>IFERROR(__xludf.DUMMYFUNCTION("""COMPUTED_VALUE"""),"Andhadhun")</f>
        <v>Andhadhun</v>
      </c>
      <c r="J347" s="5" t="str">
        <f>IFERROR(__xludf.DUMMYFUNCTION("""COMPUTED_VALUE"""),"Tabu")</f>
        <v>Tabu</v>
      </c>
      <c r="K347" s="5" t="str">
        <f>IFERROR(__xludf.DUMMYFUNCTION("""COMPUTED_VALUE"""),"Estrela 2")</f>
        <v>Estrela 2</v>
      </c>
      <c r="P347" s="5">
        <f>IFERROR(__xludf.DUMMYFUNCTION("""COMPUTED_VALUE"""),87.0)</f>
        <v>87</v>
      </c>
      <c r="Q347" s="5" t="str">
        <f>IFERROR(__xludf.DUMMYFUNCTION("""COMPUTED_VALUE"""),"Andhadhun")</f>
        <v>Andhadhun</v>
      </c>
      <c r="R347" s="5" t="str">
        <f>IFERROR(__xludf.DUMMYFUNCTION("""COMPUTED_VALUE"""),"Tabu")</f>
        <v>Tabu</v>
      </c>
      <c r="S347" s="5" t="str">
        <f>IFERROR(__xludf.DUMMYFUNCTION("""COMPUTED_VALUE"""),"Estrela 2")</f>
        <v>Estrela 2</v>
      </c>
    </row>
    <row r="348">
      <c r="A348" s="1">
        <v>347.0</v>
      </c>
      <c r="B348" s="1" t="s">
        <v>2277</v>
      </c>
      <c r="C348" s="1" t="s">
        <v>645</v>
      </c>
      <c r="D348" s="1" t="s">
        <v>2280</v>
      </c>
      <c r="E348" s="1" t="s">
        <v>2281</v>
      </c>
      <c r="F348" s="1" t="s">
        <v>2282</v>
      </c>
      <c r="G348" s="5" t="str">
        <f>IFERROR(__xludf.DUMMYFUNCTION("""COMPUTED_VALUE"""),"87🤙🏼Andhadhun🤙🏼Radhika Apte🤙🏼Estrela 3")</f>
        <v>87🤙🏼Andhadhun🤙🏼Radhika Apte🤙🏼Estrela 3</v>
      </c>
      <c r="H348" s="5">
        <f>IFERROR(__xludf.DUMMYFUNCTION("SPLiT(G348, ""🤙🏼"",FALSE,FALSE)"),87.0)</f>
        <v>87</v>
      </c>
      <c r="I348" s="5" t="str">
        <f>IFERROR(__xludf.DUMMYFUNCTION("""COMPUTED_VALUE"""),"Andhadhun")</f>
        <v>Andhadhun</v>
      </c>
      <c r="J348" s="5" t="str">
        <f>IFERROR(__xludf.DUMMYFUNCTION("""COMPUTED_VALUE"""),"Radhika Apte")</f>
        <v>Radhika Apte</v>
      </c>
      <c r="K348" s="5" t="str">
        <f>IFERROR(__xludf.DUMMYFUNCTION("""COMPUTED_VALUE"""),"Estrela 3")</f>
        <v>Estrela 3</v>
      </c>
      <c r="P348" s="5">
        <f>IFERROR(__xludf.DUMMYFUNCTION("""COMPUTED_VALUE"""),87.0)</f>
        <v>87</v>
      </c>
      <c r="Q348" s="5" t="str">
        <f>IFERROR(__xludf.DUMMYFUNCTION("""COMPUTED_VALUE"""),"Andhadhun")</f>
        <v>Andhadhun</v>
      </c>
      <c r="R348" s="5" t="str">
        <f>IFERROR(__xludf.DUMMYFUNCTION("""COMPUTED_VALUE"""),"Radhika Apte")</f>
        <v>Radhika Apte</v>
      </c>
      <c r="S348" s="5" t="str">
        <f>IFERROR(__xludf.DUMMYFUNCTION("""COMPUTED_VALUE"""),"Estrela 3")</f>
        <v>Estrela 3</v>
      </c>
    </row>
    <row r="349">
      <c r="A349" s="1">
        <v>348.0</v>
      </c>
      <c r="B349" s="1" t="s">
        <v>2283</v>
      </c>
      <c r="C349" s="1" t="s">
        <v>2176</v>
      </c>
      <c r="D349" s="1" t="s">
        <v>1543</v>
      </c>
      <c r="E349" s="1" t="s">
        <v>2286</v>
      </c>
      <c r="F349" s="1" t="s">
        <v>2287</v>
      </c>
      <c r="G349" s="5" t="str">
        <f>IFERROR(__xludf.DUMMYFUNCTION("""COMPUTED_VALUE"""),"87🤙🏼Andhadhun🤙🏼Anil Dhawan🤙🏼Estrela 4")</f>
        <v>87🤙🏼Andhadhun🤙🏼Anil Dhawan🤙🏼Estrela 4</v>
      </c>
      <c r="H349" s="5">
        <f>IFERROR(__xludf.DUMMYFUNCTION("SPLiT(G349, ""🤙🏼"",FALSE,FALSE)"),87.0)</f>
        <v>87</v>
      </c>
      <c r="I349" s="5" t="str">
        <f>IFERROR(__xludf.DUMMYFUNCTION("""COMPUTED_VALUE"""),"Andhadhun")</f>
        <v>Andhadhun</v>
      </c>
      <c r="J349" s="5" t="str">
        <f>IFERROR(__xludf.DUMMYFUNCTION("""COMPUTED_VALUE"""),"Anil Dhawan")</f>
        <v>Anil Dhawan</v>
      </c>
      <c r="K349" s="5" t="str">
        <f>IFERROR(__xludf.DUMMYFUNCTION("""COMPUTED_VALUE"""),"Estrela 4")</f>
        <v>Estrela 4</v>
      </c>
      <c r="P349" s="5">
        <f>IFERROR(__xludf.DUMMYFUNCTION("""COMPUTED_VALUE"""),87.0)</f>
        <v>87</v>
      </c>
      <c r="Q349" s="5" t="str">
        <f>IFERROR(__xludf.DUMMYFUNCTION("""COMPUTED_VALUE"""),"Andhadhun")</f>
        <v>Andhadhun</v>
      </c>
      <c r="R349" s="5" t="str">
        <f>IFERROR(__xludf.DUMMYFUNCTION("""COMPUTED_VALUE"""),"Anil Dhawan")</f>
        <v>Anil Dhawan</v>
      </c>
      <c r="S349" s="5" t="str">
        <f>IFERROR(__xludf.DUMMYFUNCTION("""COMPUTED_VALUE"""),"Estrela 4")</f>
        <v>Estrela 4</v>
      </c>
    </row>
    <row r="350">
      <c r="A350" s="1">
        <v>349.0</v>
      </c>
      <c r="B350" s="1" t="s">
        <v>2288</v>
      </c>
      <c r="C350" s="1" t="s">
        <v>2291</v>
      </c>
      <c r="D350" s="1" t="s">
        <v>2292</v>
      </c>
      <c r="E350" s="1" t="s">
        <v>2293</v>
      </c>
      <c r="F350" s="1" t="s">
        <v>2294</v>
      </c>
      <c r="G350" s="5" t="str">
        <f>IFERROR(__xludf.DUMMYFUNCTION("""COMPUTED_VALUE"""),"88🤙🏼Drishyam🤙🏼Mohanlal🤙🏼Estrela 1")</f>
        <v>88🤙🏼Drishyam🤙🏼Mohanlal🤙🏼Estrela 1</v>
      </c>
      <c r="H350" s="5">
        <f>IFERROR(__xludf.DUMMYFUNCTION("SPLiT(G350, ""🤙🏼"",FALSE,FALSE)"),88.0)</f>
        <v>88</v>
      </c>
      <c r="I350" s="5" t="str">
        <f>IFERROR(__xludf.DUMMYFUNCTION("""COMPUTED_VALUE"""),"Drishyam")</f>
        <v>Drishyam</v>
      </c>
      <c r="J350" s="5" t="str">
        <f>IFERROR(__xludf.DUMMYFUNCTION("""COMPUTED_VALUE"""),"Mohanlal")</f>
        <v>Mohanlal</v>
      </c>
      <c r="K350" s="5" t="str">
        <f>IFERROR(__xludf.DUMMYFUNCTION("""COMPUTED_VALUE"""),"Estrela 1")</f>
        <v>Estrela 1</v>
      </c>
      <c r="P350" s="5">
        <f>IFERROR(__xludf.DUMMYFUNCTION("""COMPUTED_VALUE"""),88.0)</f>
        <v>88</v>
      </c>
      <c r="Q350" s="5" t="str">
        <f>IFERROR(__xludf.DUMMYFUNCTION("""COMPUTED_VALUE"""),"Drishyam")</f>
        <v>Drishyam</v>
      </c>
      <c r="R350" s="5" t="str">
        <f>IFERROR(__xludf.DUMMYFUNCTION("""COMPUTED_VALUE"""),"Mohanlal")</f>
        <v>Mohanlal</v>
      </c>
      <c r="S350" s="5" t="str">
        <f>IFERROR(__xludf.DUMMYFUNCTION("""COMPUTED_VALUE"""),"Estrela 1")</f>
        <v>Estrela 1</v>
      </c>
    </row>
    <row r="351">
      <c r="A351" s="1">
        <v>350.0</v>
      </c>
      <c r="B351" s="1" t="s">
        <v>2295</v>
      </c>
      <c r="C351" s="1" t="s">
        <v>2298</v>
      </c>
      <c r="D351" s="1" t="s">
        <v>684</v>
      </c>
      <c r="E351" s="1" t="s">
        <v>2299</v>
      </c>
      <c r="F351" s="1" t="s">
        <v>2300</v>
      </c>
      <c r="G351" s="5" t="str">
        <f>IFERROR(__xludf.DUMMYFUNCTION("""COMPUTED_VALUE"""),"88🤙🏼Drishyam🤙🏼Meena🤙🏼Estrela 2")</f>
        <v>88🤙🏼Drishyam🤙🏼Meena🤙🏼Estrela 2</v>
      </c>
      <c r="H351" s="5">
        <f>IFERROR(__xludf.DUMMYFUNCTION("SPLiT(G351, ""🤙🏼"",FALSE,FALSE)"),88.0)</f>
        <v>88</v>
      </c>
      <c r="I351" s="5" t="str">
        <f>IFERROR(__xludf.DUMMYFUNCTION("""COMPUTED_VALUE"""),"Drishyam")</f>
        <v>Drishyam</v>
      </c>
      <c r="J351" s="5" t="str">
        <f>IFERROR(__xludf.DUMMYFUNCTION("""COMPUTED_VALUE"""),"Meena")</f>
        <v>Meena</v>
      </c>
      <c r="K351" s="5" t="str">
        <f>IFERROR(__xludf.DUMMYFUNCTION("""COMPUTED_VALUE"""),"Estrela 2")</f>
        <v>Estrela 2</v>
      </c>
      <c r="P351" s="5">
        <f>IFERROR(__xludf.DUMMYFUNCTION("""COMPUTED_VALUE"""),88.0)</f>
        <v>88</v>
      </c>
      <c r="Q351" s="5" t="str">
        <f>IFERROR(__xludf.DUMMYFUNCTION("""COMPUTED_VALUE"""),"Drishyam")</f>
        <v>Drishyam</v>
      </c>
      <c r="R351" s="5" t="str">
        <f>IFERROR(__xludf.DUMMYFUNCTION("""COMPUTED_VALUE"""),"Meena")</f>
        <v>Meena</v>
      </c>
      <c r="S351" s="5" t="str">
        <f>IFERROR(__xludf.DUMMYFUNCTION("""COMPUTED_VALUE"""),"Estrela 2")</f>
        <v>Estrela 2</v>
      </c>
    </row>
    <row r="352">
      <c r="A352" s="1">
        <v>351.0</v>
      </c>
      <c r="B352" s="1" t="s">
        <v>2301</v>
      </c>
      <c r="C352" s="1" t="s">
        <v>1538</v>
      </c>
      <c r="D352" s="1" t="s">
        <v>1047</v>
      </c>
      <c r="E352" s="1" t="s">
        <v>2304</v>
      </c>
      <c r="F352" s="1" t="s">
        <v>2305</v>
      </c>
      <c r="G352" s="5" t="str">
        <f>IFERROR(__xludf.DUMMYFUNCTION("""COMPUTED_VALUE"""),"88🤙🏼Drishyam🤙🏼Asha Sharath🤙🏼Estrela 3")</f>
        <v>88🤙🏼Drishyam🤙🏼Asha Sharath🤙🏼Estrela 3</v>
      </c>
      <c r="H352" s="5">
        <f>IFERROR(__xludf.DUMMYFUNCTION("SPLiT(G352, ""🤙🏼"",FALSE,FALSE)"),88.0)</f>
        <v>88</v>
      </c>
      <c r="I352" s="5" t="str">
        <f>IFERROR(__xludf.DUMMYFUNCTION("""COMPUTED_VALUE"""),"Drishyam")</f>
        <v>Drishyam</v>
      </c>
      <c r="J352" s="5" t="str">
        <f>IFERROR(__xludf.DUMMYFUNCTION("""COMPUTED_VALUE"""),"Asha Sharath")</f>
        <v>Asha Sharath</v>
      </c>
      <c r="K352" s="5" t="str">
        <f>IFERROR(__xludf.DUMMYFUNCTION("""COMPUTED_VALUE"""),"Estrela 3")</f>
        <v>Estrela 3</v>
      </c>
      <c r="P352" s="5">
        <f>IFERROR(__xludf.DUMMYFUNCTION("""COMPUTED_VALUE"""),88.0)</f>
        <v>88</v>
      </c>
      <c r="Q352" s="5" t="str">
        <f>IFERROR(__xludf.DUMMYFUNCTION("""COMPUTED_VALUE"""),"Drishyam")</f>
        <v>Drishyam</v>
      </c>
      <c r="R352" s="5" t="str">
        <f>IFERROR(__xludf.DUMMYFUNCTION("""COMPUTED_VALUE"""),"Asha Sharath")</f>
        <v>Asha Sharath</v>
      </c>
      <c r="S352" s="5" t="str">
        <f>IFERROR(__xludf.DUMMYFUNCTION("""COMPUTED_VALUE"""),"Estrela 3")</f>
        <v>Estrela 3</v>
      </c>
    </row>
    <row r="353">
      <c r="A353" s="1">
        <v>352.0</v>
      </c>
      <c r="B353" s="1" t="s">
        <v>2306</v>
      </c>
      <c r="C353" s="1" t="s">
        <v>2309</v>
      </c>
      <c r="D353" s="1" t="s">
        <v>2310</v>
      </c>
      <c r="E353" s="1" t="s">
        <v>2311</v>
      </c>
      <c r="F353" s="1" t="s">
        <v>2312</v>
      </c>
      <c r="G353" s="5" t="str">
        <f>IFERROR(__xludf.DUMMYFUNCTION("""COMPUTED_VALUE"""),"88🤙🏼Drishyam🤙🏼Ansiba🤙🏼Estrela 4")</f>
        <v>88🤙🏼Drishyam🤙🏼Ansiba🤙🏼Estrela 4</v>
      </c>
      <c r="H353" s="5">
        <f>IFERROR(__xludf.DUMMYFUNCTION("SPLiT(G353, ""🤙🏼"",FALSE,FALSE)"),88.0)</f>
        <v>88</v>
      </c>
      <c r="I353" s="5" t="str">
        <f>IFERROR(__xludf.DUMMYFUNCTION("""COMPUTED_VALUE"""),"Drishyam")</f>
        <v>Drishyam</v>
      </c>
      <c r="J353" s="5" t="str">
        <f>IFERROR(__xludf.DUMMYFUNCTION("""COMPUTED_VALUE"""),"Ansiba")</f>
        <v>Ansiba</v>
      </c>
      <c r="K353" s="5" t="str">
        <f>IFERROR(__xludf.DUMMYFUNCTION("""COMPUTED_VALUE"""),"Estrela 4")</f>
        <v>Estrela 4</v>
      </c>
      <c r="P353" s="5">
        <f>IFERROR(__xludf.DUMMYFUNCTION("""COMPUTED_VALUE"""),88.0)</f>
        <v>88</v>
      </c>
      <c r="Q353" s="5" t="str">
        <f>IFERROR(__xludf.DUMMYFUNCTION("""COMPUTED_VALUE"""),"Drishyam")</f>
        <v>Drishyam</v>
      </c>
      <c r="R353" s="5" t="str">
        <f>IFERROR(__xludf.DUMMYFUNCTION("""COMPUTED_VALUE"""),"Ansiba")</f>
        <v>Ansiba</v>
      </c>
      <c r="S353" s="5" t="str">
        <f>IFERROR(__xludf.DUMMYFUNCTION("""COMPUTED_VALUE"""),"Estrela 4")</f>
        <v>Estrela 4</v>
      </c>
    </row>
    <row r="354">
      <c r="A354" s="1">
        <v>353.0</v>
      </c>
      <c r="B354" s="1" t="s">
        <v>2313</v>
      </c>
      <c r="C354" s="1" t="s">
        <v>1084</v>
      </c>
      <c r="D354" s="1" t="s">
        <v>1762</v>
      </c>
      <c r="E354" s="1" t="s">
        <v>2316</v>
      </c>
      <c r="F354" s="1" t="s">
        <v>2317</v>
      </c>
      <c r="G354" s="5" t="str">
        <f>IFERROR(__xludf.DUMMYFUNCTION("""COMPUTED_VALUE"""),"89🤙🏼Jagten🤙🏼Mads Mikkelsen🤙🏼Estrela 1")</f>
        <v>89🤙🏼Jagten🤙🏼Mads Mikkelsen🤙🏼Estrela 1</v>
      </c>
      <c r="H354" s="5">
        <f>IFERROR(__xludf.DUMMYFUNCTION("SPLiT(G354, ""🤙🏼"",FALSE,FALSE)"),89.0)</f>
        <v>89</v>
      </c>
      <c r="I354" s="5" t="str">
        <f>IFERROR(__xludf.DUMMYFUNCTION("""COMPUTED_VALUE"""),"Jagten")</f>
        <v>Jagten</v>
      </c>
      <c r="J354" s="5" t="str">
        <f>IFERROR(__xludf.DUMMYFUNCTION("""COMPUTED_VALUE"""),"Mads Mikkelsen")</f>
        <v>Mads Mikkelsen</v>
      </c>
      <c r="K354" s="5" t="str">
        <f>IFERROR(__xludf.DUMMYFUNCTION("""COMPUTED_VALUE"""),"Estrela 1")</f>
        <v>Estrela 1</v>
      </c>
      <c r="P354" s="5">
        <f>IFERROR(__xludf.DUMMYFUNCTION("""COMPUTED_VALUE"""),89.0)</f>
        <v>89</v>
      </c>
      <c r="Q354" s="5" t="str">
        <f>IFERROR(__xludf.DUMMYFUNCTION("""COMPUTED_VALUE"""),"Jagten")</f>
        <v>Jagten</v>
      </c>
      <c r="R354" s="5" t="str">
        <f>IFERROR(__xludf.DUMMYFUNCTION("""COMPUTED_VALUE"""),"Mads Mikkelsen")</f>
        <v>Mads Mikkelsen</v>
      </c>
      <c r="S354" s="5" t="str">
        <f>IFERROR(__xludf.DUMMYFUNCTION("""COMPUTED_VALUE"""),"Estrela 1")</f>
        <v>Estrela 1</v>
      </c>
    </row>
    <row r="355">
      <c r="A355" s="1">
        <v>354.0</v>
      </c>
      <c r="B355" s="1" t="s">
        <v>2318</v>
      </c>
      <c r="C355" s="1" t="s">
        <v>438</v>
      </c>
      <c r="D355" s="1" t="s">
        <v>2321</v>
      </c>
      <c r="E355" s="1" t="s">
        <v>2322</v>
      </c>
      <c r="F355" s="1" t="s">
        <v>2323</v>
      </c>
      <c r="G355" s="5" t="str">
        <f>IFERROR(__xludf.DUMMYFUNCTION("""COMPUTED_VALUE"""),"89🤙🏼Jagten🤙🏼Thomas Bo Larsen🤙🏼Estrela 2")</f>
        <v>89🤙🏼Jagten🤙🏼Thomas Bo Larsen🤙🏼Estrela 2</v>
      </c>
      <c r="H355" s="5">
        <f>IFERROR(__xludf.DUMMYFUNCTION("SPLiT(G355, ""🤙🏼"",FALSE,FALSE)"),89.0)</f>
        <v>89</v>
      </c>
      <c r="I355" s="5" t="str">
        <f>IFERROR(__xludf.DUMMYFUNCTION("""COMPUTED_VALUE"""),"Jagten")</f>
        <v>Jagten</v>
      </c>
      <c r="J355" s="5" t="str">
        <f>IFERROR(__xludf.DUMMYFUNCTION("""COMPUTED_VALUE"""),"Thomas Bo Larsen")</f>
        <v>Thomas Bo Larsen</v>
      </c>
      <c r="K355" s="5" t="str">
        <f>IFERROR(__xludf.DUMMYFUNCTION("""COMPUTED_VALUE"""),"Estrela 2")</f>
        <v>Estrela 2</v>
      </c>
      <c r="P355" s="5">
        <f>IFERROR(__xludf.DUMMYFUNCTION("""COMPUTED_VALUE"""),89.0)</f>
        <v>89</v>
      </c>
      <c r="Q355" s="5" t="str">
        <f>IFERROR(__xludf.DUMMYFUNCTION("""COMPUTED_VALUE"""),"Jagten")</f>
        <v>Jagten</v>
      </c>
      <c r="R355" s="5" t="str">
        <f>IFERROR(__xludf.DUMMYFUNCTION("""COMPUTED_VALUE"""),"Thomas Bo Larsen")</f>
        <v>Thomas Bo Larsen</v>
      </c>
      <c r="S355" s="5" t="str">
        <f>IFERROR(__xludf.DUMMYFUNCTION("""COMPUTED_VALUE"""),"Estrela 2")</f>
        <v>Estrela 2</v>
      </c>
    </row>
    <row r="356">
      <c r="A356" s="1">
        <v>355.0</v>
      </c>
      <c r="B356" s="1" t="s">
        <v>2324</v>
      </c>
      <c r="C356" s="1" t="s">
        <v>2326</v>
      </c>
      <c r="D356" s="1" t="s">
        <v>2181</v>
      </c>
      <c r="E356" s="1" t="s">
        <v>2327</v>
      </c>
      <c r="F356" s="1" t="s">
        <v>1500</v>
      </c>
      <c r="G356" s="5" t="str">
        <f>IFERROR(__xludf.DUMMYFUNCTION("""COMPUTED_VALUE"""),"89🤙🏼Jagten🤙🏼Annika Wedderkopp🤙🏼Estrela 3")</f>
        <v>89🤙🏼Jagten🤙🏼Annika Wedderkopp🤙🏼Estrela 3</v>
      </c>
      <c r="H356" s="5">
        <f>IFERROR(__xludf.DUMMYFUNCTION("SPLiT(G356, ""🤙🏼"",FALSE,FALSE)"),89.0)</f>
        <v>89</v>
      </c>
      <c r="I356" s="5" t="str">
        <f>IFERROR(__xludf.DUMMYFUNCTION("""COMPUTED_VALUE"""),"Jagten")</f>
        <v>Jagten</v>
      </c>
      <c r="J356" s="5" t="str">
        <f>IFERROR(__xludf.DUMMYFUNCTION("""COMPUTED_VALUE"""),"Annika Wedderkopp")</f>
        <v>Annika Wedderkopp</v>
      </c>
      <c r="K356" s="5" t="str">
        <f>IFERROR(__xludf.DUMMYFUNCTION("""COMPUTED_VALUE"""),"Estrela 3")</f>
        <v>Estrela 3</v>
      </c>
      <c r="P356" s="5">
        <f>IFERROR(__xludf.DUMMYFUNCTION("""COMPUTED_VALUE"""),89.0)</f>
        <v>89</v>
      </c>
      <c r="Q356" s="5" t="str">
        <f>IFERROR(__xludf.DUMMYFUNCTION("""COMPUTED_VALUE"""),"Jagten")</f>
        <v>Jagten</v>
      </c>
      <c r="R356" s="5" t="str">
        <f>IFERROR(__xludf.DUMMYFUNCTION("""COMPUTED_VALUE"""),"Annika Wedderkopp")</f>
        <v>Annika Wedderkopp</v>
      </c>
      <c r="S356" s="5" t="str">
        <f>IFERROR(__xludf.DUMMYFUNCTION("""COMPUTED_VALUE"""),"Estrela 3")</f>
        <v>Estrela 3</v>
      </c>
    </row>
    <row r="357">
      <c r="A357" s="1">
        <v>356.0</v>
      </c>
      <c r="B357" s="1" t="s">
        <v>2328</v>
      </c>
      <c r="C357" s="1" t="s">
        <v>348</v>
      </c>
      <c r="D357" s="1" t="s">
        <v>2330</v>
      </c>
      <c r="E357" s="1" t="s">
        <v>1755</v>
      </c>
      <c r="F357" s="1" t="s">
        <v>2331</v>
      </c>
      <c r="G357" s="5" t="str">
        <f>IFERROR(__xludf.DUMMYFUNCTION("""COMPUTED_VALUE"""),"89🤙🏼Jagten🤙🏼Lasse Fogelstrøm🤙🏼Estrela 4")</f>
        <v>89🤙🏼Jagten🤙🏼Lasse Fogelstrøm🤙🏼Estrela 4</v>
      </c>
      <c r="H357" s="5">
        <f>IFERROR(__xludf.DUMMYFUNCTION("SPLiT(G357, ""🤙🏼"",FALSE,FALSE)"),89.0)</f>
        <v>89</v>
      </c>
      <c r="I357" s="5" t="str">
        <f>IFERROR(__xludf.DUMMYFUNCTION("""COMPUTED_VALUE"""),"Jagten")</f>
        <v>Jagten</v>
      </c>
      <c r="J357" s="5" t="str">
        <f>IFERROR(__xludf.DUMMYFUNCTION("""COMPUTED_VALUE"""),"Lasse Fogelstrøm")</f>
        <v>Lasse Fogelstrøm</v>
      </c>
      <c r="K357" s="5" t="str">
        <f>IFERROR(__xludf.DUMMYFUNCTION("""COMPUTED_VALUE"""),"Estrela 4")</f>
        <v>Estrela 4</v>
      </c>
      <c r="P357" s="5">
        <f>IFERROR(__xludf.DUMMYFUNCTION("""COMPUTED_VALUE"""),89.0)</f>
        <v>89</v>
      </c>
      <c r="Q357" s="5" t="str">
        <f>IFERROR(__xludf.DUMMYFUNCTION("""COMPUTED_VALUE"""),"Jagten")</f>
        <v>Jagten</v>
      </c>
      <c r="R357" s="5" t="str">
        <f>IFERROR(__xludf.DUMMYFUNCTION("""COMPUTED_VALUE"""),"Lasse Fogelstrøm")</f>
        <v>Lasse Fogelstrøm</v>
      </c>
      <c r="S357" s="5" t="str">
        <f>IFERROR(__xludf.DUMMYFUNCTION("""COMPUTED_VALUE"""),"Estrela 4")</f>
        <v>Estrela 4</v>
      </c>
    </row>
    <row r="358">
      <c r="A358" s="1">
        <v>357.0</v>
      </c>
      <c r="B358" s="1" t="s">
        <v>2332</v>
      </c>
      <c r="C358" s="1" t="s">
        <v>2273</v>
      </c>
      <c r="D358" s="1" t="s">
        <v>2275</v>
      </c>
      <c r="E358" s="1" t="s">
        <v>2335</v>
      </c>
      <c r="F358" s="1" t="s">
        <v>2276</v>
      </c>
      <c r="G358" s="5" t="str">
        <f>IFERROR(__xludf.DUMMYFUNCTION("""COMPUTED_VALUE"""),"90🤙🏼Jodaeiye Nader az Simin🤙🏼Payman Maadi🤙🏼Estrela 1")</f>
        <v>90🤙🏼Jodaeiye Nader az Simin🤙🏼Payman Maadi🤙🏼Estrela 1</v>
      </c>
      <c r="H358" s="5">
        <f>IFERROR(__xludf.DUMMYFUNCTION("SPLiT(G358, ""🤙🏼"",FALSE,FALSE)"),90.0)</f>
        <v>90</v>
      </c>
      <c r="I358" s="5" t="str">
        <f>IFERROR(__xludf.DUMMYFUNCTION("""COMPUTED_VALUE"""),"Jodaeiye Nader az Simin")</f>
        <v>Jodaeiye Nader az Simin</v>
      </c>
      <c r="J358" s="5" t="str">
        <f>IFERROR(__xludf.DUMMYFUNCTION("""COMPUTED_VALUE"""),"Payman Maadi")</f>
        <v>Payman Maadi</v>
      </c>
      <c r="K358" s="5" t="str">
        <f>IFERROR(__xludf.DUMMYFUNCTION("""COMPUTED_VALUE"""),"Estrela 1")</f>
        <v>Estrela 1</v>
      </c>
      <c r="P358" s="5">
        <f>IFERROR(__xludf.DUMMYFUNCTION("""COMPUTED_VALUE"""),90.0)</f>
        <v>90</v>
      </c>
      <c r="Q358" s="5" t="str">
        <f>IFERROR(__xludf.DUMMYFUNCTION("""COMPUTED_VALUE"""),"Jodaeiye Nader az Simin")</f>
        <v>Jodaeiye Nader az Simin</v>
      </c>
      <c r="R358" s="5" t="str">
        <f>IFERROR(__xludf.DUMMYFUNCTION("""COMPUTED_VALUE"""),"Payman Maadi")</f>
        <v>Payman Maadi</v>
      </c>
      <c r="S358" s="5" t="str">
        <f>IFERROR(__xludf.DUMMYFUNCTION("""COMPUTED_VALUE"""),"Estrela 1")</f>
        <v>Estrela 1</v>
      </c>
    </row>
    <row r="359">
      <c r="A359" s="1">
        <v>358.0</v>
      </c>
      <c r="B359" s="1" t="s">
        <v>2336</v>
      </c>
      <c r="C359" s="1" t="s">
        <v>479</v>
      </c>
      <c r="D359" s="1" t="s">
        <v>480</v>
      </c>
      <c r="E359" s="1" t="s">
        <v>307</v>
      </c>
      <c r="F359" s="1" t="s">
        <v>2339</v>
      </c>
      <c r="G359" s="5" t="str">
        <f>IFERROR(__xludf.DUMMYFUNCTION("""COMPUTED_VALUE"""),"90🤙🏼Jodaeiye Nader az Simin🤙🏼Leila Hatami🤙🏼Estrela 2")</f>
        <v>90🤙🏼Jodaeiye Nader az Simin🤙🏼Leila Hatami🤙🏼Estrela 2</v>
      </c>
      <c r="H359" s="5">
        <f>IFERROR(__xludf.DUMMYFUNCTION("SPLiT(G359, ""🤙🏼"",FALSE,FALSE)"),90.0)</f>
        <v>90</v>
      </c>
      <c r="I359" s="5" t="str">
        <f>IFERROR(__xludf.DUMMYFUNCTION("""COMPUTED_VALUE"""),"Jodaeiye Nader az Simin")</f>
        <v>Jodaeiye Nader az Simin</v>
      </c>
      <c r="J359" s="5" t="str">
        <f>IFERROR(__xludf.DUMMYFUNCTION("""COMPUTED_VALUE"""),"Leila Hatami")</f>
        <v>Leila Hatami</v>
      </c>
      <c r="K359" s="5" t="str">
        <f>IFERROR(__xludf.DUMMYFUNCTION("""COMPUTED_VALUE"""),"Estrela 2")</f>
        <v>Estrela 2</v>
      </c>
      <c r="P359" s="5">
        <f>IFERROR(__xludf.DUMMYFUNCTION("""COMPUTED_VALUE"""),90.0)</f>
        <v>90</v>
      </c>
      <c r="Q359" s="5" t="str">
        <f>IFERROR(__xludf.DUMMYFUNCTION("""COMPUTED_VALUE"""),"Jodaeiye Nader az Simin")</f>
        <v>Jodaeiye Nader az Simin</v>
      </c>
      <c r="R359" s="5" t="str">
        <f>IFERROR(__xludf.DUMMYFUNCTION("""COMPUTED_VALUE"""),"Leila Hatami")</f>
        <v>Leila Hatami</v>
      </c>
      <c r="S359" s="5" t="str">
        <f>IFERROR(__xludf.DUMMYFUNCTION("""COMPUTED_VALUE"""),"Estrela 2")</f>
        <v>Estrela 2</v>
      </c>
    </row>
    <row r="360">
      <c r="A360" s="1">
        <v>359.0</v>
      </c>
      <c r="B360" s="1" t="s">
        <v>2340</v>
      </c>
      <c r="C360" s="1" t="s">
        <v>2344</v>
      </c>
      <c r="D360" s="1" t="s">
        <v>2345</v>
      </c>
      <c r="E360" s="1" t="s">
        <v>2346</v>
      </c>
      <c r="F360" s="1" t="s">
        <v>2347</v>
      </c>
      <c r="G360" s="5" t="str">
        <f>IFERROR(__xludf.DUMMYFUNCTION("""COMPUTED_VALUE"""),"90🤙🏼Jodaeiye Nader az Simin🤙🏼Sareh Bayat🤙🏼Estrela 3")</f>
        <v>90🤙🏼Jodaeiye Nader az Simin🤙🏼Sareh Bayat🤙🏼Estrela 3</v>
      </c>
      <c r="H360" s="5">
        <f>IFERROR(__xludf.DUMMYFUNCTION("SPLiT(G360, ""🤙🏼"",FALSE,FALSE)"),90.0)</f>
        <v>90</v>
      </c>
      <c r="I360" s="5" t="str">
        <f>IFERROR(__xludf.DUMMYFUNCTION("""COMPUTED_VALUE"""),"Jodaeiye Nader az Simin")</f>
        <v>Jodaeiye Nader az Simin</v>
      </c>
      <c r="J360" s="5" t="str">
        <f>IFERROR(__xludf.DUMMYFUNCTION("""COMPUTED_VALUE"""),"Sareh Bayat")</f>
        <v>Sareh Bayat</v>
      </c>
      <c r="K360" s="5" t="str">
        <f>IFERROR(__xludf.DUMMYFUNCTION("""COMPUTED_VALUE"""),"Estrela 3")</f>
        <v>Estrela 3</v>
      </c>
      <c r="P360" s="5">
        <f>IFERROR(__xludf.DUMMYFUNCTION("""COMPUTED_VALUE"""),90.0)</f>
        <v>90</v>
      </c>
      <c r="Q360" s="5" t="str">
        <f>IFERROR(__xludf.DUMMYFUNCTION("""COMPUTED_VALUE"""),"Jodaeiye Nader az Simin")</f>
        <v>Jodaeiye Nader az Simin</v>
      </c>
      <c r="R360" s="5" t="str">
        <f>IFERROR(__xludf.DUMMYFUNCTION("""COMPUTED_VALUE"""),"Sareh Bayat")</f>
        <v>Sareh Bayat</v>
      </c>
      <c r="S360" s="5" t="str">
        <f>IFERROR(__xludf.DUMMYFUNCTION("""COMPUTED_VALUE"""),"Estrela 3")</f>
        <v>Estrela 3</v>
      </c>
    </row>
    <row r="361">
      <c r="A361" s="1">
        <v>360.0</v>
      </c>
      <c r="B361" s="1" t="s">
        <v>2348</v>
      </c>
      <c r="C361" s="1" t="s">
        <v>190</v>
      </c>
      <c r="D361" s="1" t="s">
        <v>2351</v>
      </c>
      <c r="E361" s="1" t="s">
        <v>741</v>
      </c>
      <c r="F361" s="1" t="s">
        <v>2352</v>
      </c>
      <c r="G361" s="5" t="str">
        <f>IFERROR(__xludf.DUMMYFUNCTION("""COMPUTED_VALUE"""),"90🤙🏼Jodaeiye Nader az Simin🤙🏼Shahab Hosseini🤙🏼Estrela 4")</f>
        <v>90🤙🏼Jodaeiye Nader az Simin🤙🏼Shahab Hosseini🤙🏼Estrela 4</v>
      </c>
      <c r="H361" s="5">
        <f>IFERROR(__xludf.DUMMYFUNCTION("SPLiT(G361, ""🤙🏼"",FALSE,FALSE)"),90.0)</f>
        <v>90</v>
      </c>
      <c r="I361" s="5" t="str">
        <f>IFERROR(__xludf.DUMMYFUNCTION("""COMPUTED_VALUE"""),"Jodaeiye Nader az Simin")</f>
        <v>Jodaeiye Nader az Simin</v>
      </c>
      <c r="J361" s="5" t="str">
        <f>IFERROR(__xludf.DUMMYFUNCTION("""COMPUTED_VALUE"""),"Shahab Hosseini")</f>
        <v>Shahab Hosseini</v>
      </c>
      <c r="K361" s="5" t="str">
        <f>IFERROR(__xludf.DUMMYFUNCTION("""COMPUTED_VALUE"""),"Estrela 4")</f>
        <v>Estrela 4</v>
      </c>
      <c r="P361" s="5">
        <f>IFERROR(__xludf.DUMMYFUNCTION("""COMPUTED_VALUE"""),90.0)</f>
        <v>90</v>
      </c>
      <c r="Q361" s="5" t="str">
        <f>IFERROR(__xludf.DUMMYFUNCTION("""COMPUTED_VALUE"""),"Jodaeiye Nader az Simin")</f>
        <v>Jodaeiye Nader az Simin</v>
      </c>
      <c r="R361" s="5" t="str">
        <f>IFERROR(__xludf.DUMMYFUNCTION("""COMPUTED_VALUE"""),"Shahab Hosseini")</f>
        <v>Shahab Hosseini</v>
      </c>
      <c r="S361" s="5" t="str">
        <f>IFERROR(__xludf.DUMMYFUNCTION("""COMPUTED_VALUE"""),"Estrela 4")</f>
        <v>Estrela 4</v>
      </c>
    </row>
    <row r="362">
      <c r="A362" s="1">
        <v>361.0</v>
      </c>
      <c r="B362" s="1" t="s">
        <v>2353</v>
      </c>
      <c r="C362" s="1" t="s">
        <v>2356</v>
      </c>
      <c r="D362" s="1" t="s">
        <v>2357</v>
      </c>
      <c r="E362" s="1" t="s">
        <v>2358</v>
      </c>
      <c r="F362" s="1" t="s">
        <v>2359</v>
      </c>
      <c r="G362" s="5" t="str">
        <f>IFERROR(__xludf.DUMMYFUNCTION("""COMPUTED_VALUE"""),"91🤙🏼Incendies🤙🏼Lubna Azabal🤙🏼Estrela 1")</f>
        <v>91🤙🏼Incendies🤙🏼Lubna Azabal🤙🏼Estrela 1</v>
      </c>
      <c r="H362" s="5">
        <f>IFERROR(__xludf.DUMMYFUNCTION("SPLiT(G362, ""🤙🏼"",FALSE,FALSE)"),91.0)</f>
        <v>91</v>
      </c>
      <c r="I362" s="5" t="str">
        <f>IFERROR(__xludf.DUMMYFUNCTION("""COMPUTED_VALUE"""),"Incendies")</f>
        <v>Incendies</v>
      </c>
      <c r="J362" s="5" t="str">
        <f>IFERROR(__xludf.DUMMYFUNCTION("""COMPUTED_VALUE"""),"Lubna Azabal")</f>
        <v>Lubna Azabal</v>
      </c>
      <c r="K362" s="5" t="str">
        <f>IFERROR(__xludf.DUMMYFUNCTION("""COMPUTED_VALUE"""),"Estrela 1")</f>
        <v>Estrela 1</v>
      </c>
      <c r="P362" s="5">
        <f>IFERROR(__xludf.DUMMYFUNCTION("""COMPUTED_VALUE"""),91.0)</f>
        <v>91</v>
      </c>
      <c r="Q362" s="5" t="str">
        <f>IFERROR(__xludf.DUMMYFUNCTION("""COMPUTED_VALUE"""),"Incendies")</f>
        <v>Incendies</v>
      </c>
      <c r="R362" s="5" t="str">
        <f>IFERROR(__xludf.DUMMYFUNCTION("""COMPUTED_VALUE"""),"Lubna Azabal")</f>
        <v>Lubna Azabal</v>
      </c>
      <c r="S362" s="5" t="str">
        <f>IFERROR(__xludf.DUMMYFUNCTION("""COMPUTED_VALUE"""),"Estrela 1")</f>
        <v>Estrela 1</v>
      </c>
    </row>
    <row r="363">
      <c r="A363" s="1">
        <v>362.0</v>
      </c>
      <c r="B363" s="1" t="s">
        <v>2360</v>
      </c>
      <c r="C363" s="1" t="s">
        <v>90</v>
      </c>
      <c r="D363" s="1" t="s">
        <v>2363</v>
      </c>
      <c r="E363" s="1" t="s">
        <v>742</v>
      </c>
      <c r="F363" s="1" t="s">
        <v>2364</v>
      </c>
      <c r="G363" s="5" t="str">
        <f>IFERROR(__xludf.DUMMYFUNCTION("""COMPUTED_VALUE"""),"91🤙🏼Incendies🤙🏼Mélissa Désormeaux-Poulin🤙🏼Estrela 2")</f>
        <v>91🤙🏼Incendies🤙🏼Mélissa Désormeaux-Poulin🤙🏼Estrela 2</v>
      </c>
      <c r="H363" s="5">
        <f>IFERROR(__xludf.DUMMYFUNCTION("SPLiT(G363, ""🤙🏼"",FALSE,FALSE)"),91.0)</f>
        <v>91</v>
      </c>
      <c r="I363" s="5" t="str">
        <f>IFERROR(__xludf.DUMMYFUNCTION("""COMPUTED_VALUE"""),"Incendies")</f>
        <v>Incendies</v>
      </c>
      <c r="J363" s="5" t="str">
        <f>IFERROR(__xludf.DUMMYFUNCTION("""COMPUTED_VALUE"""),"Mélissa Désormeaux-Poulin")</f>
        <v>Mélissa Désormeaux-Poulin</v>
      </c>
      <c r="K363" s="5" t="str">
        <f>IFERROR(__xludf.DUMMYFUNCTION("""COMPUTED_VALUE"""),"Estrela 2")</f>
        <v>Estrela 2</v>
      </c>
      <c r="P363" s="5">
        <f>IFERROR(__xludf.DUMMYFUNCTION("""COMPUTED_VALUE"""),91.0)</f>
        <v>91</v>
      </c>
      <c r="Q363" s="5" t="str">
        <f>IFERROR(__xludf.DUMMYFUNCTION("""COMPUTED_VALUE"""),"Incendies")</f>
        <v>Incendies</v>
      </c>
      <c r="R363" s="5" t="str">
        <f>IFERROR(__xludf.DUMMYFUNCTION("""COMPUTED_VALUE"""),"Mélissa Désormeaux-Poulin")</f>
        <v>Mélissa Désormeaux-Poulin</v>
      </c>
      <c r="S363" s="5" t="str">
        <f>IFERROR(__xludf.DUMMYFUNCTION("""COMPUTED_VALUE"""),"Estrela 2")</f>
        <v>Estrela 2</v>
      </c>
    </row>
    <row r="364">
      <c r="A364" s="1">
        <v>363.0</v>
      </c>
      <c r="B364" s="1" t="s">
        <v>2365</v>
      </c>
      <c r="C364" s="1" t="s">
        <v>215</v>
      </c>
      <c r="D364" s="1" t="s">
        <v>2369</v>
      </c>
      <c r="E364" s="1" t="s">
        <v>1584</v>
      </c>
      <c r="F364" s="1" t="s">
        <v>2370</v>
      </c>
      <c r="G364" s="5" t="str">
        <f>IFERROR(__xludf.DUMMYFUNCTION("""COMPUTED_VALUE"""),"91🤙🏼Incendies🤙🏼Maxim Gaudette🤙🏼Estrela 3")</f>
        <v>91🤙🏼Incendies🤙🏼Maxim Gaudette🤙🏼Estrela 3</v>
      </c>
      <c r="H364" s="5">
        <f>IFERROR(__xludf.DUMMYFUNCTION("SPLiT(G364, ""🤙🏼"",FALSE,FALSE)"),91.0)</f>
        <v>91</v>
      </c>
      <c r="I364" s="5" t="str">
        <f>IFERROR(__xludf.DUMMYFUNCTION("""COMPUTED_VALUE"""),"Incendies")</f>
        <v>Incendies</v>
      </c>
      <c r="J364" s="5" t="str">
        <f>IFERROR(__xludf.DUMMYFUNCTION("""COMPUTED_VALUE"""),"Maxim Gaudette")</f>
        <v>Maxim Gaudette</v>
      </c>
      <c r="K364" s="5" t="str">
        <f>IFERROR(__xludf.DUMMYFUNCTION("""COMPUTED_VALUE"""),"Estrela 3")</f>
        <v>Estrela 3</v>
      </c>
      <c r="P364" s="5">
        <f>IFERROR(__xludf.DUMMYFUNCTION("""COMPUTED_VALUE"""),91.0)</f>
        <v>91</v>
      </c>
      <c r="Q364" s="5" t="str">
        <f>IFERROR(__xludf.DUMMYFUNCTION("""COMPUTED_VALUE"""),"Incendies")</f>
        <v>Incendies</v>
      </c>
      <c r="R364" s="5" t="str">
        <f>IFERROR(__xludf.DUMMYFUNCTION("""COMPUTED_VALUE"""),"Maxim Gaudette")</f>
        <v>Maxim Gaudette</v>
      </c>
      <c r="S364" s="5" t="str">
        <f>IFERROR(__xludf.DUMMYFUNCTION("""COMPUTED_VALUE"""),"Estrela 3")</f>
        <v>Estrela 3</v>
      </c>
    </row>
    <row r="365">
      <c r="A365" s="1">
        <v>364.0</v>
      </c>
      <c r="B365" s="1" t="s">
        <v>2371</v>
      </c>
      <c r="C365" s="1" t="s">
        <v>2375</v>
      </c>
      <c r="D365" s="1" t="s">
        <v>2376</v>
      </c>
      <c r="E365" s="1" t="s">
        <v>2377</v>
      </c>
      <c r="F365" s="1" t="s">
        <v>2378</v>
      </c>
      <c r="G365" s="5" t="str">
        <f>IFERROR(__xludf.DUMMYFUNCTION("""COMPUTED_VALUE"""),"91🤙🏼Incendies🤙🏼Mustafa Kamel🤙🏼Estrela 4")</f>
        <v>91🤙🏼Incendies🤙🏼Mustafa Kamel🤙🏼Estrela 4</v>
      </c>
      <c r="H365" s="5">
        <f>IFERROR(__xludf.DUMMYFUNCTION("SPLiT(G365, ""🤙🏼"",FALSE,FALSE)"),91.0)</f>
        <v>91</v>
      </c>
      <c r="I365" s="5" t="str">
        <f>IFERROR(__xludf.DUMMYFUNCTION("""COMPUTED_VALUE"""),"Incendies")</f>
        <v>Incendies</v>
      </c>
      <c r="J365" s="5" t="str">
        <f>IFERROR(__xludf.DUMMYFUNCTION("""COMPUTED_VALUE"""),"Mustafa Kamel")</f>
        <v>Mustafa Kamel</v>
      </c>
      <c r="K365" s="5" t="str">
        <f>IFERROR(__xludf.DUMMYFUNCTION("""COMPUTED_VALUE"""),"Estrela 4")</f>
        <v>Estrela 4</v>
      </c>
      <c r="P365" s="5">
        <f>IFERROR(__xludf.DUMMYFUNCTION("""COMPUTED_VALUE"""),91.0)</f>
        <v>91</v>
      </c>
      <c r="Q365" s="5" t="str">
        <f>IFERROR(__xludf.DUMMYFUNCTION("""COMPUTED_VALUE"""),"Incendies")</f>
        <v>Incendies</v>
      </c>
      <c r="R365" s="5" t="str">
        <f>IFERROR(__xludf.DUMMYFUNCTION("""COMPUTED_VALUE"""),"Mustafa Kamel")</f>
        <v>Mustafa Kamel</v>
      </c>
      <c r="S365" s="5" t="str">
        <f>IFERROR(__xludf.DUMMYFUNCTION("""COMPUTED_VALUE"""),"Estrela 4")</f>
        <v>Estrela 4</v>
      </c>
    </row>
    <row r="366">
      <c r="A366" s="1">
        <v>365.0</v>
      </c>
      <c r="B366" s="1" t="s">
        <v>2379</v>
      </c>
      <c r="C366" s="1" t="s">
        <v>72</v>
      </c>
      <c r="D366" s="1" t="s">
        <v>2382</v>
      </c>
      <c r="E366" s="1" t="s">
        <v>2383</v>
      </c>
      <c r="F366" s="1" t="s">
        <v>2384</v>
      </c>
      <c r="G366" s="5" t="str">
        <f>IFERROR(__xludf.DUMMYFUNCTION("""COMPUTED_VALUE"""),"92🤙🏼Miracle in cell NO.7🤙🏼Aras Bulut Iynemli🤙🏼Estrela 1")</f>
        <v>92🤙🏼Miracle in cell NO.7🤙🏼Aras Bulut Iynemli🤙🏼Estrela 1</v>
      </c>
      <c r="H366" s="5">
        <f>IFERROR(__xludf.DUMMYFUNCTION("SPLiT(G366, ""🤙🏼"",FALSE,FALSE)"),92.0)</f>
        <v>92</v>
      </c>
      <c r="I366" s="5" t="str">
        <f>IFERROR(__xludf.DUMMYFUNCTION("""COMPUTED_VALUE"""),"Miracle in cell NO.7")</f>
        <v>Miracle in cell NO.7</v>
      </c>
      <c r="J366" s="5" t="str">
        <f>IFERROR(__xludf.DUMMYFUNCTION("""COMPUTED_VALUE"""),"Aras Bulut Iynemli")</f>
        <v>Aras Bulut Iynemli</v>
      </c>
      <c r="K366" s="5" t="str">
        <f>IFERROR(__xludf.DUMMYFUNCTION("""COMPUTED_VALUE"""),"Estrela 1")</f>
        <v>Estrela 1</v>
      </c>
      <c r="P366" s="5">
        <f>IFERROR(__xludf.DUMMYFUNCTION("""COMPUTED_VALUE"""),92.0)</f>
        <v>92</v>
      </c>
      <c r="Q366" s="5" t="str">
        <f>IFERROR(__xludf.DUMMYFUNCTION("""COMPUTED_VALUE"""),"Miracle in cell NO.7")</f>
        <v>Miracle in cell NO.7</v>
      </c>
      <c r="R366" s="5" t="str">
        <f>IFERROR(__xludf.DUMMYFUNCTION("""COMPUTED_VALUE"""),"Aras Bulut Iynemli")</f>
        <v>Aras Bulut Iynemli</v>
      </c>
      <c r="S366" s="5" t="str">
        <f>IFERROR(__xludf.DUMMYFUNCTION("""COMPUTED_VALUE"""),"Estrela 1")</f>
        <v>Estrela 1</v>
      </c>
    </row>
    <row r="367">
      <c r="A367" s="1">
        <v>366.0</v>
      </c>
      <c r="B367" s="1" t="s">
        <v>2385</v>
      </c>
      <c r="C367" s="1" t="s">
        <v>2388</v>
      </c>
      <c r="D367" s="1" t="s">
        <v>1469</v>
      </c>
      <c r="E367" s="1" t="s">
        <v>2389</v>
      </c>
      <c r="F367" s="1" t="s">
        <v>2390</v>
      </c>
      <c r="G367" s="5" t="str">
        <f>IFERROR(__xludf.DUMMYFUNCTION("""COMPUTED_VALUE"""),"92🤙🏼Miracle in cell NO.7🤙🏼Nisa Sofiya Aksongur🤙🏼Estrela 2")</f>
        <v>92🤙🏼Miracle in cell NO.7🤙🏼Nisa Sofiya Aksongur🤙🏼Estrela 2</v>
      </c>
      <c r="H367" s="5">
        <f>IFERROR(__xludf.DUMMYFUNCTION("SPLiT(G367, ""🤙🏼"",FALSE,FALSE)"),92.0)</f>
        <v>92</v>
      </c>
      <c r="I367" s="5" t="str">
        <f>IFERROR(__xludf.DUMMYFUNCTION("""COMPUTED_VALUE"""),"Miracle in cell NO.7")</f>
        <v>Miracle in cell NO.7</v>
      </c>
      <c r="J367" s="5" t="str">
        <f>IFERROR(__xludf.DUMMYFUNCTION("""COMPUTED_VALUE"""),"Nisa Sofiya Aksongur")</f>
        <v>Nisa Sofiya Aksongur</v>
      </c>
      <c r="K367" s="5" t="str">
        <f>IFERROR(__xludf.DUMMYFUNCTION("""COMPUTED_VALUE"""),"Estrela 2")</f>
        <v>Estrela 2</v>
      </c>
      <c r="P367" s="5">
        <f>IFERROR(__xludf.DUMMYFUNCTION("""COMPUTED_VALUE"""),92.0)</f>
        <v>92</v>
      </c>
      <c r="Q367" s="5" t="str">
        <f>IFERROR(__xludf.DUMMYFUNCTION("""COMPUTED_VALUE"""),"Miracle in cell NO.7")</f>
        <v>Miracle in cell NO.7</v>
      </c>
      <c r="R367" s="5" t="str">
        <f>IFERROR(__xludf.DUMMYFUNCTION("""COMPUTED_VALUE"""),"Nisa Sofiya Aksongur")</f>
        <v>Nisa Sofiya Aksongur</v>
      </c>
      <c r="S367" s="5" t="str">
        <f>IFERROR(__xludf.DUMMYFUNCTION("""COMPUTED_VALUE"""),"Estrela 2")</f>
        <v>Estrela 2</v>
      </c>
    </row>
    <row r="368">
      <c r="A368" s="1">
        <v>367.0</v>
      </c>
      <c r="B368" s="1" t="s">
        <v>2391</v>
      </c>
      <c r="C368" s="1" t="s">
        <v>2394</v>
      </c>
      <c r="D368" s="1" t="s">
        <v>2395</v>
      </c>
      <c r="E368" s="1" t="s">
        <v>2396</v>
      </c>
      <c r="F368" s="1" t="s">
        <v>2397</v>
      </c>
      <c r="G368" s="5" t="str">
        <f>IFERROR(__xludf.DUMMYFUNCTION("""COMPUTED_VALUE"""),"92🤙🏼Miracle in cell NO.7🤙🏼Deniz Baysal🤙🏼Estrela 3")</f>
        <v>92🤙🏼Miracle in cell NO.7🤙🏼Deniz Baysal🤙🏼Estrela 3</v>
      </c>
      <c r="H368" s="5">
        <f>IFERROR(__xludf.DUMMYFUNCTION("SPLiT(G368, ""🤙🏼"",FALSE,FALSE)"),92.0)</f>
        <v>92</v>
      </c>
      <c r="I368" s="5" t="str">
        <f>IFERROR(__xludf.DUMMYFUNCTION("""COMPUTED_VALUE"""),"Miracle in cell NO.7")</f>
        <v>Miracle in cell NO.7</v>
      </c>
      <c r="J368" s="5" t="str">
        <f>IFERROR(__xludf.DUMMYFUNCTION("""COMPUTED_VALUE"""),"Deniz Baysal")</f>
        <v>Deniz Baysal</v>
      </c>
      <c r="K368" s="5" t="str">
        <f>IFERROR(__xludf.DUMMYFUNCTION("""COMPUTED_VALUE"""),"Estrela 3")</f>
        <v>Estrela 3</v>
      </c>
      <c r="P368" s="5">
        <f>IFERROR(__xludf.DUMMYFUNCTION("""COMPUTED_VALUE"""),92.0)</f>
        <v>92</v>
      </c>
      <c r="Q368" s="5" t="str">
        <f>IFERROR(__xludf.DUMMYFUNCTION("""COMPUTED_VALUE"""),"Miracle in cell NO.7")</f>
        <v>Miracle in cell NO.7</v>
      </c>
      <c r="R368" s="5" t="str">
        <f>IFERROR(__xludf.DUMMYFUNCTION("""COMPUTED_VALUE"""),"Deniz Baysal")</f>
        <v>Deniz Baysal</v>
      </c>
      <c r="S368" s="5" t="str">
        <f>IFERROR(__xludf.DUMMYFUNCTION("""COMPUTED_VALUE"""),"Estrela 3")</f>
        <v>Estrela 3</v>
      </c>
    </row>
    <row r="369">
      <c r="A369" s="1">
        <v>368.0</v>
      </c>
      <c r="B369" s="1" t="s">
        <v>2398</v>
      </c>
      <c r="C369" s="1" t="s">
        <v>2401</v>
      </c>
      <c r="D369" s="1" t="s">
        <v>2402</v>
      </c>
      <c r="E369" s="1" t="s">
        <v>2403</v>
      </c>
      <c r="F369" s="1" t="s">
        <v>2404</v>
      </c>
      <c r="G369" s="5" t="str">
        <f>IFERROR(__xludf.DUMMYFUNCTION("""COMPUTED_VALUE"""),"92🤙🏼Miracle in cell NO.7🤙🏼Celile Toyon Uysal🤙🏼Estrela 4")</f>
        <v>92🤙🏼Miracle in cell NO.7🤙🏼Celile Toyon Uysal🤙🏼Estrela 4</v>
      </c>
      <c r="H369" s="5">
        <f>IFERROR(__xludf.DUMMYFUNCTION("SPLiT(G369, ""🤙🏼"",FALSE,FALSE)"),92.0)</f>
        <v>92</v>
      </c>
      <c r="I369" s="5" t="str">
        <f>IFERROR(__xludf.DUMMYFUNCTION("""COMPUTED_VALUE"""),"Miracle in cell NO.7")</f>
        <v>Miracle in cell NO.7</v>
      </c>
      <c r="J369" s="5" t="str">
        <f>IFERROR(__xludf.DUMMYFUNCTION("""COMPUTED_VALUE"""),"Celile Toyon Uysal")</f>
        <v>Celile Toyon Uysal</v>
      </c>
      <c r="K369" s="5" t="str">
        <f>IFERROR(__xludf.DUMMYFUNCTION("""COMPUTED_VALUE"""),"Estrela 4")</f>
        <v>Estrela 4</v>
      </c>
      <c r="P369" s="5">
        <f>IFERROR(__xludf.DUMMYFUNCTION("""COMPUTED_VALUE"""),92.0)</f>
        <v>92</v>
      </c>
      <c r="Q369" s="5" t="str">
        <f>IFERROR(__xludf.DUMMYFUNCTION("""COMPUTED_VALUE"""),"Miracle in cell NO.7")</f>
        <v>Miracle in cell NO.7</v>
      </c>
      <c r="R369" s="5" t="str">
        <f>IFERROR(__xludf.DUMMYFUNCTION("""COMPUTED_VALUE"""),"Celile Toyon Uysal")</f>
        <v>Celile Toyon Uysal</v>
      </c>
      <c r="S369" s="5" t="str">
        <f>IFERROR(__xludf.DUMMYFUNCTION("""COMPUTED_VALUE"""),"Estrela 4")</f>
        <v>Estrela 4</v>
      </c>
    </row>
    <row r="370">
      <c r="A370" s="1">
        <v>369.0</v>
      </c>
      <c r="B370" s="1" t="s">
        <v>2405</v>
      </c>
      <c r="C370" s="1" t="s">
        <v>2409</v>
      </c>
      <c r="D370" s="1" t="s">
        <v>2410</v>
      </c>
      <c r="E370" s="1" t="s">
        <v>2411</v>
      </c>
      <c r="F370" s="1" t="s">
        <v>2412</v>
      </c>
      <c r="G370" s="5" t="str">
        <f>IFERROR(__xludf.DUMMYFUNCTION("""COMPUTED_VALUE"""),"93🤙🏼Babam ve Oglum🤙🏼Çetin Tekindor🤙🏼Estrela 1")</f>
        <v>93🤙🏼Babam ve Oglum🤙🏼Çetin Tekindor🤙🏼Estrela 1</v>
      </c>
      <c r="H370" s="5">
        <f>IFERROR(__xludf.DUMMYFUNCTION("SPLiT(G370, ""🤙🏼"",FALSE,FALSE)"),93.0)</f>
        <v>93</v>
      </c>
      <c r="I370" s="5" t="str">
        <f>IFERROR(__xludf.DUMMYFUNCTION("""COMPUTED_VALUE"""),"Babam ve Oglum")</f>
        <v>Babam ve Oglum</v>
      </c>
      <c r="J370" s="5" t="str">
        <f>IFERROR(__xludf.DUMMYFUNCTION("""COMPUTED_VALUE"""),"Çetin Tekindor")</f>
        <v>Çetin Tekindor</v>
      </c>
      <c r="K370" s="5" t="str">
        <f>IFERROR(__xludf.DUMMYFUNCTION("""COMPUTED_VALUE"""),"Estrela 1")</f>
        <v>Estrela 1</v>
      </c>
      <c r="P370" s="5">
        <f>IFERROR(__xludf.DUMMYFUNCTION("""COMPUTED_VALUE"""),93.0)</f>
        <v>93</v>
      </c>
      <c r="Q370" s="5" t="str">
        <f>IFERROR(__xludf.DUMMYFUNCTION("""COMPUTED_VALUE"""),"Babam ve Oglum")</f>
        <v>Babam ve Oglum</v>
      </c>
      <c r="R370" s="5" t="str">
        <f>IFERROR(__xludf.DUMMYFUNCTION("""COMPUTED_VALUE"""),"Çetin Tekindor")</f>
        <v>Çetin Tekindor</v>
      </c>
      <c r="S370" s="5" t="str">
        <f>IFERROR(__xludf.DUMMYFUNCTION("""COMPUTED_VALUE"""),"Estrela 1")</f>
        <v>Estrela 1</v>
      </c>
    </row>
    <row r="371">
      <c r="A371" s="1">
        <v>370.0</v>
      </c>
      <c r="B371" s="1" t="s">
        <v>2413</v>
      </c>
      <c r="C371" s="1" t="s">
        <v>74</v>
      </c>
      <c r="D371" s="1" t="s">
        <v>1665</v>
      </c>
      <c r="E371" s="1" t="s">
        <v>782</v>
      </c>
      <c r="F371" s="1" t="s">
        <v>1666</v>
      </c>
      <c r="G371" s="5" t="str">
        <f>IFERROR(__xludf.DUMMYFUNCTION("""COMPUTED_VALUE"""),"93🤙🏼Babam ve Oglum🤙🏼Fikret Kuskan🤙🏼Estrela 2")</f>
        <v>93🤙🏼Babam ve Oglum🤙🏼Fikret Kuskan🤙🏼Estrela 2</v>
      </c>
      <c r="H371" s="5">
        <f>IFERROR(__xludf.DUMMYFUNCTION("SPLiT(G371, ""🤙🏼"",FALSE,FALSE)"),93.0)</f>
        <v>93</v>
      </c>
      <c r="I371" s="5" t="str">
        <f>IFERROR(__xludf.DUMMYFUNCTION("""COMPUTED_VALUE"""),"Babam ve Oglum")</f>
        <v>Babam ve Oglum</v>
      </c>
      <c r="J371" s="5" t="str">
        <f>IFERROR(__xludf.DUMMYFUNCTION("""COMPUTED_VALUE"""),"Fikret Kuskan")</f>
        <v>Fikret Kuskan</v>
      </c>
      <c r="K371" s="5" t="str">
        <f>IFERROR(__xludf.DUMMYFUNCTION("""COMPUTED_VALUE"""),"Estrela 2")</f>
        <v>Estrela 2</v>
      </c>
      <c r="P371" s="5">
        <f>IFERROR(__xludf.DUMMYFUNCTION("""COMPUTED_VALUE"""),93.0)</f>
        <v>93</v>
      </c>
      <c r="Q371" s="5" t="str">
        <f>IFERROR(__xludf.DUMMYFUNCTION("""COMPUTED_VALUE"""),"Babam ve Oglum")</f>
        <v>Babam ve Oglum</v>
      </c>
      <c r="R371" s="5" t="str">
        <f>IFERROR(__xludf.DUMMYFUNCTION("""COMPUTED_VALUE"""),"Fikret Kuskan")</f>
        <v>Fikret Kuskan</v>
      </c>
      <c r="S371" s="5" t="str">
        <f>IFERROR(__xludf.DUMMYFUNCTION("""COMPUTED_VALUE"""),"Estrela 2")</f>
        <v>Estrela 2</v>
      </c>
    </row>
    <row r="372">
      <c r="A372" s="1">
        <v>371.0</v>
      </c>
      <c r="B372" s="1" t="s">
        <v>2415</v>
      </c>
      <c r="C372" s="1" t="s">
        <v>2418</v>
      </c>
      <c r="D372" s="1" t="s">
        <v>2419</v>
      </c>
      <c r="E372" s="1" t="s">
        <v>2420</v>
      </c>
      <c r="F372" s="1" t="s">
        <v>2421</v>
      </c>
      <c r="G372" s="5" t="str">
        <f>IFERROR(__xludf.DUMMYFUNCTION("""COMPUTED_VALUE"""),"93🤙🏼Babam ve Oglum🤙🏼Hümeyra🤙🏼Estrela 3")</f>
        <v>93🤙🏼Babam ve Oglum🤙🏼Hümeyra🤙🏼Estrela 3</v>
      </c>
      <c r="H372" s="5">
        <f>IFERROR(__xludf.DUMMYFUNCTION("SPLiT(G372, ""🤙🏼"",FALSE,FALSE)"),93.0)</f>
        <v>93</v>
      </c>
      <c r="I372" s="5" t="str">
        <f>IFERROR(__xludf.DUMMYFUNCTION("""COMPUTED_VALUE"""),"Babam ve Oglum")</f>
        <v>Babam ve Oglum</v>
      </c>
      <c r="J372" s="5" t="str">
        <f>IFERROR(__xludf.DUMMYFUNCTION("""COMPUTED_VALUE"""),"Hümeyra")</f>
        <v>Hümeyra</v>
      </c>
      <c r="K372" s="5" t="str">
        <f>IFERROR(__xludf.DUMMYFUNCTION("""COMPUTED_VALUE"""),"Estrela 3")</f>
        <v>Estrela 3</v>
      </c>
      <c r="P372" s="5">
        <f>IFERROR(__xludf.DUMMYFUNCTION("""COMPUTED_VALUE"""),93.0)</f>
        <v>93</v>
      </c>
      <c r="Q372" s="5" t="str">
        <f>IFERROR(__xludf.DUMMYFUNCTION("""COMPUTED_VALUE"""),"Babam ve Oglum")</f>
        <v>Babam ve Oglum</v>
      </c>
      <c r="R372" s="5" t="str">
        <f>IFERROR(__xludf.DUMMYFUNCTION("""COMPUTED_VALUE"""),"Hümeyra")</f>
        <v>Hümeyra</v>
      </c>
      <c r="S372" s="5" t="str">
        <f>IFERROR(__xludf.DUMMYFUNCTION("""COMPUTED_VALUE"""),"Estrela 3")</f>
        <v>Estrela 3</v>
      </c>
    </row>
    <row r="373">
      <c r="A373" s="1">
        <v>372.0</v>
      </c>
      <c r="B373" s="1" t="s">
        <v>2422</v>
      </c>
      <c r="C373" s="1" t="s">
        <v>2374</v>
      </c>
      <c r="D373" s="1" t="s">
        <v>2424</v>
      </c>
      <c r="E373" s="1" t="s">
        <v>2425</v>
      </c>
      <c r="F373" s="1" t="s">
        <v>2426</v>
      </c>
      <c r="G373" s="5" t="str">
        <f>IFERROR(__xludf.DUMMYFUNCTION("""COMPUTED_VALUE"""),"93🤙🏼Babam ve Oglum🤙🏼Ege Tanman🤙🏼Estrela 4")</f>
        <v>93🤙🏼Babam ve Oglum🤙🏼Ege Tanman🤙🏼Estrela 4</v>
      </c>
      <c r="H373" s="5">
        <f>IFERROR(__xludf.DUMMYFUNCTION("SPLiT(G373, ""🤙🏼"",FALSE,FALSE)"),93.0)</f>
        <v>93</v>
      </c>
      <c r="I373" s="5" t="str">
        <f>IFERROR(__xludf.DUMMYFUNCTION("""COMPUTED_VALUE"""),"Babam ve Oglum")</f>
        <v>Babam ve Oglum</v>
      </c>
      <c r="J373" s="5" t="str">
        <f>IFERROR(__xludf.DUMMYFUNCTION("""COMPUTED_VALUE"""),"Ege Tanman")</f>
        <v>Ege Tanman</v>
      </c>
      <c r="K373" s="5" t="str">
        <f>IFERROR(__xludf.DUMMYFUNCTION("""COMPUTED_VALUE"""),"Estrela 4")</f>
        <v>Estrela 4</v>
      </c>
      <c r="P373" s="5">
        <f>IFERROR(__xludf.DUMMYFUNCTION("""COMPUTED_VALUE"""),93.0)</f>
        <v>93</v>
      </c>
      <c r="Q373" s="5" t="str">
        <f>IFERROR(__xludf.DUMMYFUNCTION("""COMPUTED_VALUE"""),"Babam ve Oglum")</f>
        <v>Babam ve Oglum</v>
      </c>
      <c r="R373" s="5" t="str">
        <f>IFERROR(__xludf.DUMMYFUNCTION("""COMPUTED_VALUE"""),"Ege Tanman")</f>
        <v>Ege Tanman</v>
      </c>
      <c r="S373" s="5" t="str">
        <f>IFERROR(__xludf.DUMMYFUNCTION("""COMPUTED_VALUE"""),"Estrela 4")</f>
        <v>Estrela 4</v>
      </c>
    </row>
    <row r="374">
      <c r="A374" s="1">
        <v>373.0</v>
      </c>
      <c r="B374" s="1" t="s">
        <v>2427</v>
      </c>
      <c r="C374" s="1" t="s">
        <v>1615</v>
      </c>
      <c r="D374" s="1" t="s">
        <v>2430</v>
      </c>
      <c r="E374" s="1" t="s">
        <v>2431</v>
      </c>
      <c r="F374" s="1" t="s">
        <v>2432</v>
      </c>
      <c r="G374" s="5" t="str">
        <f>IFERROR(__xludf.DUMMYFUNCTION("""COMPUTED_VALUE"""),"94🤙🏼Inglourious Basterds🤙🏼Brad Pitt🤙🏼Estrela 1")</f>
        <v>94🤙🏼Inglourious Basterds🤙🏼Brad Pitt🤙🏼Estrela 1</v>
      </c>
      <c r="H374" s="5">
        <f>IFERROR(__xludf.DUMMYFUNCTION("SPLiT(G374, ""🤙🏼"",FALSE,FALSE)"),94.0)</f>
        <v>94</v>
      </c>
      <c r="I374" s="5" t="str">
        <f>IFERROR(__xludf.DUMMYFUNCTION("""COMPUTED_VALUE"""),"Inglourious Basterds")</f>
        <v>Inglourious Basterds</v>
      </c>
      <c r="J374" s="5" t="str">
        <f>IFERROR(__xludf.DUMMYFUNCTION("""COMPUTED_VALUE"""),"Brad Pitt")</f>
        <v>Brad Pitt</v>
      </c>
      <c r="K374" s="5" t="str">
        <f>IFERROR(__xludf.DUMMYFUNCTION("""COMPUTED_VALUE"""),"Estrela 1")</f>
        <v>Estrela 1</v>
      </c>
      <c r="P374" s="5">
        <f>IFERROR(__xludf.DUMMYFUNCTION("""COMPUTED_VALUE"""),94.0)</f>
        <v>94</v>
      </c>
      <c r="Q374" s="5" t="str">
        <f>IFERROR(__xludf.DUMMYFUNCTION("""COMPUTED_VALUE"""),"Inglourious Basterds")</f>
        <v>Inglourious Basterds</v>
      </c>
      <c r="R374" s="5" t="str">
        <f>IFERROR(__xludf.DUMMYFUNCTION("""COMPUTED_VALUE"""),"Brad Pitt")</f>
        <v>Brad Pitt</v>
      </c>
      <c r="S374" s="5" t="str">
        <f>IFERROR(__xludf.DUMMYFUNCTION("""COMPUTED_VALUE"""),"Estrela 1")</f>
        <v>Estrela 1</v>
      </c>
    </row>
    <row r="375">
      <c r="A375" s="1">
        <v>374.0</v>
      </c>
      <c r="B375" s="1" t="s">
        <v>2433</v>
      </c>
      <c r="C375" s="1" t="s">
        <v>325</v>
      </c>
      <c r="D375" s="1" t="s">
        <v>2435</v>
      </c>
      <c r="E375" s="1" t="s">
        <v>2436</v>
      </c>
      <c r="F375" s="1" t="s">
        <v>2437</v>
      </c>
      <c r="G375" s="5" t="str">
        <f>IFERROR(__xludf.DUMMYFUNCTION("""COMPUTED_VALUE"""),"94🤙🏼Inglourious Basterds🤙🏼Diane Kruger🤙🏼Estrela 2")</f>
        <v>94🤙🏼Inglourious Basterds🤙🏼Diane Kruger🤙🏼Estrela 2</v>
      </c>
      <c r="H375" s="5">
        <f>IFERROR(__xludf.DUMMYFUNCTION("SPLiT(G375, ""🤙🏼"",FALSE,FALSE)"),94.0)</f>
        <v>94</v>
      </c>
      <c r="I375" s="5" t="str">
        <f>IFERROR(__xludf.DUMMYFUNCTION("""COMPUTED_VALUE"""),"Inglourious Basterds")</f>
        <v>Inglourious Basterds</v>
      </c>
      <c r="J375" s="5" t="str">
        <f>IFERROR(__xludf.DUMMYFUNCTION("""COMPUTED_VALUE"""),"Diane Kruger")</f>
        <v>Diane Kruger</v>
      </c>
      <c r="K375" s="5" t="str">
        <f>IFERROR(__xludf.DUMMYFUNCTION("""COMPUTED_VALUE"""),"Estrela 2")</f>
        <v>Estrela 2</v>
      </c>
      <c r="P375" s="5">
        <f>IFERROR(__xludf.DUMMYFUNCTION("""COMPUTED_VALUE"""),94.0)</f>
        <v>94</v>
      </c>
      <c r="Q375" s="5" t="str">
        <f>IFERROR(__xludf.DUMMYFUNCTION("""COMPUTED_VALUE"""),"Inglourious Basterds")</f>
        <v>Inglourious Basterds</v>
      </c>
      <c r="R375" s="5" t="str">
        <f>IFERROR(__xludf.DUMMYFUNCTION("""COMPUTED_VALUE"""),"Diane Kruger")</f>
        <v>Diane Kruger</v>
      </c>
      <c r="S375" s="5" t="str">
        <f>IFERROR(__xludf.DUMMYFUNCTION("""COMPUTED_VALUE"""),"Estrela 2")</f>
        <v>Estrela 2</v>
      </c>
    </row>
    <row r="376">
      <c r="A376" s="1">
        <v>375.0</v>
      </c>
      <c r="B376" s="1" t="s">
        <v>2438</v>
      </c>
      <c r="C376" s="1" t="s">
        <v>1661</v>
      </c>
      <c r="D376" s="1" t="s">
        <v>1084</v>
      </c>
      <c r="E376" s="1" t="s">
        <v>1659</v>
      </c>
      <c r="F376" s="1" t="s">
        <v>2441</v>
      </c>
      <c r="G376" s="5" t="str">
        <f>IFERROR(__xludf.DUMMYFUNCTION("""COMPUTED_VALUE"""),"94🤙🏼Inglourious Basterds🤙🏼Eli Roth🤙🏼Estrela 3")</f>
        <v>94🤙🏼Inglourious Basterds🤙🏼Eli Roth🤙🏼Estrela 3</v>
      </c>
      <c r="H376" s="5">
        <f>IFERROR(__xludf.DUMMYFUNCTION("SPLiT(G376, ""🤙🏼"",FALSE,FALSE)"),94.0)</f>
        <v>94</v>
      </c>
      <c r="I376" s="5" t="str">
        <f>IFERROR(__xludf.DUMMYFUNCTION("""COMPUTED_VALUE"""),"Inglourious Basterds")</f>
        <v>Inglourious Basterds</v>
      </c>
      <c r="J376" s="5" t="str">
        <f>IFERROR(__xludf.DUMMYFUNCTION("""COMPUTED_VALUE"""),"Eli Roth")</f>
        <v>Eli Roth</v>
      </c>
      <c r="K376" s="5" t="str">
        <f>IFERROR(__xludf.DUMMYFUNCTION("""COMPUTED_VALUE"""),"Estrela 3")</f>
        <v>Estrela 3</v>
      </c>
      <c r="P376" s="5">
        <f>IFERROR(__xludf.DUMMYFUNCTION("""COMPUTED_VALUE"""),94.0)</f>
        <v>94</v>
      </c>
      <c r="Q376" s="5" t="str">
        <f>IFERROR(__xludf.DUMMYFUNCTION("""COMPUTED_VALUE"""),"Inglourious Basterds")</f>
        <v>Inglourious Basterds</v>
      </c>
      <c r="R376" s="5" t="str">
        <f>IFERROR(__xludf.DUMMYFUNCTION("""COMPUTED_VALUE"""),"Eli Roth")</f>
        <v>Eli Roth</v>
      </c>
      <c r="S376" s="5" t="str">
        <f>IFERROR(__xludf.DUMMYFUNCTION("""COMPUTED_VALUE"""),"Estrela 3")</f>
        <v>Estrela 3</v>
      </c>
    </row>
    <row r="377">
      <c r="A377" s="1">
        <v>376.0</v>
      </c>
      <c r="B377" s="1" t="s">
        <v>2442</v>
      </c>
      <c r="C377" s="1" t="s">
        <v>2445</v>
      </c>
      <c r="D377" s="1" t="s">
        <v>2446</v>
      </c>
      <c r="E377" s="1" t="s">
        <v>1732</v>
      </c>
      <c r="F377" s="1" t="s">
        <v>2447</v>
      </c>
      <c r="G377" s="5" t="str">
        <f>IFERROR(__xludf.DUMMYFUNCTION("""COMPUTED_VALUE"""),"94🤙🏼Inglourious Basterds🤙🏼Mélanie Laurent🤙🏼Estrela 4")</f>
        <v>94🤙🏼Inglourious Basterds🤙🏼Mélanie Laurent🤙🏼Estrela 4</v>
      </c>
      <c r="H377" s="5">
        <f>IFERROR(__xludf.DUMMYFUNCTION("SPLiT(G377, ""🤙🏼"",FALSE,FALSE)"),94.0)</f>
        <v>94</v>
      </c>
      <c r="I377" s="5" t="str">
        <f>IFERROR(__xludf.DUMMYFUNCTION("""COMPUTED_VALUE"""),"Inglourious Basterds")</f>
        <v>Inglourious Basterds</v>
      </c>
      <c r="J377" s="5" t="str">
        <f>IFERROR(__xludf.DUMMYFUNCTION("""COMPUTED_VALUE"""),"Mélanie Laurent")</f>
        <v>Mélanie Laurent</v>
      </c>
      <c r="K377" s="5" t="str">
        <f>IFERROR(__xludf.DUMMYFUNCTION("""COMPUTED_VALUE"""),"Estrela 4")</f>
        <v>Estrela 4</v>
      </c>
      <c r="P377" s="5">
        <f>IFERROR(__xludf.DUMMYFUNCTION("""COMPUTED_VALUE"""),94.0)</f>
        <v>94</v>
      </c>
      <c r="Q377" s="5" t="str">
        <f>IFERROR(__xludf.DUMMYFUNCTION("""COMPUTED_VALUE"""),"Inglourious Basterds")</f>
        <v>Inglourious Basterds</v>
      </c>
      <c r="R377" s="5" t="str">
        <f>IFERROR(__xludf.DUMMYFUNCTION("""COMPUTED_VALUE"""),"Mélanie Laurent")</f>
        <v>Mélanie Laurent</v>
      </c>
      <c r="S377" s="5" t="str">
        <f>IFERROR(__xludf.DUMMYFUNCTION("""COMPUTED_VALUE"""),"Estrela 4")</f>
        <v>Estrela 4</v>
      </c>
    </row>
    <row r="378">
      <c r="A378" s="1">
        <v>377.0</v>
      </c>
      <c r="B378" s="1" t="s">
        <v>2448</v>
      </c>
      <c r="C378" s="1" t="s">
        <v>2451</v>
      </c>
      <c r="D378" s="1" t="s">
        <v>2280</v>
      </c>
      <c r="E378" s="1" t="s">
        <v>68</v>
      </c>
      <c r="F378" s="1" t="s">
        <v>2237</v>
      </c>
      <c r="G378" s="5" t="str">
        <f>IFERROR(__xludf.DUMMYFUNCTION("""COMPUTED_VALUE"""),"95🤙🏼Eternal Sunshine of the Spotless Mind🤙🏼Jim Carrey🤙🏼Estrela 1")</f>
        <v>95🤙🏼Eternal Sunshine of the Spotless Mind🤙🏼Jim Carrey🤙🏼Estrela 1</v>
      </c>
      <c r="H378" s="5">
        <f>IFERROR(__xludf.DUMMYFUNCTION("SPLiT(G378, ""🤙🏼"",FALSE,FALSE)"),95.0)</f>
        <v>95</v>
      </c>
      <c r="I378" s="5" t="str">
        <f>IFERROR(__xludf.DUMMYFUNCTION("""COMPUTED_VALUE"""),"Eternal Sunshine of the Spotless Mind")</f>
        <v>Eternal Sunshine of the Spotless Mind</v>
      </c>
      <c r="J378" s="5" t="str">
        <f>IFERROR(__xludf.DUMMYFUNCTION("""COMPUTED_VALUE"""),"Jim Carrey")</f>
        <v>Jim Carrey</v>
      </c>
      <c r="K378" s="5" t="str">
        <f>IFERROR(__xludf.DUMMYFUNCTION("""COMPUTED_VALUE"""),"Estrela 1")</f>
        <v>Estrela 1</v>
      </c>
      <c r="P378" s="5">
        <f>IFERROR(__xludf.DUMMYFUNCTION("""COMPUTED_VALUE"""),95.0)</f>
        <v>95</v>
      </c>
      <c r="Q378" s="5" t="str">
        <f>IFERROR(__xludf.DUMMYFUNCTION("""COMPUTED_VALUE"""),"Eternal Sunshine of the Spotless Mind")</f>
        <v>Eternal Sunshine of the Spotless Mind</v>
      </c>
      <c r="R378" s="5" t="str">
        <f>IFERROR(__xludf.DUMMYFUNCTION("""COMPUTED_VALUE"""),"Jim Carrey")</f>
        <v>Jim Carrey</v>
      </c>
      <c r="S378" s="5" t="str">
        <f>IFERROR(__xludf.DUMMYFUNCTION("""COMPUTED_VALUE"""),"Estrela 1")</f>
        <v>Estrela 1</v>
      </c>
    </row>
    <row r="379">
      <c r="A379" s="1">
        <v>378.0</v>
      </c>
      <c r="B379" s="1" t="s">
        <v>2452</v>
      </c>
      <c r="C379" s="1" t="s">
        <v>1739</v>
      </c>
      <c r="D379" s="1" t="s">
        <v>2455</v>
      </c>
      <c r="E379" s="1" t="s">
        <v>555</v>
      </c>
      <c r="F379" s="1" t="s">
        <v>2456</v>
      </c>
      <c r="G379" s="5" t="str">
        <f>IFERROR(__xludf.DUMMYFUNCTION("""COMPUTED_VALUE"""),"95🤙🏼Eternal Sunshine of the Spotless Mind🤙🏼Kate Winslet🤙🏼Estrela 2")</f>
        <v>95🤙🏼Eternal Sunshine of the Spotless Mind🤙🏼Kate Winslet🤙🏼Estrela 2</v>
      </c>
      <c r="H379" s="5">
        <f>IFERROR(__xludf.DUMMYFUNCTION("SPLiT(G379, ""🤙🏼"",FALSE,FALSE)"),95.0)</f>
        <v>95</v>
      </c>
      <c r="I379" s="5" t="str">
        <f>IFERROR(__xludf.DUMMYFUNCTION("""COMPUTED_VALUE"""),"Eternal Sunshine of the Spotless Mind")</f>
        <v>Eternal Sunshine of the Spotless Mind</v>
      </c>
      <c r="J379" s="5" t="str">
        <f>IFERROR(__xludf.DUMMYFUNCTION("""COMPUTED_VALUE"""),"Kate Winslet")</f>
        <v>Kate Winslet</v>
      </c>
      <c r="K379" s="5" t="str">
        <f>IFERROR(__xludf.DUMMYFUNCTION("""COMPUTED_VALUE"""),"Estrela 2")</f>
        <v>Estrela 2</v>
      </c>
      <c r="P379" s="5">
        <f>IFERROR(__xludf.DUMMYFUNCTION("""COMPUTED_VALUE"""),95.0)</f>
        <v>95</v>
      </c>
      <c r="Q379" s="5" t="str">
        <f>IFERROR(__xludf.DUMMYFUNCTION("""COMPUTED_VALUE"""),"Eternal Sunshine of the Spotless Mind")</f>
        <v>Eternal Sunshine of the Spotless Mind</v>
      </c>
      <c r="R379" s="5" t="str">
        <f>IFERROR(__xludf.DUMMYFUNCTION("""COMPUTED_VALUE"""),"Kate Winslet")</f>
        <v>Kate Winslet</v>
      </c>
      <c r="S379" s="5" t="str">
        <f>IFERROR(__xludf.DUMMYFUNCTION("""COMPUTED_VALUE"""),"Estrela 2")</f>
        <v>Estrela 2</v>
      </c>
    </row>
    <row r="380">
      <c r="A380" s="1">
        <v>379.0</v>
      </c>
      <c r="B380" s="1" t="s">
        <v>2457</v>
      </c>
      <c r="C380" s="1" t="s">
        <v>2459</v>
      </c>
      <c r="D380" s="1" t="s">
        <v>75</v>
      </c>
      <c r="E380" s="1" t="s">
        <v>2460</v>
      </c>
      <c r="F380" s="1" t="s">
        <v>2461</v>
      </c>
      <c r="G380" s="5" t="str">
        <f>IFERROR(__xludf.DUMMYFUNCTION("""COMPUTED_VALUE"""),"95🤙🏼Eternal Sunshine of the Spotless Mind🤙🏼Tom Wilkinson🤙🏼Estrela 3")</f>
        <v>95🤙🏼Eternal Sunshine of the Spotless Mind🤙🏼Tom Wilkinson🤙🏼Estrela 3</v>
      </c>
      <c r="H380" s="5">
        <f>IFERROR(__xludf.DUMMYFUNCTION("SPLiT(G380, ""🤙🏼"",FALSE,FALSE)"),95.0)</f>
        <v>95</v>
      </c>
      <c r="I380" s="5" t="str">
        <f>IFERROR(__xludf.DUMMYFUNCTION("""COMPUTED_VALUE"""),"Eternal Sunshine of the Spotless Mind")</f>
        <v>Eternal Sunshine of the Spotless Mind</v>
      </c>
      <c r="J380" s="5" t="str">
        <f>IFERROR(__xludf.DUMMYFUNCTION("""COMPUTED_VALUE"""),"Tom Wilkinson")</f>
        <v>Tom Wilkinson</v>
      </c>
      <c r="K380" s="5" t="str">
        <f>IFERROR(__xludf.DUMMYFUNCTION("""COMPUTED_VALUE"""),"Estrela 3")</f>
        <v>Estrela 3</v>
      </c>
      <c r="P380" s="5">
        <f>IFERROR(__xludf.DUMMYFUNCTION("""COMPUTED_VALUE"""),95.0)</f>
        <v>95</v>
      </c>
      <c r="Q380" s="5" t="str">
        <f>IFERROR(__xludf.DUMMYFUNCTION("""COMPUTED_VALUE"""),"Eternal Sunshine of the Spotless Mind")</f>
        <v>Eternal Sunshine of the Spotless Mind</v>
      </c>
      <c r="R380" s="5" t="str">
        <f>IFERROR(__xludf.DUMMYFUNCTION("""COMPUTED_VALUE"""),"Tom Wilkinson")</f>
        <v>Tom Wilkinson</v>
      </c>
      <c r="S380" s="5" t="str">
        <f>IFERROR(__xludf.DUMMYFUNCTION("""COMPUTED_VALUE"""),"Estrela 3")</f>
        <v>Estrela 3</v>
      </c>
    </row>
    <row r="381">
      <c r="A381" s="1">
        <v>380.0</v>
      </c>
      <c r="B381" s="1" t="s">
        <v>2462</v>
      </c>
      <c r="C381" s="1" t="s">
        <v>2465</v>
      </c>
      <c r="D381" s="1" t="s">
        <v>2466</v>
      </c>
      <c r="E381" s="1" t="s">
        <v>2467</v>
      </c>
      <c r="F381" s="1" t="s">
        <v>2468</v>
      </c>
      <c r="G381" s="5" t="str">
        <f>IFERROR(__xludf.DUMMYFUNCTION("""COMPUTED_VALUE"""),"95🤙🏼Eternal Sunshine of the Spotless Mind🤙🏼Gerry Robert Byrne🤙🏼Estrela 4")</f>
        <v>95🤙🏼Eternal Sunshine of the Spotless Mind🤙🏼Gerry Robert Byrne🤙🏼Estrela 4</v>
      </c>
      <c r="H381" s="5">
        <f>IFERROR(__xludf.DUMMYFUNCTION("SPLiT(G381, ""🤙🏼"",FALSE,FALSE)"),95.0)</f>
        <v>95</v>
      </c>
      <c r="I381" s="5" t="str">
        <f>IFERROR(__xludf.DUMMYFUNCTION("""COMPUTED_VALUE"""),"Eternal Sunshine of the Spotless Mind")</f>
        <v>Eternal Sunshine of the Spotless Mind</v>
      </c>
      <c r="J381" s="5" t="str">
        <f>IFERROR(__xludf.DUMMYFUNCTION("""COMPUTED_VALUE"""),"Gerry Robert Byrne")</f>
        <v>Gerry Robert Byrne</v>
      </c>
      <c r="K381" s="5" t="str">
        <f>IFERROR(__xludf.DUMMYFUNCTION("""COMPUTED_VALUE"""),"Estrela 4")</f>
        <v>Estrela 4</v>
      </c>
      <c r="P381" s="5">
        <f>IFERROR(__xludf.DUMMYFUNCTION("""COMPUTED_VALUE"""),95.0)</f>
        <v>95</v>
      </c>
      <c r="Q381" s="5" t="str">
        <f>IFERROR(__xludf.DUMMYFUNCTION("""COMPUTED_VALUE"""),"Eternal Sunshine of the Spotless Mind")</f>
        <v>Eternal Sunshine of the Spotless Mind</v>
      </c>
      <c r="R381" s="5" t="str">
        <f>IFERROR(__xludf.DUMMYFUNCTION("""COMPUTED_VALUE"""),"Gerry Robert Byrne")</f>
        <v>Gerry Robert Byrne</v>
      </c>
      <c r="S381" s="5" t="str">
        <f>IFERROR(__xludf.DUMMYFUNCTION("""COMPUTED_VALUE"""),"Estrela 4")</f>
        <v>Estrela 4</v>
      </c>
    </row>
    <row r="382">
      <c r="A382" s="1">
        <v>381.0</v>
      </c>
      <c r="B382" s="1" t="s">
        <v>2469</v>
      </c>
      <c r="C382" s="1" t="s">
        <v>2182</v>
      </c>
      <c r="D382" s="1" t="s">
        <v>2472</v>
      </c>
      <c r="E382" s="1" t="s">
        <v>2473</v>
      </c>
      <c r="F382" s="1" t="s">
        <v>1924</v>
      </c>
      <c r="G382" s="5" t="str">
        <f>IFERROR(__xludf.DUMMYFUNCTION("""COMPUTED_VALUE"""),"96🤙🏼Amélie🤙🏼Audrey Tautou🤙🏼Estrela 1")</f>
        <v>96🤙🏼Amélie🤙🏼Audrey Tautou🤙🏼Estrela 1</v>
      </c>
      <c r="H382" s="5">
        <f>IFERROR(__xludf.DUMMYFUNCTION("SPLiT(G382, ""🤙🏼"",FALSE,FALSE)"),96.0)</f>
        <v>96</v>
      </c>
      <c r="I382" s="5" t="str">
        <f>IFERROR(__xludf.DUMMYFUNCTION("""COMPUTED_VALUE"""),"Amélie")</f>
        <v>Amélie</v>
      </c>
      <c r="J382" s="5" t="str">
        <f>IFERROR(__xludf.DUMMYFUNCTION("""COMPUTED_VALUE"""),"Audrey Tautou")</f>
        <v>Audrey Tautou</v>
      </c>
      <c r="K382" s="5" t="str">
        <f>IFERROR(__xludf.DUMMYFUNCTION("""COMPUTED_VALUE"""),"Estrela 1")</f>
        <v>Estrela 1</v>
      </c>
      <c r="P382" s="5">
        <f>IFERROR(__xludf.DUMMYFUNCTION("""COMPUTED_VALUE"""),96.0)</f>
        <v>96</v>
      </c>
      <c r="Q382" s="5" t="str">
        <f>IFERROR(__xludf.DUMMYFUNCTION("""COMPUTED_VALUE"""),"Amélie")</f>
        <v>Amélie</v>
      </c>
      <c r="R382" s="5" t="str">
        <f>IFERROR(__xludf.DUMMYFUNCTION("""COMPUTED_VALUE"""),"Audrey Tautou")</f>
        <v>Audrey Tautou</v>
      </c>
      <c r="S382" s="5" t="str">
        <f>IFERROR(__xludf.DUMMYFUNCTION("""COMPUTED_VALUE"""),"Estrela 1")</f>
        <v>Estrela 1</v>
      </c>
    </row>
    <row r="383">
      <c r="A383" s="1">
        <v>382.0</v>
      </c>
      <c r="B383" s="1" t="s">
        <v>2474</v>
      </c>
      <c r="C383" s="1" t="s">
        <v>2393</v>
      </c>
      <c r="D383" s="1" t="s">
        <v>2476</v>
      </c>
      <c r="E383" s="1" t="s">
        <v>1451</v>
      </c>
      <c r="F383" s="1" t="s">
        <v>2477</v>
      </c>
      <c r="G383" s="5" t="str">
        <f>IFERROR(__xludf.DUMMYFUNCTION("""COMPUTED_VALUE"""),"96🤙🏼Amélie🤙🏼Mathieu Kassovitz🤙🏼Estrela 2")</f>
        <v>96🤙🏼Amélie🤙🏼Mathieu Kassovitz🤙🏼Estrela 2</v>
      </c>
      <c r="H383" s="5">
        <f>IFERROR(__xludf.DUMMYFUNCTION("SPLiT(G383, ""🤙🏼"",FALSE,FALSE)"),96.0)</f>
        <v>96</v>
      </c>
      <c r="I383" s="5" t="str">
        <f>IFERROR(__xludf.DUMMYFUNCTION("""COMPUTED_VALUE"""),"Amélie")</f>
        <v>Amélie</v>
      </c>
      <c r="J383" s="5" t="str">
        <f>IFERROR(__xludf.DUMMYFUNCTION("""COMPUTED_VALUE"""),"Mathieu Kassovitz")</f>
        <v>Mathieu Kassovitz</v>
      </c>
      <c r="K383" s="5" t="str">
        <f>IFERROR(__xludf.DUMMYFUNCTION("""COMPUTED_VALUE"""),"Estrela 2")</f>
        <v>Estrela 2</v>
      </c>
      <c r="P383" s="5">
        <f>IFERROR(__xludf.DUMMYFUNCTION("""COMPUTED_VALUE"""),96.0)</f>
        <v>96</v>
      </c>
      <c r="Q383" s="5" t="str">
        <f>IFERROR(__xludf.DUMMYFUNCTION("""COMPUTED_VALUE"""),"Amélie")</f>
        <v>Amélie</v>
      </c>
      <c r="R383" s="5" t="str">
        <f>IFERROR(__xludf.DUMMYFUNCTION("""COMPUTED_VALUE"""),"Mathieu Kassovitz")</f>
        <v>Mathieu Kassovitz</v>
      </c>
      <c r="S383" s="5" t="str">
        <f>IFERROR(__xludf.DUMMYFUNCTION("""COMPUTED_VALUE"""),"Estrela 2")</f>
        <v>Estrela 2</v>
      </c>
    </row>
    <row r="384">
      <c r="A384" s="1">
        <v>383.0</v>
      </c>
      <c r="B384" s="1" t="s">
        <v>2478</v>
      </c>
      <c r="C384" s="1" t="s">
        <v>1542</v>
      </c>
      <c r="D384" s="1" t="s">
        <v>2481</v>
      </c>
      <c r="E384" s="1" t="s">
        <v>2482</v>
      </c>
      <c r="F384" s="1" t="s">
        <v>2483</v>
      </c>
      <c r="G384" s="5" t="str">
        <f>IFERROR(__xludf.DUMMYFUNCTION("""COMPUTED_VALUE"""),"96🤙🏼Amélie🤙🏼Rufus🤙🏼Estrela 3")</f>
        <v>96🤙🏼Amélie🤙🏼Rufus🤙🏼Estrela 3</v>
      </c>
      <c r="H384" s="5">
        <f>IFERROR(__xludf.DUMMYFUNCTION("SPLiT(G384, ""🤙🏼"",FALSE,FALSE)"),96.0)</f>
        <v>96</v>
      </c>
      <c r="I384" s="5" t="str">
        <f>IFERROR(__xludf.DUMMYFUNCTION("""COMPUTED_VALUE"""),"Amélie")</f>
        <v>Amélie</v>
      </c>
      <c r="J384" s="5" t="str">
        <f>IFERROR(__xludf.DUMMYFUNCTION("""COMPUTED_VALUE"""),"Rufus")</f>
        <v>Rufus</v>
      </c>
      <c r="K384" s="5" t="str">
        <f>IFERROR(__xludf.DUMMYFUNCTION("""COMPUTED_VALUE"""),"Estrela 3")</f>
        <v>Estrela 3</v>
      </c>
      <c r="P384" s="5">
        <f>IFERROR(__xludf.DUMMYFUNCTION("""COMPUTED_VALUE"""),96.0)</f>
        <v>96</v>
      </c>
      <c r="Q384" s="5" t="str">
        <f>IFERROR(__xludf.DUMMYFUNCTION("""COMPUTED_VALUE"""),"Amélie")</f>
        <v>Amélie</v>
      </c>
      <c r="R384" s="5" t="str">
        <f>IFERROR(__xludf.DUMMYFUNCTION("""COMPUTED_VALUE"""),"Rufus")</f>
        <v>Rufus</v>
      </c>
      <c r="S384" s="5" t="str">
        <f>IFERROR(__xludf.DUMMYFUNCTION("""COMPUTED_VALUE"""),"Estrela 3")</f>
        <v>Estrela 3</v>
      </c>
    </row>
    <row r="385">
      <c r="A385" s="1">
        <v>384.0</v>
      </c>
      <c r="B385" s="1" t="s">
        <v>2484</v>
      </c>
      <c r="C385" s="1" t="s">
        <v>2486</v>
      </c>
      <c r="D385" s="1" t="s">
        <v>394</v>
      </c>
      <c r="E385" s="1" t="s">
        <v>1728</v>
      </c>
      <c r="F385" s="1" t="s">
        <v>1593</v>
      </c>
      <c r="G385" s="5" t="str">
        <f>IFERROR(__xludf.DUMMYFUNCTION("""COMPUTED_VALUE"""),"96🤙🏼Amélie🤙🏼Lorella Cravotta🤙🏼Estrela 4")</f>
        <v>96🤙🏼Amélie🤙🏼Lorella Cravotta🤙🏼Estrela 4</v>
      </c>
      <c r="H385" s="5">
        <f>IFERROR(__xludf.DUMMYFUNCTION("SPLiT(G385, ""🤙🏼"",FALSE,FALSE)"),96.0)</f>
        <v>96</v>
      </c>
      <c r="I385" s="5" t="str">
        <f>IFERROR(__xludf.DUMMYFUNCTION("""COMPUTED_VALUE"""),"Amélie")</f>
        <v>Amélie</v>
      </c>
      <c r="J385" s="5" t="str">
        <f>IFERROR(__xludf.DUMMYFUNCTION("""COMPUTED_VALUE"""),"Lorella Cravotta")</f>
        <v>Lorella Cravotta</v>
      </c>
      <c r="K385" s="5" t="str">
        <f>IFERROR(__xludf.DUMMYFUNCTION("""COMPUTED_VALUE"""),"Estrela 4")</f>
        <v>Estrela 4</v>
      </c>
      <c r="P385" s="5">
        <f>IFERROR(__xludf.DUMMYFUNCTION("""COMPUTED_VALUE"""),96.0)</f>
        <v>96</v>
      </c>
      <c r="Q385" s="5" t="str">
        <f>IFERROR(__xludf.DUMMYFUNCTION("""COMPUTED_VALUE"""),"Amélie")</f>
        <v>Amélie</v>
      </c>
      <c r="R385" s="5" t="str">
        <f>IFERROR(__xludf.DUMMYFUNCTION("""COMPUTED_VALUE"""),"Lorella Cravotta")</f>
        <v>Lorella Cravotta</v>
      </c>
      <c r="S385" s="5" t="str">
        <f>IFERROR(__xludf.DUMMYFUNCTION("""COMPUTED_VALUE"""),"Estrela 4")</f>
        <v>Estrela 4</v>
      </c>
    </row>
    <row r="386">
      <c r="A386" s="1">
        <v>385.0</v>
      </c>
      <c r="B386" s="1" t="s">
        <v>2487</v>
      </c>
      <c r="C386" s="1" t="s">
        <v>2490</v>
      </c>
      <c r="D386" s="1" t="s">
        <v>2346</v>
      </c>
      <c r="E386" s="1" t="s">
        <v>223</v>
      </c>
      <c r="F386" s="1" t="s">
        <v>2491</v>
      </c>
      <c r="G386" s="5" t="str">
        <f>IFERROR(__xludf.DUMMYFUNCTION("""COMPUTED_VALUE"""),"97🤙🏼Snatch🤙🏼Jason Statham🤙🏼Estrela 1")</f>
        <v>97🤙🏼Snatch🤙🏼Jason Statham🤙🏼Estrela 1</v>
      </c>
      <c r="H386" s="5">
        <f>IFERROR(__xludf.DUMMYFUNCTION("SPLiT(G386, ""🤙🏼"",FALSE,FALSE)"),97.0)</f>
        <v>97</v>
      </c>
      <c r="I386" s="5" t="str">
        <f>IFERROR(__xludf.DUMMYFUNCTION("""COMPUTED_VALUE"""),"Snatch")</f>
        <v>Snatch</v>
      </c>
      <c r="J386" s="5" t="str">
        <f>IFERROR(__xludf.DUMMYFUNCTION("""COMPUTED_VALUE"""),"Jason Statham")</f>
        <v>Jason Statham</v>
      </c>
      <c r="K386" s="5" t="str">
        <f>IFERROR(__xludf.DUMMYFUNCTION("""COMPUTED_VALUE"""),"Estrela 1")</f>
        <v>Estrela 1</v>
      </c>
      <c r="P386" s="5">
        <f>IFERROR(__xludf.DUMMYFUNCTION("""COMPUTED_VALUE"""),97.0)</f>
        <v>97</v>
      </c>
      <c r="Q386" s="5" t="str">
        <f>IFERROR(__xludf.DUMMYFUNCTION("""COMPUTED_VALUE"""),"Snatch")</f>
        <v>Snatch</v>
      </c>
      <c r="R386" s="5" t="str">
        <f>IFERROR(__xludf.DUMMYFUNCTION("""COMPUTED_VALUE"""),"Jason Statham")</f>
        <v>Jason Statham</v>
      </c>
      <c r="S386" s="5" t="str">
        <f>IFERROR(__xludf.DUMMYFUNCTION("""COMPUTED_VALUE"""),"Estrela 1")</f>
        <v>Estrela 1</v>
      </c>
    </row>
    <row r="387">
      <c r="A387" s="1">
        <v>386.0</v>
      </c>
      <c r="B387" s="1" t="s">
        <v>2492</v>
      </c>
      <c r="C387" s="1" t="s">
        <v>2494</v>
      </c>
      <c r="D387" s="1" t="s">
        <v>2495</v>
      </c>
      <c r="E387" s="1" t="s">
        <v>2496</v>
      </c>
      <c r="F387" s="1" t="s">
        <v>2497</v>
      </c>
      <c r="G387" s="5" t="str">
        <f>IFERROR(__xludf.DUMMYFUNCTION("""COMPUTED_VALUE"""),"97🤙🏼Snatch🤙🏼Brad Pitt🤙🏼Estrela 2")</f>
        <v>97🤙🏼Snatch🤙🏼Brad Pitt🤙🏼Estrela 2</v>
      </c>
      <c r="H387" s="5">
        <f>IFERROR(__xludf.DUMMYFUNCTION("SPLiT(G387, ""🤙🏼"",FALSE,FALSE)"),97.0)</f>
        <v>97</v>
      </c>
      <c r="I387" s="5" t="str">
        <f>IFERROR(__xludf.DUMMYFUNCTION("""COMPUTED_VALUE"""),"Snatch")</f>
        <v>Snatch</v>
      </c>
      <c r="J387" s="5" t="str">
        <f>IFERROR(__xludf.DUMMYFUNCTION("""COMPUTED_VALUE"""),"Brad Pitt")</f>
        <v>Brad Pitt</v>
      </c>
      <c r="K387" s="5" t="str">
        <f>IFERROR(__xludf.DUMMYFUNCTION("""COMPUTED_VALUE"""),"Estrela 2")</f>
        <v>Estrela 2</v>
      </c>
      <c r="P387" s="5">
        <f>IFERROR(__xludf.DUMMYFUNCTION("""COMPUTED_VALUE"""),97.0)</f>
        <v>97</v>
      </c>
      <c r="Q387" s="5" t="str">
        <f>IFERROR(__xludf.DUMMYFUNCTION("""COMPUTED_VALUE"""),"Snatch")</f>
        <v>Snatch</v>
      </c>
      <c r="R387" s="5" t="str">
        <f>IFERROR(__xludf.DUMMYFUNCTION("""COMPUTED_VALUE"""),"Brad Pitt")</f>
        <v>Brad Pitt</v>
      </c>
      <c r="S387" s="5" t="str">
        <f>IFERROR(__xludf.DUMMYFUNCTION("""COMPUTED_VALUE"""),"Estrela 2")</f>
        <v>Estrela 2</v>
      </c>
    </row>
    <row r="388">
      <c r="A388" s="1">
        <v>387.0</v>
      </c>
      <c r="B388" s="1" t="s">
        <v>2498</v>
      </c>
      <c r="C388" s="1" t="s">
        <v>2502</v>
      </c>
      <c r="D388" s="1" t="s">
        <v>2503</v>
      </c>
      <c r="E388" s="1" t="s">
        <v>2504</v>
      </c>
      <c r="F388" s="1" t="s">
        <v>2505</v>
      </c>
      <c r="G388" s="5" t="str">
        <f>IFERROR(__xludf.DUMMYFUNCTION("""COMPUTED_VALUE"""),"97🤙🏼Snatch🤙🏼Benicio Del Toro🤙🏼Estrela 3")</f>
        <v>97🤙🏼Snatch🤙🏼Benicio Del Toro🤙🏼Estrela 3</v>
      </c>
      <c r="H388" s="5">
        <f>IFERROR(__xludf.DUMMYFUNCTION("SPLiT(G388, ""🤙🏼"",FALSE,FALSE)"),97.0)</f>
        <v>97</v>
      </c>
      <c r="I388" s="5" t="str">
        <f>IFERROR(__xludf.DUMMYFUNCTION("""COMPUTED_VALUE"""),"Snatch")</f>
        <v>Snatch</v>
      </c>
      <c r="J388" s="5" t="str">
        <f>IFERROR(__xludf.DUMMYFUNCTION("""COMPUTED_VALUE"""),"Benicio Del Toro")</f>
        <v>Benicio Del Toro</v>
      </c>
      <c r="K388" s="5" t="str">
        <f>IFERROR(__xludf.DUMMYFUNCTION("""COMPUTED_VALUE"""),"Estrela 3")</f>
        <v>Estrela 3</v>
      </c>
      <c r="P388" s="5">
        <f>IFERROR(__xludf.DUMMYFUNCTION("""COMPUTED_VALUE"""),97.0)</f>
        <v>97</v>
      </c>
      <c r="Q388" s="5" t="str">
        <f>IFERROR(__xludf.DUMMYFUNCTION("""COMPUTED_VALUE"""),"Snatch")</f>
        <v>Snatch</v>
      </c>
      <c r="R388" s="5" t="str">
        <f>IFERROR(__xludf.DUMMYFUNCTION("""COMPUTED_VALUE"""),"Benicio Del Toro")</f>
        <v>Benicio Del Toro</v>
      </c>
      <c r="S388" s="5" t="str">
        <f>IFERROR(__xludf.DUMMYFUNCTION("""COMPUTED_VALUE"""),"Estrela 3")</f>
        <v>Estrela 3</v>
      </c>
    </row>
    <row r="389">
      <c r="A389" s="1">
        <v>388.0</v>
      </c>
      <c r="B389" s="1" t="s">
        <v>2506</v>
      </c>
      <c r="C389" s="1" t="s">
        <v>2508</v>
      </c>
      <c r="D389" s="1" t="s">
        <v>2509</v>
      </c>
      <c r="E389" s="1" t="s">
        <v>674</v>
      </c>
      <c r="F389" s="1" t="s">
        <v>2510</v>
      </c>
      <c r="G389" s="5" t="str">
        <f>IFERROR(__xludf.DUMMYFUNCTION("""COMPUTED_VALUE"""),"97🤙🏼Snatch🤙🏼Dennis Farina🤙🏼Estrela 4")</f>
        <v>97🤙🏼Snatch🤙🏼Dennis Farina🤙🏼Estrela 4</v>
      </c>
      <c r="H389" s="5">
        <f>IFERROR(__xludf.DUMMYFUNCTION("SPLiT(G389, ""🤙🏼"",FALSE,FALSE)"),97.0)</f>
        <v>97</v>
      </c>
      <c r="I389" s="5" t="str">
        <f>IFERROR(__xludf.DUMMYFUNCTION("""COMPUTED_VALUE"""),"Snatch")</f>
        <v>Snatch</v>
      </c>
      <c r="J389" s="5" t="str">
        <f>IFERROR(__xludf.DUMMYFUNCTION("""COMPUTED_VALUE"""),"Dennis Farina")</f>
        <v>Dennis Farina</v>
      </c>
      <c r="K389" s="5" t="str">
        <f>IFERROR(__xludf.DUMMYFUNCTION("""COMPUTED_VALUE"""),"Estrela 4")</f>
        <v>Estrela 4</v>
      </c>
      <c r="P389" s="5">
        <f>IFERROR(__xludf.DUMMYFUNCTION("""COMPUTED_VALUE"""),97.0)</f>
        <v>97</v>
      </c>
      <c r="Q389" s="5" t="str">
        <f>IFERROR(__xludf.DUMMYFUNCTION("""COMPUTED_VALUE"""),"Snatch")</f>
        <v>Snatch</v>
      </c>
      <c r="R389" s="5" t="str">
        <f>IFERROR(__xludf.DUMMYFUNCTION("""COMPUTED_VALUE"""),"Dennis Farina")</f>
        <v>Dennis Farina</v>
      </c>
      <c r="S389" s="5" t="str">
        <f>IFERROR(__xludf.DUMMYFUNCTION("""COMPUTED_VALUE"""),"Estrela 4")</f>
        <v>Estrela 4</v>
      </c>
    </row>
    <row r="390">
      <c r="A390" s="1">
        <v>389.0</v>
      </c>
      <c r="B390" s="1" t="s">
        <v>2511</v>
      </c>
      <c r="C390" s="1" t="s">
        <v>2514</v>
      </c>
      <c r="D390" s="1" t="s">
        <v>2515</v>
      </c>
      <c r="E390" s="1" t="s">
        <v>2516</v>
      </c>
      <c r="F390" s="1" t="s">
        <v>2517</v>
      </c>
      <c r="G390" s="5" t="str">
        <f>IFERROR(__xludf.DUMMYFUNCTION("""COMPUTED_VALUE"""),"98🤙🏼Requiem for a Dream🤙🏼Ellen Burstyn🤙🏼Estrela 1")</f>
        <v>98🤙🏼Requiem for a Dream🤙🏼Ellen Burstyn🤙🏼Estrela 1</v>
      </c>
      <c r="H390" s="5">
        <f>IFERROR(__xludf.DUMMYFUNCTION("SPLiT(G390, ""🤙🏼"",FALSE,FALSE)"),98.0)</f>
        <v>98</v>
      </c>
      <c r="I390" s="5" t="str">
        <f>IFERROR(__xludf.DUMMYFUNCTION("""COMPUTED_VALUE"""),"Requiem for a Dream")</f>
        <v>Requiem for a Dream</v>
      </c>
      <c r="J390" s="5" t="str">
        <f>IFERROR(__xludf.DUMMYFUNCTION("""COMPUTED_VALUE"""),"Ellen Burstyn")</f>
        <v>Ellen Burstyn</v>
      </c>
      <c r="K390" s="5" t="str">
        <f>IFERROR(__xludf.DUMMYFUNCTION("""COMPUTED_VALUE"""),"Estrela 1")</f>
        <v>Estrela 1</v>
      </c>
      <c r="P390" s="5">
        <f>IFERROR(__xludf.DUMMYFUNCTION("""COMPUTED_VALUE"""),98.0)</f>
        <v>98</v>
      </c>
      <c r="Q390" s="5" t="str">
        <f>IFERROR(__xludf.DUMMYFUNCTION("""COMPUTED_VALUE"""),"Requiem for a Dream")</f>
        <v>Requiem for a Dream</v>
      </c>
      <c r="R390" s="5" t="str">
        <f>IFERROR(__xludf.DUMMYFUNCTION("""COMPUTED_VALUE"""),"Ellen Burstyn")</f>
        <v>Ellen Burstyn</v>
      </c>
      <c r="S390" s="5" t="str">
        <f>IFERROR(__xludf.DUMMYFUNCTION("""COMPUTED_VALUE"""),"Estrela 1")</f>
        <v>Estrela 1</v>
      </c>
    </row>
    <row r="391">
      <c r="A391" s="1">
        <v>390.0</v>
      </c>
      <c r="B391" s="1" t="s">
        <v>2518</v>
      </c>
      <c r="C391" s="1" t="s">
        <v>2520</v>
      </c>
      <c r="D391" s="1" t="s">
        <v>2521</v>
      </c>
      <c r="E391" s="1" t="s">
        <v>2522</v>
      </c>
      <c r="F391" s="1" t="s">
        <v>2244</v>
      </c>
      <c r="G391" s="5" t="str">
        <f>IFERROR(__xludf.DUMMYFUNCTION("""COMPUTED_VALUE"""),"98🤙🏼Requiem for a Dream🤙🏼Jared Leto🤙🏼Estrela 2")</f>
        <v>98🤙🏼Requiem for a Dream🤙🏼Jared Leto🤙🏼Estrela 2</v>
      </c>
      <c r="H391" s="5">
        <f>IFERROR(__xludf.DUMMYFUNCTION("SPLiT(G391, ""🤙🏼"",FALSE,FALSE)"),98.0)</f>
        <v>98</v>
      </c>
      <c r="I391" s="5" t="str">
        <f>IFERROR(__xludf.DUMMYFUNCTION("""COMPUTED_VALUE"""),"Requiem for a Dream")</f>
        <v>Requiem for a Dream</v>
      </c>
      <c r="J391" s="5" t="str">
        <f>IFERROR(__xludf.DUMMYFUNCTION("""COMPUTED_VALUE"""),"Jared Leto")</f>
        <v>Jared Leto</v>
      </c>
      <c r="K391" s="5" t="str">
        <f>IFERROR(__xludf.DUMMYFUNCTION("""COMPUTED_VALUE"""),"Estrela 2")</f>
        <v>Estrela 2</v>
      </c>
      <c r="P391" s="5">
        <f>IFERROR(__xludf.DUMMYFUNCTION("""COMPUTED_VALUE"""),98.0)</f>
        <v>98</v>
      </c>
      <c r="Q391" s="5" t="str">
        <f>IFERROR(__xludf.DUMMYFUNCTION("""COMPUTED_VALUE"""),"Requiem for a Dream")</f>
        <v>Requiem for a Dream</v>
      </c>
      <c r="R391" s="5" t="str">
        <f>IFERROR(__xludf.DUMMYFUNCTION("""COMPUTED_VALUE"""),"Jared Leto")</f>
        <v>Jared Leto</v>
      </c>
      <c r="S391" s="5" t="str">
        <f>IFERROR(__xludf.DUMMYFUNCTION("""COMPUTED_VALUE"""),"Estrela 2")</f>
        <v>Estrela 2</v>
      </c>
    </row>
    <row r="392">
      <c r="A392" s="1">
        <v>391.0</v>
      </c>
      <c r="B392" s="1" t="s">
        <v>2523</v>
      </c>
      <c r="C392" s="1" t="s">
        <v>2527</v>
      </c>
      <c r="D392" s="1" t="s">
        <v>2528</v>
      </c>
      <c r="E392" s="1" t="s">
        <v>2529</v>
      </c>
      <c r="F392" s="1" t="s">
        <v>2530</v>
      </c>
      <c r="G392" s="5" t="str">
        <f>IFERROR(__xludf.DUMMYFUNCTION("""COMPUTED_VALUE"""),"98🤙🏼Requiem for a Dream🤙🏼Jennifer Connelly🤙🏼Estrela 3")</f>
        <v>98🤙🏼Requiem for a Dream🤙🏼Jennifer Connelly🤙🏼Estrela 3</v>
      </c>
      <c r="H392" s="5">
        <f>IFERROR(__xludf.DUMMYFUNCTION("SPLiT(G392, ""🤙🏼"",FALSE,FALSE)"),98.0)</f>
        <v>98</v>
      </c>
      <c r="I392" s="5" t="str">
        <f>IFERROR(__xludf.DUMMYFUNCTION("""COMPUTED_VALUE"""),"Requiem for a Dream")</f>
        <v>Requiem for a Dream</v>
      </c>
      <c r="J392" s="5" t="str">
        <f>IFERROR(__xludf.DUMMYFUNCTION("""COMPUTED_VALUE"""),"Jennifer Connelly")</f>
        <v>Jennifer Connelly</v>
      </c>
      <c r="K392" s="5" t="str">
        <f>IFERROR(__xludf.DUMMYFUNCTION("""COMPUTED_VALUE"""),"Estrela 3")</f>
        <v>Estrela 3</v>
      </c>
      <c r="P392" s="5">
        <f>IFERROR(__xludf.DUMMYFUNCTION("""COMPUTED_VALUE"""),98.0)</f>
        <v>98</v>
      </c>
      <c r="Q392" s="5" t="str">
        <f>IFERROR(__xludf.DUMMYFUNCTION("""COMPUTED_VALUE"""),"Requiem for a Dream")</f>
        <v>Requiem for a Dream</v>
      </c>
      <c r="R392" s="5" t="str">
        <f>IFERROR(__xludf.DUMMYFUNCTION("""COMPUTED_VALUE"""),"Jennifer Connelly")</f>
        <v>Jennifer Connelly</v>
      </c>
      <c r="S392" s="5" t="str">
        <f>IFERROR(__xludf.DUMMYFUNCTION("""COMPUTED_VALUE"""),"Estrela 3")</f>
        <v>Estrela 3</v>
      </c>
    </row>
    <row r="393">
      <c r="A393" s="1">
        <v>392.0</v>
      </c>
      <c r="B393" s="1" t="s">
        <v>2531</v>
      </c>
      <c r="C393" s="1" t="s">
        <v>2533</v>
      </c>
      <c r="D393" s="1" t="s">
        <v>2534</v>
      </c>
      <c r="E393" s="1" t="s">
        <v>2535</v>
      </c>
      <c r="F393" s="1" t="s">
        <v>2536</v>
      </c>
      <c r="G393" s="5" t="str">
        <f>IFERROR(__xludf.DUMMYFUNCTION("""COMPUTED_VALUE"""),"98🤙🏼Requiem for a Dream🤙🏼Marlon Wayans🤙🏼Estrela 4")</f>
        <v>98🤙🏼Requiem for a Dream🤙🏼Marlon Wayans🤙🏼Estrela 4</v>
      </c>
      <c r="H393" s="5">
        <f>IFERROR(__xludf.DUMMYFUNCTION("SPLiT(G393, ""🤙🏼"",FALSE,FALSE)"),98.0)</f>
        <v>98</v>
      </c>
      <c r="I393" s="5" t="str">
        <f>IFERROR(__xludf.DUMMYFUNCTION("""COMPUTED_VALUE"""),"Requiem for a Dream")</f>
        <v>Requiem for a Dream</v>
      </c>
      <c r="J393" s="5" t="str">
        <f>IFERROR(__xludf.DUMMYFUNCTION("""COMPUTED_VALUE"""),"Marlon Wayans")</f>
        <v>Marlon Wayans</v>
      </c>
      <c r="K393" s="5" t="str">
        <f>IFERROR(__xludf.DUMMYFUNCTION("""COMPUTED_VALUE"""),"Estrela 4")</f>
        <v>Estrela 4</v>
      </c>
      <c r="P393" s="5">
        <f>IFERROR(__xludf.DUMMYFUNCTION("""COMPUTED_VALUE"""),98.0)</f>
        <v>98</v>
      </c>
      <c r="Q393" s="5" t="str">
        <f>IFERROR(__xludf.DUMMYFUNCTION("""COMPUTED_VALUE"""),"Requiem for a Dream")</f>
        <v>Requiem for a Dream</v>
      </c>
      <c r="R393" s="5" t="str">
        <f>IFERROR(__xludf.DUMMYFUNCTION("""COMPUTED_VALUE"""),"Marlon Wayans")</f>
        <v>Marlon Wayans</v>
      </c>
      <c r="S393" s="5" t="str">
        <f>IFERROR(__xludf.DUMMYFUNCTION("""COMPUTED_VALUE"""),"Estrela 4")</f>
        <v>Estrela 4</v>
      </c>
    </row>
    <row r="394">
      <c r="A394" s="1">
        <v>393.0</v>
      </c>
      <c r="B394" s="1" t="s">
        <v>2537</v>
      </c>
      <c r="C394" s="1" t="s">
        <v>2540</v>
      </c>
      <c r="D394" s="1" t="s">
        <v>2541</v>
      </c>
      <c r="E394" s="1" t="s">
        <v>2542</v>
      </c>
      <c r="F394" s="1" t="s">
        <v>2543</v>
      </c>
      <c r="G394" s="5" t="str">
        <f>IFERROR(__xludf.DUMMYFUNCTION("""COMPUTED_VALUE"""),"99🤙🏼American Beauty🤙🏼Kevin Spacey🤙🏼Estrela 1")</f>
        <v>99🤙🏼American Beauty🤙🏼Kevin Spacey🤙🏼Estrela 1</v>
      </c>
      <c r="H394" s="5">
        <f>IFERROR(__xludf.DUMMYFUNCTION("SPLiT(G394, ""🤙🏼"",FALSE,FALSE)"),99.0)</f>
        <v>99</v>
      </c>
      <c r="I394" s="5" t="str">
        <f>IFERROR(__xludf.DUMMYFUNCTION("""COMPUTED_VALUE"""),"American Beauty")</f>
        <v>American Beauty</v>
      </c>
      <c r="J394" s="5" t="str">
        <f>IFERROR(__xludf.DUMMYFUNCTION("""COMPUTED_VALUE"""),"Kevin Spacey")</f>
        <v>Kevin Spacey</v>
      </c>
      <c r="K394" s="5" t="str">
        <f>IFERROR(__xludf.DUMMYFUNCTION("""COMPUTED_VALUE"""),"Estrela 1")</f>
        <v>Estrela 1</v>
      </c>
      <c r="P394" s="5">
        <f>IFERROR(__xludf.DUMMYFUNCTION("""COMPUTED_VALUE"""),99.0)</f>
        <v>99</v>
      </c>
      <c r="Q394" s="5" t="str">
        <f>IFERROR(__xludf.DUMMYFUNCTION("""COMPUTED_VALUE"""),"American Beauty")</f>
        <v>American Beauty</v>
      </c>
      <c r="R394" s="5" t="str">
        <f>IFERROR(__xludf.DUMMYFUNCTION("""COMPUTED_VALUE"""),"Kevin Spacey")</f>
        <v>Kevin Spacey</v>
      </c>
      <c r="S394" s="5" t="str">
        <f>IFERROR(__xludf.DUMMYFUNCTION("""COMPUTED_VALUE"""),"Estrela 1")</f>
        <v>Estrela 1</v>
      </c>
    </row>
    <row r="395">
      <c r="A395" s="1">
        <v>394.0</v>
      </c>
      <c r="B395" s="1" t="s">
        <v>2544</v>
      </c>
      <c r="C395" s="1" t="s">
        <v>76</v>
      </c>
      <c r="D395" s="1" t="s">
        <v>2547</v>
      </c>
      <c r="E395" s="1" t="s">
        <v>98</v>
      </c>
      <c r="F395" s="1" t="s">
        <v>2548</v>
      </c>
      <c r="G395" s="5" t="str">
        <f>IFERROR(__xludf.DUMMYFUNCTION("""COMPUTED_VALUE"""),"99🤙🏼American Beauty🤙🏼Annette Bening🤙🏼Estrela 2")</f>
        <v>99🤙🏼American Beauty🤙🏼Annette Bening🤙🏼Estrela 2</v>
      </c>
      <c r="H395" s="5">
        <f>IFERROR(__xludf.DUMMYFUNCTION("SPLiT(G395, ""🤙🏼"",FALSE,FALSE)"),99.0)</f>
        <v>99</v>
      </c>
      <c r="I395" s="5" t="str">
        <f>IFERROR(__xludf.DUMMYFUNCTION("""COMPUTED_VALUE"""),"American Beauty")</f>
        <v>American Beauty</v>
      </c>
      <c r="J395" s="5" t="str">
        <f>IFERROR(__xludf.DUMMYFUNCTION("""COMPUTED_VALUE"""),"Annette Bening")</f>
        <v>Annette Bening</v>
      </c>
      <c r="K395" s="5" t="str">
        <f>IFERROR(__xludf.DUMMYFUNCTION("""COMPUTED_VALUE"""),"Estrela 2")</f>
        <v>Estrela 2</v>
      </c>
      <c r="P395" s="5">
        <f>IFERROR(__xludf.DUMMYFUNCTION("""COMPUTED_VALUE"""),99.0)</f>
        <v>99</v>
      </c>
      <c r="Q395" s="5" t="str">
        <f>IFERROR(__xludf.DUMMYFUNCTION("""COMPUTED_VALUE"""),"American Beauty")</f>
        <v>American Beauty</v>
      </c>
      <c r="R395" s="5" t="str">
        <f>IFERROR(__xludf.DUMMYFUNCTION("""COMPUTED_VALUE"""),"Annette Bening")</f>
        <v>Annette Bening</v>
      </c>
      <c r="S395" s="5" t="str">
        <f>IFERROR(__xludf.DUMMYFUNCTION("""COMPUTED_VALUE"""),"Estrela 2")</f>
        <v>Estrela 2</v>
      </c>
    </row>
    <row r="396">
      <c r="A396" s="1">
        <v>395.0</v>
      </c>
      <c r="B396" s="1" t="s">
        <v>2549</v>
      </c>
      <c r="C396" s="1" t="s">
        <v>2554</v>
      </c>
      <c r="D396" s="1" t="s">
        <v>2555</v>
      </c>
      <c r="E396" s="1" t="s">
        <v>2556</v>
      </c>
      <c r="F396" s="1" t="s">
        <v>2557</v>
      </c>
      <c r="G396" s="5" t="str">
        <f>IFERROR(__xludf.DUMMYFUNCTION("""COMPUTED_VALUE"""),"99🤙🏼American Beauty🤙🏼Thora Birch🤙🏼Estrela 3")</f>
        <v>99🤙🏼American Beauty🤙🏼Thora Birch🤙🏼Estrela 3</v>
      </c>
      <c r="H396" s="5">
        <f>IFERROR(__xludf.DUMMYFUNCTION("SPLiT(G396, ""🤙🏼"",FALSE,FALSE)"),99.0)</f>
        <v>99</v>
      </c>
      <c r="I396" s="5" t="str">
        <f>IFERROR(__xludf.DUMMYFUNCTION("""COMPUTED_VALUE"""),"American Beauty")</f>
        <v>American Beauty</v>
      </c>
      <c r="J396" s="5" t="str">
        <f>IFERROR(__xludf.DUMMYFUNCTION("""COMPUTED_VALUE"""),"Thora Birch")</f>
        <v>Thora Birch</v>
      </c>
      <c r="K396" s="5" t="str">
        <f>IFERROR(__xludf.DUMMYFUNCTION("""COMPUTED_VALUE"""),"Estrela 3")</f>
        <v>Estrela 3</v>
      </c>
      <c r="P396" s="5">
        <f>IFERROR(__xludf.DUMMYFUNCTION("""COMPUTED_VALUE"""),99.0)</f>
        <v>99</v>
      </c>
      <c r="Q396" s="5" t="str">
        <f>IFERROR(__xludf.DUMMYFUNCTION("""COMPUTED_VALUE"""),"American Beauty")</f>
        <v>American Beauty</v>
      </c>
      <c r="R396" s="5" t="str">
        <f>IFERROR(__xludf.DUMMYFUNCTION("""COMPUTED_VALUE"""),"Thora Birch")</f>
        <v>Thora Birch</v>
      </c>
      <c r="S396" s="5" t="str">
        <f>IFERROR(__xludf.DUMMYFUNCTION("""COMPUTED_VALUE"""),"Estrela 3")</f>
        <v>Estrela 3</v>
      </c>
    </row>
    <row r="397">
      <c r="A397" s="1">
        <v>396.0</v>
      </c>
      <c r="B397" s="1" t="s">
        <v>2558</v>
      </c>
      <c r="C397" s="1" t="s">
        <v>2561</v>
      </c>
      <c r="D397" s="1" t="s">
        <v>2562</v>
      </c>
      <c r="E397" s="1" t="s">
        <v>2563</v>
      </c>
      <c r="F397" s="1" t="s">
        <v>2564</v>
      </c>
      <c r="G397" s="5" t="str">
        <f>IFERROR(__xludf.DUMMYFUNCTION("""COMPUTED_VALUE"""),"99🤙🏼American Beauty🤙🏼Wes Bentley🤙🏼Estrela 4")</f>
        <v>99🤙🏼American Beauty🤙🏼Wes Bentley🤙🏼Estrela 4</v>
      </c>
      <c r="H397" s="5">
        <f>IFERROR(__xludf.DUMMYFUNCTION("SPLiT(G397, ""🤙🏼"",FALSE,FALSE)"),99.0)</f>
        <v>99</v>
      </c>
      <c r="I397" s="5" t="str">
        <f>IFERROR(__xludf.DUMMYFUNCTION("""COMPUTED_VALUE"""),"American Beauty")</f>
        <v>American Beauty</v>
      </c>
      <c r="J397" s="5" t="str">
        <f>IFERROR(__xludf.DUMMYFUNCTION("""COMPUTED_VALUE"""),"Wes Bentley")</f>
        <v>Wes Bentley</v>
      </c>
      <c r="K397" s="5" t="str">
        <f>IFERROR(__xludf.DUMMYFUNCTION("""COMPUTED_VALUE"""),"Estrela 4")</f>
        <v>Estrela 4</v>
      </c>
      <c r="P397" s="5">
        <f>IFERROR(__xludf.DUMMYFUNCTION("""COMPUTED_VALUE"""),99.0)</f>
        <v>99</v>
      </c>
      <c r="Q397" s="5" t="str">
        <f>IFERROR(__xludf.DUMMYFUNCTION("""COMPUTED_VALUE"""),"American Beauty")</f>
        <v>American Beauty</v>
      </c>
      <c r="R397" s="5" t="str">
        <f>IFERROR(__xludf.DUMMYFUNCTION("""COMPUTED_VALUE"""),"Wes Bentley")</f>
        <v>Wes Bentley</v>
      </c>
      <c r="S397" s="5" t="str">
        <f>IFERROR(__xludf.DUMMYFUNCTION("""COMPUTED_VALUE"""),"Estrela 4")</f>
        <v>Estrela 4</v>
      </c>
    </row>
    <row r="398">
      <c r="A398" s="1">
        <v>397.0</v>
      </c>
      <c r="B398" s="1" t="s">
        <v>2565</v>
      </c>
      <c r="C398" s="1" t="s">
        <v>2569</v>
      </c>
      <c r="D398" s="1" t="s">
        <v>2570</v>
      </c>
      <c r="E398" s="1" t="s">
        <v>2571</v>
      </c>
      <c r="F398" s="1" t="s">
        <v>2572</v>
      </c>
      <c r="G398" s="5" t="str">
        <f>IFERROR(__xludf.DUMMYFUNCTION("""COMPUTED_VALUE"""),"100🤙🏼Good Will Hunting🤙🏼Robin Williams🤙🏼Estrela 1")</f>
        <v>100🤙🏼Good Will Hunting🤙🏼Robin Williams🤙🏼Estrela 1</v>
      </c>
      <c r="H398" s="5">
        <f>IFERROR(__xludf.DUMMYFUNCTION("SPLiT(G398, ""🤙🏼"",FALSE,FALSE)"),100.0)</f>
        <v>100</v>
      </c>
      <c r="I398" s="5" t="str">
        <f>IFERROR(__xludf.DUMMYFUNCTION("""COMPUTED_VALUE"""),"Good Will Hunting")</f>
        <v>Good Will Hunting</v>
      </c>
      <c r="J398" s="5" t="str">
        <f>IFERROR(__xludf.DUMMYFUNCTION("""COMPUTED_VALUE"""),"Robin Williams")</f>
        <v>Robin Williams</v>
      </c>
      <c r="K398" s="5" t="str">
        <f>IFERROR(__xludf.DUMMYFUNCTION("""COMPUTED_VALUE"""),"Estrela 1")</f>
        <v>Estrela 1</v>
      </c>
      <c r="P398" s="5">
        <f>IFERROR(__xludf.DUMMYFUNCTION("""COMPUTED_VALUE"""),100.0)</f>
        <v>100</v>
      </c>
      <c r="Q398" s="5" t="str">
        <f>IFERROR(__xludf.DUMMYFUNCTION("""COMPUTED_VALUE"""),"Good Will Hunting")</f>
        <v>Good Will Hunting</v>
      </c>
      <c r="R398" s="5" t="str">
        <f>IFERROR(__xludf.DUMMYFUNCTION("""COMPUTED_VALUE"""),"Robin Williams")</f>
        <v>Robin Williams</v>
      </c>
      <c r="S398" s="5" t="str">
        <f>IFERROR(__xludf.DUMMYFUNCTION("""COMPUTED_VALUE"""),"Estrela 1")</f>
        <v>Estrela 1</v>
      </c>
    </row>
    <row r="399">
      <c r="A399" s="1">
        <v>398.0</v>
      </c>
      <c r="B399" s="1" t="s">
        <v>2573</v>
      </c>
      <c r="C399" s="1" t="s">
        <v>2576</v>
      </c>
      <c r="D399" s="1" t="s">
        <v>2577</v>
      </c>
      <c r="E399" s="1" t="s">
        <v>493</v>
      </c>
      <c r="F399" s="1" t="s">
        <v>2578</v>
      </c>
      <c r="G399" s="5" t="str">
        <f>IFERROR(__xludf.DUMMYFUNCTION("""COMPUTED_VALUE"""),"100🤙🏼Good Will Hunting🤙🏼Matt Damon🤙🏼Estrela 2")</f>
        <v>100🤙🏼Good Will Hunting🤙🏼Matt Damon🤙🏼Estrela 2</v>
      </c>
      <c r="H399" s="5">
        <f>IFERROR(__xludf.DUMMYFUNCTION("SPLiT(G399, ""🤙🏼"",FALSE,FALSE)"),100.0)</f>
        <v>100</v>
      </c>
      <c r="I399" s="5" t="str">
        <f>IFERROR(__xludf.DUMMYFUNCTION("""COMPUTED_VALUE"""),"Good Will Hunting")</f>
        <v>Good Will Hunting</v>
      </c>
      <c r="J399" s="5" t="str">
        <f>IFERROR(__xludf.DUMMYFUNCTION("""COMPUTED_VALUE"""),"Matt Damon")</f>
        <v>Matt Damon</v>
      </c>
      <c r="K399" s="5" t="str">
        <f>IFERROR(__xludf.DUMMYFUNCTION("""COMPUTED_VALUE"""),"Estrela 2")</f>
        <v>Estrela 2</v>
      </c>
      <c r="P399" s="5">
        <f>IFERROR(__xludf.DUMMYFUNCTION("""COMPUTED_VALUE"""),100.0)</f>
        <v>100</v>
      </c>
      <c r="Q399" s="5" t="str">
        <f>IFERROR(__xludf.DUMMYFUNCTION("""COMPUTED_VALUE"""),"Good Will Hunting")</f>
        <v>Good Will Hunting</v>
      </c>
      <c r="R399" s="5" t="str">
        <f>IFERROR(__xludf.DUMMYFUNCTION("""COMPUTED_VALUE"""),"Matt Damon")</f>
        <v>Matt Damon</v>
      </c>
      <c r="S399" s="5" t="str">
        <f>IFERROR(__xludf.DUMMYFUNCTION("""COMPUTED_VALUE"""),"Estrela 2")</f>
        <v>Estrela 2</v>
      </c>
    </row>
    <row r="400">
      <c r="A400" s="1">
        <v>399.0</v>
      </c>
      <c r="B400" s="1" t="s">
        <v>2579</v>
      </c>
      <c r="C400" s="1" t="s">
        <v>33</v>
      </c>
      <c r="D400" s="1" t="s">
        <v>2582</v>
      </c>
      <c r="E400" s="1" t="s">
        <v>2583</v>
      </c>
      <c r="F400" s="1" t="s">
        <v>2584</v>
      </c>
      <c r="G400" s="5" t="str">
        <f>IFERROR(__xludf.DUMMYFUNCTION("""COMPUTED_VALUE"""),"100🤙🏼Good Will Hunting🤙🏼Ben Affleck🤙🏼Estrela 3")</f>
        <v>100🤙🏼Good Will Hunting🤙🏼Ben Affleck🤙🏼Estrela 3</v>
      </c>
      <c r="H400" s="5">
        <f>IFERROR(__xludf.DUMMYFUNCTION("SPLiT(G400, ""🤙🏼"",FALSE,FALSE)"),100.0)</f>
        <v>100</v>
      </c>
      <c r="I400" s="5" t="str">
        <f>IFERROR(__xludf.DUMMYFUNCTION("""COMPUTED_VALUE"""),"Good Will Hunting")</f>
        <v>Good Will Hunting</v>
      </c>
      <c r="J400" s="5" t="str">
        <f>IFERROR(__xludf.DUMMYFUNCTION("""COMPUTED_VALUE"""),"Ben Affleck")</f>
        <v>Ben Affleck</v>
      </c>
      <c r="K400" s="5" t="str">
        <f>IFERROR(__xludf.DUMMYFUNCTION("""COMPUTED_VALUE"""),"Estrela 3")</f>
        <v>Estrela 3</v>
      </c>
      <c r="P400" s="5">
        <f>IFERROR(__xludf.DUMMYFUNCTION("""COMPUTED_VALUE"""),100.0)</f>
        <v>100</v>
      </c>
      <c r="Q400" s="5" t="str">
        <f>IFERROR(__xludf.DUMMYFUNCTION("""COMPUTED_VALUE"""),"Good Will Hunting")</f>
        <v>Good Will Hunting</v>
      </c>
      <c r="R400" s="5" t="str">
        <f>IFERROR(__xludf.DUMMYFUNCTION("""COMPUTED_VALUE"""),"Ben Affleck")</f>
        <v>Ben Affleck</v>
      </c>
      <c r="S400" s="5" t="str">
        <f>IFERROR(__xludf.DUMMYFUNCTION("""COMPUTED_VALUE"""),"Estrela 3")</f>
        <v>Estrela 3</v>
      </c>
    </row>
    <row r="401">
      <c r="A401" s="1">
        <v>400.0</v>
      </c>
      <c r="B401" s="1" t="s">
        <v>2585</v>
      </c>
      <c r="C401" s="1" t="s">
        <v>2589</v>
      </c>
      <c r="D401" s="1" t="s">
        <v>2590</v>
      </c>
      <c r="E401" s="1" t="s">
        <v>752</v>
      </c>
      <c r="F401" s="1" t="s">
        <v>2591</v>
      </c>
      <c r="G401" s="5" t="str">
        <f>IFERROR(__xludf.DUMMYFUNCTION("""COMPUTED_VALUE"""),"100🤙🏼Good Will Hunting🤙🏼Stellan Skarsgård🤙🏼Estrela 4")</f>
        <v>100🤙🏼Good Will Hunting🤙🏼Stellan Skarsgård🤙🏼Estrela 4</v>
      </c>
      <c r="H401" s="5">
        <f>IFERROR(__xludf.DUMMYFUNCTION("SPLiT(G401, ""🤙🏼"",FALSE,FALSE)"),100.0)</f>
        <v>100</v>
      </c>
      <c r="I401" s="5" t="str">
        <f>IFERROR(__xludf.DUMMYFUNCTION("""COMPUTED_VALUE"""),"Good Will Hunting")</f>
        <v>Good Will Hunting</v>
      </c>
      <c r="J401" s="5" t="str">
        <f>IFERROR(__xludf.DUMMYFUNCTION("""COMPUTED_VALUE"""),"Stellan Skarsgård")</f>
        <v>Stellan Skarsgård</v>
      </c>
      <c r="K401" s="5" t="str">
        <f>IFERROR(__xludf.DUMMYFUNCTION("""COMPUTED_VALUE"""),"Estrela 4")</f>
        <v>Estrela 4</v>
      </c>
      <c r="P401" s="5">
        <f>IFERROR(__xludf.DUMMYFUNCTION("""COMPUTED_VALUE"""),100.0)</f>
        <v>100</v>
      </c>
      <c r="Q401" s="5" t="str">
        <f>IFERROR(__xludf.DUMMYFUNCTION("""COMPUTED_VALUE"""),"Good Will Hunting")</f>
        <v>Good Will Hunting</v>
      </c>
      <c r="R401" s="5" t="str">
        <f>IFERROR(__xludf.DUMMYFUNCTION("""COMPUTED_VALUE"""),"Stellan Skarsgård")</f>
        <v>Stellan Skarsgård</v>
      </c>
      <c r="S401" s="5" t="str">
        <f>IFERROR(__xludf.DUMMYFUNCTION("""COMPUTED_VALUE"""),"Estrela 4")</f>
        <v>Estrela 4</v>
      </c>
    </row>
    <row r="402">
      <c r="A402" s="1">
        <v>401.0</v>
      </c>
      <c r="B402" s="1" t="s">
        <v>2592</v>
      </c>
      <c r="C402" s="1" t="s">
        <v>2595</v>
      </c>
      <c r="D402" s="1" t="s">
        <v>347</v>
      </c>
      <c r="E402" s="1" t="s">
        <v>866</v>
      </c>
      <c r="F402" s="1" t="s">
        <v>2596</v>
      </c>
      <c r="G402" s="5" t="str">
        <f>IFERROR(__xludf.DUMMYFUNCTION("""COMPUTED_VALUE"""),"101🤙🏼Bacheha-Ye aseman🤙🏼Mohammad Amir Naji🤙🏼Estrela 1")</f>
        <v>101🤙🏼Bacheha-Ye aseman🤙🏼Mohammad Amir Naji🤙🏼Estrela 1</v>
      </c>
      <c r="H402" s="5">
        <f>IFERROR(__xludf.DUMMYFUNCTION("SPLiT(G402, ""🤙🏼"",FALSE,FALSE)"),101.0)</f>
        <v>101</v>
      </c>
      <c r="I402" s="5" t="str">
        <f>IFERROR(__xludf.DUMMYFUNCTION("""COMPUTED_VALUE"""),"Bacheha-Ye aseman")</f>
        <v>Bacheha-Ye aseman</v>
      </c>
      <c r="J402" s="5" t="str">
        <f>IFERROR(__xludf.DUMMYFUNCTION("""COMPUTED_VALUE"""),"Mohammad Amir Naji")</f>
        <v>Mohammad Amir Naji</v>
      </c>
      <c r="K402" s="5" t="str">
        <f>IFERROR(__xludf.DUMMYFUNCTION("""COMPUTED_VALUE"""),"Estrela 1")</f>
        <v>Estrela 1</v>
      </c>
      <c r="P402" s="5">
        <f>IFERROR(__xludf.DUMMYFUNCTION("""COMPUTED_VALUE"""),101.0)</f>
        <v>101</v>
      </c>
      <c r="Q402" s="5" t="str">
        <f>IFERROR(__xludf.DUMMYFUNCTION("""COMPUTED_VALUE"""),"Bacheha-Ye aseman")</f>
        <v>Bacheha-Ye aseman</v>
      </c>
      <c r="R402" s="5" t="str">
        <f>IFERROR(__xludf.DUMMYFUNCTION("""COMPUTED_VALUE"""),"Mohammad Amir Naji")</f>
        <v>Mohammad Amir Naji</v>
      </c>
      <c r="S402" s="5" t="str">
        <f>IFERROR(__xludf.DUMMYFUNCTION("""COMPUTED_VALUE"""),"Estrela 1")</f>
        <v>Estrela 1</v>
      </c>
    </row>
    <row r="403">
      <c r="A403" s="1">
        <v>402.0</v>
      </c>
      <c r="B403" s="1" t="s">
        <v>2597</v>
      </c>
      <c r="C403" s="1" t="s">
        <v>2601</v>
      </c>
      <c r="D403" s="1" t="s">
        <v>2602</v>
      </c>
      <c r="E403" s="1" t="s">
        <v>2603</v>
      </c>
      <c r="F403" s="1" t="s">
        <v>2604</v>
      </c>
      <c r="G403" s="5" t="str">
        <f>IFERROR(__xludf.DUMMYFUNCTION("""COMPUTED_VALUE"""),"101🤙🏼Bacheha-Ye aseman🤙🏼Amir Farrokh Hashemian🤙🏼Estrela 2")</f>
        <v>101🤙🏼Bacheha-Ye aseman🤙🏼Amir Farrokh Hashemian🤙🏼Estrela 2</v>
      </c>
      <c r="H403" s="5">
        <f>IFERROR(__xludf.DUMMYFUNCTION("SPLiT(G403, ""🤙🏼"",FALSE,FALSE)"),101.0)</f>
        <v>101</v>
      </c>
      <c r="I403" s="5" t="str">
        <f>IFERROR(__xludf.DUMMYFUNCTION("""COMPUTED_VALUE"""),"Bacheha-Ye aseman")</f>
        <v>Bacheha-Ye aseman</v>
      </c>
      <c r="J403" s="5" t="str">
        <f>IFERROR(__xludf.DUMMYFUNCTION("""COMPUTED_VALUE"""),"Amir Farrokh Hashemian")</f>
        <v>Amir Farrokh Hashemian</v>
      </c>
      <c r="K403" s="5" t="str">
        <f>IFERROR(__xludf.DUMMYFUNCTION("""COMPUTED_VALUE"""),"Estrela 2")</f>
        <v>Estrela 2</v>
      </c>
      <c r="P403" s="5">
        <f>IFERROR(__xludf.DUMMYFUNCTION("""COMPUTED_VALUE"""),101.0)</f>
        <v>101</v>
      </c>
      <c r="Q403" s="5" t="str">
        <f>IFERROR(__xludf.DUMMYFUNCTION("""COMPUTED_VALUE"""),"Bacheha-Ye aseman")</f>
        <v>Bacheha-Ye aseman</v>
      </c>
      <c r="R403" s="5" t="str">
        <f>IFERROR(__xludf.DUMMYFUNCTION("""COMPUTED_VALUE"""),"Amir Farrokh Hashemian")</f>
        <v>Amir Farrokh Hashemian</v>
      </c>
      <c r="S403" s="5" t="str">
        <f>IFERROR(__xludf.DUMMYFUNCTION("""COMPUTED_VALUE"""),"Estrela 2")</f>
        <v>Estrela 2</v>
      </c>
    </row>
    <row r="404">
      <c r="A404" s="1">
        <v>403.0</v>
      </c>
      <c r="B404" s="1" t="s">
        <v>2605</v>
      </c>
      <c r="C404" s="1" t="s">
        <v>2595</v>
      </c>
      <c r="D404" s="1" t="s">
        <v>2482</v>
      </c>
      <c r="E404" s="1" t="s">
        <v>2607</v>
      </c>
      <c r="F404" s="1" t="s">
        <v>2608</v>
      </c>
      <c r="G404" s="5" t="str">
        <f>IFERROR(__xludf.DUMMYFUNCTION("""COMPUTED_VALUE"""),"101🤙🏼Bacheha-Ye aseman🤙🏼Bahare Seddiqi🤙🏼Estrela 3")</f>
        <v>101🤙🏼Bacheha-Ye aseman🤙🏼Bahare Seddiqi🤙🏼Estrela 3</v>
      </c>
      <c r="H404" s="5">
        <f>IFERROR(__xludf.DUMMYFUNCTION("SPLiT(G404, ""🤙🏼"",FALSE,FALSE)"),101.0)</f>
        <v>101</v>
      </c>
      <c r="I404" s="5" t="str">
        <f>IFERROR(__xludf.DUMMYFUNCTION("""COMPUTED_VALUE"""),"Bacheha-Ye aseman")</f>
        <v>Bacheha-Ye aseman</v>
      </c>
      <c r="J404" s="5" t="str">
        <f>IFERROR(__xludf.DUMMYFUNCTION("""COMPUTED_VALUE"""),"Bahare Seddiqi")</f>
        <v>Bahare Seddiqi</v>
      </c>
      <c r="K404" s="5" t="str">
        <f>IFERROR(__xludf.DUMMYFUNCTION("""COMPUTED_VALUE"""),"Estrela 3")</f>
        <v>Estrela 3</v>
      </c>
      <c r="P404" s="5">
        <f>IFERROR(__xludf.DUMMYFUNCTION("""COMPUTED_VALUE"""),101.0)</f>
        <v>101</v>
      </c>
      <c r="Q404" s="5" t="str">
        <f>IFERROR(__xludf.DUMMYFUNCTION("""COMPUTED_VALUE"""),"Bacheha-Ye aseman")</f>
        <v>Bacheha-Ye aseman</v>
      </c>
      <c r="R404" s="5" t="str">
        <f>IFERROR(__xludf.DUMMYFUNCTION("""COMPUTED_VALUE"""),"Bahare Seddiqi")</f>
        <v>Bahare Seddiqi</v>
      </c>
      <c r="S404" s="5" t="str">
        <f>IFERROR(__xludf.DUMMYFUNCTION("""COMPUTED_VALUE"""),"Estrela 3")</f>
        <v>Estrela 3</v>
      </c>
    </row>
    <row r="405">
      <c r="A405" s="1">
        <v>404.0</v>
      </c>
      <c r="B405" s="1" t="s">
        <v>2609</v>
      </c>
      <c r="C405" s="1" t="s">
        <v>349</v>
      </c>
      <c r="D405" s="1" t="s">
        <v>2612</v>
      </c>
      <c r="E405" s="1" t="s">
        <v>2613</v>
      </c>
      <c r="F405" s="1" t="s">
        <v>2614</v>
      </c>
      <c r="G405" s="5" t="str">
        <f>IFERROR(__xludf.DUMMYFUNCTION("""COMPUTED_VALUE"""),"101🤙🏼Bacheha-Ye aseman🤙🏼Nafise Jafar-Mohammadi🤙🏼Estrela 4")</f>
        <v>101🤙🏼Bacheha-Ye aseman🤙🏼Nafise Jafar-Mohammadi🤙🏼Estrela 4</v>
      </c>
      <c r="H405" s="5">
        <f>IFERROR(__xludf.DUMMYFUNCTION("SPLiT(G405, ""🤙🏼"",FALSE,FALSE)"),101.0)</f>
        <v>101</v>
      </c>
      <c r="I405" s="5" t="str">
        <f>IFERROR(__xludf.DUMMYFUNCTION("""COMPUTED_VALUE"""),"Bacheha-Ye aseman")</f>
        <v>Bacheha-Ye aseman</v>
      </c>
      <c r="J405" s="5" t="str">
        <f>IFERROR(__xludf.DUMMYFUNCTION("""COMPUTED_VALUE"""),"Nafise Jafar-Mohammadi")</f>
        <v>Nafise Jafar-Mohammadi</v>
      </c>
      <c r="K405" s="5" t="str">
        <f>IFERROR(__xludf.DUMMYFUNCTION("""COMPUTED_VALUE"""),"Estrela 4")</f>
        <v>Estrela 4</v>
      </c>
      <c r="P405" s="5">
        <f>IFERROR(__xludf.DUMMYFUNCTION("""COMPUTED_VALUE"""),101.0)</f>
        <v>101</v>
      </c>
      <c r="Q405" s="5" t="str">
        <f>IFERROR(__xludf.DUMMYFUNCTION("""COMPUTED_VALUE"""),"Bacheha-Ye aseman")</f>
        <v>Bacheha-Ye aseman</v>
      </c>
      <c r="R405" s="5" t="str">
        <f>IFERROR(__xludf.DUMMYFUNCTION("""COMPUTED_VALUE"""),"Nafise Jafar-Mohammadi")</f>
        <v>Nafise Jafar-Mohammadi</v>
      </c>
      <c r="S405" s="5" t="str">
        <f>IFERROR(__xludf.DUMMYFUNCTION("""COMPUTED_VALUE"""),"Estrela 4")</f>
        <v>Estrela 4</v>
      </c>
    </row>
    <row r="406">
      <c r="A406" s="1">
        <v>405.0</v>
      </c>
      <c r="B406" s="1" t="s">
        <v>2615</v>
      </c>
      <c r="C406" s="1" t="s">
        <v>2618</v>
      </c>
      <c r="D406" s="1" t="s">
        <v>2486</v>
      </c>
      <c r="E406" s="1" t="s">
        <v>1375</v>
      </c>
      <c r="F406" s="1" t="s">
        <v>2619</v>
      </c>
      <c r="G406" s="5" t="str">
        <f>IFERROR(__xludf.DUMMYFUNCTION("""COMPUTED_VALUE"""),"102🤙🏼Toy Story🤙🏼Tom Hanks🤙🏼Estrela 1")</f>
        <v>102🤙🏼Toy Story🤙🏼Tom Hanks🤙🏼Estrela 1</v>
      </c>
      <c r="H406" s="5">
        <f>IFERROR(__xludf.DUMMYFUNCTION("SPLiT(G406, ""🤙🏼"",FALSE,FALSE)"),102.0)</f>
        <v>102</v>
      </c>
      <c r="I406" s="5" t="str">
        <f>IFERROR(__xludf.DUMMYFUNCTION("""COMPUTED_VALUE"""),"Toy Story")</f>
        <v>Toy Story</v>
      </c>
      <c r="J406" s="5" t="str">
        <f>IFERROR(__xludf.DUMMYFUNCTION("""COMPUTED_VALUE"""),"Tom Hanks")</f>
        <v>Tom Hanks</v>
      </c>
      <c r="K406" s="5" t="str">
        <f>IFERROR(__xludf.DUMMYFUNCTION("""COMPUTED_VALUE"""),"Estrela 1")</f>
        <v>Estrela 1</v>
      </c>
      <c r="P406" s="5">
        <f>IFERROR(__xludf.DUMMYFUNCTION("""COMPUTED_VALUE"""),102.0)</f>
        <v>102</v>
      </c>
      <c r="Q406" s="5" t="str">
        <f>IFERROR(__xludf.DUMMYFUNCTION("""COMPUTED_VALUE"""),"Toy Story")</f>
        <v>Toy Story</v>
      </c>
      <c r="R406" s="5" t="str">
        <f>IFERROR(__xludf.DUMMYFUNCTION("""COMPUTED_VALUE"""),"Tom Hanks")</f>
        <v>Tom Hanks</v>
      </c>
      <c r="S406" s="5" t="str">
        <f>IFERROR(__xludf.DUMMYFUNCTION("""COMPUTED_VALUE"""),"Estrela 1")</f>
        <v>Estrela 1</v>
      </c>
    </row>
    <row r="407">
      <c r="A407" s="1">
        <v>406.0</v>
      </c>
      <c r="B407" s="1" t="s">
        <v>2620</v>
      </c>
      <c r="C407" s="1" t="s">
        <v>2624</v>
      </c>
      <c r="D407" s="1" t="s">
        <v>2625</v>
      </c>
      <c r="E407" s="1" t="s">
        <v>2626</v>
      </c>
      <c r="F407" s="1" t="s">
        <v>2627</v>
      </c>
      <c r="G407" s="5" t="str">
        <f>IFERROR(__xludf.DUMMYFUNCTION("""COMPUTED_VALUE"""),"102🤙🏼Toy Story🤙🏼Tim Allen🤙🏼Estrela 2")</f>
        <v>102🤙🏼Toy Story🤙🏼Tim Allen🤙🏼Estrela 2</v>
      </c>
      <c r="H407" s="5">
        <f>IFERROR(__xludf.DUMMYFUNCTION("SPLiT(G407, ""🤙🏼"",FALSE,FALSE)"),102.0)</f>
        <v>102</v>
      </c>
      <c r="I407" s="5" t="str">
        <f>IFERROR(__xludf.DUMMYFUNCTION("""COMPUTED_VALUE"""),"Toy Story")</f>
        <v>Toy Story</v>
      </c>
      <c r="J407" s="5" t="str">
        <f>IFERROR(__xludf.DUMMYFUNCTION("""COMPUTED_VALUE"""),"Tim Allen")</f>
        <v>Tim Allen</v>
      </c>
      <c r="K407" s="5" t="str">
        <f>IFERROR(__xludf.DUMMYFUNCTION("""COMPUTED_VALUE"""),"Estrela 2")</f>
        <v>Estrela 2</v>
      </c>
      <c r="P407" s="5">
        <f>IFERROR(__xludf.DUMMYFUNCTION("""COMPUTED_VALUE"""),102.0)</f>
        <v>102</v>
      </c>
      <c r="Q407" s="5" t="str">
        <f>IFERROR(__xludf.DUMMYFUNCTION("""COMPUTED_VALUE"""),"Toy Story")</f>
        <v>Toy Story</v>
      </c>
      <c r="R407" s="5" t="str">
        <f>IFERROR(__xludf.DUMMYFUNCTION("""COMPUTED_VALUE"""),"Tim Allen")</f>
        <v>Tim Allen</v>
      </c>
      <c r="S407" s="5" t="str">
        <f>IFERROR(__xludf.DUMMYFUNCTION("""COMPUTED_VALUE"""),"Estrela 2")</f>
        <v>Estrela 2</v>
      </c>
    </row>
    <row r="408">
      <c r="A408" s="1">
        <v>407.0</v>
      </c>
      <c r="B408" s="1" t="s">
        <v>2628</v>
      </c>
      <c r="C408" s="1" t="s">
        <v>2631</v>
      </c>
      <c r="D408" s="1" t="s">
        <v>2632</v>
      </c>
      <c r="E408" s="1" t="s">
        <v>111</v>
      </c>
      <c r="F408" s="1" t="s">
        <v>2562</v>
      </c>
      <c r="G408" s="5" t="str">
        <f>IFERROR(__xludf.DUMMYFUNCTION("""COMPUTED_VALUE"""),"102🤙🏼Toy Story🤙🏼Don Rickles🤙🏼Estrela 3")</f>
        <v>102🤙🏼Toy Story🤙🏼Don Rickles🤙🏼Estrela 3</v>
      </c>
      <c r="H408" s="5">
        <f>IFERROR(__xludf.DUMMYFUNCTION("SPLiT(G408, ""🤙🏼"",FALSE,FALSE)"),102.0)</f>
        <v>102</v>
      </c>
      <c r="I408" s="5" t="str">
        <f>IFERROR(__xludf.DUMMYFUNCTION("""COMPUTED_VALUE"""),"Toy Story")</f>
        <v>Toy Story</v>
      </c>
      <c r="J408" s="5" t="str">
        <f>IFERROR(__xludf.DUMMYFUNCTION("""COMPUTED_VALUE"""),"Don Rickles")</f>
        <v>Don Rickles</v>
      </c>
      <c r="K408" s="5" t="str">
        <f>IFERROR(__xludf.DUMMYFUNCTION("""COMPUTED_VALUE"""),"Estrela 3")</f>
        <v>Estrela 3</v>
      </c>
      <c r="P408" s="5">
        <f>IFERROR(__xludf.DUMMYFUNCTION("""COMPUTED_VALUE"""),102.0)</f>
        <v>102</v>
      </c>
      <c r="Q408" s="5" t="str">
        <f>IFERROR(__xludf.DUMMYFUNCTION("""COMPUTED_VALUE"""),"Toy Story")</f>
        <v>Toy Story</v>
      </c>
      <c r="R408" s="5" t="str">
        <f>IFERROR(__xludf.DUMMYFUNCTION("""COMPUTED_VALUE"""),"Don Rickles")</f>
        <v>Don Rickles</v>
      </c>
      <c r="S408" s="5" t="str">
        <f>IFERROR(__xludf.DUMMYFUNCTION("""COMPUTED_VALUE"""),"Estrela 3")</f>
        <v>Estrela 3</v>
      </c>
    </row>
    <row r="409">
      <c r="A409" s="1">
        <v>408.0</v>
      </c>
      <c r="B409" s="1" t="s">
        <v>2633</v>
      </c>
      <c r="C409" s="1" t="s">
        <v>1137</v>
      </c>
      <c r="D409" s="1" t="s">
        <v>2636</v>
      </c>
      <c r="E409" s="1" t="s">
        <v>2637</v>
      </c>
      <c r="F409" s="1" t="s">
        <v>2638</v>
      </c>
      <c r="G409" s="5" t="str">
        <f>IFERROR(__xludf.DUMMYFUNCTION("""COMPUTED_VALUE"""),"102🤙🏼Toy Story🤙🏼Jim Varney🤙🏼Estrela 4")</f>
        <v>102🤙🏼Toy Story🤙🏼Jim Varney🤙🏼Estrela 4</v>
      </c>
      <c r="H409" s="5">
        <f>IFERROR(__xludf.DUMMYFUNCTION("SPLiT(G409, ""🤙🏼"",FALSE,FALSE)"),102.0)</f>
        <v>102</v>
      </c>
      <c r="I409" s="5" t="str">
        <f>IFERROR(__xludf.DUMMYFUNCTION("""COMPUTED_VALUE"""),"Toy Story")</f>
        <v>Toy Story</v>
      </c>
      <c r="J409" s="5" t="str">
        <f>IFERROR(__xludf.DUMMYFUNCTION("""COMPUTED_VALUE"""),"Jim Varney")</f>
        <v>Jim Varney</v>
      </c>
      <c r="K409" s="5" t="str">
        <f>IFERROR(__xludf.DUMMYFUNCTION("""COMPUTED_VALUE"""),"Estrela 4")</f>
        <v>Estrela 4</v>
      </c>
      <c r="P409" s="5">
        <f>IFERROR(__xludf.DUMMYFUNCTION("""COMPUTED_VALUE"""),102.0)</f>
        <v>102</v>
      </c>
      <c r="Q409" s="5" t="str">
        <f>IFERROR(__xludf.DUMMYFUNCTION("""COMPUTED_VALUE"""),"Toy Story")</f>
        <v>Toy Story</v>
      </c>
      <c r="R409" s="5" t="str">
        <f>IFERROR(__xludf.DUMMYFUNCTION("""COMPUTED_VALUE"""),"Jim Varney")</f>
        <v>Jim Varney</v>
      </c>
      <c r="S409" s="5" t="str">
        <f>IFERROR(__xludf.DUMMYFUNCTION("""COMPUTED_VALUE"""),"Estrela 4")</f>
        <v>Estrela 4</v>
      </c>
    </row>
    <row r="410">
      <c r="A410" s="1">
        <v>409.0</v>
      </c>
      <c r="B410" s="1" t="s">
        <v>2639</v>
      </c>
      <c r="C410" s="1" t="s">
        <v>2642</v>
      </c>
      <c r="D410" s="1" t="s">
        <v>2643</v>
      </c>
      <c r="E410" s="1" t="s">
        <v>2644</v>
      </c>
      <c r="F410" s="1" t="s">
        <v>2645</v>
      </c>
      <c r="G410" s="5" t="str">
        <f>IFERROR(__xludf.DUMMYFUNCTION("""COMPUTED_VALUE"""),"103🤙🏼Braveheart🤙🏼Mel Gibson🤙🏼Estrela 1")</f>
        <v>103🤙🏼Braveheart🤙🏼Mel Gibson🤙🏼Estrela 1</v>
      </c>
      <c r="H410" s="5">
        <f>IFERROR(__xludf.DUMMYFUNCTION("SPLiT(G410, ""🤙🏼"",FALSE,FALSE)"),103.0)</f>
        <v>103</v>
      </c>
      <c r="I410" s="5" t="str">
        <f>IFERROR(__xludf.DUMMYFUNCTION("""COMPUTED_VALUE"""),"Braveheart")</f>
        <v>Braveheart</v>
      </c>
      <c r="J410" s="5" t="str">
        <f>IFERROR(__xludf.DUMMYFUNCTION("""COMPUTED_VALUE"""),"Mel Gibson")</f>
        <v>Mel Gibson</v>
      </c>
      <c r="K410" s="5" t="str">
        <f>IFERROR(__xludf.DUMMYFUNCTION("""COMPUTED_VALUE"""),"Estrela 1")</f>
        <v>Estrela 1</v>
      </c>
      <c r="P410" s="5">
        <f>IFERROR(__xludf.DUMMYFUNCTION("""COMPUTED_VALUE"""),103.0)</f>
        <v>103</v>
      </c>
      <c r="Q410" s="5" t="str">
        <f>IFERROR(__xludf.DUMMYFUNCTION("""COMPUTED_VALUE"""),"Braveheart")</f>
        <v>Braveheart</v>
      </c>
      <c r="R410" s="5" t="str">
        <f>IFERROR(__xludf.DUMMYFUNCTION("""COMPUTED_VALUE"""),"Mel Gibson")</f>
        <v>Mel Gibson</v>
      </c>
      <c r="S410" s="5" t="str">
        <f>IFERROR(__xludf.DUMMYFUNCTION("""COMPUTED_VALUE"""),"Estrela 1")</f>
        <v>Estrela 1</v>
      </c>
    </row>
    <row r="411">
      <c r="A411" s="1">
        <v>410.0</v>
      </c>
      <c r="B411" s="1" t="s">
        <v>2646</v>
      </c>
      <c r="C411" s="1" t="s">
        <v>2648</v>
      </c>
      <c r="D411" s="1" t="s">
        <v>2649</v>
      </c>
      <c r="E411" s="1" t="s">
        <v>2650</v>
      </c>
      <c r="F411" s="1" t="s">
        <v>2651</v>
      </c>
      <c r="G411" s="5" t="str">
        <f>IFERROR(__xludf.DUMMYFUNCTION("""COMPUTED_VALUE"""),"103🤙🏼Braveheart🤙🏼Sophie Marceau🤙🏼Estrela 2")</f>
        <v>103🤙🏼Braveheart🤙🏼Sophie Marceau🤙🏼Estrela 2</v>
      </c>
      <c r="H411" s="5">
        <f>IFERROR(__xludf.DUMMYFUNCTION("SPLiT(G411, ""🤙🏼"",FALSE,FALSE)"),103.0)</f>
        <v>103</v>
      </c>
      <c r="I411" s="5" t="str">
        <f>IFERROR(__xludf.DUMMYFUNCTION("""COMPUTED_VALUE"""),"Braveheart")</f>
        <v>Braveheart</v>
      </c>
      <c r="J411" s="5" t="str">
        <f>IFERROR(__xludf.DUMMYFUNCTION("""COMPUTED_VALUE"""),"Sophie Marceau")</f>
        <v>Sophie Marceau</v>
      </c>
      <c r="K411" s="5" t="str">
        <f>IFERROR(__xludf.DUMMYFUNCTION("""COMPUTED_VALUE"""),"Estrela 2")</f>
        <v>Estrela 2</v>
      </c>
      <c r="P411" s="5">
        <f>IFERROR(__xludf.DUMMYFUNCTION("""COMPUTED_VALUE"""),103.0)</f>
        <v>103</v>
      </c>
      <c r="Q411" s="5" t="str">
        <f>IFERROR(__xludf.DUMMYFUNCTION("""COMPUTED_VALUE"""),"Braveheart")</f>
        <v>Braveheart</v>
      </c>
      <c r="R411" s="5" t="str">
        <f>IFERROR(__xludf.DUMMYFUNCTION("""COMPUTED_VALUE"""),"Sophie Marceau")</f>
        <v>Sophie Marceau</v>
      </c>
      <c r="S411" s="5" t="str">
        <f>IFERROR(__xludf.DUMMYFUNCTION("""COMPUTED_VALUE"""),"Estrela 2")</f>
        <v>Estrela 2</v>
      </c>
    </row>
    <row r="412">
      <c r="A412" s="1">
        <v>411.0</v>
      </c>
      <c r="B412" s="1" t="s">
        <v>2652</v>
      </c>
      <c r="C412" s="1" t="s">
        <v>363</v>
      </c>
      <c r="D412" s="1" t="s">
        <v>364</v>
      </c>
      <c r="E412" s="1" t="s">
        <v>799</v>
      </c>
      <c r="F412" s="1" t="s">
        <v>2654</v>
      </c>
      <c r="G412" s="5" t="str">
        <f>IFERROR(__xludf.DUMMYFUNCTION("""COMPUTED_VALUE"""),"103🤙🏼Braveheart🤙🏼Patrick McGoohan🤙🏼Estrela 3")</f>
        <v>103🤙🏼Braveheart🤙🏼Patrick McGoohan🤙🏼Estrela 3</v>
      </c>
      <c r="H412" s="5">
        <f>IFERROR(__xludf.DUMMYFUNCTION("SPLiT(G412, ""🤙🏼"",FALSE,FALSE)"),103.0)</f>
        <v>103</v>
      </c>
      <c r="I412" s="5" t="str">
        <f>IFERROR(__xludf.DUMMYFUNCTION("""COMPUTED_VALUE"""),"Braveheart")</f>
        <v>Braveheart</v>
      </c>
      <c r="J412" s="5" t="str">
        <f>IFERROR(__xludf.DUMMYFUNCTION("""COMPUTED_VALUE"""),"Patrick McGoohan")</f>
        <v>Patrick McGoohan</v>
      </c>
      <c r="K412" s="5" t="str">
        <f>IFERROR(__xludf.DUMMYFUNCTION("""COMPUTED_VALUE"""),"Estrela 3")</f>
        <v>Estrela 3</v>
      </c>
      <c r="P412" s="5">
        <f>IFERROR(__xludf.DUMMYFUNCTION("""COMPUTED_VALUE"""),103.0)</f>
        <v>103</v>
      </c>
      <c r="Q412" s="5" t="str">
        <f>IFERROR(__xludf.DUMMYFUNCTION("""COMPUTED_VALUE"""),"Braveheart")</f>
        <v>Braveheart</v>
      </c>
      <c r="R412" s="5" t="str">
        <f>IFERROR(__xludf.DUMMYFUNCTION("""COMPUTED_VALUE"""),"Patrick McGoohan")</f>
        <v>Patrick McGoohan</v>
      </c>
      <c r="S412" s="5" t="str">
        <f>IFERROR(__xludf.DUMMYFUNCTION("""COMPUTED_VALUE"""),"Estrela 3")</f>
        <v>Estrela 3</v>
      </c>
    </row>
    <row r="413">
      <c r="A413" s="1">
        <v>412.0</v>
      </c>
      <c r="B413" s="1" t="s">
        <v>2655</v>
      </c>
      <c r="C413" s="1" t="s">
        <v>84</v>
      </c>
      <c r="D413" s="1" t="s">
        <v>1880</v>
      </c>
      <c r="E413" s="1" t="s">
        <v>2658</v>
      </c>
      <c r="F413" s="1" t="s">
        <v>2659</v>
      </c>
      <c r="G413" s="5" t="str">
        <f>IFERROR(__xludf.DUMMYFUNCTION("""COMPUTED_VALUE"""),"103🤙🏼Braveheart🤙🏼Angus Macfadyen🤙🏼Estrela 4")</f>
        <v>103🤙🏼Braveheart🤙🏼Angus Macfadyen🤙🏼Estrela 4</v>
      </c>
      <c r="H413" s="5">
        <f>IFERROR(__xludf.DUMMYFUNCTION("SPLiT(G413, ""🤙🏼"",FALSE,FALSE)"),103.0)</f>
        <v>103</v>
      </c>
      <c r="I413" s="5" t="str">
        <f>IFERROR(__xludf.DUMMYFUNCTION("""COMPUTED_VALUE"""),"Braveheart")</f>
        <v>Braveheart</v>
      </c>
      <c r="J413" s="5" t="str">
        <f>IFERROR(__xludf.DUMMYFUNCTION("""COMPUTED_VALUE"""),"Angus Macfadyen")</f>
        <v>Angus Macfadyen</v>
      </c>
      <c r="K413" s="5" t="str">
        <f>IFERROR(__xludf.DUMMYFUNCTION("""COMPUTED_VALUE"""),"Estrela 4")</f>
        <v>Estrela 4</v>
      </c>
      <c r="P413" s="5">
        <f>IFERROR(__xludf.DUMMYFUNCTION("""COMPUTED_VALUE"""),103.0)</f>
        <v>103</v>
      </c>
      <c r="Q413" s="5" t="str">
        <f>IFERROR(__xludf.DUMMYFUNCTION("""COMPUTED_VALUE"""),"Braveheart")</f>
        <v>Braveheart</v>
      </c>
      <c r="R413" s="5" t="str">
        <f>IFERROR(__xludf.DUMMYFUNCTION("""COMPUTED_VALUE"""),"Angus Macfadyen")</f>
        <v>Angus Macfadyen</v>
      </c>
      <c r="S413" s="5" t="str">
        <f>IFERROR(__xludf.DUMMYFUNCTION("""COMPUTED_VALUE"""),"Estrela 4")</f>
        <v>Estrela 4</v>
      </c>
    </row>
    <row r="414">
      <c r="A414" s="1">
        <v>413.0</v>
      </c>
      <c r="B414" s="1" t="s">
        <v>2660</v>
      </c>
      <c r="C414" s="1" t="s">
        <v>257</v>
      </c>
      <c r="D414" s="1" t="s">
        <v>1577</v>
      </c>
      <c r="E414" s="1" t="s">
        <v>2663</v>
      </c>
      <c r="F414" s="1" t="s">
        <v>1224</v>
      </c>
      <c r="G414" s="5" t="str">
        <f>IFERROR(__xludf.DUMMYFUNCTION("""COMPUTED_VALUE"""),"104🤙🏼Reservoir Dogs🤙🏼Harvey Keitel🤙🏼Estrela 1")</f>
        <v>104🤙🏼Reservoir Dogs🤙🏼Harvey Keitel🤙🏼Estrela 1</v>
      </c>
      <c r="H414" s="5">
        <f>IFERROR(__xludf.DUMMYFUNCTION("SPLiT(G414, ""🤙🏼"",FALSE,FALSE)"),104.0)</f>
        <v>104</v>
      </c>
      <c r="I414" s="5" t="str">
        <f>IFERROR(__xludf.DUMMYFUNCTION("""COMPUTED_VALUE"""),"Reservoir Dogs")</f>
        <v>Reservoir Dogs</v>
      </c>
      <c r="J414" s="5" t="str">
        <f>IFERROR(__xludf.DUMMYFUNCTION("""COMPUTED_VALUE"""),"Harvey Keitel")</f>
        <v>Harvey Keitel</v>
      </c>
      <c r="K414" s="5" t="str">
        <f>IFERROR(__xludf.DUMMYFUNCTION("""COMPUTED_VALUE"""),"Estrela 1")</f>
        <v>Estrela 1</v>
      </c>
      <c r="P414" s="5">
        <f>IFERROR(__xludf.DUMMYFUNCTION("""COMPUTED_VALUE"""),104.0)</f>
        <v>104</v>
      </c>
      <c r="Q414" s="5" t="str">
        <f>IFERROR(__xludf.DUMMYFUNCTION("""COMPUTED_VALUE"""),"Reservoir Dogs")</f>
        <v>Reservoir Dogs</v>
      </c>
      <c r="R414" s="5" t="str">
        <f>IFERROR(__xludf.DUMMYFUNCTION("""COMPUTED_VALUE"""),"Harvey Keitel")</f>
        <v>Harvey Keitel</v>
      </c>
      <c r="S414" s="5" t="str">
        <f>IFERROR(__xludf.DUMMYFUNCTION("""COMPUTED_VALUE"""),"Estrela 1")</f>
        <v>Estrela 1</v>
      </c>
    </row>
    <row r="415">
      <c r="A415" s="1">
        <v>414.0</v>
      </c>
      <c r="B415" s="1" t="s">
        <v>2664</v>
      </c>
      <c r="C415" s="1" t="s">
        <v>604</v>
      </c>
      <c r="D415" s="1" t="s">
        <v>867</v>
      </c>
      <c r="E415" s="1" t="s">
        <v>2667</v>
      </c>
      <c r="F415" s="1" t="s">
        <v>2668</v>
      </c>
      <c r="G415" s="5" t="str">
        <f>IFERROR(__xludf.DUMMYFUNCTION("""COMPUTED_VALUE"""),"104🤙🏼Reservoir Dogs🤙🏼Tim Roth🤙🏼Estrela 2")</f>
        <v>104🤙🏼Reservoir Dogs🤙🏼Tim Roth🤙🏼Estrela 2</v>
      </c>
      <c r="H415" s="5">
        <f>IFERROR(__xludf.DUMMYFUNCTION("SPLiT(G415, ""🤙🏼"",FALSE,FALSE)"),104.0)</f>
        <v>104</v>
      </c>
      <c r="I415" s="5" t="str">
        <f>IFERROR(__xludf.DUMMYFUNCTION("""COMPUTED_VALUE"""),"Reservoir Dogs")</f>
        <v>Reservoir Dogs</v>
      </c>
      <c r="J415" s="5" t="str">
        <f>IFERROR(__xludf.DUMMYFUNCTION("""COMPUTED_VALUE"""),"Tim Roth")</f>
        <v>Tim Roth</v>
      </c>
      <c r="K415" s="5" t="str">
        <f>IFERROR(__xludf.DUMMYFUNCTION("""COMPUTED_VALUE"""),"Estrela 2")</f>
        <v>Estrela 2</v>
      </c>
      <c r="P415" s="5">
        <f>IFERROR(__xludf.DUMMYFUNCTION("""COMPUTED_VALUE"""),104.0)</f>
        <v>104</v>
      </c>
      <c r="Q415" s="5" t="str">
        <f>IFERROR(__xludf.DUMMYFUNCTION("""COMPUTED_VALUE"""),"Reservoir Dogs")</f>
        <v>Reservoir Dogs</v>
      </c>
      <c r="R415" s="5" t="str">
        <f>IFERROR(__xludf.DUMMYFUNCTION("""COMPUTED_VALUE"""),"Tim Roth")</f>
        <v>Tim Roth</v>
      </c>
      <c r="S415" s="5" t="str">
        <f>IFERROR(__xludf.DUMMYFUNCTION("""COMPUTED_VALUE"""),"Estrela 2")</f>
        <v>Estrela 2</v>
      </c>
    </row>
    <row r="416">
      <c r="A416" s="1">
        <v>415.0</v>
      </c>
      <c r="B416" s="1" t="s">
        <v>2669</v>
      </c>
      <c r="C416" s="1" t="s">
        <v>2671</v>
      </c>
      <c r="D416" s="1" t="s">
        <v>35</v>
      </c>
      <c r="E416" s="1" t="s">
        <v>2672</v>
      </c>
      <c r="F416" s="1" t="s">
        <v>2673</v>
      </c>
      <c r="G416" s="5" t="str">
        <f>IFERROR(__xludf.DUMMYFUNCTION("""COMPUTED_VALUE"""),"104🤙🏼Reservoir Dogs🤙🏼Michael Madsen🤙🏼Estrela 3")</f>
        <v>104🤙🏼Reservoir Dogs🤙🏼Michael Madsen🤙🏼Estrela 3</v>
      </c>
      <c r="H416" s="5">
        <f>IFERROR(__xludf.DUMMYFUNCTION("SPLiT(G416, ""🤙🏼"",FALSE,FALSE)"),104.0)</f>
        <v>104</v>
      </c>
      <c r="I416" s="5" t="str">
        <f>IFERROR(__xludf.DUMMYFUNCTION("""COMPUTED_VALUE"""),"Reservoir Dogs")</f>
        <v>Reservoir Dogs</v>
      </c>
      <c r="J416" s="5" t="str">
        <f>IFERROR(__xludf.DUMMYFUNCTION("""COMPUTED_VALUE"""),"Michael Madsen")</f>
        <v>Michael Madsen</v>
      </c>
      <c r="K416" s="5" t="str">
        <f>IFERROR(__xludf.DUMMYFUNCTION("""COMPUTED_VALUE"""),"Estrela 3")</f>
        <v>Estrela 3</v>
      </c>
      <c r="P416" s="5">
        <f>IFERROR(__xludf.DUMMYFUNCTION("""COMPUTED_VALUE"""),104.0)</f>
        <v>104</v>
      </c>
      <c r="Q416" s="5" t="str">
        <f>IFERROR(__xludf.DUMMYFUNCTION("""COMPUTED_VALUE"""),"Reservoir Dogs")</f>
        <v>Reservoir Dogs</v>
      </c>
      <c r="R416" s="5" t="str">
        <f>IFERROR(__xludf.DUMMYFUNCTION("""COMPUTED_VALUE"""),"Michael Madsen")</f>
        <v>Michael Madsen</v>
      </c>
      <c r="S416" s="5" t="str">
        <f>IFERROR(__xludf.DUMMYFUNCTION("""COMPUTED_VALUE"""),"Estrela 3")</f>
        <v>Estrela 3</v>
      </c>
    </row>
    <row r="417">
      <c r="A417" s="1">
        <v>416.0</v>
      </c>
      <c r="B417" s="1" t="s">
        <v>2674</v>
      </c>
      <c r="C417" s="1" t="s">
        <v>2677</v>
      </c>
      <c r="D417" s="1" t="s">
        <v>836</v>
      </c>
      <c r="E417" s="1" t="s">
        <v>2678</v>
      </c>
      <c r="F417" s="1" t="s">
        <v>2679</v>
      </c>
      <c r="G417" s="5" t="str">
        <f>IFERROR(__xludf.DUMMYFUNCTION("""COMPUTED_VALUE"""),"104🤙🏼Reservoir Dogs🤙🏼Chris Penn🤙🏼Estrela 4")</f>
        <v>104🤙🏼Reservoir Dogs🤙🏼Chris Penn🤙🏼Estrela 4</v>
      </c>
      <c r="H417" s="5">
        <f>IFERROR(__xludf.DUMMYFUNCTION("SPLiT(G417, ""🤙🏼"",FALSE,FALSE)"),104.0)</f>
        <v>104</v>
      </c>
      <c r="I417" s="5" t="str">
        <f>IFERROR(__xludf.DUMMYFUNCTION("""COMPUTED_VALUE"""),"Reservoir Dogs")</f>
        <v>Reservoir Dogs</v>
      </c>
      <c r="J417" s="5" t="str">
        <f>IFERROR(__xludf.DUMMYFUNCTION("""COMPUTED_VALUE"""),"Chris Penn")</f>
        <v>Chris Penn</v>
      </c>
      <c r="K417" s="5" t="str">
        <f>IFERROR(__xludf.DUMMYFUNCTION("""COMPUTED_VALUE"""),"Estrela 4")</f>
        <v>Estrela 4</v>
      </c>
      <c r="P417" s="5">
        <f>IFERROR(__xludf.DUMMYFUNCTION("""COMPUTED_VALUE"""),104.0)</f>
        <v>104</v>
      </c>
      <c r="Q417" s="5" t="str">
        <f>IFERROR(__xludf.DUMMYFUNCTION("""COMPUTED_VALUE"""),"Reservoir Dogs")</f>
        <v>Reservoir Dogs</v>
      </c>
      <c r="R417" s="5" t="str">
        <f>IFERROR(__xludf.DUMMYFUNCTION("""COMPUTED_VALUE"""),"Chris Penn")</f>
        <v>Chris Penn</v>
      </c>
      <c r="S417" s="5" t="str">
        <f>IFERROR(__xludf.DUMMYFUNCTION("""COMPUTED_VALUE"""),"Estrela 4")</f>
        <v>Estrela 4</v>
      </c>
    </row>
    <row r="418">
      <c r="A418" s="1">
        <v>417.0</v>
      </c>
      <c r="B418" s="1" t="s">
        <v>2680</v>
      </c>
      <c r="C418" s="1" t="s">
        <v>33</v>
      </c>
      <c r="D418" s="1" t="s">
        <v>1888</v>
      </c>
      <c r="E418" s="1" t="s">
        <v>2682</v>
      </c>
      <c r="F418" s="1" t="s">
        <v>2683</v>
      </c>
      <c r="G418" s="5" t="str">
        <f>IFERROR(__xludf.DUMMYFUNCTION("""COMPUTED_VALUE"""),"105🤙🏼Full Metal Jacket🤙🏼Matthew Modine🤙🏼Estrela 1")</f>
        <v>105🤙🏼Full Metal Jacket🤙🏼Matthew Modine🤙🏼Estrela 1</v>
      </c>
      <c r="H418" s="5">
        <f>IFERROR(__xludf.DUMMYFUNCTION("SPLiT(G418, ""🤙🏼"",FALSE,FALSE)"),105.0)</f>
        <v>105</v>
      </c>
      <c r="I418" s="5" t="str">
        <f>IFERROR(__xludf.DUMMYFUNCTION("""COMPUTED_VALUE"""),"Full Metal Jacket")</f>
        <v>Full Metal Jacket</v>
      </c>
      <c r="J418" s="5" t="str">
        <f>IFERROR(__xludf.DUMMYFUNCTION("""COMPUTED_VALUE"""),"Matthew Modine")</f>
        <v>Matthew Modine</v>
      </c>
      <c r="K418" s="5" t="str">
        <f>IFERROR(__xludf.DUMMYFUNCTION("""COMPUTED_VALUE"""),"Estrela 1")</f>
        <v>Estrela 1</v>
      </c>
      <c r="P418" s="5">
        <f>IFERROR(__xludf.DUMMYFUNCTION("""COMPUTED_VALUE"""),105.0)</f>
        <v>105</v>
      </c>
      <c r="Q418" s="5" t="str">
        <f>IFERROR(__xludf.DUMMYFUNCTION("""COMPUTED_VALUE"""),"Full Metal Jacket")</f>
        <v>Full Metal Jacket</v>
      </c>
      <c r="R418" s="5" t="str">
        <f>IFERROR(__xludf.DUMMYFUNCTION("""COMPUTED_VALUE"""),"Matthew Modine")</f>
        <v>Matthew Modine</v>
      </c>
      <c r="S418" s="5" t="str">
        <f>IFERROR(__xludf.DUMMYFUNCTION("""COMPUTED_VALUE"""),"Estrela 1")</f>
        <v>Estrela 1</v>
      </c>
    </row>
    <row r="419">
      <c r="A419" s="1">
        <v>418.0</v>
      </c>
      <c r="B419" s="1" t="s">
        <v>2684</v>
      </c>
      <c r="C419" s="1" t="s">
        <v>2687</v>
      </c>
      <c r="D419" s="1" t="s">
        <v>1920</v>
      </c>
      <c r="E419" s="1" t="s">
        <v>2688</v>
      </c>
      <c r="F419" s="1" t="s">
        <v>2689</v>
      </c>
      <c r="G419" s="5" t="str">
        <f>IFERROR(__xludf.DUMMYFUNCTION("""COMPUTED_VALUE"""),"105🤙🏼Full Metal Jacket🤙🏼R. Lee Ermey🤙🏼Estrela 2")</f>
        <v>105🤙🏼Full Metal Jacket🤙🏼R. Lee Ermey🤙🏼Estrela 2</v>
      </c>
      <c r="H419" s="5">
        <f>IFERROR(__xludf.DUMMYFUNCTION("SPLiT(G419, ""🤙🏼"",FALSE,FALSE)"),105.0)</f>
        <v>105</v>
      </c>
      <c r="I419" s="5" t="str">
        <f>IFERROR(__xludf.DUMMYFUNCTION("""COMPUTED_VALUE"""),"Full Metal Jacket")</f>
        <v>Full Metal Jacket</v>
      </c>
      <c r="J419" s="5" t="str">
        <f>IFERROR(__xludf.DUMMYFUNCTION("""COMPUTED_VALUE"""),"R. Lee Ermey")</f>
        <v>R. Lee Ermey</v>
      </c>
      <c r="K419" s="5" t="str">
        <f>IFERROR(__xludf.DUMMYFUNCTION("""COMPUTED_VALUE"""),"Estrela 2")</f>
        <v>Estrela 2</v>
      </c>
      <c r="P419" s="5">
        <f>IFERROR(__xludf.DUMMYFUNCTION("""COMPUTED_VALUE"""),105.0)</f>
        <v>105</v>
      </c>
      <c r="Q419" s="5" t="str">
        <f>IFERROR(__xludf.DUMMYFUNCTION("""COMPUTED_VALUE"""),"Full Metal Jacket")</f>
        <v>Full Metal Jacket</v>
      </c>
      <c r="R419" s="5" t="str">
        <f>IFERROR(__xludf.DUMMYFUNCTION("""COMPUTED_VALUE"""),"R. Lee Ermey")</f>
        <v>R. Lee Ermey</v>
      </c>
      <c r="S419" s="5" t="str">
        <f>IFERROR(__xludf.DUMMYFUNCTION("""COMPUTED_VALUE"""),"Estrela 2")</f>
        <v>Estrela 2</v>
      </c>
    </row>
    <row r="420">
      <c r="A420" s="1">
        <v>419.0</v>
      </c>
      <c r="B420" s="1" t="s">
        <v>2690</v>
      </c>
      <c r="C420" s="1" t="s">
        <v>1272</v>
      </c>
      <c r="D420" s="1" t="s">
        <v>2618</v>
      </c>
      <c r="E420" s="1" t="s">
        <v>2693</v>
      </c>
      <c r="F420" s="1" t="s">
        <v>2694</v>
      </c>
      <c r="G420" s="5" t="str">
        <f>IFERROR(__xludf.DUMMYFUNCTION("""COMPUTED_VALUE"""),"105🤙🏼Full Metal Jacket🤙🏼Vincent D'Onofrio🤙🏼Estrela 3")</f>
        <v>105🤙🏼Full Metal Jacket🤙🏼Vincent D'Onofrio🤙🏼Estrela 3</v>
      </c>
      <c r="H420" s="5">
        <f>IFERROR(__xludf.DUMMYFUNCTION("SPLiT(G420, ""🤙🏼"",FALSE,FALSE)"),105.0)</f>
        <v>105</v>
      </c>
      <c r="I420" s="5" t="str">
        <f>IFERROR(__xludf.DUMMYFUNCTION("""COMPUTED_VALUE"""),"Full Metal Jacket")</f>
        <v>Full Metal Jacket</v>
      </c>
      <c r="J420" s="5" t="str">
        <f>IFERROR(__xludf.DUMMYFUNCTION("""COMPUTED_VALUE"""),"Vincent D'Onofrio")</f>
        <v>Vincent D'Onofrio</v>
      </c>
      <c r="K420" s="5" t="str">
        <f>IFERROR(__xludf.DUMMYFUNCTION("""COMPUTED_VALUE"""),"Estrela 3")</f>
        <v>Estrela 3</v>
      </c>
      <c r="P420" s="5">
        <f>IFERROR(__xludf.DUMMYFUNCTION("""COMPUTED_VALUE"""),105.0)</f>
        <v>105</v>
      </c>
      <c r="Q420" s="5" t="str">
        <f>IFERROR(__xludf.DUMMYFUNCTION("""COMPUTED_VALUE"""),"Full Metal Jacket")</f>
        <v>Full Metal Jacket</v>
      </c>
      <c r="R420" s="5" t="str">
        <f>IFERROR(__xludf.DUMMYFUNCTION("""COMPUTED_VALUE"""),"Vincent D'Onofrio")</f>
        <v>Vincent D'Onofrio</v>
      </c>
      <c r="S420" s="5" t="str">
        <f>IFERROR(__xludf.DUMMYFUNCTION("""COMPUTED_VALUE"""),"Estrela 3")</f>
        <v>Estrela 3</v>
      </c>
    </row>
    <row r="421">
      <c r="A421" s="1">
        <v>420.0</v>
      </c>
      <c r="B421" s="1" t="s">
        <v>2695</v>
      </c>
      <c r="C421" s="1" t="s">
        <v>740</v>
      </c>
      <c r="D421" s="1" t="s">
        <v>1309</v>
      </c>
      <c r="E421" s="1" t="s">
        <v>2699</v>
      </c>
      <c r="F421" s="1" t="s">
        <v>57</v>
      </c>
      <c r="G421" s="5" t="str">
        <f>IFERROR(__xludf.DUMMYFUNCTION("""COMPUTED_VALUE"""),"105🤙🏼Full Metal Jacket🤙🏼Adam Baldwin🤙🏼Estrela 4")</f>
        <v>105🤙🏼Full Metal Jacket🤙🏼Adam Baldwin🤙🏼Estrela 4</v>
      </c>
      <c r="H421" s="5">
        <f>IFERROR(__xludf.DUMMYFUNCTION("SPLiT(G421, ""🤙🏼"",FALSE,FALSE)"),105.0)</f>
        <v>105</v>
      </c>
      <c r="I421" s="5" t="str">
        <f>IFERROR(__xludf.DUMMYFUNCTION("""COMPUTED_VALUE"""),"Full Metal Jacket")</f>
        <v>Full Metal Jacket</v>
      </c>
      <c r="J421" s="5" t="str">
        <f>IFERROR(__xludf.DUMMYFUNCTION("""COMPUTED_VALUE"""),"Adam Baldwin")</f>
        <v>Adam Baldwin</v>
      </c>
      <c r="K421" s="5" t="str">
        <f>IFERROR(__xludf.DUMMYFUNCTION("""COMPUTED_VALUE"""),"Estrela 4")</f>
        <v>Estrela 4</v>
      </c>
      <c r="P421" s="5">
        <f>IFERROR(__xludf.DUMMYFUNCTION("""COMPUTED_VALUE"""),105.0)</f>
        <v>105</v>
      </c>
      <c r="Q421" s="5" t="str">
        <f>IFERROR(__xludf.DUMMYFUNCTION("""COMPUTED_VALUE"""),"Full Metal Jacket")</f>
        <v>Full Metal Jacket</v>
      </c>
      <c r="R421" s="5" t="str">
        <f>IFERROR(__xludf.DUMMYFUNCTION("""COMPUTED_VALUE"""),"Adam Baldwin")</f>
        <v>Adam Baldwin</v>
      </c>
      <c r="S421" s="5" t="str">
        <f>IFERROR(__xludf.DUMMYFUNCTION("""COMPUTED_VALUE"""),"Estrela 4")</f>
        <v>Estrela 4</v>
      </c>
    </row>
    <row r="422">
      <c r="A422" s="1">
        <v>421.0</v>
      </c>
      <c r="B422" s="1" t="s">
        <v>2700</v>
      </c>
      <c r="C422" s="1" t="s">
        <v>2081</v>
      </c>
      <c r="D422" s="1" t="s">
        <v>45</v>
      </c>
      <c r="E422" s="1" t="s">
        <v>2702</v>
      </c>
      <c r="F422" s="1" t="s">
        <v>2703</v>
      </c>
      <c r="G422" s="5" t="str">
        <f>IFERROR(__xludf.DUMMYFUNCTION("""COMPUTED_VALUE"""),"106🤙🏼Idi i smotri🤙🏼Aleksey Kravchenko🤙🏼Estrela 1")</f>
        <v>106🤙🏼Idi i smotri🤙🏼Aleksey Kravchenko🤙🏼Estrela 1</v>
      </c>
      <c r="H422" s="5">
        <f>IFERROR(__xludf.DUMMYFUNCTION("SPLiT(G422, ""🤙🏼"",FALSE,FALSE)"),106.0)</f>
        <v>106</v>
      </c>
      <c r="I422" s="5" t="str">
        <f>IFERROR(__xludf.DUMMYFUNCTION("""COMPUTED_VALUE"""),"Idi i smotri")</f>
        <v>Idi i smotri</v>
      </c>
      <c r="J422" s="5" t="str">
        <f>IFERROR(__xludf.DUMMYFUNCTION("""COMPUTED_VALUE"""),"Aleksey Kravchenko")</f>
        <v>Aleksey Kravchenko</v>
      </c>
      <c r="K422" s="5" t="str">
        <f>IFERROR(__xludf.DUMMYFUNCTION("""COMPUTED_VALUE"""),"Estrela 1")</f>
        <v>Estrela 1</v>
      </c>
      <c r="P422" s="5">
        <f>IFERROR(__xludf.DUMMYFUNCTION("""COMPUTED_VALUE"""),106.0)</f>
        <v>106</v>
      </c>
      <c r="Q422" s="5" t="str">
        <f>IFERROR(__xludf.DUMMYFUNCTION("""COMPUTED_VALUE"""),"Idi i smotri")</f>
        <v>Idi i smotri</v>
      </c>
      <c r="R422" s="5" t="str">
        <f>IFERROR(__xludf.DUMMYFUNCTION("""COMPUTED_VALUE"""),"Aleksey Kravchenko")</f>
        <v>Aleksey Kravchenko</v>
      </c>
      <c r="S422" s="5" t="str">
        <f>IFERROR(__xludf.DUMMYFUNCTION("""COMPUTED_VALUE"""),"Estrela 1")</f>
        <v>Estrela 1</v>
      </c>
    </row>
    <row r="423">
      <c r="A423" s="1">
        <v>422.0</v>
      </c>
      <c r="B423" s="1" t="s">
        <v>2704</v>
      </c>
      <c r="C423" s="1" t="s">
        <v>2706</v>
      </c>
      <c r="D423" s="1" t="s">
        <v>1727</v>
      </c>
      <c r="E423" s="1" t="s">
        <v>827</v>
      </c>
      <c r="F423" s="1" t="s">
        <v>2707</v>
      </c>
      <c r="G423" s="5" t="str">
        <f>IFERROR(__xludf.DUMMYFUNCTION("""COMPUTED_VALUE"""),"106🤙🏼Idi i smotri🤙🏼Olga Mironova🤙🏼Estrela 2")</f>
        <v>106🤙🏼Idi i smotri🤙🏼Olga Mironova🤙🏼Estrela 2</v>
      </c>
      <c r="H423" s="5">
        <f>IFERROR(__xludf.DUMMYFUNCTION("SPLiT(G423, ""🤙🏼"",FALSE,FALSE)"),106.0)</f>
        <v>106</v>
      </c>
      <c r="I423" s="5" t="str">
        <f>IFERROR(__xludf.DUMMYFUNCTION("""COMPUTED_VALUE"""),"Idi i smotri")</f>
        <v>Idi i smotri</v>
      </c>
      <c r="J423" s="5" t="str">
        <f>IFERROR(__xludf.DUMMYFUNCTION("""COMPUTED_VALUE"""),"Olga Mironova")</f>
        <v>Olga Mironova</v>
      </c>
      <c r="K423" s="5" t="str">
        <f>IFERROR(__xludf.DUMMYFUNCTION("""COMPUTED_VALUE"""),"Estrela 2")</f>
        <v>Estrela 2</v>
      </c>
      <c r="P423" s="5">
        <f>IFERROR(__xludf.DUMMYFUNCTION("""COMPUTED_VALUE"""),106.0)</f>
        <v>106</v>
      </c>
      <c r="Q423" s="5" t="str">
        <f>IFERROR(__xludf.DUMMYFUNCTION("""COMPUTED_VALUE"""),"Idi i smotri")</f>
        <v>Idi i smotri</v>
      </c>
      <c r="R423" s="5" t="str">
        <f>IFERROR(__xludf.DUMMYFUNCTION("""COMPUTED_VALUE"""),"Olga Mironova")</f>
        <v>Olga Mironova</v>
      </c>
      <c r="S423" s="5" t="str">
        <f>IFERROR(__xludf.DUMMYFUNCTION("""COMPUTED_VALUE"""),"Estrela 2")</f>
        <v>Estrela 2</v>
      </c>
    </row>
    <row r="424">
      <c r="A424" s="1">
        <v>423.0</v>
      </c>
      <c r="B424" s="1" t="s">
        <v>2708</v>
      </c>
      <c r="C424" s="1" t="s">
        <v>2712</v>
      </c>
      <c r="D424" s="1" t="s">
        <v>2713</v>
      </c>
      <c r="E424" s="1" t="s">
        <v>2714</v>
      </c>
      <c r="F424" s="1" t="s">
        <v>2715</v>
      </c>
      <c r="G424" s="5" t="str">
        <f>IFERROR(__xludf.DUMMYFUNCTION("""COMPUTED_VALUE"""),"106🤙🏼Idi i smotri🤙🏼Liubomiras Laucevicius🤙🏼Estrela 3")</f>
        <v>106🤙🏼Idi i smotri🤙🏼Liubomiras Laucevicius🤙🏼Estrela 3</v>
      </c>
      <c r="H424" s="5">
        <f>IFERROR(__xludf.DUMMYFUNCTION("SPLiT(G424, ""🤙🏼"",FALSE,FALSE)"),106.0)</f>
        <v>106</v>
      </c>
      <c r="I424" s="5" t="str">
        <f>IFERROR(__xludf.DUMMYFUNCTION("""COMPUTED_VALUE"""),"Idi i smotri")</f>
        <v>Idi i smotri</v>
      </c>
      <c r="J424" s="5" t="str">
        <f>IFERROR(__xludf.DUMMYFUNCTION("""COMPUTED_VALUE"""),"Liubomiras Laucevicius")</f>
        <v>Liubomiras Laucevicius</v>
      </c>
      <c r="K424" s="5" t="str">
        <f>IFERROR(__xludf.DUMMYFUNCTION("""COMPUTED_VALUE"""),"Estrela 3")</f>
        <v>Estrela 3</v>
      </c>
      <c r="P424" s="5">
        <f>IFERROR(__xludf.DUMMYFUNCTION("""COMPUTED_VALUE"""),106.0)</f>
        <v>106</v>
      </c>
      <c r="Q424" s="5" t="str">
        <f>IFERROR(__xludf.DUMMYFUNCTION("""COMPUTED_VALUE"""),"Idi i smotri")</f>
        <v>Idi i smotri</v>
      </c>
      <c r="R424" s="5" t="str">
        <f>IFERROR(__xludf.DUMMYFUNCTION("""COMPUTED_VALUE"""),"Liubomiras Laucevicius")</f>
        <v>Liubomiras Laucevicius</v>
      </c>
      <c r="S424" s="5" t="str">
        <f>IFERROR(__xludf.DUMMYFUNCTION("""COMPUTED_VALUE"""),"Estrela 3")</f>
        <v>Estrela 3</v>
      </c>
    </row>
    <row r="425">
      <c r="A425" s="1">
        <v>424.0</v>
      </c>
      <c r="B425" s="1" t="s">
        <v>2716</v>
      </c>
      <c r="C425" s="1" t="s">
        <v>1773</v>
      </c>
      <c r="D425" s="1" t="s">
        <v>2720</v>
      </c>
      <c r="E425" s="1" t="s">
        <v>2721</v>
      </c>
      <c r="F425" s="1" t="s">
        <v>2722</v>
      </c>
      <c r="G425" s="5" t="str">
        <f>IFERROR(__xludf.DUMMYFUNCTION("""COMPUTED_VALUE"""),"106🤙🏼Idi i smotri🤙🏼Vladas Bagdonas🤙🏼Estrela 4")</f>
        <v>106🤙🏼Idi i smotri🤙🏼Vladas Bagdonas🤙🏼Estrela 4</v>
      </c>
      <c r="H425" s="5">
        <f>IFERROR(__xludf.DUMMYFUNCTION("SPLiT(G425, ""🤙🏼"",FALSE,FALSE)"),106.0)</f>
        <v>106</v>
      </c>
      <c r="I425" s="5" t="str">
        <f>IFERROR(__xludf.DUMMYFUNCTION("""COMPUTED_VALUE"""),"Idi i smotri")</f>
        <v>Idi i smotri</v>
      </c>
      <c r="J425" s="5" t="str">
        <f>IFERROR(__xludf.DUMMYFUNCTION("""COMPUTED_VALUE"""),"Vladas Bagdonas")</f>
        <v>Vladas Bagdonas</v>
      </c>
      <c r="K425" s="5" t="str">
        <f>IFERROR(__xludf.DUMMYFUNCTION("""COMPUTED_VALUE"""),"Estrela 4")</f>
        <v>Estrela 4</v>
      </c>
      <c r="P425" s="5">
        <f>IFERROR(__xludf.DUMMYFUNCTION("""COMPUTED_VALUE"""),106.0)</f>
        <v>106</v>
      </c>
      <c r="Q425" s="5" t="str">
        <f>IFERROR(__xludf.DUMMYFUNCTION("""COMPUTED_VALUE"""),"Idi i smotri")</f>
        <v>Idi i smotri</v>
      </c>
      <c r="R425" s="5" t="str">
        <f>IFERROR(__xludf.DUMMYFUNCTION("""COMPUTED_VALUE"""),"Vladas Bagdonas")</f>
        <v>Vladas Bagdonas</v>
      </c>
      <c r="S425" s="5" t="str">
        <f>IFERROR(__xludf.DUMMYFUNCTION("""COMPUTED_VALUE"""),"Estrela 4")</f>
        <v>Estrela 4</v>
      </c>
    </row>
    <row r="426">
      <c r="A426" s="1">
        <v>425.0</v>
      </c>
      <c r="B426" s="1" t="s">
        <v>2723</v>
      </c>
      <c r="C426" s="1" t="s">
        <v>834</v>
      </c>
      <c r="D426" s="1" t="s">
        <v>835</v>
      </c>
      <c r="E426" s="1" t="s">
        <v>2725</v>
      </c>
      <c r="F426" s="1" t="s">
        <v>1944</v>
      </c>
      <c r="G426" s="5" t="str">
        <f>IFERROR(__xludf.DUMMYFUNCTION("""COMPUTED_VALUE"""),"107🤙🏼Aliens🤙🏼Sigourney Weaver🤙🏼Estrela 1")</f>
        <v>107🤙🏼Aliens🤙🏼Sigourney Weaver🤙🏼Estrela 1</v>
      </c>
      <c r="H426" s="5">
        <f>IFERROR(__xludf.DUMMYFUNCTION("SPLiT(G426, ""🤙🏼"",FALSE,FALSE)"),107.0)</f>
        <v>107</v>
      </c>
      <c r="I426" s="5" t="str">
        <f>IFERROR(__xludf.DUMMYFUNCTION("""COMPUTED_VALUE"""),"Aliens")</f>
        <v>Aliens</v>
      </c>
      <c r="J426" s="5" t="str">
        <f>IFERROR(__xludf.DUMMYFUNCTION("""COMPUTED_VALUE"""),"Sigourney Weaver")</f>
        <v>Sigourney Weaver</v>
      </c>
      <c r="K426" s="5" t="str">
        <f>IFERROR(__xludf.DUMMYFUNCTION("""COMPUTED_VALUE"""),"Estrela 1")</f>
        <v>Estrela 1</v>
      </c>
      <c r="P426" s="5">
        <f>IFERROR(__xludf.DUMMYFUNCTION("""COMPUTED_VALUE"""),107.0)</f>
        <v>107</v>
      </c>
      <c r="Q426" s="5" t="str">
        <f>IFERROR(__xludf.DUMMYFUNCTION("""COMPUTED_VALUE"""),"Aliens")</f>
        <v>Aliens</v>
      </c>
      <c r="R426" s="5" t="str">
        <f>IFERROR(__xludf.DUMMYFUNCTION("""COMPUTED_VALUE"""),"Sigourney Weaver")</f>
        <v>Sigourney Weaver</v>
      </c>
      <c r="S426" s="5" t="str">
        <f>IFERROR(__xludf.DUMMYFUNCTION("""COMPUTED_VALUE"""),"Estrela 1")</f>
        <v>Estrela 1</v>
      </c>
    </row>
    <row r="427">
      <c r="A427" s="1">
        <v>426.0</v>
      </c>
      <c r="B427" s="1" t="s">
        <v>2726</v>
      </c>
      <c r="C427" s="1" t="s">
        <v>2728</v>
      </c>
      <c r="D427" s="1" t="s">
        <v>2729</v>
      </c>
      <c r="E427" s="1" t="s">
        <v>2730</v>
      </c>
      <c r="F427" s="1" t="s">
        <v>2731</v>
      </c>
      <c r="G427" s="5" t="str">
        <f>IFERROR(__xludf.DUMMYFUNCTION("""COMPUTED_VALUE"""),"107🤙🏼Aliens🤙🏼Michael Biehn🤙🏼Estrela 2")</f>
        <v>107🤙🏼Aliens🤙🏼Michael Biehn🤙🏼Estrela 2</v>
      </c>
      <c r="H427" s="5">
        <f>IFERROR(__xludf.DUMMYFUNCTION("SPLiT(G427, ""🤙🏼"",FALSE,FALSE)"),107.0)</f>
        <v>107</v>
      </c>
      <c r="I427" s="5" t="str">
        <f>IFERROR(__xludf.DUMMYFUNCTION("""COMPUTED_VALUE"""),"Aliens")</f>
        <v>Aliens</v>
      </c>
      <c r="J427" s="5" t="str">
        <f>IFERROR(__xludf.DUMMYFUNCTION("""COMPUTED_VALUE"""),"Michael Biehn")</f>
        <v>Michael Biehn</v>
      </c>
      <c r="K427" s="5" t="str">
        <f>IFERROR(__xludf.DUMMYFUNCTION("""COMPUTED_VALUE"""),"Estrela 2")</f>
        <v>Estrela 2</v>
      </c>
      <c r="P427" s="5">
        <f>IFERROR(__xludf.DUMMYFUNCTION("""COMPUTED_VALUE"""),107.0)</f>
        <v>107</v>
      </c>
      <c r="Q427" s="5" t="str">
        <f>IFERROR(__xludf.DUMMYFUNCTION("""COMPUTED_VALUE"""),"Aliens")</f>
        <v>Aliens</v>
      </c>
      <c r="R427" s="5" t="str">
        <f>IFERROR(__xludf.DUMMYFUNCTION("""COMPUTED_VALUE"""),"Michael Biehn")</f>
        <v>Michael Biehn</v>
      </c>
      <c r="S427" s="5" t="str">
        <f>IFERROR(__xludf.DUMMYFUNCTION("""COMPUTED_VALUE"""),"Estrela 2")</f>
        <v>Estrela 2</v>
      </c>
    </row>
    <row r="428">
      <c r="A428" s="1">
        <v>427.0</v>
      </c>
      <c r="B428" s="1" t="s">
        <v>2732</v>
      </c>
      <c r="C428" s="1" t="s">
        <v>2013</v>
      </c>
      <c r="D428" s="1" t="s">
        <v>2734</v>
      </c>
      <c r="E428" s="1" t="s">
        <v>2735</v>
      </c>
      <c r="F428" s="1" t="s">
        <v>2736</v>
      </c>
      <c r="G428" s="5" t="str">
        <f>IFERROR(__xludf.DUMMYFUNCTION("""COMPUTED_VALUE"""),"107🤙🏼Aliens🤙🏼Carrie Henn🤙🏼Estrela 3")</f>
        <v>107🤙🏼Aliens🤙🏼Carrie Henn🤙🏼Estrela 3</v>
      </c>
      <c r="H428" s="5">
        <f>IFERROR(__xludf.DUMMYFUNCTION("SPLiT(G428, ""🤙🏼"",FALSE,FALSE)"),107.0)</f>
        <v>107</v>
      </c>
      <c r="I428" s="5" t="str">
        <f>IFERROR(__xludf.DUMMYFUNCTION("""COMPUTED_VALUE"""),"Aliens")</f>
        <v>Aliens</v>
      </c>
      <c r="J428" s="5" t="str">
        <f>IFERROR(__xludf.DUMMYFUNCTION("""COMPUTED_VALUE"""),"Carrie Henn")</f>
        <v>Carrie Henn</v>
      </c>
      <c r="K428" s="5" t="str">
        <f>IFERROR(__xludf.DUMMYFUNCTION("""COMPUTED_VALUE"""),"Estrela 3")</f>
        <v>Estrela 3</v>
      </c>
      <c r="P428" s="5">
        <f>IFERROR(__xludf.DUMMYFUNCTION("""COMPUTED_VALUE"""),107.0)</f>
        <v>107</v>
      </c>
      <c r="Q428" s="5" t="str">
        <f>IFERROR(__xludf.DUMMYFUNCTION("""COMPUTED_VALUE"""),"Aliens")</f>
        <v>Aliens</v>
      </c>
      <c r="R428" s="5" t="str">
        <f>IFERROR(__xludf.DUMMYFUNCTION("""COMPUTED_VALUE"""),"Carrie Henn")</f>
        <v>Carrie Henn</v>
      </c>
      <c r="S428" s="5" t="str">
        <f>IFERROR(__xludf.DUMMYFUNCTION("""COMPUTED_VALUE"""),"Estrela 3")</f>
        <v>Estrela 3</v>
      </c>
    </row>
    <row r="429">
      <c r="A429" s="1">
        <v>428.0</v>
      </c>
      <c r="B429" s="1" t="s">
        <v>2737</v>
      </c>
      <c r="C429" s="1" t="s">
        <v>2618</v>
      </c>
      <c r="D429" s="1" t="s">
        <v>1879</v>
      </c>
      <c r="E429" s="1" t="s">
        <v>2725</v>
      </c>
      <c r="F429" s="1" t="s">
        <v>2740</v>
      </c>
      <c r="G429" s="5" t="str">
        <f>IFERROR(__xludf.DUMMYFUNCTION("""COMPUTED_VALUE"""),"107🤙🏼Aliens🤙🏼Paul Reiser🤙🏼Estrela 4")</f>
        <v>107🤙🏼Aliens🤙🏼Paul Reiser🤙🏼Estrela 4</v>
      </c>
      <c r="H429" s="5">
        <f>IFERROR(__xludf.DUMMYFUNCTION("SPLiT(G429, ""🤙🏼"",FALSE,FALSE)"),107.0)</f>
        <v>107</v>
      </c>
      <c r="I429" s="5" t="str">
        <f>IFERROR(__xludf.DUMMYFUNCTION("""COMPUTED_VALUE"""),"Aliens")</f>
        <v>Aliens</v>
      </c>
      <c r="J429" s="5" t="str">
        <f>IFERROR(__xludf.DUMMYFUNCTION("""COMPUTED_VALUE"""),"Paul Reiser")</f>
        <v>Paul Reiser</v>
      </c>
      <c r="K429" s="5" t="str">
        <f>IFERROR(__xludf.DUMMYFUNCTION("""COMPUTED_VALUE"""),"Estrela 4")</f>
        <v>Estrela 4</v>
      </c>
      <c r="P429" s="5">
        <f>IFERROR(__xludf.DUMMYFUNCTION("""COMPUTED_VALUE"""),107.0)</f>
        <v>107</v>
      </c>
      <c r="Q429" s="5" t="str">
        <f>IFERROR(__xludf.DUMMYFUNCTION("""COMPUTED_VALUE"""),"Aliens")</f>
        <v>Aliens</v>
      </c>
      <c r="R429" s="5" t="str">
        <f>IFERROR(__xludf.DUMMYFUNCTION("""COMPUTED_VALUE"""),"Paul Reiser")</f>
        <v>Paul Reiser</v>
      </c>
      <c r="S429" s="5" t="str">
        <f>IFERROR(__xludf.DUMMYFUNCTION("""COMPUTED_VALUE"""),"Estrela 4")</f>
        <v>Estrela 4</v>
      </c>
    </row>
    <row r="430">
      <c r="A430" s="1">
        <v>429.0</v>
      </c>
      <c r="B430" s="1" t="s">
        <v>2741</v>
      </c>
      <c r="C430" s="1" t="s">
        <v>2743</v>
      </c>
      <c r="D430" s="1" t="s">
        <v>2744</v>
      </c>
      <c r="E430" s="1" t="s">
        <v>2745</v>
      </c>
      <c r="F430" s="1" t="s">
        <v>2746</v>
      </c>
      <c r="G430" s="5" t="str">
        <f>IFERROR(__xludf.DUMMYFUNCTION("""COMPUTED_VALUE"""),"108🤙🏼Amadeus🤙🏼F. Murray Abraham🤙🏼Estrela 1")</f>
        <v>108🤙🏼Amadeus🤙🏼F. Murray Abraham🤙🏼Estrela 1</v>
      </c>
      <c r="H430" s="5">
        <f>IFERROR(__xludf.DUMMYFUNCTION("SPLiT(G430, ""🤙🏼"",FALSE,FALSE)"),108.0)</f>
        <v>108</v>
      </c>
      <c r="I430" s="5" t="str">
        <f>IFERROR(__xludf.DUMMYFUNCTION("""COMPUTED_VALUE"""),"Amadeus")</f>
        <v>Amadeus</v>
      </c>
      <c r="J430" s="5" t="str">
        <f>IFERROR(__xludf.DUMMYFUNCTION("""COMPUTED_VALUE"""),"F. Murray Abraham")</f>
        <v>F. Murray Abraham</v>
      </c>
      <c r="K430" s="5" t="str">
        <f>IFERROR(__xludf.DUMMYFUNCTION("""COMPUTED_VALUE"""),"Estrela 1")</f>
        <v>Estrela 1</v>
      </c>
      <c r="P430" s="5">
        <f>IFERROR(__xludf.DUMMYFUNCTION("""COMPUTED_VALUE"""),108.0)</f>
        <v>108</v>
      </c>
      <c r="Q430" s="5" t="str">
        <f>IFERROR(__xludf.DUMMYFUNCTION("""COMPUTED_VALUE"""),"Amadeus")</f>
        <v>Amadeus</v>
      </c>
      <c r="R430" s="5" t="str">
        <f>IFERROR(__xludf.DUMMYFUNCTION("""COMPUTED_VALUE"""),"F. Murray Abraham")</f>
        <v>F. Murray Abraham</v>
      </c>
      <c r="S430" s="5" t="str">
        <f>IFERROR(__xludf.DUMMYFUNCTION("""COMPUTED_VALUE"""),"Estrela 1")</f>
        <v>Estrela 1</v>
      </c>
    </row>
    <row r="431">
      <c r="A431" s="1">
        <v>430.0</v>
      </c>
      <c r="B431" s="1" t="s">
        <v>2747</v>
      </c>
      <c r="C431" s="1" t="s">
        <v>2750</v>
      </c>
      <c r="D431" s="1" t="s">
        <v>1152</v>
      </c>
      <c r="E431" s="1" t="s">
        <v>2751</v>
      </c>
      <c r="F431" s="1" t="s">
        <v>2752</v>
      </c>
      <c r="G431" s="5" t="str">
        <f>IFERROR(__xludf.DUMMYFUNCTION("""COMPUTED_VALUE"""),"108🤙🏼Amadeus🤙🏼Tom Hulce🤙🏼Estrela 2")</f>
        <v>108🤙🏼Amadeus🤙🏼Tom Hulce🤙🏼Estrela 2</v>
      </c>
      <c r="H431" s="5">
        <f>IFERROR(__xludf.DUMMYFUNCTION("SPLiT(G431, ""🤙🏼"",FALSE,FALSE)"),108.0)</f>
        <v>108</v>
      </c>
      <c r="I431" s="5" t="str">
        <f>IFERROR(__xludf.DUMMYFUNCTION("""COMPUTED_VALUE"""),"Amadeus")</f>
        <v>Amadeus</v>
      </c>
      <c r="J431" s="5" t="str">
        <f>IFERROR(__xludf.DUMMYFUNCTION("""COMPUTED_VALUE"""),"Tom Hulce")</f>
        <v>Tom Hulce</v>
      </c>
      <c r="K431" s="5" t="str">
        <f>IFERROR(__xludf.DUMMYFUNCTION("""COMPUTED_VALUE"""),"Estrela 2")</f>
        <v>Estrela 2</v>
      </c>
      <c r="P431" s="5">
        <f>IFERROR(__xludf.DUMMYFUNCTION("""COMPUTED_VALUE"""),108.0)</f>
        <v>108</v>
      </c>
      <c r="Q431" s="5" t="str">
        <f>IFERROR(__xludf.DUMMYFUNCTION("""COMPUTED_VALUE"""),"Amadeus")</f>
        <v>Amadeus</v>
      </c>
      <c r="R431" s="5" t="str">
        <f>IFERROR(__xludf.DUMMYFUNCTION("""COMPUTED_VALUE"""),"Tom Hulce")</f>
        <v>Tom Hulce</v>
      </c>
      <c r="S431" s="5" t="str">
        <f>IFERROR(__xludf.DUMMYFUNCTION("""COMPUTED_VALUE"""),"Estrela 2")</f>
        <v>Estrela 2</v>
      </c>
    </row>
    <row r="432">
      <c r="A432" s="1">
        <v>431.0</v>
      </c>
      <c r="B432" s="1" t="s">
        <v>2753</v>
      </c>
      <c r="C432" s="1" t="s">
        <v>2756</v>
      </c>
      <c r="D432" s="1" t="s">
        <v>2757</v>
      </c>
      <c r="E432" s="1" t="s">
        <v>2758</v>
      </c>
      <c r="F432" s="1" t="s">
        <v>2038</v>
      </c>
      <c r="G432" s="5" t="str">
        <f>IFERROR(__xludf.DUMMYFUNCTION("""COMPUTED_VALUE"""),"108🤙🏼Amadeus🤙🏼Elizabeth Berridge🤙🏼Estrela 3")</f>
        <v>108🤙🏼Amadeus🤙🏼Elizabeth Berridge🤙🏼Estrela 3</v>
      </c>
      <c r="H432" s="5">
        <f>IFERROR(__xludf.DUMMYFUNCTION("SPLiT(G432, ""🤙🏼"",FALSE,FALSE)"),108.0)</f>
        <v>108</v>
      </c>
      <c r="I432" s="5" t="str">
        <f>IFERROR(__xludf.DUMMYFUNCTION("""COMPUTED_VALUE"""),"Amadeus")</f>
        <v>Amadeus</v>
      </c>
      <c r="J432" s="5" t="str">
        <f>IFERROR(__xludf.DUMMYFUNCTION("""COMPUTED_VALUE"""),"Elizabeth Berridge")</f>
        <v>Elizabeth Berridge</v>
      </c>
      <c r="K432" s="5" t="str">
        <f>IFERROR(__xludf.DUMMYFUNCTION("""COMPUTED_VALUE"""),"Estrela 3")</f>
        <v>Estrela 3</v>
      </c>
      <c r="P432" s="5">
        <f>IFERROR(__xludf.DUMMYFUNCTION("""COMPUTED_VALUE"""),108.0)</f>
        <v>108</v>
      </c>
      <c r="Q432" s="5" t="str">
        <f>IFERROR(__xludf.DUMMYFUNCTION("""COMPUTED_VALUE"""),"Amadeus")</f>
        <v>Amadeus</v>
      </c>
      <c r="R432" s="5" t="str">
        <f>IFERROR(__xludf.DUMMYFUNCTION("""COMPUTED_VALUE"""),"Elizabeth Berridge")</f>
        <v>Elizabeth Berridge</v>
      </c>
      <c r="S432" s="5" t="str">
        <f>IFERROR(__xludf.DUMMYFUNCTION("""COMPUTED_VALUE"""),"Estrela 3")</f>
        <v>Estrela 3</v>
      </c>
    </row>
    <row r="433">
      <c r="A433" s="1">
        <v>432.0</v>
      </c>
      <c r="B433" s="1" t="s">
        <v>2759</v>
      </c>
      <c r="C433" s="1" t="s">
        <v>119</v>
      </c>
      <c r="D433" s="1" t="s">
        <v>854</v>
      </c>
      <c r="E433" s="1" t="s">
        <v>2762</v>
      </c>
      <c r="F433" s="1" t="s">
        <v>2763</v>
      </c>
      <c r="G433" s="5" t="str">
        <f>IFERROR(__xludf.DUMMYFUNCTION("""COMPUTED_VALUE"""),"108🤙🏼Amadeus🤙🏼Roy Dotrice🤙🏼Estrela 4")</f>
        <v>108🤙🏼Amadeus🤙🏼Roy Dotrice🤙🏼Estrela 4</v>
      </c>
      <c r="H433" s="5">
        <f>IFERROR(__xludf.DUMMYFUNCTION("SPLiT(G433, ""🤙🏼"",FALSE,FALSE)"),108.0)</f>
        <v>108</v>
      </c>
      <c r="I433" s="5" t="str">
        <f>IFERROR(__xludf.DUMMYFUNCTION("""COMPUTED_VALUE"""),"Amadeus")</f>
        <v>Amadeus</v>
      </c>
      <c r="J433" s="5" t="str">
        <f>IFERROR(__xludf.DUMMYFUNCTION("""COMPUTED_VALUE"""),"Roy Dotrice")</f>
        <v>Roy Dotrice</v>
      </c>
      <c r="K433" s="5" t="str">
        <f>IFERROR(__xludf.DUMMYFUNCTION("""COMPUTED_VALUE"""),"Estrela 4")</f>
        <v>Estrela 4</v>
      </c>
      <c r="P433" s="5">
        <f>IFERROR(__xludf.DUMMYFUNCTION("""COMPUTED_VALUE"""),108.0)</f>
        <v>108</v>
      </c>
      <c r="Q433" s="5" t="str">
        <f>IFERROR(__xludf.DUMMYFUNCTION("""COMPUTED_VALUE"""),"Amadeus")</f>
        <v>Amadeus</v>
      </c>
      <c r="R433" s="5" t="str">
        <f>IFERROR(__xludf.DUMMYFUNCTION("""COMPUTED_VALUE"""),"Roy Dotrice")</f>
        <v>Roy Dotrice</v>
      </c>
      <c r="S433" s="5" t="str">
        <f>IFERROR(__xludf.DUMMYFUNCTION("""COMPUTED_VALUE"""),"Estrela 4")</f>
        <v>Estrela 4</v>
      </c>
    </row>
    <row r="434">
      <c r="A434" s="1">
        <v>433.0</v>
      </c>
      <c r="B434" s="1" t="s">
        <v>2764</v>
      </c>
      <c r="C434" s="1" t="s">
        <v>2767</v>
      </c>
      <c r="D434" s="1" t="s">
        <v>2768</v>
      </c>
      <c r="E434" s="1" t="s">
        <v>393</v>
      </c>
      <c r="F434" s="1" t="s">
        <v>2769</v>
      </c>
      <c r="G434" s="5" t="str">
        <f>IFERROR(__xludf.DUMMYFUNCTION("""COMPUTED_VALUE"""),"109🤙🏼Scarface🤙🏼Al Pacino🤙🏼Estrela 1")</f>
        <v>109🤙🏼Scarface🤙🏼Al Pacino🤙🏼Estrela 1</v>
      </c>
      <c r="H434" s="5">
        <f>IFERROR(__xludf.DUMMYFUNCTION("SPLiT(G434, ""🤙🏼"",FALSE,FALSE)"),109.0)</f>
        <v>109</v>
      </c>
      <c r="I434" s="5" t="str">
        <f>IFERROR(__xludf.DUMMYFUNCTION("""COMPUTED_VALUE"""),"Scarface")</f>
        <v>Scarface</v>
      </c>
      <c r="J434" s="5" t="str">
        <f>IFERROR(__xludf.DUMMYFUNCTION("""COMPUTED_VALUE"""),"Al Pacino")</f>
        <v>Al Pacino</v>
      </c>
      <c r="K434" s="5" t="str">
        <f>IFERROR(__xludf.DUMMYFUNCTION("""COMPUTED_VALUE"""),"Estrela 1")</f>
        <v>Estrela 1</v>
      </c>
      <c r="P434" s="5">
        <f>IFERROR(__xludf.DUMMYFUNCTION("""COMPUTED_VALUE"""),109.0)</f>
        <v>109</v>
      </c>
      <c r="Q434" s="5" t="str">
        <f>IFERROR(__xludf.DUMMYFUNCTION("""COMPUTED_VALUE"""),"Scarface")</f>
        <v>Scarface</v>
      </c>
      <c r="R434" s="5" t="str">
        <f>IFERROR(__xludf.DUMMYFUNCTION("""COMPUTED_VALUE"""),"Al Pacino")</f>
        <v>Al Pacino</v>
      </c>
      <c r="S434" s="5" t="str">
        <f>IFERROR(__xludf.DUMMYFUNCTION("""COMPUTED_VALUE"""),"Estrela 1")</f>
        <v>Estrela 1</v>
      </c>
    </row>
    <row r="435">
      <c r="A435" s="1">
        <v>434.0</v>
      </c>
      <c r="B435" s="1" t="s">
        <v>2770</v>
      </c>
      <c r="C435" s="1" t="s">
        <v>2773</v>
      </c>
      <c r="D435" s="1" t="s">
        <v>2774</v>
      </c>
      <c r="E435" s="1" t="s">
        <v>2775</v>
      </c>
      <c r="F435" s="1" t="s">
        <v>2776</v>
      </c>
      <c r="G435" s="5" t="str">
        <f>IFERROR(__xludf.DUMMYFUNCTION("""COMPUTED_VALUE"""),"109🤙🏼Scarface🤙🏼Michelle Pfeiffer🤙🏼Estrela 2")</f>
        <v>109🤙🏼Scarface🤙🏼Michelle Pfeiffer🤙🏼Estrela 2</v>
      </c>
      <c r="H435" s="5">
        <f>IFERROR(__xludf.DUMMYFUNCTION("SPLiT(G435, ""🤙🏼"",FALSE,FALSE)"),109.0)</f>
        <v>109</v>
      </c>
      <c r="I435" s="5" t="str">
        <f>IFERROR(__xludf.DUMMYFUNCTION("""COMPUTED_VALUE"""),"Scarface")</f>
        <v>Scarface</v>
      </c>
      <c r="J435" s="5" t="str">
        <f>IFERROR(__xludf.DUMMYFUNCTION("""COMPUTED_VALUE"""),"Michelle Pfeiffer")</f>
        <v>Michelle Pfeiffer</v>
      </c>
      <c r="K435" s="5" t="str">
        <f>IFERROR(__xludf.DUMMYFUNCTION("""COMPUTED_VALUE"""),"Estrela 2")</f>
        <v>Estrela 2</v>
      </c>
      <c r="P435" s="5">
        <f>IFERROR(__xludf.DUMMYFUNCTION("""COMPUTED_VALUE"""),109.0)</f>
        <v>109</v>
      </c>
      <c r="Q435" s="5" t="str">
        <f>IFERROR(__xludf.DUMMYFUNCTION("""COMPUTED_VALUE"""),"Scarface")</f>
        <v>Scarface</v>
      </c>
      <c r="R435" s="5" t="str">
        <f>IFERROR(__xludf.DUMMYFUNCTION("""COMPUTED_VALUE"""),"Michelle Pfeiffer")</f>
        <v>Michelle Pfeiffer</v>
      </c>
      <c r="S435" s="5" t="str">
        <f>IFERROR(__xludf.DUMMYFUNCTION("""COMPUTED_VALUE"""),"Estrela 2")</f>
        <v>Estrela 2</v>
      </c>
    </row>
    <row r="436">
      <c r="A436" s="1">
        <v>435.0</v>
      </c>
      <c r="B436" s="1" t="s">
        <v>2777</v>
      </c>
      <c r="C436" s="1" t="s">
        <v>834</v>
      </c>
      <c r="D436" s="1" t="s">
        <v>2780</v>
      </c>
      <c r="E436" s="1" t="s">
        <v>2781</v>
      </c>
      <c r="F436" s="1" t="s">
        <v>605</v>
      </c>
      <c r="G436" s="5" t="str">
        <f>IFERROR(__xludf.DUMMYFUNCTION("""COMPUTED_VALUE"""),"109🤙🏼Scarface🤙🏼Steven Bauer🤙🏼Estrela 3")</f>
        <v>109🤙🏼Scarface🤙🏼Steven Bauer🤙🏼Estrela 3</v>
      </c>
      <c r="H436" s="5">
        <f>IFERROR(__xludf.DUMMYFUNCTION("SPLiT(G436, ""🤙🏼"",FALSE,FALSE)"),109.0)</f>
        <v>109</v>
      </c>
      <c r="I436" s="5" t="str">
        <f>IFERROR(__xludf.DUMMYFUNCTION("""COMPUTED_VALUE"""),"Scarface")</f>
        <v>Scarface</v>
      </c>
      <c r="J436" s="5" t="str">
        <f>IFERROR(__xludf.DUMMYFUNCTION("""COMPUTED_VALUE"""),"Steven Bauer")</f>
        <v>Steven Bauer</v>
      </c>
      <c r="K436" s="5" t="str">
        <f>IFERROR(__xludf.DUMMYFUNCTION("""COMPUTED_VALUE"""),"Estrela 3")</f>
        <v>Estrela 3</v>
      </c>
      <c r="P436" s="5">
        <f>IFERROR(__xludf.DUMMYFUNCTION("""COMPUTED_VALUE"""),109.0)</f>
        <v>109</v>
      </c>
      <c r="Q436" s="5" t="str">
        <f>IFERROR(__xludf.DUMMYFUNCTION("""COMPUTED_VALUE"""),"Scarface")</f>
        <v>Scarface</v>
      </c>
      <c r="R436" s="5" t="str">
        <f>IFERROR(__xludf.DUMMYFUNCTION("""COMPUTED_VALUE"""),"Steven Bauer")</f>
        <v>Steven Bauer</v>
      </c>
      <c r="S436" s="5" t="str">
        <f>IFERROR(__xludf.DUMMYFUNCTION("""COMPUTED_VALUE"""),"Estrela 3")</f>
        <v>Estrela 3</v>
      </c>
    </row>
    <row r="437">
      <c r="A437" s="1">
        <v>436.0</v>
      </c>
      <c r="B437" s="1" t="s">
        <v>2782</v>
      </c>
      <c r="C437" s="1" t="s">
        <v>2767</v>
      </c>
      <c r="D437" s="1" t="s">
        <v>2785</v>
      </c>
      <c r="E437" s="1" t="s">
        <v>2768</v>
      </c>
      <c r="F437" s="1" t="s">
        <v>2786</v>
      </c>
      <c r="G437" s="5" t="str">
        <f>IFERROR(__xludf.DUMMYFUNCTION("""COMPUTED_VALUE"""),"109🤙🏼Scarface🤙🏼Mary Elizabeth Mastrantonio🤙🏼Estrela 4")</f>
        <v>109🤙🏼Scarface🤙🏼Mary Elizabeth Mastrantonio🤙🏼Estrela 4</v>
      </c>
      <c r="H437" s="5">
        <f>IFERROR(__xludf.DUMMYFUNCTION("SPLiT(G437, ""🤙🏼"",FALSE,FALSE)"),109.0)</f>
        <v>109</v>
      </c>
      <c r="I437" s="5" t="str">
        <f>IFERROR(__xludf.DUMMYFUNCTION("""COMPUTED_VALUE"""),"Scarface")</f>
        <v>Scarface</v>
      </c>
      <c r="J437" s="5" t="str">
        <f>IFERROR(__xludf.DUMMYFUNCTION("""COMPUTED_VALUE"""),"Mary Elizabeth Mastrantonio")</f>
        <v>Mary Elizabeth Mastrantonio</v>
      </c>
      <c r="K437" s="5" t="str">
        <f>IFERROR(__xludf.DUMMYFUNCTION("""COMPUTED_VALUE"""),"Estrela 4")</f>
        <v>Estrela 4</v>
      </c>
      <c r="P437" s="5">
        <f>IFERROR(__xludf.DUMMYFUNCTION("""COMPUTED_VALUE"""),109.0)</f>
        <v>109</v>
      </c>
      <c r="Q437" s="5" t="str">
        <f>IFERROR(__xludf.DUMMYFUNCTION("""COMPUTED_VALUE"""),"Scarface")</f>
        <v>Scarface</v>
      </c>
      <c r="R437" s="5" t="str">
        <f>IFERROR(__xludf.DUMMYFUNCTION("""COMPUTED_VALUE"""),"Mary Elizabeth Mastrantonio")</f>
        <v>Mary Elizabeth Mastrantonio</v>
      </c>
      <c r="S437" s="5" t="str">
        <f>IFERROR(__xludf.DUMMYFUNCTION("""COMPUTED_VALUE"""),"Estrela 4")</f>
        <v>Estrela 4</v>
      </c>
    </row>
    <row r="438">
      <c r="A438" s="1">
        <v>437.0</v>
      </c>
      <c r="B438" s="1" t="s">
        <v>2787</v>
      </c>
      <c r="C438" s="1" t="s">
        <v>1985</v>
      </c>
      <c r="D438" s="1" t="s">
        <v>2790</v>
      </c>
      <c r="E438" s="1" t="s">
        <v>2791</v>
      </c>
      <c r="F438" s="1" t="s">
        <v>2792</v>
      </c>
      <c r="G438" s="5" t="str">
        <f>IFERROR(__xludf.DUMMYFUNCTION("""COMPUTED_VALUE"""),"110🤙🏼Star Wars: Episode VI - Return of the Jedi🤙🏼Mark Hamill🤙🏼Estrela 1")</f>
        <v>110🤙🏼Star Wars: Episode VI - Return of the Jedi🤙🏼Mark Hamill🤙🏼Estrela 1</v>
      </c>
      <c r="H438" s="5">
        <f>IFERROR(__xludf.DUMMYFUNCTION("SPLiT(G438, ""🤙🏼"",FALSE,FALSE)"),110.0)</f>
        <v>110</v>
      </c>
      <c r="I438" s="5" t="str">
        <f>IFERROR(__xludf.DUMMYFUNCTION("""COMPUTED_VALUE"""),"Star Wars: Episode VI - Return of the Jedi")</f>
        <v>Star Wars: Episode VI - Return of the Jedi</v>
      </c>
      <c r="J438" s="5" t="str">
        <f>IFERROR(__xludf.DUMMYFUNCTION("""COMPUTED_VALUE"""),"Mark Hamill")</f>
        <v>Mark Hamill</v>
      </c>
      <c r="K438" s="5" t="str">
        <f>IFERROR(__xludf.DUMMYFUNCTION("""COMPUTED_VALUE"""),"Estrela 1")</f>
        <v>Estrela 1</v>
      </c>
      <c r="P438" s="5">
        <f>IFERROR(__xludf.DUMMYFUNCTION("""COMPUTED_VALUE"""),110.0)</f>
        <v>110</v>
      </c>
      <c r="Q438" s="5" t="str">
        <f>IFERROR(__xludf.DUMMYFUNCTION("""COMPUTED_VALUE"""),"Star Wars: Episode VI - Return of the Jedi")</f>
        <v>Star Wars: Episode VI - Return of the Jedi</v>
      </c>
      <c r="R438" s="5" t="str">
        <f>IFERROR(__xludf.DUMMYFUNCTION("""COMPUTED_VALUE"""),"Mark Hamill")</f>
        <v>Mark Hamill</v>
      </c>
      <c r="S438" s="5" t="str">
        <f>IFERROR(__xludf.DUMMYFUNCTION("""COMPUTED_VALUE"""),"Estrela 1")</f>
        <v>Estrela 1</v>
      </c>
    </row>
    <row r="439">
      <c r="A439" s="1">
        <v>438.0</v>
      </c>
      <c r="B439" s="1" t="s">
        <v>2793</v>
      </c>
      <c r="C439" s="1" t="s">
        <v>274</v>
      </c>
      <c r="D439" s="1" t="s">
        <v>2796</v>
      </c>
      <c r="E439" s="1" t="s">
        <v>2797</v>
      </c>
      <c r="F439" s="1" t="s">
        <v>2798</v>
      </c>
      <c r="G439" s="5" t="str">
        <f>IFERROR(__xludf.DUMMYFUNCTION("""COMPUTED_VALUE"""),"110🤙🏼Star Wars: Episode VI - Return of the Jedi🤙🏼Harrison Ford🤙🏼Estrela 2")</f>
        <v>110🤙🏼Star Wars: Episode VI - Return of the Jedi🤙🏼Harrison Ford🤙🏼Estrela 2</v>
      </c>
      <c r="H439" s="5">
        <f>IFERROR(__xludf.DUMMYFUNCTION("SPLiT(G439, ""🤙🏼"",FALSE,FALSE)"),110.0)</f>
        <v>110</v>
      </c>
      <c r="I439" s="5" t="str">
        <f>IFERROR(__xludf.DUMMYFUNCTION("""COMPUTED_VALUE"""),"Star Wars: Episode VI - Return of the Jedi")</f>
        <v>Star Wars: Episode VI - Return of the Jedi</v>
      </c>
      <c r="J439" s="5" t="str">
        <f>IFERROR(__xludf.DUMMYFUNCTION("""COMPUTED_VALUE"""),"Harrison Ford")</f>
        <v>Harrison Ford</v>
      </c>
      <c r="K439" s="5" t="str">
        <f>IFERROR(__xludf.DUMMYFUNCTION("""COMPUTED_VALUE"""),"Estrela 2")</f>
        <v>Estrela 2</v>
      </c>
      <c r="P439" s="5">
        <f>IFERROR(__xludf.DUMMYFUNCTION("""COMPUTED_VALUE"""),110.0)</f>
        <v>110</v>
      </c>
      <c r="Q439" s="5" t="str">
        <f>IFERROR(__xludf.DUMMYFUNCTION("""COMPUTED_VALUE"""),"Star Wars: Episode VI - Return of the Jedi")</f>
        <v>Star Wars: Episode VI - Return of the Jedi</v>
      </c>
      <c r="R439" s="5" t="str">
        <f>IFERROR(__xludf.DUMMYFUNCTION("""COMPUTED_VALUE"""),"Harrison Ford")</f>
        <v>Harrison Ford</v>
      </c>
      <c r="S439" s="5" t="str">
        <f>IFERROR(__xludf.DUMMYFUNCTION("""COMPUTED_VALUE"""),"Estrela 2")</f>
        <v>Estrela 2</v>
      </c>
    </row>
    <row r="440">
      <c r="A440" s="1">
        <v>439.0</v>
      </c>
      <c r="B440" s="1" t="s">
        <v>2799</v>
      </c>
      <c r="C440" s="1" t="s">
        <v>2013</v>
      </c>
      <c r="D440" s="1" t="s">
        <v>916</v>
      </c>
      <c r="E440" s="1" t="s">
        <v>401</v>
      </c>
      <c r="F440" s="1" t="s">
        <v>2801</v>
      </c>
      <c r="G440" s="5" t="str">
        <f>IFERROR(__xludf.DUMMYFUNCTION("""COMPUTED_VALUE"""),"110🤙🏼Star Wars: Episode VI - Return of the Jedi🤙🏼Carrie Fisher🤙🏼Estrela 3")</f>
        <v>110🤙🏼Star Wars: Episode VI - Return of the Jedi🤙🏼Carrie Fisher🤙🏼Estrela 3</v>
      </c>
      <c r="H440" s="5">
        <f>IFERROR(__xludf.DUMMYFUNCTION("SPLiT(G440, ""🤙🏼"",FALSE,FALSE)"),110.0)</f>
        <v>110</v>
      </c>
      <c r="I440" s="5" t="str">
        <f>IFERROR(__xludf.DUMMYFUNCTION("""COMPUTED_VALUE"""),"Star Wars: Episode VI - Return of the Jedi")</f>
        <v>Star Wars: Episode VI - Return of the Jedi</v>
      </c>
      <c r="J440" s="5" t="str">
        <f>IFERROR(__xludf.DUMMYFUNCTION("""COMPUTED_VALUE"""),"Carrie Fisher")</f>
        <v>Carrie Fisher</v>
      </c>
      <c r="K440" s="5" t="str">
        <f>IFERROR(__xludf.DUMMYFUNCTION("""COMPUTED_VALUE"""),"Estrela 3")</f>
        <v>Estrela 3</v>
      </c>
      <c r="P440" s="5">
        <f>IFERROR(__xludf.DUMMYFUNCTION("""COMPUTED_VALUE"""),110.0)</f>
        <v>110</v>
      </c>
      <c r="Q440" s="5" t="str">
        <f>IFERROR(__xludf.DUMMYFUNCTION("""COMPUTED_VALUE"""),"Star Wars: Episode VI - Return of the Jedi")</f>
        <v>Star Wars: Episode VI - Return of the Jedi</v>
      </c>
      <c r="R440" s="5" t="str">
        <f>IFERROR(__xludf.DUMMYFUNCTION("""COMPUTED_VALUE"""),"Carrie Fisher")</f>
        <v>Carrie Fisher</v>
      </c>
      <c r="S440" s="5" t="str">
        <f>IFERROR(__xludf.DUMMYFUNCTION("""COMPUTED_VALUE"""),"Estrela 3")</f>
        <v>Estrela 3</v>
      </c>
    </row>
    <row r="441">
      <c r="A441" s="1">
        <v>440.0</v>
      </c>
      <c r="B441" s="1" t="s">
        <v>2802</v>
      </c>
      <c r="C441" s="1" t="s">
        <v>2743</v>
      </c>
      <c r="D441" s="1" t="s">
        <v>834</v>
      </c>
      <c r="E441" s="1" t="s">
        <v>2805</v>
      </c>
      <c r="F441" s="1" t="s">
        <v>2806</v>
      </c>
      <c r="G441" s="5" t="str">
        <f>IFERROR(__xludf.DUMMYFUNCTION("""COMPUTED_VALUE"""),"110🤙🏼Star Wars: Episode VI - Return of the Jedi🤙🏼Billy Dee Williams🤙🏼Estrela 4")</f>
        <v>110🤙🏼Star Wars: Episode VI - Return of the Jedi🤙🏼Billy Dee Williams🤙🏼Estrela 4</v>
      </c>
      <c r="H441" s="5">
        <f>IFERROR(__xludf.DUMMYFUNCTION("SPLiT(G441, ""🤙🏼"",FALSE,FALSE)"),110.0)</f>
        <v>110</v>
      </c>
      <c r="I441" s="5" t="str">
        <f>IFERROR(__xludf.DUMMYFUNCTION("""COMPUTED_VALUE"""),"Star Wars: Episode VI - Return of the Jedi")</f>
        <v>Star Wars: Episode VI - Return of the Jedi</v>
      </c>
      <c r="J441" s="5" t="str">
        <f>IFERROR(__xludf.DUMMYFUNCTION("""COMPUTED_VALUE"""),"Billy Dee Williams")</f>
        <v>Billy Dee Williams</v>
      </c>
      <c r="K441" s="5" t="str">
        <f>IFERROR(__xludf.DUMMYFUNCTION("""COMPUTED_VALUE"""),"Estrela 4")</f>
        <v>Estrela 4</v>
      </c>
      <c r="P441" s="5">
        <f>IFERROR(__xludf.DUMMYFUNCTION("""COMPUTED_VALUE"""),110.0)</f>
        <v>110</v>
      </c>
      <c r="Q441" s="5" t="str">
        <f>IFERROR(__xludf.DUMMYFUNCTION("""COMPUTED_VALUE"""),"Star Wars: Episode VI - Return of the Jedi")</f>
        <v>Star Wars: Episode VI - Return of the Jedi</v>
      </c>
      <c r="R441" s="5" t="str">
        <f>IFERROR(__xludf.DUMMYFUNCTION("""COMPUTED_VALUE"""),"Billy Dee Williams")</f>
        <v>Billy Dee Williams</v>
      </c>
      <c r="S441" s="5" t="str">
        <f>IFERROR(__xludf.DUMMYFUNCTION("""COMPUTED_VALUE"""),"Estrela 4")</f>
        <v>Estrela 4</v>
      </c>
    </row>
    <row r="442">
      <c r="A442" s="1">
        <v>441.0</v>
      </c>
      <c r="B442" s="1" t="s">
        <v>2807</v>
      </c>
      <c r="C442" s="1" t="s">
        <v>1292</v>
      </c>
      <c r="D442" s="1" t="s">
        <v>1298</v>
      </c>
      <c r="E442" s="1" t="s">
        <v>2810</v>
      </c>
      <c r="F442" s="1" t="s">
        <v>2811</v>
      </c>
      <c r="G442" s="5" t="str">
        <f>IFERROR(__xludf.DUMMYFUNCTION("""COMPUTED_VALUE"""),"111🤙🏼Das Boot🤙🏼Jürgen Prochnow🤙🏼Estrela 1")</f>
        <v>111🤙🏼Das Boot🤙🏼Jürgen Prochnow🤙🏼Estrela 1</v>
      </c>
      <c r="H442" s="5">
        <f>IFERROR(__xludf.DUMMYFUNCTION("SPLiT(G442, ""🤙🏼"",FALSE,FALSE)"),111.0)</f>
        <v>111</v>
      </c>
      <c r="I442" s="5" t="str">
        <f>IFERROR(__xludf.DUMMYFUNCTION("""COMPUTED_VALUE"""),"Das Boot")</f>
        <v>Das Boot</v>
      </c>
      <c r="J442" s="5" t="str">
        <f>IFERROR(__xludf.DUMMYFUNCTION("""COMPUTED_VALUE"""),"Jürgen Prochnow")</f>
        <v>Jürgen Prochnow</v>
      </c>
      <c r="K442" s="5" t="str">
        <f>IFERROR(__xludf.DUMMYFUNCTION("""COMPUTED_VALUE"""),"Estrela 1")</f>
        <v>Estrela 1</v>
      </c>
      <c r="P442" s="5">
        <f>IFERROR(__xludf.DUMMYFUNCTION("""COMPUTED_VALUE"""),111.0)</f>
        <v>111</v>
      </c>
      <c r="Q442" s="5" t="str">
        <f>IFERROR(__xludf.DUMMYFUNCTION("""COMPUTED_VALUE"""),"Das Boot")</f>
        <v>Das Boot</v>
      </c>
      <c r="R442" s="5" t="str">
        <f>IFERROR(__xludf.DUMMYFUNCTION("""COMPUTED_VALUE"""),"Jürgen Prochnow")</f>
        <v>Jürgen Prochnow</v>
      </c>
      <c r="S442" s="5" t="str">
        <f>IFERROR(__xludf.DUMMYFUNCTION("""COMPUTED_VALUE"""),"Estrela 1")</f>
        <v>Estrela 1</v>
      </c>
    </row>
    <row r="443">
      <c r="A443" s="1">
        <v>442.0</v>
      </c>
      <c r="B443" s="1" t="s">
        <v>2812</v>
      </c>
      <c r="C443" s="1" t="s">
        <v>606</v>
      </c>
      <c r="D443" s="1" t="s">
        <v>2814</v>
      </c>
      <c r="E443" s="1" t="s">
        <v>2815</v>
      </c>
      <c r="F443" s="1" t="s">
        <v>2816</v>
      </c>
      <c r="G443" s="5" t="str">
        <f>IFERROR(__xludf.DUMMYFUNCTION("""COMPUTED_VALUE"""),"111🤙🏼Das Boot🤙🏼Herbert Grönemeyer🤙🏼Estrela 2")</f>
        <v>111🤙🏼Das Boot🤙🏼Herbert Grönemeyer🤙🏼Estrela 2</v>
      </c>
      <c r="H443" s="5">
        <f>IFERROR(__xludf.DUMMYFUNCTION("SPLiT(G443, ""🤙🏼"",FALSE,FALSE)"),111.0)</f>
        <v>111</v>
      </c>
      <c r="I443" s="5" t="str">
        <f>IFERROR(__xludf.DUMMYFUNCTION("""COMPUTED_VALUE"""),"Das Boot")</f>
        <v>Das Boot</v>
      </c>
      <c r="J443" s="5" t="str">
        <f>IFERROR(__xludf.DUMMYFUNCTION("""COMPUTED_VALUE"""),"Herbert Grönemeyer")</f>
        <v>Herbert Grönemeyer</v>
      </c>
      <c r="K443" s="5" t="str">
        <f>IFERROR(__xludf.DUMMYFUNCTION("""COMPUTED_VALUE"""),"Estrela 2")</f>
        <v>Estrela 2</v>
      </c>
      <c r="P443" s="5">
        <f>IFERROR(__xludf.DUMMYFUNCTION("""COMPUTED_VALUE"""),111.0)</f>
        <v>111</v>
      </c>
      <c r="Q443" s="5" t="str">
        <f>IFERROR(__xludf.DUMMYFUNCTION("""COMPUTED_VALUE"""),"Das Boot")</f>
        <v>Das Boot</v>
      </c>
      <c r="R443" s="5" t="str">
        <f>IFERROR(__xludf.DUMMYFUNCTION("""COMPUTED_VALUE"""),"Herbert Grönemeyer")</f>
        <v>Herbert Grönemeyer</v>
      </c>
      <c r="S443" s="5" t="str">
        <f>IFERROR(__xludf.DUMMYFUNCTION("""COMPUTED_VALUE"""),"Estrela 2")</f>
        <v>Estrela 2</v>
      </c>
    </row>
    <row r="444">
      <c r="A444" s="1">
        <v>443.0</v>
      </c>
      <c r="B444" s="1" t="s">
        <v>2817</v>
      </c>
      <c r="C444" s="1" t="s">
        <v>2819</v>
      </c>
      <c r="D444" s="1" t="s">
        <v>2820</v>
      </c>
      <c r="E444" s="1" t="s">
        <v>2821</v>
      </c>
      <c r="F444" s="1" t="s">
        <v>2822</v>
      </c>
      <c r="G444" s="5" t="str">
        <f>IFERROR(__xludf.DUMMYFUNCTION("""COMPUTED_VALUE"""),"111🤙🏼Das Boot🤙🏼Klaus Wennemann🤙🏼Estrela 3")</f>
        <v>111🤙🏼Das Boot🤙🏼Klaus Wennemann🤙🏼Estrela 3</v>
      </c>
      <c r="H444" s="5">
        <f>IFERROR(__xludf.DUMMYFUNCTION("SPLiT(G444, ""🤙🏼"",FALSE,FALSE)"),111.0)</f>
        <v>111</v>
      </c>
      <c r="I444" s="5" t="str">
        <f>IFERROR(__xludf.DUMMYFUNCTION("""COMPUTED_VALUE"""),"Das Boot")</f>
        <v>Das Boot</v>
      </c>
      <c r="J444" s="5" t="str">
        <f>IFERROR(__xludf.DUMMYFUNCTION("""COMPUTED_VALUE"""),"Klaus Wennemann")</f>
        <v>Klaus Wennemann</v>
      </c>
      <c r="K444" s="5" t="str">
        <f>IFERROR(__xludf.DUMMYFUNCTION("""COMPUTED_VALUE"""),"Estrela 3")</f>
        <v>Estrela 3</v>
      </c>
      <c r="P444" s="5">
        <f>IFERROR(__xludf.DUMMYFUNCTION("""COMPUTED_VALUE"""),111.0)</f>
        <v>111</v>
      </c>
      <c r="Q444" s="5" t="str">
        <f>IFERROR(__xludf.DUMMYFUNCTION("""COMPUTED_VALUE"""),"Das Boot")</f>
        <v>Das Boot</v>
      </c>
      <c r="R444" s="5" t="str">
        <f>IFERROR(__xludf.DUMMYFUNCTION("""COMPUTED_VALUE"""),"Klaus Wennemann")</f>
        <v>Klaus Wennemann</v>
      </c>
      <c r="S444" s="5" t="str">
        <f>IFERROR(__xludf.DUMMYFUNCTION("""COMPUTED_VALUE"""),"Estrela 3")</f>
        <v>Estrela 3</v>
      </c>
    </row>
    <row r="445">
      <c r="A445" s="1">
        <v>444.0</v>
      </c>
      <c r="B445" s="1" t="s">
        <v>2823</v>
      </c>
      <c r="C445" s="1" t="s">
        <v>862</v>
      </c>
      <c r="D445" s="1" t="s">
        <v>2024</v>
      </c>
      <c r="E445" s="1" t="s">
        <v>2825</v>
      </c>
      <c r="F445" s="1" t="s">
        <v>2826</v>
      </c>
      <c r="G445" s="5" t="str">
        <f>IFERROR(__xludf.DUMMYFUNCTION("""COMPUTED_VALUE"""),"111🤙🏼Das Boot🤙🏼Hubertus Bengsch🤙🏼Estrela 4")</f>
        <v>111🤙🏼Das Boot🤙🏼Hubertus Bengsch🤙🏼Estrela 4</v>
      </c>
      <c r="H445" s="5">
        <f>IFERROR(__xludf.DUMMYFUNCTION("SPLiT(G445, ""🤙🏼"",FALSE,FALSE)"),111.0)</f>
        <v>111</v>
      </c>
      <c r="I445" s="5" t="str">
        <f>IFERROR(__xludf.DUMMYFUNCTION("""COMPUTED_VALUE"""),"Das Boot")</f>
        <v>Das Boot</v>
      </c>
      <c r="J445" s="5" t="str">
        <f>IFERROR(__xludf.DUMMYFUNCTION("""COMPUTED_VALUE"""),"Hubertus Bengsch")</f>
        <v>Hubertus Bengsch</v>
      </c>
      <c r="K445" s="5" t="str">
        <f>IFERROR(__xludf.DUMMYFUNCTION("""COMPUTED_VALUE"""),"Estrela 4")</f>
        <v>Estrela 4</v>
      </c>
      <c r="P445" s="5">
        <f>IFERROR(__xludf.DUMMYFUNCTION("""COMPUTED_VALUE"""),111.0)</f>
        <v>111</v>
      </c>
      <c r="Q445" s="5" t="str">
        <f>IFERROR(__xludf.DUMMYFUNCTION("""COMPUTED_VALUE"""),"Das Boot")</f>
        <v>Das Boot</v>
      </c>
      <c r="R445" s="5" t="str">
        <f>IFERROR(__xludf.DUMMYFUNCTION("""COMPUTED_VALUE"""),"Hubertus Bengsch")</f>
        <v>Hubertus Bengsch</v>
      </c>
      <c r="S445" s="5" t="str">
        <f>IFERROR(__xludf.DUMMYFUNCTION("""COMPUTED_VALUE"""),"Estrela 4")</f>
        <v>Estrela 4</v>
      </c>
    </row>
    <row r="446">
      <c r="A446" s="1">
        <v>445.0</v>
      </c>
      <c r="B446" s="1" t="s">
        <v>2827</v>
      </c>
      <c r="C446" s="1" t="s">
        <v>2830</v>
      </c>
      <c r="D446" s="1" t="s">
        <v>2831</v>
      </c>
      <c r="E446" s="1" t="s">
        <v>2832</v>
      </c>
      <c r="F446" s="1" t="s">
        <v>2043</v>
      </c>
      <c r="G446" s="5" t="str">
        <f>IFERROR(__xludf.DUMMYFUNCTION("""COMPUTED_VALUE"""),"112🤙🏼Taxi Driver🤙🏼Robert De Niro🤙🏼Estrela 1")</f>
        <v>112🤙🏼Taxi Driver🤙🏼Robert De Niro🤙🏼Estrela 1</v>
      </c>
      <c r="H446" s="5">
        <f>IFERROR(__xludf.DUMMYFUNCTION("SPLiT(G446, ""🤙🏼"",FALSE,FALSE)"),112.0)</f>
        <v>112</v>
      </c>
      <c r="I446" s="5" t="str">
        <f>IFERROR(__xludf.DUMMYFUNCTION("""COMPUTED_VALUE"""),"Taxi Driver")</f>
        <v>Taxi Driver</v>
      </c>
      <c r="J446" s="5" t="str">
        <f>IFERROR(__xludf.DUMMYFUNCTION("""COMPUTED_VALUE"""),"Robert De Niro")</f>
        <v>Robert De Niro</v>
      </c>
      <c r="K446" s="5" t="str">
        <f>IFERROR(__xludf.DUMMYFUNCTION("""COMPUTED_VALUE"""),"Estrela 1")</f>
        <v>Estrela 1</v>
      </c>
      <c r="P446" s="5">
        <f>IFERROR(__xludf.DUMMYFUNCTION("""COMPUTED_VALUE"""),112.0)</f>
        <v>112</v>
      </c>
      <c r="Q446" s="5" t="str">
        <f>IFERROR(__xludf.DUMMYFUNCTION("""COMPUTED_VALUE"""),"Taxi Driver")</f>
        <v>Taxi Driver</v>
      </c>
      <c r="R446" s="5" t="str">
        <f>IFERROR(__xludf.DUMMYFUNCTION("""COMPUTED_VALUE"""),"Robert De Niro")</f>
        <v>Robert De Niro</v>
      </c>
      <c r="S446" s="5" t="str">
        <f>IFERROR(__xludf.DUMMYFUNCTION("""COMPUTED_VALUE"""),"Estrela 1")</f>
        <v>Estrela 1</v>
      </c>
    </row>
    <row r="447">
      <c r="A447" s="1">
        <v>446.0</v>
      </c>
      <c r="B447" s="1" t="s">
        <v>2833</v>
      </c>
      <c r="C447" s="1" t="s">
        <v>630</v>
      </c>
      <c r="D447" s="1" t="s">
        <v>2835</v>
      </c>
      <c r="E447" s="1" t="s">
        <v>2795</v>
      </c>
      <c r="F447" s="1" t="s">
        <v>2836</v>
      </c>
      <c r="G447" s="5" t="str">
        <f>IFERROR(__xludf.DUMMYFUNCTION("""COMPUTED_VALUE"""),"112🤙🏼Taxi Driver🤙🏼Jodie Foster🤙🏼Estrela 2")</f>
        <v>112🤙🏼Taxi Driver🤙🏼Jodie Foster🤙🏼Estrela 2</v>
      </c>
      <c r="H447" s="5">
        <f>IFERROR(__xludf.DUMMYFUNCTION("SPLiT(G447, ""🤙🏼"",FALSE,FALSE)"),112.0)</f>
        <v>112</v>
      </c>
      <c r="I447" s="5" t="str">
        <f>IFERROR(__xludf.DUMMYFUNCTION("""COMPUTED_VALUE"""),"Taxi Driver")</f>
        <v>Taxi Driver</v>
      </c>
      <c r="J447" s="5" t="str">
        <f>IFERROR(__xludf.DUMMYFUNCTION("""COMPUTED_VALUE"""),"Jodie Foster")</f>
        <v>Jodie Foster</v>
      </c>
      <c r="K447" s="5" t="str">
        <f>IFERROR(__xludf.DUMMYFUNCTION("""COMPUTED_VALUE"""),"Estrela 2")</f>
        <v>Estrela 2</v>
      </c>
      <c r="P447" s="5">
        <f>IFERROR(__xludf.DUMMYFUNCTION("""COMPUTED_VALUE"""),112.0)</f>
        <v>112</v>
      </c>
      <c r="Q447" s="5" t="str">
        <f>IFERROR(__xludf.DUMMYFUNCTION("""COMPUTED_VALUE"""),"Taxi Driver")</f>
        <v>Taxi Driver</v>
      </c>
      <c r="R447" s="5" t="str">
        <f>IFERROR(__xludf.DUMMYFUNCTION("""COMPUTED_VALUE"""),"Jodie Foster")</f>
        <v>Jodie Foster</v>
      </c>
      <c r="S447" s="5" t="str">
        <f>IFERROR(__xludf.DUMMYFUNCTION("""COMPUTED_VALUE"""),"Estrela 2")</f>
        <v>Estrela 2</v>
      </c>
    </row>
    <row r="448">
      <c r="A448" s="1">
        <v>447.0</v>
      </c>
      <c r="B448" s="1" t="s">
        <v>2837</v>
      </c>
      <c r="C448" s="1" t="s">
        <v>1278</v>
      </c>
      <c r="D448" s="1" t="s">
        <v>2839</v>
      </c>
      <c r="E448" s="1" t="s">
        <v>2840</v>
      </c>
      <c r="F448" s="1" t="s">
        <v>2841</v>
      </c>
      <c r="G448" s="5" t="str">
        <f>IFERROR(__xludf.DUMMYFUNCTION("""COMPUTED_VALUE"""),"112🤙🏼Taxi Driver🤙🏼Cybill Shepherd🤙🏼Estrela 3")</f>
        <v>112🤙🏼Taxi Driver🤙🏼Cybill Shepherd🤙🏼Estrela 3</v>
      </c>
      <c r="H448" s="5">
        <f>IFERROR(__xludf.DUMMYFUNCTION("SPLiT(G448, ""🤙🏼"",FALSE,FALSE)"),112.0)</f>
        <v>112</v>
      </c>
      <c r="I448" s="5" t="str">
        <f>IFERROR(__xludf.DUMMYFUNCTION("""COMPUTED_VALUE"""),"Taxi Driver")</f>
        <v>Taxi Driver</v>
      </c>
      <c r="J448" s="5" t="str">
        <f>IFERROR(__xludf.DUMMYFUNCTION("""COMPUTED_VALUE"""),"Cybill Shepherd")</f>
        <v>Cybill Shepherd</v>
      </c>
      <c r="K448" s="5" t="str">
        <f>IFERROR(__xludf.DUMMYFUNCTION("""COMPUTED_VALUE"""),"Estrela 3")</f>
        <v>Estrela 3</v>
      </c>
      <c r="P448" s="5">
        <f>IFERROR(__xludf.DUMMYFUNCTION("""COMPUTED_VALUE"""),112.0)</f>
        <v>112</v>
      </c>
      <c r="Q448" s="5" t="str">
        <f>IFERROR(__xludf.DUMMYFUNCTION("""COMPUTED_VALUE"""),"Taxi Driver")</f>
        <v>Taxi Driver</v>
      </c>
      <c r="R448" s="5" t="str">
        <f>IFERROR(__xludf.DUMMYFUNCTION("""COMPUTED_VALUE"""),"Cybill Shepherd")</f>
        <v>Cybill Shepherd</v>
      </c>
      <c r="S448" s="5" t="str">
        <f>IFERROR(__xludf.DUMMYFUNCTION("""COMPUTED_VALUE"""),"Estrela 3")</f>
        <v>Estrela 3</v>
      </c>
    </row>
    <row r="449">
      <c r="A449" s="1">
        <v>448.0</v>
      </c>
      <c r="B449" s="1" t="s">
        <v>2842</v>
      </c>
      <c r="C449" s="1" t="s">
        <v>2095</v>
      </c>
      <c r="D449" s="1" t="s">
        <v>32</v>
      </c>
      <c r="E449" s="1" t="s">
        <v>2735</v>
      </c>
      <c r="F449" s="1" t="s">
        <v>2037</v>
      </c>
      <c r="G449" s="5" t="str">
        <f>IFERROR(__xludf.DUMMYFUNCTION("""COMPUTED_VALUE"""),"112🤙🏼Taxi Driver🤙🏼Albert Brooks🤙🏼Estrela 4")</f>
        <v>112🤙🏼Taxi Driver🤙🏼Albert Brooks🤙🏼Estrela 4</v>
      </c>
      <c r="H449" s="5">
        <f>IFERROR(__xludf.DUMMYFUNCTION("SPLiT(G449, ""🤙🏼"",FALSE,FALSE)"),112.0)</f>
        <v>112</v>
      </c>
      <c r="I449" s="5" t="str">
        <f>IFERROR(__xludf.DUMMYFUNCTION("""COMPUTED_VALUE"""),"Taxi Driver")</f>
        <v>Taxi Driver</v>
      </c>
      <c r="J449" s="5" t="str">
        <f>IFERROR(__xludf.DUMMYFUNCTION("""COMPUTED_VALUE"""),"Albert Brooks")</f>
        <v>Albert Brooks</v>
      </c>
      <c r="K449" s="5" t="str">
        <f>IFERROR(__xludf.DUMMYFUNCTION("""COMPUTED_VALUE"""),"Estrela 4")</f>
        <v>Estrela 4</v>
      </c>
      <c r="P449" s="5">
        <f>IFERROR(__xludf.DUMMYFUNCTION("""COMPUTED_VALUE"""),112.0)</f>
        <v>112</v>
      </c>
      <c r="Q449" s="5" t="str">
        <f>IFERROR(__xludf.DUMMYFUNCTION("""COMPUTED_VALUE"""),"Taxi Driver")</f>
        <v>Taxi Driver</v>
      </c>
      <c r="R449" s="5" t="str">
        <f>IFERROR(__xludf.DUMMYFUNCTION("""COMPUTED_VALUE"""),"Albert Brooks")</f>
        <v>Albert Brooks</v>
      </c>
      <c r="S449" s="5" t="str">
        <f>IFERROR(__xludf.DUMMYFUNCTION("""COMPUTED_VALUE"""),"Estrela 4")</f>
        <v>Estrela 4</v>
      </c>
    </row>
    <row r="450">
      <c r="A450" s="1">
        <v>449.0</v>
      </c>
      <c r="B450" s="1" t="s">
        <v>2844</v>
      </c>
      <c r="C450" s="1" t="s">
        <v>409</v>
      </c>
      <c r="D450" s="1" t="s">
        <v>2848</v>
      </c>
      <c r="E450" s="1" t="s">
        <v>2849</v>
      </c>
      <c r="F450" s="1" t="s">
        <v>2850</v>
      </c>
      <c r="G450" s="5" t="str">
        <f>IFERROR(__xludf.DUMMYFUNCTION("""COMPUTED_VALUE"""),"113🤙🏼The Sting🤙🏼Paul Newman🤙🏼Estrela 1")</f>
        <v>113🤙🏼The Sting🤙🏼Paul Newman🤙🏼Estrela 1</v>
      </c>
      <c r="H450" s="5">
        <f>IFERROR(__xludf.DUMMYFUNCTION("SPLiT(G450, ""🤙🏼"",FALSE,FALSE)"),113.0)</f>
        <v>113</v>
      </c>
      <c r="I450" s="5" t="str">
        <f>IFERROR(__xludf.DUMMYFUNCTION("""COMPUTED_VALUE"""),"The Sting")</f>
        <v>The Sting</v>
      </c>
      <c r="J450" s="5" t="str">
        <f>IFERROR(__xludf.DUMMYFUNCTION("""COMPUTED_VALUE"""),"Paul Newman")</f>
        <v>Paul Newman</v>
      </c>
      <c r="K450" s="5" t="str">
        <f>IFERROR(__xludf.DUMMYFUNCTION("""COMPUTED_VALUE"""),"Estrela 1")</f>
        <v>Estrela 1</v>
      </c>
      <c r="P450" s="5">
        <f>IFERROR(__xludf.DUMMYFUNCTION("""COMPUTED_VALUE"""),113.0)</f>
        <v>113</v>
      </c>
      <c r="Q450" s="5" t="str">
        <f>IFERROR(__xludf.DUMMYFUNCTION("""COMPUTED_VALUE"""),"The Sting")</f>
        <v>The Sting</v>
      </c>
      <c r="R450" s="5" t="str">
        <f>IFERROR(__xludf.DUMMYFUNCTION("""COMPUTED_VALUE"""),"Paul Newman")</f>
        <v>Paul Newman</v>
      </c>
      <c r="S450" s="5" t="str">
        <f>IFERROR(__xludf.DUMMYFUNCTION("""COMPUTED_VALUE"""),"Estrela 1")</f>
        <v>Estrela 1</v>
      </c>
    </row>
    <row r="451">
      <c r="A451" s="1">
        <v>450.0</v>
      </c>
      <c r="B451" s="1" t="s">
        <v>2851</v>
      </c>
      <c r="C451" s="1" t="s">
        <v>2854</v>
      </c>
      <c r="D451" s="1" t="s">
        <v>252</v>
      </c>
      <c r="E451" s="1" t="s">
        <v>2855</v>
      </c>
      <c r="F451" s="1" t="s">
        <v>2856</v>
      </c>
      <c r="G451" s="5" t="str">
        <f>IFERROR(__xludf.DUMMYFUNCTION("""COMPUTED_VALUE"""),"113🤙🏼The Sting🤙🏼Robert Redford🤙🏼Estrela 2")</f>
        <v>113🤙🏼The Sting🤙🏼Robert Redford🤙🏼Estrela 2</v>
      </c>
      <c r="H451" s="5">
        <f>IFERROR(__xludf.DUMMYFUNCTION("SPLiT(G451, ""🤙🏼"",FALSE,FALSE)"),113.0)</f>
        <v>113</v>
      </c>
      <c r="I451" s="5" t="str">
        <f>IFERROR(__xludf.DUMMYFUNCTION("""COMPUTED_VALUE"""),"The Sting")</f>
        <v>The Sting</v>
      </c>
      <c r="J451" s="5" t="str">
        <f>IFERROR(__xludf.DUMMYFUNCTION("""COMPUTED_VALUE"""),"Robert Redford")</f>
        <v>Robert Redford</v>
      </c>
      <c r="K451" s="5" t="str">
        <f>IFERROR(__xludf.DUMMYFUNCTION("""COMPUTED_VALUE"""),"Estrela 2")</f>
        <v>Estrela 2</v>
      </c>
      <c r="P451" s="5">
        <f>IFERROR(__xludf.DUMMYFUNCTION("""COMPUTED_VALUE"""),113.0)</f>
        <v>113</v>
      </c>
      <c r="Q451" s="5" t="str">
        <f>IFERROR(__xludf.DUMMYFUNCTION("""COMPUTED_VALUE"""),"The Sting")</f>
        <v>The Sting</v>
      </c>
      <c r="R451" s="5" t="str">
        <f>IFERROR(__xludf.DUMMYFUNCTION("""COMPUTED_VALUE"""),"Robert Redford")</f>
        <v>Robert Redford</v>
      </c>
      <c r="S451" s="5" t="str">
        <f>IFERROR(__xludf.DUMMYFUNCTION("""COMPUTED_VALUE"""),"Estrela 2")</f>
        <v>Estrela 2</v>
      </c>
    </row>
    <row r="452">
      <c r="A452" s="1">
        <v>451.0</v>
      </c>
      <c r="B452" s="1" t="s">
        <v>2857</v>
      </c>
      <c r="C452" s="1" t="s">
        <v>274</v>
      </c>
      <c r="D452" s="1" t="s">
        <v>2860</v>
      </c>
      <c r="E452" s="1" t="s">
        <v>2861</v>
      </c>
      <c r="F452" s="1" t="s">
        <v>2862</v>
      </c>
      <c r="G452" s="5" t="str">
        <f>IFERROR(__xludf.DUMMYFUNCTION("""COMPUTED_VALUE"""),"113🤙🏼The Sting🤙🏼Robert Shaw🤙🏼Estrela 3")</f>
        <v>113🤙🏼The Sting🤙🏼Robert Shaw🤙🏼Estrela 3</v>
      </c>
      <c r="H452" s="5">
        <f>IFERROR(__xludf.DUMMYFUNCTION("SPLiT(G452, ""🤙🏼"",FALSE,FALSE)"),113.0)</f>
        <v>113</v>
      </c>
      <c r="I452" s="5" t="str">
        <f>IFERROR(__xludf.DUMMYFUNCTION("""COMPUTED_VALUE"""),"The Sting")</f>
        <v>The Sting</v>
      </c>
      <c r="J452" s="5" t="str">
        <f>IFERROR(__xludf.DUMMYFUNCTION("""COMPUTED_VALUE"""),"Robert Shaw")</f>
        <v>Robert Shaw</v>
      </c>
      <c r="K452" s="5" t="str">
        <f>IFERROR(__xludf.DUMMYFUNCTION("""COMPUTED_VALUE"""),"Estrela 3")</f>
        <v>Estrela 3</v>
      </c>
      <c r="P452" s="5">
        <f>IFERROR(__xludf.DUMMYFUNCTION("""COMPUTED_VALUE"""),113.0)</f>
        <v>113</v>
      </c>
      <c r="Q452" s="5" t="str">
        <f>IFERROR(__xludf.DUMMYFUNCTION("""COMPUTED_VALUE"""),"The Sting")</f>
        <v>The Sting</v>
      </c>
      <c r="R452" s="5" t="str">
        <f>IFERROR(__xludf.DUMMYFUNCTION("""COMPUTED_VALUE"""),"Robert Shaw")</f>
        <v>Robert Shaw</v>
      </c>
      <c r="S452" s="5" t="str">
        <f>IFERROR(__xludf.DUMMYFUNCTION("""COMPUTED_VALUE"""),"Estrela 3")</f>
        <v>Estrela 3</v>
      </c>
    </row>
    <row r="453">
      <c r="A453" s="1">
        <v>452.0</v>
      </c>
      <c r="B453" s="1" t="s">
        <v>2863</v>
      </c>
      <c r="C453" s="1" t="s">
        <v>2819</v>
      </c>
      <c r="D453" s="1" t="s">
        <v>2867</v>
      </c>
      <c r="E453" s="1" t="s">
        <v>617</v>
      </c>
      <c r="F453" s="1" t="s">
        <v>2868</v>
      </c>
      <c r="G453" s="5" t="str">
        <f>IFERROR(__xludf.DUMMYFUNCTION("""COMPUTED_VALUE"""),"113🤙🏼The Sting🤙🏼Charles Durning🤙🏼Estrela 4")</f>
        <v>113🤙🏼The Sting🤙🏼Charles Durning🤙🏼Estrela 4</v>
      </c>
      <c r="H453" s="5">
        <f>IFERROR(__xludf.DUMMYFUNCTION("SPLiT(G453, ""🤙🏼"",FALSE,FALSE)"),113.0)</f>
        <v>113</v>
      </c>
      <c r="I453" s="5" t="str">
        <f>IFERROR(__xludf.DUMMYFUNCTION("""COMPUTED_VALUE"""),"The Sting")</f>
        <v>The Sting</v>
      </c>
      <c r="J453" s="5" t="str">
        <f>IFERROR(__xludf.DUMMYFUNCTION("""COMPUTED_VALUE"""),"Charles Durning")</f>
        <v>Charles Durning</v>
      </c>
      <c r="K453" s="5" t="str">
        <f>IFERROR(__xludf.DUMMYFUNCTION("""COMPUTED_VALUE"""),"Estrela 4")</f>
        <v>Estrela 4</v>
      </c>
      <c r="P453" s="5">
        <f>IFERROR(__xludf.DUMMYFUNCTION("""COMPUTED_VALUE"""),113.0)</f>
        <v>113</v>
      </c>
      <c r="Q453" s="5" t="str">
        <f>IFERROR(__xludf.DUMMYFUNCTION("""COMPUTED_VALUE"""),"The Sting")</f>
        <v>The Sting</v>
      </c>
      <c r="R453" s="5" t="str">
        <f>IFERROR(__xludf.DUMMYFUNCTION("""COMPUTED_VALUE"""),"Charles Durning")</f>
        <v>Charles Durning</v>
      </c>
      <c r="S453" s="5" t="str">
        <f>IFERROR(__xludf.DUMMYFUNCTION("""COMPUTED_VALUE"""),"Estrela 4")</f>
        <v>Estrela 4</v>
      </c>
    </row>
    <row r="454">
      <c r="A454" s="1">
        <v>453.0</v>
      </c>
      <c r="B454" s="1" t="s">
        <v>2869</v>
      </c>
      <c r="C454" s="1" t="s">
        <v>2871</v>
      </c>
      <c r="D454" s="1" t="s">
        <v>2064</v>
      </c>
      <c r="E454" s="1" t="s">
        <v>2872</v>
      </c>
      <c r="F454" s="1" t="s">
        <v>2873</v>
      </c>
      <c r="G454" s="5" t="str">
        <f>IFERROR(__xludf.DUMMYFUNCTION("""COMPUTED_VALUE"""),"114🤙🏼A Clockwork Orange🤙🏼Malcolm McDowell🤙🏼Estrela 1")</f>
        <v>114🤙🏼A Clockwork Orange🤙🏼Malcolm McDowell🤙🏼Estrela 1</v>
      </c>
      <c r="H454" s="5">
        <f>IFERROR(__xludf.DUMMYFUNCTION("SPLiT(G454, ""🤙🏼"",FALSE,FALSE)"),114.0)</f>
        <v>114</v>
      </c>
      <c r="I454" s="5" t="str">
        <f>IFERROR(__xludf.DUMMYFUNCTION("""COMPUTED_VALUE"""),"A Clockwork Orange")</f>
        <v>A Clockwork Orange</v>
      </c>
      <c r="J454" s="5" t="str">
        <f>IFERROR(__xludf.DUMMYFUNCTION("""COMPUTED_VALUE"""),"Malcolm McDowell")</f>
        <v>Malcolm McDowell</v>
      </c>
      <c r="K454" s="5" t="str">
        <f>IFERROR(__xludf.DUMMYFUNCTION("""COMPUTED_VALUE"""),"Estrela 1")</f>
        <v>Estrela 1</v>
      </c>
      <c r="P454" s="5">
        <f>IFERROR(__xludf.DUMMYFUNCTION("""COMPUTED_VALUE"""),114.0)</f>
        <v>114</v>
      </c>
      <c r="Q454" s="5" t="str">
        <f>IFERROR(__xludf.DUMMYFUNCTION("""COMPUTED_VALUE"""),"A Clockwork Orange")</f>
        <v>A Clockwork Orange</v>
      </c>
      <c r="R454" s="5" t="str">
        <f>IFERROR(__xludf.DUMMYFUNCTION("""COMPUTED_VALUE"""),"Malcolm McDowell")</f>
        <v>Malcolm McDowell</v>
      </c>
      <c r="S454" s="5" t="str">
        <f>IFERROR(__xludf.DUMMYFUNCTION("""COMPUTED_VALUE"""),"Estrela 1")</f>
        <v>Estrela 1</v>
      </c>
    </row>
    <row r="455">
      <c r="A455" s="1">
        <v>454.0</v>
      </c>
      <c r="B455" s="1" t="s">
        <v>2874</v>
      </c>
      <c r="C455" s="1" t="s">
        <v>2876</v>
      </c>
      <c r="D455" s="1" t="s">
        <v>2877</v>
      </c>
      <c r="E455" s="1" t="s">
        <v>2878</v>
      </c>
      <c r="F455" s="1" t="s">
        <v>2879</v>
      </c>
      <c r="G455" s="5" t="str">
        <f>IFERROR(__xludf.DUMMYFUNCTION("""COMPUTED_VALUE"""),"114🤙🏼A Clockwork Orange🤙🏼Patrick Magee🤙🏼Estrela 2")</f>
        <v>114🤙🏼A Clockwork Orange🤙🏼Patrick Magee🤙🏼Estrela 2</v>
      </c>
      <c r="H455" s="5">
        <f>IFERROR(__xludf.DUMMYFUNCTION("SPLiT(G455, ""🤙🏼"",FALSE,FALSE)"),114.0)</f>
        <v>114</v>
      </c>
      <c r="I455" s="5" t="str">
        <f>IFERROR(__xludf.DUMMYFUNCTION("""COMPUTED_VALUE"""),"A Clockwork Orange")</f>
        <v>A Clockwork Orange</v>
      </c>
      <c r="J455" s="5" t="str">
        <f>IFERROR(__xludf.DUMMYFUNCTION("""COMPUTED_VALUE"""),"Patrick Magee")</f>
        <v>Patrick Magee</v>
      </c>
      <c r="K455" s="5" t="str">
        <f>IFERROR(__xludf.DUMMYFUNCTION("""COMPUTED_VALUE"""),"Estrela 2")</f>
        <v>Estrela 2</v>
      </c>
      <c r="P455" s="5">
        <f>IFERROR(__xludf.DUMMYFUNCTION("""COMPUTED_VALUE"""),114.0)</f>
        <v>114</v>
      </c>
      <c r="Q455" s="5" t="str">
        <f>IFERROR(__xludf.DUMMYFUNCTION("""COMPUTED_VALUE"""),"A Clockwork Orange")</f>
        <v>A Clockwork Orange</v>
      </c>
      <c r="R455" s="5" t="str">
        <f>IFERROR(__xludf.DUMMYFUNCTION("""COMPUTED_VALUE"""),"Patrick Magee")</f>
        <v>Patrick Magee</v>
      </c>
      <c r="S455" s="5" t="str">
        <f>IFERROR(__xludf.DUMMYFUNCTION("""COMPUTED_VALUE"""),"Estrela 2")</f>
        <v>Estrela 2</v>
      </c>
    </row>
    <row r="456">
      <c r="A456" s="1">
        <v>455.0</v>
      </c>
      <c r="B456" s="1" t="s">
        <v>2880</v>
      </c>
      <c r="C456" s="1" t="s">
        <v>2882</v>
      </c>
      <c r="D456" s="1" t="s">
        <v>2877</v>
      </c>
      <c r="E456" s="1" t="s">
        <v>2000</v>
      </c>
      <c r="F456" s="1" t="s">
        <v>2883</v>
      </c>
      <c r="G456" s="5" t="str">
        <f>IFERROR(__xludf.DUMMYFUNCTION("""COMPUTED_VALUE"""),"114🤙🏼A Clockwork Orange🤙🏼Michael Bates🤙🏼Estrela 3")</f>
        <v>114🤙🏼A Clockwork Orange🤙🏼Michael Bates🤙🏼Estrela 3</v>
      </c>
      <c r="H456" s="5">
        <f>IFERROR(__xludf.DUMMYFUNCTION("SPLiT(G456, ""🤙🏼"",FALSE,FALSE)"),114.0)</f>
        <v>114</v>
      </c>
      <c r="I456" s="5" t="str">
        <f>IFERROR(__xludf.DUMMYFUNCTION("""COMPUTED_VALUE"""),"A Clockwork Orange")</f>
        <v>A Clockwork Orange</v>
      </c>
      <c r="J456" s="5" t="str">
        <f>IFERROR(__xludf.DUMMYFUNCTION("""COMPUTED_VALUE"""),"Michael Bates")</f>
        <v>Michael Bates</v>
      </c>
      <c r="K456" s="5" t="str">
        <f>IFERROR(__xludf.DUMMYFUNCTION("""COMPUTED_VALUE"""),"Estrela 3")</f>
        <v>Estrela 3</v>
      </c>
      <c r="P456" s="5">
        <f>IFERROR(__xludf.DUMMYFUNCTION("""COMPUTED_VALUE"""),114.0)</f>
        <v>114</v>
      </c>
      <c r="Q456" s="5" t="str">
        <f>IFERROR(__xludf.DUMMYFUNCTION("""COMPUTED_VALUE"""),"A Clockwork Orange")</f>
        <v>A Clockwork Orange</v>
      </c>
      <c r="R456" s="5" t="str">
        <f>IFERROR(__xludf.DUMMYFUNCTION("""COMPUTED_VALUE"""),"Michael Bates")</f>
        <v>Michael Bates</v>
      </c>
      <c r="S456" s="5" t="str">
        <f>IFERROR(__xludf.DUMMYFUNCTION("""COMPUTED_VALUE"""),"Estrela 3")</f>
        <v>Estrela 3</v>
      </c>
    </row>
    <row r="457">
      <c r="A457" s="1">
        <v>456.0</v>
      </c>
      <c r="B457" s="1" t="s">
        <v>2884</v>
      </c>
      <c r="C457" s="1" t="s">
        <v>873</v>
      </c>
      <c r="D457" s="1" t="s">
        <v>2887</v>
      </c>
      <c r="E457" s="1" t="s">
        <v>2888</v>
      </c>
      <c r="F457" s="1" t="s">
        <v>2806</v>
      </c>
      <c r="G457" s="5" t="str">
        <f>IFERROR(__xludf.DUMMYFUNCTION("""COMPUTED_VALUE"""),"114🤙🏼A Clockwork Orange🤙🏼Warren Clarke🤙🏼Estrela 4")</f>
        <v>114🤙🏼A Clockwork Orange🤙🏼Warren Clarke🤙🏼Estrela 4</v>
      </c>
      <c r="H457" s="5">
        <f>IFERROR(__xludf.DUMMYFUNCTION("SPLiT(G457, ""🤙🏼"",FALSE,FALSE)"),114.0)</f>
        <v>114</v>
      </c>
      <c r="I457" s="5" t="str">
        <f>IFERROR(__xludf.DUMMYFUNCTION("""COMPUTED_VALUE"""),"A Clockwork Orange")</f>
        <v>A Clockwork Orange</v>
      </c>
      <c r="J457" s="5" t="str">
        <f>IFERROR(__xludf.DUMMYFUNCTION("""COMPUTED_VALUE"""),"Warren Clarke")</f>
        <v>Warren Clarke</v>
      </c>
      <c r="K457" s="5" t="str">
        <f>IFERROR(__xludf.DUMMYFUNCTION("""COMPUTED_VALUE"""),"Estrela 4")</f>
        <v>Estrela 4</v>
      </c>
      <c r="P457" s="5">
        <f>IFERROR(__xludf.DUMMYFUNCTION("""COMPUTED_VALUE"""),114.0)</f>
        <v>114</v>
      </c>
      <c r="Q457" s="5" t="str">
        <f>IFERROR(__xludf.DUMMYFUNCTION("""COMPUTED_VALUE"""),"A Clockwork Orange")</f>
        <v>A Clockwork Orange</v>
      </c>
      <c r="R457" s="5" t="str">
        <f>IFERROR(__xludf.DUMMYFUNCTION("""COMPUTED_VALUE"""),"Warren Clarke")</f>
        <v>Warren Clarke</v>
      </c>
      <c r="S457" s="5" t="str">
        <f>IFERROR(__xludf.DUMMYFUNCTION("""COMPUTED_VALUE"""),"Estrela 4")</f>
        <v>Estrela 4</v>
      </c>
    </row>
    <row r="458">
      <c r="A458" s="1">
        <v>457.0</v>
      </c>
      <c r="B458" s="1" t="s">
        <v>2889</v>
      </c>
      <c r="C458" s="1" t="s">
        <v>409</v>
      </c>
      <c r="D458" s="1" t="s">
        <v>2893</v>
      </c>
      <c r="E458" s="1" t="s">
        <v>2894</v>
      </c>
      <c r="F458" s="1" t="s">
        <v>923</v>
      </c>
      <c r="G458" s="5" t="str">
        <f>IFERROR(__xludf.DUMMYFUNCTION("""COMPUTED_VALUE"""),"115🤙🏼2001: A Space Odyssey🤙🏼Keir Dullea🤙🏼Estrela 1")</f>
        <v>115🤙🏼2001: A Space Odyssey🤙🏼Keir Dullea🤙🏼Estrela 1</v>
      </c>
      <c r="H458" s="5">
        <f>IFERROR(__xludf.DUMMYFUNCTION("SPLiT(G458, ""🤙🏼"",FALSE,FALSE)"),115.0)</f>
        <v>115</v>
      </c>
      <c r="I458" s="5" t="str">
        <f>IFERROR(__xludf.DUMMYFUNCTION("""COMPUTED_VALUE"""),"2001: A Space Odyssey")</f>
        <v>2001: A Space Odyssey</v>
      </c>
      <c r="J458" s="5" t="str">
        <f>IFERROR(__xludf.DUMMYFUNCTION("""COMPUTED_VALUE"""),"Keir Dullea")</f>
        <v>Keir Dullea</v>
      </c>
      <c r="K458" s="5" t="str">
        <f>IFERROR(__xludf.DUMMYFUNCTION("""COMPUTED_VALUE"""),"Estrela 1")</f>
        <v>Estrela 1</v>
      </c>
      <c r="P458" s="5">
        <f>IFERROR(__xludf.DUMMYFUNCTION("""COMPUTED_VALUE"""),115.0)</f>
        <v>115</v>
      </c>
      <c r="Q458" s="5" t="str">
        <f>IFERROR(__xludf.DUMMYFUNCTION("""COMPUTED_VALUE"""),"2001: A Space Odyssey")</f>
        <v>2001: A Space Odyssey</v>
      </c>
      <c r="R458" s="5" t="str">
        <f>IFERROR(__xludf.DUMMYFUNCTION("""COMPUTED_VALUE"""),"Keir Dullea")</f>
        <v>Keir Dullea</v>
      </c>
      <c r="S458" s="5" t="str">
        <f>IFERROR(__xludf.DUMMYFUNCTION("""COMPUTED_VALUE"""),"Estrela 1")</f>
        <v>Estrela 1</v>
      </c>
    </row>
    <row r="459">
      <c r="A459" s="1">
        <v>458.0</v>
      </c>
      <c r="B459" s="1" t="s">
        <v>2895</v>
      </c>
      <c r="C459" s="1" t="s">
        <v>56</v>
      </c>
      <c r="D459" s="1" t="s">
        <v>2897</v>
      </c>
      <c r="E459" s="1" t="s">
        <v>2898</v>
      </c>
      <c r="F459" s="1" t="s">
        <v>2899</v>
      </c>
      <c r="G459" s="5" t="str">
        <f>IFERROR(__xludf.DUMMYFUNCTION("""COMPUTED_VALUE"""),"115🤙🏼2001: A Space Odyssey🤙🏼Gary Lockwood🤙🏼Estrela 2")</f>
        <v>115🤙🏼2001: A Space Odyssey🤙🏼Gary Lockwood🤙🏼Estrela 2</v>
      </c>
      <c r="H459" s="5">
        <f>IFERROR(__xludf.DUMMYFUNCTION("SPLiT(G459, ""🤙🏼"",FALSE,FALSE)"),115.0)</f>
        <v>115</v>
      </c>
      <c r="I459" s="5" t="str">
        <f>IFERROR(__xludf.DUMMYFUNCTION("""COMPUTED_VALUE"""),"2001: A Space Odyssey")</f>
        <v>2001: A Space Odyssey</v>
      </c>
      <c r="J459" s="5" t="str">
        <f>IFERROR(__xludf.DUMMYFUNCTION("""COMPUTED_VALUE"""),"Gary Lockwood")</f>
        <v>Gary Lockwood</v>
      </c>
      <c r="K459" s="5" t="str">
        <f>IFERROR(__xludf.DUMMYFUNCTION("""COMPUTED_VALUE"""),"Estrela 2")</f>
        <v>Estrela 2</v>
      </c>
      <c r="P459" s="5">
        <f>IFERROR(__xludf.DUMMYFUNCTION("""COMPUTED_VALUE"""),115.0)</f>
        <v>115</v>
      </c>
      <c r="Q459" s="5" t="str">
        <f>IFERROR(__xludf.DUMMYFUNCTION("""COMPUTED_VALUE"""),"2001: A Space Odyssey")</f>
        <v>2001: A Space Odyssey</v>
      </c>
      <c r="R459" s="5" t="str">
        <f>IFERROR(__xludf.DUMMYFUNCTION("""COMPUTED_VALUE"""),"Gary Lockwood")</f>
        <v>Gary Lockwood</v>
      </c>
      <c r="S459" s="5" t="str">
        <f>IFERROR(__xludf.DUMMYFUNCTION("""COMPUTED_VALUE"""),"Estrela 2")</f>
        <v>Estrela 2</v>
      </c>
    </row>
    <row r="460">
      <c r="A460" s="1">
        <v>459.0</v>
      </c>
      <c r="B460" s="1" t="s">
        <v>2900</v>
      </c>
      <c r="C460" s="1" t="s">
        <v>2092</v>
      </c>
      <c r="D460" s="1" t="s">
        <v>2902</v>
      </c>
      <c r="E460" s="1" t="s">
        <v>2903</v>
      </c>
      <c r="F460" s="1" t="s">
        <v>2904</v>
      </c>
      <c r="G460" s="5" t="str">
        <f>IFERROR(__xludf.DUMMYFUNCTION("""COMPUTED_VALUE"""),"115🤙🏼2001: A Space Odyssey🤙🏼William Sylvester🤙🏼Estrela 3")</f>
        <v>115🤙🏼2001: A Space Odyssey🤙🏼William Sylvester🤙🏼Estrela 3</v>
      </c>
      <c r="H460" s="5">
        <f>IFERROR(__xludf.DUMMYFUNCTION("SPLiT(G460, ""🤙🏼"",FALSE,FALSE)"),115.0)</f>
        <v>115</v>
      </c>
      <c r="I460" s="5" t="str">
        <f>IFERROR(__xludf.DUMMYFUNCTION("""COMPUTED_VALUE"""),"2001: A Space Odyssey")</f>
        <v>2001: A Space Odyssey</v>
      </c>
      <c r="J460" s="5" t="str">
        <f>IFERROR(__xludf.DUMMYFUNCTION("""COMPUTED_VALUE"""),"William Sylvester")</f>
        <v>William Sylvester</v>
      </c>
      <c r="K460" s="5" t="str">
        <f>IFERROR(__xludf.DUMMYFUNCTION("""COMPUTED_VALUE"""),"Estrela 3")</f>
        <v>Estrela 3</v>
      </c>
      <c r="P460" s="5">
        <f>IFERROR(__xludf.DUMMYFUNCTION("""COMPUTED_VALUE"""),115.0)</f>
        <v>115</v>
      </c>
      <c r="Q460" s="5" t="str">
        <f>IFERROR(__xludf.DUMMYFUNCTION("""COMPUTED_VALUE"""),"2001: A Space Odyssey")</f>
        <v>2001: A Space Odyssey</v>
      </c>
      <c r="R460" s="5" t="str">
        <f>IFERROR(__xludf.DUMMYFUNCTION("""COMPUTED_VALUE"""),"William Sylvester")</f>
        <v>William Sylvester</v>
      </c>
      <c r="S460" s="5" t="str">
        <f>IFERROR(__xludf.DUMMYFUNCTION("""COMPUTED_VALUE"""),"Estrela 3")</f>
        <v>Estrela 3</v>
      </c>
    </row>
    <row r="461">
      <c r="A461" s="1">
        <v>460.0</v>
      </c>
      <c r="B461" s="1" t="s">
        <v>2905</v>
      </c>
      <c r="C461" s="1" t="s">
        <v>2907</v>
      </c>
      <c r="D461" s="1" t="s">
        <v>2908</v>
      </c>
      <c r="E461" s="1" t="s">
        <v>2909</v>
      </c>
      <c r="F461" s="1" t="s">
        <v>2910</v>
      </c>
      <c r="G461" s="5" t="str">
        <f>IFERROR(__xludf.DUMMYFUNCTION("""COMPUTED_VALUE"""),"115🤙🏼2001: A Space Odyssey🤙🏼Daniel Richter🤙🏼Estrela 4")</f>
        <v>115🤙🏼2001: A Space Odyssey🤙🏼Daniel Richter🤙🏼Estrela 4</v>
      </c>
      <c r="H461" s="5">
        <f>IFERROR(__xludf.DUMMYFUNCTION("SPLiT(G461, ""🤙🏼"",FALSE,FALSE)"),115.0)</f>
        <v>115</v>
      </c>
      <c r="I461" s="5" t="str">
        <f>IFERROR(__xludf.DUMMYFUNCTION("""COMPUTED_VALUE"""),"2001: A Space Odyssey")</f>
        <v>2001: A Space Odyssey</v>
      </c>
      <c r="J461" s="5" t="str">
        <f>IFERROR(__xludf.DUMMYFUNCTION("""COMPUTED_VALUE"""),"Daniel Richter")</f>
        <v>Daniel Richter</v>
      </c>
      <c r="K461" s="5" t="str">
        <f>IFERROR(__xludf.DUMMYFUNCTION("""COMPUTED_VALUE"""),"Estrela 4")</f>
        <v>Estrela 4</v>
      </c>
      <c r="P461" s="5">
        <f>IFERROR(__xludf.DUMMYFUNCTION("""COMPUTED_VALUE"""),115.0)</f>
        <v>115</v>
      </c>
      <c r="Q461" s="5" t="str">
        <f>IFERROR(__xludf.DUMMYFUNCTION("""COMPUTED_VALUE"""),"2001: A Space Odyssey")</f>
        <v>2001: A Space Odyssey</v>
      </c>
      <c r="R461" s="5" t="str">
        <f>IFERROR(__xludf.DUMMYFUNCTION("""COMPUTED_VALUE"""),"Daniel Richter")</f>
        <v>Daniel Richter</v>
      </c>
      <c r="S461" s="5" t="str">
        <f>IFERROR(__xludf.DUMMYFUNCTION("""COMPUTED_VALUE"""),"Estrela 4")</f>
        <v>Estrela 4</v>
      </c>
    </row>
    <row r="462">
      <c r="A462" s="1">
        <v>461.0</v>
      </c>
      <c r="B462" s="1" t="s">
        <v>2911</v>
      </c>
      <c r="C462" s="1" t="s">
        <v>2915</v>
      </c>
      <c r="D462" s="1" t="s">
        <v>2882</v>
      </c>
      <c r="E462" s="1" t="s">
        <v>2916</v>
      </c>
      <c r="F462" s="1" t="s">
        <v>2917</v>
      </c>
      <c r="G462" s="5" t="str">
        <f>IFERROR(__xludf.DUMMYFUNCTION("""COMPUTED_VALUE"""),"116🤙🏼Per qualche dollaro in più🤙🏼Clint Eastwood🤙🏼Estrela 1")</f>
        <v>116🤙🏼Per qualche dollaro in più🤙🏼Clint Eastwood🤙🏼Estrela 1</v>
      </c>
      <c r="H462" s="5">
        <f>IFERROR(__xludf.DUMMYFUNCTION("SPLiT(G462, ""🤙🏼"",FALSE,FALSE)"),116.0)</f>
        <v>116</v>
      </c>
      <c r="I462" s="5" t="str">
        <f>IFERROR(__xludf.DUMMYFUNCTION("""COMPUTED_VALUE"""),"Per qualche dollaro in più")</f>
        <v>Per qualche dollaro in più</v>
      </c>
      <c r="J462" s="5" t="str">
        <f>IFERROR(__xludf.DUMMYFUNCTION("""COMPUTED_VALUE"""),"Clint Eastwood")</f>
        <v>Clint Eastwood</v>
      </c>
      <c r="K462" s="5" t="str">
        <f>IFERROR(__xludf.DUMMYFUNCTION("""COMPUTED_VALUE"""),"Estrela 1")</f>
        <v>Estrela 1</v>
      </c>
      <c r="P462" s="5">
        <f>IFERROR(__xludf.DUMMYFUNCTION("""COMPUTED_VALUE"""),116.0)</f>
        <v>116</v>
      </c>
      <c r="Q462" s="5" t="str">
        <f>IFERROR(__xludf.DUMMYFUNCTION("""COMPUTED_VALUE"""),"Per qualche dollaro in più")</f>
        <v>Per qualche dollaro in più</v>
      </c>
      <c r="R462" s="5" t="str">
        <f>IFERROR(__xludf.DUMMYFUNCTION("""COMPUTED_VALUE"""),"Clint Eastwood")</f>
        <v>Clint Eastwood</v>
      </c>
      <c r="S462" s="5" t="str">
        <f>IFERROR(__xludf.DUMMYFUNCTION("""COMPUTED_VALUE"""),"Estrela 1")</f>
        <v>Estrela 1</v>
      </c>
    </row>
    <row r="463">
      <c r="A463" s="1">
        <v>462.0</v>
      </c>
      <c r="B463" s="1" t="s">
        <v>2918</v>
      </c>
      <c r="C463" s="1" t="s">
        <v>2921</v>
      </c>
      <c r="D463" s="1" t="s">
        <v>2922</v>
      </c>
      <c r="E463" s="1" t="s">
        <v>2923</v>
      </c>
      <c r="F463" s="1" t="s">
        <v>2924</v>
      </c>
      <c r="G463" s="5" t="str">
        <f>IFERROR(__xludf.DUMMYFUNCTION("""COMPUTED_VALUE"""),"116🤙🏼Per qualche dollaro in più🤙🏼Lee Van Cleef🤙🏼Estrela 2")</f>
        <v>116🤙🏼Per qualche dollaro in più🤙🏼Lee Van Cleef🤙🏼Estrela 2</v>
      </c>
      <c r="H463" s="5">
        <f>IFERROR(__xludf.DUMMYFUNCTION("SPLiT(G463, ""🤙🏼"",FALSE,FALSE)"),116.0)</f>
        <v>116</v>
      </c>
      <c r="I463" s="5" t="str">
        <f>IFERROR(__xludf.DUMMYFUNCTION("""COMPUTED_VALUE"""),"Per qualche dollaro in più")</f>
        <v>Per qualche dollaro in più</v>
      </c>
      <c r="J463" s="5" t="str">
        <f>IFERROR(__xludf.DUMMYFUNCTION("""COMPUTED_VALUE"""),"Lee Van Cleef")</f>
        <v>Lee Van Cleef</v>
      </c>
      <c r="K463" s="5" t="str">
        <f>IFERROR(__xludf.DUMMYFUNCTION("""COMPUTED_VALUE"""),"Estrela 2")</f>
        <v>Estrela 2</v>
      </c>
      <c r="P463" s="5">
        <f>IFERROR(__xludf.DUMMYFUNCTION("""COMPUTED_VALUE"""),116.0)</f>
        <v>116</v>
      </c>
      <c r="Q463" s="5" t="str">
        <f>IFERROR(__xludf.DUMMYFUNCTION("""COMPUTED_VALUE"""),"Per qualche dollaro in più")</f>
        <v>Per qualche dollaro in più</v>
      </c>
      <c r="R463" s="5" t="str">
        <f>IFERROR(__xludf.DUMMYFUNCTION("""COMPUTED_VALUE"""),"Lee Van Cleef")</f>
        <v>Lee Van Cleef</v>
      </c>
      <c r="S463" s="5" t="str">
        <f>IFERROR(__xludf.DUMMYFUNCTION("""COMPUTED_VALUE"""),"Estrela 2")</f>
        <v>Estrela 2</v>
      </c>
    </row>
    <row r="464">
      <c r="A464" s="1">
        <v>463.0</v>
      </c>
      <c r="B464" s="1" t="s">
        <v>2925</v>
      </c>
      <c r="C464" s="1" t="s">
        <v>2930</v>
      </c>
      <c r="D464" s="1" t="s">
        <v>2931</v>
      </c>
      <c r="E464" s="1" t="s">
        <v>2932</v>
      </c>
      <c r="F464" s="1" t="s">
        <v>2933</v>
      </c>
      <c r="G464" s="5" t="str">
        <f>IFERROR(__xludf.DUMMYFUNCTION("""COMPUTED_VALUE"""),"116🤙🏼Per qualche dollaro in più🤙🏼Gian Maria Volontè🤙🏼Estrela 3")</f>
        <v>116🤙🏼Per qualche dollaro in più🤙🏼Gian Maria Volontè🤙🏼Estrela 3</v>
      </c>
      <c r="H464" s="5">
        <f>IFERROR(__xludf.DUMMYFUNCTION("SPLiT(G464, ""🤙🏼"",FALSE,FALSE)"),116.0)</f>
        <v>116</v>
      </c>
      <c r="I464" s="5" t="str">
        <f>IFERROR(__xludf.DUMMYFUNCTION("""COMPUTED_VALUE"""),"Per qualche dollaro in più")</f>
        <v>Per qualche dollaro in più</v>
      </c>
      <c r="J464" s="5" t="str">
        <f>IFERROR(__xludf.DUMMYFUNCTION("""COMPUTED_VALUE"""),"Gian Maria Volontè")</f>
        <v>Gian Maria Volontè</v>
      </c>
      <c r="K464" s="5" t="str">
        <f>IFERROR(__xludf.DUMMYFUNCTION("""COMPUTED_VALUE"""),"Estrela 3")</f>
        <v>Estrela 3</v>
      </c>
      <c r="P464" s="5">
        <f>IFERROR(__xludf.DUMMYFUNCTION("""COMPUTED_VALUE"""),116.0)</f>
        <v>116</v>
      </c>
      <c r="Q464" s="5" t="str">
        <f>IFERROR(__xludf.DUMMYFUNCTION("""COMPUTED_VALUE"""),"Per qualche dollaro in più")</f>
        <v>Per qualche dollaro in più</v>
      </c>
      <c r="R464" s="5" t="str">
        <f>IFERROR(__xludf.DUMMYFUNCTION("""COMPUTED_VALUE"""),"Gian Maria Volontè")</f>
        <v>Gian Maria Volontè</v>
      </c>
      <c r="S464" s="5" t="str">
        <f>IFERROR(__xludf.DUMMYFUNCTION("""COMPUTED_VALUE"""),"Estrela 3")</f>
        <v>Estrela 3</v>
      </c>
    </row>
    <row r="465">
      <c r="A465" s="1">
        <v>464.0</v>
      </c>
      <c r="B465" s="1" t="s">
        <v>2934</v>
      </c>
      <c r="C465" s="1" t="s">
        <v>2409</v>
      </c>
      <c r="D465" s="1" t="s">
        <v>480</v>
      </c>
      <c r="E465" s="1" t="s">
        <v>2249</v>
      </c>
      <c r="F465" s="1" t="s">
        <v>2937</v>
      </c>
      <c r="G465" s="5" t="str">
        <f>IFERROR(__xludf.DUMMYFUNCTION("""COMPUTED_VALUE"""),"116🤙🏼Per qualche dollaro in più🤙🏼Mara Krupp🤙🏼Estrela 4")</f>
        <v>116🤙🏼Per qualche dollaro in più🤙🏼Mara Krupp🤙🏼Estrela 4</v>
      </c>
      <c r="H465" s="5">
        <f>IFERROR(__xludf.DUMMYFUNCTION("SPLiT(G465, ""🤙🏼"",FALSE,FALSE)"),116.0)</f>
        <v>116</v>
      </c>
      <c r="I465" s="5" t="str">
        <f>IFERROR(__xludf.DUMMYFUNCTION("""COMPUTED_VALUE"""),"Per qualche dollaro in più")</f>
        <v>Per qualche dollaro in più</v>
      </c>
      <c r="J465" s="5" t="str">
        <f>IFERROR(__xludf.DUMMYFUNCTION("""COMPUTED_VALUE"""),"Mara Krupp")</f>
        <v>Mara Krupp</v>
      </c>
      <c r="K465" s="5" t="str">
        <f>IFERROR(__xludf.DUMMYFUNCTION("""COMPUTED_VALUE"""),"Estrela 4")</f>
        <v>Estrela 4</v>
      </c>
      <c r="P465" s="5">
        <f>IFERROR(__xludf.DUMMYFUNCTION("""COMPUTED_VALUE"""),116.0)</f>
        <v>116</v>
      </c>
      <c r="Q465" s="5" t="str">
        <f>IFERROR(__xludf.DUMMYFUNCTION("""COMPUTED_VALUE"""),"Per qualche dollaro in più")</f>
        <v>Per qualche dollaro in più</v>
      </c>
      <c r="R465" s="5" t="str">
        <f>IFERROR(__xludf.DUMMYFUNCTION("""COMPUTED_VALUE"""),"Mara Krupp")</f>
        <v>Mara Krupp</v>
      </c>
      <c r="S465" s="5" t="str">
        <f>IFERROR(__xludf.DUMMYFUNCTION("""COMPUTED_VALUE"""),"Estrela 4")</f>
        <v>Estrela 4</v>
      </c>
    </row>
    <row r="466">
      <c r="A466" s="1">
        <v>465.0</v>
      </c>
      <c r="B466" s="1" t="s">
        <v>2938</v>
      </c>
      <c r="C466" s="1" t="s">
        <v>942</v>
      </c>
      <c r="D466" s="1" t="s">
        <v>2941</v>
      </c>
      <c r="E466" s="1" t="s">
        <v>2942</v>
      </c>
      <c r="F466" s="1" t="s">
        <v>2943</v>
      </c>
      <c r="G466" s="5" t="str">
        <f>IFERROR(__xludf.DUMMYFUNCTION("""COMPUTED_VALUE"""),"117🤙🏼Lawrence of Arabia🤙🏼Peter O'Toole🤙🏼Estrela 1")</f>
        <v>117🤙🏼Lawrence of Arabia🤙🏼Peter O'Toole🤙🏼Estrela 1</v>
      </c>
      <c r="H466" s="5">
        <f>IFERROR(__xludf.DUMMYFUNCTION("SPLiT(G466, ""🤙🏼"",FALSE,FALSE)"),117.0)</f>
        <v>117</v>
      </c>
      <c r="I466" s="5" t="str">
        <f>IFERROR(__xludf.DUMMYFUNCTION("""COMPUTED_VALUE"""),"Lawrence of Arabia")</f>
        <v>Lawrence of Arabia</v>
      </c>
      <c r="J466" s="5" t="str">
        <f>IFERROR(__xludf.DUMMYFUNCTION("""COMPUTED_VALUE"""),"Peter O'Toole")</f>
        <v>Peter O'Toole</v>
      </c>
      <c r="K466" s="5" t="str">
        <f>IFERROR(__xludf.DUMMYFUNCTION("""COMPUTED_VALUE"""),"Estrela 1")</f>
        <v>Estrela 1</v>
      </c>
      <c r="P466" s="5">
        <f>IFERROR(__xludf.DUMMYFUNCTION("""COMPUTED_VALUE"""),117.0)</f>
        <v>117</v>
      </c>
      <c r="Q466" s="5" t="str">
        <f>IFERROR(__xludf.DUMMYFUNCTION("""COMPUTED_VALUE"""),"Lawrence of Arabia")</f>
        <v>Lawrence of Arabia</v>
      </c>
      <c r="R466" s="5" t="str">
        <f>IFERROR(__xludf.DUMMYFUNCTION("""COMPUTED_VALUE"""),"Peter O'Toole")</f>
        <v>Peter O'Toole</v>
      </c>
      <c r="S466" s="5" t="str">
        <f>IFERROR(__xludf.DUMMYFUNCTION("""COMPUTED_VALUE"""),"Estrela 1")</f>
        <v>Estrela 1</v>
      </c>
    </row>
    <row r="467">
      <c r="A467" s="1">
        <v>466.0</v>
      </c>
      <c r="B467" s="1" t="s">
        <v>2944</v>
      </c>
      <c r="C467" s="1" t="s">
        <v>2947</v>
      </c>
      <c r="D467" s="1" t="s">
        <v>2948</v>
      </c>
      <c r="E467" s="1" t="s">
        <v>2949</v>
      </c>
      <c r="F467" s="1" t="s">
        <v>2950</v>
      </c>
      <c r="G467" s="5" t="str">
        <f>IFERROR(__xludf.DUMMYFUNCTION("""COMPUTED_VALUE"""),"117🤙🏼Lawrence of Arabia🤙🏼Alec Guinness🤙🏼Estrela 2")</f>
        <v>117🤙🏼Lawrence of Arabia🤙🏼Alec Guinness🤙🏼Estrela 2</v>
      </c>
      <c r="H467" s="5">
        <f>IFERROR(__xludf.DUMMYFUNCTION("SPLiT(G467, ""🤙🏼"",FALSE,FALSE)"),117.0)</f>
        <v>117</v>
      </c>
      <c r="I467" s="5" t="str">
        <f>IFERROR(__xludf.DUMMYFUNCTION("""COMPUTED_VALUE"""),"Lawrence of Arabia")</f>
        <v>Lawrence of Arabia</v>
      </c>
      <c r="J467" s="5" t="str">
        <f>IFERROR(__xludf.DUMMYFUNCTION("""COMPUTED_VALUE"""),"Alec Guinness")</f>
        <v>Alec Guinness</v>
      </c>
      <c r="K467" s="5" t="str">
        <f>IFERROR(__xludf.DUMMYFUNCTION("""COMPUTED_VALUE"""),"Estrela 2")</f>
        <v>Estrela 2</v>
      </c>
      <c r="P467" s="5">
        <f>IFERROR(__xludf.DUMMYFUNCTION("""COMPUTED_VALUE"""),117.0)</f>
        <v>117</v>
      </c>
      <c r="Q467" s="5" t="str">
        <f>IFERROR(__xludf.DUMMYFUNCTION("""COMPUTED_VALUE"""),"Lawrence of Arabia")</f>
        <v>Lawrence of Arabia</v>
      </c>
      <c r="R467" s="5" t="str">
        <f>IFERROR(__xludf.DUMMYFUNCTION("""COMPUTED_VALUE"""),"Alec Guinness")</f>
        <v>Alec Guinness</v>
      </c>
      <c r="S467" s="5" t="str">
        <f>IFERROR(__xludf.DUMMYFUNCTION("""COMPUTED_VALUE"""),"Estrela 2")</f>
        <v>Estrela 2</v>
      </c>
    </row>
    <row r="468">
      <c r="A468" s="1">
        <v>467.0</v>
      </c>
      <c r="B468" s="1" t="s">
        <v>2951</v>
      </c>
      <c r="C468" s="1" t="s">
        <v>2954</v>
      </c>
      <c r="D468" s="1" t="s">
        <v>307</v>
      </c>
      <c r="E468" s="1" t="s">
        <v>2955</v>
      </c>
      <c r="F468" s="1" t="s">
        <v>2956</v>
      </c>
      <c r="G468" s="5" t="str">
        <f>IFERROR(__xludf.DUMMYFUNCTION("""COMPUTED_VALUE"""),"117🤙🏼Lawrence of Arabia🤙🏼Anthony Quinn🤙🏼Estrela 3")</f>
        <v>117🤙🏼Lawrence of Arabia🤙🏼Anthony Quinn🤙🏼Estrela 3</v>
      </c>
      <c r="H468" s="5">
        <f>IFERROR(__xludf.DUMMYFUNCTION("SPLiT(G468, ""🤙🏼"",FALSE,FALSE)"),117.0)</f>
        <v>117</v>
      </c>
      <c r="I468" s="5" t="str">
        <f>IFERROR(__xludf.DUMMYFUNCTION("""COMPUTED_VALUE"""),"Lawrence of Arabia")</f>
        <v>Lawrence of Arabia</v>
      </c>
      <c r="J468" s="5" t="str">
        <f>IFERROR(__xludf.DUMMYFUNCTION("""COMPUTED_VALUE"""),"Anthony Quinn")</f>
        <v>Anthony Quinn</v>
      </c>
      <c r="K468" s="5" t="str">
        <f>IFERROR(__xludf.DUMMYFUNCTION("""COMPUTED_VALUE"""),"Estrela 3")</f>
        <v>Estrela 3</v>
      </c>
      <c r="P468" s="5">
        <f>IFERROR(__xludf.DUMMYFUNCTION("""COMPUTED_VALUE"""),117.0)</f>
        <v>117</v>
      </c>
      <c r="Q468" s="5" t="str">
        <f>IFERROR(__xludf.DUMMYFUNCTION("""COMPUTED_VALUE"""),"Lawrence of Arabia")</f>
        <v>Lawrence of Arabia</v>
      </c>
      <c r="R468" s="5" t="str">
        <f>IFERROR(__xludf.DUMMYFUNCTION("""COMPUTED_VALUE"""),"Anthony Quinn")</f>
        <v>Anthony Quinn</v>
      </c>
      <c r="S468" s="5" t="str">
        <f>IFERROR(__xludf.DUMMYFUNCTION("""COMPUTED_VALUE"""),"Estrela 3")</f>
        <v>Estrela 3</v>
      </c>
    </row>
    <row r="469">
      <c r="A469" s="1">
        <v>468.0</v>
      </c>
      <c r="B469" s="1" t="s">
        <v>2957</v>
      </c>
      <c r="C469" s="1" t="s">
        <v>2960</v>
      </c>
      <c r="D469" s="1" t="s">
        <v>2961</v>
      </c>
      <c r="E469" s="1" t="s">
        <v>2962</v>
      </c>
      <c r="F469" s="1" t="s">
        <v>2963</v>
      </c>
      <c r="G469" s="5" t="str">
        <f>IFERROR(__xludf.DUMMYFUNCTION("""COMPUTED_VALUE"""),"117🤙🏼Lawrence of Arabia🤙🏼Jack Hawkins🤙🏼Estrela 4")</f>
        <v>117🤙🏼Lawrence of Arabia🤙🏼Jack Hawkins🤙🏼Estrela 4</v>
      </c>
      <c r="H469" s="5">
        <f>IFERROR(__xludf.DUMMYFUNCTION("SPLiT(G469, ""🤙🏼"",FALSE,FALSE)"),117.0)</f>
        <v>117</v>
      </c>
      <c r="I469" s="5" t="str">
        <f>IFERROR(__xludf.DUMMYFUNCTION("""COMPUTED_VALUE"""),"Lawrence of Arabia")</f>
        <v>Lawrence of Arabia</v>
      </c>
      <c r="J469" s="5" t="str">
        <f>IFERROR(__xludf.DUMMYFUNCTION("""COMPUTED_VALUE"""),"Jack Hawkins")</f>
        <v>Jack Hawkins</v>
      </c>
      <c r="K469" s="5" t="str">
        <f>IFERROR(__xludf.DUMMYFUNCTION("""COMPUTED_VALUE"""),"Estrela 4")</f>
        <v>Estrela 4</v>
      </c>
      <c r="P469" s="5">
        <f>IFERROR(__xludf.DUMMYFUNCTION("""COMPUTED_VALUE"""),117.0)</f>
        <v>117</v>
      </c>
      <c r="Q469" s="5" t="str">
        <f>IFERROR(__xludf.DUMMYFUNCTION("""COMPUTED_VALUE"""),"Lawrence of Arabia")</f>
        <v>Lawrence of Arabia</v>
      </c>
      <c r="R469" s="5" t="str">
        <f>IFERROR(__xludf.DUMMYFUNCTION("""COMPUTED_VALUE"""),"Jack Hawkins")</f>
        <v>Jack Hawkins</v>
      </c>
      <c r="S469" s="5" t="str">
        <f>IFERROR(__xludf.DUMMYFUNCTION("""COMPUTED_VALUE"""),"Estrela 4")</f>
        <v>Estrela 4</v>
      </c>
    </row>
    <row r="470">
      <c r="A470" s="1">
        <v>469.0</v>
      </c>
      <c r="B470" s="1" t="s">
        <v>2964</v>
      </c>
      <c r="C470" s="1" t="s">
        <v>2388</v>
      </c>
      <c r="D470" s="1" t="s">
        <v>2967</v>
      </c>
      <c r="E470" s="1" t="s">
        <v>2968</v>
      </c>
      <c r="F470" s="1" t="s">
        <v>2969</v>
      </c>
      <c r="G470" s="5" t="str">
        <f>IFERROR(__xludf.DUMMYFUNCTION("""COMPUTED_VALUE"""),"118🤙🏼The Apartment🤙🏼Jack Lemmon🤙🏼Estrela 1")</f>
        <v>118🤙🏼The Apartment🤙🏼Jack Lemmon🤙🏼Estrela 1</v>
      </c>
      <c r="H470" s="5">
        <f>IFERROR(__xludf.DUMMYFUNCTION("SPLiT(G470, ""🤙🏼"",FALSE,FALSE)"),118.0)</f>
        <v>118</v>
      </c>
      <c r="I470" s="5" t="str">
        <f>IFERROR(__xludf.DUMMYFUNCTION("""COMPUTED_VALUE"""),"The Apartment")</f>
        <v>The Apartment</v>
      </c>
      <c r="J470" s="5" t="str">
        <f>IFERROR(__xludf.DUMMYFUNCTION("""COMPUTED_VALUE"""),"Jack Lemmon")</f>
        <v>Jack Lemmon</v>
      </c>
      <c r="K470" s="5" t="str">
        <f>IFERROR(__xludf.DUMMYFUNCTION("""COMPUTED_VALUE"""),"Estrela 1")</f>
        <v>Estrela 1</v>
      </c>
      <c r="P470" s="5">
        <f>IFERROR(__xludf.DUMMYFUNCTION("""COMPUTED_VALUE"""),118.0)</f>
        <v>118</v>
      </c>
      <c r="Q470" s="5" t="str">
        <f>IFERROR(__xludf.DUMMYFUNCTION("""COMPUTED_VALUE"""),"The Apartment")</f>
        <v>The Apartment</v>
      </c>
      <c r="R470" s="5" t="str">
        <f>IFERROR(__xludf.DUMMYFUNCTION("""COMPUTED_VALUE"""),"Jack Lemmon")</f>
        <v>Jack Lemmon</v>
      </c>
      <c r="S470" s="5" t="str">
        <f>IFERROR(__xludf.DUMMYFUNCTION("""COMPUTED_VALUE"""),"Estrela 1")</f>
        <v>Estrela 1</v>
      </c>
    </row>
    <row r="471">
      <c r="A471" s="1">
        <v>470.0</v>
      </c>
      <c r="B471" s="1" t="s">
        <v>2970</v>
      </c>
      <c r="C471" s="1" t="s">
        <v>2972</v>
      </c>
      <c r="D471" s="1" t="s">
        <v>2973</v>
      </c>
      <c r="E471" s="1" t="s">
        <v>99</v>
      </c>
      <c r="F471" s="1" t="s">
        <v>2974</v>
      </c>
      <c r="G471" s="5" t="str">
        <f>IFERROR(__xludf.DUMMYFUNCTION("""COMPUTED_VALUE"""),"118🤙🏼The Apartment🤙🏼Shirley MacLaine🤙🏼Estrela 2")</f>
        <v>118🤙🏼The Apartment🤙🏼Shirley MacLaine🤙🏼Estrela 2</v>
      </c>
      <c r="H471" s="5">
        <f>IFERROR(__xludf.DUMMYFUNCTION("SPLiT(G471, ""🤙🏼"",FALSE,FALSE)"),118.0)</f>
        <v>118</v>
      </c>
      <c r="I471" s="5" t="str">
        <f>IFERROR(__xludf.DUMMYFUNCTION("""COMPUTED_VALUE"""),"The Apartment")</f>
        <v>The Apartment</v>
      </c>
      <c r="J471" s="5" t="str">
        <f>IFERROR(__xludf.DUMMYFUNCTION("""COMPUTED_VALUE"""),"Shirley MacLaine")</f>
        <v>Shirley MacLaine</v>
      </c>
      <c r="K471" s="5" t="str">
        <f>IFERROR(__xludf.DUMMYFUNCTION("""COMPUTED_VALUE"""),"Estrela 2")</f>
        <v>Estrela 2</v>
      </c>
      <c r="P471" s="5">
        <f>IFERROR(__xludf.DUMMYFUNCTION("""COMPUTED_VALUE"""),118.0)</f>
        <v>118</v>
      </c>
      <c r="Q471" s="5" t="str">
        <f>IFERROR(__xludf.DUMMYFUNCTION("""COMPUTED_VALUE"""),"The Apartment")</f>
        <v>The Apartment</v>
      </c>
      <c r="R471" s="5" t="str">
        <f>IFERROR(__xludf.DUMMYFUNCTION("""COMPUTED_VALUE"""),"Shirley MacLaine")</f>
        <v>Shirley MacLaine</v>
      </c>
      <c r="S471" s="5" t="str">
        <f>IFERROR(__xludf.DUMMYFUNCTION("""COMPUTED_VALUE"""),"Estrela 2")</f>
        <v>Estrela 2</v>
      </c>
    </row>
    <row r="472">
      <c r="A472" s="1">
        <v>471.0</v>
      </c>
      <c r="B472" s="1" t="s">
        <v>2975</v>
      </c>
      <c r="C472" s="1" t="s">
        <v>1784</v>
      </c>
      <c r="D472" s="1" t="s">
        <v>2978</v>
      </c>
      <c r="E472" s="1" t="s">
        <v>2979</v>
      </c>
      <c r="F472" s="1" t="s">
        <v>2980</v>
      </c>
      <c r="G472" s="5" t="str">
        <f>IFERROR(__xludf.DUMMYFUNCTION("""COMPUTED_VALUE"""),"118🤙🏼The Apartment🤙🏼Fred MacMurray🤙🏼Estrela 3")</f>
        <v>118🤙🏼The Apartment🤙🏼Fred MacMurray🤙🏼Estrela 3</v>
      </c>
      <c r="H472" s="5">
        <f>IFERROR(__xludf.DUMMYFUNCTION("SPLiT(G472, ""🤙🏼"",FALSE,FALSE)"),118.0)</f>
        <v>118</v>
      </c>
      <c r="I472" s="5" t="str">
        <f>IFERROR(__xludf.DUMMYFUNCTION("""COMPUTED_VALUE"""),"The Apartment")</f>
        <v>The Apartment</v>
      </c>
      <c r="J472" s="5" t="str">
        <f>IFERROR(__xludf.DUMMYFUNCTION("""COMPUTED_VALUE"""),"Fred MacMurray")</f>
        <v>Fred MacMurray</v>
      </c>
      <c r="K472" s="5" t="str">
        <f>IFERROR(__xludf.DUMMYFUNCTION("""COMPUTED_VALUE"""),"Estrela 3")</f>
        <v>Estrela 3</v>
      </c>
      <c r="P472" s="5">
        <f>IFERROR(__xludf.DUMMYFUNCTION("""COMPUTED_VALUE"""),118.0)</f>
        <v>118</v>
      </c>
      <c r="Q472" s="5" t="str">
        <f>IFERROR(__xludf.DUMMYFUNCTION("""COMPUTED_VALUE"""),"The Apartment")</f>
        <v>The Apartment</v>
      </c>
      <c r="R472" s="5" t="str">
        <f>IFERROR(__xludf.DUMMYFUNCTION("""COMPUTED_VALUE"""),"Fred MacMurray")</f>
        <v>Fred MacMurray</v>
      </c>
      <c r="S472" s="5" t="str">
        <f>IFERROR(__xludf.DUMMYFUNCTION("""COMPUTED_VALUE"""),"Estrela 3")</f>
        <v>Estrela 3</v>
      </c>
    </row>
    <row r="473">
      <c r="A473" s="1">
        <v>472.0</v>
      </c>
      <c r="B473" s="1" t="s">
        <v>2981</v>
      </c>
      <c r="C473" s="1" t="s">
        <v>66</v>
      </c>
      <c r="D473" s="1" t="s">
        <v>643</v>
      </c>
      <c r="E473" s="1" t="s">
        <v>2984</v>
      </c>
      <c r="F473" s="1" t="s">
        <v>2985</v>
      </c>
      <c r="G473" s="5" t="str">
        <f>IFERROR(__xludf.DUMMYFUNCTION("""COMPUTED_VALUE"""),"118🤙🏼The Apartment🤙🏼Ray Walston🤙🏼Estrela 4")</f>
        <v>118🤙🏼The Apartment🤙🏼Ray Walston🤙🏼Estrela 4</v>
      </c>
      <c r="H473" s="5">
        <f>IFERROR(__xludf.DUMMYFUNCTION("SPLiT(G473, ""🤙🏼"",FALSE,FALSE)"),118.0)</f>
        <v>118</v>
      </c>
      <c r="I473" s="5" t="str">
        <f>IFERROR(__xludf.DUMMYFUNCTION("""COMPUTED_VALUE"""),"The Apartment")</f>
        <v>The Apartment</v>
      </c>
      <c r="J473" s="5" t="str">
        <f>IFERROR(__xludf.DUMMYFUNCTION("""COMPUTED_VALUE"""),"Ray Walston")</f>
        <v>Ray Walston</v>
      </c>
      <c r="K473" s="5" t="str">
        <f>IFERROR(__xludf.DUMMYFUNCTION("""COMPUTED_VALUE"""),"Estrela 4")</f>
        <v>Estrela 4</v>
      </c>
      <c r="P473" s="5">
        <f>IFERROR(__xludf.DUMMYFUNCTION("""COMPUTED_VALUE"""),118.0)</f>
        <v>118</v>
      </c>
      <c r="Q473" s="5" t="str">
        <f>IFERROR(__xludf.DUMMYFUNCTION("""COMPUTED_VALUE"""),"The Apartment")</f>
        <v>The Apartment</v>
      </c>
      <c r="R473" s="5" t="str">
        <f>IFERROR(__xludf.DUMMYFUNCTION("""COMPUTED_VALUE"""),"Ray Walston")</f>
        <v>Ray Walston</v>
      </c>
      <c r="S473" s="5" t="str">
        <f>IFERROR(__xludf.DUMMYFUNCTION("""COMPUTED_VALUE"""),"Estrela 4")</f>
        <v>Estrela 4</v>
      </c>
    </row>
    <row r="474">
      <c r="A474" s="1">
        <v>473.0</v>
      </c>
      <c r="B474" s="1" t="s">
        <v>2986</v>
      </c>
      <c r="C474" s="1" t="s">
        <v>2989</v>
      </c>
      <c r="D474" s="1" t="s">
        <v>2990</v>
      </c>
      <c r="E474" s="1" t="s">
        <v>2991</v>
      </c>
      <c r="F474" s="1" t="s">
        <v>2992</v>
      </c>
      <c r="G474" s="5" t="str">
        <f>IFERROR(__xludf.DUMMYFUNCTION("""COMPUTED_VALUE"""),"119🤙🏼North by Northwest🤙🏼Cary Grant🤙🏼Estrela 1")</f>
        <v>119🤙🏼North by Northwest🤙🏼Cary Grant🤙🏼Estrela 1</v>
      </c>
      <c r="H474" s="5">
        <f>IFERROR(__xludf.DUMMYFUNCTION("SPLiT(G474, ""🤙🏼"",FALSE,FALSE)"),119.0)</f>
        <v>119</v>
      </c>
      <c r="I474" s="5" t="str">
        <f>IFERROR(__xludf.DUMMYFUNCTION("""COMPUTED_VALUE"""),"North by Northwest")</f>
        <v>North by Northwest</v>
      </c>
      <c r="J474" s="5" t="str">
        <f>IFERROR(__xludf.DUMMYFUNCTION("""COMPUTED_VALUE"""),"Cary Grant")</f>
        <v>Cary Grant</v>
      </c>
      <c r="K474" s="5" t="str">
        <f>IFERROR(__xludf.DUMMYFUNCTION("""COMPUTED_VALUE"""),"Estrela 1")</f>
        <v>Estrela 1</v>
      </c>
      <c r="P474" s="5">
        <f>IFERROR(__xludf.DUMMYFUNCTION("""COMPUTED_VALUE"""),119.0)</f>
        <v>119</v>
      </c>
      <c r="Q474" s="5" t="str">
        <f>IFERROR(__xludf.DUMMYFUNCTION("""COMPUTED_VALUE"""),"North by Northwest")</f>
        <v>North by Northwest</v>
      </c>
      <c r="R474" s="5" t="str">
        <f>IFERROR(__xludf.DUMMYFUNCTION("""COMPUTED_VALUE"""),"Cary Grant")</f>
        <v>Cary Grant</v>
      </c>
      <c r="S474" s="5" t="str">
        <f>IFERROR(__xludf.DUMMYFUNCTION("""COMPUTED_VALUE"""),"Estrela 1")</f>
        <v>Estrela 1</v>
      </c>
    </row>
    <row r="475">
      <c r="A475" s="1">
        <v>474.0</v>
      </c>
      <c r="B475" s="1" t="s">
        <v>2993</v>
      </c>
      <c r="C475" s="1" t="s">
        <v>485</v>
      </c>
      <c r="D475" s="1" t="s">
        <v>2995</v>
      </c>
      <c r="E475" s="1" t="s">
        <v>2996</v>
      </c>
      <c r="F475" s="1" t="s">
        <v>481</v>
      </c>
      <c r="G475" s="5" t="str">
        <f>IFERROR(__xludf.DUMMYFUNCTION("""COMPUTED_VALUE"""),"119🤙🏼North by Northwest🤙🏼Eva Marie Saint🤙🏼Estrela 2")</f>
        <v>119🤙🏼North by Northwest🤙🏼Eva Marie Saint🤙🏼Estrela 2</v>
      </c>
      <c r="H475" s="5">
        <f>IFERROR(__xludf.DUMMYFUNCTION("SPLiT(G475, ""🤙🏼"",FALSE,FALSE)"),119.0)</f>
        <v>119</v>
      </c>
      <c r="I475" s="5" t="str">
        <f>IFERROR(__xludf.DUMMYFUNCTION("""COMPUTED_VALUE"""),"North by Northwest")</f>
        <v>North by Northwest</v>
      </c>
      <c r="J475" s="5" t="str">
        <f>IFERROR(__xludf.DUMMYFUNCTION("""COMPUTED_VALUE"""),"Eva Marie Saint")</f>
        <v>Eva Marie Saint</v>
      </c>
      <c r="K475" s="5" t="str">
        <f>IFERROR(__xludf.DUMMYFUNCTION("""COMPUTED_VALUE"""),"Estrela 2")</f>
        <v>Estrela 2</v>
      </c>
      <c r="P475" s="5">
        <f>IFERROR(__xludf.DUMMYFUNCTION("""COMPUTED_VALUE"""),119.0)</f>
        <v>119</v>
      </c>
      <c r="Q475" s="5" t="str">
        <f>IFERROR(__xludf.DUMMYFUNCTION("""COMPUTED_VALUE"""),"North by Northwest")</f>
        <v>North by Northwest</v>
      </c>
      <c r="R475" s="5" t="str">
        <f>IFERROR(__xludf.DUMMYFUNCTION("""COMPUTED_VALUE"""),"Eva Marie Saint")</f>
        <v>Eva Marie Saint</v>
      </c>
      <c r="S475" s="5" t="str">
        <f>IFERROR(__xludf.DUMMYFUNCTION("""COMPUTED_VALUE"""),"Estrela 2")</f>
        <v>Estrela 2</v>
      </c>
    </row>
    <row r="476">
      <c r="A476" s="1">
        <v>475.0</v>
      </c>
      <c r="B476" s="1" t="s">
        <v>2997</v>
      </c>
      <c r="C476" s="1" t="s">
        <v>1542</v>
      </c>
      <c r="D476" s="1" t="s">
        <v>3000</v>
      </c>
      <c r="E476" s="1" t="s">
        <v>3001</v>
      </c>
      <c r="F476" s="1" t="s">
        <v>3002</v>
      </c>
      <c r="G476" s="5" t="str">
        <f>IFERROR(__xludf.DUMMYFUNCTION("""COMPUTED_VALUE"""),"119🤙🏼North by Northwest🤙🏼James Mason🤙🏼Estrela 3")</f>
        <v>119🤙🏼North by Northwest🤙🏼James Mason🤙🏼Estrela 3</v>
      </c>
      <c r="H476" s="5">
        <f>IFERROR(__xludf.DUMMYFUNCTION("SPLiT(G476, ""🤙🏼"",FALSE,FALSE)"),119.0)</f>
        <v>119</v>
      </c>
      <c r="I476" s="5" t="str">
        <f>IFERROR(__xludf.DUMMYFUNCTION("""COMPUTED_VALUE"""),"North by Northwest")</f>
        <v>North by Northwest</v>
      </c>
      <c r="J476" s="5" t="str">
        <f>IFERROR(__xludf.DUMMYFUNCTION("""COMPUTED_VALUE"""),"James Mason")</f>
        <v>James Mason</v>
      </c>
      <c r="K476" s="5" t="str">
        <f>IFERROR(__xludf.DUMMYFUNCTION("""COMPUTED_VALUE"""),"Estrela 3")</f>
        <v>Estrela 3</v>
      </c>
      <c r="P476" s="5">
        <f>IFERROR(__xludf.DUMMYFUNCTION("""COMPUTED_VALUE"""),119.0)</f>
        <v>119</v>
      </c>
      <c r="Q476" s="5" t="str">
        <f>IFERROR(__xludf.DUMMYFUNCTION("""COMPUTED_VALUE"""),"North by Northwest")</f>
        <v>North by Northwest</v>
      </c>
      <c r="R476" s="5" t="str">
        <f>IFERROR(__xludf.DUMMYFUNCTION("""COMPUTED_VALUE"""),"James Mason")</f>
        <v>James Mason</v>
      </c>
      <c r="S476" s="5" t="str">
        <f>IFERROR(__xludf.DUMMYFUNCTION("""COMPUTED_VALUE"""),"Estrela 3")</f>
        <v>Estrela 3</v>
      </c>
    </row>
    <row r="477">
      <c r="A477" s="1">
        <v>476.0</v>
      </c>
      <c r="B477" s="1" t="s">
        <v>3003</v>
      </c>
      <c r="C477" s="1" t="s">
        <v>3005</v>
      </c>
      <c r="D477" s="1" t="s">
        <v>3006</v>
      </c>
      <c r="E477" s="1" t="s">
        <v>307</v>
      </c>
      <c r="F477" s="1" t="s">
        <v>2977</v>
      </c>
      <c r="G477" s="5" t="str">
        <f>IFERROR(__xludf.DUMMYFUNCTION("""COMPUTED_VALUE"""),"119🤙🏼North by Northwest🤙🏼Jessie Royce Landis🤙🏼Estrela 4")</f>
        <v>119🤙🏼North by Northwest🤙🏼Jessie Royce Landis🤙🏼Estrela 4</v>
      </c>
      <c r="H477" s="5">
        <f>IFERROR(__xludf.DUMMYFUNCTION("SPLiT(G477, ""🤙🏼"",FALSE,FALSE)"),119.0)</f>
        <v>119</v>
      </c>
      <c r="I477" s="5" t="str">
        <f>IFERROR(__xludf.DUMMYFUNCTION("""COMPUTED_VALUE"""),"North by Northwest")</f>
        <v>North by Northwest</v>
      </c>
      <c r="J477" s="5" t="str">
        <f>IFERROR(__xludf.DUMMYFUNCTION("""COMPUTED_VALUE"""),"Jessie Royce Landis")</f>
        <v>Jessie Royce Landis</v>
      </c>
      <c r="K477" s="5" t="str">
        <f>IFERROR(__xludf.DUMMYFUNCTION("""COMPUTED_VALUE"""),"Estrela 4")</f>
        <v>Estrela 4</v>
      </c>
      <c r="P477" s="5">
        <f>IFERROR(__xludf.DUMMYFUNCTION("""COMPUTED_VALUE"""),119.0)</f>
        <v>119</v>
      </c>
      <c r="Q477" s="5" t="str">
        <f>IFERROR(__xludf.DUMMYFUNCTION("""COMPUTED_VALUE"""),"North by Northwest")</f>
        <v>North by Northwest</v>
      </c>
      <c r="R477" s="5" t="str">
        <f>IFERROR(__xludf.DUMMYFUNCTION("""COMPUTED_VALUE"""),"Jessie Royce Landis")</f>
        <v>Jessie Royce Landis</v>
      </c>
      <c r="S477" s="5" t="str">
        <f>IFERROR(__xludf.DUMMYFUNCTION("""COMPUTED_VALUE"""),"Estrela 4")</f>
        <v>Estrela 4</v>
      </c>
    </row>
    <row r="478">
      <c r="A478" s="1">
        <v>477.0</v>
      </c>
      <c r="B478" s="1" t="s">
        <v>3007</v>
      </c>
      <c r="C478" s="1" t="s">
        <v>2254</v>
      </c>
      <c r="D478" s="1" t="s">
        <v>2339</v>
      </c>
      <c r="E478" s="1" t="s">
        <v>3009</v>
      </c>
      <c r="F478" s="1" t="s">
        <v>2962</v>
      </c>
      <c r="G478" s="5" t="str">
        <f>IFERROR(__xludf.DUMMYFUNCTION("""COMPUTED_VALUE"""),"120🤙🏼Vertigo🤙🏼James Stewart🤙🏼Estrela 1")</f>
        <v>120🤙🏼Vertigo🤙🏼James Stewart🤙🏼Estrela 1</v>
      </c>
      <c r="H478" s="5">
        <f>IFERROR(__xludf.DUMMYFUNCTION("SPLiT(G478, ""🤙🏼"",FALSE,FALSE)"),120.0)</f>
        <v>120</v>
      </c>
      <c r="I478" s="5" t="str">
        <f>IFERROR(__xludf.DUMMYFUNCTION("""COMPUTED_VALUE"""),"Vertigo")</f>
        <v>Vertigo</v>
      </c>
      <c r="J478" s="5" t="str">
        <f>IFERROR(__xludf.DUMMYFUNCTION("""COMPUTED_VALUE"""),"James Stewart")</f>
        <v>James Stewart</v>
      </c>
      <c r="K478" s="5" t="str">
        <f>IFERROR(__xludf.DUMMYFUNCTION("""COMPUTED_VALUE"""),"Estrela 1")</f>
        <v>Estrela 1</v>
      </c>
      <c r="P478" s="5">
        <f>IFERROR(__xludf.DUMMYFUNCTION("""COMPUTED_VALUE"""),120.0)</f>
        <v>120</v>
      </c>
      <c r="Q478" s="5" t="str">
        <f>IFERROR(__xludf.DUMMYFUNCTION("""COMPUTED_VALUE"""),"Vertigo")</f>
        <v>Vertigo</v>
      </c>
      <c r="R478" s="5" t="str">
        <f>IFERROR(__xludf.DUMMYFUNCTION("""COMPUTED_VALUE"""),"James Stewart")</f>
        <v>James Stewart</v>
      </c>
      <c r="S478" s="5" t="str">
        <f>IFERROR(__xludf.DUMMYFUNCTION("""COMPUTED_VALUE"""),"Estrela 1")</f>
        <v>Estrela 1</v>
      </c>
    </row>
    <row r="479">
      <c r="A479" s="1">
        <v>478.0</v>
      </c>
      <c r="B479" s="1" t="s">
        <v>3010</v>
      </c>
      <c r="C479" s="1" t="s">
        <v>3013</v>
      </c>
      <c r="D479" s="1" t="s">
        <v>3014</v>
      </c>
      <c r="E479" s="1" t="s">
        <v>3015</v>
      </c>
      <c r="F479" s="1" t="s">
        <v>2264</v>
      </c>
      <c r="G479" s="5" t="str">
        <f>IFERROR(__xludf.DUMMYFUNCTION("""COMPUTED_VALUE"""),"120🤙🏼Vertigo🤙🏼Kim Novak🤙🏼Estrela 2")</f>
        <v>120🤙🏼Vertigo🤙🏼Kim Novak🤙🏼Estrela 2</v>
      </c>
      <c r="H479" s="5">
        <f>IFERROR(__xludf.DUMMYFUNCTION("SPLiT(G479, ""🤙🏼"",FALSE,FALSE)"),120.0)</f>
        <v>120</v>
      </c>
      <c r="I479" s="5" t="str">
        <f>IFERROR(__xludf.DUMMYFUNCTION("""COMPUTED_VALUE"""),"Vertigo")</f>
        <v>Vertigo</v>
      </c>
      <c r="J479" s="5" t="str">
        <f>IFERROR(__xludf.DUMMYFUNCTION("""COMPUTED_VALUE"""),"Kim Novak")</f>
        <v>Kim Novak</v>
      </c>
      <c r="K479" s="5" t="str">
        <f>IFERROR(__xludf.DUMMYFUNCTION("""COMPUTED_VALUE"""),"Estrela 2")</f>
        <v>Estrela 2</v>
      </c>
      <c r="P479" s="5">
        <f>IFERROR(__xludf.DUMMYFUNCTION("""COMPUTED_VALUE"""),120.0)</f>
        <v>120</v>
      </c>
      <c r="Q479" s="5" t="str">
        <f>IFERROR(__xludf.DUMMYFUNCTION("""COMPUTED_VALUE"""),"Vertigo")</f>
        <v>Vertigo</v>
      </c>
      <c r="R479" s="5" t="str">
        <f>IFERROR(__xludf.DUMMYFUNCTION("""COMPUTED_VALUE"""),"Kim Novak")</f>
        <v>Kim Novak</v>
      </c>
      <c r="S479" s="5" t="str">
        <f>IFERROR(__xludf.DUMMYFUNCTION("""COMPUTED_VALUE"""),"Estrela 2")</f>
        <v>Estrela 2</v>
      </c>
    </row>
    <row r="480">
      <c r="A480" s="1">
        <v>479.0</v>
      </c>
      <c r="B480" s="1" t="s">
        <v>3016</v>
      </c>
      <c r="C480" s="1" t="s">
        <v>1642</v>
      </c>
      <c r="D480" s="1" t="s">
        <v>1643</v>
      </c>
      <c r="E480" s="1" t="s">
        <v>3018</v>
      </c>
      <c r="F480" s="1" t="s">
        <v>3019</v>
      </c>
      <c r="G480" s="5" t="str">
        <f>IFERROR(__xludf.DUMMYFUNCTION("""COMPUTED_VALUE"""),"120🤙🏼Vertigo🤙🏼Barbara Bel Geddes🤙🏼Estrela 3")</f>
        <v>120🤙🏼Vertigo🤙🏼Barbara Bel Geddes🤙🏼Estrela 3</v>
      </c>
      <c r="H480" s="5">
        <f>IFERROR(__xludf.DUMMYFUNCTION("SPLiT(G480, ""🤙🏼"",FALSE,FALSE)"),120.0)</f>
        <v>120</v>
      </c>
      <c r="I480" s="5" t="str">
        <f>IFERROR(__xludf.DUMMYFUNCTION("""COMPUTED_VALUE"""),"Vertigo")</f>
        <v>Vertigo</v>
      </c>
      <c r="J480" s="5" t="str">
        <f>IFERROR(__xludf.DUMMYFUNCTION("""COMPUTED_VALUE"""),"Barbara Bel Geddes")</f>
        <v>Barbara Bel Geddes</v>
      </c>
      <c r="K480" s="5" t="str">
        <f>IFERROR(__xludf.DUMMYFUNCTION("""COMPUTED_VALUE"""),"Estrela 3")</f>
        <v>Estrela 3</v>
      </c>
      <c r="P480" s="5">
        <f>IFERROR(__xludf.DUMMYFUNCTION("""COMPUTED_VALUE"""),120.0)</f>
        <v>120</v>
      </c>
      <c r="Q480" s="5" t="str">
        <f>IFERROR(__xludf.DUMMYFUNCTION("""COMPUTED_VALUE"""),"Vertigo")</f>
        <v>Vertigo</v>
      </c>
      <c r="R480" s="5" t="str">
        <f>IFERROR(__xludf.DUMMYFUNCTION("""COMPUTED_VALUE"""),"Barbara Bel Geddes")</f>
        <v>Barbara Bel Geddes</v>
      </c>
      <c r="S480" s="5" t="str">
        <f>IFERROR(__xludf.DUMMYFUNCTION("""COMPUTED_VALUE"""),"Estrela 3")</f>
        <v>Estrela 3</v>
      </c>
    </row>
    <row r="481">
      <c r="A481" s="1">
        <v>480.0</v>
      </c>
      <c r="B481" s="1" t="s">
        <v>3020</v>
      </c>
      <c r="C481" s="1" t="s">
        <v>1421</v>
      </c>
      <c r="D481" s="1" t="s">
        <v>67</v>
      </c>
      <c r="E481" s="1" t="s">
        <v>306</v>
      </c>
      <c r="F481" s="1" t="s">
        <v>3022</v>
      </c>
      <c r="G481" s="5" t="str">
        <f>IFERROR(__xludf.DUMMYFUNCTION("""COMPUTED_VALUE"""),"120🤙🏼Vertigo🤙🏼Tom Helmore🤙🏼Estrela 4")</f>
        <v>120🤙🏼Vertigo🤙🏼Tom Helmore🤙🏼Estrela 4</v>
      </c>
      <c r="H481" s="5">
        <f>IFERROR(__xludf.DUMMYFUNCTION("SPLiT(G481, ""🤙🏼"",FALSE,FALSE)"),120.0)</f>
        <v>120</v>
      </c>
      <c r="I481" s="5" t="str">
        <f>IFERROR(__xludf.DUMMYFUNCTION("""COMPUTED_VALUE"""),"Vertigo")</f>
        <v>Vertigo</v>
      </c>
      <c r="J481" s="5" t="str">
        <f>IFERROR(__xludf.DUMMYFUNCTION("""COMPUTED_VALUE"""),"Tom Helmore")</f>
        <v>Tom Helmore</v>
      </c>
      <c r="K481" s="5" t="str">
        <f>IFERROR(__xludf.DUMMYFUNCTION("""COMPUTED_VALUE"""),"Estrela 4")</f>
        <v>Estrela 4</v>
      </c>
      <c r="P481" s="5">
        <f>IFERROR(__xludf.DUMMYFUNCTION("""COMPUTED_VALUE"""),120.0)</f>
        <v>120</v>
      </c>
      <c r="Q481" s="5" t="str">
        <f>IFERROR(__xludf.DUMMYFUNCTION("""COMPUTED_VALUE"""),"Vertigo")</f>
        <v>Vertigo</v>
      </c>
      <c r="R481" s="5" t="str">
        <f>IFERROR(__xludf.DUMMYFUNCTION("""COMPUTED_VALUE"""),"Tom Helmore")</f>
        <v>Tom Helmore</v>
      </c>
      <c r="S481" s="5" t="str">
        <f>IFERROR(__xludf.DUMMYFUNCTION("""COMPUTED_VALUE"""),"Estrela 4")</f>
        <v>Estrela 4</v>
      </c>
    </row>
    <row r="482">
      <c r="A482" s="1">
        <v>481.0</v>
      </c>
      <c r="B482" s="1" t="s">
        <v>3023</v>
      </c>
      <c r="C482" s="1" t="s">
        <v>3027</v>
      </c>
      <c r="D482" s="1" t="s">
        <v>2476</v>
      </c>
      <c r="E482" s="1" t="s">
        <v>3028</v>
      </c>
      <c r="F482" s="1" t="s">
        <v>3029</v>
      </c>
      <c r="G482" s="5" t="str">
        <f>IFERROR(__xludf.DUMMYFUNCTION("""COMPUTED_VALUE"""),"121🤙🏼Singin' in the Rain🤙🏼Gene Kelly🤙🏼Estrela 1")</f>
        <v>121🤙🏼Singin' in the Rain🤙🏼Gene Kelly🤙🏼Estrela 1</v>
      </c>
      <c r="H482" s="5">
        <f>IFERROR(__xludf.DUMMYFUNCTION("SPLiT(G482, ""🤙🏼"",FALSE,FALSE)"),121.0)</f>
        <v>121</v>
      </c>
      <c r="I482" s="5" t="str">
        <f>IFERROR(__xludf.DUMMYFUNCTION("""COMPUTED_VALUE"""),"Singin' in the Rain")</f>
        <v>Singin' in the Rain</v>
      </c>
      <c r="J482" s="5" t="str">
        <f>IFERROR(__xludf.DUMMYFUNCTION("""COMPUTED_VALUE"""),"Gene Kelly")</f>
        <v>Gene Kelly</v>
      </c>
      <c r="K482" s="5" t="str">
        <f>IFERROR(__xludf.DUMMYFUNCTION("""COMPUTED_VALUE"""),"Estrela 1")</f>
        <v>Estrela 1</v>
      </c>
      <c r="P482" s="5">
        <f>IFERROR(__xludf.DUMMYFUNCTION("""COMPUTED_VALUE"""),121.0)</f>
        <v>121</v>
      </c>
      <c r="Q482" s="5" t="str">
        <f>IFERROR(__xludf.DUMMYFUNCTION("""COMPUTED_VALUE"""),"Singin' in the Rain")</f>
        <v>Singin' in the Rain</v>
      </c>
      <c r="R482" s="5" t="str">
        <f>IFERROR(__xludf.DUMMYFUNCTION("""COMPUTED_VALUE"""),"Gene Kelly")</f>
        <v>Gene Kelly</v>
      </c>
      <c r="S482" s="5" t="str">
        <f>IFERROR(__xludf.DUMMYFUNCTION("""COMPUTED_VALUE"""),"Estrela 1")</f>
        <v>Estrela 1</v>
      </c>
    </row>
    <row r="483">
      <c r="A483" s="1">
        <v>482.0</v>
      </c>
      <c r="B483" s="1" t="s">
        <v>3030</v>
      </c>
      <c r="C483" s="1" t="s">
        <v>3033</v>
      </c>
      <c r="D483" s="1" t="s">
        <v>3034</v>
      </c>
      <c r="E483" s="1" t="s">
        <v>1685</v>
      </c>
      <c r="F483" s="1" t="s">
        <v>3035</v>
      </c>
      <c r="G483" s="5" t="str">
        <f>IFERROR(__xludf.DUMMYFUNCTION("""COMPUTED_VALUE"""),"121🤙🏼Singin' in the Rain🤙🏼Gene Kelly🤙🏼Estrela 2")</f>
        <v>121🤙🏼Singin' in the Rain🤙🏼Gene Kelly🤙🏼Estrela 2</v>
      </c>
      <c r="H483" s="5">
        <f>IFERROR(__xludf.DUMMYFUNCTION("SPLiT(G483, ""🤙🏼"",FALSE,FALSE)"),121.0)</f>
        <v>121</v>
      </c>
      <c r="I483" s="5" t="str">
        <f>IFERROR(__xludf.DUMMYFUNCTION("""COMPUTED_VALUE"""),"Singin' in the Rain")</f>
        <v>Singin' in the Rain</v>
      </c>
      <c r="J483" s="5" t="str">
        <f>IFERROR(__xludf.DUMMYFUNCTION("""COMPUTED_VALUE"""),"Gene Kelly")</f>
        <v>Gene Kelly</v>
      </c>
      <c r="K483" s="5" t="str">
        <f>IFERROR(__xludf.DUMMYFUNCTION("""COMPUTED_VALUE"""),"Estrela 2")</f>
        <v>Estrela 2</v>
      </c>
      <c r="P483" s="5">
        <f>IFERROR(__xludf.DUMMYFUNCTION("""COMPUTED_VALUE"""),121.0)</f>
        <v>121</v>
      </c>
      <c r="Q483" s="5" t="str">
        <f>IFERROR(__xludf.DUMMYFUNCTION("""COMPUTED_VALUE"""),"Singin' in the Rain")</f>
        <v>Singin' in the Rain</v>
      </c>
      <c r="R483" s="5" t="str">
        <f>IFERROR(__xludf.DUMMYFUNCTION("""COMPUTED_VALUE"""),"Gene Kelly")</f>
        <v>Gene Kelly</v>
      </c>
      <c r="S483" s="5" t="str">
        <f>IFERROR(__xludf.DUMMYFUNCTION("""COMPUTED_VALUE"""),"Estrela 2")</f>
        <v>Estrela 2</v>
      </c>
    </row>
    <row r="484">
      <c r="A484" s="1">
        <v>483.0</v>
      </c>
      <c r="B484" s="1" t="s">
        <v>3036</v>
      </c>
      <c r="C484" s="1" t="s">
        <v>2486</v>
      </c>
      <c r="D484" s="1" t="s">
        <v>3039</v>
      </c>
      <c r="E484" s="1" t="s">
        <v>3001</v>
      </c>
      <c r="F484" s="1" t="s">
        <v>1525</v>
      </c>
      <c r="G484" s="5" t="str">
        <f>IFERROR(__xludf.DUMMYFUNCTION("""COMPUTED_VALUE"""),"121🤙🏼Singin' in the Rain🤙🏼Donald O'Connor🤙🏼Estrela 3")</f>
        <v>121🤙🏼Singin' in the Rain🤙🏼Donald O'Connor🤙🏼Estrela 3</v>
      </c>
      <c r="H484" s="5">
        <f>IFERROR(__xludf.DUMMYFUNCTION("SPLiT(G484, ""🤙🏼"",FALSE,FALSE)"),121.0)</f>
        <v>121</v>
      </c>
      <c r="I484" s="5" t="str">
        <f>IFERROR(__xludf.DUMMYFUNCTION("""COMPUTED_VALUE"""),"Singin' in the Rain")</f>
        <v>Singin' in the Rain</v>
      </c>
      <c r="J484" s="5" t="str">
        <f>IFERROR(__xludf.DUMMYFUNCTION("""COMPUTED_VALUE"""),"Donald O'Connor")</f>
        <v>Donald O'Connor</v>
      </c>
      <c r="K484" s="5" t="str">
        <f>IFERROR(__xludf.DUMMYFUNCTION("""COMPUTED_VALUE"""),"Estrela 3")</f>
        <v>Estrela 3</v>
      </c>
      <c r="P484" s="5">
        <f>IFERROR(__xludf.DUMMYFUNCTION("""COMPUTED_VALUE"""),121.0)</f>
        <v>121</v>
      </c>
      <c r="Q484" s="5" t="str">
        <f>IFERROR(__xludf.DUMMYFUNCTION("""COMPUTED_VALUE"""),"Singin' in the Rain")</f>
        <v>Singin' in the Rain</v>
      </c>
      <c r="R484" s="5" t="str">
        <f>IFERROR(__xludf.DUMMYFUNCTION("""COMPUTED_VALUE"""),"Donald O'Connor")</f>
        <v>Donald O'Connor</v>
      </c>
      <c r="S484" s="5" t="str">
        <f>IFERROR(__xludf.DUMMYFUNCTION("""COMPUTED_VALUE"""),"Estrela 3")</f>
        <v>Estrela 3</v>
      </c>
    </row>
    <row r="485">
      <c r="A485" s="1">
        <v>484.0</v>
      </c>
      <c r="B485" s="1" t="s">
        <v>3040</v>
      </c>
      <c r="C485" s="1" t="s">
        <v>1773</v>
      </c>
      <c r="D485" s="1" t="s">
        <v>3043</v>
      </c>
      <c r="E485" s="1" t="s">
        <v>3044</v>
      </c>
      <c r="F485" s="1" t="s">
        <v>3045</v>
      </c>
      <c r="G485" s="5" t="str">
        <f>IFERROR(__xludf.DUMMYFUNCTION("""COMPUTED_VALUE"""),"121🤙🏼Singin' in the Rain🤙🏼Debbie Reynolds🤙🏼Estrela 4")</f>
        <v>121🤙🏼Singin' in the Rain🤙🏼Debbie Reynolds🤙🏼Estrela 4</v>
      </c>
      <c r="H485" s="5">
        <f>IFERROR(__xludf.DUMMYFUNCTION("SPLiT(G485, ""🤙🏼"",FALSE,FALSE)"),121.0)</f>
        <v>121</v>
      </c>
      <c r="I485" s="5" t="str">
        <f>IFERROR(__xludf.DUMMYFUNCTION("""COMPUTED_VALUE"""),"Singin' in the Rain")</f>
        <v>Singin' in the Rain</v>
      </c>
      <c r="J485" s="5" t="str">
        <f>IFERROR(__xludf.DUMMYFUNCTION("""COMPUTED_VALUE"""),"Debbie Reynolds")</f>
        <v>Debbie Reynolds</v>
      </c>
      <c r="K485" s="5" t="str">
        <f>IFERROR(__xludf.DUMMYFUNCTION("""COMPUTED_VALUE"""),"Estrela 4")</f>
        <v>Estrela 4</v>
      </c>
      <c r="P485" s="5">
        <f>IFERROR(__xludf.DUMMYFUNCTION("""COMPUTED_VALUE"""),121.0)</f>
        <v>121</v>
      </c>
      <c r="Q485" s="5" t="str">
        <f>IFERROR(__xludf.DUMMYFUNCTION("""COMPUTED_VALUE"""),"Singin' in the Rain")</f>
        <v>Singin' in the Rain</v>
      </c>
      <c r="R485" s="5" t="str">
        <f>IFERROR(__xludf.DUMMYFUNCTION("""COMPUTED_VALUE"""),"Debbie Reynolds")</f>
        <v>Debbie Reynolds</v>
      </c>
      <c r="S485" s="5" t="str">
        <f>IFERROR(__xludf.DUMMYFUNCTION("""COMPUTED_VALUE"""),"Estrela 4")</f>
        <v>Estrela 4</v>
      </c>
    </row>
    <row r="486">
      <c r="A486" s="1">
        <v>485.0</v>
      </c>
      <c r="B486" s="1" t="s">
        <v>3046</v>
      </c>
      <c r="C486" s="1" t="s">
        <v>49</v>
      </c>
      <c r="D486" s="1" t="s">
        <v>33</v>
      </c>
      <c r="E486" s="1" t="s">
        <v>141</v>
      </c>
      <c r="F486" s="1" t="s">
        <v>780</v>
      </c>
      <c r="G486" s="5" t="str">
        <f>IFERROR(__xludf.DUMMYFUNCTION("""COMPUTED_VALUE"""),"122🤙🏼Ikiru🤙🏼Takashi Shimura🤙🏼Estrela 1")</f>
        <v>122🤙🏼Ikiru🤙🏼Takashi Shimura🤙🏼Estrela 1</v>
      </c>
      <c r="H486" s="5">
        <f>IFERROR(__xludf.DUMMYFUNCTION("SPLiT(G486, ""🤙🏼"",FALSE,FALSE)"),122.0)</f>
        <v>122</v>
      </c>
      <c r="I486" s="5" t="str">
        <f>IFERROR(__xludf.DUMMYFUNCTION("""COMPUTED_VALUE"""),"Ikiru")</f>
        <v>Ikiru</v>
      </c>
      <c r="J486" s="5" t="str">
        <f>IFERROR(__xludf.DUMMYFUNCTION("""COMPUTED_VALUE"""),"Takashi Shimura")</f>
        <v>Takashi Shimura</v>
      </c>
      <c r="K486" s="5" t="str">
        <f>IFERROR(__xludf.DUMMYFUNCTION("""COMPUTED_VALUE"""),"Estrela 1")</f>
        <v>Estrela 1</v>
      </c>
      <c r="P486" s="5">
        <f>IFERROR(__xludf.DUMMYFUNCTION("""COMPUTED_VALUE"""),122.0)</f>
        <v>122</v>
      </c>
      <c r="Q486" s="5" t="str">
        <f>IFERROR(__xludf.DUMMYFUNCTION("""COMPUTED_VALUE"""),"Ikiru")</f>
        <v>Ikiru</v>
      </c>
      <c r="R486" s="5" t="str">
        <f>IFERROR(__xludf.DUMMYFUNCTION("""COMPUTED_VALUE"""),"Takashi Shimura")</f>
        <v>Takashi Shimura</v>
      </c>
      <c r="S486" s="5" t="str">
        <f>IFERROR(__xludf.DUMMYFUNCTION("""COMPUTED_VALUE"""),"Estrela 1")</f>
        <v>Estrela 1</v>
      </c>
    </row>
    <row r="487">
      <c r="A487" s="1">
        <v>486.0</v>
      </c>
      <c r="B487" s="1" t="s">
        <v>3049</v>
      </c>
      <c r="C487" s="1" t="s">
        <v>3052</v>
      </c>
      <c r="D487" s="1" t="s">
        <v>3053</v>
      </c>
      <c r="E487" s="1" t="s">
        <v>3054</v>
      </c>
      <c r="F487" s="1" t="s">
        <v>3055</v>
      </c>
      <c r="G487" s="5" t="str">
        <f>IFERROR(__xludf.DUMMYFUNCTION("""COMPUTED_VALUE"""),"122🤙🏼Ikiru🤙🏼Nobuo Kaneko🤙🏼Estrela 2")</f>
        <v>122🤙🏼Ikiru🤙🏼Nobuo Kaneko🤙🏼Estrela 2</v>
      </c>
      <c r="H487" s="5">
        <f>IFERROR(__xludf.DUMMYFUNCTION("SPLiT(G487, ""🤙🏼"",FALSE,FALSE)"),122.0)</f>
        <v>122</v>
      </c>
      <c r="I487" s="5" t="str">
        <f>IFERROR(__xludf.DUMMYFUNCTION("""COMPUTED_VALUE"""),"Ikiru")</f>
        <v>Ikiru</v>
      </c>
      <c r="J487" s="5" t="str">
        <f>IFERROR(__xludf.DUMMYFUNCTION("""COMPUTED_VALUE"""),"Nobuo Kaneko")</f>
        <v>Nobuo Kaneko</v>
      </c>
      <c r="K487" s="5" t="str">
        <f>IFERROR(__xludf.DUMMYFUNCTION("""COMPUTED_VALUE"""),"Estrela 2")</f>
        <v>Estrela 2</v>
      </c>
      <c r="P487" s="5">
        <f>IFERROR(__xludf.DUMMYFUNCTION("""COMPUTED_VALUE"""),122.0)</f>
        <v>122</v>
      </c>
      <c r="Q487" s="5" t="str">
        <f>IFERROR(__xludf.DUMMYFUNCTION("""COMPUTED_VALUE"""),"Ikiru")</f>
        <v>Ikiru</v>
      </c>
      <c r="R487" s="5" t="str">
        <f>IFERROR(__xludf.DUMMYFUNCTION("""COMPUTED_VALUE"""),"Nobuo Kaneko")</f>
        <v>Nobuo Kaneko</v>
      </c>
      <c r="S487" s="5" t="str">
        <f>IFERROR(__xludf.DUMMYFUNCTION("""COMPUTED_VALUE"""),"Estrela 2")</f>
        <v>Estrela 2</v>
      </c>
    </row>
    <row r="488">
      <c r="A488" s="1">
        <v>487.0</v>
      </c>
      <c r="B488" s="1" t="s">
        <v>3056</v>
      </c>
      <c r="C488" s="1" t="s">
        <v>974</v>
      </c>
      <c r="D488" s="1" t="s">
        <v>237</v>
      </c>
      <c r="E488" s="1" t="s">
        <v>3059</v>
      </c>
      <c r="F488" s="1" t="s">
        <v>3060</v>
      </c>
      <c r="G488" s="5" t="str">
        <f>IFERROR(__xludf.DUMMYFUNCTION("""COMPUTED_VALUE"""),"122🤙🏼Ikiru🤙🏼Shin'ichi Himori🤙🏼Estrela 3")</f>
        <v>122🤙🏼Ikiru🤙🏼Shin'ichi Himori🤙🏼Estrela 3</v>
      </c>
      <c r="H488" s="5">
        <f>IFERROR(__xludf.DUMMYFUNCTION("SPLiT(G488, ""🤙🏼"",FALSE,FALSE)"),122.0)</f>
        <v>122</v>
      </c>
      <c r="I488" s="5" t="str">
        <f>IFERROR(__xludf.DUMMYFUNCTION("""COMPUTED_VALUE"""),"Ikiru")</f>
        <v>Ikiru</v>
      </c>
      <c r="J488" s="5" t="str">
        <f>IFERROR(__xludf.DUMMYFUNCTION("""COMPUTED_VALUE"""),"Shin'ichi Himori")</f>
        <v>Shin'ichi Himori</v>
      </c>
      <c r="K488" s="5" t="str">
        <f>IFERROR(__xludf.DUMMYFUNCTION("""COMPUTED_VALUE"""),"Estrela 3")</f>
        <v>Estrela 3</v>
      </c>
      <c r="P488" s="5">
        <f>IFERROR(__xludf.DUMMYFUNCTION("""COMPUTED_VALUE"""),122.0)</f>
        <v>122</v>
      </c>
      <c r="Q488" s="5" t="str">
        <f>IFERROR(__xludf.DUMMYFUNCTION("""COMPUTED_VALUE"""),"Ikiru")</f>
        <v>Ikiru</v>
      </c>
      <c r="R488" s="5" t="str">
        <f>IFERROR(__xludf.DUMMYFUNCTION("""COMPUTED_VALUE"""),"Shin'ichi Himori")</f>
        <v>Shin'ichi Himori</v>
      </c>
      <c r="S488" s="5" t="str">
        <f>IFERROR(__xludf.DUMMYFUNCTION("""COMPUTED_VALUE"""),"Estrela 3")</f>
        <v>Estrela 3</v>
      </c>
    </row>
    <row r="489">
      <c r="A489" s="1">
        <v>488.0</v>
      </c>
      <c r="B489" s="1" t="s">
        <v>3061</v>
      </c>
      <c r="C489" s="1" t="s">
        <v>3064</v>
      </c>
      <c r="D489" s="1" t="s">
        <v>3065</v>
      </c>
      <c r="E489" s="1" t="s">
        <v>3066</v>
      </c>
      <c r="F489" s="1" t="s">
        <v>3067</v>
      </c>
      <c r="G489" s="5" t="str">
        <f>IFERROR(__xludf.DUMMYFUNCTION("""COMPUTED_VALUE"""),"122🤙🏼Ikiru🤙🏼Haruo Tanaka🤙🏼Estrela 4")</f>
        <v>122🤙🏼Ikiru🤙🏼Haruo Tanaka🤙🏼Estrela 4</v>
      </c>
      <c r="H489" s="5">
        <f>IFERROR(__xludf.DUMMYFUNCTION("SPLiT(G489, ""🤙🏼"",FALSE,FALSE)"),122.0)</f>
        <v>122</v>
      </c>
      <c r="I489" s="5" t="str">
        <f>IFERROR(__xludf.DUMMYFUNCTION("""COMPUTED_VALUE"""),"Ikiru")</f>
        <v>Ikiru</v>
      </c>
      <c r="J489" s="5" t="str">
        <f>IFERROR(__xludf.DUMMYFUNCTION("""COMPUTED_VALUE"""),"Haruo Tanaka")</f>
        <v>Haruo Tanaka</v>
      </c>
      <c r="K489" s="5" t="str">
        <f>IFERROR(__xludf.DUMMYFUNCTION("""COMPUTED_VALUE"""),"Estrela 4")</f>
        <v>Estrela 4</v>
      </c>
      <c r="P489" s="5">
        <f>IFERROR(__xludf.DUMMYFUNCTION("""COMPUTED_VALUE"""),122.0)</f>
        <v>122</v>
      </c>
      <c r="Q489" s="5" t="str">
        <f>IFERROR(__xludf.DUMMYFUNCTION("""COMPUTED_VALUE"""),"Ikiru")</f>
        <v>Ikiru</v>
      </c>
      <c r="R489" s="5" t="str">
        <f>IFERROR(__xludf.DUMMYFUNCTION("""COMPUTED_VALUE"""),"Haruo Tanaka")</f>
        <v>Haruo Tanaka</v>
      </c>
      <c r="S489" s="5" t="str">
        <f>IFERROR(__xludf.DUMMYFUNCTION("""COMPUTED_VALUE"""),"Estrela 4")</f>
        <v>Estrela 4</v>
      </c>
    </row>
    <row r="490">
      <c r="A490" s="1">
        <v>489.0</v>
      </c>
      <c r="B490" s="1" t="s">
        <v>3068</v>
      </c>
      <c r="C490" s="1" t="s">
        <v>3071</v>
      </c>
      <c r="D490" s="1" t="s">
        <v>3072</v>
      </c>
      <c r="E490" s="1" t="s">
        <v>3073</v>
      </c>
      <c r="F490" s="1" t="s">
        <v>3074</v>
      </c>
      <c r="G490" s="5" t="str">
        <f>IFERROR(__xludf.DUMMYFUNCTION("""COMPUTED_VALUE"""),"123🤙🏼Ladri di biciclette🤙🏼Lamberto Maggiorani🤙🏼Estrela 1")</f>
        <v>123🤙🏼Ladri di biciclette🤙🏼Lamberto Maggiorani🤙🏼Estrela 1</v>
      </c>
      <c r="H490" s="5">
        <f>IFERROR(__xludf.DUMMYFUNCTION("SPLiT(G490, ""🤙🏼"",FALSE,FALSE)"),123.0)</f>
        <v>123</v>
      </c>
      <c r="I490" s="5" t="str">
        <f>IFERROR(__xludf.DUMMYFUNCTION("""COMPUTED_VALUE"""),"Ladri di biciclette")</f>
        <v>Ladri di biciclette</v>
      </c>
      <c r="J490" s="5" t="str">
        <f>IFERROR(__xludf.DUMMYFUNCTION("""COMPUTED_VALUE"""),"Lamberto Maggiorani")</f>
        <v>Lamberto Maggiorani</v>
      </c>
      <c r="K490" s="5" t="str">
        <f>IFERROR(__xludf.DUMMYFUNCTION("""COMPUTED_VALUE"""),"Estrela 1")</f>
        <v>Estrela 1</v>
      </c>
      <c r="P490" s="5">
        <f>IFERROR(__xludf.DUMMYFUNCTION("""COMPUTED_VALUE"""),123.0)</f>
        <v>123</v>
      </c>
      <c r="Q490" s="5" t="str">
        <f>IFERROR(__xludf.DUMMYFUNCTION("""COMPUTED_VALUE"""),"Ladri di biciclette")</f>
        <v>Ladri di biciclette</v>
      </c>
      <c r="R490" s="5" t="str">
        <f>IFERROR(__xludf.DUMMYFUNCTION("""COMPUTED_VALUE"""),"Lamberto Maggiorani")</f>
        <v>Lamberto Maggiorani</v>
      </c>
      <c r="S490" s="5" t="str">
        <f>IFERROR(__xludf.DUMMYFUNCTION("""COMPUTED_VALUE"""),"Estrela 1")</f>
        <v>Estrela 1</v>
      </c>
    </row>
    <row r="491">
      <c r="A491" s="1">
        <v>490.0</v>
      </c>
      <c r="B491" s="1" t="s">
        <v>3075</v>
      </c>
      <c r="C491" s="1" t="s">
        <v>2383</v>
      </c>
      <c r="D491" s="1" t="s">
        <v>3077</v>
      </c>
      <c r="E491" s="1" t="s">
        <v>3078</v>
      </c>
      <c r="F491" s="1" t="s">
        <v>3079</v>
      </c>
      <c r="G491" s="5" t="str">
        <f>IFERROR(__xludf.DUMMYFUNCTION("""COMPUTED_VALUE"""),"123🤙🏼Ladri di biciclette🤙🏼Enzo Staiola🤙🏼Estrela 2")</f>
        <v>123🤙🏼Ladri di biciclette🤙🏼Enzo Staiola🤙🏼Estrela 2</v>
      </c>
      <c r="H491" s="5">
        <f>IFERROR(__xludf.DUMMYFUNCTION("SPLiT(G491, ""🤙🏼"",FALSE,FALSE)"),123.0)</f>
        <v>123</v>
      </c>
      <c r="I491" s="5" t="str">
        <f>IFERROR(__xludf.DUMMYFUNCTION("""COMPUTED_VALUE"""),"Ladri di biciclette")</f>
        <v>Ladri di biciclette</v>
      </c>
      <c r="J491" s="5" t="str">
        <f>IFERROR(__xludf.DUMMYFUNCTION("""COMPUTED_VALUE"""),"Enzo Staiola")</f>
        <v>Enzo Staiola</v>
      </c>
      <c r="K491" s="5" t="str">
        <f>IFERROR(__xludf.DUMMYFUNCTION("""COMPUTED_VALUE"""),"Estrela 2")</f>
        <v>Estrela 2</v>
      </c>
      <c r="P491" s="5">
        <f>IFERROR(__xludf.DUMMYFUNCTION("""COMPUTED_VALUE"""),123.0)</f>
        <v>123</v>
      </c>
      <c r="Q491" s="5" t="str">
        <f>IFERROR(__xludf.DUMMYFUNCTION("""COMPUTED_VALUE"""),"Ladri di biciclette")</f>
        <v>Ladri di biciclette</v>
      </c>
      <c r="R491" s="5" t="str">
        <f>IFERROR(__xludf.DUMMYFUNCTION("""COMPUTED_VALUE"""),"Enzo Staiola")</f>
        <v>Enzo Staiola</v>
      </c>
      <c r="S491" s="5" t="str">
        <f>IFERROR(__xludf.DUMMYFUNCTION("""COMPUTED_VALUE"""),"Estrela 2")</f>
        <v>Estrela 2</v>
      </c>
    </row>
    <row r="492">
      <c r="A492" s="1">
        <v>491.0</v>
      </c>
      <c r="B492" s="1" t="s">
        <v>3080</v>
      </c>
      <c r="C492" s="1" t="s">
        <v>1416</v>
      </c>
      <c r="D492" s="1" t="s">
        <v>2166</v>
      </c>
      <c r="E492" s="1" t="s">
        <v>3084</v>
      </c>
      <c r="F492" s="1" t="s">
        <v>3085</v>
      </c>
      <c r="G492" s="5" t="str">
        <f>IFERROR(__xludf.DUMMYFUNCTION("""COMPUTED_VALUE"""),"123🤙🏼Ladri di biciclette🤙🏼Lianella Carell🤙🏼Estrela 3")</f>
        <v>123🤙🏼Ladri di biciclette🤙🏼Lianella Carell🤙🏼Estrela 3</v>
      </c>
      <c r="H492" s="5">
        <f>IFERROR(__xludf.DUMMYFUNCTION("SPLiT(G492, ""🤙🏼"",FALSE,FALSE)"),123.0)</f>
        <v>123</v>
      </c>
      <c r="I492" s="5" t="str">
        <f>IFERROR(__xludf.DUMMYFUNCTION("""COMPUTED_VALUE"""),"Ladri di biciclette")</f>
        <v>Ladri di biciclette</v>
      </c>
      <c r="J492" s="5" t="str">
        <f>IFERROR(__xludf.DUMMYFUNCTION("""COMPUTED_VALUE"""),"Lianella Carell")</f>
        <v>Lianella Carell</v>
      </c>
      <c r="K492" s="5" t="str">
        <f>IFERROR(__xludf.DUMMYFUNCTION("""COMPUTED_VALUE"""),"Estrela 3")</f>
        <v>Estrela 3</v>
      </c>
      <c r="P492" s="5">
        <f>IFERROR(__xludf.DUMMYFUNCTION("""COMPUTED_VALUE"""),123.0)</f>
        <v>123</v>
      </c>
      <c r="Q492" s="5" t="str">
        <f>IFERROR(__xludf.DUMMYFUNCTION("""COMPUTED_VALUE"""),"Ladri di biciclette")</f>
        <v>Ladri di biciclette</v>
      </c>
      <c r="R492" s="5" t="str">
        <f>IFERROR(__xludf.DUMMYFUNCTION("""COMPUTED_VALUE"""),"Lianella Carell")</f>
        <v>Lianella Carell</v>
      </c>
      <c r="S492" s="5" t="str">
        <f>IFERROR(__xludf.DUMMYFUNCTION("""COMPUTED_VALUE"""),"Estrela 3")</f>
        <v>Estrela 3</v>
      </c>
    </row>
    <row r="493">
      <c r="A493" s="1">
        <v>492.0</v>
      </c>
      <c r="B493" s="1" t="s">
        <v>3086</v>
      </c>
      <c r="C493" s="1" t="s">
        <v>3088</v>
      </c>
      <c r="D493" s="1" t="s">
        <v>3089</v>
      </c>
      <c r="E493" s="1" t="s">
        <v>1642</v>
      </c>
      <c r="F493" s="1" t="s">
        <v>3090</v>
      </c>
      <c r="G493" s="5" t="str">
        <f>IFERROR(__xludf.DUMMYFUNCTION("""COMPUTED_VALUE"""),"123🤙🏼Ladri di biciclette🤙🏼Elena Altieri🤙🏼Estrela 4")</f>
        <v>123🤙🏼Ladri di biciclette🤙🏼Elena Altieri🤙🏼Estrela 4</v>
      </c>
      <c r="H493" s="5">
        <f>IFERROR(__xludf.DUMMYFUNCTION("SPLiT(G493, ""🤙🏼"",FALSE,FALSE)"),123.0)</f>
        <v>123</v>
      </c>
      <c r="I493" s="5" t="str">
        <f>IFERROR(__xludf.DUMMYFUNCTION("""COMPUTED_VALUE"""),"Ladri di biciclette")</f>
        <v>Ladri di biciclette</v>
      </c>
      <c r="J493" s="5" t="str">
        <f>IFERROR(__xludf.DUMMYFUNCTION("""COMPUTED_VALUE"""),"Elena Altieri")</f>
        <v>Elena Altieri</v>
      </c>
      <c r="K493" s="5" t="str">
        <f>IFERROR(__xludf.DUMMYFUNCTION("""COMPUTED_VALUE"""),"Estrela 4")</f>
        <v>Estrela 4</v>
      </c>
      <c r="P493" s="5">
        <f>IFERROR(__xludf.DUMMYFUNCTION("""COMPUTED_VALUE"""),123.0)</f>
        <v>123</v>
      </c>
      <c r="Q493" s="5" t="str">
        <f>IFERROR(__xludf.DUMMYFUNCTION("""COMPUTED_VALUE"""),"Ladri di biciclette")</f>
        <v>Ladri di biciclette</v>
      </c>
      <c r="R493" s="5" t="str">
        <f>IFERROR(__xludf.DUMMYFUNCTION("""COMPUTED_VALUE"""),"Elena Altieri")</f>
        <v>Elena Altieri</v>
      </c>
      <c r="S493" s="5" t="str">
        <f>IFERROR(__xludf.DUMMYFUNCTION("""COMPUTED_VALUE"""),"Estrela 4")</f>
        <v>Estrela 4</v>
      </c>
    </row>
    <row r="494">
      <c r="A494" s="1">
        <v>493.0</v>
      </c>
      <c r="B494" s="1" t="s">
        <v>3091</v>
      </c>
      <c r="C494" s="1" t="s">
        <v>3094</v>
      </c>
      <c r="D494" s="1" t="s">
        <v>3095</v>
      </c>
      <c r="E494" s="1" t="s">
        <v>3096</v>
      </c>
      <c r="F494" s="1" t="s">
        <v>3097</v>
      </c>
      <c r="G494" s="5" t="str">
        <f>IFERROR(__xludf.DUMMYFUNCTION("""COMPUTED_VALUE"""),"124🤙🏼Double Indemnity🤙🏼Fred MacMurray🤙🏼Estrela 1")</f>
        <v>124🤙🏼Double Indemnity🤙🏼Fred MacMurray🤙🏼Estrela 1</v>
      </c>
      <c r="H494" s="5">
        <f>IFERROR(__xludf.DUMMYFUNCTION("SPLiT(G494, ""🤙🏼"",FALSE,FALSE)"),124.0)</f>
        <v>124</v>
      </c>
      <c r="I494" s="5" t="str">
        <f>IFERROR(__xludf.DUMMYFUNCTION("""COMPUTED_VALUE"""),"Double Indemnity")</f>
        <v>Double Indemnity</v>
      </c>
      <c r="J494" s="5" t="str">
        <f>IFERROR(__xludf.DUMMYFUNCTION("""COMPUTED_VALUE"""),"Fred MacMurray")</f>
        <v>Fred MacMurray</v>
      </c>
      <c r="K494" s="5" t="str">
        <f>IFERROR(__xludf.DUMMYFUNCTION("""COMPUTED_VALUE"""),"Estrela 1")</f>
        <v>Estrela 1</v>
      </c>
      <c r="P494" s="5">
        <f>IFERROR(__xludf.DUMMYFUNCTION("""COMPUTED_VALUE"""),124.0)</f>
        <v>124</v>
      </c>
      <c r="Q494" s="5" t="str">
        <f>IFERROR(__xludf.DUMMYFUNCTION("""COMPUTED_VALUE"""),"Double Indemnity")</f>
        <v>Double Indemnity</v>
      </c>
      <c r="R494" s="5" t="str">
        <f>IFERROR(__xludf.DUMMYFUNCTION("""COMPUTED_VALUE"""),"Fred MacMurray")</f>
        <v>Fred MacMurray</v>
      </c>
      <c r="S494" s="5" t="str">
        <f>IFERROR(__xludf.DUMMYFUNCTION("""COMPUTED_VALUE"""),"Estrela 1")</f>
        <v>Estrela 1</v>
      </c>
    </row>
    <row r="495">
      <c r="A495" s="1">
        <v>494.0</v>
      </c>
      <c r="B495" s="1" t="s">
        <v>3098</v>
      </c>
      <c r="C495" s="1" t="s">
        <v>3100</v>
      </c>
      <c r="D495" s="1" t="s">
        <v>3101</v>
      </c>
      <c r="E495" s="1" t="s">
        <v>3102</v>
      </c>
      <c r="F495" s="1" t="s">
        <v>3103</v>
      </c>
      <c r="G495" s="5" t="str">
        <f>IFERROR(__xludf.DUMMYFUNCTION("""COMPUTED_VALUE"""),"124🤙🏼Double Indemnity🤙🏼Barbara Stanwyck🤙🏼Estrela 2")</f>
        <v>124🤙🏼Double Indemnity🤙🏼Barbara Stanwyck🤙🏼Estrela 2</v>
      </c>
      <c r="H495" s="5">
        <f>IFERROR(__xludf.DUMMYFUNCTION("SPLiT(G495, ""🤙🏼"",FALSE,FALSE)"),124.0)</f>
        <v>124</v>
      </c>
      <c r="I495" s="5" t="str">
        <f>IFERROR(__xludf.DUMMYFUNCTION("""COMPUTED_VALUE"""),"Double Indemnity")</f>
        <v>Double Indemnity</v>
      </c>
      <c r="J495" s="5" t="str">
        <f>IFERROR(__xludf.DUMMYFUNCTION("""COMPUTED_VALUE"""),"Barbara Stanwyck")</f>
        <v>Barbara Stanwyck</v>
      </c>
      <c r="K495" s="5" t="str">
        <f>IFERROR(__xludf.DUMMYFUNCTION("""COMPUTED_VALUE"""),"Estrela 2")</f>
        <v>Estrela 2</v>
      </c>
      <c r="P495" s="5">
        <f>IFERROR(__xludf.DUMMYFUNCTION("""COMPUTED_VALUE"""),124.0)</f>
        <v>124</v>
      </c>
      <c r="Q495" s="5" t="str">
        <f>IFERROR(__xludf.DUMMYFUNCTION("""COMPUTED_VALUE"""),"Double Indemnity")</f>
        <v>Double Indemnity</v>
      </c>
      <c r="R495" s="5" t="str">
        <f>IFERROR(__xludf.DUMMYFUNCTION("""COMPUTED_VALUE"""),"Barbara Stanwyck")</f>
        <v>Barbara Stanwyck</v>
      </c>
      <c r="S495" s="5" t="str">
        <f>IFERROR(__xludf.DUMMYFUNCTION("""COMPUTED_VALUE"""),"Estrela 2")</f>
        <v>Estrela 2</v>
      </c>
    </row>
    <row r="496">
      <c r="A496" s="1">
        <v>495.0</v>
      </c>
      <c r="B496" s="1" t="s">
        <v>3104</v>
      </c>
      <c r="C496" s="1" t="s">
        <v>3106</v>
      </c>
      <c r="D496" s="1" t="s">
        <v>1525</v>
      </c>
      <c r="E496" s="1" t="s">
        <v>1094</v>
      </c>
      <c r="F496" s="1" t="s">
        <v>3107</v>
      </c>
      <c r="G496" s="5" t="str">
        <f>IFERROR(__xludf.DUMMYFUNCTION("""COMPUTED_VALUE"""),"124🤙🏼Double Indemnity🤙🏼Edward G. Robinson🤙🏼Estrela 3")</f>
        <v>124🤙🏼Double Indemnity🤙🏼Edward G. Robinson🤙🏼Estrela 3</v>
      </c>
      <c r="H496" s="5">
        <f>IFERROR(__xludf.DUMMYFUNCTION("SPLiT(G496, ""🤙🏼"",FALSE,FALSE)"),124.0)</f>
        <v>124</v>
      </c>
      <c r="I496" s="5" t="str">
        <f>IFERROR(__xludf.DUMMYFUNCTION("""COMPUTED_VALUE"""),"Double Indemnity")</f>
        <v>Double Indemnity</v>
      </c>
      <c r="J496" s="5" t="str">
        <f>IFERROR(__xludf.DUMMYFUNCTION("""COMPUTED_VALUE"""),"Edward G. Robinson")</f>
        <v>Edward G. Robinson</v>
      </c>
      <c r="K496" s="5" t="str">
        <f>IFERROR(__xludf.DUMMYFUNCTION("""COMPUTED_VALUE"""),"Estrela 3")</f>
        <v>Estrela 3</v>
      </c>
      <c r="P496" s="5">
        <f>IFERROR(__xludf.DUMMYFUNCTION("""COMPUTED_VALUE"""),124.0)</f>
        <v>124</v>
      </c>
      <c r="Q496" s="5" t="str">
        <f>IFERROR(__xludf.DUMMYFUNCTION("""COMPUTED_VALUE"""),"Double Indemnity")</f>
        <v>Double Indemnity</v>
      </c>
      <c r="R496" s="5" t="str">
        <f>IFERROR(__xludf.DUMMYFUNCTION("""COMPUTED_VALUE"""),"Edward G. Robinson")</f>
        <v>Edward G. Robinson</v>
      </c>
      <c r="S496" s="5" t="str">
        <f>IFERROR(__xludf.DUMMYFUNCTION("""COMPUTED_VALUE"""),"Estrela 3")</f>
        <v>Estrela 3</v>
      </c>
    </row>
    <row r="497">
      <c r="A497" s="1">
        <v>496.0</v>
      </c>
      <c r="B497" s="1" t="s">
        <v>3108</v>
      </c>
      <c r="C497" s="1" t="s">
        <v>3112</v>
      </c>
      <c r="D497" s="1" t="s">
        <v>3113</v>
      </c>
      <c r="E497" s="1" t="s">
        <v>3114</v>
      </c>
      <c r="F497" s="1" t="s">
        <v>3115</v>
      </c>
      <c r="G497" s="5" t="str">
        <f>IFERROR(__xludf.DUMMYFUNCTION("""COMPUTED_VALUE"""),"124🤙🏼Double Indemnity🤙🏼Byron Barr🤙🏼Estrela 4")</f>
        <v>124🤙🏼Double Indemnity🤙🏼Byron Barr🤙🏼Estrela 4</v>
      </c>
      <c r="H497" s="5">
        <f>IFERROR(__xludf.DUMMYFUNCTION("SPLiT(G497, ""🤙🏼"",FALSE,FALSE)"),124.0)</f>
        <v>124</v>
      </c>
      <c r="I497" s="5" t="str">
        <f>IFERROR(__xludf.DUMMYFUNCTION("""COMPUTED_VALUE"""),"Double Indemnity")</f>
        <v>Double Indemnity</v>
      </c>
      <c r="J497" s="5" t="str">
        <f>IFERROR(__xludf.DUMMYFUNCTION("""COMPUTED_VALUE"""),"Byron Barr")</f>
        <v>Byron Barr</v>
      </c>
      <c r="K497" s="5" t="str">
        <f>IFERROR(__xludf.DUMMYFUNCTION("""COMPUTED_VALUE"""),"Estrela 4")</f>
        <v>Estrela 4</v>
      </c>
      <c r="P497" s="5">
        <f>IFERROR(__xludf.DUMMYFUNCTION("""COMPUTED_VALUE"""),124.0)</f>
        <v>124</v>
      </c>
      <c r="Q497" s="5" t="str">
        <f>IFERROR(__xludf.DUMMYFUNCTION("""COMPUTED_VALUE"""),"Double Indemnity")</f>
        <v>Double Indemnity</v>
      </c>
      <c r="R497" s="5" t="str">
        <f>IFERROR(__xludf.DUMMYFUNCTION("""COMPUTED_VALUE"""),"Byron Barr")</f>
        <v>Byron Barr</v>
      </c>
      <c r="S497" s="5" t="str">
        <f>IFERROR(__xludf.DUMMYFUNCTION("""COMPUTED_VALUE"""),"Estrela 4")</f>
        <v>Estrela 4</v>
      </c>
    </row>
    <row r="498">
      <c r="A498" s="1">
        <v>497.0</v>
      </c>
      <c r="B498" s="1" t="s">
        <v>3116</v>
      </c>
      <c r="C498" s="1" t="s">
        <v>93</v>
      </c>
      <c r="D498" s="1" t="s">
        <v>3118</v>
      </c>
      <c r="E498" s="1" t="s">
        <v>3119</v>
      </c>
      <c r="F498" s="1" t="s">
        <v>3120</v>
      </c>
      <c r="G498" s="5" t="str">
        <f>IFERROR(__xludf.DUMMYFUNCTION("""COMPUTED_VALUE"""),"125🤙🏼Citizen Kane🤙🏼Orson Welles🤙🏼Estrela 1")</f>
        <v>125🤙🏼Citizen Kane🤙🏼Orson Welles🤙🏼Estrela 1</v>
      </c>
      <c r="H498" s="5">
        <f>IFERROR(__xludf.DUMMYFUNCTION("SPLiT(G498, ""🤙🏼"",FALSE,FALSE)"),125.0)</f>
        <v>125</v>
      </c>
      <c r="I498" s="5" t="str">
        <f>IFERROR(__xludf.DUMMYFUNCTION("""COMPUTED_VALUE"""),"Citizen Kane")</f>
        <v>Citizen Kane</v>
      </c>
      <c r="J498" s="5" t="str">
        <f>IFERROR(__xludf.DUMMYFUNCTION("""COMPUTED_VALUE"""),"Orson Welles")</f>
        <v>Orson Welles</v>
      </c>
      <c r="K498" s="5" t="str">
        <f>IFERROR(__xludf.DUMMYFUNCTION("""COMPUTED_VALUE"""),"Estrela 1")</f>
        <v>Estrela 1</v>
      </c>
      <c r="P498" s="5">
        <f>IFERROR(__xludf.DUMMYFUNCTION("""COMPUTED_VALUE"""),125.0)</f>
        <v>125</v>
      </c>
      <c r="Q498" s="5" t="str">
        <f>IFERROR(__xludf.DUMMYFUNCTION("""COMPUTED_VALUE"""),"Citizen Kane")</f>
        <v>Citizen Kane</v>
      </c>
      <c r="R498" s="5" t="str">
        <f>IFERROR(__xludf.DUMMYFUNCTION("""COMPUTED_VALUE"""),"Orson Welles")</f>
        <v>Orson Welles</v>
      </c>
      <c r="S498" s="5" t="str">
        <f>IFERROR(__xludf.DUMMYFUNCTION("""COMPUTED_VALUE"""),"Estrela 1")</f>
        <v>Estrela 1</v>
      </c>
    </row>
    <row r="499">
      <c r="A499" s="1">
        <v>498.0</v>
      </c>
      <c r="B499" s="1" t="s">
        <v>3121</v>
      </c>
      <c r="C499" s="1" t="s">
        <v>3124</v>
      </c>
      <c r="D499" s="1" t="s">
        <v>3125</v>
      </c>
      <c r="E499" s="1" t="s">
        <v>3126</v>
      </c>
      <c r="F499" s="1" t="s">
        <v>3127</v>
      </c>
      <c r="G499" s="5" t="str">
        <f>IFERROR(__xludf.DUMMYFUNCTION("""COMPUTED_VALUE"""),"125🤙🏼Citizen Kane🤙🏼Joseph Cotten🤙🏼Estrela 2")</f>
        <v>125🤙🏼Citizen Kane🤙🏼Joseph Cotten🤙🏼Estrela 2</v>
      </c>
      <c r="H499" s="5">
        <f>IFERROR(__xludf.DUMMYFUNCTION("SPLiT(G499, ""🤙🏼"",FALSE,FALSE)"),125.0)</f>
        <v>125</v>
      </c>
      <c r="I499" s="5" t="str">
        <f>IFERROR(__xludf.DUMMYFUNCTION("""COMPUTED_VALUE"""),"Citizen Kane")</f>
        <v>Citizen Kane</v>
      </c>
      <c r="J499" s="5" t="str">
        <f>IFERROR(__xludf.DUMMYFUNCTION("""COMPUTED_VALUE"""),"Joseph Cotten")</f>
        <v>Joseph Cotten</v>
      </c>
      <c r="K499" s="5" t="str">
        <f>IFERROR(__xludf.DUMMYFUNCTION("""COMPUTED_VALUE"""),"Estrela 2")</f>
        <v>Estrela 2</v>
      </c>
      <c r="P499" s="5">
        <f>IFERROR(__xludf.DUMMYFUNCTION("""COMPUTED_VALUE"""),125.0)</f>
        <v>125</v>
      </c>
      <c r="Q499" s="5" t="str">
        <f>IFERROR(__xludf.DUMMYFUNCTION("""COMPUTED_VALUE"""),"Citizen Kane")</f>
        <v>Citizen Kane</v>
      </c>
      <c r="R499" s="5" t="str">
        <f>IFERROR(__xludf.DUMMYFUNCTION("""COMPUTED_VALUE"""),"Joseph Cotten")</f>
        <v>Joseph Cotten</v>
      </c>
      <c r="S499" s="5" t="str">
        <f>IFERROR(__xludf.DUMMYFUNCTION("""COMPUTED_VALUE"""),"Estrela 2")</f>
        <v>Estrela 2</v>
      </c>
    </row>
    <row r="500">
      <c r="A500" s="1">
        <v>499.0</v>
      </c>
      <c r="B500" s="1" t="s">
        <v>3128</v>
      </c>
      <c r="C500" s="1" t="s">
        <v>3131</v>
      </c>
      <c r="D500" s="1" t="s">
        <v>980</v>
      </c>
      <c r="E500" s="1" t="s">
        <v>3132</v>
      </c>
      <c r="F500" s="1" t="s">
        <v>660</v>
      </c>
      <c r="G500" s="5" t="str">
        <f>IFERROR(__xludf.DUMMYFUNCTION("""COMPUTED_VALUE"""),"125🤙🏼Citizen Kane🤙🏼Dorothy Comingore🤙🏼Estrela 3")</f>
        <v>125🤙🏼Citizen Kane🤙🏼Dorothy Comingore🤙🏼Estrela 3</v>
      </c>
      <c r="H500" s="5">
        <f>IFERROR(__xludf.DUMMYFUNCTION("SPLiT(G500, ""🤙🏼"",FALSE,FALSE)"),125.0)</f>
        <v>125</v>
      </c>
      <c r="I500" s="5" t="str">
        <f>IFERROR(__xludf.DUMMYFUNCTION("""COMPUTED_VALUE"""),"Citizen Kane")</f>
        <v>Citizen Kane</v>
      </c>
      <c r="J500" s="5" t="str">
        <f>IFERROR(__xludf.DUMMYFUNCTION("""COMPUTED_VALUE"""),"Dorothy Comingore")</f>
        <v>Dorothy Comingore</v>
      </c>
      <c r="K500" s="5" t="str">
        <f>IFERROR(__xludf.DUMMYFUNCTION("""COMPUTED_VALUE"""),"Estrela 3")</f>
        <v>Estrela 3</v>
      </c>
      <c r="P500" s="5">
        <f>IFERROR(__xludf.DUMMYFUNCTION("""COMPUTED_VALUE"""),125.0)</f>
        <v>125</v>
      </c>
      <c r="Q500" s="5" t="str">
        <f>IFERROR(__xludf.DUMMYFUNCTION("""COMPUTED_VALUE"""),"Citizen Kane")</f>
        <v>Citizen Kane</v>
      </c>
      <c r="R500" s="5" t="str">
        <f>IFERROR(__xludf.DUMMYFUNCTION("""COMPUTED_VALUE"""),"Dorothy Comingore")</f>
        <v>Dorothy Comingore</v>
      </c>
      <c r="S500" s="5" t="str">
        <f>IFERROR(__xludf.DUMMYFUNCTION("""COMPUTED_VALUE"""),"Estrela 3")</f>
        <v>Estrela 3</v>
      </c>
    </row>
    <row r="501">
      <c r="A501" s="1">
        <v>500.0</v>
      </c>
      <c r="B501" s="1" t="s">
        <v>3133</v>
      </c>
      <c r="C501" s="1" t="s">
        <v>3135</v>
      </c>
      <c r="D501" s="1" t="s">
        <v>3136</v>
      </c>
      <c r="E501" s="1" t="s">
        <v>2569</v>
      </c>
      <c r="F501" s="1" t="s">
        <v>995</v>
      </c>
      <c r="G501" s="5" t="str">
        <f>IFERROR(__xludf.DUMMYFUNCTION("""COMPUTED_VALUE"""),"125🤙🏼Citizen Kane🤙🏼Agnes Moorehead🤙🏼Estrela 4")</f>
        <v>125🤙🏼Citizen Kane🤙🏼Agnes Moorehead🤙🏼Estrela 4</v>
      </c>
      <c r="H501" s="5">
        <f>IFERROR(__xludf.DUMMYFUNCTION("SPLiT(G501, ""🤙🏼"",FALSE,FALSE)"),125.0)</f>
        <v>125</v>
      </c>
      <c r="I501" s="5" t="str">
        <f>IFERROR(__xludf.DUMMYFUNCTION("""COMPUTED_VALUE"""),"Citizen Kane")</f>
        <v>Citizen Kane</v>
      </c>
      <c r="J501" s="5" t="str">
        <f>IFERROR(__xludf.DUMMYFUNCTION("""COMPUTED_VALUE"""),"Agnes Moorehead")</f>
        <v>Agnes Moorehead</v>
      </c>
      <c r="K501" s="5" t="str">
        <f>IFERROR(__xludf.DUMMYFUNCTION("""COMPUTED_VALUE"""),"Estrela 4")</f>
        <v>Estrela 4</v>
      </c>
      <c r="P501" s="5">
        <f>IFERROR(__xludf.DUMMYFUNCTION("""COMPUTED_VALUE"""),125.0)</f>
        <v>125</v>
      </c>
      <c r="Q501" s="5" t="str">
        <f>IFERROR(__xludf.DUMMYFUNCTION("""COMPUTED_VALUE"""),"Citizen Kane")</f>
        <v>Citizen Kane</v>
      </c>
      <c r="R501" s="5" t="str">
        <f>IFERROR(__xludf.DUMMYFUNCTION("""COMPUTED_VALUE"""),"Agnes Moorehead")</f>
        <v>Agnes Moorehead</v>
      </c>
      <c r="S501" s="5" t="str">
        <f>IFERROR(__xludf.DUMMYFUNCTION("""COMPUTED_VALUE"""),"Estrela 4")</f>
        <v>Estrela 4</v>
      </c>
    </row>
    <row r="502">
      <c r="A502" s="1">
        <v>501.0</v>
      </c>
      <c r="B502" s="1" t="s">
        <v>3137</v>
      </c>
      <c r="C502" s="1" t="s">
        <v>3139</v>
      </c>
      <c r="D502" s="1" t="s">
        <v>3140</v>
      </c>
      <c r="E502" s="1" t="s">
        <v>3141</v>
      </c>
      <c r="F502" s="1" t="s">
        <v>3142</v>
      </c>
      <c r="G502" s="5" t="str">
        <f>IFERROR(__xludf.DUMMYFUNCTION("""COMPUTED_VALUE"""),"126🤙🏼M - Eine Stadt sucht einen Mörder🤙🏼Peter Lorre🤙🏼Estrela 1")</f>
        <v>126🤙🏼M - Eine Stadt sucht einen Mörder🤙🏼Peter Lorre🤙🏼Estrela 1</v>
      </c>
      <c r="H502" s="5">
        <f>IFERROR(__xludf.DUMMYFUNCTION("SPLiT(G502, ""🤙🏼"",FALSE,FALSE)"),126.0)</f>
        <v>126</v>
      </c>
      <c r="I502" s="5" t="str">
        <f>IFERROR(__xludf.DUMMYFUNCTION("""COMPUTED_VALUE"""),"M - Eine Stadt sucht einen Mörder")</f>
        <v>M - Eine Stadt sucht einen Mörder</v>
      </c>
      <c r="J502" s="5" t="str">
        <f>IFERROR(__xludf.DUMMYFUNCTION("""COMPUTED_VALUE"""),"Peter Lorre")</f>
        <v>Peter Lorre</v>
      </c>
      <c r="K502" s="5" t="str">
        <f>IFERROR(__xludf.DUMMYFUNCTION("""COMPUTED_VALUE"""),"Estrela 1")</f>
        <v>Estrela 1</v>
      </c>
      <c r="P502" s="5">
        <f>IFERROR(__xludf.DUMMYFUNCTION("""COMPUTED_VALUE"""),126.0)</f>
        <v>126</v>
      </c>
      <c r="Q502" s="5" t="str">
        <f>IFERROR(__xludf.DUMMYFUNCTION("""COMPUTED_VALUE"""),"M - Eine Stadt sucht einen Mörder")</f>
        <v>M - Eine Stadt sucht einen Mörder</v>
      </c>
      <c r="R502" s="5" t="str">
        <f>IFERROR(__xludf.DUMMYFUNCTION("""COMPUTED_VALUE"""),"Peter Lorre")</f>
        <v>Peter Lorre</v>
      </c>
      <c r="S502" s="5" t="str">
        <f>IFERROR(__xludf.DUMMYFUNCTION("""COMPUTED_VALUE"""),"Estrela 1")</f>
        <v>Estrela 1</v>
      </c>
    </row>
    <row r="503">
      <c r="A503" s="1">
        <v>502.0</v>
      </c>
      <c r="B503" s="1" t="s">
        <v>3143</v>
      </c>
      <c r="C503" s="1" t="s">
        <v>3146</v>
      </c>
      <c r="D503" s="1" t="s">
        <v>3147</v>
      </c>
      <c r="E503" s="1" t="s">
        <v>3148</v>
      </c>
      <c r="F503" s="1" t="s">
        <v>3149</v>
      </c>
      <c r="G503" s="5" t="str">
        <f>IFERROR(__xludf.DUMMYFUNCTION("""COMPUTED_VALUE"""),"126🤙🏼M - Eine Stadt sucht einen Mörder🤙🏼Ellen Widmann🤙🏼Estrela 2")</f>
        <v>126🤙🏼M - Eine Stadt sucht einen Mörder🤙🏼Ellen Widmann🤙🏼Estrela 2</v>
      </c>
      <c r="H503" s="5">
        <f>IFERROR(__xludf.DUMMYFUNCTION("SPLiT(G503, ""🤙🏼"",FALSE,FALSE)"),126.0)</f>
        <v>126</v>
      </c>
      <c r="I503" s="5" t="str">
        <f>IFERROR(__xludf.DUMMYFUNCTION("""COMPUTED_VALUE"""),"M - Eine Stadt sucht einen Mörder")</f>
        <v>M - Eine Stadt sucht einen Mörder</v>
      </c>
      <c r="J503" s="5" t="str">
        <f>IFERROR(__xludf.DUMMYFUNCTION("""COMPUTED_VALUE"""),"Ellen Widmann")</f>
        <v>Ellen Widmann</v>
      </c>
      <c r="K503" s="5" t="str">
        <f>IFERROR(__xludf.DUMMYFUNCTION("""COMPUTED_VALUE"""),"Estrela 2")</f>
        <v>Estrela 2</v>
      </c>
      <c r="P503" s="5">
        <f>IFERROR(__xludf.DUMMYFUNCTION("""COMPUTED_VALUE"""),126.0)</f>
        <v>126</v>
      </c>
      <c r="Q503" s="5" t="str">
        <f>IFERROR(__xludf.DUMMYFUNCTION("""COMPUTED_VALUE"""),"M - Eine Stadt sucht einen Mörder")</f>
        <v>M - Eine Stadt sucht einen Mörder</v>
      </c>
      <c r="R503" s="5" t="str">
        <f>IFERROR(__xludf.DUMMYFUNCTION("""COMPUTED_VALUE"""),"Ellen Widmann")</f>
        <v>Ellen Widmann</v>
      </c>
      <c r="S503" s="5" t="str">
        <f>IFERROR(__xludf.DUMMYFUNCTION("""COMPUTED_VALUE"""),"Estrela 2")</f>
        <v>Estrela 2</v>
      </c>
    </row>
    <row r="504">
      <c r="A504" s="1">
        <v>503.0</v>
      </c>
      <c r="B504" s="1" t="s">
        <v>3150</v>
      </c>
      <c r="C504" s="1" t="s">
        <v>479</v>
      </c>
      <c r="D504" s="1" t="s">
        <v>3153</v>
      </c>
      <c r="E504" s="1" t="s">
        <v>3154</v>
      </c>
      <c r="F504" s="1" t="s">
        <v>1727</v>
      </c>
      <c r="G504" s="5" t="str">
        <f>IFERROR(__xludf.DUMMYFUNCTION("""COMPUTED_VALUE"""),"126🤙🏼M - Eine Stadt sucht einen Mörder🤙🏼Inge Landgut🤙🏼Estrela 3")</f>
        <v>126🤙🏼M - Eine Stadt sucht einen Mörder🤙🏼Inge Landgut🤙🏼Estrela 3</v>
      </c>
      <c r="H504" s="5">
        <f>IFERROR(__xludf.DUMMYFUNCTION("SPLiT(G504, ""🤙🏼"",FALSE,FALSE)"),126.0)</f>
        <v>126</v>
      </c>
      <c r="I504" s="5" t="str">
        <f>IFERROR(__xludf.DUMMYFUNCTION("""COMPUTED_VALUE"""),"M - Eine Stadt sucht einen Mörder")</f>
        <v>M - Eine Stadt sucht einen Mörder</v>
      </c>
      <c r="J504" s="5" t="str">
        <f>IFERROR(__xludf.DUMMYFUNCTION("""COMPUTED_VALUE"""),"Inge Landgut")</f>
        <v>Inge Landgut</v>
      </c>
      <c r="K504" s="5" t="str">
        <f>IFERROR(__xludf.DUMMYFUNCTION("""COMPUTED_VALUE"""),"Estrela 3")</f>
        <v>Estrela 3</v>
      </c>
      <c r="P504" s="5">
        <f>IFERROR(__xludf.DUMMYFUNCTION("""COMPUTED_VALUE"""),126.0)</f>
        <v>126</v>
      </c>
      <c r="Q504" s="5" t="str">
        <f>IFERROR(__xludf.DUMMYFUNCTION("""COMPUTED_VALUE"""),"M - Eine Stadt sucht einen Mörder")</f>
        <v>M - Eine Stadt sucht einen Mörder</v>
      </c>
      <c r="R504" s="5" t="str">
        <f>IFERROR(__xludf.DUMMYFUNCTION("""COMPUTED_VALUE"""),"Inge Landgut")</f>
        <v>Inge Landgut</v>
      </c>
      <c r="S504" s="5" t="str">
        <f>IFERROR(__xludf.DUMMYFUNCTION("""COMPUTED_VALUE"""),"Estrela 3")</f>
        <v>Estrela 3</v>
      </c>
    </row>
    <row r="505">
      <c r="A505" s="1">
        <v>504.0</v>
      </c>
      <c r="B505" s="1" t="s">
        <v>3155</v>
      </c>
      <c r="C505" s="1" t="s">
        <v>3102</v>
      </c>
      <c r="D505" s="1" t="s">
        <v>3159</v>
      </c>
      <c r="E505" s="1" t="s">
        <v>3160</v>
      </c>
      <c r="F505" s="1" t="s">
        <v>3161</v>
      </c>
      <c r="G505" s="5" t="str">
        <f>IFERROR(__xludf.DUMMYFUNCTION("""COMPUTED_VALUE"""),"126🤙🏼M - Eine Stadt sucht einen Mörder🤙🏼Otto Wernicke🤙🏼Estrela 4")</f>
        <v>126🤙🏼M - Eine Stadt sucht einen Mörder🤙🏼Otto Wernicke🤙🏼Estrela 4</v>
      </c>
      <c r="H505" s="5">
        <f>IFERROR(__xludf.DUMMYFUNCTION("SPLiT(G505, ""🤙🏼"",FALSE,FALSE)"),126.0)</f>
        <v>126</v>
      </c>
      <c r="I505" s="5" t="str">
        <f>IFERROR(__xludf.DUMMYFUNCTION("""COMPUTED_VALUE"""),"M - Eine Stadt sucht einen Mörder")</f>
        <v>M - Eine Stadt sucht einen Mörder</v>
      </c>
      <c r="J505" s="5" t="str">
        <f>IFERROR(__xludf.DUMMYFUNCTION("""COMPUTED_VALUE"""),"Otto Wernicke")</f>
        <v>Otto Wernicke</v>
      </c>
      <c r="K505" s="5" t="str">
        <f>IFERROR(__xludf.DUMMYFUNCTION("""COMPUTED_VALUE"""),"Estrela 4")</f>
        <v>Estrela 4</v>
      </c>
      <c r="P505" s="5">
        <f>IFERROR(__xludf.DUMMYFUNCTION("""COMPUTED_VALUE"""),126.0)</f>
        <v>126</v>
      </c>
      <c r="Q505" s="5" t="str">
        <f>IFERROR(__xludf.DUMMYFUNCTION("""COMPUTED_VALUE"""),"M - Eine Stadt sucht einen Mörder")</f>
        <v>M - Eine Stadt sucht einen Mörder</v>
      </c>
      <c r="R505" s="5" t="str">
        <f>IFERROR(__xludf.DUMMYFUNCTION("""COMPUTED_VALUE"""),"Otto Wernicke")</f>
        <v>Otto Wernicke</v>
      </c>
      <c r="S505" s="5" t="str">
        <f>IFERROR(__xludf.DUMMYFUNCTION("""COMPUTED_VALUE"""),"Estrela 4")</f>
        <v>Estrela 4</v>
      </c>
    </row>
    <row r="506">
      <c r="A506" s="1">
        <v>505.0</v>
      </c>
      <c r="B506" s="1" t="s">
        <v>3162</v>
      </c>
      <c r="C506" s="1" t="s">
        <v>3165</v>
      </c>
      <c r="D506" s="1" t="s">
        <v>3166</v>
      </c>
      <c r="E506" s="1" t="s">
        <v>3167</v>
      </c>
      <c r="F506" s="1" t="s">
        <v>3168</v>
      </c>
      <c r="G506" s="5" t="str">
        <f>IFERROR(__xludf.DUMMYFUNCTION("""COMPUTED_VALUE"""),"127🤙🏼Metropolis🤙🏼Brigitte Helm🤙🏼Estrela 1")</f>
        <v>127🤙🏼Metropolis🤙🏼Brigitte Helm🤙🏼Estrela 1</v>
      </c>
      <c r="H506" s="5">
        <f>IFERROR(__xludf.DUMMYFUNCTION("SPLiT(G506, ""🤙🏼"",FALSE,FALSE)"),127.0)</f>
        <v>127</v>
      </c>
      <c r="I506" s="5" t="str">
        <f>IFERROR(__xludf.DUMMYFUNCTION("""COMPUTED_VALUE"""),"Metropolis")</f>
        <v>Metropolis</v>
      </c>
      <c r="J506" s="5" t="str">
        <f>IFERROR(__xludf.DUMMYFUNCTION("""COMPUTED_VALUE"""),"Brigitte Helm")</f>
        <v>Brigitte Helm</v>
      </c>
      <c r="K506" s="5" t="str">
        <f>IFERROR(__xludf.DUMMYFUNCTION("""COMPUTED_VALUE"""),"Estrela 1")</f>
        <v>Estrela 1</v>
      </c>
      <c r="P506" s="5">
        <f>IFERROR(__xludf.DUMMYFUNCTION("""COMPUTED_VALUE"""),127.0)</f>
        <v>127</v>
      </c>
      <c r="Q506" s="5" t="str">
        <f>IFERROR(__xludf.DUMMYFUNCTION("""COMPUTED_VALUE"""),"Metropolis")</f>
        <v>Metropolis</v>
      </c>
      <c r="R506" s="5" t="str">
        <f>IFERROR(__xludf.DUMMYFUNCTION("""COMPUTED_VALUE"""),"Brigitte Helm")</f>
        <v>Brigitte Helm</v>
      </c>
      <c r="S506" s="5" t="str">
        <f>IFERROR(__xludf.DUMMYFUNCTION("""COMPUTED_VALUE"""),"Estrela 1")</f>
        <v>Estrela 1</v>
      </c>
    </row>
    <row r="507">
      <c r="A507" s="1">
        <v>506.0</v>
      </c>
      <c r="B507" s="1" t="s">
        <v>3169</v>
      </c>
      <c r="C507" s="1" t="s">
        <v>1605</v>
      </c>
      <c r="D507" s="1" t="s">
        <v>23</v>
      </c>
      <c r="E507" s="1" t="s">
        <v>3171</v>
      </c>
      <c r="F507" s="1" t="s">
        <v>3172</v>
      </c>
      <c r="G507" s="5" t="str">
        <f>IFERROR(__xludf.DUMMYFUNCTION("""COMPUTED_VALUE"""),"127🤙🏼Metropolis🤙🏼Alfred Abel🤙🏼Estrela 2")</f>
        <v>127🤙🏼Metropolis🤙🏼Alfred Abel🤙🏼Estrela 2</v>
      </c>
      <c r="H507" s="5">
        <f>IFERROR(__xludf.DUMMYFUNCTION("SPLiT(G507, ""🤙🏼"",FALSE,FALSE)"),127.0)</f>
        <v>127</v>
      </c>
      <c r="I507" s="5" t="str">
        <f>IFERROR(__xludf.DUMMYFUNCTION("""COMPUTED_VALUE"""),"Metropolis")</f>
        <v>Metropolis</v>
      </c>
      <c r="J507" s="5" t="str">
        <f>IFERROR(__xludf.DUMMYFUNCTION("""COMPUTED_VALUE"""),"Alfred Abel")</f>
        <v>Alfred Abel</v>
      </c>
      <c r="K507" s="5" t="str">
        <f>IFERROR(__xludf.DUMMYFUNCTION("""COMPUTED_VALUE"""),"Estrela 2")</f>
        <v>Estrela 2</v>
      </c>
      <c r="P507" s="5">
        <f>IFERROR(__xludf.DUMMYFUNCTION("""COMPUTED_VALUE"""),127.0)</f>
        <v>127</v>
      </c>
      <c r="Q507" s="5" t="str">
        <f>IFERROR(__xludf.DUMMYFUNCTION("""COMPUTED_VALUE"""),"Metropolis")</f>
        <v>Metropolis</v>
      </c>
      <c r="R507" s="5" t="str">
        <f>IFERROR(__xludf.DUMMYFUNCTION("""COMPUTED_VALUE"""),"Alfred Abel")</f>
        <v>Alfred Abel</v>
      </c>
      <c r="S507" s="5" t="str">
        <f>IFERROR(__xludf.DUMMYFUNCTION("""COMPUTED_VALUE"""),"Estrela 2")</f>
        <v>Estrela 2</v>
      </c>
    </row>
    <row r="508">
      <c r="A508" s="1">
        <v>507.0</v>
      </c>
      <c r="B508" s="1" t="s">
        <v>3173</v>
      </c>
      <c r="C508" s="1" t="s">
        <v>1568</v>
      </c>
      <c r="D508" s="1" t="s">
        <v>1569</v>
      </c>
      <c r="E508" s="1" t="s">
        <v>1570</v>
      </c>
      <c r="F508" s="1" t="s">
        <v>3176</v>
      </c>
      <c r="G508" s="5" t="str">
        <f>IFERROR(__xludf.DUMMYFUNCTION("""COMPUTED_VALUE"""),"127🤙🏼Metropolis🤙🏼Gustav Fröhlich🤙🏼Estrela 3")</f>
        <v>127🤙🏼Metropolis🤙🏼Gustav Fröhlich🤙🏼Estrela 3</v>
      </c>
      <c r="H508" s="5">
        <f>IFERROR(__xludf.DUMMYFUNCTION("SPLiT(G508, ""🤙🏼"",FALSE,FALSE)"),127.0)</f>
        <v>127</v>
      </c>
      <c r="I508" s="5" t="str">
        <f>IFERROR(__xludf.DUMMYFUNCTION("""COMPUTED_VALUE"""),"Metropolis")</f>
        <v>Metropolis</v>
      </c>
      <c r="J508" s="5" t="str">
        <f>IFERROR(__xludf.DUMMYFUNCTION("""COMPUTED_VALUE"""),"Gustav Fröhlich")</f>
        <v>Gustav Fröhlich</v>
      </c>
      <c r="K508" s="5" t="str">
        <f>IFERROR(__xludf.DUMMYFUNCTION("""COMPUTED_VALUE"""),"Estrela 3")</f>
        <v>Estrela 3</v>
      </c>
      <c r="P508" s="5">
        <f>IFERROR(__xludf.DUMMYFUNCTION("""COMPUTED_VALUE"""),127.0)</f>
        <v>127</v>
      </c>
      <c r="Q508" s="5" t="str">
        <f>IFERROR(__xludf.DUMMYFUNCTION("""COMPUTED_VALUE"""),"Metropolis")</f>
        <v>Metropolis</v>
      </c>
      <c r="R508" s="5" t="str">
        <f>IFERROR(__xludf.DUMMYFUNCTION("""COMPUTED_VALUE"""),"Gustav Fröhlich")</f>
        <v>Gustav Fröhlich</v>
      </c>
      <c r="S508" s="5" t="str">
        <f>IFERROR(__xludf.DUMMYFUNCTION("""COMPUTED_VALUE"""),"Estrela 3")</f>
        <v>Estrela 3</v>
      </c>
    </row>
    <row r="509">
      <c r="A509" s="1">
        <v>508.0</v>
      </c>
      <c r="B509" s="1" t="s">
        <v>3177</v>
      </c>
      <c r="C509" s="1" t="s">
        <v>3180</v>
      </c>
      <c r="D509" s="1" t="s">
        <v>1732</v>
      </c>
      <c r="E509" s="1" t="s">
        <v>1733</v>
      </c>
      <c r="F509" s="1" t="s">
        <v>3181</v>
      </c>
      <c r="G509" s="5" t="str">
        <f>IFERROR(__xludf.DUMMYFUNCTION("""COMPUTED_VALUE"""),"127🤙🏼Metropolis🤙🏼Rudolf Klein-Rogge🤙🏼Estrela 4")</f>
        <v>127🤙🏼Metropolis🤙🏼Rudolf Klein-Rogge🤙🏼Estrela 4</v>
      </c>
      <c r="H509" s="5">
        <f>IFERROR(__xludf.DUMMYFUNCTION("SPLiT(G509, ""🤙🏼"",FALSE,FALSE)"),127.0)</f>
        <v>127</v>
      </c>
      <c r="I509" s="5" t="str">
        <f>IFERROR(__xludf.DUMMYFUNCTION("""COMPUTED_VALUE"""),"Metropolis")</f>
        <v>Metropolis</v>
      </c>
      <c r="J509" s="5" t="str">
        <f>IFERROR(__xludf.DUMMYFUNCTION("""COMPUTED_VALUE"""),"Rudolf Klein-Rogge")</f>
        <v>Rudolf Klein-Rogge</v>
      </c>
      <c r="K509" s="5" t="str">
        <f>IFERROR(__xludf.DUMMYFUNCTION("""COMPUTED_VALUE"""),"Estrela 4")</f>
        <v>Estrela 4</v>
      </c>
      <c r="P509" s="5">
        <f>IFERROR(__xludf.DUMMYFUNCTION("""COMPUTED_VALUE"""),127.0)</f>
        <v>127</v>
      </c>
      <c r="Q509" s="5" t="str">
        <f>IFERROR(__xludf.DUMMYFUNCTION("""COMPUTED_VALUE"""),"Metropolis")</f>
        <v>Metropolis</v>
      </c>
      <c r="R509" s="5" t="str">
        <f>IFERROR(__xludf.DUMMYFUNCTION("""COMPUTED_VALUE"""),"Rudolf Klein-Rogge")</f>
        <v>Rudolf Klein-Rogge</v>
      </c>
      <c r="S509" s="5" t="str">
        <f>IFERROR(__xludf.DUMMYFUNCTION("""COMPUTED_VALUE"""),"Estrela 4")</f>
        <v>Estrela 4</v>
      </c>
    </row>
    <row r="510">
      <c r="A510" s="1">
        <v>509.0</v>
      </c>
      <c r="B510" s="1" t="s">
        <v>3182</v>
      </c>
      <c r="C510" s="1" t="s">
        <v>3185</v>
      </c>
      <c r="D510" s="1" t="s">
        <v>3186</v>
      </c>
      <c r="E510" s="1" t="s">
        <v>1434</v>
      </c>
      <c r="F510" s="1" t="s">
        <v>3187</v>
      </c>
      <c r="G510" s="5" t="str">
        <f>IFERROR(__xludf.DUMMYFUNCTION("""COMPUTED_VALUE"""),"128🤙🏼The Kid🤙🏼Charles Chaplin🤙🏼Estrela 1")</f>
        <v>128🤙🏼The Kid🤙🏼Charles Chaplin🤙🏼Estrela 1</v>
      </c>
      <c r="H510" s="5">
        <f>IFERROR(__xludf.DUMMYFUNCTION("SPLiT(G510, ""🤙🏼"",FALSE,FALSE)"),128.0)</f>
        <v>128</v>
      </c>
      <c r="I510" s="5" t="str">
        <f>IFERROR(__xludf.DUMMYFUNCTION("""COMPUTED_VALUE"""),"The Kid")</f>
        <v>The Kid</v>
      </c>
      <c r="J510" s="5" t="str">
        <f>IFERROR(__xludf.DUMMYFUNCTION("""COMPUTED_VALUE"""),"Charles Chaplin")</f>
        <v>Charles Chaplin</v>
      </c>
      <c r="K510" s="5" t="str">
        <f>IFERROR(__xludf.DUMMYFUNCTION("""COMPUTED_VALUE"""),"Estrela 1")</f>
        <v>Estrela 1</v>
      </c>
      <c r="P510" s="5">
        <f>IFERROR(__xludf.DUMMYFUNCTION("""COMPUTED_VALUE"""),128.0)</f>
        <v>128</v>
      </c>
      <c r="Q510" s="5" t="str">
        <f>IFERROR(__xludf.DUMMYFUNCTION("""COMPUTED_VALUE"""),"The Kid")</f>
        <v>The Kid</v>
      </c>
      <c r="R510" s="5" t="str">
        <f>IFERROR(__xludf.DUMMYFUNCTION("""COMPUTED_VALUE"""),"Charles Chaplin")</f>
        <v>Charles Chaplin</v>
      </c>
      <c r="S510" s="5" t="str">
        <f>IFERROR(__xludf.DUMMYFUNCTION("""COMPUTED_VALUE"""),"Estrela 1")</f>
        <v>Estrela 1</v>
      </c>
    </row>
    <row r="511">
      <c r="A511" s="1">
        <v>510.0</v>
      </c>
      <c r="B511" s="1" t="s">
        <v>3188</v>
      </c>
      <c r="C511" s="1" t="s">
        <v>3191</v>
      </c>
      <c r="D511" s="1" t="s">
        <v>3192</v>
      </c>
      <c r="E511" s="1" t="s">
        <v>3193</v>
      </c>
      <c r="F511" s="1" t="s">
        <v>3194</v>
      </c>
      <c r="G511" s="5" t="str">
        <f>IFERROR(__xludf.DUMMYFUNCTION("""COMPUTED_VALUE"""),"128🤙🏼The Kid🤙🏼Edna Purviance🤙🏼Estrela 2")</f>
        <v>128🤙🏼The Kid🤙🏼Edna Purviance🤙🏼Estrela 2</v>
      </c>
      <c r="H511" s="5">
        <f>IFERROR(__xludf.DUMMYFUNCTION("SPLiT(G511, ""🤙🏼"",FALSE,FALSE)"),128.0)</f>
        <v>128</v>
      </c>
      <c r="I511" s="5" t="str">
        <f>IFERROR(__xludf.DUMMYFUNCTION("""COMPUTED_VALUE"""),"The Kid")</f>
        <v>The Kid</v>
      </c>
      <c r="J511" s="5" t="str">
        <f>IFERROR(__xludf.DUMMYFUNCTION("""COMPUTED_VALUE"""),"Edna Purviance")</f>
        <v>Edna Purviance</v>
      </c>
      <c r="K511" s="5" t="str">
        <f>IFERROR(__xludf.DUMMYFUNCTION("""COMPUTED_VALUE"""),"Estrela 2")</f>
        <v>Estrela 2</v>
      </c>
      <c r="P511" s="5">
        <f>IFERROR(__xludf.DUMMYFUNCTION("""COMPUTED_VALUE"""),128.0)</f>
        <v>128</v>
      </c>
      <c r="Q511" s="5" t="str">
        <f>IFERROR(__xludf.DUMMYFUNCTION("""COMPUTED_VALUE"""),"The Kid")</f>
        <v>The Kid</v>
      </c>
      <c r="R511" s="5" t="str">
        <f>IFERROR(__xludf.DUMMYFUNCTION("""COMPUTED_VALUE"""),"Edna Purviance")</f>
        <v>Edna Purviance</v>
      </c>
      <c r="S511" s="5" t="str">
        <f>IFERROR(__xludf.DUMMYFUNCTION("""COMPUTED_VALUE"""),"Estrela 2")</f>
        <v>Estrela 2</v>
      </c>
    </row>
    <row r="512">
      <c r="A512" s="1">
        <v>511.0</v>
      </c>
      <c r="B512" s="1" t="s">
        <v>3195</v>
      </c>
      <c r="C512" s="1" t="s">
        <v>3198</v>
      </c>
      <c r="D512" s="1" t="s">
        <v>3199</v>
      </c>
      <c r="E512" s="1" t="s">
        <v>3200</v>
      </c>
      <c r="F512" s="1" t="s">
        <v>3201</v>
      </c>
      <c r="G512" s="5" t="str">
        <f>IFERROR(__xludf.DUMMYFUNCTION("""COMPUTED_VALUE"""),"128🤙🏼The Kid🤙🏼Jackie Coogan🤙🏼Estrela 3")</f>
        <v>128🤙🏼The Kid🤙🏼Jackie Coogan🤙🏼Estrela 3</v>
      </c>
      <c r="H512" s="5">
        <f>IFERROR(__xludf.DUMMYFUNCTION("SPLiT(G512, ""🤙🏼"",FALSE,FALSE)"),128.0)</f>
        <v>128</v>
      </c>
      <c r="I512" s="5" t="str">
        <f>IFERROR(__xludf.DUMMYFUNCTION("""COMPUTED_VALUE"""),"The Kid")</f>
        <v>The Kid</v>
      </c>
      <c r="J512" s="5" t="str">
        <f>IFERROR(__xludf.DUMMYFUNCTION("""COMPUTED_VALUE"""),"Jackie Coogan")</f>
        <v>Jackie Coogan</v>
      </c>
      <c r="K512" s="5" t="str">
        <f>IFERROR(__xludf.DUMMYFUNCTION("""COMPUTED_VALUE"""),"Estrela 3")</f>
        <v>Estrela 3</v>
      </c>
      <c r="P512" s="5">
        <f>IFERROR(__xludf.DUMMYFUNCTION("""COMPUTED_VALUE"""),128.0)</f>
        <v>128</v>
      </c>
      <c r="Q512" s="5" t="str">
        <f>IFERROR(__xludf.DUMMYFUNCTION("""COMPUTED_VALUE"""),"The Kid")</f>
        <v>The Kid</v>
      </c>
      <c r="R512" s="5" t="str">
        <f>IFERROR(__xludf.DUMMYFUNCTION("""COMPUTED_VALUE"""),"Jackie Coogan")</f>
        <v>Jackie Coogan</v>
      </c>
      <c r="S512" s="5" t="str">
        <f>IFERROR(__xludf.DUMMYFUNCTION("""COMPUTED_VALUE"""),"Estrela 3")</f>
        <v>Estrela 3</v>
      </c>
    </row>
    <row r="513">
      <c r="A513" s="1">
        <v>512.0</v>
      </c>
      <c r="B513" s="1" t="s">
        <v>3202</v>
      </c>
      <c r="C513" s="1" t="s">
        <v>3204</v>
      </c>
      <c r="D513" s="1" t="s">
        <v>215</v>
      </c>
      <c r="E513" s="1" t="s">
        <v>3205</v>
      </c>
      <c r="F513" s="1" t="s">
        <v>2384</v>
      </c>
      <c r="G513" s="5" t="str">
        <f>IFERROR(__xludf.DUMMYFUNCTION("""COMPUTED_VALUE"""),"128🤙🏼The Kid🤙🏼Carl Miller🤙🏼Estrela 4")</f>
        <v>128🤙🏼The Kid🤙🏼Carl Miller🤙🏼Estrela 4</v>
      </c>
      <c r="H513" s="5">
        <f>IFERROR(__xludf.DUMMYFUNCTION("SPLiT(G513, ""🤙🏼"",FALSE,FALSE)"),128.0)</f>
        <v>128</v>
      </c>
      <c r="I513" s="5" t="str">
        <f>IFERROR(__xludf.DUMMYFUNCTION("""COMPUTED_VALUE"""),"The Kid")</f>
        <v>The Kid</v>
      </c>
      <c r="J513" s="5" t="str">
        <f>IFERROR(__xludf.DUMMYFUNCTION("""COMPUTED_VALUE"""),"Carl Miller")</f>
        <v>Carl Miller</v>
      </c>
      <c r="K513" s="5" t="str">
        <f>IFERROR(__xludf.DUMMYFUNCTION("""COMPUTED_VALUE"""),"Estrela 4")</f>
        <v>Estrela 4</v>
      </c>
      <c r="P513" s="5">
        <f>IFERROR(__xludf.DUMMYFUNCTION("""COMPUTED_VALUE"""),128.0)</f>
        <v>128</v>
      </c>
      <c r="Q513" s="5" t="str">
        <f>IFERROR(__xludf.DUMMYFUNCTION("""COMPUTED_VALUE"""),"The Kid")</f>
        <v>The Kid</v>
      </c>
      <c r="R513" s="5" t="str">
        <f>IFERROR(__xludf.DUMMYFUNCTION("""COMPUTED_VALUE"""),"Carl Miller")</f>
        <v>Carl Miller</v>
      </c>
      <c r="S513" s="5" t="str">
        <f>IFERROR(__xludf.DUMMYFUNCTION("""COMPUTED_VALUE"""),"Estrela 4")</f>
        <v>Estrela 4</v>
      </c>
    </row>
    <row r="514">
      <c r="A514" s="1">
        <v>513.0</v>
      </c>
      <c r="B514" s="1" t="s">
        <v>3206</v>
      </c>
      <c r="C514" s="1" t="s">
        <v>1054</v>
      </c>
      <c r="D514" s="1" t="s">
        <v>3209</v>
      </c>
      <c r="E514" s="1" t="s">
        <v>3210</v>
      </c>
      <c r="F514" s="1" t="s">
        <v>3211</v>
      </c>
      <c r="G514" s="5" t="str">
        <f>IFERROR(__xludf.DUMMYFUNCTION("""COMPUTED_VALUE"""),"129🤙🏼Chhichhore🤙🏼Sushant Singh Rajput🤙🏼Estrela 1")</f>
        <v>129🤙🏼Chhichhore🤙🏼Sushant Singh Rajput🤙🏼Estrela 1</v>
      </c>
      <c r="H514" s="5">
        <f>IFERROR(__xludf.DUMMYFUNCTION("SPLiT(G514, ""🤙🏼"",FALSE,FALSE)"),129.0)</f>
        <v>129</v>
      </c>
      <c r="I514" s="5" t="str">
        <f>IFERROR(__xludf.DUMMYFUNCTION("""COMPUTED_VALUE"""),"Chhichhore")</f>
        <v>Chhichhore</v>
      </c>
      <c r="J514" s="5" t="str">
        <f>IFERROR(__xludf.DUMMYFUNCTION("""COMPUTED_VALUE"""),"Sushant Singh Rajput")</f>
        <v>Sushant Singh Rajput</v>
      </c>
      <c r="K514" s="5" t="str">
        <f>IFERROR(__xludf.DUMMYFUNCTION("""COMPUTED_VALUE"""),"Estrela 1")</f>
        <v>Estrela 1</v>
      </c>
      <c r="P514" s="5">
        <f>IFERROR(__xludf.DUMMYFUNCTION("""COMPUTED_VALUE"""),129.0)</f>
        <v>129</v>
      </c>
      <c r="Q514" s="5" t="str">
        <f>IFERROR(__xludf.DUMMYFUNCTION("""COMPUTED_VALUE"""),"Chhichhore")</f>
        <v>Chhichhore</v>
      </c>
      <c r="R514" s="5" t="str">
        <f>IFERROR(__xludf.DUMMYFUNCTION("""COMPUTED_VALUE"""),"Sushant Singh Rajput")</f>
        <v>Sushant Singh Rajput</v>
      </c>
      <c r="S514" s="5" t="str">
        <f>IFERROR(__xludf.DUMMYFUNCTION("""COMPUTED_VALUE"""),"Estrela 1")</f>
        <v>Estrela 1</v>
      </c>
    </row>
    <row r="515">
      <c r="A515" s="1">
        <v>514.0</v>
      </c>
      <c r="B515" s="1" t="s">
        <v>3212</v>
      </c>
      <c r="C515" s="1" t="s">
        <v>1728</v>
      </c>
      <c r="D515" s="1" t="s">
        <v>2384</v>
      </c>
      <c r="E515" s="1" t="s">
        <v>1503</v>
      </c>
      <c r="F515" s="1" t="s">
        <v>45</v>
      </c>
      <c r="G515" s="5" t="str">
        <f>IFERROR(__xludf.DUMMYFUNCTION("""COMPUTED_VALUE"""),"129🤙🏼Chhichhore🤙🏼Shraddha Kapoor🤙🏼Estrela 2")</f>
        <v>129🤙🏼Chhichhore🤙🏼Shraddha Kapoor🤙🏼Estrela 2</v>
      </c>
      <c r="H515" s="5">
        <f>IFERROR(__xludf.DUMMYFUNCTION("SPLiT(G515, ""🤙🏼"",FALSE,FALSE)"),129.0)</f>
        <v>129</v>
      </c>
      <c r="I515" s="5" t="str">
        <f>IFERROR(__xludf.DUMMYFUNCTION("""COMPUTED_VALUE"""),"Chhichhore")</f>
        <v>Chhichhore</v>
      </c>
      <c r="J515" s="5" t="str">
        <f>IFERROR(__xludf.DUMMYFUNCTION("""COMPUTED_VALUE"""),"Shraddha Kapoor")</f>
        <v>Shraddha Kapoor</v>
      </c>
      <c r="K515" s="5" t="str">
        <f>IFERROR(__xludf.DUMMYFUNCTION("""COMPUTED_VALUE"""),"Estrela 2")</f>
        <v>Estrela 2</v>
      </c>
      <c r="P515" s="5">
        <f>IFERROR(__xludf.DUMMYFUNCTION("""COMPUTED_VALUE"""),129.0)</f>
        <v>129</v>
      </c>
      <c r="Q515" s="5" t="str">
        <f>IFERROR(__xludf.DUMMYFUNCTION("""COMPUTED_VALUE"""),"Chhichhore")</f>
        <v>Chhichhore</v>
      </c>
      <c r="R515" s="5" t="str">
        <f>IFERROR(__xludf.DUMMYFUNCTION("""COMPUTED_VALUE"""),"Shraddha Kapoor")</f>
        <v>Shraddha Kapoor</v>
      </c>
      <c r="S515" s="5" t="str">
        <f>IFERROR(__xludf.DUMMYFUNCTION("""COMPUTED_VALUE"""),"Estrela 2")</f>
        <v>Estrela 2</v>
      </c>
    </row>
    <row r="516">
      <c r="A516" s="1">
        <v>515.0</v>
      </c>
      <c r="B516" s="1" t="s">
        <v>3214</v>
      </c>
      <c r="C516" s="1" t="s">
        <v>555</v>
      </c>
      <c r="D516" s="1" t="s">
        <v>3217</v>
      </c>
      <c r="E516" s="1" t="s">
        <v>3218</v>
      </c>
      <c r="F516" s="1" t="s">
        <v>972</v>
      </c>
      <c r="G516" s="5" t="str">
        <f>IFERROR(__xludf.DUMMYFUNCTION("""COMPUTED_VALUE"""),"129🤙🏼Chhichhore🤙🏼Varun Sharma🤙🏼Estrela 3")</f>
        <v>129🤙🏼Chhichhore🤙🏼Varun Sharma🤙🏼Estrela 3</v>
      </c>
      <c r="H516" s="5">
        <f>IFERROR(__xludf.DUMMYFUNCTION("SPLiT(G516, ""🤙🏼"",FALSE,FALSE)"),129.0)</f>
        <v>129</v>
      </c>
      <c r="I516" s="5" t="str">
        <f>IFERROR(__xludf.DUMMYFUNCTION("""COMPUTED_VALUE"""),"Chhichhore")</f>
        <v>Chhichhore</v>
      </c>
      <c r="J516" s="5" t="str">
        <f>IFERROR(__xludf.DUMMYFUNCTION("""COMPUTED_VALUE"""),"Varun Sharma")</f>
        <v>Varun Sharma</v>
      </c>
      <c r="K516" s="5" t="str">
        <f>IFERROR(__xludf.DUMMYFUNCTION("""COMPUTED_VALUE"""),"Estrela 3")</f>
        <v>Estrela 3</v>
      </c>
      <c r="P516" s="5">
        <f>IFERROR(__xludf.DUMMYFUNCTION("""COMPUTED_VALUE"""),129.0)</f>
        <v>129</v>
      </c>
      <c r="Q516" s="5" t="str">
        <f>IFERROR(__xludf.DUMMYFUNCTION("""COMPUTED_VALUE"""),"Chhichhore")</f>
        <v>Chhichhore</v>
      </c>
      <c r="R516" s="5" t="str">
        <f>IFERROR(__xludf.DUMMYFUNCTION("""COMPUTED_VALUE"""),"Varun Sharma")</f>
        <v>Varun Sharma</v>
      </c>
      <c r="S516" s="5" t="str">
        <f>IFERROR(__xludf.DUMMYFUNCTION("""COMPUTED_VALUE"""),"Estrela 3")</f>
        <v>Estrela 3</v>
      </c>
    </row>
    <row r="517">
      <c r="A517" s="1">
        <v>516.0</v>
      </c>
      <c r="B517" s="1" t="s">
        <v>3219</v>
      </c>
      <c r="C517" s="1" t="s">
        <v>3221</v>
      </c>
      <c r="D517" s="1" t="s">
        <v>3222</v>
      </c>
      <c r="E517" s="1" t="s">
        <v>3223</v>
      </c>
      <c r="F517" s="1" t="s">
        <v>3224</v>
      </c>
      <c r="G517" s="5" t="str">
        <f>IFERROR(__xludf.DUMMYFUNCTION("""COMPUTED_VALUE"""),"129🤙🏼Chhichhore🤙🏼Prateik🤙🏼Estrela 4")</f>
        <v>129🤙🏼Chhichhore🤙🏼Prateik🤙🏼Estrela 4</v>
      </c>
      <c r="H517" s="5">
        <f>IFERROR(__xludf.DUMMYFUNCTION("SPLiT(G517, ""🤙🏼"",FALSE,FALSE)"),129.0)</f>
        <v>129</v>
      </c>
      <c r="I517" s="5" t="str">
        <f>IFERROR(__xludf.DUMMYFUNCTION("""COMPUTED_VALUE"""),"Chhichhore")</f>
        <v>Chhichhore</v>
      </c>
      <c r="J517" s="5" t="str">
        <f>IFERROR(__xludf.DUMMYFUNCTION("""COMPUTED_VALUE"""),"Prateik")</f>
        <v>Prateik</v>
      </c>
      <c r="K517" s="5" t="str">
        <f>IFERROR(__xludf.DUMMYFUNCTION("""COMPUTED_VALUE"""),"Estrela 4")</f>
        <v>Estrela 4</v>
      </c>
      <c r="P517" s="5">
        <f>IFERROR(__xludf.DUMMYFUNCTION("""COMPUTED_VALUE"""),129.0)</f>
        <v>129</v>
      </c>
      <c r="Q517" s="5" t="str">
        <f>IFERROR(__xludf.DUMMYFUNCTION("""COMPUTED_VALUE"""),"Chhichhore")</f>
        <v>Chhichhore</v>
      </c>
      <c r="R517" s="5" t="str">
        <f>IFERROR(__xludf.DUMMYFUNCTION("""COMPUTED_VALUE"""),"Prateik")</f>
        <v>Prateik</v>
      </c>
      <c r="S517" s="5" t="str">
        <f>IFERROR(__xludf.DUMMYFUNCTION("""COMPUTED_VALUE"""),"Estrela 4")</f>
        <v>Estrela 4</v>
      </c>
    </row>
    <row r="518">
      <c r="A518" s="1">
        <v>517.0</v>
      </c>
      <c r="B518" s="1" t="s">
        <v>3225</v>
      </c>
      <c r="C518" s="1" t="s">
        <v>3227</v>
      </c>
      <c r="D518" s="1" t="s">
        <v>489</v>
      </c>
      <c r="E518" s="1" t="s">
        <v>110</v>
      </c>
      <c r="F518" s="1" t="s">
        <v>768</v>
      </c>
      <c r="G518" s="5" t="str">
        <f>IFERROR(__xludf.DUMMYFUNCTION("""COMPUTED_VALUE"""),"130🤙🏼Uri: The Surgical Strike🤙🏼Vicky Kaushal🤙🏼Estrela 1")</f>
        <v>130🤙🏼Uri: The Surgical Strike🤙🏼Vicky Kaushal🤙🏼Estrela 1</v>
      </c>
      <c r="H518" s="5">
        <f>IFERROR(__xludf.DUMMYFUNCTION("SPLiT(G518, ""🤙🏼"",FALSE,FALSE)"),130.0)</f>
        <v>130</v>
      </c>
      <c r="I518" s="5" t="str">
        <f>IFERROR(__xludf.DUMMYFUNCTION("""COMPUTED_VALUE"""),"Uri: The Surgical Strike")</f>
        <v>Uri: The Surgical Strike</v>
      </c>
      <c r="J518" s="5" t="str">
        <f>IFERROR(__xludf.DUMMYFUNCTION("""COMPUTED_VALUE"""),"Vicky Kaushal")</f>
        <v>Vicky Kaushal</v>
      </c>
      <c r="K518" s="5" t="str">
        <f>IFERROR(__xludf.DUMMYFUNCTION("""COMPUTED_VALUE"""),"Estrela 1")</f>
        <v>Estrela 1</v>
      </c>
      <c r="P518" s="5">
        <f>IFERROR(__xludf.DUMMYFUNCTION("""COMPUTED_VALUE"""),130.0)</f>
        <v>130</v>
      </c>
      <c r="Q518" s="5" t="str">
        <f>IFERROR(__xludf.DUMMYFUNCTION("""COMPUTED_VALUE"""),"Uri: The Surgical Strike")</f>
        <v>Uri: The Surgical Strike</v>
      </c>
      <c r="R518" s="5" t="str">
        <f>IFERROR(__xludf.DUMMYFUNCTION("""COMPUTED_VALUE"""),"Vicky Kaushal")</f>
        <v>Vicky Kaushal</v>
      </c>
      <c r="S518" s="5" t="str">
        <f>IFERROR(__xludf.DUMMYFUNCTION("""COMPUTED_VALUE"""),"Estrela 1")</f>
        <v>Estrela 1</v>
      </c>
    </row>
    <row r="519">
      <c r="A519" s="1">
        <v>518.0</v>
      </c>
      <c r="B519" s="1" t="s">
        <v>3228</v>
      </c>
      <c r="C519" s="1" t="s">
        <v>311</v>
      </c>
      <c r="D519" s="1" t="s">
        <v>1728</v>
      </c>
      <c r="E519" s="1" t="s">
        <v>3230</v>
      </c>
      <c r="F519" s="1" t="s">
        <v>3231</v>
      </c>
      <c r="G519" s="5" t="str">
        <f>IFERROR(__xludf.DUMMYFUNCTION("""COMPUTED_VALUE"""),"130🤙🏼Uri: The Surgical Strike🤙🏼Paresh Rawal🤙🏼Estrela 2")</f>
        <v>130🤙🏼Uri: The Surgical Strike🤙🏼Paresh Rawal🤙🏼Estrela 2</v>
      </c>
      <c r="H519" s="5">
        <f>IFERROR(__xludf.DUMMYFUNCTION("SPLiT(G519, ""🤙🏼"",FALSE,FALSE)"),130.0)</f>
        <v>130</v>
      </c>
      <c r="I519" s="5" t="str">
        <f>IFERROR(__xludf.DUMMYFUNCTION("""COMPUTED_VALUE"""),"Uri: The Surgical Strike")</f>
        <v>Uri: The Surgical Strike</v>
      </c>
      <c r="J519" s="5" t="str">
        <f>IFERROR(__xludf.DUMMYFUNCTION("""COMPUTED_VALUE"""),"Paresh Rawal")</f>
        <v>Paresh Rawal</v>
      </c>
      <c r="K519" s="5" t="str">
        <f>IFERROR(__xludf.DUMMYFUNCTION("""COMPUTED_VALUE"""),"Estrela 2")</f>
        <v>Estrela 2</v>
      </c>
      <c r="P519" s="5">
        <f>IFERROR(__xludf.DUMMYFUNCTION("""COMPUTED_VALUE"""),130.0)</f>
        <v>130</v>
      </c>
      <c r="Q519" s="5" t="str">
        <f>IFERROR(__xludf.DUMMYFUNCTION("""COMPUTED_VALUE"""),"Uri: The Surgical Strike")</f>
        <v>Uri: The Surgical Strike</v>
      </c>
      <c r="R519" s="5" t="str">
        <f>IFERROR(__xludf.DUMMYFUNCTION("""COMPUTED_VALUE"""),"Paresh Rawal")</f>
        <v>Paresh Rawal</v>
      </c>
      <c r="S519" s="5" t="str">
        <f>IFERROR(__xludf.DUMMYFUNCTION("""COMPUTED_VALUE"""),"Estrela 2")</f>
        <v>Estrela 2</v>
      </c>
    </row>
    <row r="520">
      <c r="A520" s="1">
        <v>519.0</v>
      </c>
      <c r="B520" s="1" t="s">
        <v>3232</v>
      </c>
      <c r="C520" s="1" t="s">
        <v>3235</v>
      </c>
      <c r="D520" s="1" t="s">
        <v>3236</v>
      </c>
      <c r="E520" s="1" t="s">
        <v>3237</v>
      </c>
      <c r="F520" s="1" t="s">
        <v>3238</v>
      </c>
      <c r="G520" s="5" t="str">
        <f>IFERROR(__xludf.DUMMYFUNCTION("""COMPUTED_VALUE"""),"130🤙🏼Uri: The Surgical Strike🤙🏼Mohit Raina🤙🏼Estrela 3")</f>
        <v>130🤙🏼Uri: The Surgical Strike🤙🏼Mohit Raina🤙🏼Estrela 3</v>
      </c>
      <c r="H520" s="5">
        <f>IFERROR(__xludf.DUMMYFUNCTION("SPLiT(G520, ""🤙🏼"",FALSE,FALSE)"),130.0)</f>
        <v>130</v>
      </c>
      <c r="I520" s="5" t="str">
        <f>IFERROR(__xludf.DUMMYFUNCTION("""COMPUTED_VALUE"""),"Uri: The Surgical Strike")</f>
        <v>Uri: The Surgical Strike</v>
      </c>
      <c r="J520" s="5" t="str">
        <f>IFERROR(__xludf.DUMMYFUNCTION("""COMPUTED_VALUE"""),"Mohit Raina")</f>
        <v>Mohit Raina</v>
      </c>
      <c r="K520" s="5" t="str">
        <f>IFERROR(__xludf.DUMMYFUNCTION("""COMPUTED_VALUE"""),"Estrela 3")</f>
        <v>Estrela 3</v>
      </c>
      <c r="P520" s="5">
        <f>IFERROR(__xludf.DUMMYFUNCTION("""COMPUTED_VALUE"""),130.0)</f>
        <v>130</v>
      </c>
      <c r="Q520" s="5" t="str">
        <f>IFERROR(__xludf.DUMMYFUNCTION("""COMPUTED_VALUE"""),"Uri: The Surgical Strike")</f>
        <v>Uri: The Surgical Strike</v>
      </c>
      <c r="R520" s="5" t="str">
        <f>IFERROR(__xludf.DUMMYFUNCTION("""COMPUTED_VALUE"""),"Mohit Raina")</f>
        <v>Mohit Raina</v>
      </c>
      <c r="S520" s="5" t="str">
        <f>IFERROR(__xludf.DUMMYFUNCTION("""COMPUTED_VALUE"""),"Estrela 3")</f>
        <v>Estrela 3</v>
      </c>
    </row>
    <row r="521">
      <c r="A521" s="1">
        <v>520.0</v>
      </c>
      <c r="B521" s="1" t="s">
        <v>3239</v>
      </c>
      <c r="C521" s="1" t="s">
        <v>3242</v>
      </c>
      <c r="D521" s="1" t="s">
        <v>3243</v>
      </c>
      <c r="E521" s="1" t="s">
        <v>3244</v>
      </c>
      <c r="F521" s="1" t="s">
        <v>3245</v>
      </c>
      <c r="G521" s="5" t="str">
        <f>IFERROR(__xludf.DUMMYFUNCTION("""COMPUTED_VALUE"""),"130🤙🏼Uri: The Surgical Strike🤙🏼Yami Gautam🤙🏼Estrela 4")</f>
        <v>130🤙🏼Uri: The Surgical Strike🤙🏼Yami Gautam🤙🏼Estrela 4</v>
      </c>
      <c r="H521" s="5">
        <f>IFERROR(__xludf.DUMMYFUNCTION("SPLiT(G521, ""🤙🏼"",FALSE,FALSE)"),130.0)</f>
        <v>130</v>
      </c>
      <c r="I521" s="5" t="str">
        <f>IFERROR(__xludf.DUMMYFUNCTION("""COMPUTED_VALUE"""),"Uri: The Surgical Strike")</f>
        <v>Uri: The Surgical Strike</v>
      </c>
      <c r="J521" s="5" t="str">
        <f>IFERROR(__xludf.DUMMYFUNCTION("""COMPUTED_VALUE"""),"Yami Gautam")</f>
        <v>Yami Gautam</v>
      </c>
      <c r="K521" s="5" t="str">
        <f>IFERROR(__xludf.DUMMYFUNCTION("""COMPUTED_VALUE"""),"Estrela 4")</f>
        <v>Estrela 4</v>
      </c>
      <c r="P521" s="5">
        <f>IFERROR(__xludf.DUMMYFUNCTION("""COMPUTED_VALUE"""),130.0)</f>
        <v>130</v>
      </c>
      <c r="Q521" s="5" t="str">
        <f>IFERROR(__xludf.DUMMYFUNCTION("""COMPUTED_VALUE"""),"Uri: The Surgical Strike")</f>
        <v>Uri: The Surgical Strike</v>
      </c>
      <c r="R521" s="5" t="str">
        <f>IFERROR(__xludf.DUMMYFUNCTION("""COMPUTED_VALUE"""),"Yami Gautam")</f>
        <v>Yami Gautam</v>
      </c>
      <c r="S521" s="5" t="str">
        <f>IFERROR(__xludf.DUMMYFUNCTION("""COMPUTED_VALUE"""),"Estrela 4")</f>
        <v>Estrela 4</v>
      </c>
    </row>
    <row r="522">
      <c r="A522" s="1">
        <v>521.0</v>
      </c>
      <c r="B522" s="1" t="s">
        <v>3246</v>
      </c>
      <c r="C522" s="1" t="s">
        <v>3249</v>
      </c>
      <c r="D522" s="1" t="s">
        <v>3089</v>
      </c>
      <c r="E522" s="1" t="s">
        <v>3250</v>
      </c>
      <c r="F522" s="1" t="s">
        <v>1177</v>
      </c>
      <c r="G522" s="5" t="str">
        <f>IFERROR(__xludf.DUMMYFUNCTION("""COMPUTED_VALUE"""),"131🤙🏼K.G.F: Chapter 1🤙🏼Yash🤙🏼Estrela 1")</f>
        <v>131🤙🏼K.G.F: Chapter 1🤙🏼Yash🤙🏼Estrela 1</v>
      </c>
      <c r="H522" s="5">
        <f>IFERROR(__xludf.DUMMYFUNCTION("SPLiT(G522, ""🤙🏼"",FALSE,FALSE)"),131.0)</f>
        <v>131</v>
      </c>
      <c r="I522" s="5" t="str">
        <f>IFERROR(__xludf.DUMMYFUNCTION("""COMPUTED_VALUE"""),"K.G.F: Chapter 1")</f>
        <v>K.G.F: Chapter 1</v>
      </c>
      <c r="J522" s="5" t="str">
        <f>IFERROR(__xludf.DUMMYFUNCTION("""COMPUTED_VALUE"""),"Yash")</f>
        <v>Yash</v>
      </c>
      <c r="K522" s="5" t="str">
        <f>IFERROR(__xludf.DUMMYFUNCTION("""COMPUTED_VALUE"""),"Estrela 1")</f>
        <v>Estrela 1</v>
      </c>
      <c r="P522" s="5">
        <f>IFERROR(__xludf.DUMMYFUNCTION("""COMPUTED_VALUE"""),131.0)</f>
        <v>131</v>
      </c>
      <c r="Q522" s="5" t="str">
        <f>IFERROR(__xludf.DUMMYFUNCTION("""COMPUTED_VALUE"""),"K.G.F: Chapter 1")</f>
        <v>K.G.F: Chapter 1</v>
      </c>
      <c r="R522" s="5" t="str">
        <f>IFERROR(__xludf.DUMMYFUNCTION("""COMPUTED_VALUE"""),"Yash")</f>
        <v>Yash</v>
      </c>
      <c r="S522" s="5" t="str">
        <f>IFERROR(__xludf.DUMMYFUNCTION("""COMPUTED_VALUE"""),"Estrela 1")</f>
        <v>Estrela 1</v>
      </c>
    </row>
    <row r="523">
      <c r="A523" s="1">
        <v>522.0</v>
      </c>
      <c r="B523" s="1" t="s">
        <v>3251</v>
      </c>
      <c r="C523" s="1" t="s">
        <v>3254</v>
      </c>
      <c r="D523" s="1" t="s">
        <v>3255</v>
      </c>
      <c r="E523" s="1" t="s">
        <v>1643</v>
      </c>
      <c r="F523" s="1" t="s">
        <v>3256</v>
      </c>
      <c r="G523" s="5" t="str">
        <f>IFERROR(__xludf.DUMMYFUNCTION("""COMPUTED_VALUE"""),"131🤙🏼K.G.F: Chapter 1🤙🏼Srinidhi Shetty🤙🏼Estrela 2")</f>
        <v>131🤙🏼K.G.F: Chapter 1🤙🏼Srinidhi Shetty🤙🏼Estrela 2</v>
      </c>
      <c r="H523" s="5">
        <f>IFERROR(__xludf.DUMMYFUNCTION("SPLiT(G523, ""🤙🏼"",FALSE,FALSE)"),131.0)</f>
        <v>131</v>
      </c>
      <c r="I523" s="5" t="str">
        <f>IFERROR(__xludf.DUMMYFUNCTION("""COMPUTED_VALUE"""),"K.G.F: Chapter 1")</f>
        <v>K.G.F: Chapter 1</v>
      </c>
      <c r="J523" s="5" t="str">
        <f>IFERROR(__xludf.DUMMYFUNCTION("""COMPUTED_VALUE"""),"Srinidhi Shetty")</f>
        <v>Srinidhi Shetty</v>
      </c>
      <c r="K523" s="5" t="str">
        <f>IFERROR(__xludf.DUMMYFUNCTION("""COMPUTED_VALUE"""),"Estrela 2")</f>
        <v>Estrela 2</v>
      </c>
      <c r="P523" s="5">
        <f>IFERROR(__xludf.DUMMYFUNCTION("""COMPUTED_VALUE"""),131.0)</f>
        <v>131</v>
      </c>
      <c r="Q523" s="5" t="str">
        <f>IFERROR(__xludf.DUMMYFUNCTION("""COMPUTED_VALUE"""),"K.G.F: Chapter 1")</f>
        <v>K.G.F: Chapter 1</v>
      </c>
      <c r="R523" s="5" t="str">
        <f>IFERROR(__xludf.DUMMYFUNCTION("""COMPUTED_VALUE"""),"Srinidhi Shetty")</f>
        <v>Srinidhi Shetty</v>
      </c>
      <c r="S523" s="5" t="str">
        <f>IFERROR(__xludf.DUMMYFUNCTION("""COMPUTED_VALUE"""),"Estrela 2")</f>
        <v>Estrela 2</v>
      </c>
    </row>
    <row r="524">
      <c r="A524" s="1">
        <v>523.0</v>
      </c>
      <c r="B524" s="1" t="s">
        <v>3257</v>
      </c>
      <c r="C524" s="1" t="s">
        <v>2557</v>
      </c>
      <c r="D524" s="1" t="s">
        <v>3260</v>
      </c>
      <c r="E524" s="1" t="s">
        <v>3261</v>
      </c>
      <c r="F524" s="1" t="s">
        <v>3262</v>
      </c>
      <c r="G524" s="5" t="str">
        <f>IFERROR(__xludf.DUMMYFUNCTION("""COMPUTED_VALUE"""),"131🤙🏼K.G.F: Chapter 1🤙🏼Ramachandra Raju🤙🏼Estrela 3")</f>
        <v>131🤙🏼K.G.F: Chapter 1🤙🏼Ramachandra Raju🤙🏼Estrela 3</v>
      </c>
      <c r="H524" s="5">
        <f>IFERROR(__xludf.DUMMYFUNCTION("SPLiT(G524, ""🤙🏼"",FALSE,FALSE)"),131.0)</f>
        <v>131</v>
      </c>
      <c r="I524" s="5" t="str">
        <f>IFERROR(__xludf.DUMMYFUNCTION("""COMPUTED_VALUE"""),"K.G.F: Chapter 1")</f>
        <v>K.G.F: Chapter 1</v>
      </c>
      <c r="J524" s="5" t="str">
        <f>IFERROR(__xludf.DUMMYFUNCTION("""COMPUTED_VALUE"""),"Ramachandra Raju")</f>
        <v>Ramachandra Raju</v>
      </c>
      <c r="K524" s="5" t="str">
        <f>IFERROR(__xludf.DUMMYFUNCTION("""COMPUTED_VALUE"""),"Estrela 3")</f>
        <v>Estrela 3</v>
      </c>
      <c r="P524" s="5">
        <f>IFERROR(__xludf.DUMMYFUNCTION("""COMPUTED_VALUE"""),131.0)</f>
        <v>131</v>
      </c>
      <c r="Q524" s="5" t="str">
        <f>IFERROR(__xludf.DUMMYFUNCTION("""COMPUTED_VALUE"""),"K.G.F: Chapter 1")</f>
        <v>K.G.F: Chapter 1</v>
      </c>
      <c r="R524" s="5" t="str">
        <f>IFERROR(__xludf.DUMMYFUNCTION("""COMPUTED_VALUE"""),"Ramachandra Raju")</f>
        <v>Ramachandra Raju</v>
      </c>
      <c r="S524" s="5" t="str">
        <f>IFERROR(__xludf.DUMMYFUNCTION("""COMPUTED_VALUE"""),"Estrela 3")</f>
        <v>Estrela 3</v>
      </c>
    </row>
    <row r="525">
      <c r="A525" s="1">
        <v>524.0</v>
      </c>
      <c r="B525" s="1" t="s">
        <v>3263</v>
      </c>
      <c r="C525" s="1" t="s">
        <v>33</v>
      </c>
      <c r="D525" s="1" t="s">
        <v>1605</v>
      </c>
      <c r="E525" s="1" t="s">
        <v>3265</v>
      </c>
      <c r="F525" s="1" t="s">
        <v>3266</v>
      </c>
      <c r="G525" s="5" t="str">
        <f>IFERROR(__xludf.DUMMYFUNCTION("""COMPUTED_VALUE"""),"131🤙🏼K.G.F: Chapter 1🤙🏼Archana Jois🤙🏼Estrela 4")</f>
        <v>131🤙🏼K.G.F: Chapter 1🤙🏼Archana Jois🤙🏼Estrela 4</v>
      </c>
      <c r="H525" s="5">
        <f>IFERROR(__xludf.DUMMYFUNCTION("SPLiT(G525, ""🤙🏼"",FALSE,FALSE)"),131.0)</f>
        <v>131</v>
      </c>
      <c r="I525" s="5" t="str">
        <f>IFERROR(__xludf.DUMMYFUNCTION("""COMPUTED_VALUE"""),"K.G.F: Chapter 1")</f>
        <v>K.G.F: Chapter 1</v>
      </c>
      <c r="J525" s="5" t="str">
        <f>IFERROR(__xludf.DUMMYFUNCTION("""COMPUTED_VALUE"""),"Archana Jois")</f>
        <v>Archana Jois</v>
      </c>
      <c r="K525" s="5" t="str">
        <f>IFERROR(__xludf.DUMMYFUNCTION("""COMPUTED_VALUE"""),"Estrela 4")</f>
        <v>Estrela 4</v>
      </c>
      <c r="P525" s="5">
        <f>IFERROR(__xludf.DUMMYFUNCTION("""COMPUTED_VALUE"""),131.0)</f>
        <v>131</v>
      </c>
      <c r="Q525" s="5" t="str">
        <f>IFERROR(__xludf.DUMMYFUNCTION("""COMPUTED_VALUE"""),"K.G.F: Chapter 1")</f>
        <v>K.G.F: Chapter 1</v>
      </c>
      <c r="R525" s="5" t="str">
        <f>IFERROR(__xludf.DUMMYFUNCTION("""COMPUTED_VALUE"""),"Archana Jois")</f>
        <v>Archana Jois</v>
      </c>
      <c r="S525" s="5" t="str">
        <f>IFERROR(__xludf.DUMMYFUNCTION("""COMPUTED_VALUE"""),"Estrela 4")</f>
        <v>Estrela 4</v>
      </c>
    </row>
    <row r="526">
      <c r="A526" s="1">
        <v>525.0</v>
      </c>
      <c r="B526" s="1" t="s">
        <v>3267</v>
      </c>
      <c r="C526" s="1" t="s">
        <v>2451</v>
      </c>
      <c r="D526" s="1" t="s">
        <v>2331</v>
      </c>
      <c r="E526" s="1" t="s">
        <v>3269</v>
      </c>
      <c r="F526" s="1" t="s">
        <v>3270</v>
      </c>
      <c r="G526" s="5" t="str">
        <f>IFERROR(__xludf.DUMMYFUNCTION("""COMPUTED_VALUE"""),"132🤙🏼Green Book🤙🏼Viggo Mortensen🤙🏼Estrela 1")</f>
        <v>132🤙🏼Green Book🤙🏼Viggo Mortensen🤙🏼Estrela 1</v>
      </c>
      <c r="H526" s="5">
        <f>IFERROR(__xludf.DUMMYFUNCTION("SPLiT(G526, ""🤙🏼"",FALSE,FALSE)"),132.0)</f>
        <v>132</v>
      </c>
      <c r="I526" s="5" t="str">
        <f>IFERROR(__xludf.DUMMYFUNCTION("""COMPUTED_VALUE"""),"Green Book")</f>
        <v>Green Book</v>
      </c>
      <c r="J526" s="5" t="str">
        <f>IFERROR(__xludf.DUMMYFUNCTION("""COMPUTED_VALUE"""),"Viggo Mortensen")</f>
        <v>Viggo Mortensen</v>
      </c>
      <c r="K526" s="5" t="str">
        <f>IFERROR(__xludf.DUMMYFUNCTION("""COMPUTED_VALUE"""),"Estrela 1")</f>
        <v>Estrela 1</v>
      </c>
      <c r="P526" s="5">
        <f>IFERROR(__xludf.DUMMYFUNCTION("""COMPUTED_VALUE"""),132.0)</f>
        <v>132</v>
      </c>
      <c r="Q526" s="5" t="str">
        <f>IFERROR(__xludf.DUMMYFUNCTION("""COMPUTED_VALUE"""),"Green Book")</f>
        <v>Green Book</v>
      </c>
      <c r="R526" s="5" t="str">
        <f>IFERROR(__xludf.DUMMYFUNCTION("""COMPUTED_VALUE"""),"Viggo Mortensen")</f>
        <v>Viggo Mortensen</v>
      </c>
      <c r="S526" s="5" t="str">
        <f>IFERROR(__xludf.DUMMYFUNCTION("""COMPUTED_VALUE"""),"Estrela 1")</f>
        <v>Estrela 1</v>
      </c>
    </row>
    <row r="527">
      <c r="A527" s="1">
        <v>526.0</v>
      </c>
      <c r="B527" s="1" t="s">
        <v>3271</v>
      </c>
      <c r="C527" s="1" t="s">
        <v>1092</v>
      </c>
      <c r="D527" s="1" t="s">
        <v>3273</v>
      </c>
      <c r="E527" s="1" t="s">
        <v>3274</v>
      </c>
      <c r="F527" s="1" t="s">
        <v>3275</v>
      </c>
      <c r="G527" s="5" t="str">
        <f>IFERROR(__xludf.DUMMYFUNCTION("""COMPUTED_VALUE"""),"132🤙🏼Green Book🤙🏼Mahershala Ali🤙🏼Estrela 2")</f>
        <v>132🤙🏼Green Book🤙🏼Mahershala Ali🤙🏼Estrela 2</v>
      </c>
      <c r="H527" s="5">
        <f>IFERROR(__xludf.DUMMYFUNCTION("SPLiT(G527, ""🤙🏼"",FALSE,FALSE)"),132.0)</f>
        <v>132</v>
      </c>
      <c r="I527" s="5" t="str">
        <f>IFERROR(__xludf.DUMMYFUNCTION("""COMPUTED_VALUE"""),"Green Book")</f>
        <v>Green Book</v>
      </c>
      <c r="J527" s="5" t="str">
        <f>IFERROR(__xludf.DUMMYFUNCTION("""COMPUTED_VALUE"""),"Mahershala Ali")</f>
        <v>Mahershala Ali</v>
      </c>
      <c r="K527" s="5" t="str">
        <f>IFERROR(__xludf.DUMMYFUNCTION("""COMPUTED_VALUE"""),"Estrela 2")</f>
        <v>Estrela 2</v>
      </c>
      <c r="P527" s="5">
        <f>IFERROR(__xludf.DUMMYFUNCTION("""COMPUTED_VALUE"""),132.0)</f>
        <v>132</v>
      </c>
      <c r="Q527" s="5" t="str">
        <f>IFERROR(__xludf.DUMMYFUNCTION("""COMPUTED_VALUE"""),"Green Book")</f>
        <v>Green Book</v>
      </c>
      <c r="R527" s="5" t="str">
        <f>IFERROR(__xludf.DUMMYFUNCTION("""COMPUTED_VALUE"""),"Mahershala Ali")</f>
        <v>Mahershala Ali</v>
      </c>
      <c r="S527" s="5" t="str">
        <f>IFERROR(__xludf.DUMMYFUNCTION("""COMPUTED_VALUE"""),"Estrela 2")</f>
        <v>Estrela 2</v>
      </c>
    </row>
    <row r="528">
      <c r="A528" s="1">
        <v>527.0</v>
      </c>
      <c r="B528" s="1" t="s">
        <v>3276</v>
      </c>
      <c r="C528" s="1" t="s">
        <v>3278</v>
      </c>
      <c r="D528" s="1" t="s">
        <v>2671</v>
      </c>
      <c r="E528" s="1" t="s">
        <v>3279</v>
      </c>
      <c r="F528" s="1" t="s">
        <v>3280</v>
      </c>
      <c r="G528" s="5" t="str">
        <f>IFERROR(__xludf.DUMMYFUNCTION("""COMPUTED_VALUE"""),"132🤙🏼Green Book🤙🏼Linda Cardellini🤙🏼Estrela 3")</f>
        <v>132🤙🏼Green Book🤙🏼Linda Cardellini🤙🏼Estrela 3</v>
      </c>
      <c r="H528" s="5">
        <f>IFERROR(__xludf.DUMMYFUNCTION("SPLiT(G528, ""🤙🏼"",FALSE,FALSE)"),132.0)</f>
        <v>132</v>
      </c>
      <c r="I528" s="5" t="str">
        <f>IFERROR(__xludf.DUMMYFUNCTION("""COMPUTED_VALUE"""),"Green Book")</f>
        <v>Green Book</v>
      </c>
      <c r="J528" s="5" t="str">
        <f>IFERROR(__xludf.DUMMYFUNCTION("""COMPUTED_VALUE"""),"Linda Cardellini")</f>
        <v>Linda Cardellini</v>
      </c>
      <c r="K528" s="5" t="str">
        <f>IFERROR(__xludf.DUMMYFUNCTION("""COMPUTED_VALUE"""),"Estrela 3")</f>
        <v>Estrela 3</v>
      </c>
      <c r="P528" s="5">
        <f>IFERROR(__xludf.DUMMYFUNCTION("""COMPUTED_VALUE"""),132.0)</f>
        <v>132</v>
      </c>
      <c r="Q528" s="5" t="str">
        <f>IFERROR(__xludf.DUMMYFUNCTION("""COMPUTED_VALUE"""),"Green Book")</f>
        <v>Green Book</v>
      </c>
      <c r="R528" s="5" t="str">
        <f>IFERROR(__xludf.DUMMYFUNCTION("""COMPUTED_VALUE"""),"Linda Cardellini")</f>
        <v>Linda Cardellini</v>
      </c>
      <c r="S528" s="5" t="str">
        <f>IFERROR(__xludf.DUMMYFUNCTION("""COMPUTED_VALUE"""),"Estrela 3")</f>
        <v>Estrela 3</v>
      </c>
    </row>
    <row r="529">
      <c r="A529" s="1">
        <v>528.0</v>
      </c>
      <c r="B529" s="1" t="s">
        <v>3281</v>
      </c>
      <c r="C529" s="1" t="s">
        <v>2595</v>
      </c>
      <c r="D529" s="1" t="s">
        <v>1195</v>
      </c>
      <c r="E529" s="1" t="s">
        <v>49</v>
      </c>
      <c r="F529" s="1" t="s">
        <v>3283</v>
      </c>
      <c r="G529" s="5" t="str">
        <f>IFERROR(__xludf.DUMMYFUNCTION("""COMPUTED_VALUE"""),"132🤙🏼Green Book🤙🏼Sebastian Maniscalco🤙🏼Estrela 4")</f>
        <v>132🤙🏼Green Book🤙🏼Sebastian Maniscalco🤙🏼Estrela 4</v>
      </c>
      <c r="H529" s="5">
        <f>IFERROR(__xludf.DUMMYFUNCTION("SPLiT(G529, ""🤙🏼"",FALSE,FALSE)"),132.0)</f>
        <v>132</v>
      </c>
      <c r="I529" s="5" t="str">
        <f>IFERROR(__xludf.DUMMYFUNCTION("""COMPUTED_VALUE"""),"Green Book")</f>
        <v>Green Book</v>
      </c>
      <c r="J529" s="5" t="str">
        <f>IFERROR(__xludf.DUMMYFUNCTION("""COMPUTED_VALUE"""),"Sebastian Maniscalco")</f>
        <v>Sebastian Maniscalco</v>
      </c>
      <c r="K529" s="5" t="str">
        <f>IFERROR(__xludf.DUMMYFUNCTION("""COMPUTED_VALUE"""),"Estrela 4")</f>
        <v>Estrela 4</v>
      </c>
      <c r="P529" s="5">
        <f>IFERROR(__xludf.DUMMYFUNCTION("""COMPUTED_VALUE"""),132.0)</f>
        <v>132</v>
      </c>
      <c r="Q529" s="5" t="str">
        <f>IFERROR(__xludf.DUMMYFUNCTION("""COMPUTED_VALUE"""),"Green Book")</f>
        <v>Green Book</v>
      </c>
      <c r="R529" s="5" t="str">
        <f>IFERROR(__xludf.DUMMYFUNCTION("""COMPUTED_VALUE"""),"Sebastian Maniscalco")</f>
        <v>Sebastian Maniscalco</v>
      </c>
      <c r="S529" s="5" t="str">
        <f>IFERROR(__xludf.DUMMYFUNCTION("""COMPUTED_VALUE"""),"Estrela 4")</f>
        <v>Estrela 4</v>
      </c>
    </row>
    <row r="530">
      <c r="A530" s="1">
        <v>529.0</v>
      </c>
      <c r="B530" s="1" t="s">
        <v>3284</v>
      </c>
      <c r="C530" s="1" t="s">
        <v>2728</v>
      </c>
      <c r="D530" s="1" t="s">
        <v>3269</v>
      </c>
      <c r="E530" s="1" t="s">
        <v>45</v>
      </c>
      <c r="F530" s="1" t="s">
        <v>3286</v>
      </c>
      <c r="G530" s="5" t="str">
        <f>IFERROR(__xludf.DUMMYFUNCTION("""COMPUTED_VALUE"""),"133🤙🏼Three Billboards Outside Ebbing, Missouri🤙🏼Frances McDormand🤙🏼Estrela 1")</f>
        <v>133🤙🏼Three Billboards Outside Ebbing, Missouri🤙🏼Frances McDormand🤙🏼Estrela 1</v>
      </c>
      <c r="H530" s="5">
        <f>IFERROR(__xludf.DUMMYFUNCTION("SPLiT(G530, ""🤙🏼"",FALSE,FALSE)"),133.0)</f>
        <v>133</v>
      </c>
      <c r="I530" s="5" t="str">
        <f>IFERROR(__xludf.DUMMYFUNCTION("""COMPUTED_VALUE"""),"Three Billboards Outside Ebbing, Missouri")</f>
        <v>Three Billboards Outside Ebbing, Missouri</v>
      </c>
      <c r="J530" s="5" t="str">
        <f>IFERROR(__xludf.DUMMYFUNCTION("""COMPUTED_VALUE"""),"Frances McDormand")</f>
        <v>Frances McDormand</v>
      </c>
      <c r="K530" s="5" t="str">
        <f>IFERROR(__xludf.DUMMYFUNCTION("""COMPUTED_VALUE"""),"Estrela 1")</f>
        <v>Estrela 1</v>
      </c>
      <c r="P530" s="5">
        <f>IFERROR(__xludf.DUMMYFUNCTION("""COMPUTED_VALUE"""),133.0)</f>
        <v>133</v>
      </c>
      <c r="Q530" s="5" t="str">
        <f>IFERROR(__xludf.DUMMYFUNCTION("""COMPUTED_VALUE"""),"Three Billboards Outside Ebbing, Missouri")</f>
        <v>Three Billboards Outside Ebbing, Missouri</v>
      </c>
      <c r="R530" s="5" t="str">
        <f>IFERROR(__xludf.DUMMYFUNCTION("""COMPUTED_VALUE"""),"Frances McDormand")</f>
        <v>Frances McDormand</v>
      </c>
      <c r="S530" s="5" t="str">
        <f>IFERROR(__xludf.DUMMYFUNCTION("""COMPUTED_VALUE"""),"Estrela 1")</f>
        <v>Estrela 1</v>
      </c>
    </row>
    <row r="531">
      <c r="A531" s="1">
        <v>530.0</v>
      </c>
      <c r="B531" s="1" t="s">
        <v>3287</v>
      </c>
      <c r="C531" s="1" t="s">
        <v>3289</v>
      </c>
      <c r="D531" s="1" t="s">
        <v>3290</v>
      </c>
      <c r="E531" s="1" t="s">
        <v>49</v>
      </c>
      <c r="F531" s="1" t="s">
        <v>3291</v>
      </c>
      <c r="G531" s="5" t="str">
        <f>IFERROR(__xludf.DUMMYFUNCTION("""COMPUTED_VALUE"""),"133🤙🏼Three Billboards Outside Ebbing, Missouri🤙🏼Woody Harrelson🤙🏼Estrela 2")</f>
        <v>133🤙🏼Three Billboards Outside Ebbing, Missouri🤙🏼Woody Harrelson🤙🏼Estrela 2</v>
      </c>
      <c r="H531" s="5">
        <f>IFERROR(__xludf.DUMMYFUNCTION("SPLiT(G531, ""🤙🏼"",FALSE,FALSE)"),133.0)</f>
        <v>133</v>
      </c>
      <c r="I531" s="5" t="str">
        <f>IFERROR(__xludf.DUMMYFUNCTION("""COMPUTED_VALUE"""),"Three Billboards Outside Ebbing, Missouri")</f>
        <v>Three Billboards Outside Ebbing, Missouri</v>
      </c>
      <c r="J531" s="5" t="str">
        <f>IFERROR(__xludf.DUMMYFUNCTION("""COMPUTED_VALUE"""),"Woody Harrelson")</f>
        <v>Woody Harrelson</v>
      </c>
      <c r="K531" s="5" t="str">
        <f>IFERROR(__xludf.DUMMYFUNCTION("""COMPUTED_VALUE"""),"Estrela 2")</f>
        <v>Estrela 2</v>
      </c>
      <c r="P531" s="5">
        <f>IFERROR(__xludf.DUMMYFUNCTION("""COMPUTED_VALUE"""),133.0)</f>
        <v>133</v>
      </c>
      <c r="Q531" s="5" t="str">
        <f>IFERROR(__xludf.DUMMYFUNCTION("""COMPUTED_VALUE"""),"Three Billboards Outside Ebbing, Missouri")</f>
        <v>Three Billboards Outside Ebbing, Missouri</v>
      </c>
      <c r="R531" s="5" t="str">
        <f>IFERROR(__xludf.DUMMYFUNCTION("""COMPUTED_VALUE"""),"Woody Harrelson")</f>
        <v>Woody Harrelson</v>
      </c>
      <c r="S531" s="5" t="str">
        <f>IFERROR(__xludf.DUMMYFUNCTION("""COMPUTED_VALUE"""),"Estrela 2")</f>
        <v>Estrela 2</v>
      </c>
    </row>
    <row r="532">
      <c r="A532" s="1">
        <v>531.0</v>
      </c>
      <c r="B532" s="1" t="s">
        <v>3292</v>
      </c>
      <c r="C532" s="1" t="s">
        <v>1815</v>
      </c>
      <c r="D532" s="1" t="s">
        <v>3296</v>
      </c>
      <c r="E532" s="1" t="s">
        <v>3297</v>
      </c>
      <c r="F532" s="1" t="s">
        <v>3298</v>
      </c>
      <c r="G532" s="5" t="str">
        <f>IFERROR(__xludf.DUMMYFUNCTION("""COMPUTED_VALUE"""),"133🤙🏼Three Billboards Outside Ebbing, Missouri🤙🏼Sam Rockwell🤙🏼Estrela 3")</f>
        <v>133🤙🏼Three Billboards Outside Ebbing, Missouri🤙🏼Sam Rockwell🤙🏼Estrela 3</v>
      </c>
      <c r="H532" s="5">
        <f>IFERROR(__xludf.DUMMYFUNCTION("SPLiT(G532, ""🤙🏼"",FALSE,FALSE)"),133.0)</f>
        <v>133</v>
      </c>
      <c r="I532" s="5" t="str">
        <f>IFERROR(__xludf.DUMMYFUNCTION("""COMPUTED_VALUE"""),"Three Billboards Outside Ebbing, Missouri")</f>
        <v>Three Billboards Outside Ebbing, Missouri</v>
      </c>
      <c r="J532" s="5" t="str">
        <f>IFERROR(__xludf.DUMMYFUNCTION("""COMPUTED_VALUE"""),"Sam Rockwell")</f>
        <v>Sam Rockwell</v>
      </c>
      <c r="K532" s="5" t="str">
        <f>IFERROR(__xludf.DUMMYFUNCTION("""COMPUTED_VALUE"""),"Estrela 3")</f>
        <v>Estrela 3</v>
      </c>
      <c r="P532" s="5">
        <f>IFERROR(__xludf.DUMMYFUNCTION("""COMPUTED_VALUE"""),133.0)</f>
        <v>133</v>
      </c>
      <c r="Q532" s="5" t="str">
        <f>IFERROR(__xludf.DUMMYFUNCTION("""COMPUTED_VALUE"""),"Three Billboards Outside Ebbing, Missouri")</f>
        <v>Three Billboards Outside Ebbing, Missouri</v>
      </c>
      <c r="R532" s="5" t="str">
        <f>IFERROR(__xludf.DUMMYFUNCTION("""COMPUTED_VALUE"""),"Sam Rockwell")</f>
        <v>Sam Rockwell</v>
      </c>
      <c r="S532" s="5" t="str">
        <f>IFERROR(__xludf.DUMMYFUNCTION("""COMPUTED_VALUE"""),"Estrela 3")</f>
        <v>Estrela 3</v>
      </c>
    </row>
    <row r="533">
      <c r="A533" s="1">
        <v>532.0</v>
      </c>
      <c r="B533" s="1" t="s">
        <v>3299</v>
      </c>
      <c r="C533" s="1" t="s">
        <v>3303</v>
      </c>
      <c r="D533" s="1" t="s">
        <v>3304</v>
      </c>
      <c r="E533" s="1" t="s">
        <v>3305</v>
      </c>
      <c r="F533" s="1" t="s">
        <v>3306</v>
      </c>
      <c r="G533" s="5" t="str">
        <f>IFERROR(__xludf.DUMMYFUNCTION("""COMPUTED_VALUE"""),"133🤙🏼Three Billboards Outside Ebbing, Missouri🤙🏼Caleb Landry Jones🤙🏼Estrela 4")</f>
        <v>133🤙🏼Three Billboards Outside Ebbing, Missouri🤙🏼Caleb Landry Jones🤙🏼Estrela 4</v>
      </c>
      <c r="H533" s="5">
        <f>IFERROR(__xludf.DUMMYFUNCTION("SPLiT(G533, ""🤙🏼"",FALSE,FALSE)"),133.0)</f>
        <v>133</v>
      </c>
      <c r="I533" s="5" t="str">
        <f>IFERROR(__xludf.DUMMYFUNCTION("""COMPUTED_VALUE"""),"Three Billboards Outside Ebbing, Missouri")</f>
        <v>Three Billboards Outside Ebbing, Missouri</v>
      </c>
      <c r="J533" s="5" t="str">
        <f>IFERROR(__xludf.DUMMYFUNCTION("""COMPUTED_VALUE"""),"Caleb Landry Jones")</f>
        <v>Caleb Landry Jones</v>
      </c>
      <c r="K533" s="5" t="str">
        <f>IFERROR(__xludf.DUMMYFUNCTION("""COMPUTED_VALUE"""),"Estrela 4")</f>
        <v>Estrela 4</v>
      </c>
      <c r="P533" s="5">
        <f>IFERROR(__xludf.DUMMYFUNCTION("""COMPUTED_VALUE"""),133.0)</f>
        <v>133</v>
      </c>
      <c r="Q533" s="5" t="str">
        <f>IFERROR(__xludf.DUMMYFUNCTION("""COMPUTED_VALUE"""),"Three Billboards Outside Ebbing, Missouri")</f>
        <v>Three Billboards Outside Ebbing, Missouri</v>
      </c>
      <c r="R533" s="5" t="str">
        <f>IFERROR(__xludf.DUMMYFUNCTION("""COMPUTED_VALUE"""),"Caleb Landry Jones")</f>
        <v>Caleb Landry Jones</v>
      </c>
      <c r="S533" s="5" t="str">
        <f>IFERROR(__xludf.DUMMYFUNCTION("""COMPUTED_VALUE"""),"Estrela 4")</f>
        <v>Estrela 4</v>
      </c>
    </row>
    <row r="534">
      <c r="A534" s="1">
        <v>533.0</v>
      </c>
      <c r="B534" s="1" t="s">
        <v>3307</v>
      </c>
      <c r="C534" s="1" t="s">
        <v>3310</v>
      </c>
      <c r="D534" s="1" t="s">
        <v>3311</v>
      </c>
      <c r="E534" s="1" t="s">
        <v>3312</v>
      </c>
      <c r="F534" s="1" t="s">
        <v>3313</v>
      </c>
      <c r="G534" s="5" t="str">
        <f>IFERROR(__xludf.DUMMYFUNCTION("""COMPUTED_VALUE"""),"134🤙🏼Talvar🤙🏼Irrfan Khan🤙🏼Estrela 1")</f>
        <v>134🤙🏼Talvar🤙🏼Irrfan Khan🤙🏼Estrela 1</v>
      </c>
      <c r="H534" s="5">
        <f>IFERROR(__xludf.DUMMYFUNCTION("SPLiT(G534, ""🤙🏼"",FALSE,FALSE)"),134.0)</f>
        <v>134</v>
      </c>
      <c r="I534" s="5" t="str">
        <f>IFERROR(__xludf.DUMMYFUNCTION("""COMPUTED_VALUE"""),"Talvar")</f>
        <v>Talvar</v>
      </c>
      <c r="J534" s="5" t="str">
        <f>IFERROR(__xludf.DUMMYFUNCTION("""COMPUTED_VALUE"""),"Irrfan Khan")</f>
        <v>Irrfan Khan</v>
      </c>
      <c r="K534" s="5" t="str">
        <f>IFERROR(__xludf.DUMMYFUNCTION("""COMPUTED_VALUE"""),"Estrela 1")</f>
        <v>Estrela 1</v>
      </c>
      <c r="P534" s="5">
        <f>IFERROR(__xludf.DUMMYFUNCTION("""COMPUTED_VALUE"""),134.0)</f>
        <v>134</v>
      </c>
      <c r="Q534" s="5" t="str">
        <f>IFERROR(__xludf.DUMMYFUNCTION("""COMPUTED_VALUE"""),"Talvar")</f>
        <v>Talvar</v>
      </c>
      <c r="R534" s="5" t="str">
        <f>IFERROR(__xludf.DUMMYFUNCTION("""COMPUTED_VALUE"""),"Irrfan Khan")</f>
        <v>Irrfan Khan</v>
      </c>
      <c r="S534" s="5" t="str">
        <f>IFERROR(__xludf.DUMMYFUNCTION("""COMPUTED_VALUE"""),"Estrela 1")</f>
        <v>Estrela 1</v>
      </c>
    </row>
    <row r="535">
      <c r="A535" s="1">
        <v>534.0</v>
      </c>
      <c r="B535" s="1" t="s">
        <v>3314</v>
      </c>
      <c r="C535" s="1" t="s">
        <v>2671</v>
      </c>
      <c r="D535" s="1" t="s">
        <v>35</v>
      </c>
      <c r="E535" s="1" t="s">
        <v>3316</v>
      </c>
      <c r="F535" s="1" t="s">
        <v>3317</v>
      </c>
      <c r="G535" s="5" t="str">
        <f>IFERROR(__xludf.DUMMYFUNCTION("""COMPUTED_VALUE"""),"134🤙🏼Talvar🤙🏼Konkona Sen Sharma🤙🏼Estrela 2")</f>
        <v>134🤙🏼Talvar🤙🏼Konkona Sen Sharma🤙🏼Estrela 2</v>
      </c>
      <c r="H535" s="5">
        <f>IFERROR(__xludf.DUMMYFUNCTION("SPLiT(G535, ""🤙🏼"",FALSE,FALSE)"),134.0)</f>
        <v>134</v>
      </c>
      <c r="I535" s="5" t="str">
        <f>IFERROR(__xludf.DUMMYFUNCTION("""COMPUTED_VALUE"""),"Talvar")</f>
        <v>Talvar</v>
      </c>
      <c r="J535" s="5" t="str">
        <f>IFERROR(__xludf.DUMMYFUNCTION("""COMPUTED_VALUE"""),"Konkona Sen Sharma")</f>
        <v>Konkona Sen Sharma</v>
      </c>
      <c r="K535" s="5" t="str">
        <f>IFERROR(__xludf.DUMMYFUNCTION("""COMPUTED_VALUE"""),"Estrela 2")</f>
        <v>Estrela 2</v>
      </c>
      <c r="P535" s="5">
        <f>IFERROR(__xludf.DUMMYFUNCTION("""COMPUTED_VALUE"""),134.0)</f>
        <v>134</v>
      </c>
      <c r="Q535" s="5" t="str">
        <f>IFERROR(__xludf.DUMMYFUNCTION("""COMPUTED_VALUE"""),"Talvar")</f>
        <v>Talvar</v>
      </c>
      <c r="R535" s="5" t="str">
        <f>IFERROR(__xludf.DUMMYFUNCTION("""COMPUTED_VALUE"""),"Konkona Sen Sharma")</f>
        <v>Konkona Sen Sharma</v>
      </c>
      <c r="S535" s="5" t="str">
        <f>IFERROR(__xludf.DUMMYFUNCTION("""COMPUTED_VALUE"""),"Estrela 2")</f>
        <v>Estrela 2</v>
      </c>
    </row>
    <row r="536">
      <c r="A536" s="1">
        <v>535.0</v>
      </c>
      <c r="B536" s="1" t="s">
        <v>3318</v>
      </c>
      <c r="C536" s="1" t="s">
        <v>2677</v>
      </c>
      <c r="D536" s="1" t="s">
        <v>2456</v>
      </c>
      <c r="E536" s="1" t="s">
        <v>3322</v>
      </c>
      <c r="F536" s="1" t="s">
        <v>3323</v>
      </c>
      <c r="G536" s="5" t="str">
        <f>IFERROR(__xludf.DUMMYFUNCTION("""COMPUTED_VALUE"""),"134🤙🏼Talvar🤙🏼Neeraj Kabi🤙🏼Estrela 3")</f>
        <v>134🤙🏼Talvar🤙🏼Neeraj Kabi🤙🏼Estrela 3</v>
      </c>
      <c r="H536" s="5">
        <f>IFERROR(__xludf.DUMMYFUNCTION("SPLiT(G536, ""🤙🏼"",FALSE,FALSE)"),134.0)</f>
        <v>134</v>
      </c>
      <c r="I536" s="5" t="str">
        <f>IFERROR(__xludf.DUMMYFUNCTION("""COMPUTED_VALUE"""),"Talvar")</f>
        <v>Talvar</v>
      </c>
      <c r="J536" s="5" t="str">
        <f>IFERROR(__xludf.DUMMYFUNCTION("""COMPUTED_VALUE"""),"Neeraj Kabi")</f>
        <v>Neeraj Kabi</v>
      </c>
      <c r="K536" s="5" t="str">
        <f>IFERROR(__xludf.DUMMYFUNCTION("""COMPUTED_VALUE"""),"Estrela 3")</f>
        <v>Estrela 3</v>
      </c>
      <c r="P536" s="5">
        <f>IFERROR(__xludf.DUMMYFUNCTION("""COMPUTED_VALUE"""),134.0)</f>
        <v>134</v>
      </c>
      <c r="Q536" s="5" t="str">
        <f>IFERROR(__xludf.DUMMYFUNCTION("""COMPUTED_VALUE"""),"Talvar")</f>
        <v>Talvar</v>
      </c>
      <c r="R536" s="5" t="str">
        <f>IFERROR(__xludf.DUMMYFUNCTION("""COMPUTED_VALUE"""),"Neeraj Kabi")</f>
        <v>Neeraj Kabi</v>
      </c>
      <c r="S536" s="5" t="str">
        <f>IFERROR(__xludf.DUMMYFUNCTION("""COMPUTED_VALUE"""),"Estrela 3")</f>
        <v>Estrela 3</v>
      </c>
    </row>
    <row r="537">
      <c r="A537" s="1">
        <v>536.0</v>
      </c>
      <c r="B537" s="1" t="s">
        <v>3324</v>
      </c>
      <c r="C537" s="1" t="s">
        <v>3328</v>
      </c>
      <c r="D537" s="1" t="s">
        <v>3329</v>
      </c>
      <c r="E537" s="1" t="s">
        <v>3330</v>
      </c>
      <c r="F537" s="1" t="s">
        <v>3331</v>
      </c>
      <c r="G537" s="5" t="str">
        <f>IFERROR(__xludf.DUMMYFUNCTION("""COMPUTED_VALUE"""),"134🤙🏼Talvar🤙🏼Sohum Shah🤙🏼Estrela 4")</f>
        <v>134🤙🏼Talvar🤙🏼Sohum Shah🤙🏼Estrela 4</v>
      </c>
      <c r="H537" s="5">
        <f>IFERROR(__xludf.DUMMYFUNCTION("SPLiT(G537, ""🤙🏼"",FALSE,FALSE)"),134.0)</f>
        <v>134</v>
      </c>
      <c r="I537" s="5" t="str">
        <f>IFERROR(__xludf.DUMMYFUNCTION("""COMPUTED_VALUE"""),"Talvar")</f>
        <v>Talvar</v>
      </c>
      <c r="J537" s="5" t="str">
        <f>IFERROR(__xludf.DUMMYFUNCTION("""COMPUTED_VALUE"""),"Sohum Shah")</f>
        <v>Sohum Shah</v>
      </c>
      <c r="K537" s="5" t="str">
        <f>IFERROR(__xludf.DUMMYFUNCTION("""COMPUTED_VALUE"""),"Estrela 4")</f>
        <v>Estrela 4</v>
      </c>
      <c r="P537" s="5">
        <f>IFERROR(__xludf.DUMMYFUNCTION("""COMPUTED_VALUE"""),134.0)</f>
        <v>134</v>
      </c>
      <c r="Q537" s="5" t="str">
        <f>IFERROR(__xludf.DUMMYFUNCTION("""COMPUTED_VALUE"""),"Talvar")</f>
        <v>Talvar</v>
      </c>
      <c r="R537" s="5" t="str">
        <f>IFERROR(__xludf.DUMMYFUNCTION("""COMPUTED_VALUE"""),"Sohum Shah")</f>
        <v>Sohum Shah</v>
      </c>
      <c r="S537" s="5" t="str">
        <f>IFERROR(__xludf.DUMMYFUNCTION("""COMPUTED_VALUE"""),"Estrela 4")</f>
        <v>Estrela 4</v>
      </c>
    </row>
    <row r="538">
      <c r="A538" s="1">
        <v>537.0</v>
      </c>
      <c r="B538" s="1" t="s">
        <v>3332</v>
      </c>
      <c r="C538" s="1" t="s">
        <v>2618</v>
      </c>
      <c r="D538" s="1" t="s">
        <v>835</v>
      </c>
      <c r="E538" s="1" t="s">
        <v>2668</v>
      </c>
      <c r="F538" s="1" t="s">
        <v>58</v>
      </c>
      <c r="G538" s="5" t="str">
        <f>IFERROR(__xludf.DUMMYFUNCTION("""COMPUTED_VALUE"""),"135🤙🏼Baahubali 2: The Conclusion🤙🏼Prabhas🤙🏼Estrela 1")</f>
        <v>135🤙🏼Baahubali 2: The Conclusion🤙🏼Prabhas🤙🏼Estrela 1</v>
      </c>
      <c r="H538" s="5">
        <f>IFERROR(__xludf.DUMMYFUNCTION("SPLiT(G538, ""🤙🏼"",FALSE,FALSE)"),135.0)</f>
        <v>135</v>
      </c>
      <c r="I538" s="5" t="str">
        <f>IFERROR(__xludf.DUMMYFUNCTION("""COMPUTED_VALUE"""),"Baahubali 2: The Conclusion")</f>
        <v>Baahubali 2: The Conclusion</v>
      </c>
      <c r="J538" s="5" t="str">
        <f>IFERROR(__xludf.DUMMYFUNCTION("""COMPUTED_VALUE"""),"Prabhas")</f>
        <v>Prabhas</v>
      </c>
      <c r="K538" s="5" t="str">
        <f>IFERROR(__xludf.DUMMYFUNCTION("""COMPUTED_VALUE"""),"Estrela 1")</f>
        <v>Estrela 1</v>
      </c>
      <c r="P538" s="5">
        <f>IFERROR(__xludf.DUMMYFUNCTION("""COMPUTED_VALUE"""),135.0)</f>
        <v>135</v>
      </c>
      <c r="Q538" s="5" t="str">
        <f>IFERROR(__xludf.DUMMYFUNCTION("""COMPUTED_VALUE"""),"Baahubali 2: The Conclusion")</f>
        <v>Baahubali 2: The Conclusion</v>
      </c>
      <c r="R538" s="5" t="str">
        <f>IFERROR(__xludf.DUMMYFUNCTION("""COMPUTED_VALUE"""),"Prabhas")</f>
        <v>Prabhas</v>
      </c>
      <c r="S538" s="5" t="str">
        <f>IFERROR(__xludf.DUMMYFUNCTION("""COMPUTED_VALUE"""),"Estrela 1")</f>
        <v>Estrela 1</v>
      </c>
    </row>
    <row r="539">
      <c r="A539" s="1">
        <v>538.0</v>
      </c>
      <c r="B539" s="1" t="s">
        <v>3335</v>
      </c>
      <c r="C539" s="1" t="s">
        <v>3337</v>
      </c>
      <c r="D539" s="1" t="s">
        <v>3338</v>
      </c>
      <c r="E539" s="1" t="s">
        <v>3339</v>
      </c>
      <c r="F539" s="1" t="s">
        <v>3340</v>
      </c>
      <c r="G539" s="5" t="str">
        <f>IFERROR(__xludf.DUMMYFUNCTION("""COMPUTED_VALUE"""),"135🤙🏼Baahubali 2: The Conclusion🤙🏼Rana Daggubati🤙🏼Estrela 2")</f>
        <v>135🤙🏼Baahubali 2: The Conclusion🤙🏼Rana Daggubati🤙🏼Estrela 2</v>
      </c>
      <c r="H539" s="5">
        <f>IFERROR(__xludf.DUMMYFUNCTION("SPLiT(G539, ""🤙🏼"",FALSE,FALSE)"),135.0)</f>
        <v>135</v>
      </c>
      <c r="I539" s="5" t="str">
        <f>IFERROR(__xludf.DUMMYFUNCTION("""COMPUTED_VALUE"""),"Baahubali 2: The Conclusion")</f>
        <v>Baahubali 2: The Conclusion</v>
      </c>
      <c r="J539" s="5" t="str">
        <f>IFERROR(__xludf.DUMMYFUNCTION("""COMPUTED_VALUE"""),"Rana Daggubati")</f>
        <v>Rana Daggubati</v>
      </c>
      <c r="K539" s="5" t="str">
        <f>IFERROR(__xludf.DUMMYFUNCTION("""COMPUTED_VALUE"""),"Estrela 2")</f>
        <v>Estrela 2</v>
      </c>
      <c r="P539" s="5">
        <f>IFERROR(__xludf.DUMMYFUNCTION("""COMPUTED_VALUE"""),135.0)</f>
        <v>135</v>
      </c>
      <c r="Q539" s="5" t="str">
        <f>IFERROR(__xludf.DUMMYFUNCTION("""COMPUTED_VALUE"""),"Baahubali 2: The Conclusion")</f>
        <v>Baahubali 2: The Conclusion</v>
      </c>
      <c r="R539" s="5" t="str">
        <f>IFERROR(__xludf.DUMMYFUNCTION("""COMPUTED_VALUE"""),"Rana Daggubati")</f>
        <v>Rana Daggubati</v>
      </c>
      <c r="S539" s="5" t="str">
        <f>IFERROR(__xludf.DUMMYFUNCTION("""COMPUTED_VALUE"""),"Estrela 2")</f>
        <v>Estrela 2</v>
      </c>
    </row>
    <row r="540">
      <c r="A540" s="1">
        <v>539.0</v>
      </c>
      <c r="B540" s="1" t="s">
        <v>3341</v>
      </c>
      <c r="C540" s="1" t="s">
        <v>3343</v>
      </c>
      <c r="D540" s="1" t="s">
        <v>3344</v>
      </c>
      <c r="E540" s="1" t="s">
        <v>3345</v>
      </c>
      <c r="F540" s="1" t="s">
        <v>3346</v>
      </c>
      <c r="G540" s="5" t="str">
        <f>IFERROR(__xludf.DUMMYFUNCTION("""COMPUTED_VALUE"""),"135🤙🏼Baahubali 2: The Conclusion🤙🏼Anushka Shetty🤙🏼Estrela 3")</f>
        <v>135🤙🏼Baahubali 2: The Conclusion🤙🏼Anushka Shetty🤙🏼Estrela 3</v>
      </c>
      <c r="H540" s="5">
        <f>IFERROR(__xludf.DUMMYFUNCTION("SPLiT(G540, ""🤙🏼"",FALSE,FALSE)"),135.0)</f>
        <v>135</v>
      </c>
      <c r="I540" s="5" t="str">
        <f>IFERROR(__xludf.DUMMYFUNCTION("""COMPUTED_VALUE"""),"Baahubali 2: The Conclusion")</f>
        <v>Baahubali 2: The Conclusion</v>
      </c>
      <c r="J540" s="5" t="str">
        <f>IFERROR(__xludf.DUMMYFUNCTION("""COMPUTED_VALUE"""),"Anushka Shetty")</f>
        <v>Anushka Shetty</v>
      </c>
      <c r="K540" s="5" t="str">
        <f>IFERROR(__xludf.DUMMYFUNCTION("""COMPUTED_VALUE"""),"Estrela 3")</f>
        <v>Estrela 3</v>
      </c>
      <c r="P540" s="5">
        <f>IFERROR(__xludf.DUMMYFUNCTION("""COMPUTED_VALUE"""),135.0)</f>
        <v>135</v>
      </c>
      <c r="Q540" s="5" t="str">
        <f>IFERROR(__xludf.DUMMYFUNCTION("""COMPUTED_VALUE"""),"Baahubali 2: The Conclusion")</f>
        <v>Baahubali 2: The Conclusion</v>
      </c>
      <c r="R540" s="5" t="str">
        <f>IFERROR(__xludf.DUMMYFUNCTION("""COMPUTED_VALUE"""),"Anushka Shetty")</f>
        <v>Anushka Shetty</v>
      </c>
      <c r="S540" s="5" t="str">
        <f>IFERROR(__xludf.DUMMYFUNCTION("""COMPUTED_VALUE"""),"Estrela 3")</f>
        <v>Estrela 3</v>
      </c>
    </row>
    <row r="541">
      <c r="A541" s="1">
        <v>540.0</v>
      </c>
      <c r="B541" s="1" t="s">
        <v>3347</v>
      </c>
      <c r="C541" s="1" t="s">
        <v>3349</v>
      </c>
      <c r="D541" s="1" t="s">
        <v>3350</v>
      </c>
      <c r="E541" s="1" t="s">
        <v>3351</v>
      </c>
      <c r="F541" s="1" t="s">
        <v>3352</v>
      </c>
      <c r="G541" s="5" t="str">
        <f>IFERROR(__xludf.DUMMYFUNCTION("""COMPUTED_VALUE"""),"135🤙🏼Baahubali 2: The Conclusion🤙🏼Tamannaah Bhatia🤙🏼Estrela 4")</f>
        <v>135🤙🏼Baahubali 2: The Conclusion🤙🏼Tamannaah Bhatia🤙🏼Estrela 4</v>
      </c>
      <c r="H541" s="5">
        <f>IFERROR(__xludf.DUMMYFUNCTION("SPLiT(G541, ""🤙🏼"",FALSE,FALSE)"),135.0)</f>
        <v>135</v>
      </c>
      <c r="I541" s="5" t="str">
        <f>IFERROR(__xludf.DUMMYFUNCTION("""COMPUTED_VALUE"""),"Baahubali 2: The Conclusion")</f>
        <v>Baahubali 2: The Conclusion</v>
      </c>
      <c r="J541" s="5" t="str">
        <f>IFERROR(__xludf.DUMMYFUNCTION("""COMPUTED_VALUE"""),"Tamannaah Bhatia")</f>
        <v>Tamannaah Bhatia</v>
      </c>
      <c r="K541" s="5" t="str">
        <f>IFERROR(__xludf.DUMMYFUNCTION("""COMPUTED_VALUE"""),"Estrela 4")</f>
        <v>Estrela 4</v>
      </c>
      <c r="P541" s="5">
        <f>IFERROR(__xludf.DUMMYFUNCTION("""COMPUTED_VALUE"""),135.0)</f>
        <v>135</v>
      </c>
      <c r="Q541" s="5" t="str">
        <f>IFERROR(__xludf.DUMMYFUNCTION("""COMPUTED_VALUE"""),"Baahubali 2: The Conclusion")</f>
        <v>Baahubali 2: The Conclusion</v>
      </c>
      <c r="R541" s="5" t="str">
        <f>IFERROR(__xludf.DUMMYFUNCTION("""COMPUTED_VALUE"""),"Tamannaah Bhatia")</f>
        <v>Tamannaah Bhatia</v>
      </c>
      <c r="S541" s="5" t="str">
        <f>IFERROR(__xludf.DUMMYFUNCTION("""COMPUTED_VALUE"""),"Estrela 4")</f>
        <v>Estrela 4</v>
      </c>
    </row>
    <row r="542">
      <c r="A542" s="1">
        <v>541.0</v>
      </c>
      <c r="B542" s="1" t="s">
        <v>3353</v>
      </c>
      <c r="C542" s="1" t="s">
        <v>1860</v>
      </c>
      <c r="D542" s="1" t="s">
        <v>3356</v>
      </c>
      <c r="E542" s="1" t="s">
        <v>3357</v>
      </c>
      <c r="F542" s="1" t="s">
        <v>3358</v>
      </c>
      <c r="G542" s="5" t="str">
        <f>IFERROR(__xludf.DUMMYFUNCTION("""COMPUTED_VALUE"""),"136🤙🏼Klaus🤙🏼Carlos Martínez López🤙🏼Estrela 1")</f>
        <v>136🤙🏼Klaus🤙🏼Carlos Martínez López🤙🏼Estrela 1</v>
      </c>
      <c r="H542" s="5">
        <f>IFERROR(__xludf.DUMMYFUNCTION("SPLiT(G542, ""🤙🏼"",FALSE,FALSE)"),136.0)</f>
        <v>136</v>
      </c>
      <c r="I542" s="5" t="str">
        <f>IFERROR(__xludf.DUMMYFUNCTION("""COMPUTED_VALUE"""),"Klaus")</f>
        <v>Klaus</v>
      </c>
      <c r="J542" s="5" t="str">
        <f>IFERROR(__xludf.DUMMYFUNCTION("""COMPUTED_VALUE"""),"Carlos Martínez López")</f>
        <v>Carlos Martínez López</v>
      </c>
      <c r="K542" s="5" t="str">
        <f>IFERROR(__xludf.DUMMYFUNCTION("""COMPUTED_VALUE"""),"Estrela 1")</f>
        <v>Estrela 1</v>
      </c>
      <c r="P542" s="5">
        <f>IFERROR(__xludf.DUMMYFUNCTION("""COMPUTED_VALUE"""),136.0)</f>
        <v>136</v>
      </c>
      <c r="Q542" s="5" t="str">
        <f>IFERROR(__xludf.DUMMYFUNCTION("""COMPUTED_VALUE"""),"Klaus")</f>
        <v>Klaus</v>
      </c>
      <c r="R542" s="5" t="str">
        <f>IFERROR(__xludf.DUMMYFUNCTION("""COMPUTED_VALUE"""),"Carlos Martínez López")</f>
        <v>Carlos Martínez López</v>
      </c>
      <c r="S542" s="5" t="str">
        <f>IFERROR(__xludf.DUMMYFUNCTION("""COMPUTED_VALUE"""),"Estrela 1")</f>
        <v>Estrela 1</v>
      </c>
    </row>
    <row r="543">
      <c r="A543" s="1">
        <v>542.0</v>
      </c>
      <c r="B543" s="1" t="s">
        <v>3359</v>
      </c>
      <c r="C543" s="1" t="s">
        <v>2730</v>
      </c>
      <c r="D543" s="1" t="s">
        <v>3361</v>
      </c>
      <c r="E543" s="1" t="s">
        <v>3362</v>
      </c>
      <c r="F543" s="1" t="s">
        <v>3363</v>
      </c>
      <c r="G543" s="5" t="str">
        <f>IFERROR(__xludf.DUMMYFUNCTION("""COMPUTED_VALUE"""),"136🤙🏼Klaus🤙🏼Jason Schwartzman🤙🏼Estrela 2")</f>
        <v>136🤙🏼Klaus🤙🏼Jason Schwartzman🤙🏼Estrela 2</v>
      </c>
      <c r="H543" s="5">
        <f>IFERROR(__xludf.DUMMYFUNCTION("SPLiT(G543, ""🤙🏼"",FALSE,FALSE)"),136.0)</f>
        <v>136</v>
      </c>
      <c r="I543" s="5" t="str">
        <f>IFERROR(__xludf.DUMMYFUNCTION("""COMPUTED_VALUE"""),"Klaus")</f>
        <v>Klaus</v>
      </c>
      <c r="J543" s="5" t="str">
        <f>IFERROR(__xludf.DUMMYFUNCTION("""COMPUTED_VALUE"""),"Jason Schwartzman")</f>
        <v>Jason Schwartzman</v>
      </c>
      <c r="K543" s="5" t="str">
        <f>IFERROR(__xludf.DUMMYFUNCTION("""COMPUTED_VALUE"""),"Estrela 2")</f>
        <v>Estrela 2</v>
      </c>
      <c r="P543" s="5">
        <f>IFERROR(__xludf.DUMMYFUNCTION("""COMPUTED_VALUE"""),136.0)</f>
        <v>136</v>
      </c>
      <c r="Q543" s="5" t="str">
        <f>IFERROR(__xludf.DUMMYFUNCTION("""COMPUTED_VALUE"""),"Klaus")</f>
        <v>Klaus</v>
      </c>
      <c r="R543" s="5" t="str">
        <f>IFERROR(__xludf.DUMMYFUNCTION("""COMPUTED_VALUE"""),"Jason Schwartzman")</f>
        <v>Jason Schwartzman</v>
      </c>
      <c r="S543" s="5" t="str">
        <f>IFERROR(__xludf.DUMMYFUNCTION("""COMPUTED_VALUE"""),"Estrela 2")</f>
        <v>Estrela 2</v>
      </c>
    </row>
    <row r="544">
      <c r="A544" s="1">
        <v>543.0</v>
      </c>
      <c r="B544" s="1" t="s">
        <v>3364</v>
      </c>
      <c r="C544" s="1" t="s">
        <v>605</v>
      </c>
      <c r="D544" s="1" t="s">
        <v>2037</v>
      </c>
      <c r="E544" s="1" t="s">
        <v>3367</v>
      </c>
      <c r="F544" s="1" t="s">
        <v>3368</v>
      </c>
      <c r="G544" s="5" t="str">
        <f>IFERROR(__xludf.DUMMYFUNCTION("""COMPUTED_VALUE"""),"136🤙🏼Klaus🤙🏼J.K. Simmons🤙🏼Estrela 3")</f>
        <v>136🤙🏼Klaus🤙🏼J.K. Simmons🤙🏼Estrela 3</v>
      </c>
      <c r="H544" s="5">
        <f>IFERROR(__xludf.DUMMYFUNCTION("SPLiT(G544, ""🤙🏼"",FALSE,FALSE)"),136.0)</f>
        <v>136</v>
      </c>
      <c r="I544" s="5" t="str">
        <f>IFERROR(__xludf.DUMMYFUNCTION("""COMPUTED_VALUE"""),"Klaus")</f>
        <v>Klaus</v>
      </c>
      <c r="J544" s="5" t="str">
        <f>IFERROR(__xludf.DUMMYFUNCTION("""COMPUTED_VALUE"""),"J.K. Simmons")</f>
        <v>J.K. Simmons</v>
      </c>
      <c r="K544" s="5" t="str">
        <f>IFERROR(__xludf.DUMMYFUNCTION("""COMPUTED_VALUE"""),"Estrela 3")</f>
        <v>Estrela 3</v>
      </c>
      <c r="P544" s="5">
        <f>IFERROR(__xludf.DUMMYFUNCTION("""COMPUTED_VALUE"""),136.0)</f>
        <v>136</v>
      </c>
      <c r="Q544" s="5" t="str">
        <f>IFERROR(__xludf.DUMMYFUNCTION("""COMPUTED_VALUE"""),"Klaus")</f>
        <v>Klaus</v>
      </c>
      <c r="R544" s="5" t="str">
        <f>IFERROR(__xludf.DUMMYFUNCTION("""COMPUTED_VALUE"""),"J.K. Simmons")</f>
        <v>J.K. Simmons</v>
      </c>
      <c r="S544" s="5" t="str">
        <f>IFERROR(__xludf.DUMMYFUNCTION("""COMPUTED_VALUE"""),"Estrela 3")</f>
        <v>Estrela 3</v>
      </c>
    </row>
    <row r="545">
      <c r="A545" s="1">
        <v>544.0</v>
      </c>
      <c r="B545" s="1" t="s">
        <v>3369</v>
      </c>
      <c r="C545" s="1" t="s">
        <v>630</v>
      </c>
      <c r="D545" s="1" t="s">
        <v>3373</v>
      </c>
      <c r="E545" s="1" t="s">
        <v>3374</v>
      </c>
      <c r="F545" s="1" t="s">
        <v>2057</v>
      </c>
      <c r="G545" s="5" t="str">
        <f>IFERROR(__xludf.DUMMYFUNCTION("""COMPUTED_VALUE"""),"136🤙🏼Klaus🤙🏼Rashida Jones🤙🏼Estrela 4")</f>
        <v>136🤙🏼Klaus🤙🏼Rashida Jones🤙🏼Estrela 4</v>
      </c>
      <c r="H545" s="5">
        <f>IFERROR(__xludf.DUMMYFUNCTION("SPLiT(G545, ""🤙🏼"",FALSE,FALSE)"),136.0)</f>
        <v>136</v>
      </c>
      <c r="I545" s="5" t="str">
        <f>IFERROR(__xludf.DUMMYFUNCTION("""COMPUTED_VALUE"""),"Klaus")</f>
        <v>Klaus</v>
      </c>
      <c r="J545" s="5" t="str">
        <f>IFERROR(__xludf.DUMMYFUNCTION("""COMPUTED_VALUE"""),"Rashida Jones")</f>
        <v>Rashida Jones</v>
      </c>
      <c r="K545" s="5" t="str">
        <f>IFERROR(__xludf.DUMMYFUNCTION("""COMPUTED_VALUE"""),"Estrela 4")</f>
        <v>Estrela 4</v>
      </c>
      <c r="P545" s="5">
        <f>IFERROR(__xludf.DUMMYFUNCTION("""COMPUTED_VALUE"""),136.0)</f>
        <v>136</v>
      </c>
      <c r="Q545" s="5" t="str">
        <f>IFERROR(__xludf.DUMMYFUNCTION("""COMPUTED_VALUE"""),"Klaus")</f>
        <v>Klaus</v>
      </c>
      <c r="R545" s="5" t="str">
        <f>IFERROR(__xludf.DUMMYFUNCTION("""COMPUTED_VALUE"""),"Rashida Jones")</f>
        <v>Rashida Jones</v>
      </c>
      <c r="S545" s="5" t="str">
        <f>IFERROR(__xludf.DUMMYFUNCTION("""COMPUTED_VALUE"""),"Estrela 4")</f>
        <v>Estrela 4</v>
      </c>
    </row>
    <row r="546">
      <c r="A546" s="1">
        <v>545.0</v>
      </c>
      <c r="B546" s="1" t="s">
        <v>3375</v>
      </c>
      <c r="C546" s="1" t="s">
        <v>3378</v>
      </c>
      <c r="D546" s="1" t="s">
        <v>3379</v>
      </c>
      <c r="E546" s="1" t="s">
        <v>3380</v>
      </c>
      <c r="F546" s="1" t="s">
        <v>3381</v>
      </c>
      <c r="G546" s="5" t="str">
        <f>IFERROR(__xludf.DUMMYFUNCTION("""COMPUTED_VALUE"""),"137🤙🏼Drishyam🤙🏼Ajay Devgn🤙🏼Estrela 1")</f>
        <v>137🤙🏼Drishyam🤙🏼Ajay Devgn🤙🏼Estrela 1</v>
      </c>
      <c r="H546" s="5">
        <f>IFERROR(__xludf.DUMMYFUNCTION("SPLiT(G546, ""🤙🏼"",FALSE,FALSE)"),137.0)</f>
        <v>137</v>
      </c>
      <c r="I546" s="5" t="str">
        <f>IFERROR(__xludf.DUMMYFUNCTION("""COMPUTED_VALUE"""),"Drishyam")</f>
        <v>Drishyam</v>
      </c>
      <c r="J546" s="5" t="str">
        <f>IFERROR(__xludf.DUMMYFUNCTION("""COMPUTED_VALUE"""),"Ajay Devgn")</f>
        <v>Ajay Devgn</v>
      </c>
      <c r="K546" s="5" t="str">
        <f>IFERROR(__xludf.DUMMYFUNCTION("""COMPUTED_VALUE"""),"Estrela 1")</f>
        <v>Estrela 1</v>
      </c>
      <c r="P546" s="5">
        <f>IFERROR(__xludf.DUMMYFUNCTION("""COMPUTED_VALUE"""),137.0)</f>
        <v>137</v>
      </c>
      <c r="Q546" s="5" t="str">
        <f>IFERROR(__xludf.DUMMYFUNCTION("""COMPUTED_VALUE"""),"Drishyam")</f>
        <v>Drishyam</v>
      </c>
      <c r="R546" s="5" t="str">
        <f>IFERROR(__xludf.DUMMYFUNCTION("""COMPUTED_VALUE"""),"Ajay Devgn")</f>
        <v>Ajay Devgn</v>
      </c>
      <c r="S546" s="5" t="str">
        <f>IFERROR(__xludf.DUMMYFUNCTION("""COMPUTED_VALUE"""),"Estrela 1")</f>
        <v>Estrela 1</v>
      </c>
    </row>
    <row r="547">
      <c r="A547" s="1">
        <v>546.0</v>
      </c>
      <c r="B547" s="1" t="s">
        <v>3382</v>
      </c>
      <c r="C547" s="1" t="s">
        <v>861</v>
      </c>
      <c r="D547" s="1" t="s">
        <v>3385</v>
      </c>
      <c r="E547" s="1" t="s">
        <v>245</v>
      </c>
      <c r="F547" s="1" t="s">
        <v>3386</v>
      </c>
      <c r="G547" s="5" t="str">
        <f>IFERROR(__xludf.DUMMYFUNCTION("""COMPUTED_VALUE"""),"137🤙🏼Drishyam🤙🏼Shriya Saran🤙🏼Estrela 2")</f>
        <v>137🤙🏼Drishyam🤙🏼Shriya Saran🤙🏼Estrela 2</v>
      </c>
      <c r="H547" s="5">
        <f>IFERROR(__xludf.DUMMYFUNCTION("SPLiT(G547, ""🤙🏼"",FALSE,FALSE)"),137.0)</f>
        <v>137</v>
      </c>
      <c r="I547" s="5" t="str">
        <f>IFERROR(__xludf.DUMMYFUNCTION("""COMPUTED_VALUE"""),"Drishyam")</f>
        <v>Drishyam</v>
      </c>
      <c r="J547" s="5" t="str">
        <f>IFERROR(__xludf.DUMMYFUNCTION("""COMPUTED_VALUE"""),"Shriya Saran")</f>
        <v>Shriya Saran</v>
      </c>
      <c r="K547" s="5" t="str">
        <f>IFERROR(__xludf.DUMMYFUNCTION("""COMPUTED_VALUE"""),"Estrela 2")</f>
        <v>Estrela 2</v>
      </c>
      <c r="P547" s="5">
        <f>IFERROR(__xludf.DUMMYFUNCTION("""COMPUTED_VALUE"""),137.0)</f>
        <v>137</v>
      </c>
      <c r="Q547" s="5" t="str">
        <f>IFERROR(__xludf.DUMMYFUNCTION("""COMPUTED_VALUE"""),"Drishyam")</f>
        <v>Drishyam</v>
      </c>
      <c r="R547" s="5" t="str">
        <f>IFERROR(__xludf.DUMMYFUNCTION("""COMPUTED_VALUE"""),"Shriya Saran")</f>
        <v>Shriya Saran</v>
      </c>
      <c r="S547" s="5" t="str">
        <f>IFERROR(__xludf.DUMMYFUNCTION("""COMPUTED_VALUE"""),"Estrela 2")</f>
        <v>Estrela 2</v>
      </c>
    </row>
    <row r="548">
      <c r="A548" s="1">
        <v>547.0</v>
      </c>
      <c r="B548" s="1" t="s">
        <v>3387</v>
      </c>
      <c r="C548" s="1" t="s">
        <v>3389</v>
      </c>
      <c r="D548" s="1" t="s">
        <v>2038</v>
      </c>
      <c r="E548" s="1" t="s">
        <v>3390</v>
      </c>
      <c r="F548" s="1" t="s">
        <v>3391</v>
      </c>
      <c r="G548" s="5" t="str">
        <f>IFERROR(__xludf.DUMMYFUNCTION("""COMPUTED_VALUE"""),"137🤙🏼Drishyam🤙🏼Tabu🤙🏼Estrela 3")</f>
        <v>137🤙🏼Drishyam🤙🏼Tabu🤙🏼Estrela 3</v>
      </c>
      <c r="H548" s="5">
        <f>IFERROR(__xludf.DUMMYFUNCTION("SPLiT(G548, ""🤙🏼"",FALSE,FALSE)"),137.0)</f>
        <v>137</v>
      </c>
      <c r="I548" s="5" t="str">
        <f>IFERROR(__xludf.DUMMYFUNCTION("""COMPUTED_VALUE"""),"Drishyam")</f>
        <v>Drishyam</v>
      </c>
      <c r="J548" s="5" t="str">
        <f>IFERROR(__xludf.DUMMYFUNCTION("""COMPUTED_VALUE"""),"Tabu")</f>
        <v>Tabu</v>
      </c>
      <c r="K548" s="5" t="str">
        <f>IFERROR(__xludf.DUMMYFUNCTION("""COMPUTED_VALUE"""),"Estrela 3")</f>
        <v>Estrela 3</v>
      </c>
      <c r="P548" s="5">
        <f>IFERROR(__xludf.DUMMYFUNCTION("""COMPUTED_VALUE"""),137.0)</f>
        <v>137</v>
      </c>
      <c r="Q548" s="5" t="str">
        <f>IFERROR(__xludf.DUMMYFUNCTION("""COMPUTED_VALUE"""),"Drishyam")</f>
        <v>Drishyam</v>
      </c>
      <c r="R548" s="5" t="str">
        <f>IFERROR(__xludf.DUMMYFUNCTION("""COMPUTED_VALUE"""),"Tabu")</f>
        <v>Tabu</v>
      </c>
      <c r="S548" s="5" t="str">
        <f>IFERROR(__xludf.DUMMYFUNCTION("""COMPUTED_VALUE"""),"Estrela 3")</f>
        <v>Estrela 3</v>
      </c>
    </row>
    <row r="549">
      <c r="A549" s="1">
        <v>548.0</v>
      </c>
      <c r="B549" s="1" t="s">
        <v>3392</v>
      </c>
      <c r="C549" s="1" t="s">
        <v>873</v>
      </c>
      <c r="D549" s="1" t="s">
        <v>2839</v>
      </c>
      <c r="E549" s="1" t="s">
        <v>2596</v>
      </c>
      <c r="F549" s="1" t="s">
        <v>3395</v>
      </c>
      <c r="G549" s="5" t="str">
        <f>IFERROR(__xludf.DUMMYFUNCTION("""COMPUTED_VALUE"""),"137🤙🏼Drishyam🤙🏼Rajat Kapoor🤙🏼Estrela 4")</f>
        <v>137🤙🏼Drishyam🤙🏼Rajat Kapoor🤙🏼Estrela 4</v>
      </c>
      <c r="H549" s="5">
        <f>IFERROR(__xludf.DUMMYFUNCTION("SPLiT(G549, ""🤙🏼"",FALSE,FALSE)"),137.0)</f>
        <v>137</v>
      </c>
      <c r="I549" s="5" t="str">
        <f>IFERROR(__xludf.DUMMYFUNCTION("""COMPUTED_VALUE"""),"Drishyam")</f>
        <v>Drishyam</v>
      </c>
      <c r="J549" s="5" t="str">
        <f>IFERROR(__xludf.DUMMYFUNCTION("""COMPUTED_VALUE"""),"Rajat Kapoor")</f>
        <v>Rajat Kapoor</v>
      </c>
      <c r="K549" s="5" t="str">
        <f>IFERROR(__xludf.DUMMYFUNCTION("""COMPUTED_VALUE"""),"Estrela 4")</f>
        <v>Estrela 4</v>
      </c>
      <c r="P549" s="5">
        <f>IFERROR(__xludf.DUMMYFUNCTION("""COMPUTED_VALUE"""),137.0)</f>
        <v>137</v>
      </c>
      <c r="Q549" s="5" t="str">
        <f>IFERROR(__xludf.DUMMYFUNCTION("""COMPUTED_VALUE"""),"Drishyam")</f>
        <v>Drishyam</v>
      </c>
      <c r="R549" s="5" t="str">
        <f>IFERROR(__xludf.DUMMYFUNCTION("""COMPUTED_VALUE"""),"Rajat Kapoor")</f>
        <v>Rajat Kapoor</v>
      </c>
      <c r="S549" s="5" t="str">
        <f>IFERROR(__xludf.DUMMYFUNCTION("""COMPUTED_VALUE"""),"Estrela 4")</f>
        <v>Estrela 4</v>
      </c>
    </row>
    <row r="550">
      <c r="A550" s="1">
        <v>549.0</v>
      </c>
      <c r="B550" s="1" t="s">
        <v>3396</v>
      </c>
      <c r="C550" s="1" t="s">
        <v>3399</v>
      </c>
      <c r="D550" s="1" t="s">
        <v>3400</v>
      </c>
      <c r="E550" s="1" t="s">
        <v>401</v>
      </c>
      <c r="F550" s="1" t="s">
        <v>3401</v>
      </c>
      <c r="G550" s="5" t="str">
        <f>IFERROR(__xludf.DUMMYFUNCTION("""COMPUTED_VALUE"""),"138🤙🏼Queen🤙🏼Kangana Ranaut🤙🏼Estrela 1")</f>
        <v>138🤙🏼Queen🤙🏼Kangana Ranaut🤙🏼Estrela 1</v>
      </c>
      <c r="H550" s="5">
        <f>IFERROR(__xludf.DUMMYFUNCTION("SPLiT(G550, ""🤙🏼"",FALSE,FALSE)"),138.0)</f>
        <v>138</v>
      </c>
      <c r="I550" s="5" t="str">
        <f>IFERROR(__xludf.DUMMYFUNCTION("""COMPUTED_VALUE"""),"Queen")</f>
        <v>Queen</v>
      </c>
      <c r="J550" s="5" t="str">
        <f>IFERROR(__xludf.DUMMYFUNCTION("""COMPUTED_VALUE"""),"Kangana Ranaut")</f>
        <v>Kangana Ranaut</v>
      </c>
      <c r="K550" s="5" t="str">
        <f>IFERROR(__xludf.DUMMYFUNCTION("""COMPUTED_VALUE"""),"Estrela 1")</f>
        <v>Estrela 1</v>
      </c>
      <c r="P550" s="5">
        <f>IFERROR(__xludf.DUMMYFUNCTION("""COMPUTED_VALUE"""),138.0)</f>
        <v>138</v>
      </c>
      <c r="Q550" s="5" t="str">
        <f>IFERROR(__xludf.DUMMYFUNCTION("""COMPUTED_VALUE"""),"Queen")</f>
        <v>Queen</v>
      </c>
      <c r="R550" s="5" t="str">
        <f>IFERROR(__xludf.DUMMYFUNCTION("""COMPUTED_VALUE"""),"Kangana Ranaut")</f>
        <v>Kangana Ranaut</v>
      </c>
      <c r="S550" s="5" t="str">
        <f>IFERROR(__xludf.DUMMYFUNCTION("""COMPUTED_VALUE"""),"Estrela 1")</f>
        <v>Estrela 1</v>
      </c>
    </row>
    <row r="551">
      <c r="A551" s="1">
        <v>550.0</v>
      </c>
      <c r="B551" s="1" t="s">
        <v>3402</v>
      </c>
      <c r="C551" s="1" t="s">
        <v>617</v>
      </c>
      <c r="D551" s="1" t="s">
        <v>2081</v>
      </c>
      <c r="E551" s="1" t="s">
        <v>3404</v>
      </c>
      <c r="F551" s="1" t="s">
        <v>613</v>
      </c>
      <c r="G551" s="5" t="str">
        <f>IFERROR(__xludf.DUMMYFUNCTION("""COMPUTED_VALUE"""),"138🤙🏼Queen🤙🏼Rajkummar Rao🤙🏼Estrela 2")</f>
        <v>138🤙🏼Queen🤙🏼Rajkummar Rao🤙🏼Estrela 2</v>
      </c>
      <c r="H551" s="5">
        <f>IFERROR(__xludf.DUMMYFUNCTION("SPLiT(G551, ""🤙🏼"",FALSE,FALSE)"),138.0)</f>
        <v>138</v>
      </c>
      <c r="I551" s="5" t="str">
        <f>IFERROR(__xludf.DUMMYFUNCTION("""COMPUTED_VALUE"""),"Queen")</f>
        <v>Queen</v>
      </c>
      <c r="J551" s="5" t="str">
        <f>IFERROR(__xludf.DUMMYFUNCTION("""COMPUTED_VALUE"""),"Rajkummar Rao")</f>
        <v>Rajkummar Rao</v>
      </c>
      <c r="K551" s="5" t="str">
        <f>IFERROR(__xludf.DUMMYFUNCTION("""COMPUTED_VALUE"""),"Estrela 2")</f>
        <v>Estrela 2</v>
      </c>
      <c r="P551" s="5">
        <f>IFERROR(__xludf.DUMMYFUNCTION("""COMPUTED_VALUE"""),138.0)</f>
        <v>138</v>
      </c>
      <c r="Q551" s="5" t="str">
        <f>IFERROR(__xludf.DUMMYFUNCTION("""COMPUTED_VALUE"""),"Queen")</f>
        <v>Queen</v>
      </c>
      <c r="R551" s="5" t="str">
        <f>IFERROR(__xludf.DUMMYFUNCTION("""COMPUTED_VALUE"""),"Rajkummar Rao")</f>
        <v>Rajkummar Rao</v>
      </c>
      <c r="S551" s="5" t="str">
        <f>IFERROR(__xludf.DUMMYFUNCTION("""COMPUTED_VALUE"""),"Estrela 2")</f>
        <v>Estrela 2</v>
      </c>
    </row>
    <row r="552">
      <c r="A552" s="1">
        <v>551.0</v>
      </c>
      <c r="B552" s="1" t="s">
        <v>3405</v>
      </c>
      <c r="C552" s="1" t="s">
        <v>3408</v>
      </c>
      <c r="D552" s="1" t="s">
        <v>3409</v>
      </c>
      <c r="E552" s="1" t="s">
        <v>3410</v>
      </c>
      <c r="F552" s="1" t="s">
        <v>3411</v>
      </c>
      <c r="G552" s="5" t="str">
        <f>IFERROR(__xludf.DUMMYFUNCTION("""COMPUTED_VALUE"""),"138🤙🏼Queen🤙🏼Lisa Haydon🤙🏼Estrela 3")</f>
        <v>138🤙🏼Queen🤙🏼Lisa Haydon🤙🏼Estrela 3</v>
      </c>
      <c r="H552" s="5">
        <f>IFERROR(__xludf.DUMMYFUNCTION("SPLiT(G552, ""🤙🏼"",FALSE,FALSE)"),138.0)</f>
        <v>138</v>
      </c>
      <c r="I552" s="5" t="str">
        <f>IFERROR(__xludf.DUMMYFUNCTION("""COMPUTED_VALUE"""),"Queen")</f>
        <v>Queen</v>
      </c>
      <c r="J552" s="5" t="str">
        <f>IFERROR(__xludf.DUMMYFUNCTION("""COMPUTED_VALUE"""),"Lisa Haydon")</f>
        <v>Lisa Haydon</v>
      </c>
      <c r="K552" s="5" t="str">
        <f>IFERROR(__xludf.DUMMYFUNCTION("""COMPUTED_VALUE"""),"Estrela 3")</f>
        <v>Estrela 3</v>
      </c>
      <c r="P552" s="5">
        <f>IFERROR(__xludf.DUMMYFUNCTION("""COMPUTED_VALUE"""),138.0)</f>
        <v>138</v>
      </c>
      <c r="Q552" s="5" t="str">
        <f>IFERROR(__xludf.DUMMYFUNCTION("""COMPUTED_VALUE"""),"Queen")</f>
        <v>Queen</v>
      </c>
      <c r="R552" s="5" t="str">
        <f>IFERROR(__xludf.DUMMYFUNCTION("""COMPUTED_VALUE"""),"Lisa Haydon")</f>
        <v>Lisa Haydon</v>
      </c>
      <c r="S552" s="5" t="str">
        <f>IFERROR(__xludf.DUMMYFUNCTION("""COMPUTED_VALUE"""),"Estrela 3")</f>
        <v>Estrela 3</v>
      </c>
    </row>
    <row r="553">
      <c r="A553" s="1">
        <v>552.0</v>
      </c>
      <c r="B553" s="1" t="s">
        <v>3412</v>
      </c>
      <c r="C553" s="1" t="s">
        <v>3043</v>
      </c>
      <c r="D553" s="1" t="s">
        <v>3416</v>
      </c>
      <c r="E553" s="1" t="s">
        <v>3417</v>
      </c>
      <c r="F553" s="1" t="s">
        <v>3418</v>
      </c>
      <c r="G553" s="5" t="str">
        <f>IFERROR(__xludf.DUMMYFUNCTION("""COMPUTED_VALUE"""),"138🤙🏼Queen🤙🏼Jeffrey Ho🤙🏼Estrela 4")</f>
        <v>138🤙🏼Queen🤙🏼Jeffrey Ho🤙🏼Estrela 4</v>
      </c>
      <c r="H553" s="5">
        <f>IFERROR(__xludf.DUMMYFUNCTION("SPLiT(G553, ""🤙🏼"",FALSE,FALSE)"),138.0)</f>
        <v>138</v>
      </c>
      <c r="I553" s="5" t="str">
        <f>IFERROR(__xludf.DUMMYFUNCTION("""COMPUTED_VALUE"""),"Queen")</f>
        <v>Queen</v>
      </c>
      <c r="J553" s="5" t="str">
        <f>IFERROR(__xludf.DUMMYFUNCTION("""COMPUTED_VALUE"""),"Jeffrey Ho")</f>
        <v>Jeffrey Ho</v>
      </c>
      <c r="K553" s="5" t="str">
        <f>IFERROR(__xludf.DUMMYFUNCTION("""COMPUTED_VALUE"""),"Estrela 4")</f>
        <v>Estrela 4</v>
      </c>
      <c r="P553" s="5">
        <f>IFERROR(__xludf.DUMMYFUNCTION("""COMPUTED_VALUE"""),138.0)</f>
        <v>138</v>
      </c>
      <c r="Q553" s="5" t="str">
        <f>IFERROR(__xludf.DUMMYFUNCTION("""COMPUTED_VALUE"""),"Queen")</f>
        <v>Queen</v>
      </c>
      <c r="R553" s="5" t="str">
        <f>IFERROR(__xludf.DUMMYFUNCTION("""COMPUTED_VALUE"""),"Jeffrey Ho")</f>
        <v>Jeffrey Ho</v>
      </c>
      <c r="S553" s="5" t="str">
        <f>IFERROR(__xludf.DUMMYFUNCTION("""COMPUTED_VALUE"""),"Estrela 4")</f>
        <v>Estrela 4</v>
      </c>
    </row>
    <row r="554">
      <c r="A554" s="1">
        <v>553.0</v>
      </c>
      <c r="B554" s="1" t="s">
        <v>3419</v>
      </c>
      <c r="C554" s="1" t="s">
        <v>2013</v>
      </c>
      <c r="D554" s="1" t="s">
        <v>3423</v>
      </c>
      <c r="E554" s="1" t="s">
        <v>1340</v>
      </c>
      <c r="F554" s="1" t="s">
        <v>911</v>
      </c>
      <c r="G554" s="5" t="str">
        <f>IFERROR(__xludf.DUMMYFUNCTION("""COMPUTED_VALUE"""),"139🤙🏼Mandariinid🤙🏼Lembit Ulfsak🤙🏼Estrela 1")</f>
        <v>139🤙🏼Mandariinid🤙🏼Lembit Ulfsak🤙🏼Estrela 1</v>
      </c>
      <c r="H554" s="5">
        <f>IFERROR(__xludf.DUMMYFUNCTION("SPLiT(G554, ""🤙🏼"",FALSE,FALSE)"),139.0)</f>
        <v>139</v>
      </c>
      <c r="I554" s="5" t="str">
        <f>IFERROR(__xludf.DUMMYFUNCTION("""COMPUTED_VALUE"""),"Mandariinid")</f>
        <v>Mandariinid</v>
      </c>
      <c r="J554" s="5" t="str">
        <f>IFERROR(__xludf.DUMMYFUNCTION("""COMPUTED_VALUE"""),"Lembit Ulfsak")</f>
        <v>Lembit Ulfsak</v>
      </c>
      <c r="K554" s="5" t="str">
        <f>IFERROR(__xludf.DUMMYFUNCTION("""COMPUTED_VALUE"""),"Estrela 1")</f>
        <v>Estrela 1</v>
      </c>
      <c r="P554" s="5">
        <f>IFERROR(__xludf.DUMMYFUNCTION("""COMPUTED_VALUE"""),139.0)</f>
        <v>139</v>
      </c>
      <c r="Q554" s="5" t="str">
        <f>IFERROR(__xludf.DUMMYFUNCTION("""COMPUTED_VALUE"""),"Mandariinid")</f>
        <v>Mandariinid</v>
      </c>
      <c r="R554" s="5" t="str">
        <f>IFERROR(__xludf.DUMMYFUNCTION("""COMPUTED_VALUE"""),"Lembit Ulfsak")</f>
        <v>Lembit Ulfsak</v>
      </c>
      <c r="S554" s="5" t="str">
        <f>IFERROR(__xludf.DUMMYFUNCTION("""COMPUTED_VALUE"""),"Estrela 1")</f>
        <v>Estrela 1</v>
      </c>
    </row>
    <row r="555">
      <c r="A555" s="1">
        <v>554.0</v>
      </c>
      <c r="B555" s="1" t="s">
        <v>3424</v>
      </c>
      <c r="C555" s="1" t="s">
        <v>1985</v>
      </c>
      <c r="D555" s="1" t="s">
        <v>3426</v>
      </c>
      <c r="E555" s="1" t="s">
        <v>402</v>
      </c>
      <c r="F555" s="1" t="s">
        <v>3427</v>
      </c>
      <c r="G555" s="5" t="str">
        <f>IFERROR(__xludf.DUMMYFUNCTION("""COMPUTED_VALUE"""),"139🤙🏼Mandariinid🤙🏼Elmo Nüganen🤙🏼Estrela 2")</f>
        <v>139🤙🏼Mandariinid🤙🏼Elmo Nüganen🤙🏼Estrela 2</v>
      </c>
      <c r="H555" s="5">
        <f>IFERROR(__xludf.DUMMYFUNCTION("SPLiT(G555, ""🤙🏼"",FALSE,FALSE)"),139.0)</f>
        <v>139</v>
      </c>
      <c r="I555" s="5" t="str">
        <f>IFERROR(__xludf.DUMMYFUNCTION("""COMPUTED_VALUE"""),"Mandariinid")</f>
        <v>Mandariinid</v>
      </c>
      <c r="J555" s="5" t="str">
        <f>IFERROR(__xludf.DUMMYFUNCTION("""COMPUTED_VALUE"""),"Elmo Nüganen")</f>
        <v>Elmo Nüganen</v>
      </c>
      <c r="K555" s="5" t="str">
        <f>IFERROR(__xludf.DUMMYFUNCTION("""COMPUTED_VALUE"""),"Estrela 2")</f>
        <v>Estrela 2</v>
      </c>
      <c r="P555" s="5">
        <f>IFERROR(__xludf.DUMMYFUNCTION("""COMPUTED_VALUE"""),139.0)</f>
        <v>139</v>
      </c>
      <c r="Q555" s="5" t="str">
        <f>IFERROR(__xludf.DUMMYFUNCTION("""COMPUTED_VALUE"""),"Mandariinid")</f>
        <v>Mandariinid</v>
      </c>
      <c r="R555" s="5" t="str">
        <f>IFERROR(__xludf.DUMMYFUNCTION("""COMPUTED_VALUE"""),"Elmo Nüganen")</f>
        <v>Elmo Nüganen</v>
      </c>
      <c r="S555" s="5" t="str">
        <f>IFERROR(__xludf.DUMMYFUNCTION("""COMPUTED_VALUE"""),"Estrela 2")</f>
        <v>Estrela 2</v>
      </c>
    </row>
    <row r="556">
      <c r="A556" s="1">
        <v>555.0</v>
      </c>
      <c r="B556" s="1" t="s">
        <v>3428</v>
      </c>
      <c r="C556" s="1" t="s">
        <v>3430</v>
      </c>
      <c r="D556" s="1" t="s">
        <v>2888</v>
      </c>
      <c r="E556" s="1" t="s">
        <v>3431</v>
      </c>
      <c r="F556" s="1" t="s">
        <v>2805</v>
      </c>
      <c r="G556" s="5" t="str">
        <f>IFERROR(__xludf.DUMMYFUNCTION("""COMPUTED_VALUE"""),"139🤙🏼Mandariinid🤙🏼Giorgi Nakashidze🤙🏼Estrela 3")</f>
        <v>139🤙🏼Mandariinid🤙🏼Giorgi Nakashidze🤙🏼Estrela 3</v>
      </c>
      <c r="H556" s="5">
        <f>IFERROR(__xludf.DUMMYFUNCTION("SPLiT(G556, ""🤙🏼"",FALSE,FALSE)"),139.0)</f>
        <v>139</v>
      </c>
      <c r="I556" s="5" t="str">
        <f>IFERROR(__xludf.DUMMYFUNCTION("""COMPUTED_VALUE"""),"Mandariinid")</f>
        <v>Mandariinid</v>
      </c>
      <c r="J556" s="5" t="str">
        <f>IFERROR(__xludf.DUMMYFUNCTION("""COMPUTED_VALUE"""),"Giorgi Nakashidze")</f>
        <v>Giorgi Nakashidze</v>
      </c>
      <c r="K556" s="5" t="str">
        <f>IFERROR(__xludf.DUMMYFUNCTION("""COMPUTED_VALUE"""),"Estrela 3")</f>
        <v>Estrela 3</v>
      </c>
      <c r="P556" s="5">
        <f>IFERROR(__xludf.DUMMYFUNCTION("""COMPUTED_VALUE"""),139.0)</f>
        <v>139</v>
      </c>
      <c r="Q556" s="5" t="str">
        <f>IFERROR(__xludf.DUMMYFUNCTION("""COMPUTED_VALUE"""),"Mandariinid")</f>
        <v>Mandariinid</v>
      </c>
      <c r="R556" s="5" t="str">
        <f>IFERROR(__xludf.DUMMYFUNCTION("""COMPUTED_VALUE"""),"Giorgi Nakashidze")</f>
        <v>Giorgi Nakashidze</v>
      </c>
      <c r="S556" s="5" t="str">
        <f>IFERROR(__xludf.DUMMYFUNCTION("""COMPUTED_VALUE"""),"Estrela 3")</f>
        <v>Estrela 3</v>
      </c>
    </row>
    <row r="557">
      <c r="A557" s="1">
        <v>556.0</v>
      </c>
      <c r="B557" s="1" t="s">
        <v>3432</v>
      </c>
      <c r="C557" s="1" t="s">
        <v>3436</v>
      </c>
      <c r="D557" s="1" t="s">
        <v>623</v>
      </c>
      <c r="E557" s="1" t="s">
        <v>277</v>
      </c>
      <c r="F557" s="1" t="s">
        <v>3437</v>
      </c>
      <c r="G557" s="5" t="str">
        <f>IFERROR(__xludf.DUMMYFUNCTION("""COMPUTED_VALUE"""),"139🤙🏼Mandariinid🤙🏼Misha Meskhi🤙🏼Estrela 4")</f>
        <v>139🤙🏼Mandariinid🤙🏼Misha Meskhi🤙🏼Estrela 4</v>
      </c>
      <c r="H557" s="5">
        <f>IFERROR(__xludf.DUMMYFUNCTION("SPLiT(G557, ""🤙🏼"",FALSE,FALSE)"),139.0)</f>
        <v>139</v>
      </c>
      <c r="I557" s="5" t="str">
        <f>IFERROR(__xludf.DUMMYFUNCTION("""COMPUTED_VALUE"""),"Mandariinid")</f>
        <v>Mandariinid</v>
      </c>
      <c r="J557" s="5" t="str">
        <f>IFERROR(__xludf.DUMMYFUNCTION("""COMPUTED_VALUE"""),"Misha Meskhi")</f>
        <v>Misha Meskhi</v>
      </c>
      <c r="K557" s="5" t="str">
        <f>IFERROR(__xludf.DUMMYFUNCTION("""COMPUTED_VALUE"""),"Estrela 4")</f>
        <v>Estrela 4</v>
      </c>
      <c r="P557" s="5">
        <f>IFERROR(__xludf.DUMMYFUNCTION("""COMPUTED_VALUE"""),139.0)</f>
        <v>139</v>
      </c>
      <c r="Q557" s="5" t="str">
        <f>IFERROR(__xludf.DUMMYFUNCTION("""COMPUTED_VALUE"""),"Mandariinid")</f>
        <v>Mandariinid</v>
      </c>
      <c r="R557" s="5" t="str">
        <f>IFERROR(__xludf.DUMMYFUNCTION("""COMPUTED_VALUE"""),"Misha Meskhi")</f>
        <v>Misha Meskhi</v>
      </c>
      <c r="S557" s="5" t="str">
        <f>IFERROR(__xludf.DUMMYFUNCTION("""COMPUTED_VALUE"""),"Estrela 4")</f>
        <v>Estrela 4</v>
      </c>
    </row>
    <row r="558">
      <c r="A558" s="1">
        <v>557.0</v>
      </c>
      <c r="B558" s="1" t="s">
        <v>3438</v>
      </c>
      <c r="C558" s="1" t="s">
        <v>2861</v>
      </c>
      <c r="D558" s="1" t="s">
        <v>3441</v>
      </c>
      <c r="E558" s="1" t="s">
        <v>3442</v>
      </c>
      <c r="F558" s="1" t="s">
        <v>3443</v>
      </c>
      <c r="G558" s="5" t="str">
        <f>IFERROR(__xludf.DUMMYFUNCTION("""COMPUTED_VALUE"""),"140🤙🏼Bhaag Milkha Bhaag🤙🏼Farhan Akhtar🤙🏼Estrela 1")</f>
        <v>140🤙🏼Bhaag Milkha Bhaag🤙🏼Farhan Akhtar🤙🏼Estrela 1</v>
      </c>
      <c r="H558" s="5">
        <f>IFERROR(__xludf.DUMMYFUNCTION("SPLiT(G558, ""🤙🏼"",FALSE,FALSE)"),140.0)</f>
        <v>140</v>
      </c>
      <c r="I558" s="5" t="str">
        <f>IFERROR(__xludf.DUMMYFUNCTION("""COMPUTED_VALUE"""),"Bhaag Milkha Bhaag")</f>
        <v>Bhaag Milkha Bhaag</v>
      </c>
      <c r="J558" s="5" t="str">
        <f>IFERROR(__xludf.DUMMYFUNCTION("""COMPUTED_VALUE"""),"Farhan Akhtar")</f>
        <v>Farhan Akhtar</v>
      </c>
      <c r="K558" s="5" t="str">
        <f>IFERROR(__xludf.DUMMYFUNCTION("""COMPUTED_VALUE"""),"Estrela 1")</f>
        <v>Estrela 1</v>
      </c>
      <c r="P558" s="5">
        <f>IFERROR(__xludf.DUMMYFUNCTION("""COMPUTED_VALUE"""),140.0)</f>
        <v>140</v>
      </c>
      <c r="Q558" s="5" t="str">
        <f>IFERROR(__xludf.DUMMYFUNCTION("""COMPUTED_VALUE"""),"Bhaag Milkha Bhaag")</f>
        <v>Bhaag Milkha Bhaag</v>
      </c>
      <c r="R558" s="5" t="str">
        <f>IFERROR(__xludf.DUMMYFUNCTION("""COMPUTED_VALUE"""),"Farhan Akhtar")</f>
        <v>Farhan Akhtar</v>
      </c>
      <c r="S558" s="5" t="str">
        <f>IFERROR(__xludf.DUMMYFUNCTION("""COMPUTED_VALUE"""),"Estrela 1")</f>
        <v>Estrela 1</v>
      </c>
    </row>
    <row r="559">
      <c r="A559" s="1">
        <v>558.0</v>
      </c>
      <c r="B559" s="1" t="s">
        <v>3444</v>
      </c>
      <c r="C559" s="1" t="s">
        <v>274</v>
      </c>
      <c r="D559" s="1" t="s">
        <v>3447</v>
      </c>
      <c r="E559" s="1" t="s">
        <v>3448</v>
      </c>
      <c r="F559" s="1" t="s">
        <v>3449</v>
      </c>
      <c r="G559" s="5" t="str">
        <f>IFERROR(__xludf.DUMMYFUNCTION("""COMPUTED_VALUE"""),"140🤙🏼Bhaag Milkha Bhaag🤙🏼Sonam Kapoor🤙🏼Estrela 2")</f>
        <v>140🤙🏼Bhaag Milkha Bhaag🤙🏼Sonam Kapoor🤙🏼Estrela 2</v>
      </c>
      <c r="H559" s="5">
        <f>IFERROR(__xludf.DUMMYFUNCTION("SPLiT(G559, ""🤙🏼"",FALSE,FALSE)"),140.0)</f>
        <v>140</v>
      </c>
      <c r="I559" s="5" t="str">
        <f>IFERROR(__xludf.DUMMYFUNCTION("""COMPUTED_VALUE"""),"Bhaag Milkha Bhaag")</f>
        <v>Bhaag Milkha Bhaag</v>
      </c>
      <c r="J559" s="5" t="str">
        <f>IFERROR(__xludf.DUMMYFUNCTION("""COMPUTED_VALUE"""),"Sonam Kapoor")</f>
        <v>Sonam Kapoor</v>
      </c>
      <c r="K559" s="5" t="str">
        <f>IFERROR(__xludf.DUMMYFUNCTION("""COMPUTED_VALUE"""),"Estrela 2")</f>
        <v>Estrela 2</v>
      </c>
      <c r="P559" s="5">
        <f>IFERROR(__xludf.DUMMYFUNCTION("""COMPUTED_VALUE"""),140.0)</f>
        <v>140</v>
      </c>
      <c r="Q559" s="5" t="str">
        <f>IFERROR(__xludf.DUMMYFUNCTION("""COMPUTED_VALUE"""),"Bhaag Milkha Bhaag")</f>
        <v>Bhaag Milkha Bhaag</v>
      </c>
      <c r="R559" s="5" t="str">
        <f>IFERROR(__xludf.DUMMYFUNCTION("""COMPUTED_VALUE"""),"Sonam Kapoor")</f>
        <v>Sonam Kapoor</v>
      </c>
      <c r="S559" s="5" t="str">
        <f>IFERROR(__xludf.DUMMYFUNCTION("""COMPUTED_VALUE"""),"Estrela 2")</f>
        <v>Estrela 2</v>
      </c>
    </row>
    <row r="560">
      <c r="A560" s="1">
        <v>559.0</v>
      </c>
      <c r="B560" s="1" t="s">
        <v>3450</v>
      </c>
      <c r="C560" s="1" t="s">
        <v>3453</v>
      </c>
      <c r="D560" s="1" t="s">
        <v>3454</v>
      </c>
      <c r="E560" s="1" t="s">
        <v>3455</v>
      </c>
      <c r="F560" s="1" t="s">
        <v>3456</v>
      </c>
      <c r="G560" s="5" t="str">
        <f>IFERROR(__xludf.DUMMYFUNCTION("""COMPUTED_VALUE"""),"140🤙🏼Bhaag Milkha Bhaag🤙🏼Pawan Malhotra🤙🏼Estrela 3")</f>
        <v>140🤙🏼Bhaag Milkha Bhaag🤙🏼Pawan Malhotra🤙🏼Estrela 3</v>
      </c>
      <c r="H560" s="5">
        <f>IFERROR(__xludf.DUMMYFUNCTION("SPLiT(G560, ""🤙🏼"",FALSE,FALSE)"),140.0)</f>
        <v>140</v>
      </c>
      <c r="I560" s="5" t="str">
        <f>IFERROR(__xludf.DUMMYFUNCTION("""COMPUTED_VALUE"""),"Bhaag Milkha Bhaag")</f>
        <v>Bhaag Milkha Bhaag</v>
      </c>
      <c r="J560" s="5" t="str">
        <f>IFERROR(__xludf.DUMMYFUNCTION("""COMPUTED_VALUE"""),"Pawan Malhotra")</f>
        <v>Pawan Malhotra</v>
      </c>
      <c r="K560" s="5" t="str">
        <f>IFERROR(__xludf.DUMMYFUNCTION("""COMPUTED_VALUE"""),"Estrela 3")</f>
        <v>Estrela 3</v>
      </c>
      <c r="P560" s="5">
        <f>IFERROR(__xludf.DUMMYFUNCTION("""COMPUTED_VALUE"""),140.0)</f>
        <v>140</v>
      </c>
      <c r="Q560" s="5" t="str">
        <f>IFERROR(__xludf.DUMMYFUNCTION("""COMPUTED_VALUE"""),"Bhaag Milkha Bhaag")</f>
        <v>Bhaag Milkha Bhaag</v>
      </c>
      <c r="R560" s="5" t="str">
        <f>IFERROR(__xludf.DUMMYFUNCTION("""COMPUTED_VALUE"""),"Pawan Malhotra")</f>
        <v>Pawan Malhotra</v>
      </c>
      <c r="S560" s="5" t="str">
        <f>IFERROR(__xludf.DUMMYFUNCTION("""COMPUTED_VALUE"""),"Estrela 3")</f>
        <v>Estrela 3</v>
      </c>
    </row>
    <row r="561">
      <c r="A561" s="1">
        <v>560.0</v>
      </c>
      <c r="B561" s="1" t="s">
        <v>3457</v>
      </c>
      <c r="C561" s="1" t="s">
        <v>873</v>
      </c>
      <c r="D561" s="1" t="s">
        <v>410</v>
      </c>
      <c r="E561" s="1" t="s">
        <v>412</v>
      </c>
      <c r="F561" s="1" t="s">
        <v>3460</v>
      </c>
      <c r="G561" s="5" t="str">
        <f>IFERROR(__xludf.DUMMYFUNCTION("""COMPUTED_VALUE"""),"140🤙🏼Bhaag Milkha Bhaag🤙🏼Art Malik🤙🏼Estrela 4")</f>
        <v>140🤙🏼Bhaag Milkha Bhaag🤙🏼Art Malik🤙🏼Estrela 4</v>
      </c>
      <c r="H561" s="5">
        <f>IFERROR(__xludf.DUMMYFUNCTION("SPLiT(G561, ""🤙🏼"",FALSE,FALSE)"),140.0)</f>
        <v>140</v>
      </c>
      <c r="I561" s="5" t="str">
        <f>IFERROR(__xludf.DUMMYFUNCTION("""COMPUTED_VALUE"""),"Bhaag Milkha Bhaag")</f>
        <v>Bhaag Milkha Bhaag</v>
      </c>
      <c r="J561" s="5" t="str">
        <f>IFERROR(__xludf.DUMMYFUNCTION("""COMPUTED_VALUE"""),"Art Malik")</f>
        <v>Art Malik</v>
      </c>
      <c r="K561" s="5" t="str">
        <f>IFERROR(__xludf.DUMMYFUNCTION("""COMPUTED_VALUE"""),"Estrela 4")</f>
        <v>Estrela 4</v>
      </c>
      <c r="P561" s="5">
        <f>IFERROR(__xludf.DUMMYFUNCTION("""COMPUTED_VALUE"""),140.0)</f>
        <v>140</v>
      </c>
      <c r="Q561" s="5" t="str">
        <f>IFERROR(__xludf.DUMMYFUNCTION("""COMPUTED_VALUE"""),"Bhaag Milkha Bhaag")</f>
        <v>Bhaag Milkha Bhaag</v>
      </c>
      <c r="R561" s="5" t="str">
        <f>IFERROR(__xludf.DUMMYFUNCTION("""COMPUTED_VALUE"""),"Art Malik")</f>
        <v>Art Malik</v>
      </c>
      <c r="S561" s="5" t="str">
        <f>IFERROR(__xludf.DUMMYFUNCTION("""COMPUTED_VALUE"""),"Estrela 4")</f>
        <v>Estrela 4</v>
      </c>
    </row>
    <row r="562">
      <c r="A562" s="1">
        <v>561.0</v>
      </c>
      <c r="B562" s="1" t="s">
        <v>3461</v>
      </c>
      <c r="C562" s="1" t="s">
        <v>409</v>
      </c>
      <c r="D562" s="1" t="s">
        <v>2473</v>
      </c>
      <c r="E562" s="1" t="s">
        <v>3464</v>
      </c>
      <c r="F562" s="1" t="s">
        <v>3465</v>
      </c>
      <c r="G562" s="5" t="str">
        <f>IFERROR(__xludf.DUMMYFUNCTION("""COMPUTED_VALUE"""),"141🤙🏼Gangs of Wasseypur🤙🏼Manoj Bajpayee🤙🏼Estrela 1")</f>
        <v>141🤙🏼Gangs of Wasseypur🤙🏼Manoj Bajpayee🤙🏼Estrela 1</v>
      </c>
      <c r="H562" s="5">
        <f>IFERROR(__xludf.DUMMYFUNCTION("SPLiT(G562, ""🤙🏼"",FALSE,FALSE)"),141.0)</f>
        <v>141</v>
      </c>
      <c r="I562" s="5" t="str">
        <f>IFERROR(__xludf.DUMMYFUNCTION("""COMPUTED_VALUE"""),"Gangs of Wasseypur")</f>
        <v>Gangs of Wasseypur</v>
      </c>
      <c r="J562" s="5" t="str">
        <f>IFERROR(__xludf.DUMMYFUNCTION("""COMPUTED_VALUE"""),"Manoj Bajpayee")</f>
        <v>Manoj Bajpayee</v>
      </c>
      <c r="K562" s="5" t="str">
        <f>IFERROR(__xludf.DUMMYFUNCTION("""COMPUTED_VALUE"""),"Estrela 1")</f>
        <v>Estrela 1</v>
      </c>
      <c r="P562" s="5">
        <f>IFERROR(__xludf.DUMMYFUNCTION("""COMPUTED_VALUE"""),141.0)</f>
        <v>141</v>
      </c>
      <c r="Q562" s="5" t="str">
        <f>IFERROR(__xludf.DUMMYFUNCTION("""COMPUTED_VALUE"""),"Gangs of Wasseypur")</f>
        <v>Gangs of Wasseypur</v>
      </c>
      <c r="R562" s="5" t="str">
        <f>IFERROR(__xludf.DUMMYFUNCTION("""COMPUTED_VALUE"""),"Manoj Bajpayee")</f>
        <v>Manoj Bajpayee</v>
      </c>
      <c r="S562" s="5" t="str">
        <f>IFERROR(__xludf.DUMMYFUNCTION("""COMPUTED_VALUE"""),"Estrela 1")</f>
        <v>Estrela 1</v>
      </c>
    </row>
    <row r="563">
      <c r="A563" s="1">
        <v>562.0</v>
      </c>
      <c r="B563" s="1" t="s">
        <v>3466</v>
      </c>
      <c r="C563" s="1" t="s">
        <v>1322</v>
      </c>
      <c r="D563" s="1" t="s">
        <v>3468</v>
      </c>
      <c r="E563" s="1" t="s">
        <v>3469</v>
      </c>
      <c r="F563" s="1" t="s">
        <v>3470</v>
      </c>
      <c r="G563" s="5" t="str">
        <f>IFERROR(__xludf.DUMMYFUNCTION("""COMPUTED_VALUE"""),"141🤙🏼Gangs of Wasseypur🤙🏼Richa Chadha🤙🏼Estrela 2")</f>
        <v>141🤙🏼Gangs of Wasseypur🤙🏼Richa Chadha🤙🏼Estrela 2</v>
      </c>
      <c r="H563" s="5">
        <f>IFERROR(__xludf.DUMMYFUNCTION("SPLiT(G563, ""🤙🏼"",FALSE,FALSE)"),141.0)</f>
        <v>141</v>
      </c>
      <c r="I563" s="5" t="str">
        <f>IFERROR(__xludf.DUMMYFUNCTION("""COMPUTED_VALUE"""),"Gangs of Wasseypur")</f>
        <v>Gangs of Wasseypur</v>
      </c>
      <c r="J563" s="5" t="str">
        <f>IFERROR(__xludf.DUMMYFUNCTION("""COMPUTED_VALUE"""),"Richa Chadha")</f>
        <v>Richa Chadha</v>
      </c>
      <c r="K563" s="5" t="str">
        <f>IFERROR(__xludf.DUMMYFUNCTION("""COMPUTED_VALUE"""),"Estrela 2")</f>
        <v>Estrela 2</v>
      </c>
      <c r="P563" s="5">
        <f>IFERROR(__xludf.DUMMYFUNCTION("""COMPUTED_VALUE"""),141.0)</f>
        <v>141</v>
      </c>
      <c r="Q563" s="5" t="str">
        <f>IFERROR(__xludf.DUMMYFUNCTION("""COMPUTED_VALUE"""),"Gangs of Wasseypur")</f>
        <v>Gangs of Wasseypur</v>
      </c>
      <c r="R563" s="5" t="str">
        <f>IFERROR(__xludf.DUMMYFUNCTION("""COMPUTED_VALUE"""),"Richa Chadha")</f>
        <v>Richa Chadha</v>
      </c>
      <c r="S563" s="5" t="str">
        <f>IFERROR(__xludf.DUMMYFUNCTION("""COMPUTED_VALUE"""),"Estrela 2")</f>
        <v>Estrela 2</v>
      </c>
    </row>
    <row r="564">
      <c r="A564" s="1">
        <v>563.0</v>
      </c>
      <c r="B564" s="1" t="s">
        <v>3471</v>
      </c>
      <c r="C564" s="1" t="s">
        <v>873</v>
      </c>
      <c r="D564" s="1" t="s">
        <v>3385</v>
      </c>
      <c r="E564" s="1" t="s">
        <v>274</v>
      </c>
      <c r="F564" s="1" t="s">
        <v>3473</v>
      </c>
      <c r="G564" s="5" t="str">
        <f>IFERROR(__xludf.DUMMYFUNCTION("""COMPUTED_VALUE"""),"141🤙🏼Gangs of Wasseypur🤙🏼Nawazuddin Siddiqui🤙🏼Estrela 3")</f>
        <v>141🤙🏼Gangs of Wasseypur🤙🏼Nawazuddin Siddiqui🤙🏼Estrela 3</v>
      </c>
      <c r="H564" s="5">
        <f>IFERROR(__xludf.DUMMYFUNCTION("SPLiT(G564, ""🤙🏼"",FALSE,FALSE)"),141.0)</f>
        <v>141</v>
      </c>
      <c r="I564" s="5" t="str">
        <f>IFERROR(__xludf.DUMMYFUNCTION("""COMPUTED_VALUE"""),"Gangs of Wasseypur")</f>
        <v>Gangs of Wasseypur</v>
      </c>
      <c r="J564" s="5" t="str">
        <f>IFERROR(__xludf.DUMMYFUNCTION("""COMPUTED_VALUE"""),"Nawazuddin Siddiqui")</f>
        <v>Nawazuddin Siddiqui</v>
      </c>
      <c r="K564" s="5" t="str">
        <f>IFERROR(__xludf.DUMMYFUNCTION("""COMPUTED_VALUE"""),"Estrela 3")</f>
        <v>Estrela 3</v>
      </c>
      <c r="P564" s="5">
        <f>IFERROR(__xludf.DUMMYFUNCTION("""COMPUTED_VALUE"""),141.0)</f>
        <v>141</v>
      </c>
      <c r="Q564" s="5" t="str">
        <f>IFERROR(__xludf.DUMMYFUNCTION("""COMPUTED_VALUE"""),"Gangs of Wasseypur")</f>
        <v>Gangs of Wasseypur</v>
      </c>
      <c r="R564" s="5" t="str">
        <f>IFERROR(__xludf.DUMMYFUNCTION("""COMPUTED_VALUE"""),"Nawazuddin Siddiqui")</f>
        <v>Nawazuddin Siddiqui</v>
      </c>
      <c r="S564" s="5" t="str">
        <f>IFERROR(__xludf.DUMMYFUNCTION("""COMPUTED_VALUE"""),"Estrela 3")</f>
        <v>Estrela 3</v>
      </c>
    </row>
    <row r="565">
      <c r="A565" s="1">
        <v>564.0</v>
      </c>
      <c r="B565" s="1" t="s">
        <v>3474</v>
      </c>
      <c r="C565" s="1" t="s">
        <v>873</v>
      </c>
      <c r="D565" s="1" t="s">
        <v>3476</v>
      </c>
      <c r="E565" s="1" t="s">
        <v>3477</v>
      </c>
      <c r="F565" s="1" t="s">
        <v>3456</v>
      </c>
      <c r="G565" s="5" t="str">
        <f>IFERROR(__xludf.DUMMYFUNCTION("""COMPUTED_VALUE"""),"141🤙🏼Gangs of Wasseypur🤙🏼Tigmanshu Dhulia🤙🏼Estrela 4")</f>
        <v>141🤙🏼Gangs of Wasseypur🤙🏼Tigmanshu Dhulia🤙🏼Estrela 4</v>
      </c>
      <c r="H565" s="5">
        <f>IFERROR(__xludf.DUMMYFUNCTION("SPLiT(G565, ""🤙🏼"",FALSE,FALSE)"),141.0)</f>
        <v>141</v>
      </c>
      <c r="I565" s="5" t="str">
        <f>IFERROR(__xludf.DUMMYFUNCTION("""COMPUTED_VALUE"""),"Gangs of Wasseypur")</f>
        <v>Gangs of Wasseypur</v>
      </c>
      <c r="J565" s="5" t="str">
        <f>IFERROR(__xludf.DUMMYFUNCTION("""COMPUTED_VALUE"""),"Tigmanshu Dhulia")</f>
        <v>Tigmanshu Dhulia</v>
      </c>
      <c r="K565" s="5" t="str">
        <f>IFERROR(__xludf.DUMMYFUNCTION("""COMPUTED_VALUE"""),"Estrela 4")</f>
        <v>Estrela 4</v>
      </c>
      <c r="P565" s="5">
        <f>IFERROR(__xludf.DUMMYFUNCTION("""COMPUTED_VALUE"""),141.0)</f>
        <v>141</v>
      </c>
      <c r="Q565" s="5" t="str">
        <f>IFERROR(__xludf.DUMMYFUNCTION("""COMPUTED_VALUE"""),"Gangs of Wasseypur")</f>
        <v>Gangs of Wasseypur</v>
      </c>
      <c r="R565" s="5" t="str">
        <f>IFERROR(__xludf.DUMMYFUNCTION("""COMPUTED_VALUE"""),"Tigmanshu Dhulia")</f>
        <v>Tigmanshu Dhulia</v>
      </c>
      <c r="S565" s="5" t="str">
        <f>IFERROR(__xludf.DUMMYFUNCTION("""COMPUTED_VALUE"""),"Estrela 4")</f>
        <v>Estrela 4</v>
      </c>
    </row>
    <row r="566">
      <c r="A566" s="1">
        <v>565.0</v>
      </c>
      <c r="B566" s="1" t="s">
        <v>3478</v>
      </c>
      <c r="C566" s="1" t="s">
        <v>3481</v>
      </c>
      <c r="D566" s="1" t="s">
        <v>3482</v>
      </c>
      <c r="E566" s="1" t="s">
        <v>3483</v>
      </c>
      <c r="F566" s="1" t="s">
        <v>3484</v>
      </c>
      <c r="G566" s="5" t="str">
        <f>IFERROR(__xludf.DUMMYFUNCTION("""COMPUTED_VALUE"""),"142🤙🏼Udaan🤙🏼Rajat Barmecha🤙🏼Estrela 1")</f>
        <v>142🤙🏼Udaan🤙🏼Rajat Barmecha🤙🏼Estrela 1</v>
      </c>
      <c r="H566" s="5">
        <f>IFERROR(__xludf.DUMMYFUNCTION("SPLiT(G566, ""🤙🏼"",FALSE,FALSE)"),142.0)</f>
        <v>142</v>
      </c>
      <c r="I566" s="5" t="str">
        <f>IFERROR(__xludf.DUMMYFUNCTION("""COMPUTED_VALUE"""),"Udaan")</f>
        <v>Udaan</v>
      </c>
      <c r="J566" s="5" t="str">
        <f>IFERROR(__xludf.DUMMYFUNCTION("""COMPUTED_VALUE"""),"Rajat Barmecha")</f>
        <v>Rajat Barmecha</v>
      </c>
      <c r="K566" s="5" t="str">
        <f>IFERROR(__xludf.DUMMYFUNCTION("""COMPUTED_VALUE"""),"Estrela 1")</f>
        <v>Estrela 1</v>
      </c>
      <c r="P566" s="5">
        <f>IFERROR(__xludf.DUMMYFUNCTION("""COMPUTED_VALUE"""),142.0)</f>
        <v>142</v>
      </c>
      <c r="Q566" s="5" t="str">
        <f>IFERROR(__xludf.DUMMYFUNCTION("""COMPUTED_VALUE"""),"Udaan")</f>
        <v>Udaan</v>
      </c>
      <c r="R566" s="5" t="str">
        <f>IFERROR(__xludf.DUMMYFUNCTION("""COMPUTED_VALUE"""),"Rajat Barmecha")</f>
        <v>Rajat Barmecha</v>
      </c>
      <c r="S566" s="5" t="str">
        <f>IFERROR(__xludf.DUMMYFUNCTION("""COMPUTED_VALUE"""),"Estrela 1")</f>
        <v>Estrela 1</v>
      </c>
    </row>
    <row r="567">
      <c r="A567" s="1">
        <v>566.0</v>
      </c>
      <c r="B567" s="1" t="s">
        <v>3485</v>
      </c>
      <c r="C567" s="1" t="s">
        <v>3488</v>
      </c>
      <c r="D567" s="1" t="s">
        <v>3489</v>
      </c>
      <c r="E567" s="1" t="s">
        <v>3490</v>
      </c>
      <c r="F567" s="1" t="s">
        <v>3491</v>
      </c>
      <c r="G567" s="5" t="str">
        <f>IFERROR(__xludf.DUMMYFUNCTION("""COMPUTED_VALUE"""),"142🤙🏼Udaan🤙🏼Ronit Roy🤙🏼Estrela 2")</f>
        <v>142🤙🏼Udaan🤙🏼Ronit Roy🤙🏼Estrela 2</v>
      </c>
      <c r="H567" s="5">
        <f>IFERROR(__xludf.DUMMYFUNCTION("SPLiT(G567, ""🤙🏼"",FALSE,FALSE)"),142.0)</f>
        <v>142</v>
      </c>
      <c r="I567" s="5" t="str">
        <f>IFERROR(__xludf.DUMMYFUNCTION("""COMPUTED_VALUE"""),"Udaan")</f>
        <v>Udaan</v>
      </c>
      <c r="J567" s="5" t="str">
        <f>IFERROR(__xludf.DUMMYFUNCTION("""COMPUTED_VALUE"""),"Ronit Roy")</f>
        <v>Ronit Roy</v>
      </c>
      <c r="K567" s="5" t="str">
        <f>IFERROR(__xludf.DUMMYFUNCTION("""COMPUTED_VALUE"""),"Estrela 2")</f>
        <v>Estrela 2</v>
      </c>
      <c r="P567" s="5">
        <f>IFERROR(__xludf.DUMMYFUNCTION("""COMPUTED_VALUE"""),142.0)</f>
        <v>142</v>
      </c>
      <c r="Q567" s="5" t="str">
        <f>IFERROR(__xludf.DUMMYFUNCTION("""COMPUTED_VALUE"""),"Udaan")</f>
        <v>Udaan</v>
      </c>
      <c r="R567" s="5" t="str">
        <f>IFERROR(__xludf.DUMMYFUNCTION("""COMPUTED_VALUE"""),"Ronit Roy")</f>
        <v>Ronit Roy</v>
      </c>
      <c r="S567" s="5" t="str">
        <f>IFERROR(__xludf.DUMMYFUNCTION("""COMPUTED_VALUE"""),"Estrela 2")</f>
        <v>Estrela 2</v>
      </c>
    </row>
    <row r="568">
      <c r="A568" s="1">
        <v>567.0</v>
      </c>
      <c r="B568" s="1" t="s">
        <v>3492</v>
      </c>
      <c r="C568" s="1" t="s">
        <v>3496</v>
      </c>
      <c r="D568" s="1" t="s">
        <v>3497</v>
      </c>
      <c r="E568" s="1" t="s">
        <v>3498</v>
      </c>
      <c r="F568" s="1" t="s">
        <v>3499</v>
      </c>
      <c r="G568" s="5" t="str">
        <f>IFERROR(__xludf.DUMMYFUNCTION("""COMPUTED_VALUE"""),"142🤙🏼Udaan🤙🏼Manjot Singh🤙🏼Estrela 3")</f>
        <v>142🤙🏼Udaan🤙🏼Manjot Singh🤙🏼Estrela 3</v>
      </c>
      <c r="H568" s="5">
        <f>IFERROR(__xludf.DUMMYFUNCTION("SPLiT(G568, ""🤙🏼"",FALSE,FALSE)"),142.0)</f>
        <v>142</v>
      </c>
      <c r="I568" s="5" t="str">
        <f>IFERROR(__xludf.DUMMYFUNCTION("""COMPUTED_VALUE"""),"Udaan")</f>
        <v>Udaan</v>
      </c>
      <c r="J568" s="5" t="str">
        <f>IFERROR(__xludf.DUMMYFUNCTION("""COMPUTED_VALUE"""),"Manjot Singh")</f>
        <v>Manjot Singh</v>
      </c>
      <c r="K568" s="5" t="str">
        <f>IFERROR(__xludf.DUMMYFUNCTION("""COMPUTED_VALUE"""),"Estrela 3")</f>
        <v>Estrela 3</v>
      </c>
      <c r="P568" s="5">
        <f>IFERROR(__xludf.DUMMYFUNCTION("""COMPUTED_VALUE"""),142.0)</f>
        <v>142</v>
      </c>
      <c r="Q568" s="5" t="str">
        <f>IFERROR(__xludf.DUMMYFUNCTION("""COMPUTED_VALUE"""),"Udaan")</f>
        <v>Udaan</v>
      </c>
      <c r="R568" s="5" t="str">
        <f>IFERROR(__xludf.DUMMYFUNCTION("""COMPUTED_VALUE"""),"Manjot Singh")</f>
        <v>Manjot Singh</v>
      </c>
      <c r="S568" s="5" t="str">
        <f>IFERROR(__xludf.DUMMYFUNCTION("""COMPUTED_VALUE"""),"Estrela 3")</f>
        <v>Estrela 3</v>
      </c>
    </row>
    <row r="569">
      <c r="A569" s="1">
        <v>568.0</v>
      </c>
      <c r="B569" s="1" t="s">
        <v>3500</v>
      </c>
      <c r="C569" s="1" t="s">
        <v>3447</v>
      </c>
      <c r="D569" s="1" t="s">
        <v>3504</v>
      </c>
      <c r="E569" s="1" t="s">
        <v>3505</v>
      </c>
      <c r="F569" s="1" t="s">
        <v>3506</v>
      </c>
      <c r="G569" s="5" t="str">
        <f>IFERROR(__xludf.DUMMYFUNCTION("""COMPUTED_VALUE"""),"142🤙🏼Udaan🤙🏼Ram Kapoor🤙🏼Estrela 4")</f>
        <v>142🤙🏼Udaan🤙🏼Ram Kapoor🤙🏼Estrela 4</v>
      </c>
      <c r="H569" s="5">
        <f>IFERROR(__xludf.DUMMYFUNCTION("SPLiT(G569, ""🤙🏼"",FALSE,FALSE)"),142.0)</f>
        <v>142</v>
      </c>
      <c r="I569" s="5" t="str">
        <f>IFERROR(__xludf.DUMMYFUNCTION("""COMPUTED_VALUE"""),"Udaan")</f>
        <v>Udaan</v>
      </c>
      <c r="J569" s="5" t="str">
        <f>IFERROR(__xludf.DUMMYFUNCTION("""COMPUTED_VALUE"""),"Ram Kapoor")</f>
        <v>Ram Kapoor</v>
      </c>
      <c r="K569" s="5" t="str">
        <f>IFERROR(__xludf.DUMMYFUNCTION("""COMPUTED_VALUE"""),"Estrela 4")</f>
        <v>Estrela 4</v>
      </c>
      <c r="P569" s="5">
        <f>IFERROR(__xludf.DUMMYFUNCTION("""COMPUTED_VALUE"""),142.0)</f>
        <v>142</v>
      </c>
      <c r="Q569" s="5" t="str">
        <f>IFERROR(__xludf.DUMMYFUNCTION("""COMPUTED_VALUE"""),"Udaan")</f>
        <v>Udaan</v>
      </c>
      <c r="R569" s="5" t="str">
        <f>IFERROR(__xludf.DUMMYFUNCTION("""COMPUTED_VALUE"""),"Ram Kapoor")</f>
        <v>Ram Kapoor</v>
      </c>
      <c r="S569" s="5" t="str">
        <f>IFERROR(__xludf.DUMMYFUNCTION("""COMPUTED_VALUE"""),"Estrela 4")</f>
        <v>Estrela 4</v>
      </c>
    </row>
    <row r="570">
      <c r="A570" s="1">
        <v>569.0</v>
      </c>
      <c r="B570" s="1" t="s">
        <v>3507</v>
      </c>
      <c r="C570" s="1" t="s">
        <v>3510</v>
      </c>
      <c r="D570" s="1" t="s">
        <v>3511</v>
      </c>
      <c r="E570" s="1" t="s">
        <v>3512</v>
      </c>
      <c r="F570" s="1" t="s">
        <v>3513</v>
      </c>
      <c r="G570" s="5" t="str">
        <f>IFERROR(__xludf.DUMMYFUNCTION("""COMPUTED_VALUE"""),"143🤙🏼Paan Singh Tomar🤙🏼Irrfan Khan🤙🏼Estrela 1")</f>
        <v>143🤙🏼Paan Singh Tomar🤙🏼Irrfan Khan🤙🏼Estrela 1</v>
      </c>
      <c r="H570" s="5">
        <f>IFERROR(__xludf.DUMMYFUNCTION("SPLiT(G570, ""🤙🏼"",FALSE,FALSE)"),143.0)</f>
        <v>143</v>
      </c>
      <c r="I570" s="5" t="str">
        <f>IFERROR(__xludf.DUMMYFUNCTION("""COMPUTED_VALUE"""),"Paan Singh Tomar")</f>
        <v>Paan Singh Tomar</v>
      </c>
      <c r="J570" s="5" t="str">
        <f>IFERROR(__xludf.DUMMYFUNCTION("""COMPUTED_VALUE"""),"Irrfan Khan")</f>
        <v>Irrfan Khan</v>
      </c>
      <c r="K570" s="5" t="str">
        <f>IFERROR(__xludf.DUMMYFUNCTION("""COMPUTED_VALUE"""),"Estrela 1")</f>
        <v>Estrela 1</v>
      </c>
      <c r="P570" s="5">
        <f>IFERROR(__xludf.DUMMYFUNCTION("""COMPUTED_VALUE"""),143.0)</f>
        <v>143</v>
      </c>
      <c r="Q570" s="5" t="str">
        <f>IFERROR(__xludf.DUMMYFUNCTION("""COMPUTED_VALUE"""),"Paan Singh Tomar")</f>
        <v>Paan Singh Tomar</v>
      </c>
      <c r="R570" s="5" t="str">
        <f>IFERROR(__xludf.DUMMYFUNCTION("""COMPUTED_VALUE"""),"Irrfan Khan")</f>
        <v>Irrfan Khan</v>
      </c>
      <c r="S570" s="5" t="str">
        <f>IFERROR(__xludf.DUMMYFUNCTION("""COMPUTED_VALUE"""),"Estrela 1")</f>
        <v>Estrela 1</v>
      </c>
    </row>
    <row r="571">
      <c r="A571" s="1">
        <v>570.0</v>
      </c>
      <c r="B571" s="1" t="s">
        <v>3514</v>
      </c>
      <c r="C571" s="1" t="s">
        <v>190</v>
      </c>
      <c r="D571" s="1" t="s">
        <v>3516</v>
      </c>
      <c r="E571" s="1" t="s">
        <v>3517</v>
      </c>
      <c r="F571" s="1" t="s">
        <v>3518</v>
      </c>
      <c r="G571" s="5" t="str">
        <f>IFERROR(__xludf.DUMMYFUNCTION("""COMPUTED_VALUE"""),"143🤙🏼Paan Singh Tomar🤙🏼Mahie Gill🤙🏼Estrela 2")</f>
        <v>143🤙🏼Paan Singh Tomar🤙🏼Mahie Gill🤙🏼Estrela 2</v>
      </c>
      <c r="H571" s="5">
        <f>IFERROR(__xludf.DUMMYFUNCTION("SPLiT(G571, ""🤙🏼"",FALSE,FALSE)"),143.0)</f>
        <v>143</v>
      </c>
      <c r="I571" s="5" t="str">
        <f>IFERROR(__xludf.DUMMYFUNCTION("""COMPUTED_VALUE"""),"Paan Singh Tomar")</f>
        <v>Paan Singh Tomar</v>
      </c>
      <c r="J571" s="5" t="str">
        <f>IFERROR(__xludf.DUMMYFUNCTION("""COMPUTED_VALUE"""),"Mahie Gill")</f>
        <v>Mahie Gill</v>
      </c>
      <c r="K571" s="5" t="str">
        <f>IFERROR(__xludf.DUMMYFUNCTION("""COMPUTED_VALUE"""),"Estrela 2")</f>
        <v>Estrela 2</v>
      </c>
      <c r="P571" s="5">
        <f>IFERROR(__xludf.DUMMYFUNCTION("""COMPUTED_VALUE"""),143.0)</f>
        <v>143</v>
      </c>
      <c r="Q571" s="5" t="str">
        <f>IFERROR(__xludf.DUMMYFUNCTION("""COMPUTED_VALUE"""),"Paan Singh Tomar")</f>
        <v>Paan Singh Tomar</v>
      </c>
      <c r="R571" s="5" t="str">
        <f>IFERROR(__xludf.DUMMYFUNCTION("""COMPUTED_VALUE"""),"Mahie Gill")</f>
        <v>Mahie Gill</v>
      </c>
      <c r="S571" s="5" t="str">
        <f>IFERROR(__xludf.DUMMYFUNCTION("""COMPUTED_VALUE"""),"Estrela 2")</f>
        <v>Estrela 2</v>
      </c>
    </row>
    <row r="572">
      <c r="A572" s="1">
        <v>571.0</v>
      </c>
      <c r="B572" s="1" t="s">
        <v>3519</v>
      </c>
      <c r="C572" s="1" t="s">
        <v>3521</v>
      </c>
      <c r="D572" s="1" t="s">
        <v>951</v>
      </c>
      <c r="E572" s="1" t="s">
        <v>3522</v>
      </c>
      <c r="F572" s="1" t="s">
        <v>3523</v>
      </c>
      <c r="G572" s="5" t="str">
        <f>IFERROR(__xludf.DUMMYFUNCTION("""COMPUTED_VALUE"""),"143🤙🏼Paan Singh Tomar🤙🏼Rajesh Abhay🤙🏼Estrela 3")</f>
        <v>143🤙🏼Paan Singh Tomar🤙🏼Rajesh Abhay🤙🏼Estrela 3</v>
      </c>
      <c r="H572" s="5">
        <f>IFERROR(__xludf.DUMMYFUNCTION("SPLiT(G572, ""🤙🏼"",FALSE,FALSE)"),143.0)</f>
        <v>143</v>
      </c>
      <c r="I572" s="5" t="str">
        <f>IFERROR(__xludf.DUMMYFUNCTION("""COMPUTED_VALUE"""),"Paan Singh Tomar")</f>
        <v>Paan Singh Tomar</v>
      </c>
      <c r="J572" s="5" t="str">
        <f>IFERROR(__xludf.DUMMYFUNCTION("""COMPUTED_VALUE"""),"Rajesh Abhay")</f>
        <v>Rajesh Abhay</v>
      </c>
      <c r="K572" s="5" t="str">
        <f>IFERROR(__xludf.DUMMYFUNCTION("""COMPUTED_VALUE"""),"Estrela 3")</f>
        <v>Estrela 3</v>
      </c>
      <c r="P572" s="5">
        <f>IFERROR(__xludf.DUMMYFUNCTION("""COMPUTED_VALUE"""),143.0)</f>
        <v>143</v>
      </c>
      <c r="Q572" s="5" t="str">
        <f>IFERROR(__xludf.DUMMYFUNCTION("""COMPUTED_VALUE"""),"Paan Singh Tomar")</f>
        <v>Paan Singh Tomar</v>
      </c>
      <c r="R572" s="5" t="str">
        <f>IFERROR(__xludf.DUMMYFUNCTION("""COMPUTED_VALUE"""),"Rajesh Abhay")</f>
        <v>Rajesh Abhay</v>
      </c>
      <c r="S572" s="5" t="str">
        <f>IFERROR(__xludf.DUMMYFUNCTION("""COMPUTED_VALUE"""),"Estrela 3")</f>
        <v>Estrela 3</v>
      </c>
    </row>
    <row r="573">
      <c r="A573" s="1">
        <v>572.0</v>
      </c>
      <c r="B573" s="1" t="s">
        <v>3524</v>
      </c>
      <c r="C573" s="1" t="s">
        <v>3002</v>
      </c>
      <c r="D573" s="1" t="s">
        <v>3528</v>
      </c>
      <c r="E573" s="1" t="s">
        <v>3529</v>
      </c>
      <c r="F573" s="1" t="s">
        <v>3530</v>
      </c>
      <c r="G573" s="5" t="str">
        <f>IFERROR(__xludf.DUMMYFUNCTION("""COMPUTED_VALUE"""),"143🤙🏼Paan Singh Tomar🤙🏼Hemendra Dandotiya🤙🏼Estrela 4")</f>
        <v>143🤙🏼Paan Singh Tomar🤙🏼Hemendra Dandotiya🤙🏼Estrela 4</v>
      </c>
      <c r="H573" s="5">
        <f>IFERROR(__xludf.DUMMYFUNCTION("SPLiT(G573, ""🤙🏼"",FALSE,FALSE)"),143.0)</f>
        <v>143</v>
      </c>
      <c r="I573" s="5" t="str">
        <f>IFERROR(__xludf.DUMMYFUNCTION("""COMPUTED_VALUE"""),"Paan Singh Tomar")</f>
        <v>Paan Singh Tomar</v>
      </c>
      <c r="J573" s="5" t="str">
        <f>IFERROR(__xludf.DUMMYFUNCTION("""COMPUTED_VALUE"""),"Hemendra Dandotiya")</f>
        <v>Hemendra Dandotiya</v>
      </c>
      <c r="K573" s="5" t="str">
        <f>IFERROR(__xludf.DUMMYFUNCTION("""COMPUTED_VALUE"""),"Estrela 4")</f>
        <v>Estrela 4</v>
      </c>
      <c r="P573" s="5">
        <f>IFERROR(__xludf.DUMMYFUNCTION("""COMPUTED_VALUE"""),143.0)</f>
        <v>143</v>
      </c>
      <c r="Q573" s="5" t="str">
        <f>IFERROR(__xludf.DUMMYFUNCTION("""COMPUTED_VALUE"""),"Paan Singh Tomar")</f>
        <v>Paan Singh Tomar</v>
      </c>
      <c r="R573" s="5" t="str">
        <f>IFERROR(__xludf.DUMMYFUNCTION("""COMPUTED_VALUE"""),"Hemendra Dandotiya")</f>
        <v>Hemendra Dandotiya</v>
      </c>
      <c r="S573" s="5" t="str">
        <f>IFERROR(__xludf.DUMMYFUNCTION("""COMPUTED_VALUE"""),"Estrela 4")</f>
        <v>Estrela 4</v>
      </c>
    </row>
    <row r="574">
      <c r="A574" s="1">
        <v>573.0</v>
      </c>
      <c r="B574" s="1" t="s">
        <v>3531</v>
      </c>
      <c r="C574" s="1" t="s">
        <v>684</v>
      </c>
      <c r="D574" s="1" t="s">
        <v>2299</v>
      </c>
      <c r="E574" s="1" t="s">
        <v>3533</v>
      </c>
      <c r="F574" s="1" t="s">
        <v>3534</v>
      </c>
      <c r="G574" s="5" t="str">
        <f>IFERROR(__xludf.DUMMYFUNCTION("""COMPUTED_VALUE"""),"144🤙🏼El secreto de sus ojos🤙🏼Ricardo Darín🤙🏼Estrela 1")</f>
        <v>144🤙🏼El secreto de sus ojos🤙🏼Ricardo Darín🤙🏼Estrela 1</v>
      </c>
      <c r="H574" s="5">
        <f>IFERROR(__xludf.DUMMYFUNCTION("SPLiT(G574, ""🤙🏼"",FALSE,FALSE)"),144.0)</f>
        <v>144</v>
      </c>
      <c r="I574" s="5" t="str">
        <f>IFERROR(__xludf.DUMMYFUNCTION("""COMPUTED_VALUE"""),"El secreto de sus ojos")</f>
        <v>El secreto de sus ojos</v>
      </c>
      <c r="J574" s="5" t="str">
        <f>IFERROR(__xludf.DUMMYFUNCTION("""COMPUTED_VALUE"""),"Ricardo Darín")</f>
        <v>Ricardo Darín</v>
      </c>
      <c r="K574" s="5" t="str">
        <f>IFERROR(__xludf.DUMMYFUNCTION("""COMPUTED_VALUE"""),"Estrela 1")</f>
        <v>Estrela 1</v>
      </c>
      <c r="P574" s="5">
        <f>IFERROR(__xludf.DUMMYFUNCTION("""COMPUTED_VALUE"""),144.0)</f>
        <v>144</v>
      </c>
      <c r="Q574" s="5" t="str">
        <f>IFERROR(__xludf.DUMMYFUNCTION("""COMPUTED_VALUE"""),"El secreto de sus ojos")</f>
        <v>El secreto de sus ojos</v>
      </c>
      <c r="R574" s="5" t="str">
        <f>IFERROR(__xludf.DUMMYFUNCTION("""COMPUTED_VALUE"""),"Ricardo Darín")</f>
        <v>Ricardo Darín</v>
      </c>
      <c r="S574" s="5" t="str">
        <f>IFERROR(__xludf.DUMMYFUNCTION("""COMPUTED_VALUE"""),"Estrela 1")</f>
        <v>Estrela 1</v>
      </c>
    </row>
    <row r="575">
      <c r="A575" s="1">
        <v>574.0</v>
      </c>
      <c r="B575" s="1" t="s">
        <v>3535</v>
      </c>
      <c r="C575" s="1" t="s">
        <v>3538</v>
      </c>
      <c r="D575" s="1" t="s">
        <v>3539</v>
      </c>
      <c r="E575" s="1" t="s">
        <v>3540</v>
      </c>
      <c r="F575" s="1" t="s">
        <v>504</v>
      </c>
      <c r="G575" s="5" t="str">
        <f>IFERROR(__xludf.DUMMYFUNCTION("""COMPUTED_VALUE"""),"144🤙🏼El secreto de sus ojos🤙🏼Soledad Villamil🤙🏼Estrela 2")</f>
        <v>144🤙🏼El secreto de sus ojos🤙🏼Soledad Villamil🤙🏼Estrela 2</v>
      </c>
      <c r="H575" s="5">
        <f>IFERROR(__xludf.DUMMYFUNCTION("SPLiT(G575, ""🤙🏼"",FALSE,FALSE)"),144.0)</f>
        <v>144</v>
      </c>
      <c r="I575" s="5" t="str">
        <f>IFERROR(__xludf.DUMMYFUNCTION("""COMPUTED_VALUE"""),"El secreto de sus ojos")</f>
        <v>El secreto de sus ojos</v>
      </c>
      <c r="J575" s="5" t="str">
        <f>IFERROR(__xludf.DUMMYFUNCTION("""COMPUTED_VALUE"""),"Soledad Villamil")</f>
        <v>Soledad Villamil</v>
      </c>
      <c r="K575" s="5" t="str">
        <f>IFERROR(__xludf.DUMMYFUNCTION("""COMPUTED_VALUE"""),"Estrela 2")</f>
        <v>Estrela 2</v>
      </c>
      <c r="P575" s="5">
        <f>IFERROR(__xludf.DUMMYFUNCTION("""COMPUTED_VALUE"""),144.0)</f>
        <v>144</v>
      </c>
      <c r="Q575" s="5" t="str">
        <f>IFERROR(__xludf.DUMMYFUNCTION("""COMPUTED_VALUE"""),"El secreto de sus ojos")</f>
        <v>El secreto de sus ojos</v>
      </c>
      <c r="R575" s="5" t="str">
        <f>IFERROR(__xludf.DUMMYFUNCTION("""COMPUTED_VALUE"""),"Soledad Villamil")</f>
        <v>Soledad Villamil</v>
      </c>
      <c r="S575" s="5" t="str">
        <f>IFERROR(__xludf.DUMMYFUNCTION("""COMPUTED_VALUE"""),"Estrela 2")</f>
        <v>Estrela 2</v>
      </c>
    </row>
    <row r="576">
      <c r="A576" s="1">
        <v>575.0</v>
      </c>
      <c r="B576" s="1" t="s">
        <v>3541</v>
      </c>
      <c r="C576" s="1" t="s">
        <v>3545</v>
      </c>
      <c r="D576" s="1" t="s">
        <v>3546</v>
      </c>
      <c r="E576" s="1" t="s">
        <v>3547</v>
      </c>
      <c r="F576" s="1" t="s">
        <v>3548</v>
      </c>
      <c r="G576" s="5" t="str">
        <f>IFERROR(__xludf.DUMMYFUNCTION("""COMPUTED_VALUE"""),"144🤙🏼El secreto de sus ojos🤙🏼Pablo Rago🤙🏼Estrela 3")</f>
        <v>144🤙🏼El secreto de sus ojos🤙🏼Pablo Rago🤙🏼Estrela 3</v>
      </c>
      <c r="H576" s="5">
        <f>IFERROR(__xludf.DUMMYFUNCTION("SPLiT(G576, ""🤙🏼"",FALSE,FALSE)"),144.0)</f>
        <v>144</v>
      </c>
      <c r="I576" s="5" t="str">
        <f>IFERROR(__xludf.DUMMYFUNCTION("""COMPUTED_VALUE"""),"El secreto de sus ojos")</f>
        <v>El secreto de sus ojos</v>
      </c>
      <c r="J576" s="5" t="str">
        <f>IFERROR(__xludf.DUMMYFUNCTION("""COMPUTED_VALUE"""),"Pablo Rago")</f>
        <v>Pablo Rago</v>
      </c>
      <c r="K576" s="5" t="str">
        <f>IFERROR(__xludf.DUMMYFUNCTION("""COMPUTED_VALUE"""),"Estrela 3")</f>
        <v>Estrela 3</v>
      </c>
      <c r="P576" s="5">
        <f>IFERROR(__xludf.DUMMYFUNCTION("""COMPUTED_VALUE"""),144.0)</f>
        <v>144</v>
      </c>
      <c r="Q576" s="5" t="str">
        <f>IFERROR(__xludf.DUMMYFUNCTION("""COMPUTED_VALUE"""),"El secreto de sus ojos")</f>
        <v>El secreto de sus ojos</v>
      </c>
      <c r="R576" s="5" t="str">
        <f>IFERROR(__xludf.DUMMYFUNCTION("""COMPUTED_VALUE"""),"Pablo Rago")</f>
        <v>Pablo Rago</v>
      </c>
      <c r="S576" s="5" t="str">
        <f>IFERROR(__xludf.DUMMYFUNCTION("""COMPUTED_VALUE"""),"Estrela 3")</f>
        <v>Estrela 3</v>
      </c>
    </row>
    <row r="577">
      <c r="A577" s="1">
        <v>576.0</v>
      </c>
      <c r="B577" s="1" t="s">
        <v>3549</v>
      </c>
      <c r="C577" s="1" t="s">
        <v>3552</v>
      </c>
      <c r="D577" s="1" t="s">
        <v>2286</v>
      </c>
      <c r="E577" s="1" t="s">
        <v>3553</v>
      </c>
      <c r="F577" s="1" t="s">
        <v>2595</v>
      </c>
      <c r="G577" s="5" t="str">
        <f>IFERROR(__xludf.DUMMYFUNCTION("""COMPUTED_VALUE"""),"144🤙🏼El secreto de sus ojos🤙🏼Carla Quevedo🤙🏼Estrela 4")</f>
        <v>144🤙🏼El secreto de sus ojos🤙🏼Carla Quevedo🤙🏼Estrela 4</v>
      </c>
      <c r="H577" s="5">
        <f>IFERROR(__xludf.DUMMYFUNCTION("SPLiT(G577, ""🤙🏼"",FALSE,FALSE)"),144.0)</f>
        <v>144</v>
      </c>
      <c r="I577" s="5" t="str">
        <f>IFERROR(__xludf.DUMMYFUNCTION("""COMPUTED_VALUE"""),"El secreto de sus ojos")</f>
        <v>El secreto de sus ojos</v>
      </c>
      <c r="J577" s="5" t="str">
        <f>IFERROR(__xludf.DUMMYFUNCTION("""COMPUTED_VALUE"""),"Carla Quevedo")</f>
        <v>Carla Quevedo</v>
      </c>
      <c r="K577" s="5" t="str">
        <f>IFERROR(__xludf.DUMMYFUNCTION("""COMPUTED_VALUE"""),"Estrela 4")</f>
        <v>Estrela 4</v>
      </c>
      <c r="P577" s="5">
        <f>IFERROR(__xludf.DUMMYFUNCTION("""COMPUTED_VALUE"""),144.0)</f>
        <v>144</v>
      </c>
      <c r="Q577" s="5" t="str">
        <f>IFERROR(__xludf.DUMMYFUNCTION("""COMPUTED_VALUE"""),"El secreto de sus ojos")</f>
        <v>El secreto de sus ojos</v>
      </c>
      <c r="R577" s="5" t="str">
        <f>IFERROR(__xludf.DUMMYFUNCTION("""COMPUTED_VALUE"""),"Carla Quevedo")</f>
        <v>Carla Quevedo</v>
      </c>
      <c r="S577" s="5" t="str">
        <f>IFERROR(__xludf.DUMMYFUNCTION("""COMPUTED_VALUE"""),"Estrela 4")</f>
        <v>Estrela 4</v>
      </c>
    </row>
    <row r="578">
      <c r="A578" s="1">
        <v>577.0</v>
      </c>
      <c r="B578" s="1" t="s">
        <v>3554</v>
      </c>
      <c r="C578" s="1" t="s">
        <v>3558</v>
      </c>
      <c r="D578" s="1" t="s">
        <v>3559</v>
      </c>
      <c r="E578" s="1" t="s">
        <v>3560</v>
      </c>
      <c r="F578" s="1" t="s">
        <v>3561</v>
      </c>
      <c r="G578" s="5" t="str">
        <f>IFERROR(__xludf.DUMMYFUNCTION("""COMPUTED_VALUE"""),"145🤙🏼Warrior🤙🏼Tom Hardy🤙🏼Estrela 1")</f>
        <v>145🤙🏼Warrior🤙🏼Tom Hardy🤙🏼Estrela 1</v>
      </c>
      <c r="H578" s="5">
        <f>IFERROR(__xludf.DUMMYFUNCTION("SPLiT(G578, ""🤙🏼"",FALSE,FALSE)"),145.0)</f>
        <v>145</v>
      </c>
      <c r="I578" s="5" t="str">
        <f>IFERROR(__xludf.DUMMYFUNCTION("""COMPUTED_VALUE"""),"Warrior")</f>
        <v>Warrior</v>
      </c>
      <c r="J578" s="5" t="str">
        <f>IFERROR(__xludf.DUMMYFUNCTION("""COMPUTED_VALUE"""),"Tom Hardy")</f>
        <v>Tom Hardy</v>
      </c>
      <c r="K578" s="5" t="str">
        <f>IFERROR(__xludf.DUMMYFUNCTION("""COMPUTED_VALUE"""),"Estrela 1")</f>
        <v>Estrela 1</v>
      </c>
      <c r="P578" s="5">
        <f>IFERROR(__xludf.DUMMYFUNCTION("""COMPUTED_VALUE"""),145.0)</f>
        <v>145</v>
      </c>
      <c r="Q578" s="5" t="str">
        <f>IFERROR(__xludf.DUMMYFUNCTION("""COMPUTED_VALUE"""),"Warrior")</f>
        <v>Warrior</v>
      </c>
      <c r="R578" s="5" t="str">
        <f>IFERROR(__xludf.DUMMYFUNCTION("""COMPUTED_VALUE"""),"Tom Hardy")</f>
        <v>Tom Hardy</v>
      </c>
      <c r="S578" s="5" t="str">
        <f>IFERROR(__xludf.DUMMYFUNCTION("""COMPUTED_VALUE"""),"Estrela 1")</f>
        <v>Estrela 1</v>
      </c>
    </row>
    <row r="579">
      <c r="A579" s="1">
        <v>578.0</v>
      </c>
      <c r="B579" s="1" t="s">
        <v>3562</v>
      </c>
      <c r="C579" s="1" t="s">
        <v>1416</v>
      </c>
      <c r="D579" s="1" t="s">
        <v>3521</v>
      </c>
      <c r="E579" s="1" t="s">
        <v>2166</v>
      </c>
      <c r="F579" s="1" t="s">
        <v>3565</v>
      </c>
      <c r="G579" s="5" t="str">
        <f>IFERROR(__xludf.DUMMYFUNCTION("""COMPUTED_VALUE"""),"145🤙🏼Warrior🤙🏼Nick Nolte🤙🏼Estrela 2")</f>
        <v>145🤙🏼Warrior🤙🏼Nick Nolte🤙🏼Estrela 2</v>
      </c>
      <c r="H579" s="5">
        <f>IFERROR(__xludf.DUMMYFUNCTION("SPLiT(G579, ""🤙🏼"",FALSE,FALSE)"),145.0)</f>
        <v>145</v>
      </c>
      <c r="I579" s="5" t="str">
        <f>IFERROR(__xludf.DUMMYFUNCTION("""COMPUTED_VALUE"""),"Warrior")</f>
        <v>Warrior</v>
      </c>
      <c r="J579" s="5" t="str">
        <f>IFERROR(__xludf.DUMMYFUNCTION("""COMPUTED_VALUE"""),"Nick Nolte")</f>
        <v>Nick Nolte</v>
      </c>
      <c r="K579" s="5" t="str">
        <f>IFERROR(__xludf.DUMMYFUNCTION("""COMPUTED_VALUE"""),"Estrela 2")</f>
        <v>Estrela 2</v>
      </c>
      <c r="P579" s="5">
        <f>IFERROR(__xludf.DUMMYFUNCTION("""COMPUTED_VALUE"""),145.0)</f>
        <v>145</v>
      </c>
      <c r="Q579" s="5" t="str">
        <f>IFERROR(__xludf.DUMMYFUNCTION("""COMPUTED_VALUE"""),"Warrior")</f>
        <v>Warrior</v>
      </c>
      <c r="R579" s="5" t="str">
        <f>IFERROR(__xludf.DUMMYFUNCTION("""COMPUTED_VALUE"""),"Nick Nolte")</f>
        <v>Nick Nolte</v>
      </c>
      <c r="S579" s="5" t="str">
        <f>IFERROR(__xludf.DUMMYFUNCTION("""COMPUTED_VALUE"""),"Estrela 2")</f>
        <v>Estrela 2</v>
      </c>
    </row>
    <row r="580">
      <c r="A580" s="1">
        <v>579.0</v>
      </c>
      <c r="B580" s="1" t="s">
        <v>3566</v>
      </c>
      <c r="C580" s="1" t="s">
        <v>1549</v>
      </c>
      <c r="D580" s="1" t="s">
        <v>3569</v>
      </c>
      <c r="E580" s="1" t="s">
        <v>190</v>
      </c>
      <c r="F580" s="1" t="s">
        <v>83</v>
      </c>
      <c r="G580" s="5" t="str">
        <f>IFERROR(__xludf.DUMMYFUNCTION("""COMPUTED_VALUE"""),"145🤙🏼Warrior🤙🏼Joel Edgerton🤙🏼Estrela 3")</f>
        <v>145🤙🏼Warrior🤙🏼Joel Edgerton🤙🏼Estrela 3</v>
      </c>
      <c r="H580" s="5">
        <f>IFERROR(__xludf.DUMMYFUNCTION("SPLiT(G580, ""🤙🏼"",FALSE,FALSE)"),145.0)</f>
        <v>145</v>
      </c>
      <c r="I580" s="5" t="str">
        <f>IFERROR(__xludf.DUMMYFUNCTION("""COMPUTED_VALUE"""),"Warrior")</f>
        <v>Warrior</v>
      </c>
      <c r="J580" s="5" t="str">
        <f>IFERROR(__xludf.DUMMYFUNCTION("""COMPUTED_VALUE"""),"Joel Edgerton")</f>
        <v>Joel Edgerton</v>
      </c>
      <c r="K580" s="5" t="str">
        <f>IFERROR(__xludf.DUMMYFUNCTION("""COMPUTED_VALUE"""),"Estrela 3")</f>
        <v>Estrela 3</v>
      </c>
      <c r="P580" s="5">
        <f>IFERROR(__xludf.DUMMYFUNCTION("""COMPUTED_VALUE"""),145.0)</f>
        <v>145</v>
      </c>
      <c r="Q580" s="5" t="str">
        <f>IFERROR(__xludf.DUMMYFUNCTION("""COMPUTED_VALUE"""),"Warrior")</f>
        <v>Warrior</v>
      </c>
      <c r="R580" s="5" t="str">
        <f>IFERROR(__xludf.DUMMYFUNCTION("""COMPUTED_VALUE"""),"Joel Edgerton")</f>
        <v>Joel Edgerton</v>
      </c>
      <c r="S580" s="5" t="str">
        <f>IFERROR(__xludf.DUMMYFUNCTION("""COMPUTED_VALUE"""),"Estrela 3")</f>
        <v>Estrela 3</v>
      </c>
    </row>
    <row r="581">
      <c r="A581" s="1">
        <v>580.0</v>
      </c>
      <c r="B581" s="1" t="s">
        <v>3570</v>
      </c>
      <c r="C581" s="1" t="s">
        <v>942</v>
      </c>
      <c r="D581" s="1" t="s">
        <v>3573</v>
      </c>
      <c r="E581" s="1" t="s">
        <v>1555</v>
      </c>
      <c r="F581" s="1" t="s">
        <v>3574</v>
      </c>
      <c r="G581" s="5" t="str">
        <f>IFERROR(__xludf.DUMMYFUNCTION("""COMPUTED_VALUE"""),"145🤙🏼Warrior🤙🏼Jennifer Morrison🤙🏼Estrela 4")</f>
        <v>145🤙🏼Warrior🤙🏼Jennifer Morrison🤙🏼Estrela 4</v>
      </c>
      <c r="H581" s="5">
        <f>IFERROR(__xludf.DUMMYFUNCTION("SPLiT(G581, ""🤙🏼"",FALSE,FALSE)"),145.0)</f>
        <v>145</v>
      </c>
      <c r="I581" s="5" t="str">
        <f>IFERROR(__xludf.DUMMYFUNCTION("""COMPUTED_VALUE"""),"Warrior")</f>
        <v>Warrior</v>
      </c>
      <c r="J581" s="5" t="str">
        <f>IFERROR(__xludf.DUMMYFUNCTION("""COMPUTED_VALUE"""),"Jennifer Morrison")</f>
        <v>Jennifer Morrison</v>
      </c>
      <c r="K581" s="5" t="str">
        <f>IFERROR(__xludf.DUMMYFUNCTION("""COMPUTED_VALUE"""),"Estrela 4")</f>
        <v>Estrela 4</v>
      </c>
      <c r="P581" s="5">
        <f>IFERROR(__xludf.DUMMYFUNCTION("""COMPUTED_VALUE"""),145.0)</f>
        <v>145</v>
      </c>
      <c r="Q581" s="5" t="str">
        <f>IFERROR(__xludf.DUMMYFUNCTION("""COMPUTED_VALUE"""),"Warrior")</f>
        <v>Warrior</v>
      </c>
      <c r="R581" s="5" t="str">
        <f>IFERROR(__xludf.DUMMYFUNCTION("""COMPUTED_VALUE"""),"Jennifer Morrison")</f>
        <v>Jennifer Morrison</v>
      </c>
      <c r="S581" s="5" t="str">
        <f>IFERROR(__xludf.DUMMYFUNCTION("""COMPUTED_VALUE"""),"Estrela 4")</f>
        <v>Estrela 4</v>
      </c>
    </row>
    <row r="582">
      <c r="A582" s="1">
        <v>581.0</v>
      </c>
      <c r="B582" s="1" t="s">
        <v>3575</v>
      </c>
      <c r="C582" s="1" t="s">
        <v>3578</v>
      </c>
      <c r="D582" s="1" t="s">
        <v>3579</v>
      </c>
      <c r="E582" s="1" t="s">
        <v>3580</v>
      </c>
      <c r="F582" s="1" t="s">
        <v>3581</v>
      </c>
      <c r="G582" s="5" t="str">
        <f>IFERROR(__xludf.DUMMYFUNCTION("""COMPUTED_VALUE"""),"146🤙🏼Shutter Island🤙🏼Leonardo DiCaprio🤙🏼Estrela 1")</f>
        <v>146🤙🏼Shutter Island🤙🏼Leonardo DiCaprio🤙🏼Estrela 1</v>
      </c>
      <c r="H582" s="5">
        <f>IFERROR(__xludf.DUMMYFUNCTION("SPLiT(G582, ""🤙🏼"",FALSE,FALSE)"),146.0)</f>
        <v>146</v>
      </c>
      <c r="I582" s="5" t="str">
        <f>IFERROR(__xludf.DUMMYFUNCTION("""COMPUTED_VALUE"""),"Shutter Island")</f>
        <v>Shutter Island</v>
      </c>
      <c r="J582" s="5" t="str">
        <f>IFERROR(__xludf.DUMMYFUNCTION("""COMPUTED_VALUE"""),"Leonardo DiCaprio")</f>
        <v>Leonardo DiCaprio</v>
      </c>
      <c r="K582" s="5" t="str">
        <f>IFERROR(__xludf.DUMMYFUNCTION("""COMPUTED_VALUE"""),"Estrela 1")</f>
        <v>Estrela 1</v>
      </c>
      <c r="P582" s="5">
        <f>IFERROR(__xludf.DUMMYFUNCTION("""COMPUTED_VALUE"""),146.0)</f>
        <v>146</v>
      </c>
      <c r="Q582" s="5" t="str">
        <f>IFERROR(__xludf.DUMMYFUNCTION("""COMPUTED_VALUE"""),"Shutter Island")</f>
        <v>Shutter Island</v>
      </c>
      <c r="R582" s="5" t="str">
        <f>IFERROR(__xludf.DUMMYFUNCTION("""COMPUTED_VALUE"""),"Leonardo DiCaprio")</f>
        <v>Leonardo DiCaprio</v>
      </c>
      <c r="S582" s="5" t="str">
        <f>IFERROR(__xludf.DUMMYFUNCTION("""COMPUTED_VALUE"""),"Estrela 1")</f>
        <v>Estrela 1</v>
      </c>
    </row>
    <row r="583">
      <c r="A583" s="1">
        <v>582.0</v>
      </c>
      <c r="B583" s="1" t="s">
        <v>3582</v>
      </c>
      <c r="C583" s="1" t="s">
        <v>3585</v>
      </c>
      <c r="D583" s="1" t="s">
        <v>3586</v>
      </c>
      <c r="E583" s="1" t="s">
        <v>3587</v>
      </c>
      <c r="F583" s="1" t="s">
        <v>3588</v>
      </c>
      <c r="G583" s="5" t="str">
        <f>IFERROR(__xludf.DUMMYFUNCTION("""COMPUTED_VALUE"""),"146🤙🏼Shutter Island🤙🏼Emily Mortimer🤙🏼Estrela 2")</f>
        <v>146🤙🏼Shutter Island🤙🏼Emily Mortimer🤙🏼Estrela 2</v>
      </c>
      <c r="H583" s="5">
        <f>IFERROR(__xludf.DUMMYFUNCTION("SPLiT(G583, ""🤙🏼"",FALSE,FALSE)"),146.0)</f>
        <v>146</v>
      </c>
      <c r="I583" s="5" t="str">
        <f>IFERROR(__xludf.DUMMYFUNCTION("""COMPUTED_VALUE"""),"Shutter Island")</f>
        <v>Shutter Island</v>
      </c>
      <c r="J583" s="5" t="str">
        <f>IFERROR(__xludf.DUMMYFUNCTION("""COMPUTED_VALUE"""),"Emily Mortimer")</f>
        <v>Emily Mortimer</v>
      </c>
      <c r="K583" s="5" t="str">
        <f>IFERROR(__xludf.DUMMYFUNCTION("""COMPUTED_VALUE"""),"Estrela 2")</f>
        <v>Estrela 2</v>
      </c>
      <c r="P583" s="5">
        <f>IFERROR(__xludf.DUMMYFUNCTION("""COMPUTED_VALUE"""),146.0)</f>
        <v>146</v>
      </c>
      <c r="Q583" s="5" t="str">
        <f>IFERROR(__xludf.DUMMYFUNCTION("""COMPUTED_VALUE"""),"Shutter Island")</f>
        <v>Shutter Island</v>
      </c>
      <c r="R583" s="5" t="str">
        <f>IFERROR(__xludf.DUMMYFUNCTION("""COMPUTED_VALUE"""),"Emily Mortimer")</f>
        <v>Emily Mortimer</v>
      </c>
      <c r="S583" s="5" t="str">
        <f>IFERROR(__xludf.DUMMYFUNCTION("""COMPUTED_VALUE"""),"Estrela 2")</f>
        <v>Estrela 2</v>
      </c>
    </row>
    <row r="584">
      <c r="A584" s="1">
        <v>583.0</v>
      </c>
      <c r="B584" s="1" t="s">
        <v>3589</v>
      </c>
      <c r="C584" s="1" t="s">
        <v>3592</v>
      </c>
      <c r="D584" s="1" t="s">
        <v>3593</v>
      </c>
      <c r="E584" s="1" t="s">
        <v>3594</v>
      </c>
      <c r="F584" s="1" t="s">
        <v>2309</v>
      </c>
      <c r="G584" s="5" t="str">
        <f>IFERROR(__xludf.DUMMYFUNCTION("""COMPUTED_VALUE"""),"146🤙🏼Shutter Island🤙🏼Mark Ruffalo🤙🏼Estrela 3")</f>
        <v>146🤙🏼Shutter Island🤙🏼Mark Ruffalo🤙🏼Estrela 3</v>
      </c>
      <c r="H584" s="5">
        <f>IFERROR(__xludf.DUMMYFUNCTION("SPLiT(G584, ""🤙🏼"",FALSE,FALSE)"),146.0)</f>
        <v>146</v>
      </c>
      <c r="I584" s="5" t="str">
        <f>IFERROR(__xludf.DUMMYFUNCTION("""COMPUTED_VALUE"""),"Shutter Island")</f>
        <v>Shutter Island</v>
      </c>
      <c r="J584" s="5" t="str">
        <f>IFERROR(__xludf.DUMMYFUNCTION("""COMPUTED_VALUE"""),"Mark Ruffalo")</f>
        <v>Mark Ruffalo</v>
      </c>
      <c r="K584" s="5" t="str">
        <f>IFERROR(__xludf.DUMMYFUNCTION("""COMPUTED_VALUE"""),"Estrela 3")</f>
        <v>Estrela 3</v>
      </c>
      <c r="P584" s="5">
        <f>IFERROR(__xludf.DUMMYFUNCTION("""COMPUTED_VALUE"""),146.0)</f>
        <v>146</v>
      </c>
      <c r="Q584" s="5" t="str">
        <f>IFERROR(__xludf.DUMMYFUNCTION("""COMPUTED_VALUE"""),"Shutter Island")</f>
        <v>Shutter Island</v>
      </c>
      <c r="R584" s="5" t="str">
        <f>IFERROR(__xludf.DUMMYFUNCTION("""COMPUTED_VALUE"""),"Mark Ruffalo")</f>
        <v>Mark Ruffalo</v>
      </c>
      <c r="S584" s="5" t="str">
        <f>IFERROR(__xludf.DUMMYFUNCTION("""COMPUTED_VALUE"""),"Estrela 3")</f>
        <v>Estrela 3</v>
      </c>
    </row>
    <row r="585">
      <c r="A585" s="1">
        <v>584.0</v>
      </c>
      <c r="B585" s="1" t="s">
        <v>3595</v>
      </c>
      <c r="C585" s="1" t="s">
        <v>478</v>
      </c>
      <c r="D585" s="1" t="s">
        <v>480</v>
      </c>
      <c r="E585" s="1" t="s">
        <v>479</v>
      </c>
      <c r="F585" s="1" t="s">
        <v>307</v>
      </c>
      <c r="G585" s="5" t="str">
        <f>IFERROR(__xludf.DUMMYFUNCTION("""COMPUTED_VALUE"""),"146🤙🏼Shutter Island🤙🏼Ben Kingsley🤙🏼Estrela 4")</f>
        <v>146🤙🏼Shutter Island🤙🏼Ben Kingsley🤙🏼Estrela 4</v>
      </c>
      <c r="H585" s="5">
        <f>IFERROR(__xludf.DUMMYFUNCTION("SPLiT(G585, ""🤙🏼"",FALSE,FALSE)"),146.0)</f>
        <v>146</v>
      </c>
      <c r="I585" s="5" t="str">
        <f>IFERROR(__xludf.DUMMYFUNCTION("""COMPUTED_VALUE"""),"Shutter Island")</f>
        <v>Shutter Island</v>
      </c>
      <c r="J585" s="5" t="str">
        <f>IFERROR(__xludf.DUMMYFUNCTION("""COMPUTED_VALUE"""),"Ben Kingsley")</f>
        <v>Ben Kingsley</v>
      </c>
      <c r="K585" s="5" t="str">
        <f>IFERROR(__xludf.DUMMYFUNCTION("""COMPUTED_VALUE"""),"Estrela 4")</f>
        <v>Estrela 4</v>
      </c>
      <c r="P585" s="5">
        <f>IFERROR(__xludf.DUMMYFUNCTION("""COMPUTED_VALUE"""),146.0)</f>
        <v>146</v>
      </c>
      <c r="Q585" s="5" t="str">
        <f>IFERROR(__xludf.DUMMYFUNCTION("""COMPUTED_VALUE"""),"Shutter Island")</f>
        <v>Shutter Island</v>
      </c>
      <c r="R585" s="5" t="str">
        <f>IFERROR(__xludf.DUMMYFUNCTION("""COMPUTED_VALUE"""),"Ben Kingsley")</f>
        <v>Ben Kingsley</v>
      </c>
      <c r="S585" s="5" t="str">
        <f>IFERROR(__xludf.DUMMYFUNCTION("""COMPUTED_VALUE"""),"Estrela 4")</f>
        <v>Estrela 4</v>
      </c>
    </row>
    <row r="586">
      <c r="A586" s="1">
        <v>585.0</v>
      </c>
      <c r="B586" s="1" t="s">
        <v>3597</v>
      </c>
      <c r="C586" s="1" t="s">
        <v>75</v>
      </c>
      <c r="D586" s="1" t="s">
        <v>1846</v>
      </c>
      <c r="E586" s="1" t="s">
        <v>3600</v>
      </c>
      <c r="F586" s="1" t="s">
        <v>3601</v>
      </c>
      <c r="G586" s="5" t="str">
        <f>IFERROR(__xludf.DUMMYFUNCTION("""COMPUTED_VALUE"""),"147🤙🏼Up🤙🏼Bob Peterson🤙🏼Estrela 1")</f>
        <v>147🤙🏼Up🤙🏼Bob Peterson🤙🏼Estrela 1</v>
      </c>
      <c r="H586" s="5">
        <f>IFERROR(__xludf.DUMMYFUNCTION("SPLiT(G586, ""🤙🏼"",FALSE,FALSE)"),147.0)</f>
        <v>147</v>
      </c>
      <c r="I586" s="5" t="str">
        <f>IFERROR(__xludf.DUMMYFUNCTION("""COMPUTED_VALUE"""),"Up")</f>
        <v>Up</v>
      </c>
      <c r="J586" s="5" t="str">
        <f>IFERROR(__xludf.DUMMYFUNCTION("""COMPUTED_VALUE"""),"Bob Peterson")</f>
        <v>Bob Peterson</v>
      </c>
      <c r="K586" s="5" t="str">
        <f>IFERROR(__xludf.DUMMYFUNCTION("""COMPUTED_VALUE"""),"Estrela 1")</f>
        <v>Estrela 1</v>
      </c>
      <c r="P586" s="5">
        <f>IFERROR(__xludf.DUMMYFUNCTION("""COMPUTED_VALUE"""),147.0)</f>
        <v>147</v>
      </c>
      <c r="Q586" s="5" t="str">
        <f>IFERROR(__xludf.DUMMYFUNCTION("""COMPUTED_VALUE"""),"Up")</f>
        <v>Up</v>
      </c>
      <c r="R586" s="5" t="str">
        <f>IFERROR(__xludf.DUMMYFUNCTION("""COMPUTED_VALUE"""),"Bob Peterson")</f>
        <v>Bob Peterson</v>
      </c>
      <c r="S586" s="5" t="str">
        <f>IFERROR(__xludf.DUMMYFUNCTION("""COMPUTED_VALUE"""),"Estrela 1")</f>
        <v>Estrela 1</v>
      </c>
    </row>
    <row r="587">
      <c r="A587" s="1">
        <v>586.0</v>
      </c>
      <c r="B587" s="1" t="s">
        <v>3602</v>
      </c>
      <c r="C587" s="1" t="s">
        <v>3605</v>
      </c>
      <c r="D587" s="1" t="s">
        <v>1569</v>
      </c>
      <c r="E587" s="1" t="s">
        <v>3606</v>
      </c>
      <c r="F587" s="1" t="s">
        <v>3607</v>
      </c>
      <c r="G587" s="5" t="str">
        <f>IFERROR(__xludf.DUMMYFUNCTION("""COMPUTED_VALUE"""),"147🤙🏼Up🤙🏼Edward Asner🤙🏼Estrela 2")</f>
        <v>147🤙🏼Up🤙🏼Edward Asner🤙🏼Estrela 2</v>
      </c>
      <c r="H587" s="5">
        <f>IFERROR(__xludf.DUMMYFUNCTION("SPLiT(G587, ""🤙🏼"",FALSE,FALSE)"),147.0)</f>
        <v>147</v>
      </c>
      <c r="I587" s="5" t="str">
        <f>IFERROR(__xludf.DUMMYFUNCTION("""COMPUTED_VALUE"""),"Up")</f>
        <v>Up</v>
      </c>
      <c r="J587" s="5" t="str">
        <f>IFERROR(__xludf.DUMMYFUNCTION("""COMPUTED_VALUE"""),"Edward Asner")</f>
        <v>Edward Asner</v>
      </c>
      <c r="K587" s="5" t="str">
        <f>IFERROR(__xludf.DUMMYFUNCTION("""COMPUTED_VALUE"""),"Estrela 2")</f>
        <v>Estrela 2</v>
      </c>
      <c r="P587" s="5">
        <f>IFERROR(__xludf.DUMMYFUNCTION("""COMPUTED_VALUE"""),147.0)</f>
        <v>147</v>
      </c>
      <c r="Q587" s="5" t="str">
        <f>IFERROR(__xludf.DUMMYFUNCTION("""COMPUTED_VALUE"""),"Up")</f>
        <v>Up</v>
      </c>
      <c r="R587" s="5" t="str">
        <f>IFERROR(__xludf.DUMMYFUNCTION("""COMPUTED_VALUE"""),"Edward Asner")</f>
        <v>Edward Asner</v>
      </c>
      <c r="S587" s="5" t="str">
        <f>IFERROR(__xludf.DUMMYFUNCTION("""COMPUTED_VALUE"""),"Estrela 2")</f>
        <v>Estrela 2</v>
      </c>
    </row>
    <row r="588">
      <c r="A588" s="1">
        <v>587.0</v>
      </c>
      <c r="B588" s="1" t="s">
        <v>3608</v>
      </c>
      <c r="C588" s="1" t="s">
        <v>3612</v>
      </c>
      <c r="D588" s="1" t="s">
        <v>3613</v>
      </c>
      <c r="E588" s="1" t="s">
        <v>3614</v>
      </c>
      <c r="F588" s="1" t="s">
        <v>3615</v>
      </c>
      <c r="G588" s="5" t="str">
        <f>IFERROR(__xludf.DUMMYFUNCTION("""COMPUTED_VALUE"""),"147🤙🏼Up🤙🏼Jordan Nagai🤙🏼Estrela 3")</f>
        <v>147🤙🏼Up🤙🏼Jordan Nagai🤙🏼Estrela 3</v>
      </c>
      <c r="H588" s="5">
        <f>IFERROR(__xludf.DUMMYFUNCTION("SPLiT(G588, ""🤙🏼"",FALSE,FALSE)"),147.0)</f>
        <v>147</v>
      </c>
      <c r="I588" s="5" t="str">
        <f>IFERROR(__xludf.DUMMYFUNCTION("""COMPUTED_VALUE"""),"Up")</f>
        <v>Up</v>
      </c>
      <c r="J588" s="5" t="str">
        <f>IFERROR(__xludf.DUMMYFUNCTION("""COMPUTED_VALUE"""),"Jordan Nagai")</f>
        <v>Jordan Nagai</v>
      </c>
      <c r="K588" s="5" t="str">
        <f>IFERROR(__xludf.DUMMYFUNCTION("""COMPUTED_VALUE"""),"Estrela 3")</f>
        <v>Estrela 3</v>
      </c>
      <c r="P588" s="5">
        <f>IFERROR(__xludf.DUMMYFUNCTION("""COMPUTED_VALUE"""),147.0)</f>
        <v>147</v>
      </c>
      <c r="Q588" s="5" t="str">
        <f>IFERROR(__xludf.DUMMYFUNCTION("""COMPUTED_VALUE"""),"Up")</f>
        <v>Up</v>
      </c>
      <c r="R588" s="5" t="str">
        <f>IFERROR(__xludf.DUMMYFUNCTION("""COMPUTED_VALUE"""),"Jordan Nagai")</f>
        <v>Jordan Nagai</v>
      </c>
      <c r="S588" s="5" t="str">
        <f>IFERROR(__xludf.DUMMYFUNCTION("""COMPUTED_VALUE"""),"Estrela 3")</f>
        <v>Estrela 3</v>
      </c>
    </row>
    <row r="589">
      <c r="A589" s="1">
        <v>588.0</v>
      </c>
      <c r="B589" s="1" t="s">
        <v>3616</v>
      </c>
      <c r="C589" s="1" t="s">
        <v>3619</v>
      </c>
      <c r="D589" s="1" t="s">
        <v>3620</v>
      </c>
      <c r="E589" s="1" t="s">
        <v>3621</v>
      </c>
      <c r="F589" s="1" t="s">
        <v>3622</v>
      </c>
      <c r="G589" s="5" t="str">
        <f>IFERROR(__xludf.DUMMYFUNCTION("""COMPUTED_VALUE"""),"147🤙🏼Up🤙🏼John Ratzenberger🤙🏼Estrela 4")</f>
        <v>147🤙🏼Up🤙🏼John Ratzenberger🤙🏼Estrela 4</v>
      </c>
      <c r="H589" s="5">
        <f>IFERROR(__xludf.DUMMYFUNCTION("SPLiT(G589, ""🤙🏼"",FALSE,FALSE)"),147.0)</f>
        <v>147</v>
      </c>
      <c r="I589" s="5" t="str">
        <f>IFERROR(__xludf.DUMMYFUNCTION("""COMPUTED_VALUE"""),"Up")</f>
        <v>Up</v>
      </c>
      <c r="J589" s="5" t="str">
        <f>IFERROR(__xludf.DUMMYFUNCTION("""COMPUTED_VALUE"""),"John Ratzenberger")</f>
        <v>John Ratzenberger</v>
      </c>
      <c r="K589" s="5" t="str">
        <f>IFERROR(__xludf.DUMMYFUNCTION("""COMPUTED_VALUE"""),"Estrela 4")</f>
        <v>Estrela 4</v>
      </c>
      <c r="P589" s="5">
        <f>IFERROR(__xludf.DUMMYFUNCTION("""COMPUTED_VALUE"""),147.0)</f>
        <v>147</v>
      </c>
      <c r="Q589" s="5" t="str">
        <f>IFERROR(__xludf.DUMMYFUNCTION("""COMPUTED_VALUE"""),"Up")</f>
        <v>Up</v>
      </c>
      <c r="R589" s="5" t="str">
        <f>IFERROR(__xludf.DUMMYFUNCTION("""COMPUTED_VALUE"""),"John Ratzenberger")</f>
        <v>John Ratzenberger</v>
      </c>
      <c r="S589" s="5" t="str">
        <f>IFERROR(__xludf.DUMMYFUNCTION("""COMPUTED_VALUE"""),"Estrela 4")</f>
        <v>Estrela 4</v>
      </c>
    </row>
    <row r="590">
      <c r="A590" s="1">
        <v>589.0</v>
      </c>
      <c r="B590" s="1" t="s">
        <v>3623</v>
      </c>
      <c r="C590" s="1" t="s">
        <v>3034</v>
      </c>
      <c r="D590" s="1" t="s">
        <v>3052</v>
      </c>
      <c r="E590" s="1" t="s">
        <v>3625</v>
      </c>
      <c r="F590" s="1" t="s">
        <v>3626</v>
      </c>
      <c r="G590" s="5" t="str">
        <f>IFERROR(__xludf.DUMMYFUNCTION("""COMPUTED_VALUE"""),"148🤙🏼The Wolf of Wall Street🤙🏼Leonardo DiCaprio🤙🏼Estrela 1")</f>
        <v>148🤙🏼The Wolf of Wall Street🤙🏼Leonardo DiCaprio🤙🏼Estrela 1</v>
      </c>
      <c r="H590" s="5">
        <f>IFERROR(__xludf.DUMMYFUNCTION("SPLiT(G590, ""🤙🏼"",FALSE,FALSE)"),148.0)</f>
        <v>148</v>
      </c>
      <c r="I590" s="5" t="str">
        <f>IFERROR(__xludf.DUMMYFUNCTION("""COMPUTED_VALUE"""),"The Wolf of Wall Street")</f>
        <v>The Wolf of Wall Street</v>
      </c>
      <c r="J590" s="5" t="str">
        <f>IFERROR(__xludf.DUMMYFUNCTION("""COMPUTED_VALUE"""),"Leonardo DiCaprio")</f>
        <v>Leonardo DiCaprio</v>
      </c>
      <c r="K590" s="5" t="str">
        <f>IFERROR(__xludf.DUMMYFUNCTION("""COMPUTED_VALUE"""),"Estrela 1")</f>
        <v>Estrela 1</v>
      </c>
      <c r="P590" s="5">
        <f>IFERROR(__xludf.DUMMYFUNCTION("""COMPUTED_VALUE"""),148.0)</f>
        <v>148</v>
      </c>
      <c r="Q590" s="5" t="str">
        <f>IFERROR(__xludf.DUMMYFUNCTION("""COMPUTED_VALUE"""),"The Wolf of Wall Street")</f>
        <v>The Wolf of Wall Street</v>
      </c>
      <c r="R590" s="5" t="str">
        <f>IFERROR(__xludf.DUMMYFUNCTION("""COMPUTED_VALUE"""),"Leonardo DiCaprio")</f>
        <v>Leonardo DiCaprio</v>
      </c>
      <c r="S590" s="5" t="str">
        <f>IFERROR(__xludf.DUMMYFUNCTION("""COMPUTED_VALUE"""),"Estrela 1")</f>
        <v>Estrela 1</v>
      </c>
    </row>
    <row r="591">
      <c r="A591" s="1">
        <v>590.0</v>
      </c>
      <c r="B591" s="1" t="s">
        <v>3627</v>
      </c>
      <c r="C591" s="1" t="s">
        <v>3630</v>
      </c>
      <c r="D591" s="1" t="s">
        <v>3631</v>
      </c>
      <c r="E591" s="1" t="s">
        <v>3632</v>
      </c>
      <c r="F591" s="1" t="s">
        <v>3633</v>
      </c>
      <c r="G591" s="5" t="str">
        <f>IFERROR(__xludf.DUMMYFUNCTION("""COMPUTED_VALUE"""),"148🤙🏼The Wolf of Wall Street🤙🏼Jonah Hill🤙🏼Estrela 2")</f>
        <v>148🤙🏼The Wolf of Wall Street🤙🏼Jonah Hill🤙🏼Estrela 2</v>
      </c>
      <c r="H591" s="5">
        <f>IFERROR(__xludf.DUMMYFUNCTION("SPLiT(G591, ""🤙🏼"",FALSE,FALSE)"),148.0)</f>
        <v>148</v>
      </c>
      <c r="I591" s="5" t="str">
        <f>IFERROR(__xludf.DUMMYFUNCTION("""COMPUTED_VALUE"""),"The Wolf of Wall Street")</f>
        <v>The Wolf of Wall Street</v>
      </c>
      <c r="J591" s="5" t="str">
        <f>IFERROR(__xludf.DUMMYFUNCTION("""COMPUTED_VALUE"""),"Jonah Hill")</f>
        <v>Jonah Hill</v>
      </c>
      <c r="K591" s="5" t="str">
        <f>IFERROR(__xludf.DUMMYFUNCTION("""COMPUTED_VALUE"""),"Estrela 2")</f>
        <v>Estrela 2</v>
      </c>
      <c r="P591" s="5">
        <f>IFERROR(__xludf.DUMMYFUNCTION("""COMPUTED_VALUE"""),148.0)</f>
        <v>148</v>
      </c>
      <c r="Q591" s="5" t="str">
        <f>IFERROR(__xludf.DUMMYFUNCTION("""COMPUTED_VALUE"""),"The Wolf of Wall Street")</f>
        <v>The Wolf of Wall Street</v>
      </c>
      <c r="R591" s="5" t="str">
        <f>IFERROR(__xludf.DUMMYFUNCTION("""COMPUTED_VALUE"""),"Jonah Hill")</f>
        <v>Jonah Hill</v>
      </c>
      <c r="S591" s="5" t="str">
        <f>IFERROR(__xludf.DUMMYFUNCTION("""COMPUTED_VALUE"""),"Estrela 2")</f>
        <v>Estrela 2</v>
      </c>
    </row>
    <row r="592">
      <c r="A592" s="1">
        <v>591.0</v>
      </c>
      <c r="B592" s="1" t="s">
        <v>3634</v>
      </c>
      <c r="C592" s="1" t="s">
        <v>980</v>
      </c>
      <c r="D592" s="1" t="s">
        <v>2159</v>
      </c>
      <c r="E592" s="1" t="s">
        <v>1034</v>
      </c>
      <c r="F592" s="1" t="s">
        <v>3637</v>
      </c>
      <c r="G592" s="5" t="str">
        <f>IFERROR(__xludf.DUMMYFUNCTION("""COMPUTED_VALUE"""),"148🤙🏼The Wolf of Wall Street🤙🏼Margot Robbie🤙🏼Estrela 3")</f>
        <v>148🤙🏼The Wolf of Wall Street🤙🏼Margot Robbie🤙🏼Estrela 3</v>
      </c>
      <c r="H592" s="5">
        <f>IFERROR(__xludf.DUMMYFUNCTION("SPLiT(G592, ""🤙🏼"",FALSE,FALSE)"),148.0)</f>
        <v>148</v>
      </c>
      <c r="I592" s="5" t="str">
        <f>IFERROR(__xludf.DUMMYFUNCTION("""COMPUTED_VALUE"""),"The Wolf of Wall Street")</f>
        <v>The Wolf of Wall Street</v>
      </c>
      <c r="J592" s="5" t="str">
        <f>IFERROR(__xludf.DUMMYFUNCTION("""COMPUTED_VALUE"""),"Margot Robbie")</f>
        <v>Margot Robbie</v>
      </c>
      <c r="K592" s="5" t="str">
        <f>IFERROR(__xludf.DUMMYFUNCTION("""COMPUTED_VALUE"""),"Estrela 3")</f>
        <v>Estrela 3</v>
      </c>
      <c r="P592" s="5">
        <f>IFERROR(__xludf.DUMMYFUNCTION("""COMPUTED_VALUE"""),148.0)</f>
        <v>148</v>
      </c>
      <c r="Q592" s="5" t="str">
        <f>IFERROR(__xludf.DUMMYFUNCTION("""COMPUTED_VALUE"""),"The Wolf of Wall Street")</f>
        <v>The Wolf of Wall Street</v>
      </c>
      <c r="R592" s="5" t="str">
        <f>IFERROR(__xludf.DUMMYFUNCTION("""COMPUTED_VALUE"""),"Margot Robbie")</f>
        <v>Margot Robbie</v>
      </c>
      <c r="S592" s="5" t="str">
        <f>IFERROR(__xludf.DUMMYFUNCTION("""COMPUTED_VALUE"""),"Estrela 3")</f>
        <v>Estrela 3</v>
      </c>
    </row>
    <row r="593">
      <c r="A593" s="1">
        <v>592.0</v>
      </c>
      <c r="B593" s="1" t="s">
        <v>3638</v>
      </c>
      <c r="C593" s="1" t="s">
        <v>659</v>
      </c>
      <c r="D593" s="1" t="s">
        <v>953</v>
      </c>
      <c r="E593" s="1" t="s">
        <v>3641</v>
      </c>
      <c r="F593" s="1" t="s">
        <v>3642</v>
      </c>
      <c r="G593" s="5" t="str">
        <f>IFERROR(__xludf.DUMMYFUNCTION("""COMPUTED_VALUE"""),"148🤙🏼The Wolf of Wall Street🤙🏼Matthew McConaughey🤙🏼Estrela 4")</f>
        <v>148🤙🏼The Wolf of Wall Street🤙🏼Matthew McConaughey🤙🏼Estrela 4</v>
      </c>
      <c r="H593" s="5">
        <f>IFERROR(__xludf.DUMMYFUNCTION("SPLiT(G593, ""🤙🏼"",FALSE,FALSE)"),148.0)</f>
        <v>148</v>
      </c>
      <c r="I593" s="5" t="str">
        <f>IFERROR(__xludf.DUMMYFUNCTION("""COMPUTED_VALUE"""),"The Wolf of Wall Street")</f>
        <v>The Wolf of Wall Street</v>
      </c>
      <c r="J593" s="5" t="str">
        <f>IFERROR(__xludf.DUMMYFUNCTION("""COMPUTED_VALUE"""),"Matthew McConaughey")</f>
        <v>Matthew McConaughey</v>
      </c>
      <c r="K593" s="5" t="str">
        <f>IFERROR(__xludf.DUMMYFUNCTION("""COMPUTED_VALUE"""),"Estrela 4")</f>
        <v>Estrela 4</v>
      </c>
      <c r="P593" s="5">
        <f>IFERROR(__xludf.DUMMYFUNCTION("""COMPUTED_VALUE"""),148.0)</f>
        <v>148</v>
      </c>
      <c r="Q593" s="5" t="str">
        <f>IFERROR(__xludf.DUMMYFUNCTION("""COMPUTED_VALUE"""),"The Wolf of Wall Street")</f>
        <v>The Wolf of Wall Street</v>
      </c>
      <c r="R593" s="5" t="str">
        <f>IFERROR(__xludf.DUMMYFUNCTION("""COMPUTED_VALUE"""),"Matthew McConaughey")</f>
        <v>Matthew McConaughey</v>
      </c>
      <c r="S593" s="5" t="str">
        <f>IFERROR(__xludf.DUMMYFUNCTION("""COMPUTED_VALUE"""),"Estrela 4")</f>
        <v>Estrela 4</v>
      </c>
    </row>
    <row r="594">
      <c r="A594" s="1">
        <v>593.0</v>
      </c>
      <c r="B594" s="1" t="s">
        <v>3643</v>
      </c>
      <c r="C594" s="1" t="s">
        <v>3646</v>
      </c>
      <c r="D594" s="1" t="s">
        <v>3647</v>
      </c>
      <c r="E594" s="1" t="s">
        <v>3648</v>
      </c>
      <c r="F594" s="1" t="s">
        <v>3649</v>
      </c>
      <c r="G594" s="5" t="str">
        <f>IFERROR(__xludf.DUMMYFUNCTION("""COMPUTED_VALUE"""),"149🤙🏼Chak De! India🤙🏼Shah Rukh Khan🤙🏼Estrela 1")</f>
        <v>149🤙🏼Chak De! India🤙🏼Shah Rukh Khan🤙🏼Estrela 1</v>
      </c>
      <c r="H594" s="5">
        <f>IFERROR(__xludf.DUMMYFUNCTION("SPLiT(G594, ""🤙🏼"",FALSE,FALSE)"),149.0)</f>
        <v>149</v>
      </c>
      <c r="I594" s="5" t="str">
        <f>IFERROR(__xludf.DUMMYFUNCTION("""COMPUTED_VALUE"""),"Chak De! India")</f>
        <v>Chak De! India</v>
      </c>
      <c r="J594" s="5" t="str">
        <f>IFERROR(__xludf.DUMMYFUNCTION("""COMPUTED_VALUE"""),"Shah Rukh Khan")</f>
        <v>Shah Rukh Khan</v>
      </c>
      <c r="K594" s="5" t="str">
        <f>IFERROR(__xludf.DUMMYFUNCTION("""COMPUTED_VALUE"""),"Estrela 1")</f>
        <v>Estrela 1</v>
      </c>
      <c r="P594" s="5">
        <f>IFERROR(__xludf.DUMMYFUNCTION("""COMPUTED_VALUE"""),149.0)</f>
        <v>149</v>
      </c>
      <c r="Q594" s="5" t="str">
        <f>IFERROR(__xludf.DUMMYFUNCTION("""COMPUTED_VALUE"""),"Chak De! India")</f>
        <v>Chak De! India</v>
      </c>
      <c r="R594" s="5" t="str">
        <f>IFERROR(__xludf.DUMMYFUNCTION("""COMPUTED_VALUE"""),"Shah Rukh Khan")</f>
        <v>Shah Rukh Khan</v>
      </c>
      <c r="S594" s="5" t="str">
        <f>IFERROR(__xludf.DUMMYFUNCTION("""COMPUTED_VALUE"""),"Estrela 1")</f>
        <v>Estrela 1</v>
      </c>
    </row>
    <row r="595">
      <c r="A595" s="1">
        <v>594.0</v>
      </c>
      <c r="B595" s="1" t="s">
        <v>3650</v>
      </c>
      <c r="C595" s="1" t="s">
        <v>2264</v>
      </c>
      <c r="D595" s="1" t="s">
        <v>1518</v>
      </c>
      <c r="E595" s="1" t="s">
        <v>3619</v>
      </c>
      <c r="F595" s="1" t="s">
        <v>3653</v>
      </c>
      <c r="G595" s="5" t="str">
        <f>IFERROR(__xludf.DUMMYFUNCTION("""COMPUTED_VALUE"""),"149🤙🏼Chak De! India🤙🏼Vidya Malvade🤙🏼Estrela 2")</f>
        <v>149🤙🏼Chak De! India🤙🏼Vidya Malvade🤙🏼Estrela 2</v>
      </c>
      <c r="H595" s="5">
        <f>IFERROR(__xludf.DUMMYFUNCTION("SPLiT(G595, ""🤙🏼"",FALSE,FALSE)"),149.0)</f>
        <v>149</v>
      </c>
      <c r="I595" s="5" t="str">
        <f>IFERROR(__xludf.DUMMYFUNCTION("""COMPUTED_VALUE"""),"Chak De! India")</f>
        <v>Chak De! India</v>
      </c>
      <c r="J595" s="5" t="str">
        <f>IFERROR(__xludf.DUMMYFUNCTION("""COMPUTED_VALUE"""),"Vidya Malvade")</f>
        <v>Vidya Malvade</v>
      </c>
      <c r="K595" s="5" t="str">
        <f>IFERROR(__xludf.DUMMYFUNCTION("""COMPUTED_VALUE"""),"Estrela 2")</f>
        <v>Estrela 2</v>
      </c>
      <c r="P595" s="5">
        <f>IFERROR(__xludf.DUMMYFUNCTION("""COMPUTED_VALUE"""),149.0)</f>
        <v>149</v>
      </c>
      <c r="Q595" s="5" t="str">
        <f>IFERROR(__xludf.DUMMYFUNCTION("""COMPUTED_VALUE"""),"Chak De! India")</f>
        <v>Chak De! India</v>
      </c>
      <c r="R595" s="5" t="str">
        <f>IFERROR(__xludf.DUMMYFUNCTION("""COMPUTED_VALUE"""),"Vidya Malvade")</f>
        <v>Vidya Malvade</v>
      </c>
      <c r="S595" s="5" t="str">
        <f>IFERROR(__xludf.DUMMYFUNCTION("""COMPUTED_VALUE"""),"Estrela 2")</f>
        <v>Estrela 2</v>
      </c>
    </row>
    <row r="596">
      <c r="A596" s="1">
        <v>595.0</v>
      </c>
      <c r="B596" s="1" t="s">
        <v>3654</v>
      </c>
      <c r="C596" s="1" t="s">
        <v>3657</v>
      </c>
      <c r="D596" s="1" t="s">
        <v>3132</v>
      </c>
      <c r="E596" s="1" t="s">
        <v>3658</v>
      </c>
      <c r="F596" s="1" t="s">
        <v>3659</v>
      </c>
      <c r="G596" s="5" t="str">
        <f>IFERROR(__xludf.DUMMYFUNCTION("""COMPUTED_VALUE"""),"149🤙🏼Chak De! India🤙🏼Sagarika Ghatge🤙🏼Estrela 3")</f>
        <v>149🤙🏼Chak De! India🤙🏼Sagarika Ghatge🤙🏼Estrela 3</v>
      </c>
      <c r="H596" s="5">
        <f>IFERROR(__xludf.DUMMYFUNCTION("SPLiT(G596, ""🤙🏼"",FALSE,FALSE)"),149.0)</f>
        <v>149</v>
      </c>
      <c r="I596" s="5" t="str">
        <f>IFERROR(__xludf.DUMMYFUNCTION("""COMPUTED_VALUE"""),"Chak De! India")</f>
        <v>Chak De! India</v>
      </c>
      <c r="J596" s="5" t="str">
        <f>IFERROR(__xludf.DUMMYFUNCTION("""COMPUTED_VALUE"""),"Sagarika Ghatge")</f>
        <v>Sagarika Ghatge</v>
      </c>
      <c r="K596" s="5" t="str">
        <f>IFERROR(__xludf.DUMMYFUNCTION("""COMPUTED_VALUE"""),"Estrela 3")</f>
        <v>Estrela 3</v>
      </c>
      <c r="P596" s="5">
        <f>IFERROR(__xludf.DUMMYFUNCTION("""COMPUTED_VALUE"""),149.0)</f>
        <v>149</v>
      </c>
      <c r="Q596" s="5" t="str">
        <f>IFERROR(__xludf.DUMMYFUNCTION("""COMPUTED_VALUE"""),"Chak De! India")</f>
        <v>Chak De! India</v>
      </c>
      <c r="R596" s="5" t="str">
        <f>IFERROR(__xludf.DUMMYFUNCTION("""COMPUTED_VALUE"""),"Sagarika Ghatge")</f>
        <v>Sagarika Ghatge</v>
      </c>
      <c r="S596" s="5" t="str">
        <f>IFERROR(__xludf.DUMMYFUNCTION("""COMPUTED_VALUE"""),"Estrela 3")</f>
        <v>Estrela 3</v>
      </c>
    </row>
    <row r="597">
      <c r="A597" s="1">
        <v>596.0</v>
      </c>
      <c r="B597" s="1" t="s">
        <v>3660</v>
      </c>
      <c r="C597" s="1" t="s">
        <v>1689</v>
      </c>
      <c r="D597" s="1" t="s">
        <v>3662</v>
      </c>
      <c r="E597" s="1" t="s">
        <v>3663</v>
      </c>
      <c r="F597" s="1" t="s">
        <v>3664</v>
      </c>
      <c r="G597" s="5" t="str">
        <f>IFERROR(__xludf.DUMMYFUNCTION("""COMPUTED_VALUE"""),"149🤙🏼Chak De! India🤙🏼Shilpa Shukla🤙🏼Estrela 4")</f>
        <v>149🤙🏼Chak De! India🤙🏼Shilpa Shukla🤙🏼Estrela 4</v>
      </c>
      <c r="H597" s="5">
        <f>IFERROR(__xludf.DUMMYFUNCTION("SPLiT(G597, ""🤙🏼"",FALSE,FALSE)"),149.0)</f>
        <v>149</v>
      </c>
      <c r="I597" s="5" t="str">
        <f>IFERROR(__xludf.DUMMYFUNCTION("""COMPUTED_VALUE"""),"Chak De! India")</f>
        <v>Chak De! India</v>
      </c>
      <c r="J597" s="5" t="str">
        <f>IFERROR(__xludf.DUMMYFUNCTION("""COMPUTED_VALUE"""),"Shilpa Shukla")</f>
        <v>Shilpa Shukla</v>
      </c>
      <c r="K597" s="5" t="str">
        <f>IFERROR(__xludf.DUMMYFUNCTION("""COMPUTED_VALUE"""),"Estrela 4")</f>
        <v>Estrela 4</v>
      </c>
      <c r="P597" s="5">
        <f>IFERROR(__xludf.DUMMYFUNCTION("""COMPUTED_VALUE"""),149.0)</f>
        <v>149</v>
      </c>
      <c r="Q597" s="5" t="str">
        <f>IFERROR(__xludf.DUMMYFUNCTION("""COMPUTED_VALUE"""),"Chak De! India")</f>
        <v>Chak De! India</v>
      </c>
      <c r="R597" s="5" t="str">
        <f>IFERROR(__xludf.DUMMYFUNCTION("""COMPUTED_VALUE"""),"Shilpa Shukla")</f>
        <v>Shilpa Shukla</v>
      </c>
      <c r="S597" s="5" t="str">
        <f>IFERROR(__xludf.DUMMYFUNCTION("""COMPUTED_VALUE"""),"Estrela 4")</f>
        <v>Estrela 4</v>
      </c>
    </row>
    <row r="598">
      <c r="A598" s="1">
        <v>597.0</v>
      </c>
      <c r="B598" s="1" t="s">
        <v>3665</v>
      </c>
      <c r="C598" s="1" t="s">
        <v>110</v>
      </c>
      <c r="D598" s="1" t="s">
        <v>768</v>
      </c>
      <c r="E598" s="1" t="s">
        <v>3668</v>
      </c>
      <c r="F598" s="1" t="s">
        <v>3669</v>
      </c>
      <c r="G598" s="5" t="str">
        <f>IFERROR(__xludf.DUMMYFUNCTION("""COMPUTED_VALUE"""),"150🤙🏼There Will Be Blood🤙🏼Daniel Day-Lewis🤙🏼Estrela 1")</f>
        <v>150🤙🏼There Will Be Blood🤙🏼Daniel Day-Lewis🤙🏼Estrela 1</v>
      </c>
      <c r="H598" s="5">
        <f>IFERROR(__xludf.DUMMYFUNCTION("SPLiT(G598, ""🤙🏼"",FALSE,FALSE)"),150.0)</f>
        <v>150</v>
      </c>
      <c r="I598" s="5" t="str">
        <f>IFERROR(__xludf.DUMMYFUNCTION("""COMPUTED_VALUE"""),"There Will Be Blood")</f>
        <v>There Will Be Blood</v>
      </c>
      <c r="J598" s="5" t="str">
        <f>IFERROR(__xludf.DUMMYFUNCTION("""COMPUTED_VALUE"""),"Daniel Day-Lewis")</f>
        <v>Daniel Day-Lewis</v>
      </c>
      <c r="K598" s="5" t="str">
        <f>IFERROR(__xludf.DUMMYFUNCTION("""COMPUTED_VALUE"""),"Estrela 1")</f>
        <v>Estrela 1</v>
      </c>
      <c r="P598" s="5">
        <f>IFERROR(__xludf.DUMMYFUNCTION("""COMPUTED_VALUE"""),150.0)</f>
        <v>150</v>
      </c>
      <c r="Q598" s="5" t="str">
        <f>IFERROR(__xludf.DUMMYFUNCTION("""COMPUTED_VALUE"""),"There Will Be Blood")</f>
        <v>There Will Be Blood</v>
      </c>
      <c r="R598" s="5" t="str">
        <f>IFERROR(__xludf.DUMMYFUNCTION("""COMPUTED_VALUE"""),"Daniel Day-Lewis")</f>
        <v>Daniel Day-Lewis</v>
      </c>
      <c r="S598" s="5" t="str">
        <f>IFERROR(__xludf.DUMMYFUNCTION("""COMPUTED_VALUE"""),"Estrela 1")</f>
        <v>Estrela 1</v>
      </c>
    </row>
    <row r="599">
      <c r="A599" s="1">
        <v>598.0</v>
      </c>
      <c r="B599" s="1" t="s">
        <v>3670</v>
      </c>
      <c r="C599" s="1" t="s">
        <v>2280</v>
      </c>
      <c r="D599" s="1" t="s">
        <v>3672</v>
      </c>
      <c r="E599" s="1" t="s">
        <v>3673</v>
      </c>
      <c r="F599" s="1" t="s">
        <v>3674</v>
      </c>
      <c r="G599" s="5" t="str">
        <f>IFERROR(__xludf.DUMMYFUNCTION("""COMPUTED_VALUE"""),"150🤙🏼There Will Be Blood🤙🏼Paul Dano🤙🏼Estrela 2")</f>
        <v>150🤙🏼There Will Be Blood🤙🏼Paul Dano🤙🏼Estrela 2</v>
      </c>
      <c r="H599" s="5">
        <f>IFERROR(__xludf.DUMMYFUNCTION("SPLiT(G599, ""🤙🏼"",FALSE,FALSE)"),150.0)</f>
        <v>150</v>
      </c>
      <c r="I599" s="5" t="str">
        <f>IFERROR(__xludf.DUMMYFUNCTION("""COMPUTED_VALUE"""),"There Will Be Blood")</f>
        <v>There Will Be Blood</v>
      </c>
      <c r="J599" s="5" t="str">
        <f>IFERROR(__xludf.DUMMYFUNCTION("""COMPUTED_VALUE"""),"Paul Dano")</f>
        <v>Paul Dano</v>
      </c>
      <c r="K599" s="5" t="str">
        <f>IFERROR(__xludf.DUMMYFUNCTION("""COMPUTED_VALUE"""),"Estrela 2")</f>
        <v>Estrela 2</v>
      </c>
      <c r="P599" s="5">
        <f>IFERROR(__xludf.DUMMYFUNCTION("""COMPUTED_VALUE"""),150.0)</f>
        <v>150</v>
      </c>
      <c r="Q599" s="5" t="str">
        <f>IFERROR(__xludf.DUMMYFUNCTION("""COMPUTED_VALUE"""),"There Will Be Blood")</f>
        <v>There Will Be Blood</v>
      </c>
      <c r="R599" s="5" t="str">
        <f>IFERROR(__xludf.DUMMYFUNCTION("""COMPUTED_VALUE"""),"Paul Dano")</f>
        <v>Paul Dano</v>
      </c>
      <c r="S599" s="5" t="str">
        <f>IFERROR(__xludf.DUMMYFUNCTION("""COMPUTED_VALUE"""),"Estrela 2")</f>
        <v>Estrela 2</v>
      </c>
    </row>
    <row r="600">
      <c r="A600" s="1">
        <v>599.0</v>
      </c>
      <c r="B600" s="1" t="s">
        <v>3675</v>
      </c>
      <c r="C600" s="1" t="s">
        <v>3677</v>
      </c>
      <c r="D600" s="1" t="s">
        <v>3678</v>
      </c>
      <c r="E600" s="1" t="s">
        <v>76</v>
      </c>
      <c r="F600" s="1" t="s">
        <v>2569</v>
      </c>
      <c r="G600" s="5" t="str">
        <f>IFERROR(__xludf.DUMMYFUNCTION("""COMPUTED_VALUE"""),"150🤙🏼There Will Be Blood🤙🏼Ciarán Hinds🤙🏼Estrela 3")</f>
        <v>150🤙🏼There Will Be Blood🤙🏼Ciarán Hinds🤙🏼Estrela 3</v>
      </c>
      <c r="H600" s="5">
        <f>IFERROR(__xludf.DUMMYFUNCTION("SPLiT(G600, ""🤙🏼"",FALSE,FALSE)"),150.0)</f>
        <v>150</v>
      </c>
      <c r="I600" s="5" t="str">
        <f>IFERROR(__xludf.DUMMYFUNCTION("""COMPUTED_VALUE"""),"There Will Be Blood")</f>
        <v>There Will Be Blood</v>
      </c>
      <c r="J600" s="5" t="str">
        <f>IFERROR(__xludf.DUMMYFUNCTION("""COMPUTED_VALUE"""),"Ciarán Hinds")</f>
        <v>Ciarán Hinds</v>
      </c>
      <c r="K600" s="5" t="str">
        <f>IFERROR(__xludf.DUMMYFUNCTION("""COMPUTED_VALUE"""),"Estrela 3")</f>
        <v>Estrela 3</v>
      </c>
      <c r="P600" s="5">
        <f>IFERROR(__xludf.DUMMYFUNCTION("""COMPUTED_VALUE"""),150.0)</f>
        <v>150</v>
      </c>
      <c r="Q600" s="5" t="str">
        <f>IFERROR(__xludf.DUMMYFUNCTION("""COMPUTED_VALUE"""),"There Will Be Blood")</f>
        <v>There Will Be Blood</v>
      </c>
      <c r="R600" s="5" t="str">
        <f>IFERROR(__xludf.DUMMYFUNCTION("""COMPUTED_VALUE"""),"Ciarán Hinds")</f>
        <v>Ciarán Hinds</v>
      </c>
      <c r="S600" s="5" t="str">
        <f>IFERROR(__xludf.DUMMYFUNCTION("""COMPUTED_VALUE"""),"Estrela 3")</f>
        <v>Estrela 3</v>
      </c>
    </row>
    <row r="601">
      <c r="A601" s="1">
        <v>600.0</v>
      </c>
      <c r="B601" s="1" t="s">
        <v>3679</v>
      </c>
      <c r="C601" s="1" t="s">
        <v>1600</v>
      </c>
      <c r="D601" s="1" t="s">
        <v>2996</v>
      </c>
      <c r="E601" s="1" t="s">
        <v>1601</v>
      </c>
      <c r="F601" s="1" t="s">
        <v>3681</v>
      </c>
      <c r="G601" s="5" t="str">
        <f>IFERROR(__xludf.DUMMYFUNCTION("""COMPUTED_VALUE"""),"150🤙🏼There Will Be Blood🤙🏼Martin Stringer🤙🏼Estrela 4")</f>
        <v>150🤙🏼There Will Be Blood🤙🏼Martin Stringer🤙🏼Estrela 4</v>
      </c>
      <c r="H601" s="5">
        <f>IFERROR(__xludf.DUMMYFUNCTION("SPLiT(G601, ""🤙🏼"",FALSE,FALSE)"),150.0)</f>
        <v>150</v>
      </c>
      <c r="I601" s="5" t="str">
        <f>IFERROR(__xludf.DUMMYFUNCTION("""COMPUTED_VALUE"""),"There Will Be Blood")</f>
        <v>There Will Be Blood</v>
      </c>
      <c r="J601" s="5" t="str">
        <f>IFERROR(__xludf.DUMMYFUNCTION("""COMPUTED_VALUE"""),"Martin Stringer")</f>
        <v>Martin Stringer</v>
      </c>
      <c r="K601" s="5" t="str">
        <f>IFERROR(__xludf.DUMMYFUNCTION("""COMPUTED_VALUE"""),"Estrela 4")</f>
        <v>Estrela 4</v>
      </c>
      <c r="P601" s="5">
        <f>IFERROR(__xludf.DUMMYFUNCTION("""COMPUTED_VALUE"""),150.0)</f>
        <v>150</v>
      </c>
      <c r="Q601" s="5" t="str">
        <f>IFERROR(__xludf.DUMMYFUNCTION("""COMPUTED_VALUE"""),"There Will Be Blood")</f>
        <v>There Will Be Blood</v>
      </c>
      <c r="R601" s="5" t="str">
        <f>IFERROR(__xludf.DUMMYFUNCTION("""COMPUTED_VALUE"""),"Martin Stringer")</f>
        <v>Martin Stringer</v>
      </c>
      <c r="S601" s="5" t="str">
        <f>IFERROR(__xludf.DUMMYFUNCTION("""COMPUTED_VALUE"""),"Estrela 4")</f>
        <v>Estrela 4</v>
      </c>
    </row>
    <row r="602">
      <c r="A602" s="1">
        <v>601.0</v>
      </c>
      <c r="B602" s="1" t="s">
        <v>3682</v>
      </c>
      <c r="C602" s="1" t="s">
        <v>42</v>
      </c>
      <c r="D602" s="1" t="s">
        <v>3685</v>
      </c>
      <c r="E602" s="1" t="s">
        <v>2175</v>
      </c>
      <c r="F602" s="1" t="s">
        <v>98</v>
      </c>
      <c r="G602" s="5" t="str">
        <f>IFERROR(__xludf.DUMMYFUNCTION("""COMPUTED_VALUE"""),"151🤙🏼Pan's Labyrinth🤙🏼Ivana Baquero🤙🏼Estrela 1")</f>
        <v>151🤙🏼Pan's Labyrinth🤙🏼Ivana Baquero🤙🏼Estrela 1</v>
      </c>
      <c r="H602" s="5">
        <f>IFERROR(__xludf.DUMMYFUNCTION("SPLiT(G602, ""🤙🏼"",FALSE,FALSE)"),151.0)</f>
        <v>151</v>
      </c>
      <c r="I602" s="5" t="str">
        <f>IFERROR(__xludf.DUMMYFUNCTION("""COMPUTED_VALUE"""),"Pan's Labyrinth")</f>
        <v>Pan's Labyrinth</v>
      </c>
      <c r="J602" s="5" t="str">
        <f>IFERROR(__xludf.DUMMYFUNCTION("""COMPUTED_VALUE"""),"Ivana Baquero")</f>
        <v>Ivana Baquero</v>
      </c>
      <c r="K602" s="5" t="str">
        <f>IFERROR(__xludf.DUMMYFUNCTION("""COMPUTED_VALUE"""),"Estrela 1")</f>
        <v>Estrela 1</v>
      </c>
      <c r="P602" s="5">
        <f>IFERROR(__xludf.DUMMYFUNCTION("""COMPUTED_VALUE"""),151.0)</f>
        <v>151</v>
      </c>
      <c r="Q602" s="5" t="str">
        <f>IFERROR(__xludf.DUMMYFUNCTION("""COMPUTED_VALUE"""),"Pan's Labyrinth")</f>
        <v>Pan's Labyrinth</v>
      </c>
      <c r="R602" s="5" t="str">
        <f>IFERROR(__xludf.DUMMYFUNCTION("""COMPUTED_VALUE"""),"Ivana Baquero")</f>
        <v>Ivana Baquero</v>
      </c>
      <c r="S602" s="5" t="str">
        <f>IFERROR(__xludf.DUMMYFUNCTION("""COMPUTED_VALUE"""),"Estrela 1")</f>
        <v>Estrela 1</v>
      </c>
    </row>
    <row r="603">
      <c r="A603" s="1">
        <v>602.0</v>
      </c>
      <c r="B603" s="1" t="s">
        <v>3686</v>
      </c>
      <c r="C603" s="1" t="s">
        <v>3689</v>
      </c>
      <c r="D603" s="1" t="s">
        <v>3690</v>
      </c>
      <c r="E603" s="1" t="s">
        <v>3691</v>
      </c>
      <c r="F603" s="1" t="s">
        <v>1481</v>
      </c>
      <c r="G603" s="5" t="str">
        <f>IFERROR(__xludf.DUMMYFUNCTION("""COMPUTED_VALUE"""),"151🤙🏼Pan's Labyrinth🤙🏼Ariadna Gil🤙🏼Estrela 2")</f>
        <v>151🤙🏼Pan's Labyrinth🤙🏼Ariadna Gil🤙🏼Estrela 2</v>
      </c>
      <c r="H603" s="5">
        <f>IFERROR(__xludf.DUMMYFUNCTION("SPLiT(G603, ""🤙🏼"",FALSE,FALSE)"),151.0)</f>
        <v>151</v>
      </c>
      <c r="I603" s="5" t="str">
        <f>IFERROR(__xludf.DUMMYFUNCTION("""COMPUTED_VALUE"""),"Pan's Labyrinth")</f>
        <v>Pan's Labyrinth</v>
      </c>
      <c r="J603" s="5" t="str">
        <f>IFERROR(__xludf.DUMMYFUNCTION("""COMPUTED_VALUE"""),"Ariadna Gil")</f>
        <v>Ariadna Gil</v>
      </c>
      <c r="K603" s="5" t="str">
        <f>IFERROR(__xludf.DUMMYFUNCTION("""COMPUTED_VALUE"""),"Estrela 2")</f>
        <v>Estrela 2</v>
      </c>
      <c r="P603" s="5">
        <f>IFERROR(__xludf.DUMMYFUNCTION("""COMPUTED_VALUE"""),151.0)</f>
        <v>151</v>
      </c>
      <c r="Q603" s="5" t="str">
        <f>IFERROR(__xludf.DUMMYFUNCTION("""COMPUTED_VALUE"""),"Pan's Labyrinth")</f>
        <v>Pan's Labyrinth</v>
      </c>
      <c r="R603" s="5" t="str">
        <f>IFERROR(__xludf.DUMMYFUNCTION("""COMPUTED_VALUE"""),"Ariadna Gil")</f>
        <v>Ariadna Gil</v>
      </c>
      <c r="S603" s="5" t="str">
        <f>IFERROR(__xludf.DUMMYFUNCTION("""COMPUTED_VALUE"""),"Estrela 2")</f>
        <v>Estrela 2</v>
      </c>
    </row>
    <row r="604">
      <c r="A604" s="1">
        <v>603.0</v>
      </c>
      <c r="B604" s="1" t="s">
        <v>3692</v>
      </c>
      <c r="C604" s="1" t="s">
        <v>3695</v>
      </c>
      <c r="D604" s="1" t="s">
        <v>538</v>
      </c>
      <c r="E604" s="1" t="s">
        <v>3696</v>
      </c>
      <c r="F604" s="1" t="s">
        <v>3697</v>
      </c>
      <c r="G604" s="5" t="str">
        <f>IFERROR(__xludf.DUMMYFUNCTION("""COMPUTED_VALUE"""),"151🤙🏼Pan's Labyrinth🤙🏼Sergi López🤙🏼Estrela 3")</f>
        <v>151🤙🏼Pan's Labyrinth🤙🏼Sergi López🤙🏼Estrela 3</v>
      </c>
      <c r="H604" s="5">
        <f>IFERROR(__xludf.DUMMYFUNCTION("SPLiT(G604, ""🤙🏼"",FALSE,FALSE)"),151.0)</f>
        <v>151</v>
      </c>
      <c r="I604" s="5" t="str">
        <f>IFERROR(__xludf.DUMMYFUNCTION("""COMPUTED_VALUE"""),"Pan's Labyrinth")</f>
        <v>Pan's Labyrinth</v>
      </c>
      <c r="J604" s="5" t="str">
        <f>IFERROR(__xludf.DUMMYFUNCTION("""COMPUTED_VALUE"""),"Sergi López")</f>
        <v>Sergi López</v>
      </c>
      <c r="K604" s="5" t="str">
        <f>IFERROR(__xludf.DUMMYFUNCTION("""COMPUTED_VALUE"""),"Estrela 3")</f>
        <v>Estrela 3</v>
      </c>
      <c r="P604" s="5">
        <f>IFERROR(__xludf.DUMMYFUNCTION("""COMPUTED_VALUE"""),151.0)</f>
        <v>151</v>
      </c>
      <c r="Q604" s="5" t="str">
        <f>IFERROR(__xludf.DUMMYFUNCTION("""COMPUTED_VALUE"""),"Pan's Labyrinth")</f>
        <v>Pan's Labyrinth</v>
      </c>
      <c r="R604" s="5" t="str">
        <f>IFERROR(__xludf.DUMMYFUNCTION("""COMPUTED_VALUE"""),"Sergi López")</f>
        <v>Sergi López</v>
      </c>
      <c r="S604" s="5" t="str">
        <f>IFERROR(__xludf.DUMMYFUNCTION("""COMPUTED_VALUE"""),"Estrela 3")</f>
        <v>Estrela 3</v>
      </c>
    </row>
    <row r="605">
      <c r="A605" s="1">
        <v>604.0</v>
      </c>
      <c r="B605" s="1" t="s">
        <v>3698</v>
      </c>
      <c r="C605" s="1" t="s">
        <v>2409</v>
      </c>
      <c r="D605" s="1" t="s">
        <v>2183</v>
      </c>
      <c r="E605" s="1" t="s">
        <v>1152</v>
      </c>
      <c r="F605" s="1" t="s">
        <v>754</v>
      </c>
      <c r="G605" s="5" t="str">
        <f>IFERROR(__xludf.DUMMYFUNCTION("""COMPUTED_VALUE"""),"151🤙🏼Pan's Labyrinth🤙🏼Maribel Verdú🤙🏼Estrela 4")</f>
        <v>151🤙🏼Pan's Labyrinth🤙🏼Maribel Verdú🤙🏼Estrela 4</v>
      </c>
      <c r="H605" s="5">
        <f>IFERROR(__xludf.DUMMYFUNCTION("SPLiT(G605, ""🤙🏼"",FALSE,FALSE)"),151.0)</f>
        <v>151</v>
      </c>
      <c r="I605" s="5" t="str">
        <f>IFERROR(__xludf.DUMMYFUNCTION("""COMPUTED_VALUE"""),"Pan's Labyrinth")</f>
        <v>Pan's Labyrinth</v>
      </c>
      <c r="J605" s="5" t="str">
        <f>IFERROR(__xludf.DUMMYFUNCTION("""COMPUTED_VALUE"""),"Maribel Verdú")</f>
        <v>Maribel Verdú</v>
      </c>
      <c r="K605" s="5" t="str">
        <f>IFERROR(__xludf.DUMMYFUNCTION("""COMPUTED_VALUE"""),"Estrela 4")</f>
        <v>Estrela 4</v>
      </c>
      <c r="P605" s="5">
        <f>IFERROR(__xludf.DUMMYFUNCTION("""COMPUTED_VALUE"""),151.0)</f>
        <v>151</v>
      </c>
      <c r="Q605" s="5" t="str">
        <f>IFERROR(__xludf.DUMMYFUNCTION("""COMPUTED_VALUE"""),"Pan's Labyrinth")</f>
        <v>Pan's Labyrinth</v>
      </c>
      <c r="R605" s="5" t="str">
        <f>IFERROR(__xludf.DUMMYFUNCTION("""COMPUTED_VALUE"""),"Maribel Verdú")</f>
        <v>Maribel Verdú</v>
      </c>
      <c r="S605" s="5" t="str">
        <f>IFERROR(__xludf.DUMMYFUNCTION("""COMPUTED_VALUE"""),"Estrela 4")</f>
        <v>Estrela 4</v>
      </c>
    </row>
    <row r="606">
      <c r="A606" s="1">
        <v>605.0</v>
      </c>
      <c r="B606" s="1" t="s">
        <v>3700</v>
      </c>
      <c r="C606" s="1" t="s">
        <v>110</v>
      </c>
      <c r="D606" s="1" t="s">
        <v>3703</v>
      </c>
      <c r="E606" s="1" t="s">
        <v>3704</v>
      </c>
      <c r="F606" s="1" t="s">
        <v>1608</v>
      </c>
      <c r="G606" s="5" t="str">
        <f>IFERROR(__xludf.DUMMYFUNCTION("""COMPUTED_VALUE"""),"152🤙🏼Toy Story 3🤙🏼Tom Hanks🤙🏼Estrela 1")</f>
        <v>152🤙🏼Toy Story 3🤙🏼Tom Hanks🤙🏼Estrela 1</v>
      </c>
      <c r="H606" s="5">
        <f>IFERROR(__xludf.DUMMYFUNCTION("SPLiT(G606, ""🤙🏼"",FALSE,FALSE)"),152.0)</f>
        <v>152</v>
      </c>
      <c r="I606" s="5" t="str">
        <f>IFERROR(__xludf.DUMMYFUNCTION("""COMPUTED_VALUE"""),"Toy Story 3")</f>
        <v>Toy Story 3</v>
      </c>
      <c r="J606" s="5" t="str">
        <f>IFERROR(__xludf.DUMMYFUNCTION("""COMPUTED_VALUE"""),"Tom Hanks")</f>
        <v>Tom Hanks</v>
      </c>
      <c r="K606" s="5" t="str">
        <f>IFERROR(__xludf.DUMMYFUNCTION("""COMPUTED_VALUE"""),"Estrela 1")</f>
        <v>Estrela 1</v>
      </c>
      <c r="P606" s="5">
        <f>IFERROR(__xludf.DUMMYFUNCTION("""COMPUTED_VALUE"""),152.0)</f>
        <v>152</v>
      </c>
      <c r="Q606" s="5" t="str">
        <f>IFERROR(__xludf.DUMMYFUNCTION("""COMPUTED_VALUE"""),"Toy Story 3")</f>
        <v>Toy Story 3</v>
      </c>
      <c r="R606" s="5" t="str">
        <f>IFERROR(__xludf.DUMMYFUNCTION("""COMPUTED_VALUE"""),"Tom Hanks")</f>
        <v>Tom Hanks</v>
      </c>
      <c r="S606" s="5" t="str">
        <f>IFERROR(__xludf.DUMMYFUNCTION("""COMPUTED_VALUE"""),"Estrela 1")</f>
        <v>Estrela 1</v>
      </c>
    </row>
    <row r="607">
      <c r="A607" s="1">
        <v>606.0</v>
      </c>
      <c r="B607" s="1" t="s">
        <v>3705</v>
      </c>
      <c r="C607" s="1" t="s">
        <v>1635</v>
      </c>
      <c r="D607" s="1" t="s">
        <v>3709</v>
      </c>
      <c r="E607" s="1" t="s">
        <v>3710</v>
      </c>
      <c r="F607" s="1" t="s">
        <v>3711</v>
      </c>
      <c r="G607" s="5" t="str">
        <f>IFERROR(__xludf.DUMMYFUNCTION("""COMPUTED_VALUE"""),"152🤙🏼Toy Story 3🤙🏼Tim Allen🤙🏼Estrela 2")</f>
        <v>152🤙🏼Toy Story 3🤙🏼Tim Allen🤙🏼Estrela 2</v>
      </c>
      <c r="H607" s="5">
        <f>IFERROR(__xludf.DUMMYFUNCTION("SPLiT(G607, ""🤙🏼"",FALSE,FALSE)"),152.0)</f>
        <v>152</v>
      </c>
      <c r="I607" s="5" t="str">
        <f>IFERROR(__xludf.DUMMYFUNCTION("""COMPUTED_VALUE"""),"Toy Story 3")</f>
        <v>Toy Story 3</v>
      </c>
      <c r="J607" s="5" t="str">
        <f>IFERROR(__xludf.DUMMYFUNCTION("""COMPUTED_VALUE"""),"Tim Allen")</f>
        <v>Tim Allen</v>
      </c>
      <c r="K607" s="5" t="str">
        <f>IFERROR(__xludf.DUMMYFUNCTION("""COMPUTED_VALUE"""),"Estrela 2")</f>
        <v>Estrela 2</v>
      </c>
      <c r="P607" s="5">
        <f>IFERROR(__xludf.DUMMYFUNCTION("""COMPUTED_VALUE"""),152.0)</f>
        <v>152</v>
      </c>
      <c r="Q607" s="5" t="str">
        <f>IFERROR(__xludf.DUMMYFUNCTION("""COMPUTED_VALUE"""),"Toy Story 3")</f>
        <v>Toy Story 3</v>
      </c>
      <c r="R607" s="5" t="str">
        <f>IFERROR(__xludf.DUMMYFUNCTION("""COMPUTED_VALUE"""),"Tim Allen")</f>
        <v>Tim Allen</v>
      </c>
      <c r="S607" s="5" t="str">
        <f>IFERROR(__xludf.DUMMYFUNCTION("""COMPUTED_VALUE"""),"Estrela 2")</f>
        <v>Estrela 2</v>
      </c>
    </row>
    <row r="608">
      <c r="A608" s="1">
        <v>607.0</v>
      </c>
      <c r="B608" s="1" t="s">
        <v>3712</v>
      </c>
      <c r="C608" s="1" t="s">
        <v>3715</v>
      </c>
      <c r="D608" s="1" t="s">
        <v>3716</v>
      </c>
      <c r="E608" s="1" t="s">
        <v>3717</v>
      </c>
      <c r="F608" s="1" t="s">
        <v>3718</v>
      </c>
      <c r="G608" s="5" t="str">
        <f>IFERROR(__xludf.DUMMYFUNCTION("""COMPUTED_VALUE"""),"152🤙🏼Toy Story 3🤙🏼Joan Cusack🤙🏼Estrela 3")</f>
        <v>152🤙🏼Toy Story 3🤙🏼Joan Cusack🤙🏼Estrela 3</v>
      </c>
      <c r="H608" s="5">
        <f>IFERROR(__xludf.DUMMYFUNCTION("SPLiT(G608, ""🤙🏼"",FALSE,FALSE)"),152.0)</f>
        <v>152</v>
      </c>
      <c r="I608" s="5" t="str">
        <f>IFERROR(__xludf.DUMMYFUNCTION("""COMPUTED_VALUE"""),"Toy Story 3")</f>
        <v>Toy Story 3</v>
      </c>
      <c r="J608" s="5" t="str">
        <f>IFERROR(__xludf.DUMMYFUNCTION("""COMPUTED_VALUE"""),"Joan Cusack")</f>
        <v>Joan Cusack</v>
      </c>
      <c r="K608" s="5" t="str">
        <f>IFERROR(__xludf.DUMMYFUNCTION("""COMPUTED_VALUE"""),"Estrela 3")</f>
        <v>Estrela 3</v>
      </c>
      <c r="P608" s="5">
        <f>IFERROR(__xludf.DUMMYFUNCTION("""COMPUTED_VALUE"""),152.0)</f>
        <v>152</v>
      </c>
      <c r="Q608" s="5" t="str">
        <f>IFERROR(__xludf.DUMMYFUNCTION("""COMPUTED_VALUE"""),"Toy Story 3")</f>
        <v>Toy Story 3</v>
      </c>
      <c r="R608" s="5" t="str">
        <f>IFERROR(__xludf.DUMMYFUNCTION("""COMPUTED_VALUE"""),"Joan Cusack")</f>
        <v>Joan Cusack</v>
      </c>
      <c r="S608" s="5" t="str">
        <f>IFERROR(__xludf.DUMMYFUNCTION("""COMPUTED_VALUE"""),"Estrela 3")</f>
        <v>Estrela 3</v>
      </c>
    </row>
    <row r="609">
      <c r="A609" s="1">
        <v>608.0</v>
      </c>
      <c r="B609" s="1" t="s">
        <v>3719</v>
      </c>
      <c r="C609" s="1" t="s">
        <v>3721</v>
      </c>
      <c r="D609" s="1" t="s">
        <v>1635</v>
      </c>
      <c r="E609" s="1" t="s">
        <v>3722</v>
      </c>
      <c r="F609" s="1" t="s">
        <v>3723</v>
      </c>
      <c r="G609" s="5" t="str">
        <f>IFERROR(__xludf.DUMMYFUNCTION("""COMPUTED_VALUE"""),"152🤙🏼Toy Story 3🤙🏼Ned Beatty🤙🏼Estrela 4")</f>
        <v>152🤙🏼Toy Story 3🤙🏼Ned Beatty🤙🏼Estrela 4</v>
      </c>
      <c r="H609" s="5">
        <f>IFERROR(__xludf.DUMMYFUNCTION("SPLiT(G609, ""🤙🏼"",FALSE,FALSE)"),152.0)</f>
        <v>152</v>
      </c>
      <c r="I609" s="5" t="str">
        <f>IFERROR(__xludf.DUMMYFUNCTION("""COMPUTED_VALUE"""),"Toy Story 3")</f>
        <v>Toy Story 3</v>
      </c>
      <c r="J609" s="5" t="str">
        <f>IFERROR(__xludf.DUMMYFUNCTION("""COMPUTED_VALUE"""),"Ned Beatty")</f>
        <v>Ned Beatty</v>
      </c>
      <c r="K609" s="5" t="str">
        <f>IFERROR(__xludf.DUMMYFUNCTION("""COMPUTED_VALUE"""),"Estrela 4")</f>
        <v>Estrela 4</v>
      </c>
      <c r="P609" s="5">
        <f>IFERROR(__xludf.DUMMYFUNCTION("""COMPUTED_VALUE"""),152.0)</f>
        <v>152</v>
      </c>
      <c r="Q609" s="5" t="str">
        <f>IFERROR(__xludf.DUMMYFUNCTION("""COMPUTED_VALUE"""),"Toy Story 3")</f>
        <v>Toy Story 3</v>
      </c>
      <c r="R609" s="5" t="str">
        <f>IFERROR(__xludf.DUMMYFUNCTION("""COMPUTED_VALUE"""),"Ned Beatty")</f>
        <v>Ned Beatty</v>
      </c>
      <c r="S609" s="5" t="str">
        <f>IFERROR(__xludf.DUMMYFUNCTION("""COMPUTED_VALUE"""),"Estrela 4")</f>
        <v>Estrela 4</v>
      </c>
    </row>
    <row r="610">
      <c r="A610" s="1">
        <v>609.0</v>
      </c>
      <c r="B610" s="1" t="s">
        <v>3724</v>
      </c>
      <c r="C610" s="1" t="s">
        <v>3727</v>
      </c>
      <c r="D610" s="1" t="s">
        <v>1402</v>
      </c>
      <c r="E610" s="1" t="s">
        <v>3728</v>
      </c>
      <c r="F610" s="1" t="s">
        <v>3729</v>
      </c>
      <c r="G610" s="5" t="str">
        <f>IFERROR(__xludf.DUMMYFUNCTION("""COMPUTED_VALUE"""),"153🤙🏼V for Vendetta🤙🏼Hugo Weaving🤙🏼Estrela 1")</f>
        <v>153🤙🏼V for Vendetta🤙🏼Hugo Weaving🤙🏼Estrela 1</v>
      </c>
      <c r="H610" s="5">
        <f>IFERROR(__xludf.DUMMYFUNCTION("SPLiT(G610, ""🤙🏼"",FALSE,FALSE)"),153.0)</f>
        <v>153</v>
      </c>
      <c r="I610" s="5" t="str">
        <f>IFERROR(__xludf.DUMMYFUNCTION("""COMPUTED_VALUE"""),"V for Vendetta")</f>
        <v>V for Vendetta</v>
      </c>
      <c r="J610" s="5" t="str">
        <f>IFERROR(__xludf.DUMMYFUNCTION("""COMPUTED_VALUE"""),"Hugo Weaving")</f>
        <v>Hugo Weaving</v>
      </c>
      <c r="K610" s="5" t="str">
        <f>IFERROR(__xludf.DUMMYFUNCTION("""COMPUTED_VALUE"""),"Estrela 1")</f>
        <v>Estrela 1</v>
      </c>
      <c r="P610" s="5">
        <f>IFERROR(__xludf.DUMMYFUNCTION("""COMPUTED_VALUE"""),153.0)</f>
        <v>153</v>
      </c>
      <c r="Q610" s="5" t="str">
        <f>IFERROR(__xludf.DUMMYFUNCTION("""COMPUTED_VALUE"""),"V for Vendetta")</f>
        <v>V for Vendetta</v>
      </c>
      <c r="R610" s="5" t="str">
        <f>IFERROR(__xludf.DUMMYFUNCTION("""COMPUTED_VALUE"""),"Hugo Weaving")</f>
        <v>Hugo Weaving</v>
      </c>
      <c r="S610" s="5" t="str">
        <f>IFERROR(__xludf.DUMMYFUNCTION("""COMPUTED_VALUE"""),"Estrela 1")</f>
        <v>Estrela 1</v>
      </c>
    </row>
    <row r="611">
      <c r="A611" s="1">
        <v>610.0</v>
      </c>
      <c r="B611" s="1" t="s">
        <v>3730</v>
      </c>
      <c r="C611" s="1" t="s">
        <v>67</v>
      </c>
      <c r="D611" s="1" t="s">
        <v>3733</v>
      </c>
      <c r="E611" s="1" t="s">
        <v>3734</v>
      </c>
      <c r="F611" s="1" t="s">
        <v>3735</v>
      </c>
      <c r="G611" s="5" t="str">
        <f>IFERROR(__xludf.DUMMYFUNCTION("""COMPUTED_VALUE"""),"153🤙🏼V for Vendetta🤙🏼Natalie Portman🤙🏼Estrela 2")</f>
        <v>153🤙🏼V for Vendetta🤙🏼Natalie Portman🤙🏼Estrela 2</v>
      </c>
      <c r="H611" s="5">
        <f>IFERROR(__xludf.DUMMYFUNCTION("SPLiT(G611, ""🤙🏼"",FALSE,FALSE)"),153.0)</f>
        <v>153</v>
      </c>
      <c r="I611" s="5" t="str">
        <f>IFERROR(__xludf.DUMMYFUNCTION("""COMPUTED_VALUE"""),"V for Vendetta")</f>
        <v>V for Vendetta</v>
      </c>
      <c r="J611" s="5" t="str">
        <f>IFERROR(__xludf.DUMMYFUNCTION("""COMPUTED_VALUE"""),"Natalie Portman")</f>
        <v>Natalie Portman</v>
      </c>
      <c r="K611" s="5" t="str">
        <f>IFERROR(__xludf.DUMMYFUNCTION("""COMPUTED_VALUE"""),"Estrela 2")</f>
        <v>Estrela 2</v>
      </c>
      <c r="P611" s="5">
        <f>IFERROR(__xludf.DUMMYFUNCTION("""COMPUTED_VALUE"""),153.0)</f>
        <v>153</v>
      </c>
      <c r="Q611" s="5" t="str">
        <f>IFERROR(__xludf.DUMMYFUNCTION("""COMPUTED_VALUE"""),"V for Vendetta")</f>
        <v>V for Vendetta</v>
      </c>
      <c r="R611" s="5" t="str">
        <f>IFERROR(__xludf.DUMMYFUNCTION("""COMPUTED_VALUE"""),"Natalie Portman")</f>
        <v>Natalie Portman</v>
      </c>
      <c r="S611" s="5" t="str">
        <f>IFERROR(__xludf.DUMMYFUNCTION("""COMPUTED_VALUE"""),"Estrela 2")</f>
        <v>Estrela 2</v>
      </c>
    </row>
    <row r="612">
      <c r="A612" s="1">
        <v>611.0</v>
      </c>
      <c r="B612" s="1" t="s">
        <v>3736</v>
      </c>
      <c r="C612" s="1" t="s">
        <v>3739</v>
      </c>
      <c r="D612" s="1" t="s">
        <v>3740</v>
      </c>
      <c r="E612" s="1" t="s">
        <v>3741</v>
      </c>
      <c r="F612" s="1" t="s">
        <v>533</v>
      </c>
      <c r="G612" s="5" t="str">
        <f>IFERROR(__xludf.DUMMYFUNCTION("""COMPUTED_VALUE"""),"153🤙🏼V for Vendetta🤙🏼Rupert Graves🤙🏼Estrela 3")</f>
        <v>153🤙🏼V for Vendetta🤙🏼Rupert Graves🤙🏼Estrela 3</v>
      </c>
      <c r="H612" s="5">
        <f>IFERROR(__xludf.DUMMYFUNCTION("SPLiT(G612, ""🤙🏼"",FALSE,FALSE)"),153.0)</f>
        <v>153</v>
      </c>
      <c r="I612" s="5" t="str">
        <f>IFERROR(__xludf.DUMMYFUNCTION("""COMPUTED_VALUE"""),"V for Vendetta")</f>
        <v>V for Vendetta</v>
      </c>
      <c r="J612" s="5" t="str">
        <f>IFERROR(__xludf.DUMMYFUNCTION("""COMPUTED_VALUE"""),"Rupert Graves")</f>
        <v>Rupert Graves</v>
      </c>
      <c r="K612" s="5" t="str">
        <f>IFERROR(__xludf.DUMMYFUNCTION("""COMPUTED_VALUE"""),"Estrela 3")</f>
        <v>Estrela 3</v>
      </c>
      <c r="P612" s="5">
        <f>IFERROR(__xludf.DUMMYFUNCTION("""COMPUTED_VALUE"""),153.0)</f>
        <v>153</v>
      </c>
      <c r="Q612" s="5" t="str">
        <f>IFERROR(__xludf.DUMMYFUNCTION("""COMPUTED_VALUE"""),"V for Vendetta")</f>
        <v>V for Vendetta</v>
      </c>
      <c r="R612" s="5" t="str">
        <f>IFERROR(__xludf.DUMMYFUNCTION("""COMPUTED_VALUE"""),"Rupert Graves")</f>
        <v>Rupert Graves</v>
      </c>
      <c r="S612" s="5" t="str">
        <f>IFERROR(__xludf.DUMMYFUNCTION("""COMPUTED_VALUE"""),"Estrela 3")</f>
        <v>Estrela 3</v>
      </c>
    </row>
    <row r="613">
      <c r="A613" s="1">
        <v>612.0</v>
      </c>
      <c r="B613" s="1" t="s">
        <v>3742</v>
      </c>
      <c r="C613" s="1" t="s">
        <v>3745</v>
      </c>
      <c r="D613" s="1" t="s">
        <v>3746</v>
      </c>
      <c r="E613" s="1" t="s">
        <v>3747</v>
      </c>
      <c r="F613" s="1" t="s">
        <v>3748</v>
      </c>
      <c r="G613" s="5" t="str">
        <f>IFERROR(__xludf.DUMMYFUNCTION("""COMPUTED_VALUE"""),"153🤙🏼V for Vendetta🤙🏼Stephen Rea🤙🏼Estrela 4")</f>
        <v>153🤙🏼V for Vendetta🤙🏼Stephen Rea🤙🏼Estrela 4</v>
      </c>
      <c r="H613" s="5">
        <f>IFERROR(__xludf.DUMMYFUNCTION("SPLiT(G613, ""🤙🏼"",FALSE,FALSE)"),153.0)</f>
        <v>153</v>
      </c>
      <c r="I613" s="5" t="str">
        <f>IFERROR(__xludf.DUMMYFUNCTION("""COMPUTED_VALUE"""),"V for Vendetta")</f>
        <v>V for Vendetta</v>
      </c>
      <c r="J613" s="5" t="str">
        <f>IFERROR(__xludf.DUMMYFUNCTION("""COMPUTED_VALUE"""),"Stephen Rea")</f>
        <v>Stephen Rea</v>
      </c>
      <c r="K613" s="5" t="str">
        <f>IFERROR(__xludf.DUMMYFUNCTION("""COMPUTED_VALUE"""),"Estrela 4")</f>
        <v>Estrela 4</v>
      </c>
      <c r="P613" s="5">
        <f>IFERROR(__xludf.DUMMYFUNCTION("""COMPUTED_VALUE"""),153.0)</f>
        <v>153</v>
      </c>
      <c r="Q613" s="5" t="str">
        <f>IFERROR(__xludf.DUMMYFUNCTION("""COMPUTED_VALUE"""),"V for Vendetta")</f>
        <v>V for Vendetta</v>
      </c>
      <c r="R613" s="5" t="str">
        <f>IFERROR(__xludf.DUMMYFUNCTION("""COMPUTED_VALUE"""),"Stephen Rea")</f>
        <v>Stephen Rea</v>
      </c>
      <c r="S613" s="5" t="str">
        <f>IFERROR(__xludf.DUMMYFUNCTION("""COMPUTED_VALUE"""),"Estrela 4")</f>
        <v>Estrela 4</v>
      </c>
    </row>
    <row r="614">
      <c r="A614" s="1">
        <v>613.0</v>
      </c>
      <c r="B614" s="1" t="s">
        <v>3749</v>
      </c>
      <c r="C614" s="1" t="s">
        <v>3752</v>
      </c>
      <c r="D614" s="1" t="s">
        <v>3753</v>
      </c>
      <c r="E614" s="1" t="s">
        <v>3754</v>
      </c>
      <c r="F614" s="1" t="s">
        <v>3518</v>
      </c>
      <c r="G614" s="5" t="str">
        <f>IFERROR(__xludf.DUMMYFUNCTION("""COMPUTED_VALUE"""),"154🤙🏼Rang De Basanti🤙🏼Aamir Khan🤙🏼Estrela 1")</f>
        <v>154🤙🏼Rang De Basanti🤙🏼Aamir Khan🤙🏼Estrela 1</v>
      </c>
      <c r="H614" s="5">
        <f>IFERROR(__xludf.DUMMYFUNCTION("SPLiT(G614, ""🤙🏼"",FALSE,FALSE)"),154.0)</f>
        <v>154</v>
      </c>
      <c r="I614" s="5" t="str">
        <f>IFERROR(__xludf.DUMMYFUNCTION("""COMPUTED_VALUE"""),"Rang De Basanti")</f>
        <v>Rang De Basanti</v>
      </c>
      <c r="J614" s="5" t="str">
        <f>IFERROR(__xludf.DUMMYFUNCTION("""COMPUTED_VALUE"""),"Aamir Khan")</f>
        <v>Aamir Khan</v>
      </c>
      <c r="K614" s="5" t="str">
        <f>IFERROR(__xludf.DUMMYFUNCTION("""COMPUTED_VALUE"""),"Estrela 1")</f>
        <v>Estrela 1</v>
      </c>
      <c r="P614" s="5">
        <f>IFERROR(__xludf.DUMMYFUNCTION("""COMPUTED_VALUE"""),154.0)</f>
        <v>154</v>
      </c>
      <c r="Q614" s="5" t="str">
        <f>IFERROR(__xludf.DUMMYFUNCTION("""COMPUTED_VALUE"""),"Rang De Basanti")</f>
        <v>Rang De Basanti</v>
      </c>
      <c r="R614" s="5" t="str">
        <f>IFERROR(__xludf.DUMMYFUNCTION("""COMPUTED_VALUE"""),"Aamir Khan")</f>
        <v>Aamir Khan</v>
      </c>
      <c r="S614" s="5" t="str">
        <f>IFERROR(__xludf.DUMMYFUNCTION("""COMPUTED_VALUE"""),"Estrela 1")</f>
        <v>Estrela 1</v>
      </c>
    </row>
    <row r="615">
      <c r="A615" s="1">
        <v>614.0</v>
      </c>
      <c r="B615" s="1" t="s">
        <v>3755</v>
      </c>
      <c r="C615" s="1" t="s">
        <v>673</v>
      </c>
      <c r="D615" s="1" t="s">
        <v>674</v>
      </c>
      <c r="E615" s="1" t="s">
        <v>3757</v>
      </c>
      <c r="F615" s="1" t="s">
        <v>3758</v>
      </c>
      <c r="G615" s="5" t="str">
        <f>IFERROR(__xludf.DUMMYFUNCTION("""COMPUTED_VALUE"""),"154🤙🏼Rang De Basanti🤙🏼Soha Ali Khan🤙🏼Estrela 2")</f>
        <v>154🤙🏼Rang De Basanti🤙🏼Soha Ali Khan🤙🏼Estrela 2</v>
      </c>
      <c r="H615" s="5">
        <f>IFERROR(__xludf.DUMMYFUNCTION("SPLiT(G615, ""🤙🏼"",FALSE,FALSE)"),154.0)</f>
        <v>154</v>
      </c>
      <c r="I615" s="5" t="str">
        <f>IFERROR(__xludf.DUMMYFUNCTION("""COMPUTED_VALUE"""),"Rang De Basanti")</f>
        <v>Rang De Basanti</v>
      </c>
      <c r="J615" s="5" t="str">
        <f>IFERROR(__xludf.DUMMYFUNCTION("""COMPUTED_VALUE"""),"Soha Ali Khan")</f>
        <v>Soha Ali Khan</v>
      </c>
      <c r="K615" s="5" t="str">
        <f>IFERROR(__xludf.DUMMYFUNCTION("""COMPUTED_VALUE"""),"Estrela 2")</f>
        <v>Estrela 2</v>
      </c>
      <c r="P615" s="5">
        <f>IFERROR(__xludf.DUMMYFUNCTION("""COMPUTED_VALUE"""),154.0)</f>
        <v>154</v>
      </c>
      <c r="Q615" s="5" t="str">
        <f>IFERROR(__xludf.DUMMYFUNCTION("""COMPUTED_VALUE"""),"Rang De Basanti")</f>
        <v>Rang De Basanti</v>
      </c>
      <c r="R615" s="5" t="str">
        <f>IFERROR(__xludf.DUMMYFUNCTION("""COMPUTED_VALUE"""),"Soha Ali Khan")</f>
        <v>Soha Ali Khan</v>
      </c>
      <c r="S615" s="5" t="str">
        <f>IFERROR(__xludf.DUMMYFUNCTION("""COMPUTED_VALUE"""),"Estrela 2")</f>
        <v>Estrela 2</v>
      </c>
    </row>
    <row r="616">
      <c r="A616" s="1">
        <v>615.0</v>
      </c>
      <c r="B616" s="1" t="s">
        <v>3759</v>
      </c>
      <c r="C616" s="1" t="s">
        <v>311</v>
      </c>
      <c r="D616" s="1" t="s">
        <v>42</v>
      </c>
      <c r="E616" s="1" t="s">
        <v>2254</v>
      </c>
      <c r="F616" s="1" t="s">
        <v>1544</v>
      </c>
      <c r="G616" s="5" t="str">
        <f>IFERROR(__xludf.DUMMYFUNCTION("""COMPUTED_VALUE"""),"154🤙🏼Rang De Basanti🤙🏼Siddharth🤙🏼Estrela 3")</f>
        <v>154🤙🏼Rang De Basanti🤙🏼Siddharth🤙🏼Estrela 3</v>
      </c>
      <c r="H616" s="5">
        <f>IFERROR(__xludf.DUMMYFUNCTION("SPLiT(G616, ""🤙🏼"",FALSE,FALSE)"),154.0)</f>
        <v>154</v>
      </c>
      <c r="I616" s="5" t="str">
        <f>IFERROR(__xludf.DUMMYFUNCTION("""COMPUTED_VALUE"""),"Rang De Basanti")</f>
        <v>Rang De Basanti</v>
      </c>
      <c r="J616" s="5" t="str">
        <f>IFERROR(__xludf.DUMMYFUNCTION("""COMPUTED_VALUE"""),"Siddharth")</f>
        <v>Siddharth</v>
      </c>
      <c r="K616" s="5" t="str">
        <f>IFERROR(__xludf.DUMMYFUNCTION("""COMPUTED_VALUE"""),"Estrela 3")</f>
        <v>Estrela 3</v>
      </c>
      <c r="P616" s="5">
        <f>IFERROR(__xludf.DUMMYFUNCTION("""COMPUTED_VALUE"""),154.0)</f>
        <v>154</v>
      </c>
      <c r="Q616" s="5" t="str">
        <f>IFERROR(__xludf.DUMMYFUNCTION("""COMPUTED_VALUE"""),"Rang De Basanti")</f>
        <v>Rang De Basanti</v>
      </c>
      <c r="R616" s="5" t="str">
        <f>IFERROR(__xludf.DUMMYFUNCTION("""COMPUTED_VALUE"""),"Siddharth")</f>
        <v>Siddharth</v>
      </c>
      <c r="S616" s="5" t="str">
        <f>IFERROR(__xludf.DUMMYFUNCTION("""COMPUTED_VALUE"""),"Estrela 3")</f>
        <v>Estrela 3</v>
      </c>
    </row>
    <row r="617">
      <c r="A617" s="1">
        <v>616.0</v>
      </c>
      <c r="B617" s="1" t="s">
        <v>3762</v>
      </c>
      <c r="C617" s="1" t="s">
        <v>82</v>
      </c>
      <c r="D617" s="1" t="s">
        <v>3765</v>
      </c>
      <c r="E617" s="1" t="s">
        <v>3766</v>
      </c>
      <c r="F617" s="1" t="s">
        <v>3767</v>
      </c>
      <c r="G617" s="5" t="str">
        <f>IFERROR(__xludf.DUMMYFUNCTION("""COMPUTED_VALUE"""),"154🤙🏼Rang De Basanti🤙🏼Sharman Joshi🤙🏼Estrela 4")</f>
        <v>154🤙🏼Rang De Basanti🤙🏼Sharman Joshi🤙🏼Estrela 4</v>
      </c>
      <c r="H617" s="5">
        <f>IFERROR(__xludf.DUMMYFUNCTION("SPLiT(G617, ""🤙🏼"",FALSE,FALSE)"),154.0)</f>
        <v>154</v>
      </c>
      <c r="I617" s="5" t="str">
        <f>IFERROR(__xludf.DUMMYFUNCTION("""COMPUTED_VALUE"""),"Rang De Basanti")</f>
        <v>Rang De Basanti</v>
      </c>
      <c r="J617" s="5" t="str">
        <f>IFERROR(__xludf.DUMMYFUNCTION("""COMPUTED_VALUE"""),"Sharman Joshi")</f>
        <v>Sharman Joshi</v>
      </c>
      <c r="K617" s="5" t="str">
        <f>IFERROR(__xludf.DUMMYFUNCTION("""COMPUTED_VALUE"""),"Estrela 4")</f>
        <v>Estrela 4</v>
      </c>
      <c r="P617" s="5">
        <f>IFERROR(__xludf.DUMMYFUNCTION("""COMPUTED_VALUE"""),154.0)</f>
        <v>154</v>
      </c>
      <c r="Q617" s="5" t="str">
        <f>IFERROR(__xludf.DUMMYFUNCTION("""COMPUTED_VALUE"""),"Rang De Basanti")</f>
        <v>Rang De Basanti</v>
      </c>
      <c r="R617" s="5" t="str">
        <f>IFERROR(__xludf.DUMMYFUNCTION("""COMPUTED_VALUE"""),"Sharman Joshi")</f>
        <v>Sharman Joshi</v>
      </c>
      <c r="S617" s="5" t="str">
        <f>IFERROR(__xludf.DUMMYFUNCTION("""COMPUTED_VALUE"""),"Estrela 4")</f>
        <v>Estrela 4</v>
      </c>
    </row>
    <row r="618">
      <c r="A618" s="1">
        <v>617.0</v>
      </c>
      <c r="B618" s="1" t="s">
        <v>3768</v>
      </c>
      <c r="C618" s="1" t="s">
        <v>3771</v>
      </c>
      <c r="D618" s="1" t="s">
        <v>3772</v>
      </c>
      <c r="E618" s="1" t="s">
        <v>3773</v>
      </c>
      <c r="F618" s="1" t="s">
        <v>3774</v>
      </c>
      <c r="G618" s="5" t="str">
        <f>IFERROR(__xludf.DUMMYFUNCTION("""COMPUTED_VALUE"""),"155🤙🏼Black🤙🏼Amitabh Bachchan🤙🏼Estrela 1")</f>
        <v>155🤙🏼Black🤙🏼Amitabh Bachchan🤙🏼Estrela 1</v>
      </c>
      <c r="H618" s="5">
        <f>IFERROR(__xludf.DUMMYFUNCTION("SPLiT(G618, ""🤙🏼"",FALSE,FALSE)"),155.0)</f>
        <v>155</v>
      </c>
      <c r="I618" s="5" t="str">
        <f>IFERROR(__xludf.DUMMYFUNCTION("""COMPUTED_VALUE"""),"Black")</f>
        <v>Black</v>
      </c>
      <c r="J618" s="5" t="str">
        <f>IFERROR(__xludf.DUMMYFUNCTION("""COMPUTED_VALUE"""),"Amitabh Bachchan")</f>
        <v>Amitabh Bachchan</v>
      </c>
      <c r="K618" s="5" t="str">
        <f>IFERROR(__xludf.DUMMYFUNCTION("""COMPUTED_VALUE"""),"Estrela 1")</f>
        <v>Estrela 1</v>
      </c>
      <c r="P618" s="5">
        <f>IFERROR(__xludf.DUMMYFUNCTION("""COMPUTED_VALUE"""),155.0)</f>
        <v>155</v>
      </c>
      <c r="Q618" s="5" t="str">
        <f>IFERROR(__xludf.DUMMYFUNCTION("""COMPUTED_VALUE"""),"Black")</f>
        <v>Black</v>
      </c>
      <c r="R618" s="5" t="str">
        <f>IFERROR(__xludf.DUMMYFUNCTION("""COMPUTED_VALUE"""),"Amitabh Bachchan")</f>
        <v>Amitabh Bachchan</v>
      </c>
      <c r="S618" s="5" t="str">
        <f>IFERROR(__xludf.DUMMYFUNCTION("""COMPUTED_VALUE"""),"Estrela 1")</f>
        <v>Estrela 1</v>
      </c>
    </row>
    <row r="619">
      <c r="A619" s="1">
        <v>618.0</v>
      </c>
      <c r="B619" s="1" t="s">
        <v>3775</v>
      </c>
      <c r="C619" s="1" t="s">
        <v>3777</v>
      </c>
      <c r="D619" s="1" t="s">
        <v>3778</v>
      </c>
      <c r="E619" s="1" t="s">
        <v>3779</v>
      </c>
      <c r="F619" s="1" t="s">
        <v>3780</v>
      </c>
      <c r="G619" s="5" t="str">
        <f>IFERROR(__xludf.DUMMYFUNCTION("""COMPUTED_VALUE"""),"155🤙🏼Black🤙🏼Rani Mukerji🤙🏼Estrela 2")</f>
        <v>155🤙🏼Black🤙🏼Rani Mukerji🤙🏼Estrela 2</v>
      </c>
      <c r="H619" s="5">
        <f>IFERROR(__xludf.DUMMYFUNCTION("SPLiT(G619, ""🤙🏼"",FALSE,FALSE)"),155.0)</f>
        <v>155</v>
      </c>
      <c r="I619" s="5" t="str">
        <f>IFERROR(__xludf.DUMMYFUNCTION("""COMPUTED_VALUE"""),"Black")</f>
        <v>Black</v>
      </c>
      <c r="J619" s="5" t="str">
        <f>IFERROR(__xludf.DUMMYFUNCTION("""COMPUTED_VALUE"""),"Rani Mukerji")</f>
        <v>Rani Mukerji</v>
      </c>
      <c r="K619" s="5" t="str">
        <f>IFERROR(__xludf.DUMMYFUNCTION("""COMPUTED_VALUE"""),"Estrela 2")</f>
        <v>Estrela 2</v>
      </c>
      <c r="P619" s="5">
        <f>IFERROR(__xludf.DUMMYFUNCTION("""COMPUTED_VALUE"""),155.0)</f>
        <v>155</v>
      </c>
      <c r="Q619" s="5" t="str">
        <f>IFERROR(__xludf.DUMMYFUNCTION("""COMPUTED_VALUE"""),"Black")</f>
        <v>Black</v>
      </c>
      <c r="R619" s="5" t="str">
        <f>IFERROR(__xludf.DUMMYFUNCTION("""COMPUTED_VALUE"""),"Rani Mukerji")</f>
        <v>Rani Mukerji</v>
      </c>
      <c r="S619" s="5" t="str">
        <f>IFERROR(__xludf.DUMMYFUNCTION("""COMPUTED_VALUE"""),"Estrela 2")</f>
        <v>Estrela 2</v>
      </c>
    </row>
    <row r="620">
      <c r="A620" s="1">
        <v>619.0</v>
      </c>
      <c r="B620" s="1" t="s">
        <v>3781</v>
      </c>
      <c r="C620" s="1" t="s">
        <v>3733</v>
      </c>
      <c r="D620" s="1" t="s">
        <v>67</v>
      </c>
      <c r="E620" s="1" t="s">
        <v>3734</v>
      </c>
      <c r="F620" s="1" t="s">
        <v>3783</v>
      </c>
      <c r="G620" s="5" t="str">
        <f>IFERROR(__xludf.DUMMYFUNCTION("""COMPUTED_VALUE"""),"155🤙🏼Black🤙🏼Shernaz Patel🤙🏼Estrela 3")</f>
        <v>155🤙🏼Black🤙🏼Shernaz Patel🤙🏼Estrela 3</v>
      </c>
      <c r="H620" s="5">
        <f>IFERROR(__xludf.DUMMYFUNCTION("SPLiT(G620, ""🤙🏼"",FALSE,FALSE)"),155.0)</f>
        <v>155</v>
      </c>
      <c r="I620" s="5" t="str">
        <f>IFERROR(__xludf.DUMMYFUNCTION("""COMPUTED_VALUE"""),"Black")</f>
        <v>Black</v>
      </c>
      <c r="J620" s="5" t="str">
        <f>IFERROR(__xludf.DUMMYFUNCTION("""COMPUTED_VALUE"""),"Shernaz Patel")</f>
        <v>Shernaz Patel</v>
      </c>
      <c r="K620" s="5" t="str">
        <f>IFERROR(__xludf.DUMMYFUNCTION("""COMPUTED_VALUE"""),"Estrela 3")</f>
        <v>Estrela 3</v>
      </c>
      <c r="P620" s="5">
        <f>IFERROR(__xludf.DUMMYFUNCTION("""COMPUTED_VALUE"""),155.0)</f>
        <v>155</v>
      </c>
      <c r="Q620" s="5" t="str">
        <f>IFERROR(__xludf.DUMMYFUNCTION("""COMPUTED_VALUE"""),"Black")</f>
        <v>Black</v>
      </c>
      <c r="R620" s="5" t="str">
        <f>IFERROR(__xludf.DUMMYFUNCTION("""COMPUTED_VALUE"""),"Shernaz Patel")</f>
        <v>Shernaz Patel</v>
      </c>
      <c r="S620" s="5" t="str">
        <f>IFERROR(__xludf.DUMMYFUNCTION("""COMPUTED_VALUE"""),"Estrela 3")</f>
        <v>Estrela 3</v>
      </c>
    </row>
    <row r="621">
      <c r="A621" s="1">
        <v>620.0</v>
      </c>
      <c r="B621" s="1" t="s">
        <v>3784</v>
      </c>
      <c r="C621" s="1" t="s">
        <v>3786</v>
      </c>
      <c r="D621" s="1" t="s">
        <v>3787</v>
      </c>
      <c r="E621" s="1" t="s">
        <v>3788</v>
      </c>
      <c r="F621" s="1" t="s">
        <v>3789</v>
      </c>
      <c r="G621" s="5" t="str">
        <f>IFERROR(__xludf.DUMMYFUNCTION("""COMPUTED_VALUE"""),"155🤙🏼Black🤙🏼Ayesha Kapoor🤙🏼Estrela 4")</f>
        <v>155🤙🏼Black🤙🏼Ayesha Kapoor🤙🏼Estrela 4</v>
      </c>
      <c r="H621" s="5">
        <f>IFERROR(__xludf.DUMMYFUNCTION("SPLiT(G621, ""🤙🏼"",FALSE,FALSE)"),155.0)</f>
        <v>155</v>
      </c>
      <c r="I621" s="5" t="str">
        <f>IFERROR(__xludf.DUMMYFUNCTION("""COMPUTED_VALUE"""),"Black")</f>
        <v>Black</v>
      </c>
      <c r="J621" s="5" t="str">
        <f>IFERROR(__xludf.DUMMYFUNCTION("""COMPUTED_VALUE"""),"Ayesha Kapoor")</f>
        <v>Ayesha Kapoor</v>
      </c>
      <c r="K621" s="5" t="str">
        <f>IFERROR(__xludf.DUMMYFUNCTION("""COMPUTED_VALUE"""),"Estrela 4")</f>
        <v>Estrela 4</v>
      </c>
      <c r="P621" s="5">
        <f>IFERROR(__xludf.DUMMYFUNCTION("""COMPUTED_VALUE"""),155.0)</f>
        <v>155</v>
      </c>
      <c r="Q621" s="5" t="str">
        <f>IFERROR(__xludf.DUMMYFUNCTION("""COMPUTED_VALUE"""),"Black")</f>
        <v>Black</v>
      </c>
      <c r="R621" s="5" t="str">
        <f>IFERROR(__xludf.DUMMYFUNCTION("""COMPUTED_VALUE"""),"Ayesha Kapoor")</f>
        <v>Ayesha Kapoor</v>
      </c>
      <c r="S621" s="5" t="str">
        <f>IFERROR(__xludf.DUMMYFUNCTION("""COMPUTED_VALUE"""),"Estrela 4")</f>
        <v>Estrela 4</v>
      </c>
    </row>
    <row r="622">
      <c r="A622" s="1">
        <v>621.0</v>
      </c>
      <c r="B622" s="1" t="s">
        <v>3790</v>
      </c>
      <c r="C622" s="1" t="s">
        <v>2237</v>
      </c>
      <c r="D622" s="1" t="s">
        <v>3022</v>
      </c>
      <c r="E622" s="1" t="s">
        <v>2541</v>
      </c>
      <c r="F622" s="1" t="s">
        <v>3605</v>
      </c>
      <c r="G622" s="5" t="str">
        <f>IFERROR(__xludf.DUMMYFUNCTION("""COMPUTED_VALUE"""),"156🤙🏼Batman Begins🤙🏼Christian Bale🤙🏼Estrela 1")</f>
        <v>156🤙🏼Batman Begins🤙🏼Christian Bale🤙🏼Estrela 1</v>
      </c>
      <c r="H622" s="5">
        <f>IFERROR(__xludf.DUMMYFUNCTION("SPLiT(G622, ""🤙🏼"",FALSE,FALSE)"),156.0)</f>
        <v>156</v>
      </c>
      <c r="I622" s="5" t="str">
        <f>IFERROR(__xludf.DUMMYFUNCTION("""COMPUTED_VALUE"""),"Batman Begins")</f>
        <v>Batman Begins</v>
      </c>
      <c r="J622" s="5" t="str">
        <f>IFERROR(__xludf.DUMMYFUNCTION("""COMPUTED_VALUE"""),"Christian Bale")</f>
        <v>Christian Bale</v>
      </c>
      <c r="K622" s="5" t="str">
        <f>IFERROR(__xludf.DUMMYFUNCTION("""COMPUTED_VALUE"""),"Estrela 1")</f>
        <v>Estrela 1</v>
      </c>
      <c r="P622" s="5">
        <f>IFERROR(__xludf.DUMMYFUNCTION("""COMPUTED_VALUE"""),156.0)</f>
        <v>156</v>
      </c>
      <c r="Q622" s="5" t="str">
        <f>IFERROR(__xludf.DUMMYFUNCTION("""COMPUTED_VALUE"""),"Batman Begins")</f>
        <v>Batman Begins</v>
      </c>
      <c r="R622" s="5" t="str">
        <f>IFERROR(__xludf.DUMMYFUNCTION("""COMPUTED_VALUE"""),"Christian Bale")</f>
        <v>Christian Bale</v>
      </c>
      <c r="S622" s="5" t="str">
        <f>IFERROR(__xludf.DUMMYFUNCTION("""COMPUTED_VALUE"""),"Estrela 1")</f>
        <v>Estrela 1</v>
      </c>
    </row>
    <row r="623">
      <c r="A623" s="1">
        <v>622.0</v>
      </c>
      <c r="B623" s="1" t="s">
        <v>3793</v>
      </c>
      <c r="C623" s="1" t="s">
        <v>2175</v>
      </c>
      <c r="D623" s="1" t="s">
        <v>3796</v>
      </c>
      <c r="E623" s="1" t="s">
        <v>2972</v>
      </c>
      <c r="F623" s="1" t="s">
        <v>828</v>
      </c>
      <c r="G623" s="5" t="str">
        <f>IFERROR(__xludf.DUMMYFUNCTION("""COMPUTED_VALUE"""),"156🤙🏼Batman Begins🤙🏼Michael Caine🤙🏼Estrela 2")</f>
        <v>156🤙🏼Batman Begins🤙🏼Michael Caine🤙🏼Estrela 2</v>
      </c>
      <c r="H623" s="5">
        <f>IFERROR(__xludf.DUMMYFUNCTION("SPLiT(G623, ""🤙🏼"",FALSE,FALSE)"),156.0)</f>
        <v>156</v>
      </c>
      <c r="I623" s="5" t="str">
        <f>IFERROR(__xludf.DUMMYFUNCTION("""COMPUTED_VALUE"""),"Batman Begins")</f>
        <v>Batman Begins</v>
      </c>
      <c r="J623" s="5" t="str">
        <f>IFERROR(__xludf.DUMMYFUNCTION("""COMPUTED_VALUE"""),"Michael Caine")</f>
        <v>Michael Caine</v>
      </c>
      <c r="K623" s="5" t="str">
        <f>IFERROR(__xludf.DUMMYFUNCTION("""COMPUTED_VALUE"""),"Estrela 2")</f>
        <v>Estrela 2</v>
      </c>
      <c r="P623" s="5">
        <f>IFERROR(__xludf.DUMMYFUNCTION("""COMPUTED_VALUE"""),156.0)</f>
        <v>156</v>
      </c>
      <c r="Q623" s="5" t="str">
        <f>IFERROR(__xludf.DUMMYFUNCTION("""COMPUTED_VALUE"""),"Batman Begins")</f>
        <v>Batman Begins</v>
      </c>
      <c r="R623" s="5" t="str">
        <f>IFERROR(__xludf.DUMMYFUNCTION("""COMPUTED_VALUE"""),"Michael Caine")</f>
        <v>Michael Caine</v>
      </c>
      <c r="S623" s="5" t="str">
        <f>IFERROR(__xludf.DUMMYFUNCTION("""COMPUTED_VALUE"""),"Estrela 2")</f>
        <v>Estrela 2</v>
      </c>
    </row>
    <row r="624">
      <c r="A624" s="1">
        <v>623.0</v>
      </c>
      <c r="B624" s="1" t="s">
        <v>3797</v>
      </c>
      <c r="C624" s="1" t="s">
        <v>3799</v>
      </c>
      <c r="D624" s="1" t="s">
        <v>325</v>
      </c>
      <c r="E624" s="1" t="s">
        <v>1503</v>
      </c>
      <c r="F624" s="1" t="s">
        <v>1616</v>
      </c>
      <c r="G624" s="5" t="str">
        <f>IFERROR(__xludf.DUMMYFUNCTION("""COMPUTED_VALUE"""),"156🤙🏼Batman Begins🤙🏼Ken Watanabe🤙🏼Estrela 3")</f>
        <v>156🤙🏼Batman Begins🤙🏼Ken Watanabe🤙🏼Estrela 3</v>
      </c>
      <c r="H624" s="5">
        <f>IFERROR(__xludf.DUMMYFUNCTION("SPLiT(G624, ""🤙🏼"",FALSE,FALSE)"),156.0)</f>
        <v>156</v>
      </c>
      <c r="I624" s="5" t="str">
        <f>IFERROR(__xludf.DUMMYFUNCTION("""COMPUTED_VALUE"""),"Batman Begins")</f>
        <v>Batman Begins</v>
      </c>
      <c r="J624" s="5" t="str">
        <f>IFERROR(__xludf.DUMMYFUNCTION("""COMPUTED_VALUE"""),"Ken Watanabe")</f>
        <v>Ken Watanabe</v>
      </c>
      <c r="K624" s="5" t="str">
        <f>IFERROR(__xludf.DUMMYFUNCTION("""COMPUTED_VALUE"""),"Estrela 3")</f>
        <v>Estrela 3</v>
      </c>
      <c r="P624" s="5">
        <f>IFERROR(__xludf.DUMMYFUNCTION("""COMPUTED_VALUE"""),156.0)</f>
        <v>156</v>
      </c>
      <c r="Q624" s="5" t="str">
        <f>IFERROR(__xludf.DUMMYFUNCTION("""COMPUTED_VALUE"""),"Batman Begins")</f>
        <v>Batman Begins</v>
      </c>
      <c r="R624" s="5" t="str">
        <f>IFERROR(__xludf.DUMMYFUNCTION("""COMPUTED_VALUE"""),"Ken Watanabe")</f>
        <v>Ken Watanabe</v>
      </c>
      <c r="S624" s="5" t="str">
        <f>IFERROR(__xludf.DUMMYFUNCTION("""COMPUTED_VALUE"""),"Estrela 3")</f>
        <v>Estrela 3</v>
      </c>
    </row>
    <row r="625">
      <c r="A625" s="1">
        <v>624.0</v>
      </c>
      <c r="B625" s="1" t="s">
        <v>3800</v>
      </c>
      <c r="C625" s="1" t="s">
        <v>1485</v>
      </c>
      <c r="D625" s="1" t="s">
        <v>2246</v>
      </c>
      <c r="E625" s="1" t="s">
        <v>583</v>
      </c>
      <c r="F625" s="1" t="s">
        <v>3802</v>
      </c>
      <c r="G625" s="5" t="str">
        <f>IFERROR(__xludf.DUMMYFUNCTION("""COMPUTED_VALUE"""),"156🤙🏼Batman Begins🤙🏼Liam Neeson🤙🏼Estrela 4")</f>
        <v>156🤙🏼Batman Begins🤙🏼Liam Neeson🤙🏼Estrela 4</v>
      </c>
      <c r="H625" s="5">
        <f>IFERROR(__xludf.DUMMYFUNCTION("SPLiT(G625, ""🤙🏼"",FALSE,FALSE)"),156.0)</f>
        <v>156</v>
      </c>
      <c r="I625" s="5" t="str">
        <f>IFERROR(__xludf.DUMMYFUNCTION("""COMPUTED_VALUE"""),"Batman Begins")</f>
        <v>Batman Begins</v>
      </c>
      <c r="J625" s="5" t="str">
        <f>IFERROR(__xludf.DUMMYFUNCTION("""COMPUTED_VALUE"""),"Liam Neeson")</f>
        <v>Liam Neeson</v>
      </c>
      <c r="K625" s="5" t="str">
        <f>IFERROR(__xludf.DUMMYFUNCTION("""COMPUTED_VALUE"""),"Estrela 4")</f>
        <v>Estrela 4</v>
      </c>
      <c r="P625" s="5">
        <f>IFERROR(__xludf.DUMMYFUNCTION("""COMPUTED_VALUE"""),156.0)</f>
        <v>156</v>
      </c>
      <c r="Q625" s="5" t="str">
        <f>IFERROR(__xludf.DUMMYFUNCTION("""COMPUTED_VALUE"""),"Batman Begins")</f>
        <v>Batman Begins</v>
      </c>
      <c r="R625" s="5" t="str">
        <f>IFERROR(__xludf.DUMMYFUNCTION("""COMPUTED_VALUE"""),"Liam Neeson")</f>
        <v>Liam Neeson</v>
      </c>
      <c r="S625" s="5" t="str">
        <f>IFERROR(__xludf.DUMMYFUNCTION("""COMPUTED_VALUE"""),"Estrela 4")</f>
        <v>Estrela 4</v>
      </c>
    </row>
    <row r="626">
      <c r="A626" s="1">
        <v>625.0</v>
      </c>
      <c r="B626" s="1" t="s">
        <v>3803</v>
      </c>
      <c r="C626" s="1" t="s">
        <v>741</v>
      </c>
      <c r="D626" s="1" t="s">
        <v>3807</v>
      </c>
      <c r="E626" s="1" t="s">
        <v>710</v>
      </c>
      <c r="F626" s="1" t="s">
        <v>3808</v>
      </c>
      <c r="G626" s="5" t="str">
        <f>IFERROR(__xludf.DUMMYFUNCTION("""COMPUTED_VALUE"""),"157🤙🏼Swades: We, the People🤙🏼Shah Rukh Khan🤙🏼Estrela 1")</f>
        <v>157🤙🏼Swades: We, the People🤙🏼Shah Rukh Khan🤙🏼Estrela 1</v>
      </c>
      <c r="H626" s="5">
        <f>IFERROR(__xludf.DUMMYFUNCTION("SPLiT(G626, ""🤙🏼"",FALSE,FALSE)"),157.0)</f>
        <v>157</v>
      </c>
      <c r="I626" s="5" t="str">
        <f>IFERROR(__xludf.DUMMYFUNCTION("""COMPUTED_VALUE"""),"Swades: We, the People")</f>
        <v>Swades: We, the People</v>
      </c>
      <c r="J626" s="5" t="str">
        <f>IFERROR(__xludf.DUMMYFUNCTION("""COMPUTED_VALUE"""),"Shah Rukh Khan")</f>
        <v>Shah Rukh Khan</v>
      </c>
      <c r="K626" s="5" t="str">
        <f>IFERROR(__xludf.DUMMYFUNCTION("""COMPUTED_VALUE"""),"Estrela 1")</f>
        <v>Estrela 1</v>
      </c>
      <c r="P626" s="5">
        <f>IFERROR(__xludf.DUMMYFUNCTION("""COMPUTED_VALUE"""),157.0)</f>
        <v>157</v>
      </c>
      <c r="Q626" s="5" t="str">
        <f>IFERROR(__xludf.DUMMYFUNCTION("""COMPUTED_VALUE"""),"Swades: We, the People")</f>
        <v>Swades: We, the People</v>
      </c>
      <c r="R626" s="5" t="str">
        <f>IFERROR(__xludf.DUMMYFUNCTION("""COMPUTED_VALUE"""),"Shah Rukh Khan")</f>
        <v>Shah Rukh Khan</v>
      </c>
      <c r="S626" s="5" t="str">
        <f>IFERROR(__xludf.DUMMYFUNCTION("""COMPUTED_VALUE"""),"Estrela 1")</f>
        <v>Estrela 1</v>
      </c>
    </row>
    <row r="627">
      <c r="A627" s="1">
        <v>626.0</v>
      </c>
      <c r="B627" s="1" t="s">
        <v>3809</v>
      </c>
      <c r="C627" s="1" t="s">
        <v>3811</v>
      </c>
      <c r="D627" s="1" t="s">
        <v>3812</v>
      </c>
      <c r="E627" s="1" t="s">
        <v>3813</v>
      </c>
      <c r="F627" s="1" t="s">
        <v>3814</v>
      </c>
      <c r="G627" s="5" t="str">
        <f>IFERROR(__xludf.DUMMYFUNCTION("""COMPUTED_VALUE"""),"157🤙🏼Swades: We, the People🤙🏼Gayatri Joshi🤙🏼Estrela 2")</f>
        <v>157🤙🏼Swades: We, the People🤙🏼Gayatri Joshi🤙🏼Estrela 2</v>
      </c>
      <c r="H627" s="5">
        <f>IFERROR(__xludf.DUMMYFUNCTION("SPLiT(G627, ""🤙🏼"",FALSE,FALSE)"),157.0)</f>
        <v>157</v>
      </c>
      <c r="I627" s="5" t="str">
        <f>IFERROR(__xludf.DUMMYFUNCTION("""COMPUTED_VALUE"""),"Swades: We, the People")</f>
        <v>Swades: We, the People</v>
      </c>
      <c r="J627" s="5" t="str">
        <f>IFERROR(__xludf.DUMMYFUNCTION("""COMPUTED_VALUE"""),"Gayatri Joshi")</f>
        <v>Gayatri Joshi</v>
      </c>
      <c r="K627" s="5" t="str">
        <f>IFERROR(__xludf.DUMMYFUNCTION("""COMPUTED_VALUE"""),"Estrela 2")</f>
        <v>Estrela 2</v>
      </c>
      <c r="P627" s="5">
        <f>IFERROR(__xludf.DUMMYFUNCTION("""COMPUTED_VALUE"""),157.0)</f>
        <v>157</v>
      </c>
      <c r="Q627" s="5" t="str">
        <f>IFERROR(__xludf.DUMMYFUNCTION("""COMPUTED_VALUE"""),"Swades: We, the People")</f>
        <v>Swades: We, the People</v>
      </c>
      <c r="R627" s="5" t="str">
        <f>IFERROR(__xludf.DUMMYFUNCTION("""COMPUTED_VALUE"""),"Gayatri Joshi")</f>
        <v>Gayatri Joshi</v>
      </c>
      <c r="S627" s="5" t="str">
        <f>IFERROR(__xludf.DUMMYFUNCTION("""COMPUTED_VALUE"""),"Estrela 2")</f>
        <v>Estrela 2</v>
      </c>
    </row>
    <row r="628">
      <c r="A628" s="1">
        <v>627.0</v>
      </c>
      <c r="B628" s="1" t="s">
        <v>3815</v>
      </c>
      <c r="C628" s="1" t="s">
        <v>3818</v>
      </c>
      <c r="D628" s="1" t="s">
        <v>3685</v>
      </c>
      <c r="E628" s="1" t="s">
        <v>1592</v>
      </c>
      <c r="F628" s="1" t="s">
        <v>3819</v>
      </c>
      <c r="G628" s="5" t="str">
        <f>IFERROR(__xludf.DUMMYFUNCTION("""COMPUTED_VALUE"""),"157🤙🏼Swades: We, the People🤙🏼Kishori Ballal🤙🏼Estrela 3")</f>
        <v>157🤙🏼Swades: We, the People🤙🏼Kishori Ballal🤙🏼Estrela 3</v>
      </c>
      <c r="H628" s="5">
        <f>IFERROR(__xludf.DUMMYFUNCTION("SPLiT(G628, ""🤙🏼"",FALSE,FALSE)"),157.0)</f>
        <v>157</v>
      </c>
      <c r="I628" s="5" t="str">
        <f>IFERROR(__xludf.DUMMYFUNCTION("""COMPUTED_VALUE"""),"Swades: We, the People")</f>
        <v>Swades: We, the People</v>
      </c>
      <c r="J628" s="5" t="str">
        <f>IFERROR(__xludf.DUMMYFUNCTION("""COMPUTED_VALUE"""),"Kishori Ballal")</f>
        <v>Kishori Ballal</v>
      </c>
      <c r="K628" s="5" t="str">
        <f>IFERROR(__xludf.DUMMYFUNCTION("""COMPUTED_VALUE"""),"Estrela 3")</f>
        <v>Estrela 3</v>
      </c>
      <c r="P628" s="5">
        <f>IFERROR(__xludf.DUMMYFUNCTION("""COMPUTED_VALUE"""),157.0)</f>
        <v>157</v>
      </c>
      <c r="Q628" s="5" t="str">
        <f>IFERROR(__xludf.DUMMYFUNCTION("""COMPUTED_VALUE"""),"Swades: We, the People")</f>
        <v>Swades: We, the People</v>
      </c>
      <c r="R628" s="5" t="str">
        <f>IFERROR(__xludf.DUMMYFUNCTION("""COMPUTED_VALUE"""),"Kishori Ballal")</f>
        <v>Kishori Ballal</v>
      </c>
      <c r="S628" s="5" t="str">
        <f>IFERROR(__xludf.DUMMYFUNCTION("""COMPUTED_VALUE"""),"Estrela 3")</f>
        <v>Estrela 3</v>
      </c>
    </row>
    <row r="629">
      <c r="A629" s="1">
        <v>628.0</v>
      </c>
      <c r="B629" s="1" t="s">
        <v>3820</v>
      </c>
      <c r="C629" s="1" t="s">
        <v>3102</v>
      </c>
      <c r="D629" s="1" t="s">
        <v>3159</v>
      </c>
      <c r="E629" s="1" t="s">
        <v>3733</v>
      </c>
      <c r="F629" s="1" t="s">
        <v>3619</v>
      </c>
      <c r="G629" s="5" t="str">
        <f>IFERROR(__xludf.DUMMYFUNCTION("""COMPUTED_VALUE"""),"157🤙🏼Swades: We, the People🤙🏼Smit Sheth🤙🏼Estrela 4")</f>
        <v>157🤙🏼Swades: We, the People🤙🏼Smit Sheth🤙🏼Estrela 4</v>
      </c>
      <c r="H629" s="5">
        <f>IFERROR(__xludf.DUMMYFUNCTION("SPLiT(G629, ""🤙🏼"",FALSE,FALSE)"),157.0)</f>
        <v>157</v>
      </c>
      <c r="I629" s="5" t="str">
        <f>IFERROR(__xludf.DUMMYFUNCTION("""COMPUTED_VALUE"""),"Swades: We, the People")</f>
        <v>Swades: We, the People</v>
      </c>
      <c r="J629" s="5" t="str">
        <f>IFERROR(__xludf.DUMMYFUNCTION("""COMPUTED_VALUE"""),"Smit Sheth")</f>
        <v>Smit Sheth</v>
      </c>
      <c r="K629" s="5" t="str">
        <f>IFERROR(__xludf.DUMMYFUNCTION("""COMPUTED_VALUE"""),"Estrela 4")</f>
        <v>Estrela 4</v>
      </c>
      <c r="P629" s="5">
        <f>IFERROR(__xludf.DUMMYFUNCTION("""COMPUTED_VALUE"""),157.0)</f>
        <v>157</v>
      </c>
      <c r="Q629" s="5" t="str">
        <f>IFERROR(__xludf.DUMMYFUNCTION("""COMPUTED_VALUE"""),"Swades: We, the People")</f>
        <v>Swades: We, the People</v>
      </c>
      <c r="R629" s="5" t="str">
        <f>IFERROR(__xludf.DUMMYFUNCTION("""COMPUTED_VALUE"""),"Smit Sheth")</f>
        <v>Smit Sheth</v>
      </c>
      <c r="S629" s="5" t="str">
        <f>IFERROR(__xludf.DUMMYFUNCTION("""COMPUTED_VALUE"""),"Estrela 4")</f>
        <v>Estrela 4</v>
      </c>
    </row>
    <row r="630">
      <c r="A630" s="1">
        <v>629.0</v>
      </c>
      <c r="B630" s="1" t="s">
        <v>3823</v>
      </c>
      <c r="C630" s="1" t="s">
        <v>98</v>
      </c>
      <c r="D630" s="1" t="s">
        <v>2996</v>
      </c>
      <c r="E630" s="1" t="s">
        <v>3826</v>
      </c>
      <c r="F630" s="1" t="s">
        <v>3827</v>
      </c>
      <c r="G630" s="5" t="str">
        <f>IFERROR(__xludf.DUMMYFUNCTION("""COMPUTED_VALUE"""),"158🤙🏼Der Untergang🤙🏼Bruno Ganz🤙🏼Estrela 1")</f>
        <v>158🤙🏼Der Untergang🤙🏼Bruno Ganz🤙🏼Estrela 1</v>
      </c>
      <c r="H630" s="5">
        <f>IFERROR(__xludf.DUMMYFUNCTION("SPLiT(G630, ""🤙🏼"",FALSE,FALSE)"),158.0)</f>
        <v>158</v>
      </c>
      <c r="I630" s="5" t="str">
        <f>IFERROR(__xludf.DUMMYFUNCTION("""COMPUTED_VALUE"""),"Der Untergang")</f>
        <v>Der Untergang</v>
      </c>
      <c r="J630" s="5" t="str">
        <f>IFERROR(__xludf.DUMMYFUNCTION("""COMPUTED_VALUE"""),"Bruno Ganz")</f>
        <v>Bruno Ganz</v>
      </c>
      <c r="K630" s="5" t="str">
        <f>IFERROR(__xludf.DUMMYFUNCTION("""COMPUTED_VALUE"""),"Estrela 1")</f>
        <v>Estrela 1</v>
      </c>
      <c r="P630" s="5">
        <f>IFERROR(__xludf.DUMMYFUNCTION("""COMPUTED_VALUE"""),158.0)</f>
        <v>158</v>
      </c>
      <c r="Q630" s="5" t="str">
        <f>IFERROR(__xludf.DUMMYFUNCTION("""COMPUTED_VALUE"""),"Der Untergang")</f>
        <v>Der Untergang</v>
      </c>
      <c r="R630" s="5" t="str">
        <f>IFERROR(__xludf.DUMMYFUNCTION("""COMPUTED_VALUE"""),"Bruno Ganz")</f>
        <v>Bruno Ganz</v>
      </c>
      <c r="S630" s="5" t="str">
        <f>IFERROR(__xludf.DUMMYFUNCTION("""COMPUTED_VALUE"""),"Estrela 1")</f>
        <v>Estrela 1</v>
      </c>
    </row>
    <row r="631">
      <c r="A631" s="1">
        <v>630.0</v>
      </c>
      <c r="B631" s="1" t="s">
        <v>3828</v>
      </c>
      <c r="C631" s="1" t="s">
        <v>1084</v>
      </c>
      <c r="D631" s="1" t="s">
        <v>1661</v>
      </c>
      <c r="E631" s="1" t="s">
        <v>1122</v>
      </c>
      <c r="F631" s="1" t="s">
        <v>3832</v>
      </c>
      <c r="G631" s="5" t="str">
        <f>IFERROR(__xludf.DUMMYFUNCTION("""COMPUTED_VALUE"""),"158🤙🏼Der Untergang🤙🏼Alexandra Maria Lara🤙🏼Estrela 2")</f>
        <v>158🤙🏼Der Untergang🤙🏼Alexandra Maria Lara🤙🏼Estrela 2</v>
      </c>
      <c r="H631" s="5">
        <f>IFERROR(__xludf.DUMMYFUNCTION("SPLiT(G631, ""🤙🏼"",FALSE,FALSE)"),158.0)</f>
        <v>158</v>
      </c>
      <c r="I631" s="5" t="str">
        <f>IFERROR(__xludf.DUMMYFUNCTION("""COMPUTED_VALUE"""),"Der Untergang")</f>
        <v>Der Untergang</v>
      </c>
      <c r="J631" s="5" t="str">
        <f>IFERROR(__xludf.DUMMYFUNCTION("""COMPUTED_VALUE"""),"Alexandra Maria Lara")</f>
        <v>Alexandra Maria Lara</v>
      </c>
      <c r="K631" s="5" t="str">
        <f>IFERROR(__xludf.DUMMYFUNCTION("""COMPUTED_VALUE"""),"Estrela 2")</f>
        <v>Estrela 2</v>
      </c>
      <c r="P631" s="5">
        <f>IFERROR(__xludf.DUMMYFUNCTION("""COMPUTED_VALUE"""),158.0)</f>
        <v>158</v>
      </c>
      <c r="Q631" s="5" t="str">
        <f>IFERROR(__xludf.DUMMYFUNCTION("""COMPUTED_VALUE"""),"Der Untergang")</f>
        <v>Der Untergang</v>
      </c>
      <c r="R631" s="5" t="str">
        <f>IFERROR(__xludf.DUMMYFUNCTION("""COMPUTED_VALUE"""),"Alexandra Maria Lara")</f>
        <v>Alexandra Maria Lara</v>
      </c>
      <c r="S631" s="5" t="str">
        <f>IFERROR(__xludf.DUMMYFUNCTION("""COMPUTED_VALUE"""),"Estrela 2")</f>
        <v>Estrela 2</v>
      </c>
    </row>
    <row r="632">
      <c r="A632" s="1">
        <v>631.0</v>
      </c>
      <c r="B632" s="1" t="s">
        <v>3833</v>
      </c>
      <c r="C632" s="1" t="s">
        <v>2508</v>
      </c>
      <c r="D632" s="1" t="s">
        <v>673</v>
      </c>
      <c r="E632" s="1" t="s">
        <v>3836</v>
      </c>
      <c r="F632" s="1" t="s">
        <v>2510</v>
      </c>
      <c r="G632" s="5" t="str">
        <f>IFERROR(__xludf.DUMMYFUNCTION("""COMPUTED_VALUE"""),"158🤙🏼Der Untergang🤙🏼Ulrich Matthes🤙🏼Estrela 3")</f>
        <v>158🤙🏼Der Untergang🤙🏼Ulrich Matthes🤙🏼Estrela 3</v>
      </c>
      <c r="H632" s="5">
        <f>IFERROR(__xludf.DUMMYFUNCTION("SPLiT(G632, ""🤙🏼"",FALSE,FALSE)"),158.0)</f>
        <v>158</v>
      </c>
      <c r="I632" s="5" t="str">
        <f>IFERROR(__xludf.DUMMYFUNCTION("""COMPUTED_VALUE"""),"Der Untergang")</f>
        <v>Der Untergang</v>
      </c>
      <c r="J632" s="5" t="str">
        <f>IFERROR(__xludf.DUMMYFUNCTION("""COMPUTED_VALUE"""),"Ulrich Matthes")</f>
        <v>Ulrich Matthes</v>
      </c>
      <c r="K632" s="5" t="str">
        <f>IFERROR(__xludf.DUMMYFUNCTION("""COMPUTED_VALUE"""),"Estrela 3")</f>
        <v>Estrela 3</v>
      </c>
      <c r="P632" s="5">
        <f>IFERROR(__xludf.DUMMYFUNCTION("""COMPUTED_VALUE"""),158.0)</f>
        <v>158</v>
      </c>
      <c r="Q632" s="5" t="str">
        <f>IFERROR(__xludf.DUMMYFUNCTION("""COMPUTED_VALUE"""),"Der Untergang")</f>
        <v>Der Untergang</v>
      </c>
      <c r="R632" s="5" t="str">
        <f>IFERROR(__xludf.DUMMYFUNCTION("""COMPUTED_VALUE"""),"Ulrich Matthes")</f>
        <v>Ulrich Matthes</v>
      </c>
      <c r="S632" s="5" t="str">
        <f>IFERROR(__xludf.DUMMYFUNCTION("""COMPUTED_VALUE"""),"Estrela 3")</f>
        <v>Estrela 3</v>
      </c>
    </row>
    <row r="633">
      <c r="A633" s="1">
        <v>632.0</v>
      </c>
      <c r="B633" s="1" t="s">
        <v>3837</v>
      </c>
      <c r="C633" s="1" t="s">
        <v>2237</v>
      </c>
      <c r="D633" s="1" t="s">
        <v>3839</v>
      </c>
      <c r="E633" s="1" t="s">
        <v>2541</v>
      </c>
      <c r="F633" s="1" t="s">
        <v>3674</v>
      </c>
      <c r="G633" s="5" t="str">
        <f>IFERROR(__xludf.DUMMYFUNCTION("""COMPUTED_VALUE"""),"158🤙🏼Der Untergang🤙🏼Juliane Köhler🤙🏼Estrela 4")</f>
        <v>158🤙🏼Der Untergang🤙🏼Juliane Köhler🤙🏼Estrela 4</v>
      </c>
      <c r="H633" s="5">
        <f>IFERROR(__xludf.DUMMYFUNCTION("SPLiT(G633, ""🤙🏼"",FALSE,FALSE)"),158.0)</f>
        <v>158</v>
      </c>
      <c r="I633" s="5" t="str">
        <f>IFERROR(__xludf.DUMMYFUNCTION("""COMPUTED_VALUE"""),"Der Untergang")</f>
        <v>Der Untergang</v>
      </c>
      <c r="J633" s="5" t="str">
        <f>IFERROR(__xludf.DUMMYFUNCTION("""COMPUTED_VALUE"""),"Juliane Köhler")</f>
        <v>Juliane Köhler</v>
      </c>
      <c r="K633" s="5" t="str">
        <f>IFERROR(__xludf.DUMMYFUNCTION("""COMPUTED_VALUE"""),"Estrela 4")</f>
        <v>Estrela 4</v>
      </c>
      <c r="P633" s="5">
        <f>IFERROR(__xludf.DUMMYFUNCTION("""COMPUTED_VALUE"""),158.0)</f>
        <v>158</v>
      </c>
      <c r="Q633" s="5" t="str">
        <f>IFERROR(__xludf.DUMMYFUNCTION("""COMPUTED_VALUE"""),"Der Untergang")</f>
        <v>Der Untergang</v>
      </c>
      <c r="R633" s="5" t="str">
        <f>IFERROR(__xludf.DUMMYFUNCTION("""COMPUTED_VALUE"""),"Juliane Köhler")</f>
        <v>Juliane Köhler</v>
      </c>
      <c r="S633" s="5" t="str">
        <f>IFERROR(__xludf.DUMMYFUNCTION("""COMPUTED_VALUE"""),"Estrela 4")</f>
        <v>Estrela 4</v>
      </c>
    </row>
    <row r="634">
      <c r="A634" s="1">
        <v>633.0</v>
      </c>
      <c r="B634" s="1" t="s">
        <v>3840</v>
      </c>
      <c r="C634" s="1" t="s">
        <v>245</v>
      </c>
      <c r="D634" s="1" t="s">
        <v>3843</v>
      </c>
      <c r="E634" s="1" t="s">
        <v>3844</v>
      </c>
      <c r="F634" s="1" t="s">
        <v>3845</v>
      </c>
      <c r="G634" s="5" t="str">
        <f>IFERROR(__xludf.DUMMYFUNCTION("""COMPUTED_VALUE"""),"159🤙🏼Hauru no ugoku shiro🤙🏼Chieko Baishô🤙🏼Estrela 1")</f>
        <v>159🤙🏼Hauru no ugoku shiro🤙🏼Chieko Baishô🤙🏼Estrela 1</v>
      </c>
      <c r="H634" s="5">
        <f>IFERROR(__xludf.DUMMYFUNCTION("SPLiT(G634, ""🤙🏼"",FALSE,FALSE)"),159.0)</f>
        <v>159</v>
      </c>
      <c r="I634" s="5" t="str">
        <f>IFERROR(__xludf.DUMMYFUNCTION("""COMPUTED_VALUE"""),"Hauru no ugoku shiro")</f>
        <v>Hauru no ugoku shiro</v>
      </c>
      <c r="J634" s="5" t="str">
        <f>IFERROR(__xludf.DUMMYFUNCTION("""COMPUTED_VALUE"""),"Chieko Baishô")</f>
        <v>Chieko Baishô</v>
      </c>
      <c r="K634" s="5" t="str">
        <f>IFERROR(__xludf.DUMMYFUNCTION("""COMPUTED_VALUE"""),"Estrela 1")</f>
        <v>Estrela 1</v>
      </c>
      <c r="P634" s="5">
        <f>IFERROR(__xludf.DUMMYFUNCTION("""COMPUTED_VALUE"""),159.0)</f>
        <v>159</v>
      </c>
      <c r="Q634" s="5" t="str">
        <f>IFERROR(__xludf.DUMMYFUNCTION("""COMPUTED_VALUE"""),"Hauru no ugoku shiro")</f>
        <v>Hauru no ugoku shiro</v>
      </c>
      <c r="R634" s="5" t="str">
        <f>IFERROR(__xludf.DUMMYFUNCTION("""COMPUTED_VALUE"""),"Chieko Baishô")</f>
        <v>Chieko Baishô</v>
      </c>
      <c r="S634" s="5" t="str">
        <f>IFERROR(__xludf.DUMMYFUNCTION("""COMPUTED_VALUE"""),"Estrela 1")</f>
        <v>Estrela 1</v>
      </c>
    </row>
    <row r="635">
      <c r="A635" s="1">
        <v>634.0</v>
      </c>
      <c r="B635" s="1" t="s">
        <v>3846</v>
      </c>
      <c r="C635" s="1" t="s">
        <v>3848</v>
      </c>
      <c r="D635" s="1" t="s">
        <v>3849</v>
      </c>
      <c r="E635" s="1" t="s">
        <v>3850</v>
      </c>
      <c r="F635" s="1" t="s">
        <v>3851</v>
      </c>
      <c r="G635" s="5" t="str">
        <f>IFERROR(__xludf.DUMMYFUNCTION("""COMPUTED_VALUE"""),"159🤙🏼Hauru no ugoku shiro🤙🏼Takuya Kimura🤙🏼Estrela 2")</f>
        <v>159🤙🏼Hauru no ugoku shiro🤙🏼Takuya Kimura🤙🏼Estrela 2</v>
      </c>
      <c r="H635" s="5">
        <f>IFERROR(__xludf.DUMMYFUNCTION("SPLiT(G635, ""🤙🏼"",FALSE,FALSE)"),159.0)</f>
        <v>159</v>
      </c>
      <c r="I635" s="5" t="str">
        <f>IFERROR(__xludf.DUMMYFUNCTION("""COMPUTED_VALUE"""),"Hauru no ugoku shiro")</f>
        <v>Hauru no ugoku shiro</v>
      </c>
      <c r="J635" s="5" t="str">
        <f>IFERROR(__xludf.DUMMYFUNCTION("""COMPUTED_VALUE"""),"Takuya Kimura")</f>
        <v>Takuya Kimura</v>
      </c>
      <c r="K635" s="5" t="str">
        <f>IFERROR(__xludf.DUMMYFUNCTION("""COMPUTED_VALUE"""),"Estrela 2")</f>
        <v>Estrela 2</v>
      </c>
      <c r="P635" s="5">
        <f>IFERROR(__xludf.DUMMYFUNCTION("""COMPUTED_VALUE"""),159.0)</f>
        <v>159</v>
      </c>
      <c r="Q635" s="5" t="str">
        <f>IFERROR(__xludf.DUMMYFUNCTION("""COMPUTED_VALUE"""),"Hauru no ugoku shiro")</f>
        <v>Hauru no ugoku shiro</v>
      </c>
      <c r="R635" s="5" t="str">
        <f>IFERROR(__xludf.DUMMYFUNCTION("""COMPUTED_VALUE"""),"Takuya Kimura")</f>
        <v>Takuya Kimura</v>
      </c>
      <c r="S635" s="5" t="str">
        <f>IFERROR(__xludf.DUMMYFUNCTION("""COMPUTED_VALUE"""),"Estrela 2")</f>
        <v>Estrela 2</v>
      </c>
    </row>
    <row r="636">
      <c r="A636" s="1">
        <v>635.0</v>
      </c>
      <c r="B636" s="1" t="s">
        <v>3852</v>
      </c>
      <c r="C636" s="1" t="s">
        <v>3854</v>
      </c>
      <c r="D636" s="1" t="s">
        <v>3855</v>
      </c>
      <c r="E636" s="1" t="s">
        <v>1503</v>
      </c>
      <c r="F636" s="1" t="s">
        <v>3594</v>
      </c>
      <c r="G636" s="5" t="str">
        <f>IFERROR(__xludf.DUMMYFUNCTION("""COMPUTED_VALUE"""),"159🤙🏼Hauru no ugoku shiro🤙🏼Tatsuya Gashûin🤙🏼Estrela 3")</f>
        <v>159🤙🏼Hauru no ugoku shiro🤙🏼Tatsuya Gashûin🤙🏼Estrela 3</v>
      </c>
      <c r="H636" s="5">
        <f>IFERROR(__xludf.DUMMYFUNCTION("SPLiT(G636, ""🤙🏼"",FALSE,FALSE)"),159.0)</f>
        <v>159</v>
      </c>
      <c r="I636" s="5" t="str">
        <f>IFERROR(__xludf.DUMMYFUNCTION("""COMPUTED_VALUE"""),"Hauru no ugoku shiro")</f>
        <v>Hauru no ugoku shiro</v>
      </c>
      <c r="J636" s="5" t="str">
        <f>IFERROR(__xludf.DUMMYFUNCTION("""COMPUTED_VALUE"""),"Tatsuya Gashûin")</f>
        <v>Tatsuya Gashûin</v>
      </c>
      <c r="K636" s="5" t="str">
        <f>IFERROR(__xludf.DUMMYFUNCTION("""COMPUTED_VALUE"""),"Estrela 3")</f>
        <v>Estrela 3</v>
      </c>
      <c r="P636" s="5">
        <f>IFERROR(__xludf.DUMMYFUNCTION("""COMPUTED_VALUE"""),159.0)</f>
        <v>159</v>
      </c>
      <c r="Q636" s="5" t="str">
        <f>IFERROR(__xludf.DUMMYFUNCTION("""COMPUTED_VALUE"""),"Hauru no ugoku shiro")</f>
        <v>Hauru no ugoku shiro</v>
      </c>
      <c r="R636" s="5" t="str">
        <f>IFERROR(__xludf.DUMMYFUNCTION("""COMPUTED_VALUE"""),"Tatsuya Gashûin")</f>
        <v>Tatsuya Gashûin</v>
      </c>
      <c r="S636" s="5" t="str">
        <f>IFERROR(__xludf.DUMMYFUNCTION("""COMPUTED_VALUE"""),"Estrela 3")</f>
        <v>Estrela 3</v>
      </c>
    </row>
    <row r="637">
      <c r="A637" s="1">
        <v>636.0</v>
      </c>
      <c r="B637" s="1" t="s">
        <v>3856</v>
      </c>
      <c r="C637" s="1" t="s">
        <v>282</v>
      </c>
      <c r="D637" s="1" t="s">
        <v>3858</v>
      </c>
      <c r="E637" s="1" t="s">
        <v>2194</v>
      </c>
      <c r="F637" s="1" t="s">
        <v>365</v>
      </c>
      <c r="G637" s="5" t="str">
        <f>IFERROR(__xludf.DUMMYFUNCTION("""COMPUTED_VALUE"""),"159🤙🏼Hauru no ugoku shiro🤙🏼Akihiro Miwa🤙🏼Estrela 4")</f>
        <v>159🤙🏼Hauru no ugoku shiro🤙🏼Akihiro Miwa🤙🏼Estrela 4</v>
      </c>
      <c r="H637" s="5">
        <f>IFERROR(__xludf.DUMMYFUNCTION("SPLiT(G637, ""🤙🏼"",FALSE,FALSE)"),159.0)</f>
        <v>159</v>
      </c>
      <c r="I637" s="5" t="str">
        <f>IFERROR(__xludf.DUMMYFUNCTION("""COMPUTED_VALUE"""),"Hauru no ugoku shiro")</f>
        <v>Hauru no ugoku shiro</v>
      </c>
      <c r="J637" s="5" t="str">
        <f>IFERROR(__xludf.DUMMYFUNCTION("""COMPUTED_VALUE"""),"Akihiro Miwa")</f>
        <v>Akihiro Miwa</v>
      </c>
      <c r="K637" s="5" t="str">
        <f>IFERROR(__xludf.DUMMYFUNCTION("""COMPUTED_VALUE"""),"Estrela 4")</f>
        <v>Estrela 4</v>
      </c>
      <c r="P637" s="5">
        <f>IFERROR(__xludf.DUMMYFUNCTION("""COMPUTED_VALUE"""),159.0)</f>
        <v>159</v>
      </c>
      <c r="Q637" s="5" t="str">
        <f>IFERROR(__xludf.DUMMYFUNCTION("""COMPUTED_VALUE"""),"Hauru no ugoku shiro")</f>
        <v>Hauru no ugoku shiro</v>
      </c>
      <c r="R637" s="5" t="str">
        <f>IFERROR(__xludf.DUMMYFUNCTION("""COMPUTED_VALUE"""),"Akihiro Miwa")</f>
        <v>Akihiro Miwa</v>
      </c>
      <c r="S637" s="5" t="str">
        <f>IFERROR(__xludf.DUMMYFUNCTION("""COMPUTED_VALUE"""),"Estrela 4")</f>
        <v>Estrela 4</v>
      </c>
    </row>
    <row r="638">
      <c r="A638" s="1">
        <v>637.0</v>
      </c>
      <c r="B638" s="1" t="s">
        <v>3859</v>
      </c>
      <c r="C638" s="1" t="s">
        <v>3863</v>
      </c>
      <c r="D638" s="1" t="s">
        <v>3864</v>
      </c>
      <c r="E638" s="1" t="s">
        <v>3865</v>
      </c>
      <c r="F638" s="1" t="s">
        <v>3866</v>
      </c>
      <c r="G638" s="5" t="str">
        <f>IFERROR(__xludf.DUMMYFUNCTION("""COMPUTED_VALUE"""),"160🤙🏼A Beautiful Mind🤙🏼Russell Crowe🤙🏼Estrela 1")</f>
        <v>160🤙🏼A Beautiful Mind🤙🏼Russell Crowe🤙🏼Estrela 1</v>
      </c>
      <c r="H638" s="5">
        <f>IFERROR(__xludf.DUMMYFUNCTION("SPLiT(G638, ""🤙🏼"",FALSE,FALSE)"),160.0)</f>
        <v>160</v>
      </c>
      <c r="I638" s="5" t="str">
        <f>IFERROR(__xludf.DUMMYFUNCTION("""COMPUTED_VALUE"""),"A Beautiful Mind")</f>
        <v>A Beautiful Mind</v>
      </c>
      <c r="J638" s="5" t="str">
        <f>IFERROR(__xludf.DUMMYFUNCTION("""COMPUTED_VALUE"""),"Russell Crowe")</f>
        <v>Russell Crowe</v>
      </c>
      <c r="K638" s="5" t="str">
        <f>IFERROR(__xludf.DUMMYFUNCTION("""COMPUTED_VALUE"""),"Estrela 1")</f>
        <v>Estrela 1</v>
      </c>
      <c r="P638" s="5">
        <f>IFERROR(__xludf.DUMMYFUNCTION("""COMPUTED_VALUE"""),160.0)</f>
        <v>160</v>
      </c>
      <c r="Q638" s="5" t="str">
        <f>IFERROR(__xludf.DUMMYFUNCTION("""COMPUTED_VALUE"""),"A Beautiful Mind")</f>
        <v>A Beautiful Mind</v>
      </c>
      <c r="R638" s="5" t="str">
        <f>IFERROR(__xludf.DUMMYFUNCTION("""COMPUTED_VALUE"""),"Russell Crowe")</f>
        <v>Russell Crowe</v>
      </c>
      <c r="S638" s="5" t="str">
        <f>IFERROR(__xludf.DUMMYFUNCTION("""COMPUTED_VALUE"""),"Estrela 1")</f>
        <v>Estrela 1</v>
      </c>
    </row>
    <row r="639">
      <c r="A639" s="1">
        <v>638.0</v>
      </c>
      <c r="B639" s="1" t="s">
        <v>3867</v>
      </c>
      <c r="C639" s="1" t="s">
        <v>2347</v>
      </c>
      <c r="D639" s="1" t="s">
        <v>1273</v>
      </c>
      <c r="E639" s="1" t="s">
        <v>1518</v>
      </c>
      <c r="F639" s="1" t="s">
        <v>2175</v>
      </c>
      <c r="G639" s="5" t="str">
        <f>IFERROR(__xludf.DUMMYFUNCTION("""COMPUTED_VALUE"""),"160🤙🏼A Beautiful Mind🤙🏼Ed Harris🤙🏼Estrela 2")</f>
        <v>160🤙🏼A Beautiful Mind🤙🏼Ed Harris🤙🏼Estrela 2</v>
      </c>
      <c r="H639" s="5">
        <f>IFERROR(__xludf.DUMMYFUNCTION("SPLiT(G639, ""🤙🏼"",FALSE,FALSE)"),160.0)</f>
        <v>160</v>
      </c>
      <c r="I639" s="5" t="str">
        <f>IFERROR(__xludf.DUMMYFUNCTION("""COMPUTED_VALUE"""),"A Beautiful Mind")</f>
        <v>A Beautiful Mind</v>
      </c>
      <c r="J639" s="5" t="str">
        <f>IFERROR(__xludf.DUMMYFUNCTION("""COMPUTED_VALUE"""),"Ed Harris")</f>
        <v>Ed Harris</v>
      </c>
      <c r="K639" s="5" t="str">
        <f>IFERROR(__xludf.DUMMYFUNCTION("""COMPUTED_VALUE"""),"Estrela 2")</f>
        <v>Estrela 2</v>
      </c>
      <c r="P639" s="5">
        <f>IFERROR(__xludf.DUMMYFUNCTION("""COMPUTED_VALUE"""),160.0)</f>
        <v>160</v>
      </c>
      <c r="Q639" s="5" t="str">
        <f>IFERROR(__xludf.DUMMYFUNCTION("""COMPUTED_VALUE"""),"A Beautiful Mind")</f>
        <v>A Beautiful Mind</v>
      </c>
      <c r="R639" s="5" t="str">
        <f>IFERROR(__xludf.DUMMYFUNCTION("""COMPUTED_VALUE"""),"Ed Harris")</f>
        <v>Ed Harris</v>
      </c>
      <c r="S639" s="5" t="str">
        <f>IFERROR(__xludf.DUMMYFUNCTION("""COMPUTED_VALUE"""),"Estrela 2")</f>
        <v>Estrela 2</v>
      </c>
    </row>
    <row r="640">
      <c r="A640" s="1">
        <v>639.0</v>
      </c>
      <c r="B640" s="1" t="s">
        <v>3870</v>
      </c>
      <c r="C640" s="1" t="s">
        <v>492</v>
      </c>
      <c r="D640" s="1" t="s">
        <v>3872</v>
      </c>
      <c r="E640" s="1" t="s">
        <v>3873</v>
      </c>
      <c r="F640" s="1" t="s">
        <v>3874</v>
      </c>
      <c r="G640" s="5" t="str">
        <f>IFERROR(__xludf.DUMMYFUNCTION("""COMPUTED_VALUE"""),"160🤙🏼A Beautiful Mind🤙🏼Jennifer Connelly🤙🏼Estrela 3")</f>
        <v>160🤙🏼A Beautiful Mind🤙🏼Jennifer Connelly🤙🏼Estrela 3</v>
      </c>
      <c r="H640" s="5">
        <f>IFERROR(__xludf.DUMMYFUNCTION("SPLiT(G640, ""🤙🏼"",FALSE,FALSE)"),160.0)</f>
        <v>160</v>
      </c>
      <c r="I640" s="5" t="str">
        <f>IFERROR(__xludf.DUMMYFUNCTION("""COMPUTED_VALUE"""),"A Beautiful Mind")</f>
        <v>A Beautiful Mind</v>
      </c>
      <c r="J640" s="5" t="str">
        <f>IFERROR(__xludf.DUMMYFUNCTION("""COMPUTED_VALUE"""),"Jennifer Connelly")</f>
        <v>Jennifer Connelly</v>
      </c>
      <c r="K640" s="5" t="str">
        <f>IFERROR(__xludf.DUMMYFUNCTION("""COMPUTED_VALUE"""),"Estrela 3")</f>
        <v>Estrela 3</v>
      </c>
      <c r="P640" s="5">
        <f>IFERROR(__xludf.DUMMYFUNCTION("""COMPUTED_VALUE"""),160.0)</f>
        <v>160</v>
      </c>
      <c r="Q640" s="5" t="str">
        <f>IFERROR(__xludf.DUMMYFUNCTION("""COMPUTED_VALUE"""),"A Beautiful Mind")</f>
        <v>A Beautiful Mind</v>
      </c>
      <c r="R640" s="5" t="str">
        <f>IFERROR(__xludf.DUMMYFUNCTION("""COMPUTED_VALUE"""),"Jennifer Connelly")</f>
        <v>Jennifer Connelly</v>
      </c>
      <c r="S640" s="5" t="str">
        <f>IFERROR(__xludf.DUMMYFUNCTION("""COMPUTED_VALUE"""),"Estrela 3")</f>
        <v>Estrela 3</v>
      </c>
    </row>
    <row r="641">
      <c r="A641" s="1">
        <v>640.0</v>
      </c>
      <c r="B641" s="1" t="s">
        <v>3875</v>
      </c>
      <c r="C641" s="1" t="s">
        <v>3878</v>
      </c>
      <c r="D641" s="1" t="s">
        <v>3879</v>
      </c>
      <c r="E641" s="1" t="s">
        <v>3880</v>
      </c>
      <c r="F641" s="1" t="s">
        <v>3881</v>
      </c>
      <c r="G641" s="5" t="str">
        <f>IFERROR(__xludf.DUMMYFUNCTION("""COMPUTED_VALUE"""),"160🤙🏼A Beautiful Mind🤙🏼Christopher Plummer🤙🏼Estrela 4")</f>
        <v>160🤙🏼A Beautiful Mind🤙🏼Christopher Plummer🤙🏼Estrela 4</v>
      </c>
      <c r="H641" s="5">
        <f>IFERROR(__xludf.DUMMYFUNCTION("SPLiT(G641, ""🤙🏼"",FALSE,FALSE)"),160.0)</f>
        <v>160</v>
      </c>
      <c r="I641" s="5" t="str">
        <f>IFERROR(__xludf.DUMMYFUNCTION("""COMPUTED_VALUE"""),"A Beautiful Mind")</f>
        <v>A Beautiful Mind</v>
      </c>
      <c r="J641" s="5" t="str">
        <f>IFERROR(__xludf.DUMMYFUNCTION("""COMPUTED_VALUE"""),"Christopher Plummer")</f>
        <v>Christopher Plummer</v>
      </c>
      <c r="K641" s="5" t="str">
        <f>IFERROR(__xludf.DUMMYFUNCTION("""COMPUTED_VALUE"""),"Estrela 4")</f>
        <v>Estrela 4</v>
      </c>
      <c r="P641" s="5">
        <f>IFERROR(__xludf.DUMMYFUNCTION("""COMPUTED_VALUE"""),160.0)</f>
        <v>160</v>
      </c>
      <c r="Q641" s="5" t="str">
        <f>IFERROR(__xludf.DUMMYFUNCTION("""COMPUTED_VALUE"""),"A Beautiful Mind")</f>
        <v>A Beautiful Mind</v>
      </c>
      <c r="R641" s="5" t="str">
        <f>IFERROR(__xludf.DUMMYFUNCTION("""COMPUTED_VALUE"""),"Christopher Plummer")</f>
        <v>Christopher Plummer</v>
      </c>
      <c r="S641" s="5" t="str">
        <f>IFERROR(__xludf.DUMMYFUNCTION("""COMPUTED_VALUE"""),"Estrela 4")</f>
        <v>Estrela 4</v>
      </c>
    </row>
    <row r="642">
      <c r="A642" s="1">
        <v>641.0</v>
      </c>
      <c r="B642" s="1" t="s">
        <v>3882</v>
      </c>
      <c r="C642" s="1" t="s">
        <v>3885</v>
      </c>
      <c r="D642" s="1" t="s">
        <v>3886</v>
      </c>
      <c r="E642" s="1" t="s">
        <v>3887</v>
      </c>
      <c r="F642" s="1" t="s">
        <v>3888</v>
      </c>
      <c r="G642" s="5" t="str">
        <f>IFERROR(__xludf.DUMMYFUNCTION("""COMPUTED_VALUE"""),"161🤙🏼Hera Pheri🤙🏼Akshay Kumar🤙🏼Estrela 1")</f>
        <v>161🤙🏼Hera Pheri🤙🏼Akshay Kumar🤙🏼Estrela 1</v>
      </c>
      <c r="H642" s="5">
        <f>IFERROR(__xludf.DUMMYFUNCTION("SPLiT(G642, ""🤙🏼"",FALSE,FALSE)"),161.0)</f>
        <v>161</v>
      </c>
      <c r="I642" s="5" t="str">
        <f>IFERROR(__xludf.DUMMYFUNCTION("""COMPUTED_VALUE"""),"Hera Pheri")</f>
        <v>Hera Pheri</v>
      </c>
      <c r="J642" s="5" t="str">
        <f>IFERROR(__xludf.DUMMYFUNCTION("""COMPUTED_VALUE"""),"Akshay Kumar")</f>
        <v>Akshay Kumar</v>
      </c>
      <c r="K642" s="5" t="str">
        <f>IFERROR(__xludf.DUMMYFUNCTION("""COMPUTED_VALUE"""),"Estrela 1")</f>
        <v>Estrela 1</v>
      </c>
      <c r="P642" s="5">
        <f>IFERROR(__xludf.DUMMYFUNCTION("""COMPUTED_VALUE"""),161.0)</f>
        <v>161</v>
      </c>
      <c r="Q642" s="5" t="str">
        <f>IFERROR(__xludf.DUMMYFUNCTION("""COMPUTED_VALUE"""),"Hera Pheri")</f>
        <v>Hera Pheri</v>
      </c>
      <c r="R642" s="5" t="str">
        <f>IFERROR(__xludf.DUMMYFUNCTION("""COMPUTED_VALUE"""),"Akshay Kumar")</f>
        <v>Akshay Kumar</v>
      </c>
      <c r="S642" s="5" t="str">
        <f>IFERROR(__xludf.DUMMYFUNCTION("""COMPUTED_VALUE"""),"Estrela 1")</f>
        <v>Estrela 1</v>
      </c>
    </row>
    <row r="643">
      <c r="A643" s="1">
        <v>642.0</v>
      </c>
      <c r="B643" s="1" t="s">
        <v>3889</v>
      </c>
      <c r="C643" s="1" t="s">
        <v>3891</v>
      </c>
      <c r="D643" s="1" t="s">
        <v>3695</v>
      </c>
      <c r="E643" s="1" t="s">
        <v>174</v>
      </c>
      <c r="F643" s="1" t="s">
        <v>3892</v>
      </c>
      <c r="G643" s="5" t="str">
        <f>IFERROR(__xludf.DUMMYFUNCTION("""COMPUTED_VALUE"""),"161🤙🏼Hera Pheri🤙🏼Sunil Shetty🤙🏼Estrela 2")</f>
        <v>161🤙🏼Hera Pheri🤙🏼Sunil Shetty🤙🏼Estrela 2</v>
      </c>
      <c r="H643" s="5">
        <f>IFERROR(__xludf.DUMMYFUNCTION("SPLiT(G643, ""🤙🏼"",FALSE,FALSE)"),161.0)</f>
        <v>161</v>
      </c>
      <c r="I643" s="5" t="str">
        <f>IFERROR(__xludf.DUMMYFUNCTION("""COMPUTED_VALUE"""),"Hera Pheri")</f>
        <v>Hera Pheri</v>
      </c>
      <c r="J643" s="5" t="str">
        <f>IFERROR(__xludf.DUMMYFUNCTION("""COMPUTED_VALUE"""),"Sunil Shetty")</f>
        <v>Sunil Shetty</v>
      </c>
      <c r="K643" s="5" t="str">
        <f>IFERROR(__xludf.DUMMYFUNCTION("""COMPUTED_VALUE"""),"Estrela 2")</f>
        <v>Estrela 2</v>
      </c>
      <c r="P643" s="5">
        <f>IFERROR(__xludf.DUMMYFUNCTION("""COMPUTED_VALUE"""),161.0)</f>
        <v>161</v>
      </c>
      <c r="Q643" s="5" t="str">
        <f>IFERROR(__xludf.DUMMYFUNCTION("""COMPUTED_VALUE"""),"Hera Pheri")</f>
        <v>Hera Pheri</v>
      </c>
      <c r="R643" s="5" t="str">
        <f>IFERROR(__xludf.DUMMYFUNCTION("""COMPUTED_VALUE"""),"Sunil Shetty")</f>
        <v>Sunil Shetty</v>
      </c>
      <c r="S643" s="5" t="str">
        <f>IFERROR(__xludf.DUMMYFUNCTION("""COMPUTED_VALUE"""),"Estrela 2")</f>
        <v>Estrela 2</v>
      </c>
    </row>
    <row r="644">
      <c r="A644" s="1">
        <v>643.0</v>
      </c>
      <c r="B644" s="1" t="s">
        <v>3893</v>
      </c>
      <c r="C644" s="1" t="s">
        <v>3896</v>
      </c>
      <c r="D644" s="1" t="s">
        <v>546</v>
      </c>
      <c r="E644" s="1" t="s">
        <v>3897</v>
      </c>
      <c r="F644" s="1" t="s">
        <v>3898</v>
      </c>
      <c r="G644" s="5" t="str">
        <f>IFERROR(__xludf.DUMMYFUNCTION("""COMPUTED_VALUE"""),"161🤙🏼Hera Pheri🤙🏼Paresh Rawal🤙🏼Estrela 3")</f>
        <v>161🤙🏼Hera Pheri🤙🏼Paresh Rawal🤙🏼Estrela 3</v>
      </c>
      <c r="H644" s="5">
        <f>IFERROR(__xludf.DUMMYFUNCTION("SPLiT(G644, ""🤙🏼"",FALSE,FALSE)"),161.0)</f>
        <v>161</v>
      </c>
      <c r="I644" s="5" t="str">
        <f>IFERROR(__xludf.DUMMYFUNCTION("""COMPUTED_VALUE"""),"Hera Pheri")</f>
        <v>Hera Pheri</v>
      </c>
      <c r="J644" s="5" t="str">
        <f>IFERROR(__xludf.DUMMYFUNCTION("""COMPUTED_VALUE"""),"Paresh Rawal")</f>
        <v>Paresh Rawal</v>
      </c>
      <c r="K644" s="5" t="str">
        <f>IFERROR(__xludf.DUMMYFUNCTION("""COMPUTED_VALUE"""),"Estrela 3")</f>
        <v>Estrela 3</v>
      </c>
      <c r="P644" s="5">
        <f>IFERROR(__xludf.DUMMYFUNCTION("""COMPUTED_VALUE"""),161.0)</f>
        <v>161</v>
      </c>
      <c r="Q644" s="5" t="str">
        <f>IFERROR(__xludf.DUMMYFUNCTION("""COMPUTED_VALUE"""),"Hera Pheri")</f>
        <v>Hera Pheri</v>
      </c>
      <c r="R644" s="5" t="str">
        <f>IFERROR(__xludf.DUMMYFUNCTION("""COMPUTED_VALUE"""),"Paresh Rawal")</f>
        <v>Paresh Rawal</v>
      </c>
      <c r="S644" s="5" t="str">
        <f>IFERROR(__xludf.DUMMYFUNCTION("""COMPUTED_VALUE"""),"Estrela 3")</f>
        <v>Estrela 3</v>
      </c>
    </row>
    <row r="645">
      <c r="A645" s="1">
        <v>644.0</v>
      </c>
      <c r="B645" s="1" t="s">
        <v>3899</v>
      </c>
      <c r="C645" s="1" t="s">
        <v>1642</v>
      </c>
      <c r="D645" s="1" t="s">
        <v>3901</v>
      </c>
      <c r="E645" s="1" t="s">
        <v>3902</v>
      </c>
      <c r="F645" s="1" t="s">
        <v>3903</v>
      </c>
      <c r="G645" s="5" t="str">
        <f>IFERROR(__xludf.DUMMYFUNCTION("""COMPUTED_VALUE"""),"161🤙🏼Hera Pheri🤙🏼Tabu🤙🏼Estrela 4")</f>
        <v>161🤙🏼Hera Pheri🤙🏼Tabu🤙🏼Estrela 4</v>
      </c>
      <c r="H645" s="5">
        <f>IFERROR(__xludf.DUMMYFUNCTION("SPLiT(G645, ""🤙🏼"",FALSE,FALSE)"),161.0)</f>
        <v>161</v>
      </c>
      <c r="I645" s="5" t="str">
        <f>IFERROR(__xludf.DUMMYFUNCTION("""COMPUTED_VALUE"""),"Hera Pheri")</f>
        <v>Hera Pheri</v>
      </c>
      <c r="J645" s="5" t="str">
        <f>IFERROR(__xludf.DUMMYFUNCTION("""COMPUTED_VALUE"""),"Tabu")</f>
        <v>Tabu</v>
      </c>
      <c r="K645" s="5" t="str">
        <f>IFERROR(__xludf.DUMMYFUNCTION("""COMPUTED_VALUE"""),"Estrela 4")</f>
        <v>Estrela 4</v>
      </c>
      <c r="P645" s="5">
        <f>IFERROR(__xludf.DUMMYFUNCTION("""COMPUTED_VALUE"""),161.0)</f>
        <v>161</v>
      </c>
      <c r="Q645" s="5" t="str">
        <f>IFERROR(__xludf.DUMMYFUNCTION("""COMPUTED_VALUE"""),"Hera Pheri")</f>
        <v>Hera Pheri</v>
      </c>
      <c r="R645" s="5" t="str">
        <f>IFERROR(__xludf.DUMMYFUNCTION("""COMPUTED_VALUE"""),"Tabu")</f>
        <v>Tabu</v>
      </c>
      <c r="S645" s="5" t="str">
        <f>IFERROR(__xludf.DUMMYFUNCTION("""COMPUTED_VALUE"""),"Estrela 4")</f>
        <v>Estrela 4</v>
      </c>
    </row>
    <row r="646">
      <c r="A646" s="1">
        <v>645.0</v>
      </c>
      <c r="B646" s="1" t="s">
        <v>3904</v>
      </c>
      <c r="C646" s="1" t="s">
        <v>3799</v>
      </c>
      <c r="D646" s="1" t="s">
        <v>3907</v>
      </c>
      <c r="E646" s="1" t="s">
        <v>3908</v>
      </c>
      <c r="F646" s="1" t="s">
        <v>3909</v>
      </c>
      <c r="G646" s="5" t="str">
        <f>IFERROR(__xludf.DUMMYFUNCTION("""COMPUTED_VALUE"""),"162🤙🏼Lock, Stock and Two Smoking Barrels🤙🏼Jason Flemyng🤙🏼Estrela 1")</f>
        <v>162🤙🏼Lock, Stock and Two Smoking Barrels🤙🏼Jason Flemyng🤙🏼Estrela 1</v>
      </c>
      <c r="H646" s="5">
        <f>IFERROR(__xludf.DUMMYFUNCTION("SPLiT(G646, ""🤙🏼"",FALSE,FALSE)"),162.0)</f>
        <v>162</v>
      </c>
      <c r="I646" s="5" t="str">
        <f>IFERROR(__xludf.DUMMYFUNCTION("""COMPUTED_VALUE"""),"Lock, Stock and Two Smoking Barrels")</f>
        <v>Lock, Stock and Two Smoking Barrels</v>
      </c>
      <c r="J646" s="5" t="str">
        <f>IFERROR(__xludf.DUMMYFUNCTION("""COMPUTED_VALUE"""),"Jason Flemyng")</f>
        <v>Jason Flemyng</v>
      </c>
      <c r="K646" s="5" t="str">
        <f>IFERROR(__xludf.DUMMYFUNCTION("""COMPUTED_VALUE"""),"Estrela 1")</f>
        <v>Estrela 1</v>
      </c>
      <c r="P646" s="5">
        <f>IFERROR(__xludf.DUMMYFUNCTION("""COMPUTED_VALUE"""),162.0)</f>
        <v>162</v>
      </c>
      <c r="Q646" s="5" t="str">
        <f>IFERROR(__xludf.DUMMYFUNCTION("""COMPUTED_VALUE"""),"Lock, Stock and Two Smoking Barrels")</f>
        <v>Lock, Stock and Two Smoking Barrels</v>
      </c>
      <c r="R646" s="5" t="str">
        <f>IFERROR(__xludf.DUMMYFUNCTION("""COMPUTED_VALUE"""),"Jason Flemyng")</f>
        <v>Jason Flemyng</v>
      </c>
      <c r="S646" s="5" t="str">
        <f>IFERROR(__xludf.DUMMYFUNCTION("""COMPUTED_VALUE"""),"Estrela 1")</f>
        <v>Estrela 1</v>
      </c>
    </row>
    <row r="647">
      <c r="A647" s="1">
        <v>646.0</v>
      </c>
      <c r="B647" s="1" t="s">
        <v>3910</v>
      </c>
      <c r="C647" s="1" t="s">
        <v>3912</v>
      </c>
      <c r="D647" s="1" t="s">
        <v>3913</v>
      </c>
      <c r="E647" s="1" t="s">
        <v>3181</v>
      </c>
      <c r="F647" s="1" t="s">
        <v>3914</v>
      </c>
      <c r="G647" s="5" t="str">
        <f>IFERROR(__xludf.DUMMYFUNCTION("""COMPUTED_VALUE"""),"162🤙🏼Lock, Stock and Two Smoking Barrels🤙🏼Dexter Fletcher🤙🏼Estrela 2")</f>
        <v>162🤙🏼Lock, Stock and Two Smoking Barrels🤙🏼Dexter Fletcher🤙🏼Estrela 2</v>
      </c>
      <c r="H647" s="5">
        <f>IFERROR(__xludf.DUMMYFUNCTION("SPLiT(G647, ""🤙🏼"",FALSE,FALSE)"),162.0)</f>
        <v>162</v>
      </c>
      <c r="I647" s="5" t="str">
        <f>IFERROR(__xludf.DUMMYFUNCTION("""COMPUTED_VALUE"""),"Lock, Stock and Two Smoking Barrels")</f>
        <v>Lock, Stock and Two Smoking Barrels</v>
      </c>
      <c r="J647" s="5" t="str">
        <f>IFERROR(__xludf.DUMMYFUNCTION("""COMPUTED_VALUE"""),"Dexter Fletcher")</f>
        <v>Dexter Fletcher</v>
      </c>
      <c r="K647" s="5" t="str">
        <f>IFERROR(__xludf.DUMMYFUNCTION("""COMPUTED_VALUE"""),"Estrela 2")</f>
        <v>Estrela 2</v>
      </c>
      <c r="P647" s="5">
        <f>IFERROR(__xludf.DUMMYFUNCTION("""COMPUTED_VALUE"""),162.0)</f>
        <v>162</v>
      </c>
      <c r="Q647" s="5" t="str">
        <f>IFERROR(__xludf.DUMMYFUNCTION("""COMPUTED_VALUE"""),"Lock, Stock and Two Smoking Barrels")</f>
        <v>Lock, Stock and Two Smoking Barrels</v>
      </c>
      <c r="R647" s="5" t="str">
        <f>IFERROR(__xludf.DUMMYFUNCTION("""COMPUTED_VALUE"""),"Dexter Fletcher")</f>
        <v>Dexter Fletcher</v>
      </c>
      <c r="S647" s="5" t="str">
        <f>IFERROR(__xludf.DUMMYFUNCTION("""COMPUTED_VALUE"""),"Estrela 2")</f>
        <v>Estrela 2</v>
      </c>
    </row>
    <row r="648">
      <c r="A648" s="1">
        <v>647.0</v>
      </c>
      <c r="B648" s="1" t="s">
        <v>3915</v>
      </c>
      <c r="C648" s="1" t="s">
        <v>3917</v>
      </c>
      <c r="D648" s="1" t="s">
        <v>3918</v>
      </c>
      <c r="E648" s="1" t="s">
        <v>3919</v>
      </c>
      <c r="F648" s="1" t="s">
        <v>3920</v>
      </c>
      <c r="G648" s="5" t="str">
        <f>IFERROR(__xludf.DUMMYFUNCTION("""COMPUTED_VALUE"""),"162🤙🏼Lock, Stock and Two Smoking Barrels🤙🏼Nick Moran🤙🏼Estrela 3")</f>
        <v>162🤙🏼Lock, Stock and Two Smoking Barrels🤙🏼Nick Moran🤙🏼Estrela 3</v>
      </c>
      <c r="H648" s="5">
        <f>IFERROR(__xludf.DUMMYFUNCTION("SPLiT(G648, ""🤙🏼"",FALSE,FALSE)"),162.0)</f>
        <v>162</v>
      </c>
      <c r="I648" s="5" t="str">
        <f>IFERROR(__xludf.DUMMYFUNCTION("""COMPUTED_VALUE"""),"Lock, Stock and Two Smoking Barrels")</f>
        <v>Lock, Stock and Two Smoking Barrels</v>
      </c>
      <c r="J648" s="5" t="str">
        <f>IFERROR(__xludf.DUMMYFUNCTION("""COMPUTED_VALUE"""),"Nick Moran")</f>
        <v>Nick Moran</v>
      </c>
      <c r="K648" s="5" t="str">
        <f>IFERROR(__xludf.DUMMYFUNCTION("""COMPUTED_VALUE"""),"Estrela 3")</f>
        <v>Estrela 3</v>
      </c>
      <c r="P648" s="5">
        <f>IFERROR(__xludf.DUMMYFUNCTION("""COMPUTED_VALUE"""),162.0)</f>
        <v>162</v>
      </c>
      <c r="Q648" s="5" t="str">
        <f>IFERROR(__xludf.DUMMYFUNCTION("""COMPUTED_VALUE"""),"Lock, Stock and Two Smoking Barrels")</f>
        <v>Lock, Stock and Two Smoking Barrels</v>
      </c>
      <c r="R648" s="5" t="str">
        <f>IFERROR(__xludf.DUMMYFUNCTION("""COMPUTED_VALUE"""),"Nick Moran")</f>
        <v>Nick Moran</v>
      </c>
      <c r="S648" s="5" t="str">
        <f>IFERROR(__xludf.DUMMYFUNCTION("""COMPUTED_VALUE"""),"Estrela 3")</f>
        <v>Estrela 3</v>
      </c>
    </row>
    <row r="649">
      <c r="A649" s="1">
        <v>648.0</v>
      </c>
      <c r="B649" s="1" t="s">
        <v>3921</v>
      </c>
      <c r="C649" s="1" t="s">
        <v>110</v>
      </c>
      <c r="D649" s="1" t="s">
        <v>3924</v>
      </c>
      <c r="E649" s="1" t="s">
        <v>3925</v>
      </c>
      <c r="F649" s="1" t="s">
        <v>3926</v>
      </c>
      <c r="G649" s="5" t="str">
        <f>IFERROR(__xludf.DUMMYFUNCTION("""COMPUTED_VALUE"""),"162🤙🏼Lock, Stock and Two Smoking Barrels🤙🏼Jason Statham🤙🏼Estrela 4")</f>
        <v>162🤙🏼Lock, Stock and Two Smoking Barrels🤙🏼Jason Statham🤙🏼Estrela 4</v>
      </c>
      <c r="H649" s="5">
        <f>IFERROR(__xludf.DUMMYFUNCTION("SPLiT(G649, ""🤙🏼"",FALSE,FALSE)"),162.0)</f>
        <v>162</v>
      </c>
      <c r="I649" s="5" t="str">
        <f>IFERROR(__xludf.DUMMYFUNCTION("""COMPUTED_VALUE"""),"Lock, Stock and Two Smoking Barrels")</f>
        <v>Lock, Stock and Two Smoking Barrels</v>
      </c>
      <c r="J649" s="5" t="str">
        <f>IFERROR(__xludf.DUMMYFUNCTION("""COMPUTED_VALUE"""),"Jason Statham")</f>
        <v>Jason Statham</v>
      </c>
      <c r="K649" s="5" t="str">
        <f>IFERROR(__xludf.DUMMYFUNCTION("""COMPUTED_VALUE"""),"Estrela 4")</f>
        <v>Estrela 4</v>
      </c>
      <c r="P649" s="5">
        <f>IFERROR(__xludf.DUMMYFUNCTION("""COMPUTED_VALUE"""),162.0)</f>
        <v>162</v>
      </c>
      <c r="Q649" s="5" t="str">
        <f>IFERROR(__xludf.DUMMYFUNCTION("""COMPUTED_VALUE"""),"Lock, Stock and Two Smoking Barrels")</f>
        <v>Lock, Stock and Two Smoking Barrels</v>
      </c>
      <c r="R649" s="5" t="str">
        <f>IFERROR(__xludf.DUMMYFUNCTION("""COMPUTED_VALUE"""),"Jason Statham")</f>
        <v>Jason Statham</v>
      </c>
      <c r="S649" s="5" t="str">
        <f>IFERROR(__xludf.DUMMYFUNCTION("""COMPUTED_VALUE"""),"Estrela 4")</f>
        <v>Estrela 4</v>
      </c>
    </row>
    <row r="650">
      <c r="A650" s="1">
        <v>649.0</v>
      </c>
      <c r="B650" s="1" t="s">
        <v>3927</v>
      </c>
      <c r="C650" s="1" t="s">
        <v>1825</v>
      </c>
      <c r="D650" s="1" t="s">
        <v>3930</v>
      </c>
      <c r="E650" s="1" t="s">
        <v>3931</v>
      </c>
      <c r="F650" s="1" t="s">
        <v>3932</v>
      </c>
      <c r="G650" s="5" t="str">
        <f>IFERROR(__xludf.DUMMYFUNCTION("""COMPUTED_VALUE"""),"163🤙🏼L.A. Confidential🤙🏼Kevin Spacey🤙🏼Estrela 1")</f>
        <v>163🤙🏼L.A. Confidential🤙🏼Kevin Spacey🤙🏼Estrela 1</v>
      </c>
      <c r="H650" s="5">
        <f>IFERROR(__xludf.DUMMYFUNCTION("SPLiT(G650, ""🤙🏼"",FALSE,FALSE)"),163.0)</f>
        <v>163</v>
      </c>
      <c r="I650" s="5" t="str">
        <f>IFERROR(__xludf.DUMMYFUNCTION("""COMPUTED_VALUE"""),"L.A. Confidential")</f>
        <v>L.A. Confidential</v>
      </c>
      <c r="J650" s="5" t="str">
        <f>IFERROR(__xludf.DUMMYFUNCTION("""COMPUTED_VALUE"""),"Kevin Spacey")</f>
        <v>Kevin Spacey</v>
      </c>
      <c r="K650" s="5" t="str">
        <f>IFERROR(__xludf.DUMMYFUNCTION("""COMPUTED_VALUE"""),"Estrela 1")</f>
        <v>Estrela 1</v>
      </c>
      <c r="P650" s="5">
        <f>IFERROR(__xludf.DUMMYFUNCTION("""COMPUTED_VALUE"""),163.0)</f>
        <v>163</v>
      </c>
      <c r="Q650" s="5" t="str">
        <f>IFERROR(__xludf.DUMMYFUNCTION("""COMPUTED_VALUE"""),"L.A. Confidential")</f>
        <v>L.A. Confidential</v>
      </c>
      <c r="R650" s="5" t="str">
        <f>IFERROR(__xludf.DUMMYFUNCTION("""COMPUTED_VALUE"""),"Kevin Spacey")</f>
        <v>Kevin Spacey</v>
      </c>
      <c r="S650" s="5" t="str">
        <f>IFERROR(__xludf.DUMMYFUNCTION("""COMPUTED_VALUE"""),"Estrela 1")</f>
        <v>Estrela 1</v>
      </c>
    </row>
    <row r="651">
      <c r="A651" s="1">
        <v>650.0</v>
      </c>
      <c r="B651" s="1" t="s">
        <v>3933</v>
      </c>
      <c r="C651" s="1" t="s">
        <v>325</v>
      </c>
      <c r="D651" s="1" t="s">
        <v>33</v>
      </c>
      <c r="E651" s="1" t="s">
        <v>1152</v>
      </c>
      <c r="F651" s="1" t="s">
        <v>3935</v>
      </c>
      <c r="G651" s="5" t="str">
        <f>IFERROR(__xludf.DUMMYFUNCTION("""COMPUTED_VALUE"""),"163🤙🏼L.A. Confidential🤙🏼Russell Crowe🤙🏼Estrela 2")</f>
        <v>163🤙🏼L.A. Confidential🤙🏼Russell Crowe🤙🏼Estrela 2</v>
      </c>
      <c r="H651" s="5">
        <f>IFERROR(__xludf.DUMMYFUNCTION("SPLiT(G651, ""🤙🏼"",FALSE,FALSE)"),163.0)</f>
        <v>163</v>
      </c>
      <c r="I651" s="5" t="str">
        <f>IFERROR(__xludf.DUMMYFUNCTION("""COMPUTED_VALUE"""),"L.A. Confidential")</f>
        <v>L.A. Confidential</v>
      </c>
      <c r="J651" s="5" t="str">
        <f>IFERROR(__xludf.DUMMYFUNCTION("""COMPUTED_VALUE"""),"Russell Crowe")</f>
        <v>Russell Crowe</v>
      </c>
      <c r="K651" s="5" t="str">
        <f>IFERROR(__xludf.DUMMYFUNCTION("""COMPUTED_VALUE"""),"Estrela 2")</f>
        <v>Estrela 2</v>
      </c>
      <c r="P651" s="5">
        <f>IFERROR(__xludf.DUMMYFUNCTION("""COMPUTED_VALUE"""),163.0)</f>
        <v>163</v>
      </c>
      <c r="Q651" s="5" t="str">
        <f>IFERROR(__xludf.DUMMYFUNCTION("""COMPUTED_VALUE"""),"L.A. Confidential")</f>
        <v>L.A. Confidential</v>
      </c>
      <c r="R651" s="5" t="str">
        <f>IFERROR(__xludf.DUMMYFUNCTION("""COMPUTED_VALUE"""),"Russell Crowe")</f>
        <v>Russell Crowe</v>
      </c>
      <c r="S651" s="5" t="str">
        <f>IFERROR(__xludf.DUMMYFUNCTION("""COMPUTED_VALUE"""),"Estrela 2")</f>
        <v>Estrela 2</v>
      </c>
    </row>
    <row r="652">
      <c r="A652" s="1">
        <v>651.0</v>
      </c>
      <c r="B652" s="1" t="s">
        <v>3936</v>
      </c>
      <c r="C652" s="1" t="s">
        <v>1542</v>
      </c>
      <c r="D652" s="1" t="s">
        <v>3205</v>
      </c>
      <c r="E652" s="1" t="s">
        <v>1785</v>
      </c>
      <c r="F652" s="1" t="s">
        <v>3939</v>
      </c>
      <c r="G652" s="5" t="str">
        <f>IFERROR(__xludf.DUMMYFUNCTION("""COMPUTED_VALUE"""),"163🤙🏼L.A. Confidential🤙🏼Guy Pearce🤙🏼Estrela 3")</f>
        <v>163🤙🏼L.A. Confidential🤙🏼Guy Pearce🤙🏼Estrela 3</v>
      </c>
      <c r="H652" s="5">
        <f>IFERROR(__xludf.DUMMYFUNCTION("SPLiT(G652, ""🤙🏼"",FALSE,FALSE)"),163.0)</f>
        <v>163</v>
      </c>
      <c r="I652" s="5" t="str">
        <f>IFERROR(__xludf.DUMMYFUNCTION("""COMPUTED_VALUE"""),"L.A. Confidential")</f>
        <v>L.A. Confidential</v>
      </c>
      <c r="J652" s="5" t="str">
        <f>IFERROR(__xludf.DUMMYFUNCTION("""COMPUTED_VALUE"""),"Guy Pearce")</f>
        <v>Guy Pearce</v>
      </c>
      <c r="K652" s="5" t="str">
        <f>IFERROR(__xludf.DUMMYFUNCTION("""COMPUTED_VALUE"""),"Estrela 3")</f>
        <v>Estrela 3</v>
      </c>
      <c r="P652" s="5">
        <f>IFERROR(__xludf.DUMMYFUNCTION("""COMPUTED_VALUE"""),163.0)</f>
        <v>163</v>
      </c>
      <c r="Q652" s="5" t="str">
        <f>IFERROR(__xludf.DUMMYFUNCTION("""COMPUTED_VALUE"""),"L.A. Confidential")</f>
        <v>L.A. Confidential</v>
      </c>
      <c r="R652" s="5" t="str">
        <f>IFERROR(__xludf.DUMMYFUNCTION("""COMPUTED_VALUE"""),"Guy Pearce")</f>
        <v>Guy Pearce</v>
      </c>
      <c r="S652" s="5" t="str">
        <f>IFERROR(__xludf.DUMMYFUNCTION("""COMPUTED_VALUE"""),"Estrela 3")</f>
        <v>Estrela 3</v>
      </c>
    </row>
    <row r="653">
      <c r="A653" s="1">
        <v>652.0</v>
      </c>
      <c r="B653" s="1" t="s">
        <v>3940</v>
      </c>
      <c r="C653" s="1" t="s">
        <v>3943</v>
      </c>
      <c r="D653" s="1" t="s">
        <v>3944</v>
      </c>
      <c r="E653" s="1" t="s">
        <v>3945</v>
      </c>
      <c r="F653" s="1" t="s">
        <v>3946</v>
      </c>
      <c r="G653" s="5" t="str">
        <f>IFERROR(__xludf.DUMMYFUNCTION("""COMPUTED_VALUE"""),"163🤙🏼L.A. Confidential🤙🏼Kim Basinger🤙🏼Estrela 4")</f>
        <v>163🤙🏼L.A. Confidential🤙🏼Kim Basinger🤙🏼Estrela 4</v>
      </c>
      <c r="H653" s="5">
        <f>IFERROR(__xludf.DUMMYFUNCTION("SPLiT(G653, ""🤙🏼"",FALSE,FALSE)"),163.0)</f>
        <v>163</v>
      </c>
      <c r="I653" s="5" t="str">
        <f>IFERROR(__xludf.DUMMYFUNCTION("""COMPUTED_VALUE"""),"L.A. Confidential")</f>
        <v>L.A. Confidential</v>
      </c>
      <c r="J653" s="5" t="str">
        <f>IFERROR(__xludf.DUMMYFUNCTION("""COMPUTED_VALUE"""),"Kim Basinger")</f>
        <v>Kim Basinger</v>
      </c>
      <c r="K653" s="5" t="str">
        <f>IFERROR(__xludf.DUMMYFUNCTION("""COMPUTED_VALUE"""),"Estrela 4")</f>
        <v>Estrela 4</v>
      </c>
      <c r="P653" s="5">
        <f>IFERROR(__xludf.DUMMYFUNCTION("""COMPUTED_VALUE"""),163.0)</f>
        <v>163</v>
      </c>
      <c r="Q653" s="5" t="str">
        <f>IFERROR(__xludf.DUMMYFUNCTION("""COMPUTED_VALUE"""),"L.A. Confidential")</f>
        <v>L.A. Confidential</v>
      </c>
      <c r="R653" s="5" t="str">
        <f>IFERROR(__xludf.DUMMYFUNCTION("""COMPUTED_VALUE"""),"Kim Basinger")</f>
        <v>Kim Basinger</v>
      </c>
      <c r="S653" s="5" t="str">
        <f>IFERROR(__xludf.DUMMYFUNCTION("""COMPUTED_VALUE"""),"Estrela 4")</f>
        <v>Estrela 4</v>
      </c>
    </row>
    <row r="654">
      <c r="A654" s="1">
        <v>653.0</v>
      </c>
      <c r="B654" s="1" t="s">
        <v>3947</v>
      </c>
      <c r="C654" s="1" t="s">
        <v>90</v>
      </c>
      <c r="D654" s="1" t="s">
        <v>719</v>
      </c>
      <c r="E654" s="1" t="s">
        <v>3950</v>
      </c>
      <c r="F654" s="1" t="s">
        <v>3951</v>
      </c>
      <c r="G654" s="5" t="str">
        <f>IFERROR(__xludf.DUMMYFUNCTION("""COMPUTED_VALUE"""),"164🤙🏼Eskiya🤙🏼Sener Sen🤙🏼Estrela 1")</f>
        <v>164🤙🏼Eskiya🤙🏼Sener Sen🤙🏼Estrela 1</v>
      </c>
      <c r="H654" s="5">
        <f>IFERROR(__xludf.DUMMYFUNCTION("SPLiT(G654, ""🤙🏼"",FALSE,FALSE)"),164.0)</f>
        <v>164</v>
      </c>
      <c r="I654" s="5" t="str">
        <f>IFERROR(__xludf.DUMMYFUNCTION("""COMPUTED_VALUE"""),"Eskiya")</f>
        <v>Eskiya</v>
      </c>
      <c r="J654" s="5" t="str">
        <f>IFERROR(__xludf.DUMMYFUNCTION("""COMPUTED_VALUE"""),"Sener Sen")</f>
        <v>Sener Sen</v>
      </c>
      <c r="K654" s="5" t="str">
        <f>IFERROR(__xludf.DUMMYFUNCTION("""COMPUTED_VALUE"""),"Estrela 1")</f>
        <v>Estrela 1</v>
      </c>
      <c r="P654" s="5">
        <f>IFERROR(__xludf.DUMMYFUNCTION("""COMPUTED_VALUE"""),164.0)</f>
        <v>164</v>
      </c>
      <c r="Q654" s="5" t="str">
        <f>IFERROR(__xludf.DUMMYFUNCTION("""COMPUTED_VALUE"""),"Eskiya")</f>
        <v>Eskiya</v>
      </c>
      <c r="R654" s="5" t="str">
        <f>IFERROR(__xludf.DUMMYFUNCTION("""COMPUTED_VALUE"""),"Sener Sen")</f>
        <v>Sener Sen</v>
      </c>
      <c r="S654" s="5" t="str">
        <f>IFERROR(__xludf.DUMMYFUNCTION("""COMPUTED_VALUE"""),"Estrela 1")</f>
        <v>Estrela 1</v>
      </c>
    </row>
    <row r="655">
      <c r="A655" s="1">
        <v>654.0</v>
      </c>
      <c r="B655" s="1" t="s">
        <v>3952</v>
      </c>
      <c r="C655" s="1" t="s">
        <v>3954</v>
      </c>
      <c r="D655" s="1" t="s">
        <v>3955</v>
      </c>
      <c r="E655" s="1" t="s">
        <v>3956</v>
      </c>
      <c r="F655" s="1" t="s">
        <v>3957</v>
      </c>
      <c r="G655" s="5" t="str">
        <f>IFERROR(__xludf.DUMMYFUNCTION("""COMPUTED_VALUE"""),"164🤙🏼Eskiya🤙🏼Ugur Yücel🤙🏼Estrela 2")</f>
        <v>164🤙🏼Eskiya🤙🏼Ugur Yücel🤙🏼Estrela 2</v>
      </c>
      <c r="H655" s="5">
        <f>IFERROR(__xludf.DUMMYFUNCTION("SPLiT(G655, ""🤙🏼"",FALSE,FALSE)"),164.0)</f>
        <v>164</v>
      </c>
      <c r="I655" s="5" t="str">
        <f>IFERROR(__xludf.DUMMYFUNCTION("""COMPUTED_VALUE"""),"Eskiya")</f>
        <v>Eskiya</v>
      </c>
      <c r="J655" s="5" t="str">
        <f>IFERROR(__xludf.DUMMYFUNCTION("""COMPUTED_VALUE"""),"Ugur Yücel")</f>
        <v>Ugur Yücel</v>
      </c>
      <c r="K655" s="5" t="str">
        <f>IFERROR(__xludf.DUMMYFUNCTION("""COMPUTED_VALUE"""),"Estrela 2")</f>
        <v>Estrela 2</v>
      </c>
      <c r="P655" s="5">
        <f>IFERROR(__xludf.DUMMYFUNCTION("""COMPUTED_VALUE"""),164.0)</f>
        <v>164</v>
      </c>
      <c r="Q655" s="5" t="str">
        <f>IFERROR(__xludf.DUMMYFUNCTION("""COMPUTED_VALUE"""),"Eskiya")</f>
        <v>Eskiya</v>
      </c>
      <c r="R655" s="5" t="str">
        <f>IFERROR(__xludf.DUMMYFUNCTION("""COMPUTED_VALUE"""),"Ugur Yücel")</f>
        <v>Ugur Yücel</v>
      </c>
      <c r="S655" s="5" t="str">
        <f>IFERROR(__xludf.DUMMYFUNCTION("""COMPUTED_VALUE"""),"Estrela 2")</f>
        <v>Estrela 2</v>
      </c>
    </row>
    <row r="656">
      <c r="A656" s="1">
        <v>655.0</v>
      </c>
      <c r="B656" s="1" t="s">
        <v>3958</v>
      </c>
      <c r="C656" s="1" t="s">
        <v>1642</v>
      </c>
      <c r="D656" s="1" t="s">
        <v>74</v>
      </c>
      <c r="E656" s="1" t="s">
        <v>3962</v>
      </c>
      <c r="F656" s="1" t="s">
        <v>3963</v>
      </c>
      <c r="G656" s="5" t="str">
        <f>IFERROR(__xludf.DUMMYFUNCTION("""COMPUTED_VALUE"""),"164🤙🏼Eskiya🤙🏼Sermin Hürmeriç🤙🏼Estrela 3")</f>
        <v>164🤙🏼Eskiya🤙🏼Sermin Hürmeriç🤙🏼Estrela 3</v>
      </c>
      <c r="H656" s="5">
        <f>IFERROR(__xludf.DUMMYFUNCTION("SPLiT(G656, ""🤙🏼"",FALSE,FALSE)"),164.0)</f>
        <v>164</v>
      </c>
      <c r="I656" s="5" t="str">
        <f>IFERROR(__xludf.DUMMYFUNCTION("""COMPUTED_VALUE"""),"Eskiya")</f>
        <v>Eskiya</v>
      </c>
      <c r="J656" s="5" t="str">
        <f>IFERROR(__xludf.DUMMYFUNCTION("""COMPUTED_VALUE"""),"Sermin Hürmeriç")</f>
        <v>Sermin Hürmeriç</v>
      </c>
      <c r="K656" s="5" t="str">
        <f>IFERROR(__xludf.DUMMYFUNCTION("""COMPUTED_VALUE"""),"Estrela 3")</f>
        <v>Estrela 3</v>
      </c>
      <c r="P656" s="5">
        <f>IFERROR(__xludf.DUMMYFUNCTION("""COMPUTED_VALUE"""),164.0)</f>
        <v>164</v>
      </c>
      <c r="Q656" s="5" t="str">
        <f>IFERROR(__xludf.DUMMYFUNCTION("""COMPUTED_VALUE"""),"Eskiya")</f>
        <v>Eskiya</v>
      </c>
      <c r="R656" s="5" t="str">
        <f>IFERROR(__xludf.DUMMYFUNCTION("""COMPUTED_VALUE"""),"Sermin Hürmeriç")</f>
        <v>Sermin Hürmeriç</v>
      </c>
      <c r="S656" s="5" t="str">
        <f>IFERROR(__xludf.DUMMYFUNCTION("""COMPUTED_VALUE"""),"Estrela 3")</f>
        <v>Estrela 3</v>
      </c>
    </row>
    <row r="657">
      <c r="A657" s="1">
        <v>656.0</v>
      </c>
      <c r="B657" s="1" t="s">
        <v>3964</v>
      </c>
      <c r="C657" s="1" t="s">
        <v>3966</v>
      </c>
      <c r="D657" s="1" t="s">
        <v>3967</v>
      </c>
      <c r="E657" s="1" t="s">
        <v>1605</v>
      </c>
      <c r="F657" s="1" t="s">
        <v>2583</v>
      </c>
      <c r="G657" s="5" t="str">
        <f>IFERROR(__xludf.DUMMYFUNCTION("""COMPUTED_VALUE"""),"164🤙🏼Eskiya🤙🏼Yesim Salkim🤙🏼Estrela 4")</f>
        <v>164🤙🏼Eskiya🤙🏼Yesim Salkim🤙🏼Estrela 4</v>
      </c>
      <c r="H657" s="5">
        <f>IFERROR(__xludf.DUMMYFUNCTION("SPLiT(G657, ""🤙🏼"",FALSE,FALSE)"),164.0)</f>
        <v>164</v>
      </c>
      <c r="I657" s="5" t="str">
        <f>IFERROR(__xludf.DUMMYFUNCTION("""COMPUTED_VALUE"""),"Eskiya")</f>
        <v>Eskiya</v>
      </c>
      <c r="J657" s="5" t="str">
        <f>IFERROR(__xludf.DUMMYFUNCTION("""COMPUTED_VALUE"""),"Yesim Salkim")</f>
        <v>Yesim Salkim</v>
      </c>
      <c r="K657" s="5" t="str">
        <f>IFERROR(__xludf.DUMMYFUNCTION("""COMPUTED_VALUE"""),"Estrela 4")</f>
        <v>Estrela 4</v>
      </c>
      <c r="P657" s="5">
        <f>IFERROR(__xludf.DUMMYFUNCTION("""COMPUTED_VALUE"""),164.0)</f>
        <v>164</v>
      </c>
      <c r="Q657" s="5" t="str">
        <f>IFERROR(__xludf.DUMMYFUNCTION("""COMPUTED_VALUE"""),"Eskiya")</f>
        <v>Eskiya</v>
      </c>
      <c r="R657" s="5" t="str">
        <f>IFERROR(__xludf.DUMMYFUNCTION("""COMPUTED_VALUE"""),"Yesim Salkim")</f>
        <v>Yesim Salkim</v>
      </c>
      <c r="S657" s="5" t="str">
        <f>IFERROR(__xludf.DUMMYFUNCTION("""COMPUTED_VALUE"""),"Estrela 4")</f>
        <v>Estrela 4</v>
      </c>
    </row>
    <row r="658">
      <c r="A658" s="1">
        <v>657.0</v>
      </c>
      <c r="B658" s="1" t="s">
        <v>3968</v>
      </c>
      <c r="C658" s="1" t="s">
        <v>3970</v>
      </c>
      <c r="D658" s="1" t="s">
        <v>754</v>
      </c>
      <c r="E658" s="1" t="s">
        <v>3971</v>
      </c>
      <c r="F658" s="1" t="s">
        <v>3972</v>
      </c>
      <c r="G658" s="5" t="str">
        <f>IFERROR(__xludf.DUMMYFUNCTION("""COMPUTED_VALUE"""),"165🤙🏼Heat🤙🏼Al Pacino🤙🏼Estrela 1")</f>
        <v>165🤙🏼Heat🤙🏼Al Pacino🤙🏼Estrela 1</v>
      </c>
      <c r="H658" s="5">
        <f>IFERROR(__xludf.DUMMYFUNCTION("SPLiT(G658, ""🤙🏼"",FALSE,FALSE)"),165.0)</f>
        <v>165</v>
      </c>
      <c r="I658" s="5" t="str">
        <f>IFERROR(__xludf.DUMMYFUNCTION("""COMPUTED_VALUE"""),"Heat")</f>
        <v>Heat</v>
      </c>
      <c r="J658" s="5" t="str">
        <f>IFERROR(__xludf.DUMMYFUNCTION("""COMPUTED_VALUE"""),"Al Pacino")</f>
        <v>Al Pacino</v>
      </c>
      <c r="K658" s="5" t="str">
        <f>IFERROR(__xludf.DUMMYFUNCTION("""COMPUTED_VALUE"""),"Estrela 1")</f>
        <v>Estrela 1</v>
      </c>
      <c r="P658" s="5">
        <f>IFERROR(__xludf.DUMMYFUNCTION("""COMPUTED_VALUE"""),165.0)</f>
        <v>165</v>
      </c>
      <c r="Q658" s="5" t="str">
        <f>IFERROR(__xludf.DUMMYFUNCTION("""COMPUTED_VALUE"""),"Heat")</f>
        <v>Heat</v>
      </c>
      <c r="R658" s="5" t="str">
        <f>IFERROR(__xludf.DUMMYFUNCTION("""COMPUTED_VALUE"""),"Al Pacino")</f>
        <v>Al Pacino</v>
      </c>
      <c r="S658" s="5" t="str">
        <f>IFERROR(__xludf.DUMMYFUNCTION("""COMPUTED_VALUE"""),"Estrela 1")</f>
        <v>Estrela 1</v>
      </c>
    </row>
    <row r="659">
      <c r="A659" s="1">
        <v>658.0</v>
      </c>
      <c r="B659" s="1" t="s">
        <v>3973</v>
      </c>
      <c r="C659" s="1" t="s">
        <v>2451</v>
      </c>
      <c r="D659" s="1" t="s">
        <v>3278</v>
      </c>
      <c r="E659" s="1" t="s">
        <v>3975</v>
      </c>
      <c r="F659" s="1" t="s">
        <v>3089</v>
      </c>
      <c r="G659" s="5" t="str">
        <f>IFERROR(__xludf.DUMMYFUNCTION("""COMPUTED_VALUE"""),"165🤙🏼Heat🤙🏼Robert De Niro🤙🏼Estrela 2")</f>
        <v>165🤙🏼Heat🤙🏼Robert De Niro🤙🏼Estrela 2</v>
      </c>
      <c r="H659" s="5">
        <f>IFERROR(__xludf.DUMMYFUNCTION("SPLiT(G659, ""🤙🏼"",FALSE,FALSE)"),165.0)</f>
        <v>165</v>
      </c>
      <c r="I659" s="5" t="str">
        <f>IFERROR(__xludf.DUMMYFUNCTION("""COMPUTED_VALUE"""),"Heat")</f>
        <v>Heat</v>
      </c>
      <c r="J659" s="5" t="str">
        <f>IFERROR(__xludf.DUMMYFUNCTION("""COMPUTED_VALUE"""),"Robert De Niro")</f>
        <v>Robert De Niro</v>
      </c>
      <c r="K659" s="5" t="str">
        <f>IFERROR(__xludf.DUMMYFUNCTION("""COMPUTED_VALUE"""),"Estrela 2")</f>
        <v>Estrela 2</v>
      </c>
      <c r="P659" s="5">
        <f>IFERROR(__xludf.DUMMYFUNCTION("""COMPUTED_VALUE"""),165.0)</f>
        <v>165</v>
      </c>
      <c r="Q659" s="5" t="str">
        <f>IFERROR(__xludf.DUMMYFUNCTION("""COMPUTED_VALUE"""),"Heat")</f>
        <v>Heat</v>
      </c>
      <c r="R659" s="5" t="str">
        <f>IFERROR(__xludf.DUMMYFUNCTION("""COMPUTED_VALUE"""),"Robert De Niro")</f>
        <v>Robert De Niro</v>
      </c>
      <c r="S659" s="5" t="str">
        <f>IFERROR(__xludf.DUMMYFUNCTION("""COMPUTED_VALUE"""),"Estrela 2")</f>
        <v>Estrela 2</v>
      </c>
    </row>
    <row r="660">
      <c r="A660" s="1">
        <v>659.0</v>
      </c>
      <c r="B660" s="1" t="s">
        <v>3976</v>
      </c>
      <c r="C660" s="1" t="s">
        <v>2451</v>
      </c>
      <c r="D660" s="1" t="s">
        <v>90</v>
      </c>
      <c r="E660" s="1" t="s">
        <v>3978</v>
      </c>
      <c r="F660" s="1" t="s">
        <v>2203</v>
      </c>
      <c r="G660" s="5" t="str">
        <f>IFERROR(__xludf.DUMMYFUNCTION("""COMPUTED_VALUE"""),"165🤙🏼Heat🤙🏼Val Kilmer🤙🏼Estrela 3")</f>
        <v>165🤙🏼Heat🤙🏼Val Kilmer🤙🏼Estrela 3</v>
      </c>
      <c r="H660" s="5">
        <f>IFERROR(__xludf.DUMMYFUNCTION("SPLiT(G660, ""🤙🏼"",FALSE,FALSE)"),165.0)</f>
        <v>165</v>
      </c>
      <c r="I660" s="5" t="str">
        <f>IFERROR(__xludf.DUMMYFUNCTION("""COMPUTED_VALUE"""),"Heat")</f>
        <v>Heat</v>
      </c>
      <c r="J660" s="5" t="str">
        <f>IFERROR(__xludf.DUMMYFUNCTION("""COMPUTED_VALUE"""),"Val Kilmer")</f>
        <v>Val Kilmer</v>
      </c>
      <c r="K660" s="5" t="str">
        <f>IFERROR(__xludf.DUMMYFUNCTION("""COMPUTED_VALUE"""),"Estrela 3")</f>
        <v>Estrela 3</v>
      </c>
      <c r="P660" s="5">
        <f>IFERROR(__xludf.DUMMYFUNCTION("""COMPUTED_VALUE"""),165.0)</f>
        <v>165</v>
      </c>
      <c r="Q660" s="5" t="str">
        <f>IFERROR(__xludf.DUMMYFUNCTION("""COMPUTED_VALUE"""),"Heat")</f>
        <v>Heat</v>
      </c>
      <c r="R660" s="5" t="str">
        <f>IFERROR(__xludf.DUMMYFUNCTION("""COMPUTED_VALUE"""),"Val Kilmer")</f>
        <v>Val Kilmer</v>
      </c>
      <c r="S660" s="5" t="str">
        <f>IFERROR(__xludf.DUMMYFUNCTION("""COMPUTED_VALUE"""),"Estrela 3")</f>
        <v>Estrela 3</v>
      </c>
    </row>
    <row r="661">
      <c r="A661" s="1">
        <v>660.0</v>
      </c>
      <c r="B661" s="1" t="s">
        <v>3979</v>
      </c>
      <c r="C661" s="1" t="s">
        <v>3982</v>
      </c>
      <c r="D661" s="1" t="s">
        <v>1846</v>
      </c>
      <c r="E661" s="1" t="s">
        <v>1177</v>
      </c>
      <c r="F661" s="1" t="s">
        <v>3983</v>
      </c>
      <c r="G661" s="5" t="str">
        <f>IFERROR(__xludf.DUMMYFUNCTION("""COMPUTED_VALUE"""),"165🤙🏼Heat🤙🏼Jon Voight🤙🏼Estrela 4")</f>
        <v>165🤙🏼Heat🤙🏼Jon Voight🤙🏼Estrela 4</v>
      </c>
      <c r="H661" s="5">
        <f>IFERROR(__xludf.DUMMYFUNCTION("SPLiT(G661, ""🤙🏼"",FALSE,FALSE)"),165.0)</f>
        <v>165</v>
      </c>
      <c r="I661" s="5" t="str">
        <f>IFERROR(__xludf.DUMMYFUNCTION("""COMPUTED_VALUE"""),"Heat")</f>
        <v>Heat</v>
      </c>
      <c r="J661" s="5" t="str">
        <f>IFERROR(__xludf.DUMMYFUNCTION("""COMPUTED_VALUE"""),"Jon Voight")</f>
        <v>Jon Voight</v>
      </c>
      <c r="K661" s="5" t="str">
        <f>IFERROR(__xludf.DUMMYFUNCTION("""COMPUTED_VALUE"""),"Estrela 4")</f>
        <v>Estrela 4</v>
      </c>
      <c r="P661" s="5">
        <f>IFERROR(__xludf.DUMMYFUNCTION("""COMPUTED_VALUE"""),165.0)</f>
        <v>165</v>
      </c>
      <c r="Q661" s="5" t="str">
        <f>IFERROR(__xludf.DUMMYFUNCTION("""COMPUTED_VALUE"""),"Heat")</f>
        <v>Heat</v>
      </c>
      <c r="R661" s="5" t="str">
        <f>IFERROR(__xludf.DUMMYFUNCTION("""COMPUTED_VALUE"""),"Jon Voight")</f>
        <v>Jon Voight</v>
      </c>
      <c r="S661" s="5" t="str">
        <f>IFERROR(__xludf.DUMMYFUNCTION("""COMPUTED_VALUE"""),"Estrela 4")</f>
        <v>Estrela 4</v>
      </c>
    </row>
    <row r="662">
      <c r="A662" s="1">
        <v>661.0</v>
      </c>
      <c r="B662" s="1" t="s">
        <v>3984</v>
      </c>
      <c r="C662" s="1" t="s">
        <v>3987</v>
      </c>
      <c r="D662" s="1" t="s">
        <v>3988</v>
      </c>
      <c r="E662" s="1" t="s">
        <v>3989</v>
      </c>
      <c r="F662" s="1" t="s">
        <v>3990</v>
      </c>
      <c r="G662" s="5" t="str">
        <f>IFERROR(__xludf.DUMMYFUNCTION("""COMPUTED_VALUE"""),"166🤙🏼Casino🤙🏼Robert De Niro🤙🏼Estrela 1")</f>
        <v>166🤙🏼Casino🤙🏼Robert De Niro🤙🏼Estrela 1</v>
      </c>
      <c r="H662" s="5">
        <f>IFERROR(__xludf.DUMMYFUNCTION("SPLiT(G662, ""🤙🏼"",FALSE,FALSE)"),166.0)</f>
        <v>166</v>
      </c>
      <c r="I662" s="5" t="str">
        <f>IFERROR(__xludf.DUMMYFUNCTION("""COMPUTED_VALUE"""),"Casino")</f>
        <v>Casino</v>
      </c>
      <c r="J662" s="5" t="str">
        <f>IFERROR(__xludf.DUMMYFUNCTION("""COMPUTED_VALUE"""),"Robert De Niro")</f>
        <v>Robert De Niro</v>
      </c>
      <c r="K662" s="5" t="str">
        <f>IFERROR(__xludf.DUMMYFUNCTION("""COMPUTED_VALUE"""),"Estrela 1")</f>
        <v>Estrela 1</v>
      </c>
      <c r="P662" s="5">
        <f>IFERROR(__xludf.DUMMYFUNCTION("""COMPUTED_VALUE"""),166.0)</f>
        <v>166</v>
      </c>
      <c r="Q662" s="5" t="str">
        <f>IFERROR(__xludf.DUMMYFUNCTION("""COMPUTED_VALUE"""),"Casino")</f>
        <v>Casino</v>
      </c>
      <c r="R662" s="5" t="str">
        <f>IFERROR(__xludf.DUMMYFUNCTION("""COMPUTED_VALUE"""),"Robert De Niro")</f>
        <v>Robert De Niro</v>
      </c>
      <c r="S662" s="5" t="str">
        <f>IFERROR(__xludf.DUMMYFUNCTION("""COMPUTED_VALUE"""),"Estrela 1")</f>
        <v>Estrela 1</v>
      </c>
    </row>
    <row r="663">
      <c r="A663" s="1">
        <v>662.0</v>
      </c>
      <c r="B663" s="1" t="s">
        <v>3991</v>
      </c>
      <c r="C663" s="1" t="s">
        <v>245</v>
      </c>
      <c r="D663" s="1" t="s">
        <v>3994</v>
      </c>
      <c r="E663" s="1" t="s">
        <v>3995</v>
      </c>
      <c r="F663" s="1" t="s">
        <v>3996</v>
      </c>
      <c r="G663" s="5" t="str">
        <f>IFERROR(__xludf.DUMMYFUNCTION("""COMPUTED_VALUE"""),"166🤙🏼Casino🤙🏼Sharon Stone🤙🏼Estrela 2")</f>
        <v>166🤙🏼Casino🤙🏼Sharon Stone🤙🏼Estrela 2</v>
      </c>
      <c r="H663" s="5">
        <f>IFERROR(__xludf.DUMMYFUNCTION("SPLiT(G663, ""🤙🏼"",FALSE,FALSE)"),166.0)</f>
        <v>166</v>
      </c>
      <c r="I663" s="5" t="str">
        <f>IFERROR(__xludf.DUMMYFUNCTION("""COMPUTED_VALUE"""),"Casino")</f>
        <v>Casino</v>
      </c>
      <c r="J663" s="5" t="str">
        <f>IFERROR(__xludf.DUMMYFUNCTION("""COMPUTED_VALUE"""),"Sharon Stone")</f>
        <v>Sharon Stone</v>
      </c>
      <c r="K663" s="5" t="str">
        <f>IFERROR(__xludf.DUMMYFUNCTION("""COMPUTED_VALUE"""),"Estrela 2")</f>
        <v>Estrela 2</v>
      </c>
      <c r="P663" s="5">
        <f>IFERROR(__xludf.DUMMYFUNCTION("""COMPUTED_VALUE"""),166.0)</f>
        <v>166</v>
      </c>
      <c r="Q663" s="5" t="str">
        <f>IFERROR(__xludf.DUMMYFUNCTION("""COMPUTED_VALUE"""),"Casino")</f>
        <v>Casino</v>
      </c>
      <c r="R663" s="5" t="str">
        <f>IFERROR(__xludf.DUMMYFUNCTION("""COMPUTED_VALUE"""),"Sharon Stone")</f>
        <v>Sharon Stone</v>
      </c>
      <c r="S663" s="5" t="str">
        <f>IFERROR(__xludf.DUMMYFUNCTION("""COMPUTED_VALUE"""),"Estrela 2")</f>
        <v>Estrela 2</v>
      </c>
    </row>
    <row r="664">
      <c r="A664" s="1">
        <v>663.0</v>
      </c>
      <c r="B664" s="1" t="s">
        <v>3997</v>
      </c>
      <c r="C664" s="1" t="s">
        <v>3772</v>
      </c>
      <c r="D664" s="1" t="s">
        <v>3999</v>
      </c>
      <c r="E664" s="1" t="s">
        <v>3971</v>
      </c>
      <c r="F664" s="1" t="s">
        <v>4000</v>
      </c>
      <c r="G664" s="5" t="str">
        <f>IFERROR(__xludf.DUMMYFUNCTION("""COMPUTED_VALUE"""),"166🤙🏼Casino🤙🏼Joe Pesci🤙🏼Estrela 3")</f>
        <v>166🤙🏼Casino🤙🏼Joe Pesci🤙🏼Estrela 3</v>
      </c>
      <c r="H664" s="5">
        <f>IFERROR(__xludf.DUMMYFUNCTION("SPLiT(G664, ""🤙🏼"",FALSE,FALSE)"),166.0)</f>
        <v>166</v>
      </c>
      <c r="I664" s="5" t="str">
        <f>IFERROR(__xludf.DUMMYFUNCTION("""COMPUTED_VALUE"""),"Casino")</f>
        <v>Casino</v>
      </c>
      <c r="J664" s="5" t="str">
        <f>IFERROR(__xludf.DUMMYFUNCTION("""COMPUTED_VALUE"""),"Joe Pesci")</f>
        <v>Joe Pesci</v>
      </c>
      <c r="K664" s="5" t="str">
        <f>IFERROR(__xludf.DUMMYFUNCTION("""COMPUTED_VALUE"""),"Estrela 3")</f>
        <v>Estrela 3</v>
      </c>
      <c r="P664" s="5">
        <f>IFERROR(__xludf.DUMMYFUNCTION("""COMPUTED_VALUE"""),166.0)</f>
        <v>166</v>
      </c>
      <c r="Q664" s="5" t="str">
        <f>IFERROR(__xludf.DUMMYFUNCTION("""COMPUTED_VALUE"""),"Casino")</f>
        <v>Casino</v>
      </c>
      <c r="R664" s="5" t="str">
        <f>IFERROR(__xludf.DUMMYFUNCTION("""COMPUTED_VALUE"""),"Joe Pesci")</f>
        <v>Joe Pesci</v>
      </c>
      <c r="S664" s="5" t="str">
        <f>IFERROR(__xludf.DUMMYFUNCTION("""COMPUTED_VALUE"""),"Estrela 3")</f>
        <v>Estrela 3</v>
      </c>
    </row>
    <row r="665">
      <c r="A665" s="1">
        <v>664.0</v>
      </c>
      <c r="B665" s="1" t="s">
        <v>4001</v>
      </c>
      <c r="C665" s="1" t="s">
        <v>149</v>
      </c>
      <c r="D665" s="1" t="s">
        <v>1614</v>
      </c>
      <c r="E665" s="1" t="s">
        <v>4004</v>
      </c>
      <c r="F665" s="1" t="s">
        <v>1728</v>
      </c>
      <c r="G665" s="5" t="str">
        <f>IFERROR(__xludf.DUMMYFUNCTION("""COMPUTED_VALUE"""),"166🤙🏼Casino🤙🏼James Woods🤙🏼Estrela 4")</f>
        <v>166🤙🏼Casino🤙🏼James Woods🤙🏼Estrela 4</v>
      </c>
      <c r="H665" s="5">
        <f>IFERROR(__xludf.DUMMYFUNCTION("SPLiT(G665, ""🤙🏼"",FALSE,FALSE)"),166.0)</f>
        <v>166</v>
      </c>
      <c r="I665" s="5" t="str">
        <f>IFERROR(__xludf.DUMMYFUNCTION("""COMPUTED_VALUE"""),"Casino")</f>
        <v>Casino</v>
      </c>
      <c r="J665" s="5" t="str">
        <f>IFERROR(__xludf.DUMMYFUNCTION("""COMPUTED_VALUE"""),"James Woods")</f>
        <v>James Woods</v>
      </c>
      <c r="K665" s="5" t="str">
        <f>IFERROR(__xludf.DUMMYFUNCTION("""COMPUTED_VALUE"""),"Estrela 4")</f>
        <v>Estrela 4</v>
      </c>
      <c r="P665" s="5">
        <f>IFERROR(__xludf.DUMMYFUNCTION("""COMPUTED_VALUE"""),166.0)</f>
        <v>166</v>
      </c>
      <c r="Q665" s="5" t="str">
        <f>IFERROR(__xludf.DUMMYFUNCTION("""COMPUTED_VALUE"""),"Casino")</f>
        <v>Casino</v>
      </c>
      <c r="R665" s="5" t="str">
        <f>IFERROR(__xludf.DUMMYFUNCTION("""COMPUTED_VALUE"""),"James Woods")</f>
        <v>James Woods</v>
      </c>
      <c r="S665" s="5" t="str">
        <f>IFERROR(__xludf.DUMMYFUNCTION("""COMPUTED_VALUE"""),"Estrela 4")</f>
        <v>Estrela 4</v>
      </c>
    </row>
    <row r="666">
      <c r="A666" s="1">
        <v>665.0</v>
      </c>
      <c r="B666" s="1" t="s">
        <v>4005</v>
      </c>
      <c r="C666" s="1" t="s">
        <v>49</v>
      </c>
      <c r="D666" s="1" t="s">
        <v>340</v>
      </c>
      <c r="E666" s="1" t="s">
        <v>4007</v>
      </c>
      <c r="F666" s="1" t="s">
        <v>4008</v>
      </c>
      <c r="G666" s="5" t="str">
        <f>IFERROR(__xludf.DUMMYFUNCTION("""COMPUTED_VALUE"""),"167🤙🏼Andaz Apna Apna🤙🏼Aamir Khan🤙🏼Estrela 1")</f>
        <v>167🤙🏼Andaz Apna Apna🤙🏼Aamir Khan🤙🏼Estrela 1</v>
      </c>
      <c r="H666" s="5">
        <f>IFERROR(__xludf.DUMMYFUNCTION("SPLiT(G666, ""🤙🏼"",FALSE,FALSE)"),167.0)</f>
        <v>167</v>
      </c>
      <c r="I666" s="5" t="str">
        <f>IFERROR(__xludf.DUMMYFUNCTION("""COMPUTED_VALUE"""),"Andaz Apna Apna")</f>
        <v>Andaz Apna Apna</v>
      </c>
      <c r="J666" s="5" t="str">
        <f>IFERROR(__xludf.DUMMYFUNCTION("""COMPUTED_VALUE"""),"Aamir Khan")</f>
        <v>Aamir Khan</v>
      </c>
      <c r="K666" s="5" t="str">
        <f>IFERROR(__xludf.DUMMYFUNCTION("""COMPUTED_VALUE"""),"Estrela 1")</f>
        <v>Estrela 1</v>
      </c>
      <c r="P666" s="5">
        <f>IFERROR(__xludf.DUMMYFUNCTION("""COMPUTED_VALUE"""),167.0)</f>
        <v>167</v>
      </c>
      <c r="Q666" s="5" t="str">
        <f>IFERROR(__xludf.DUMMYFUNCTION("""COMPUTED_VALUE"""),"Andaz Apna Apna")</f>
        <v>Andaz Apna Apna</v>
      </c>
      <c r="R666" s="5" t="str">
        <f>IFERROR(__xludf.DUMMYFUNCTION("""COMPUTED_VALUE"""),"Aamir Khan")</f>
        <v>Aamir Khan</v>
      </c>
      <c r="S666" s="5" t="str">
        <f>IFERROR(__xludf.DUMMYFUNCTION("""COMPUTED_VALUE"""),"Estrela 1")</f>
        <v>Estrela 1</v>
      </c>
    </row>
    <row r="667">
      <c r="A667" s="1">
        <v>666.0</v>
      </c>
      <c r="B667" s="1" t="s">
        <v>4009</v>
      </c>
      <c r="C667" s="1" t="s">
        <v>4012</v>
      </c>
      <c r="D667" s="1" t="s">
        <v>4013</v>
      </c>
      <c r="E667" s="1" t="s">
        <v>4014</v>
      </c>
      <c r="F667" s="1" t="s">
        <v>4015</v>
      </c>
      <c r="G667" s="5" t="str">
        <f>IFERROR(__xludf.DUMMYFUNCTION("""COMPUTED_VALUE"""),"167🤙🏼Andaz Apna Apna🤙🏼Salman Khan🤙🏼Estrela 2")</f>
        <v>167🤙🏼Andaz Apna Apna🤙🏼Salman Khan🤙🏼Estrela 2</v>
      </c>
      <c r="H667" s="5">
        <f>IFERROR(__xludf.DUMMYFUNCTION("SPLiT(G667, ""🤙🏼"",FALSE,FALSE)"),167.0)</f>
        <v>167</v>
      </c>
      <c r="I667" s="5" t="str">
        <f>IFERROR(__xludf.DUMMYFUNCTION("""COMPUTED_VALUE"""),"Andaz Apna Apna")</f>
        <v>Andaz Apna Apna</v>
      </c>
      <c r="J667" s="5" t="str">
        <f>IFERROR(__xludf.DUMMYFUNCTION("""COMPUTED_VALUE"""),"Salman Khan")</f>
        <v>Salman Khan</v>
      </c>
      <c r="K667" s="5" t="str">
        <f>IFERROR(__xludf.DUMMYFUNCTION("""COMPUTED_VALUE"""),"Estrela 2")</f>
        <v>Estrela 2</v>
      </c>
      <c r="P667" s="5">
        <f>IFERROR(__xludf.DUMMYFUNCTION("""COMPUTED_VALUE"""),167.0)</f>
        <v>167</v>
      </c>
      <c r="Q667" s="5" t="str">
        <f>IFERROR(__xludf.DUMMYFUNCTION("""COMPUTED_VALUE"""),"Andaz Apna Apna")</f>
        <v>Andaz Apna Apna</v>
      </c>
      <c r="R667" s="5" t="str">
        <f>IFERROR(__xludf.DUMMYFUNCTION("""COMPUTED_VALUE"""),"Salman Khan")</f>
        <v>Salman Khan</v>
      </c>
      <c r="S667" s="5" t="str">
        <f>IFERROR(__xludf.DUMMYFUNCTION("""COMPUTED_VALUE"""),"Estrela 2")</f>
        <v>Estrela 2</v>
      </c>
    </row>
    <row r="668">
      <c r="A668" s="1">
        <v>667.0</v>
      </c>
      <c r="B668" s="1" t="s">
        <v>4016</v>
      </c>
      <c r="C668" s="1" t="s">
        <v>3912</v>
      </c>
      <c r="D668" s="1" t="s">
        <v>1732</v>
      </c>
      <c r="E668" s="1" t="s">
        <v>4019</v>
      </c>
      <c r="F668" s="1" t="s">
        <v>4020</v>
      </c>
      <c r="G668" s="5" t="str">
        <f>IFERROR(__xludf.DUMMYFUNCTION("""COMPUTED_VALUE"""),"167🤙🏼Andaz Apna Apna🤙🏼Raveena Tandon🤙🏼Estrela 3")</f>
        <v>167🤙🏼Andaz Apna Apna🤙🏼Raveena Tandon🤙🏼Estrela 3</v>
      </c>
      <c r="H668" s="5">
        <f>IFERROR(__xludf.DUMMYFUNCTION("SPLiT(G668, ""🤙🏼"",FALSE,FALSE)"),167.0)</f>
        <v>167</v>
      </c>
      <c r="I668" s="5" t="str">
        <f>IFERROR(__xludf.DUMMYFUNCTION("""COMPUTED_VALUE"""),"Andaz Apna Apna")</f>
        <v>Andaz Apna Apna</v>
      </c>
      <c r="J668" s="5" t="str">
        <f>IFERROR(__xludf.DUMMYFUNCTION("""COMPUTED_VALUE"""),"Raveena Tandon")</f>
        <v>Raveena Tandon</v>
      </c>
      <c r="K668" s="5" t="str">
        <f>IFERROR(__xludf.DUMMYFUNCTION("""COMPUTED_VALUE"""),"Estrela 3")</f>
        <v>Estrela 3</v>
      </c>
      <c r="P668" s="5">
        <f>IFERROR(__xludf.DUMMYFUNCTION("""COMPUTED_VALUE"""),167.0)</f>
        <v>167</v>
      </c>
      <c r="Q668" s="5" t="str">
        <f>IFERROR(__xludf.DUMMYFUNCTION("""COMPUTED_VALUE"""),"Andaz Apna Apna")</f>
        <v>Andaz Apna Apna</v>
      </c>
      <c r="R668" s="5" t="str">
        <f>IFERROR(__xludf.DUMMYFUNCTION("""COMPUTED_VALUE"""),"Raveena Tandon")</f>
        <v>Raveena Tandon</v>
      </c>
      <c r="S668" s="5" t="str">
        <f>IFERROR(__xludf.DUMMYFUNCTION("""COMPUTED_VALUE"""),"Estrela 3")</f>
        <v>Estrela 3</v>
      </c>
    </row>
    <row r="669">
      <c r="A669" s="1">
        <v>668.0</v>
      </c>
      <c r="B669" s="1" t="s">
        <v>4021</v>
      </c>
      <c r="C669" s="1" t="s">
        <v>2331</v>
      </c>
      <c r="D669" s="1" t="s">
        <v>2347</v>
      </c>
      <c r="E669" s="1" t="s">
        <v>4024</v>
      </c>
      <c r="F669" s="1" t="s">
        <v>4025</v>
      </c>
      <c r="G669" s="5" t="str">
        <f>IFERROR(__xludf.DUMMYFUNCTION("""COMPUTED_VALUE"""),"167🤙🏼Andaz Apna Apna🤙🏼Karisma Kapoor🤙🏼Estrela 4")</f>
        <v>167🤙🏼Andaz Apna Apna🤙🏼Karisma Kapoor🤙🏼Estrela 4</v>
      </c>
      <c r="H669" s="5">
        <f>IFERROR(__xludf.DUMMYFUNCTION("SPLiT(G669, ""🤙🏼"",FALSE,FALSE)"),167.0)</f>
        <v>167</v>
      </c>
      <c r="I669" s="5" t="str">
        <f>IFERROR(__xludf.DUMMYFUNCTION("""COMPUTED_VALUE"""),"Andaz Apna Apna")</f>
        <v>Andaz Apna Apna</v>
      </c>
      <c r="J669" s="5" t="str">
        <f>IFERROR(__xludf.DUMMYFUNCTION("""COMPUTED_VALUE"""),"Karisma Kapoor")</f>
        <v>Karisma Kapoor</v>
      </c>
      <c r="K669" s="5" t="str">
        <f>IFERROR(__xludf.DUMMYFUNCTION("""COMPUTED_VALUE"""),"Estrela 4")</f>
        <v>Estrela 4</v>
      </c>
      <c r="P669" s="5">
        <f>IFERROR(__xludf.DUMMYFUNCTION("""COMPUTED_VALUE"""),167.0)</f>
        <v>167</v>
      </c>
      <c r="Q669" s="5" t="str">
        <f>IFERROR(__xludf.DUMMYFUNCTION("""COMPUTED_VALUE"""),"Andaz Apna Apna")</f>
        <v>Andaz Apna Apna</v>
      </c>
      <c r="R669" s="5" t="str">
        <f>IFERROR(__xludf.DUMMYFUNCTION("""COMPUTED_VALUE"""),"Karisma Kapoor")</f>
        <v>Karisma Kapoor</v>
      </c>
      <c r="S669" s="5" t="str">
        <f>IFERROR(__xludf.DUMMYFUNCTION("""COMPUTED_VALUE"""),"Estrela 4")</f>
        <v>Estrela 4</v>
      </c>
    </row>
    <row r="670">
      <c r="A670" s="1">
        <v>669.0</v>
      </c>
      <c r="B670" s="1" t="s">
        <v>4026</v>
      </c>
      <c r="C670" s="1" t="s">
        <v>1772</v>
      </c>
      <c r="D670" s="1" t="s">
        <v>4028</v>
      </c>
      <c r="E670" s="1" t="s">
        <v>4029</v>
      </c>
      <c r="F670" s="1" t="s">
        <v>4030</v>
      </c>
      <c r="G670" s="5" t="str">
        <f>IFERROR(__xludf.DUMMYFUNCTION("""COMPUTED_VALUE"""),"168🤙🏼Unforgiven🤙🏼Clint Eastwood🤙🏼Estrela 1")</f>
        <v>168🤙🏼Unforgiven🤙🏼Clint Eastwood🤙🏼Estrela 1</v>
      </c>
      <c r="H670" s="5">
        <f>IFERROR(__xludf.DUMMYFUNCTION("SPLiT(G670, ""🤙🏼"",FALSE,FALSE)"),168.0)</f>
        <v>168</v>
      </c>
      <c r="I670" s="5" t="str">
        <f>IFERROR(__xludf.DUMMYFUNCTION("""COMPUTED_VALUE"""),"Unforgiven")</f>
        <v>Unforgiven</v>
      </c>
      <c r="J670" s="5" t="str">
        <f>IFERROR(__xludf.DUMMYFUNCTION("""COMPUTED_VALUE"""),"Clint Eastwood")</f>
        <v>Clint Eastwood</v>
      </c>
      <c r="K670" s="5" t="str">
        <f>IFERROR(__xludf.DUMMYFUNCTION("""COMPUTED_VALUE"""),"Estrela 1")</f>
        <v>Estrela 1</v>
      </c>
      <c r="P670" s="5">
        <f>IFERROR(__xludf.DUMMYFUNCTION("""COMPUTED_VALUE"""),168.0)</f>
        <v>168</v>
      </c>
      <c r="Q670" s="5" t="str">
        <f>IFERROR(__xludf.DUMMYFUNCTION("""COMPUTED_VALUE"""),"Unforgiven")</f>
        <v>Unforgiven</v>
      </c>
      <c r="R670" s="5" t="str">
        <f>IFERROR(__xludf.DUMMYFUNCTION("""COMPUTED_VALUE"""),"Clint Eastwood")</f>
        <v>Clint Eastwood</v>
      </c>
      <c r="S670" s="5" t="str">
        <f>IFERROR(__xludf.DUMMYFUNCTION("""COMPUTED_VALUE"""),"Estrela 1")</f>
        <v>Estrela 1</v>
      </c>
    </row>
    <row r="671">
      <c r="A671" s="1">
        <v>670.0</v>
      </c>
      <c r="B671" s="1" t="s">
        <v>4031</v>
      </c>
      <c r="C671" s="1" t="s">
        <v>4034</v>
      </c>
      <c r="D671" s="1" t="s">
        <v>133</v>
      </c>
      <c r="E671" s="1" t="s">
        <v>4035</v>
      </c>
      <c r="F671" s="1" t="s">
        <v>4036</v>
      </c>
      <c r="G671" s="5" t="str">
        <f>IFERROR(__xludf.DUMMYFUNCTION("""COMPUTED_VALUE"""),"168🤙🏼Unforgiven🤙🏼Gene Hackman🤙🏼Estrela 2")</f>
        <v>168🤙🏼Unforgiven🤙🏼Gene Hackman🤙🏼Estrela 2</v>
      </c>
      <c r="H671" s="5">
        <f>IFERROR(__xludf.DUMMYFUNCTION("SPLiT(G671, ""🤙🏼"",FALSE,FALSE)"),168.0)</f>
        <v>168</v>
      </c>
      <c r="I671" s="5" t="str">
        <f>IFERROR(__xludf.DUMMYFUNCTION("""COMPUTED_VALUE"""),"Unforgiven")</f>
        <v>Unforgiven</v>
      </c>
      <c r="J671" s="5" t="str">
        <f>IFERROR(__xludf.DUMMYFUNCTION("""COMPUTED_VALUE"""),"Gene Hackman")</f>
        <v>Gene Hackman</v>
      </c>
      <c r="K671" s="5" t="str">
        <f>IFERROR(__xludf.DUMMYFUNCTION("""COMPUTED_VALUE"""),"Estrela 2")</f>
        <v>Estrela 2</v>
      </c>
      <c r="P671" s="5">
        <f>IFERROR(__xludf.DUMMYFUNCTION("""COMPUTED_VALUE"""),168.0)</f>
        <v>168</v>
      </c>
      <c r="Q671" s="5" t="str">
        <f>IFERROR(__xludf.DUMMYFUNCTION("""COMPUTED_VALUE"""),"Unforgiven")</f>
        <v>Unforgiven</v>
      </c>
      <c r="R671" s="5" t="str">
        <f>IFERROR(__xludf.DUMMYFUNCTION("""COMPUTED_VALUE"""),"Gene Hackman")</f>
        <v>Gene Hackman</v>
      </c>
      <c r="S671" s="5" t="str">
        <f>IFERROR(__xludf.DUMMYFUNCTION("""COMPUTED_VALUE"""),"Estrela 2")</f>
        <v>Estrela 2</v>
      </c>
    </row>
    <row r="672">
      <c r="A672" s="1">
        <v>671.0</v>
      </c>
      <c r="B672" s="1" t="s">
        <v>4037</v>
      </c>
      <c r="C672" s="1" t="s">
        <v>34</v>
      </c>
      <c r="D672" s="1" t="s">
        <v>3951</v>
      </c>
      <c r="E672" s="1" t="s">
        <v>2494</v>
      </c>
      <c r="F672" s="1" t="s">
        <v>4039</v>
      </c>
      <c r="G672" s="5" t="str">
        <f>IFERROR(__xludf.DUMMYFUNCTION("""COMPUTED_VALUE"""),"168🤙🏼Unforgiven🤙🏼Morgan Freeman🤙🏼Estrela 3")</f>
        <v>168🤙🏼Unforgiven🤙🏼Morgan Freeman🤙🏼Estrela 3</v>
      </c>
      <c r="H672" s="5">
        <f>IFERROR(__xludf.DUMMYFUNCTION("SPLiT(G672, ""🤙🏼"",FALSE,FALSE)"),168.0)</f>
        <v>168</v>
      </c>
      <c r="I672" s="5" t="str">
        <f>IFERROR(__xludf.DUMMYFUNCTION("""COMPUTED_VALUE"""),"Unforgiven")</f>
        <v>Unforgiven</v>
      </c>
      <c r="J672" s="5" t="str">
        <f>IFERROR(__xludf.DUMMYFUNCTION("""COMPUTED_VALUE"""),"Morgan Freeman")</f>
        <v>Morgan Freeman</v>
      </c>
      <c r="K672" s="5" t="str">
        <f>IFERROR(__xludf.DUMMYFUNCTION("""COMPUTED_VALUE"""),"Estrela 3")</f>
        <v>Estrela 3</v>
      </c>
      <c r="P672" s="5">
        <f>IFERROR(__xludf.DUMMYFUNCTION("""COMPUTED_VALUE"""),168.0)</f>
        <v>168</v>
      </c>
      <c r="Q672" s="5" t="str">
        <f>IFERROR(__xludf.DUMMYFUNCTION("""COMPUTED_VALUE"""),"Unforgiven")</f>
        <v>Unforgiven</v>
      </c>
      <c r="R672" s="5" t="str">
        <f>IFERROR(__xludf.DUMMYFUNCTION("""COMPUTED_VALUE"""),"Morgan Freeman")</f>
        <v>Morgan Freeman</v>
      </c>
      <c r="S672" s="5" t="str">
        <f>IFERROR(__xludf.DUMMYFUNCTION("""COMPUTED_VALUE"""),"Estrela 3")</f>
        <v>Estrela 3</v>
      </c>
    </row>
    <row r="673">
      <c r="A673" s="1">
        <v>672.0</v>
      </c>
      <c r="B673" s="1" t="s">
        <v>4040</v>
      </c>
      <c r="C673" s="1" t="s">
        <v>49</v>
      </c>
      <c r="D673" s="1" t="s">
        <v>752</v>
      </c>
      <c r="E673" s="1" t="s">
        <v>4043</v>
      </c>
      <c r="F673" s="1" t="s">
        <v>4044</v>
      </c>
      <c r="G673" s="5" t="str">
        <f>IFERROR(__xludf.DUMMYFUNCTION("""COMPUTED_VALUE"""),"168🤙🏼Unforgiven🤙🏼Richard Harris🤙🏼Estrela 4")</f>
        <v>168🤙🏼Unforgiven🤙🏼Richard Harris🤙🏼Estrela 4</v>
      </c>
      <c r="H673" s="5">
        <f>IFERROR(__xludf.DUMMYFUNCTION("SPLiT(G673, ""🤙🏼"",FALSE,FALSE)"),168.0)</f>
        <v>168</v>
      </c>
      <c r="I673" s="5" t="str">
        <f>IFERROR(__xludf.DUMMYFUNCTION("""COMPUTED_VALUE"""),"Unforgiven")</f>
        <v>Unforgiven</v>
      </c>
      <c r="J673" s="5" t="str">
        <f>IFERROR(__xludf.DUMMYFUNCTION("""COMPUTED_VALUE"""),"Richard Harris")</f>
        <v>Richard Harris</v>
      </c>
      <c r="K673" s="5" t="str">
        <f>IFERROR(__xludf.DUMMYFUNCTION("""COMPUTED_VALUE"""),"Estrela 4")</f>
        <v>Estrela 4</v>
      </c>
      <c r="P673" s="5">
        <f>IFERROR(__xludf.DUMMYFUNCTION("""COMPUTED_VALUE"""),168.0)</f>
        <v>168</v>
      </c>
      <c r="Q673" s="5" t="str">
        <f>IFERROR(__xludf.DUMMYFUNCTION("""COMPUTED_VALUE"""),"Unforgiven")</f>
        <v>Unforgiven</v>
      </c>
      <c r="R673" s="5" t="str">
        <f>IFERROR(__xludf.DUMMYFUNCTION("""COMPUTED_VALUE"""),"Richard Harris")</f>
        <v>Richard Harris</v>
      </c>
      <c r="S673" s="5" t="str">
        <f>IFERROR(__xludf.DUMMYFUNCTION("""COMPUTED_VALUE"""),"Estrela 4")</f>
        <v>Estrela 4</v>
      </c>
    </row>
    <row r="674">
      <c r="A674" s="1">
        <v>673.0</v>
      </c>
      <c r="B674" s="1" t="s">
        <v>4045</v>
      </c>
      <c r="C674" s="1" t="s">
        <v>4047</v>
      </c>
      <c r="D674" s="1" t="s">
        <v>4048</v>
      </c>
      <c r="E674" s="1" t="s">
        <v>4049</v>
      </c>
      <c r="F674" s="1" t="s">
        <v>4050</v>
      </c>
      <c r="G674" s="5" t="str">
        <f>IFERROR(__xludf.DUMMYFUNCTION("""COMPUTED_VALUE"""),"169🤙🏼Indiana Jones and the Last Crusade🤙🏼Harrison Ford🤙🏼Estrela 1")</f>
        <v>169🤙🏼Indiana Jones and the Last Crusade🤙🏼Harrison Ford🤙🏼Estrela 1</v>
      </c>
      <c r="H674" s="5">
        <f>IFERROR(__xludf.DUMMYFUNCTION("SPLiT(G674, ""🤙🏼"",FALSE,FALSE)"),169.0)</f>
        <v>169</v>
      </c>
      <c r="I674" s="5" t="str">
        <f>IFERROR(__xludf.DUMMYFUNCTION("""COMPUTED_VALUE"""),"Indiana Jones and the Last Crusade")</f>
        <v>Indiana Jones and the Last Crusade</v>
      </c>
      <c r="J674" s="5" t="str">
        <f>IFERROR(__xludf.DUMMYFUNCTION("""COMPUTED_VALUE"""),"Harrison Ford")</f>
        <v>Harrison Ford</v>
      </c>
      <c r="K674" s="5" t="str">
        <f>IFERROR(__xludf.DUMMYFUNCTION("""COMPUTED_VALUE"""),"Estrela 1")</f>
        <v>Estrela 1</v>
      </c>
      <c r="P674" s="5">
        <f>IFERROR(__xludf.DUMMYFUNCTION("""COMPUTED_VALUE"""),169.0)</f>
        <v>169</v>
      </c>
      <c r="Q674" s="5" t="str">
        <f>IFERROR(__xludf.DUMMYFUNCTION("""COMPUTED_VALUE"""),"Indiana Jones and the Last Crusade")</f>
        <v>Indiana Jones and the Last Crusade</v>
      </c>
      <c r="R674" s="5" t="str">
        <f>IFERROR(__xludf.DUMMYFUNCTION("""COMPUTED_VALUE"""),"Harrison Ford")</f>
        <v>Harrison Ford</v>
      </c>
      <c r="S674" s="5" t="str">
        <f>IFERROR(__xludf.DUMMYFUNCTION("""COMPUTED_VALUE"""),"Estrela 1")</f>
        <v>Estrela 1</v>
      </c>
    </row>
    <row r="675">
      <c r="A675" s="1">
        <v>674.0</v>
      </c>
      <c r="B675" s="1" t="s">
        <v>4051</v>
      </c>
      <c r="C675" s="1" t="s">
        <v>356</v>
      </c>
      <c r="D675" s="1" t="s">
        <v>3799</v>
      </c>
      <c r="E675" s="1" t="s">
        <v>2631</v>
      </c>
      <c r="F675" s="1" t="s">
        <v>24</v>
      </c>
      <c r="G675" s="5" t="str">
        <f>IFERROR(__xludf.DUMMYFUNCTION("""COMPUTED_VALUE"""),"169🤙🏼Indiana Jones and the Last Crusade🤙🏼Sean Connery🤙🏼Estrela 2")</f>
        <v>169🤙🏼Indiana Jones and the Last Crusade🤙🏼Sean Connery🤙🏼Estrela 2</v>
      </c>
      <c r="H675" s="5">
        <f>IFERROR(__xludf.DUMMYFUNCTION("SPLiT(G675, ""🤙🏼"",FALSE,FALSE)"),169.0)</f>
        <v>169</v>
      </c>
      <c r="I675" s="5" t="str">
        <f>IFERROR(__xludf.DUMMYFUNCTION("""COMPUTED_VALUE"""),"Indiana Jones and the Last Crusade")</f>
        <v>Indiana Jones and the Last Crusade</v>
      </c>
      <c r="J675" s="5" t="str">
        <f>IFERROR(__xludf.DUMMYFUNCTION("""COMPUTED_VALUE"""),"Sean Connery")</f>
        <v>Sean Connery</v>
      </c>
      <c r="K675" s="5" t="str">
        <f>IFERROR(__xludf.DUMMYFUNCTION("""COMPUTED_VALUE"""),"Estrela 2")</f>
        <v>Estrela 2</v>
      </c>
      <c r="P675" s="5">
        <f>IFERROR(__xludf.DUMMYFUNCTION("""COMPUTED_VALUE"""),169.0)</f>
        <v>169</v>
      </c>
      <c r="Q675" s="5" t="str">
        <f>IFERROR(__xludf.DUMMYFUNCTION("""COMPUTED_VALUE"""),"Indiana Jones and the Last Crusade")</f>
        <v>Indiana Jones and the Last Crusade</v>
      </c>
      <c r="R675" s="5" t="str">
        <f>IFERROR(__xludf.DUMMYFUNCTION("""COMPUTED_VALUE"""),"Sean Connery")</f>
        <v>Sean Connery</v>
      </c>
      <c r="S675" s="5" t="str">
        <f>IFERROR(__xludf.DUMMYFUNCTION("""COMPUTED_VALUE"""),"Estrela 2")</f>
        <v>Estrela 2</v>
      </c>
    </row>
    <row r="676">
      <c r="A676" s="1">
        <v>675.0</v>
      </c>
      <c r="B676" s="1" t="s">
        <v>4053</v>
      </c>
      <c r="C676" s="1" t="s">
        <v>3912</v>
      </c>
      <c r="D676" s="1" t="s">
        <v>4055</v>
      </c>
      <c r="E676" s="1" t="s">
        <v>4056</v>
      </c>
      <c r="F676" s="1" t="s">
        <v>4057</v>
      </c>
      <c r="G676" s="5" t="str">
        <f>IFERROR(__xludf.DUMMYFUNCTION("""COMPUTED_VALUE"""),"169🤙🏼Indiana Jones and the Last Crusade🤙🏼Alison Doody🤙🏼Estrela 3")</f>
        <v>169🤙🏼Indiana Jones and the Last Crusade🤙🏼Alison Doody🤙🏼Estrela 3</v>
      </c>
      <c r="H676" s="5">
        <f>IFERROR(__xludf.DUMMYFUNCTION("SPLiT(G676, ""🤙🏼"",FALSE,FALSE)"),169.0)</f>
        <v>169</v>
      </c>
      <c r="I676" s="5" t="str">
        <f>IFERROR(__xludf.DUMMYFUNCTION("""COMPUTED_VALUE"""),"Indiana Jones and the Last Crusade")</f>
        <v>Indiana Jones and the Last Crusade</v>
      </c>
      <c r="J676" s="5" t="str">
        <f>IFERROR(__xludf.DUMMYFUNCTION("""COMPUTED_VALUE"""),"Alison Doody")</f>
        <v>Alison Doody</v>
      </c>
      <c r="K676" s="5" t="str">
        <f>IFERROR(__xludf.DUMMYFUNCTION("""COMPUTED_VALUE"""),"Estrela 3")</f>
        <v>Estrela 3</v>
      </c>
      <c r="P676" s="5">
        <f>IFERROR(__xludf.DUMMYFUNCTION("""COMPUTED_VALUE"""),169.0)</f>
        <v>169</v>
      </c>
      <c r="Q676" s="5" t="str">
        <f>IFERROR(__xludf.DUMMYFUNCTION("""COMPUTED_VALUE"""),"Indiana Jones and the Last Crusade")</f>
        <v>Indiana Jones and the Last Crusade</v>
      </c>
      <c r="R676" s="5" t="str">
        <f>IFERROR(__xludf.DUMMYFUNCTION("""COMPUTED_VALUE"""),"Alison Doody")</f>
        <v>Alison Doody</v>
      </c>
      <c r="S676" s="5" t="str">
        <f>IFERROR(__xludf.DUMMYFUNCTION("""COMPUTED_VALUE"""),"Estrela 3")</f>
        <v>Estrela 3</v>
      </c>
    </row>
    <row r="677">
      <c r="A677" s="1">
        <v>676.0</v>
      </c>
      <c r="B677" s="1" t="s">
        <v>4058</v>
      </c>
      <c r="C677" s="1" t="s">
        <v>385</v>
      </c>
      <c r="D677" s="1" t="s">
        <v>386</v>
      </c>
      <c r="E677" s="1" t="s">
        <v>387</v>
      </c>
      <c r="F677" s="1" t="s">
        <v>4060</v>
      </c>
      <c r="G677" s="5" t="str">
        <f>IFERROR(__xludf.DUMMYFUNCTION("""COMPUTED_VALUE"""),"169🤙🏼Indiana Jones and the Last Crusade🤙🏼Denholm Elliott🤙🏼Estrela 4")</f>
        <v>169🤙🏼Indiana Jones and the Last Crusade🤙🏼Denholm Elliott🤙🏼Estrela 4</v>
      </c>
      <c r="H677" s="5">
        <f>IFERROR(__xludf.DUMMYFUNCTION("SPLiT(G677, ""🤙🏼"",FALSE,FALSE)"),169.0)</f>
        <v>169</v>
      </c>
      <c r="I677" s="5" t="str">
        <f>IFERROR(__xludf.DUMMYFUNCTION("""COMPUTED_VALUE"""),"Indiana Jones and the Last Crusade")</f>
        <v>Indiana Jones and the Last Crusade</v>
      </c>
      <c r="J677" s="5" t="str">
        <f>IFERROR(__xludf.DUMMYFUNCTION("""COMPUTED_VALUE"""),"Denholm Elliott")</f>
        <v>Denholm Elliott</v>
      </c>
      <c r="K677" s="5" t="str">
        <f>IFERROR(__xludf.DUMMYFUNCTION("""COMPUTED_VALUE"""),"Estrela 4")</f>
        <v>Estrela 4</v>
      </c>
      <c r="P677" s="5">
        <f>IFERROR(__xludf.DUMMYFUNCTION("""COMPUTED_VALUE"""),169.0)</f>
        <v>169</v>
      </c>
      <c r="Q677" s="5" t="str">
        <f>IFERROR(__xludf.DUMMYFUNCTION("""COMPUTED_VALUE"""),"Indiana Jones and the Last Crusade")</f>
        <v>Indiana Jones and the Last Crusade</v>
      </c>
      <c r="R677" s="5" t="str">
        <f>IFERROR(__xludf.DUMMYFUNCTION("""COMPUTED_VALUE"""),"Denholm Elliott")</f>
        <v>Denholm Elliott</v>
      </c>
      <c r="S677" s="5" t="str">
        <f>IFERROR(__xludf.DUMMYFUNCTION("""COMPUTED_VALUE"""),"Estrela 4")</f>
        <v>Estrela 4</v>
      </c>
    </row>
    <row r="678">
      <c r="A678" s="1">
        <v>677.0</v>
      </c>
      <c r="B678" s="1" t="s">
        <v>4061</v>
      </c>
      <c r="C678" s="1" t="s">
        <v>1191</v>
      </c>
      <c r="D678" s="1" t="s">
        <v>1825</v>
      </c>
      <c r="E678" s="1" t="s">
        <v>972</v>
      </c>
      <c r="F678" s="1" t="s">
        <v>4064</v>
      </c>
      <c r="G678" s="5" t="str">
        <f>IFERROR(__xludf.DUMMYFUNCTION("""COMPUTED_VALUE"""),"170🤙🏼Dom za vesanje🤙🏼Davor Dujmovic🤙🏼Estrela 1")</f>
        <v>170🤙🏼Dom za vesanje🤙🏼Davor Dujmovic🤙🏼Estrela 1</v>
      </c>
      <c r="H678" s="5">
        <f>IFERROR(__xludf.DUMMYFUNCTION("SPLiT(G678, ""🤙🏼"",FALSE,FALSE)"),170.0)</f>
        <v>170</v>
      </c>
      <c r="I678" s="5" t="str">
        <f>IFERROR(__xludf.DUMMYFUNCTION("""COMPUTED_VALUE"""),"Dom za vesanje")</f>
        <v>Dom za vesanje</v>
      </c>
      <c r="J678" s="5" t="str">
        <f>IFERROR(__xludf.DUMMYFUNCTION("""COMPUTED_VALUE"""),"Davor Dujmovic")</f>
        <v>Davor Dujmovic</v>
      </c>
      <c r="K678" s="5" t="str">
        <f>IFERROR(__xludf.DUMMYFUNCTION("""COMPUTED_VALUE"""),"Estrela 1")</f>
        <v>Estrela 1</v>
      </c>
      <c r="P678" s="5">
        <f>IFERROR(__xludf.DUMMYFUNCTION("""COMPUTED_VALUE"""),170.0)</f>
        <v>170</v>
      </c>
      <c r="Q678" s="5" t="str">
        <f>IFERROR(__xludf.DUMMYFUNCTION("""COMPUTED_VALUE"""),"Dom za vesanje")</f>
        <v>Dom za vesanje</v>
      </c>
      <c r="R678" s="5" t="str">
        <f>IFERROR(__xludf.DUMMYFUNCTION("""COMPUTED_VALUE"""),"Davor Dujmovic")</f>
        <v>Davor Dujmovic</v>
      </c>
      <c r="S678" s="5" t="str">
        <f>IFERROR(__xludf.DUMMYFUNCTION("""COMPUTED_VALUE"""),"Estrela 1")</f>
        <v>Estrela 1</v>
      </c>
    </row>
    <row r="679">
      <c r="A679" s="1">
        <v>678.0</v>
      </c>
      <c r="B679" s="1" t="s">
        <v>4065</v>
      </c>
      <c r="C679" s="1" t="s">
        <v>363</v>
      </c>
      <c r="D679" s="1" t="s">
        <v>1896</v>
      </c>
      <c r="E679" s="1" t="s">
        <v>4067</v>
      </c>
      <c r="F679" s="1" t="s">
        <v>4068</v>
      </c>
      <c r="G679" s="5" t="str">
        <f>IFERROR(__xludf.DUMMYFUNCTION("""COMPUTED_VALUE"""),"170🤙🏼Dom za vesanje🤙🏼Bora Todorovic🤙🏼Estrela 2")</f>
        <v>170🤙🏼Dom za vesanje🤙🏼Bora Todorovic🤙🏼Estrela 2</v>
      </c>
      <c r="H679" s="5">
        <f>IFERROR(__xludf.DUMMYFUNCTION("SPLiT(G679, ""🤙🏼"",FALSE,FALSE)"),170.0)</f>
        <v>170</v>
      </c>
      <c r="I679" s="5" t="str">
        <f>IFERROR(__xludf.DUMMYFUNCTION("""COMPUTED_VALUE"""),"Dom za vesanje")</f>
        <v>Dom za vesanje</v>
      </c>
      <c r="J679" s="5" t="str">
        <f>IFERROR(__xludf.DUMMYFUNCTION("""COMPUTED_VALUE"""),"Bora Todorovic")</f>
        <v>Bora Todorovic</v>
      </c>
      <c r="K679" s="5" t="str">
        <f>IFERROR(__xludf.DUMMYFUNCTION("""COMPUTED_VALUE"""),"Estrela 2")</f>
        <v>Estrela 2</v>
      </c>
      <c r="P679" s="5">
        <f>IFERROR(__xludf.DUMMYFUNCTION("""COMPUTED_VALUE"""),170.0)</f>
        <v>170</v>
      </c>
      <c r="Q679" s="5" t="str">
        <f>IFERROR(__xludf.DUMMYFUNCTION("""COMPUTED_VALUE"""),"Dom za vesanje")</f>
        <v>Dom za vesanje</v>
      </c>
      <c r="R679" s="5" t="str">
        <f>IFERROR(__xludf.DUMMYFUNCTION("""COMPUTED_VALUE"""),"Bora Todorovic")</f>
        <v>Bora Todorovic</v>
      </c>
      <c r="S679" s="5" t="str">
        <f>IFERROR(__xludf.DUMMYFUNCTION("""COMPUTED_VALUE"""),"Estrela 2")</f>
        <v>Estrela 2</v>
      </c>
    </row>
    <row r="680">
      <c r="A680" s="1">
        <v>679.0</v>
      </c>
      <c r="B680" s="1" t="s">
        <v>4069</v>
      </c>
      <c r="C680" s="1" t="s">
        <v>4073</v>
      </c>
      <c r="D680" s="1" t="s">
        <v>4074</v>
      </c>
      <c r="E680" s="1" t="s">
        <v>4075</v>
      </c>
      <c r="F680" s="1" t="s">
        <v>4076</v>
      </c>
      <c r="G680" s="5" t="str">
        <f>IFERROR(__xludf.DUMMYFUNCTION("""COMPUTED_VALUE"""),"170🤙🏼Dom za vesanje🤙🏼Ljubica Adzovic🤙🏼Estrela 3")</f>
        <v>170🤙🏼Dom za vesanje🤙🏼Ljubica Adzovic🤙🏼Estrela 3</v>
      </c>
      <c r="H680" s="5">
        <f>IFERROR(__xludf.DUMMYFUNCTION("SPLiT(G680, ""🤙🏼"",FALSE,FALSE)"),170.0)</f>
        <v>170</v>
      </c>
      <c r="I680" s="5" t="str">
        <f>IFERROR(__xludf.DUMMYFUNCTION("""COMPUTED_VALUE"""),"Dom za vesanje")</f>
        <v>Dom za vesanje</v>
      </c>
      <c r="J680" s="5" t="str">
        <f>IFERROR(__xludf.DUMMYFUNCTION("""COMPUTED_VALUE"""),"Ljubica Adzovic")</f>
        <v>Ljubica Adzovic</v>
      </c>
      <c r="K680" s="5" t="str">
        <f>IFERROR(__xludf.DUMMYFUNCTION("""COMPUTED_VALUE"""),"Estrela 3")</f>
        <v>Estrela 3</v>
      </c>
      <c r="P680" s="5">
        <f>IFERROR(__xludf.DUMMYFUNCTION("""COMPUTED_VALUE"""),170.0)</f>
        <v>170</v>
      </c>
      <c r="Q680" s="5" t="str">
        <f>IFERROR(__xludf.DUMMYFUNCTION("""COMPUTED_VALUE"""),"Dom za vesanje")</f>
        <v>Dom za vesanje</v>
      </c>
      <c r="R680" s="5" t="str">
        <f>IFERROR(__xludf.DUMMYFUNCTION("""COMPUTED_VALUE"""),"Ljubica Adzovic")</f>
        <v>Ljubica Adzovic</v>
      </c>
      <c r="S680" s="5" t="str">
        <f>IFERROR(__xludf.DUMMYFUNCTION("""COMPUTED_VALUE"""),"Estrela 3")</f>
        <v>Estrela 3</v>
      </c>
    </row>
    <row r="681">
      <c r="A681" s="1">
        <v>680.0</v>
      </c>
      <c r="B681" s="1" t="s">
        <v>4077</v>
      </c>
      <c r="C681" s="1" t="s">
        <v>356</v>
      </c>
      <c r="D681" s="1" t="s">
        <v>4080</v>
      </c>
      <c r="E681" s="1" t="s">
        <v>4081</v>
      </c>
      <c r="F681" s="1" t="s">
        <v>4082</v>
      </c>
      <c r="G681" s="5" t="str">
        <f>IFERROR(__xludf.DUMMYFUNCTION("""COMPUTED_VALUE"""),"170🤙🏼Dom za vesanje🤙🏼Husnija Hasimovic🤙🏼Estrela 4")</f>
        <v>170🤙🏼Dom za vesanje🤙🏼Husnija Hasimovic🤙🏼Estrela 4</v>
      </c>
      <c r="H681" s="5">
        <f>IFERROR(__xludf.DUMMYFUNCTION("SPLiT(G681, ""🤙🏼"",FALSE,FALSE)"),170.0)</f>
        <v>170</v>
      </c>
      <c r="I681" s="5" t="str">
        <f>IFERROR(__xludf.DUMMYFUNCTION("""COMPUTED_VALUE"""),"Dom za vesanje")</f>
        <v>Dom za vesanje</v>
      </c>
      <c r="J681" s="5" t="str">
        <f>IFERROR(__xludf.DUMMYFUNCTION("""COMPUTED_VALUE"""),"Husnija Hasimovic")</f>
        <v>Husnija Hasimovic</v>
      </c>
      <c r="K681" s="5" t="str">
        <f>IFERROR(__xludf.DUMMYFUNCTION("""COMPUTED_VALUE"""),"Estrela 4")</f>
        <v>Estrela 4</v>
      </c>
      <c r="P681" s="5">
        <f>IFERROR(__xludf.DUMMYFUNCTION("""COMPUTED_VALUE"""),170.0)</f>
        <v>170</v>
      </c>
      <c r="Q681" s="5" t="str">
        <f>IFERROR(__xludf.DUMMYFUNCTION("""COMPUTED_VALUE"""),"Dom za vesanje")</f>
        <v>Dom za vesanje</v>
      </c>
      <c r="R681" s="5" t="str">
        <f>IFERROR(__xludf.DUMMYFUNCTION("""COMPUTED_VALUE"""),"Husnija Hasimovic")</f>
        <v>Husnija Hasimovic</v>
      </c>
      <c r="S681" s="5" t="str">
        <f>IFERROR(__xludf.DUMMYFUNCTION("""COMPUTED_VALUE"""),"Estrela 4")</f>
        <v>Estrela 4</v>
      </c>
    </row>
    <row r="682">
      <c r="A682" s="1">
        <v>681.0</v>
      </c>
      <c r="B682" s="1" t="s">
        <v>4083</v>
      </c>
      <c r="C682" s="1" t="s">
        <v>4085</v>
      </c>
      <c r="D682" s="1" t="s">
        <v>4086</v>
      </c>
      <c r="E682" s="1" t="s">
        <v>229</v>
      </c>
      <c r="F682" s="1" t="s">
        <v>230</v>
      </c>
      <c r="G682" s="5" t="str">
        <f>IFERROR(__xludf.DUMMYFUNCTION("""COMPUTED_VALUE"""),"171🤙🏼Tonari no Totoro🤙🏼Hitoshi Takagi🤙🏼Estrela 1")</f>
        <v>171🤙🏼Tonari no Totoro🤙🏼Hitoshi Takagi🤙🏼Estrela 1</v>
      </c>
      <c r="H682" s="5">
        <f>IFERROR(__xludf.DUMMYFUNCTION("SPLiT(G682, ""🤙🏼"",FALSE,FALSE)"),171.0)</f>
        <v>171</v>
      </c>
      <c r="I682" s="5" t="str">
        <f>IFERROR(__xludf.DUMMYFUNCTION("""COMPUTED_VALUE"""),"Tonari no Totoro")</f>
        <v>Tonari no Totoro</v>
      </c>
      <c r="J682" s="5" t="str">
        <f>IFERROR(__xludf.DUMMYFUNCTION("""COMPUTED_VALUE"""),"Hitoshi Takagi")</f>
        <v>Hitoshi Takagi</v>
      </c>
      <c r="K682" s="5" t="str">
        <f>IFERROR(__xludf.DUMMYFUNCTION("""COMPUTED_VALUE"""),"Estrela 1")</f>
        <v>Estrela 1</v>
      </c>
      <c r="P682" s="5">
        <f>IFERROR(__xludf.DUMMYFUNCTION("""COMPUTED_VALUE"""),171.0)</f>
        <v>171</v>
      </c>
      <c r="Q682" s="5" t="str">
        <f>IFERROR(__xludf.DUMMYFUNCTION("""COMPUTED_VALUE"""),"Tonari no Totoro")</f>
        <v>Tonari no Totoro</v>
      </c>
      <c r="R682" s="5" t="str">
        <f>IFERROR(__xludf.DUMMYFUNCTION("""COMPUTED_VALUE"""),"Hitoshi Takagi")</f>
        <v>Hitoshi Takagi</v>
      </c>
      <c r="S682" s="5" t="str">
        <f>IFERROR(__xludf.DUMMYFUNCTION("""COMPUTED_VALUE"""),"Estrela 1")</f>
        <v>Estrela 1</v>
      </c>
    </row>
    <row r="683">
      <c r="A683" s="1">
        <v>682.0</v>
      </c>
      <c r="B683" s="1" t="s">
        <v>4087</v>
      </c>
      <c r="C683" s="1" t="s">
        <v>4090</v>
      </c>
      <c r="D683" s="1" t="s">
        <v>1616</v>
      </c>
      <c r="E683" s="1" t="s">
        <v>4091</v>
      </c>
      <c r="F683" s="1" t="s">
        <v>1818</v>
      </c>
      <c r="G683" s="5" t="str">
        <f>IFERROR(__xludf.DUMMYFUNCTION("""COMPUTED_VALUE"""),"171🤙🏼Tonari no Totoro🤙🏼Noriko Hidaka🤙🏼Estrela 2")</f>
        <v>171🤙🏼Tonari no Totoro🤙🏼Noriko Hidaka🤙🏼Estrela 2</v>
      </c>
      <c r="H683" s="5">
        <f>IFERROR(__xludf.DUMMYFUNCTION("SPLiT(G683, ""🤙🏼"",FALSE,FALSE)"),171.0)</f>
        <v>171</v>
      </c>
      <c r="I683" s="5" t="str">
        <f>IFERROR(__xludf.DUMMYFUNCTION("""COMPUTED_VALUE"""),"Tonari no Totoro")</f>
        <v>Tonari no Totoro</v>
      </c>
      <c r="J683" s="5" t="str">
        <f>IFERROR(__xludf.DUMMYFUNCTION("""COMPUTED_VALUE"""),"Noriko Hidaka")</f>
        <v>Noriko Hidaka</v>
      </c>
      <c r="K683" s="5" t="str">
        <f>IFERROR(__xludf.DUMMYFUNCTION("""COMPUTED_VALUE"""),"Estrela 2")</f>
        <v>Estrela 2</v>
      </c>
      <c r="P683" s="5">
        <f>IFERROR(__xludf.DUMMYFUNCTION("""COMPUTED_VALUE"""),171.0)</f>
        <v>171</v>
      </c>
      <c r="Q683" s="5" t="str">
        <f>IFERROR(__xludf.DUMMYFUNCTION("""COMPUTED_VALUE"""),"Tonari no Totoro")</f>
        <v>Tonari no Totoro</v>
      </c>
      <c r="R683" s="5" t="str">
        <f>IFERROR(__xludf.DUMMYFUNCTION("""COMPUTED_VALUE"""),"Noriko Hidaka")</f>
        <v>Noriko Hidaka</v>
      </c>
      <c r="S683" s="5" t="str">
        <f>IFERROR(__xludf.DUMMYFUNCTION("""COMPUTED_VALUE"""),"Estrela 2")</f>
        <v>Estrela 2</v>
      </c>
    </row>
    <row r="684">
      <c r="A684" s="1">
        <v>683.0</v>
      </c>
      <c r="B684" s="1" t="s">
        <v>4092</v>
      </c>
      <c r="C684" s="1" t="s">
        <v>4094</v>
      </c>
      <c r="D684" s="1" t="s">
        <v>4095</v>
      </c>
      <c r="E684" s="1" t="s">
        <v>4096</v>
      </c>
      <c r="F684" s="1" t="s">
        <v>4097</v>
      </c>
      <c r="G684" s="5" t="str">
        <f>IFERROR(__xludf.DUMMYFUNCTION("""COMPUTED_VALUE"""),"171🤙🏼Tonari no Totoro🤙🏼Chika Sakamoto🤙🏼Estrela 3")</f>
        <v>171🤙🏼Tonari no Totoro🤙🏼Chika Sakamoto🤙🏼Estrela 3</v>
      </c>
      <c r="H684" s="5">
        <f>IFERROR(__xludf.DUMMYFUNCTION("SPLiT(G684, ""🤙🏼"",FALSE,FALSE)"),171.0)</f>
        <v>171</v>
      </c>
      <c r="I684" s="5" t="str">
        <f>IFERROR(__xludf.DUMMYFUNCTION("""COMPUTED_VALUE"""),"Tonari no Totoro")</f>
        <v>Tonari no Totoro</v>
      </c>
      <c r="J684" s="5" t="str">
        <f>IFERROR(__xludf.DUMMYFUNCTION("""COMPUTED_VALUE"""),"Chika Sakamoto")</f>
        <v>Chika Sakamoto</v>
      </c>
      <c r="K684" s="5" t="str">
        <f>IFERROR(__xludf.DUMMYFUNCTION("""COMPUTED_VALUE"""),"Estrela 3")</f>
        <v>Estrela 3</v>
      </c>
      <c r="P684" s="5">
        <f>IFERROR(__xludf.DUMMYFUNCTION("""COMPUTED_VALUE"""),171.0)</f>
        <v>171</v>
      </c>
      <c r="Q684" s="5" t="str">
        <f>IFERROR(__xludf.DUMMYFUNCTION("""COMPUTED_VALUE"""),"Tonari no Totoro")</f>
        <v>Tonari no Totoro</v>
      </c>
      <c r="R684" s="5" t="str">
        <f>IFERROR(__xludf.DUMMYFUNCTION("""COMPUTED_VALUE"""),"Chika Sakamoto")</f>
        <v>Chika Sakamoto</v>
      </c>
      <c r="S684" s="5" t="str">
        <f>IFERROR(__xludf.DUMMYFUNCTION("""COMPUTED_VALUE"""),"Estrela 3")</f>
        <v>Estrela 3</v>
      </c>
    </row>
    <row r="685">
      <c r="A685" s="1">
        <v>684.0</v>
      </c>
      <c r="B685" s="1" t="s">
        <v>4098</v>
      </c>
      <c r="C685" s="1" t="s">
        <v>4100</v>
      </c>
      <c r="D685" s="1" t="s">
        <v>4101</v>
      </c>
      <c r="E685" s="1" t="s">
        <v>4102</v>
      </c>
      <c r="F685" s="1" t="s">
        <v>4103</v>
      </c>
      <c r="G685" s="5" t="str">
        <f>IFERROR(__xludf.DUMMYFUNCTION("""COMPUTED_VALUE"""),"171🤙🏼Tonari no Totoro🤙🏼Shigesato Itoi🤙🏼Estrela 4")</f>
        <v>171🤙🏼Tonari no Totoro🤙🏼Shigesato Itoi🤙🏼Estrela 4</v>
      </c>
      <c r="H685" s="5">
        <f>IFERROR(__xludf.DUMMYFUNCTION("SPLiT(G685, ""🤙🏼"",FALSE,FALSE)"),171.0)</f>
        <v>171</v>
      </c>
      <c r="I685" s="5" t="str">
        <f>IFERROR(__xludf.DUMMYFUNCTION("""COMPUTED_VALUE"""),"Tonari no Totoro")</f>
        <v>Tonari no Totoro</v>
      </c>
      <c r="J685" s="5" t="str">
        <f>IFERROR(__xludf.DUMMYFUNCTION("""COMPUTED_VALUE"""),"Shigesato Itoi")</f>
        <v>Shigesato Itoi</v>
      </c>
      <c r="K685" s="5" t="str">
        <f>IFERROR(__xludf.DUMMYFUNCTION("""COMPUTED_VALUE"""),"Estrela 4")</f>
        <v>Estrela 4</v>
      </c>
      <c r="P685" s="5">
        <f>IFERROR(__xludf.DUMMYFUNCTION("""COMPUTED_VALUE"""),171.0)</f>
        <v>171</v>
      </c>
      <c r="Q685" s="5" t="str">
        <f>IFERROR(__xludf.DUMMYFUNCTION("""COMPUTED_VALUE"""),"Tonari no Totoro")</f>
        <v>Tonari no Totoro</v>
      </c>
      <c r="R685" s="5" t="str">
        <f>IFERROR(__xludf.DUMMYFUNCTION("""COMPUTED_VALUE"""),"Shigesato Itoi")</f>
        <v>Shigesato Itoi</v>
      </c>
      <c r="S685" s="5" t="str">
        <f>IFERROR(__xludf.DUMMYFUNCTION("""COMPUTED_VALUE"""),"Estrela 4")</f>
        <v>Estrela 4</v>
      </c>
    </row>
    <row r="686">
      <c r="A686" s="1">
        <v>685.0</v>
      </c>
      <c r="B686" s="1" t="s">
        <v>4104</v>
      </c>
      <c r="C686" s="1" t="s">
        <v>4107</v>
      </c>
      <c r="D686" s="1" t="s">
        <v>4108</v>
      </c>
      <c r="E686" s="1" t="s">
        <v>4109</v>
      </c>
      <c r="F686" s="1" t="s">
        <v>4110</v>
      </c>
      <c r="G686" s="5" t="str">
        <f>IFERROR(__xludf.DUMMYFUNCTION("""COMPUTED_VALUE"""),"172🤙🏼Die Hard🤙🏼Bruce Willis🤙🏼Estrela 1")</f>
        <v>172🤙🏼Die Hard🤙🏼Bruce Willis🤙🏼Estrela 1</v>
      </c>
      <c r="H686" s="5">
        <f>IFERROR(__xludf.DUMMYFUNCTION("SPLiT(G686, ""🤙🏼"",FALSE,FALSE)"),172.0)</f>
        <v>172</v>
      </c>
      <c r="I686" s="5" t="str">
        <f>IFERROR(__xludf.DUMMYFUNCTION("""COMPUTED_VALUE"""),"Die Hard")</f>
        <v>Die Hard</v>
      </c>
      <c r="J686" s="5" t="str">
        <f>IFERROR(__xludf.DUMMYFUNCTION("""COMPUTED_VALUE"""),"Bruce Willis")</f>
        <v>Bruce Willis</v>
      </c>
      <c r="K686" s="5" t="str">
        <f>IFERROR(__xludf.DUMMYFUNCTION("""COMPUTED_VALUE"""),"Estrela 1")</f>
        <v>Estrela 1</v>
      </c>
      <c r="P686" s="5">
        <f>IFERROR(__xludf.DUMMYFUNCTION("""COMPUTED_VALUE"""),172.0)</f>
        <v>172</v>
      </c>
      <c r="Q686" s="5" t="str">
        <f>IFERROR(__xludf.DUMMYFUNCTION("""COMPUTED_VALUE"""),"Die Hard")</f>
        <v>Die Hard</v>
      </c>
      <c r="R686" s="5" t="str">
        <f>IFERROR(__xludf.DUMMYFUNCTION("""COMPUTED_VALUE"""),"Bruce Willis")</f>
        <v>Bruce Willis</v>
      </c>
      <c r="S686" s="5" t="str">
        <f>IFERROR(__xludf.DUMMYFUNCTION("""COMPUTED_VALUE"""),"Estrela 1")</f>
        <v>Estrela 1</v>
      </c>
    </row>
    <row r="687">
      <c r="A687" s="1">
        <v>686.0</v>
      </c>
      <c r="B687" s="1" t="s">
        <v>4111</v>
      </c>
      <c r="C687" s="1" t="s">
        <v>2569</v>
      </c>
      <c r="D687" s="1" t="s">
        <v>3311</v>
      </c>
      <c r="E687" s="1" t="s">
        <v>583</v>
      </c>
      <c r="F687" s="1" t="s">
        <v>2568</v>
      </c>
      <c r="G687" s="5" t="str">
        <f>IFERROR(__xludf.DUMMYFUNCTION("""COMPUTED_VALUE"""),"172🤙🏼Die Hard🤙🏼Alan Rickman🤙🏼Estrela 2")</f>
        <v>172🤙🏼Die Hard🤙🏼Alan Rickman🤙🏼Estrela 2</v>
      </c>
      <c r="H687" s="5">
        <f>IFERROR(__xludf.DUMMYFUNCTION("SPLiT(G687, ""🤙🏼"",FALSE,FALSE)"),172.0)</f>
        <v>172</v>
      </c>
      <c r="I687" s="5" t="str">
        <f>IFERROR(__xludf.DUMMYFUNCTION("""COMPUTED_VALUE"""),"Die Hard")</f>
        <v>Die Hard</v>
      </c>
      <c r="J687" s="5" t="str">
        <f>IFERROR(__xludf.DUMMYFUNCTION("""COMPUTED_VALUE"""),"Alan Rickman")</f>
        <v>Alan Rickman</v>
      </c>
      <c r="K687" s="5" t="str">
        <f>IFERROR(__xludf.DUMMYFUNCTION("""COMPUTED_VALUE"""),"Estrela 2")</f>
        <v>Estrela 2</v>
      </c>
      <c r="P687" s="5">
        <f>IFERROR(__xludf.DUMMYFUNCTION("""COMPUTED_VALUE"""),172.0)</f>
        <v>172</v>
      </c>
      <c r="Q687" s="5" t="str">
        <f>IFERROR(__xludf.DUMMYFUNCTION("""COMPUTED_VALUE"""),"Die Hard")</f>
        <v>Die Hard</v>
      </c>
      <c r="R687" s="5" t="str">
        <f>IFERROR(__xludf.DUMMYFUNCTION("""COMPUTED_VALUE"""),"Alan Rickman")</f>
        <v>Alan Rickman</v>
      </c>
      <c r="S687" s="5" t="str">
        <f>IFERROR(__xludf.DUMMYFUNCTION("""COMPUTED_VALUE"""),"Estrela 2")</f>
        <v>Estrela 2</v>
      </c>
    </row>
    <row r="688">
      <c r="A688" s="1">
        <v>687.0</v>
      </c>
      <c r="B688" s="1" t="s">
        <v>4114</v>
      </c>
      <c r="C688" s="1" t="s">
        <v>4118</v>
      </c>
      <c r="D688" s="1" t="s">
        <v>4119</v>
      </c>
      <c r="E688" s="1" t="s">
        <v>1151</v>
      </c>
      <c r="F688" s="1" t="s">
        <v>4120</v>
      </c>
      <c r="G688" s="5" t="str">
        <f>IFERROR(__xludf.DUMMYFUNCTION("""COMPUTED_VALUE"""),"172🤙🏼Die Hard🤙🏼Bonnie Bedelia🤙🏼Estrela 3")</f>
        <v>172🤙🏼Die Hard🤙🏼Bonnie Bedelia🤙🏼Estrela 3</v>
      </c>
      <c r="H688" s="5">
        <f>IFERROR(__xludf.DUMMYFUNCTION("SPLiT(G688, ""🤙🏼"",FALSE,FALSE)"),172.0)</f>
        <v>172</v>
      </c>
      <c r="I688" s="5" t="str">
        <f>IFERROR(__xludf.DUMMYFUNCTION("""COMPUTED_VALUE"""),"Die Hard")</f>
        <v>Die Hard</v>
      </c>
      <c r="J688" s="5" t="str">
        <f>IFERROR(__xludf.DUMMYFUNCTION("""COMPUTED_VALUE"""),"Bonnie Bedelia")</f>
        <v>Bonnie Bedelia</v>
      </c>
      <c r="K688" s="5" t="str">
        <f>IFERROR(__xludf.DUMMYFUNCTION("""COMPUTED_VALUE"""),"Estrela 3")</f>
        <v>Estrela 3</v>
      </c>
      <c r="P688" s="5">
        <f>IFERROR(__xludf.DUMMYFUNCTION("""COMPUTED_VALUE"""),172.0)</f>
        <v>172</v>
      </c>
      <c r="Q688" s="5" t="str">
        <f>IFERROR(__xludf.DUMMYFUNCTION("""COMPUTED_VALUE"""),"Die Hard")</f>
        <v>Die Hard</v>
      </c>
      <c r="R688" s="5" t="str">
        <f>IFERROR(__xludf.DUMMYFUNCTION("""COMPUTED_VALUE"""),"Bonnie Bedelia")</f>
        <v>Bonnie Bedelia</v>
      </c>
      <c r="S688" s="5" t="str">
        <f>IFERROR(__xludf.DUMMYFUNCTION("""COMPUTED_VALUE"""),"Estrela 3")</f>
        <v>Estrela 3</v>
      </c>
    </row>
    <row r="689">
      <c r="A689" s="1">
        <v>688.0</v>
      </c>
      <c r="B689" s="1" t="s">
        <v>4121</v>
      </c>
      <c r="C689" s="1" t="s">
        <v>49</v>
      </c>
      <c r="D689" s="1" t="s">
        <v>4123</v>
      </c>
      <c r="E689" s="1" t="s">
        <v>4124</v>
      </c>
      <c r="F689" s="1" t="s">
        <v>4125</v>
      </c>
      <c r="G689" s="5" t="str">
        <f>IFERROR(__xludf.DUMMYFUNCTION("""COMPUTED_VALUE"""),"172🤙🏼Die Hard🤙🏼Reginald VelJohnson🤙🏼Estrela 4")</f>
        <v>172🤙🏼Die Hard🤙🏼Reginald VelJohnson🤙🏼Estrela 4</v>
      </c>
      <c r="H689" s="5">
        <f>IFERROR(__xludf.DUMMYFUNCTION("SPLiT(G689, ""🤙🏼"",FALSE,FALSE)"),172.0)</f>
        <v>172</v>
      </c>
      <c r="I689" s="5" t="str">
        <f>IFERROR(__xludf.DUMMYFUNCTION("""COMPUTED_VALUE"""),"Die Hard")</f>
        <v>Die Hard</v>
      </c>
      <c r="J689" s="5" t="str">
        <f>IFERROR(__xludf.DUMMYFUNCTION("""COMPUTED_VALUE"""),"Reginald VelJohnson")</f>
        <v>Reginald VelJohnson</v>
      </c>
      <c r="K689" s="5" t="str">
        <f>IFERROR(__xludf.DUMMYFUNCTION("""COMPUTED_VALUE"""),"Estrela 4")</f>
        <v>Estrela 4</v>
      </c>
      <c r="P689" s="5">
        <f>IFERROR(__xludf.DUMMYFUNCTION("""COMPUTED_VALUE"""),172.0)</f>
        <v>172</v>
      </c>
      <c r="Q689" s="5" t="str">
        <f>IFERROR(__xludf.DUMMYFUNCTION("""COMPUTED_VALUE"""),"Die Hard")</f>
        <v>Die Hard</v>
      </c>
      <c r="R689" s="5" t="str">
        <f>IFERROR(__xludf.DUMMYFUNCTION("""COMPUTED_VALUE"""),"Reginald VelJohnson")</f>
        <v>Reginald VelJohnson</v>
      </c>
      <c r="S689" s="5" t="str">
        <f>IFERROR(__xludf.DUMMYFUNCTION("""COMPUTED_VALUE"""),"Estrela 4")</f>
        <v>Estrela 4</v>
      </c>
    </row>
    <row r="690">
      <c r="A690" s="1">
        <v>689.0</v>
      </c>
      <c r="B690" s="1" t="s">
        <v>4126</v>
      </c>
      <c r="C690" s="1" t="s">
        <v>4129</v>
      </c>
      <c r="D690" s="1" t="s">
        <v>4130</v>
      </c>
      <c r="E690" s="1" t="s">
        <v>4131</v>
      </c>
      <c r="F690" s="1" t="s">
        <v>4132</v>
      </c>
      <c r="G690" s="5" t="str">
        <f>IFERROR(__xludf.DUMMYFUNCTION("""COMPUTED_VALUE"""),"173🤙🏼Ran🤙🏼Tatsuya Nakadai🤙🏼Estrela 1")</f>
        <v>173🤙🏼Ran🤙🏼Tatsuya Nakadai🤙🏼Estrela 1</v>
      </c>
      <c r="H690" s="5">
        <f>IFERROR(__xludf.DUMMYFUNCTION("SPLiT(G690, ""🤙🏼"",FALSE,FALSE)"),173.0)</f>
        <v>173</v>
      </c>
      <c r="I690" s="5" t="str">
        <f>IFERROR(__xludf.DUMMYFUNCTION("""COMPUTED_VALUE"""),"Ran")</f>
        <v>Ran</v>
      </c>
      <c r="J690" s="5" t="str">
        <f>IFERROR(__xludf.DUMMYFUNCTION("""COMPUTED_VALUE"""),"Tatsuya Nakadai")</f>
        <v>Tatsuya Nakadai</v>
      </c>
      <c r="K690" s="5" t="str">
        <f>IFERROR(__xludf.DUMMYFUNCTION("""COMPUTED_VALUE"""),"Estrela 1")</f>
        <v>Estrela 1</v>
      </c>
      <c r="P690" s="5">
        <f>IFERROR(__xludf.DUMMYFUNCTION("""COMPUTED_VALUE"""),173.0)</f>
        <v>173</v>
      </c>
      <c r="Q690" s="5" t="str">
        <f>IFERROR(__xludf.DUMMYFUNCTION("""COMPUTED_VALUE"""),"Ran")</f>
        <v>Ran</v>
      </c>
      <c r="R690" s="5" t="str">
        <f>IFERROR(__xludf.DUMMYFUNCTION("""COMPUTED_VALUE"""),"Tatsuya Nakadai")</f>
        <v>Tatsuya Nakadai</v>
      </c>
      <c r="S690" s="5" t="str">
        <f>IFERROR(__xludf.DUMMYFUNCTION("""COMPUTED_VALUE"""),"Estrela 1")</f>
        <v>Estrela 1</v>
      </c>
    </row>
    <row r="691">
      <c r="A691" s="1">
        <v>690.0</v>
      </c>
      <c r="B691" s="1" t="s">
        <v>4133</v>
      </c>
      <c r="C691" s="1" t="s">
        <v>2618</v>
      </c>
      <c r="D691" s="1" t="s">
        <v>3136</v>
      </c>
      <c r="E691" s="1" t="s">
        <v>4136</v>
      </c>
      <c r="F691" s="1" t="s">
        <v>4137</v>
      </c>
      <c r="G691" s="5" t="str">
        <f>IFERROR(__xludf.DUMMYFUNCTION("""COMPUTED_VALUE"""),"173🤙🏼Ran🤙🏼Akira Terao🤙🏼Estrela 2")</f>
        <v>173🤙🏼Ran🤙🏼Akira Terao🤙🏼Estrela 2</v>
      </c>
      <c r="H691" s="5">
        <f>IFERROR(__xludf.DUMMYFUNCTION("SPLiT(G691, ""🤙🏼"",FALSE,FALSE)"),173.0)</f>
        <v>173</v>
      </c>
      <c r="I691" s="5" t="str">
        <f>IFERROR(__xludf.DUMMYFUNCTION("""COMPUTED_VALUE"""),"Ran")</f>
        <v>Ran</v>
      </c>
      <c r="J691" s="5" t="str">
        <f>IFERROR(__xludf.DUMMYFUNCTION("""COMPUTED_VALUE"""),"Akira Terao")</f>
        <v>Akira Terao</v>
      </c>
      <c r="K691" s="5" t="str">
        <f>IFERROR(__xludf.DUMMYFUNCTION("""COMPUTED_VALUE"""),"Estrela 2")</f>
        <v>Estrela 2</v>
      </c>
      <c r="P691" s="5">
        <f>IFERROR(__xludf.DUMMYFUNCTION("""COMPUTED_VALUE"""),173.0)</f>
        <v>173</v>
      </c>
      <c r="Q691" s="5" t="str">
        <f>IFERROR(__xludf.DUMMYFUNCTION("""COMPUTED_VALUE"""),"Ran")</f>
        <v>Ran</v>
      </c>
      <c r="R691" s="5" t="str">
        <f>IFERROR(__xludf.DUMMYFUNCTION("""COMPUTED_VALUE"""),"Akira Terao")</f>
        <v>Akira Terao</v>
      </c>
      <c r="S691" s="5" t="str">
        <f>IFERROR(__xludf.DUMMYFUNCTION("""COMPUTED_VALUE"""),"Estrela 2")</f>
        <v>Estrela 2</v>
      </c>
    </row>
    <row r="692">
      <c r="A692" s="1">
        <v>691.0</v>
      </c>
      <c r="B692" s="1" t="s">
        <v>4138</v>
      </c>
      <c r="C692" s="1" t="s">
        <v>1583</v>
      </c>
      <c r="D692" s="1" t="s">
        <v>4141</v>
      </c>
      <c r="E692" s="1" t="s">
        <v>4118</v>
      </c>
      <c r="F692" s="1" t="s">
        <v>4142</v>
      </c>
      <c r="G692" s="5" t="str">
        <f>IFERROR(__xludf.DUMMYFUNCTION("""COMPUTED_VALUE"""),"173🤙🏼Ran🤙🏼Jinpachi Nezu🤙🏼Estrela 3")</f>
        <v>173🤙🏼Ran🤙🏼Jinpachi Nezu🤙🏼Estrela 3</v>
      </c>
      <c r="H692" s="5">
        <f>IFERROR(__xludf.DUMMYFUNCTION("SPLiT(G692, ""🤙🏼"",FALSE,FALSE)"),173.0)</f>
        <v>173</v>
      </c>
      <c r="I692" s="5" t="str">
        <f>IFERROR(__xludf.DUMMYFUNCTION("""COMPUTED_VALUE"""),"Ran")</f>
        <v>Ran</v>
      </c>
      <c r="J692" s="5" t="str">
        <f>IFERROR(__xludf.DUMMYFUNCTION("""COMPUTED_VALUE"""),"Jinpachi Nezu")</f>
        <v>Jinpachi Nezu</v>
      </c>
      <c r="K692" s="5" t="str">
        <f>IFERROR(__xludf.DUMMYFUNCTION("""COMPUTED_VALUE"""),"Estrela 3")</f>
        <v>Estrela 3</v>
      </c>
      <c r="P692" s="5">
        <f>IFERROR(__xludf.DUMMYFUNCTION("""COMPUTED_VALUE"""),173.0)</f>
        <v>173</v>
      </c>
      <c r="Q692" s="5" t="str">
        <f>IFERROR(__xludf.DUMMYFUNCTION("""COMPUTED_VALUE"""),"Ran")</f>
        <v>Ran</v>
      </c>
      <c r="R692" s="5" t="str">
        <f>IFERROR(__xludf.DUMMYFUNCTION("""COMPUTED_VALUE"""),"Jinpachi Nezu")</f>
        <v>Jinpachi Nezu</v>
      </c>
      <c r="S692" s="5" t="str">
        <f>IFERROR(__xludf.DUMMYFUNCTION("""COMPUTED_VALUE"""),"Estrela 3")</f>
        <v>Estrela 3</v>
      </c>
    </row>
    <row r="693">
      <c r="A693" s="1">
        <v>692.0</v>
      </c>
      <c r="B693" s="1" t="s">
        <v>4143</v>
      </c>
      <c r="C693" s="1" t="s">
        <v>119</v>
      </c>
      <c r="D693" s="1" t="s">
        <v>4145</v>
      </c>
      <c r="E693" s="1" t="s">
        <v>4146</v>
      </c>
      <c r="F693" s="1" t="s">
        <v>4147</v>
      </c>
      <c r="G693" s="5" t="str">
        <f>IFERROR(__xludf.DUMMYFUNCTION("""COMPUTED_VALUE"""),"173🤙🏼Ran🤙🏼Daisuke Ryû🤙🏼Estrela 4")</f>
        <v>173🤙🏼Ran🤙🏼Daisuke Ryû🤙🏼Estrela 4</v>
      </c>
      <c r="H693" s="5">
        <f>IFERROR(__xludf.DUMMYFUNCTION("SPLiT(G693, ""🤙🏼"",FALSE,FALSE)"),173.0)</f>
        <v>173</v>
      </c>
      <c r="I693" s="5" t="str">
        <f>IFERROR(__xludf.DUMMYFUNCTION("""COMPUTED_VALUE"""),"Ran")</f>
        <v>Ran</v>
      </c>
      <c r="J693" s="5" t="str">
        <f>IFERROR(__xludf.DUMMYFUNCTION("""COMPUTED_VALUE"""),"Daisuke Ryû")</f>
        <v>Daisuke Ryû</v>
      </c>
      <c r="K693" s="5" t="str">
        <f>IFERROR(__xludf.DUMMYFUNCTION("""COMPUTED_VALUE"""),"Estrela 4")</f>
        <v>Estrela 4</v>
      </c>
      <c r="P693" s="5">
        <f>IFERROR(__xludf.DUMMYFUNCTION("""COMPUTED_VALUE"""),173.0)</f>
        <v>173</v>
      </c>
      <c r="Q693" s="5" t="str">
        <f>IFERROR(__xludf.DUMMYFUNCTION("""COMPUTED_VALUE"""),"Ran")</f>
        <v>Ran</v>
      </c>
      <c r="R693" s="5" t="str">
        <f>IFERROR(__xludf.DUMMYFUNCTION("""COMPUTED_VALUE"""),"Daisuke Ryû")</f>
        <v>Daisuke Ryû</v>
      </c>
      <c r="S693" s="5" t="str">
        <f>IFERROR(__xludf.DUMMYFUNCTION("""COMPUTED_VALUE"""),"Estrela 4")</f>
        <v>Estrela 4</v>
      </c>
    </row>
    <row r="694">
      <c r="A694" s="1">
        <v>693.0</v>
      </c>
      <c r="B694" s="1" t="s">
        <v>4148</v>
      </c>
      <c r="C694" s="1" t="s">
        <v>1195</v>
      </c>
      <c r="D694" s="1" t="s">
        <v>45</v>
      </c>
      <c r="E694" s="1" t="s">
        <v>1152</v>
      </c>
      <c r="F694" s="1" t="s">
        <v>4151</v>
      </c>
      <c r="G694" s="5" t="str">
        <f>IFERROR(__xludf.DUMMYFUNCTION("""COMPUTED_VALUE"""),"174🤙🏼Raging Bull🤙🏼Robert De Niro🤙🏼Estrela 1")</f>
        <v>174🤙🏼Raging Bull🤙🏼Robert De Niro🤙🏼Estrela 1</v>
      </c>
      <c r="H694" s="5">
        <f>IFERROR(__xludf.DUMMYFUNCTION("SPLiT(G694, ""🤙🏼"",FALSE,FALSE)"),174.0)</f>
        <v>174</v>
      </c>
      <c r="I694" s="5" t="str">
        <f>IFERROR(__xludf.DUMMYFUNCTION("""COMPUTED_VALUE"""),"Raging Bull")</f>
        <v>Raging Bull</v>
      </c>
      <c r="J694" s="5" t="str">
        <f>IFERROR(__xludf.DUMMYFUNCTION("""COMPUTED_VALUE"""),"Robert De Niro")</f>
        <v>Robert De Niro</v>
      </c>
      <c r="K694" s="5" t="str">
        <f>IFERROR(__xludf.DUMMYFUNCTION("""COMPUTED_VALUE"""),"Estrela 1")</f>
        <v>Estrela 1</v>
      </c>
      <c r="P694" s="5">
        <f>IFERROR(__xludf.DUMMYFUNCTION("""COMPUTED_VALUE"""),174.0)</f>
        <v>174</v>
      </c>
      <c r="Q694" s="5" t="str">
        <f>IFERROR(__xludf.DUMMYFUNCTION("""COMPUTED_VALUE"""),"Raging Bull")</f>
        <v>Raging Bull</v>
      </c>
      <c r="R694" s="5" t="str">
        <f>IFERROR(__xludf.DUMMYFUNCTION("""COMPUTED_VALUE"""),"Robert De Niro")</f>
        <v>Robert De Niro</v>
      </c>
      <c r="S694" s="5" t="str">
        <f>IFERROR(__xludf.DUMMYFUNCTION("""COMPUTED_VALUE"""),"Estrela 1")</f>
        <v>Estrela 1</v>
      </c>
    </row>
    <row r="695">
      <c r="A695" s="1">
        <v>694.0</v>
      </c>
      <c r="B695" s="1" t="s">
        <v>4152</v>
      </c>
      <c r="C695" s="1" t="s">
        <v>1191</v>
      </c>
      <c r="D695" s="1" t="s">
        <v>1888</v>
      </c>
      <c r="E695" s="1" t="s">
        <v>4154</v>
      </c>
      <c r="F695" s="1" t="s">
        <v>579</v>
      </c>
      <c r="G695" s="5" t="str">
        <f>IFERROR(__xludf.DUMMYFUNCTION("""COMPUTED_VALUE"""),"174🤙🏼Raging Bull🤙🏼Cathy Moriarty🤙🏼Estrela 2")</f>
        <v>174🤙🏼Raging Bull🤙🏼Cathy Moriarty🤙🏼Estrela 2</v>
      </c>
      <c r="H695" s="5">
        <f>IFERROR(__xludf.DUMMYFUNCTION("SPLiT(G695, ""🤙🏼"",FALSE,FALSE)"),174.0)</f>
        <v>174</v>
      </c>
      <c r="I695" s="5" t="str">
        <f>IFERROR(__xludf.DUMMYFUNCTION("""COMPUTED_VALUE"""),"Raging Bull")</f>
        <v>Raging Bull</v>
      </c>
      <c r="J695" s="5" t="str">
        <f>IFERROR(__xludf.DUMMYFUNCTION("""COMPUTED_VALUE"""),"Cathy Moriarty")</f>
        <v>Cathy Moriarty</v>
      </c>
      <c r="K695" s="5" t="str">
        <f>IFERROR(__xludf.DUMMYFUNCTION("""COMPUTED_VALUE"""),"Estrela 2")</f>
        <v>Estrela 2</v>
      </c>
      <c r="P695" s="5">
        <f>IFERROR(__xludf.DUMMYFUNCTION("""COMPUTED_VALUE"""),174.0)</f>
        <v>174</v>
      </c>
      <c r="Q695" s="5" t="str">
        <f>IFERROR(__xludf.DUMMYFUNCTION("""COMPUTED_VALUE"""),"Raging Bull")</f>
        <v>Raging Bull</v>
      </c>
      <c r="R695" s="5" t="str">
        <f>IFERROR(__xludf.DUMMYFUNCTION("""COMPUTED_VALUE"""),"Cathy Moriarty")</f>
        <v>Cathy Moriarty</v>
      </c>
      <c r="S695" s="5" t="str">
        <f>IFERROR(__xludf.DUMMYFUNCTION("""COMPUTED_VALUE"""),"Estrela 2")</f>
        <v>Estrela 2</v>
      </c>
    </row>
    <row r="696">
      <c r="A696" s="1">
        <v>695.0</v>
      </c>
      <c r="B696" s="1" t="s">
        <v>4155</v>
      </c>
      <c r="C696" s="1" t="s">
        <v>4159</v>
      </c>
      <c r="D696" s="1" t="s">
        <v>4160</v>
      </c>
      <c r="E696" s="1" t="s">
        <v>4161</v>
      </c>
      <c r="F696" s="1" t="s">
        <v>4162</v>
      </c>
      <c r="G696" s="5" t="str">
        <f>IFERROR(__xludf.DUMMYFUNCTION("""COMPUTED_VALUE"""),"174🤙🏼Raging Bull🤙🏼Joe Pesci🤙🏼Estrela 3")</f>
        <v>174🤙🏼Raging Bull🤙🏼Joe Pesci🤙🏼Estrela 3</v>
      </c>
      <c r="H696" s="5">
        <f>IFERROR(__xludf.DUMMYFUNCTION("SPLiT(G696, ""🤙🏼"",FALSE,FALSE)"),174.0)</f>
        <v>174</v>
      </c>
      <c r="I696" s="5" t="str">
        <f>IFERROR(__xludf.DUMMYFUNCTION("""COMPUTED_VALUE"""),"Raging Bull")</f>
        <v>Raging Bull</v>
      </c>
      <c r="J696" s="5" t="str">
        <f>IFERROR(__xludf.DUMMYFUNCTION("""COMPUTED_VALUE"""),"Joe Pesci")</f>
        <v>Joe Pesci</v>
      </c>
      <c r="K696" s="5" t="str">
        <f>IFERROR(__xludf.DUMMYFUNCTION("""COMPUTED_VALUE"""),"Estrela 3")</f>
        <v>Estrela 3</v>
      </c>
      <c r="P696" s="5">
        <f>IFERROR(__xludf.DUMMYFUNCTION("""COMPUTED_VALUE"""),174.0)</f>
        <v>174</v>
      </c>
      <c r="Q696" s="5" t="str">
        <f>IFERROR(__xludf.DUMMYFUNCTION("""COMPUTED_VALUE"""),"Raging Bull")</f>
        <v>Raging Bull</v>
      </c>
      <c r="R696" s="5" t="str">
        <f>IFERROR(__xludf.DUMMYFUNCTION("""COMPUTED_VALUE"""),"Joe Pesci")</f>
        <v>Joe Pesci</v>
      </c>
      <c r="S696" s="5" t="str">
        <f>IFERROR(__xludf.DUMMYFUNCTION("""COMPUTED_VALUE"""),"Estrela 3")</f>
        <v>Estrela 3</v>
      </c>
    </row>
    <row r="697">
      <c r="A697" s="1">
        <v>696.0</v>
      </c>
      <c r="B697" s="1" t="s">
        <v>4163</v>
      </c>
      <c r="C697" s="1" t="s">
        <v>4165</v>
      </c>
      <c r="D697" s="1" t="s">
        <v>4166</v>
      </c>
      <c r="E697" s="1" t="s">
        <v>4167</v>
      </c>
      <c r="F697" s="1" t="s">
        <v>4168</v>
      </c>
      <c r="G697" s="5" t="str">
        <f>IFERROR(__xludf.DUMMYFUNCTION("""COMPUTED_VALUE"""),"174🤙🏼Raging Bull🤙🏼Frank Vincent🤙🏼Estrela 4")</f>
        <v>174🤙🏼Raging Bull🤙🏼Frank Vincent🤙🏼Estrela 4</v>
      </c>
      <c r="H697" s="5">
        <f>IFERROR(__xludf.DUMMYFUNCTION("SPLiT(G697, ""🤙🏼"",FALSE,FALSE)"),174.0)</f>
        <v>174</v>
      </c>
      <c r="I697" s="5" t="str">
        <f>IFERROR(__xludf.DUMMYFUNCTION("""COMPUTED_VALUE"""),"Raging Bull")</f>
        <v>Raging Bull</v>
      </c>
      <c r="J697" s="5" t="str">
        <f>IFERROR(__xludf.DUMMYFUNCTION("""COMPUTED_VALUE"""),"Frank Vincent")</f>
        <v>Frank Vincent</v>
      </c>
      <c r="K697" s="5" t="str">
        <f>IFERROR(__xludf.DUMMYFUNCTION("""COMPUTED_VALUE"""),"Estrela 4")</f>
        <v>Estrela 4</v>
      </c>
      <c r="P697" s="5">
        <f>IFERROR(__xludf.DUMMYFUNCTION("""COMPUTED_VALUE"""),174.0)</f>
        <v>174</v>
      </c>
      <c r="Q697" s="5" t="str">
        <f>IFERROR(__xludf.DUMMYFUNCTION("""COMPUTED_VALUE"""),"Raging Bull")</f>
        <v>Raging Bull</v>
      </c>
      <c r="R697" s="5" t="str">
        <f>IFERROR(__xludf.DUMMYFUNCTION("""COMPUTED_VALUE"""),"Frank Vincent")</f>
        <v>Frank Vincent</v>
      </c>
      <c r="S697" s="5" t="str">
        <f>IFERROR(__xludf.DUMMYFUNCTION("""COMPUTED_VALUE"""),"Estrela 4")</f>
        <v>Estrela 4</v>
      </c>
    </row>
    <row r="698">
      <c r="A698" s="1">
        <v>697.0</v>
      </c>
      <c r="B698" s="1" t="s">
        <v>4169</v>
      </c>
      <c r="C698" s="1" t="s">
        <v>578</v>
      </c>
      <c r="D698" s="1" t="s">
        <v>2495</v>
      </c>
      <c r="E698" s="1" t="s">
        <v>3390</v>
      </c>
      <c r="F698" s="1" t="s">
        <v>4171</v>
      </c>
      <c r="G698" s="5" t="str">
        <f>IFERROR(__xludf.DUMMYFUNCTION("""COMPUTED_VALUE"""),"175🤙🏼Stalker🤙🏼Alisa Freyndlikh🤙🏼Estrela 1")</f>
        <v>175🤙🏼Stalker🤙🏼Alisa Freyndlikh🤙🏼Estrela 1</v>
      </c>
      <c r="H698" s="5">
        <f>IFERROR(__xludf.DUMMYFUNCTION("SPLiT(G698, ""🤙🏼"",FALSE,FALSE)"),175.0)</f>
        <v>175</v>
      </c>
      <c r="I698" s="5" t="str">
        <f>IFERROR(__xludf.DUMMYFUNCTION("""COMPUTED_VALUE"""),"Stalker")</f>
        <v>Stalker</v>
      </c>
      <c r="J698" s="5" t="str">
        <f>IFERROR(__xludf.DUMMYFUNCTION("""COMPUTED_VALUE"""),"Alisa Freyndlikh")</f>
        <v>Alisa Freyndlikh</v>
      </c>
      <c r="K698" s="5" t="str">
        <f>IFERROR(__xludf.DUMMYFUNCTION("""COMPUTED_VALUE"""),"Estrela 1")</f>
        <v>Estrela 1</v>
      </c>
      <c r="P698" s="5">
        <f>IFERROR(__xludf.DUMMYFUNCTION("""COMPUTED_VALUE"""),175.0)</f>
        <v>175</v>
      </c>
      <c r="Q698" s="5" t="str">
        <f>IFERROR(__xludf.DUMMYFUNCTION("""COMPUTED_VALUE"""),"Stalker")</f>
        <v>Stalker</v>
      </c>
      <c r="R698" s="5" t="str">
        <f>IFERROR(__xludf.DUMMYFUNCTION("""COMPUTED_VALUE"""),"Alisa Freyndlikh")</f>
        <v>Alisa Freyndlikh</v>
      </c>
      <c r="S698" s="5" t="str">
        <f>IFERROR(__xludf.DUMMYFUNCTION("""COMPUTED_VALUE"""),"Estrela 1")</f>
        <v>Estrela 1</v>
      </c>
    </row>
    <row r="699">
      <c r="A699" s="1">
        <v>698.0</v>
      </c>
      <c r="B699" s="1" t="s">
        <v>4172</v>
      </c>
      <c r="C699" s="1" t="s">
        <v>4174</v>
      </c>
      <c r="D699" s="1" t="s">
        <v>4175</v>
      </c>
      <c r="E699" s="1" t="s">
        <v>4176</v>
      </c>
      <c r="F699" s="1" t="s">
        <v>4177</v>
      </c>
      <c r="G699" s="5" t="str">
        <f>IFERROR(__xludf.DUMMYFUNCTION("""COMPUTED_VALUE"""),"175🤙🏼Stalker🤙🏼Aleksandr Kaydanovskiy🤙🏼Estrela 2")</f>
        <v>175🤙🏼Stalker🤙🏼Aleksandr Kaydanovskiy🤙🏼Estrela 2</v>
      </c>
      <c r="H699" s="5">
        <f>IFERROR(__xludf.DUMMYFUNCTION("SPLiT(G699, ""🤙🏼"",FALSE,FALSE)"),175.0)</f>
        <v>175</v>
      </c>
      <c r="I699" s="5" t="str">
        <f>IFERROR(__xludf.DUMMYFUNCTION("""COMPUTED_VALUE"""),"Stalker")</f>
        <v>Stalker</v>
      </c>
      <c r="J699" s="5" t="str">
        <f>IFERROR(__xludf.DUMMYFUNCTION("""COMPUTED_VALUE"""),"Aleksandr Kaydanovskiy")</f>
        <v>Aleksandr Kaydanovskiy</v>
      </c>
      <c r="K699" s="5" t="str">
        <f>IFERROR(__xludf.DUMMYFUNCTION("""COMPUTED_VALUE"""),"Estrela 2")</f>
        <v>Estrela 2</v>
      </c>
      <c r="P699" s="5">
        <f>IFERROR(__xludf.DUMMYFUNCTION("""COMPUTED_VALUE"""),175.0)</f>
        <v>175</v>
      </c>
      <c r="Q699" s="5" t="str">
        <f>IFERROR(__xludf.DUMMYFUNCTION("""COMPUTED_VALUE"""),"Stalker")</f>
        <v>Stalker</v>
      </c>
      <c r="R699" s="5" t="str">
        <f>IFERROR(__xludf.DUMMYFUNCTION("""COMPUTED_VALUE"""),"Aleksandr Kaydanovskiy")</f>
        <v>Aleksandr Kaydanovskiy</v>
      </c>
      <c r="S699" s="5" t="str">
        <f>IFERROR(__xludf.DUMMYFUNCTION("""COMPUTED_VALUE"""),"Estrela 2")</f>
        <v>Estrela 2</v>
      </c>
    </row>
    <row r="700">
      <c r="A700" s="1">
        <v>699.0</v>
      </c>
      <c r="B700" s="1" t="s">
        <v>4178</v>
      </c>
      <c r="C700" s="1" t="s">
        <v>2687</v>
      </c>
      <c r="D700" s="1" t="s">
        <v>4182</v>
      </c>
      <c r="E700" s="1" t="s">
        <v>4183</v>
      </c>
      <c r="F700" s="1" t="s">
        <v>4184</v>
      </c>
      <c r="G700" s="5" t="str">
        <f>IFERROR(__xludf.DUMMYFUNCTION("""COMPUTED_VALUE"""),"175🤙🏼Stalker🤙🏼Anatoliy Solonitsyn🤙🏼Estrela 3")</f>
        <v>175🤙🏼Stalker🤙🏼Anatoliy Solonitsyn🤙🏼Estrela 3</v>
      </c>
      <c r="H700" s="5">
        <f>IFERROR(__xludf.DUMMYFUNCTION("SPLiT(G700, ""🤙🏼"",FALSE,FALSE)"),175.0)</f>
        <v>175</v>
      </c>
      <c r="I700" s="5" t="str">
        <f>IFERROR(__xludf.DUMMYFUNCTION("""COMPUTED_VALUE"""),"Stalker")</f>
        <v>Stalker</v>
      </c>
      <c r="J700" s="5" t="str">
        <f>IFERROR(__xludf.DUMMYFUNCTION("""COMPUTED_VALUE"""),"Anatoliy Solonitsyn")</f>
        <v>Anatoliy Solonitsyn</v>
      </c>
      <c r="K700" s="5" t="str">
        <f>IFERROR(__xludf.DUMMYFUNCTION("""COMPUTED_VALUE"""),"Estrela 3")</f>
        <v>Estrela 3</v>
      </c>
      <c r="P700" s="5">
        <f>IFERROR(__xludf.DUMMYFUNCTION("""COMPUTED_VALUE"""),175.0)</f>
        <v>175</v>
      </c>
      <c r="Q700" s="5" t="str">
        <f>IFERROR(__xludf.DUMMYFUNCTION("""COMPUTED_VALUE"""),"Stalker")</f>
        <v>Stalker</v>
      </c>
      <c r="R700" s="5" t="str">
        <f>IFERROR(__xludf.DUMMYFUNCTION("""COMPUTED_VALUE"""),"Anatoliy Solonitsyn")</f>
        <v>Anatoliy Solonitsyn</v>
      </c>
      <c r="S700" s="5" t="str">
        <f>IFERROR(__xludf.DUMMYFUNCTION("""COMPUTED_VALUE"""),"Estrela 3")</f>
        <v>Estrela 3</v>
      </c>
    </row>
    <row r="701">
      <c r="A701" s="1">
        <v>700.0</v>
      </c>
      <c r="B701" s="1" t="s">
        <v>4185</v>
      </c>
      <c r="C701" s="1" t="s">
        <v>2618</v>
      </c>
      <c r="D701" s="1" t="s">
        <v>1178</v>
      </c>
      <c r="E701" s="1" t="s">
        <v>4188</v>
      </c>
      <c r="F701" s="1" t="s">
        <v>4189</v>
      </c>
      <c r="G701" s="5" t="str">
        <f>IFERROR(__xludf.DUMMYFUNCTION("""COMPUTED_VALUE"""),"175🤙🏼Stalker🤙🏼Nikolay Grinko🤙🏼Estrela 4")</f>
        <v>175🤙🏼Stalker🤙🏼Nikolay Grinko🤙🏼Estrela 4</v>
      </c>
      <c r="H701" s="5">
        <f>IFERROR(__xludf.DUMMYFUNCTION("SPLiT(G701, ""🤙🏼"",FALSE,FALSE)"),175.0)</f>
        <v>175</v>
      </c>
      <c r="I701" s="5" t="str">
        <f>IFERROR(__xludf.DUMMYFUNCTION("""COMPUTED_VALUE"""),"Stalker")</f>
        <v>Stalker</v>
      </c>
      <c r="J701" s="5" t="str">
        <f>IFERROR(__xludf.DUMMYFUNCTION("""COMPUTED_VALUE"""),"Nikolay Grinko")</f>
        <v>Nikolay Grinko</v>
      </c>
      <c r="K701" s="5" t="str">
        <f>IFERROR(__xludf.DUMMYFUNCTION("""COMPUTED_VALUE"""),"Estrela 4")</f>
        <v>Estrela 4</v>
      </c>
      <c r="P701" s="5">
        <f>IFERROR(__xludf.DUMMYFUNCTION("""COMPUTED_VALUE"""),175.0)</f>
        <v>175</v>
      </c>
      <c r="Q701" s="5" t="str">
        <f>IFERROR(__xludf.DUMMYFUNCTION("""COMPUTED_VALUE"""),"Stalker")</f>
        <v>Stalker</v>
      </c>
      <c r="R701" s="5" t="str">
        <f>IFERROR(__xludf.DUMMYFUNCTION("""COMPUTED_VALUE"""),"Nikolay Grinko")</f>
        <v>Nikolay Grinko</v>
      </c>
      <c r="S701" s="5" t="str">
        <f>IFERROR(__xludf.DUMMYFUNCTION("""COMPUTED_VALUE"""),"Estrela 4")</f>
        <v>Estrela 4</v>
      </c>
    </row>
    <row r="702">
      <c r="A702" s="1">
        <v>701.0</v>
      </c>
      <c r="B702" s="1" t="s">
        <v>4190</v>
      </c>
      <c r="C702" s="1" t="s">
        <v>2839</v>
      </c>
      <c r="D702" s="1" t="s">
        <v>4194</v>
      </c>
      <c r="E702" s="1" t="s">
        <v>4195</v>
      </c>
      <c r="F702" s="1" t="s">
        <v>4196</v>
      </c>
      <c r="G702" s="5" t="str">
        <f>IFERROR(__xludf.DUMMYFUNCTION("""COMPUTED_VALUE"""),"176🤙🏼Höstsonaten🤙🏼Ingrid Bergman🤙🏼Estrela 1")</f>
        <v>176🤙🏼Höstsonaten🤙🏼Ingrid Bergman🤙🏼Estrela 1</v>
      </c>
      <c r="H702" s="5">
        <f>IFERROR(__xludf.DUMMYFUNCTION("SPLiT(G702, ""🤙🏼"",FALSE,FALSE)"),176.0)</f>
        <v>176</v>
      </c>
      <c r="I702" s="5" t="str">
        <f>IFERROR(__xludf.DUMMYFUNCTION("""COMPUTED_VALUE"""),"Höstsonaten")</f>
        <v>Höstsonaten</v>
      </c>
      <c r="J702" s="5" t="str">
        <f>IFERROR(__xludf.DUMMYFUNCTION("""COMPUTED_VALUE"""),"Ingrid Bergman")</f>
        <v>Ingrid Bergman</v>
      </c>
      <c r="K702" s="5" t="str">
        <f>IFERROR(__xludf.DUMMYFUNCTION("""COMPUTED_VALUE"""),"Estrela 1")</f>
        <v>Estrela 1</v>
      </c>
      <c r="P702" s="5">
        <f>IFERROR(__xludf.DUMMYFUNCTION("""COMPUTED_VALUE"""),176.0)</f>
        <v>176</v>
      </c>
      <c r="Q702" s="5" t="str">
        <f>IFERROR(__xludf.DUMMYFUNCTION("""COMPUTED_VALUE"""),"Höstsonaten")</f>
        <v>Höstsonaten</v>
      </c>
      <c r="R702" s="5" t="str">
        <f>IFERROR(__xludf.DUMMYFUNCTION("""COMPUTED_VALUE"""),"Ingrid Bergman")</f>
        <v>Ingrid Bergman</v>
      </c>
      <c r="S702" s="5" t="str">
        <f>IFERROR(__xludf.DUMMYFUNCTION("""COMPUTED_VALUE"""),"Estrela 1")</f>
        <v>Estrela 1</v>
      </c>
    </row>
    <row r="703">
      <c r="A703" s="1">
        <v>702.0</v>
      </c>
      <c r="B703" s="1" t="s">
        <v>4197</v>
      </c>
      <c r="C703" s="1" t="s">
        <v>1291</v>
      </c>
      <c r="D703" s="1" t="s">
        <v>3389</v>
      </c>
      <c r="E703" s="1" t="s">
        <v>3385</v>
      </c>
      <c r="F703" s="1" t="s">
        <v>4199</v>
      </c>
      <c r="G703" s="5" t="str">
        <f>IFERROR(__xludf.DUMMYFUNCTION("""COMPUTED_VALUE"""),"176🤙🏼Höstsonaten🤙🏼Liv Ullmann🤙🏼Estrela 2")</f>
        <v>176🤙🏼Höstsonaten🤙🏼Liv Ullmann🤙🏼Estrela 2</v>
      </c>
      <c r="H703" s="5">
        <f>IFERROR(__xludf.DUMMYFUNCTION("SPLiT(G703, ""🤙🏼"",FALSE,FALSE)"),176.0)</f>
        <v>176</v>
      </c>
      <c r="I703" s="5" t="str">
        <f>IFERROR(__xludf.DUMMYFUNCTION("""COMPUTED_VALUE"""),"Höstsonaten")</f>
        <v>Höstsonaten</v>
      </c>
      <c r="J703" s="5" t="str">
        <f>IFERROR(__xludf.DUMMYFUNCTION("""COMPUTED_VALUE"""),"Liv Ullmann")</f>
        <v>Liv Ullmann</v>
      </c>
      <c r="K703" s="5" t="str">
        <f>IFERROR(__xludf.DUMMYFUNCTION("""COMPUTED_VALUE"""),"Estrela 2")</f>
        <v>Estrela 2</v>
      </c>
      <c r="P703" s="5">
        <f>IFERROR(__xludf.DUMMYFUNCTION("""COMPUTED_VALUE"""),176.0)</f>
        <v>176</v>
      </c>
      <c r="Q703" s="5" t="str">
        <f>IFERROR(__xludf.DUMMYFUNCTION("""COMPUTED_VALUE"""),"Höstsonaten")</f>
        <v>Höstsonaten</v>
      </c>
      <c r="R703" s="5" t="str">
        <f>IFERROR(__xludf.DUMMYFUNCTION("""COMPUTED_VALUE"""),"Liv Ullmann")</f>
        <v>Liv Ullmann</v>
      </c>
      <c r="S703" s="5" t="str">
        <f>IFERROR(__xludf.DUMMYFUNCTION("""COMPUTED_VALUE"""),"Estrela 2")</f>
        <v>Estrela 2</v>
      </c>
    </row>
    <row r="704">
      <c r="A704" s="1">
        <v>703.0</v>
      </c>
      <c r="B704" s="1" t="s">
        <v>4200</v>
      </c>
      <c r="C704" s="1" t="s">
        <v>4203</v>
      </c>
      <c r="D704" s="1" t="s">
        <v>1899</v>
      </c>
      <c r="E704" s="1" t="s">
        <v>4204</v>
      </c>
      <c r="F704" s="1" t="s">
        <v>1191</v>
      </c>
      <c r="G704" s="5" t="str">
        <f>IFERROR(__xludf.DUMMYFUNCTION("""COMPUTED_VALUE"""),"176🤙🏼Höstsonaten🤙🏼Lena Nyman🤙🏼Estrela 3")</f>
        <v>176🤙🏼Höstsonaten🤙🏼Lena Nyman🤙🏼Estrela 3</v>
      </c>
      <c r="H704" s="5">
        <f>IFERROR(__xludf.DUMMYFUNCTION("SPLiT(G704, ""🤙🏼"",FALSE,FALSE)"),176.0)</f>
        <v>176</v>
      </c>
      <c r="I704" s="5" t="str">
        <f>IFERROR(__xludf.DUMMYFUNCTION("""COMPUTED_VALUE"""),"Höstsonaten")</f>
        <v>Höstsonaten</v>
      </c>
      <c r="J704" s="5" t="str">
        <f>IFERROR(__xludf.DUMMYFUNCTION("""COMPUTED_VALUE"""),"Lena Nyman")</f>
        <v>Lena Nyman</v>
      </c>
      <c r="K704" s="5" t="str">
        <f>IFERROR(__xludf.DUMMYFUNCTION("""COMPUTED_VALUE"""),"Estrela 3")</f>
        <v>Estrela 3</v>
      </c>
      <c r="P704" s="5">
        <f>IFERROR(__xludf.DUMMYFUNCTION("""COMPUTED_VALUE"""),176.0)</f>
        <v>176</v>
      </c>
      <c r="Q704" s="5" t="str">
        <f>IFERROR(__xludf.DUMMYFUNCTION("""COMPUTED_VALUE"""),"Höstsonaten")</f>
        <v>Höstsonaten</v>
      </c>
      <c r="R704" s="5" t="str">
        <f>IFERROR(__xludf.DUMMYFUNCTION("""COMPUTED_VALUE"""),"Lena Nyman")</f>
        <v>Lena Nyman</v>
      </c>
      <c r="S704" s="5" t="str">
        <f>IFERROR(__xludf.DUMMYFUNCTION("""COMPUTED_VALUE"""),"Estrela 3")</f>
        <v>Estrela 3</v>
      </c>
    </row>
    <row r="705">
      <c r="A705" s="1">
        <v>704.0</v>
      </c>
      <c r="B705" s="1" t="s">
        <v>4205</v>
      </c>
      <c r="C705" s="1" t="s">
        <v>2839</v>
      </c>
      <c r="D705" s="1" t="s">
        <v>4207</v>
      </c>
      <c r="E705" s="1" t="s">
        <v>2872</v>
      </c>
      <c r="F705" s="1" t="s">
        <v>4208</v>
      </c>
      <c r="G705" s="5" t="str">
        <f>IFERROR(__xludf.DUMMYFUNCTION("""COMPUTED_VALUE"""),"176🤙🏼Höstsonaten🤙🏼Halvar Björk🤙🏼Estrela 4")</f>
        <v>176🤙🏼Höstsonaten🤙🏼Halvar Björk🤙🏼Estrela 4</v>
      </c>
      <c r="H705" s="5">
        <f>IFERROR(__xludf.DUMMYFUNCTION("SPLiT(G705, ""🤙🏼"",FALSE,FALSE)"),176.0)</f>
        <v>176</v>
      </c>
      <c r="I705" s="5" t="str">
        <f>IFERROR(__xludf.DUMMYFUNCTION("""COMPUTED_VALUE"""),"Höstsonaten")</f>
        <v>Höstsonaten</v>
      </c>
      <c r="J705" s="5" t="str">
        <f>IFERROR(__xludf.DUMMYFUNCTION("""COMPUTED_VALUE"""),"Halvar Björk")</f>
        <v>Halvar Björk</v>
      </c>
      <c r="K705" s="5" t="str">
        <f>IFERROR(__xludf.DUMMYFUNCTION("""COMPUTED_VALUE"""),"Estrela 4")</f>
        <v>Estrela 4</v>
      </c>
      <c r="P705" s="5">
        <f>IFERROR(__xludf.DUMMYFUNCTION("""COMPUTED_VALUE"""),176.0)</f>
        <v>176</v>
      </c>
      <c r="Q705" s="5" t="str">
        <f>IFERROR(__xludf.DUMMYFUNCTION("""COMPUTED_VALUE"""),"Höstsonaten")</f>
        <v>Höstsonaten</v>
      </c>
      <c r="R705" s="5" t="str">
        <f>IFERROR(__xludf.DUMMYFUNCTION("""COMPUTED_VALUE"""),"Halvar Björk")</f>
        <v>Halvar Björk</v>
      </c>
      <c r="S705" s="5" t="str">
        <f>IFERROR(__xludf.DUMMYFUNCTION("""COMPUTED_VALUE"""),"Estrela 4")</f>
        <v>Estrela 4</v>
      </c>
    </row>
    <row r="706">
      <c r="A706" s="1">
        <v>705.0</v>
      </c>
      <c r="B706" s="1" t="s">
        <v>4209</v>
      </c>
      <c r="C706" s="1" t="s">
        <v>2750</v>
      </c>
      <c r="D706" s="1" t="s">
        <v>4213</v>
      </c>
      <c r="E706" s="1" t="s">
        <v>4214</v>
      </c>
      <c r="F706" s="1" t="s">
        <v>4215</v>
      </c>
      <c r="G706" s="5" t="str">
        <f>IFERROR(__xludf.DUMMYFUNCTION("""COMPUTED_VALUE"""),"177🤙🏼The Message🤙🏼Anthony Quinn🤙🏼Estrela 1")</f>
        <v>177🤙🏼The Message🤙🏼Anthony Quinn🤙🏼Estrela 1</v>
      </c>
      <c r="H706" s="5">
        <f>IFERROR(__xludf.DUMMYFUNCTION("SPLiT(G706, ""🤙🏼"",FALSE,FALSE)"),177.0)</f>
        <v>177</v>
      </c>
      <c r="I706" s="5" t="str">
        <f>IFERROR(__xludf.DUMMYFUNCTION("""COMPUTED_VALUE"""),"The Message")</f>
        <v>The Message</v>
      </c>
      <c r="J706" s="5" t="str">
        <f>IFERROR(__xludf.DUMMYFUNCTION("""COMPUTED_VALUE"""),"Anthony Quinn")</f>
        <v>Anthony Quinn</v>
      </c>
      <c r="K706" s="5" t="str">
        <f>IFERROR(__xludf.DUMMYFUNCTION("""COMPUTED_VALUE"""),"Estrela 1")</f>
        <v>Estrela 1</v>
      </c>
      <c r="P706" s="5">
        <f>IFERROR(__xludf.DUMMYFUNCTION("""COMPUTED_VALUE"""),177.0)</f>
        <v>177</v>
      </c>
      <c r="Q706" s="5" t="str">
        <f>IFERROR(__xludf.DUMMYFUNCTION("""COMPUTED_VALUE"""),"The Message")</f>
        <v>The Message</v>
      </c>
      <c r="R706" s="5" t="str">
        <f>IFERROR(__xludf.DUMMYFUNCTION("""COMPUTED_VALUE"""),"Anthony Quinn")</f>
        <v>Anthony Quinn</v>
      </c>
      <c r="S706" s="5" t="str">
        <f>IFERROR(__xludf.DUMMYFUNCTION("""COMPUTED_VALUE"""),"Estrela 1")</f>
        <v>Estrela 1</v>
      </c>
    </row>
    <row r="707">
      <c r="A707" s="1">
        <v>706.0</v>
      </c>
      <c r="B707" s="1" t="s">
        <v>4216</v>
      </c>
      <c r="C707" s="1" t="s">
        <v>4219</v>
      </c>
      <c r="D707" s="1" t="s">
        <v>4220</v>
      </c>
      <c r="E707" s="1" t="s">
        <v>4221</v>
      </c>
      <c r="F707" s="1" t="s">
        <v>4222</v>
      </c>
      <c r="G707" s="5" t="str">
        <f>IFERROR(__xludf.DUMMYFUNCTION("""COMPUTED_VALUE"""),"177🤙🏼The Message🤙🏼Irene Papas🤙🏼Estrela 2")</f>
        <v>177🤙🏼The Message🤙🏼Irene Papas🤙🏼Estrela 2</v>
      </c>
      <c r="H707" s="5">
        <f>IFERROR(__xludf.DUMMYFUNCTION("SPLiT(G707, ""🤙🏼"",FALSE,FALSE)"),177.0)</f>
        <v>177</v>
      </c>
      <c r="I707" s="5" t="str">
        <f>IFERROR(__xludf.DUMMYFUNCTION("""COMPUTED_VALUE"""),"The Message")</f>
        <v>The Message</v>
      </c>
      <c r="J707" s="5" t="str">
        <f>IFERROR(__xludf.DUMMYFUNCTION("""COMPUTED_VALUE"""),"Irene Papas")</f>
        <v>Irene Papas</v>
      </c>
      <c r="K707" s="5" t="str">
        <f>IFERROR(__xludf.DUMMYFUNCTION("""COMPUTED_VALUE"""),"Estrela 2")</f>
        <v>Estrela 2</v>
      </c>
      <c r="P707" s="5">
        <f>IFERROR(__xludf.DUMMYFUNCTION("""COMPUTED_VALUE"""),177.0)</f>
        <v>177</v>
      </c>
      <c r="Q707" s="5" t="str">
        <f>IFERROR(__xludf.DUMMYFUNCTION("""COMPUTED_VALUE"""),"The Message")</f>
        <v>The Message</v>
      </c>
      <c r="R707" s="5" t="str">
        <f>IFERROR(__xludf.DUMMYFUNCTION("""COMPUTED_VALUE"""),"Irene Papas")</f>
        <v>Irene Papas</v>
      </c>
      <c r="S707" s="5" t="str">
        <f>IFERROR(__xludf.DUMMYFUNCTION("""COMPUTED_VALUE"""),"Estrela 2")</f>
        <v>Estrela 2</v>
      </c>
    </row>
    <row r="708">
      <c r="A708" s="1">
        <v>707.0</v>
      </c>
      <c r="B708" s="1" t="s">
        <v>4223</v>
      </c>
      <c r="C708" s="1" t="s">
        <v>4225</v>
      </c>
      <c r="D708" s="1" t="s">
        <v>4226</v>
      </c>
      <c r="E708" s="1" t="s">
        <v>4227</v>
      </c>
      <c r="F708" s="1" t="s">
        <v>4228</v>
      </c>
      <c r="G708" s="5" t="str">
        <f>IFERROR(__xludf.DUMMYFUNCTION("""COMPUTED_VALUE"""),"177🤙🏼The Message🤙🏼Michael Ansara🤙🏼Estrela 3")</f>
        <v>177🤙🏼The Message🤙🏼Michael Ansara🤙🏼Estrela 3</v>
      </c>
      <c r="H708" s="5">
        <f>IFERROR(__xludf.DUMMYFUNCTION("SPLiT(G708, ""🤙🏼"",FALSE,FALSE)"),177.0)</f>
        <v>177</v>
      </c>
      <c r="I708" s="5" t="str">
        <f>IFERROR(__xludf.DUMMYFUNCTION("""COMPUTED_VALUE"""),"The Message")</f>
        <v>The Message</v>
      </c>
      <c r="J708" s="5" t="str">
        <f>IFERROR(__xludf.DUMMYFUNCTION("""COMPUTED_VALUE"""),"Michael Ansara")</f>
        <v>Michael Ansara</v>
      </c>
      <c r="K708" s="5" t="str">
        <f>IFERROR(__xludf.DUMMYFUNCTION("""COMPUTED_VALUE"""),"Estrela 3")</f>
        <v>Estrela 3</v>
      </c>
      <c r="P708" s="5">
        <f>IFERROR(__xludf.DUMMYFUNCTION("""COMPUTED_VALUE"""),177.0)</f>
        <v>177</v>
      </c>
      <c r="Q708" s="5" t="str">
        <f>IFERROR(__xludf.DUMMYFUNCTION("""COMPUTED_VALUE"""),"The Message")</f>
        <v>The Message</v>
      </c>
      <c r="R708" s="5" t="str">
        <f>IFERROR(__xludf.DUMMYFUNCTION("""COMPUTED_VALUE"""),"Michael Ansara")</f>
        <v>Michael Ansara</v>
      </c>
      <c r="S708" s="5" t="str">
        <f>IFERROR(__xludf.DUMMYFUNCTION("""COMPUTED_VALUE"""),"Estrela 3")</f>
        <v>Estrela 3</v>
      </c>
    </row>
    <row r="709">
      <c r="A709" s="1">
        <v>708.0</v>
      </c>
      <c r="B709" s="1" t="s">
        <v>4229</v>
      </c>
      <c r="C709" s="1" t="s">
        <v>4232</v>
      </c>
      <c r="D709" s="1" t="s">
        <v>4233</v>
      </c>
      <c r="E709" s="1" t="s">
        <v>4234</v>
      </c>
      <c r="F709" s="1" t="s">
        <v>4235</v>
      </c>
      <c r="G709" s="5" t="str">
        <f>IFERROR(__xludf.DUMMYFUNCTION("""COMPUTED_VALUE"""),"177🤙🏼The Message🤙🏼Johnny Sekka🤙🏼Estrela 4")</f>
        <v>177🤙🏼The Message🤙🏼Johnny Sekka🤙🏼Estrela 4</v>
      </c>
      <c r="H709" s="5">
        <f>IFERROR(__xludf.DUMMYFUNCTION("SPLiT(G709, ""🤙🏼"",FALSE,FALSE)"),177.0)</f>
        <v>177</v>
      </c>
      <c r="I709" s="5" t="str">
        <f>IFERROR(__xludf.DUMMYFUNCTION("""COMPUTED_VALUE"""),"The Message")</f>
        <v>The Message</v>
      </c>
      <c r="J709" s="5" t="str">
        <f>IFERROR(__xludf.DUMMYFUNCTION("""COMPUTED_VALUE"""),"Johnny Sekka")</f>
        <v>Johnny Sekka</v>
      </c>
      <c r="K709" s="5" t="str">
        <f>IFERROR(__xludf.DUMMYFUNCTION("""COMPUTED_VALUE"""),"Estrela 4")</f>
        <v>Estrela 4</v>
      </c>
      <c r="P709" s="5">
        <f>IFERROR(__xludf.DUMMYFUNCTION("""COMPUTED_VALUE"""),177.0)</f>
        <v>177</v>
      </c>
      <c r="Q709" s="5" t="str">
        <f>IFERROR(__xludf.DUMMYFUNCTION("""COMPUTED_VALUE"""),"The Message")</f>
        <v>The Message</v>
      </c>
      <c r="R709" s="5" t="str">
        <f>IFERROR(__xludf.DUMMYFUNCTION("""COMPUTED_VALUE"""),"Johnny Sekka")</f>
        <v>Johnny Sekka</v>
      </c>
      <c r="S709" s="5" t="str">
        <f>IFERROR(__xludf.DUMMYFUNCTION("""COMPUTED_VALUE"""),"Estrela 4")</f>
        <v>Estrela 4</v>
      </c>
    </row>
    <row r="710">
      <c r="A710" s="1">
        <v>709.0</v>
      </c>
      <c r="B710" s="1" t="s">
        <v>4236</v>
      </c>
      <c r="C710" s="1" t="s">
        <v>4238</v>
      </c>
      <c r="D710" s="1" t="s">
        <v>4239</v>
      </c>
      <c r="E710" s="1" t="s">
        <v>4240</v>
      </c>
      <c r="F710" s="1" t="s">
        <v>4241</v>
      </c>
      <c r="G710" s="5" t="str">
        <f>IFERROR(__xludf.DUMMYFUNCTION("""COMPUTED_VALUE"""),"178🤙🏼Sholay🤙🏼Sanjeev Kumar🤙🏼Estrela 1")</f>
        <v>178🤙🏼Sholay🤙🏼Sanjeev Kumar🤙🏼Estrela 1</v>
      </c>
      <c r="H710" s="5">
        <f>IFERROR(__xludf.DUMMYFUNCTION("SPLiT(G710, ""🤙🏼"",FALSE,FALSE)"),178.0)</f>
        <v>178</v>
      </c>
      <c r="I710" s="5" t="str">
        <f>IFERROR(__xludf.DUMMYFUNCTION("""COMPUTED_VALUE"""),"Sholay")</f>
        <v>Sholay</v>
      </c>
      <c r="J710" s="5" t="str">
        <f>IFERROR(__xludf.DUMMYFUNCTION("""COMPUTED_VALUE"""),"Sanjeev Kumar")</f>
        <v>Sanjeev Kumar</v>
      </c>
      <c r="K710" s="5" t="str">
        <f>IFERROR(__xludf.DUMMYFUNCTION("""COMPUTED_VALUE"""),"Estrela 1")</f>
        <v>Estrela 1</v>
      </c>
      <c r="P710" s="5">
        <f>IFERROR(__xludf.DUMMYFUNCTION("""COMPUTED_VALUE"""),178.0)</f>
        <v>178</v>
      </c>
      <c r="Q710" s="5" t="str">
        <f>IFERROR(__xludf.DUMMYFUNCTION("""COMPUTED_VALUE"""),"Sholay")</f>
        <v>Sholay</v>
      </c>
      <c r="R710" s="5" t="str">
        <f>IFERROR(__xludf.DUMMYFUNCTION("""COMPUTED_VALUE"""),"Sanjeev Kumar")</f>
        <v>Sanjeev Kumar</v>
      </c>
      <c r="S710" s="5" t="str">
        <f>IFERROR(__xludf.DUMMYFUNCTION("""COMPUTED_VALUE"""),"Estrela 1")</f>
        <v>Estrela 1</v>
      </c>
    </row>
    <row r="711">
      <c r="A711" s="1">
        <v>710.0</v>
      </c>
      <c r="B711" s="1" t="s">
        <v>4242</v>
      </c>
      <c r="C711" s="1" t="s">
        <v>4244</v>
      </c>
      <c r="D711" s="1" t="s">
        <v>1985</v>
      </c>
      <c r="E711" s="1" t="s">
        <v>4245</v>
      </c>
      <c r="F711" s="1" t="s">
        <v>4246</v>
      </c>
      <c r="G711" s="5" t="str">
        <f>IFERROR(__xludf.DUMMYFUNCTION("""COMPUTED_VALUE"""),"178🤙🏼Sholay🤙🏼Dharmendra🤙🏼Estrela 2")</f>
        <v>178🤙🏼Sholay🤙🏼Dharmendra🤙🏼Estrela 2</v>
      </c>
      <c r="H711" s="5">
        <f>IFERROR(__xludf.DUMMYFUNCTION("SPLiT(G711, ""🤙🏼"",FALSE,FALSE)"),178.0)</f>
        <v>178</v>
      </c>
      <c r="I711" s="5" t="str">
        <f>IFERROR(__xludf.DUMMYFUNCTION("""COMPUTED_VALUE"""),"Sholay")</f>
        <v>Sholay</v>
      </c>
      <c r="J711" s="5" t="str">
        <f>IFERROR(__xludf.DUMMYFUNCTION("""COMPUTED_VALUE"""),"Dharmendra")</f>
        <v>Dharmendra</v>
      </c>
      <c r="K711" s="5" t="str">
        <f>IFERROR(__xludf.DUMMYFUNCTION("""COMPUTED_VALUE"""),"Estrela 2")</f>
        <v>Estrela 2</v>
      </c>
      <c r="P711" s="5">
        <f>IFERROR(__xludf.DUMMYFUNCTION("""COMPUTED_VALUE"""),178.0)</f>
        <v>178</v>
      </c>
      <c r="Q711" s="5" t="str">
        <f>IFERROR(__xludf.DUMMYFUNCTION("""COMPUTED_VALUE"""),"Sholay")</f>
        <v>Sholay</v>
      </c>
      <c r="R711" s="5" t="str">
        <f>IFERROR(__xludf.DUMMYFUNCTION("""COMPUTED_VALUE"""),"Dharmendra")</f>
        <v>Dharmendra</v>
      </c>
      <c r="S711" s="5" t="str">
        <f>IFERROR(__xludf.DUMMYFUNCTION("""COMPUTED_VALUE"""),"Estrela 2")</f>
        <v>Estrela 2</v>
      </c>
    </row>
    <row r="712">
      <c r="A712" s="1">
        <v>711.0</v>
      </c>
      <c r="B712" s="1" t="s">
        <v>4247</v>
      </c>
      <c r="C712" s="1" t="s">
        <v>409</v>
      </c>
      <c r="D712" s="1" t="s">
        <v>911</v>
      </c>
      <c r="E712" s="1" t="s">
        <v>2473</v>
      </c>
      <c r="F712" s="1" t="s">
        <v>276</v>
      </c>
      <c r="G712" s="5" t="str">
        <f>IFERROR(__xludf.DUMMYFUNCTION("""COMPUTED_VALUE"""),"178🤙🏼Sholay🤙🏼Amitabh Bachchan🤙🏼Estrela 3")</f>
        <v>178🤙🏼Sholay🤙🏼Amitabh Bachchan🤙🏼Estrela 3</v>
      </c>
      <c r="H712" s="5">
        <f>IFERROR(__xludf.DUMMYFUNCTION("SPLiT(G712, ""🤙🏼"",FALSE,FALSE)"),178.0)</f>
        <v>178</v>
      </c>
      <c r="I712" s="5" t="str">
        <f>IFERROR(__xludf.DUMMYFUNCTION("""COMPUTED_VALUE"""),"Sholay")</f>
        <v>Sholay</v>
      </c>
      <c r="J712" s="5" t="str">
        <f>IFERROR(__xludf.DUMMYFUNCTION("""COMPUTED_VALUE"""),"Amitabh Bachchan")</f>
        <v>Amitabh Bachchan</v>
      </c>
      <c r="K712" s="5" t="str">
        <f>IFERROR(__xludf.DUMMYFUNCTION("""COMPUTED_VALUE"""),"Estrela 3")</f>
        <v>Estrela 3</v>
      </c>
      <c r="P712" s="5">
        <f>IFERROR(__xludf.DUMMYFUNCTION("""COMPUTED_VALUE"""),178.0)</f>
        <v>178</v>
      </c>
      <c r="Q712" s="5" t="str">
        <f>IFERROR(__xludf.DUMMYFUNCTION("""COMPUTED_VALUE"""),"Sholay")</f>
        <v>Sholay</v>
      </c>
      <c r="R712" s="5" t="str">
        <f>IFERROR(__xludf.DUMMYFUNCTION("""COMPUTED_VALUE"""),"Amitabh Bachchan")</f>
        <v>Amitabh Bachchan</v>
      </c>
      <c r="S712" s="5" t="str">
        <f>IFERROR(__xludf.DUMMYFUNCTION("""COMPUTED_VALUE"""),"Estrela 3")</f>
        <v>Estrela 3</v>
      </c>
    </row>
    <row r="713">
      <c r="A713" s="1">
        <v>712.0</v>
      </c>
      <c r="B713" s="1" t="s">
        <v>4249</v>
      </c>
      <c r="C713" s="1" t="s">
        <v>409</v>
      </c>
      <c r="D713" s="1" t="s">
        <v>2473</v>
      </c>
      <c r="E713" s="1" t="s">
        <v>4252</v>
      </c>
      <c r="F713" s="1" t="s">
        <v>4253</v>
      </c>
      <c r="G713" s="5" t="str">
        <f>IFERROR(__xludf.DUMMYFUNCTION("""COMPUTED_VALUE"""),"178🤙🏼Sholay🤙🏼Amjad Khan🤙🏼Estrela 4")</f>
        <v>178🤙🏼Sholay🤙🏼Amjad Khan🤙🏼Estrela 4</v>
      </c>
      <c r="H713" s="5">
        <f>IFERROR(__xludf.DUMMYFUNCTION("SPLiT(G713, ""🤙🏼"",FALSE,FALSE)"),178.0)</f>
        <v>178</v>
      </c>
      <c r="I713" s="5" t="str">
        <f>IFERROR(__xludf.DUMMYFUNCTION("""COMPUTED_VALUE"""),"Sholay")</f>
        <v>Sholay</v>
      </c>
      <c r="J713" s="5" t="str">
        <f>IFERROR(__xludf.DUMMYFUNCTION("""COMPUTED_VALUE"""),"Amjad Khan")</f>
        <v>Amjad Khan</v>
      </c>
      <c r="K713" s="5" t="str">
        <f>IFERROR(__xludf.DUMMYFUNCTION("""COMPUTED_VALUE"""),"Estrela 4")</f>
        <v>Estrela 4</v>
      </c>
      <c r="P713" s="5">
        <f>IFERROR(__xludf.DUMMYFUNCTION("""COMPUTED_VALUE"""),178.0)</f>
        <v>178</v>
      </c>
      <c r="Q713" s="5" t="str">
        <f>IFERROR(__xludf.DUMMYFUNCTION("""COMPUTED_VALUE"""),"Sholay")</f>
        <v>Sholay</v>
      </c>
      <c r="R713" s="5" t="str">
        <f>IFERROR(__xludf.DUMMYFUNCTION("""COMPUTED_VALUE"""),"Amjad Khan")</f>
        <v>Amjad Khan</v>
      </c>
      <c r="S713" s="5" t="str">
        <f>IFERROR(__xludf.DUMMYFUNCTION("""COMPUTED_VALUE"""),"Estrela 4")</f>
        <v>Estrela 4</v>
      </c>
    </row>
    <row r="714">
      <c r="A714" s="1">
        <v>713.0</v>
      </c>
      <c r="B714" s="1" t="s">
        <v>4254</v>
      </c>
      <c r="C714" s="1" t="s">
        <v>2883</v>
      </c>
      <c r="D714" s="1" t="s">
        <v>917</v>
      </c>
      <c r="E714" s="1" t="s">
        <v>4257</v>
      </c>
      <c r="F714" s="1" t="s">
        <v>4258</v>
      </c>
      <c r="G714" s="5" t="str">
        <f>IFERROR(__xludf.DUMMYFUNCTION("""COMPUTED_VALUE"""),"179🤙🏼Monty Python and the Holy Grail🤙🏼Terry Jones🤙🏼Estrela 1")</f>
        <v>179🤙🏼Monty Python and the Holy Grail🤙🏼Terry Jones🤙🏼Estrela 1</v>
      </c>
      <c r="H714" s="5">
        <f>IFERROR(__xludf.DUMMYFUNCTION("SPLiT(G714, ""🤙🏼"",FALSE,FALSE)"),179.0)</f>
        <v>179</v>
      </c>
      <c r="I714" s="5" t="str">
        <f>IFERROR(__xludf.DUMMYFUNCTION("""COMPUTED_VALUE"""),"Monty Python and the Holy Grail")</f>
        <v>Monty Python and the Holy Grail</v>
      </c>
      <c r="J714" s="5" t="str">
        <f>IFERROR(__xludf.DUMMYFUNCTION("""COMPUTED_VALUE"""),"Terry Jones")</f>
        <v>Terry Jones</v>
      </c>
      <c r="K714" s="5" t="str">
        <f>IFERROR(__xludf.DUMMYFUNCTION("""COMPUTED_VALUE"""),"Estrela 1")</f>
        <v>Estrela 1</v>
      </c>
      <c r="P714" s="5">
        <f>IFERROR(__xludf.DUMMYFUNCTION("""COMPUTED_VALUE"""),179.0)</f>
        <v>179</v>
      </c>
      <c r="Q714" s="5" t="str">
        <f>IFERROR(__xludf.DUMMYFUNCTION("""COMPUTED_VALUE"""),"Monty Python and the Holy Grail")</f>
        <v>Monty Python and the Holy Grail</v>
      </c>
      <c r="R714" s="5" t="str">
        <f>IFERROR(__xludf.DUMMYFUNCTION("""COMPUTED_VALUE"""),"Terry Jones")</f>
        <v>Terry Jones</v>
      </c>
      <c r="S714" s="5" t="str">
        <f>IFERROR(__xludf.DUMMYFUNCTION("""COMPUTED_VALUE"""),"Estrela 1")</f>
        <v>Estrela 1</v>
      </c>
    </row>
    <row r="715">
      <c r="A715" s="1">
        <v>714.0</v>
      </c>
      <c r="B715" s="1" t="s">
        <v>4259</v>
      </c>
      <c r="C715" s="1" t="s">
        <v>1985</v>
      </c>
      <c r="D715" s="1" t="s">
        <v>4261</v>
      </c>
      <c r="E715" s="1" t="s">
        <v>4262</v>
      </c>
      <c r="F715" s="1" t="s">
        <v>2898</v>
      </c>
      <c r="G715" s="5" t="str">
        <f>IFERROR(__xludf.DUMMYFUNCTION("""COMPUTED_VALUE"""),"179🤙🏼Monty Python and the Holy Grail🤙🏼Graham Chapman🤙🏼Estrela 2")</f>
        <v>179🤙🏼Monty Python and the Holy Grail🤙🏼Graham Chapman🤙🏼Estrela 2</v>
      </c>
      <c r="H715" s="5">
        <f>IFERROR(__xludf.DUMMYFUNCTION("SPLiT(G715, ""🤙🏼"",FALSE,FALSE)"),179.0)</f>
        <v>179</v>
      </c>
      <c r="I715" s="5" t="str">
        <f>IFERROR(__xludf.DUMMYFUNCTION("""COMPUTED_VALUE"""),"Monty Python and the Holy Grail")</f>
        <v>Monty Python and the Holy Grail</v>
      </c>
      <c r="J715" s="5" t="str">
        <f>IFERROR(__xludf.DUMMYFUNCTION("""COMPUTED_VALUE"""),"Graham Chapman")</f>
        <v>Graham Chapman</v>
      </c>
      <c r="K715" s="5" t="str">
        <f>IFERROR(__xludf.DUMMYFUNCTION("""COMPUTED_VALUE"""),"Estrela 2")</f>
        <v>Estrela 2</v>
      </c>
      <c r="P715" s="5">
        <f>IFERROR(__xludf.DUMMYFUNCTION("""COMPUTED_VALUE"""),179.0)</f>
        <v>179</v>
      </c>
      <c r="Q715" s="5" t="str">
        <f>IFERROR(__xludf.DUMMYFUNCTION("""COMPUTED_VALUE"""),"Monty Python and the Holy Grail")</f>
        <v>Monty Python and the Holy Grail</v>
      </c>
      <c r="R715" s="5" t="str">
        <f>IFERROR(__xludf.DUMMYFUNCTION("""COMPUTED_VALUE"""),"Graham Chapman")</f>
        <v>Graham Chapman</v>
      </c>
      <c r="S715" s="5" t="str">
        <f>IFERROR(__xludf.DUMMYFUNCTION("""COMPUTED_VALUE"""),"Estrela 2")</f>
        <v>Estrela 2</v>
      </c>
    </row>
    <row r="716">
      <c r="A716" s="1">
        <v>715.0</v>
      </c>
      <c r="B716" s="1" t="s">
        <v>4263</v>
      </c>
      <c r="C716" s="1" t="s">
        <v>4265</v>
      </c>
      <c r="D716" s="1" t="s">
        <v>4235</v>
      </c>
      <c r="E716" s="1" t="s">
        <v>4266</v>
      </c>
      <c r="F716" s="1" t="s">
        <v>4267</v>
      </c>
      <c r="G716" s="5" t="str">
        <f>IFERROR(__xludf.DUMMYFUNCTION("""COMPUTED_VALUE"""),"179🤙🏼Monty Python and the Holy Grail🤙🏼John Cleese🤙🏼Estrela 3")</f>
        <v>179🤙🏼Monty Python and the Holy Grail🤙🏼John Cleese🤙🏼Estrela 3</v>
      </c>
      <c r="H716" s="5">
        <f>IFERROR(__xludf.DUMMYFUNCTION("SPLiT(G716, ""🤙🏼"",FALSE,FALSE)"),179.0)</f>
        <v>179</v>
      </c>
      <c r="I716" s="5" t="str">
        <f>IFERROR(__xludf.DUMMYFUNCTION("""COMPUTED_VALUE"""),"Monty Python and the Holy Grail")</f>
        <v>Monty Python and the Holy Grail</v>
      </c>
      <c r="J716" s="5" t="str">
        <f>IFERROR(__xludf.DUMMYFUNCTION("""COMPUTED_VALUE"""),"John Cleese")</f>
        <v>John Cleese</v>
      </c>
      <c r="K716" s="5" t="str">
        <f>IFERROR(__xludf.DUMMYFUNCTION("""COMPUTED_VALUE"""),"Estrela 3")</f>
        <v>Estrela 3</v>
      </c>
      <c r="P716" s="5">
        <f>IFERROR(__xludf.DUMMYFUNCTION("""COMPUTED_VALUE"""),179.0)</f>
        <v>179</v>
      </c>
      <c r="Q716" s="5" t="str">
        <f>IFERROR(__xludf.DUMMYFUNCTION("""COMPUTED_VALUE"""),"Monty Python and the Holy Grail")</f>
        <v>Monty Python and the Holy Grail</v>
      </c>
      <c r="R716" s="5" t="str">
        <f>IFERROR(__xludf.DUMMYFUNCTION("""COMPUTED_VALUE"""),"John Cleese")</f>
        <v>John Cleese</v>
      </c>
      <c r="S716" s="5" t="str">
        <f>IFERROR(__xludf.DUMMYFUNCTION("""COMPUTED_VALUE"""),"Estrela 3")</f>
        <v>Estrela 3</v>
      </c>
    </row>
    <row r="717">
      <c r="A717" s="1">
        <v>716.0</v>
      </c>
      <c r="B717" s="1" t="s">
        <v>4268</v>
      </c>
      <c r="C717" s="1" t="s">
        <v>3385</v>
      </c>
      <c r="D717" s="1" t="s">
        <v>873</v>
      </c>
      <c r="E717" s="1" t="s">
        <v>4272</v>
      </c>
      <c r="F717" s="1" t="s">
        <v>4273</v>
      </c>
      <c r="G717" s="5" t="str">
        <f>IFERROR(__xludf.DUMMYFUNCTION("""COMPUTED_VALUE"""),"179🤙🏼Monty Python and the Holy Grail🤙🏼Eric Idle🤙🏼Estrela 4")</f>
        <v>179🤙🏼Monty Python and the Holy Grail🤙🏼Eric Idle🤙🏼Estrela 4</v>
      </c>
      <c r="H717" s="5">
        <f>IFERROR(__xludf.DUMMYFUNCTION("SPLiT(G717, ""🤙🏼"",FALSE,FALSE)"),179.0)</f>
        <v>179</v>
      </c>
      <c r="I717" s="5" t="str">
        <f>IFERROR(__xludf.DUMMYFUNCTION("""COMPUTED_VALUE"""),"Monty Python and the Holy Grail")</f>
        <v>Monty Python and the Holy Grail</v>
      </c>
      <c r="J717" s="5" t="str">
        <f>IFERROR(__xludf.DUMMYFUNCTION("""COMPUTED_VALUE"""),"Eric Idle")</f>
        <v>Eric Idle</v>
      </c>
      <c r="K717" s="5" t="str">
        <f>IFERROR(__xludf.DUMMYFUNCTION("""COMPUTED_VALUE"""),"Estrela 4")</f>
        <v>Estrela 4</v>
      </c>
      <c r="P717" s="5">
        <f>IFERROR(__xludf.DUMMYFUNCTION("""COMPUTED_VALUE"""),179.0)</f>
        <v>179</v>
      </c>
      <c r="Q717" s="5" t="str">
        <f>IFERROR(__xludf.DUMMYFUNCTION("""COMPUTED_VALUE"""),"Monty Python and the Holy Grail")</f>
        <v>Monty Python and the Holy Grail</v>
      </c>
      <c r="R717" s="5" t="str">
        <f>IFERROR(__xludf.DUMMYFUNCTION("""COMPUTED_VALUE"""),"Eric Idle")</f>
        <v>Eric Idle</v>
      </c>
      <c r="S717" s="5" t="str">
        <f>IFERROR(__xludf.DUMMYFUNCTION("""COMPUTED_VALUE"""),"Estrela 4")</f>
        <v>Estrela 4</v>
      </c>
    </row>
    <row r="718">
      <c r="A718" s="1">
        <v>717.0</v>
      </c>
      <c r="B718" s="1" t="s">
        <v>4274</v>
      </c>
      <c r="C718" s="1" t="s">
        <v>4278</v>
      </c>
      <c r="D718" s="1" t="s">
        <v>614</v>
      </c>
      <c r="E718" s="1" t="s">
        <v>4279</v>
      </c>
      <c r="F718" s="1" t="s">
        <v>2855</v>
      </c>
      <c r="G718" s="5" t="str">
        <f>IFERROR(__xludf.DUMMYFUNCTION("""COMPUTED_VALUE"""),"180🤙🏼The Great Escape🤙🏼Steve McQueen🤙🏼Estrela 1")</f>
        <v>180🤙🏼The Great Escape🤙🏼Steve McQueen🤙🏼Estrela 1</v>
      </c>
      <c r="H718" s="5">
        <f>IFERROR(__xludf.DUMMYFUNCTION("SPLiT(G718, ""🤙🏼"",FALSE,FALSE)"),180.0)</f>
        <v>180</v>
      </c>
      <c r="I718" s="5" t="str">
        <f>IFERROR(__xludf.DUMMYFUNCTION("""COMPUTED_VALUE"""),"The Great Escape")</f>
        <v>The Great Escape</v>
      </c>
      <c r="J718" s="5" t="str">
        <f>IFERROR(__xludf.DUMMYFUNCTION("""COMPUTED_VALUE"""),"Steve McQueen")</f>
        <v>Steve McQueen</v>
      </c>
      <c r="K718" s="5" t="str">
        <f>IFERROR(__xludf.DUMMYFUNCTION("""COMPUTED_VALUE"""),"Estrela 1")</f>
        <v>Estrela 1</v>
      </c>
      <c r="P718" s="5">
        <f>IFERROR(__xludf.DUMMYFUNCTION("""COMPUTED_VALUE"""),180.0)</f>
        <v>180</v>
      </c>
      <c r="Q718" s="5" t="str">
        <f>IFERROR(__xludf.DUMMYFUNCTION("""COMPUTED_VALUE"""),"The Great Escape")</f>
        <v>The Great Escape</v>
      </c>
      <c r="R718" s="5" t="str">
        <f>IFERROR(__xludf.DUMMYFUNCTION("""COMPUTED_VALUE"""),"Steve McQueen")</f>
        <v>Steve McQueen</v>
      </c>
      <c r="S718" s="5" t="str">
        <f>IFERROR(__xludf.DUMMYFUNCTION("""COMPUTED_VALUE"""),"Estrela 1")</f>
        <v>Estrela 1</v>
      </c>
    </row>
    <row r="719">
      <c r="A719" s="1">
        <v>718.0</v>
      </c>
      <c r="B719" s="1" t="s">
        <v>4280</v>
      </c>
      <c r="C719" s="1" t="s">
        <v>3489</v>
      </c>
      <c r="D719" s="1" t="s">
        <v>3491</v>
      </c>
      <c r="E719" s="1" t="s">
        <v>3490</v>
      </c>
      <c r="F719" s="1" t="s">
        <v>4286</v>
      </c>
      <c r="G719" s="5" t="str">
        <f>IFERROR(__xludf.DUMMYFUNCTION("""COMPUTED_VALUE"""),"180🤙🏼The Great Escape🤙🏼James Garner🤙🏼Estrela 2")</f>
        <v>180🤙🏼The Great Escape🤙🏼James Garner🤙🏼Estrela 2</v>
      </c>
      <c r="H719" s="5">
        <f>IFERROR(__xludf.DUMMYFUNCTION("SPLiT(G719, ""🤙🏼"",FALSE,FALSE)"),180.0)</f>
        <v>180</v>
      </c>
      <c r="I719" s="5" t="str">
        <f>IFERROR(__xludf.DUMMYFUNCTION("""COMPUTED_VALUE"""),"The Great Escape")</f>
        <v>The Great Escape</v>
      </c>
      <c r="J719" s="5" t="str">
        <f>IFERROR(__xludf.DUMMYFUNCTION("""COMPUTED_VALUE"""),"James Garner")</f>
        <v>James Garner</v>
      </c>
      <c r="K719" s="5" t="str">
        <f>IFERROR(__xludf.DUMMYFUNCTION("""COMPUTED_VALUE"""),"Estrela 2")</f>
        <v>Estrela 2</v>
      </c>
      <c r="P719" s="5">
        <f>IFERROR(__xludf.DUMMYFUNCTION("""COMPUTED_VALUE"""),180.0)</f>
        <v>180</v>
      </c>
      <c r="Q719" s="5" t="str">
        <f>IFERROR(__xludf.DUMMYFUNCTION("""COMPUTED_VALUE"""),"The Great Escape")</f>
        <v>The Great Escape</v>
      </c>
      <c r="R719" s="5" t="str">
        <f>IFERROR(__xludf.DUMMYFUNCTION("""COMPUTED_VALUE"""),"James Garner")</f>
        <v>James Garner</v>
      </c>
      <c r="S719" s="5" t="str">
        <f>IFERROR(__xludf.DUMMYFUNCTION("""COMPUTED_VALUE"""),"Estrela 2")</f>
        <v>Estrela 2</v>
      </c>
    </row>
    <row r="720">
      <c r="A720" s="1">
        <v>719.0</v>
      </c>
      <c r="B720" s="1" t="s">
        <v>4287</v>
      </c>
      <c r="C720" s="1" t="s">
        <v>4289</v>
      </c>
      <c r="D720" s="1" t="s">
        <v>4290</v>
      </c>
      <c r="E720" s="1" t="s">
        <v>4291</v>
      </c>
      <c r="F720" s="1" t="s">
        <v>4292</v>
      </c>
      <c r="G720" s="5" t="str">
        <f>IFERROR(__xludf.DUMMYFUNCTION("""COMPUTED_VALUE"""),"180🤙🏼The Great Escape🤙🏼Richard Attenborough🤙🏼Estrela 3")</f>
        <v>180🤙🏼The Great Escape🤙🏼Richard Attenborough🤙🏼Estrela 3</v>
      </c>
      <c r="H720" s="5">
        <f>IFERROR(__xludf.DUMMYFUNCTION("SPLiT(G720, ""🤙🏼"",FALSE,FALSE)"),180.0)</f>
        <v>180</v>
      </c>
      <c r="I720" s="5" t="str">
        <f>IFERROR(__xludf.DUMMYFUNCTION("""COMPUTED_VALUE"""),"The Great Escape")</f>
        <v>The Great Escape</v>
      </c>
      <c r="J720" s="5" t="str">
        <f>IFERROR(__xludf.DUMMYFUNCTION("""COMPUTED_VALUE"""),"Richard Attenborough")</f>
        <v>Richard Attenborough</v>
      </c>
      <c r="K720" s="5" t="str">
        <f>IFERROR(__xludf.DUMMYFUNCTION("""COMPUTED_VALUE"""),"Estrela 3")</f>
        <v>Estrela 3</v>
      </c>
      <c r="P720" s="5">
        <f>IFERROR(__xludf.DUMMYFUNCTION("""COMPUTED_VALUE"""),180.0)</f>
        <v>180</v>
      </c>
      <c r="Q720" s="5" t="str">
        <f>IFERROR(__xludf.DUMMYFUNCTION("""COMPUTED_VALUE"""),"The Great Escape")</f>
        <v>The Great Escape</v>
      </c>
      <c r="R720" s="5" t="str">
        <f>IFERROR(__xludf.DUMMYFUNCTION("""COMPUTED_VALUE"""),"Richard Attenborough")</f>
        <v>Richard Attenborough</v>
      </c>
      <c r="S720" s="5" t="str">
        <f>IFERROR(__xludf.DUMMYFUNCTION("""COMPUTED_VALUE"""),"Estrela 3")</f>
        <v>Estrela 3</v>
      </c>
    </row>
    <row r="721">
      <c r="A721" s="1">
        <v>720.0</v>
      </c>
      <c r="B721" s="1" t="s">
        <v>4293</v>
      </c>
      <c r="C721" s="1" t="s">
        <v>4279</v>
      </c>
      <c r="D721" s="1" t="s">
        <v>4296</v>
      </c>
      <c r="E721" s="1" t="s">
        <v>4278</v>
      </c>
      <c r="F721" s="1" t="s">
        <v>4297</v>
      </c>
      <c r="G721" s="5" t="str">
        <f>IFERROR(__xludf.DUMMYFUNCTION("""COMPUTED_VALUE"""),"180🤙🏼The Great Escape🤙🏼Charles Bronson🤙🏼Estrela 4")</f>
        <v>180🤙🏼The Great Escape🤙🏼Charles Bronson🤙🏼Estrela 4</v>
      </c>
      <c r="H721" s="5">
        <f>IFERROR(__xludf.DUMMYFUNCTION("SPLiT(G721, ""🤙🏼"",FALSE,FALSE)"),180.0)</f>
        <v>180</v>
      </c>
      <c r="I721" s="5" t="str">
        <f>IFERROR(__xludf.DUMMYFUNCTION("""COMPUTED_VALUE"""),"The Great Escape")</f>
        <v>The Great Escape</v>
      </c>
      <c r="J721" s="5" t="str">
        <f>IFERROR(__xludf.DUMMYFUNCTION("""COMPUTED_VALUE"""),"Charles Bronson")</f>
        <v>Charles Bronson</v>
      </c>
      <c r="K721" s="5" t="str">
        <f>IFERROR(__xludf.DUMMYFUNCTION("""COMPUTED_VALUE"""),"Estrela 4")</f>
        <v>Estrela 4</v>
      </c>
      <c r="P721" s="5">
        <f>IFERROR(__xludf.DUMMYFUNCTION("""COMPUTED_VALUE"""),180.0)</f>
        <v>180</v>
      </c>
      <c r="Q721" s="5" t="str">
        <f>IFERROR(__xludf.DUMMYFUNCTION("""COMPUTED_VALUE"""),"The Great Escape")</f>
        <v>The Great Escape</v>
      </c>
      <c r="R721" s="5" t="str">
        <f>IFERROR(__xludf.DUMMYFUNCTION("""COMPUTED_VALUE"""),"Charles Bronson")</f>
        <v>Charles Bronson</v>
      </c>
      <c r="S721" s="5" t="str">
        <f>IFERROR(__xludf.DUMMYFUNCTION("""COMPUTED_VALUE"""),"Estrela 4")</f>
        <v>Estrela 4</v>
      </c>
    </row>
    <row r="722">
      <c r="A722" s="1">
        <v>721.0</v>
      </c>
      <c r="B722" s="1" t="s">
        <v>4298</v>
      </c>
      <c r="C722" s="1" t="s">
        <v>4300</v>
      </c>
      <c r="D722" s="1" t="s">
        <v>4301</v>
      </c>
      <c r="E722" s="1" t="s">
        <v>4302</v>
      </c>
      <c r="F722" s="1" t="s">
        <v>4303</v>
      </c>
      <c r="G722" s="5" t="str">
        <f>IFERROR(__xludf.DUMMYFUNCTION("""COMPUTED_VALUE"""),"181🤙🏼To Kill a Mockingbird🤙🏼Gregory Peck🤙🏼Estrela 1")</f>
        <v>181🤙🏼To Kill a Mockingbird🤙🏼Gregory Peck🤙🏼Estrela 1</v>
      </c>
      <c r="H722" s="5">
        <f>IFERROR(__xludf.DUMMYFUNCTION("SPLiT(G722, ""🤙🏼"",FALSE,FALSE)"),181.0)</f>
        <v>181</v>
      </c>
      <c r="I722" s="5" t="str">
        <f>IFERROR(__xludf.DUMMYFUNCTION("""COMPUTED_VALUE"""),"To Kill a Mockingbird")</f>
        <v>To Kill a Mockingbird</v>
      </c>
      <c r="J722" s="5" t="str">
        <f>IFERROR(__xludf.DUMMYFUNCTION("""COMPUTED_VALUE"""),"Gregory Peck")</f>
        <v>Gregory Peck</v>
      </c>
      <c r="K722" s="5" t="str">
        <f>IFERROR(__xludf.DUMMYFUNCTION("""COMPUTED_VALUE"""),"Estrela 1")</f>
        <v>Estrela 1</v>
      </c>
      <c r="P722" s="5">
        <f>IFERROR(__xludf.DUMMYFUNCTION("""COMPUTED_VALUE"""),181.0)</f>
        <v>181</v>
      </c>
      <c r="Q722" s="5" t="str">
        <f>IFERROR(__xludf.DUMMYFUNCTION("""COMPUTED_VALUE"""),"To Kill a Mockingbird")</f>
        <v>To Kill a Mockingbird</v>
      </c>
      <c r="R722" s="5" t="str">
        <f>IFERROR(__xludf.DUMMYFUNCTION("""COMPUTED_VALUE"""),"Gregory Peck")</f>
        <v>Gregory Peck</v>
      </c>
      <c r="S722" s="5" t="str">
        <f>IFERROR(__xludf.DUMMYFUNCTION("""COMPUTED_VALUE"""),"Estrela 1")</f>
        <v>Estrela 1</v>
      </c>
    </row>
    <row r="723">
      <c r="A723" s="1">
        <v>722.0</v>
      </c>
      <c r="B723" s="1" t="s">
        <v>4304</v>
      </c>
      <c r="C723" s="1" t="s">
        <v>4307</v>
      </c>
      <c r="D723" s="1" t="s">
        <v>4308</v>
      </c>
      <c r="E723" s="1" t="s">
        <v>4309</v>
      </c>
      <c r="F723" s="1" t="s">
        <v>4310</v>
      </c>
      <c r="G723" s="5" t="str">
        <f>IFERROR(__xludf.DUMMYFUNCTION("""COMPUTED_VALUE"""),"181🤙🏼To Kill a Mockingbird🤙🏼John Megna🤙🏼Estrela 2")</f>
        <v>181🤙🏼To Kill a Mockingbird🤙🏼John Megna🤙🏼Estrela 2</v>
      </c>
      <c r="H723" s="5">
        <f>IFERROR(__xludf.DUMMYFUNCTION("SPLiT(G723, ""🤙🏼"",FALSE,FALSE)"),181.0)</f>
        <v>181</v>
      </c>
      <c r="I723" s="5" t="str">
        <f>IFERROR(__xludf.DUMMYFUNCTION("""COMPUTED_VALUE"""),"To Kill a Mockingbird")</f>
        <v>To Kill a Mockingbird</v>
      </c>
      <c r="J723" s="5" t="str">
        <f>IFERROR(__xludf.DUMMYFUNCTION("""COMPUTED_VALUE"""),"John Megna")</f>
        <v>John Megna</v>
      </c>
      <c r="K723" s="5" t="str">
        <f>IFERROR(__xludf.DUMMYFUNCTION("""COMPUTED_VALUE"""),"Estrela 2")</f>
        <v>Estrela 2</v>
      </c>
      <c r="P723" s="5">
        <f>IFERROR(__xludf.DUMMYFUNCTION("""COMPUTED_VALUE"""),181.0)</f>
        <v>181</v>
      </c>
      <c r="Q723" s="5" t="str">
        <f>IFERROR(__xludf.DUMMYFUNCTION("""COMPUTED_VALUE"""),"To Kill a Mockingbird")</f>
        <v>To Kill a Mockingbird</v>
      </c>
      <c r="R723" s="5" t="str">
        <f>IFERROR(__xludf.DUMMYFUNCTION("""COMPUTED_VALUE"""),"John Megna")</f>
        <v>John Megna</v>
      </c>
      <c r="S723" s="5" t="str">
        <f>IFERROR(__xludf.DUMMYFUNCTION("""COMPUTED_VALUE"""),"Estrela 2")</f>
        <v>Estrela 2</v>
      </c>
    </row>
    <row r="724">
      <c r="A724" s="1">
        <v>723.0</v>
      </c>
      <c r="B724" s="1" t="s">
        <v>4311</v>
      </c>
      <c r="C724" s="1" t="s">
        <v>2291</v>
      </c>
      <c r="D724" s="1" t="s">
        <v>1616</v>
      </c>
      <c r="E724" s="1" t="s">
        <v>2292</v>
      </c>
      <c r="F724" s="1" t="s">
        <v>2978</v>
      </c>
      <c r="G724" s="5" t="str">
        <f>IFERROR(__xludf.DUMMYFUNCTION("""COMPUTED_VALUE"""),"181🤙🏼To Kill a Mockingbird🤙🏼Frank Overton🤙🏼Estrela 3")</f>
        <v>181🤙🏼To Kill a Mockingbird🤙🏼Frank Overton🤙🏼Estrela 3</v>
      </c>
      <c r="H724" s="5">
        <f>IFERROR(__xludf.DUMMYFUNCTION("SPLiT(G724, ""🤙🏼"",FALSE,FALSE)"),181.0)</f>
        <v>181</v>
      </c>
      <c r="I724" s="5" t="str">
        <f>IFERROR(__xludf.DUMMYFUNCTION("""COMPUTED_VALUE"""),"To Kill a Mockingbird")</f>
        <v>To Kill a Mockingbird</v>
      </c>
      <c r="J724" s="5" t="str">
        <f>IFERROR(__xludf.DUMMYFUNCTION("""COMPUTED_VALUE"""),"Frank Overton")</f>
        <v>Frank Overton</v>
      </c>
      <c r="K724" s="5" t="str">
        <f>IFERROR(__xludf.DUMMYFUNCTION("""COMPUTED_VALUE"""),"Estrela 3")</f>
        <v>Estrela 3</v>
      </c>
      <c r="P724" s="5">
        <f>IFERROR(__xludf.DUMMYFUNCTION("""COMPUTED_VALUE"""),181.0)</f>
        <v>181</v>
      </c>
      <c r="Q724" s="5" t="str">
        <f>IFERROR(__xludf.DUMMYFUNCTION("""COMPUTED_VALUE"""),"To Kill a Mockingbird")</f>
        <v>To Kill a Mockingbird</v>
      </c>
      <c r="R724" s="5" t="str">
        <f>IFERROR(__xludf.DUMMYFUNCTION("""COMPUTED_VALUE"""),"Frank Overton")</f>
        <v>Frank Overton</v>
      </c>
      <c r="S724" s="5" t="str">
        <f>IFERROR(__xludf.DUMMYFUNCTION("""COMPUTED_VALUE"""),"Estrela 3")</f>
        <v>Estrela 3</v>
      </c>
    </row>
    <row r="725">
      <c r="A725" s="1">
        <v>724.0</v>
      </c>
      <c r="B725" s="1" t="s">
        <v>4314</v>
      </c>
      <c r="C725" s="1" t="s">
        <v>4317</v>
      </c>
      <c r="D725" s="1" t="s">
        <v>2339</v>
      </c>
      <c r="E725" s="1" t="s">
        <v>4318</v>
      </c>
      <c r="F725" s="1" t="s">
        <v>4319</v>
      </c>
      <c r="G725" s="5" t="str">
        <f>IFERROR(__xludf.DUMMYFUNCTION("""COMPUTED_VALUE"""),"181🤙🏼To Kill a Mockingbird🤙🏼Rosemary Murphy🤙🏼Estrela 4")</f>
        <v>181🤙🏼To Kill a Mockingbird🤙🏼Rosemary Murphy🤙🏼Estrela 4</v>
      </c>
      <c r="H725" s="5">
        <f>IFERROR(__xludf.DUMMYFUNCTION("SPLiT(G725, ""🤙🏼"",FALSE,FALSE)"),181.0)</f>
        <v>181</v>
      </c>
      <c r="I725" s="5" t="str">
        <f>IFERROR(__xludf.DUMMYFUNCTION("""COMPUTED_VALUE"""),"To Kill a Mockingbird")</f>
        <v>To Kill a Mockingbird</v>
      </c>
      <c r="J725" s="5" t="str">
        <f>IFERROR(__xludf.DUMMYFUNCTION("""COMPUTED_VALUE"""),"Rosemary Murphy")</f>
        <v>Rosemary Murphy</v>
      </c>
      <c r="K725" s="5" t="str">
        <f>IFERROR(__xludf.DUMMYFUNCTION("""COMPUTED_VALUE"""),"Estrela 4")</f>
        <v>Estrela 4</v>
      </c>
      <c r="P725" s="5">
        <f>IFERROR(__xludf.DUMMYFUNCTION("""COMPUTED_VALUE"""),181.0)</f>
        <v>181</v>
      </c>
      <c r="Q725" s="5" t="str">
        <f>IFERROR(__xludf.DUMMYFUNCTION("""COMPUTED_VALUE"""),"To Kill a Mockingbird")</f>
        <v>To Kill a Mockingbird</v>
      </c>
      <c r="R725" s="5" t="str">
        <f>IFERROR(__xludf.DUMMYFUNCTION("""COMPUTED_VALUE"""),"Rosemary Murphy")</f>
        <v>Rosemary Murphy</v>
      </c>
      <c r="S725" s="5" t="str">
        <f>IFERROR(__xludf.DUMMYFUNCTION("""COMPUTED_VALUE"""),"Estrela 4")</f>
        <v>Estrela 4</v>
      </c>
    </row>
    <row r="726">
      <c r="A726" s="1">
        <v>725.0</v>
      </c>
      <c r="B726" s="1" t="s">
        <v>4320</v>
      </c>
      <c r="C726" s="1" t="s">
        <v>4323</v>
      </c>
      <c r="D726" s="1" t="s">
        <v>4324</v>
      </c>
      <c r="E726" s="1" t="s">
        <v>4325</v>
      </c>
      <c r="F726" s="1" t="s">
        <v>1608</v>
      </c>
      <c r="G726" s="5" t="str">
        <f>IFERROR(__xludf.DUMMYFUNCTION("""COMPUTED_VALUE"""),"182🤙🏼Yôjinbô🤙🏼Toshirô Mifune🤙🏼Estrela 1")</f>
        <v>182🤙🏼Yôjinbô🤙🏼Toshirô Mifune🤙🏼Estrela 1</v>
      </c>
      <c r="H726" s="5">
        <f>IFERROR(__xludf.DUMMYFUNCTION("SPLiT(G726, ""🤙🏼"",FALSE,FALSE)"),182.0)</f>
        <v>182</v>
      </c>
      <c r="I726" s="5" t="str">
        <f>IFERROR(__xludf.DUMMYFUNCTION("""COMPUTED_VALUE"""),"Yôjinbô")</f>
        <v>Yôjinbô</v>
      </c>
      <c r="J726" s="5" t="str">
        <f>IFERROR(__xludf.DUMMYFUNCTION("""COMPUTED_VALUE"""),"Toshirô Mifune")</f>
        <v>Toshirô Mifune</v>
      </c>
      <c r="K726" s="5" t="str">
        <f>IFERROR(__xludf.DUMMYFUNCTION("""COMPUTED_VALUE"""),"Estrela 1")</f>
        <v>Estrela 1</v>
      </c>
      <c r="P726" s="5">
        <f>IFERROR(__xludf.DUMMYFUNCTION("""COMPUTED_VALUE"""),182.0)</f>
        <v>182</v>
      </c>
      <c r="Q726" s="5" t="str">
        <f>IFERROR(__xludf.DUMMYFUNCTION("""COMPUTED_VALUE"""),"Yôjinbô")</f>
        <v>Yôjinbô</v>
      </c>
      <c r="R726" s="5" t="str">
        <f>IFERROR(__xludf.DUMMYFUNCTION("""COMPUTED_VALUE"""),"Toshirô Mifune")</f>
        <v>Toshirô Mifune</v>
      </c>
      <c r="S726" s="5" t="str">
        <f>IFERROR(__xludf.DUMMYFUNCTION("""COMPUTED_VALUE"""),"Estrela 1")</f>
        <v>Estrela 1</v>
      </c>
    </row>
    <row r="727">
      <c r="A727" s="1">
        <v>726.0</v>
      </c>
      <c r="B727" s="1" t="s">
        <v>4326</v>
      </c>
      <c r="C727" s="1" t="s">
        <v>2486</v>
      </c>
      <c r="D727" s="1" t="s">
        <v>4329</v>
      </c>
      <c r="E727" s="1" t="s">
        <v>4330</v>
      </c>
      <c r="F727" s="1" t="s">
        <v>3102</v>
      </c>
      <c r="G727" s="5" t="str">
        <f>IFERROR(__xludf.DUMMYFUNCTION("""COMPUTED_VALUE"""),"182🤙🏼Yôjinbô🤙🏼Eijirô Tôno🤙🏼Estrela 2")</f>
        <v>182🤙🏼Yôjinbô🤙🏼Eijirô Tôno🤙🏼Estrela 2</v>
      </c>
      <c r="H727" s="5">
        <f>IFERROR(__xludf.DUMMYFUNCTION("SPLiT(G727, ""🤙🏼"",FALSE,FALSE)"),182.0)</f>
        <v>182</v>
      </c>
      <c r="I727" s="5" t="str">
        <f>IFERROR(__xludf.DUMMYFUNCTION("""COMPUTED_VALUE"""),"Yôjinbô")</f>
        <v>Yôjinbô</v>
      </c>
      <c r="J727" s="5" t="str">
        <f>IFERROR(__xludf.DUMMYFUNCTION("""COMPUTED_VALUE"""),"Eijirô Tôno")</f>
        <v>Eijirô Tôno</v>
      </c>
      <c r="K727" s="5" t="str">
        <f>IFERROR(__xludf.DUMMYFUNCTION("""COMPUTED_VALUE"""),"Estrela 2")</f>
        <v>Estrela 2</v>
      </c>
      <c r="P727" s="5">
        <f>IFERROR(__xludf.DUMMYFUNCTION("""COMPUTED_VALUE"""),182.0)</f>
        <v>182</v>
      </c>
      <c r="Q727" s="5" t="str">
        <f>IFERROR(__xludf.DUMMYFUNCTION("""COMPUTED_VALUE"""),"Yôjinbô")</f>
        <v>Yôjinbô</v>
      </c>
      <c r="R727" s="5" t="str">
        <f>IFERROR(__xludf.DUMMYFUNCTION("""COMPUTED_VALUE"""),"Eijirô Tôno")</f>
        <v>Eijirô Tôno</v>
      </c>
      <c r="S727" s="5" t="str">
        <f>IFERROR(__xludf.DUMMYFUNCTION("""COMPUTED_VALUE"""),"Estrela 2")</f>
        <v>Estrela 2</v>
      </c>
    </row>
    <row r="728">
      <c r="A728" s="1">
        <v>727.0</v>
      </c>
      <c r="B728" s="1" t="s">
        <v>4331</v>
      </c>
      <c r="C728" s="1" t="s">
        <v>4334</v>
      </c>
      <c r="D728" s="1" t="s">
        <v>4335</v>
      </c>
      <c r="E728" s="1" t="s">
        <v>4336</v>
      </c>
      <c r="F728" s="1" t="s">
        <v>4337</v>
      </c>
      <c r="G728" s="5" t="str">
        <f>IFERROR(__xludf.DUMMYFUNCTION("""COMPUTED_VALUE"""),"182🤙🏼Yôjinbô🤙🏼Tatsuya Nakadai🤙🏼Estrela 3")</f>
        <v>182🤙🏼Yôjinbô🤙🏼Tatsuya Nakadai🤙🏼Estrela 3</v>
      </c>
      <c r="H728" s="5">
        <f>IFERROR(__xludf.DUMMYFUNCTION("SPLiT(G728, ""🤙🏼"",FALSE,FALSE)"),182.0)</f>
        <v>182</v>
      </c>
      <c r="I728" s="5" t="str">
        <f>IFERROR(__xludf.DUMMYFUNCTION("""COMPUTED_VALUE"""),"Yôjinbô")</f>
        <v>Yôjinbô</v>
      </c>
      <c r="J728" s="5" t="str">
        <f>IFERROR(__xludf.DUMMYFUNCTION("""COMPUTED_VALUE"""),"Tatsuya Nakadai")</f>
        <v>Tatsuya Nakadai</v>
      </c>
      <c r="K728" s="5" t="str">
        <f>IFERROR(__xludf.DUMMYFUNCTION("""COMPUTED_VALUE"""),"Estrela 3")</f>
        <v>Estrela 3</v>
      </c>
      <c r="P728" s="5">
        <f>IFERROR(__xludf.DUMMYFUNCTION("""COMPUTED_VALUE"""),182.0)</f>
        <v>182</v>
      </c>
      <c r="Q728" s="5" t="str">
        <f>IFERROR(__xludf.DUMMYFUNCTION("""COMPUTED_VALUE"""),"Yôjinbô")</f>
        <v>Yôjinbô</v>
      </c>
      <c r="R728" s="5" t="str">
        <f>IFERROR(__xludf.DUMMYFUNCTION("""COMPUTED_VALUE"""),"Tatsuya Nakadai")</f>
        <v>Tatsuya Nakadai</v>
      </c>
      <c r="S728" s="5" t="str">
        <f>IFERROR(__xludf.DUMMYFUNCTION("""COMPUTED_VALUE"""),"Estrela 3")</f>
        <v>Estrela 3</v>
      </c>
    </row>
    <row r="729">
      <c r="A729" s="1">
        <v>728.0</v>
      </c>
      <c r="B729" s="1" t="s">
        <v>4338</v>
      </c>
      <c r="C729" s="1" t="s">
        <v>2977</v>
      </c>
      <c r="D729" s="1" t="s">
        <v>4340</v>
      </c>
      <c r="E729" s="1" t="s">
        <v>2977</v>
      </c>
      <c r="F729" s="1" t="s">
        <v>4341</v>
      </c>
      <c r="G729" s="5" t="str">
        <f>IFERROR(__xludf.DUMMYFUNCTION("""COMPUTED_VALUE"""),"182🤙🏼Yôjinbô🤙🏼Yôko Tsukasa🤙🏼Estrela 4")</f>
        <v>182🤙🏼Yôjinbô🤙🏼Yôko Tsukasa🤙🏼Estrela 4</v>
      </c>
      <c r="H729" s="5">
        <f>IFERROR(__xludf.DUMMYFUNCTION("SPLiT(G729, ""🤙🏼"",FALSE,FALSE)"),182.0)</f>
        <v>182</v>
      </c>
      <c r="I729" s="5" t="str">
        <f>IFERROR(__xludf.DUMMYFUNCTION("""COMPUTED_VALUE"""),"Yôjinbô")</f>
        <v>Yôjinbô</v>
      </c>
      <c r="J729" s="5" t="str">
        <f>IFERROR(__xludf.DUMMYFUNCTION("""COMPUTED_VALUE"""),"Yôko Tsukasa")</f>
        <v>Yôko Tsukasa</v>
      </c>
      <c r="K729" s="5" t="str">
        <f>IFERROR(__xludf.DUMMYFUNCTION("""COMPUTED_VALUE"""),"Estrela 4")</f>
        <v>Estrela 4</v>
      </c>
      <c r="P729" s="5">
        <f>IFERROR(__xludf.DUMMYFUNCTION("""COMPUTED_VALUE"""),182.0)</f>
        <v>182</v>
      </c>
      <c r="Q729" s="5" t="str">
        <f>IFERROR(__xludf.DUMMYFUNCTION("""COMPUTED_VALUE"""),"Yôjinbô")</f>
        <v>Yôjinbô</v>
      </c>
      <c r="R729" s="5" t="str">
        <f>IFERROR(__xludf.DUMMYFUNCTION("""COMPUTED_VALUE"""),"Yôko Tsukasa")</f>
        <v>Yôko Tsukasa</v>
      </c>
      <c r="S729" s="5" t="str">
        <f>IFERROR(__xludf.DUMMYFUNCTION("""COMPUTED_VALUE"""),"Estrela 4")</f>
        <v>Estrela 4</v>
      </c>
    </row>
    <row r="730">
      <c r="A730" s="1">
        <v>729.0</v>
      </c>
      <c r="B730" s="1" t="s">
        <v>4342</v>
      </c>
      <c r="C730" s="1" t="s">
        <v>4345</v>
      </c>
      <c r="D730" s="1" t="s">
        <v>4346</v>
      </c>
      <c r="E730" s="1" t="s">
        <v>4347</v>
      </c>
      <c r="F730" s="1" t="s">
        <v>4348</v>
      </c>
      <c r="G730" s="5" t="str">
        <f>IFERROR(__xludf.DUMMYFUNCTION("""COMPUTED_VALUE"""),"183🤙🏼Judgment at Nuremberg🤙🏼Spencer Tracy🤙🏼Estrela 1")</f>
        <v>183🤙🏼Judgment at Nuremberg🤙🏼Spencer Tracy🤙🏼Estrela 1</v>
      </c>
      <c r="H730" s="5">
        <f>IFERROR(__xludf.DUMMYFUNCTION("SPLiT(G730, ""🤙🏼"",FALSE,FALSE)"),183.0)</f>
        <v>183</v>
      </c>
      <c r="I730" s="5" t="str">
        <f>IFERROR(__xludf.DUMMYFUNCTION("""COMPUTED_VALUE"""),"Judgment at Nuremberg")</f>
        <v>Judgment at Nuremberg</v>
      </c>
      <c r="J730" s="5" t="str">
        <f>IFERROR(__xludf.DUMMYFUNCTION("""COMPUTED_VALUE"""),"Spencer Tracy")</f>
        <v>Spencer Tracy</v>
      </c>
      <c r="K730" s="5" t="str">
        <f>IFERROR(__xludf.DUMMYFUNCTION("""COMPUTED_VALUE"""),"Estrela 1")</f>
        <v>Estrela 1</v>
      </c>
      <c r="P730" s="5">
        <f>IFERROR(__xludf.DUMMYFUNCTION("""COMPUTED_VALUE"""),183.0)</f>
        <v>183</v>
      </c>
      <c r="Q730" s="5" t="str">
        <f>IFERROR(__xludf.DUMMYFUNCTION("""COMPUTED_VALUE"""),"Judgment at Nuremberg")</f>
        <v>Judgment at Nuremberg</v>
      </c>
      <c r="R730" s="5" t="str">
        <f>IFERROR(__xludf.DUMMYFUNCTION("""COMPUTED_VALUE"""),"Spencer Tracy")</f>
        <v>Spencer Tracy</v>
      </c>
      <c r="S730" s="5" t="str">
        <f>IFERROR(__xludf.DUMMYFUNCTION("""COMPUTED_VALUE"""),"Estrela 1")</f>
        <v>Estrela 1</v>
      </c>
    </row>
    <row r="731">
      <c r="A731" s="1">
        <v>730.0</v>
      </c>
      <c r="B731" s="1" t="s">
        <v>4349</v>
      </c>
      <c r="C731" s="1" t="s">
        <v>3752</v>
      </c>
      <c r="D731" s="1" t="s">
        <v>3592</v>
      </c>
      <c r="E731" s="1" t="s">
        <v>4353</v>
      </c>
      <c r="F731" s="1" t="s">
        <v>4354</v>
      </c>
      <c r="G731" s="5" t="str">
        <f>IFERROR(__xludf.DUMMYFUNCTION("""COMPUTED_VALUE"""),"183🤙🏼Judgment at Nuremberg🤙🏼Burt Lancaster🤙🏼Estrela 2")</f>
        <v>183🤙🏼Judgment at Nuremberg🤙🏼Burt Lancaster🤙🏼Estrela 2</v>
      </c>
      <c r="H731" s="5">
        <f>IFERROR(__xludf.DUMMYFUNCTION("SPLiT(G731, ""🤙🏼"",FALSE,FALSE)"),183.0)</f>
        <v>183</v>
      </c>
      <c r="I731" s="5" t="str">
        <f>IFERROR(__xludf.DUMMYFUNCTION("""COMPUTED_VALUE"""),"Judgment at Nuremberg")</f>
        <v>Judgment at Nuremberg</v>
      </c>
      <c r="J731" s="5" t="str">
        <f>IFERROR(__xludf.DUMMYFUNCTION("""COMPUTED_VALUE"""),"Burt Lancaster")</f>
        <v>Burt Lancaster</v>
      </c>
      <c r="K731" s="5" t="str">
        <f>IFERROR(__xludf.DUMMYFUNCTION("""COMPUTED_VALUE"""),"Estrela 2")</f>
        <v>Estrela 2</v>
      </c>
      <c r="P731" s="5">
        <f>IFERROR(__xludf.DUMMYFUNCTION("""COMPUTED_VALUE"""),183.0)</f>
        <v>183</v>
      </c>
      <c r="Q731" s="5" t="str">
        <f>IFERROR(__xludf.DUMMYFUNCTION("""COMPUTED_VALUE"""),"Judgment at Nuremberg")</f>
        <v>Judgment at Nuremberg</v>
      </c>
      <c r="R731" s="5" t="str">
        <f>IFERROR(__xludf.DUMMYFUNCTION("""COMPUTED_VALUE"""),"Burt Lancaster")</f>
        <v>Burt Lancaster</v>
      </c>
      <c r="S731" s="5" t="str">
        <f>IFERROR(__xludf.DUMMYFUNCTION("""COMPUTED_VALUE"""),"Estrela 2")</f>
        <v>Estrela 2</v>
      </c>
    </row>
    <row r="732">
      <c r="A732" s="1">
        <v>731.0</v>
      </c>
      <c r="B732" s="1" t="s">
        <v>4355</v>
      </c>
      <c r="C732" s="1" t="s">
        <v>645</v>
      </c>
      <c r="D732" s="1" t="s">
        <v>4358</v>
      </c>
      <c r="E732" s="1" t="s">
        <v>75</v>
      </c>
      <c r="F732" s="1" t="s">
        <v>45</v>
      </c>
      <c r="G732" s="5" t="str">
        <f>IFERROR(__xludf.DUMMYFUNCTION("""COMPUTED_VALUE"""),"183🤙🏼Judgment at Nuremberg🤙🏼Richard Widmark🤙🏼Estrela 3")</f>
        <v>183🤙🏼Judgment at Nuremberg🤙🏼Richard Widmark🤙🏼Estrela 3</v>
      </c>
      <c r="H732" s="5">
        <f>IFERROR(__xludf.DUMMYFUNCTION("SPLiT(G732, ""🤙🏼"",FALSE,FALSE)"),183.0)</f>
        <v>183</v>
      </c>
      <c r="I732" s="5" t="str">
        <f>IFERROR(__xludf.DUMMYFUNCTION("""COMPUTED_VALUE"""),"Judgment at Nuremberg")</f>
        <v>Judgment at Nuremberg</v>
      </c>
      <c r="J732" s="5" t="str">
        <f>IFERROR(__xludf.DUMMYFUNCTION("""COMPUTED_VALUE"""),"Richard Widmark")</f>
        <v>Richard Widmark</v>
      </c>
      <c r="K732" s="5" t="str">
        <f>IFERROR(__xludf.DUMMYFUNCTION("""COMPUTED_VALUE"""),"Estrela 3")</f>
        <v>Estrela 3</v>
      </c>
      <c r="P732" s="5">
        <f>IFERROR(__xludf.DUMMYFUNCTION("""COMPUTED_VALUE"""),183.0)</f>
        <v>183</v>
      </c>
      <c r="Q732" s="5" t="str">
        <f>IFERROR(__xludf.DUMMYFUNCTION("""COMPUTED_VALUE"""),"Judgment at Nuremberg")</f>
        <v>Judgment at Nuremberg</v>
      </c>
      <c r="R732" s="5" t="str">
        <f>IFERROR(__xludf.DUMMYFUNCTION("""COMPUTED_VALUE"""),"Richard Widmark")</f>
        <v>Richard Widmark</v>
      </c>
      <c r="S732" s="5" t="str">
        <f>IFERROR(__xludf.DUMMYFUNCTION("""COMPUTED_VALUE"""),"Estrela 3")</f>
        <v>Estrela 3</v>
      </c>
    </row>
    <row r="733">
      <c r="A733" s="1">
        <v>732.0</v>
      </c>
      <c r="B733" s="1" t="s">
        <v>4359</v>
      </c>
      <c r="C733" s="1" t="s">
        <v>4362</v>
      </c>
      <c r="D733" s="1" t="s">
        <v>4363</v>
      </c>
      <c r="E733" s="1" t="s">
        <v>4364</v>
      </c>
      <c r="F733" s="1" t="s">
        <v>1785</v>
      </c>
      <c r="G733" s="5" t="str">
        <f>IFERROR(__xludf.DUMMYFUNCTION("""COMPUTED_VALUE"""),"183🤙🏼Judgment at Nuremberg🤙🏼Marlene Dietrich🤙🏼Estrela 4")</f>
        <v>183🤙🏼Judgment at Nuremberg🤙🏼Marlene Dietrich🤙🏼Estrela 4</v>
      </c>
      <c r="H733" s="5">
        <f>IFERROR(__xludf.DUMMYFUNCTION("SPLiT(G733, ""🤙🏼"",FALSE,FALSE)"),183.0)</f>
        <v>183</v>
      </c>
      <c r="I733" s="5" t="str">
        <f>IFERROR(__xludf.DUMMYFUNCTION("""COMPUTED_VALUE"""),"Judgment at Nuremberg")</f>
        <v>Judgment at Nuremberg</v>
      </c>
      <c r="J733" s="5" t="str">
        <f>IFERROR(__xludf.DUMMYFUNCTION("""COMPUTED_VALUE"""),"Marlene Dietrich")</f>
        <v>Marlene Dietrich</v>
      </c>
      <c r="K733" s="5" t="str">
        <f>IFERROR(__xludf.DUMMYFUNCTION("""COMPUTED_VALUE"""),"Estrela 4")</f>
        <v>Estrela 4</v>
      </c>
      <c r="P733" s="5">
        <f>IFERROR(__xludf.DUMMYFUNCTION("""COMPUTED_VALUE"""),183.0)</f>
        <v>183</v>
      </c>
      <c r="Q733" s="5" t="str">
        <f>IFERROR(__xludf.DUMMYFUNCTION("""COMPUTED_VALUE"""),"Judgment at Nuremberg")</f>
        <v>Judgment at Nuremberg</v>
      </c>
      <c r="R733" s="5" t="str">
        <f>IFERROR(__xludf.DUMMYFUNCTION("""COMPUTED_VALUE"""),"Marlene Dietrich")</f>
        <v>Marlene Dietrich</v>
      </c>
      <c r="S733" s="5" t="str">
        <f>IFERROR(__xludf.DUMMYFUNCTION("""COMPUTED_VALUE"""),"Estrela 4")</f>
        <v>Estrela 4</v>
      </c>
    </row>
    <row r="734">
      <c r="A734" s="1">
        <v>733.0</v>
      </c>
      <c r="B734" s="1" t="s">
        <v>4365</v>
      </c>
      <c r="C734" s="1" t="s">
        <v>4368</v>
      </c>
      <c r="D734" s="1" t="s">
        <v>4369</v>
      </c>
      <c r="E734" s="1" t="s">
        <v>3528</v>
      </c>
      <c r="F734" s="1" t="s">
        <v>4370</v>
      </c>
      <c r="G734" s="5" t="str">
        <f>IFERROR(__xludf.DUMMYFUNCTION("""COMPUTED_VALUE"""),"184🤙🏼Some Like It Hot🤙🏼Marilyn Monroe🤙🏼Estrela 1")</f>
        <v>184🤙🏼Some Like It Hot🤙🏼Marilyn Monroe🤙🏼Estrela 1</v>
      </c>
      <c r="H734" s="5">
        <f>IFERROR(__xludf.DUMMYFUNCTION("SPLiT(G734, ""🤙🏼"",FALSE,FALSE)"),184.0)</f>
        <v>184</v>
      </c>
      <c r="I734" s="5" t="str">
        <f>IFERROR(__xludf.DUMMYFUNCTION("""COMPUTED_VALUE"""),"Some Like It Hot")</f>
        <v>Some Like It Hot</v>
      </c>
      <c r="J734" s="5" t="str">
        <f>IFERROR(__xludf.DUMMYFUNCTION("""COMPUTED_VALUE"""),"Marilyn Monroe")</f>
        <v>Marilyn Monroe</v>
      </c>
      <c r="K734" s="5" t="str">
        <f>IFERROR(__xludf.DUMMYFUNCTION("""COMPUTED_VALUE"""),"Estrela 1")</f>
        <v>Estrela 1</v>
      </c>
      <c r="P734" s="5">
        <f>IFERROR(__xludf.DUMMYFUNCTION("""COMPUTED_VALUE"""),184.0)</f>
        <v>184</v>
      </c>
      <c r="Q734" s="5" t="str">
        <f>IFERROR(__xludf.DUMMYFUNCTION("""COMPUTED_VALUE"""),"Some Like It Hot")</f>
        <v>Some Like It Hot</v>
      </c>
      <c r="R734" s="5" t="str">
        <f>IFERROR(__xludf.DUMMYFUNCTION("""COMPUTED_VALUE"""),"Marilyn Monroe")</f>
        <v>Marilyn Monroe</v>
      </c>
      <c r="S734" s="5" t="str">
        <f>IFERROR(__xludf.DUMMYFUNCTION("""COMPUTED_VALUE"""),"Estrela 1")</f>
        <v>Estrela 1</v>
      </c>
    </row>
    <row r="735">
      <c r="A735" s="1">
        <v>734.0</v>
      </c>
      <c r="B735" s="1" t="s">
        <v>4371</v>
      </c>
      <c r="C735" s="1" t="s">
        <v>1517</v>
      </c>
      <c r="D735" s="1" t="s">
        <v>4373</v>
      </c>
      <c r="E735" s="1" t="s">
        <v>99</v>
      </c>
      <c r="F735" s="1" t="s">
        <v>4374</v>
      </c>
      <c r="G735" s="5" t="str">
        <f>IFERROR(__xludf.DUMMYFUNCTION("""COMPUTED_VALUE"""),"184🤙🏼Some Like It Hot🤙🏼Tony Curtis🤙🏼Estrela 2")</f>
        <v>184🤙🏼Some Like It Hot🤙🏼Tony Curtis🤙🏼Estrela 2</v>
      </c>
      <c r="H735" s="5">
        <f>IFERROR(__xludf.DUMMYFUNCTION("SPLiT(G735, ""🤙🏼"",FALSE,FALSE)"),184.0)</f>
        <v>184</v>
      </c>
      <c r="I735" s="5" t="str">
        <f>IFERROR(__xludf.DUMMYFUNCTION("""COMPUTED_VALUE"""),"Some Like It Hot")</f>
        <v>Some Like It Hot</v>
      </c>
      <c r="J735" s="5" t="str">
        <f>IFERROR(__xludf.DUMMYFUNCTION("""COMPUTED_VALUE"""),"Tony Curtis")</f>
        <v>Tony Curtis</v>
      </c>
      <c r="K735" s="5" t="str">
        <f>IFERROR(__xludf.DUMMYFUNCTION("""COMPUTED_VALUE"""),"Estrela 2")</f>
        <v>Estrela 2</v>
      </c>
      <c r="P735" s="5">
        <f>IFERROR(__xludf.DUMMYFUNCTION("""COMPUTED_VALUE"""),184.0)</f>
        <v>184</v>
      </c>
      <c r="Q735" s="5" t="str">
        <f>IFERROR(__xludf.DUMMYFUNCTION("""COMPUTED_VALUE"""),"Some Like It Hot")</f>
        <v>Some Like It Hot</v>
      </c>
      <c r="R735" s="5" t="str">
        <f>IFERROR(__xludf.DUMMYFUNCTION("""COMPUTED_VALUE"""),"Tony Curtis")</f>
        <v>Tony Curtis</v>
      </c>
      <c r="S735" s="5" t="str">
        <f>IFERROR(__xludf.DUMMYFUNCTION("""COMPUTED_VALUE"""),"Estrela 2")</f>
        <v>Estrela 2</v>
      </c>
    </row>
    <row r="736">
      <c r="A736" s="1">
        <v>735.0</v>
      </c>
      <c r="B736" s="1" t="s">
        <v>4375</v>
      </c>
      <c r="C736" s="1" t="s">
        <v>4378</v>
      </c>
      <c r="D736" s="1" t="s">
        <v>4379</v>
      </c>
      <c r="E736" s="1" t="s">
        <v>4380</v>
      </c>
      <c r="F736" s="1" t="s">
        <v>4381</v>
      </c>
      <c r="G736" s="5" t="str">
        <f>IFERROR(__xludf.DUMMYFUNCTION("""COMPUTED_VALUE"""),"184🤙🏼Some Like It Hot🤙🏼Jack Lemmon🤙🏼Estrela 3")</f>
        <v>184🤙🏼Some Like It Hot🤙🏼Jack Lemmon🤙🏼Estrela 3</v>
      </c>
      <c r="H736" s="5">
        <f>IFERROR(__xludf.DUMMYFUNCTION("SPLiT(G736, ""🤙🏼"",FALSE,FALSE)"),184.0)</f>
        <v>184</v>
      </c>
      <c r="I736" s="5" t="str">
        <f>IFERROR(__xludf.DUMMYFUNCTION("""COMPUTED_VALUE"""),"Some Like It Hot")</f>
        <v>Some Like It Hot</v>
      </c>
      <c r="J736" s="5" t="str">
        <f>IFERROR(__xludf.DUMMYFUNCTION("""COMPUTED_VALUE"""),"Jack Lemmon")</f>
        <v>Jack Lemmon</v>
      </c>
      <c r="K736" s="5" t="str">
        <f>IFERROR(__xludf.DUMMYFUNCTION("""COMPUTED_VALUE"""),"Estrela 3")</f>
        <v>Estrela 3</v>
      </c>
      <c r="P736" s="5">
        <f>IFERROR(__xludf.DUMMYFUNCTION("""COMPUTED_VALUE"""),184.0)</f>
        <v>184</v>
      </c>
      <c r="Q736" s="5" t="str">
        <f>IFERROR(__xludf.DUMMYFUNCTION("""COMPUTED_VALUE"""),"Some Like It Hot")</f>
        <v>Some Like It Hot</v>
      </c>
      <c r="R736" s="5" t="str">
        <f>IFERROR(__xludf.DUMMYFUNCTION("""COMPUTED_VALUE"""),"Jack Lemmon")</f>
        <v>Jack Lemmon</v>
      </c>
      <c r="S736" s="5" t="str">
        <f>IFERROR(__xludf.DUMMYFUNCTION("""COMPUTED_VALUE"""),"Estrela 3")</f>
        <v>Estrela 3</v>
      </c>
    </row>
    <row r="737">
      <c r="A737" s="1">
        <v>736.0</v>
      </c>
      <c r="B737" s="1" t="s">
        <v>4382</v>
      </c>
      <c r="C737" s="1" t="s">
        <v>4385</v>
      </c>
      <c r="D737" s="1" t="s">
        <v>942</v>
      </c>
      <c r="E737" s="1" t="s">
        <v>1008</v>
      </c>
      <c r="F737" s="1" t="s">
        <v>4386</v>
      </c>
      <c r="G737" s="5" t="str">
        <f>IFERROR(__xludf.DUMMYFUNCTION("""COMPUTED_VALUE"""),"184🤙🏼Some Like It Hot🤙🏼George Raft🤙🏼Estrela 4")</f>
        <v>184🤙🏼Some Like It Hot🤙🏼George Raft🤙🏼Estrela 4</v>
      </c>
      <c r="H737" s="5">
        <f>IFERROR(__xludf.DUMMYFUNCTION("SPLiT(G737, ""🤙🏼"",FALSE,FALSE)"),184.0)</f>
        <v>184</v>
      </c>
      <c r="I737" s="5" t="str">
        <f>IFERROR(__xludf.DUMMYFUNCTION("""COMPUTED_VALUE"""),"Some Like It Hot")</f>
        <v>Some Like It Hot</v>
      </c>
      <c r="J737" s="5" t="str">
        <f>IFERROR(__xludf.DUMMYFUNCTION("""COMPUTED_VALUE"""),"George Raft")</f>
        <v>George Raft</v>
      </c>
      <c r="K737" s="5" t="str">
        <f>IFERROR(__xludf.DUMMYFUNCTION("""COMPUTED_VALUE"""),"Estrela 4")</f>
        <v>Estrela 4</v>
      </c>
      <c r="P737" s="5">
        <f>IFERROR(__xludf.DUMMYFUNCTION("""COMPUTED_VALUE"""),184.0)</f>
        <v>184</v>
      </c>
      <c r="Q737" s="5" t="str">
        <f>IFERROR(__xludf.DUMMYFUNCTION("""COMPUTED_VALUE"""),"Some Like It Hot")</f>
        <v>Some Like It Hot</v>
      </c>
      <c r="R737" s="5" t="str">
        <f>IFERROR(__xludf.DUMMYFUNCTION("""COMPUTED_VALUE"""),"George Raft")</f>
        <v>George Raft</v>
      </c>
      <c r="S737" s="5" t="str">
        <f>IFERROR(__xludf.DUMMYFUNCTION("""COMPUTED_VALUE"""),"Estrela 4")</f>
        <v>Estrela 4</v>
      </c>
    </row>
    <row r="738">
      <c r="A738" s="1">
        <v>737.0</v>
      </c>
      <c r="B738" s="1" t="s">
        <v>4387</v>
      </c>
      <c r="C738" s="1" t="s">
        <v>4390</v>
      </c>
      <c r="D738" s="1" t="s">
        <v>4391</v>
      </c>
      <c r="E738" s="1" t="s">
        <v>4392</v>
      </c>
      <c r="F738" s="1" t="s">
        <v>4393</v>
      </c>
      <c r="G738" s="5" t="str">
        <f>IFERROR(__xludf.DUMMYFUNCTION("""COMPUTED_VALUE"""),"185🤙🏼Smultronstället🤙🏼Victor Sjöström🤙🏼Estrela 1")</f>
        <v>185🤙🏼Smultronstället🤙🏼Victor Sjöström🤙🏼Estrela 1</v>
      </c>
      <c r="H738" s="5">
        <f>IFERROR(__xludf.DUMMYFUNCTION("SPLiT(G738, ""🤙🏼"",FALSE,FALSE)"),185.0)</f>
        <v>185</v>
      </c>
      <c r="I738" s="5" t="str">
        <f>IFERROR(__xludf.DUMMYFUNCTION("""COMPUTED_VALUE"""),"Smultronstället")</f>
        <v>Smultronstället</v>
      </c>
      <c r="J738" s="5" t="str">
        <f>IFERROR(__xludf.DUMMYFUNCTION("""COMPUTED_VALUE"""),"Victor Sjöström")</f>
        <v>Victor Sjöström</v>
      </c>
      <c r="K738" s="5" t="str">
        <f>IFERROR(__xludf.DUMMYFUNCTION("""COMPUTED_VALUE"""),"Estrela 1")</f>
        <v>Estrela 1</v>
      </c>
      <c r="P738" s="5">
        <f>IFERROR(__xludf.DUMMYFUNCTION("""COMPUTED_VALUE"""),185.0)</f>
        <v>185</v>
      </c>
      <c r="Q738" s="5" t="str">
        <f>IFERROR(__xludf.DUMMYFUNCTION("""COMPUTED_VALUE"""),"Smultronstället")</f>
        <v>Smultronstället</v>
      </c>
      <c r="R738" s="5" t="str">
        <f>IFERROR(__xludf.DUMMYFUNCTION("""COMPUTED_VALUE"""),"Victor Sjöström")</f>
        <v>Victor Sjöström</v>
      </c>
      <c r="S738" s="5" t="str">
        <f>IFERROR(__xludf.DUMMYFUNCTION("""COMPUTED_VALUE"""),"Estrela 1")</f>
        <v>Estrela 1</v>
      </c>
    </row>
    <row r="739">
      <c r="A739" s="1">
        <v>738.0</v>
      </c>
      <c r="B739" s="1" t="s">
        <v>4394</v>
      </c>
      <c r="C739" s="1" t="s">
        <v>478</v>
      </c>
      <c r="D739" s="1" t="s">
        <v>480</v>
      </c>
      <c r="E739" s="1" t="s">
        <v>75</v>
      </c>
      <c r="F739" s="1" t="s">
        <v>307</v>
      </c>
      <c r="G739" s="5" t="str">
        <f>IFERROR(__xludf.DUMMYFUNCTION("""COMPUTED_VALUE"""),"185🤙🏼Smultronstället🤙🏼Bibi Andersson🤙🏼Estrela 2")</f>
        <v>185🤙🏼Smultronstället🤙🏼Bibi Andersson🤙🏼Estrela 2</v>
      </c>
      <c r="H739" s="5">
        <f>IFERROR(__xludf.DUMMYFUNCTION("SPLiT(G739, ""🤙🏼"",FALSE,FALSE)"),185.0)</f>
        <v>185</v>
      </c>
      <c r="I739" s="5" t="str">
        <f>IFERROR(__xludf.DUMMYFUNCTION("""COMPUTED_VALUE"""),"Smultronstället")</f>
        <v>Smultronstället</v>
      </c>
      <c r="J739" s="5" t="str">
        <f>IFERROR(__xludf.DUMMYFUNCTION("""COMPUTED_VALUE"""),"Bibi Andersson")</f>
        <v>Bibi Andersson</v>
      </c>
      <c r="K739" s="5" t="str">
        <f>IFERROR(__xludf.DUMMYFUNCTION("""COMPUTED_VALUE"""),"Estrela 2")</f>
        <v>Estrela 2</v>
      </c>
      <c r="P739" s="5">
        <f>IFERROR(__xludf.DUMMYFUNCTION("""COMPUTED_VALUE"""),185.0)</f>
        <v>185</v>
      </c>
      <c r="Q739" s="5" t="str">
        <f>IFERROR(__xludf.DUMMYFUNCTION("""COMPUTED_VALUE"""),"Smultronstället")</f>
        <v>Smultronstället</v>
      </c>
      <c r="R739" s="5" t="str">
        <f>IFERROR(__xludf.DUMMYFUNCTION("""COMPUTED_VALUE"""),"Bibi Andersson")</f>
        <v>Bibi Andersson</v>
      </c>
      <c r="S739" s="5" t="str">
        <f>IFERROR(__xludf.DUMMYFUNCTION("""COMPUTED_VALUE"""),"Estrela 2")</f>
        <v>Estrela 2</v>
      </c>
    </row>
    <row r="740">
      <c r="A740" s="1">
        <v>739.0</v>
      </c>
      <c r="B740" s="1" t="s">
        <v>4396</v>
      </c>
      <c r="C740" s="1" t="s">
        <v>1497</v>
      </c>
      <c r="D740" s="1" t="s">
        <v>4398</v>
      </c>
      <c r="E740" s="1" t="s">
        <v>4399</v>
      </c>
      <c r="F740" s="1" t="s">
        <v>2160</v>
      </c>
      <c r="G740" s="5" t="str">
        <f>IFERROR(__xludf.DUMMYFUNCTION("""COMPUTED_VALUE"""),"185🤙🏼Smultronstället🤙🏼Ingrid Thulin🤙🏼Estrela 3")</f>
        <v>185🤙🏼Smultronstället🤙🏼Ingrid Thulin🤙🏼Estrela 3</v>
      </c>
      <c r="H740" s="5">
        <f>IFERROR(__xludf.DUMMYFUNCTION("SPLiT(G740, ""🤙🏼"",FALSE,FALSE)"),185.0)</f>
        <v>185</v>
      </c>
      <c r="I740" s="5" t="str">
        <f>IFERROR(__xludf.DUMMYFUNCTION("""COMPUTED_VALUE"""),"Smultronstället")</f>
        <v>Smultronstället</v>
      </c>
      <c r="J740" s="5" t="str">
        <f>IFERROR(__xludf.DUMMYFUNCTION("""COMPUTED_VALUE"""),"Ingrid Thulin")</f>
        <v>Ingrid Thulin</v>
      </c>
      <c r="K740" s="5" t="str">
        <f>IFERROR(__xludf.DUMMYFUNCTION("""COMPUTED_VALUE"""),"Estrela 3")</f>
        <v>Estrela 3</v>
      </c>
      <c r="P740" s="5">
        <f>IFERROR(__xludf.DUMMYFUNCTION("""COMPUTED_VALUE"""),185.0)</f>
        <v>185</v>
      </c>
      <c r="Q740" s="5" t="str">
        <f>IFERROR(__xludf.DUMMYFUNCTION("""COMPUTED_VALUE"""),"Smultronstället")</f>
        <v>Smultronstället</v>
      </c>
      <c r="R740" s="5" t="str">
        <f>IFERROR(__xludf.DUMMYFUNCTION("""COMPUTED_VALUE"""),"Ingrid Thulin")</f>
        <v>Ingrid Thulin</v>
      </c>
      <c r="S740" s="5" t="str">
        <f>IFERROR(__xludf.DUMMYFUNCTION("""COMPUTED_VALUE"""),"Estrela 3")</f>
        <v>Estrela 3</v>
      </c>
    </row>
    <row r="741">
      <c r="A741" s="1">
        <v>740.0</v>
      </c>
      <c r="B741" s="1" t="s">
        <v>4400</v>
      </c>
      <c r="C741" s="1" t="s">
        <v>4403</v>
      </c>
      <c r="D741" s="1" t="s">
        <v>4404</v>
      </c>
      <c r="E741" s="1" t="s">
        <v>4405</v>
      </c>
      <c r="F741" s="1" t="s">
        <v>4406</v>
      </c>
      <c r="G741" s="5" t="str">
        <f>IFERROR(__xludf.DUMMYFUNCTION("""COMPUTED_VALUE"""),"185🤙🏼Smultronstället🤙🏼Gunnar Björnstrand🤙🏼Estrela 4")</f>
        <v>185🤙🏼Smultronstället🤙🏼Gunnar Björnstrand🤙🏼Estrela 4</v>
      </c>
      <c r="H741" s="5">
        <f>IFERROR(__xludf.DUMMYFUNCTION("SPLiT(G741, ""🤙🏼"",FALSE,FALSE)"),185.0)</f>
        <v>185</v>
      </c>
      <c r="I741" s="5" t="str">
        <f>IFERROR(__xludf.DUMMYFUNCTION("""COMPUTED_VALUE"""),"Smultronstället")</f>
        <v>Smultronstället</v>
      </c>
      <c r="J741" s="5" t="str">
        <f>IFERROR(__xludf.DUMMYFUNCTION("""COMPUTED_VALUE"""),"Gunnar Björnstrand")</f>
        <v>Gunnar Björnstrand</v>
      </c>
      <c r="K741" s="5" t="str">
        <f>IFERROR(__xludf.DUMMYFUNCTION("""COMPUTED_VALUE"""),"Estrela 4")</f>
        <v>Estrela 4</v>
      </c>
      <c r="P741" s="5">
        <f>IFERROR(__xludf.DUMMYFUNCTION("""COMPUTED_VALUE"""),185.0)</f>
        <v>185</v>
      </c>
      <c r="Q741" s="5" t="str">
        <f>IFERROR(__xludf.DUMMYFUNCTION("""COMPUTED_VALUE"""),"Smultronstället")</f>
        <v>Smultronstället</v>
      </c>
      <c r="R741" s="5" t="str">
        <f>IFERROR(__xludf.DUMMYFUNCTION("""COMPUTED_VALUE"""),"Gunnar Björnstrand")</f>
        <v>Gunnar Björnstrand</v>
      </c>
      <c r="S741" s="5" t="str">
        <f>IFERROR(__xludf.DUMMYFUNCTION("""COMPUTED_VALUE"""),"Estrela 4")</f>
        <v>Estrela 4</v>
      </c>
    </row>
    <row r="742">
      <c r="A742" s="1">
        <v>741.0</v>
      </c>
      <c r="B742" s="1" t="s">
        <v>4407</v>
      </c>
      <c r="C742" s="1" t="s">
        <v>4409</v>
      </c>
      <c r="D742" s="1" t="s">
        <v>4410</v>
      </c>
      <c r="E742" s="1" t="s">
        <v>4411</v>
      </c>
      <c r="F742" s="1" t="s">
        <v>4412</v>
      </c>
      <c r="G742" s="5" t="str">
        <f>IFERROR(__xludf.DUMMYFUNCTION("""COMPUTED_VALUE"""),"186🤙🏼Det sjunde inseglet🤙🏼Max von Sydow🤙🏼Estrela 1")</f>
        <v>186🤙🏼Det sjunde inseglet🤙🏼Max von Sydow🤙🏼Estrela 1</v>
      </c>
      <c r="H742" s="5">
        <f>IFERROR(__xludf.DUMMYFUNCTION("SPLiT(G742, ""🤙🏼"",FALSE,FALSE)"),186.0)</f>
        <v>186</v>
      </c>
      <c r="I742" s="5" t="str">
        <f>IFERROR(__xludf.DUMMYFUNCTION("""COMPUTED_VALUE"""),"Det sjunde inseglet")</f>
        <v>Det sjunde inseglet</v>
      </c>
      <c r="J742" s="5" t="str">
        <f>IFERROR(__xludf.DUMMYFUNCTION("""COMPUTED_VALUE"""),"Max von Sydow")</f>
        <v>Max von Sydow</v>
      </c>
      <c r="K742" s="5" t="str">
        <f>IFERROR(__xludf.DUMMYFUNCTION("""COMPUTED_VALUE"""),"Estrela 1")</f>
        <v>Estrela 1</v>
      </c>
      <c r="P742" s="5">
        <f>IFERROR(__xludf.DUMMYFUNCTION("""COMPUTED_VALUE"""),186.0)</f>
        <v>186</v>
      </c>
      <c r="Q742" s="5" t="str">
        <f>IFERROR(__xludf.DUMMYFUNCTION("""COMPUTED_VALUE"""),"Det sjunde inseglet")</f>
        <v>Det sjunde inseglet</v>
      </c>
      <c r="R742" s="5" t="str">
        <f>IFERROR(__xludf.DUMMYFUNCTION("""COMPUTED_VALUE"""),"Max von Sydow")</f>
        <v>Max von Sydow</v>
      </c>
      <c r="S742" s="5" t="str">
        <f>IFERROR(__xludf.DUMMYFUNCTION("""COMPUTED_VALUE"""),"Estrela 1")</f>
        <v>Estrela 1</v>
      </c>
    </row>
    <row r="743">
      <c r="A743" s="1">
        <v>742.0</v>
      </c>
      <c r="B743" s="1" t="s">
        <v>4413</v>
      </c>
      <c r="C743" s="1" t="s">
        <v>1727</v>
      </c>
      <c r="D743" s="1" t="s">
        <v>193</v>
      </c>
      <c r="E743" s="1" t="s">
        <v>1518</v>
      </c>
      <c r="F743" s="1" t="s">
        <v>4416</v>
      </c>
      <c r="G743" s="5" t="str">
        <f>IFERROR(__xludf.DUMMYFUNCTION("""COMPUTED_VALUE"""),"186🤙🏼Det sjunde inseglet🤙🏼Gunnar Björnstrand🤙🏼Estrela 2")</f>
        <v>186🤙🏼Det sjunde inseglet🤙🏼Gunnar Björnstrand🤙🏼Estrela 2</v>
      </c>
      <c r="H743" s="5">
        <f>IFERROR(__xludf.DUMMYFUNCTION("SPLiT(G743, ""🤙🏼"",FALSE,FALSE)"),186.0)</f>
        <v>186</v>
      </c>
      <c r="I743" s="5" t="str">
        <f>IFERROR(__xludf.DUMMYFUNCTION("""COMPUTED_VALUE"""),"Det sjunde inseglet")</f>
        <v>Det sjunde inseglet</v>
      </c>
      <c r="J743" s="5" t="str">
        <f>IFERROR(__xludf.DUMMYFUNCTION("""COMPUTED_VALUE"""),"Gunnar Björnstrand")</f>
        <v>Gunnar Björnstrand</v>
      </c>
      <c r="K743" s="5" t="str">
        <f>IFERROR(__xludf.DUMMYFUNCTION("""COMPUTED_VALUE"""),"Estrela 2")</f>
        <v>Estrela 2</v>
      </c>
      <c r="P743" s="5">
        <f>IFERROR(__xludf.DUMMYFUNCTION("""COMPUTED_VALUE"""),186.0)</f>
        <v>186</v>
      </c>
      <c r="Q743" s="5" t="str">
        <f>IFERROR(__xludf.DUMMYFUNCTION("""COMPUTED_VALUE"""),"Det sjunde inseglet")</f>
        <v>Det sjunde inseglet</v>
      </c>
      <c r="R743" s="5" t="str">
        <f>IFERROR(__xludf.DUMMYFUNCTION("""COMPUTED_VALUE"""),"Gunnar Björnstrand")</f>
        <v>Gunnar Björnstrand</v>
      </c>
      <c r="S743" s="5" t="str">
        <f>IFERROR(__xludf.DUMMYFUNCTION("""COMPUTED_VALUE"""),"Estrela 2")</f>
        <v>Estrela 2</v>
      </c>
    </row>
    <row r="744">
      <c r="A744" s="1">
        <v>743.0</v>
      </c>
      <c r="B744" s="1" t="s">
        <v>4417</v>
      </c>
      <c r="C744" s="1" t="s">
        <v>317</v>
      </c>
      <c r="D744" s="1" t="s">
        <v>4420</v>
      </c>
      <c r="E744" s="1" t="s">
        <v>1609</v>
      </c>
      <c r="F744" s="1" t="s">
        <v>4421</v>
      </c>
      <c r="G744" s="5" t="str">
        <f>IFERROR(__xludf.DUMMYFUNCTION("""COMPUTED_VALUE"""),"186🤙🏼Det sjunde inseglet🤙🏼Bengt Ekerot🤙🏼Estrela 3")</f>
        <v>186🤙🏼Det sjunde inseglet🤙🏼Bengt Ekerot🤙🏼Estrela 3</v>
      </c>
      <c r="H744" s="5">
        <f>IFERROR(__xludf.DUMMYFUNCTION("SPLiT(G744, ""🤙🏼"",FALSE,FALSE)"),186.0)</f>
        <v>186</v>
      </c>
      <c r="I744" s="5" t="str">
        <f>IFERROR(__xludf.DUMMYFUNCTION("""COMPUTED_VALUE"""),"Det sjunde inseglet")</f>
        <v>Det sjunde inseglet</v>
      </c>
      <c r="J744" s="5" t="str">
        <f>IFERROR(__xludf.DUMMYFUNCTION("""COMPUTED_VALUE"""),"Bengt Ekerot")</f>
        <v>Bengt Ekerot</v>
      </c>
      <c r="K744" s="5" t="str">
        <f>IFERROR(__xludf.DUMMYFUNCTION("""COMPUTED_VALUE"""),"Estrela 3")</f>
        <v>Estrela 3</v>
      </c>
      <c r="P744" s="5">
        <f>IFERROR(__xludf.DUMMYFUNCTION("""COMPUTED_VALUE"""),186.0)</f>
        <v>186</v>
      </c>
      <c r="Q744" s="5" t="str">
        <f>IFERROR(__xludf.DUMMYFUNCTION("""COMPUTED_VALUE"""),"Det sjunde inseglet")</f>
        <v>Det sjunde inseglet</v>
      </c>
      <c r="R744" s="5" t="str">
        <f>IFERROR(__xludf.DUMMYFUNCTION("""COMPUTED_VALUE"""),"Bengt Ekerot")</f>
        <v>Bengt Ekerot</v>
      </c>
      <c r="S744" s="5" t="str">
        <f>IFERROR(__xludf.DUMMYFUNCTION("""COMPUTED_VALUE"""),"Estrela 3")</f>
        <v>Estrela 3</v>
      </c>
    </row>
    <row r="745">
      <c r="A745" s="1">
        <v>744.0</v>
      </c>
      <c r="B745" s="1" t="s">
        <v>4422</v>
      </c>
      <c r="C745" s="1" t="s">
        <v>2208</v>
      </c>
      <c r="D745" s="1" t="s">
        <v>1518</v>
      </c>
      <c r="E745" s="1" t="s">
        <v>3951</v>
      </c>
      <c r="F745" s="1" t="s">
        <v>4424</v>
      </c>
      <c r="G745" s="5" t="str">
        <f>IFERROR(__xludf.DUMMYFUNCTION("""COMPUTED_VALUE"""),"186🤙🏼Det sjunde inseglet🤙🏼Nils Poppe🤙🏼Estrela 4")</f>
        <v>186🤙🏼Det sjunde inseglet🤙🏼Nils Poppe🤙🏼Estrela 4</v>
      </c>
      <c r="H745" s="5">
        <f>IFERROR(__xludf.DUMMYFUNCTION("SPLiT(G745, ""🤙🏼"",FALSE,FALSE)"),186.0)</f>
        <v>186</v>
      </c>
      <c r="I745" s="5" t="str">
        <f>IFERROR(__xludf.DUMMYFUNCTION("""COMPUTED_VALUE"""),"Det sjunde inseglet")</f>
        <v>Det sjunde inseglet</v>
      </c>
      <c r="J745" s="5" t="str">
        <f>IFERROR(__xludf.DUMMYFUNCTION("""COMPUTED_VALUE"""),"Nils Poppe")</f>
        <v>Nils Poppe</v>
      </c>
      <c r="K745" s="5" t="str">
        <f>IFERROR(__xludf.DUMMYFUNCTION("""COMPUTED_VALUE"""),"Estrela 4")</f>
        <v>Estrela 4</v>
      </c>
      <c r="P745" s="5">
        <f>IFERROR(__xludf.DUMMYFUNCTION("""COMPUTED_VALUE"""),186.0)</f>
        <v>186</v>
      </c>
      <c r="Q745" s="5" t="str">
        <f>IFERROR(__xludf.DUMMYFUNCTION("""COMPUTED_VALUE"""),"Det sjunde inseglet")</f>
        <v>Det sjunde inseglet</v>
      </c>
      <c r="R745" s="5" t="str">
        <f>IFERROR(__xludf.DUMMYFUNCTION("""COMPUTED_VALUE"""),"Nils Poppe")</f>
        <v>Nils Poppe</v>
      </c>
      <c r="S745" s="5" t="str">
        <f>IFERROR(__xludf.DUMMYFUNCTION("""COMPUTED_VALUE"""),"Estrela 4")</f>
        <v>Estrela 4</v>
      </c>
    </row>
    <row r="746">
      <c r="A746" s="1">
        <v>745.0</v>
      </c>
      <c r="B746" s="1" t="s">
        <v>4425</v>
      </c>
      <c r="C746" s="1" t="s">
        <v>4428</v>
      </c>
      <c r="D746" s="1" t="s">
        <v>2243</v>
      </c>
      <c r="E746" s="1" t="s">
        <v>4429</v>
      </c>
      <c r="F746" s="1" t="s">
        <v>4430</v>
      </c>
      <c r="G746" s="5" t="str">
        <f>IFERROR(__xludf.DUMMYFUNCTION("""COMPUTED_VALUE"""),"187🤙🏼Du rififi chez les hommes🤙🏼Jean Servais🤙🏼Estrela 1")</f>
        <v>187🤙🏼Du rififi chez les hommes🤙🏼Jean Servais🤙🏼Estrela 1</v>
      </c>
      <c r="H746" s="5">
        <f>IFERROR(__xludf.DUMMYFUNCTION("SPLiT(G746, ""🤙🏼"",FALSE,FALSE)"),187.0)</f>
        <v>187</v>
      </c>
      <c r="I746" s="5" t="str">
        <f>IFERROR(__xludf.DUMMYFUNCTION("""COMPUTED_VALUE"""),"Du rififi chez les hommes")</f>
        <v>Du rififi chez les hommes</v>
      </c>
      <c r="J746" s="5" t="str">
        <f>IFERROR(__xludf.DUMMYFUNCTION("""COMPUTED_VALUE"""),"Jean Servais")</f>
        <v>Jean Servais</v>
      </c>
      <c r="K746" s="5" t="str">
        <f>IFERROR(__xludf.DUMMYFUNCTION("""COMPUTED_VALUE"""),"Estrela 1")</f>
        <v>Estrela 1</v>
      </c>
      <c r="P746" s="5">
        <f>IFERROR(__xludf.DUMMYFUNCTION("""COMPUTED_VALUE"""),187.0)</f>
        <v>187</v>
      </c>
      <c r="Q746" s="5" t="str">
        <f>IFERROR(__xludf.DUMMYFUNCTION("""COMPUTED_VALUE"""),"Du rififi chez les hommes")</f>
        <v>Du rififi chez les hommes</v>
      </c>
      <c r="R746" s="5" t="str">
        <f>IFERROR(__xludf.DUMMYFUNCTION("""COMPUTED_VALUE"""),"Jean Servais")</f>
        <v>Jean Servais</v>
      </c>
      <c r="S746" s="5" t="str">
        <f>IFERROR(__xludf.DUMMYFUNCTION("""COMPUTED_VALUE"""),"Estrela 1")</f>
        <v>Estrela 1</v>
      </c>
    </row>
    <row r="747">
      <c r="A747" s="1">
        <v>746.0</v>
      </c>
      <c r="B747" s="1" t="s">
        <v>4431</v>
      </c>
      <c r="C747" s="1" t="s">
        <v>4433</v>
      </c>
      <c r="D747" s="1" t="s">
        <v>3135</v>
      </c>
      <c r="E747" s="1" t="s">
        <v>1151</v>
      </c>
      <c r="F747" s="1" t="s">
        <v>4434</v>
      </c>
      <c r="G747" s="5" t="str">
        <f>IFERROR(__xludf.DUMMYFUNCTION("""COMPUTED_VALUE"""),"187🤙🏼Du rififi chez les hommes🤙🏼Carl Möhner🤙🏼Estrela 2")</f>
        <v>187🤙🏼Du rififi chez les hommes🤙🏼Carl Möhner🤙🏼Estrela 2</v>
      </c>
      <c r="H747" s="5">
        <f>IFERROR(__xludf.DUMMYFUNCTION("SPLiT(G747, ""🤙🏼"",FALSE,FALSE)"),187.0)</f>
        <v>187</v>
      </c>
      <c r="I747" s="5" t="str">
        <f>IFERROR(__xludf.DUMMYFUNCTION("""COMPUTED_VALUE"""),"Du rififi chez les hommes")</f>
        <v>Du rififi chez les hommes</v>
      </c>
      <c r="J747" s="5" t="str">
        <f>IFERROR(__xludf.DUMMYFUNCTION("""COMPUTED_VALUE"""),"Carl Möhner")</f>
        <v>Carl Möhner</v>
      </c>
      <c r="K747" s="5" t="str">
        <f>IFERROR(__xludf.DUMMYFUNCTION("""COMPUTED_VALUE"""),"Estrela 2")</f>
        <v>Estrela 2</v>
      </c>
      <c r="P747" s="5">
        <f>IFERROR(__xludf.DUMMYFUNCTION("""COMPUTED_VALUE"""),187.0)</f>
        <v>187</v>
      </c>
      <c r="Q747" s="5" t="str">
        <f>IFERROR(__xludf.DUMMYFUNCTION("""COMPUTED_VALUE"""),"Du rififi chez les hommes")</f>
        <v>Du rififi chez les hommes</v>
      </c>
      <c r="R747" s="5" t="str">
        <f>IFERROR(__xludf.DUMMYFUNCTION("""COMPUTED_VALUE"""),"Carl Möhner")</f>
        <v>Carl Möhner</v>
      </c>
      <c r="S747" s="5" t="str">
        <f>IFERROR(__xludf.DUMMYFUNCTION("""COMPUTED_VALUE"""),"Estrela 2")</f>
        <v>Estrela 2</v>
      </c>
    </row>
    <row r="748">
      <c r="A748" s="1">
        <v>747.0</v>
      </c>
      <c r="B748" s="1" t="s">
        <v>4435</v>
      </c>
      <c r="C748" s="1" t="s">
        <v>3100</v>
      </c>
      <c r="D748" s="1" t="s">
        <v>3101</v>
      </c>
      <c r="E748" s="1" t="s">
        <v>2246</v>
      </c>
      <c r="F748" s="1" t="s">
        <v>2236</v>
      </c>
      <c r="G748" s="5" t="str">
        <f>IFERROR(__xludf.DUMMYFUNCTION("""COMPUTED_VALUE"""),"187🤙🏼Du rififi chez les hommes🤙🏼Robert Manuel🤙🏼Estrela 3")</f>
        <v>187🤙🏼Du rififi chez les hommes🤙🏼Robert Manuel🤙🏼Estrela 3</v>
      </c>
      <c r="H748" s="5">
        <f>IFERROR(__xludf.DUMMYFUNCTION("SPLiT(G748, ""🤙🏼"",FALSE,FALSE)"),187.0)</f>
        <v>187</v>
      </c>
      <c r="I748" s="5" t="str">
        <f>IFERROR(__xludf.DUMMYFUNCTION("""COMPUTED_VALUE"""),"Du rififi chez les hommes")</f>
        <v>Du rififi chez les hommes</v>
      </c>
      <c r="J748" s="5" t="str">
        <f>IFERROR(__xludf.DUMMYFUNCTION("""COMPUTED_VALUE"""),"Robert Manuel")</f>
        <v>Robert Manuel</v>
      </c>
      <c r="K748" s="5" t="str">
        <f>IFERROR(__xludf.DUMMYFUNCTION("""COMPUTED_VALUE"""),"Estrela 3")</f>
        <v>Estrela 3</v>
      </c>
      <c r="P748" s="5">
        <f>IFERROR(__xludf.DUMMYFUNCTION("""COMPUTED_VALUE"""),187.0)</f>
        <v>187</v>
      </c>
      <c r="Q748" s="5" t="str">
        <f>IFERROR(__xludf.DUMMYFUNCTION("""COMPUTED_VALUE"""),"Du rififi chez les hommes")</f>
        <v>Du rififi chez les hommes</v>
      </c>
      <c r="R748" s="5" t="str">
        <f>IFERROR(__xludf.DUMMYFUNCTION("""COMPUTED_VALUE"""),"Robert Manuel")</f>
        <v>Robert Manuel</v>
      </c>
      <c r="S748" s="5" t="str">
        <f>IFERROR(__xludf.DUMMYFUNCTION("""COMPUTED_VALUE"""),"Estrela 3")</f>
        <v>Estrela 3</v>
      </c>
    </row>
    <row r="749">
      <c r="A749" s="1">
        <v>748.0</v>
      </c>
      <c r="B749" s="1" t="s">
        <v>4437</v>
      </c>
      <c r="C749" s="1" t="s">
        <v>4440</v>
      </c>
      <c r="D749" s="1" t="s">
        <v>4441</v>
      </c>
      <c r="E749" s="1" t="s">
        <v>4442</v>
      </c>
      <c r="F749" s="1" t="s">
        <v>4443</v>
      </c>
      <c r="G749" s="5" t="str">
        <f>IFERROR(__xludf.DUMMYFUNCTION("""COMPUTED_VALUE"""),"187🤙🏼Du rififi chez les hommes🤙🏼Janine Darcey🤙🏼Estrela 4")</f>
        <v>187🤙🏼Du rififi chez les hommes🤙🏼Janine Darcey🤙🏼Estrela 4</v>
      </c>
      <c r="H749" s="5">
        <f>IFERROR(__xludf.DUMMYFUNCTION("SPLiT(G749, ""🤙🏼"",FALSE,FALSE)"),187.0)</f>
        <v>187</v>
      </c>
      <c r="I749" s="5" t="str">
        <f>IFERROR(__xludf.DUMMYFUNCTION("""COMPUTED_VALUE"""),"Du rififi chez les hommes")</f>
        <v>Du rififi chez les hommes</v>
      </c>
      <c r="J749" s="5" t="str">
        <f>IFERROR(__xludf.DUMMYFUNCTION("""COMPUTED_VALUE"""),"Janine Darcey")</f>
        <v>Janine Darcey</v>
      </c>
      <c r="K749" s="5" t="str">
        <f>IFERROR(__xludf.DUMMYFUNCTION("""COMPUTED_VALUE"""),"Estrela 4")</f>
        <v>Estrela 4</v>
      </c>
      <c r="P749" s="5">
        <f>IFERROR(__xludf.DUMMYFUNCTION("""COMPUTED_VALUE"""),187.0)</f>
        <v>187</v>
      </c>
      <c r="Q749" s="5" t="str">
        <f>IFERROR(__xludf.DUMMYFUNCTION("""COMPUTED_VALUE"""),"Du rififi chez les hommes")</f>
        <v>Du rififi chez les hommes</v>
      </c>
      <c r="R749" s="5" t="str">
        <f>IFERROR(__xludf.DUMMYFUNCTION("""COMPUTED_VALUE"""),"Janine Darcey")</f>
        <v>Janine Darcey</v>
      </c>
      <c r="S749" s="5" t="str">
        <f>IFERROR(__xludf.DUMMYFUNCTION("""COMPUTED_VALUE"""),"Estrela 4")</f>
        <v>Estrela 4</v>
      </c>
    </row>
    <row r="750">
      <c r="A750" s="1">
        <v>749.0</v>
      </c>
      <c r="B750" s="1" t="s">
        <v>4444</v>
      </c>
      <c r="C750" s="1" t="s">
        <v>4446</v>
      </c>
      <c r="D750" s="1" t="s">
        <v>1484</v>
      </c>
      <c r="E750" s="1" t="s">
        <v>4447</v>
      </c>
      <c r="F750" s="1" t="s">
        <v>2183</v>
      </c>
      <c r="G750" s="5" t="str">
        <f>IFERROR(__xludf.DUMMYFUNCTION("""COMPUTED_VALUE"""),"188🤙🏼Dial M for Murder🤙🏼Ray Milland🤙🏼Estrela 1")</f>
        <v>188🤙🏼Dial M for Murder🤙🏼Ray Milland🤙🏼Estrela 1</v>
      </c>
      <c r="H750" s="5">
        <f>IFERROR(__xludf.DUMMYFUNCTION("SPLiT(G750, ""🤙🏼"",FALSE,FALSE)"),188.0)</f>
        <v>188</v>
      </c>
      <c r="I750" s="5" t="str">
        <f>IFERROR(__xludf.DUMMYFUNCTION("""COMPUTED_VALUE"""),"Dial M for Murder")</f>
        <v>Dial M for Murder</v>
      </c>
      <c r="J750" s="5" t="str">
        <f>IFERROR(__xludf.DUMMYFUNCTION("""COMPUTED_VALUE"""),"Ray Milland")</f>
        <v>Ray Milland</v>
      </c>
      <c r="K750" s="5" t="str">
        <f>IFERROR(__xludf.DUMMYFUNCTION("""COMPUTED_VALUE"""),"Estrela 1")</f>
        <v>Estrela 1</v>
      </c>
      <c r="P750" s="5">
        <f>IFERROR(__xludf.DUMMYFUNCTION("""COMPUTED_VALUE"""),188.0)</f>
        <v>188</v>
      </c>
      <c r="Q750" s="5" t="str">
        <f>IFERROR(__xludf.DUMMYFUNCTION("""COMPUTED_VALUE"""),"Dial M for Murder")</f>
        <v>Dial M for Murder</v>
      </c>
      <c r="R750" s="5" t="str">
        <f>IFERROR(__xludf.DUMMYFUNCTION("""COMPUTED_VALUE"""),"Ray Milland")</f>
        <v>Ray Milland</v>
      </c>
      <c r="S750" s="5" t="str">
        <f>IFERROR(__xludf.DUMMYFUNCTION("""COMPUTED_VALUE"""),"Estrela 1")</f>
        <v>Estrela 1</v>
      </c>
    </row>
    <row r="751">
      <c r="A751" s="1">
        <v>750.0</v>
      </c>
      <c r="B751" s="1" t="s">
        <v>4448</v>
      </c>
      <c r="C751" s="1" t="s">
        <v>3022</v>
      </c>
      <c r="D751" s="1" t="s">
        <v>1505</v>
      </c>
      <c r="E751" s="1" t="s">
        <v>4450</v>
      </c>
      <c r="F751" s="1" t="s">
        <v>3171</v>
      </c>
      <c r="G751" s="5" t="str">
        <f>IFERROR(__xludf.DUMMYFUNCTION("""COMPUTED_VALUE"""),"188🤙🏼Dial M for Murder🤙🏼Grace Kelly🤙🏼Estrela 2")</f>
        <v>188🤙🏼Dial M for Murder🤙🏼Grace Kelly🤙🏼Estrela 2</v>
      </c>
      <c r="H751" s="5">
        <f>IFERROR(__xludf.DUMMYFUNCTION("SPLiT(G751, ""🤙🏼"",FALSE,FALSE)"),188.0)</f>
        <v>188</v>
      </c>
      <c r="I751" s="5" t="str">
        <f>IFERROR(__xludf.DUMMYFUNCTION("""COMPUTED_VALUE"""),"Dial M for Murder")</f>
        <v>Dial M for Murder</v>
      </c>
      <c r="J751" s="5" t="str">
        <f>IFERROR(__xludf.DUMMYFUNCTION("""COMPUTED_VALUE"""),"Grace Kelly")</f>
        <v>Grace Kelly</v>
      </c>
      <c r="K751" s="5" t="str">
        <f>IFERROR(__xludf.DUMMYFUNCTION("""COMPUTED_VALUE"""),"Estrela 2")</f>
        <v>Estrela 2</v>
      </c>
      <c r="P751" s="5">
        <f>IFERROR(__xludf.DUMMYFUNCTION("""COMPUTED_VALUE"""),188.0)</f>
        <v>188</v>
      </c>
      <c r="Q751" s="5" t="str">
        <f>IFERROR(__xludf.DUMMYFUNCTION("""COMPUTED_VALUE"""),"Dial M for Murder")</f>
        <v>Dial M for Murder</v>
      </c>
      <c r="R751" s="5" t="str">
        <f>IFERROR(__xludf.DUMMYFUNCTION("""COMPUTED_VALUE"""),"Grace Kelly")</f>
        <v>Grace Kelly</v>
      </c>
      <c r="S751" s="5" t="str">
        <f>IFERROR(__xludf.DUMMYFUNCTION("""COMPUTED_VALUE"""),"Estrela 2")</f>
        <v>Estrela 2</v>
      </c>
    </row>
    <row r="752">
      <c r="A752" s="1">
        <v>751.0</v>
      </c>
      <c r="B752" s="1" t="s">
        <v>4451</v>
      </c>
      <c r="C752" s="1" t="s">
        <v>4373</v>
      </c>
      <c r="D752" s="1" t="s">
        <v>2245</v>
      </c>
      <c r="E752" s="1" t="s">
        <v>4453</v>
      </c>
      <c r="F752" s="1" t="s">
        <v>4454</v>
      </c>
      <c r="G752" s="5" t="str">
        <f>IFERROR(__xludf.DUMMYFUNCTION("""COMPUTED_VALUE"""),"188🤙🏼Dial M for Murder🤙🏼Robert Cummings🤙🏼Estrela 3")</f>
        <v>188🤙🏼Dial M for Murder🤙🏼Robert Cummings🤙🏼Estrela 3</v>
      </c>
      <c r="H752" s="5">
        <f>IFERROR(__xludf.DUMMYFUNCTION("SPLiT(G752, ""🤙🏼"",FALSE,FALSE)"),188.0)</f>
        <v>188</v>
      </c>
      <c r="I752" s="5" t="str">
        <f>IFERROR(__xludf.DUMMYFUNCTION("""COMPUTED_VALUE"""),"Dial M for Murder")</f>
        <v>Dial M for Murder</v>
      </c>
      <c r="J752" s="5" t="str">
        <f>IFERROR(__xludf.DUMMYFUNCTION("""COMPUTED_VALUE"""),"Robert Cummings")</f>
        <v>Robert Cummings</v>
      </c>
      <c r="K752" s="5" t="str">
        <f>IFERROR(__xludf.DUMMYFUNCTION("""COMPUTED_VALUE"""),"Estrela 3")</f>
        <v>Estrela 3</v>
      </c>
      <c r="P752" s="5">
        <f>IFERROR(__xludf.DUMMYFUNCTION("""COMPUTED_VALUE"""),188.0)</f>
        <v>188</v>
      </c>
      <c r="Q752" s="5" t="str">
        <f>IFERROR(__xludf.DUMMYFUNCTION("""COMPUTED_VALUE"""),"Dial M for Murder")</f>
        <v>Dial M for Murder</v>
      </c>
      <c r="R752" s="5" t="str">
        <f>IFERROR(__xludf.DUMMYFUNCTION("""COMPUTED_VALUE"""),"Robert Cummings")</f>
        <v>Robert Cummings</v>
      </c>
      <c r="S752" s="5" t="str">
        <f>IFERROR(__xludf.DUMMYFUNCTION("""COMPUTED_VALUE"""),"Estrela 3")</f>
        <v>Estrela 3</v>
      </c>
    </row>
    <row r="753">
      <c r="A753" s="1">
        <v>752.0</v>
      </c>
      <c r="B753" s="1" t="s">
        <v>4455</v>
      </c>
      <c r="C753" s="1" t="s">
        <v>2409</v>
      </c>
      <c r="D753" s="1" t="s">
        <v>1615</v>
      </c>
      <c r="E753" s="1" t="s">
        <v>4457</v>
      </c>
      <c r="F753" s="1" t="s">
        <v>2411</v>
      </c>
      <c r="G753" s="5" t="str">
        <f>IFERROR(__xludf.DUMMYFUNCTION("""COMPUTED_VALUE"""),"188🤙🏼Dial M for Murder🤙🏼John Williams🤙🏼Estrela 4")</f>
        <v>188🤙🏼Dial M for Murder🤙🏼John Williams🤙🏼Estrela 4</v>
      </c>
      <c r="H753" s="5">
        <f>IFERROR(__xludf.DUMMYFUNCTION("SPLiT(G753, ""🤙🏼"",FALSE,FALSE)"),188.0)</f>
        <v>188</v>
      </c>
      <c r="I753" s="5" t="str">
        <f>IFERROR(__xludf.DUMMYFUNCTION("""COMPUTED_VALUE"""),"Dial M for Murder")</f>
        <v>Dial M for Murder</v>
      </c>
      <c r="J753" s="5" t="str">
        <f>IFERROR(__xludf.DUMMYFUNCTION("""COMPUTED_VALUE"""),"John Williams")</f>
        <v>John Williams</v>
      </c>
      <c r="K753" s="5" t="str">
        <f>IFERROR(__xludf.DUMMYFUNCTION("""COMPUTED_VALUE"""),"Estrela 4")</f>
        <v>Estrela 4</v>
      </c>
      <c r="P753" s="5">
        <f>IFERROR(__xludf.DUMMYFUNCTION("""COMPUTED_VALUE"""),188.0)</f>
        <v>188</v>
      </c>
      <c r="Q753" s="5" t="str">
        <f>IFERROR(__xludf.DUMMYFUNCTION("""COMPUTED_VALUE"""),"Dial M for Murder")</f>
        <v>Dial M for Murder</v>
      </c>
      <c r="R753" s="5" t="str">
        <f>IFERROR(__xludf.DUMMYFUNCTION("""COMPUTED_VALUE"""),"John Williams")</f>
        <v>John Williams</v>
      </c>
      <c r="S753" s="5" t="str">
        <f>IFERROR(__xludf.DUMMYFUNCTION("""COMPUTED_VALUE"""),"Estrela 4")</f>
        <v>Estrela 4</v>
      </c>
    </row>
    <row r="754">
      <c r="A754" s="1">
        <v>753.0</v>
      </c>
      <c r="B754" s="1" t="s">
        <v>4458</v>
      </c>
      <c r="C754" s="1" t="s">
        <v>2245</v>
      </c>
      <c r="D754" s="1" t="s">
        <v>4450</v>
      </c>
      <c r="E754" s="1" t="s">
        <v>49</v>
      </c>
      <c r="F754" s="1" t="s">
        <v>4460</v>
      </c>
      <c r="G754" s="5" t="str">
        <f>IFERROR(__xludf.DUMMYFUNCTION("""COMPUTED_VALUE"""),"189🤙🏼Tôkyô monogatari🤙🏼Chishû Ryû🤙🏼Estrela 1")</f>
        <v>189🤙🏼Tôkyô monogatari🤙🏼Chishû Ryû🤙🏼Estrela 1</v>
      </c>
      <c r="H754" s="5">
        <f>IFERROR(__xludf.DUMMYFUNCTION("SPLiT(G754, ""🤙🏼"",FALSE,FALSE)"),189.0)</f>
        <v>189</v>
      </c>
      <c r="I754" s="5" t="str">
        <f>IFERROR(__xludf.DUMMYFUNCTION("""COMPUTED_VALUE"""),"Tôkyô monogatari")</f>
        <v>Tôkyô monogatari</v>
      </c>
      <c r="J754" s="5" t="str">
        <f>IFERROR(__xludf.DUMMYFUNCTION("""COMPUTED_VALUE"""),"Chishû Ryû")</f>
        <v>Chishû Ryû</v>
      </c>
      <c r="K754" s="5" t="str">
        <f>IFERROR(__xludf.DUMMYFUNCTION("""COMPUTED_VALUE"""),"Estrela 1")</f>
        <v>Estrela 1</v>
      </c>
      <c r="P754" s="5">
        <f>IFERROR(__xludf.DUMMYFUNCTION("""COMPUTED_VALUE"""),189.0)</f>
        <v>189</v>
      </c>
      <c r="Q754" s="5" t="str">
        <f>IFERROR(__xludf.DUMMYFUNCTION("""COMPUTED_VALUE"""),"Tôkyô monogatari")</f>
        <v>Tôkyô monogatari</v>
      </c>
      <c r="R754" s="5" t="str">
        <f>IFERROR(__xludf.DUMMYFUNCTION("""COMPUTED_VALUE"""),"Chishû Ryû")</f>
        <v>Chishû Ryû</v>
      </c>
      <c r="S754" s="5" t="str">
        <f>IFERROR(__xludf.DUMMYFUNCTION("""COMPUTED_VALUE"""),"Estrela 1")</f>
        <v>Estrela 1</v>
      </c>
    </row>
    <row r="755">
      <c r="A755" s="1">
        <v>754.0</v>
      </c>
      <c r="B755" s="1" t="s">
        <v>4461</v>
      </c>
      <c r="C755" s="1" t="s">
        <v>753</v>
      </c>
      <c r="D755" s="1" t="s">
        <v>2972</v>
      </c>
      <c r="E755" s="1" t="s">
        <v>1685</v>
      </c>
      <c r="F755" s="1" t="s">
        <v>4194</v>
      </c>
      <c r="G755" s="5" t="str">
        <f>IFERROR(__xludf.DUMMYFUNCTION("""COMPUTED_VALUE"""),"189🤙🏼Tôkyô monogatari🤙🏼Chieko Higashiyama🤙🏼Estrela 2")</f>
        <v>189🤙🏼Tôkyô monogatari🤙🏼Chieko Higashiyama🤙🏼Estrela 2</v>
      </c>
      <c r="H755" s="5">
        <f>IFERROR(__xludf.DUMMYFUNCTION("SPLiT(G755, ""🤙🏼"",FALSE,FALSE)"),189.0)</f>
        <v>189</v>
      </c>
      <c r="I755" s="5" t="str">
        <f>IFERROR(__xludf.DUMMYFUNCTION("""COMPUTED_VALUE"""),"Tôkyô monogatari")</f>
        <v>Tôkyô monogatari</v>
      </c>
      <c r="J755" s="5" t="str">
        <f>IFERROR(__xludf.DUMMYFUNCTION("""COMPUTED_VALUE"""),"Chieko Higashiyama")</f>
        <v>Chieko Higashiyama</v>
      </c>
      <c r="K755" s="5" t="str">
        <f>IFERROR(__xludf.DUMMYFUNCTION("""COMPUTED_VALUE"""),"Estrela 2")</f>
        <v>Estrela 2</v>
      </c>
      <c r="P755" s="5">
        <f>IFERROR(__xludf.DUMMYFUNCTION("""COMPUTED_VALUE"""),189.0)</f>
        <v>189</v>
      </c>
      <c r="Q755" s="5" t="str">
        <f>IFERROR(__xludf.DUMMYFUNCTION("""COMPUTED_VALUE"""),"Tôkyô monogatari")</f>
        <v>Tôkyô monogatari</v>
      </c>
      <c r="R755" s="5" t="str">
        <f>IFERROR(__xludf.DUMMYFUNCTION("""COMPUTED_VALUE"""),"Chieko Higashiyama")</f>
        <v>Chieko Higashiyama</v>
      </c>
      <c r="S755" s="5" t="str">
        <f>IFERROR(__xludf.DUMMYFUNCTION("""COMPUTED_VALUE"""),"Estrela 2")</f>
        <v>Estrela 2</v>
      </c>
    </row>
    <row r="756">
      <c r="A756" s="1">
        <v>755.0</v>
      </c>
      <c r="B756" s="1" t="s">
        <v>4463</v>
      </c>
      <c r="C756" s="1" t="s">
        <v>4466</v>
      </c>
      <c r="D756" s="1" t="s">
        <v>91</v>
      </c>
      <c r="E756" s="1" t="s">
        <v>4467</v>
      </c>
      <c r="F756" s="1" t="s">
        <v>2202</v>
      </c>
      <c r="G756" s="5" t="str">
        <f>IFERROR(__xludf.DUMMYFUNCTION("""COMPUTED_VALUE"""),"189🤙🏼Tôkyô monogatari🤙🏼Sô Yamamura🤙🏼Estrela 3")</f>
        <v>189🤙🏼Tôkyô monogatari🤙🏼Sô Yamamura🤙🏼Estrela 3</v>
      </c>
      <c r="H756" s="5">
        <f>IFERROR(__xludf.DUMMYFUNCTION("SPLiT(G756, ""🤙🏼"",FALSE,FALSE)"),189.0)</f>
        <v>189</v>
      </c>
      <c r="I756" s="5" t="str">
        <f>IFERROR(__xludf.DUMMYFUNCTION("""COMPUTED_VALUE"""),"Tôkyô monogatari")</f>
        <v>Tôkyô monogatari</v>
      </c>
      <c r="J756" s="5" t="str">
        <f>IFERROR(__xludf.DUMMYFUNCTION("""COMPUTED_VALUE"""),"Sô Yamamura")</f>
        <v>Sô Yamamura</v>
      </c>
      <c r="K756" s="5" t="str">
        <f>IFERROR(__xludf.DUMMYFUNCTION("""COMPUTED_VALUE"""),"Estrela 3")</f>
        <v>Estrela 3</v>
      </c>
      <c r="P756" s="5">
        <f>IFERROR(__xludf.DUMMYFUNCTION("""COMPUTED_VALUE"""),189.0)</f>
        <v>189</v>
      </c>
      <c r="Q756" s="5" t="str">
        <f>IFERROR(__xludf.DUMMYFUNCTION("""COMPUTED_VALUE"""),"Tôkyô monogatari")</f>
        <v>Tôkyô monogatari</v>
      </c>
      <c r="R756" s="5" t="str">
        <f>IFERROR(__xludf.DUMMYFUNCTION("""COMPUTED_VALUE"""),"Sô Yamamura")</f>
        <v>Sô Yamamura</v>
      </c>
      <c r="S756" s="5" t="str">
        <f>IFERROR(__xludf.DUMMYFUNCTION("""COMPUTED_VALUE"""),"Estrela 3")</f>
        <v>Estrela 3</v>
      </c>
    </row>
    <row r="757">
      <c r="A757" s="1">
        <v>756.0</v>
      </c>
      <c r="B757" s="1" t="s">
        <v>4468</v>
      </c>
      <c r="C757" s="1" t="s">
        <v>1568</v>
      </c>
      <c r="D757" s="1" t="s">
        <v>1569</v>
      </c>
      <c r="E757" s="1" t="s">
        <v>1570</v>
      </c>
      <c r="F757" s="1" t="s">
        <v>3619</v>
      </c>
      <c r="G757" s="5" t="str">
        <f>IFERROR(__xludf.DUMMYFUNCTION("""COMPUTED_VALUE"""),"189🤙🏼Tôkyô monogatari🤙🏼Setsuko Hara🤙🏼Estrela 4")</f>
        <v>189🤙🏼Tôkyô monogatari🤙🏼Setsuko Hara🤙🏼Estrela 4</v>
      </c>
      <c r="H757" s="5">
        <f>IFERROR(__xludf.DUMMYFUNCTION("SPLiT(G757, ""🤙🏼"",FALSE,FALSE)"),189.0)</f>
        <v>189</v>
      </c>
      <c r="I757" s="5" t="str">
        <f>IFERROR(__xludf.DUMMYFUNCTION("""COMPUTED_VALUE"""),"Tôkyô monogatari")</f>
        <v>Tôkyô monogatari</v>
      </c>
      <c r="J757" s="5" t="str">
        <f>IFERROR(__xludf.DUMMYFUNCTION("""COMPUTED_VALUE"""),"Setsuko Hara")</f>
        <v>Setsuko Hara</v>
      </c>
      <c r="K757" s="5" t="str">
        <f>IFERROR(__xludf.DUMMYFUNCTION("""COMPUTED_VALUE"""),"Estrela 4")</f>
        <v>Estrela 4</v>
      </c>
      <c r="P757" s="5">
        <f>IFERROR(__xludf.DUMMYFUNCTION("""COMPUTED_VALUE"""),189.0)</f>
        <v>189</v>
      </c>
      <c r="Q757" s="5" t="str">
        <f>IFERROR(__xludf.DUMMYFUNCTION("""COMPUTED_VALUE"""),"Tôkyô monogatari")</f>
        <v>Tôkyô monogatari</v>
      </c>
      <c r="R757" s="5" t="str">
        <f>IFERROR(__xludf.DUMMYFUNCTION("""COMPUTED_VALUE"""),"Setsuko Hara")</f>
        <v>Setsuko Hara</v>
      </c>
      <c r="S757" s="5" t="str">
        <f>IFERROR(__xludf.DUMMYFUNCTION("""COMPUTED_VALUE"""),"Estrela 4")</f>
        <v>Estrela 4</v>
      </c>
    </row>
    <row r="758">
      <c r="A758" s="1">
        <v>757.0</v>
      </c>
      <c r="B758" s="1" t="s">
        <v>4470</v>
      </c>
      <c r="C758" s="1" t="s">
        <v>2996</v>
      </c>
      <c r="D758" s="1" t="s">
        <v>215</v>
      </c>
      <c r="E758" s="1" t="s">
        <v>82</v>
      </c>
      <c r="F758" s="1" t="s">
        <v>4472</v>
      </c>
      <c r="G758" s="5" t="str">
        <f>IFERROR(__xludf.DUMMYFUNCTION("""COMPUTED_VALUE"""),"190🤙🏼Rashômon🤙🏼Toshirô Mifune🤙🏼Estrela 1")</f>
        <v>190🤙🏼Rashômon🤙🏼Toshirô Mifune🤙🏼Estrela 1</v>
      </c>
      <c r="H758" s="5">
        <f>IFERROR(__xludf.DUMMYFUNCTION("SPLiT(G758, ""🤙🏼"",FALSE,FALSE)"),190.0)</f>
        <v>190</v>
      </c>
      <c r="I758" s="5" t="str">
        <f>IFERROR(__xludf.DUMMYFUNCTION("""COMPUTED_VALUE"""),"Rashômon")</f>
        <v>Rashômon</v>
      </c>
      <c r="J758" s="5" t="str">
        <f>IFERROR(__xludf.DUMMYFUNCTION("""COMPUTED_VALUE"""),"Toshirô Mifune")</f>
        <v>Toshirô Mifune</v>
      </c>
      <c r="K758" s="5" t="str">
        <f>IFERROR(__xludf.DUMMYFUNCTION("""COMPUTED_VALUE"""),"Estrela 1")</f>
        <v>Estrela 1</v>
      </c>
      <c r="P758" s="5">
        <f>IFERROR(__xludf.DUMMYFUNCTION("""COMPUTED_VALUE"""),190.0)</f>
        <v>190</v>
      </c>
      <c r="Q758" s="5" t="str">
        <f>IFERROR(__xludf.DUMMYFUNCTION("""COMPUTED_VALUE"""),"Rashômon")</f>
        <v>Rashômon</v>
      </c>
      <c r="R758" s="5" t="str">
        <f>IFERROR(__xludf.DUMMYFUNCTION("""COMPUTED_VALUE"""),"Toshirô Mifune")</f>
        <v>Toshirô Mifune</v>
      </c>
      <c r="S758" s="5" t="str">
        <f>IFERROR(__xludf.DUMMYFUNCTION("""COMPUTED_VALUE"""),"Estrela 1")</f>
        <v>Estrela 1</v>
      </c>
    </row>
    <row r="759">
      <c r="A759" s="1">
        <v>758.0</v>
      </c>
      <c r="B759" s="1" t="s">
        <v>4473</v>
      </c>
      <c r="C759" s="1" t="s">
        <v>4475</v>
      </c>
      <c r="D759" s="1" t="s">
        <v>4476</v>
      </c>
      <c r="E759" s="1" t="s">
        <v>3171</v>
      </c>
      <c r="F759" s="1" t="s">
        <v>974</v>
      </c>
      <c r="G759" s="5" t="str">
        <f>IFERROR(__xludf.DUMMYFUNCTION("""COMPUTED_VALUE"""),"190🤙🏼Rashômon🤙🏼Machiko Kyô🤙🏼Estrela 2")</f>
        <v>190🤙🏼Rashômon🤙🏼Machiko Kyô🤙🏼Estrela 2</v>
      </c>
      <c r="H759" s="5">
        <f>IFERROR(__xludf.DUMMYFUNCTION("SPLiT(G759, ""🤙🏼"",FALSE,FALSE)"),190.0)</f>
        <v>190</v>
      </c>
      <c r="I759" s="5" t="str">
        <f>IFERROR(__xludf.DUMMYFUNCTION("""COMPUTED_VALUE"""),"Rashômon")</f>
        <v>Rashômon</v>
      </c>
      <c r="J759" s="5" t="str">
        <f>IFERROR(__xludf.DUMMYFUNCTION("""COMPUTED_VALUE"""),"Machiko Kyô")</f>
        <v>Machiko Kyô</v>
      </c>
      <c r="K759" s="5" t="str">
        <f>IFERROR(__xludf.DUMMYFUNCTION("""COMPUTED_VALUE"""),"Estrela 2")</f>
        <v>Estrela 2</v>
      </c>
      <c r="P759" s="5">
        <f>IFERROR(__xludf.DUMMYFUNCTION("""COMPUTED_VALUE"""),190.0)</f>
        <v>190</v>
      </c>
      <c r="Q759" s="5" t="str">
        <f>IFERROR(__xludf.DUMMYFUNCTION("""COMPUTED_VALUE"""),"Rashômon")</f>
        <v>Rashômon</v>
      </c>
      <c r="R759" s="5" t="str">
        <f>IFERROR(__xludf.DUMMYFUNCTION("""COMPUTED_VALUE"""),"Machiko Kyô")</f>
        <v>Machiko Kyô</v>
      </c>
      <c r="S759" s="5" t="str">
        <f>IFERROR(__xludf.DUMMYFUNCTION("""COMPUTED_VALUE"""),"Estrela 2")</f>
        <v>Estrela 2</v>
      </c>
    </row>
    <row r="760">
      <c r="A760" s="1">
        <v>759.0</v>
      </c>
      <c r="B760" s="1" t="s">
        <v>4477</v>
      </c>
      <c r="C760" s="1" t="s">
        <v>1692</v>
      </c>
      <c r="D760" s="1" t="s">
        <v>3849</v>
      </c>
      <c r="E760" s="1" t="s">
        <v>4479</v>
      </c>
      <c r="F760" s="1" t="s">
        <v>4480</v>
      </c>
      <c r="G760" s="5" t="str">
        <f>IFERROR(__xludf.DUMMYFUNCTION("""COMPUTED_VALUE"""),"190🤙🏼Rashômon🤙🏼Masayuki Mori🤙🏼Estrela 3")</f>
        <v>190🤙🏼Rashômon🤙🏼Masayuki Mori🤙🏼Estrela 3</v>
      </c>
      <c r="H760" s="5">
        <f>IFERROR(__xludf.DUMMYFUNCTION("SPLiT(G760, ""🤙🏼"",FALSE,FALSE)"),190.0)</f>
        <v>190</v>
      </c>
      <c r="I760" s="5" t="str">
        <f>IFERROR(__xludf.DUMMYFUNCTION("""COMPUTED_VALUE"""),"Rashômon")</f>
        <v>Rashômon</v>
      </c>
      <c r="J760" s="5" t="str">
        <f>IFERROR(__xludf.DUMMYFUNCTION("""COMPUTED_VALUE"""),"Masayuki Mori")</f>
        <v>Masayuki Mori</v>
      </c>
      <c r="K760" s="5" t="str">
        <f>IFERROR(__xludf.DUMMYFUNCTION("""COMPUTED_VALUE"""),"Estrela 3")</f>
        <v>Estrela 3</v>
      </c>
      <c r="P760" s="5">
        <f>IFERROR(__xludf.DUMMYFUNCTION("""COMPUTED_VALUE"""),190.0)</f>
        <v>190</v>
      </c>
      <c r="Q760" s="5" t="str">
        <f>IFERROR(__xludf.DUMMYFUNCTION("""COMPUTED_VALUE"""),"Rashômon")</f>
        <v>Rashômon</v>
      </c>
      <c r="R760" s="5" t="str">
        <f>IFERROR(__xludf.DUMMYFUNCTION("""COMPUTED_VALUE"""),"Masayuki Mori")</f>
        <v>Masayuki Mori</v>
      </c>
      <c r="S760" s="5" t="str">
        <f>IFERROR(__xludf.DUMMYFUNCTION("""COMPUTED_VALUE"""),"Estrela 3")</f>
        <v>Estrela 3</v>
      </c>
    </row>
    <row r="761">
      <c r="A761" s="1">
        <v>760.0</v>
      </c>
      <c r="B761" s="1" t="s">
        <v>4481</v>
      </c>
      <c r="C761" s="1" t="s">
        <v>4483</v>
      </c>
      <c r="D761" s="1" t="s">
        <v>4484</v>
      </c>
      <c r="E761" s="1" t="s">
        <v>4485</v>
      </c>
      <c r="F761" s="1" t="s">
        <v>4486</v>
      </c>
      <c r="G761" s="5" t="str">
        <f>IFERROR(__xludf.DUMMYFUNCTION("""COMPUTED_VALUE"""),"190🤙🏼Rashômon🤙🏼Takashi Shimura🤙🏼Estrela 4")</f>
        <v>190🤙🏼Rashômon🤙🏼Takashi Shimura🤙🏼Estrela 4</v>
      </c>
      <c r="H761" s="5">
        <f>IFERROR(__xludf.DUMMYFUNCTION("SPLiT(G761, ""🤙🏼"",FALSE,FALSE)"),190.0)</f>
        <v>190</v>
      </c>
      <c r="I761" s="5" t="str">
        <f>IFERROR(__xludf.DUMMYFUNCTION("""COMPUTED_VALUE"""),"Rashômon")</f>
        <v>Rashômon</v>
      </c>
      <c r="J761" s="5" t="str">
        <f>IFERROR(__xludf.DUMMYFUNCTION("""COMPUTED_VALUE"""),"Takashi Shimura")</f>
        <v>Takashi Shimura</v>
      </c>
      <c r="K761" s="5" t="str">
        <f>IFERROR(__xludf.DUMMYFUNCTION("""COMPUTED_VALUE"""),"Estrela 4")</f>
        <v>Estrela 4</v>
      </c>
      <c r="P761" s="5">
        <f>IFERROR(__xludf.DUMMYFUNCTION("""COMPUTED_VALUE"""),190.0)</f>
        <v>190</v>
      </c>
      <c r="Q761" s="5" t="str">
        <f>IFERROR(__xludf.DUMMYFUNCTION("""COMPUTED_VALUE"""),"Rashômon")</f>
        <v>Rashômon</v>
      </c>
      <c r="R761" s="5" t="str">
        <f>IFERROR(__xludf.DUMMYFUNCTION("""COMPUTED_VALUE"""),"Takashi Shimura")</f>
        <v>Takashi Shimura</v>
      </c>
      <c r="S761" s="5" t="str">
        <f>IFERROR(__xludf.DUMMYFUNCTION("""COMPUTED_VALUE"""),"Estrela 4")</f>
        <v>Estrela 4</v>
      </c>
    </row>
    <row r="762">
      <c r="A762" s="1">
        <v>761.0</v>
      </c>
      <c r="B762" s="1" t="s">
        <v>4487</v>
      </c>
      <c r="C762" s="1" t="s">
        <v>4489</v>
      </c>
      <c r="D762" s="1" t="s">
        <v>4490</v>
      </c>
      <c r="E762" s="1" t="s">
        <v>4491</v>
      </c>
      <c r="F762" s="1" t="s">
        <v>4492</v>
      </c>
      <c r="G762" s="5" t="str">
        <f>IFERROR(__xludf.DUMMYFUNCTION("""COMPUTED_VALUE"""),"191🤙🏼All About Eve🤙🏼Bette Davis🤙🏼Estrela 1")</f>
        <v>191🤙🏼All About Eve🤙🏼Bette Davis🤙🏼Estrela 1</v>
      </c>
      <c r="H762" s="5">
        <f>IFERROR(__xludf.DUMMYFUNCTION("SPLiT(G762, ""🤙🏼"",FALSE,FALSE)"),191.0)</f>
        <v>191</v>
      </c>
      <c r="I762" s="5" t="str">
        <f>IFERROR(__xludf.DUMMYFUNCTION("""COMPUTED_VALUE"""),"All About Eve")</f>
        <v>All About Eve</v>
      </c>
      <c r="J762" s="5" t="str">
        <f>IFERROR(__xludf.DUMMYFUNCTION("""COMPUTED_VALUE"""),"Bette Davis")</f>
        <v>Bette Davis</v>
      </c>
      <c r="K762" s="5" t="str">
        <f>IFERROR(__xludf.DUMMYFUNCTION("""COMPUTED_VALUE"""),"Estrela 1")</f>
        <v>Estrela 1</v>
      </c>
      <c r="P762" s="5">
        <f>IFERROR(__xludf.DUMMYFUNCTION("""COMPUTED_VALUE"""),191.0)</f>
        <v>191</v>
      </c>
      <c r="Q762" s="5" t="str">
        <f>IFERROR(__xludf.DUMMYFUNCTION("""COMPUTED_VALUE"""),"All About Eve")</f>
        <v>All About Eve</v>
      </c>
      <c r="R762" s="5" t="str">
        <f>IFERROR(__xludf.DUMMYFUNCTION("""COMPUTED_VALUE"""),"Bette Davis")</f>
        <v>Bette Davis</v>
      </c>
      <c r="S762" s="5" t="str">
        <f>IFERROR(__xludf.DUMMYFUNCTION("""COMPUTED_VALUE"""),"Estrela 1")</f>
        <v>Estrela 1</v>
      </c>
    </row>
    <row r="763">
      <c r="A763" s="1">
        <v>762.0</v>
      </c>
      <c r="B763" s="1" t="s">
        <v>4493</v>
      </c>
      <c r="C763" s="1" t="s">
        <v>4495</v>
      </c>
      <c r="D763" s="1" t="s">
        <v>4496</v>
      </c>
      <c r="E763" s="1" t="s">
        <v>4497</v>
      </c>
      <c r="F763" s="1" t="s">
        <v>4498</v>
      </c>
      <c r="G763" s="5" t="str">
        <f>IFERROR(__xludf.DUMMYFUNCTION("""COMPUTED_VALUE"""),"191🤙🏼All About Eve🤙🏼Anne Baxter🤙🏼Estrela 2")</f>
        <v>191🤙🏼All About Eve🤙🏼Anne Baxter🤙🏼Estrela 2</v>
      </c>
      <c r="H763" s="5">
        <f>IFERROR(__xludf.DUMMYFUNCTION("SPLiT(G763, ""🤙🏼"",FALSE,FALSE)"),191.0)</f>
        <v>191</v>
      </c>
      <c r="I763" s="5" t="str">
        <f>IFERROR(__xludf.DUMMYFUNCTION("""COMPUTED_VALUE"""),"All About Eve")</f>
        <v>All About Eve</v>
      </c>
      <c r="J763" s="5" t="str">
        <f>IFERROR(__xludf.DUMMYFUNCTION("""COMPUTED_VALUE"""),"Anne Baxter")</f>
        <v>Anne Baxter</v>
      </c>
      <c r="K763" s="5" t="str">
        <f>IFERROR(__xludf.DUMMYFUNCTION("""COMPUTED_VALUE"""),"Estrela 2")</f>
        <v>Estrela 2</v>
      </c>
      <c r="P763" s="5">
        <f>IFERROR(__xludf.DUMMYFUNCTION("""COMPUTED_VALUE"""),191.0)</f>
        <v>191</v>
      </c>
      <c r="Q763" s="5" t="str">
        <f>IFERROR(__xludf.DUMMYFUNCTION("""COMPUTED_VALUE"""),"All About Eve")</f>
        <v>All About Eve</v>
      </c>
      <c r="R763" s="5" t="str">
        <f>IFERROR(__xludf.DUMMYFUNCTION("""COMPUTED_VALUE"""),"Anne Baxter")</f>
        <v>Anne Baxter</v>
      </c>
      <c r="S763" s="5" t="str">
        <f>IFERROR(__xludf.DUMMYFUNCTION("""COMPUTED_VALUE"""),"Estrela 2")</f>
        <v>Estrela 2</v>
      </c>
    </row>
    <row r="764">
      <c r="A764" s="1">
        <v>763.0</v>
      </c>
      <c r="B764" s="1" t="s">
        <v>4499</v>
      </c>
      <c r="C764" s="1" t="s">
        <v>4502</v>
      </c>
      <c r="D764" s="1" t="s">
        <v>4503</v>
      </c>
      <c r="E764" s="1" t="s">
        <v>4504</v>
      </c>
      <c r="F764" s="1" t="s">
        <v>4505</v>
      </c>
      <c r="G764" s="5" t="str">
        <f>IFERROR(__xludf.DUMMYFUNCTION("""COMPUTED_VALUE"""),"191🤙🏼All About Eve🤙🏼George Sanders🤙🏼Estrela 3")</f>
        <v>191🤙🏼All About Eve🤙🏼George Sanders🤙🏼Estrela 3</v>
      </c>
      <c r="H764" s="5">
        <f>IFERROR(__xludf.DUMMYFUNCTION("SPLiT(G764, ""🤙🏼"",FALSE,FALSE)"),191.0)</f>
        <v>191</v>
      </c>
      <c r="I764" s="5" t="str">
        <f>IFERROR(__xludf.DUMMYFUNCTION("""COMPUTED_VALUE"""),"All About Eve")</f>
        <v>All About Eve</v>
      </c>
      <c r="J764" s="5" t="str">
        <f>IFERROR(__xludf.DUMMYFUNCTION("""COMPUTED_VALUE"""),"George Sanders")</f>
        <v>George Sanders</v>
      </c>
      <c r="K764" s="5" t="str">
        <f>IFERROR(__xludf.DUMMYFUNCTION("""COMPUTED_VALUE"""),"Estrela 3")</f>
        <v>Estrela 3</v>
      </c>
      <c r="P764" s="5">
        <f>IFERROR(__xludf.DUMMYFUNCTION("""COMPUTED_VALUE"""),191.0)</f>
        <v>191</v>
      </c>
      <c r="Q764" s="5" t="str">
        <f>IFERROR(__xludf.DUMMYFUNCTION("""COMPUTED_VALUE"""),"All About Eve")</f>
        <v>All About Eve</v>
      </c>
      <c r="R764" s="5" t="str">
        <f>IFERROR(__xludf.DUMMYFUNCTION("""COMPUTED_VALUE"""),"George Sanders")</f>
        <v>George Sanders</v>
      </c>
      <c r="S764" s="5" t="str">
        <f>IFERROR(__xludf.DUMMYFUNCTION("""COMPUTED_VALUE"""),"Estrela 3")</f>
        <v>Estrela 3</v>
      </c>
    </row>
    <row r="765">
      <c r="A765" s="1">
        <v>764.0</v>
      </c>
      <c r="B765" s="1" t="s">
        <v>4506</v>
      </c>
      <c r="C765" s="1" t="s">
        <v>4509</v>
      </c>
      <c r="D765" s="1" t="s">
        <v>4510</v>
      </c>
      <c r="E765" s="1" t="s">
        <v>4511</v>
      </c>
      <c r="F765" s="1" t="s">
        <v>4512</v>
      </c>
      <c r="G765" s="5" t="str">
        <f>IFERROR(__xludf.DUMMYFUNCTION("""COMPUTED_VALUE"""),"191🤙🏼All About Eve🤙🏼Celeste Holm🤙🏼Estrela 4")</f>
        <v>191🤙🏼All About Eve🤙🏼Celeste Holm🤙🏼Estrela 4</v>
      </c>
      <c r="H765" s="5">
        <f>IFERROR(__xludf.DUMMYFUNCTION("SPLiT(G765, ""🤙🏼"",FALSE,FALSE)"),191.0)</f>
        <v>191</v>
      </c>
      <c r="I765" s="5" t="str">
        <f>IFERROR(__xludf.DUMMYFUNCTION("""COMPUTED_VALUE"""),"All About Eve")</f>
        <v>All About Eve</v>
      </c>
      <c r="J765" s="5" t="str">
        <f>IFERROR(__xludf.DUMMYFUNCTION("""COMPUTED_VALUE"""),"Celeste Holm")</f>
        <v>Celeste Holm</v>
      </c>
      <c r="K765" s="5" t="str">
        <f>IFERROR(__xludf.DUMMYFUNCTION("""COMPUTED_VALUE"""),"Estrela 4")</f>
        <v>Estrela 4</v>
      </c>
      <c r="P765" s="5">
        <f>IFERROR(__xludf.DUMMYFUNCTION("""COMPUTED_VALUE"""),191.0)</f>
        <v>191</v>
      </c>
      <c r="Q765" s="5" t="str">
        <f>IFERROR(__xludf.DUMMYFUNCTION("""COMPUTED_VALUE"""),"All About Eve")</f>
        <v>All About Eve</v>
      </c>
      <c r="R765" s="5" t="str">
        <f>IFERROR(__xludf.DUMMYFUNCTION("""COMPUTED_VALUE"""),"Celeste Holm")</f>
        <v>Celeste Holm</v>
      </c>
      <c r="S765" s="5" t="str">
        <f>IFERROR(__xludf.DUMMYFUNCTION("""COMPUTED_VALUE"""),"Estrela 4")</f>
        <v>Estrela 4</v>
      </c>
    </row>
    <row r="766">
      <c r="A766" s="1">
        <v>765.0</v>
      </c>
      <c r="B766" s="1" t="s">
        <v>4513</v>
      </c>
      <c r="C766" s="1" t="s">
        <v>4516</v>
      </c>
      <c r="D766" s="1" t="s">
        <v>2264</v>
      </c>
      <c r="E766" s="1" t="s">
        <v>3015</v>
      </c>
      <c r="F766" s="1" t="s">
        <v>4517</v>
      </c>
      <c r="G766" s="5" t="str">
        <f>IFERROR(__xludf.DUMMYFUNCTION("""COMPUTED_VALUE"""),"192🤙🏼The Treasure of the Sierra Madre🤙🏼Humphrey Bogart🤙🏼Estrela 1")</f>
        <v>192🤙🏼The Treasure of the Sierra Madre🤙🏼Humphrey Bogart🤙🏼Estrela 1</v>
      </c>
      <c r="H766" s="5">
        <f>IFERROR(__xludf.DUMMYFUNCTION("SPLiT(G766, ""🤙🏼"",FALSE,FALSE)"),192.0)</f>
        <v>192</v>
      </c>
      <c r="I766" s="5" t="str">
        <f>IFERROR(__xludf.DUMMYFUNCTION("""COMPUTED_VALUE"""),"The Treasure of the Sierra Madre")</f>
        <v>The Treasure of the Sierra Madre</v>
      </c>
      <c r="J766" s="5" t="str">
        <f>IFERROR(__xludf.DUMMYFUNCTION("""COMPUTED_VALUE"""),"Humphrey Bogart")</f>
        <v>Humphrey Bogart</v>
      </c>
      <c r="K766" s="5" t="str">
        <f>IFERROR(__xludf.DUMMYFUNCTION("""COMPUTED_VALUE"""),"Estrela 1")</f>
        <v>Estrela 1</v>
      </c>
      <c r="P766" s="5">
        <f>IFERROR(__xludf.DUMMYFUNCTION("""COMPUTED_VALUE"""),192.0)</f>
        <v>192</v>
      </c>
      <c r="Q766" s="5" t="str">
        <f>IFERROR(__xludf.DUMMYFUNCTION("""COMPUTED_VALUE"""),"The Treasure of the Sierra Madre")</f>
        <v>The Treasure of the Sierra Madre</v>
      </c>
      <c r="R766" s="5" t="str">
        <f>IFERROR(__xludf.DUMMYFUNCTION("""COMPUTED_VALUE"""),"Humphrey Bogart")</f>
        <v>Humphrey Bogart</v>
      </c>
      <c r="S766" s="5" t="str">
        <f>IFERROR(__xludf.DUMMYFUNCTION("""COMPUTED_VALUE"""),"Estrela 1")</f>
        <v>Estrela 1</v>
      </c>
    </row>
    <row r="767">
      <c r="A767" s="1">
        <v>766.0</v>
      </c>
      <c r="B767" s="1" t="s">
        <v>4518</v>
      </c>
      <c r="C767" s="1" t="s">
        <v>673</v>
      </c>
      <c r="D767" s="1" t="s">
        <v>4521</v>
      </c>
      <c r="E767" s="1" t="s">
        <v>4334</v>
      </c>
      <c r="F767" s="1" t="s">
        <v>4522</v>
      </c>
      <c r="G767" s="5" t="str">
        <f>IFERROR(__xludf.DUMMYFUNCTION("""COMPUTED_VALUE"""),"192🤙🏼The Treasure of the Sierra Madre🤙🏼Walter Huston🤙🏼Estrela 2")</f>
        <v>192🤙🏼The Treasure of the Sierra Madre🤙🏼Walter Huston🤙🏼Estrela 2</v>
      </c>
      <c r="H767" s="5">
        <f>IFERROR(__xludf.DUMMYFUNCTION("SPLiT(G767, ""🤙🏼"",FALSE,FALSE)"),192.0)</f>
        <v>192</v>
      </c>
      <c r="I767" s="5" t="str">
        <f>IFERROR(__xludf.DUMMYFUNCTION("""COMPUTED_VALUE"""),"The Treasure of the Sierra Madre")</f>
        <v>The Treasure of the Sierra Madre</v>
      </c>
      <c r="J767" s="5" t="str">
        <f>IFERROR(__xludf.DUMMYFUNCTION("""COMPUTED_VALUE"""),"Walter Huston")</f>
        <v>Walter Huston</v>
      </c>
      <c r="K767" s="5" t="str">
        <f>IFERROR(__xludf.DUMMYFUNCTION("""COMPUTED_VALUE"""),"Estrela 2")</f>
        <v>Estrela 2</v>
      </c>
      <c r="P767" s="5">
        <f>IFERROR(__xludf.DUMMYFUNCTION("""COMPUTED_VALUE"""),192.0)</f>
        <v>192</v>
      </c>
      <c r="Q767" s="5" t="str">
        <f>IFERROR(__xludf.DUMMYFUNCTION("""COMPUTED_VALUE"""),"The Treasure of the Sierra Madre")</f>
        <v>The Treasure of the Sierra Madre</v>
      </c>
      <c r="R767" s="5" t="str">
        <f>IFERROR(__xludf.DUMMYFUNCTION("""COMPUTED_VALUE"""),"Walter Huston")</f>
        <v>Walter Huston</v>
      </c>
      <c r="S767" s="5" t="str">
        <f>IFERROR(__xludf.DUMMYFUNCTION("""COMPUTED_VALUE"""),"Estrela 2")</f>
        <v>Estrela 2</v>
      </c>
    </row>
    <row r="768">
      <c r="A768" s="1">
        <v>767.0</v>
      </c>
      <c r="B768" s="1" t="s">
        <v>4523</v>
      </c>
      <c r="C768" s="1" t="s">
        <v>3022</v>
      </c>
      <c r="D768" s="1" t="s">
        <v>3009</v>
      </c>
      <c r="E768" s="1" t="s">
        <v>4526</v>
      </c>
      <c r="F768" s="1" t="s">
        <v>499</v>
      </c>
      <c r="G768" s="5" t="str">
        <f>IFERROR(__xludf.DUMMYFUNCTION("""COMPUTED_VALUE"""),"192🤙🏼The Treasure of the Sierra Madre🤙🏼Tim Holt🤙🏼Estrela 3")</f>
        <v>192🤙🏼The Treasure of the Sierra Madre🤙🏼Tim Holt🤙🏼Estrela 3</v>
      </c>
      <c r="H768" s="5">
        <f>IFERROR(__xludf.DUMMYFUNCTION("SPLiT(G768, ""🤙🏼"",FALSE,FALSE)"),192.0)</f>
        <v>192</v>
      </c>
      <c r="I768" s="5" t="str">
        <f>IFERROR(__xludf.DUMMYFUNCTION("""COMPUTED_VALUE"""),"The Treasure of the Sierra Madre")</f>
        <v>The Treasure of the Sierra Madre</v>
      </c>
      <c r="J768" s="5" t="str">
        <f>IFERROR(__xludf.DUMMYFUNCTION("""COMPUTED_VALUE"""),"Tim Holt")</f>
        <v>Tim Holt</v>
      </c>
      <c r="K768" s="5" t="str">
        <f>IFERROR(__xludf.DUMMYFUNCTION("""COMPUTED_VALUE"""),"Estrela 3")</f>
        <v>Estrela 3</v>
      </c>
      <c r="P768" s="5">
        <f>IFERROR(__xludf.DUMMYFUNCTION("""COMPUTED_VALUE"""),192.0)</f>
        <v>192</v>
      </c>
      <c r="Q768" s="5" t="str">
        <f>IFERROR(__xludf.DUMMYFUNCTION("""COMPUTED_VALUE"""),"The Treasure of the Sierra Madre")</f>
        <v>The Treasure of the Sierra Madre</v>
      </c>
      <c r="R768" s="5" t="str">
        <f>IFERROR(__xludf.DUMMYFUNCTION("""COMPUTED_VALUE"""),"Tim Holt")</f>
        <v>Tim Holt</v>
      </c>
      <c r="S768" s="5" t="str">
        <f>IFERROR(__xludf.DUMMYFUNCTION("""COMPUTED_VALUE"""),"Estrela 3")</f>
        <v>Estrela 3</v>
      </c>
    </row>
    <row r="769">
      <c r="A769" s="1">
        <v>768.0</v>
      </c>
      <c r="B769" s="1" t="s">
        <v>4527</v>
      </c>
      <c r="C769" s="1" t="s">
        <v>1542</v>
      </c>
      <c r="D769" s="1" t="s">
        <v>479</v>
      </c>
      <c r="E769" s="1" t="s">
        <v>481</v>
      </c>
      <c r="F769" s="1" t="s">
        <v>4492</v>
      </c>
      <c r="G769" s="5" t="str">
        <f>IFERROR(__xludf.DUMMYFUNCTION("""COMPUTED_VALUE"""),"192🤙🏼The Treasure of the Sierra Madre🤙🏼Bruce Bennett🤙🏼Estrela 4")</f>
        <v>192🤙🏼The Treasure of the Sierra Madre🤙🏼Bruce Bennett🤙🏼Estrela 4</v>
      </c>
      <c r="H769" s="5">
        <f>IFERROR(__xludf.DUMMYFUNCTION("SPLiT(G769, ""🤙🏼"",FALSE,FALSE)"),192.0)</f>
        <v>192</v>
      </c>
      <c r="I769" s="5" t="str">
        <f>IFERROR(__xludf.DUMMYFUNCTION("""COMPUTED_VALUE"""),"The Treasure of the Sierra Madre")</f>
        <v>The Treasure of the Sierra Madre</v>
      </c>
      <c r="J769" s="5" t="str">
        <f>IFERROR(__xludf.DUMMYFUNCTION("""COMPUTED_VALUE"""),"Bruce Bennett")</f>
        <v>Bruce Bennett</v>
      </c>
      <c r="K769" s="5" t="str">
        <f>IFERROR(__xludf.DUMMYFUNCTION("""COMPUTED_VALUE"""),"Estrela 4")</f>
        <v>Estrela 4</v>
      </c>
      <c r="P769" s="5">
        <f>IFERROR(__xludf.DUMMYFUNCTION("""COMPUTED_VALUE"""),192.0)</f>
        <v>192</v>
      </c>
      <c r="Q769" s="5" t="str">
        <f>IFERROR(__xludf.DUMMYFUNCTION("""COMPUTED_VALUE"""),"The Treasure of the Sierra Madre")</f>
        <v>The Treasure of the Sierra Madre</v>
      </c>
      <c r="R769" s="5" t="str">
        <f>IFERROR(__xludf.DUMMYFUNCTION("""COMPUTED_VALUE"""),"Bruce Bennett")</f>
        <v>Bruce Bennett</v>
      </c>
      <c r="S769" s="5" t="str">
        <f>IFERROR(__xludf.DUMMYFUNCTION("""COMPUTED_VALUE"""),"Estrela 4")</f>
        <v>Estrela 4</v>
      </c>
    </row>
    <row r="770">
      <c r="A770" s="1">
        <v>769.0</v>
      </c>
      <c r="B770" s="1" t="s">
        <v>4529</v>
      </c>
      <c r="C770" s="1" t="s">
        <v>4532</v>
      </c>
      <c r="D770" s="1" t="s">
        <v>84</v>
      </c>
      <c r="E770" s="1" t="s">
        <v>24</v>
      </c>
      <c r="F770" s="1" t="s">
        <v>4421</v>
      </c>
      <c r="G770" s="5" t="str">
        <f>IFERROR(__xludf.DUMMYFUNCTION("""COMPUTED_VALUE"""),"193🤙🏼To Be or Not to Be🤙🏼Carole Lombard🤙🏼Estrela 1")</f>
        <v>193🤙🏼To Be or Not to Be🤙🏼Carole Lombard🤙🏼Estrela 1</v>
      </c>
      <c r="H770" s="5">
        <f>IFERROR(__xludf.DUMMYFUNCTION("SPLiT(G770, ""🤙🏼"",FALSE,FALSE)"),193.0)</f>
        <v>193</v>
      </c>
      <c r="I770" s="5" t="str">
        <f>IFERROR(__xludf.DUMMYFUNCTION("""COMPUTED_VALUE"""),"To Be or Not to Be")</f>
        <v>To Be or Not to Be</v>
      </c>
      <c r="J770" s="5" t="str">
        <f>IFERROR(__xludf.DUMMYFUNCTION("""COMPUTED_VALUE"""),"Carole Lombard")</f>
        <v>Carole Lombard</v>
      </c>
      <c r="K770" s="5" t="str">
        <f>IFERROR(__xludf.DUMMYFUNCTION("""COMPUTED_VALUE"""),"Estrela 1")</f>
        <v>Estrela 1</v>
      </c>
      <c r="P770" s="5">
        <f>IFERROR(__xludf.DUMMYFUNCTION("""COMPUTED_VALUE"""),193.0)</f>
        <v>193</v>
      </c>
      <c r="Q770" s="5" t="str">
        <f>IFERROR(__xludf.DUMMYFUNCTION("""COMPUTED_VALUE"""),"To Be or Not to Be")</f>
        <v>To Be or Not to Be</v>
      </c>
      <c r="R770" s="5" t="str">
        <f>IFERROR(__xludf.DUMMYFUNCTION("""COMPUTED_VALUE"""),"Carole Lombard")</f>
        <v>Carole Lombard</v>
      </c>
      <c r="S770" s="5" t="str">
        <f>IFERROR(__xludf.DUMMYFUNCTION("""COMPUTED_VALUE"""),"Estrela 1")</f>
        <v>Estrela 1</v>
      </c>
    </row>
    <row r="771">
      <c r="A771" s="1">
        <v>770.0</v>
      </c>
      <c r="B771" s="1" t="s">
        <v>4533</v>
      </c>
      <c r="C771" s="1" t="s">
        <v>710</v>
      </c>
      <c r="D771" s="1" t="s">
        <v>4537</v>
      </c>
      <c r="E771" s="1" t="s">
        <v>4538</v>
      </c>
      <c r="F771" s="1" t="s">
        <v>4539</v>
      </c>
      <c r="G771" s="5" t="str">
        <f>IFERROR(__xludf.DUMMYFUNCTION("""COMPUTED_VALUE"""),"193🤙🏼To Be or Not to Be🤙🏼Jack Benny🤙🏼Estrela 2")</f>
        <v>193🤙🏼To Be or Not to Be🤙🏼Jack Benny🤙🏼Estrela 2</v>
      </c>
      <c r="H771" s="5">
        <f>IFERROR(__xludf.DUMMYFUNCTION("SPLiT(G771, ""🤙🏼"",FALSE,FALSE)"),193.0)</f>
        <v>193</v>
      </c>
      <c r="I771" s="5" t="str">
        <f>IFERROR(__xludf.DUMMYFUNCTION("""COMPUTED_VALUE"""),"To Be or Not to Be")</f>
        <v>To Be or Not to Be</v>
      </c>
      <c r="J771" s="5" t="str">
        <f>IFERROR(__xludf.DUMMYFUNCTION("""COMPUTED_VALUE"""),"Jack Benny")</f>
        <v>Jack Benny</v>
      </c>
      <c r="K771" s="5" t="str">
        <f>IFERROR(__xludf.DUMMYFUNCTION("""COMPUTED_VALUE"""),"Estrela 2")</f>
        <v>Estrela 2</v>
      </c>
      <c r="P771" s="5">
        <f>IFERROR(__xludf.DUMMYFUNCTION("""COMPUTED_VALUE"""),193.0)</f>
        <v>193</v>
      </c>
      <c r="Q771" s="5" t="str">
        <f>IFERROR(__xludf.DUMMYFUNCTION("""COMPUTED_VALUE"""),"To Be or Not to Be")</f>
        <v>To Be or Not to Be</v>
      </c>
      <c r="R771" s="5" t="str">
        <f>IFERROR(__xludf.DUMMYFUNCTION("""COMPUTED_VALUE"""),"Jack Benny")</f>
        <v>Jack Benny</v>
      </c>
      <c r="S771" s="5" t="str">
        <f>IFERROR(__xludf.DUMMYFUNCTION("""COMPUTED_VALUE"""),"Estrela 2")</f>
        <v>Estrela 2</v>
      </c>
    </row>
    <row r="772">
      <c r="A772" s="1">
        <v>771.0</v>
      </c>
      <c r="B772" s="1" t="s">
        <v>4540</v>
      </c>
      <c r="C772" s="1" t="s">
        <v>4543</v>
      </c>
      <c r="D772" s="1" t="s">
        <v>4544</v>
      </c>
      <c r="E772" s="1" t="s">
        <v>4545</v>
      </c>
      <c r="F772" s="1" t="s">
        <v>1138</v>
      </c>
      <c r="G772" s="5" t="str">
        <f>IFERROR(__xludf.DUMMYFUNCTION("""COMPUTED_VALUE"""),"193🤙🏼To Be or Not to Be🤙🏼Robert Stack🤙🏼Estrela 3")</f>
        <v>193🤙🏼To Be or Not to Be🤙🏼Robert Stack🤙🏼Estrela 3</v>
      </c>
      <c r="H772" s="5">
        <f>IFERROR(__xludf.DUMMYFUNCTION("SPLiT(G772, ""🤙🏼"",FALSE,FALSE)"),193.0)</f>
        <v>193</v>
      </c>
      <c r="I772" s="5" t="str">
        <f>IFERROR(__xludf.DUMMYFUNCTION("""COMPUTED_VALUE"""),"To Be or Not to Be")</f>
        <v>To Be or Not to Be</v>
      </c>
      <c r="J772" s="5" t="str">
        <f>IFERROR(__xludf.DUMMYFUNCTION("""COMPUTED_VALUE"""),"Robert Stack")</f>
        <v>Robert Stack</v>
      </c>
      <c r="K772" s="5" t="str">
        <f>IFERROR(__xludf.DUMMYFUNCTION("""COMPUTED_VALUE"""),"Estrela 3")</f>
        <v>Estrela 3</v>
      </c>
      <c r="P772" s="5">
        <f>IFERROR(__xludf.DUMMYFUNCTION("""COMPUTED_VALUE"""),193.0)</f>
        <v>193</v>
      </c>
      <c r="Q772" s="5" t="str">
        <f>IFERROR(__xludf.DUMMYFUNCTION("""COMPUTED_VALUE"""),"To Be or Not to Be")</f>
        <v>To Be or Not to Be</v>
      </c>
      <c r="R772" s="5" t="str">
        <f>IFERROR(__xludf.DUMMYFUNCTION("""COMPUTED_VALUE"""),"Robert Stack")</f>
        <v>Robert Stack</v>
      </c>
      <c r="S772" s="5" t="str">
        <f>IFERROR(__xludf.DUMMYFUNCTION("""COMPUTED_VALUE"""),"Estrela 3")</f>
        <v>Estrela 3</v>
      </c>
    </row>
    <row r="773">
      <c r="A773" s="1">
        <v>772.0</v>
      </c>
      <c r="B773" s="1" t="s">
        <v>4546</v>
      </c>
      <c r="C773" s="1" t="s">
        <v>2191</v>
      </c>
      <c r="D773" s="1" t="s">
        <v>4549</v>
      </c>
      <c r="E773" s="1" t="s">
        <v>4550</v>
      </c>
      <c r="F773" s="1" t="s">
        <v>4551</v>
      </c>
      <c r="G773" s="5" t="str">
        <f>IFERROR(__xludf.DUMMYFUNCTION("""COMPUTED_VALUE"""),"193🤙🏼To Be or Not to Be🤙🏼Felix Bressart🤙🏼Estrela 4")</f>
        <v>193🤙🏼To Be or Not to Be🤙🏼Felix Bressart🤙🏼Estrela 4</v>
      </c>
      <c r="H773" s="5">
        <f>IFERROR(__xludf.DUMMYFUNCTION("SPLiT(G773, ""🤙🏼"",FALSE,FALSE)"),193.0)</f>
        <v>193</v>
      </c>
      <c r="I773" s="5" t="str">
        <f>IFERROR(__xludf.DUMMYFUNCTION("""COMPUTED_VALUE"""),"To Be or Not to Be")</f>
        <v>To Be or Not to Be</v>
      </c>
      <c r="J773" s="5" t="str">
        <f>IFERROR(__xludf.DUMMYFUNCTION("""COMPUTED_VALUE"""),"Felix Bressart")</f>
        <v>Felix Bressart</v>
      </c>
      <c r="K773" s="5" t="str">
        <f>IFERROR(__xludf.DUMMYFUNCTION("""COMPUTED_VALUE"""),"Estrela 4")</f>
        <v>Estrela 4</v>
      </c>
      <c r="P773" s="5">
        <f>IFERROR(__xludf.DUMMYFUNCTION("""COMPUTED_VALUE"""),193.0)</f>
        <v>193</v>
      </c>
      <c r="Q773" s="5" t="str">
        <f>IFERROR(__xludf.DUMMYFUNCTION("""COMPUTED_VALUE"""),"To Be or Not to Be")</f>
        <v>To Be or Not to Be</v>
      </c>
      <c r="R773" s="5" t="str">
        <f>IFERROR(__xludf.DUMMYFUNCTION("""COMPUTED_VALUE"""),"Felix Bressart")</f>
        <v>Felix Bressart</v>
      </c>
      <c r="S773" s="5" t="str">
        <f>IFERROR(__xludf.DUMMYFUNCTION("""COMPUTED_VALUE"""),"Estrela 4")</f>
        <v>Estrela 4</v>
      </c>
    </row>
    <row r="774">
      <c r="A774" s="1">
        <v>773.0</v>
      </c>
      <c r="B774" s="1" t="s">
        <v>4552</v>
      </c>
      <c r="C774" s="1" t="s">
        <v>4555</v>
      </c>
      <c r="D774" s="1" t="s">
        <v>532</v>
      </c>
      <c r="E774" s="1" t="s">
        <v>4556</v>
      </c>
      <c r="F774" s="1" t="s">
        <v>4557</v>
      </c>
      <c r="G774" s="5" t="str">
        <f>IFERROR(__xludf.DUMMYFUNCTION("""COMPUTED_VALUE"""),"194🤙🏼The Gold Rush🤙🏼Charles Chaplin🤙🏼Estrela 1")</f>
        <v>194🤙🏼The Gold Rush🤙🏼Charles Chaplin🤙🏼Estrela 1</v>
      </c>
      <c r="H774" s="5">
        <f>IFERROR(__xludf.DUMMYFUNCTION("SPLiT(G774, ""🤙🏼"",FALSE,FALSE)"),194.0)</f>
        <v>194</v>
      </c>
      <c r="I774" s="5" t="str">
        <f>IFERROR(__xludf.DUMMYFUNCTION("""COMPUTED_VALUE"""),"The Gold Rush")</f>
        <v>The Gold Rush</v>
      </c>
      <c r="J774" s="5" t="str">
        <f>IFERROR(__xludf.DUMMYFUNCTION("""COMPUTED_VALUE"""),"Charles Chaplin")</f>
        <v>Charles Chaplin</v>
      </c>
      <c r="K774" s="5" t="str">
        <f>IFERROR(__xludf.DUMMYFUNCTION("""COMPUTED_VALUE"""),"Estrela 1")</f>
        <v>Estrela 1</v>
      </c>
      <c r="P774" s="5">
        <f>IFERROR(__xludf.DUMMYFUNCTION("""COMPUTED_VALUE"""),194.0)</f>
        <v>194</v>
      </c>
      <c r="Q774" s="5" t="str">
        <f>IFERROR(__xludf.DUMMYFUNCTION("""COMPUTED_VALUE"""),"The Gold Rush")</f>
        <v>The Gold Rush</v>
      </c>
      <c r="R774" s="5" t="str">
        <f>IFERROR(__xludf.DUMMYFUNCTION("""COMPUTED_VALUE"""),"Charles Chaplin")</f>
        <v>Charles Chaplin</v>
      </c>
      <c r="S774" s="5" t="str">
        <f>IFERROR(__xludf.DUMMYFUNCTION("""COMPUTED_VALUE"""),"Estrela 1")</f>
        <v>Estrela 1</v>
      </c>
    </row>
    <row r="775">
      <c r="A775" s="1">
        <v>774.0</v>
      </c>
      <c r="B775" s="1" t="s">
        <v>4558</v>
      </c>
      <c r="C775" s="1" t="s">
        <v>1542</v>
      </c>
      <c r="D775" s="1" t="s">
        <v>43</v>
      </c>
      <c r="E775" s="1" t="s">
        <v>3579</v>
      </c>
      <c r="F775" s="1" t="s">
        <v>4560</v>
      </c>
      <c r="G775" s="5" t="str">
        <f>IFERROR(__xludf.DUMMYFUNCTION("""COMPUTED_VALUE"""),"194🤙🏼The Gold Rush🤙🏼Mack Swain🤙🏼Estrela 2")</f>
        <v>194🤙🏼The Gold Rush🤙🏼Mack Swain🤙🏼Estrela 2</v>
      </c>
      <c r="H775" s="5">
        <f>IFERROR(__xludf.DUMMYFUNCTION("SPLiT(G775, ""🤙🏼"",FALSE,FALSE)"),194.0)</f>
        <v>194</v>
      </c>
      <c r="I775" s="5" t="str">
        <f>IFERROR(__xludf.DUMMYFUNCTION("""COMPUTED_VALUE"""),"The Gold Rush")</f>
        <v>The Gold Rush</v>
      </c>
      <c r="J775" s="5" t="str">
        <f>IFERROR(__xludf.DUMMYFUNCTION("""COMPUTED_VALUE"""),"Mack Swain")</f>
        <v>Mack Swain</v>
      </c>
      <c r="K775" s="5" t="str">
        <f>IFERROR(__xludf.DUMMYFUNCTION("""COMPUTED_VALUE"""),"Estrela 2")</f>
        <v>Estrela 2</v>
      </c>
      <c r="P775" s="5">
        <f>IFERROR(__xludf.DUMMYFUNCTION("""COMPUTED_VALUE"""),194.0)</f>
        <v>194</v>
      </c>
      <c r="Q775" s="5" t="str">
        <f>IFERROR(__xludf.DUMMYFUNCTION("""COMPUTED_VALUE"""),"The Gold Rush")</f>
        <v>The Gold Rush</v>
      </c>
      <c r="R775" s="5" t="str">
        <f>IFERROR(__xludf.DUMMYFUNCTION("""COMPUTED_VALUE"""),"Mack Swain")</f>
        <v>Mack Swain</v>
      </c>
      <c r="S775" s="5" t="str">
        <f>IFERROR(__xludf.DUMMYFUNCTION("""COMPUTED_VALUE"""),"Estrela 2")</f>
        <v>Estrela 2</v>
      </c>
    </row>
    <row r="776">
      <c r="A776" s="1">
        <v>775.0</v>
      </c>
      <c r="B776" s="1" t="s">
        <v>4561</v>
      </c>
      <c r="C776" s="1" t="s">
        <v>325</v>
      </c>
      <c r="D776" s="1" t="s">
        <v>42</v>
      </c>
      <c r="E776" s="1" t="s">
        <v>4563</v>
      </c>
      <c r="F776" s="1" t="s">
        <v>2267</v>
      </c>
      <c r="G776" s="5" t="str">
        <f>IFERROR(__xludf.DUMMYFUNCTION("""COMPUTED_VALUE"""),"194🤙🏼The Gold Rush🤙🏼Tom Murray🤙🏼Estrela 3")</f>
        <v>194🤙🏼The Gold Rush🤙🏼Tom Murray🤙🏼Estrela 3</v>
      </c>
      <c r="H776" s="5">
        <f>IFERROR(__xludf.DUMMYFUNCTION("SPLiT(G776, ""🤙🏼"",FALSE,FALSE)"),194.0)</f>
        <v>194</v>
      </c>
      <c r="I776" s="5" t="str">
        <f>IFERROR(__xludf.DUMMYFUNCTION("""COMPUTED_VALUE"""),"The Gold Rush")</f>
        <v>The Gold Rush</v>
      </c>
      <c r="J776" s="5" t="str">
        <f>IFERROR(__xludf.DUMMYFUNCTION("""COMPUTED_VALUE"""),"Tom Murray")</f>
        <v>Tom Murray</v>
      </c>
      <c r="K776" s="5" t="str">
        <f>IFERROR(__xludf.DUMMYFUNCTION("""COMPUTED_VALUE"""),"Estrela 3")</f>
        <v>Estrela 3</v>
      </c>
      <c r="P776" s="5">
        <f>IFERROR(__xludf.DUMMYFUNCTION("""COMPUTED_VALUE"""),194.0)</f>
        <v>194</v>
      </c>
      <c r="Q776" s="5" t="str">
        <f>IFERROR(__xludf.DUMMYFUNCTION("""COMPUTED_VALUE"""),"The Gold Rush")</f>
        <v>The Gold Rush</v>
      </c>
      <c r="R776" s="5" t="str">
        <f>IFERROR(__xludf.DUMMYFUNCTION("""COMPUTED_VALUE"""),"Tom Murray")</f>
        <v>Tom Murray</v>
      </c>
      <c r="S776" s="5" t="str">
        <f>IFERROR(__xludf.DUMMYFUNCTION("""COMPUTED_VALUE"""),"Estrela 3")</f>
        <v>Estrela 3</v>
      </c>
    </row>
    <row r="777">
      <c r="A777" s="1">
        <v>776.0</v>
      </c>
      <c r="B777" s="1" t="s">
        <v>4564</v>
      </c>
      <c r="C777" s="1" t="s">
        <v>1628</v>
      </c>
      <c r="D777" s="1" t="s">
        <v>4433</v>
      </c>
      <c r="E777" s="1" t="s">
        <v>2357</v>
      </c>
      <c r="F777" s="1" t="s">
        <v>4567</v>
      </c>
      <c r="G777" s="5" t="str">
        <f>IFERROR(__xludf.DUMMYFUNCTION("""COMPUTED_VALUE"""),"194🤙🏼The Gold Rush🤙🏼Henry Bergman🤙🏼Estrela 4")</f>
        <v>194🤙🏼The Gold Rush🤙🏼Henry Bergman🤙🏼Estrela 4</v>
      </c>
      <c r="H777" s="5">
        <f>IFERROR(__xludf.DUMMYFUNCTION("SPLiT(G777, ""🤙🏼"",FALSE,FALSE)"),194.0)</f>
        <v>194</v>
      </c>
      <c r="I777" s="5" t="str">
        <f>IFERROR(__xludf.DUMMYFUNCTION("""COMPUTED_VALUE"""),"The Gold Rush")</f>
        <v>The Gold Rush</v>
      </c>
      <c r="J777" s="5" t="str">
        <f>IFERROR(__xludf.DUMMYFUNCTION("""COMPUTED_VALUE"""),"Henry Bergman")</f>
        <v>Henry Bergman</v>
      </c>
      <c r="K777" s="5" t="str">
        <f>IFERROR(__xludf.DUMMYFUNCTION("""COMPUTED_VALUE"""),"Estrela 4")</f>
        <v>Estrela 4</v>
      </c>
      <c r="P777" s="5">
        <f>IFERROR(__xludf.DUMMYFUNCTION("""COMPUTED_VALUE"""),194.0)</f>
        <v>194</v>
      </c>
      <c r="Q777" s="5" t="str">
        <f>IFERROR(__xludf.DUMMYFUNCTION("""COMPUTED_VALUE"""),"The Gold Rush")</f>
        <v>The Gold Rush</v>
      </c>
      <c r="R777" s="5" t="str">
        <f>IFERROR(__xludf.DUMMYFUNCTION("""COMPUTED_VALUE"""),"Henry Bergman")</f>
        <v>Henry Bergman</v>
      </c>
      <c r="S777" s="5" t="str">
        <f>IFERROR(__xludf.DUMMYFUNCTION("""COMPUTED_VALUE"""),"Estrela 4")</f>
        <v>Estrela 4</v>
      </c>
    </row>
    <row r="778">
      <c r="A778" s="1">
        <v>777.0</v>
      </c>
      <c r="B778" s="1" t="s">
        <v>4568</v>
      </c>
      <c r="C778" s="1" t="s">
        <v>4570</v>
      </c>
      <c r="D778" s="1" t="s">
        <v>4571</v>
      </c>
      <c r="E778" s="1" t="s">
        <v>4572</v>
      </c>
      <c r="F778" s="1" t="s">
        <v>4573</v>
      </c>
      <c r="G778" s="5" t="str">
        <f>IFERROR(__xludf.DUMMYFUNCTION("""COMPUTED_VALUE"""),"195🤙🏼Sherlock Jr.🤙🏼Buster Keaton🤙🏼Estrela 1")</f>
        <v>195🤙🏼Sherlock Jr.🤙🏼Buster Keaton🤙🏼Estrela 1</v>
      </c>
      <c r="H778" s="5">
        <f>IFERROR(__xludf.DUMMYFUNCTION("SPLiT(G778, ""🤙🏼"",FALSE,FALSE)"),195.0)</f>
        <v>195</v>
      </c>
      <c r="I778" s="5" t="str">
        <f>IFERROR(__xludf.DUMMYFUNCTION("""COMPUTED_VALUE"""),"Sherlock Jr.")</f>
        <v>Sherlock Jr.</v>
      </c>
      <c r="J778" s="5" t="str">
        <f>IFERROR(__xludf.DUMMYFUNCTION("""COMPUTED_VALUE"""),"Buster Keaton")</f>
        <v>Buster Keaton</v>
      </c>
      <c r="K778" s="5" t="str">
        <f>IFERROR(__xludf.DUMMYFUNCTION("""COMPUTED_VALUE"""),"Estrela 1")</f>
        <v>Estrela 1</v>
      </c>
      <c r="P778" s="5">
        <f>IFERROR(__xludf.DUMMYFUNCTION("""COMPUTED_VALUE"""),195.0)</f>
        <v>195</v>
      </c>
      <c r="Q778" s="5" t="str">
        <f>IFERROR(__xludf.DUMMYFUNCTION("""COMPUTED_VALUE"""),"Sherlock Jr.")</f>
        <v>Sherlock Jr.</v>
      </c>
      <c r="R778" s="5" t="str">
        <f>IFERROR(__xludf.DUMMYFUNCTION("""COMPUTED_VALUE"""),"Buster Keaton")</f>
        <v>Buster Keaton</v>
      </c>
      <c r="S778" s="5" t="str">
        <f>IFERROR(__xludf.DUMMYFUNCTION("""COMPUTED_VALUE"""),"Estrela 1")</f>
        <v>Estrela 1</v>
      </c>
    </row>
    <row r="779">
      <c r="A779" s="1">
        <v>778.0</v>
      </c>
      <c r="B779" s="1" t="s">
        <v>4574</v>
      </c>
      <c r="C779" s="1" t="s">
        <v>215</v>
      </c>
      <c r="D779" s="1" t="s">
        <v>3204</v>
      </c>
      <c r="E779" s="1" t="s">
        <v>1584</v>
      </c>
      <c r="F779" s="1" t="s">
        <v>4576</v>
      </c>
      <c r="G779" s="5" t="str">
        <f>IFERROR(__xludf.DUMMYFUNCTION("""COMPUTED_VALUE"""),"195🤙🏼Sherlock Jr.🤙🏼Kathryn McGuire🤙🏼Estrela 2")</f>
        <v>195🤙🏼Sherlock Jr.🤙🏼Kathryn McGuire🤙🏼Estrela 2</v>
      </c>
      <c r="H779" s="5">
        <f>IFERROR(__xludf.DUMMYFUNCTION("SPLiT(G779, ""🤙🏼"",FALSE,FALSE)"),195.0)</f>
        <v>195</v>
      </c>
      <c r="I779" s="5" t="str">
        <f>IFERROR(__xludf.DUMMYFUNCTION("""COMPUTED_VALUE"""),"Sherlock Jr.")</f>
        <v>Sherlock Jr.</v>
      </c>
      <c r="J779" s="5" t="str">
        <f>IFERROR(__xludf.DUMMYFUNCTION("""COMPUTED_VALUE"""),"Kathryn McGuire")</f>
        <v>Kathryn McGuire</v>
      </c>
      <c r="K779" s="5" t="str">
        <f>IFERROR(__xludf.DUMMYFUNCTION("""COMPUTED_VALUE"""),"Estrela 2")</f>
        <v>Estrela 2</v>
      </c>
      <c r="P779" s="5">
        <f>IFERROR(__xludf.DUMMYFUNCTION("""COMPUTED_VALUE"""),195.0)</f>
        <v>195</v>
      </c>
      <c r="Q779" s="5" t="str">
        <f>IFERROR(__xludf.DUMMYFUNCTION("""COMPUTED_VALUE"""),"Sherlock Jr.")</f>
        <v>Sherlock Jr.</v>
      </c>
      <c r="R779" s="5" t="str">
        <f>IFERROR(__xludf.DUMMYFUNCTION("""COMPUTED_VALUE"""),"Kathryn McGuire")</f>
        <v>Kathryn McGuire</v>
      </c>
      <c r="S779" s="5" t="str">
        <f>IFERROR(__xludf.DUMMYFUNCTION("""COMPUTED_VALUE"""),"Estrela 2")</f>
        <v>Estrela 2</v>
      </c>
    </row>
    <row r="780">
      <c r="A780" s="1">
        <v>779.0</v>
      </c>
      <c r="B780" s="1" t="s">
        <v>4577</v>
      </c>
      <c r="C780" s="1" t="s">
        <v>42</v>
      </c>
      <c r="D780" s="1" t="s">
        <v>3600</v>
      </c>
      <c r="E780" s="1" t="s">
        <v>4580</v>
      </c>
      <c r="F780" s="1" t="s">
        <v>4581</v>
      </c>
      <c r="G780" s="5" t="str">
        <f>IFERROR(__xludf.DUMMYFUNCTION("""COMPUTED_VALUE"""),"195🤙🏼Sherlock Jr.🤙🏼Joe Keaton🤙🏼Estrela 3")</f>
        <v>195🤙🏼Sherlock Jr.🤙🏼Joe Keaton🤙🏼Estrela 3</v>
      </c>
      <c r="H780" s="5">
        <f>IFERROR(__xludf.DUMMYFUNCTION("SPLiT(G780, ""🤙🏼"",FALSE,FALSE)"),195.0)</f>
        <v>195</v>
      </c>
      <c r="I780" s="5" t="str">
        <f>IFERROR(__xludf.DUMMYFUNCTION("""COMPUTED_VALUE"""),"Sherlock Jr.")</f>
        <v>Sherlock Jr.</v>
      </c>
      <c r="J780" s="5" t="str">
        <f>IFERROR(__xludf.DUMMYFUNCTION("""COMPUTED_VALUE"""),"Joe Keaton")</f>
        <v>Joe Keaton</v>
      </c>
      <c r="K780" s="5" t="str">
        <f>IFERROR(__xludf.DUMMYFUNCTION("""COMPUTED_VALUE"""),"Estrela 3")</f>
        <v>Estrela 3</v>
      </c>
      <c r="P780" s="5">
        <f>IFERROR(__xludf.DUMMYFUNCTION("""COMPUTED_VALUE"""),195.0)</f>
        <v>195</v>
      </c>
      <c r="Q780" s="5" t="str">
        <f>IFERROR(__xludf.DUMMYFUNCTION("""COMPUTED_VALUE"""),"Sherlock Jr.")</f>
        <v>Sherlock Jr.</v>
      </c>
      <c r="R780" s="5" t="str">
        <f>IFERROR(__xludf.DUMMYFUNCTION("""COMPUTED_VALUE"""),"Joe Keaton")</f>
        <v>Joe Keaton</v>
      </c>
      <c r="S780" s="5" t="str">
        <f>IFERROR(__xludf.DUMMYFUNCTION("""COMPUTED_VALUE"""),"Estrela 3")</f>
        <v>Estrela 3</v>
      </c>
    </row>
    <row r="781">
      <c r="A781" s="1">
        <v>780.0</v>
      </c>
      <c r="B781" s="1" t="s">
        <v>4582</v>
      </c>
      <c r="C781" s="1" t="s">
        <v>497</v>
      </c>
      <c r="D781" s="1" t="s">
        <v>4584</v>
      </c>
      <c r="E781" s="1" t="s">
        <v>499</v>
      </c>
      <c r="F781" s="1" t="s">
        <v>4585</v>
      </c>
      <c r="G781" s="5" t="str">
        <f>IFERROR(__xludf.DUMMYFUNCTION("""COMPUTED_VALUE"""),"195🤙🏼Sherlock Jr.🤙🏼Erwin Connelly🤙🏼Estrela 4")</f>
        <v>195🤙🏼Sherlock Jr.🤙🏼Erwin Connelly🤙🏼Estrela 4</v>
      </c>
      <c r="H781" s="5">
        <f>IFERROR(__xludf.DUMMYFUNCTION("SPLiT(G781, ""🤙🏼"",FALSE,FALSE)"),195.0)</f>
        <v>195</v>
      </c>
      <c r="I781" s="5" t="str">
        <f>IFERROR(__xludf.DUMMYFUNCTION("""COMPUTED_VALUE"""),"Sherlock Jr.")</f>
        <v>Sherlock Jr.</v>
      </c>
      <c r="J781" s="5" t="str">
        <f>IFERROR(__xludf.DUMMYFUNCTION("""COMPUTED_VALUE"""),"Erwin Connelly")</f>
        <v>Erwin Connelly</v>
      </c>
      <c r="K781" s="5" t="str">
        <f>IFERROR(__xludf.DUMMYFUNCTION("""COMPUTED_VALUE"""),"Estrela 4")</f>
        <v>Estrela 4</v>
      </c>
      <c r="P781" s="5">
        <f>IFERROR(__xludf.DUMMYFUNCTION("""COMPUTED_VALUE"""),195.0)</f>
        <v>195</v>
      </c>
      <c r="Q781" s="5" t="str">
        <f>IFERROR(__xludf.DUMMYFUNCTION("""COMPUTED_VALUE"""),"Sherlock Jr.")</f>
        <v>Sherlock Jr.</v>
      </c>
      <c r="R781" s="5" t="str">
        <f>IFERROR(__xludf.DUMMYFUNCTION("""COMPUTED_VALUE"""),"Erwin Connelly")</f>
        <v>Erwin Connelly</v>
      </c>
      <c r="S781" s="5" t="str">
        <f>IFERROR(__xludf.DUMMYFUNCTION("""COMPUTED_VALUE"""),"Estrela 4")</f>
        <v>Estrela 4</v>
      </c>
    </row>
    <row r="782">
      <c r="A782" s="1">
        <v>781.0</v>
      </c>
      <c r="B782" s="1" t="s">
        <v>4586</v>
      </c>
      <c r="C782" s="1" t="s">
        <v>2569</v>
      </c>
      <c r="D782" s="1" t="s">
        <v>307</v>
      </c>
      <c r="E782" s="1" t="s">
        <v>4589</v>
      </c>
      <c r="F782" s="1" t="s">
        <v>4590</v>
      </c>
      <c r="G782" s="5" t="str">
        <f>IFERROR(__xludf.DUMMYFUNCTION("""COMPUTED_VALUE"""),"196🤙🏼Portrait de la jeune fille en feu🤙🏼Noémie Merlant🤙🏼Estrela 1")</f>
        <v>196🤙🏼Portrait de la jeune fille en feu🤙🏼Noémie Merlant🤙🏼Estrela 1</v>
      </c>
      <c r="H782" s="5">
        <f>IFERROR(__xludf.DUMMYFUNCTION("SPLiT(G782, ""🤙🏼"",FALSE,FALSE)"),196.0)</f>
        <v>196</v>
      </c>
      <c r="I782" s="5" t="str">
        <f>IFERROR(__xludf.DUMMYFUNCTION("""COMPUTED_VALUE"""),"Portrait de la jeune fille en feu")</f>
        <v>Portrait de la jeune fille en feu</v>
      </c>
      <c r="J782" s="5" t="str">
        <f>IFERROR(__xludf.DUMMYFUNCTION("""COMPUTED_VALUE"""),"Noémie Merlant")</f>
        <v>Noémie Merlant</v>
      </c>
      <c r="K782" s="5" t="str">
        <f>IFERROR(__xludf.DUMMYFUNCTION("""COMPUTED_VALUE"""),"Estrela 1")</f>
        <v>Estrela 1</v>
      </c>
      <c r="P782" s="5">
        <f>IFERROR(__xludf.DUMMYFUNCTION("""COMPUTED_VALUE"""),196.0)</f>
        <v>196</v>
      </c>
      <c r="Q782" s="5" t="str">
        <f>IFERROR(__xludf.DUMMYFUNCTION("""COMPUTED_VALUE"""),"Portrait de la jeune fille en feu")</f>
        <v>Portrait de la jeune fille en feu</v>
      </c>
      <c r="R782" s="5" t="str">
        <f>IFERROR(__xludf.DUMMYFUNCTION("""COMPUTED_VALUE"""),"Noémie Merlant")</f>
        <v>Noémie Merlant</v>
      </c>
      <c r="S782" s="5" t="str">
        <f>IFERROR(__xludf.DUMMYFUNCTION("""COMPUTED_VALUE"""),"Estrela 1")</f>
        <v>Estrela 1</v>
      </c>
    </row>
    <row r="783">
      <c r="A783" s="1">
        <v>782.0</v>
      </c>
      <c r="B783" s="1" t="s">
        <v>4591</v>
      </c>
      <c r="C783" s="1" t="s">
        <v>1568</v>
      </c>
      <c r="D783" s="1" t="s">
        <v>1569</v>
      </c>
      <c r="E783" s="1" t="s">
        <v>1570</v>
      </c>
      <c r="F783" s="1" t="s">
        <v>4594</v>
      </c>
      <c r="G783" s="5" t="str">
        <f>IFERROR(__xludf.DUMMYFUNCTION("""COMPUTED_VALUE"""),"196🤙🏼Portrait de la jeune fille en feu🤙🏼Adèle Haenel🤙🏼Estrela 2")</f>
        <v>196🤙🏼Portrait de la jeune fille en feu🤙🏼Adèle Haenel🤙🏼Estrela 2</v>
      </c>
      <c r="H783" s="5">
        <f>IFERROR(__xludf.DUMMYFUNCTION("SPLiT(G783, ""🤙🏼"",FALSE,FALSE)"),196.0)</f>
        <v>196</v>
      </c>
      <c r="I783" s="5" t="str">
        <f>IFERROR(__xludf.DUMMYFUNCTION("""COMPUTED_VALUE"""),"Portrait de la jeune fille en feu")</f>
        <v>Portrait de la jeune fille en feu</v>
      </c>
      <c r="J783" s="5" t="str">
        <f>IFERROR(__xludf.DUMMYFUNCTION("""COMPUTED_VALUE"""),"Adèle Haenel")</f>
        <v>Adèle Haenel</v>
      </c>
      <c r="K783" s="5" t="str">
        <f>IFERROR(__xludf.DUMMYFUNCTION("""COMPUTED_VALUE"""),"Estrela 2")</f>
        <v>Estrela 2</v>
      </c>
      <c r="P783" s="5">
        <f>IFERROR(__xludf.DUMMYFUNCTION("""COMPUTED_VALUE"""),196.0)</f>
        <v>196</v>
      </c>
      <c r="Q783" s="5" t="str">
        <f>IFERROR(__xludf.DUMMYFUNCTION("""COMPUTED_VALUE"""),"Portrait de la jeune fille en feu")</f>
        <v>Portrait de la jeune fille en feu</v>
      </c>
      <c r="R783" s="5" t="str">
        <f>IFERROR(__xludf.DUMMYFUNCTION("""COMPUTED_VALUE"""),"Adèle Haenel")</f>
        <v>Adèle Haenel</v>
      </c>
      <c r="S783" s="5" t="str">
        <f>IFERROR(__xludf.DUMMYFUNCTION("""COMPUTED_VALUE"""),"Estrela 2")</f>
        <v>Estrela 2</v>
      </c>
    </row>
    <row r="784">
      <c r="A784" s="1">
        <v>783.0</v>
      </c>
      <c r="B784" s="1" t="s">
        <v>4595</v>
      </c>
      <c r="C784" s="1" t="s">
        <v>3799</v>
      </c>
      <c r="D784" s="1" t="s">
        <v>1674</v>
      </c>
      <c r="E784" s="1" t="s">
        <v>4597</v>
      </c>
      <c r="F784" s="1" t="s">
        <v>4598</v>
      </c>
      <c r="G784" s="5" t="str">
        <f>IFERROR(__xludf.DUMMYFUNCTION("""COMPUTED_VALUE"""),"196🤙🏼Portrait de la jeune fille en feu🤙🏼Luàna Bajrami🤙🏼Estrela 3")</f>
        <v>196🤙🏼Portrait de la jeune fille en feu🤙🏼Luàna Bajrami🤙🏼Estrela 3</v>
      </c>
      <c r="H784" s="5">
        <f>IFERROR(__xludf.DUMMYFUNCTION("SPLiT(G784, ""🤙🏼"",FALSE,FALSE)"),196.0)</f>
        <v>196</v>
      </c>
      <c r="I784" s="5" t="str">
        <f>IFERROR(__xludf.DUMMYFUNCTION("""COMPUTED_VALUE"""),"Portrait de la jeune fille en feu")</f>
        <v>Portrait de la jeune fille en feu</v>
      </c>
      <c r="J784" s="5" t="str">
        <f>IFERROR(__xludf.DUMMYFUNCTION("""COMPUTED_VALUE"""),"Luàna Bajrami")</f>
        <v>Luàna Bajrami</v>
      </c>
      <c r="K784" s="5" t="str">
        <f>IFERROR(__xludf.DUMMYFUNCTION("""COMPUTED_VALUE"""),"Estrela 3")</f>
        <v>Estrela 3</v>
      </c>
      <c r="P784" s="5">
        <f>IFERROR(__xludf.DUMMYFUNCTION("""COMPUTED_VALUE"""),196.0)</f>
        <v>196</v>
      </c>
      <c r="Q784" s="5" t="str">
        <f>IFERROR(__xludf.DUMMYFUNCTION("""COMPUTED_VALUE"""),"Portrait de la jeune fille en feu")</f>
        <v>Portrait de la jeune fille en feu</v>
      </c>
      <c r="R784" s="5" t="str">
        <f>IFERROR(__xludf.DUMMYFUNCTION("""COMPUTED_VALUE"""),"Luàna Bajrami")</f>
        <v>Luàna Bajrami</v>
      </c>
      <c r="S784" s="5" t="str">
        <f>IFERROR(__xludf.DUMMYFUNCTION("""COMPUTED_VALUE"""),"Estrela 3")</f>
        <v>Estrela 3</v>
      </c>
    </row>
    <row r="785">
      <c r="A785" s="1">
        <v>784.0</v>
      </c>
      <c r="B785" s="1" t="s">
        <v>4599</v>
      </c>
      <c r="C785" s="1" t="s">
        <v>4597</v>
      </c>
      <c r="D785" s="1" t="s">
        <v>4601</v>
      </c>
      <c r="E785" s="1" t="s">
        <v>4602</v>
      </c>
      <c r="F785" s="1" t="s">
        <v>4603</v>
      </c>
      <c r="G785" s="5" t="str">
        <f>IFERROR(__xludf.DUMMYFUNCTION("""COMPUTED_VALUE"""),"196🤙🏼Portrait de la jeune fille en feu🤙🏼Valeria Golino🤙🏼Estrela 4")</f>
        <v>196🤙🏼Portrait de la jeune fille en feu🤙🏼Valeria Golino🤙🏼Estrela 4</v>
      </c>
      <c r="H785" s="5">
        <f>IFERROR(__xludf.DUMMYFUNCTION("SPLiT(G785, ""🤙🏼"",FALSE,FALSE)"),196.0)</f>
        <v>196</v>
      </c>
      <c r="I785" s="5" t="str">
        <f>IFERROR(__xludf.DUMMYFUNCTION("""COMPUTED_VALUE"""),"Portrait de la jeune fille en feu")</f>
        <v>Portrait de la jeune fille en feu</v>
      </c>
      <c r="J785" s="5" t="str">
        <f>IFERROR(__xludf.DUMMYFUNCTION("""COMPUTED_VALUE"""),"Valeria Golino")</f>
        <v>Valeria Golino</v>
      </c>
      <c r="K785" s="5" t="str">
        <f>IFERROR(__xludf.DUMMYFUNCTION("""COMPUTED_VALUE"""),"Estrela 4")</f>
        <v>Estrela 4</v>
      </c>
      <c r="P785" s="5">
        <f>IFERROR(__xludf.DUMMYFUNCTION("""COMPUTED_VALUE"""),196.0)</f>
        <v>196</v>
      </c>
      <c r="Q785" s="5" t="str">
        <f>IFERROR(__xludf.DUMMYFUNCTION("""COMPUTED_VALUE"""),"Portrait de la jeune fille en feu")</f>
        <v>Portrait de la jeune fille en feu</v>
      </c>
      <c r="R785" s="5" t="str">
        <f>IFERROR(__xludf.DUMMYFUNCTION("""COMPUTED_VALUE"""),"Valeria Golino")</f>
        <v>Valeria Golino</v>
      </c>
      <c r="S785" s="5" t="str">
        <f>IFERROR(__xludf.DUMMYFUNCTION("""COMPUTED_VALUE"""),"Estrela 4")</f>
        <v>Estrela 4</v>
      </c>
    </row>
    <row r="786">
      <c r="A786" s="1">
        <v>785.0</v>
      </c>
      <c r="B786" s="1" t="s">
        <v>4604</v>
      </c>
      <c r="C786" s="1" t="s">
        <v>2486</v>
      </c>
      <c r="D786" s="1" t="s">
        <v>93</v>
      </c>
      <c r="E786" s="1" t="s">
        <v>4606</v>
      </c>
      <c r="F786" s="1" t="s">
        <v>4607</v>
      </c>
      <c r="G786" s="5" t="str">
        <f>IFERROR(__xludf.DUMMYFUNCTION("""COMPUTED_VALUE"""),"197🤙🏼Pink🤙🏼Taapsee Pannu🤙🏼Estrela 1")</f>
        <v>197🤙🏼Pink🤙🏼Taapsee Pannu🤙🏼Estrela 1</v>
      </c>
      <c r="H786" s="5">
        <f>IFERROR(__xludf.DUMMYFUNCTION("SPLiT(G786, ""🤙🏼"",FALSE,FALSE)"),197.0)</f>
        <v>197</v>
      </c>
      <c r="I786" s="5" t="str">
        <f>IFERROR(__xludf.DUMMYFUNCTION("""COMPUTED_VALUE"""),"Pink")</f>
        <v>Pink</v>
      </c>
      <c r="J786" s="5" t="str">
        <f>IFERROR(__xludf.DUMMYFUNCTION("""COMPUTED_VALUE"""),"Taapsee Pannu")</f>
        <v>Taapsee Pannu</v>
      </c>
      <c r="K786" s="5" t="str">
        <f>IFERROR(__xludf.DUMMYFUNCTION("""COMPUTED_VALUE"""),"Estrela 1")</f>
        <v>Estrela 1</v>
      </c>
      <c r="P786" s="5">
        <f>IFERROR(__xludf.DUMMYFUNCTION("""COMPUTED_VALUE"""),197.0)</f>
        <v>197</v>
      </c>
      <c r="Q786" s="5" t="str">
        <f>IFERROR(__xludf.DUMMYFUNCTION("""COMPUTED_VALUE"""),"Pink")</f>
        <v>Pink</v>
      </c>
      <c r="R786" s="5" t="str">
        <f>IFERROR(__xludf.DUMMYFUNCTION("""COMPUTED_VALUE"""),"Taapsee Pannu")</f>
        <v>Taapsee Pannu</v>
      </c>
      <c r="S786" s="5" t="str">
        <f>IFERROR(__xludf.DUMMYFUNCTION("""COMPUTED_VALUE"""),"Estrela 1")</f>
        <v>Estrela 1</v>
      </c>
    </row>
    <row r="787">
      <c r="A787" s="1">
        <v>786.0</v>
      </c>
      <c r="B787" s="1" t="s">
        <v>4608</v>
      </c>
      <c r="C787" s="1" t="s">
        <v>4611</v>
      </c>
      <c r="D787" s="1" t="s">
        <v>4612</v>
      </c>
      <c r="E787" s="1" t="s">
        <v>4613</v>
      </c>
      <c r="F787" s="1" t="s">
        <v>4614</v>
      </c>
      <c r="G787" s="5" t="str">
        <f>IFERROR(__xludf.DUMMYFUNCTION("""COMPUTED_VALUE"""),"197🤙🏼Pink🤙🏼Amitabh Bachchan🤙🏼Estrela 2")</f>
        <v>197🤙🏼Pink🤙🏼Amitabh Bachchan🤙🏼Estrela 2</v>
      </c>
      <c r="H787" s="5">
        <f>IFERROR(__xludf.DUMMYFUNCTION("SPLiT(G787, ""🤙🏼"",FALSE,FALSE)"),197.0)</f>
        <v>197</v>
      </c>
      <c r="I787" s="5" t="str">
        <f>IFERROR(__xludf.DUMMYFUNCTION("""COMPUTED_VALUE"""),"Pink")</f>
        <v>Pink</v>
      </c>
      <c r="J787" s="5" t="str">
        <f>IFERROR(__xludf.DUMMYFUNCTION("""COMPUTED_VALUE"""),"Amitabh Bachchan")</f>
        <v>Amitabh Bachchan</v>
      </c>
      <c r="K787" s="5" t="str">
        <f>IFERROR(__xludf.DUMMYFUNCTION("""COMPUTED_VALUE"""),"Estrela 2")</f>
        <v>Estrela 2</v>
      </c>
      <c r="P787" s="5">
        <f>IFERROR(__xludf.DUMMYFUNCTION("""COMPUTED_VALUE"""),197.0)</f>
        <v>197</v>
      </c>
      <c r="Q787" s="5" t="str">
        <f>IFERROR(__xludf.DUMMYFUNCTION("""COMPUTED_VALUE"""),"Pink")</f>
        <v>Pink</v>
      </c>
      <c r="R787" s="5" t="str">
        <f>IFERROR(__xludf.DUMMYFUNCTION("""COMPUTED_VALUE"""),"Amitabh Bachchan")</f>
        <v>Amitabh Bachchan</v>
      </c>
      <c r="S787" s="5" t="str">
        <f>IFERROR(__xludf.DUMMYFUNCTION("""COMPUTED_VALUE"""),"Estrela 2")</f>
        <v>Estrela 2</v>
      </c>
    </row>
    <row r="788">
      <c r="A788" s="1">
        <v>787.0</v>
      </c>
      <c r="B788" s="1" t="s">
        <v>4615</v>
      </c>
      <c r="C788" s="1" t="s">
        <v>1508</v>
      </c>
      <c r="D788" s="1" t="s">
        <v>4618</v>
      </c>
      <c r="E788" s="1" t="s">
        <v>4619</v>
      </c>
      <c r="F788" s="1" t="s">
        <v>4620</v>
      </c>
      <c r="G788" s="5" t="str">
        <f>IFERROR(__xludf.DUMMYFUNCTION("""COMPUTED_VALUE"""),"197🤙🏼Pink🤙🏼Kirti Kulhari🤙🏼Estrela 3")</f>
        <v>197🤙🏼Pink🤙🏼Kirti Kulhari🤙🏼Estrela 3</v>
      </c>
      <c r="H788" s="5">
        <f>IFERROR(__xludf.DUMMYFUNCTION("SPLiT(G788, ""🤙🏼"",FALSE,FALSE)"),197.0)</f>
        <v>197</v>
      </c>
      <c r="I788" s="5" t="str">
        <f>IFERROR(__xludf.DUMMYFUNCTION("""COMPUTED_VALUE"""),"Pink")</f>
        <v>Pink</v>
      </c>
      <c r="J788" s="5" t="str">
        <f>IFERROR(__xludf.DUMMYFUNCTION("""COMPUTED_VALUE"""),"Kirti Kulhari")</f>
        <v>Kirti Kulhari</v>
      </c>
      <c r="K788" s="5" t="str">
        <f>IFERROR(__xludf.DUMMYFUNCTION("""COMPUTED_VALUE"""),"Estrela 3")</f>
        <v>Estrela 3</v>
      </c>
      <c r="P788" s="5">
        <f>IFERROR(__xludf.DUMMYFUNCTION("""COMPUTED_VALUE"""),197.0)</f>
        <v>197</v>
      </c>
      <c r="Q788" s="5" t="str">
        <f>IFERROR(__xludf.DUMMYFUNCTION("""COMPUTED_VALUE"""),"Pink")</f>
        <v>Pink</v>
      </c>
      <c r="R788" s="5" t="str">
        <f>IFERROR(__xludf.DUMMYFUNCTION("""COMPUTED_VALUE"""),"Kirti Kulhari")</f>
        <v>Kirti Kulhari</v>
      </c>
      <c r="S788" s="5" t="str">
        <f>IFERROR(__xludf.DUMMYFUNCTION("""COMPUTED_VALUE"""),"Estrela 3")</f>
        <v>Estrela 3</v>
      </c>
    </row>
    <row r="789">
      <c r="A789" s="1">
        <v>788.0</v>
      </c>
      <c r="B789" s="1" t="s">
        <v>4621</v>
      </c>
      <c r="C789" s="1" t="s">
        <v>3622</v>
      </c>
      <c r="D789" s="1" t="s">
        <v>4544</v>
      </c>
      <c r="E789" s="1" t="s">
        <v>2363</v>
      </c>
      <c r="F789" s="1" t="s">
        <v>4623</v>
      </c>
      <c r="G789" s="5" t="str">
        <f>IFERROR(__xludf.DUMMYFUNCTION("""COMPUTED_VALUE"""),"197🤙🏼Pink🤙🏼Andrea Tariang🤙🏼Estrela 4")</f>
        <v>197🤙🏼Pink🤙🏼Andrea Tariang🤙🏼Estrela 4</v>
      </c>
      <c r="H789" s="5">
        <f>IFERROR(__xludf.DUMMYFUNCTION("SPLiT(G789, ""🤙🏼"",FALSE,FALSE)"),197.0)</f>
        <v>197</v>
      </c>
      <c r="I789" s="5" t="str">
        <f>IFERROR(__xludf.DUMMYFUNCTION("""COMPUTED_VALUE"""),"Pink")</f>
        <v>Pink</v>
      </c>
      <c r="J789" s="5" t="str">
        <f>IFERROR(__xludf.DUMMYFUNCTION("""COMPUTED_VALUE"""),"Andrea Tariang")</f>
        <v>Andrea Tariang</v>
      </c>
      <c r="K789" s="5" t="str">
        <f>IFERROR(__xludf.DUMMYFUNCTION("""COMPUTED_VALUE"""),"Estrela 4")</f>
        <v>Estrela 4</v>
      </c>
      <c r="P789" s="5">
        <f>IFERROR(__xludf.DUMMYFUNCTION("""COMPUTED_VALUE"""),197.0)</f>
        <v>197</v>
      </c>
      <c r="Q789" s="5" t="str">
        <f>IFERROR(__xludf.DUMMYFUNCTION("""COMPUTED_VALUE"""),"Pink")</f>
        <v>Pink</v>
      </c>
      <c r="R789" s="5" t="str">
        <f>IFERROR(__xludf.DUMMYFUNCTION("""COMPUTED_VALUE"""),"Andrea Tariang")</f>
        <v>Andrea Tariang</v>
      </c>
      <c r="S789" s="5" t="str">
        <f>IFERROR(__xludf.DUMMYFUNCTION("""COMPUTED_VALUE"""),"Estrela 4")</f>
        <v>Estrela 4</v>
      </c>
    </row>
    <row r="790">
      <c r="A790" s="1">
        <v>789.0</v>
      </c>
      <c r="B790" s="1" t="s">
        <v>4624</v>
      </c>
      <c r="C790" s="1" t="s">
        <v>1605</v>
      </c>
      <c r="D790" s="1" t="s">
        <v>810</v>
      </c>
      <c r="E790" s="1" t="s">
        <v>4597</v>
      </c>
      <c r="F790" s="1" t="s">
        <v>3269</v>
      </c>
      <c r="G790" s="5" t="str">
        <f>IFERROR(__xludf.DUMMYFUNCTION("""COMPUTED_VALUE"""),"198🤙🏼Koe no katachi🤙🏼Miyu Irino🤙🏼Estrela 1")</f>
        <v>198🤙🏼Koe no katachi🤙🏼Miyu Irino🤙🏼Estrela 1</v>
      </c>
      <c r="H790" s="5">
        <f>IFERROR(__xludf.DUMMYFUNCTION("SPLiT(G790, ""🤙🏼"",FALSE,FALSE)"),198.0)</f>
        <v>198</v>
      </c>
      <c r="I790" s="5" t="str">
        <f>IFERROR(__xludf.DUMMYFUNCTION("""COMPUTED_VALUE"""),"Koe no katachi")</f>
        <v>Koe no katachi</v>
      </c>
      <c r="J790" s="5" t="str">
        <f>IFERROR(__xludf.DUMMYFUNCTION("""COMPUTED_VALUE"""),"Miyu Irino")</f>
        <v>Miyu Irino</v>
      </c>
      <c r="K790" s="5" t="str">
        <f>IFERROR(__xludf.DUMMYFUNCTION("""COMPUTED_VALUE"""),"Estrela 1")</f>
        <v>Estrela 1</v>
      </c>
      <c r="P790" s="5">
        <f>IFERROR(__xludf.DUMMYFUNCTION("""COMPUTED_VALUE"""),198.0)</f>
        <v>198</v>
      </c>
      <c r="Q790" s="5" t="str">
        <f>IFERROR(__xludf.DUMMYFUNCTION("""COMPUTED_VALUE"""),"Koe no katachi")</f>
        <v>Koe no katachi</v>
      </c>
      <c r="R790" s="5" t="str">
        <f>IFERROR(__xludf.DUMMYFUNCTION("""COMPUTED_VALUE"""),"Miyu Irino")</f>
        <v>Miyu Irino</v>
      </c>
      <c r="S790" s="5" t="str">
        <f>IFERROR(__xludf.DUMMYFUNCTION("""COMPUTED_VALUE"""),"Estrela 1")</f>
        <v>Estrela 1</v>
      </c>
    </row>
    <row r="791">
      <c r="A791" s="1">
        <v>790.0</v>
      </c>
      <c r="B791" s="1" t="s">
        <v>4627</v>
      </c>
      <c r="C791" s="1" t="s">
        <v>4629</v>
      </c>
      <c r="D791" s="1" t="s">
        <v>3136</v>
      </c>
      <c r="E791" s="1" t="s">
        <v>3205</v>
      </c>
      <c r="F791" s="1" t="s">
        <v>3826</v>
      </c>
      <c r="G791" s="5" t="str">
        <f>IFERROR(__xludf.DUMMYFUNCTION("""COMPUTED_VALUE"""),"198🤙🏼Koe no katachi🤙🏼Saori Hayami🤙🏼Estrela 2")</f>
        <v>198🤙🏼Koe no katachi🤙🏼Saori Hayami🤙🏼Estrela 2</v>
      </c>
      <c r="H791" s="5">
        <f>IFERROR(__xludf.DUMMYFUNCTION("SPLiT(G791, ""🤙🏼"",FALSE,FALSE)"),198.0)</f>
        <v>198</v>
      </c>
      <c r="I791" s="5" t="str">
        <f>IFERROR(__xludf.DUMMYFUNCTION("""COMPUTED_VALUE"""),"Koe no katachi")</f>
        <v>Koe no katachi</v>
      </c>
      <c r="J791" s="5" t="str">
        <f>IFERROR(__xludf.DUMMYFUNCTION("""COMPUTED_VALUE"""),"Saori Hayami")</f>
        <v>Saori Hayami</v>
      </c>
      <c r="K791" s="5" t="str">
        <f>IFERROR(__xludf.DUMMYFUNCTION("""COMPUTED_VALUE"""),"Estrela 2")</f>
        <v>Estrela 2</v>
      </c>
      <c r="P791" s="5">
        <f>IFERROR(__xludf.DUMMYFUNCTION("""COMPUTED_VALUE"""),198.0)</f>
        <v>198</v>
      </c>
      <c r="Q791" s="5" t="str">
        <f>IFERROR(__xludf.DUMMYFUNCTION("""COMPUTED_VALUE"""),"Koe no katachi")</f>
        <v>Koe no katachi</v>
      </c>
      <c r="R791" s="5" t="str">
        <f>IFERROR(__xludf.DUMMYFUNCTION("""COMPUTED_VALUE"""),"Saori Hayami")</f>
        <v>Saori Hayami</v>
      </c>
      <c r="S791" s="5" t="str">
        <f>IFERROR(__xludf.DUMMYFUNCTION("""COMPUTED_VALUE"""),"Estrela 2")</f>
        <v>Estrela 2</v>
      </c>
    </row>
    <row r="792">
      <c r="A792" s="1">
        <v>791.0</v>
      </c>
      <c r="B792" s="1" t="s">
        <v>4630</v>
      </c>
      <c r="C792" s="1" t="s">
        <v>4532</v>
      </c>
      <c r="D792" s="1" t="s">
        <v>1739</v>
      </c>
      <c r="E792" s="1" t="s">
        <v>216</v>
      </c>
      <c r="F792" s="1" t="s">
        <v>1594</v>
      </c>
      <c r="G792" s="5" t="str">
        <f>IFERROR(__xludf.DUMMYFUNCTION("""COMPUTED_VALUE"""),"198🤙🏼Koe no katachi🤙🏼Aoi Yûki🤙🏼Estrela 3")</f>
        <v>198🤙🏼Koe no katachi🤙🏼Aoi Yûki🤙🏼Estrela 3</v>
      </c>
      <c r="H792" s="5">
        <f>IFERROR(__xludf.DUMMYFUNCTION("SPLiT(G792, ""🤙🏼"",FALSE,FALSE)"),198.0)</f>
        <v>198</v>
      </c>
      <c r="I792" s="5" t="str">
        <f>IFERROR(__xludf.DUMMYFUNCTION("""COMPUTED_VALUE"""),"Koe no katachi")</f>
        <v>Koe no katachi</v>
      </c>
      <c r="J792" s="5" t="str">
        <f>IFERROR(__xludf.DUMMYFUNCTION("""COMPUTED_VALUE"""),"Aoi Yûki")</f>
        <v>Aoi Yûki</v>
      </c>
      <c r="K792" s="5" t="str">
        <f>IFERROR(__xludf.DUMMYFUNCTION("""COMPUTED_VALUE"""),"Estrela 3")</f>
        <v>Estrela 3</v>
      </c>
      <c r="P792" s="5">
        <f>IFERROR(__xludf.DUMMYFUNCTION("""COMPUTED_VALUE"""),198.0)</f>
        <v>198</v>
      </c>
      <c r="Q792" s="5" t="str">
        <f>IFERROR(__xludf.DUMMYFUNCTION("""COMPUTED_VALUE"""),"Koe no katachi")</f>
        <v>Koe no katachi</v>
      </c>
      <c r="R792" s="5" t="str">
        <f>IFERROR(__xludf.DUMMYFUNCTION("""COMPUTED_VALUE"""),"Aoi Yûki")</f>
        <v>Aoi Yûki</v>
      </c>
      <c r="S792" s="5" t="str">
        <f>IFERROR(__xludf.DUMMYFUNCTION("""COMPUTED_VALUE"""),"Estrela 3")</f>
        <v>Estrela 3</v>
      </c>
    </row>
    <row r="793">
      <c r="A793" s="1">
        <v>792.0</v>
      </c>
      <c r="B793" s="1" t="s">
        <v>4632</v>
      </c>
      <c r="C793" s="1" t="s">
        <v>110</v>
      </c>
      <c r="D793" s="1" t="s">
        <v>4634</v>
      </c>
      <c r="E793" s="1" t="s">
        <v>4635</v>
      </c>
      <c r="F793" s="1" t="s">
        <v>4636</v>
      </c>
      <c r="G793" s="5" t="str">
        <f>IFERROR(__xludf.DUMMYFUNCTION("""COMPUTED_VALUE"""),"198🤙🏼Koe no katachi🤙🏼Kenshô Ono🤙🏼Estrela 4")</f>
        <v>198🤙🏼Koe no katachi🤙🏼Kenshô Ono🤙🏼Estrela 4</v>
      </c>
      <c r="H793" s="5">
        <f>IFERROR(__xludf.DUMMYFUNCTION("SPLiT(G793, ""🤙🏼"",FALSE,FALSE)"),198.0)</f>
        <v>198</v>
      </c>
      <c r="I793" s="5" t="str">
        <f>IFERROR(__xludf.DUMMYFUNCTION("""COMPUTED_VALUE"""),"Koe no katachi")</f>
        <v>Koe no katachi</v>
      </c>
      <c r="J793" s="5" t="str">
        <f>IFERROR(__xludf.DUMMYFUNCTION("""COMPUTED_VALUE"""),"Kenshô Ono")</f>
        <v>Kenshô Ono</v>
      </c>
      <c r="K793" s="5" t="str">
        <f>IFERROR(__xludf.DUMMYFUNCTION("""COMPUTED_VALUE"""),"Estrela 4")</f>
        <v>Estrela 4</v>
      </c>
      <c r="P793" s="5">
        <f>IFERROR(__xludf.DUMMYFUNCTION("""COMPUTED_VALUE"""),198.0)</f>
        <v>198</v>
      </c>
      <c r="Q793" s="5" t="str">
        <f>IFERROR(__xludf.DUMMYFUNCTION("""COMPUTED_VALUE"""),"Koe no katachi")</f>
        <v>Koe no katachi</v>
      </c>
      <c r="R793" s="5" t="str">
        <f>IFERROR(__xludf.DUMMYFUNCTION("""COMPUTED_VALUE"""),"Kenshô Ono")</f>
        <v>Kenshô Ono</v>
      </c>
      <c r="S793" s="5" t="str">
        <f>IFERROR(__xludf.DUMMYFUNCTION("""COMPUTED_VALUE"""),"Estrela 4")</f>
        <v>Estrela 4</v>
      </c>
    </row>
    <row r="794">
      <c r="A794" s="1">
        <v>793.0</v>
      </c>
      <c r="B794" s="1" t="s">
        <v>4637</v>
      </c>
      <c r="C794" s="1" t="s">
        <v>2530</v>
      </c>
      <c r="D794" s="1" t="s">
        <v>4639</v>
      </c>
      <c r="E794" s="1" t="s">
        <v>4640</v>
      </c>
      <c r="F794" s="1" t="s">
        <v>4641</v>
      </c>
      <c r="G794" s="5" t="str">
        <f>IFERROR(__xludf.DUMMYFUNCTION("""COMPUTED_VALUE"""),"199🤙🏼Contratiempo🤙🏼Mario Casas🤙🏼Estrela 1")</f>
        <v>199🤙🏼Contratiempo🤙🏼Mario Casas🤙🏼Estrela 1</v>
      </c>
      <c r="H794" s="5">
        <f>IFERROR(__xludf.DUMMYFUNCTION("SPLiT(G794, ""🤙🏼"",FALSE,FALSE)"),199.0)</f>
        <v>199</v>
      </c>
      <c r="I794" s="5" t="str">
        <f>IFERROR(__xludf.DUMMYFUNCTION("""COMPUTED_VALUE"""),"Contratiempo")</f>
        <v>Contratiempo</v>
      </c>
      <c r="J794" s="5" t="str">
        <f>IFERROR(__xludf.DUMMYFUNCTION("""COMPUTED_VALUE"""),"Mario Casas")</f>
        <v>Mario Casas</v>
      </c>
      <c r="K794" s="5" t="str">
        <f>IFERROR(__xludf.DUMMYFUNCTION("""COMPUTED_VALUE"""),"Estrela 1")</f>
        <v>Estrela 1</v>
      </c>
      <c r="P794" s="5">
        <f>IFERROR(__xludf.DUMMYFUNCTION("""COMPUTED_VALUE"""),199.0)</f>
        <v>199</v>
      </c>
      <c r="Q794" s="5" t="str">
        <f>IFERROR(__xludf.DUMMYFUNCTION("""COMPUTED_VALUE"""),"Contratiempo")</f>
        <v>Contratiempo</v>
      </c>
      <c r="R794" s="5" t="str">
        <f>IFERROR(__xludf.DUMMYFUNCTION("""COMPUTED_VALUE"""),"Mario Casas")</f>
        <v>Mario Casas</v>
      </c>
      <c r="S794" s="5" t="str">
        <f>IFERROR(__xludf.DUMMYFUNCTION("""COMPUTED_VALUE"""),"Estrela 1")</f>
        <v>Estrela 1</v>
      </c>
    </row>
    <row r="795">
      <c r="A795" s="1">
        <v>794.0</v>
      </c>
      <c r="B795" s="1" t="s">
        <v>4642</v>
      </c>
      <c r="C795" s="1" t="s">
        <v>4645</v>
      </c>
      <c r="D795" s="1" t="s">
        <v>4646</v>
      </c>
      <c r="E795" s="1" t="s">
        <v>4647</v>
      </c>
      <c r="F795" s="1" t="s">
        <v>4648</v>
      </c>
      <c r="G795" s="5" t="str">
        <f>IFERROR(__xludf.DUMMYFUNCTION("""COMPUTED_VALUE"""),"199🤙🏼Contratiempo🤙🏼Ana Wagener🤙🏼Estrela 2")</f>
        <v>199🤙🏼Contratiempo🤙🏼Ana Wagener🤙🏼Estrela 2</v>
      </c>
      <c r="H795" s="5">
        <f>IFERROR(__xludf.DUMMYFUNCTION("SPLiT(G795, ""🤙🏼"",FALSE,FALSE)"),199.0)</f>
        <v>199</v>
      </c>
      <c r="I795" s="5" t="str">
        <f>IFERROR(__xludf.DUMMYFUNCTION("""COMPUTED_VALUE"""),"Contratiempo")</f>
        <v>Contratiempo</v>
      </c>
      <c r="J795" s="5" t="str">
        <f>IFERROR(__xludf.DUMMYFUNCTION("""COMPUTED_VALUE"""),"Ana Wagener")</f>
        <v>Ana Wagener</v>
      </c>
      <c r="K795" s="5" t="str">
        <f>IFERROR(__xludf.DUMMYFUNCTION("""COMPUTED_VALUE"""),"Estrela 2")</f>
        <v>Estrela 2</v>
      </c>
      <c r="P795" s="5">
        <f>IFERROR(__xludf.DUMMYFUNCTION("""COMPUTED_VALUE"""),199.0)</f>
        <v>199</v>
      </c>
      <c r="Q795" s="5" t="str">
        <f>IFERROR(__xludf.DUMMYFUNCTION("""COMPUTED_VALUE"""),"Contratiempo")</f>
        <v>Contratiempo</v>
      </c>
      <c r="R795" s="5" t="str">
        <f>IFERROR(__xludf.DUMMYFUNCTION("""COMPUTED_VALUE"""),"Ana Wagener")</f>
        <v>Ana Wagener</v>
      </c>
      <c r="S795" s="5" t="str">
        <f>IFERROR(__xludf.DUMMYFUNCTION("""COMPUTED_VALUE"""),"Estrela 2")</f>
        <v>Estrela 2</v>
      </c>
    </row>
    <row r="796">
      <c r="A796" s="1">
        <v>795.0</v>
      </c>
      <c r="B796" s="1" t="s">
        <v>4649</v>
      </c>
      <c r="C796" s="1" t="s">
        <v>4651</v>
      </c>
      <c r="D796" s="1" t="s">
        <v>4652</v>
      </c>
      <c r="E796" s="1" t="s">
        <v>4653</v>
      </c>
      <c r="F796" s="1" t="s">
        <v>4654</v>
      </c>
      <c r="G796" s="5" t="str">
        <f>IFERROR(__xludf.DUMMYFUNCTION("""COMPUTED_VALUE"""),"199🤙🏼Contratiempo🤙🏼Jose Coronado🤙🏼Estrela 3")</f>
        <v>199🤙🏼Contratiempo🤙🏼Jose Coronado🤙🏼Estrela 3</v>
      </c>
      <c r="H796" s="5">
        <f>IFERROR(__xludf.DUMMYFUNCTION("SPLiT(G796, ""🤙🏼"",FALSE,FALSE)"),199.0)</f>
        <v>199</v>
      </c>
      <c r="I796" s="5" t="str">
        <f>IFERROR(__xludf.DUMMYFUNCTION("""COMPUTED_VALUE"""),"Contratiempo")</f>
        <v>Contratiempo</v>
      </c>
      <c r="J796" s="5" t="str">
        <f>IFERROR(__xludf.DUMMYFUNCTION("""COMPUTED_VALUE"""),"Jose Coronado")</f>
        <v>Jose Coronado</v>
      </c>
      <c r="K796" s="5" t="str">
        <f>IFERROR(__xludf.DUMMYFUNCTION("""COMPUTED_VALUE"""),"Estrela 3")</f>
        <v>Estrela 3</v>
      </c>
      <c r="P796" s="5">
        <f>IFERROR(__xludf.DUMMYFUNCTION("""COMPUTED_VALUE"""),199.0)</f>
        <v>199</v>
      </c>
      <c r="Q796" s="5" t="str">
        <f>IFERROR(__xludf.DUMMYFUNCTION("""COMPUTED_VALUE"""),"Contratiempo")</f>
        <v>Contratiempo</v>
      </c>
      <c r="R796" s="5" t="str">
        <f>IFERROR(__xludf.DUMMYFUNCTION("""COMPUTED_VALUE"""),"Jose Coronado")</f>
        <v>Jose Coronado</v>
      </c>
      <c r="S796" s="5" t="str">
        <f>IFERROR(__xludf.DUMMYFUNCTION("""COMPUTED_VALUE"""),"Estrela 3")</f>
        <v>Estrela 3</v>
      </c>
    </row>
    <row r="797">
      <c r="A797" s="1">
        <v>796.0</v>
      </c>
      <c r="B797" s="1" t="s">
        <v>4655</v>
      </c>
      <c r="C797" s="1" t="s">
        <v>3135</v>
      </c>
      <c r="D797" s="1" t="s">
        <v>98</v>
      </c>
      <c r="E797" s="1" t="s">
        <v>2210</v>
      </c>
      <c r="F797" s="1" t="s">
        <v>215</v>
      </c>
      <c r="G797" s="5" t="str">
        <f>IFERROR(__xludf.DUMMYFUNCTION("""COMPUTED_VALUE"""),"199🤙🏼Contratiempo🤙🏼Bárbara Lennie🤙🏼Estrela 4")</f>
        <v>199🤙🏼Contratiempo🤙🏼Bárbara Lennie🤙🏼Estrela 4</v>
      </c>
      <c r="H797" s="5">
        <f>IFERROR(__xludf.DUMMYFUNCTION("SPLiT(G797, ""🤙🏼"",FALSE,FALSE)"),199.0)</f>
        <v>199</v>
      </c>
      <c r="I797" s="5" t="str">
        <f>IFERROR(__xludf.DUMMYFUNCTION("""COMPUTED_VALUE"""),"Contratiempo")</f>
        <v>Contratiempo</v>
      </c>
      <c r="J797" s="5" t="str">
        <f>IFERROR(__xludf.DUMMYFUNCTION("""COMPUTED_VALUE"""),"Bárbara Lennie")</f>
        <v>Bárbara Lennie</v>
      </c>
      <c r="K797" s="5" t="str">
        <f>IFERROR(__xludf.DUMMYFUNCTION("""COMPUTED_VALUE"""),"Estrela 4")</f>
        <v>Estrela 4</v>
      </c>
      <c r="P797" s="5">
        <f>IFERROR(__xludf.DUMMYFUNCTION("""COMPUTED_VALUE"""),199.0)</f>
        <v>199</v>
      </c>
      <c r="Q797" s="5" t="str">
        <f>IFERROR(__xludf.DUMMYFUNCTION("""COMPUTED_VALUE"""),"Contratiempo")</f>
        <v>Contratiempo</v>
      </c>
      <c r="R797" s="5" t="str">
        <f>IFERROR(__xludf.DUMMYFUNCTION("""COMPUTED_VALUE"""),"Bárbara Lennie")</f>
        <v>Bárbara Lennie</v>
      </c>
      <c r="S797" s="5" t="str">
        <f>IFERROR(__xludf.DUMMYFUNCTION("""COMPUTED_VALUE"""),"Estrela 4")</f>
        <v>Estrela 4</v>
      </c>
    </row>
    <row r="798">
      <c r="A798" s="1">
        <v>797.0</v>
      </c>
      <c r="B798" s="1" t="s">
        <v>4658</v>
      </c>
      <c r="C798" s="1" t="s">
        <v>4661</v>
      </c>
      <c r="D798" s="1" t="s">
        <v>4662</v>
      </c>
      <c r="E798" s="1" t="s">
        <v>4663</v>
      </c>
      <c r="F798" s="1" t="s">
        <v>4664</v>
      </c>
      <c r="G798" s="5" t="str">
        <f>IFERROR(__xludf.DUMMYFUNCTION("""COMPUTED_VALUE"""),"200🤙🏼Ah-ga-ssi🤙🏼Kim Min-hee🤙🏼Estrela 1")</f>
        <v>200🤙🏼Ah-ga-ssi🤙🏼Kim Min-hee🤙🏼Estrela 1</v>
      </c>
      <c r="H798" s="5">
        <f>IFERROR(__xludf.DUMMYFUNCTION("SPLiT(G798, ""🤙🏼"",FALSE,FALSE)"),200.0)</f>
        <v>200</v>
      </c>
      <c r="I798" s="5" t="str">
        <f>IFERROR(__xludf.DUMMYFUNCTION("""COMPUTED_VALUE"""),"Ah-ga-ssi")</f>
        <v>Ah-ga-ssi</v>
      </c>
      <c r="J798" s="5" t="str">
        <f>IFERROR(__xludf.DUMMYFUNCTION("""COMPUTED_VALUE"""),"Kim Min-hee")</f>
        <v>Kim Min-hee</v>
      </c>
      <c r="K798" s="5" t="str">
        <f>IFERROR(__xludf.DUMMYFUNCTION("""COMPUTED_VALUE"""),"Estrela 1")</f>
        <v>Estrela 1</v>
      </c>
      <c r="P798" s="5">
        <f>IFERROR(__xludf.DUMMYFUNCTION("""COMPUTED_VALUE"""),200.0)</f>
        <v>200</v>
      </c>
      <c r="Q798" s="5" t="str">
        <f>IFERROR(__xludf.DUMMYFUNCTION("""COMPUTED_VALUE"""),"Ah-ga-ssi")</f>
        <v>Ah-ga-ssi</v>
      </c>
      <c r="R798" s="5" t="str">
        <f>IFERROR(__xludf.DUMMYFUNCTION("""COMPUTED_VALUE"""),"Kim Min-hee")</f>
        <v>Kim Min-hee</v>
      </c>
      <c r="S798" s="5" t="str">
        <f>IFERROR(__xludf.DUMMYFUNCTION("""COMPUTED_VALUE"""),"Estrela 1")</f>
        <v>Estrela 1</v>
      </c>
    </row>
    <row r="799">
      <c r="A799" s="1">
        <v>798.0</v>
      </c>
      <c r="B799" s="1" t="s">
        <v>4665</v>
      </c>
      <c r="C799" s="1" t="s">
        <v>1612</v>
      </c>
      <c r="D799" s="1" t="s">
        <v>3135</v>
      </c>
      <c r="E799" s="1" t="s">
        <v>4667</v>
      </c>
      <c r="F799" s="1" t="s">
        <v>4668</v>
      </c>
      <c r="G799" s="5" t="str">
        <f>IFERROR(__xludf.DUMMYFUNCTION("""COMPUTED_VALUE"""),"200🤙🏼Ah-ga-ssi🤙🏼Jung-woo Ha🤙🏼Estrela 2")</f>
        <v>200🤙🏼Ah-ga-ssi🤙🏼Jung-woo Ha🤙🏼Estrela 2</v>
      </c>
      <c r="H799" s="5">
        <f>IFERROR(__xludf.DUMMYFUNCTION("SPLiT(G799, ""🤙🏼"",FALSE,FALSE)"),200.0)</f>
        <v>200</v>
      </c>
      <c r="I799" s="5" t="str">
        <f>IFERROR(__xludf.DUMMYFUNCTION("""COMPUTED_VALUE"""),"Ah-ga-ssi")</f>
        <v>Ah-ga-ssi</v>
      </c>
      <c r="J799" s="5" t="str">
        <f>IFERROR(__xludf.DUMMYFUNCTION("""COMPUTED_VALUE"""),"Jung-woo Ha")</f>
        <v>Jung-woo Ha</v>
      </c>
      <c r="K799" s="5" t="str">
        <f>IFERROR(__xludf.DUMMYFUNCTION("""COMPUTED_VALUE"""),"Estrela 2")</f>
        <v>Estrela 2</v>
      </c>
      <c r="P799" s="5">
        <f>IFERROR(__xludf.DUMMYFUNCTION("""COMPUTED_VALUE"""),200.0)</f>
        <v>200</v>
      </c>
      <c r="Q799" s="5" t="str">
        <f>IFERROR(__xludf.DUMMYFUNCTION("""COMPUTED_VALUE"""),"Ah-ga-ssi")</f>
        <v>Ah-ga-ssi</v>
      </c>
      <c r="R799" s="5" t="str">
        <f>IFERROR(__xludf.DUMMYFUNCTION("""COMPUTED_VALUE"""),"Jung-woo Ha")</f>
        <v>Jung-woo Ha</v>
      </c>
      <c r="S799" s="5" t="str">
        <f>IFERROR(__xludf.DUMMYFUNCTION("""COMPUTED_VALUE"""),"Estrela 2")</f>
        <v>Estrela 2</v>
      </c>
    </row>
    <row r="800">
      <c r="A800" s="1">
        <v>799.0</v>
      </c>
      <c r="B800" s="1" t="s">
        <v>4669</v>
      </c>
      <c r="C800" s="1" t="s">
        <v>2204</v>
      </c>
      <c r="D800" s="1" t="s">
        <v>347</v>
      </c>
      <c r="E800" s="1" t="s">
        <v>1846</v>
      </c>
      <c r="F800" s="1" t="s">
        <v>4672</v>
      </c>
      <c r="G800" s="5" t="str">
        <f>IFERROR(__xludf.DUMMYFUNCTION("""COMPUTED_VALUE"""),"200🤙🏼Ah-ga-ssi🤙🏼Cho Jin-woong🤙🏼Estrela 3")</f>
        <v>200🤙🏼Ah-ga-ssi🤙🏼Cho Jin-woong🤙🏼Estrela 3</v>
      </c>
      <c r="H800" s="5">
        <f>IFERROR(__xludf.DUMMYFUNCTION("SPLiT(G800, ""🤙🏼"",FALSE,FALSE)"),200.0)</f>
        <v>200</v>
      </c>
      <c r="I800" s="5" t="str">
        <f>IFERROR(__xludf.DUMMYFUNCTION("""COMPUTED_VALUE"""),"Ah-ga-ssi")</f>
        <v>Ah-ga-ssi</v>
      </c>
      <c r="J800" s="5" t="str">
        <f>IFERROR(__xludf.DUMMYFUNCTION("""COMPUTED_VALUE"""),"Cho Jin-woong")</f>
        <v>Cho Jin-woong</v>
      </c>
      <c r="K800" s="5" t="str">
        <f>IFERROR(__xludf.DUMMYFUNCTION("""COMPUTED_VALUE"""),"Estrela 3")</f>
        <v>Estrela 3</v>
      </c>
      <c r="P800" s="5">
        <f>IFERROR(__xludf.DUMMYFUNCTION("""COMPUTED_VALUE"""),200.0)</f>
        <v>200</v>
      </c>
      <c r="Q800" s="5" t="str">
        <f>IFERROR(__xludf.DUMMYFUNCTION("""COMPUTED_VALUE"""),"Ah-ga-ssi")</f>
        <v>Ah-ga-ssi</v>
      </c>
      <c r="R800" s="5" t="str">
        <f>IFERROR(__xludf.DUMMYFUNCTION("""COMPUTED_VALUE"""),"Cho Jin-woong")</f>
        <v>Cho Jin-woong</v>
      </c>
      <c r="S800" s="5" t="str">
        <f>IFERROR(__xludf.DUMMYFUNCTION("""COMPUTED_VALUE"""),"Estrela 3")</f>
        <v>Estrela 3</v>
      </c>
    </row>
    <row r="801">
      <c r="A801" s="1">
        <v>800.0</v>
      </c>
      <c r="B801" s="1" t="s">
        <v>4673</v>
      </c>
      <c r="C801" s="1" t="s">
        <v>4676</v>
      </c>
      <c r="D801" s="1" t="s">
        <v>4677</v>
      </c>
      <c r="E801" s="1" t="s">
        <v>4678</v>
      </c>
      <c r="F801" s="1" t="s">
        <v>4679</v>
      </c>
      <c r="G801" s="5" t="str">
        <f>IFERROR(__xludf.DUMMYFUNCTION("""COMPUTED_VALUE"""),"200🤙🏼Ah-ga-ssi🤙🏼Moon So-Ri🤙🏼Estrela 4")</f>
        <v>200🤙🏼Ah-ga-ssi🤙🏼Moon So-Ri🤙🏼Estrela 4</v>
      </c>
      <c r="H801" s="5">
        <f>IFERROR(__xludf.DUMMYFUNCTION("SPLiT(G801, ""🤙🏼"",FALSE,FALSE)"),200.0)</f>
        <v>200</v>
      </c>
      <c r="I801" s="5" t="str">
        <f>IFERROR(__xludf.DUMMYFUNCTION("""COMPUTED_VALUE"""),"Ah-ga-ssi")</f>
        <v>Ah-ga-ssi</v>
      </c>
      <c r="J801" s="5" t="str">
        <f>IFERROR(__xludf.DUMMYFUNCTION("""COMPUTED_VALUE"""),"Moon So-Ri")</f>
        <v>Moon So-Ri</v>
      </c>
      <c r="K801" s="5" t="str">
        <f>IFERROR(__xludf.DUMMYFUNCTION("""COMPUTED_VALUE"""),"Estrela 4")</f>
        <v>Estrela 4</v>
      </c>
      <c r="P801" s="5">
        <f>IFERROR(__xludf.DUMMYFUNCTION("""COMPUTED_VALUE"""),200.0)</f>
        <v>200</v>
      </c>
      <c r="Q801" s="5" t="str">
        <f>IFERROR(__xludf.DUMMYFUNCTION("""COMPUTED_VALUE"""),"Ah-ga-ssi")</f>
        <v>Ah-ga-ssi</v>
      </c>
      <c r="R801" s="5" t="str">
        <f>IFERROR(__xludf.DUMMYFUNCTION("""COMPUTED_VALUE"""),"Moon So-Ri")</f>
        <v>Moon So-Ri</v>
      </c>
      <c r="S801" s="5" t="str">
        <f>IFERROR(__xludf.DUMMYFUNCTION("""COMPUTED_VALUE"""),"Estrela 4")</f>
        <v>Estrela 4</v>
      </c>
    </row>
    <row r="802">
      <c r="A802" s="1">
        <v>801.0</v>
      </c>
      <c r="B802" s="1" t="s">
        <v>4680</v>
      </c>
      <c r="C802" s="1" t="s">
        <v>4683</v>
      </c>
      <c r="D802" s="1" t="s">
        <v>2522</v>
      </c>
      <c r="E802" s="1" t="s">
        <v>4684</v>
      </c>
      <c r="F802" s="1" t="s">
        <v>4685</v>
      </c>
      <c r="G802" s="5" t="str">
        <f>IFERROR(__xludf.DUMMYFUNCTION("""COMPUTED_VALUE"""),"201🤙🏼Mommy🤙🏼Anne Dorval🤙🏼Estrela 1")</f>
        <v>201🤙🏼Mommy🤙🏼Anne Dorval🤙🏼Estrela 1</v>
      </c>
      <c r="H802" s="5">
        <f>IFERROR(__xludf.DUMMYFUNCTION("SPLiT(G802, ""🤙🏼"",FALSE,FALSE)"),201.0)</f>
        <v>201</v>
      </c>
      <c r="I802" s="5" t="str">
        <f>IFERROR(__xludf.DUMMYFUNCTION("""COMPUTED_VALUE"""),"Mommy")</f>
        <v>Mommy</v>
      </c>
      <c r="J802" s="5" t="str">
        <f>IFERROR(__xludf.DUMMYFUNCTION("""COMPUTED_VALUE"""),"Anne Dorval")</f>
        <v>Anne Dorval</v>
      </c>
      <c r="K802" s="5" t="str">
        <f>IFERROR(__xludf.DUMMYFUNCTION("""COMPUTED_VALUE"""),"Estrela 1")</f>
        <v>Estrela 1</v>
      </c>
      <c r="P802" s="5">
        <f>IFERROR(__xludf.DUMMYFUNCTION("""COMPUTED_VALUE"""),201.0)</f>
        <v>201</v>
      </c>
      <c r="Q802" s="5" t="str">
        <f>IFERROR(__xludf.DUMMYFUNCTION("""COMPUTED_VALUE"""),"Mommy")</f>
        <v>Mommy</v>
      </c>
      <c r="R802" s="5" t="str">
        <f>IFERROR(__xludf.DUMMYFUNCTION("""COMPUTED_VALUE"""),"Anne Dorval")</f>
        <v>Anne Dorval</v>
      </c>
      <c r="S802" s="5" t="str">
        <f>IFERROR(__xludf.DUMMYFUNCTION("""COMPUTED_VALUE"""),"Estrela 1")</f>
        <v>Estrela 1</v>
      </c>
    </row>
    <row r="803">
      <c r="A803" s="1">
        <v>802.0</v>
      </c>
      <c r="B803" s="1" t="s">
        <v>4686</v>
      </c>
      <c r="C803" s="1" t="s">
        <v>4689</v>
      </c>
      <c r="D803" s="1" t="s">
        <v>4690</v>
      </c>
      <c r="E803" s="1" t="s">
        <v>1593</v>
      </c>
      <c r="F803" s="1" t="s">
        <v>4691</v>
      </c>
      <c r="G803" s="5" t="str">
        <f>IFERROR(__xludf.DUMMYFUNCTION("""COMPUTED_VALUE"""),"201🤙🏼Mommy🤙🏼Antoine Olivier Pilon🤙🏼Estrela 2")</f>
        <v>201🤙🏼Mommy🤙🏼Antoine Olivier Pilon🤙🏼Estrela 2</v>
      </c>
      <c r="H803" s="5">
        <f>IFERROR(__xludf.DUMMYFUNCTION("SPLiT(G803, ""🤙🏼"",FALSE,FALSE)"),201.0)</f>
        <v>201</v>
      </c>
      <c r="I803" s="5" t="str">
        <f>IFERROR(__xludf.DUMMYFUNCTION("""COMPUTED_VALUE"""),"Mommy")</f>
        <v>Mommy</v>
      </c>
      <c r="J803" s="5" t="str">
        <f>IFERROR(__xludf.DUMMYFUNCTION("""COMPUTED_VALUE"""),"Antoine Olivier Pilon")</f>
        <v>Antoine Olivier Pilon</v>
      </c>
      <c r="K803" s="5" t="str">
        <f>IFERROR(__xludf.DUMMYFUNCTION("""COMPUTED_VALUE"""),"Estrela 2")</f>
        <v>Estrela 2</v>
      </c>
      <c r="P803" s="5">
        <f>IFERROR(__xludf.DUMMYFUNCTION("""COMPUTED_VALUE"""),201.0)</f>
        <v>201</v>
      </c>
      <c r="Q803" s="5" t="str">
        <f>IFERROR(__xludf.DUMMYFUNCTION("""COMPUTED_VALUE"""),"Mommy")</f>
        <v>Mommy</v>
      </c>
      <c r="R803" s="5" t="str">
        <f>IFERROR(__xludf.DUMMYFUNCTION("""COMPUTED_VALUE"""),"Antoine Olivier Pilon")</f>
        <v>Antoine Olivier Pilon</v>
      </c>
      <c r="S803" s="5" t="str">
        <f>IFERROR(__xludf.DUMMYFUNCTION("""COMPUTED_VALUE"""),"Estrela 2")</f>
        <v>Estrela 2</v>
      </c>
    </row>
    <row r="804">
      <c r="A804" s="1">
        <v>803.0</v>
      </c>
      <c r="B804" s="1" t="s">
        <v>4692</v>
      </c>
      <c r="C804" s="1" t="s">
        <v>3799</v>
      </c>
      <c r="D804" s="1" t="s">
        <v>1642</v>
      </c>
      <c r="E804" s="1" t="s">
        <v>4119</v>
      </c>
      <c r="F804" s="1" t="s">
        <v>1824</v>
      </c>
      <c r="G804" s="5" t="str">
        <f>IFERROR(__xludf.DUMMYFUNCTION("""COMPUTED_VALUE"""),"201🤙🏼Mommy🤙🏼Suzanne Clément🤙🏼Estrela 3")</f>
        <v>201🤙🏼Mommy🤙🏼Suzanne Clément🤙🏼Estrela 3</v>
      </c>
      <c r="H804" s="5">
        <f>IFERROR(__xludf.DUMMYFUNCTION("SPLiT(G804, ""🤙🏼"",FALSE,FALSE)"),201.0)</f>
        <v>201</v>
      </c>
      <c r="I804" s="5" t="str">
        <f>IFERROR(__xludf.DUMMYFUNCTION("""COMPUTED_VALUE"""),"Mommy")</f>
        <v>Mommy</v>
      </c>
      <c r="J804" s="5" t="str">
        <f>IFERROR(__xludf.DUMMYFUNCTION("""COMPUTED_VALUE"""),"Suzanne Clément")</f>
        <v>Suzanne Clément</v>
      </c>
      <c r="K804" s="5" t="str">
        <f>IFERROR(__xludf.DUMMYFUNCTION("""COMPUTED_VALUE"""),"Estrela 3")</f>
        <v>Estrela 3</v>
      </c>
      <c r="P804" s="5">
        <f>IFERROR(__xludf.DUMMYFUNCTION("""COMPUTED_VALUE"""),201.0)</f>
        <v>201</v>
      </c>
      <c r="Q804" s="5" t="str">
        <f>IFERROR(__xludf.DUMMYFUNCTION("""COMPUTED_VALUE"""),"Mommy")</f>
        <v>Mommy</v>
      </c>
      <c r="R804" s="5" t="str">
        <f>IFERROR(__xludf.DUMMYFUNCTION("""COMPUTED_VALUE"""),"Suzanne Clément")</f>
        <v>Suzanne Clément</v>
      </c>
      <c r="S804" s="5" t="str">
        <f>IFERROR(__xludf.DUMMYFUNCTION("""COMPUTED_VALUE"""),"Estrela 3")</f>
        <v>Estrela 3</v>
      </c>
    </row>
    <row r="805">
      <c r="A805" s="1">
        <v>804.0</v>
      </c>
      <c r="B805" s="1" t="s">
        <v>4695</v>
      </c>
      <c r="C805" s="1" t="s">
        <v>995</v>
      </c>
      <c r="D805" s="1" t="s">
        <v>2569</v>
      </c>
      <c r="E805" s="1" t="s">
        <v>1704</v>
      </c>
      <c r="F805" s="1" t="s">
        <v>4697</v>
      </c>
      <c r="G805" s="5" t="str">
        <f>IFERROR(__xludf.DUMMYFUNCTION("""COMPUTED_VALUE"""),"201🤙🏼Mommy🤙🏼Patrick Huard🤙🏼Estrela 4")</f>
        <v>201🤙🏼Mommy🤙🏼Patrick Huard🤙🏼Estrela 4</v>
      </c>
      <c r="H805" s="5">
        <f>IFERROR(__xludf.DUMMYFUNCTION("SPLiT(G805, ""🤙🏼"",FALSE,FALSE)"),201.0)</f>
        <v>201</v>
      </c>
      <c r="I805" s="5" t="str">
        <f>IFERROR(__xludf.DUMMYFUNCTION("""COMPUTED_VALUE"""),"Mommy")</f>
        <v>Mommy</v>
      </c>
      <c r="J805" s="5" t="str">
        <f>IFERROR(__xludf.DUMMYFUNCTION("""COMPUTED_VALUE"""),"Patrick Huard")</f>
        <v>Patrick Huard</v>
      </c>
      <c r="K805" s="5" t="str">
        <f>IFERROR(__xludf.DUMMYFUNCTION("""COMPUTED_VALUE"""),"Estrela 4")</f>
        <v>Estrela 4</v>
      </c>
      <c r="P805" s="5">
        <f>IFERROR(__xludf.DUMMYFUNCTION("""COMPUTED_VALUE"""),201.0)</f>
        <v>201</v>
      </c>
      <c r="Q805" s="5" t="str">
        <f>IFERROR(__xludf.DUMMYFUNCTION("""COMPUTED_VALUE"""),"Mommy")</f>
        <v>Mommy</v>
      </c>
      <c r="R805" s="5" t="str">
        <f>IFERROR(__xludf.DUMMYFUNCTION("""COMPUTED_VALUE"""),"Patrick Huard")</f>
        <v>Patrick Huard</v>
      </c>
      <c r="S805" s="5" t="str">
        <f>IFERROR(__xludf.DUMMYFUNCTION("""COMPUTED_VALUE"""),"Estrela 4")</f>
        <v>Estrela 4</v>
      </c>
    </row>
    <row r="806">
      <c r="A806" s="1">
        <v>805.0</v>
      </c>
      <c r="B806" s="1" t="s">
        <v>4698</v>
      </c>
      <c r="C806" s="1" t="s">
        <v>4700</v>
      </c>
      <c r="D806" s="1" t="s">
        <v>4701</v>
      </c>
      <c r="E806" s="1" t="s">
        <v>4702</v>
      </c>
      <c r="F806" s="1" t="s">
        <v>4703</v>
      </c>
      <c r="G806" s="5" t="str">
        <f>IFERROR(__xludf.DUMMYFUNCTION("""COMPUTED_VALUE"""),"202🤙🏼Haider🤙🏼Shahid Kapoor🤙🏼Estrela 1")</f>
        <v>202🤙🏼Haider🤙🏼Shahid Kapoor🤙🏼Estrela 1</v>
      </c>
      <c r="H806" s="5">
        <f>IFERROR(__xludf.DUMMYFUNCTION("SPLiT(G806, ""🤙🏼"",FALSE,FALSE)"),202.0)</f>
        <v>202</v>
      </c>
      <c r="I806" s="5" t="str">
        <f>IFERROR(__xludf.DUMMYFUNCTION("""COMPUTED_VALUE"""),"Haider")</f>
        <v>Haider</v>
      </c>
      <c r="J806" s="5" t="str">
        <f>IFERROR(__xludf.DUMMYFUNCTION("""COMPUTED_VALUE"""),"Shahid Kapoor")</f>
        <v>Shahid Kapoor</v>
      </c>
      <c r="K806" s="5" t="str">
        <f>IFERROR(__xludf.DUMMYFUNCTION("""COMPUTED_VALUE"""),"Estrela 1")</f>
        <v>Estrela 1</v>
      </c>
      <c r="P806" s="5">
        <f>IFERROR(__xludf.DUMMYFUNCTION("""COMPUTED_VALUE"""),202.0)</f>
        <v>202</v>
      </c>
      <c r="Q806" s="5" t="str">
        <f>IFERROR(__xludf.DUMMYFUNCTION("""COMPUTED_VALUE"""),"Haider")</f>
        <v>Haider</v>
      </c>
      <c r="R806" s="5" t="str">
        <f>IFERROR(__xludf.DUMMYFUNCTION("""COMPUTED_VALUE"""),"Shahid Kapoor")</f>
        <v>Shahid Kapoor</v>
      </c>
      <c r="S806" s="5" t="str">
        <f>IFERROR(__xludf.DUMMYFUNCTION("""COMPUTED_VALUE"""),"Estrela 1")</f>
        <v>Estrela 1</v>
      </c>
    </row>
    <row r="807">
      <c r="A807" s="1">
        <v>806.0</v>
      </c>
      <c r="B807" s="1" t="s">
        <v>4704</v>
      </c>
      <c r="C807" s="1" t="s">
        <v>4706</v>
      </c>
      <c r="D807" s="1" t="s">
        <v>3946</v>
      </c>
      <c r="E807" s="1" t="s">
        <v>1608</v>
      </c>
      <c r="F807" s="1" t="s">
        <v>4109</v>
      </c>
      <c r="G807" s="5" t="str">
        <f>IFERROR(__xludf.DUMMYFUNCTION("""COMPUTED_VALUE"""),"202🤙🏼Haider🤙🏼Tabu🤙🏼Estrela 2")</f>
        <v>202🤙🏼Haider🤙🏼Tabu🤙🏼Estrela 2</v>
      </c>
      <c r="H807" s="5">
        <f>IFERROR(__xludf.DUMMYFUNCTION("SPLiT(G807, ""🤙🏼"",FALSE,FALSE)"),202.0)</f>
        <v>202</v>
      </c>
      <c r="I807" s="5" t="str">
        <f>IFERROR(__xludf.DUMMYFUNCTION("""COMPUTED_VALUE"""),"Haider")</f>
        <v>Haider</v>
      </c>
      <c r="J807" s="5" t="str">
        <f>IFERROR(__xludf.DUMMYFUNCTION("""COMPUTED_VALUE"""),"Tabu")</f>
        <v>Tabu</v>
      </c>
      <c r="K807" s="5" t="str">
        <f>IFERROR(__xludf.DUMMYFUNCTION("""COMPUTED_VALUE"""),"Estrela 2")</f>
        <v>Estrela 2</v>
      </c>
      <c r="P807" s="5">
        <f>IFERROR(__xludf.DUMMYFUNCTION("""COMPUTED_VALUE"""),202.0)</f>
        <v>202</v>
      </c>
      <c r="Q807" s="5" t="str">
        <f>IFERROR(__xludf.DUMMYFUNCTION("""COMPUTED_VALUE"""),"Haider")</f>
        <v>Haider</v>
      </c>
      <c r="R807" s="5" t="str">
        <f>IFERROR(__xludf.DUMMYFUNCTION("""COMPUTED_VALUE"""),"Tabu")</f>
        <v>Tabu</v>
      </c>
      <c r="S807" s="5" t="str">
        <f>IFERROR(__xludf.DUMMYFUNCTION("""COMPUTED_VALUE"""),"Estrela 2")</f>
        <v>Estrela 2</v>
      </c>
    </row>
    <row r="808">
      <c r="A808" s="1">
        <v>807.0</v>
      </c>
      <c r="B808" s="1" t="s">
        <v>4707</v>
      </c>
      <c r="C808" s="1" t="s">
        <v>156</v>
      </c>
      <c r="D808" s="1" t="s">
        <v>3924</v>
      </c>
      <c r="E808" s="1" t="s">
        <v>3819</v>
      </c>
      <c r="F808" s="1" t="s">
        <v>4034</v>
      </c>
      <c r="G808" s="5" t="str">
        <f>IFERROR(__xludf.DUMMYFUNCTION("""COMPUTED_VALUE"""),"202🤙🏼Haider🤙🏼Shraddha Kapoor🤙🏼Estrela 3")</f>
        <v>202🤙🏼Haider🤙🏼Shraddha Kapoor🤙🏼Estrela 3</v>
      </c>
      <c r="H808" s="5">
        <f>IFERROR(__xludf.DUMMYFUNCTION("SPLiT(G808, ""🤙🏼"",FALSE,FALSE)"),202.0)</f>
        <v>202</v>
      </c>
      <c r="I808" s="5" t="str">
        <f>IFERROR(__xludf.DUMMYFUNCTION("""COMPUTED_VALUE"""),"Haider")</f>
        <v>Haider</v>
      </c>
      <c r="J808" s="5" t="str">
        <f>IFERROR(__xludf.DUMMYFUNCTION("""COMPUTED_VALUE"""),"Shraddha Kapoor")</f>
        <v>Shraddha Kapoor</v>
      </c>
      <c r="K808" s="5" t="str">
        <f>IFERROR(__xludf.DUMMYFUNCTION("""COMPUTED_VALUE"""),"Estrela 3")</f>
        <v>Estrela 3</v>
      </c>
      <c r="P808" s="5">
        <f>IFERROR(__xludf.DUMMYFUNCTION("""COMPUTED_VALUE"""),202.0)</f>
        <v>202</v>
      </c>
      <c r="Q808" s="5" t="str">
        <f>IFERROR(__xludf.DUMMYFUNCTION("""COMPUTED_VALUE"""),"Haider")</f>
        <v>Haider</v>
      </c>
      <c r="R808" s="5" t="str">
        <f>IFERROR(__xludf.DUMMYFUNCTION("""COMPUTED_VALUE"""),"Shraddha Kapoor")</f>
        <v>Shraddha Kapoor</v>
      </c>
      <c r="S808" s="5" t="str">
        <f>IFERROR(__xludf.DUMMYFUNCTION("""COMPUTED_VALUE"""),"Estrela 3")</f>
        <v>Estrela 3</v>
      </c>
    </row>
    <row r="809">
      <c r="A809" s="1">
        <v>808.0</v>
      </c>
      <c r="B809" s="1" t="s">
        <v>4710</v>
      </c>
      <c r="C809" s="1" t="s">
        <v>76</v>
      </c>
      <c r="D809" s="1" t="s">
        <v>4712</v>
      </c>
      <c r="E809" s="1" t="s">
        <v>347</v>
      </c>
      <c r="F809" s="1" t="s">
        <v>4713</v>
      </c>
      <c r="G809" s="5" t="str">
        <f>IFERROR(__xludf.DUMMYFUNCTION("""COMPUTED_VALUE"""),"202🤙🏼Haider🤙🏼Kay Kay Menon🤙🏼Estrela 4")</f>
        <v>202🤙🏼Haider🤙🏼Kay Kay Menon🤙🏼Estrela 4</v>
      </c>
      <c r="H809" s="5">
        <f>IFERROR(__xludf.DUMMYFUNCTION("SPLiT(G809, ""🤙🏼"",FALSE,FALSE)"),202.0)</f>
        <v>202</v>
      </c>
      <c r="I809" s="5" t="str">
        <f>IFERROR(__xludf.DUMMYFUNCTION("""COMPUTED_VALUE"""),"Haider")</f>
        <v>Haider</v>
      </c>
      <c r="J809" s="5" t="str">
        <f>IFERROR(__xludf.DUMMYFUNCTION("""COMPUTED_VALUE"""),"Kay Kay Menon")</f>
        <v>Kay Kay Menon</v>
      </c>
      <c r="K809" s="5" t="str">
        <f>IFERROR(__xludf.DUMMYFUNCTION("""COMPUTED_VALUE"""),"Estrela 4")</f>
        <v>Estrela 4</v>
      </c>
      <c r="P809" s="5">
        <f>IFERROR(__xludf.DUMMYFUNCTION("""COMPUTED_VALUE"""),202.0)</f>
        <v>202</v>
      </c>
      <c r="Q809" s="5" t="str">
        <f>IFERROR(__xludf.DUMMYFUNCTION("""COMPUTED_VALUE"""),"Haider")</f>
        <v>Haider</v>
      </c>
      <c r="R809" s="5" t="str">
        <f>IFERROR(__xludf.DUMMYFUNCTION("""COMPUTED_VALUE"""),"Kay Kay Menon")</f>
        <v>Kay Kay Menon</v>
      </c>
      <c r="S809" s="5" t="str">
        <f>IFERROR(__xludf.DUMMYFUNCTION("""COMPUTED_VALUE"""),"Estrela 4")</f>
        <v>Estrela 4</v>
      </c>
    </row>
    <row r="810">
      <c r="A810" s="1">
        <v>809.0</v>
      </c>
      <c r="B810" s="1" t="s">
        <v>4714</v>
      </c>
      <c r="C810" s="1" t="s">
        <v>4717</v>
      </c>
      <c r="D810" s="1" t="s">
        <v>4718</v>
      </c>
      <c r="E810" s="1" t="s">
        <v>4719</v>
      </c>
      <c r="F810" s="1" t="s">
        <v>4720</v>
      </c>
      <c r="G810" s="5" t="str">
        <f>IFERROR(__xludf.DUMMYFUNCTION("""COMPUTED_VALUE"""),"203🤙🏼Logan🤙🏼Hugh Jackman🤙🏼Estrela 1")</f>
        <v>203🤙🏼Logan🤙🏼Hugh Jackman🤙🏼Estrela 1</v>
      </c>
      <c r="H810" s="5">
        <f>IFERROR(__xludf.DUMMYFUNCTION("SPLiT(G810, ""🤙🏼"",FALSE,FALSE)"),203.0)</f>
        <v>203</v>
      </c>
      <c r="I810" s="5" t="str">
        <f>IFERROR(__xludf.DUMMYFUNCTION("""COMPUTED_VALUE"""),"Logan")</f>
        <v>Logan</v>
      </c>
      <c r="J810" s="5" t="str">
        <f>IFERROR(__xludf.DUMMYFUNCTION("""COMPUTED_VALUE"""),"Hugh Jackman")</f>
        <v>Hugh Jackman</v>
      </c>
      <c r="K810" s="5" t="str">
        <f>IFERROR(__xludf.DUMMYFUNCTION("""COMPUTED_VALUE"""),"Estrela 1")</f>
        <v>Estrela 1</v>
      </c>
      <c r="P810" s="5">
        <f>IFERROR(__xludf.DUMMYFUNCTION("""COMPUTED_VALUE"""),203.0)</f>
        <v>203</v>
      </c>
      <c r="Q810" s="5" t="str">
        <f>IFERROR(__xludf.DUMMYFUNCTION("""COMPUTED_VALUE"""),"Logan")</f>
        <v>Logan</v>
      </c>
      <c r="R810" s="5" t="str">
        <f>IFERROR(__xludf.DUMMYFUNCTION("""COMPUTED_VALUE"""),"Hugh Jackman")</f>
        <v>Hugh Jackman</v>
      </c>
      <c r="S810" s="5" t="str">
        <f>IFERROR(__xludf.DUMMYFUNCTION("""COMPUTED_VALUE"""),"Estrela 1")</f>
        <v>Estrela 1</v>
      </c>
    </row>
    <row r="811">
      <c r="A811" s="1">
        <v>810.0</v>
      </c>
      <c r="B811" s="1" t="s">
        <v>4721</v>
      </c>
      <c r="C811" s="1" t="s">
        <v>33</v>
      </c>
      <c r="D811" s="1" t="s">
        <v>2451</v>
      </c>
      <c r="E811" s="1" t="s">
        <v>782</v>
      </c>
      <c r="F811" s="1" t="s">
        <v>4723</v>
      </c>
      <c r="G811" s="5" t="str">
        <f>IFERROR(__xludf.DUMMYFUNCTION("""COMPUTED_VALUE"""),"203🤙🏼Logan🤙🏼Patrick Stewart🤙🏼Estrela 2")</f>
        <v>203🤙🏼Logan🤙🏼Patrick Stewart🤙🏼Estrela 2</v>
      </c>
      <c r="H811" s="5">
        <f>IFERROR(__xludf.DUMMYFUNCTION("SPLiT(G811, ""🤙🏼"",FALSE,FALSE)"),203.0)</f>
        <v>203</v>
      </c>
      <c r="I811" s="5" t="str">
        <f>IFERROR(__xludf.DUMMYFUNCTION("""COMPUTED_VALUE"""),"Logan")</f>
        <v>Logan</v>
      </c>
      <c r="J811" s="5" t="str">
        <f>IFERROR(__xludf.DUMMYFUNCTION("""COMPUTED_VALUE"""),"Patrick Stewart")</f>
        <v>Patrick Stewart</v>
      </c>
      <c r="K811" s="5" t="str">
        <f>IFERROR(__xludf.DUMMYFUNCTION("""COMPUTED_VALUE"""),"Estrela 2")</f>
        <v>Estrela 2</v>
      </c>
      <c r="P811" s="5">
        <f>IFERROR(__xludf.DUMMYFUNCTION("""COMPUTED_VALUE"""),203.0)</f>
        <v>203</v>
      </c>
      <c r="Q811" s="5" t="str">
        <f>IFERROR(__xludf.DUMMYFUNCTION("""COMPUTED_VALUE"""),"Logan")</f>
        <v>Logan</v>
      </c>
      <c r="R811" s="5" t="str">
        <f>IFERROR(__xludf.DUMMYFUNCTION("""COMPUTED_VALUE"""),"Patrick Stewart")</f>
        <v>Patrick Stewart</v>
      </c>
      <c r="S811" s="5" t="str">
        <f>IFERROR(__xludf.DUMMYFUNCTION("""COMPUTED_VALUE"""),"Estrela 2")</f>
        <v>Estrela 2</v>
      </c>
    </row>
    <row r="812">
      <c r="A812" s="1">
        <v>811.0</v>
      </c>
      <c r="B812" s="1" t="s">
        <v>4724</v>
      </c>
      <c r="C812" s="1" t="s">
        <v>2280</v>
      </c>
      <c r="D812" s="1" t="s">
        <v>4727</v>
      </c>
      <c r="E812" s="1" t="s">
        <v>4728</v>
      </c>
      <c r="F812" s="1" t="s">
        <v>4729</v>
      </c>
      <c r="G812" s="5" t="str">
        <f>IFERROR(__xludf.DUMMYFUNCTION("""COMPUTED_VALUE"""),"203🤙🏼Logan🤙🏼Dafne Keen🤙🏼Estrela 3")</f>
        <v>203🤙🏼Logan🤙🏼Dafne Keen🤙🏼Estrela 3</v>
      </c>
      <c r="H812" s="5">
        <f>IFERROR(__xludf.DUMMYFUNCTION("SPLiT(G812, ""🤙🏼"",FALSE,FALSE)"),203.0)</f>
        <v>203</v>
      </c>
      <c r="I812" s="5" t="str">
        <f>IFERROR(__xludf.DUMMYFUNCTION("""COMPUTED_VALUE"""),"Logan")</f>
        <v>Logan</v>
      </c>
      <c r="J812" s="5" t="str">
        <f>IFERROR(__xludf.DUMMYFUNCTION("""COMPUTED_VALUE"""),"Dafne Keen")</f>
        <v>Dafne Keen</v>
      </c>
      <c r="K812" s="5" t="str">
        <f>IFERROR(__xludf.DUMMYFUNCTION("""COMPUTED_VALUE"""),"Estrela 3")</f>
        <v>Estrela 3</v>
      </c>
      <c r="P812" s="5">
        <f>IFERROR(__xludf.DUMMYFUNCTION("""COMPUTED_VALUE"""),203.0)</f>
        <v>203</v>
      </c>
      <c r="Q812" s="5" t="str">
        <f>IFERROR(__xludf.DUMMYFUNCTION("""COMPUTED_VALUE"""),"Logan")</f>
        <v>Logan</v>
      </c>
      <c r="R812" s="5" t="str">
        <f>IFERROR(__xludf.DUMMYFUNCTION("""COMPUTED_VALUE"""),"Dafne Keen")</f>
        <v>Dafne Keen</v>
      </c>
      <c r="S812" s="5" t="str">
        <f>IFERROR(__xludf.DUMMYFUNCTION("""COMPUTED_VALUE"""),"Estrela 3")</f>
        <v>Estrela 3</v>
      </c>
    </row>
    <row r="813">
      <c r="A813" s="1">
        <v>812.0</v>
      </c>
      <c r="B813" s="1" t="s">
        <v>4730</v>
      </c>
      <c r="C813" s="1" t="s">
        <v>1583</v>
      </c>
      <c r="D813" s="1" t="s">
        <v>1714</v>
      </c>
      <c r="E813" s="1" t="s">
        <v>99</v>
      </c>
      <c r="F813" s="1" t="s">
        <v>4733</v>
      </c>
      <c r="G813" s="5" t="str">
        <f>IFERROR(__xludf.DUMMYFUNCTION("""COMPUTED_VALUE"""),"203🤙🏼Logan🤙🏼Boyd Holbrook🤙🏼Estrela 4")</f>
        <v>203🤙🏼Logan🤙🏼Boyd Holbrook🤙🏼Estrela 4</v>
      </c>
      <c r="H813" s="5">
        <f>IFERROR(__xludf.DUMMYFUNCTION("SPLiT(G813, ""🤙🏼"",FALSE,FALSE)"),203.0)</f>
        <v>203</v>
      </c>
      <c r="I813" s="5" t="str">
        <f>IFERROR(__xludf.DUMMYFUNCTION("""COMPUTED_VALUE"""),"Logan")</f>
        <v>Logan</v>
      </c>
      <c r="J813" s="5" t="str">
        <f>IFERROR(__xludf.DUMMYFUNCTION("""COMPUTED_VALUE"""),"Boyd Holbrook")</f>
        <v>Boyd Holbrook</v>
      </c>
      <c r="K813" s="5" t="str">
        <f>IFERROR(__xludf.DUMMYFUNCTION("""COMPUTED_VALUE"""),"Estrela 4")</f>
        <v>Estrela 4</v>
      </c>
      <c r="P813" s="5">
        <f>IFERROR(__xludf.DUMMYFUNCTION("""COMPUTED_VALUE"""),203.0)</f>
        <v>203</v>
      </c>
      <c r="Q813" s="5" t="str">
        <f>IFERROR(__xludf.DUMMYFUNCTION("""COMPUTED_VALUE"""),"Logan")</f>
        <v>Logan</v>
      </c>
      <c r="R813" s="5" t="str">
        <f>IFERROR(__xludf.DUMMYFUNCTION("""COMPUTED_VALUE"""),"Boyd Holbrook")</f>
        <v>Boyd Holbrook</v>
      </c>
      <c r="S813" s="5" t="str">
        <f>IFERROR(__xludf.DUMMYFUNCTION("""COMPUTED_VALUE"""),"Estrela 4")</f>
        <v>Estrela 4</v>
      </c>
    </row>
    <row r="814">
      <c r="A814" s="1">
        <v>813.0</v>
      </c>
      <c r="B814" s="1" t="s">
        <v>4734</v>
      </c>
      <c r="C814" s="1" t="s">
        <v>4737</v>
      </c>
      <c r="D814" s="1" t="s">
        <v>2757</v>
      </c>
      <c r="E814" s="1" t="s">
        <v>2282</v>
      </c>
      <c r="F814" s="1" t="s">
        <v>719</v>
      </c>
      <c r="G814" s="5" t="str">
        <f>IFERROR(__xludf.DUMMYFUNCTION("""COMPUTED_VALUE"""),"204🤙🏼Room🤙🏼Brie Larson🤙🏼Estrela 1")</f>
        <v>204🤙🏼Room🤙🏼Brie Larson🤙🏼Estrela 1</v>
      </c>
      <c r="H814" s="5">
        <f>IFERROR(__xludf.DUMMYFUNCTION("SPLiT(G814, ""🤙🏼"",FALSE,FALSE)"),204.0)</f>
        <v>204</v>
      </c>
      <c r="I814" s="5" t="str">
        <f>IFERROR(__xludf.DUMMYFUNCTION("""COMPUTED_VALUE"""),"Room")</f>
        <v>Room</v>
      </c>
      <c r="J814" s="5" t="str">
        <f>IFERROR(__xludf.DUMMYFUNCTION("""COMPUTED_VALUE"""),"Brie Larson")</f>
        <v>Brie Larson</v>
      </c>
      <c r="K814" s="5" t="str">
        <f>IFERROR(__xludf.DUMMYFUNCTION("""COMPUTED_VALUE"""),"Estrela 1")</f>
        <v>Estrela 1</v>
      </c>
      <c r="P814" s="5">
        <f>IFERROR(__xludf.DUMMYFUNCTION("""COMPUTED_VALUE"""),204.0)</f>
        <v>204</v>
      </c>
      <c r="Q814" s="5" t="str">
        <f>IFERROR(__xludf.DUMMYFUNCTION("""COMPUTED_VALUE"""),"Room")</f>
        <v>Room</v>
      </c>
      <c r="R814" s="5" t="str">
        <f>IFERROR(__xludf.DUMMYFUNCTION("""COMPUTED_VALUE"""),"Brie Larson")</f>
        <v>Brie Larson</v>
      </c>
      <c r="S814" s="5" t="str">
        <f>IFERROR(__xludf.DUMMYFUNCTION("""COMPUTED_VALUE"""),"Estrela 1")</f>
        <v>Estrela 1</v>
      </c>
    </row>
    <row r="815">
      <c r="A815" s="1">
        <v>814.0</v>
      </c>
      <c r="B815" s="1" t="s">
        <v>4738</v>
      </c>
      <c r="C815" s="1" t="s">
        <v>4740</v>
      </c>
      <c r="D815" s="1" t="s">
        <v>4741</v>
      </c>
      <c r="E815" s="1" t="s">
        <v>4742</v>
      </c>
      <c r="F815" s="1" t="s">
        <v>4743</v>
      </c>
      <c r="G815" s="5" t="str">
        <f>IFERROR(__xludf.DUMMYFUNCTION("""COMPUTED_VALUE"""),"204🤙🏼Room🤙🏼Jacob Tremblay🤙🏼Estrela 2")</f>
        <v>204🤙🏼Room🤙🏼Jacob Tremblay🤙🏼Estrela 2</v>
      </c>
      <c r="H815" s="5">
        <f>IFERROR(__xludf.DUMMYFUNCTION("SPLiT(G815, ""🤙🏼"",FALSE,FALSE)"),204.0)</f>
        <v>204</v>
      </c>
      <c r="I815" s="5" t="str">
        <f>IFERROR(__xludf.DUMMYFUNCTION("""COMPUTED_VALUE"""),"Room")</f>
        <v>Room</v>
      </c>
      <c r="J815" s="5" t="str">
        <f>IFERROR(__xludf.DUMMYFUNCTION("""COMPUTED_VALUE"""),"Jacob Tremblay")</f>
        <v>Jacob Tremblay</v>
      </c>
      <c r="K815" s="5" t="str">
        <f>IFERROR(__xludf.DUMMYFUNCTION("""COMPUTED_VALUE"""),"Estrela 2")</f>
        <v>Estrela 2</v>
      </c>
      <c r="P815" s="5">
        <f>IFERROR(__xludf.DUMMYFUNCTION("""COMPUTED_VALUE"""),204.0)</f>
        <v>204</v>
      </c>
      <c r="Q815" s="5" t="str">
        <f>IFERROR(__xludf.DUMMYFUNCTION("""COMPUTED_VALUE"""),"Room")</f>
        <v>Room</v>
      </c>
      <c r="R815" s="5" t="str">
        <f>IFERROR(__xludf.DUMMYFUNCTION("""COMPUTED_VALUE"""),"Jacob Tremblay")</f>
        <v>Jacob Tremblay</v>
      </c>
      <c r="S815" s="5" t="str">
        <f>IFERROR(__xludf.DUMMYFUNCTION("""COMPUTED_VALUE"""),"Estrela 2")</f>
        <v>Estrela 2</v>
      </c>
    </row>
    <row r="816">
      <c r="A816" s="1">
        <v>815.0</v>
      </c>
      <c r="B816" s="1" t="s">
        <v>4744</v>
      </c>
      <c r="C816" s="1" t="s">
        <v>4746</v>
      </c>
      <c r="D816" s="1" t="s">
        <v>4747</v>
      </c>
      <c r="E816" s="1" t="s">
        <v>1780</v>
      </c>
      <c r="F816" s="1" t="s">
        <v>4748</v>
      </c>
      <c r="G816" s="5" t="str">
        <f>IFERROR(__xludf.DUMMYFUNCTION("""COMPUTED_VALUE"""),"204🤙🏼Room🤙🏼Sean Bridgers🤙🏼Estrela 3")</f>
        <v>204🤙🏼Room🤙🏼Sean Bridgers🤙🏼Estrela 3</v>
      </c>
      <c r="H816" s="5">
        <f>IFERROR(__xludf.DUMMYFUNCTION("SPLiT(G816, ""🤙🏼"",FALSE,FALSE)"),204.0)</f>
        <v>204</v>
      </c>
      <c r="I816" s="5" t="str">
        <f>IFERROR(__xludf.DUMMYFUNCTION("""COMPUTED_VALUE"""),"Room")</f>
        <v>Room</v>
      </c>
      <c r="J816" s="5" t="str">
        <f>IFERROR(__xludf.DUMMYFUNCTION("""COMPUTED_VALUE"""),"Sean Bridgers")</f>
        <v>Sean Bridgers</v>
      </c>
      <c r="K816" s="5" t="str">
        <f>IFERROR(__xludf.DUMMYFUNCTION("""COMPUTED_VALUE"""),"Estrela 3")</f>
        <v>Estrela 3</v>
      </c>
      <c r="P816" s="5">
        <f>IFERROR(__xludf.DUMMYFUNCTION("""COMPUTED_VALUE"""),204.0)</f>
        <v>204</v>
      </c>
      <c r="Q816" s="5" t="str">
        <f>IFERROR(__xludf.DUMMYFUNCTION("""COMPUTED_VALUE"""),"Room")</f>
        <v>Room</v>
      </c>
      <c r="R816" s="5" t="str">
        <f>IFERROR(__xludf.DUMMYFUNCTION("""COMPUTED_VALUE"""),"Sean Bridgers")</f>
        <v>Sean Bridgers</v>
      </c>
      <c r="S816" s="5" t="str">
        <f>IFERROR(__xludf.DUMMYFUNCTION("""COMPUTED_VALUE"""),"Estrela 3")</f>
        <v>Estrela 3</v>
      </c>
    </row>
    <row r="817">
      <c r="A817" s="1">
        <v>816.0</v>
      </c>
      <c r="B817" s="1" t="s">
        <v>4749</v>
      </c>
      <c r="C817" s="1" t="s">
        <v>4752</v>
      </c>
      <c r="D817" s="1" t="s">
        <v>4752</v>
      </c>
      <c r="E817" s="1" t="s">
        <v>369</v>
      </c>
      <c r="F817" s="1" t="s">
        <v>4753</v>
      </c>
      <c r="G817" s="5" t="str">
        <f>IFERROR(__xludf.DUMMYFUNCTION("""COMPUTED_VALUE"""),"204🤙🏼Room🤙🏼Wendy Crewson🤙🏼Estrela 4")</f>
        <v>204🤙🏼Room🤙🏼Wendy Crewson🤙🏼Estrela 4</v>
      </c>
      <c r="H817" s="5">
        <f>IFERROR(__xludf.DUMMYFUNCTION("SPLiT(G817, ""🤙🏼"",FALSE,FALSE)"),204.0)</f>
        <v>204</v>
      </c>
      <c r="I817" s="5" t="str">
        <f>IFERROR(__xludf.DUMMYFUNCTION("""COMPUTED_VALUE"""),"Room")</f>
        <v>Room</v>
      </c>
      <c r="J817" s="5" t="str">
        <f>IFERROR(__xludf.DUMMYFUNCTION("""COMPUTED_VALUE"""),"Wendy Crewson")</f>
        <v>Wendy Crewson</v>
      </c>
      <c r="K817" s="5" t="str">
        <f>IFERROR(__xludf.DUMMYFUNCTION("""COMPUTED_VALUE"""),"Estrela 4")</f>
        <v>Estrela 4</v>
      </c>
      <c r="P817" s="5">
        <f>IFERROR(__xludf.DUMMYFUNCTION("""COMPUTED_VALUE"""),204.0)</f>
        <v>204</v>
      </c>
      <c r="Q817" s="5" t="str">
        <f>IFERROR(__xludf.DUMMYFUNCTION("""COMPUTED_VALUE"""),"Room")</f>
        <v>Room</v>
      </c>
      <c r="R817" s="5" t="str">
        <f>IFERROR(__xludf.DUMMYFUNCTION("""COMPUTED_VALUE"""),"Wendy Crewson")</f>
        <v>Wendy Crewson</v>
      </c>
      <c r="S817" s="5" t="str">
        <f>IFERROR(__xludf.DUMMYFUNCTION("""COMPUTED_VALUE"""),"Estrela 4")</f>
        <v>Estrela 4</v>
      </c>
    </row>
    <row r="818">
      <c r="A818" s="1">
        <v>817.0</v>
      </c>
      <c r="B818" s="1" t="s">
        <v>4754</v>
      </c>
      <c r="C818" s="1" t="s">
        <v>4757</v>
      </c>
      <c r="D818" s="1" t="s">
        <v>4758</v>
      </c>
      <c r="E818" s="1" t="s">
        <v>4759</v>
      </c>
      <c r="F818" s="1" t="s">
        <v>4760</v>
      </c>
      <c r="G818" s="5" t="str">
        <f>IFERROR(__xludf.DUMMYFUNCTION("""COMPUTED_VALUE"""),"205🤙🏼Relatos salvajes🤙🏼Darío Grandinetti🤙🏼Estrela 1")</f>
        <v>205🤙🏼Relatos salvajes🤙🏼Darío Grandinetti🤙🏼Estrela 1</v>
      </c>
      <c r="H818" s="5">
        <f>IFERROR(__xludf.DUMMYFUNCTION("SPLiT(G818, ""🤙🏼"",FALSE,FALSE)"),205.0)</f>
        <v>205</v>
      </c>
      <c r="I818" s="5" t="str">
        <f>IFERROR(__xludf.DUMMYFUNCTION("""COMPUTED_VALUE"""),"Relatos salvajes")</f>
        <v>Relatos salvajes</v>
      </c>
      <c r="J818" s="5" t="str">
        <f>IFERROR(__xludf.DUMMYFUNCTION("""COMPUTED_VALUE"""),"Darío Grandinetti")</f>
        <v>Darío Grandinetti</v>
      </c>
      <c r="K818" s="5" t="str">
        <f>IFERROR(__xludf.DUMMYFUNCTION("""COMPUTED_VALUE"""),"Estrela 1")</f>
        <v>Estrela 1</v>
      </c>
      <c r="P818" s="5">
        <f>IFERROR(__xludf.DUMMYFUNCTION("""COMPUTED_VALUE"""),205.0)</f>
        <v>205</v>
      </c>
      <c r="Q818" s="5" t="str">
        <f>IFERROR(__xludf.DUMMYFUNCTION("""COMPUTED_VALUE"""),"Relatos salvajes")</f>
        <v>Relatos salvajes</v>
      </c>
      <c r="R818" s="5" t="str">
        <f>IFERROR(__xludf.DUMMYFUNCTION("""COMPUTED_VALUE"""),"Darío Grandinetti")</f>
        <v>Darío Grandinetti</v>
      </c>
      <c r="S818" s="5" t="str">
        <f>IFERROR(__xludf.DUMMYFUNCTION("""COMPUTED_VALUE"""),"Estrela 1")</f>
        <v>Estrela 1</v>
      </c>
    </row>
    <row r="819">
      <c r="A819" s="1">
        <v>818.0</v>
      </c>
      <c r="B819" s="1" t="s">
        <v>4761</v>
      </c>
      <c r="C819" s="1" t="s">
        <v>2570</v>
      </c>
      <c r="D819" s="1" t="s">
        <v>1728</v>
      </c>
      <c r="E819" s="1" t="s">
        <v>23</v>
      </c>
      <c r="F819" s="1" t="s">
        <v>4764</v>
      </c>
      <c r="G819" s="5" t="str">
        <f>IFERROR(__xludf.DUMMYFUNCTION("""COMPUTED_VALUE"""),"205🤙🏼Relatos salvajes🤙🏼María Marull🤙🏼Estrela 2")</f>
        <v>205🤙🏼Relatos salvajes🤙🏼María Marull🤙🏼Estrela 2</v>
      </c>
      <c r="H819" s="5">
        <f>IFERROR(__xludf.DUMMYFUNCTION("SPLiT(G819, ""🤙🏼"",FALSE,FALSE)"),205.0)</f>
        <v>205</v>
      </c>
      <c r="I819" s="5" t="str">
        <f>IFERROR(__xludf.DUMMYFUNCTION("""COMPUTED_VALUE"""),"Relatos salvajes")</f>
        <v>Relatos salvajes</v>
      </c>
      <c r="J819" s="5" t="str">
        <f>IFERROR(__xludf.DUMMYFUNCTION("""COMPUTED_VALUE"""),"María Marull")</f>
        <v>María Marull</v>
      </c>
      <c r="K819" s="5" t="str">
        <f>IFERROR(__xludf.DUMMYFUNCTION("""COMPUTED_VALUE"""),"Estrela 2")</f>
        <v>Estrela 2</v>
      </c>
      <c r="P819" s="5">
        <f>IFERROR(__xludf.DUMMYFUNCTION("""COMPUTED_VALUE"""),205.0)</f>
        <v>205</v>
      </c>
      <c r="Q819" s="5" t="str">
        <f>IFERROR(__xludf.DUMMYFUNCTION("""COMPUTED_VALUE"""),"Relatos salvajes")</f>
        <v>Relatos salvajes</v>
      </c>
      <c r="R819" s="5" t="str">
        <f>IFERROR(__xludf.DUMMYFUNCTION("""COMPUTED_VALUE"""),"María Marull")</f>
        <v>María Marull</v>
      </c>
      <c r="S819" s="5" t="str">
        <f>IFERROR(__xludf.DUMMYFUNCTION("""COMPUTED_VALUE"""),"Estrela 2")</f>
        <v>Estrela 2</v>
      </c>
    </row>
    <row r="820">
      <c r="A820" s="1">
        <v>819.0</v>
      </c>
      <c r="B820" s="1" t="s">
        <v>4765</v>
      </c>
      <c r="C820" s="1" t="s">
        <v>110</v>
      </c>
      <c r="D820" s="1" t="s">
        <v>3799</v>
      </c>
      <c r="E820" s="1" t="s">
        <v>4767</v>
      </c>
      <c r="F820" s="1" t="s">
        <v>4768</v>
      </c>
      <c r="G820" s="5" t="str">
        <f>IFERROR(__xludf.DUMMYFUNCTION("""COMPUTED_VALUE"""),"205🤙🏼Relatos salvajes🤙🏼Mónica Villa🤙🏼Estrela 3")</f>
        <v>205🤙🏼Relatos salvajes🤙🏼Mónica Villa🤙🏼Estrela 3</v>
      </c>
      <c r="H820" s="5">
        <f>IFERROR(__xludf.DUMMYFUNCTION("SPLiT(G820, ""🤙🏼"",FALSE,FALSE)"),205.0)</f>
        <v>205</v>
      </c>
      <c r="I820" s="5" t="str">
        <f>IFERROR(__xludf.DUMMYFUNCTION("""COMPUTED_VALUE"""),"Relatos salvajes")</f>
        <v>Relatos salvajes</v>
      </c>
      <c r="J820" s="5" t="str">
        <f>IFERROR(__xludf.DUMMYFUNCTION("""COMPUTED_VALUE"""),"Mónica Villa")</f>
        <v>Mónica Villa</v>
      </c>
      <c r="K820" s="5" t="str">
        <f>IFERROR(__xludf.DUMMYFUNCTION("""COMPUTED_VALUE"""),"Estrela 3")</f>
        <v>Estrela 3</v>
      </c>
      <c r="P820" s="5">
        <f>IFERROR(__xludf.DUMMYFUNCTION("""COMPUTED_VALUE"""),205.0)</f>
        <v>205</v>
      </c>
      <c r="Q820" s="5" t="str">
        <f>IFERROR(__xludf.DUMMYFUNCTION("""COMPUTED_VALUE"""),"Relatos salvajes")</f>
        <v>Relatos salvajes</v>
      </c>
      <c r="R820" s="5" t="str">
        <f>IFERROR(__xludf.DUMMYFUNCTION("""COMPUTED_VALUE"""),"Mónica Villa")</f>
        <v>Mónica Villa</v>
      </c>
      <c r="S820" s="5" t="str">
        <f>IFERROR(__xludf.DUMMYFUNCTION("""COMPUTED_VALUE"""),"Estrela 3")</f>
        <v>Estrela 3</v>
      </c>
    </row>
    <row r="821">
      <c r="A821" s="1">
        <v>820.0</v>
      </c>
      <c r="B821" s="1" t="s">
        <v>4769</v>
      </c>
      <c r="C821" s="1" t="s">
        <v>45</v>
      </c>
      <c r="D821" s="1" t="s">
        <v>4772</v>
      </c>
      <c r="E821" s="1" t="s">
        <v>4773</v>
      </c>
      <c r="F821" s="1" t="s">
        <v>4774</v>
      </c>
      <c r="G821" s="5" t="str">
        <f>IFERROR(__xludf.DUMMYFUNCTION("""COMPUTED_VALUE"""),"205🤙🏼Relatos salvajes🤙🏼Diego Starosta🤙🏼Estrela 4")</f>
        <v>205🤙🏼Relatos salvajes🤙🏼Diego Starosta🤙🏼Estrela 4</v>
      </c>
      <c r="H821" s="5">
        <f>IFERROR(__xludf.DUMMYFUNCTION("SPLiT(G821, ""🤙🏼"",FALSE,FALSE)"),205.0)</f>
        <v>205</v>
      </c>
      <c r="I821" s="5" t="str">
        <f>IFERROR(__xludf.DUMMYFUNCTION("""COMPUTED_VALUE"""),"Relatos salvajes")</f>
        <v>Relatos salvajes</v>
      </c>
      <c r="J821" s="5" t="str">
        <f>IFERROR(__xludf.DUMMYFUNCTION("""COMPUTED_VALUE"""),"Diego Starosta")</f>
        <v>Diego Starosta</v>
      </c>
      <c r="K821" s="5" t="str">
        <f>IFERROR(__xludf.DUMMYFUNCTION("""COMPUTED_VALUE"""),"Estrela 4")</f>
        <v>Estrela 4</v>
      </c>
      <c r="P821" s="5">
        <f>IFERROR(__xludf.DUMMYFUNCTION("""COMPUTED_VALUE"""),205.0)</f>
        <v>205</v>
      </c>
      <c r="Q821" s="5" t="str">
        <f>IFERROR(__xludf.DUMMYFUNCTION("""COMPUTED_VALUE"""),"Relatos salvajes")</f>
        <v>Relatos salvajes</v>
      </c>
      <c r="R821" s="5" t="str">
        <f>IFERROR(__xludf.DUMMYFUNCTION("""COMPUTED_VALUE"""),"Diego Starosta")</f>
        <v>Diego Starosta</v>
      </c>
      <c r="S821" s="5" t="str">
        <f>IFERROR(__xludf.DUMMYFUNCTION("""COMPUTED_VALUE"""),"Estrela 4")</f>
        <v>Estrela 4</v>
      </c>
    </row>
    <row r="822">
      <c r="A822" s="1">
        <v>821.0</v>
      </c>
      <c r="B822" s="1" t="s">
        <v>4775</v>
      </c>
      <c r="C822" s="1" t="s">
        <v>3799</v>
      </c>
      <c r="D822" s="1" t="s">
        <v>4777</v>
      </c>
      <c r="E822" s="1" t="s">
        <v>4778</v>
      </c>
      <c r="F822" s="1" t="s">
        <v>2611</v>
      </c>
      <c r="G822" s="5" t="str">
        <f>IFERROR(__xludf.DUMMYFUNCTION("""COMPUTED_VALUE"""),"206🤙🏼Soul🤙🏼Kemp Powers🤙🏼Estrela 1")</f>
        <v>206🤙🏼Soul🤙🏼Kemp Powers🤙🏼Estrela 1</v>
      </c>
      <c r="H822" s="5">
        <f>IFERROR(__xludf.DUMMYFUNCTION("SPLiT(G822, ""🤙🏼"",FALSE,FALSE)"),206.0)</f>
        <v>206</v>
      </c>
      <c r="I822" s="5" t="str">
        <f>IFERROR(__xludf.DUMMYFUNCTION("""COMPUTED_VALUE"""),"Soul")</f>
        <v>Soul</v>
      </c>
      <c r="J822" s="5" t="str">
        <f>IFERROR(__xludf.DUMMYFUNCTION("""COMPUTED_VALUE"""),"Kemp Powers")</f>
        <v>Kemp Powers</v>
      </c>
      <c r="K822" s="5" t="str">
        <f>IFERROR(__xludf.DUMMYFUNCTION("""COMPUTED_VALUE"""),"Estrela 1")</f>
        <v>Estrela 1</v>
      </c>
      <c r="P822" s="5">
        <f>IFERROR(__xludf.DUMMYFUNCTION("""COMPUTED_VALUE"""),206.0)</f>
        <v>206</v>
      </c>
      <c r="Q822" s="5" t="str">
        <f>IFERROR(__xludf.DUMMYFUNCTION("""COMPUTED_VALUE"""),"Soul")</f>
        <v>Soul</v>
      </c>
      <c r="R822" s="5" t="str">
        <f>IFERROR(__xludf.DUMMYFUNCTION("""COMPUTED_VALUE"""),"Kemp Powers")</f>
        <v>Kemp Powers</v>
      </c>
      <c r="S822" s="5" t="str">
        <f>IFERROR(__xludf.DUMMYFUNCTION("""COMPUTED_VALUE"""),"Estrela 1")</f>
        <v>Estrela 1</v>
      </c>
    </row>
    <row r="823">
      <c r="A823" s="1">
        <v>822.0</v>
      </c>
      <c r="B823" s="1" t="s">
        <v>4779</v>
      </c>
      <c r="C823" s="1" t="s">
        <v>1092</v>
      </c>
      <c r="D823" s="1" t="s">
        <v>2547</v>
      </c>
      <c r="E823" s="1" t="s">
        <v>4781</v>
      </c>
      <c r="F823" s="1" t="s">
        <v>4782</v>
      </c>
      <c r="G823" s="5" t="str">
        <f>IFERROR(__xludf.DUMMYFUNCTION("""COMPUTED_VALUE"""),"206🤙🏼Soul🤙🏼Jamie Foxx🤙🏼Estrela 2")</f>
        <v>206🤙🏼Soul🤙🏼Jamie Foxx🤙🏼Estrela 2</v>
      </c>
      <c r="H823" s="5">
        <f>IFERROR(__xludf.DUMMYFUNCTION("SPLiT(G823, ""🤙🏼"",FALSE,FALSE)"),206.0)</f>
        <v>206</v>
      </c>
      <c r="I823" s="5" t="str">
        <f>IFERROR(__xludf.DUMMYFUNCTION("""COMPUTED_VALUE"""),"Soul")</f>
        <v>Soul</v>
      </c>
      <c r="J823" s="5" t="str">
        <f>IFERROR(__xludf.DUMMYFUNCTION("""COMPUTED_VALUE"""),"Jamie Foxx")</f>
        <v>Jamie Foxx</v>
      </c>
      <c r="K823" s="5" t="str">
        <f>IFERROR(__xludf.DUMMYFUNCTION("""COMPUTED_VALUE"""),"Estrela 2")</f>
        <v>Estrela 2</v>
      </c>
      <c r="P823" s="5">
        <f>IFERROR(__xludf.DUMMYFUNCTION("""COMPUTED_VALUE"""),206.0)</f>
        <v>206</v>
      </c>
      <c r="Q823" s="5" t="str">
        <f>IFERROR(__xludf.DUMMYFUNCTION("""COMPUTED_VALUE"""),"Soul")</f>
        <v>Soul</v>
      </c>
      <c r="R823" s="5" t="str">
        <f>IFERROR(__xludf.DUMMYFUNCTION("""COMPUTED_VALUE"""),"Jamie Foxx")</f>
        <v>Jamie Foxx</v>
      </c>
      <c r="S823" s="5" t="str">
        <f>IFERROR(__xludf.DUMMYFUNCTION("""COMPUTED_VALUE"""),"Estrela 2")</f>
        <v>Estrela 2</v>
      </c>
    </row>
    <row r="824">
      <c r="A824" s="1">
        <v>823.0</v>
      </c>
      <c r="B824" s="1" t="s">
        <v>4783</v>
      </c>
      <c r="C824" s="1" t="s">
        <v>4785</v>
      </c>
      <c r="D824" s="1" t="s">
        <v>4786</v>
      </c>
      <c r="E824" s="1" t="s">
        <v>4787</v>
      </c>
      <c r="F824" s="1" t="s">
        <v>4788</v>
      </c>
      <c r="G824" s="5" t="str">
        <f>IFERROR(__xludf.DUMMYFUNCTION("""COMPUTED_VALUE"""),"206🤙🏼Soul🤙🏼Tina Fey🤙🏼Estrela 3")</f>
        <v>206🤙🏼Soul🤙🏼Tina Fey🤙🏼Estrela 3</v>
      </c>
      <c r="H824" s="5">
        <f>IFERROR(__xludf.DUMMYFUNCTION("SPLiT(G824, ""🤙🏼"",FALSE,FALSE)"),206.0)</f>
        <v>206</v>
      </c>
      <c r="I824" s="5" t="str">
        <f>IFERROR(__xludf.DUMMYFUNCTION("""COMPUTED_VALUE"""),"Soul")</f>
        <v>Soul</v>
      </c>
      <c r="J824" s="5" t="str">
        <f>IFERROR(__xludf.DUMMYFUNCTION("""COMPUTED_VALUE"""),"Tina Fey")</f>
        <v>Tina Fey</v>
      </c>
      <c r="K824" s="5" t="str">
        <f>IFERROR(__xludf.DUMMYFUNCTION("""COMPUTED_VALUE"""),"Estrela 3")</f>
        <v>Estrela 3</v>
      </c>
      <c r="P824" s="5">
        <f>IFERROR(__xludf.DUMMYFUNCTION("""COMPUTED_VALUE"""),206.0)</f>
        <v>206</v>
      </c>
      <c r="Q824" s="5" t="str">
        <f>IFERROR(__xludf.DUMMYFUNCTION("""COMPUTED_VALUE"""),"Soul")</f>
        <v>Soul</v>
      </c>
      <c r="R824" s="5" t="str">
        <f>IFERROR(__xludf.DUMMYFUNCTION("""COMPUTED_VALUE"""),"Tina Fey")</f>
        <v>Tina Fey</v>
      </c>
      <c r="S824" s="5" t="str">
        <f>IFERROR(__xludf.DUMMYFUNCTION("""COMPUTED_VALUE"""),"Estrela 3")</f>
        <v>Estrela 3</v>
      </c>
    </row>
    <row r="825">
      <c r="A825" s="1">
        <v>824.0</v>
      </c>
      <c r="B825" s="1" t="s">
        <v>4789</v>
      </c>
      <c r="C825" s="1" t="s">
        <v>33</v>
      </c>
      <c r="D825" s="1" t="s">
        <v>866</v>
      </c>
      <c r="E825" s="1" t="s">
        <v>4792</v>
      </c>
      <c r="F825" s="1" t="s">
        <v>4194</v>
      </c>
      <c r="G825" s="5" t="str">
        <f>IFERROR(__xludf.DUMMYFUNCTION("""COMPUTED_VALUE"""),"206🤙🏼Soul🤙🏼Graham Norton🤙🏼Estrela 4")</f>
        <v>206🤙🏼Soul🤙🏼Graham Norton🤙🏼Estrela 4</v>
      </c>
      <c r="H825" s="5">
        <f>IFERROR(__xludf.DUMMYFUNCTION("SPLiT(G825, ""🤙🏼"",FALSE,FALSE)"),206.0)</f>
        <v>206</v>
      </c>
      <c r="I825" s="5" t="str">
        <f>IFERROR(__xludf.DUMMYFUNCTION("""COMPUTED_VALUE"""),"Soul")</f>
        <v>Soul</v>
      </c>
      <c r="J825" s="5" t="str">
        <f>IFERROR(__xludf.DUMMYFUNCTION("""COMPUTED_VALUE"""),"Graham Norton")</f>
        <v>Graham Norton</v>
      </c>
      <c r="K825" s="5" t="str">
        <f>IFERROR(__xludf.DUMMYFUNCTION("""COMPUTED_VALUE"""),"Estrela 4")</f>
        <v>Estrela 4</v>
      </c>
      <c r="P825" s="5">
        <f>IFERROR(__xludf.DUMMYFUNCTION("""COMPUTED_VALUE"""),206.0)</f>
        <v>206</v>
      </c>
      <c r="Q825" s="5" t="str">
        <f>IFERROR(__xludf.DUMMYFUNCTION("""COMPUTED_VALUE"""),"Soul")</f>
        <v>Soul</v>
      </c>
      <c r="R825" s="5" t="str">
        <f>IFERROR(__xludf.DUMMYFUNCTION("""COMPUTED_VALUE"""),"Graham Norton")</f>
        <v>Graham Norton</v>
      </c>
      <c r="S825" s="5" t="str">
        <f>IFERROR(__xludf.DUMMYFUNCTION("""COMPUTED_VALUE"""),"Estrela 4")</f>
        <v>Estrela 4</v>
      </c>
    </row>
    <row r="826">
      <c r="A826" s="1">
        <v>825.0</v>
      </c>
      <c r="B826" s="1" t="s">
        <v>4793</v>
      </c>
      <c r="C826" s="1" t="s">
        <v>2486</v>
      </c>
      <c r="D826" s="1" t="s">
        <v>156</v>
      </c>
      <c r="E826" s="1" t="s">
        <v>4795</v>
      </c>
      <c r="F826" s="1" t="s">
        <v>3171</v>
      </c>
      <c r="G826" s="5" t="str">
        <f>IFERROR(__xludf.DUMMYFUNCTION("""COMPUTED_VALUE"""),"207🤙🏼Kis Uykusu🤙🏼Haluk Bilginer🤙🏼Estrela 1")</f>
        <v>207🤙🏼Kis Uykusu🤙🏼Haluk Bilginer🤙🏼Estrela 1</v>
      </c>
      <c r="H826" s="5">
        <f>IFERROR(__xludf.DUMMYFUNCTION("SPLiT(G826, ""🤙🏼"",FALSE,FALSE)"),207.0)</f>
        <v>207</v>
      </c>
      <c r="I826" s="5" t="str">
        <f>IFERROR(__xludf.DUMMYFUNCTION("""COMPUTED_VALUE"""),"Kis Uykusu")</f>
        <v>Kis Uykusu</v>
      </c>
      <c r="J826" s="5" t="str">
        <f>IFERROR(__xludf.DUMMYFUNCTION("""COMPUTED_VALUE"""),"Haluk Bilginer")</f>
        <v>Haluk Bilginer</v>
      </c>
      <c r="K826" s="5" t="str">
        <f>IFERROR(__xludf.DUMMYFUNCTION("""COMPUTED_VALUE"""),"Estrela 1")</f>
        <v>Estrela 1</v>
      </c>
      <c r="P826" s="5">
        <f>IFERROR(__xludf.DUMMYFUNCTION("""COMPUTED_VALUE"""),207.0)</f>
        <v>207</v>
      </c>
      <c r="Q826" s="5" t="str">
        <f>IFERROR(__xludf.DUMMYFUNCTION("""COMPUTED_VALUE"""),"Kis Uykusu")</f>
        <v>Kis Uykusu</v>
      </c>
      <c r="R826" s="5" t="str">
        <f>IFERROR(__xludf.DUMMYFUNCTION("""COMPUTED_VALUE"""),"Haluk Bilginer")</f>
        <v>Haluk Bilginer</v>
      </c>
      <c r="S826" s="5" t="str">
        <f>IFERROR(__xludf.DUMMYFUNCTION("""COMPUTED_VALUE"""),"Estrela 1")</f>
        <v>Estrela 1</v>
      </c>
    </row>
    <row r="827">
      <c r="A827" s="1">
        <v>826.0</v>
      </c>
      <c r="B827" s="1" t="s">
        <v>4796</v>
      </c>
      <c r="C827" s="1" t="s">
        <v>3951</v>
      </c>
      <c r="D827" s="1" t="s">
        <v>4799</v>
      </c>
      <c r="E827" s="1" t="s">
        <v>4800</v>
      </c>
      <c r="F827" s="1" t="s">
        <v>4801</v>
      </c>
      <c r="G827" s="5" t="str">
        <f>IFERROR(__xludf.DUMMYFUNCTION("""COMPUTED_VALUE"""),"207🤙🏼Kis Uykusu🤙🏼Melisa Sözen🤙🏼Estrela 2")</f>
        <v>207🤙🏼Kis Uykusu🤙🏼Melisa Sözen🤙🏼Estrela 2</v>
      </c>
      <c r="H827" s="5">
        <f>IFERROR(__xludf.DUMMYFUNCTION("SPLiT(G827, ""🤙🏼"",FALSE,FALSE)"),207.0)</f>
        <v>207</v>
      </c>
      <c r="I827" s="5" t="str">
        <f>IFERROR(__xludf.DUMMYFUNCTION("""COMPUTED_VALUE"""),"Kis Uykusu")</f>
        <v>Kis Uykusu</v>
      </c>
      <c r="J827" s="5" t="str">
        <f>IFERROR(__xludf.DUMMYFUNCTION("""COMPUTED_VALUE"""),"Melisa Sözen")</f>
        <v>Melisa Sözen</v>
      </c>
      <c r="K827" s="5" t="str">
        <f>IFERROR(__xludf.DUMMYFUNCTION("""COMPUTED_VALUE"""),"Estrela 2")</f>
        <v>Estrela 2</v>
      </c>
      <c r="P827" s="5">
        <f>IFERROR(__xludf.DUMMYFUNCTION("""COMPUTED_VALUE"""),207.0)</f>
        <v>207</v>
      </c>
      <c r="Q827" s="5" t="str">
        <f>IFERROR(__xludf.DUMMYFUNCTION("""COMPUTED_VALUE"""),"Kis Uykusu")</f>
        <v>Kis Uykusu</v>
      </c>
      <c r="R827" s="5" t="str">
        <f>IFERROR(__xludf.DUMMYFUNCTION("""COMPUTED_VALUE"""),"Melisa Sözen")</f>
        <v>Melisa Sözen</v>
      </c>
      <c r="S827" s="5" t="str">
        <f>IFERROR(__xludf.DUMMYFUNCTION("""COMPUTED_VALUE"""),"Estrela 2")</f>
        <v>Estrela 2</v>
      </c>
    </row>
    <row r="828">
      <c r="A828" s="1">
        <v>827.0</v>
      </c>
      <c r="B828" s="1" t="s">
        <v>4802</v>
      </c>
      <c r="C828" s="1" t="s">
        <v>1612</v>
      </c>
      <c r="D828" s="1" t="s">
        <v>4667</v>
      </c>
      <c r="E828" s="1" t="s">
        <v>1685</v>
      </c>
      <c r="F828" s="1" t="s">
        <v>4804</v>
      </c>
      <c r="G828" s="5" t="str">
        <f>IFERROR(__xludf.DUMMYFUNCTION("""COMPUTED_VALUE"""),"207🤙🏼Kis Uykusu🤙🏼Demet Akbag🤙🏼Estrela 3")</f>
        <v>207🤙🏼Kis Uykusu🤙🏼Demet Akbag🤙🏼Estrela 3</v>
      </c>
      <c r="H828" s="5">
        <f>IFERROR(__xludf.DUMMYFUNCTION("SPLiT(G828, ""🤙🏼"",FALSE,FALSE)"),207.0)</f>
        <v>207</v>
      </c>
      <c r="I828" s="5" t="str">
        <f>IFERROR(__xludf.DUMMYFUNCTION("""COMPUTED_VALUE"""),"Kis Uykusu")</f>
        <v>Kis Uykusu</v>
      </c>
      <c r="J828" s="5" t="str">
        <f>IFERROR(__xludf.DUMMYFUNCTION("""COMPUTED_VALUE"""),"Demet Akbag")</f>
        <v>Demet Akbag</v>
      </c>
      <c r="K828" s="5" t="str">
        <f>IFERROR(__xludf.DUMMYFUNCTION("""COMPUTED_VALUE"""),"Estrela 3")</f>
        <v>Estrela 3</v>
      </c>
      <c r="P828" s="5">
        <f>IFERROR(__xludf.DUMMYFUNCTION("""COMPUTED_VALUE"""),207.0)</f>
        <v>207</v>
      </c>
      <c r="Q828" s="5" t="str">
        <f>IFERROR(__xludf.DUMMYFUNCTION("""COMPUTED_VALUE"""),"Kis Uykusu")</f>
        <v>Kis Uykusu</v>
      </c>
      <c r="R828" s="5" t="str">
        <f>IFERROR(__xludf.DUMMYFUNCTION("""COMPUTED_VALUE"""),"Demet Akbag")</f>
        <v>Demet Akbag</v>
      </c>
      <c r="S828" s="5" t="str">
        <f>IFERROR(__xludf.DUMMYFUNCTION("""COMPUTED_VALUE"""),"Estrela 3")</f>
        <v>Estrela 3</v>
      </c>
    </row>
    <row r="829">
      <c r="A829" s="1">
        <v>828.0</v>
      </c>
      <c r="B829" s="1" t="s">
        <v>4805</v>
      </c>
      <c r="C829" s="1" t="s">
        <v>1612</v>
      </c>
      <c r="D829" s="1" t="s">
        <v>339</v>
      </c>
      <c r="E829" s="1" t="s">
        <v>2455</v>
      </c>
      <c r="F829" s="1" t="s">
        <v>4667</v>
      </c>
      <c r="G829" s="5" t="str">
        <f>IFERROR(__xludf.DUMMYFUNCTION("""COMPUTED_VALUE"""),"207🤙🏼Kis Uykusu🤙🏼Ayberk Pekcan🤙🏼Estrela 4")</f>
        <v>207🤙🏼Kis Uykusu🤙🏼Ayberk Pekcan🤙🏼Estrela 4</v>
      </c>
      <c r="H829" s="5">
        <f>IFERROR(__xludf.DUMMYFUNCTION("SPLiT(G829, ""🤙🏼"",FALSE,FALSE)"),207.0)</f>
        <v>207</v>
      </c>
      <c r="I829" s="5" t="str">
        <f>IFERROR(__xludf.DUMMYFUNCTION("""COMPUTED_VALUE"""),"Kis Uykusu")</f>
        <v>Kis Uykusu</v>
      </c>
      <c r="J829" s="5" t="str">
        <f>IFERROR(__xludf.DUMMYFUNCTION("""COMPUTED_VALUE"""),"Ayberk Pekcan")</f>
        <v>Ayberk Pekcan</v>
      </c>
      <c r="K829" s="5" t="str">
        <f>IFERROR(__xludf.DUMMYFUNCTION("""COMPUTED_VALUE"""),"Estrela 4")</f>
        <v>Estrela 4</v>
      </c>
      <c r="P829" s="5">
        <f>IFERROR(__xludf.DUMMYFUNCTION("""COMPUTED_VALUE"""),207.0)</f>
        <v>207</v>
      </c>
      <c r="Q829" s="5" t="str">
        <f>IFERROR(__xludf.DUMMYFUNCTION("""COMPUTED_VALUE"""),"Kis Uykusu")</f>
        <v>Kis Uykusu</v>
      </c>
      <c r="R829" s="5" t="str">
        <f>IFERROR(__xludf.DUMMYFUNCTION("""COMPUTED_VALUE"""),"Ayberk Pekcan")</f>
        <v>Ayberk Pekcan</v>
      </c>
      <c r="S829" s="5" t="str">
        <f>IFERROR(__xludf.DUMMYFUNCTION("""COMPUTED_VALUE"""),"Estrela 4")</f>
        <v>Estrela 4</v>
      </c>
    </row>
    <row r="830">
      <c r="A830" s="1">
        <v>829.0</v>
      </c>
      <c r="B830" s="1" t="s">
        <v>4807</v>
      </c>
      <c r="C830" s="1" t="s">
        <v>4809</v>
      </c>
      <c r="D830" s="1" t="s">
        <v>386</v>
      </c>
      <c r="E830" s="1" t="s">
        <v>4810</v>
      </c>
      <c r="F830" s="1" t="s">
        <v>4811</v>
      </c>
      <c r="G830" s="5" t="str">
        <f>IFERROR(__xludf.DUMMYFUNCTION("""COMPUTED_VALUE"""),"208🤙🏼PK🤙🏼Aamir Khan🤙🏼Estrela 1")</f>
        <v>208🤙🏼PK🤙🏼Aamir Khan🤙🏼Estrela 1</v>
      </c>
      <c r="H830" s="5">
        <f>IFERROR(__xludf.DUMMYFUNCTION("SPLiT(G830, ""🤙🏼"",FALSE,FALSE)"),208.0)</f>
        <v>208</v>
      </c>
      <c r="I830" s="5" t="str">
        <f>IFERROR(__xludf.DUMMYFUNCTION("""COMPUTED_VALUE"""),"PK")</f>
        <v>PK</v>
      </c>
      <c r="J830" s="5" t="str">
        <f>IFERROR(__xludf.DUMMYFUNCTION("""COMPUTED_VALUE"""),"Aamir Khan")</f>
        <v>Aamir Khan</v>
      </c>
      <c r="K830" s="5" t="str">
        <f>IFERROR(__xludf.DUMMYFUNCTION("""COMPUTED_VALUE"""),"Estrela 1")</f>
        <v>Estrela 1</v>
      </c>
      <c r="P830" s="5">
        <f>IFERROR(__xludf.DUMMYFUNCTION("""COMPUTED_VALUE"""),208.0)</f>
        <v>208</v>
      </c>
      <c r="Q830" s="5" t="str">
        <f>IFERROR(__xludf.DUMMYFUNCTION("""COMPUTED_VALUE"""),"PK")</f>
        <v>PK</v>
      </c>
      <c r="R830" s="5" t="str">
        <f>IFERROR(__xludf.DUMMYFUNCTION("""COMPUTED_VALUE"""),"Aamir Khan")</f>
        <v>Aamir Khan</v>
      </c>
      <c r="S830" s="5" t="str">
        <f>IFERROR(__xludf.DUMMYFUNCTION("""COMPUTED_VALUE"""),"Estrela 1")</f>
        <v>Estrela 1</v>
      </c>
    </row>
    <row r="831">
      <c r="A831" s="1">
        <v>830.0</v>
      </c>
      <c r="B831" s="1" t="s">
        <v>4812</v>
      </c>
      <c r="C831" s="1" t="s">
        <v>4815</v>
      </c>
      <c r="D831" s="1" t="s">
        <v>4816</v>
      </c>
      <c r="E831" s="1" t="s">
        <v>4817</v>
      </c>
      <c r="F831" s="1" t="s">
        <v>4818</v>
      </c>
      <c r="G831" s="5" t="str">
        <f>IFERROR(__xludf.DUMMYFUNCTION("""COMPUTED_VALUE"""),"208🤙🏼PK🤙🏼Anushka Sharma🤙🏼Estrela 2")</f>
        <v>208🤙🏼PK🤙🏼Anushka Sharma🤙🏼Estrela 2</v>
      </c>
      <c r="H831" s="5">
        <f>IFERROR(__xludf.DUMMYFUNCTION("SPLiT(G831, ""🤙🏼"",FALSE,FALSE)"),208.0)</f>
        <v>208</v>
      </c>
      <c r="I831" s="5" t="str">
        <f>IFERROR(__xludf.DUMMYFUNCTION("""COMPUTED_VALUE"""),"PK")</f>
        <v>PK</v>
      </c>
      <c r="J831" s="5" t="str">
        <f>IFERROR(__xludf.DUMMYFUNCTION("""COMPUTED_VALUE"""),"Anushka Sharma")</f>
        <v>Anushka Sharma</v>
      </c>
      <c r="K831" s="5" t="str">
        <f>IFERROR(__xludf.DUMMYFUNCTION("""COMPUTED_VALUE"""),"Estrela 2")</f>
        <v>Estrela 2</v>
      </c>
      <c r="P831" s="5">
        <f>IFERROR(__xludf.DUMMYFUNCTION("""COMPUTED_VALUE"""),208.0)</f>
        <v>208</v>
      </c>
      <c r="Q831" s="5" t="str">
        <f>IFERROR(__xludf.DUMMYFUNCTION("""COMPUTED_VALUE"""),"PK")</f>
        <v>PK</v>
      </c>
      <c r="R831" s="5" t="str">
        <f>IFERROR(__xludf.DUMMYFUNCTION("""COMPUTED_VALUE"""),"Anushka Sharma")</f>
        <v>Anushka Sharma</v>
      </c>
      <c r="S831" s="5" t="str">
        <f>IFERROR(__xludf.DUMMYFUNCTION("""COMPUTED_VALUE"""),"Estrela 2")</f>
        <v>Estrela 2</v>
      </c>
    </row>
    <row r="832">
      <c r="A832" s="1">
        <v>831.0</v>
      </c>
      <c r="B832" s="1" t="s">
        <v>4819</v>
      </c>
      <c r="C832" s="1" t="s">
        <v>4822</v>
      </c>
      <c r="D832" s="1" t="s">
        <v>4823</v>
      </c>
      <c r="E832" s="1" t="s">
        <v>3176</v>
      </c>
      <c r="F832" s="1" t="s">
        <v>4824</v>
      </c>
      <c r="G832" s="5" t="str">
        <f>IFERROR(__xludf.DUMMYFUNCTION("""COMPUTED_VALUE"""),"208🤙🏼PK🤙🏼Sanjay Dutt🤙🏼Estrela 3")</f>
        <v>208🤙🏼PK🤙🏼Sanjay Dutt🤙🏼Estrela 3</v>
      </c>
      <c r="H832" s="5">
        <f>IFERROR(__xludf.DUMMYFUNCTION("SPLiT(G832, ""🤙🏼"",FALSE,FALSE)"),208.0)</f>
        <v>208</v>
      </c>
      <c r="I832" s="5" t="str">
        <f>IFERROR(__xludf.DUMMYFUNCTION("""COMPUTED_VALUE"""),"PK")</f>
        <v>PK</v>
      </c>
      <c r="J832" s="5" t="str">
        <f>IFERROR(__xludf.DUMMYFUNCTION("""COMPUTED_VALUE"""),"Sanjay Dutt")</f>
        <v>Sanjay Dutt</v>
      </c>
      <c r="K832" s="5" t="str">
        <f>IFERROR(__xludf.DUMMYFUNCTION("""COMPUTED_VALUE"""),"Estrela 3")</f>
        <v>Estrela 3</v>
      </c>
      <c r="P832" s="5">
        <f>IFERROR(__xludf.DUMMYFUNCTION("""COMPUTED_VALUE"""),208.0)</f>
        <v>208</v>
      </c>
      <c r="Q832" s="5" t="str">
        <f>IFERROR(__xludf.DUMMYFUNCTION("""COMPUTED_VALUE"""),"PK")</f>
        <v>PK</v>
      </c>
      <c r="R832" s="5" t="str">
        <f>IFERROR(__xludf.DUMMYFUNCTION("""COMPUTED_VALUE"""),"Sanjay Dutt")</f>
        <v>Sanjay Dutt</v>
      </c>
      <c r="S832" s="5" t="str">
        <f>IFERROR(__xludf.DUMMYFUNCTION("""COMPUTED_VALUE"""),"Estrela 3")</f>
        <v>Estrela 3</v>
      </c>
    </row>
    <row r="833">
      <c r="A833" s="1">
        <v>832.0</v>
      </c>
      <c r="B833" s="1" t="s">
        <v>4825</v>
      </c>
      <c r="C833" s="1" t="s">
        <v>4827</v>
      </c>
      <c r="D833" s="1" t="s">
        <v>4828</v>
      </c>
      <c r="E833" s="1" t="s">
        <v>861</v>
      </c>
      <c r="F833" s="1" t="s">
        <v>4829</v>
      </c>
      <c r="G833" s="5" t="str">
        <f>IFERROR(__xludf.DUMMYFUNCTION("""COMPUTED_VALUE"""),"208🤙🏼PK🤙🏼Boman Irani🤙🏼Estrela 4")</f>
        <v>208🤙🏼PK🤙🏼Boman Irani🤙🏼Estrela 4</v>
      </c>
      <c r="H833" s="5">
        <f>IFERROR(__xludf.DUMMYFUNCTION("SPLiT(G833, ""🤙🏼"",FALSE,FALSE)"),208.0)</f>
        <v>208</v>
      </c>
      <c r="I833" s="5" t="str">
        <f>IFERROR(__xludf.DUMMYFUNCTION("""COMPUTED_VALUE"""),"PK")</f>
        <v>PK</v>
      </c>
      <c r="J833" s="5" t="str">
        <f>IFERROR(__xludf.DUMMYFUNCTION("""COMPUTED_VALUE"""),"Boman Irani")</f>
        <v>Boman Irani</v>
      </c>
      <c r="K833" s="5" t="str">
        <f>IFERROR(__xludf.DUMMYFUNCTION("""COMPUTED_VALUE"""),"Estrela 4")</f>
        <v>Estrela 4</v>
      </c>
      <c r="P833" s="5">
        <f>IFERROR(__xludf.DUMMYFUNCTION("""COMPUTED_VALUE"""),208.0)</f>
        <v>208</v>
      </c>
      <c r="Q833" s="5" t="str">
        <f>IFERROR(__xludf.DUMMYFUNCTION("""COMPUTED_VALUE"""),"PK")</f>
        <v>PK</v>
      </c>
      <c r="R833" s="5" t="str">
        <f>IFERROR(__xludf.DUMMYFUNCTION("""COMPUTED_VALUE"""),"Boman Irani")</f>
        <v>Boman Irani</v>
      </c>
      <c r="S833" s="5" t="str">
        <f>IFERROR(__xludf.DUMMYFUNCTION("""COMPUTED_VALUE"""),"Estrela 4")</f>
        <v>Estrela 4</v>
      </c>
    </row>
    <row r="834">
      <c r="A834" s="1">
        <v>833.0</v>
      </c>
      <c r="B834" s="1" t="s">
        <v>4830</v>
      </c>
      <c r="C834" s="1" t="s">
        <v>42</v>
      </c>
      <c r="D834" s="1" t="s">
        <v>4109</v>
      </c>
      <c r="E834" s="1" t="s">
        <v>4832</v>
      </c>
      <c r="F834" s="1" t="s">
        <v>4833</v>
      </c>
      <c r="G834" s="5" t="str">
        <f>IFERROR(__xludf.DUMMYFUNCTION("""COMPUTED_VALUE"""),"209🤙🏼OMG: Oh My God!🤙🏼Paresh Rawal🤙🏼Estrela 1")</f>
        <v>209🤙🏼OMG: Oh My God!🤙🏼Paresh Rawal🤙🏼Estrela 1</v>
      </c>
      <c r="H834" s="5">
        <f>IFERROR(__xludf.DUMMYFUNCTION("SPLiT(G834, ""🤙🏼"",FALSE,FALSE)"),209.0)</f>
        <v>209</v>
      </c>
      <c r="I834" s="5" t="str">
        <f>IFERROR(__xludf.DUMMYFUNCTION("""COMPUTED_VALUE"""),"OMG: Oh My God!")</f>
        <v>OMG: Oh My God!</v>
      </c>
      <c r="J834" s="5" t="str">
        <f>IFERROR(__xludf.DUMMYFUNCTION("""COMPUTED_VALUE"""),"Paresh Rawal")</f>
        <v>Paresh Rawal</v>
      </c>
      <c r="K834" s="5" t="str">
        <f>IFERROR(__xludf.DUMMYFUNCTION("""COMPUTED_VALUE"""),"Estrela 1")</f>
        <v>Estrela 1</v>
      </c>
      <c r="P834" s="5">
        <f>IFERROR(__xludf.DUMMYFUNCTION("""COMPUTED_VALUE"""),209.0)</f>
        <v>209</v>
      </c>
      <c r="Q834" s="5" t="str">
        <f>IFERROR(__xludf.DUMMYFUNCTION("""COMPUTED_VALUE"""),"OMG: Oh My God!")</f>
        <v>OMG: Oh My God!</v>
      </c>
      <c r="R834" s="5" t="str">
        <f>IFERROR(__xludf.DUMMYFUNCTION("""COMPUTED_VALUE"""),"Paresh Rawal")</f>
        <v>Paresh Rawal</v>
      </c>
      <c r="S834" s="5" t="str">
        <f>IFERROR(__xludf.DUMMYFUNCTION("""COMPUTED_VALUE"""),"Estrela 1")</f>
        <v>Estrela 1</v>
      </c>
    </row>
    <row r="835">
      <c r="A835" s="1">
        <v>834.0</v>
      </c>
      <c r="B835" s="1" t="s">
        <v>4834</v>
      </c>
      <c r="C835" s="1" t="s">
        <v>1195</v>
      </c>
      <c r="D835" s="1" t="s">
        <v>3249</v>
      </c>
      <c r="E835" s="1" t="s">
        <v>4837</v>
      </c>
      <c r="F835" s="1" t="s">
        <v>4838</v>
      </c>
      <c r="G835" s="5" t="str">
        <f>IFERROR(__xludf.DUMMYFUNCTION("""COMPUTED_VALUE"""),"209🤙🏼OMG: Oh My God!🤙🏼Akshay Kumar🤙🏼Estrela 2")</f>
        <v>209🤙🏼OMG: Oh My God!🤙🏼Akshay Kumar🤙🏼Estrela 2</v>
      </c>
      <c r="H835" s="5">
        <f>IFERROR(__xludf.DUMMYFUNCTION("SPLiT(G835, ""🤙🏼"",FALSE,FALSE)"),209.0)</f>
        <v>209</v>
      </c>
      <c r="I835" s="5" t="str">
        <f>IFERROR(__xludf.DUMMYFUNCTION("""COMPUTED_VALUE"""),"OMG: Oh My God!")</f>
        <v>OMG: Oh My God!</v>
      </c>
      <c r="J835" s="5" t="str">
        <f>IFERROR(__xludf.DUMMYFUNCTION("""COMPUTED_VALUE"""),"Akshay Kumar")</f>
        <v>Akshay Kumar</v>
      </c>
      <c r="K835" s="5" t="str">
        <f>IFERROR(__xludf.DUMMYFUNCTION("""COMPUTED_VALUE"""),"Estrela 2")</f>
        <v>Estrela 2</v>
      </c>
      <c r="P835" s="5">
        <f>IFERROR(__xludf.DUMMYFUNCTION("""COMPUTED_VALUE"""),209.0)</f>
        <v>209</v>
      </c>
      <c r="Q835" s="5" t="str">
        <f>IFERROR(__xludf.DUMMYFUNCTION("""COMPUTED_VALUE"""),"OMG: Oh My God!")</f>
        <v>OMG: Oh My God!</v>
      </c>
      <c r="R835" s="5" t="str">
        <f>IFERROR(__xludf.DUMMYFUNCTION("""COMPUTED_VALUE"""),"Akshay Kumar")</f>
        <v>Akshay Kumar</v>
      </c>
      <c r="S835" s="5" t="str">
        <f>IFERROR(__xludf.DUMMYFUNCTION("""COMPUTED_VALUE"""),"Estrela 2")</f>
        <v>Estrela 2</v>
      </c>
    </row>
    <row r="836">
      <c r="A836" s="1">
        <v>835.0</v>
      </c>
      <c r="B836" s="1" t="s">
        <v>4839</v>
      </c>
      <c r="C836" s="1" t="s">
        <v>4841</v>
      </c>
      <c r="D836" s="1" t="s">
        <v>4842</v>
      </c>
      <c r="E836" s="1" t="s">
        <v>3250</v>
      </c>
      <c r="F836" s="1" t="s">
        <v>1785</v>
      </c>
      <c r="G836" s="5" t="str">
        <f>IFERROR(__xludf.DUMMYFUNCTION("""COMPUTED_VALUE"""),"209🤙🏼OMG: Oh My God!🤙🏼Mithun Chakraborty🤙🏼Estrela 3")</f>
        <v>209🤙🏼OMG: Oh My God!🤙🏼Mithun Chakraborty🤙🏼Estrela 3</v>
      </c>
      <c r="H836" s="5">
        <f>IFERROR(__xludf.DUMMYFUNCTION("SPLiT(G836, ""🤙🏼"",FALSE,FALSE)"),209.0)</f>
        <v>209</v>
      </c>
      <c r="I836" s="5" t="str">
        <f>IFERROR(__xludf.DUMMYFUNCTION("""COMPUTED_VALUE"""),"OMG: Oh My God!")</f>
        <v>OMG: Oh My God!</v>
      </c>
      <c r="J836" s="5" t="str">
        <f>IFERROR(__xludf.DUMMYFUNCTION("""COMPUTED_VALUE"""),"Mithun Chakraborty")</f>
        <v>Mithun Chakraborty</v>
      </c>
      <c r="K836" s="5" t="str">
        <f>IFERROR(__xludf.DUMMYFUNCTION("""COMPUTED_VALUE"""),"Estrela 3")</f>
        <v>Estrela 3</v>
      </c>
      <c r="P836" s="5">
        <f>IFERROR(__xludf.DUMMYFUNCTION("""COMPUTED_VALUE"""),209.0)</f>
        <v>209</v>
      </c>
      <c r="Q836" s="5" t="str">
        <f>IFERROR(__xludf.DUMMYFUNCTION("""COMPUTED_VALUE"""),"OMG: Oh My God!")</f>
        <v>OMG: Oh My God!</v>
      </c>
      <c r="R836" s="5" t="str">
        <f>IFERROR(__xludf.DUMMYFUNCTION("""COMPUTED_VALUE"""),"Mithun Chakraborty")</f>
        <v>Mithun Chakraborty</v>
      </c>
      <c r="S836" s="5" t="str">
        <f>IFERROR(__xludf.DUMMYFUNCTION("""COMPUTED_VALUE"""),"Estrela 3")</f>
        <v>Estrela 3</v>
      </c>
    </row>
    <row r="837">
      <c r="A837" s="1">
        <v>836.0</v>
      </c>
      <c r="B837" s="1" t="s">
        <v>4843</v>
      </c>
      <c r="C837" s="1" t="s">
        <v>2728</v>
      </c>
      <c r="D837" s="1" t="s">
        <v>4845</v>
      </c>
      <c r="E837" s="1" t="s">
        <v>349</v>
      </c>
      <c r="F837" s="1" t="s">
        <v>4846</v>
      </c>
      <c r="G837" s="5" t="str">
        <f>IFERROR(__xludf.DUMMYFUNCTION("""COMPUTED_VALUE"""),"209🤙🏼OMG: Oh My God!🤙🏼Mahesh Manjrekar🤙🏼Estrela 4")</f>
        <v>209🤙🏼OMG: Oh My God!🤙🏼Mahesh Manjrekar🤙🏼Estrela 4</v>
      </c>
      <c r="H837" s="5">
        <f>IFERROR(__xludf.DUMMYFUNCTION("SPLiT(G837, ""🤙🏼"",FALSE,FALSE)"),209.0)</f>
        <v>209</v>
      </c>
      <c r="I837" s="5" t="str">
        <f>IFERROR(__xludf.DUMMYFUNCTION("""COMPUTED_VALUE"""),"OMG: Oh My God!")</f>
        <v>OMG: Oh My God!</v>
      </c>
      <c r="J837" s="5" t="str">
        <f>IFERROR(__xludf.DUMMYFUNCTION("""COMPUTED_VALUE"""),"Mahesh Manjrekar")</f>
        <v>Mahesh Manjrekar</v>
      </c>
      <c r="K837" s="5" t="str">
        <f>IFERROR(__xludf.DUMMYFUNCTION("""COMPUTED_VALUE"""),"Estrela 4")</f>
        <v>Estrela 4</v>
      </c>
      <c r="P837" s="5">
        <f>IFERROR(__xludf.DUMMYFUNCTION("""COMPUTED_VALUE"""),209.0)</f>
        <v>209</v>
      </c>
      <c r="Q837" s="5" t="str">
        <f>IFERROR(__xludf.DUMMYFUNCTION("""COMPUTED_VALUE"""),"OMG: Oh My God!")</f>
        <v>OMG: Oh My God!</v>
      </c>
      <c r="R837" s="5" t="str">
        <f>IFERROR(__xludf.DUMMYFUNCTION("""COMPUTED_VALUE"""),"Mahesh Manjrekar")</f>
        <v>Mahesh Manjrekar</v>
      </c>
      <c r="S837" s="5" t="str">
        <f>IFERROR(__xludf.DUMMYFUNCTION("""COMPUTED_VALUE"""),"Estrela 4")</f>
        <v>Estrela 4</v>
      </c>
    </row>
    <row r="838">
      <c r="A838" s="1">
        <v>837.0</v>
      </c>
      <c r="B838" s="1" t="s">
        <v>4847</v>
      </c>
      <c r="C838" s="1" t="s">
        <v>4849</v>
      </c>
      <c r="D838" s="1" t="s">
        <v>4850</v>
      </c>
      <c r="E838" s="1" t="s">
        <v>4851</v>
      </c>
      <c r="F838" s="1" t="s">
        <v>4852</v>
      </c>
      <c r="G838" s="5" t="str">
        <f>IFERROR(__xludf.DUMMYFUNCTION("""COMPUTED_VALUE"""),"210🤙🏼The Grand Budapest Hotel🤙🏼Ralph Fiennes🤙🏼Estrela 1")</f>
        <v>210🤙🏼The Grand Budapest Hotel🤙🏼Ralph Fiennes🤙🏼Estrela 1</v>
      </c>
      <c r="H838" s="5">
        <f>IFERROR(__xludf.DUMMYFUNCTION("SPLiT(G838, ""🤙🏼"",FALSE,FALSE)"),210.0)</f>
        <v>210</v>
      </c>
      <c r="I838" s="5" t="str">
        <f>IFERROR(__xludf.DUMMYFUNCTION("""COMPUTED_VALUE"""),"The Grand Budapest Hotel")</f>
        <v>The Grand Budapest Hotel</v>
      </c>
      <c r="J838" s="5" t="str">
        <f>IFERROR(__xludf.DUMMYFUNCTION("""COMPUTED_VALUE"""),"Ralph Fiennes")</f>
        <v>Ralph Fiennes</v>
      </c>
      <c r="K838" s="5" t="str">
        <f>IFERROR(__xludf.DUMMYFUNCTION("""COMPUTED_VALUE"""),"Estrela 1")</f>
        <v>Estrela 1</v>
      </c>
      <c r="P838" s="5">
        <f>IFERROR(__xludf.DUMMYFUNCTION("""COMPUTED_VALUE"""),210.0)</f>
        <v>210</v>
      </c>
      <c r="Q838" s="5" t="str">
        <f>IFERROR(__xludf.DUMMYFUNCTION("""COMPUTED_VALUE"""),"The Grand Budapest Hotel")</f>
        <v>The Grand Budapest Hotel</v>
      </c>
      <c r="R838" s="5" t="str">
        <f>IFERROR(__xludf.DUMMYFUNCTION("""COMPUTED_VALUE"""),"Ralph Fiennes")</f>
        <v>Ralph Fiennes</v>
      </c>
      <c r="S838" s="5" t="str">
        <f>IFERROR(__xludf.DUMMYFUNCTION("""COMPUTED_VALUE"""),"Estrela 1")</f>
        <v>Estrela 1</v>
      </c>
    </row>
    <row r="839">
      <c r="A839" s="1">
        <v>838.0</v>
      </c>
      <c r="B839" s="1" t="s">
        <v>4853</v>
      </c>
      <c r="C839" s="1" t="s">
        <v>2671</v>
      </c>
      <c r="D839" s="1" t="s">
        <v>2728</v>
      </c>
      <c r="E839" s="1" t="s">
        <v>4856</v>
      </c>
      <c r="F839" s="1" t="s">
        <v>4857</v>
      </c>
      <c r="G839" s="5" t="str">
        <f>IFERROR(__xludf.DUMMYFUNCTION("""COMPUTED_VALUE"""),"210🤙🏼The Grand Budapest Hotel🤙🏼F. Murray Abraham🤙🏼Estrela 2")</f>
        <v>210🤙🏼The Grand Budapest Hotel🤙🏼F. Murray Abraham🤙🏼Estrela 2</v>
      </c>
      <c r="H839" s="5">
        <f>IFERROR(__xludf.DUMMYFUNCTION("SPLiT(G839, ""🤙🏼"",FALSE,FALSE)"),210.0)</f>
        <v>210</v>
      </c>
      <c r="I839" s="5" t="str">
        <f>IFERROR(__xludf.DUMMYFUNCTION("""COMPUTED_VALUE"""),"The Grand Budapest Hotel")</f>
        <v>The Grand Budapest Hotel</v>
      </c>
      <c r="J839" s="5" t="str">
        <f>IFERROR(__xludf.DUMMYFUNCTION("""COMPUTED_VALUE"""),"F. Murray Abraham")</f>
        <v>F. Murray Abraham</v>
      </c>
      <c r="K839" s="5" t="str">
        <f>IFERROR(__xludf.DUMMYFUNCTION("""COMPUTED_VALUE"""),"Estrela 2")</f>
        <v>Estrela 2</v>
      </c>
      <c r="P839" s="5">
        <f>IFERROR(__xludf.DUMMYFUNCTION("""COMPUTED_VALUE"""),210.0)</f>
        <v>210</v>
      </c>
      <c r="Q839" s="5" t="str">
        <f>IFERROR(__xludf.DUMMYFUNCTION("""COMPUTED_VALUE"""),"The Grand Budapest Hotel")</f>
        <v>The Grand Budapest Hotel</v>
      </c>
      <c r="R839" s="5" t="str">
        <f>IFERROR(__xludf.DUMMYFUNCTION("""COMPUTED_VALUE"""),"F. Murray Abraham")</f>
        <v>F. Murray Abraham</v>
      </c>
      <c r="S839" s="5" t="str">
        <f>IFERROR(__xludf.DUMMYFUNCTION("""COMPUTED_VALUE"""),"Estrela 2")</f>
        <v>Estrela 2</v>
      </c>
    </row>
    <row r="840">
      <c r="A840" s="1">
        <v>839.0</v>
      </c>
      <c r="B840" s="1" t="s">
        <v>4858</v>
      </c>
      <c r="C840" s="1" t="s">
        <v>834</v>
      </c>
      <c r="D840" s="1" t="s">
        <v>4860</v>
      </c>
      <c r="E840" s="1" t="s">
        <v>2668</v>
      </c>
      <c r="F840" s="1" t="s">
        <v>875</v>
      </c>
      <c r="G840" s="5" t="str">
        <f>IFERROR(__xludf.DUMMYFUNCTION("""COMPUTED_VALUE"""),"210🤙🏼The Grand Budapest Hotel🤙🏼Mathieu Amalric🤙🏼Estrela 3")</f>
        <v>210🤙🏼The Grand Budapest Hotel🤙🏼Mathieu Amalric🤙🏼Estrela 3</v>
      </c>
      <c r="H840" s="5">
        <f>IFERROR(__xludf.DUMMYFUNCTION("SPLiT(G840, ""🤙🏼"",FALSE,FALSE)"),210.0)</f>
        <v>210</v>
      </c>
      <c r="I840" s="5" t="str">
        <f>IFERROR(__xludf.DUMMYFUNCTION("""COMPUTED_VALUE"""),"The Grand Budapest Hotel")</f>
        <v>The Grand Budapest Hotel</v>
      </c>
      <c r="J840" s="5" t="str">
        <f>IFERROR(__xludf.DUMMYFUNCTION("""COMPUTED_VALUE"""),"Mathieu Amalric")</f>
        <v>Mathieu Amalric</v>
      </c>
      <c r="K840" s="5" t="str">
        <f>IFERROR(__xludf.DUMMYFUNCTION("""COMPUTED_VALUE"""),"Estrela 3")</f>
        <v>Estrela 3</v>
      </c>
      <c r="P840" s="5">
        <f>IFERROR(__xludf.DUMMYFUNCTION("""COMPUTED_VALUE"""),210.0)</f>
        <v>210</v>
      </c>
      <c r="Q840" s="5" t="str">
        <f>IFERROR(__xludf.DUMMYFUNCTION("""COMPUTED_VALUE"""),"The Grand Budapest Hotel")</f>
        <v>The Grand Budapest Hotel</v>
      </c>
      <c r="R840" s="5" t="str">
        <f>IFERROR(__xludf.DUMMYFUNCTION("""COMPUTED_VALUE"""),"Mathieu Amalric")</f>
        <v>Mathieu Amalric</v>
      </c>
      <c r="S840" s="5" t="str">
        <f>IFERROR(__xludf.DUMMYFUNCTION("""COMPUTED_VALUE"""),"Estrela 3")</f>
        <v>Estrela 3</v>
      </c>
    </row>
    <row r="841">
      <c r="A841" s="1">
        <v>840.0</v>
      </c>
      <c r="B841" s="1" t="s">
        <v>4861</v>
      </c>
      <c r="C841" s="1" t="s">
        <v>4864</v>
      </c>
      <c r="D841" s="1" t="s">
        <v>3103</v>
      </c>
      <c r="E841" s="1" t="s">
        <v>4865</v>
      </c>
      <c r="F841" s="1" t="s">
        <v>4866</v>
      </c>
      <c r="G841" s="5" t="str">
        <f>IFERROR(__xludf.DUMMYFUNCTION("""COMPUTED_VALUE"""),"210🤙🏼The Grand Budapest Hotel🤙🏼Adrien Brody🤙🏼Estrela 4")</f>
        <v>210🤙🏼The Grand Budapest Hotel🤙🏼Adrien Brody🤙🏼Estrela 4</v>
      </c>
      <c r="H841" s="5">
        <f>IFERROR(__xludf.DUMMYFUNCTION("SPLiT(G841, ""🤙🏼"",FALSE,FALSE)"),210.0)</f>
        <v>210</v>
      </c>
      <c r="I841" s="5" t="str">
        <f>IFERROR(__xludf.DUMMYFUNCTION("""COMPUTED_VALUE"""),"The Grand Budapest Hotel")</f>
        <v>The Grand Budapest Hotel</v>
      </c>
      <c r="J841" s="5" t="str">
        <f>IFERROR(__xludf.DUMMYFUNCTION("""COMPUTED_VALUE"""),"Adrien Brody")</f>
        <v>Adrien Brody</v>
      </c>
      <c r="K841" s="5" t="str">
        <f>IFERROR(__xludf.DUMMYFUNCTION("""COMPUTED_VALUE"""),"Estrela 4")</f>
        <v>Estrela 4</v>
      </c>
      <c r="P841" s="5">
        <f>IFERROR(__xludf.DUMMYFUNCTION("""COMPUTED_VALUE"""),210.0)</f>
        <v>210</v>
      </c>
      <c r="Q841" s="5" t="str">
        <f>IFERROR(__xludf.DUMMYFUNCTION("""COMPUTED_VALUE"""),"The Grand Budapest Hotel")</f>
        <v>The Grand Budapest Hotel</v>
      </c>
      <c r="R841" s="5" t="str">
        <f>IFERROR(__xludf.DUMMYFUNCTION("""COMPUTED_VALUE"""),"Adrien Brody")</f>
        <v>Adrien Brody</v>
      </c>
      <c r="S841" s="5" t="str">
        <f>IFERROR(__xludf.DUMMYFUNCTION("""COMPUTED_VALUE"""),"Estrela 4")</f>
        <v>Estrela 4</v>
      </c>
    </row>
    <row r="842">
      <c r="A842" s="1">
        <v>841.0</v>
      </c>
      <c r="B842" s="1" t="s">
        <v>4867</v>
      </c>
      <c r="C842" s="1" t="s">
        <v>1893</v>
      </c>
      <c r="D842" s="1" t="s">
        <v>4870</v>
      </c>
      <c r="E842" s="1" t="s">
        <v>4195</v>
      </c>
      <c r="F842" s="1" t="s">
        <v>4147</v>
      </c>
      <c r="G842" s="5" t="str">
        <f>IFERROR(__xludf.DUMMYFUNCTION("""COMPUTED_VALUE"""),"211🤙🏼Gone Girl🤙🏼Ben Affleck🤙🏼Estrela 1")</f>
        <v>211🤙🏼Gone Girl🤙🏼Ben Affleck🤙🏼Estrela 1</v>
      </c>
      <c r="H842" s="5">
        <f>IFERROR(__xludf.DUMMYFUNCTION("SPLiT(G842, ""🤙🏼"",FALSE,FALSE)"),211.0)</f>
        <v>211</v>
      </c>
      <c r="I842" s="5" t="str">
        <f>IFERROR(__xludf.DUMMYFUNCTION("""COMPUTED_VALUE"""),"Gone Girl")</f>
        <v>Gone Girl</v>
      </c>
      <c r="J842" s="5" t="str">
        <f>IFERROR(__xludf.DUMMYFUNCTION("""COMPUTED_VALUE"""),"Ben Affleck")</f>
        <v>Ben Affleck</v>
      </c>
      <c r="K842" s="5" t="str">
        <f>IFERROR(__xludf.DUMMYFUNCTION("""COMPUTED_VALUE"""),"Estrela 1")</f>
        <v>Estrela 1</v>
      </c>
      <c r="P842" s="5">
        <f>IFERROR(__xludf.DUMMYFUNCTION("""COMPUTED_VALUE"""),211.0)</f>
        <v>211</v>
      </c>
      <c r="Q842" s="5" t="str">
        <f>IFERROR(__xludf.DUMMYFUNCTION("""COMPUTED_VALUE"""),"Gone Girl")</f>
        <v>Gone Girl</v>
      </c>
      <c r="R842" s="5" t="str">
        <f>IFERROR(__xludf.DUMMYFUNCTION("""COMPUTED_VALUE"""),"Ben Affleck")</f>
        <v>Ben Affleck</v>
      </c>
      <c r="S842" s="5" t="str">
        <f>IFERROR(__xludf.DUMMYFUNCTION("""COMPUTED_VALUE"""),"Estrela 1")</f>
        <v>Estrela 1</v>
      </c>
    </row>
    <row r="843">
      <c r="A843" s="1">
        <v>842.0</v>
      </c>
      <c r="B843" s="1" t="s">
        <v>4871</v>
      </c>
      <c r="C843" s="1" t="s">
        <v>3674</v>
      </c>
      <c r="D843" s="1" t="s">
        <v>4873</v>
      </c>
      <c r="E843" s="1" t="s">
        <v>4874</v>
      </c>
      <c r="F843" s="1" t="s">
        <v>4875</v>
      </c>
      <c r="G843" s="5" t="str">
        <f>IFERROR(__xludf.DUMMYFUNCTION("""COMPUTED_VALUE"""),"211🤙🏼Gone Girl🤙🏼Rosamund Pike🤙🏼Estrela 2")</f>
        <v>211🤙🏼Gone Girl🤙🏼Rosamund Pike🤙🏼Estrela 2</v>
      </c>
      <c r="H843" s="5">
        <f>IFERROR(__xludf.DUMMYFUNCTION("SPLiT(G843, ""🤙🏼"",FALSE,FALSE)"),211.0)</f>
        <v>211</v>
      </c>
      <c r="I843" s="5" t="str">
        <f>IFERROR(__xludf.DUMMYFUNCTION("""COMPUTED_VALUE"""),"Gone Girl")</f>
        <v>Gone Girl</v>
      </c>
      <c r="J843" s="5" t="str">
        <f>IFERROR(__xludf.DUMMYFUNCTION("""COMPUTED_VALUE"""),"Rosamund Pike")</f>
        <v>Rosamund Pike</v>
      </c>
      <c r="K843" s="5" t="str">
        <f>IFERROR(__xludf.DUMMYFUNCTION("""COMPUTED_VALUE"""),"Estrela 2")</f>
        <v>Estrela 2</v>
      </c>
      <c r="P843" s="5">
        <f>IFERROR(__xludf.DUMMYFUNCTION("""COMPUTED_VALUE"""),211.0)</f>
        <v>211</v>
      </c>
      <c r="Q843" s="5" t="str">
        <f>IFERROR(__xludf.DUMMYFUNCTION("""COMPUTED_VALUE"""),"Gone Girl")</f>
        <v>Gone Girl</v>
      </c>
      <c r="R843" s="5" t="str">
        <f>IFERROR(__xludf.DUMMYFUNCTION("""COMPUTED_VALUE"""),"Rosamund Pike")</f>
        <v>Rosamund Pike</v>
      </c>
      <c r="S843" s="5" t="str">
        <f>IFERROR(__xludf.DUMMYFUNCTION("""COMPUTED_VALUE"""),"Estrela 2")</f>
        <v>Estrela 2</v>
      </c>
    </row>
    <row r="844">
      <c r="A844" s="1">
        <v>843.0</v>
      </c>
      <c r="B844" s="1" t="s">
        <v>4876</v>
      </c>
      <c r="C844" s="1" t="s">
        <v>4879</v>
      </c>
      <c r="D844" s="1" t="s">
        <v>4880</v>
      </c>
      <c r="E844" s="1" t="s">
        <v>4881</v>
      </c>
      <c r="F844" s="1" t="s">
        <v>4882</v>
      </c>
      <c r="G844" s="5" t="str">
        <f>IFERROR(__xludf.DUMMYFUNCTION("""COMPUTED_VALUE"""),"211🤙🏼Gone Girl🤙🏼Neil Patrick Harris🤙🏼Estrela 3")</f>
        <v>211🤙🏼Gone Girl🤙🏼Neil Patrick Harris🤙🏼Estrela 3</v>
      </c>
      <c r="H844" s="5">
        <f>IFERROR(__xludf.DUMMYFUNCTION("SPLiT(G844, ""🤙🏼"",FALSE,FALSE)"),211.0)</f>
        <v>211</v>
      </c>
      <c r="I844" s="5" t="str">
        <f>IFERROR(__xludf.DUMMYFUNCTION("""COMPUTED_VALUE"""),"Gone Girl")</f>
        <v>Gone Girl</v>
      </c>
      <c r="J844" s="5" t="str">
        <f>IFERROR(__xludf.DUMMYFUNCTION("""COMPUTED_VALUE"""),"Neil Patrick Harris")</f>
        <v>Neil Patrick Harris</v>
      </c>
      <c r="K844" s="5" t="str">
        <f>IFERROR(__xludf.DUMMYFUNCTION("""COMPUTED_VALUE"""),"Estrela 3")</f>
        <v>Estrela 3</v>
      </c>
      <c r="P844" s="5">
        <f>IFERROR(__xludf.DUMMYFUNCTION("""COMPUTED_VALUE"""),211.0)</f>
        <v>211</v>
      </c>
      <c r="Q844" s="5" t="str">
        <f>IFERROR(__xludf.DUMMYFUNCTION("""COMPUTED_VALUE"""),"Gone Girl")</f>
        <v>Gone Girl</v>
      </c>
      <c r="R844" s="5" t="str">
        <f>IFERROR(__xludf.DUMMYFUNCTION("""COMPUTED_VALUE"""),"Neil Patrick Harris")</f>
        <v>Neil Patrick Harris</v>
      </c>
      <c r="S844" s="5" t="str">
        <f>IFERROR(__xludf.DUMMYFUNCTION("""COMPUTED_VALUE"""),"Estrela 3")</f>
        <v>Estrela 3</v>
      </c>
    </row>
    <row r="845">
      <c r="A845" s="1">
        <v>844.0</v>
      </c>
      <c r="B845" s="1" t="s">
        <v>4883</v>
      </c>
      <c r="C845" s="1" t="s">
        <v>4885</v>
      </c>
      <c r="D845" s="1" t="s">
        <v>4886</v>
      </c>
      <c r="E845" s="1" t="s">
        <v>4887</v>
      </c>
      <c r="F845" s="1" t="s">
        <v>4888</v>
      </c>
      <c r="G845" s="5" t="str">
        <f>IFERROR(__xludf.DUMMYFUNCTION("""COMPUTED_VALUE"""),"211🤙🏼Gone Girl🤙🏼Tyler Perry🤙🏼Estrela 4")</f>
        <v>211🤙🏼Gone Girl🤙🏼Tyler Perry🤙🏼Estrela 4</v>
      </c>
      <c r="H845" s="5">
        <f>IFERROR(__xludf.DUMMYFUNCTION("SPLiT(G845, ""🤙🏼"",FALSE,FALSE)"),211.0)</f>
        <v>211</v>
      </c>
      <c r="I845" s="5" t="str">
        <f>IFERROR(__xludf.DUMMYFUNCTION("""COMPUTED_VALUE"""),"Gone Girl")</f>
        <v>Gone Girl</v>
      </c>
      <c r="J845" s="5" t="str">
        <f>IFERROR(__xludf.DUMMYFUNCTION("""COMPUTED_VALUE"""),"Tyler Perry")</f>
        <v>Tyler Perry</v>
      </c>
      <c r="K845" s="5" t="str">
        <f>IFERROR(__xludf.DUMMYFUNCTION("""COMPUTED_VALUE"""),"Estrela 4")</f>
        <v>Estrela 4</v>
      </c>
      <c r="P845" s="5">
        <f>IFERROR(__xludf.DUMMYFUNCTION("""COMPUTED_VALUE"""),211.0)</f>
        <v>211</v>
      </c>
      <c r="Q845" s="5" t="str">
        <f>IFERROR(__xludf.DUMMYFUNCTION("""COMPUTED_VALUE"""),"Gone Girl")</f>
        <v>Gone Girl</v>
      </c>
      <c r="R845" s="5" t="str">
        <f>IFERROR(__xludf.DUMMYFUNCTION("""COMPUTED_VALUE"""),"Tyler Perry")</f>
        <v>Tyler Perry</v>
      </c>
      <c r="S845" s="5" t="str">
        <f>IFERROR(__xludf.DUMMYFUNCTION("""COMPUTED_VALUE"""),"Estrela 4")</f>
        <v>Estrela 4</v>
      </c>
    </row>
    <row r="846">
      <c r="A846" s="1">
        <v>845.0</v>
      </c>
      <c r="B846" s="1" t="s">
        <v>4889</v>
      </c>
      <c r="C846" s="1" t="s">
        <v>4891</v>
      </c>
      <c r="D846" s="1" t="s">
        <v>2937</v>
      </c>
      <c r="E846" s="1" t="s">
        <v>4892</v>
      </c>
      <c r="F846" s="1" t="s">
        <v>4893</v>
      </c>
      <c r="G846" s="5" t="str">
        <f>IFERROR(__xludf.DUMMYFUNCTION("""COMPUTED_VALUE"""),"212🤙🏼Ôkami kodomo no Ame to Yuki🤙🏼Aoi Miyazaki🤙🏼Estrela 1")</f>
        <v>212🤙🏼Ôkami kodomo no Ame to Yuki🤙🏼Aoi Miyazaki🤙🏼Estrela 1</v>
      </c>
      <c r="H846" s="5">
        <f>IFERROR(__xludf.DUMMYFUNCTION("SPLiT(G846, ""🤙🏼"",FALSE,FALSE)"),212.0)</f>
        <v>212</v>
      </c>
      <c r="I846" s="5" t="str">
        <f>IFERROR(__xludf.DUMMYFUNCTION("""COMPUTED_VALUE"""),"Ôkami kodomo no Ame to Yuki")</f>
        <v>Ôkami kodomo no Ame to Yuki</v>
      </c>
      <c r="J846" s="5" t="str">
        <f>IFERROR(__xludf.DUMMYFUNCTION("""COMPUTED_VALUE"""),"Aoi Miyazaki")</f>
        <v>Aoi Miyazaki</v>
      </c>
      <c r="K846" s="5" t="str">
        <f>IFERROR(__xludf.DUMMYFUNCTION("""COMPUTED_VALUE"""),"Estrela 1")</f>
        <v>Estrela 1</v>
      </c>
      <c r="P846" s="5">
        <f>IFERROR(__xludf.DUMMYFUNCTION("""COMPUTED_VALUE"""),212.0)</f>
        <v>212</v>
      </c>
      <c r="Q846" s="5" t="str">
        <f>IFERROR(__xludf.DUMMYFUNCTION("""COMPUTED_VALUE"""),"Ôkami kodomo no Ame to Yuki")</f>
        <v>Ôkami kodomo no Ame to Yuki</v>
      </c>
      <c r="R846" s="5" t="str">
        <f>IFERROR(__xludf.DUMMYFUNCTION("""COMPUTED_VALUE"""),"Aoi Miyazaki")</f>
        <v>Aoi Miyazaki</v>
      </c>
      <c r="S846" s="5" t="str">
        <f>IFERROR(__xludf.DUMMYFUNCTION("""COMPUTED_VALUE"""),"Estrela 1")</f>
        <v>Estrela 1</v>
      </c>
    </row>
    <row r="847">
      <c r="A847" s="1">
        <v>846.0</v>
      </c>
      <c r="B847" s="1" t="s">
        <v>4894</v>
      </c>
      <c r="C847" s="1" t="s">
        <v>316</v>
      </c>
      <c r="D847" s="1" t="s">
        <v>4896</v>
      </c>
      <c r="E847" s="1" t="s">
        <v>2667</v>
      </c>
      <c r="F847" s="1" t="s">
        <v>4897</v>
      </c>
      <c r="G847" s="5" t="str">
        <f>IFERROR(__xludf.DUMMYFUNCTION("""COMPUTED_VALUE"""),"212🤙🏼Ôkami kodomo no Ame to Yuki🤙🏼Takao Osawa🤙🏼Estrela 2")</f>
        <v>212🤙🏼Ôkami kodomo no Ame to Yuki🤙🏼Takao Osawa🤙🏼Estrela 2</v>
      </c>
      <c r="H847" s="5">
        <f>IFERROR(__xludf.DUMMYFUNCTION("SPLiT(G847, ""🤙🏼"",FALSE,FALSE)"),212.0)</f>
        <v>212</v>
      </c>
      <c r="I847" s="5" t="str">
        <f>IFERROR(__xludf.DUMMYFUNCTION("""COMPUTED_VALUE"""),"Ôkami kodomo no Ame to Yuki")</f>
        <v>Ôkami kodomo no Ame to Yuki</v>
      </c>
      <c r="J847" s="5" t="str">
        <f>IFERROR(__xludf.DUMMYFUNCTION("""COMPUTED_VALUE"""),"Takao Osawa")</f>
        <v>Takao Osawa</v>
      </c>
      <c r="K847" s="5" t="str">
        <f>IFERROR(__xludf.DUMMYFUNCTION("""COMPUTED_VALUE"""),"Estrela 2")</f>
        <v>Estrela 2</v>
      </c>
      <c r="P847" s="5">
        <f>IFERROR(__xludf.DUMMYFUNCTION("""COMPUTED_VALUE"""),212.0)</f>
        <v>212</v>
      </c>
      <c r="Q847" s="5" t="str">
        <f>IFERROR(__xludf.DUMMYFUNCTION("""COMPUTED_VALUE"""),"Ôkami kodomo no Ame to Yuki")</f>
        <v>Ôkami kodomo no Ame to Yuki</v>
      </c>
      <c r="R847" s="5" t="str">
        <f>IFERROR(__xludf.DUMMYFUNCTION("""COMPUTED_VALUE"""),"Takao Osawa")</f>
        <v>Takao Osawa</v>
      </c>
      <c r="S847" s="5" t="str">
        <f>IFERROR(__xludf.DUMMYFUNCTION("""COMPUTED_VALUE"""),"Estrela 2")</f>
        <v>Estrela 2</v>
      </c>
    </row>
    <row r="848">
      <c r="A848" s="1">
        <v>847.0</v>
      </c>
      <c r="B848" s="1" t="s">
        <v>4898</v>
      </c>
      <c r="C848" s="1" t="s">
        <v>2671</v>
      </c>
      <c r="D848" s="1" t="s">
        <v>35</v>
      </c>
      <c r="E848" s="1" t="s">
        <v>4900</v>
      </c>
      <c r="F848" s="1" t="s">
        <v>4901</v>
      </c>
      <c r="G848" s="5" t="str">
        <f>IFERROR(__xludf.DUMMYFUNCTION("""COMPUTED_VALUE"""),"212🤙🏼Ôkami kodomo no Ame to Yuki🤙🏼Haru Kuroki🤙🏼Estrela 3")</f>
        <v>212🤙🏼Ôkami kodomo no Ame to Yuki🤙🏼Haru Kuroki🤙🏼Estrela 3</v>
      </c>
      <c r="H848" s="5">
        <f>IFERROR(__xludf.DUMMYFUNCTION("SPLiT(G848, ""🤙🏼"",FALSE,FALSE)"),212.0)</f>
        <v>212</v>
      </c>
      <c r="I848" s="5" t="str">
        <f>IFERROR(__xludf.DUMMYFUNCTION("""COMPUTED_VALUE"""),"Ôkami kodomo no Ame to Yuki")</f>
        <v>Ôkami kodomo no Ame to Yuki</v>
      </c>
      <c r="J848" s="5" t="str">
        <f>IFERROR(__xludf.DUMMYFUNCTION("""COMPUTED_VALUE"""),"Haru Kuroki")</f>
        <v>Haru Kuroki</v>
      </c>
      <c r="K848" s="5" t="str">
        <f>IFERROR(__xludf.DUMMYFUNCTION("""COMPUTED_VALUE"""),"Estrela 3")</f>
        <v>Estrela 3</v>
      </c>
      <c r="P848" s="5">
        <f>IFERROR(__xludf.DUMMYFUNCTION("""COMPUTED_VALUE"""),212.0)</f>
        <v>212</v>
      </c>
      <c r="Q848" s="5" t="str">
        <f>IFERROR(__xludf.DUMMYFUNCTION("""COMPUTED_VALUE"""),"Ôkami kodomo no Ame to Yuki")</f>
        <v>Ôkami kodomo no Ame to Yuki</v>
      </c>
      <c r="R848" s="5" t="str">
        <f>IFERROR(__xludf.DUMMYFUNCTION("""COMPUTED_VALUE"""),"Haru Kuroki")</f>
        <v>Haru Kuroki</v>
      </c>
      <c r="S848" s="5" t="str">
        <f>IFERROR(__xludf.DUMMYFUNCTION("""COMPUTED_VALUE"""),"Estrela 3")</f>
        <v>Estrela 3</v>
      </c>
    </row>
    <row r="849">
      <c r="A849" s="1">
        <v>848.0</v>
      </c>
      <c r="B849" s="1" t="s">
        <v>4902</v>
      </c>
      <c r="C849" s="1" t="s">
        <v>2596</v>
      </c>
      <c r="D849" s="1" t="s">
        <v>836</v>
      </c>
      <c r="E849" s="1" t="s">
        <v>58</v>
      </c>
      <c r="F849" s="1" t="s">
        <v>4905</v>
      </c>
      <c r="G849" s="5" t="str">
        <f>IFERROR(__xludf.DUMMYFUNCTION("""COMPUTED_VALUE"""),"212🤙🏼Ôkami kodomo no Ame to Yuki🤙🏼Yukito Nishii🤙🏼Estrela 4")</f>
        <v>212🤙🏼Ôkami kodomo no Ame to Yuki🤙🏼Yukito Nishii🤙🏼Estrela 4</v>
      </c>
      <c r="H849" s="5">
        <f>IFERROR(__xludf.DUMMYFUNCTION("SPLiT(G849, ""🤙🏼"",FALSE,FALSE)"),212.0)</f>
        <v>212</v>
      </c>
      <c r="I849" s="5" t="str">
        <f>IFERROR(__xludf.DUMMYFUNCTION("""COMPUTED_VALUE"""),"Ôkami kodomo no Ame to Yuki")</f>
        <v>Ôkami kodomo no Ame to Yuki</v>
      </c>
      <c r="J849" s="5" t="str">
        <f>IFERROR(__xludf.DUMMYFUNCTION("""COMPUTED_VALUE"""),"Yukito Nishii")</f>
        <v>Yukito Nishii</v>
      </c>
      <c r="K849" s="5" t="str">
        <f>IFERROR(__xludf.DUMMYFUNCTION("""COMPUTED_VALUE"""),"Estrela 4")</f>
        <v>Estrela 4</v>
      </c>
      <c r="P849" s="5">
        <f>IFERROR(__xludf.DUMMYFUNCTION("""COMPUTED_VALUE"""),212.0)</f>
        <v>212</v>
      </c>
      <c r="Q849" s="5" t="str">
        <f>IFERROR(__xludf.DUMMYFUNCTION("""COMPUTED_VALUE"""),"Ôkami kodomo no Ame to Yuki")</f>
        <v>Ôkami kodomo no Ame to Yuki</v>
      </c>
      <c r="R849" s="5" t="str">
        <f>IFERROR(__xludf.DUMMYFUNCTION("""COMPUTED_VALUE"""),"Yukito Nishii")</f>
        <v>Yukito Nishii</v>
      </c>
      <c r="S849" s="5" t="str">
        <f>IFERROR(__xludf.DUMMYFUNCTION("""COMPUTED_VALUE"""),"Estrela 4")</f>
        <v>Estrela 4</v>
      </c>
    </row>
    <row r="850">
      <c r="A850" s="1">
        <v>849.0</v>
      </c>
      <c r="B850" s="1" t="s">
        <v>4906</v>
      </c>
      <c r="C850" s="1" t="s">
        <v>4909</v>
      </c>
      <c r="D850" s="1" t="s">
        <v>2687</v>
      </c>
      <c r="E850" s="1" t="s">
        <v>4910</v>
      </c>
      <c r="F850" s="1" t="s">
        <v>4911</v>
      </c>
      <c r="G850" s="5" t="str">
        <f>IFERROR(__xludf.DUMMYFUNCTION("""COMPUTED_VALUE"""),"213🤙🏼Hacksaw Ridge🤙🏼Andrew Garfield🤙🏼Estrela 1")</f>
        <v>213🤙🏼Hacksaw Ridge🤙🏼Andrew Garfield🤙🏼Estrela 1</v>
      </c>
      <c r="H850" s="5">
        <f>IFERROR(__xludf.DUMMYFUNCTION("SPLiT(G850, ""🤙🏼"",FALSE,FALSE)"),213.0)</f>
        <v>213</v>
      </c>
      <c r="I850" s="5" t="str">
        <f>IFERROR(__xludf.DUMMYFUNCTION("""COMPUTED_VALUE"""),"Hacksaw Ridge")</f>
        <v>Hacksaw Ridge</v>
      </c>
      <c r="J850" s="5" t="str">
        <f>IFERROR(__xludf.DUMMYFUNCTION("""COMPUTED_VALUE"""),"Andrew Garfield")</f>
        <v>Andrew Garfield</v>
      </c>
      <c r="K850" s="5" t="str">
        <f>IFERROR(__xludf.DUMMYFUNCTION("""COMPUTED_VALUE"""),"Estrela 1")</f>
        <v>Estrela 1</v>
      </c>
      <c r="P850" s="5">
        <f>IFERROR(__xludf.DUMMYFUNCTION("""COMPUTED_VALUE"""),213.0)</f>
        <v>213</v>
      </c>
      <c r="Q850" s="5" t="str">
        <f>IFERROR(__xludf.DUMMYFUNCTION("""COMPUTED_VALUE"""),"Hacksaw Ridge")</f>
        <v>Hacksaw Ridge</v>
      </c>
      <c r="R850" s="5" t="str">
        <f>IFERROR(__xludf.DUMMYFUNCTION("""COMPUTED_VALUE"""),"Andrew Garfield")</f>
        <v>Andrew Garfield</v>
      </c>
      <c r="S850" s="5" t="str">
        <f>IFERROR(__xludf.DUMMYFUNCTION("""COMPUTED_VALUE"""),"Estrela 1")</f>
        <v>Estrela 1</v>
      </c>
    </row>
    <row r="851">
      <c r="A851" s="1">
        <v>850.0</v>
      </c>
      <c r="B851" s="1" t="s">
        <v>4912</v>
      </c>
      <c r="C851" s="1" t="s">
        <v>33</v>
      </c>
      <c r="D851" s="1" t="s">
        <v>4914</v>
      </c>
      <c r="E851" s="1" t="s">
        <v>4915</v>
      </c>
      <c r="F851" s="1" t="s">
        <v>4916</v>
      </c>
      <c r="G851" s="5" t="str">
        <f>IFERROR(__xludf.DUMMYFUNCTION("""COMPUTED_VALUE"""),"213🤙🏼Hacksaw Ridge🤙🏼Sam Worthington🤙🏼Estrela 2")</f>
        <v>213🤙🏼Hacksaw Ridge🤙🏼Sam Worthington🤙🏼Estrela 2</v>
      </c>
      <c r="H851" s="5">
        <f>IFERROR(__xludf.DUMMYFUNCTION("SPLiT(G851, ""🤙🏼"",FALSE,FALSE)"),213.0)</f>
        <v>213</v>
      </c>
      <c r="I851" s="5" t="str">
        <f>IFERROR(__xludf.DUMMYFUNCTION("""COMPUTED_VALUE"""),"Hacksaw Ridge")</f>
        <v>Hacksaw Ridge</v>
      </c>
      <c r="J851" s="5" t="str">
        <f>IFERROR(__xludf.DUMMYFUNCTION("""COMPUTED_VALUE"""),"Sam Worthington")</f>
        <v>Sam Worthington</v>
      </c>
      <c r="K851" s="5" t="str">
        <f>IFERROR(__xludf.DUMMYFUNCTION("""COMPUTED_VALUE"""),"Estrela 2")</f>
        <v>Estrela 2</v>
      </c>
      <c r="P851" s="5">
        <f>IFERROR(__xludf.DUMMYFUNCTION("""COMPUTED_VALUE"""),213.0)</f>
        <v>213</v>
      </c>
      <c r="Q851" s="5" t="str">
        <f>IFERROR(__xludf.DUMMYFUNCTION("""COMPUTED_VALUE"""),"Hacksaw Ridge")</f>
        <v>Hacksaw Ridge</v>
      </c>
      <c r="R851" s="5" t="str">
        <f>IFERROR(__xludf.DUMMYFUNCTION("""COMPUTED_VALUE"""),"Sam Worthington")</f>
        <v>Sam Worthington</v>
      </c>
      <c r="S851" s="5" t="str">
        <f>IFERROR(__xludf.DUMMYFUNCTION("""COMPUTED_VALUE"""),"Estrela 2")</f>
        <v>Estrela 2</v>
      </c>
    </row>
    <row r="852">
      <c r="A852" s="1">
        <v>851.0</v>
      </c>
      <c r="B852" s="1" t="s">
        <v>4917</v>
      </c>
      <c r="C852" s="1" t="s">
        <v>4920</v>
      </c>
      <c r="D852" s="1" t="s">
        <v>4921</v>
      </c>
      <c r="E852" s="1" t="s">
        <v>4922</v>
      </c>
      <c r="F852" s="1" t="s">
        <v>4923</v>
      </c>
      <c r="G852" s="5" t="str">
        <f>IFERROR(__xludf.DUMMYFUNCTION("""COMPUTED_VALUE"""),"213🤙🏼Hacksaw Ridge🤙🏼Luke Bracey🤙🏼Estrela 3")</f>
        <v>213🤙🏼Hacksaw Ridge🤙🏼Luke Bracey🤙🏼Estrela 3</v>
      </c>
      <c r="H852" s="5">
        <f>IFERROR(__xludf.DUMMYFUNCTION("SPLiT(G852, ""🤙🏼"",FALSE,FALSE)"),213.0)</f>
        <v>213</v>
      </c>
      <c r="I852" s="5" t="str">
        <f>IFERROR(__xludf.DUMMYFUNCTION("""COMPUTED_VALUE"""),"Hacksaw Ridge")</f>
        <v>Hacksaw Ridge</v>
      </c>
      <c r="J852" s="5" t="str">
        <f>IFERROR(__xludf.DUMMYFUNCTION("""COMPUTED_VALUE"""),"Luke Bracey")</f>
        <v>Luke Bracey</v>
      </c>
      <c r="K852" s="5" t="str">
        <f>IFERROR(__xludf.DUMMYFUNCTION("""COMPUTED_VALUE"""),"Estrela 3")</f>
        <v>Estrela 3</v>
      </c>
      <c r="P852" s="5">
        <f>IFERROR(__xludf.DUMMYFUNCTION("""COMPUTED_VALUE"""),213.0)</f>
        <v>213</v>
      </c>
      <c r="Q852" s="5" t="str">
        <f>IFERROR(__xludf.DUMMYFUNCTION("""COMPUTED_VALUE"""),"Hacksaw Ridge")</f>
        <v>Hacksaw Ridge</v>
      </c>
      <c r="R852" s="5" t="str">
        <f>IFERROR(__xludf.DUMMYFUNCTION("""COMPUTED_VALUE"""),"Luke Bracey")</f>
        <v>Luke Bracey</v>
      </c>
      <c r="S852" s="5" t="str">
        <f>IFERROR(__xludf.DUMMYFUNCTION("""COMPUTED_VALUE"""),"Estrela 3")</f>
        <v>Estrela 3</v>
      </c>
    </row>
    <row r="853">
      <c r="A853" s="1">
        <v>852.0</v>
      </c>
      <c r="B853" s="1" t="s">
        <v>4924</v>
      </c>
      <c r="C853" s="1" t="s">
        <v>1178</v>
      </c>
      <c r="D853" s="1" t="s">
        <v>3230</v>
      </c>
      <c r="E853" s="1" t="s">
        <v>1107</v>
      </c>
      <c r="F853" s="1" t="s">
        <v>4927</v>
      </c>
      <c r="G853" s="5" t="str">
        <f>IFERROR(__xludf.DUMMYFUNCTION("""COMPUTED_VALUE"""),"213🤙🏼Hacksaw Ridge🤙🏼Teresa Palmer🤙🏼Estrela 4")</f>
        <v>213🤙🏼Hacksaw Ridge🤙🏼Teresa Palmer🤙🏼Estrela 4</v>
      </c>
      <c r="H853" s="5">
        <f>IFERROR(__xludf.DUMMYFUNCTION("SPLiT(G853, ""🤙🏼"",FALSE,FALSE)"),213.0)</f>
        <v>213</v>
      </c>
      <c r="I853" s="5" t="str">
        <f>IFERROR(__xludf.DUMMYFUNCTION("""COMPUTED_VALUE"""),"Hacksaw Ridge")</f>
        <v>Hacksaw Ridge</v>
      </c>
      <c r="J853" s="5" t="str">
        <f>IFERROR(__xludf.DUMMYFUNCTION("""COMPUTED_VALUE"""),"Teresa Palmer")</f>
        <v>Teresa Palmer</v>
      </c>
      <c r="K853" s="5" t="str">
        <f>IFERROR(__xludf.DUMMYFUNCTION("""COMPUTED_VALUE"""),"Estrela 4")</f>
        <v>Estrela 4</v>
      </c>
      <c r="P853" s="5">
        <f>IFERROR(__xludf.DUMMYFUNCTION("""COMPUTED_VALUE"""),213.0)</f>
        <v>213</v>
      </c>
      <c r="Q853" s="5" t="str">
        <f>IFERROR(__xludf.DUMMYFUNCTION("""COMPUTED_VALUE"""),"Hacksaw Ridge")</f>
        <v>Hacksaw Ridge</v>
      </c>
      <c r="R853" s="5" t="str">
        <f>IFERROR(__xludf.DUMMYFUNCTION("""COMPUTED_VALUE"""),"Teresa Palmer")</f>
        <v>Teresa Palmer</v>
      </c>
      <c r="S853" s="5" t="str">
        <f>IFERROR(__xludf.DUMMYFUNCTION("""COMPUTED_VALUE"""),"Estrela 4")</f>
        <v>Estrela 4</v>
      </c>
    </row>
    <row r="854">
      <c r="A854" s="1">
        <v>853.0</v>
      </c>
      <c r="B854" s="1" t="s">
        <v>4928</v>
      </c>
      <c r="C854" s="1" t="s">
        <v>1191</v>
      </c>
      <c r="D854" s="1" t="s">
        <v>2677</v>
      </c>
      <c r="E854" s="1" t="s">
        <v>3349</v>
      </c>
      <c r="F854" s="1" t="s">
        <v>4930</v>
      </c>
      <c r="G854" s="5" t="str">
        <f>IFERROR(__xludf.DUMMYFUNCTION("""COMPUTED_VALUE"""),"214🤙🏼Inside Out🤙🏼Ronnie Del Carmen🤙🏼Estrela 1")</f>
        <v>214🤙🏼Inside Out🤙🏼Ronnie Del Carmen🤙🏼Estrela 1</v>
      </c>
      <c r="H854" s="5">
        <f>IFERROR(__xludf.DUMMYFUNCTION("SPLiT(G854, ""🤙🏼"",FALSE,FALSE)"),214.0)</f>
        <v>214</v>
      </c>
      <c r="I854" s="5" t="str">
        <f>IFERROR(__xludf.DUMMYFUNCTION("""COMPUTED_VALUE"""),"Inside Out")</f>
        <v>Inside Out</v>
      </c>
      <c r="J854" s="5" t="str">
        <f>IFERROR(__xludf.DUMMYFUNCTION("""COMPUTED_VALUE"""),"Ronnie Del Carmen")</f>
        <v>Ronnie Del Carmen</v>
      </c>
      <c r="K854" s="5" t="str">
        <f>IFERROR(__xludf.DUMMYFUNCTION("""COMPUTED_VALUE"""),"Estrela 1")</f>
        <v>Estrela 1</v>
      </c>
      <c r="P854" s="5">
        <f>IFERROR(__xludf.DUMMYFUNCTION("""COMPUTED_VALUE"""),214.0)</f>
        <v>214</v>
      </c>
      <c r="Q854" s="5" t="str">
        <f>IFERROR(__xludf.DUMMYFUNCTION("""COMPUTED_VALUE"""),"Inside Out")</f>
        <v>Inside Out</v>
      </c>
      <c r="R854" s="5" t="str">
        <f>IFERROR(__xludf.DUMMYFUNCTION("""COMPUTED_VALUE"""),"Ronnie Del Carmen")</f>
        <v>Ronnie Del Carmen</v>
      </c>
      <c r="S854" s="5" t="str">
        <f>IFERROR(__xludf.DUMMYFUNCTION("""COMPUTED_VALUE"""),"Estrela 1")</f>
        <v>Estrela 1</v>
      </c>
    </row>
    <row r="855">
      <c r="A855" s="1">
        <v>854.0</v>
      </c>
      <c r="B855" s="1" t="s">
        <v>4931</v>
      </c>
      <c r="C855" s="1" t="s">
        <v>119</v>
      </c>
      <c r="D855" s="1" t="s">
        <v>4934</v>
      </c>
      <c r="E855" s="1" t="s">
        <v>4935</v>
      </c>
      <c r="F855" s="1" t="s">
        <v>4936</v>
      </c>
      <c r="G855" s="5" t="str">
        <f>IFERROR(__xludf.DUMMYFUNCTION("""COMPUTED_VALUE"""),"214🤙🏼Inside Out🤙🏼Amy Poehler🤙🏼Estrela 2")</f>
        <v>214🤙🏼Inside Out🤙🏼Amy Poehler🤙🏼Estrela 2</v>
      </c>
      <c r="H855" s="5">
        <f>IFERROR(__xludf.DUMMYFUNCTION("SPLiT(G855, ""🤙🏼"",FALSE,FALSE)"),214.0)</f>
        <v>214</v>
      </c>
      <c r="I855" s="5" t="str">
        <f>IFERROR(__xludf.DUMMYFUNCTION("""COMPUTED_VALUE"""),"Inside Out")</f>
        <v>Inside Out</v>
      </c>
      <c r="J855" s="5" t="str">
        <f>IFERROR(__xludf.DUMMYFUNCTION("""COMPUTED_VALUE"""),"Amy Poehler")</f>
        <v>Amy Poehler</v>
      </c>
      <c r="K855" s="5" t="str">
        <f>IFERROR(__xludf.DUMMYFUNCTION("""COMPUTED_VALUE"""),"Estrela 2")</f>
        <v>Estrela 2</v>
      </c>
      <c r="P855" s="5">
        <f>IFERROR(__xludf.DUMMYFUNCTION("""COMPUTED_VALUE"""),214.0)</f>
        <v>214</v>
      </c>
      <c r="Q855" s="5" t="str">
        <f>IFERROR(__xludf.DUMMYFUNCTION("""COMPUTED_VALUE"""),"Inside Out")</f>
        <v>Inside Out</v>
      </c>
      <c r="R855" s="5" t="str">
        <f>IFERROR(__xludf.DUMMYFUNCTION("""COMPUTED_VALUE"""),"Amy Poehler")</f>
        <v>Amy Poehler</v>
      </c>
      <c r="S855" s="5" t="str">
        <f>IFERROR(__xludf.DUMMYFUNCTION("""COMPUTED_VALUE"""),"Estrela 2")</f>
        <v>Estrela 2</v>
      </c>
    </row>
    <row r="856">
      <c r="A856" s="1">
        <v>855.0</v>
      </c>
      <c r="B856" s="1" t="s">
        <v>4937</v>
      </c>
      <c r="C856" s="1" t="s">
        <v>2744</v>
      </c>
      <c r="D856" s="1" t="s">
        <v>119</v>
      </c>
      <c r="E856" s="1" t="s">
        <v>4941</v>
      </c>
      <c r="F856" s="1" t="s">
        <v>4942</v>
      </c>
      <c r="G856" s="5" t="str">
        <f>IFERROR(__xludf.DUMMYFUNCTION("""COMPUTED_VALUE"""),"214🤙🏼Inside Out🤙🏼Bill Hader🤙🏼Estrela 3")</f>
        <v>214🤙🏼Inside Out🤙🏼Bill Hader🤙🏼Estrela 3</v>
      </c>
      <c r="H856" s="5">
        <f>IFERROR(__xludf.DUMMYFUNCTION("SPLiT(G856, ""🤙🏼"",FALSE,FALSE)"),214.0)</f>
        <v>214</v>
      </c>
      <c r="I856" s="5" t="str">
        <f>IFERROR(__xludf.DUMMYFUNCTION("""COMPUTED_VALUE"""),"Inside Out")</f>
        <v>Inside Out</v>
      </c>
      <c r="J856" s="5" t="str">
        <f>IFERROR(__xludf.DUMMYFUNCTION("""COMPUTED_VALUE"""),"Bill Hader")</f>
        <v>Bill Hader</v>
      </c>
      <c r="K856" s="5" t="str">
        <f>IFERROR(__xludf.DUMMYFUNCTION("""COMPUTED_VALUE"""),"Estrela 3")</f>
        <v>Estrela 3</v>
      </c>
      <c r="P856" s="5">
        <f>IFERROR(__xludf.DUMMYFUNCTION("""COMPUTED_VALUE"""),214.0)</f>
        <v>214</v>
      </c>
      <c r="Q856" s="5" t="str">
        <f>IFERROR(__xludf.DUMMYFUNCTION("""COMPUTED_VALUE"""),"Inside Out")</f>
        <v>Inside Out</v>
      </c>
      <c r="R856" s="5" t="str">
        <f>IFERROR(__xludf.DUMMYFUNCTION("""COMPUTED_VALUE"""),"Bill Hader")</f>
        <v>Bill Hader</v>
      </c>
      <c r="S856" s="5" t="str">
        <f>IFERROR(__xludf.DUMMYFUNCTION("""COMPUTED_VALUE"""),"Estrela 3")</f>
        <v>Estrela 3</v>
      </c>
    </row>
    <row r="857">
      <c r="A857" s="1">
        <v>856.0</v>
      </c>
      <c r="B857" s="1" t="s">
        <v>4943</v>
      </c>
      <c r="C857" s="1" t="s">
        <v>866</v>
      </c>
      <c r="D857" s="1" t="s">
        <v>2596</v>
      </c>
      <c r="E857" s="1" t="s">
        <v>59</v>
      </c>
      <c r="F857" s="1" t="s">
        <v>4946</v>
      </c>
      <c r="G857" s="5" t="str">
        <f>IFERROR(__xludf.DUMMYFUNCTION("""COMPUTED_VALUE"""),"214🤙🏼Inside Out🤙🏼Lewis Black🤙🏼Estrela 4")</f>
        <v>214🤙🏼Inside Out🤙🏼Lewis Black🤙🏼Estrela 4</v>
      </c>
      <c r="H857" s="5">
        <f>IFERROR(__xludf.DUMMYFUNCTION("SPLiT(G857, ""🤙🏼"",FALSE,FALSE)"),214.0)</f>
        <v>214</v>
      </c>
      <c r="I857" s="5" t="str">
        <f>IFERROR(__xludf.DUMMYFUNCTION("""COMPUTED_VALUE"""),"Inside Out")</f>
        <v>Inside Out</v>
      </c>
      <c r="J857" s="5" t="str">
        <f>IFERROR(__xludf.DUMMYFUNCTION("""COMPUTED_VALUE"""),"Lewis Black")</f>
        <v>Lewis Black</v>
      </c>
      <c r="K857" s="5" t="str">
        <f>IFERROR(__xludf.DUMMYFUNCTION("""COMPUTED_VALUE"""),"Estrela 4")</f>
        <v>Estrela 4</v>
      </c>
      <c r="P857" s="5">
        <f>IFERROR(__xludf.DUMMYFUNCTION("""COMPUTED_VALUE"""),214.0)</f>
        <v>214</v>
      </c>
      <c r="Q857" s="5" t="str">
        <f>IFERROR(__xludf.DUMMYFUNCTION("""COMPUTED_VALUE"""),"Inside Out")</f>
        <v>Inside Out</v>
      </c>
      <c r="R857" s="5" t="str">
        <f>IFERROR(__xludf.DUMMYFUNCTION("""COMPUTED_VALUE"""),"Lewis Black")</f>
        <v>Lewis Black</v>
      </c>
      <c r="S857" s="5" t="str">
        <f>IFERROR(__xludf.DUMMYFUNCTION("""COMPUTED_VALUE"""),"Estrela 4")</f>
        <v>Estrela 4</v>
      </c>
    </row>
    <row r="858">
      <c r="A858" s="1">
        <v>857.0</v>
      </c>
      <c r="B858" s="1" t="s">
        <v>4947</v>
      </c>
      <c r="C858" s="1" t="s">
        <v>1986</v>
      </c>
      <c r="D858" s="1" t="s">
        <v>3373</v>
      </c>
      <c r="E858" s="1" t="s">
        <v>392</v>
      </c>
      <c r="F858" s="1" t="s">
        <v>2729</v>
      </c>
      <c r="G858" s="5" t="str">
        <f>IFERROR(__xludf.DUMMYFUNCTION("""COMPUTED_VALUE"""),"215🤙🏼Barfi!🤙🏼Ranbir Kapoor🤙🏼Estrela 1")</f>
        <v>215🤙🏼Barfi!🤙🏼Ranbir Kapoor🤙🏼Estrela 1</v>
      </c>
      <c r="H858" s="5">
        <f>IFERROR(__xludf.DUMMYFUNCTION("SPLiT(G858, ""🤙🏼"",FALSE,FALSE)"),215.0)</f>
        <v>215</v>
      </c>
      <c r="I858" s="5" t="str">
        <f>IFERROR(__xludf.DUMMYFUNCTION("""COMPUTED_VALUE"""),"Barfi!")</f>
        <v>Barfi!</v>
      </c>
      <c r="J858" s="5" t="str">
        <f>IFERROR(__xludf.DUMMYFUNCTION("""COMPUTED_VALUE"""),"Ranbir Kapoor")</f>
        <v>Ranbir Kapoor</v>
      </c>
      <c r="K858" s="5" t="str">
        <f>IFERROR(__xludf.DUMMYFUNCTION("""COMPUTED_VALUE"""),"Estrela 1")</f>
        <v>Estrela 1</v>
      </c>
      <c r="P858" s="5">
        <f>IFERROR(__xludf.DUMMYFUNCTION("""COMPUTED_VALUE"""),215.0)</f>
        <v>215</v>
      </c>
      <c r="Q858" s="5" t="str">
        <f>IFERROR(__xludf.DUMMYFUNCTION("""COMPUTED_VALUE"""),"Barfi!")</f>
        <v>Barfi!</v>
      </c>
      <c r="R858" s="5" t="str">
        <f>IFERROR(__xludf.DUMMYFUNCTION("""COMPUTED_VALUE"""),"Ranbir Kapoor")</f>
        <v>Ranbir Kapoor</v>
      </c>
      <c r="S858" s="5" t="str">
        <f>IFERROR(__xludf.DUMMYFUNCTION("""COMPUTED_VALUE"""),"Estrela 1")</f>
        <v>Estrela 1</v>
      </c>
    </row>
    <row r="859">
      <c r="A859" s="1">
        <v>858.0</v>
      </c>
      <c r="B859" s="1" t="s">
        <v>4949</v>
      </c>
      <c r="C859" s="1" t="s">
        <v>2346</v>
      </c>
      <c r="D859" s="1" t="s">
        <v>4951</v>
      </c>
      <c r="E859" s="1" t="s">
        <v>4952</v>
      </c>
      <c r="F859" s="1" t="s">
        <v>4953</v>
      </c>
      <c r="G859" s="5" t="str">
        <f>IFERROR(__xludf.DUMMYFUNCTION("""COMPUTED_VALUE"""),"215🤙🏼Barfi!🤙🏼Priyanka Chopra🤙🏼Estrela 2")</f>
        <v>215🤙🏼Barfi!🤙🏼Priyanka Chopra🤙🏼Estrela 2</v>
      </c>
      <c r="H859" s="5">
        <f>IFERROR(__xludf.DUMMYFUNCTION("SPLiT(G859, ""🤙🏼"",FALSE,FALSE)"),215.0)</f>
        <v>215</v>
      </c>
      <c r="I859" s="5" t="str">
        <f>IFERROR(__xludf.DUMMYFUNCTION("""COMPUTED_VALUE"""),"Barfi!")</f>
        <v>Barfi!</v>
      </c>
      <c r="J859" s="5" t="str">
        <f>IFERROR(__xludf.DUMMYFUNCTION("""COMPUTED_VALUE"""),"Priyanka Chopra")</f>
        <v>Priyanka Chopra</v>
      </c>
      <c r="K859" s="5" t="str">
        <f>IFERROR(__xludf.DUMMYFUNCTION("""COMPUTED_VALUE"""),"Estrela 2")</f>
        <v>Estrela 2</v>
      </c>
      <c r="P859" s="5">
        <f>IFERROR(__xludf.DUMMYFUNCTION("""COMPUTED_VALUE"""),215.0)</f>
        <v>215</v>
      </c>
      <c r="Q859" s="5" t="str">
        <f>IFERROR(__xludf.DUMMYFUNCTION("""COMPUTED_VALUE"""),"Barfi!")</f>
        <v>Barfi!</v>
      </c>
      <c r="R859" s="5" t="str">
        <f>IFERROR(__xludf.DUMMYFUNCTION("""COMPUTED_VALUE"""),"Priyanka Chopra")</f>
        <v>Priyanka Chopra</v>
      </c>
      <c r="S859" s="5" t="str">
        <f>IFERROR(__xludf.DUMMYFUNCTION("""COMPUTED_VALUE"""),"Estrela 2")</f>
        <v>Estrela 2</v>
      </c>
    </row>
    <row r="860">
      <c r="A860" s="1">
        <v>859.0</v>
      </c>
      <c r="B860" s="1" t="s">
        <v>4954</v>
      </c>
      <c r="C860" s="1" t="s">
        <v>4956</v>
      </c>
      <c r="D860" s="1" t="s">
        <v>4957</v>
      </c>
      <c r="E860" s="1" t="s">
        <v>836</v>
      </c>
      <c r="F860" s="1" t="s">
        <v>4958</v>
      </c>
      <c r="G860" s="5" t="str">
        <f>IFERROR(__xludf.DUMMYFUNCTION("""COMPUTED_VALUE"""),"215🤙🏼Barfi!🤙🏼Ileana D'Cruz🤙🏼Estrela 3")</f>
        <v>215🤙🏼Barfi!🤙🏼Ileana D'Cruz🤙🏼Estrela 3</v>
      </c>
      <c r="H860" s="5">
        <f>IFERROR(__xludf.DUMMYFUNCTION("SPLiT(G860, ""🤙🏼"",FALSE,FALSE)"),215.0)</f>
        <v>215</v>
      </c>
      <c r="I860" s="5" t="str">
        <f>IFERROR(__xludf.DUMMYFUNCTION("""COMPUTED_VALUE"""),"Barfi!")</f>
        <v>Barfi!</v>
      </c>
      <c r="J860" s="5" t="str">
        <f>IFERROR(__xludf.DUMMYFUNCTION("""COMPUTED_VALUE"""),"Ileana D'Cruz")</f>
        <v>Ileana D'Cruz</v>
      </c>
      <c r="K860" s="5" t="str">
        <f>IFERROR(__xludf.DUMMYFUNCTION("""COMPUTED_VALUE"""),"Estrela 3")</f>
        <v>Estrela 3</v>
      </c>
      <c r="P860" s="5">
        <f>IFERROR(__xludf.DUMMYFUNCTION("""COMPUTED_VALUE"""),215.0)</f>
        <v>215</v>
      </c>
      <c r="Q860" s="5" t="str">
        <f>IFERROR(__xludf.DUMMYFUNCTION("""COMPUTED_VALUE"""),"Barfi!")</f>
        <v>Barfi!</v>
      </c>
      <c r="R860" s="5" t="str">
        <f>IFERROR(__xludf.DUMMYFUNCTION("""COMPUTED_VALUE"""),"Ileana D'Cruz")</f>
        <v>Ileana D'Cruz</v>
      </c>
      <c r="S860" s="5" t="str">
        <f>IFERROR(__xludf.DUMMYFUNCTION("""COMPUTED_VALUE"""),"Estrela 3")</f>
        <v>Estrela 3</v>
      </c>
    </row>
    <row r="861">
      <c r="A861" s="1">
        <v>860.0</v>
      </c>
      <c r="B861" s="1" t="s">
        <v>4959</v>
      </c>
      <c r="C861" s="1" t="s">
        <v>2346</v>
      </c>
      <c r="D861" s="1" t="s">
        <v>4961</v>
      </c>
      <c r="E861" s="1" t="s">
        <v>4962</v>
      </c>
      <c r="F861" s="1" t="s">
        <v>2786</v>
      </c>
      <c r="G861" s="5" t="str">
        <f>IFERROR(__xludf.DUMMYFUNCTION("""COMPUTED_VALUE"""),"215🤙🏼Barfi!🤙🏼Saurabh Shukla🤙🏼Estrela 4")</f>
        <v>215🤙🏼Barfi!🤙🏼Saurabh Shukla🤙🏼Estrela 4</v>
      </c>
      <c r="H861" s="5">
        <f>IFERROR(__xludf.DUMMYFUNCTION("SPLiT(G861, ""🤙🏼"",FALSE,FALSE)"),215.0)</f>
        <v>215</v>
      </c>
      <c r="I861" s="5" t="str">
        <f>IFERROR(__xludf.DUMMYFUNCTION("""COMPUTED_VALUE"""),"Barfi!")</f>
        <v>Barfi!</v>
      </c>
      <c r="J861" s="5" t="str">
        <f>IFERROR(__xludf.DUMMYFUNCTION("""COMPUTED_VALUE"""),"Saurabh Shukla")</f>
        <v>Saurabh Shukla</v>
      </c>
      <c r="K861" s="5" t="str">
        <f>IFERROR(__xludf.DUMMYFUNCTION("""COMPUTED_VALUE"""),"Estrela 4")</f>
        <v>Estrela 4</v>
      </c>
      <c r="P861" s="5">
        <f>IFERROR(__xludf.DUMMYFUNCTION("""COMPUTED_VALUE"""),215.0)</f>
        <v>215</v>
      </c>
      <c r="Q861" s="5" t="str">
        <f>IFERROR(__xludf.DUMMYFUNCTION("""COMPUTED_VALUE"""),"Barfi!")</f>
        <v>Barfi!</v>
      </c>
      <c r="R861" s="5" t="str">
        <f>IFERROR(__xludf.DUMMYFUNCTION("""COMPUTED_VALUE"""),"Saurabh Shukla")</f>
        <v>Saurabh Shukla</v>
      </c>
      <c r="S861" s="5" t="str">
        <f>IFERROR(__xludf.DUMMYFUNCTION("""COMPUTED_VALUE"""),"Estrela 4")</f>
        <v>Estrela 4</v>
      </c>
    </row>
    <row r="862">
      <c r="A862" s="1">
        <v>861.0</v>
      </c>
      <c r="B862" s="1" t="s">
        <v>4963</v>
      </c>
      <c r="C862" s="1" t="s">
        <v>4966</v>
      </c>
      <c r="D862" s="1" t="s">
        <v>863</v>
      </c>
      <c r="E862" s="1" t="s">
        <v>4967</v>
      </c>
      <c r="F862" s="1" t="s">
        <v>4968</v>
      </c>
      <c r="G862" s="5" t="str">
        <f>IFERROR(__xludf.DUMMYFUNCTION("""COMPUTED_VALUE"""),"216🤙🏼12 Years a Slave🤙🏼Chiwetel Ejiofor🤙🏼Estrela 1")</f>
        <v>216🤙🏼12 Years a Slave🤙🏼Chiwetel Ejiofor🤙🏼Estrela 1</v>
      </c>
      <c r="H862" s="5">
        <f>IFERROR(__xludf.DUMMYFUNCTION("SPLiT(G862, ""🤙🏼"",FALSE,FALSE)"),216.0)</f>
        <v>216</v>
      </c>
      <c r="I862" s="5" t="str">
        <f>IFERROR(__xludf.DUMMYFUNCTION("""COMPUTED_VALUE"""),"12 Years a Slave")</f>
        <v>12 Years a Slave</v>
      </c>
      <c r="J862" s="5" t="str">
        <f>IFERROR(__xludf.DUMMYFUNCTION("""COMPUTED_VALUE"""),"Chiwetel Ejiofor")</f>
        <v>Chiwetel Ejiofor</v>
      </c>
      <c r="K862" s="5" t="str">
        <f>IFERROR(__xludf.DUMMYFUNCTION("""COMPUTED_VALUE"""),"Estrela 1")</f>
        <v>Estrela 1</v>
      </c>
      <c r="P862" s="5">
        <f>IFERROR(__xludf.DUMMYFUNCTION("""COMPUTED_VALUE"""),216.0)</f>
        <v>216</v>
      </c>
      <c r="Q862" s="5" t="str">
        <f>IFERROR(__xludf.DUMMYFUNCTION("""COMPUTED_VALUE"""),"12 Years a Slave")</f>
        <v>12 Years a Slave</v>
      </c>
      <c r="R862" s="5" t="str">
        <f>IFERROR(__xludf.DUMMYFUNCTION("""COMPUTED_VALUE"""),"Chiwetel Ejiofor")</f>
        <v>Chiwetel Ejiofor</v>
      </c>
      <c r="S862" s="5" t="str">
        <f>IFERROR(__xludf.DUMMYFUNCTION("""COMPUTED_VALUE"""),"Estrela 1")</f>
        <v>Estrela 1</v>
      </c>
    </row>
    <row r="863">
      <c r="A863" s="1">
        <v>862.0</v>
      </c>
      <c r="B863" s="1" t="s">
        <v>4969</v>
      </c>
      <c r="C863" s="1" t="s">
        <v>1195</v>
      </c>
      <c r="D863" s="1" t="s">
        <v>4972</v>
      </c>
      <c r="E863" s="1" t="s">
        <v>4973</v>
      </c>
      <c r="F863" s="1" t="s">
        <v>4974</v>
      </c>
      <c r="G863" s="5" t="str">
        <f>IFERROR(__xludf.DUMMYFUNCTION("""COMPUTED_VALUE"""),"216🤙🏼12 Years a Slave🤙🏼Michael Kenneth Williams🤙🏼Estrela 2")</f>
        <v>216🤙🏼12 Years a Slave🤙🏼Michael Kenneth Williams🤙🏼Estrela 2</v>
      </c>
      <c r="H863" s="5">
        <f>IFERROR(__xludf.DUMMYFUNCTION("SPLiT(G863, ""🤙🏼"",FALSE,FALSE)"),216.0)</f>
        <v>216</v>
      </c>
      <c r="I863" s="5" t="str">
        <f>IFERROR(__xludf.DUMMYFUNCTION("""COMPUTED_VALUE"""),"12 Years a Slave")</f>
        <v>12 Years a Slave</v>
      </c>
      <c r="J863" s="5" t="str">
        <f>IFERROR(__xludf.DUMMYFUNCTION("""COMPUTED_VALUE"""),"Michael Kenneth Williams")</f>
        <v>Michael Kenneth Williams</v>
      </c>
      <c r="K863" s="5" t="str">
        <f>IFERROR(__xludf.DUMMYFUNCTION("""COMPUTED_VALUE"""),"Estrela 2")</f>
        <v>Estrela 2</v>
      </c>
      <c r="P863" s="5">
        <f>IFERROR(__xludf.DUMMYFUNCTION("""COMPUTED_VALUE"""),216.0)</f>
        <v>216</v>
      </c>
      <c r="Q863" s="5" t="str">
        <f>IFERROR(__xludf.DUMMYFUNCTION("""COMPUTED_VALUE"""),"12 Years a Slave")</f>
        <v>12 Years a Slave</v>
      </c>
      <c r="R863" s="5" t="str">
        <f>IFERROR(__xludf.DUMMYFUNCTION("""COMPUTED_VALUE"""),"Michael Kenneth Williams")</f>
        <v>Michael Kenneth Williams</v>
      </c>
      <c r="S863" s="5" t="str">
        <f>IFERROR(__xludf.DUMMYFUNCTION("""COMPUTED_VALUE"""),"Estrela 2")</f>
        <v>Estrela 2</v>
      </c>
    </row>
    <row r="864">
      <c r="A864" s="1">
        <v>863.0</v>
      </c>
      <c r="B864" s="1" t="s">
        <v>4975</v>
      </c>
      <c r="C864" s="1" t="s">
        <v>4978</v>
      </c>
      <c r="D864" s="1" t="s">
        <v>4979</v>
      </c>
      <c r="E864" s="1" t="s">
        <v>4799</v>
      </c>
      <c r="F864" s="1" t="s">
        <v>208</v>
      </c>
      <c r="G864" s="5" t="str">
        <f>IFERROR(__xludf.DUMMYFUNCTION("""COMPUTED_VALUE"""),"216🤙🏼12 Years a Slave🤙🏼Michael Fassbender🤙🏼Estrela 3")</f>
        <v>216🤙🏼12 Years a Slave🤙🏼Michael Fassbender🤙🏼Estrela 3</v>
      </c>
      <c r="H864" s="5">
        <f>IFERROR(__xludf.DUMMYFUNCTION("SPLiT(G864, ""🤙🏼"",FALSE,FALSE)"),216.0)</f>
        <v>216</v>
      </c>
      <c r="I864" s="5" t="str">
        <f>IFERROR(__xludf.DUMMYFUNCTION("""COMPUTED_VALUE"""),"12 Years a Slave")</f>
        <v>12 Years a Slave</v>
      </c>
      <c r="J864" s="5" t="str">
        <f>IFERROR(__xludf.DUMMYFUNCTION("""COMPUTED_VALUE"""),"Michael Fassbender")</f>
        <v>Michael Fassbender</v>
      </c>
      <c r="K864" s="5" t="str">
        <f>IFERROR(__xludf.DUMMYFUNCTION("""COMPUTED_VALUE"""),"Estrela 3")</f>
        <v>Estrela 3</v>
      </c>
      <c r="P864" s="5">
        <f>IFERROR(__xludf.DUMMYFUNCTION("""COMPUTED_VALUE"""),216.0)</f>
        <v>216</v>
      </c>
      <c r="Q864" s="5" t="str">
        <f>IFERROR(__xludf.DUMMYFUNCTION("""COMPUTED_VALUE"""),"12 Years a Slave")</f>
        <v>12 Years a Slave</v>
      </c>
      <c r="R864" s="5" t="str">
        <f>IFERROR(__xludf.DUMMYFUNCTION("""COMPUTED_VALUE"""),"Michael Fassbender")</f>
        <v>Michael Fassbender</v>
      </c>
      <c r="S864" s="5" t="str">
        <f>IFERROR(__xludf.DUMMYFUNCTION("""COMPUTED_VALUE"""),"Estrela 3")</f>
        <v>Estrela 3</v>
      </c>
    </row>
    <row r="865">
      <c r="A865" s="1">
        <v>864.0</v>
      </c>
      <c r="B865" s="1" t="s">
        <v>4980</v>
      </c>
      <c r="C865" s="1" t="s">
        <v>1278</v>
      </c>
      <c r="D865" s="1" t="s">
        <v>2819</v>
      </c>
      <c r="E865" s="1" t="s">
        <v>4983</v>
      </c>
      <c r="F865" s="1" t="s">
        <v>4984</v>
      </c>
      <c r="G865" s="5" t="str">
        <f>IFERROR(__xludf.DUMMYFUNCTION("""COMPUTED_VALUE"""),"216🤙🏼12 Years a Slave🤙🏼Brad Pitt🤙🏼Estrela 4")</f>
        <v>216🤙🏼12 Years a Slave🤙🏼Brad Pitt🤙🏼Estrela 4</v>
      </c>
      <c r="H865" s="5">
        <f>IFERROR(__xludf.DUMMYFUNCTION("SPLiT(G865, ""🤙🏼"",FALSE,FALSE)"),216.0)</f>
        <v>216</v>
      </c>
      <c r="I865" s="5" t="str">
        <f>IFERROR(__xludf.DUMMYFUNCTION("""COMPUTED_VALUE"""),"12 Years a Slave")</f>
        <v>12 Years a Slave</v>
      </c>
      <c r="J865" s="5" t="str">
        <f>IFERROR(__xludf.DUMMYFUNCTION("""COMPUTED_VALUE"""),"Brad Pitt")</f>
        <v>Brad Pitt</v>
      </c>
      <c r="K865" s="5" t="str">
        <f>IFERROR(__xludf.DUMMYFUNCTION("""COMPUTED_VALUE"""),"Estrela 4")</f>
        <v>Estrela 4</v>
      </c>
      <c r="P865" s="5">
        <f>IFERROR(__xludf.DUMMYFUNCTION("""COMPUTED_VALUE"""),216.0)</f>
        <v>216</v>
      </c>
      <c r="Q865" s="5" t="str">
        <f>IFERROR(__xludf.DUMMYFUNCTION("""COMPUTED_VALUE"""),"12 Years a Slave")</f>
        <v>12 Years a Slave</v>
      </c>
      <c r="R865" s="5" t="str">
        <f>IFERROR(__xludf.DUMMYFUNCTION("""COMPUTED_VALUE"""),"Brad Pitt")</f>
        <v>Brad Pitt</v>
      </c>
      <c r="S865" s="5" t="str">
        <f>IFERROR(__xludf.DUMMYFUNCTION("""COMPUTED_VALUE"""),"Estrela 4")</f>
        <v>Estrela 4</v>
      </c>
    </row>
    <row r="866">
      <c r="A866" s="1">
        <v>865.0</v>
      </c>
      <c r="B866" s="1" t="s">
        <v>4985</v>
      </c>
      <c r="C866" s="1" t="s">
        <v>4987</v>
      </c>
      <c r="D866" s="1" t="s">
        <v>4988</v>
      </c>
      <c r="E866" s="1" t="s">
        <v>2072</v>
      </c>
      <c r="F866" s="1" t="s">
        <v>4989</v>
      </c>
      <c r="G866" s="5" t="str">
        <f>IFERROR(__xludf.DUMMYFUNCTION("""COMPUTED_VALUE"""),"217🤙🏼Rush🤙🏼Daniel Brühl🤙🏼Estrela 1")</f>
        <v>217🤙🏼Rush🤙🏼Daniel Brühl🤙🏼Estrela 1</v>
      </c>
      <c r="H866" s="5">
        <f>IFERROR(__xludf.DUMMYFUNCTION("SPLiT(G866, ""🤙🏼"",FALSE,FALSE)"),217.0)</f>
        <v>217</v>
      </c>
      <c r="I866" s="5" t="str">
        <f>IFERROR(__xludf.DUMMYFUNCTION("""COMPUTED_VALUE"""),"Rush")</f>
        <v>Rush</v>
      </c>
      <c r="J866" s="5" t="str">
        <f>IFERROR(__xludf.DUMMYFUNCTION("""COMPUTED_VALUE"""),"Daniel Brühl")</f>
        <v>Daniel Brühl</v>
      </c>
      <c r="K866" s="5" t="str">
        <f>IFERROR(__xludf.DUMMYFUNCTION("""COMPUTED_VALUE"""),"Estrela 1")</f>
        <v>Estrela 1</v>
      </c>
      <c r="P866" s="5">
        <f>IFERROR(__xludf.DUMMYFUNCTION("""COMPUTED_VALUE"""),217.0)</f>
        <v>217</v>
      </c>
      <c r="Q866" s="5" t="str">
        <f>IFERROR(__xludf.DUMMYFUNCTION("""COMPUTED_VALUE"""),"Rush")</f>
        <v>Rush</v>
      </c>
      <c r="R866" s="5" t="str">
        <f>IFERROR(__xludf.DUMMYFUNCTION("""COMPUTED_VALUE"""),"Daniel Brühl")</f>
        <v>Daniel Brühl</v>
      </c>
      <c r="S866" s="5" t="str">
        <f>IFERROR(__xludf.DUMMYFUNCTION("""COMPUTED_VALUE"""),"Estrela 1")</f>
        <v>Estrela 1</v>
      </c>
    </row>
    <row r="867">
      <c r="A867" s="1">
        <v>866.0</v>
      </c>
      <c r="B867" s="1" t="s">
        <v>4990</v>
      </c>
      <c r="C867" s="1" t="s">
        <v>3423</v>
      </c>
      <c r="D867" s="1" t="s">
        <v>1272</v>
      </c>
      <c r="E867" s="1" t="s">
        <v>392</v>
      </c>
      <c r="F867" s="1" t="s">
        <v>120</v>
      </c>
      <c r="G867" s="5" t="str">
        <f>IFERROR(__xludf.DUMMYFUNCTION("""COMPUTED_VALUE"""),"217🤙🏼Rush🤙🏼Chris Hemsworth🤙🏼Estrela 2")</f>
        <v>217🤙🏼Rush🤙🏼Chris Hemsworth🤙🏼Estrela 2</v>
      </c>
      <c r="H867" s="5">
        <f>IFERROR(__xludf.DUMMYFUNCTION("SPLiT(G867, ""🤙🏼"",FALSE,FALSE)"),217.0)</f>
        <v>217</v>
      </c>
      <c r="I867" s="5" t="str">
        <f>IFERROR(__xludf.DUMMYFUNCTION("""COMPUTED_VALUE"""),"Rush")</f>
        <v>Rush</v>
      </c>
      <c r="J867" s="5" t="str">
        <f>IFERROR(__xludf.DUMMYFUNCTION("""COMPUTED_VALUE"""),"Chris Hemsworth")</f>
        <v>Chris Hemsworth</v>
      </c>
      <c r="K867" s="5" t="str">
        <f>IFERROR(__xludf.DUMMYFUNCTION("""COMPUTED_VALUE"""),"Estrela 2")</f>
        <v>Estrela 2</v>
      </c>
      <c r="P867" s="5">
        <f>IFERROR(__xludf.DUMMYFUNCTION("""COMPUTED_VALUE"""),217.0)</f>
        <v>217</v>
      </c>
      <c r="Q867" s="5" t="str">
        <f>IFERROR(__xludf.DUMMYFUNCTION("""COMPUTED_VALUE"""),"Rush")</f>
        <v>Rush</v>
      </c>
      <c r="R867" s="5" t="str">
        <f>IFERROR(__xludf.DUMMYFUNCTION("""COMPUTED_VALUE"""),"Chris Hemsworth")</f>
        <v>Chris Hemsworth</v>
      </c>
      <c r="S867" s="5" t="str">
        <f>IFERROR(__xludf.DUMMYFUNCTION("""COMPUTED_VALUE"""),"Estrela 2")</f>
        <v>Estrela 2</v>
      </c>
    </row>
    <row r="868">
      <c r="A868" s="1">
        <v>867.0</v>
      </c>
      <c r="B868" s="1" t="s">
        <v>4992</v>
      </c>
      <c r="C868" s="1" t="s">
        <v>4995</v>
      </c>
      <c r="D868" s="1" t="s">
        <v>2063</v>
      </c>
      <c r="E868" s="1" t="s">
        <v>4996</v>
      </c>
      <c r="F868" s="1" t="s">
        <v>4997</v>
      </c>
      <c r="G868" s="5" t="str">
        <f>IFERROR(__xludf.DUMMYFUNCTION("""COMPUTED_VALUE"""),"217🤙🏼Rush🤙🏼Olivia Wilde🤙🏼Estrela 3")</f>
        <v>217🤙🏼Rush🤙🏼Olivia Wilde🤙🏼Estrela 3</v>
      </c>
      <c r="H868" s="5">
        <f>IFERROR(__xludf.DUMMYFUNCTION("SPLiT(G868, ""🤙🏼"",FALSE,FALSE)"),217.0)</f>
        <v>217</v>
      </c>
      <c r="I868" s="5" t="str">
        <f>IFERROR(__xludf.DUMMYFUNCTION("""COMPUTED_VALUE"""),"Rush")</f>
        <v>Rush</v>
      </c>
      <c r="J868" s="5" t="str">
        <f>IFERROR(__xludf.DUMMYFUNCTION("""COMPUTED_VALUE"""),"Olivia Wilde")</f>
        <v>Olivia Wilde</v>
      </c>
      <c r="K868" s="5" t="str">
        <f>IFERROR(__xludf.DUMMYFUNCTION("""COMPUTED_VALUE"""),"Estrela 3")</f>
        <v>Estrela 3</v>
      </c>
      <c r="P868" s="5">
        <f>IFERROR(__xludf.DUMMYFUNCTION("""COMPUTED_VALUE"""),217.0)</f>
        <v>217</v>
      </c>
      <c r="Q868" s="5" t="str">
        <f>IFERROR(__xludf.DUMMYFUNCTION("""COMPUTED_VALUE"""),"Rush")</f>
        <v>Rush</v>
      </c>
      <c r="R868" s="5" t="str">
        <f>IFERROR(__xludf.DUMMYFUNCTION("""COMPUTED_VALUE"""),"Olivia Wilde")</f>
        <v>Olivia Wilde</v>
      </c>
      <c r="S868" s="5" t="str">
        <f>IFERROR(__xludf.DUMMYFUNCTION("""COMPUTED_VALUE"""),"Estrela 3")</f>
        <v>Estrela 3</v>
      </c>
    </row>
    <row r="869">
      <c r="A869" s="1">
        <v>868.0</v>
      </c>
      <c r="B869" s="1" t="s">
        <v>4998</v>
      </c>
      <c r="C869" s="1" t="s">
        <v>5000</v>
      </c>
      <c r="D869" s="1" t="s">
        <v>5001</v>
      </c>
      <c r="E869" s="1" t="s">
        <v>5002</v>
      </c>
      <c r="F869" s="1" t="s">
        <v>5003</v>
      </c>
      <c r="G869" s="5" t="str">
        <f>IFERROR(__xludf.DUMMYFUNCTION("""COMPUTED_VALUE"""),"217🤙🏼Rush🤙🏼Alexandra Maria Lara🤙🏼Estrela 4")</f>
        <v>217🤙🏼Rush🤙🏼Alexandra Maria Lara🤙🏼Estrela 4</v>
      </c>
      <c r="H869" s="5">
        <f>IFERROR(__xludf.DUMMYFUNCTION("SPLiT(G869, ""🤙🏼"",FALSE,FALSE)"),217.0)</f>
        <v>217</v>
      </c>
      <c r="I869" s="5" t="str">
        <f>IFERROR(__xludf.DUMMYFUNCTION("""COMPUTED_VALUE"""),"Rush")</f>
        <v>Rush</v>
      </c>
      <c r="J869" s="5" t="str">
        <f>IFERROR(__xludf.DUMMYFUNCTION("""COMPUTED_VALUE"""),"Alexandra Maria Lara")</f>
        <v>Alexandra Maria Lara</v>
      </c>
      <c r="K869" s="5" t="str">
        <f>IFERROR(__xludf.DUMMYFUNCTION("""COMPUTED_VALUE"""),"Estrela 4")</f>
        <v>Estrela 4</v>
      </c>
      <c r="P869" s="5">
        <f>IFERROR(__xludf.DUMMYFUNCTION("""COMPUTED_VALUE"""),217.0)</f>
        <v>217</v>
      </c>
      <c r="Q869" s="5" t="str">
        <f>IFERROR(__xludf.DUMMYFUNCTION("""COMPUTED_VALUE"""),"Rush")</f>
        <v>Rush</v>
      </c>
      <c r="R869" s="5" t="str">
        <f>IFERROR(__xludf.DUMMYFUNCTION("""COMPUTED_VALUE"""),"Alexandra Maria Lara")</f>
        <v>Alexandra Maria Lara</v>
      </c>
      <c r="S869" s="5" t="str">
        <f>IFERROR(__xludf.DUMMYFUNCTION("""COMPUTED_VALUE"""),"Estrela 4")</f>
        <v>Estrela 4</v>
      </c>
    </row>
    <row r="870">
      <c r="A870" s="1">
        <v>869.0</v>
      </c>
      <c r="B870" s="1" t="s">
        <v>5004</v>
      </c>
      <c r="C870" s="1" t="s">
        <v>3430</v>
      </c>
      <c r="D870" s="1" t="s">
        <v>5006</v>
      </c>
      <c r="E870" s="1" t="s">
        <v>5007</v>
      </c>
      <c r="F870" s="1" t="s">
        <v>5008</v>
      </c>
      <c r="G870" s="5" t="str">
        <f>IFERROR(__xludf.DUMMYFUNCTION("""COMPUTED_VALUE"""),"218🤙🏼Ford v Ferrari🤙🏼Matt Damon🤙🏼Estrela 1")</f>
        <v>218🤙🏼Ford v Ferrari🤙🏼Matt Damon🤙🏼Estrela 1</v>
      </c>
      <c r="H870" s="5">
        <f>IFERROR(__xludf.DUMMYFUNCTION("SPLiT(G870, ""🤙🏼"",FALSE,FALSE)"),218.0)</f>
        <v>218</v>
      </c>
      <c r="I870" s="5" t="str">
        <f>IFERROR(__xludf.DUMMYFUNCTION("""COMPUTED_VALUE"""),"Ford v Ferrari")</f>
        <v>Ford v Ferrari</v>
      </c>
      <c r="J870" s="5" t="str">
        <f>IFERROR(__xludf.DUMMYFUNCTION("""COMPUTED_VALUE"""),"Matt Damon")</f>
        <v>Matt Damon</v>
      </c>
      <c r="K870" s="5" t="str">
        <f>IFERROR(__xludf.DUMMYFUNCTION("""COMPUTED_VALUE"""),"Estrela 1")</f>
        <v>Estrela 1</v>
      </c>
      <c r="P870" s="5">
        <f>IFERROR(__xludf.DUMMYFUNCTION("""COMPUTED_VALUE"""),218.0)</f>
        <v>218</v>
      </c>
      <c r="Q870" s="5" t="str">
        <f>IFERROR(__xludf.DUMMYFUNCTION("""COMPUTED_VALUE"""),"Ford v Ferrari")</f>
        <v>Ford v Ferrari</v>
      </c>
      <c r="R870" s="5" t="str">
        <f>IFERROR(__xludf.DUMMYFUNCTION("""COMPUTED_VALUE"""),"Matt Damon")</f>
        <v>Matt Damon</v>
      </c>
      <c r="S870" s="5" t="str">
        <f>IFERROR(__xludf.DUMMYFUNCTION("""COMPUTED_VALUE"""),"Estrela 1")</f>
        <v>Estrela 1</v>
      </c>
    </row>
    <row r="871">
      <c r="A871" s="1">
        <v>870.0</v>
      </c>
      <c r="B871" s="1" t="s">
        <v>5009</v>
      </c>
      <c r="C871" s="1" t="s">
        <v>252</v>
      </c>
      <c r="D871" s="1" t="s">
        <v>604</v>
      </c>
      <c r="E871" s="1" t="s">
        <v>5011</v>
      </c>
      <c r="F871" s="1" t="s">
        <v>5012</v>
      </c>
      <c r="G871" s="5" t="str">
        <f>IFERROR(__xludf.DUMMYFUNCTION("""COMPUTED_VALUE"""),"218🤙🏼Ford v Ferrari🤙🏼Christian Bale🤙🏼Estrela 2")</f>
        <v>218🤙🏼Ford v Ferrari🤙🏼Christian Bale🤙🏼Estrela 2</v>
      </c>
      <c r="H871" s="5">
        <f>IFERROR(__xludf.DUMMYFUNCTION("SPLiT(G871, ""🤙🏼"",FALSE,FALSE)"),218.0)</f>
        <v>218</v>
      </c>
      <c r="I871" s="5" t="str">
        <f>IFERROR(__xludf.DUMMYFUNCTION("""COMPUTED_VALUE"""),"Ford v Ferrari")</f>
        <v>Ford v Ferrari</v>
      </c>
      <c r="J871" s="5" t="str">
        <f>IFERROR(__xludf.DUMMYFUNCTION("""COMPUTED_VALUE"""),"Christian Bale")</f>
        <v>Christian Bale</v>
      </c>
      <c r="K871" s="5" t="str">
        <f>IFERROR(__xludf.DUMMYFUNCTION("""COMPUTED_VALUE"""),"Estrela 2")</f>
        <v>Estrela 2</v>
      </c>
      <c r="P871" s="5">
        <f>IFERROR(__xludf.DUMMYFUNCTION("""COMPUTED_VALUE"""),218.0)</f>
        <v>218</v>
      </c>
      <c r="Q871" s="5" t="str">
        <f>IFERROR(__xludf.DUMMYFUNCTION("""COMPUTED_VALUE"""),"Ford v Ferrari")</f>
        <v>Ford v Ferrari</v>
      </c>
      <c r="R871" s="5" t="str">
        <f>IFERROR(__xludf.DUMMYFUNCTION("""COMPUTED_VALUE"""),"Christian Bale")</f>
        <v>Christian Bale</v>
      </c>
      <c r="S871" s="5" t="str">
        <f>IFERROR(__xludf.DUMMYFUNCTION("""COMPUTED_VALUE"""),"Estrela 2")</f>
        <v>Estrela 2</v>
      </c>
    </row>
    <row r="872">
      <c r="A872" s="1">
        <v>871.0</v>
      </c>
      <c r="B872" s="1" t="s">
        <v>5013</v>
      </c>
      <c r="C872" s="1" t="s">
        <v>409</v>
      </c>
      <c r="D872" s="1" t="s">
        <v>2839</v>
      </c>
      <c r="E872" s="1" t="s">
        <v>630</v>
      </c>
      <c r="F872" s="1" t="s">
        <v>5015</v>
      </c>
      <c r="G872" s="5" t="str">
        <f>IFERROR(__xludf.DUMMYFUNCTION("""COMPUTED_VALUE"""),"218🤙🏼Ford v Ferrari🤙🏼Jon Bernthal🤙🏼Estrela 3")</f>
        <v>218🤙🏼Ford v Ferrari🤙🏼Jon Bernthal🤙🏼Estrela 3</v>
      </c>
      <c r="H872" s="5">
        <f>IFERROR(__xludf.DUMMYFUNCTION("SPLiT(G872, ""🤙🏼"",FALSE,FALSE)"),218.0)</f>
        <v>218</v>
      </c>
      <c r="I872" s="5" t="str">
        <f>IFERROR(__xludf.DUMMYFUNCTION("""COMPUTED_VALUE"""),"Ford v Ferrari")</f>
        <v>Ford v Ferrari</v>
      </c>
      <c r="J872" s="5" t="str">
        <f>IFERROR(__xludf.DUMMYFUNCTION("""COMPUTED_VALUE"""),"Jon Bernthal")</f>
        <v>Jon Bernthal</v>
      </c>
      <c r="K872" s="5" t="str">
        <f>IFERROR(__xludf.DUMMYFUNCTION("""COMPUTED_VALUE"""),"Estrela 3")</f>
        <v>Estrela 3</v>
      </c>
      <c r="P872" s="5">
        <f>IFERROR(__xludf.DUMMYFUNCTION("""COMPUTED_VALUE"""),218.0)</f>
        <v>218</v>
      </c>
      <c r="Q872" s="5" t="str">
        <f>IFERROR(__xludf.DUMMYFUNCTION("""COMPUTED_VALUE"""),"Ford v Ferrari")</f>
        <v>Ford v Ferrari</v>
      </c>
      <c r="R872" s="5" t="str">
        <f>IFERROR(__xludf.DUMMYFUNCTION("""COMPUTED_VALUE"""),"Jon Bernthal")</f>
        <v>Jon Bernthal</v>
      </c>
      <c r="S872" s="5" t="str">
        <f>IFERROR(__xludf.DUMMYFUNCTION("""COMPUTED_VALUE"""),"Estrela 3")</f>
        <v>Estrela 3</v>
      </c>
    </row>
    <row r="873">
      <c r="A873" s="1">
        <v>872.0</v>
      </c>
      <c r="B873" s="1" t="s">
        <v>5016</v>
      </c>
      <c r="C873" s="1" t="s">
        <v>1985</v>
      </c>
      <c r="D873" s="1" t="s">
        <v>3454</v>
      </c>
      <c r="E873" s="1" t="s">
        <v>5018</v>
      </c>
      <c r="F873" s="1" t="s">
        <v>3427</v>
      </c>
      <c r="G873" s="5" t="str">
        <f>IFERROR(__xludf.DUMMYFUNCTION("""COMPUTED_VALUE"""),"218🤙🏼Ford v Ferrari🤙🏼Caitriona Balfe🤙🏼Estrela 4")</f>
        <v>218🤙🏼Ford v Ferrari🤙🏼Caitriona Balfe🤙🏼Estrela 4</v>
      </c>
      <c r="H873" s="5">
        <f>IFERROR(__xludf.DUMMYFUNCTION("SPLiT(G873, ""🤙🏼"",FALSE,FALSE)"),218.0)</f>
        <v>218</v>
      </c>
      <c r="I873" s="5" t="str">
        <f>IFERROR(__xludf.DUMMYFUNCTION("""COMPUTED_VALUE"""),"Ford v Ferrari")</f>
        <v>Ford v Ferrari</v>
      </c>
      <c r="J873" s="5" t="str">
        <f>IFERROR(__xludf.DUMMYFUNCTION("""COMPUTED_VALUE"""),"Caitriona Balfe")</f>
        <v>Caitriona Balfe</v>
      </c>
      <c r="K873" s="5" t="str">
        <f>IFERROR(__xludf.DUMMYFUNCTION("""COMPUTED_VALUE"""),"Estrela 4")</f>
        <v>Estrela 4</v>
      </c>
      <c r="P873" s="5">
        <f>IFERROR(__xludf.DUMMYFUNCTION("""COMPUTED_VALUE"""),218.0)</f>
        <v>218</v>
      </c>
      <c r="Q873" s="5" t="str">
        <f>IFERROR(__xludf.DUMMYFUNCTION("""COMPUTED_VALUE"""),"Ford v Ferrari")</f>
        <v>Ford v Ferrari</v>
      </c>
      <c r="R873" s="5" t="str">
        <f>IFERROR(__xludf.DUMMYFUNCTION("""COMPUTED_VALUE"""),"Caitriona Balfe")</f>
        <v>Caitriona Balfe</v>
      </c>
      <c r="S873" s="5" t="str">
        <f>IFERROR(__xludf.DUMMYFUNCTION("""COMPUTED_VALUE"""),"Estrela 4")</f>
        <v>Estrela 4</v>
      </c>
    </row>
    <row r="874">
      <c r="A874" s="1">
        <v>873.0</v>
      </c>
      <c r="B874" s="1" t="s">
        <v>5019</v>
      </c>
      <c r="C874" s="1" t="s">
        <v>5021</v>
      </c>
      <c r="D874" s="1" t="s">
        <v>5022</v>
      </c>
      <c r="E874" s="1" t="s">
        <v>5023</v>
      </c>
      <c r="F874" s="1" t="s">
        <v>5024</v>
      </c>
      <c r="G874" s="5" t="str">
        <f>IFERROR(__xludf.DUMMYFUNCTION("""COMPUTED_VALUE"""),"219🤙🏼Spotlight🤙🏼Mark Ruffalo🤙🏼Estrela 1")</f>
        <v>219🤙🏼Spotlight🤙🏼Mark Ruffalo🤙🏼Estrela 1</v>
      </c>
      <c r="H874" s="5">
        <f>IFERROR(__xludf.DUMMYFUNCTION("SPLiT(G874, ""🤙🏼"",FALSE,FALSE)"),219.0)</f>
        <v>219</v>
      </c>
      <c r="I874" s="5" t="str">
        <f>IFERROR(__xludf.DUMMYFUNCTION("""COMPUTED_VALUE"""),"Spotlight")</f>
        <v>Spotlight</v>
      </c>
      <c r="J874" s="5" t="str">
        <f>IFERROR(__xludf.DUMMYFUNCTION("""COMPUTED_VALUE"""),"Mark Ruffalo")</f>
        <v>Mark Ruffalo</v>
      </c>
      <c r="K874" s="5" t="str">
        <f>IFERROR(__xludf.DUMMYFUNCTION("""COMPUTED_VALUE"""),"Estrela 1")</f>
        <v>Estrela 1</v>
      </c>
      <c r="P874" s="5">
        <f>IFERROR(__xludf.DUMMYFUNCTION("""COMPUTED_VALUE"""),219.0)</f>
        <v>219</v>
      </c>
      <c r="Q874" s="5" t="str">
        <f>IFERROR(__xludf.DUMMYFUNCTION("""COMPUTED_VALUE"""),"Spotlight")</f>
        <v>Spotlight</v>
      </c>
      <c r="R874" s="5" t="str">
        <f>IFERROR(__xludf.DUMMYFUNCTION("""COMPUTED_VALUE"""),"Mark Ruffalo")</f>
        <v>Mark Ruffalo</v>
      </c>
      <c r="S874" s="5" t="str">
        <f>IFERROR(__xludf.DUMMYFUNCTION("""COMPUTED_VALUE"""),"Estrela 1")</f>
        <v>Estrela 1</v>
      </c>
    </row>
    <row r="875">
      <c r="A875" s="1">
        <v>874.0</v>
      </c>
      <c r="B875" s="1" t="s">
        <v>5025</v>
      </c>
      <c r="C875" s="1" t="s">
        <v>409</v>
      </c>
      <c r="D875" s="1" t="s">
        <v>3385</v>
      </c>
      <c r="E875" s="1" t="s">
        <v>5027</v>
      </c>
      <c r="F875" s="1" t="s">
        <v>5028</v>
      </c>
      <c r="G875" s="5" t="str">
        <f>IFERROR(__xludf.DUMMYFUNCTION("""COMPUTED_VALUE"""),"219🤙🏼Spotlight🤙🏼Michael Keaton🤙🏼Estrela 2")</f>
        <v>219🤙🏼Spotlight🤙🏼Michael Keaton🤙🏼Estrela 2</v>
      </c>
      <c r="H875" s="5">
        <f>IFERROR(__xludf.DUMMYFUNCTION("SPLiT(G875, ""🤙🏼"",FALSE,FALSE)"),219.0)</f>
        <v>219</v>
      </c>
      <c r="I875" s="5" t="str">
        <f>IFERROR(__xludf.DUMMYFUNCTION("""COMPUTED_VALUE"""),"Spotlight")</f>
        <v>Spotlight</v>
      </c>
      <c r="J875" s="5" t="str">
        <f>IFERROR(__xludf.DUMMYFUNCTION("""COMPUTED_VALUE"""),"Michael Keaton")</f>
        <v>Michael Keaton</v>
      </c>
      <c r="K875" s="5" t="str">
        <f>IFERROR(__xludf.DUMMYFUNCTION("""COMPUTED_VALUE"""),"Estrela 2")</f>
        <v>Estrela 2</v>
      </c>
      <c r="P875" s="5">
        <f>IFERROR(__xludf.DUMMYFUNCTION("""COMPUTED_VALUE"""),219.0)</f>
        <v>219</v>
      </c>
      <c r="Q875" s="5" t="str">
        <f>IFERROR(__xludf.DUMMYFUNCTION("""COMPUTED_VALUE"""),"Spotlight")</f>
        <v>Spotlight</v>
      </c>
      <c r="R875" s="5" t="str">
        <f>IFERROR(__xludf.DUMMYFUNCTION("""COMPUTED_VALUE"""),"Michael Keaton")</f>
        <v>Michael Keaton</v>
      </c>
      <c r="S875" s="5" t="str">
        <f>IFERROR(__xludf.DUMMYFUNCTION("""COMPUTED_VALUE"""),"Estrela 2")</f>
        <v>Estrela 2</v>
      </c>
    </row>
    <row r="876">
      <c r="A876" s="1">
        <v>875.0</v>
      </c>
      <c r="B876" s="1" t="s">
        <v>5029</v>
      </c>
      <c r="C876" s="1" t="s">
        <v>5032</v>
      </c>
      <c r="D876" s="1" t="s">
        <v>5033</v>
      </c>
      <c r="E876" s="1" t="s">
        <v>620</v>
      </c>
      <c r="F876" s="1" t="s">
        <v>2801</v>
      </c>
      <c r="G876" s="5" t="str">
        <f>IFERROR(__xludf.DUMMYFUNCTION("""COMPUTED_VALUE"""),"219🤙🏼Spotlight🤙🏼Rachel McAdams🤙🏼Estrela 3")</f>
        <v>219🤙🏼Spotlight🤙🏼Rachel McAdams🤙🏼Estrela 3</v>
      </c>
      <c r="H876" s="5">
        <f>IFERROR(__xludf.DUMMYFUNCTION("SPLiT(G876, ""🤙🏼"",FALSE,FALSE)"),219.0)</f>
        <v>219</v>
      </c>
      <c r="I876" s="5" t="str">
        <f>IFERROR(__xludf.DUMMYFUNCTION("""COMPUTED_VALUE"""),"Spotlight")</f>
        <v>Spotlight</v>
      </c>
      <c r="J876" s="5" t="str">
        <f>IFERROR(__xludf.DUMMYFUNCTION("""COMPUTED_VALUE"""),"Rachel McAdams")</f>
        <v>Rachel McAdams</v>
      </c>
      <c r="K876" s="5" t="str">
        <f>IFERROR(__xludf.DUMMYFUNCTION("""COMPUTED_VALUE"""),"Estrela 3")</f>
        <v>Estrela 3</v>
      </c>
      <c r="P876" s="5">
        <f>IFERROR(__xludf.DUMMYFUNCTION("""COMPUTED_VALUE"""),219.0)</f>
        <v>219</v>
      </c>
      <c r="Q876" s="5" t="str">
        <f>IFERROR(__xludf.DUMMYFUNCTION("""COMPUTED_VALUE"""),"Spotlight")</f>
        <v>Spotlight</v>
      </c>
      <c r="R876" s="5" t="str">
        <f>IFERROR(__xludf.DUMMYFUNCTION("""COMPUTED_VALUE"""),"Rachel McAdams")</f>
        <v>Rachel McAdams</v>
      </c>
      <c r="S876" s="5" t="str">
        <f>IFERROR(__xludf.DUMMYFUNCTION("""COMPUTED_VALUE"""),"Estrela 3")</f>
        <v>Estrela 3</v>
      </c>
    </row>
    <row r="877">
      <c r="A877" s="1">
        <v>876.0</v>
      </c>
      <c r="B877" s="1" t="s">
        <v>5034</v>
      </c>
      <c r="C877" s="1" t="s">
        <v>5037</v>
      </c>
      <c r="D877" s="1" t="s">
        <v>5038</v>
      </c>
      <c r="E877" s="1" t="s">
        <v>5039</v>
      </c>
      <c r="F877" s="1" t="s">
        <v>5040</v>
      </c>
      <c r="G877" s="5" t="str">
        <f>IFERROR(__xludf.DUMMYFUNCTION("""COMPUTED_VALUE"""),"219🤙🏼Spotlight🤙🏼Liev Schreiber🤙🏼Estrela 4")</f>
        <v>219🤙🏼Spotlight🤙🏼Liev Schreiber🤙🏼Estrela 4</v>
      </c>
      <c r="H877" s="5">
        <f>IFERROR(__xludf.DUMMYFUNCTION("SPLiT(G877, ""🤙🏼"",FALSE,FALSE)"),219.0)</f>
        <v>219</v>
      </c>
      <c r="I877" s="5" t="str">
        <f>IFERROR(__xludf.DUMMYFUNCTION("""COMPUTED_VALUE"""),"Spotlight")</f>
        <v>Spotlight</v>
      </c>
      <c r="J877" s="5" t="str">
        <f>IFERROR(__xludf.DUMMYFUNCTION("""COMPUTED_VALUE"""),"Liev Schreiber")</f>
        <v>Liev Schreiber</v>
      </c>
      <c r="K877" s="5" t="str">
        <f>IFERROR(__xludf.DUMMYFUNCTION("""COMPUTED_VALUE"""),"Estrela 4")</f>
        <v>Estrela 4</v>
      </c>
      <c r="P877" s="5">
        <f>IFERROR(__xludf.DUMMYFUNCTION("""COMPUTED_VALUE"""),219.0)</f>
        <v>219</v>
      </c>
      <c r="Q877" s="5" t="str">
        <f>IFERROR(__xludf.DUMMYFUNCTION("""COMPUTED_VALUE"""),"Spotlight")</f>
        <v>Spotlight</v>
      </c>
      <c r="R877" s="5" t="str">
        <f>IFERROR(__xludf.DUMMYFUNCTION("""COMPUTED_VALUE"""),"Liev Schreiber")</f>
        <v>Liev Schreiber</v>
      </c>
      <c r="S877" s="5" t="str">
        <f>IFERROR(__xludf.DUMMYFUNCTION("""COMPUTED_VALUE"""),"Estrela 4")</f>
        <v>Estrela 4</v>
      </c>
    </row>
    <row r="878">
      <c r="A878" s="1">
        <v>877.0</v>
      </c>
      <c r="B878" s="1" t="s">
        <v>5041</v>
      </c>
      <c r="C878" s="1" t="s">
        <v>412</v>
      </c>
      <c r="D878" s="1" t="s">
        <v>5044</v>
      </c>
      <c r="E878" s="1" t="s">
        <v>5045</v>
      </c>
      <c r="F878" s="1" t="s">
        <v>4258</v>
      </c>
      <c r="G878" s="5" t="str">
        <f>IFERROR(__xludf.DUMMYFUNCTION("""COMPUTED_VALUE"""),"220🤙🏼Song of the Sea🤙🏼David Rawle🤙🏼Estrela 1")</f>
        <v>220🤙🏼Song of the Sea🤙🏼David Rawle🤙🏼Estrela 1</v>
      </c>
      <c r="H878" s="5">
        <f>IFERROR(__xludf.DUMMYFUNCTION("SPLiT(G878, ""🤙🏼"",FALSE,FALSE)"),220.0)</f>
        <v>220</v>
      </c>
      <c r="I878" s="5" t="str">
        <f>IFERROR(__xludf.DUMMYFUNCTION("""COMPUTED_VALUE"""),"Song of the Sea")</f>
        <v>Song of the Sea</v>
      </c>
      <c r="J878" s="5" t="str">
        <f>IFERROR(__xludf.DUMMYFUNCTION("""COMPUTED_VALUE"""),"David Rawle")</f>
        <v>David Rawle</v>
      </c>
      <c r="K878" s="5" t="str">
        <f>IFERROR(__xludf.DUMMYFUNCTION("""COMPUTED_VALUE"""),"Estrela 1")</f>
        <v>Estrela 1</v>
      </c>
      <c r="P878" s="5">
        <f>IFERROR(__xludf.DUMMYFUNCTION("""COMPUTED_VALUE"""),220.0)</f>
        <v>220</v>
      </c>
      <c r="Q878" s="5" t="str">
        <f>IFERROR(__xludf.DUMMYFUNCTION("""COMPUTED_VALUE"""),"Song of the Sea")</f>
        <v>Song of the Sea</v>
      </c>
      <c r="R878" s="5" t="str">
        <f>IFERROR(__xludf.DUMMYFUNCTION("""COMPUTED_VALUE"""),"David Rawle")</f>
        <v>David Rawle</v>
      </c>
      <c r="S878" s="5" t="str">
        <f>IFERROR(__xludf.DUMMYFUNCTION("""COMPUTED_VALUE"""),"Estrela 1")</f>
        <v>Estrela 1</v>
      </c>
    </row>
    <row r="879">
      <c r="A879" s="1">
        <v>878.0</v>
      </c>
      <c r="B879" s="1" t="s">
        <v>5046</v>
      </c>
      <c r="C879" s="1" t="s">
        <v>481</v>
      </c>
      <c r="D879" s="1" t="s">
        <v>191</v>
      </c>
      <c r="E879" s="1" t="s">
        <v>23</v>
      </c>
      <c r="F879" s="1" t="s">
        <v>5049</v>
      </c>
      <c r="G879" s="5" t="str">
        <f>IFERROR(__xludf.DUMMYFUNCTION("""COMPUTED_VALUE"""),"220🤙🏼Song of the Sea🤙🏼Brendan Gleeson🤙🏼Estrela 2")</f>
        <v>220🤙🏼Song of the Sea🤙🏼Brendan Gleeson🤙🏼Estrela 2</v>
      </c>
      <c r="H879" s="5">
        <f>IFERROR(__xludf.DUMMYFUNCTION("SPLiT(G879, ""🤙🏼"",FALSE,FALSE)"),220.0)</f>
        <v>220</v>
      </c>
      <c r="I879" s="5" t="str">
        <f>IFERROR(__xludf.DUMMYFUNCTION("""COMPUTED_VALUE"""),"Song of the Sea")</f>
        <v>Song of the Sea</v>
      </c>
      <c r="J879" s="5" t="str">
        <f>IFERROR(__xludf.DUMMYFUNCTION("""COMPUTED_VALUE"""),"Brendan Gleeson")</f>
        <v>Brendan Gleeson</v>
      </c>
      <c r="K879" s="5" t="str">
        <f>IFERROR(__xludf.DUMMYFUNCTION("""COMPUTED_VALUE"""),"Estrela 2")</f>
        <v>Estrela 2</v>
      </c>
      <c r="P879" s="5">
        <f>IFERROR(__xludf.DUMMYFUNCTION("""COMPUTED_VALUE"""),220.0)</f>
        <v>220</v>
      </c>
      <c r="Q879" s="5" t="str">
        <f>IFERROR(__xludf.DUMMYFUNCTION("""COMPUTED_VALUE"""),"Song of the Sea")</f>
        <v>Song of the Sea</v>
      </c>
      <c r="R879" s="5" t="str">
        <f>IFERROR(__xludf.DUMMYFUNCTION("""COMPUTED_VALUE"""),"Brendan Gleeson")</f>
        <v>Brendan Gleeson</v>
      </c>
      <c r="S879" s="5" t="str">
        <f>IFERROR(__xludf.DUMMYFUNCTION("""COMPUTED_VALUE"""),"Estrela 2")</f>
        <v>Estrela 2</v>
      </c>
    </row>
    <row r="880">
      <c r="A880" s="1">
        <v>879.0</v>
      </c>
      <c r="B880" s="1" t="s">
        <v>5050</v>
      </c>
      <c r="C880" s="1" t="s">
        <v>5054</v>
      </c>
      <c r="D880" s="1" t="s">
        <v>5055</v>
      </c>
      <c r="E880" s="1" t="s">
        <v>5056</v>
      </c>
      <c r="F880" s="1" t="s">
        <v>5057</v>
      </c>
      <c r="G880" s="5" t="str">
        <f>IFERROR(__xludf.DUMMYFUNCTION("""COMPUTED_VALUE"""),"220🤙🏼Song of the Sea🤙🏼Lisa Hannigan🤙🏼Estrela 3")</f>
        <v>220🤙🏼Song of the Sea🤙🏼Lisa Hannigan🤙🏼Estrela 3</v>
      </c>
      <c r="H880" s="5">
        <f>IFERROR(__xludf.DUMMYFUNCTION("SPLiT(G880, ""🤙🏼"",FALSE,FALSE)"),220.0)</f>
        <v>220</v>
      </c>
      <c r="I880" s="5" t="str">
        <f>IFERROR(__xludf.DUMMYFUNCTION("""COMPUTED_VALUE"""),"Song of the Sea")</f>
        <v>Song of the Sea</v>
      </c>
      <c r="J880" s="5" t="str">
        <f>IFERROR(__xludf.DUMMYFUNCTION("""COMPUTED_VALUE"""),"Lisa Hannigan")</f>
        <v>Lisa Hannigan</v>
      </c>
      <c r="K880" s="5" t="str">
        <f>IFERROR(__xludf.DUMMYFUNCTION("""COMPUTED_VALUE"""),"Estrela 3")</f>
        <v>Estrela 3</v>
      </c>
      <c r="P880" s="5">
        <f>IFERROR(__xludf.DUMMYFUNCTION("""COMPUTED_VALUE"""),220.0)</f>
        <v>220</v>
      </c>
      <c r="Q880" s="5" t="str">
        <f>IFERROR(__xludf.DUMMYFUNCTION("""COMPUTED_VALUE"""),"Song of the Sea")</f>
        <v>Song of the Sea</v>
      </c>
      <c r="R880" s="5" t="str">
        <f>IFERROR(__xludf.DUMMYFUNCTION("""COMPUTED_VALUE"""),"Lisa Hannigan")</f>
        <v>Lisa Hannigan</v>
      </c>
      <c r="S880" s="5" t="str">
        <f>IFERROR(__xludf.DUMMYFUNCTION("""COMPUTED_VALUE"""),"Estrela 3")</f>
        <v>Estrela 3</v>
      </c>
    </row>
    <row r="881">
      <c r="A881" s="1">
        <v>880.0</v>
      </c>
      <c r="B881" s="1" t="s">
        <v>5058</v>
      </c>
      <c r="C881" s="1" t="s">
        <v>90</v>
      </c>
      <c r="D881" s="1" t="s">
        <v>98</v>
      </c>
      <c r="E881" s="1" t="s">
        <v>1080</v>
      </c>
      <c r="F881" s="1" t="s">
        <v>1606</v>
      </c>
      <c r="G881" s="5" t="str">
        <f>IFERROR(__xludf.DUMMYFUNCTION("""COMPUTED_VALUE"""),"220🤙🏼Song of the Sea🤙🏼Fionnula Flanagan🤙🏼Estrela 4")</f>
        <v>220🤙🏼Song of the Sea🤙🏼Fionnula Flanagan🤙🏼Estrela 4</v>
      </c>
      <c r="H881" s="5">
        <f>IFERROR(__xludf.DUMMYFUNCTION("SPLiT(G881, ""🤙🏼"",FALSE,FALSE)"),220.0)</f>
        <v>220</v>
      </c>
      <c r="I881" s="5" t="str">
        <f>IFERROR(__xludf.DUMMYFUNCTION("""COMPUTED_VALUE"""),"Song of the Sea")</f>
        <v>Song of the Sea</v>
      </c>
      <c r="J881" s="5" t="str">
        <f>IFERROR(__xludf.DUMMYFUNCTION("""COMPUTED_VALUE"""),"Fionnula Flanagan")</f>
        <v>Fionnula Flanagan</v>
      </c>
      <c r="K881" s="5" t="str">
        <f>IFERROR(__xludf.DUMMYFUNCTION("""COMPUTED_VALUE"""),"Estrela 4")</f>
        <v>Estrela 4</v>
      </c>
      <c r="P881" s="5">
        <f>IFERROR(__xludf.DUMMYFUNCTION("""COMPUTED_VALUE"""),220.0)</f>
        <v>220</v>
      </c>
      <c r="Q881" s="5" t="str">
        <f>IFERROR(__xludf.DUMMYFUNCTION("""COMPUTED_VALUE"""),"Song of the Sea")</f>
        <v>Song of the Sea</v>
      </c>
      <c r="R881" s="5" t="str">
        <f>IFERROR(__xludf.DUMMYFUNCTION("""COMPUTED_VALUE"""),"Fionnula Flanagan")</f>
        <v>Fionnula Flanagan</v>
      </c>
      <c r="S881" s="5" t="str">
        <f>IFERROR(__xludf.DUMMYFUNCTION("""COMPUTED_VALUE"""),"Estrela 4")</f>
        <v>Estrela 4</v>
      </c>
    </row>
    <row r="882">
      <c r="A882" s="1">
        <v>881.0</v>
      </c>
      <c r="B882" s="1" t="s">
        <v>5060</v>
      </c>
      <c r="C882" s="1" t="s">
        <v>5062</v>
      </c>
      <c r="D882" s="1" t="s">
        <v>5063</v>
      </c>
      <c r="E882" s="1" t="s">
        <v>5064</v>
      </c>
      <c r="F882" s="1" t="s">
        <v>5065</v>
      </c>
      <c r="G882" s="5" t="str">
        <f>IFERROR(__xludf.DUMMYFUNCTION("""COMPUTED_VALUE"""),"221🤙🏼Kahaani🤙🏼Vidya Balan🤙🏼Estrela 1")</f>
        <v>221🤙🏼Kahaani🤙🏼Vidya Balan🤙🏼Estrela 1</v>
      </c>
      <c r="H882" s="5">
        <f>IFERROR(__xludf.DUMMYFUNCTION("SPLiT(G882, ""🤙🏼"",FALSE,FALSE)"),221.0)</f>
        <v>221</v>
      </c>
      <c r="I882" s="5" t="str">
        <f>IFERROR(__xludf.DUMMYFUNCTION("""COMPUTED_VALUE"""),"Kahaani")</f>
        <v>Kahaani</v>
      </c>
      <c r="J882" s="5" t="str">
        <f>IFERROR(__xludf.DUMMYFUNCTION("""COMPUTED_VALUE"""),"Vidya Balan")</f>
        <v>Vidya Balan</v>
      </c>
      <c r="K882" s="5" t="str">
        <f>IFERROR(__xludf.DUMMYFUNCTION("""COMPUTED_VALUE"""),"Estrela 1")</f>
        <v>Estrela 1</v>
      </c>
      <c r="P882" s="5">
        <f>IFERROR(__xludf.DUMMYFUNCTION("""COMPUTED_VALUE"""),221.0)</f>
        <v>221</v>
      </c>
      <c r="Q882" s="5" t="str">
        <f>IFERROR(__xludf.DUMMYFUNCTION("""COMPUTED_VALUE"""),"Kahaani")</f>
        <v>Kahaani</v>
      </c>
      <c r="R882" s="5" t="str">
        <f>IFERROR(__xludf.DUMMYFUNCTION("""COMPUTED_VALUE"""),"Vidya Balan")</f>
        <v>Vidya Balan</v>
      </c>
      <c r="S882" s="5" t="str">
        <f>IFERROR(__xludf.DUMMYFUNCTION("""COMPUTED_VALUE"""),"Estrela 1")</f>
        <v>Estrela 1</v>
      </c>
    </row>
    <row r="883">
      <c r="A883" s="1">
        <v>882.0</v>
      </c>
      <c r="B883" s="1" t="s">
        <v>5066</v>
      </c>
      <c r="C883" s="1" t="s">
        <v>5069</v>
      </c>
      <c r="D883" s="1" t="s">
        <v>5070</v>
      </c>
      <c r="E883" s="1" t="s">
        <v>1825</v>
      </c>
      <c r="F883" s="1" t="s">
        <v>5071</v>
      </c>
      <c r="G883" s="5" t="str">
        <f>IFERROR(__xludf.DUMMYFUNCTION("""COMPUTED_VALUE"""),"221🤙🏼Kahaani🤙🏼Parambrata Chattopadhyay🤙🏼Estrela 2")</f>
        <v>221🤙🏼Kahaani🤙🏼Parambrata Chattopadhyay🤙🏼Estrela 2</v>
      </c>
      <c r="H883" s="5">
        <f>IFERROR(__xludf.DUMMYFUNCTION("SPLiT(G883, ""🤙🏼"",FALSE,FALSE)"),221.0)</f>
        <v>221</v>
      </c>
      <c r="I883" s="5" t="str">
        <f>IFERROR(__xludf.DUMMYFUNCTION("""COMPUTED_VALUE"""),"Kahaani")</f>
        <v>Kahaani</v>
      </c>
      <c r="J883" s="5" t="str">
        <f>IFERROR(__xludf.DUMMYFUNCTION("""COMPUTED_VALUE"""),"Parambrata Chattopadhyay")</f>
        <v>Parambrata Chattopadhyay</v>
      </c>
      <c r="K883" s="5" t="str">
        <f>IFERROR(__xludf.DUMMYFUNCTION("""COMPUTED_VALUE"""),"Estrela 2")</f>
        <v>Estrela 2</v>
      </c>
      <c r="P883" s="5">
        <f>IFERROR(__xludf.DUMMYFUNCTION("""COMPUTED_VALUE"""),221.0)</f>
        <v>221</v>
      </c>
      <c r="Q883" s="5" t="str">
        <f>IFERROR(__xludf.DUMMYFUNCTION("""COMPUTED_VALUE"""),"Kahaani")</f>
        <v>Kahaani</v>
      </c>
      <c r="R883" s="5" t="str">
        <f>IFERROR(__xludf.DUMMYFUNCTION("""COMPUTED_VALUE"""),"Parambrata Chattopadhyay")</f>
        <v>Parambrata Chattopadhyay</v>
      </c>
      <c r="S883" s="5" t="str">
        <f>IFERROR(__xludf.DUMMYFUNCTION("""COMPUTED_VALUE"""),"Estrela 2")</f>
        <v>Estrela 2</v>
      </c>
    </row>
    <row r="884">
      <c r="A884" s="1">
        <v>883.0</v>
      </c>
      <c r="B884" s="1" t="s">
        <v>5072</v>
      </c>
      <c r="C884" s="1" t="s">
        <v>5074</v>
      </c>
      <c r="D884" s="1" t="s">
        <v>497</v>
      </c>
      <c r="E884" s="1" t="s">
        <v>1427</v>
      </c>
      <c r="F884" s="1" t="s">
        <v>5075</v>
      </c>
      <c r="G884" s="5" t="str">
        <f>IFERROR(__xludf.DUMMYFUNCTION("""COMPUTED_VALUE"""),"221🤙🏼Kahaani🤙🏼Indraneil Sengupta🤙🏼Estrela 3")</f>
        <v>221🤙🏼Kahaani🤙🏼Indraneil Sengupta🤙🏼Estrela 3</v>
      </c>
      <c r="H884" s="5">
        <f>IFERROR(__xludf.DUMMYFUNCTION("SPLiT(G884, ""🤙🏼"",FALSE,FALSE)"),221.0)</f>
        <v>221</v>
      </c>
      <c r="I884" s="5" t="str">
        <f>IFERROR(__xludf.DUMMYFUNCTION("""COMPUTED_VALUE"""),"Kahaani")</f>
        <v>Kahaani</v>
      </c>
      <c r="J884" s="5" t="str">
        <f>IFERROR(__xludf.DUMMYFUNCTION("""COMPUTED_VALUE"""),"Indraneil Sengupta")</f>
        <v>Indraneil Sengupta</v>
      </c>
      <c r="K884" s="5" t="str">
        <f>IFERROR(__xludf.DUMMYFUNCTION("""COMPUTED_VALUE"""),"Estrela 3")</f>
        <v>Estrela 3</v>
      </c>
      <c r="P884" s="5">
        <f>IFERROR(__xludf.DUMMYFUNCTION("""COMPUTED_VALUE"""),221.0)</f>
        <v>221</v>
      </c>
      <c r="Q884" s="5" t="str">
        <f>IFERROR(__xludf.DUMMYFUNCTION("""COMPUTED_VALUE"""),"Kahaani")</f>
        <v>Kahaani</v>
      </c>
      <c r="R884" s="5" t="str">
        <f>IFERROR(__xludf.DUMMYFUNCTION("""COMPUTED_VALUE"""),"Indraneil Sengupta")</f>
        <v>Indraneil Sengupta</v>
      </c>
      <c r="S884" s="5" t="str">
        <f>IFERROR(__xludf.DUMMYFUNCTION("""COMPUTED_VALUE"""),"Estrela 3")</f>
        <v>Estrela 3</v>
      </c>
    </row>
    <row r="885">
      <c r="A885" s="1">
        <v>884.0</v>
      </c>
      <c r="B885" s="1" t="s">
        <v>5076</v>
      </c>
      <c r="C885" s="1" t="s">
        <v>480</v>
      </c>
      <c r="D885" s="1" t="s">
        <v>5078</v>
      </c>
      <c r="E885" s="1" t="s">
        <v>5079</v>
      </c>
      <c r="F885" s="1" t="s">
        <v>2286</v>
      </c>
      <c r="G885" s="5" t="str">
        <f>IFERROR(__xludf.DUMMYFUNCTION("""COMPUTED_VALUE"""),"221🤙🏼Kahaani🤙🏼Nawazuddin Siddiqui🤙🏼Estrela 4")</f>
        <v>221🤙🏼Kahaani🤙🏼Nawazuddin Siddiqui🤙🏼Estrela 4</v>
      </c>
      <c r="H885" s="5">
        <f>IFERROR(__xludf.DUMMYFUNCTION("SPLiT(G885, ""🤙🏼"",FALSE,FALSE)"),221.0)</f>
        <v>221</v>
      </c>
      <c r="I885" s="5" t="str">
        <f>IFERROR(__xludf.DUMMYFUNCTION("""COMPUTED_VALUE"""),"Kahaani")</f>
        <v>Kahaani</v>
      </c>
      <c r="J885" s="5" t="str">
        <f>IFERROR(__xludf.DUMMYFUNCTION("""COMPUTED_VALUE"""),"Nawazuddin Siddiqui")</f>
        <v>Nawazuddin Siddiqui</v>
      </c>
      <c r="K885" s="5" t="str">
        <f>IFERROR(__xludf.DUMMYFUNCTION("""COMPUTED_VALUE"""),"Estrela 4")</f>
        <v>Estrela 4</v>
      </c>
      <c r="P885" s="5">
        <f>IFERROR(__xludf.DUMMYFUNCTION("""COMPUTED_VALUE"""),221.0)</f>
        <v>221</v>
      </c>
      <c r="Q885" s="5" t="str">
        <f>IFERROR(__xludf.DUMMYFUNCTION("""COMPUTED_VALUE"""),"Kahaani")</f>
        <v>Kahaani</v>
      </c>
      <c r="R885" s="5" t="str">
        <f>IFERROR(__xludf.DUMMYFUNCTION("""COMPUTED_VALUE"""),"Nawazuddin Siddiqui")</f>
        <v>Nawazuddin Siddiqui</v>
      </c>
      <c r="S885" s="5" t="str">
        <f>IFERROR(__xludf.DUMMYFUNCTION("""COMPUTED_VALUE"""),"Estrela 4")</f>
        <v>Estrela 4</v>
      </c>
    </row>
    <row r="886">
      <c r="A886" s="1">
        <v>885.0</v>
      </c>
      <c r="B886" s="1" t="s">
        <v>5080</v>
      </c>
      <c r="C886" s="1" t="s">
        <v>5083</v>
      </c>
      <c r="D886" s="1" t="s">
        <v>5084</v>
      </c>
      <c r="E886" s="1" t="s">
        <v>5085</v>
      </c>
      <c r="F886" s="1" t="s">
        <v>5086</v>
      </c>
      <c r="G886" s="5" t="str">
        <f>IFERROR(__xludf.DUMMYFUNCTION("""COMPUTED_VALUE"""),"222🤙🏼Zindagi Na Milegi Dobara🤙🏼Hrithik Roshan🤙🏼Estrela 1")</f>
        <v>222🤙🏼Zindagi Na Milegi Dobara🤙🏼Hrithik Roshan🤙🏼Estrela 1</v>
      </c>
      <c r="H886" s="5">
        <f>IFERROR(__xludf.DUMMYFUNCTION("SPLiT(G886, ""🤙🏼"",FALSE,FALSE)"),222.0)</f>
        <v>222</v>
      </c>
      <c r="I886" s="5" t="str">
        <f>IFERROR(__xludf.DUMMYFUNCTION("""COMPUTED_VALUE"""),"Zindagi Na Milegi Dobara")</f>
        <v>Zindagi Na Milegi Dobara</v>
      </c>
      <c r="J886" s="5" t="str">
        <f>IFERROR(__xludf.DUMMYFUNCTION("""COMPUTED_VALUE"""),"Hrithik Roshan")</f>
        <v>Hrithik Roshan</v>
      </c>
      <c r="K886" s="5" t="str">
        <f>IFERROR(__xludf.DUMMYFUNCTION("""COMPUTED_VALUE"""),"Estrela 1")</f>
        <v>Estrela 1</v>
      </c>
      <c r="P886" s="5">
        <f>IFERROR(__xludf.DUMMYFUNCTION("""COMPUTED_VALUE"""),222.0)</f>
        <v>222</v>
      </c>
      <c r="Q886" s="5" t="str">
        <f>IFERROR(__xludf.DUMMYFUNCTION("""COMPUTED_VALUE"""),"Zindagi Na Milegi Dobara")</f>
        <v>Zindagi Na Milegi Dobara</v>
      </c>
      <c r="R886" s="5" t="str">
        <f>IFERROR(__xludf.DUMMYFUNCTION("""COMPUTED_VALUE"""),"Hrithik Roshan")</f>
        <v>Hrithik Roshan</v>
      </c>
      <c r="S886" s="5" t="str">
        <f>IFERROR(__xludf.DUMMYFUNCTION("""COMPUTED_VALUE"""),"Estrela 1")</f>
        <v>Estrela 1</v>
      </c>
    </row>
    <row r="887">
      <c r="A887" s="1">
        <v>886.0</v>
      </c>
      <c r="B887" s="1" t="s">
        <v>5087</v>
      </c>
      <c r="C887" s="1" t="s">
        <v>5090</v>
      </c>
      <c r="D887" s="1" t="s">
        <v>5091</v>
      </c>
      <c r="E887" s="1" t="s">
        <v>5092</v>
      </c>
      <c r="F887" s="1" t="s">
        <v>5093</v>
      </c>
      <c r="G887" s="5" t="str">
        <f>IFERROR(__xludf.DUMMYFUNCTION("""COMPUTED_VALUE"""),"222🤙🏼Zindagi Na Milegi Dobara🤙🏼Farhan Akhtar🤙🏼Estrela 2")</f>
        <v>222🤙🏼Zindagi Na Milegi Dobara🤙🏼Farhan Akhtar🤙🏼Estrela 2</v>
      </c>
      <c r="H887" s="5">
        <f>IFERROR(__xludf.DUMMYFUNCTION("SPLiT(G887, ""🤙🏼"",FALSE,FALSE)"),222.0)</f>
        <v>222</v>
      </c>
      <c r="I887" s="5" t="str">
        <f>IFERROR(__xludf.DUMMYFUNCTION("""COMPUTED_VALUE"""),"Zindagi Na Milegi Dobara")</f>
        <v>Zindagi Na Milegi Dobara</v>
      </c>
      <c r="J887" s="5" t="str">
        <f>IFERROR(__xludf.DUMMYFUNCTION("""COMPUTED_VALUE"""),"Farhan Akhtar")</f>
        <v>Farhan Akhtar</v>
      </c>
      <c r="K887" s="5" t="str">
        <f>IFERROR(__xludf.DUMMYFUNCTION("""COMPUTED_VALUE"""),"Estrela 2")</f>
        <v>Estrela 2</v>
      </c>
      <c r="P887" s="5">
        <f>IFERROR(__xludf.DUMMYFUNCTION("""COMPUTED_VALUE"""),222.0)</f>
        <v>222</v>
      </c>
      <c r="Q887" s="5" t="str">
        <f>IFERROR(__xludf.DUMMYFUNCTION("""COMPUTED_VALUE"""),"Zindagi Na Milegi Dobara")</f>
        <v>Zindagi Na Milegi Dobara</v>
      </c>
      <c r="R887" s="5" t="str">
        <f>IFERROR(__xludf.DUMMYFUNCTION("""COMPUTED_VALUE"""),"Farhan Akhtar")</f>
        <v>Farhan Akhtar</v>
      </c>
      <c r="S887" s="5" t="str">
        <f>IFERROR(__xludf.DUMMYFUNCTION("""COMPUTED_VALUE"""),"Estrela 2")</f>
        <v>Estrela 2</v>
      </c>
    </row>
    <row r="888">
      <c r="A888" s="1">
        <v>887.0</v>
      </c>
      <c r="B888" s="1" t="s">
        <v>5094</v>
      </c>
      <c r="C888" s="1" t="s">
        <v>5097</v>
      </c>
      <c r="D888" s="1" t="s">
        <v>5098</v>
      </c>
      <c r="E888" s="1" t="s">
        <v>5099</v>
      </c>
      <c r="F888" s="1" t="s">
        <v>5100</v>
      </c>
      <c r="G888" s="5" t="str">
        <f>IFERROR(__xludf.DUMMYFUNCTION("""COMPUTED_VALUE"""),"222🤙🏼Zindagi Na Milegi Dobara🤙🏼Abhay Deol🤙🏼Estrela 3")</f>
        <v>222🤙🏼Zindagi Na Milegi Dobara🤙🏼Abhay Deol🤙🏼Estrela 3</v>
      </c>
      <c r="H888" s="5">
        <f>IFERROR(__xludf.DUMMYFUNCTION("SPLiT(G888, ""🤙🏼"",FALSE,FALSE)"),222.0)</f>
        <v>222</v>
      </c>
      <c r="I888" s="5" t="str">
        <f>IFERROR(__xludf.DUMMYFUNCTION("""COMPUTED_VALUE"""),"Zindagi Na Milegi Dobara")</f>
        <v>Zindagi Na Milegi Dobara</v>
      </c>
      <c r="J888" s="5" t="str">
        <f>IFERROR(__xludf.DUMMYFUNCTION("""COMPUTED_VALUE"""),"Abhay Deol")</f>
        <v>Abhay Deol</v>
      </c>
      <c r="K888" s="5" t="str">
        <f>IFERROR(__xludf.DUMMYFUNCTION("""COMPUTED_VALUE"""),"Estrela 3")</f>
        <v>Estrela 3</v>
      </c>
      <c r="P888" s="5">
        <f>IFERROR(__xludf.DUMMYFUNCTION("""COMPUTED_VALUE"""),222.0)</f>
        <v>222</v>
      </c>
      <c r="Q888" s="5" t="str">
        <f>IFERROR(__xludf.DUMMYFUNCTION("""COMPUTED_VALUE"""),"Zindagi Na Milegi Dobara")</f>
        <v>Zindagi Na Milegi Dobara</v>
      </c>
      <c r="R888" s="5" t="str">
        <f>IFERROR(__xludf.DUMMYFUNCTION("""COMPUTED_VALUE"""),"Abhay Deol")</f>
        <v>Abhay Deol</v>
      </c>
      <c r="S888" s="5" t="str">
        <f>IFERROR(__xludf.DUMMYFUNCTION("""COMPUTED_VALUE"""),"Estrela 3")</f>
        <v>Estrela 3</v>
      </c>
    </row>
    <row r="889">
      <c r="A889" s="1">
        <v>888.0</v>
      </c>
      <c r="B889" s="1" t="s">
        <v>5101</v>
      </c>
      <c r="C889" s="1" t="s">
        <v>2243</v>
      </c>
      <c r="D889" s="1" t="s">
        <v>2246</v>
      </c>
      <c r="E889" s="1" t="s">
        <v>2250</v>
      </c>
      <c r="F889" s="1" t="s">
        <v>2244</v>
      </c>
      <c r="G889" s="5" t="str">
        <f>IFERROR(__xludf.DUMMYFUNCTION("""COMPUTED_VALUE"""),"222🤙🏼Zindagi Na Milegi Dobara🤙🏼Katrina Kaif🤙🏼Estrela 4")</f>
        <v>222🤙🏼Zindagi Na Milegi Dobara🤙🏼Katrina Kaif🤙🏼Estrela 4</v>
      </c>
      <c r="H889" s="5">
        <f>IFERROR(__xludf.DUMMYFUNCTION("SPLiT(G889, ""🤙🏼"",FALSE,FALSE)"),222.0)</f>
        <v>222</v>
      </c>
      <c r="I889" s="5" t="str">
        <f>IFERROR(__xludf.DUMMYFUNCTION("""COMPUTED_VALUE"""),"Zindagi Na Milegi Dobara")</f>
        <v>Zindagi Na Milegi Dobara</v>
      </c>
      <c r="J889" s="5" t="str">
        <f>IFERROR(__xludf.DUMMYFUNCTION("""COMPUTED_VALUE"""),"Katrina Kaif")</f>
        <v>Katrina Kaif</v>
      </c>
      <c r="K889" s="5" t="str">
        <f>IFERROR(__xludf.DUMMYFUNCTION("""COMPUTED_VALUE"""),"Estrela 4")</f>
        <v>Estrela 4</v>
      </c>
      <c r="P889" s="5">
        <f>IFERROR(__xludf.DUMMYFUNCTION("""COMPUTED_VALUE"""),222.0)</f>
        <v>222</v>
      </c>
      <c r="Q889" s="5" t="str">
        <f>IFERROR(__xludf.DUMMYFUNCTION("""COMPUTED_VALUE"""),"Zindagi Na Milegi Dobara")</f>
        <v>Zindagi Na Milegi Dobara</v>
      </c>
      <c r="R889" s="5" t="str">
        <f>IFERROR(__xludf.DUMMYFUNCTION("""COMPUTED_VALUE"""),"Katrina Kaif")</f>
        <v>Katrina Kaif</v>
      </c>
      <c r="S889" s="5" t="str">
        <f>IFERROR(__xludf.DUMMYFUNCTION("""COMPUTED_VALUE"""),"Estrela 4")</f>
        <v>Estrela 4</v>
      </c>
    </row>
    <row r="890">
      <c r="A890" s="1">
        <v>889.0</v>
      </c>
      <c r="B890" s="1" t="s">
        <v>5103</v>
      </c>
      <c r="C890" s="1" t="s">
        <v>4363</v>
      </c>
      <c r="D890" s="1" t="s">
        <v>1512</v>
      </c>
      <c r="E890" s="1" t="s">
        <v>5105</v>
      </c>
      <c r="F890" s="1" t="s">
        <v>5106</v>
      </c>
      <c r="G890" s="5" t="str">
        <f>IFERROR(__xludf.DUMMYFUNCTION("""COMPUTED_VALUE"""),"223🤙🏼Prisoners🤙🏼Hugh Jackman🤙🏼Estrela 1")</f>
        <v>223🤙🏼Prisoners🤙🏼Hugh Jackman🤙🏼Estrela 1</v>
      </c>
      <c r="H890" s="5">
        <f>IFERROR(__xludf.DUMMYFUNCTION("SPLiT(G890, ""🤙🏼"",FALSE,FALSE)"),223.0)</f>
        <v>223</v>
      </c>
      <c r="I890" s="5" t="str">
        <f>IFERROR(__xludf.DUMMYFUNCTION("""COMPUTED_VALUE"""),"Prisoners")</f>
        <v>Prisoners</v>
      </c>
      <c r="J890" s="5" t="str">
        <f>IFERROR(__xludf.DUMMYFUNCTION("""COMPUTED_VALUE"""),"Hugh Jackman")</f>
        <v>Hugh Jackman</v>
      </c>
      <c r="K890" s="5" t="str">
        <f>IFERROR(__xludf.DUMMYFUNCTION("""COMPUTED_VALUE"""),"Estrela 1")</f>
        <v>Estrela 1</v>
      </c>
      <c r="P890" s="5">
        <f>IFERROR(__xludf.DUMMYFUNCTION("""COMPUTED_VALUE"""),223.0)</f>
        <v>223</v>
      </c>
      <c r="Q890" s="5" t="str">
        <f>IFERROR(__xludf.DUMMYFUNCTION("""COMPUTED_VALUE"""),"Prisoners")</f>
        <v>Prisoners</v>
      </c>
      <c r="R890" s="5" t="str">
        <f>IFERROR(__xludf.DUMMYFUNCTION("""COMPUTED_VALUE"""),"Hugh Jackman")</f>
        <v>Hugh Jackman</v>
      </c>
      <c r="S890" s="5" t="str">
        <f>IFERROR(__xludf.DUMMYFUNCTION("""COMPUTED_VALUE"""),"Estrela 1")</f>
        <v>Estrela 1</v>
      </c>
    </row>
    <row r="891">
      <c r="A891" s="1">
        <v>890.0</v>
      </c>
      <c r="B891" s="1" t="s">
        <v>5107</v>
      </c>
      <c r="C891" s="1" t="s">
        <v>1616</v>
      </c>
      <c r="D891" s="1" t="s">
        <v>290</v>
      </c>
      <c r="E891" s="1" t="s">
        <v>1727</v>
      </c>
      <c r="F891" s="1" t="s">
        <v>742</v>
      </c>
      <c r="G891" s="5" t="str">
        <f>IFERROR(__xludf.DUMMYFUNCTION("""COMPUTED_VALUE"""),"223🤙🏼Prisoners🤙🏼Jake Gyllenhaal🤙🏼Estrela 2")</f>
        <v>223🤙🏼Prisoners🤙🏼Jake Gyllenhaal🤙🏼Estrela 2</v>
      </c>
      <c r="H891" s="5">
        <f>IFERROR(__xludf.DUMMYFUNCTION("SPLiT(G891, ""🤙🏼"",FALSE,FALSE)"),223.0)</f>
        <v>223</v>
      </c>
      <c r="I891" s="5" t="str">
        <f>IFERROR(__xludf.DUMMYFUNCTION("""COMPUTED_VALUE"""),"Prisoners")</f>
        <v>Prisoners</v>
      </c>
      <c r="J891" s="5" t="str">
        <f>IFERROR(__xludf.DUMMYFUNCTION("""COMPUTED_VALUE"""),"Jake Gyllenhaal")</f>
        <v>Jake Gyllenhaal</v>
      </c>
      <c r="K891" s="5" t="str">
        <f>IFERROR(__xludf.DUMMYFUNCTION("""COMPUTED_VALUE"""),"Estrela 2")</f>
        <v>Estrela 2</v>
      </c>
      <c r="P891" s="5">
        <f>IFERROR(__xludf.DUMMYFUNCTION("""COMPUTED_VALUE"""),223.0)</f>
        <v>223</v>
      </c>
      <c r="Q891" s="5" t="str">
        <f>IFERROR(__xludf.DUMMYFUNCTION("""COMPUTED_VALUE"""),"Prisoners")</f>
        <v>Prisoners</v>
      </c>
      <c r="R891" s="5" t="str">
        <f>IFERROR(__xludf.DUMMYFUNCTION("""COMPUTED_VALUE"""),"Jake Gyllenhaal")</f>
        <v>Jake Gyllenhaal</v>
      </c>
      <c r="S891" s="5" t="str">
        <f>IFERROR(__xludf.DUMMYFUNCTION("""COMPUTED_VALUE"""),"Estrela 2")</f>
        <v>Estrela 2</v>
      </c>
    </row>
    <row r="892">
      <c r="A892" s="1">
        <v>891.0</v>
      </c>
      <c r="B892" s="1" t="s">
        <v>5110</v>
      </c>
      <c r="C892" s="1" t="s">
        <v>110</v>
      </c>
      <c r="D892" s="1" t="s">
        <v>3540</v>
      </c>
      <c r="E892" s="1" t="s">
        <v>5112</v>
      </c>
      <c r="F892" s="1" t="s">
        <v>4485</v>
      </c>
      <c r="G892" s="5" t="str">
        <f>IFERROR(__xludf.DUMMYFUNCTION("""COMPUTED_VALUE"""),"223🤙🏼Prisoners🤙🏼Viola Davis🤙🏼Estrela 3")</f>
        <v>223🤙🏼Prisoners🤙🏼Viola Davis🤙🏼Estrela 3</v>
      </c>
      <c r="H892" s="5">
        <f>IFERROR(__xludf.DUMMYFUNCTION("SPLiT(G892, ""🤙🏼"",FALSE,FALSE)"),223.0)</f>
        <v>223</v>
      </c>
      <c r="I892" s="5" t="str">
        <f>IFERROR(__xludf.DUMMYFUNCTION("""COMPUTED_VALUE"""),"Prisoners")</f>
        <v>Prisoners</v>
      </c>
      <c r="J892" s="5" t="str">
        <f>IFERROR(__xludf.DUMMYFUNCTION("""COMPUTED_VALUE"""),"Viola Davis")</f>
        <v>Viola Davis</v>
      </c>
      <c r="K892" s="5" t="str">
        <f>IFERROR(__xludf.DUMMYFUNCTION("""COMPUTED_VALUE"""),"Estrela 3")</f>
        <v>Estrela 3</v>
      </c>
      <c r="P892" s="5">
        <f>IFERROR(__xludf.DUMMYFUNCTION("""COMPUTED_VALUE"""),223.0)</f>
        <v>223</v>
      </c>
      <c r="Q892" s="5" t="str">
        <f>IFERROR(__xludf.DUMMYFUNCTION("""COMPUTED_VALUE"""),"Prisoners")</f>
        <v>Prisoners</v>
      </c>
      <c r="R892" s="5" t="str">
        <f>IFERROR(__xludf.DUMMYFUNCTION("""COMPUTED_VALUE"""),"Viola Davis")</f>
        <v>Viola Davis</v>
      </c>
      <c r="S892" s="5" t="str">
        <f>IFERROR(__xludf.DUMMYFUNCTION("""COMPUTED_VALUE"""),"Estrela 3")</f>
        <v>Estrela 3</v>
      </c>
    </row>
    <row r="893">
      <c r="A893" s="1">
        <v>892.0</v>
      </c>
      <c r="B893" s="1" t="s">
        <v>5113</v>
      </c>
      <c r="C893" s="1" t="s">
        <v>2459</v>
      </c>
      <c r="D893" s="1" t="s">
        <v>2460</v>
      </c>
      <c r="E893" s="1" t="s">
        <v>5115</v>
      </c>
      <c r="F893" s="1" t="s">
        <v>5116</v>
      </c>
      <c r="G893" s="5" t="str">
        <f>IFERROR(__xludf.DUMMYFUNCTION("""COMPUTED_VALUE"""),"223🤙🏼Prisoners🤙🏼Melissa Leo🤙🏼Estrela 4")</f>
        <v>223🤙🏼Prisoners🤙🏼Melissa Leo🤙🏼Estrela 4</v>
      </c>
      <c r="H893" s="5">
        <f>IFERROR(__xludf.DUMMYFUNCTION("SPLiT(G893, ""🤙🏼"",FALSE,FALSE)"),223.0)</f>
        <v>223</v>
      </c>
      <c r="I893" s="5" t="str">
        <f>IFERROR(__xludf.DUMMYFUNCTION("""COMPUTED_VALUE"""),"Prisoners")</f>
        <v>Prisoners</v>
      </c>
      <c r="J893" s="5" t="str">
        <f>IFERROR(__xludf.DUMMYFUNCTION("""COMPUTED_VALUE"""),"Melissa Leo")</f>
        <v>Melissa Leo</v>
      </c>
      <c r="K893" s="5" t="str">
        <f>IFERROR(__xludf.DUMMYFUNCTION("""COMPUTED_VALUE"""),"Estrela 4")</f>
        <v>Estrela 4</v>
      </c>
      <c r="P893" s="5">
        <f>IFERROR(__xludf.DUMMYFUNCTION("""COMPUTED_VALUE"""),223.0)</f>
        <v>223</v>
      </c>
      <c r="Q893" s="5" t="str">
        <f>IFERROR(__xludf.DUMMYFUNCTION("""COMPUTED_VALUE"""),"Prisoners")</f>
        <v>Prisoners</v>
      </c>
      <c r="R893" s="5" t="str">
        <f>IFERROR(__xludf.DUMMYFUNCTION("""COMPUTED_VALUE"""),"Melissa Leo")</f>
        <v>Melissa Leo</v>
      </c>
      <c r="S893" s="5" t="str">
        <f>IFERROR(__xludf.DUMMYFUNCTION("""COMPUTED_VALUE"""),"Estrela 4")</f>
        <v>Estrela 4</v>
      </c>
    </row>
    <row r="894">
      <c r="A894" s="1">
        <v>893.0</v>
      </c>
      <c r="B894" s="1" t="s">
        <v>5117</v>
      </c>
      <c r="C894" s="1" t="s">
        <v>2589</v>
      </c>
      <c r="D894" s="1" t="s">
        <v>3645</v>
      </c>
      <c r="E894" s="1" t="s">
        <v>3646</v>
      </c>
      <c r="F894" s="1" t="s">
        <v>5119</v>
      </c>
      <c r="G894" s="5" t="str">
        <f>IFERROR(__xludf.DUMMYFUNCTION("""COMPUTED_VALUE"""),"224🤙🏼Mad Max: Fury Road🤙🏼Tom Hardy🤙🏼Estrela 1")</f>
        <v>224🤙🏼Mad Max: Fury Road🤙🏼Tom Hardy🤙🏼Estrela 1</v>
      </c>
      <c r="H894" s="5">
        <f>IFERROR(__xludf.DUMMYFUNCTION("SPLiT(G894, ""🤙🏼"",FALSE,FALSE)"),224.0)</f>
        <v>224</v>
      </c>
      <c r="I894" s="5" t="str">
        <f>IFERROR(__xludf.DUMMYFUNCTION("""COMPUTED_VALUE"""),"Mad Max: Fury Road")</f>
        <v>Mad Max: Fury Road</v>
      </c>
      <c r="J894" s="5" t="str">
        <f>IFERROR(__xludf.DUMMYFUNCTION("""COMPUTED_VALUE"""),"Tom Hardy")</f>
        <v>Tom Hardy</v>
      </c>
      <c r="K894" s="5" t="str">
        <f>IFERROR(__xludf.DUMMYFUNCTION("""COMPUTED_VALUE"""),"Estrela 1")</f>
        <v>Estrela 1</v>
      </c>
      <c r="P894" s="5">
        <f>IFERROR(__xludf.DUMMYFUNCTION("""COMPUTED_VALUE"""),224.0)</f>
        <v>224</v>
      </c>
      <c r="Q894" s="5" t="str">
        <f>IFERROR(__xludf.DUMMYFUNCTION("""COMPUTED_VALUE"""),"Mad Max: Fury Road")</f>
        <v>Mad Max: Fury Road</v>
      </c>
      <c r="R894" s="5" t="str">
        <f>IFERROR(__xludf.DUMMYFUNCTION("""COMPUTED_VALUE"""),"Tom Hardy")</f>
        <v>Tom Hardy</v>
      </c>
      <c r="S894" s="5" t="str">
        <f>IFERROR(__xludf.DUMMYFUNCTION("""COMPUTED_VALUE"""),"Estrela 1")</f>
        <v>Estrela 1</v>
      </c>
    </row>
    <row r="895">
      <c r="A895" s="1">
        <v>894.0</v>
      </c>
      <c r="B895" s="1" t="s">
        <v>5120</v>
      </c>
      <c r="C895" s="1" t="s">
        <v>3039</v>
      </c>
      <c r="D895" s="1" t="s">
        <v>1616</v>
      </c>
      <c r="E895" s="1" t="s">
        <v>735</v>
      </c>
      <c r="F895" s="1" t="s">
        <v>1512</v>
      </c>
      <c r="G895" s="5" t="str">
        <f>IFERROR(__xludf.DUMMYFUNCTION("""COMPUTED_VALUE"""),"224🤙🏼Mad Max: Fury Road🤙🏼Charlize Theron🤙🏼Estrela 2")</f>
        <v>224🤙🏼Mad Max: Fury Road🤙🏼Charlize Theron🤙🏼Estrela 2</v>
      </c>
      <c r="H895" s="5">
        <f>IFERROR(__xludf.DUMMYFUNCTION("SPLiT(G895, ""🤙🏼"",FALSE,FALSE)"),224.0)</f>
        <v>224</v>
      </c>
      <c r="I895" s="5" t="str">
        <f>IFERROR(__xludf.DUMMYFUNCTION("""COMPUTED_VALUE"""),"Mad Max: Fury Road")</f>
        <v>Mad Max: Fury Road</v>
      </c>
      <c r="J895" s="5" t="str">
        <f>IFERROR(__xludf.DUMMYFUNCTION("""COMPUTED_VALUE"""),"Charlize Theron")</f>
        <v>Charlize Theron</v>
      </c>
      <c r="K895" s="5" t="str">
        <f>IFERROR(__xludf.DUMMYFUNCTION("""COMPUTED_VALUE"""),"Estrela 2")</f>
        <v>Estrela 2</v>
      </c>
      <c r="P895" s="5">
        <f>IFERROR(__xludf.DUMMYFUNCTION("""COMPUTED_VALUE"""),224.0)</f>
        <v>224</v>
      </c>
      <c r="Q895" s="5" t="str">
        <f>IFERROR(__xludf.DUMMYFUNCTION("""COMPUTED_VALUE"""),"Mad Max: Fury Road")</f>
        <v>Mad Max: Fury Road</v>
      </c>
      <c r="R895" s="5" t="str">
        <f>IFERROR(__xludf.DUMMYFUNCTION("""COMPUTED_VALUE"""),"Charlize Theron")</f>
        <v>Charlize Theron</v>
      </c>
      <c r="S895" s="5" t="str">
        <f>IFERROR(__xludf.DUMMYFUNCTION("""COMPUTED_VALUE"""),"Estrela 2")</f>
        <v>Estrela 2</v>
      </c>
    </row>
    <row r="896">
      <c r="A896" s="1">
        <v>895.0</v>
      </c>
      <c r="B896" s="1" t="s">
        <v>5122</v>
      </c>
      <c r="C896" s="1" t="s">
        <v>5074</v>
      </c>
      <c r="D896" s="1" t="s">
        <v>1893</v>
      </c>
      <c r="E896" s="1" t="s">
        <v>5125</v>
      </c>
      <c r="F896" s="1" t="s">
        <v>5126</v>
      </c>
      <c r="G896" s="5" t="str">
        <f>IFERROR(__xludf.DUMMYFUNCTION("""COMPUTED_VALUE"""),"224🤙🏼Mad Max: Fury Road🤙🏼Nicholas Hoult🤙🏼Estrela 3")</f>
        <v>224🤙🏼Mad Max: Fury Road🤙🏼Nicholas Hoult🤙🏼Estrela 3</v>
      </c>
      <c r="H896" s="5">
        <f>IFERROR(__xludf.DUMMYFUNCTION("SPLiT(G896, ""🤙🏼"",FALSE,FALSE)"),224.0)</f>
        <v>224</v>
      </c>
      <c r="I896" s="5" t="str">
        <f>IFERROR(__xludf.DUMMYFUNCTION("""COMPUTED_VALUE"""),"Mad Max: Fury Road")</f>
        <v>Mad Max: Fury Road</v>
      </c>
      <c r="J896" s="5" t="str">
        <f>IFERROR(__xludf.DUMMYFUNCTION("""COMPUTED_VALUE"""),"Nicholas Hoult")</f>
        <v>Nicholas Hoult</v>
      </c>
      <c r="K896" s="5" t="str">
        <f>IFERROR(__xludf.DUMMYFUNCTION("""COMPUTED_VALUE"""),"Estrela 3")</f>
        <v>Estrela 3</v>
      </c>
      <c r="P896" s="5">
        <f>IFERROR(__xludf.DUMMYFUNCTION("""COMPUTED_VALUE"""),224.0)</f>
        <v>224</v>
      </c>
      <c r="Q896" s="5" t="str">
        <f>IFERROR(__xludf.DUMMYFUNCTION("""COMPUTED_VALUE"""),"Mad Max: Fury Road")</f>
        <v>Mad Max: Fury Road</v>
      </c>
      <c r="R896" s="5" t="str">
        <f>IFERROR(__xludf.DUMMYFUNCTION("""COMPUTED_VALUE"""),"Nicholas Hoult")</f>
        <v>Nicholas Hoult</v>
      </c>
      <c r="S896" s="5" t="str">
        <f>IFERROR(__xludf.DUMMYFUNCTION("""COMPUTED_VALUE"""),"Estrela 3")</f>
        <v>Estrela 3</v>
      </c>
    </row>
    <row r="897">
      <c r="A897" s="1">
        <v>896.0</v>
      </c>
      <c r="B897" s="1" t="s">
        <v>5127</v>
      </c>
      <c r="C897" s="1" t="s">
        <v>5129</v>
      </c>
      <c r="D897" s="1" t="s">
        <v>5130</v>
      </c>
      <c r="E897" s="1" t="s">
        <v>5131</v>
      </c>
      <c r="F897" s="1" t="s">
        <v>5132</v>
      </c>
      <c r="G897" s="5" t="str">
        <f>IFERROR(__xludf.DUMMYFUNCTION("""COMPUTED_VALUE"""),"224🤙🏼Mad Max: Fury Road🤙🏼Zoë Kravitz🤙🏼Estrela 4")</f>
        <v>224🤙🏼Mad Max: Fury Road🤙🏼Zoë Kravitz🤙🏼Estrela 4</v>
      </c>
      <c r="H897" s="5">
        <f>IFERROR(__xludf.DUMMYFUNCTION("SPLiT(G897, ""🤙🏼"",FALSE,FALSE)"),224.0)</f>
        <v>224</v>
      </c>
      <c r="I897" s="5" t="str">
        <f>IFERROR(__xludf.DUMMYFUNCTION("""COMPUTED_VALUE"""),"Mad Max: Fury Road")</f>
        <v>Mad Max: Fury Road</v>
      </c>
      <c r="J897" s="5" t="str">
        <f>IFERROR(__xludf.DUMMYFUNCTION("""COMPUTED_VALUE"""),"Zoë Kravitz")</f>
        <v>Zoë Kravitz</v>
      </c>
      <c r="K897" s="5" t="str">
        <f>IFERROR(__xludf.DUMMYFUNCTION("""COMPUTED_VALUE"""),"Estrela 4")</f>
        <v>Estrela 4</v>
      </c>
      <c r="P897" s="5">
        <f>IFERROR(__xludf.DUMMYFUNCTION("""COMPUTED_VALUE"""),224.0)</f>
        <v>224</v>
      </c>
      <c r="Q897" s="5" t="str">
        <f>IFERROR(__xludf.DUMMYFUNCTION("""COMPUTED_VALUE"""),"Mad Max: Fury Road")</f>
        <v>Mad Max: Fury Road</v>
      </c>
      <c r="R897" s="5" t="str">
        <f>IFERROR(__xludf.DUMMYFUNCTION("""COMPUTED_VALUE"""),"Zoë Kravitz")</f>
        <v>Zoë Kravitz</v>
      </c>
      <c r="S897" s="5" t="str">
        <f>IFERROR(__xludf.DUMMYFUNCTION("""COMPUTED_VALUE"""),"Estrela 4")</f>
        <v>Estrela 4</v>
      </c>
    </row>
    <row r="898">
      <c r="A898" s="1">
        <v>897.0</v>
      </c>
      <c r="B898" s="1" t="s">
        <v>5133</v>
      </c>
      <c r="C898" s="1" t="s">
        <v>3100</v>
      </c>
      <c r="D898" s="1" t="s">
        <v>4563</v>
      </c>
      <c r="E898" s="1" t="s">
        <v>1727</v>
      </c>
      <c r="F898" s="1" t="s">
        <v>5136</v>
      </c>
      <c r="G898" s="5" t="str">
        <f>IFERROR(__xludf.DUMMYFUNCTION("""COMPUTED_VALUE"""),"225🤙🏼A Wednesday🤙🏼Anupam Kher🤙🏼Estrela 1")</f>
        <v>225🤙🏼A Wednesday🤙🏼Anupam Kher🤙🏼Estrela 1</v>
      </c>
      <c r="H898" s="5">
        <f>IFERROR(__xludf.DUMMYFUNCTION("SPLiT(G898, ""🤙🏼"",FALSE,FALSE)"),225.0)</f>
        <v>225</v>
      </c>
      <c r="I898" s="5" t="str">
        <f>IFERROR(__xludf.DUMMYFUNCTION("""COMPUTED_VALUE"""),"A Wednesday")</f>
        <v>A Wednesday</v>
      </c>
      <c r="J898" s="5" t="str">
        <f>IFERROR(__xludf.DUMMYFUNCTION("""COMPUTED_VALUE"""),"Anupam Kher")</f>
        <v>Anupam Kher</v>
      </c>
      <c r="K898" s="5" t="str">
        <f>IFERROR(__xludf.DUMMYFUNCTION("""COMPUTED_VALUE"""),"Estrela 1")</f>
        <v>Estrela 1</v>
      </c>
      <c r="P898" s="5">
        <f>IFERROR(__xludf.DUMMYFUNCTION("""COMPUTED_VALUE"""),225.0)</f>
        <v>225</v>
      </c>
      <c r="Q898" s="5" t="str">
        <f>IFERROR(__xludf.DUMMYFUNCTION("""COMPUTED_VALUE"""),"A Wednesday")</f>
        <v>A Wednesday</v>
      </c>
      <c r="R898" s="5" t="str">
        <f>IFERROR(__xludf.DUMMYFUNCTION("""COMPUTED_VALUE"""),"Anupam Kher")</f>
        <v>Anupam Kher</v>
      </c>
      <c r="S898" s="5" t="str">
        <f>IFERROR(__xludf.DUMMYFUNCTION("""COMPUTED_VALUE"""),"Estrela 1")</f>
        <v>Estrela 1</v>
      </c>
    </row>
    <row r="899">
      <c r="A899" s="1">
        <v>898.0</v>
      </c>
      <c r="B899" s="1" t="s">
        <v>5137</v>
      </c>
      <c r="C899" s="1" t="s">
        <v>2411</v>
      </c>
      <c r="D899" s="1" t="s">
        <v>5140</v>
      </c>
      <c r="E899" s="1" t="s">
        <v>5141</v>
      </c>
      <c r="F899" s="1" t="s">
        <v>5142</v>
      </c>
      <c r="G899" s="5" t="str">
        <f>IFERROR(__xludf.DUMMYFUNCTION("""COMPUTED_VALUE"""),"225🤙🏼A Wednesday🤙🏼Naseeruddin Shah🤙🏼Estrela 2")</f>
        <v>225🤙🏼A Wednesday🤙🏼Naseeruddin Shah🤙🏼Estrela 2</v>
      </c>
      <c r="H899" s="5">
        <f>IFERROR(__xludf.DUMMYFUNCTION("SPLiT(G899, ""🤙🏼"",FALSE,FALSE)"),225.0)</f>
        <v>225</v>
      </c>
      <c r="I899" s="5" t="str">
        <f>IFERROR(__xludf.DUMMYFUNCTION("""COMPUTED_VALUE"""),"A Wednesday")</f>
        <v>A Wednesday</v>
      </c>
      <c r="J899" s="5" t="str">
        <f>IFERROR(__xludf.DUMMYFUNCTION("""COMPUTED_VALUE"""),"Naseeruddin Shah")</f>
        <v>Naseeruddin Shah</v>
      </c>
      <c r="K899" s="5" t="str">
        <f>IFERROR(__xludf.DUMMYFUNCTION("""COMPUTED_VALUE"""),"Estrela 2")</f>
        <v>Estrela 2</v>
      </c>
      <c r="P899" s="5">
        <f>IFERROR(__xludf.DUMMYFUNCTION("""COMPUTED_VALUE"""),225.0)</f>
        <v>225</v>
      </c>
      <c r="Q899" s="5" t="str">
        <f>IFERROR(__xludf.DUMMYFUNCTION("""COMPUTED_VALUE"""),"A Wednesday")</f>
        <v>A Wednesday</v>
      </c>
      <c r="R899" s="5" t="str">
        <f>IFERROR(__xludf.DUMMYFUNCTION("""COMPUTED_VALUE"""),"Naseeruddin Shah")</f>
        <v>Naseeruddin Shah</v>
      </c>
      <c r="S899" s="5" t="str">
        <f>IFERROR(__xludf.DUMMYFUNCTION("""COMPUTED_VALUE"""),"Estrela 2")</f>
        <v>Estrela 2</v>
      </c>
    </row>
    <row r="900">
      <c r="A900" s="1">
        <v>899.0</v>
      </c>
      <c r="B900" s="1" t="s">
        <v>5143</v>
      </c>
      <c r="C900" s="1" t="s">
        <v>347</v>
      </c>
      <c r="D900" s="1" t="s">
        <v>5146</v>
      </c>
      <c r="E900" s="1" t="s">
        <v>3783</v>
      </c>
      <c r="F900" s="1" t="s">
        <v>5147</v>
      </c>
      <c r="G900" s="5" t="str">
        <f>IFERROR(__xludf.DUMMYFUNCTION("""COMPUTED_VALUE"""),"225🤙🏼A Wednesday🤙🏼Jimmy Sheirgill🤙🏼Estrela 3")</f>
        <v>225🤙🏼A Wednesday🤙🏼Jimmy Sheirgill🤙🏼Estrela 3</v>
      </c>
      <c r="H900" s="5">
        <f>IFERROR(__xludf.DUMMYFUNCTION("SPLiT(G900, ""🤙🏼"",FALSE,FALSE)"),225.0)</f>
        <v>225</v>
      </c>
      <c r="I900" s="5" t="str">
        <f>IFERROR(__xludf.DUMMYFUNCTION("""COMPUTED_VALUE"""),"A Wednesday")</f>
        <v>A Wednesday</v>
      </c>
      <c r="J900" s="5" t="str">
        <f>IFERROR(__xludf.DUMMYFUNCTION("""COMPUTED_VALUE"""),"Jimmy Sheirgill")</f>
        <v>Jimmy Sheirgill</v>
      </c>
      <c r="K900" s="5" t="str">
        <f>IFERROR(__xludf.DUMMYFUNCTION("""COMPUTED_VALUE"""),"Estrela 3")</f>
        <v>Estrela 3</v>
      </c>
      <c r="P900" s="5">
        <f>IFERROR(__xludf.DUMMYFUNCTION("""COMPUTED_VALUE"""),225.0)</f>
        <v>225</v>
      </c>
      <c r="Q900" s="5" t="str">
        <f>IFERROR(__xludf.DUMMYFUNCTION("""COMPUTED_VALUE"""),"A Wednesday")</f>
        <v>A Wednesday</v>
      </c>
      <c r="R900" s="5" t="str">
        <f>IFERROR(__xludf.DUMMYFUNCTION("""COMPUTED_VALUE"""),"Jimmy Sheirgill")</f>
        <v>Jimmy Sheirgill</v>
      </c>
      <c r="S900" s="5" t="str">
        <f>IFERROR(__xludf.DUMMYFUNCTION("""COMPUTED_VALUE"""),"Estrela 3")</f>
        <v>Estrela 3</v>
      </c>
    </row>
    <row r="901">
      <c r="A901" s="1">
        <v>900.0</v>
      </c>
      <c r="B901" s="1" t="s">
        <v>5148</v>
      </c>
      <c r="C901" s="1" t="s">
        <v>1395</v>
      </c>
      <c r="D901" s="1" t="s">
        <v>5150</v>
      </c>
      <c r="E901" s="1" t="s">
        <v>2430</v>
      </c>
      <c r="F901" s="1" t="s">
        <v>5151</v>
      </c>
      <c r="G901" s="5" t="str">
        <f>IFERROR(__xludf.DUMMYFUNCTION("""COMPUTED_VALUE"""),"225🤙🏼A Wednesday🤙🏼Aamir Bashir🤙🏼Estrela 4")</f>
        <v>225🤙🏼A Wednesday🤙🏼Aamir Bashir🤙🏼Estrela 4</v>
      </c>
      <c r="H901" s="5">
        <f>IFERROR(__xludf.DUMMYFUNCTION("SPLiT(G901, ""🤙🏼"",FALSE,FALSE)"),225.0)</f>
        <v>225</v>
      </c>
      <c r="I901" s="5" t="str">
        <f>IFERROR(__xludf.DUMMYFUNCTION("""COMPUTED_VALUE"""),"A Wednesday")</f>
        <v>A Wednesday</v>
      </c>
      <c r="J901" s="5" t="str">
        <f>IFERROR(__xludf.DUMMYFUNCTION("""COMPUTED_VALUE"""),"Aamir Bashir")</f>
        <v>Aamir Bashir</v>
      </c>
      <c r="K901" s="5" t="str">
        <f>IFERROR(__xludf.DUMMYFUNCTION("""COMPUTED_VALUE"""),"Estrela 4")</f>
        <v>Estrela 4</v>
      </c>
      <c r="P901" s="5">
        <f>IFERROR(__xludf.DUMMYFUNCTION("""COMPUTED_VALUE"""),225.0)</f>
        <v>225</v>
      </c>
      <c r="Q901" s="5" t="str">
        <f>IFERROR(__xludf.DUMMYFUNCTION("""COMPUTED_VALUE"""),"A Wednesday")</f>
        <v>A Wednesday</v>
      </c>
      <c r="R901" s="5" t="str">
        <f>IFERROR(__xludf.DUMMYFUNCTION("""COMPUTED_VALUE"""),"Aamir Bashir")</f>
        <v>Aamir Bashir</v>
      </c>
      <c r="S901" s="5" t="str">
        <f>IFERROR(__xludf.DUMMYFUNCTION("""COMPUTED_VALUE"""),"Estrela 4")</f>
        <v>Estrela 4</v>
      </c>
    </row>
    <row r="902">
      <c r="A902" s="1">
        <v>901.0</v>
      </c>
      <c r="B902" s="1" t="s">
        <v>5152</v>
      </c>
      <c r="C902" s="1" t="s">
        <v>2228</v>
      </c>
      <c r="D902" s="1" t="s">
        <v>5154</v>
      </c>
      <c r="E902" s="1" t="s">
        <v>5155</v>
      </c>
      <c r="F902" s="1" t="s">
        <v>5156</v>
      </c>
      <c r="G902" s="5" t="str">
        <f>IFERROR(__xludf.DUMMYFUNCTION("""COMPUTED_VALUE"""),"226🤙🏼Gran Torino🤙🏼Clint Eastwood🤙🏼Estrela 1")</f>
        <v>226🤙🏼Gran Torino🤙🏼Clint Eastwood🤙🏼Estrela 1</v>
      </c>
      <c r="H902" s="5">
        <f>IFERROR(__xludf.DUMMYFUNCTION("SPLiT(G902, ""🤙🏼"",FALSE,FALSE)"),226.0)</f>
        <v>226</v>
      </c>
      <c r="I902" s="5" t="str">
        <f>IFERROR(__xludf.DUMMYFUNCTION("""COMPUTED_VALUE"""),"Gran Torino")</f>
        <v>Gran Torino</v>
      </c>
      <c r="J902" s="5" t="str">
        <f>IFERROR(__xludf.DUMMYFUNCTION("""COMPUTED_VALUE"""),"Clint Eastwood")</f>
        <v>Clint Eastwood</v>
      </c>
      <c r="K902" s="5" t="str">
        <f>IFERROR(__xludf.DUMMYFUNCTION("""COMPUTED_VALUE"""),"Estrela 1")</f>
        <v>Estrela 1</v>
      </c>
      <c r="P902" s="5">
        <f>IFERROR(__xludf.DUMMYFUNCTION("""COMPUTED_VALUE"""),226.0)</f>
        <v>226</v>
      </c>
      <c r="Q902" s="5" t="str">
        <f>IFERROR(__xludf.DUMMYFUNCTION("""COMPUTED_VALUE"""),"Gran Torino")</f>
        <v>Gran Torino</v>
      </c>
      <c r="R902" s="5" t="str">
        <f>IFERROR(__xludf.DUMMYFUNCTION("""COMPUTED_VALUE"""),"Clint Eastwood")</f>
        <v>Clint Eastwood</v>
      </c>
      <c r="S902" s="5" t="str">
        <f>IFERROR(__xludf.DUMMYFUNCTION("""COMPUTED_VALUE"""),"Estrela 1")</f>
        <v>Estrela 1</v>
      </c>
    </row>
    <row r="903">
      <c r="A903" s="1">
        <v>902.0</v>
      </c>
      <c r="B903" s="1" t="s">
        <v>5157</v>
      </c>
      <c r="C903" s="1" t="s">
        <v>1542</v>
      </c>
      <c r="D903" s="1" t="s">
        <v>5160</v>
      </c>
      <c r="E903" s="1" t="s">
        <v>5161</v>
      </c>
      <c r="F903" s="1" t="s">
        <v>5162</v>
      </c>
      <c r="G903" s="5" t="str">
        <f>IFERROR(__xludf.DUMMYFUNCTION("""COMPUTED_VALUE"""),"226🤙🏼Gran Torino🤙🏼Bee Vang🤙🏼Estrela 2")</f>
        <v>226🤙🏼Gran Torino🤙🏼Bee Vang🤙🏼Estrela 2</v>
      </c>
      <c r="H903" s="5">
        <f>IFERROR(__xludf.DUMMYFUNCTION("SPLiT(G903, ""🤙🏼"",FALSE,FALSE)"),226.0)</f>
        <v>226</v>
      </c>
      <c r="I903" s="5" t="str">
        <f>IFERROR(__xludf.DUMMYFUNCTION("""COMPUTED_VALUE"""),"Gran Torino")</f>
        <v>Gran Torino</v>
      </c>
      <c r="J903" s="5" t="str">
        <f>IFERROR(__xludf.DUMMYFUNCTION("""COMPUTED_VALUE"""),"Bee Vang")</f>
        <v>Bee Vang</v>
      </c>
      <c r="K903" s="5" t="str">
        <f>IFERROR(__xludf.DUMMYFUNCTION("""COMPUTED_VALUE"""),"Estrela 2")</f>
        <v>Estrela 2</v>
      </c>
      <c r="P903" s="5">
        <f>IFERROR(__xludf.DUMMYFUNCTION("""COMPUTED_VALUE"""),226.0)</f>
        <v>226</v>
      </c>
      <c r="Q903" s="5" t="str">
        <f>IFERROR(__xludf.DUMMYFUNCTION("""COMPUTED_VALUE"""),"Gran Torino")</f>
        <v>Gran Torino</v>
      </c>
      <c r="R903" s="5" t="str">
        <f>IFERROR(__xludf.DUMMYFUNCTION("""COMPUTED_VALUE"""),"Bee Vang")</f>
        <v>Bee Vang</v>
      </c>
      <c r="S903" s="5" t="str">
        <f>IFERROR(__xludf.DUMMYFUNCTION("""COMPUTED_VALUE"""),"Estrela 2")</f>
        <v>Estrela 2</v>
      </c>
    </row>
    <row r="904">
      <c r="A904" s="1">
        <v>903.0</v>
      </c>
      <c r="B904" s="1" t="s">
        <v>5163</v>
      </c>
      <c r="C904" s="1" t="s">
        <v>1491</v>
      </c>
      <c r="D904" s="1" t="s">
        <v>5165</v>
      </c>
      <c r="E904" s="1" t="s">
        <v>453</v>
      </c>
      <c r="F904" s="1" t="s">
        <v>4502</v>
      </c>
      <c r="G904" s="5" t="str">
        <f>IFERROR(__xludf.DUMMYFUNCTION("""COMPUTED_VALUE"""),"226🤙🏼Gran Torino🤙🏼Christopher Carley🤙🏼Estrela 3")</f>
        <v>226🤙🏼Gran Torino🤙🏼Christopher Carley🤙🏼Estrela 3</v>
      </c>
      <c r="H904" s="5">
        <f>IFERROR(__xludf.DUMMYFUNCTION("SPLiT(G904, ""🤙🏼"",FALSE,FALSE)"),226.0)</f>
        <v>226</v>
      </c>
      <c r="I904" s="5" t="str">
        <f>IFERROR(__xludf.DUMMYFUNCTION("""COMPUTED_VALUE"""),"Gran Torino")</f>
        <v>Gran Torino</v>
      </c>
      <c r="J904" s="5" t="str">
        <f>IFERROR(__xludf.DUMMYFUNCTION("""COMPUTED_VALUE"""),"Christopher Carley")</f>
        <v>Christopher Carley</v>
      </c>
      <c r="K904" s="5" t="str">
        <f>IFERROR(__xludf.DUMMYFUNCTION("""COMPUTED_VALUE"""),"Estrela 3")</f>
        <v>Estrela 3</v>
      </c>
      <c r="P904" s="5">
        <f>IFERROR(__xludf.DUMMYFUNCTION("""COMPUTED_VALUE"""),226.0)</f>
        <v>226</v>
      </c>
      <c r="Q904" s="5" t="str">
        <f>IFERROR(__xludf.DUMMYFUNCTION("""COMPUTED_VALUE"""),"Gran Torino")</f>
        <v>Gran Torino</v>
      </c>
      <c r="R904" s="5" t="str">
        <f>IFERROR(__xludf.DUMMYFUNCTION("""COMPUTED_VALUE"""),"Christopher Carley")</f>
        <v>Christopher Carley</v>
      </c>
      <c r="S904" s="5" t="str">
        <f>IFERROR(__xludf.DUMMYFUNCTION("""COMPUTED_VALUE"""),"Estrela 3")</f>
        <v>Estrela 3</v>
      </c>
    </row>
    <row r="905">
      <c r="A905" s="1">
        <v>904.0</v>
      </c>
      <c r="B905" s="1" t="s">
        <v>5166</v>
      </c>
      <c r="C905" s="1" t="s">
        <v>5168</v>
      </c>
      <c r="D905" s="1" t="s">
        <v>2245</v>
      </c>
      <c r="E905" s="1" t="s">
        <v>3983</v>
      </c>
      <c r="F905" s="1" t="s">
        <v>5169</v>
      </c>
      <c r="G905" s="5" t="str">
        <f>IFERROR(__xludf.DUMMYFUNCTION("""COMPUTED_VALUE"""),"226🤙🏼Gran Torino🤙🏼Ahney Her🤙🏼Estrela 4")</f>
        <v>226🤙🏼Gran Torino🤙🏼Ahney Her🤙🏼Estrela 4</v>
      </c>
      <c r="H905" s="5">
        <f>IFERROR(__xludf.DUMMYFUNCTION("SPLiT(G905, ""🤙🏼"",FALSE,FALSE)"),226.0)</f>
        <v>226</v>
      </c>
      <c r="I905" s="5" t="str">
        <f>IFERROR(__xludf.DUMMYFUNCTION("""COMPUTED_VALUE"""),"Gran Torino")</f>
        <v>Gran Torino</v>
      </c>
      <c r="J905" s="5" t="str">
        <f>IFERROR(__xludf.DUMMYFUNCTION("""COMPUTED_VALUE"""),"Ahney Her")</f>
        <v>Ahney Her</v>
      </c>
      <c r="K905" s="5" t="str">
        <f>IFERROR(__xludf.DUMMYFUNCTION("""COMPUTED_VALUE"""),"Estrela 4")</f>
        <v>Estrela 4</v>
      </c>
      <c r="P905" s="5">
        <f>IFERROR(__xludf.DUMMYFUNCTION("""COMPUTED_VALUE"""),226.0)</f>
        <v>226</v>
      </c>
      <c r="Q905" s="5" t="str">
        <f>IFERROR(__xludf.DUMMYFUNCTION("""COMPUTED_VALUE"""),"Gran Torino")</f>
        <v>Gran Torino</v>
      </c>
      <c r="R905" s="5" t="str">
        <f>IFERROR(__xludf.DUMMYFUNCTION("""COMPUTED_VALUE"""),"Ahney Her")</f>
        <v>Ahney Her</v>
      </c>
      <c r="S905" s="5" t="str">
        <f>IFERROR(__xludf.DUMMYFUNCTION("""COMPUTED_VALUE"""),"Estrela 4")</f>
        <v>Estrela 4</v>
      </c>
    </row>
    <row r="906">
      <c r="A906" s="1">
        <v>905.0</v>
      </c>
      <c r="B906" s="1" t="s">
        <v>5170</v>
      </c>
      <c r="C906" s="1" t="s">
        <v>1613</v>
      </c>
      <c r="D906" s="1" t="s">
        <v>1727</v>
      </c>
      <c r="E906" s="1" t="s">
        <v>215</v>
      </c>
      <c r="F906" s="1" t="s">
        <v>5172</v>
      </c>
      <c r="G906" s="5" t="str">
        <f>IFERROR(__xludf.DUMMYFUNCTION("""COMPUTED_VALUE"""),"227🤙🏼Harry Potter and the Deathly Hallows: Part 2🤙🏼Daniel Radcliffe🤙🏼Estrela 1")</f>
        <v>227🤙🏼Harry Potter and the Deathly Hallows: Part 2🤙🏼Daniel Radcliffe🤙🏼Estrela 1</v>
      </c>
      <c r="H906" s="5">
        <f>IFERROR(__xludf.DUMMYFUNCTION("SPLiT(G906, ""🤙🏼"",FALSE,FALSE)"),227.0)</f>
        <v>227</v>
      </c>
      <c r="I906" s="5" t="str">
        <f>IFERROR(__xludf.DUMMYFUNCTION("""COMPUTED_VALUE"""),"Harry Potter and the Deathly Hallows: Part 2")</f>
        <v>Harry Potter and the Deathly Hallows: Part 2</v>
      </c>
      <c r="J906" s="5" t="str">
        <f>IFERROR(__xludf.DUMMYFUNCTION("""COMPUTED_VALUE"""),"Daniel Radcliffe")</f>
        <v>Daniel Radcliffe</v>
      </c>
      <c r="K906" s="5" t="str">
        <f>IFERROR(__xludf.DUMMYFUNCTION("""COMPUTED_VALUE"""),"Estrela 1")</f>
        <v>Estrela 1</v>
      </c>
      <c r="P906" s="5">
        <f>IFERROR(__xludf.DUMMYFUNCTION("""COMPUTED_VALUE"""),227.0)</f>
        <v>227</v>
      </c>
      <c r="Q906" s="5" t="str">
        <f>IFERROR(__xludf.DUMMYFUNCTION("""COMPUTED_VALUE"""),"Harry Potter and the Deathly Hallows: Part 2")</f>
        <v>Harry Potter and the Deathly Hallows: Part 2</v>
      </c>
      <c r="R906" s="5" t="str">
        <f>IFERROR(__xludf.DUMMYFUNCTION("""COMPUTED_VALUE"""),"Daniel Radcliffe")</f>
        <v>Daniel Radcliffe</v>
      </c>
      <c r="S906" s="5" t="str">
        <f>IFERROR(__xludf.DUMMYFUNCTION("""COMPUTED_VALUE"""),"Estrela 1")</f>
        <v>Estrela 1</v>
      </c>
    </row>
    <row r="907">
      <c r="A907" s="1">
        <v>906.0</v>
      </c>
      <c r="B907" s="1" t="s">
        <v>5173</v>
      </c>
      <c r="C907" s="1" t="s">
        <v>5175</v>
      </c>
      <c r="D907" s="1" t="s">
        <v>5176</v>
      </c>
      <c r="E907" s="1" t="s">
        <v>5177</v>
      </c>
      <c r="F907" s="1" t="s">
        <v>5178</v>
      </c>
      <c r="G907" s="5" t="str">
        <f>IFERROR(__xludf.DUMMYFUNCTION("""COMPUTED_VALUE"""),"227🤙🏼Harry Potter and the Deathly Hallows: Part 2🤙🏼Emma Watson🤙🏼Estrela 2")</f>
        <v>227🤙🏼Harry Potter and the Deathly Hallows: Part 2🤙🏼Emma Watson🤙🏼Estrela 2</v>
      </c>
      <c r="H907" s="5">
        <f>IFERROR(__xludf.DUMMYFUNCTION("SPLiT(G907, ""🤙🏼"",FALSE,FALSE)"),227.0)</f>
        <v>227</v>
      </c>
      <c r="I907" s="5" t="str">
        <f>IFERROR(__xludf.DUMMYFUNCTION("""COMPUTED_VALUE"""),"Harry Potter and the Deathly Hallows: Part 2")</f>
        <v>Harry Potter and the Deathly Hallows: Part 2</v>
      </c>
      <c r="J907" s="5" t="str">
        <f>IFERROR(__xludf.DUMMYFUNCTION("""COMPUTED_VALUE"""),"Emma Watson")</f>
        <v>Emma Watson</v>
      </c>
      <c r="K907" s="5" t="str">
        <f>IFERROR(__xludf.DUMMYFUNCTION("""COMPUTED_VALUE"""),"Estrela 2")</f>
        <v>Estrela 2</v>
      </c>
      <c r="P907" s="5">
        <f>IFERROR(__xludf.DUMMYFUNCTION("""COMPUTED_VALUE"""),227.0)</f>
        <v>227</v>
      </c>
      <c r="Q907" s="5" t="str">
        <f>IFERROR(__xludf.DUMMYFUNCTION("""COMPUTED_VALUE"""),"Harry Potter and the Deathly Hallows: Part 2")</f>
        <v>Harry Potter and the Deathly Hallows: Part 2</v>
      </c>
      <c r="R907" s="5" t="str">
        <f>IFERROR(__xludf.DUMMYFUNCTION("""COMPUTED_VALUE"""),"Emma Watson")</f>
        <v>Emma Watson</v>
      </c>
      <c r="S907" s="5" t="str">
        <f>IFERROR(__xludf.DUMMYFUNCTION("""COMPUTED_VALUE"""),"Estrela 2")</f>
        <v>Estrela 2</v>
      </c>
    </row>
    <row r="908">
      <c r="A908" s="1">
        <v>907.0</v>
      </c>
      <c r="B908" s="1" t="s">
        <v>5179</v>
      </c>
      <c r="C908" s="1" t="s">
        <v>5183</v>
      </c>
      <c r="D908" s="1" t="s">
        <v>3685</v>
      </c>
      <c r="E908" s="1" t="s">
        <v>5184</v>
      </c>
      <c r="F908" s="1" t="s">
        <v>5185</v>
      </c>
      <c r="G908" s="5" t="str">
        <f>IFERROR(__xludf.DUMMYFUNCTION("""COMPUTED_VALUE"""),"227🤙🏼Harry Potter and the Deathly Hallows: Part 2🤙🏼Rupert Grint🤙🏼Estrela 3")</f>
        <v>227🤙🏼Harry Potter and the Deathly Hallows: Part 2🤙🏼Rupert Grint🤙🏼Estrela 3</v>
      </c>
      <c r="H908" s="5">
        <f>IFERROR(__xludf.DUMMYFUNCTION("SPLiT(G908, ""🤙🏼"",FALSE,FALSE)"),227.0)</f>
        <v>227</v>
      </c>
      <c r="I908" s="5" t="str">
        <f>IFERROR(__xludf.DUMMYFUNCTION("""COMPUTED_VALUE"""),"Harry Potter and the Deathly Hallows: Part 2")</f>
        <v>Harry Potter and the Deathly Hallows: Part 2</v>
      </c>
      <c r="J908" s="5" t="str">
        <f>IFERROR(__xludf.DUMMYFUNCTION("""COMPUTED_VALUE"""),"Rupert Grint")</f>
        <v>Rupert Grint</v>
      </c>
      <c r="K908" s="5" t="str">
        <f>IFERROR(__xludf.DUMMYFUNCTION("""COMPUTED_VALUE"""),"Estrela 3")</f>
        <v>Estrela 3</v>
      </c>
      <c r="P908" s="5">
        <f>IFERROR(__xludf.DUMMYFUNCTION("""COMPUTED_VALUE"""),227.0)</f>
        <v>227</v>
      </c>
      <c r="Q908" s="5" t="str">
        <f>IFERROR(__xludf.DUMMYFUNCTION("""COMPUTED_VALUE"""),"Harry Potter and the Deathly Hallows: Part 2")</f>
        <v>Harry Potter and the Deathly Hallows: Part 2</v>
      </c>
      <c r="R908" s="5" t="str">
        <f>IFERROR(__xludf.DUMMYFUNCTION("""COMPUTED_VALUE"""),"Rupert Grint")</f>
        <v>Rupert Grint</v>
      </c>
      <c r="S908" s="5" t="str">
        <f>IFERROR(__xludf.DUMMYFUNCTION("""COMPUTED_VALUE"""),"Estrela 3")</f>
        <v>Estrela 3</v>
      </c>
    </row>
    <row r="909">
      <c r="A909" s="1">
        <v>908.0</v>
      </c>
      <c r="B909" s="1" t="s">
        <v>5186</v>
      </c>
      <c r="C909" s="1" t="s">
        <v>91</v>
      </c>
      <c r="D909" s="1" t="s">
        <v>5189</v>
      </c>
      <c r="E909" s="1" t="s">
        <v>5161</v>
      </c>
      <c r="F909" s="1" t="s">
        <v>2287</v>
      </c>
      <c r="G909" s="5" t="str">
        <f>IFERROR(__xludf.DUMMYFUNCTION("""COMPUTED_VALUE"""),"227🤙🏼Harry Potter and the Deathly Hallows: Part 2🤙🏼Michael Gambon🤙🏼Estrela 4")</f>
        <v>227🤙🏼Harry Potter and the Deathly Hallows: Part 2🤙🏼Michael Gambon🤙🏼Estrela 4</v>
      </c>
      <c r="H909" s="5">
        <f>IFERROR(__xludf.DUMMYFUNCTION("SPLiT(G909, ""🤙🏼"",FALSE,FALSE)"),227.0)</f>
        <v>227</v>
      </c>
      <c r="I909" s="5" t="str">
        <f>IFERROR(__xludf.DUMMYFUNCTION("""COMPUTED_VALUE"""),"Harry Potter and the Deathly Hallows: Part 2")</f>
        <v>Harry Potter and the Deathly Hallows: Part 2</v>
      </c>
      <c r="J909" s="5" t="str">
        <f>IFERROR(__xludf.DUMMYFUNCTION("""COMPUTED_VALUE"""),"Michael Gambon")</f>
        <v>Michael Gambon</v>
      </c>
      <c r="K909" s="5" t="str">
        <f>IFERROR(__xludf.DUMMYFUNCTION("""COMPUTED_VALUE"""),"Estrela 4")</f>
        <v>Estrela 4</v>
      </c>
      <c r="P909" s="5">
        <f>IFERROR(__xludf.DUMMYFUNCTION("""COMPUTED_VALUE"""),227.0)</f>
        <v>227</v>
      </c>
      <c r="Q909" s="5" t="str">
        <f>IFERROR(__xludf.DUMMYFUNCTION("""COMPUTED_VALUE"""),"Harry Potter and the Deathly Hallows: Part 2")</f>
        <v>Harry Potter and the Deathly Hallows: Part 2</v>
      </c>
      <c r="R909" s="5" t="str">
        <f>IFERROR(__xludf.DUMMYFUNCTION("""COMPUTED_VALUE"""),"Michael Gambon")</f>
        <v>Michael Gambon</v>
      </c>
      <c r="S909" s="5" t="str">
        <f>IFERROR(__xludf.DUMMYFUNCTION("""COMPUTED_VALUE"""),"Estrela 4")</f>
        <v>Estrela 4</v>
      </c>
    </row>
    <row r="910">
      <c r="A910" s="1">
        <v>909.0</v>
      </c>
      <c r="B910" s="1" t="s">
        <v>5190</v>
      </c>
      <c r="C910" s="1" t="s">
        <v>5192</v>
      </c>
      <c r="D910" s="1" t="s">
        <v>4629</v>
      </c>
      <c r="E910" s="1" t="s">
        <v>2202</v>
      </c>
      <c r="F910" s="1" t="s">
        <v>5193</v>
      </c>
      <c r="G910" s="5" t="str">
        <f>IFERROR(__xludf.DUMMYFUNCTION("""COMPUTED_VALUE"""),"228🤙🏼Okuribito🤙🏼Masahiro Motoki🤙🏼Estrela 1")</f>
        <v>228🤙🏼Okuribito🤙🏼Masahiro Motoki🤙🏼Estrela 1</v>
      </c>
      <c r="H910" s="5">
        <f>IFERROR(__xludf.DUMMYFUNCTION("SPLiT(G910, ""🤙🏼"",FALSE,FALSE)"),228.0)</f>
        <v>228</v>
      </c>
      <c r="I910" s="5" t="str">
        <f>IFERROR(__xludf.DUMMYFUNCTION("""COMPUTED_VALUE"""),"Okuribito")</f>
        <v>Okuribito</v>
      </c>
      <c r="J910" s="5" t="str">
        <f>IFERROR(__xludf.DUMMYFUNCTION("""COMPUTED_VALUE"""),"Masahiro Motoki")</f>
        <v>Masahiro Motoki</v>
      </c>
      <c r="K910" s="5" t="str">
        <f>IFERROR(__xludf.DUMMYFUNCTION("""COMPUTED_VALUE"""),"Estrela 1")</f>
        <v>Estrela 1</v>
      </c>
      <c r="P910" s="5">
        <f>IFERROR(__xludf.DUMMYFUNCTION("""COMPUTED_VALUE"""),228.0)</f>
        <v>228</v>
      </c>
      <c r="Q910" s="5" t="str">
        <f>IFERROR(__xludf.DUMMYFUNCTION("""COMPUTED_VALUE"""),"Okuribito")</f>
        <v>Okuribito</v>
      </c>
      <c r="R910" s="5" t="str">
        <f>IFERROR(__xludf.DUMMYFUNCTION("""COMPUTED_VALUE"""),"Masahiro Motoki")</f>
        <v>Masahiro Motoki</v>
      </c>
      <c r="S910" s="5" t="str">
        <f>IFERROR(__xludf.DUMMYFUNCTION("""COMPUTED_VALUE"""),"Estrela 1")</f>
        <v>Estrela 1</v>
      </c>
    </row>
    <row r="911">
      <c r="A911" s="1">
        <v>910.0</v>
      </c>
      <c r="B911" s="1" t="s">
        <v>5194</v>
      </c>
      <c r="C911" s="1" t="s">
        <v>5198</v>
      </c>
      <c r="D911" s="1" t="s">
        <v>5199</v>
      </c>
      <c r="E911" s="1" t="s">
        <v>5200</v>
      </c>
      <c r="F911" s="1" t="s">
        <v>5201</v>
      </c>
      <c r="G911" s="5" t="str">
        <f>IFERROR(__xludf.DUMMYFUNCTION("""COMPUTED_VALUE"""),"228🤙🏼Okuribito🤙🏼Ryôko Hirosue🤙🏼Estrela 2")</f>
        <v>228🤙🏼Okuribito🤙🏼Ryôko Hirosue🤙🏼Estrela 2</v>
      </c>
      <c r="H911" s="5">
        <f>IFERROR(__xludf.DUMMYFUNCTION("SPLiT(G911, ""🤙🏼"",FALSE,FALSE)"),228.0)</f>
        <v>228</v>
      </c>
      <c r="I911" s="5" t="str">
        <f>IFERROR(__xludf.DUMMYFUNCTION("""COMPUTED_VALUE"""),"Okuribito")</f>
        <v>Okuribito</v>
      </c>
      <c r="J911" s="5" t="str">
        <f>IFERROR(__xludf.DUMMYFUNCTION("""COMPUTED_VALUE"""),"Ryôko Hirosue")</f>
        <v>Ryôko Hirosue</v>
      </c>
      <c r="K911" s="5" t="str">
        <f>IFERROR(__xludf.DUMMYFUNCTION("""COMPUTED_VALUE"""),"Estrela 2")</f>
        <v>Estrela 2</v>
      </c>
      <c r="P911" s="5">
        <f>IFERROR(__xludf.DUMMYFUNCTION("""COMPUTED_VALUE"""),228.0)</f>
        <v>228</v>
      </c>
      <c r="Q911" s="5" t="str">
        <f>IFERROR(__xludf.DUMMYFUNCTION("""COMPUTED_VALUE"""),"Okuribito")</f>
        <v>Okuribito</v>
      </c>
      <c r="R911" s="5" t="str">
        <f>IFERROR(__xludf.DUMMYFUNCTION("""COMPUTED_VALUE"""),"Ryôko Hirosue")</f>
        <v>Ryôko Hirosue</v>
      </c>
      <c r="S911" s="5" t="str">
        <f>IFERROR(__xludf.DUMMYFUNCTION("""COMPUTED_VALUE"""),"Estrela 2")</f>
        <v>Estrela 2</v>
      </c>
    </row>
    <row r="912">
      <c r="A912" s="1">
        <v>911.0</v>
      </c>
      <c r="B912" s="1" t="s">
        <v>5202</v>
      </c>
      <c r="C912" s="1" t="s">
        <v>98</v>
      </c>
      <c r="D912" s="1" t="s">
        <v>111</v>
      </c>
      <c r="E912" s="1" t="s">
        <v>1079</v>
      </c>
      <c r="F912" s="1" t="s">
        <v>1593</v>
      </c>
      <c r="G912" s="5" t="str">
        <f>IFERROR(__xludf.DUMMYFUNCTION("""COMPUTED_VALUE"""),"228🤙🏼Okuribito🤙🏼Tsutomu Yamazaki🤙🏼Estrela 3")</f>
        <v>228🤙🏼Okuribito🤙🏼Tsutomu Yamazaki🤙🏼Estrela 3</v>
      </c>
      <c r="H912" s="5">
        <f>IFERROR(__xludf.DUMMYFUNCTION("SPLiT(G912, ""🤙🏼"",FALSE,FALSE)"),228.0)</f>
        <v>228</v>
      </c>
      <c r="I912" s="5" t="str">
        <f>IFERROR(__xludf.DUMMYFUNCTION("""COMPUTED_VALUE"""),"Okuribito")</f>
        <v>Okuribito</v>
      </c>
      <c r="J912" s="5" t="str">
        <f>IFERROR(__xludf.DUMMYFUNCTION("""COMPUTED_VALUE"""),"Tsutomu Yamazaki")</f>
        <v>Tsutomu Yamazaki</v>
      </c>
      <c r="K912" s="5" t="str">
        <f>IFERROR(__xludf.DUMMYFUNCTION("""COMPUTED_VALUE"""),"Estrela 3")</f>
        <v>Estrela 3</v>
      </c>
      <c r="P912" s="5">
        <f>IFERROR(__xludf.DUMMYFUNCTION("""COMPUTED_VALUE"""),228.0)</f>
        <v>228</v>
      </c>
      <c r="Q912" s="5" t="str">
        <f>IFERROR(__xludf.DUMMYFUNCTION("""COMPUTED_VALUE"""),"Okuribito")</f>
        <v>Okuribito</v>
      </c>
      <c r="R912" s="5" t="str">
        <f>IFERROR(__xludf.DUMMYFUNCTION("""COMPUTED_VALUE"""),"Tsutomu Yamazaki")</f>
        <v>Tsutomu Yamazaki</v>
      </c>
      <c r="S912" s="5" t="str">
        <f>IFERROR(__xludf.DUMMYFUNCTION("""COMPUTED_VALUE"""),"Estrela 3")</f>
        <v>Estrela 3</v>
      </c>
    </row>
    <row r="913">
      <c r="A913" s="1">
        <v>912.0</v>
      </c>
      <c r="B913" s="1" t="s">
        <v>5205</v>
      </c>
      <c r="C913" s="1" t="s">
        <v>5207</v>
      </c>
      <c r="D913" s="1" t="s">
        <v>5208</v>
      </c>
      <c r="E913" s="1" t="s">
        <v>5209</v>
      </c>
      <c r="F913" s="1" t="s">
        <v>3918</v>
      </c>
      <c r="G913" s="5" t="str">
        <f>IFERROR(__xludf.DUMMYFUNCTION("""COMPUTED_VALUE"""),"228🤙🏼Okuribito🤙🏼Kazuko Yoshiyuki🤙🏼Estrela 4")</f>
        <v>228🤙🏼Okuribito🤙🏼Kazuko Yoshiyuki🤙🏼Estrela 4</v>
      </c>
      <c r="H913" s="5">
        <f>IFERROR(__xludf.DUMMYFUNCTION("SPLiT(G913, ""🤙🏼"",FALSE,FALSE)"),228.0)</f>
        <v>228</v>
      </c>
      <c r="I913" s="5" t="str">
        <f>IFERROR(__xludf.DUMMYFUNCTION("""COMPUTED_VALUE"""),"Okuribito")</f>
        <v>Okuribito</v>
      </c>
      <c r="J913" s="5" t="str">
        <f>IFERROR(__xludf.DUMMYFUNCTION("""COMPUTED_VALUE"""),"Kazuko Yoshiyuki")</f>
        <v>Kazuko Yoshiyuki</v>
      </c>
      <c r="K913" s="5" t="str">
        <f>IFERROR(__xludf.DUMMYFUNCTION("""COMPUTED_VALUE"""),"Estrela 4")</f>
        <v>Estrela 4</v>
      </c>
      <c r="P913" s="5">
        <f>IFERROR(__xludf.DUMMYFUNCTION("""COMPUTED_VALUE"""),228.0)</f>
        <v>228</v>
      </c>
      <c r="Q913" s="5" t="str">
        <f>IFERROR(__xludf.DUMMYFUNCTION("""COMPUTED_VALUE"""),"Okuribito")</f>
        <v>Okuribito</v>
      </c>
      <c r="R913" s="5" t="str">
        <f>IFERROR(__xludf.DUMMYFUNCTION("""COMPUTED_VALUE"""),"Kazuko Yoshiyuki")</f>
        <v>Kazuko Yoshiyuki</v>
      </c>
      <c r="S913" s="5" t="str">
        <f>IFERROR(__xludf.DUMMYFUNCTION("""COMPUTED_VALUE"""),"Estrela 4")</f>
        <v>Estrela 4</v>
      </c>
    </row>
    <row r="914">
      <c r="A914" s="1">
        <v>913.0</v>
      </c>
      <c r="B914" s="1" t="s">
        <v>5210</v>
      </c>
      <c r="C914" s="1" t="s">
        <v>4446</v>
      </c>
      <c r="D914" s="1" t="s">
        <v>2176</v>
      </c>
      <c r="E914" s="1" t="s">
        <v>973</v>
      </c>
      <c r="F914" s="1" t="s">
        <v>5213</v>
      </c>
      <c r="G914" s="5" t="str">
        <f>IFERROR(__xludf.DUMMYFUNCTION("""COMPUTED_VALUE"""),"229🤙🏼Hachi: A Dog's Tale🤙🏼Richard Gere🤙🏼Estrela 1")</f>
        <v>229🤙🏼Hachi: A Dog's Tale🤙🏼Richard Gere🤙🏼Estrela 1</v>
      </c>
      <c r="H914" s="5">
        <f>IFERROR(__xludf.DUMMYFUNCTION("SPLiT(G914, ""🤙🏼"",FALSE,FALSE)"),229.0)</f>
        <v>229</v>
      </c>
      <c r="I914" s="5" t="str">
        <f>IFERROR(__xludf.DUMMYFUNCTION("""COMPUTED_VALUE"""),"Hachi: A Dog's Tale")</f>
        <v>Hachi: A Dog's Tale</v>
      </c>
      <c r="J914" s="5" t="str">
        <f>IFERROR(__xludf.DUMMYFUNCTION("""COMPUTED_VALUE"""),"Richard Gere")</f>
        <v>Richard Gere</v>
      </c>
      <c r="K914" s="5" t="str">
        <f>IFERROR(__xludf.DUMMYFUNCTION("""COMPUTED_VALUE"""),"Estrela 1")</f>
        <v>Estrela 1</v>
      </c>
      <c r="P914" s="5">
        <f>IFERROR(__xludf.DUMMYFUNCTION("""COMPUTED_VALUE"""),229.0)</f>
        <v>229</v>
      </c>
      <c r="Q914" s="5" t="str">
        <f>IFERROR(__xludf.DUMMYFUNCTION("""COMPUTED_VALUE"""),"Hachi: A Dog's Tale")</f>
        <v>Hachi: A Dog's Tale</v>
      </c>
      <c r="R914" s="5" t="str">
        <f>IFERROR(__xludf.DUMMYFUNCTION("""COMPUTED_VALUE"""),"Richard Gere")</f>
        <v>Richard Gere</v>
      </c>
      <c r="S914" s="5" t="str">
        <f>IFERROR(__xludf.DUMMYFUNCTION("""COMPUTED_VALUE"""),"Estrela 1")</f>
        <v>Estrela 1</v>
      </c>
    </row>
    <row r="915">
      <c r="A915" s="1">
        <v>914.0</v>
      </c>
      <c r="B915" s="1" t="s">
        <v>5214</v>
      </c>
      <c r="C915" s="1" t="s">
        <v>5217</v>
      </c>
      <c r="D915" s="1" t="s">
        <v>5091</v>
      </c>
      <c r="E915" s="1" t="s">
        <v>5218</v>
      </c>
      <c r="F915" s="1" t="s">
        <v>5219</v>
      </c>
      <c r="G915" s="5" t="str">
        <f>IFERROR(__xludf.DUMMYFUNCTION("""COMPUTED_VALUE"""),"229🤙🏼Hachi: A Dog's Tale🤙🏼Joan Allen🤙🏼Estrela 2")</f>
        <v>229🤙🏼Hachi: A Dog's Tale🤙🏼Joan Allen🤙🏼Estrela 2</v>
      </c>
      <c r="H915" s="5">
        <f>IFERROR(__xludf.DUMMYFUNCTION("SPLiT(G915, ""🤙🏼"",FALSE,FALSE)"),229.0)</f>
        <v>229</v>
      </c>
      <c r="I915" s="5" t="str">
        <f>IFERROR(__xludf.DUMMYFUNCTION("""COMPUTED_VALUE"""),"Hachi: A Dog's Tale")</f>
        <v>Hachi: A Dog's Tale</v>
      </c>
      <c r="J915" s="5" t="str">
        <f>IFERROR(__xludf.DUMMYFUNCTION("""COMPUTED_VALUE"""),"Joan Allen")</f>
        <v>Joan Allen</v>
      </c>
      <c r="K915" s="5" t="str">
        <f>IFERROR(__xludf.DUMMYFUNCTION("""COMPUTED_VALUE"""),"Estrela 2")</f>
        <v>Estrela 2</v>
      </c>
      <c r="P915" s="5">
        <f>IFERROR(__xludf.DUMMYFUNCTION("""COMPUTED_VALUE"""),229.0)</f>
        <v>229</v>
      </c>
      <c r="Q915" s="5" t="str">
        <f>IFERROR(__xludf.DUMMYFUNCTION("""COMPUTED_VALUE"""),"Hachi: A Dog's Tale")</f>
        <v>Hachi: A Dog's Tale</v>
      </c>
      <c r="R915" s="5" t="str">
        <f>IFERROR(__xludf.DUMMYFUNCTION("""COMPUTED_VALUE"""),"Joan Allen")</f>
        <v>Joan Allen</v>
      </c>
      <c r="S915" s="5" t="str">
        <f>IFERROR(__xludf.DUMMYFUNCTION("""COMPUTED_VALUE"""),"Estrela 2")</f>
        <v>Estrela 2</v>
      </c>
    </row>
    <row r="916">
      <c r="A916" s="1">
        <v>915.0</v>
      </c>
      <c r="B916" s="1" t="s">
        <v>5220</v>
      </c>
      <c r="C916" s="1" t="s">
        <v>479</v>
      </c>
      <c r="D916" s="1" t="s">
        <v>3962</v>
      </c>
      <c r="E916" s="1" t="s">
        <v>1518</v>
      </c>
      <c r="F916" s="1" t="s">
        <v>5223</v>
      </c>
      <c r="G916" s="5" t="str">
        <f>IFERROR(__xludf.DUMMYFUNCTION("""COMPUTED_VALUE"""),"229🤙🏼Hachi: A Dog's Tale🤙🏼Cary-Hiroyuki Tagawa🤙🏼Estrela 3")</f>
        <v>229🤙🏼Hachi: A Dog's Tale🤙🏼Cary-Hiroyuki Tagawa🤙🏼Estrela 3</v>
      </c>
      <c r="H916" s="5">
        <f>IFERROR(__xludf.DUMMYFUNCTION("SPLiT(G916, ""🤙🏼"",FALSE,FALSE)"),229.0)</f>
        <v>229</v>
      </c>
      <c r="I916" s="5" t="str">
        <f>IFERROR(__xludf.DUMMYFUNCTION("""COMPUTED_VALUE"""),"Hachi: A Dog's Tale")</f>
        <v>Hachi: A Dog's Tale</v>
      </c>
      <c r="J916" s="5" t="str">
        <f>IFERROR(__xludf.DUMMYFUNCTION("""COMPUTED_VALUE"""),"Cary-Hiroyuki Tagawa")</f>
        <v>Cary-Hiroyuki Tagawa</v>
      </c>
      <c r="K916" s="5" t="str">
        <f>IFERROR(__xludf.DUMMYFUNCTION("""COMPUTED_VALUE"""),"Estrela 3")</f>
        <v>Estrela 3</v>
      </c>
      <c r="P916" s="5">
        <f>IFERROR(__xludf.DUMMYFUNCTION("""COMPUTED_VALUE"""),229.0)</f>
        <v>229</v>
      </c>
      <c r="Q916" s="5" t="str">
        <f>IFERROR(__xludf.DUMMYFUNCTION("""COMPUTED_VALUE"""),"Hachi: A Dog's Tale")</f>
        <v>Hachi: A Dog's Tale</v>
      </c>
      <c r="R916" s="5" t="str">
        <f>IFERROR(__xludf.DUMMYFUNCTION("""COMPUTED_VALUE"""),"Cary-Hiroyuki Tagawa")</f>
        <v>Cary-Hiroyuki Tagawa</v>
      </c>
      <c r="S916" s="5" t="str">
        <f>IFERROR(__xludf.DUMMYFUNCTION("""COMPUTED_VALUE"""),"Estrela 3")</f>
        <v>Estrela 3</v>
      </c>
    </row>
    <row r="917">
      <c r="A917" s="1">
        <v>916.0</v>
      </c>
      <c r="B917" s="1" t="s">
        <v>5224</v>
      </c>
      <c r="C917" s="1" t="s">
        <v>5227</v>
      </c>
      <c r="D917" s="1" t="s">
        <v>4433</v>
      </c>
      <c r="E917" s="1" t="s">
        <v>5228</v>
      </c>
      <c r="F917" s="1" t="s">
        <v>5229</v>
      </c>
      <c r="G917" s="5" t="str">
        <f>IFERROR(__xludf.DUMMYFUNCTION("""COMPUTED_VALUE"""),"229🤙🏼Hachi: A Dog's Tale🤙🏼Sarah Roemer🤙🏼Estrela 4")</f>
        <v>229🤙🏼Hachi: A Dog's Tale🤙🏼Sarah Roemer🤙🏼Estrela 4</v>
      </c>
      <c r="H917" s="5">
        <f>IFERROR(__xludf.DUMMYFUNCTION("SPLiT(G917, ""🤙🏼"",FALSE,FALSE)"),229.0)</f>
        <v>229</v>
      </c>
      <c r="I917" s="5" t="str">
        <f>IFERROR(__xludf.DUMMYFUNCTION("""COMPUTED_VALUE"""),"Hachi: A Dog's Tale")</f>
        <v>Hachi: A Dog's Tale</v>
      </c>
      <c r="J917" s="5" t="str">
        <f>IFERROR(__xludf.DUMMYFUNCTION("""COMPUTED_VALUE"""),"Sarah Roemer")</f>
        <v>Sarah Roemer</v>
      </c>
      <c r="K917" s="5" t="str">
        <f>IFERROR(__xludf.DUMMYFUNCTION("""COMPUTED_VALUE"""),"Estrela 4")</f>
        <v>Estrela 4</v>
      </c>
      <c r="P917" s="5">
        <f>IFERROR(__xludf.DUMMYFUNCTION("""COMPUTED_VALUE"""),229.0)</f>
        <v>229</v>
      </c>
      <c r="Q917" s="5" t="str">
        <f>IFERROR(__xludf.DUMMYFUNCTION("""COMPUTED_VALUE"""),"Hachi: A Dog's Tale")</f>
        <v>Hachi: A Dog's Tale</v>
      </c>
      <c r="R917" s="5" t="str">
        <f>IFERROR(__xludf.DUMMYFUNCTION("""COMPUTED_VALUE"""),"Sarah Roemer")</f>
        <v>Sarah Roemer</v>
      </c>
      <c r="S917" s="5" t="str">
        <f>IFERROR(__xludf.DUMMYFUNCTION("""COMPUTED_VALUE"""),"Estrela 4")</f>
        <v>Estrela 4</v>
      </c>
    </row>
    <row r="918">
      <c r="A918" s="1">
        <v>917.0</v>
      </c>
      <c r="B918" s="1" t="s">
        <v>5230</v>
      </c>
      <c r="C918" s="1" t="s">
        <v>5232</v>
      </c>
      <c r="D918" s="1" t="s">
        <v>5233</v>
      </c>
      <c r="E918" s="1" t="s">
        <v>5234</v>
      </c>
      <c r="F918" s="1" t="s">
        <v>5235</v>
      </c>
      <c r="G918" s="5" t="str">
        <f>IFERROR(__xludf.DUMMYFUNCTION("""COMPUTED_VALUE"""),"230🤙🏼Mary and Max🤙🏼Toni Collette🤙🏼Estrela 1")</f>
        <v>230🤙🏼Mary and Max🤙🏼Toni Collette🤙🏼Estrela 1</v>
      </c>
      <c r="H918" s="5">
        <f>IFERROR(__xludf.DUMMYFUNCTION("SPLiT(G918, ""🤙🏼"",FALSE,FALSE)"),230.0)</f>
        <v>230</v>
      </c>
      <c r="I918" s="5" t="str">
        <f>IFERROR(__xludf.DUMMYFUNCTION("""COMPUTED_VALUE"""),"Mary and Max")</f>
        <v>Mary and Max</v>
      </c>
      <c r="J918" s="5" t="str">
        <f>IFERROR(__xludf.DUMMYFUNCTION("""COMPUTED_VALUE"""),"Toni Collette")</f>
        <v>Toni Collette</v>
      </c>
      <c r="K918" s="5" t="str">
        <f>IFERROR(__xludf.DUMMYFUNCTION("""COMPUTED_VALUE"""),"Estrela 1")</f>
        <v>Estrela 1</v>
      </c>
      <c r="P918" s="5">
        <f>IFERROR(__xludf.DUMMYFUNCTION("""COMPUTED_VALUE"""),230.0)</f>
        <v>230</v>
      </c>
      <c r="Q918" s="5" t="str">
        <f>IFERROR(__xludf.DUMMYFUNCTION("""COMPUTED_VALUE"""),"Mary and Max")</f>
        <v>Mary and Max</v>
      </c>
      <c r="R918" s="5" t="str">
        <f>IFERROR(__xludf.DUMMYFUNCTION("""COMPUTED_VALUE"""),"Toni Collette")</f>
        <v>Toni Collette</v>
      </c>
      <c r="S918" s="5" t="str">
        <f>IFERROR(__xludf.DUMMYFUNCTION("""COMPUTED_VALUE"""),"Estrela 1")</f>
        <v>Estrela 1</v>
      </c>
    </row>
    <row r="919">
      <c r="A919" s="1">
        <v>918.0</v>
      </c>
      <c r="B919" s="1" t="s">
        <v>5236</v>
      </c>
      <c r="C919" s="1" t="s">
        <v>2356</v>
      </c>
      <c r="D919" s="1" t="s">
        <v>5238</v>
      </c>
      <c r="E919" s="1" t="s">
        <v>973</v>
      </c>
      <c r="F919" s="1" t="s">
        <v>5239</v>
      </c>
      <c r="G919" s="5" t="str">
        <f>IFERROR(__xludf.DUMMYFUNCTION("""COMPUTED_VALUE"""),"230🤙🏼Mary and Max🤙🏼Philip Seymour Hoffman🤙🏼Estrela 2")</f>
        <v>230🤙🏼Mary and Max🤙🏼Philip Seymour Hoffman🤙🏼Estrela 2</v>
      </c>
      <c r="H919" s="5">
        <f>IFERROR(__xludf.DUMMYFUNCTION("SPLiT(G919, ""🤙🏼"",FALSE,FALSE)"),230.0)</f>
        <v>230</v>
      </c>
      <c r="I919" s="5" t="str">
        <f>IFERROR(__xludf.DUMMYFUNCTION("""COMPUTED_VALUE"""),"Mary and Max")</f>
        <v>Mary and Max</v>
      </c>
      <c r="J919" s="5" t="str">
        <f>IFERROR(__xludf.DUMMYFUNCTION("""COMPUTED_VALUE"""),"Philip Seymour Hoffman")</f>
        <v>Philip Seymour Hoffman</v>
      </c>
      <c r="K919" s="5" t="str">
        <f>IFERROR(__xludf.DUMMYFUNCTION("""COMPUTED_VALUE"""),"Estrela 2")</f>
        <v>Estrela 2</v>
      </c>
      <c r="P919" s="5">
        <f>IFERROR(__xludf.DUMMYFUNCTION("""COMPUTED_VALUE"""),230.0)</f>
        <v>230</v>
      </c>
      <c r="Q919" s="5" t="str">
        <f>IFERROR(__xludf.DUMMYFUNCTION("""COMPUTED_VALUE"""),"Mary and Max")</f>
        <v>Mary and Max</v>
      </c>
      <c r="R919" s="5" t="str">
        <f>IFERROR(__xludf.DUMMYFUNCTION("""COMPUTED_VALUE"""),"Philip Seymour Hoffman")</f>
        <v>Philip Seymour Hoffman</v>
      </c>
      <c r="S919" s="5" t="str">
        <f>IFERROR(__xludf.DUMMYFUNCTION("""COMPUTED_VALUE"""),"Estrela 2")</f>
        <v>Estrela 2</v>
      </c>
    </row>
    <row r="920">
      <c r="A920" s="1">
        <v>919.0</v>
      </c>
      <c r="B920" s="1" t="s">
        <v>5240</v>
      </c>
      <c r="C920" s="1" t="s">
        <v>3221</v>
      </c>
      <c r="D920" s="1" t="s">
        <v>66</v>
      </c>
      <c r="E920" s="1" t="s">
        <v>4727</v>
      </c>
      <c r="F920" s="1" t="s">
        <v>5243</v>
      </c>
      <c r="G920" s="5" t="str">
        <f>IFERROR(__xludf.DUMMYFUNCTION("""COMPUTED_VALUE"""),"230🤙🏼Mary and Max🤙🏼Eric Bana🤙🏼Estrela 3")</f>
        <v>230🤙🏼Mary and Max🤙🏼Eric Bana🤙🏼Estrela 3</v>
      </c>
      <c r="H920" s="5">
        <f>IFERROR(__xludf.DUMMYFUNCTION("SPLiT(G920, ""🤙🏼"",FALSE,FALSE)"),230.0)</f>
        <v>230</v>
      </c>
      <c r="I920" s="5" t="str">
        <f>IFERROR(__xludf.DUMMYFUNCTION("""COMPUTED_VALUE"""),"Mary and Max")</f>
        <v>Mary and Max</v>
      </c>
      <c r="J920" s="5" t="str">
        <f>IFERROR(__xludf.DUMMYFUNCTION("""COMPUTED_VALUE"""),"Eric Bana")</f>
        <v>Eric Bana</v>
      </c>
      <c r="K920" s="5" t="str">
        <f>IFERROR(__xludf.DUMMYFUNCTION("""COMPUTED_VALUE"""),"Estrela 3")</f>
        <v>Estrela 3</v>
      </c>
      <c r="P920" s="5">
        <f>IFERROR(__xludf.DUMMYFUNCTION("""COMPUTED_VALUE"""),230.0)</f>
        <v>230</v>
      </c>
      <c r="Q920" s="5" t="str">
        <f>IFERROR(__xludf.DUMMYFUNCTION("""COMPUTED_VALUE"""),"Mary and Max")</f>
        <v>Mary and Max</v>
      </c>
      <c r="R920" s="5" t="str">
        <f>IFERROR(__xludf.DUMMYFUNCTION("""COMPUTED_VALUE"""),"Eric Bana")</f>
        <v>Eric Bana</v>
      </c>
      <c r="S920" s="5" t="str">
        <f>IFERROR(__xludf.DUMMYFUNCTION("""COMPUTED_VALUE"""),"Estrela 3")</f>
        <v>Estrela 3</v>
      </c>
    </row>
    <row r="921">
      <c r="A921" s="1">
        <v>920.0</v>
      </c>
      <c r="B921" s="1" t="s">
        <v>5244</v>
      </c>
      <c r="C921" s="1" t="s">
        <v>5246</v>
      </c>
      <c r="D921" s="1" t="s">
        <v>5247</v>
      </c>
      <c r="E921" s="1" t="s">
        <v>5248</v>
      </c>
      <c r="F921" s="1" t="s">
        <v>67</v>
      </c>
      <c r="G921" s="5" t="str">
        <f>IFERROR(__xludf.DUMMYFUNCTION("""COMPUTED_VALUE"""),"230🤙🏼Mary and Max🤙🏼Barry Humphries🤙🏼Estrela 4")</f>
        <v>230🤙🏼Mary and Max🤙🏼Barry Humphries🤙🏼Estrela 4</v>
      </c>
      <c r="H921" s="5">
        <f>IFERROR(__xludf.DUMMYFUNCTION("SPLiT(G921, ""🤙🏼"",FALSE,FALSE)"),230.0)</f>
        <v>230</v>
      </c>
      <c r="I921" s="5" t="str">
        <f>IFERROR(__xludf.DUMMYFUNCTION("""COMPUTED_VALUE"""),"Mary and Max")</f>
        <v>Mary and Max</v>
      </c>
      <c r="J921" s="5" t="str">
        <f>IFERROR(__xludf.DUMMYFUNCTION("""COMPUTED_VALUE"""),"Barry Humphries")</f>
        <v>Barry Humphries</v>
      </c>
      <c r="K921" s="5" t="str">
        <f>IFERROR(__xludf.DUMMYFUNCTION("""COMPUTED_VALUE"""),"Estrela 4")</f>
        <v>Estrela 4</v>
      </c>
      <c r="P921" s="5">
        <f>IFERROR(__xludf.DUMMYFUNCTION("""COMPUTED_VALUE"""),230.0)</f>
        <v>230</v>
      </c>
      <c r="Q921" s="5" t="str">
        <f>IFERROR(__xludf.DUMMYFUNCTION("""COMPUTED_VALUE"""),"Mary and Max")</f>
        <v>Mary and Max</v>
      </c>
      <c r="R921" s="5" t="str">
        <f>IFERROR(__xludf.DUMMYFUNCTION("""COMPUTED_VALUE"""),"Barry Humphries")</f>
        <v>Barry Humphries</v>
      </c>
      <c r="S921" s="5" t="str">
        <f>IFERROR(__xludf.DUMMYFUNCTION("""COMPUTED_VALUE"""),"Estrela 4")</f>
        <v>Estrela 4</v>
      </c>
    </row>
    <row r="922">
      <c r="A922" s="1">
        <v>921.0</v>
      </c>
      <c r="B922" s="1" t="s">
        <v>5249</v>
      </c>
      <c r="C922" s="1" t="s">
        <v>5251</v>
      </c>
      <c r="D922" s="1" t="s">
        <v>5252</v>
      </c>
      <c r="E922" s="1" t="s">
        <v>1525</v>
      </c>
      <c r="F922" s="1" t="s">
        <v>5253</v>
      </c>
      <c r="G922" s="5" t="str">
        <f>IFERROR(__xludf.DUMMYFUNCTION("""COMPUTED_VALUE"""),"231🤙🏼How to Train Your Dragon🤙🏼Chris Sanders🤙🏼Estrela 1")</f>
        <v>231🤙🏼How to Train Your Dragon🤙🏼Chris Sanders🤙🏼Estrela 1</v>
      </c>
      <c r="H922" s="5">
        <f>IFERROR(__xludf.DUMMYFUNCTION("SPLiT(G922, ""🤙🏼"",FALSE,FALSE)"),231.0)</f>
        <v>231</v>
      </c>
      <c r="I922" s="5" t="str">
        <f>IFERROR(__xludf.DUMMYFUNCTION("""COMPUTED_VALUE"""),"How to Train Your Dragon")</f>
        <v>How to Train Your Dragon</v>
      </c>
      <c r="J922" s="5" t="str">
        <f>IFERROR(__xludf.DUMMYFUNCTION("""COMPUTED_VALUE"""),"Chris Sanders")</f>
        <v>Chris Sanders</v>
      </c>
      <c r="K922" s="5" t="str">
        <f>IFERROR(__xludf.DUMMYFUNCTION("""COMPUTED_VALUE"""),"Estrela 1")</f>
        <v>Estrela 1</v>
      </c>
      <c r="P922" s="5">
        <f>IFERROR(__xludf.DUMMYFUNCTION("""COMPUTED_VALUE"""),231.0)</f>
        <v>231</v>
      </c>
      <c r="Q922" s="5" t="str">
        <f>IFERROR(__xludf.DUMMYFUNCTION("""COMPUTED_VALUE"""),"How to Train Your Dragon")</f>
        <v>How to Train Your Dragon</v>
      </c>
      <c r="R922" s="5" t="str">
        <f>IFERROR(__xludf.DUMMYFUNCTION("""COMPUTED_VALUE"""),"Chris Sanders")</f>
        <v>Chris Sanders</v>
      </c>
      <c r="S922" s="5" t="str">
        <f>IFERROR(__xludf.DUMMYFUNCTION("""COMPUTED_VALUE"""),"Estrela 1")</f>
        <v>Estrela 1</v>
      </c>
    </row>
    <row r="923">
      <c r="A923" s="1">
        <v>922.0</v>
      </c>
      <c r="B923" s="1" t="s">
        <v>5254</v>
      </c>
      <c r="C923" s="1" t="s">
        <v>3799</v>
      </c>
      <c r="D923" s="1" t="s">
        <v>2384</v>
      </c>
      <c r="E923" s="1" t="s">
        <v>244</v>
      </c>
      <c r="F923" s="1" t="s">
        <v>1152</v>
      </c>
      <c r="G923" s="5" t="str">
        <f>IFERROR(__xludf.DUMMYFUNCTION("""COMPUTED_VALUE"""),"231🤙🏼How to Train Your Dragon🤙🏼Jay Baruchel🤙🏼Estrela 2")</f>
        <v>231🤙🏼How to Train Your Dragon🤙🏼Jay Baruchel🤙🏼Estrela 2</v>
      </c>
      <c r="H923" s="5">
        <f>IFERROR(__xludf.DUMMYFUNCTION("SPLiT(G923, ""🤙🏼"",FALSE,FALSE)"),231.0)</f>
        <v>231</v>
      </c>
      <c r="I923" s="5" t="str">
        <f>IFERROR(__xludf.DUMMYFUNCTION("""COMPUTED_VALUE"""),"How to Train Your Dragon")</f>
        <v>How to Train Your Dragon</v>
      </c>
      <c r="J923" s="5" t="str">
        <f>IFERROR(__xludf.DUMMYFUNCTION("""COMPUTED_VALUE"""),"Jay Baruchel")</f>
        <v>Jay Baruchel</v>
      </c>
      <c r="K923" s="5" t="str">
        <f>IFERROR(__xludf.DUMMYFUNCTION("""COMPUTED_VALUE"""),"Estrela 2")</f>
        <v>Estrela 2</v>
      </c>
      <c r="P923" s="5">
        <f>IFERROR(__xludf.DUMMYFUNCTION("""COMPUTED_VALUE"""),231.0)</f>
        <v>231</v>
      </c>
      <c r="Q923" s="5" t="str">
        <f>IFERROR(__xludf.DUMMYFUNCTION("""COMPUTED_VALUE"""),"How to Train Your Dragon")</f>
        <v>How to Train Your Dragon</v>
      </c>
      <c r="R923" s="5" t="str">
        <f>IFERROR(__xludf.DUMMYFUNCTION("""COMPUTED_VALUE"""),"Jay Baruchel")</f>
        <v>Jay Baruchel</v>
      </c>
      <c r="S923" s="5" t="str">
        <f>IFERROR(__xludf.DUMMYFUNCTION("""COMPUTED_VALUE"""),"Estrela 2")</f>
        <v>Estrela 2</v>
      </c>
    </row>
    <row r="924">
      <c r="A924" s="1">
        <v>923.0</v>
      </c>
      <c r="B924" s="1" t="s">
        <v>5256</v>
      </c>
      <c r="C924" s="1" t="s">
        <v>24</v>
      </c>
      <c r="D924" s="1" t="s">
        <v>1151</v>
      </c>
      <c r="E924" s="1" t="s">
        <v>3578</v>
      </c>
      <c r="F924" s="1" t="s">
        <v>5258</v>
      </c>
      <c r="G924" s="5" t="str">
        <f>IFERROR(__xludf.DUMMYFUNCTION("""COMPUTED_VALUE"""),"231🤙🏼How to Train Your Dragon🤙🏼Gerard Butler🤙🏼Estrela 3")</f>
        <v>231🤙🏼How to Train Your Dragon🤙🏼Gerard Butler🤙🏼Estrela 3</v>
      </c>
      <c r="H924" s="5">
        <f>IFERROR(__xludf.DUMMYFUNCTION("SPLiT(G924, ""🤙🏼"",FALSE,FALSE)"),231.0)</f>
        <v>231</v>
      </c>
      <c r="I924" s="5" t="str">
        <f>IFERROR(__xludf.DUMMYFUNCTION("""COMPUTED_VALUE"""),"How to Train Your Dragon")</f>
        <v>How to Train Your Dragon</v>
      </c>
      <c r="J924" s="5" t="str">
        <f>IFERROR(__xludf.DUMMYFUNCTION("""COMPUTED_VALUE"""),"Gerard Butler")</f>
        <v>Gerard Butler</v>
      </c>
      <c r="K924" s="5" t="str">
        <f>IFERROR(__xludf.DUMMYFUNCTION("""COMPUTED_VALUE"""),"Estrela 3")</f>
        <v>Estrela 3</v>
      </c>
      <c r="P924" s="5">
        <f>IFERROR(__xludf.DUMMYFUNCTION("""COMPUTED_VALUE"""),231.0)</f>
        <v>231</v>
      </c>
      <c r="Q924" s="5" t="str">
        <f>IFERROR(__xludf.DUMMYFUNCTION("""COMPUTED_VALUE"""),"How to Train Your Dragon")</f>
        <v>How to Train Your Dragon</v>
      </c>
      <c r="R924" s="5" t="str">
        <f>IFERROR(__xludf.DUMMYFUNCTION("""COMPUTED_VALUE"""),"Gerard Butler")</f>
        <v>Gerard Butler</v>
      </c>
      <c r="S924" s="5" t="str">
        <f>IFERROR(__xludf.DUMMYFUNCTION("""COMPUTED_VALUE"""),"Estrela 3")</f>
        <v>Estrela 3</v>
      </c>
    </row>
    <row r="925">
      <c r="A925" s="1">
        <v>924.0</v>
      </c>
      <c r="B925" s="1" t="s">
        <v>5259</v>
      </c>
      <c r="C925" s="1" t="s">
        <v>4416</v>
      </c>
      <c r="D925" s="1" t="s">
        <v>5262</v>
      </c>
      <c r="E925" s="1" t="s">
        <v>5263</v>
      </c>
      <c r="F925" s="1" t="s">
        <v>2389</v>
      </c>
      <c r="G925" s="5" t="str">
        <f>IFERROR(__xludf.DUMMYFUNCTION("""COMPUTED_VALUE"""),"231🤙🏼How to Train Your Dragon🤙🏼Christopher Mintz-Plasse🤙🏼Estrela 4")</f>
        <v>231🤙🏼How to Train Your Dragon🤙🏼Christopher Mintz-Plasse🤙🏼Estrela 4</v>
      </c>
      <c r="H925" s="5">
        <f>IFERROR(__xludf.DUMMYFUNCTION("SPLiT(G925, ""🤙🏼"",FALSE,FALSE)"),231.0)</f>
        <v>231</v>
      </c>
      <c r="I925" s="5" t="str">
        <f>IFERROR(__xludf.DUMMYFUNCTION("""COMPUTED_VALUE"""),"How to Train Your Dragon")</f>
        <v>How to Train Your Dragon</v>
      </c>
      <c r="J925" s="5" t="str">
        <f>IFERROR(__xludf.DUMMYFUNCTION("""COMPUTED_VALUE"""),"Christopher Mintz-Plasse")</f>
        <v>Christopher Mintz-Plasse</v>
      </c>
      <c r="K925" s="5" t="str">
        <f>IFERROR(__xludf.DUMMYFUNCTION("""COMPUTED_VALUE"""),"Estrela 4")</f>
        <v>Estrela 4</v>
      </c>
      <c r="P925" s="5">
        <f>IFERROR(__xludf.DUMMYFUNCTION("""COMPUTED_VALUE"""),231.0)</f>
        <v>231</v>
      </c>
      <c r="Q925" s="5" t="str">
        <f>IFERROR(__xludf.DUMMYFUNCTION("""COMPUTED_VALUE"""),"How to Train Your Dragon")</f>
        <v>How to Train Your Dragon</v>
      </c>
      <c r="R925" s="5" t="str">
        <f>IFERROR(__xludf.DUMMYFUNCTION("""COMPUTED_VALUE"""),"Christopher Mintz-Plasse")</f>
        <v>Christopher Mintz-Plasse</v>
      </c>
      <c r="S925" s="5" t="str">
        <f>IFERROR(__xludf.DUMMYFUNCTION("""COMPUTED_VALUE"""),"Estrela 4")</f>
        <v>Estrela 4</v>
      </c>
    </row>
    <row r="926">
      <c r="A926" s="1">
        <v>925.0</v>
      </c>
      <c r="B926" s="1" t="s">
        <v>5264</v>
      </c>
      <c r="C926" s="1" t="s">
        <v>3180</v>
      </c>
      <c r="D926" s="1" t="s">
        <v>5267</v>
      </c>
      <c r="E926" s="1" t="s">
        <v>5268</v>
      </c>
      <c r="F926" s="1" t="s">
        <v>5269</v>
      </c>
      <c r="G926" s="5" t="str">
        <f>IFERROR(__xludf.DUMMYFUNCTION("""COMPUTED_VALUE"""),"232🤙🏼Into the Wild🤙🏼Emile Hirsch🤙🏼Estrela 1")</f>
        <v>232🤙🏼Into the Wild🤙🏼Emile Hirsch🤙🏼Estrela 1</v>
      </c>
      <c r="H926" s="5">
        <f>IFERROR(__xludf.DUMMYFUNCTION("SPLiT(G926, ""🤙🏼"",FALSE,FALSE)"),232.0)</f>
        <v>232</v>
      </c>
      <c r="I926" s="5" t="str">
        <f>IFERROR(__xludf.DUMMYFUNCTION("""COMPUTED_VALUE"""),"Into the Wild")</f>
        <v>Into the Wild</v>
      </c>
      <c r="J926" s="5" t="str">
        <f>IFERROR(__xludf.DUMMYFUNCTION("""COMPUTED_VALUE"""),"Emile Hirsch")</f>
        <v>Emile Hirsch</v>
      </c>
      <c r="K926" s="5" t="str">
        <f>IFERROR(__xludf.DUMMYFUNCTION("""COMPUTED_VALUE"""),"Estrela 1")</f>
        <v>Estrela 1</v>
      </c>
      <c r="P926" s="5">
        <f>IFERROR(__xludf.DUMMYFUNCTION("""COMPUTED_VALUE"""),232.0)</f>
        <v>232</v>
      </c>
      <c r="Q926" s="5" t="str">
        <f>IFERROR(__xludf.DUMMYFUNCTION("""COMPUTED_VALUE"""),"Into the Wild")</f>
        <v>Into the Wild</v>
      </c>
      <c r="R926" s="5" t="str">
        <f>IFERROR(__xludf.DUMMYFUNCTION("""COMPUTED_VALUE"""),"Emile Hirsch")</f>
        <v>Emile Hirsch</v>
      </c>
      <c r="S926" s="5" t="str">
        <f>IFERROR(__xludf.DUMMYFUNCTION("""COMPUTED_VALUE"""),"Estrela 1")</f>
        <v>Estrela 1</v>
      </c>
    </row>
    <row r="927">
      <c r="A927" s="1">
        <v>926.0</v>
      </c>
      <c r="B927" s="1" t="s">
        <v>5270</v>
      </c>
      <c r="C927" s="1" t="s">
        <v>99</v>
      </c>
      <c r="D927" s="1" t="s">
        <v>5273</v>
      </c>
      <c r="E927" s="1" t="s">
        <v>2437</v>
      </c>
      <c r="F927" s="1" t="s">
        <v>5274</v>
      </c>
      <c r="G927" s="5" t="str">
        <f>IFERROR(__xludf.DUMMYFUNCTION("""COMPUTED_VALUE"""),"232🤙🏼Into the Wild🤙🏼Vince Vaughn🤙🏼Estrela 2")</f>
        <v>232🤙🏼Into the Wild🤙🏼Vince Vaughn🤙🏼Estrela 2</v>
      </c>
      <c r="H927" s="5">
        <f>IFERROR(__xludf.DUMMYFUNCTION("SPLiT(G927, ""🤙🏼"",FALSE,FALSE)"),232.0)</f>
        <v>232</v>
      </c>
      <c r="I927" s="5" t="str">
        <f>IFERROR(__xludf.DUMMYFUNCTION("""COMPUTED_VALUE"""),"Into the Wild")</f>
        <v>Into the Wild</v>
      </c>
      <c r="J927" s="5" t="str">
        <f>IFERROR(__xludf.DUMMYFUNCTION("""COMPUTED_VALUE"""),"Vince Vaughn")</f>
        <v>Vince Vaughn</v>
      </c>
      <c r="K927" s="5" t="str">
        <f>IFERROR(__xludf.DUMMYFUNCTION("""COMPUTED_VALUE"""),"Estrela 2")</f>
        <v>Estrela 2</v>
      </c>
      <c r="P927" s="5">
        <f>IFERROR(__xludf.DUMMYFUNCTION("""COMPUTED_VALUE"""),232.0)</f>
        <v>232</v>
      </c>
      <c r="Q927" s="5" t="str">
        <f>IFERROR(__xludf.DUMMYFUNCTION("""COMPUTED_VALUE"""),"Into the Wild")</f>
        <v>Into the Wild</v>
      </c>
      <c r="R927" s="5" t="str">
        <f>IFERROR(__xludf.DUMMYFUNCTION("""COMPUTED_VALUE"""),"Vince Vaughn")</f>
        <v>Vince Vaughn</v>
      </c>
      <c r="S927" s="5" t="str">
        <f>IFERROR(__xludf.DUMMYFUNCTION("""COMPUTED_VALUE"""),"Estrela 2")</f>
        <v>Estrela 2</v>
      </c>
    </row>
    <row r="928">
      <c r="A928" s="1">
        <v>927.0</v>
      </c>
      <c r="B928" s="1" t="s">
        <v>5275</v>
      </c>
      <c r="C928" s="1" t="s">
        <v>3622</v>
      </c>
      <c r="D928" s="1" t="s">
        <v>5277</v>
      </c>
      <c r="E928" s="1" t="s">
        <v>5278</v>
      </c>
      <c r="F928" s="1" t="s">
        <v>5279</v>
      </c>
      <c r="G928" s="5" t="str">
        <f>IFERROR(__xludf.DUMMYFUNCTION("""COMPUTED_VALUE"""),"232🤙🏼Into the Wild🤙🏼Catherine Keener🤙🏼Estrela 3")</f>
        <v>232🤙🏼Into the Wild🤙🏼Catherine Keener🤙🏼Estrela 3</v>
      </c>
      <c r="H928" s="5">
        <f>IFERROR(__xludf.DUMMYFUNCTION("SPLiT(G928, ""🤙🏼"",FALSE,FALSE)"),232.0)</f>
        <v>232</v>
      </c>
      <c r="I928" s="5" t="str">
        <f>IFERROR(__xludf.DUMMYFUNCTION("""COMPUTED_VALUE"""),"Into the Wild")</f>
        <v>Into the Wild</v>
      </c>
      <c r="J928" s="5" t="str">
        <f>IFERROR(__xludf.DUMMYFUNCTION("""COMPUTED_VALUE"""),"Catherine Keener")</f>
        <v>Catherine Keener</v>
      </c>
      <c r="K928" s="5" t="str">
        <f>IFERROR(__xludf.DUMMYFUNCTION("""COMPUTED_VALUE"""),"Estrela 3")</f>
        <v>Estrela 3</v>
      </c>
      <c r="P928" s="5">
        <f>IFERROR(__xludf.DUMMYFUNCTION("""COMPUTED_VALUE"""),232.0)</f>
        <v>232</v>
      </c>
      <c r="Q928" s="5" t="str">
        <f>IFERROR(__xludf.DUMMYFUNCTION("""COMPUTED_VALUE"""),"Into the Wild")</f>
        <v>Into the Wild</v>
      </c>
      <c r="R928" s="5" t="str">
        <f>IFERROR(__xludf.DUMMYFUNCTION("""COMPUTED_VALUE"""),"Catherine Keener")</f>
        <v>Catherine Keener</v>
      </c>
      <c r="S928" s="5" t="str">
        <f>IFERROR(__xludf.DUMMYFUNCTION("""COMPUTED_VALUE"""),"Estrela 3")</f>
        <v>Estrela 3</v>
      </c>
    </row>
    <row r="929">
      <c r="A929" s="1">
        <v>928.0</v>
      </c>
      <c r="B929" s="1" t="s">
        <v>5280</v>
      </c>
      <c r="C929" s="1" t="s">
        <v>1568</v>
      </c>
      <c r="D929" s="1" t="s">
        <v>1569</v>
      </c>
      <c r="E929" s="1" t="s">
        <v>1570</v>
      </c>
      <c r="F929" s="1" t="s">
        <v>1571</v>
      </c>
      <c r="G929" s="5" t="str">
        <f>IFERROR(__xludf.DUMMYFUNCTION("""COMPUTED_VALUE"""),"232🤙🏼Into the Wild🤙🏼Marcia Gay Harden🤙🏼Estrela 4")</f>
        <v>232🤙🏼Into the Wild🤙🏼Marcia Gay Harden🤙🏼Estrela 4</v>
      </c>
      <c r="H929" s="5">
        <f>IFERROR(__xludf.DUMMYFUNCTION("SPLiT(G929, ""🤙🏼"",FALSE,FALSE)"),232.0)</f>
        <v>232</v>
      </c>
      <c r="I929" s="5" t="str">
        <f>IFERROR(__xludf.DUMMYFUNCTION("""COMPUTED_VALUE"""),"Into the Wild")</f>
        <v>Into the Wild</v>
      </c>
      <c r="J929" s="5" t="str">
        <f>IFERROR(__xludf.DUMMYFUNCTION("""COMPUTED_VALUE"""),"Marcia Gay Harden")</f>
        <v>Marcia Gay Harden</v>
      </c>
      <c r="K929" s="5" t="str">
        <f>IFERROR(__xludf.DUMMYFUNCTION("""COMPUTED_VALUE"""),"Estrela 4")</f>
        <v>Estrela 4</v>
      </c>
      <c r="P929" s="5">
        <f>IFERROR(__xludf.DUMMYFUNCTION("""COMPUTED_VALUE"""),232.0)</f>
        <v>232</v>
      </c>
      <c r="Q929" s="5" t="str">
        <f>IFERROR(__xludf.DUMMYFUNCTION("""COMPUTED_VALUE"""),"Into the Wild")</f>
        <v>Into the Wild</v>
      </c>
      <c r="R929" s="5" t="str">
        <f>IFERROR(__xludf.DUMMYFUNCTION("""COMPUTED_VALUE"""),"Marcia Gay Harden")</f>
        <v>Marcia Gay Harden</v>
      </c>
      <c r="S929" s="5" t="str">
        <f>IFERROR(__xludf.DUMMYFUNCTION("""COMPUTED_VALUE"""),"Estrela 4")</f>
        <v>Estrela 4</v>
      </c>
    </row>
    <row r="930">
      <c r="A930" s="1">
        <v>929.0</v>
      </c>
      <c r="B930" s="1">
        <v>300.0</v>
      </c>
      <c r="C930" s="1" t="s">
        <v>1601</v>
      </c>
      <c r="D930" s="1" t="s">
        <v>5285</v>
      </c>
      <c r="E930" s="1" t="s">
        <v>5286</v>
      </c>
      <c r="F930" s="1" t="s">
        <v>3621</v>
      </c>
      <c r="G930" s="5" t="str">
        <f>IFERROR(__xludf.DUMMYFUNCTION("""COMPUTED_VALUE"""),"233🤙🏼No Country for Old Men🤙🏼Joel Coen🤙🏼Estrela 1")</f>
        <v>233🤙🏼No Country for Old Men🤙🏼Joel Coen🤙🏼Estrela 1</v>
      </c>
      <c r="H930" s="5">
        <f>IFERROR(__xludf.DUMMYFUNCTION("SPLiT(G930, ""🤙🏼"",FALSE,FALSE)"),233.0)</f>
        <v>233</v>
      </c>
      <c r="I930" s="5" t="str">
        <f>IFERROR(__xludf.DUMMYFUNCTION("""COMPUTED_VALUE"""),"No Country for Old Men")</f>
        <v>No Country for Old Men</v>
      </c>
      <c r="J930" s="5" t="str">
        <f>IFERROR(__xludf.DUMMYFUNCTION("""COMPUTED_VALUE"""),"Joel Coen")</f>
        <v>Joel Coen</v>
      </c>
      <c r="K930" s="5" t="str">
        <f>IFERROR(__xludf.DUMMYFUNCTION("""COMPUTED_VALUE"""),"Estrela 1")</f>
        <v>Estrela 1</v>
      </c>
      <c r="P930" s="5">
        <f>IFERROR(__xludf.DUMMYFUNCTION("""COMPUTED_VALUE"""),233.0)</f>
        <v>233</v>
      </c>
      <c r="Q930" s="5" t="str">
        <f>IFERROR(__xludf.DUMMYFUNCTION("""COMPUTED_VALUE"""),"No Country for Old Men")</f>
        <v>No Country for Old Men</v>
      </c>
      <c r="R930" s="5" t="str">
        <f>IFERROR(__xludf.DUMMYFUNCTION("""COMPUTED_VALUE"""),"Joel Coen")</f>
        <v>Joel Coen</v>
      </c>
      <c r="S930" s="5" t="str">
        <f>IFERROR(__xludf.DUMMYFUNCTION("""COMPUTED_VALUE"""),"Estrela 1")</f>
        <v>Estrela 1</v>
      </c>
    </row>
    <row r="931">
      <c r="A931" s="1">
        <v>930.0</v>
      </c>
      <c r="B931" s="1" t="s">
        <v>5287</v>
      </c>
      <c r="C931" s="1" t="s">
        <v>307</v>
      </c>
      <c r="D931" s="1" t="s">
        <v>5289</v>
      </c>
      <c r="E931" s="1" t="s">
        <v>1068</v>
      </c>
      <c r="F931" s="1" t="s">
        <v>2238</v>
      </c>
      <c r="G931" s="5" t="str">
        <f>IFERROR(__xludf.DUMMYFUNCTION("""COMPUTED_VALUE"""),"233🤙🏼No Country for Old Men🤙🏼Tommy Lee Jones🤙🏼Estrela 2")</f>
        <v>233🤙🏼No Country for Old Men🤙🏼Tommy Lee Jones🤙🏼Estrela 2</v>
      </c>
      <c r="H931" s="5">
        <f>IFERROR(__xludf.DUMMYFUNCTION("SPLiT(G931, ""🤙🏼"",FALSE,FALSE)"),233.0)</f>
        <v>233</v>
      </c>
      <c r="I931" s="5" t="str">
        <f>IFERROR(__xludf.DUMMYFUNCTION("""COMPUTED_VALUE"""),"No Country for Old Men")</f>
        <v>No Country for Old Men</v>
      </c>
      <c r="J931" s="5" t="str">
        <f>IFERROR(__xludf.DUMMYFUNCTION("""COMPUTED_VALUE"""),"Tommy Lee Jones")</f>
        <v>Tommy Lee Jones</v>
      </c>
      <c r="K931" s="5" t="str">
        <f>IFERROR(__xludf.DUMMYFUNCTION("""COMPUTED_VALUE"""),"Estrela 2")</f>
        <v>Estrela 2</v>
      </c>
      <c r="P931" s="5">
        <f>IFERROR(__xludf.DUMMYFUNCTION("""COMPUTED_VALUE"""),233.0)</f>
        <v>233</v>
      </c>
      <c r="Q931" s="5" t="str">
        <f>IFERROR(__xludf.DUMMYFUNCTION("""COMPUTED_VALUE"""),"No Country for Old Men")</f>
        <v>No Country for Old Men</v>
      </c>
      <c r="R931" s="5" t="str">
        <f>IFERROR(__xludf.DUMMYFUNCTION("""COMPUTED_VALUE"""),"Tommy Lee Jones")</f>
        <v>Tommy Lee Jones</v>
      </c>
      <c r="S931" s="5" t="str">
        <f>IFERROR(__xludf.DUMMYFUNCTION("""COMPUTED_VALUE"""),"Estrela 2")</f>
        <v>Estrela 2</v>
      </c>
    </row>
    <row r="932">
      <c r="A932" s="1">
        <v>931.0</v>
      </c>
      <c r="B932" s="1" t="s">
        <v>5290</v>
      </c>
      <c r="C932" s="1" t="s">
        <v>5292</v>
      </c>
      <c r="D932" s="1" t="s">
        <v>5293</v>
      </c>
      <c r="E932" s="1" t="s">
        <v>5294</v>
      </c>
      <c r="F932" s="1" t="s">
        <v>5295</v>
      </c>
      <c r="G932" s="5" t="str">
        <f>IFERROR(__xludf.DUMMYFUNCTION("""COMPUTED_VALUE"""),"233🤙🏼No Country for Old Men🤙🏼Javier Bardem🤙🏼Estrela 3")</f>
        <v>233🤙🏼No Country for Old Men🤙🏼Javier Bardem🤙🏼Estrela 3</v>
      </c>
      <c r="H932" s="5">
        <f>IFERROR(__xludf.DUMMYFUNCTION("SPLiT(G932, ""🤙🏼"",FALSE,FALSE)"),233.0)</f>
        <v>233</v>
      </c>
      <c r="I932" s="5" t="str">
        <f>IFERROR(__xludf.DUMMYFUNCTION("""COMPUTED_VALUE"""),"No Country for Old Men")</f>
        <v>No Country for Old Men</v>
      </c>
      <c r="J932" s="5" t="str">
        <f>IFERROR(__xludf.DUMMYFUNCTION("""COMPUTED_VALUE"""),"Javier Bardem")</f>
        <v>Javier Bardem</v>
      </c>
      <c r="K932" s="5" t="str">
        <f>IFERROR(__xludf.DUMMYFUNCTION("""COMPUTED_VALUE"""),"Estrela 3")</f>
        <v>Estrela 3</v>
      </c>
      <c r="P932" s="5">
        <f>IFERROR(__xludf.DUMMYFUNCTION("""COMPUTED_VALUE"""),233.0)</f>
        <v>233</v>
      </c>
      <c r="Q932" s="5" t="str">
        <f>IFERROR(__xludf.DUMMYFUNCTION("""COMPUTED_VALUE"""),"No Country for Old Men")</f>
        <v>No Country for Old Men</v>
      </c>
      <c r="R932" s="5" t="str">
        <f>IFERROR(__xludf.DUMMYFUNCTION("""COMPUTED_VALUE"""),"Javier Bardem")</f>
        <v>Javier Bardem</v>
      </c>
      <c r="S932" s="5" t="str">
        <f>IFERROR(__xludf.DUMMYFUNCTION("""COMPUTED_VALUE"""),"Estrela 3")</f>
        <v>Estrela 3</v>
      </c>
    </row>
    <row r="933">
      <c r="A933" s="1">
        <v>932.0</v>
      </c>
      <c r="B933" s="1" t="s">
        <v>5296</v>
      </c>
      <c r="C933" s="1" t="s">
        <v>4629</v>
      </c>
      <c r="D933" s="1" t="s">
        <v>1642</v>
      </c>
      <c r="E933" s="1" t="s">
        <v>741</v>
      </c>
      <c r="F933" s="1" t="s">
        <v>5298</v>
      </c>
      <c r="G933" s="5" t="str">
        <f>IFERROR(__xludf.DUMMYFUNCTION("""COMPUTED_VALUE"""),"233🤙🏼No Country for Old Men🤙🏼Josh Brolin🤙🏼Estrela 4")</f>
        <v>233🤙🏼No Country for Old Men🤙🏼Josh Brolin🤙🏼Estrela 4</v>
      </c>
      <c r="H933" s="5">
        <f>IFERROR(__xludf.DUMMYFUNCTION("SPLiT(G933, ""🤙🏼"",FALSE,FALSE)"),233.0)</f>
        <v>233</v>
      </c>
      <c r="I933" s="5" t="str">
        <f>IFERROR(__xludf.DUMMYFUNCTION("""COMPUTED_VALUE"""),"No Country for Old Men")</f>
        <v>No Country for Old Men</v>
      </c>
      <c r="J933" s="5" t="str">
        <f>IFERROR(__xludf.DUMMYFUNCTION("""COMPUTED_VALUE"""),"Josh Brolin")</f>
        <v>Josh Brolin</v>
      </c>
      <c r="K933" s="5" t="str">
        <f>IFERROR(__xludf.DUMMYFUNCTION("""COMPUTED_VALUE"""),"Estrela 4")</f>
        <v>Estrela 4</v>
      </c>
      <c r="P933" s="5">
        <f>IFERROR(__xludf.DUMMYFUNCTION("""COMPUTED_VALUE"""),233.0)</f>
        <v>233</v>
      </c>
      <c r="Q933" s="5" t="str">
        <f>IFERROR(__xludf.DUMMYFUNCTION("""COMPUTED_VALUE"""),"No Country for Old Men")</f>
        <v>No Country for Old Men</v>
      </c>
      <c r="R933" s="5" t="str">
        <f>IFERROR(__xludf.DUMMYFUNCTION("""COMPUTED_VALUE"""),"Josh Brolin")</f>
        <v>Josh Brolin</v>
      </c>
      <c r="S933" s="5" t="str">
        <f>IFERROR(__xludf.DUMMYFUNCTION("""COMPUTED_VALUE"""),"Estrela 4")</f>
        <v>Estrela 4</v>
      </c>
    </row>
    <row r="934">
      <c r="A934" s="1">
        <v>933.0</v>
      </c>
      <c r="B934" s="1" t="s">
        <v>5299</v>
      </c>
      <c r="C934" s="1" t="s">
        <v>2631</v>
      </c>
      <c r="D934" s="1" t="s">
        <v>5302</v>
      </c>
      <c r="E934" s="1" t="s">
        <v>4094</v>
      </c>
      <c r="F934" s="1" t="s">
        <v>5303</v>
      </c>
      <c r="G934" s="5" t="str">
        <f>IFERROR(__xludf.DUMMYFUNCTION("""COMPUTED_VALUE"""),"234🤙🏼Lage Raho Munna Bhai🤙🏼Sanjay Dutt🤙🏼Estrela 1")</f>
        <v>234🤙🏼Lage Raho Munna Bhai🤙🏼Sanjay Dutt🤙🏼Estrela 1</v>
      </c>
      <c r="H934" s="5">
        <f>IFERROR(__xludf.DUMMYFUNCTION("SPLiT(G934, ""🤙🏼"",FALSE,FALSE)"),234.0)</f>
        <v>234</v>
      </c>
      <c r="I934" s="5" t="str">
        <f>IFERROR(__xludf.DUMMYFUNCTION("""COMPUTED_VALUE"""),"Lage Raho Munna Bhai")</f>
        <v>Lage Raho Munna Bhai</v>
      </c>
      <c r="J934" s="5" t="str">
        <f>IFERROR(__xludf.DUMMYFUNCTION("""COMPUTED_VALUE"""),"Sanjay Dutt")</f>
        <v>Sanjay Dutt</v>
      </c>
      <c r="K934" s="5" t="str">
        <f>IFERROR(__xludf.DUMMYFUNCTION("""COMPUTED_VALUE"""),"Estrela 1")</f>
        <v>Estrela 1</v>
      </c>
      <c r="P934" s="5">
        <f>IFERROR(__xludf.DUMMYFUNCTION("""COMPUTED_VALUE"""),234.0)</f>
        <v>234</v>
      </c>
      <c r="Q934" s="5" t="str">
        <f>IFERROR(__xludf.DUMMYFUNCTION("""COMPUTED_VALUE"""),"Lage Raho Munna Bhai")</f>
        <v>Lage Raho Munna Bhai</v>
      </c>
      <c r="R934" s="5" t="str">
        <f>IFERROR(__xludf.DUMMYFUNCTION("""COMPUTED_VALUE"""),"Sanjay Dutt")</f>
        <v>Sanjay Dutt</v>
      </c>
      <c r="S934" s="5" t="str">
        <f>IFERROR(__xludf.DUMMYFUNCTION("""COMPUTED_VALUE"""),"Estrela 1")</f>
        <v>Estrela 1</v>
      </c>
    </row>
    <row r="935">
      <c r="A935" s="1">
        <v>934.0</v>
      </c>
      <c r="B935" s="1" t="s">
        <v>5304</v>
      </c>
      <c r="C935" s="1" t="s">
        <v>1593</v>
      </c>
      <c r="D935" s="1" t="s">
        <v>4544</v>
      </c>
      <c r="E935" s="1" t="s">
        <v>3579</v>
      </c>
      <c r="F935" s="1" t="s">
        <v>1608</v>
      </c>
      <c r="G935" s="5" t="str">
        <f>IFERROR(__xludf.DUMMYFUNCTION("""COMPUTED_VALUE"""),"234🤙🏼Lage Raho Munna Bhai🤙🏼Arshad Warsi🤙🏼Estrela 2")</f>
        <v>234🤙🏼Lage Raho Munna Bhai🤙🏼Arshad Warsi🤙🏼Estrela 2</v>
      </c>
      <c r="H935" s="5">
        <f>IFERROR(__xludf.DUMMYFUNCTION("SPLiT(G935, ""🤙🏼"",FALSE,FALSE)"),234.0)</f>
        <v>234</v>
      </c>
      <c r="I935" s="5" t="str">
        <f>IFERROR(__xludf.DUMMYFUNCTION("""COMPUTED_VALUE"""),"Lage Raho Munna Bhai")</f>
        <v>Lage Raho Munna Bhai</v>
      </c>
      <c r="J935" s="5" t="str">
        <f>IFERROR(__xludf.DUMMYFUNCTION("""COMPUTED_VALUE"""),"Arshad Warsi")</f>
        <v>Arshad Warsi</v>
      </c>
      <c r="K935" s="5" t="str">
        <f>IFERROR(__xludf.DUMMYFUNCTION("""COMPUTED_VALUE"""),"Estrela 2")</f>
        <v>Estrela 2</v>
      </c>
      <c r="P935" s="5">
        <f>IFERROR(__xludf.DUMMYFUNCTION("""COMPUTED_VALUE"""),234.0)</f>
        <v>234</v>
      </c>
      <c r="Q935" s="5" t="str">
        <f>IFERROR(__xludf.DUMMYFUNCTION("""COMPUTED_VALUE"""),"Lage Raho Munna Bhai")</f>
        <v>Lage Raho Munna Bhai</v>
      </c>
      <c r="R935" s="5" t="str">
        <f>IFERROR(__xludf.DUMMYFUNCTION("""COMPUTED_VALUE"""),"Arshad Warsi")</f>
        <v>Arshad Warsi</v>
      </c>
      <c r="S935" s="5" t="str">
        <f>IFERROR(__xludf.DUMMYFUNCTION("""COMPUTED_VALUE"""),"Estrela 2")</f>
        <v>Estrela 2</v>
      </c>
    </row>
    <row r="936">
      <c r="A936" s="1">
        <v>935.0</v>
      </c>
      <c r="B936" s="1" t="s">
        <v>5307</v>
      </c>
      <c r="C936" s="1" t="s">
        <v>5310</v>
      </c>
      <c r="D936" s="1" t="s">
        <v>91</v>
      </c>
      <c r="E936" s="1" t="s">
        <v>5311</v>
      </c>
      <c r="F936" s="1" t="s">
        <v>5312</v>
      </c>
      <c r="G936" s="5" t="str">
        <f>IFERROR(__xludf.DUMMYFUNCTION("""COMPUTED_VALUE"""),"234🤙🏼Lage Raho Munna Bhai🤙🏼Vidya Balan🤙🏼Estrela 3")</f>
        <v>234🤙🏼Lage Raho Munna Bhai🤙🏼Vidya Balan🤙🏼Estrela 3</v>
      </c>
      <c r="H936" s="5">
        <f>IFERROR(__xludf.DUMMYFUNCTION("SPLiT(G936, ""🤙🏼"",FALSE,FALSE)"),234.0)</f>
        <v>234</v>
      </c>
      <c r="I936" s="5" t="str">
        <f>IFERROR(__xludf.DUMMYFUNCTION("""COMPUTED_VALUE"""),"Lage Raho Munna Bhai")</f>
        <v>Lage Raho Munna Bhai</v>
      </c>
      <c r="J936" s="5" t="str">
        <f>IFERROR(__xludf.DUMMYFUNCTION("""COMPUTED_VALUE"""),"Vidya Balan")</f>
        <v>Vidya Balan</v>
      </c>
      <c r="K936" s="5" t="str">
        <f>IFERROR(__xludf.DUMMYFUNCTION("""COMPUTED_VALUE"""),"Estrela 3")</f>
        <v>Estrela 3</v>
      </c>
      <c r="P936" s="5">
        <f>IFERROR(__xludf.DUMMYFUNCTION("""COMPUTED_VALUE"""),234.0)</f>
        <v>234</v>
      </c>
      <c r="Q936" s="5" t="str">
        <f>IFERROR(__xludf.DUMMYFUNCTION("""COMPUTED_VALUE"""),"Lage Raho Munna Bhai")</f>
        <v>Lage Raho Munna Bhai</v>
      </c>
      <c r="R936" s="5" t="str">
        <f>IFERROR(__xludf.DUMMYFUNCTION("""COMPUTED_VALUE"""),"Vidya Balan")</f>
        <v>Vidya Balan</v>
      </c>
      <c r="S936" s="5" t="str">
        <f>IFERROR(__xludf.DUMMYFUNCTION("""COMPUTED_VALUE"""),"Estrela 3")</f>
        <v>Estrela 3</v>
      </c>
    </row>
    <row r="937">
      <c r="A937" s="1">
        <v>936.0</v>
      </c>
      <c r="B937" s="1" t="s">
        <v>5313</v>
      </c>
      <c r="C937" s="1" t="s">
        <v>4538</v>
      </c>
      <c r="D937" s="1" t="s">
        <v>4416</v>
      </c>
      <c r="E937" s="1" t="s">
        <v>5316</v>
      </c>
      <c r="F937" s="1" t="s">
        <v>5317</v>
      </c>
      <c r="G937" s="5" t="str">
        <f>IFERROR(__xludf.DUMMYFUNCTION("""COMPUTED_VALUE"""),"234🤙🏼Lage Raho Munna Bhai🤙🏼Boman Irani🤙🏼Estrela 4")</f>
        <v>234🤙🏼Lage Raho Munna Bhai🤙🏼Boman Irani🤙🏼Estrela 4</v>
      </c>
      <c r="H937" s="5">
        <f>IFERROR(__xludf.DUMMYFUNCTION("SPLiT(G937, ""🤙🏼"",FALSE,FALSE)"),234.0)</f>
        <v>234</v>
      </c>
      <c r="I937" s="5" t="str">
        <f>IFERROR(__xludf.DUMMYFUNCTION("""COMPUTED_VALUE"""),"Lage Raho Munna Bhai")</f>
        <v>Lage Raho Munna Bhai</v>
      </c>
      <c r="J937" s="5" t="str">
        <f>IFERROR(__xludf.DUMMYFUNCTION("""COMPUTED_VALUE"""),"Boman Irani")</f>
        <v>Boman Irani</v>
      </c>
      <c r="K937" s="5" t="str">
        <f>IFERROR(__xludf.DUMMYFUNCTION("""COMPUTED_VALUE"""),"Estrela 4")</f>
        <v>Estrela 4</v>
      </c>
      <c r="P937" s="5">
        <f>IFERROR(__xludf.DUMMYFUNCTION("""COMPUTED_VALUE"""),234.0)</f>
        <v>234</v>
      </c>
      <c r="Q937" s="5" t="str">
        <f>IFERROR(__xludf.DUMMYFUNCTION("""COMPUTED_VALUE"""),"Lage Raho Munna Bhai")</f>
        <v>Lage Raho Munna Bhai</v>
      </c>
      <c r="R937" s="5" t="str">
        <f>IFERROR(__xludf.DUMMYFUNCTION("""COMPUTED_VALUE"""),"Boman Irani")</f>
        <v>Boman Irani</v>
      </c>
      <c r="S937" s="5" t="str">
        <f>IFERROR(__xludf.DUMMYFUNCTION("""COMPUTED_VALUE"""),"Estrela 4")</f>
        <v>Estrela 4</v>
      </c>
    </row>
    <row r="938">
      <c r="A938" s="1">
        <v>937.0</v>
      </c>
      <c r="B938" s="1" t="s">
        <v>5318</v>
      </c>
      <c r="C938" s="1" t="s">
        <v>726</v>
      </c>
      <c r="D938" s="1" t="s">
        <v>5320</v>
      </c>
      <c r="E938" s="1" t="s">
        <v>244</v>
      </c>
      <c r="F938" s="1" t="s">
        <v>5321</v>
      </c>
      <c r="G938" s="5" t="str">
        <f>IFERROR(__xludf.DUMMYFUNCTION("""COMPUTED_VALUE"""),"235🤙🏼Million Dollar Baby🤙🏼Hilary Swank🤙🏼Estrela 1")</f>
        <v>235🤙🏼Million Dollar Baby🤙🏼Hilary Swank🤙🏼Estrela 1</v>
      </c>
      <c r="H938" s="5">
        <f>IFERROR(__xludf.DUMMYFUNCTION("SPLiT(G938, ""🤙🏼"",FALSE,FALSE)"),235.0)</f>
        <v>235</v>
      </c>
      <c r="I938" s="5" t="str">
        <f>IFERROR(__xludf.DUMMYFUNCTION("""COMPUTED_VALUE"""),"Million Dollar Baby")</f>
        <v>Million Dollar Baby</v>
      </c>
      <c r="J938" s="5" t="str">
        <f>IFERROR(__xludf.DUMMYFUNCTION("""COMPUTED_VALUE"""),"Hilary Swank")</f>
        <v>Hilary Swank</v>
      </c>
      <c r="K938" s="5" t="str">
        <f>IFERROR(__xludf.DUMMYFUNCTION("""COMPUTED_VALUE"""),"Estrela 1")</f>
        <v>Estrela 1</v>
      </c>
      <c r="P938" s="5">
        <f>IFERROR(__xludf.DUMMYFUNCTION("""COMPUTED_VALUE"""),235.0)</f>
        <v>235</v>
      </c>
      <c r="Q938" s="5" t="str">
        <f>IFERROR(__xludf.DUMMYFUNCTION("""COMPUTED_VALUE"""),"Million Dollar Baby")</f>
        <v>Million Dollar Baby</v>
      </c>
      <c r="R938" s="5" t="str">
        <f>IFERROR(__xludf.DUMMYFUNCTION("""COMPUTED_VALUE"""),"Hilary Swank")</f>
        <v>Hilary Swank</v>
      </c>
      <c r="S938" s="5" t="str">
        <f>IFERROR(__xludf.DUMMYFUNCTION("""COMPUTED_VALUE"""),"Estrela 1")</f>
        <v>Estrela 1</v>
      </c>
    </row>
    <row r="939">
      <c r="A939" s="1">
        <v>938.0</v>
      </c>
      <c r="B939" s="1" t="s">
        <v>5322</v>
      </c>
      <c r="C939" s="1" t="s">
        <v>5324</v>
      </c>
      <c r="D939" s="1" t="s">
        <v>5325</v>
      </c>
      <c r="E939" s="1" t="s">
        <v>5326</v>
      </c>
      <c r="F939" s="1" t="s">
        <v>5327</v>
      </c>
      <c r="G939" s="5" t="str">
        <f>IFERROR(__xludf.DUMMYFUNCTION("""COMPUTED_VALUE"""),"235🤙🏼Million Dollar Baby🤙🏼Clint Eastwood🤙🏼Estrela 2")</f>
        <v>235🤙🏼Million Dollar Baby🤙🏼Clint Eastwood🤙🏼Estrela 2</v>
      </c>
      <c r="H939" s="5">
        <f>IFERROR(__xludf.DUMMYFUNCTION("SPLiT(G939, ""🤙🏼"",FALSE,FALSE)"),235.0)</f>
        <v>235</v>
      </c>
      <c r="I939" s="5" t="str">
        <f>IFERROR(__xludf.DUMMYFUNCTION("""COMPUTED_VALUE"""),"Million Dollar Baby")</f>
        <v>Million Dollar Baby</v>
      </c>
      <c r="J939" s="5" t="str">
        <f>IFERROR(__xludf.DUMMYFUNCTION("""COMPUTED_VALUE"""),"Clint Eastwood")</f>
        <v>Clint Eastwood</v>
      </c>
      <c r="K939" s="5" t="str">
        <f>IFERROR(__xludf.DUMMYFUNCTION("""COMPUTED_VALUE"""),"Estrela 2")</f>
        <v>Estrela 2</v>
      </c>
      <c r="P939" s="5">
        <f>IFERROR(__xludf.DUMMYFUNCTION("""COMPUTED_VALUE"""),235.0)</f>
        <v>235</v>
      </c>
      <c r="Q939" s="5" t="str">
        <f>IFERROR(__xludf.DUMMYFUNCTION("""COMPUTED_VALUE"""),"Million Dollar Baby")</f>
        <v>Million Dollar Baby</v>
      </c>
      <c r="R939" s="5" t="str">
        <f>IFERROR(__xludf.DUMMYFUNCTION("""COMPUTED_VALUE"""),"Clint Eastwood")</f>
        <v>Clint Eastwood</v>
      </c>
      <c r="S939" s="5" t="str">
        <f>IFERROR(__xludf.DUMMYFUNCTION("""COMPUTED_VALUE"""),"Estrela 2")</f>
        <v>Estrela 2</v>
      </c>
    </row>
    <row r="940">
      <c r="A940" s="1">
        <v>939.0</v>
      </c>
      <c r="B940" s="1" t="s">
        <v>5328</v>
      </c>
      <c r="C940" s="1" t="s">
        <v>1605</v>
      </c>
      <c r="D940" s="1" t="s">
        <v>735</v>
      </c>
      <c r="E940" s="1" t="s">
        <v>3221</v>
      </c>
      <c r="F940" s="1" t="s">
        <v>5330</v>
      </c>
      <c r="G940" s="5" t="str">
        <f>IFERROR(__xludf.DUMMYFUNCTION("""COMPUTED_VALUE"""),"235🤙🏼Million Dollar Baby🤙🏼Morgan Freeman🤙🏼Estrela 3")</f>
        <v>235🤙🏼Million Dollar Baby🤙🏼Morgan Freeman🤙🏼Estrela 3</v>
      </c>
      <c r="H940" s="5">
        <f>IFERROR(__xludf.DUMMYFUNCTION("SPLiT(G940, ""🤙🏼"",FALSE,FALSE)"),235.0)</f>
        <v>235</v>
      </c>
      <c r="I940" s="5" t="str">
        <f>IFERROR(__xludf.DUMMYFUNCTION("""COMPUTED_VALUE"""),"Million Dollar Baby")</f>
        <v>Million Dollar Baby</v>
      </c>
      <c r="J940" s="5" t="str">
        <f>IFERROR(__xludf.DUMMYFUNCTION("""COMPUTED_VALUE"""),"Morgan Freeman")</f>
        <v>Morgan Freeman</v>
      </c>
      <c r="K940" s="5" t="str">
        <f>IFERROR(__xludf.DUMMYFUNCTION("""COMPUTED_VALUE"""),"Estrela 3")</f>
        <v>Estrela 3</v>
      </c>
      <c r="P940" s="5">
        <f>IFERROR(__xludf.DUMMYFUNCTION("""COMPUTED_VALUE"""),235.0)</f>
        <v>235</v>
      </c>
      <c r="Q940" s="5" t="str">
        <f>IFERROR(__xludf.DUMMYFUNCTION("""COMPUTED_VALUE"""),"Million Dollar Baby")</f>
        <v>Million Dollar Baby</v>
      </c>
      <c r="R940" s="5" t="str">
        <f>IFERROR(__xludf.DUMMYFUNCTION("""COMPUTED_VALUE"""),"Morgan Freeman")</f>
        <v>Morgan Freeman</v>
      </c>
      <c r="S940" s="5" t="str">
        <f>IFERROR(__xludf.DUMMYFUNCTION("""COMPUTED_VALUE"""),"Estrela 3")</f>
        <v>Estrela 3</v>
      </c>
    </row>
    <row r="941">
      <c r="A941" s="1">
        <v>940.0</v>
      </c>
      <c r="B941" s="1" t="s">
        <v>5331</v>
      </c>
      <c r="C941" s="1" t="s">
        <v>174</v>
      </c>
      <c r="D941" s="1" t="s">
        <v>5333</v>
      </c>
      <c r="E941" s="1" t="s">
        <v>5334</v>
      </c>
      <c r="F941" s="1" t="s">
        <v>5335</v>
      </c>
      <c r="G941" s="5" t="str">
        <f>IFERROR(__xludf.DUMMYFUNCTION("""COMPUTED_VALUE"""),"235🤙🏼Million Dollar Baby🤙🏼Jay Baruchel🤙🏼Estrela 4")</f>
        <v>235🤙🏼Million Dollar Baby🤙🏼Jay Baruchel🤙🏼Estrela 4</v>
      </c>
      <c r="H941" s="5">
        <f>IFERROR(__xludf.DUMMYFUNCTION("SPLiT(G941, ""🤙🏼"",FALSE,FALSE)"),235.0)</f>
        <v>235</v>
      </c>
      <c r="I941" s="5" t="str">
        <f>IFERROR(__xludf.DUMMYFUNCTION("""COMPUTED_VALUE"""),"Million Dollar Baby")</f>
        <v>Million Dollar Baby</v>
      </c>
      <c r="J941" s="5" t="str">
        <f>IFERROR(__xludf.DUMMYFUNCTION("""COMPUTED_VALUE"""),"Jay Baruchel")</f>
        <v>Jay Baruchel</v>
      </c>
      <c r="K941" s="5" t="str">
        <f>IFERROR(__xludf.DUMMYFUNCTION("""COMPUTED_VALUE"""),"Estrela 4")</f>
        <v>Estrela 4</v>
      </c>
      <c r="P941" s="5">
        <f>IFERROR(__xludf.DUMMYFUNCTION("""COMPUTED_VALUE"""),235.0)</f>
        <v>235</v>
      </c>
      <c r="Q941" s="5" t="str">
        <f>IFERROR(__xludf.DUMMYFUNCTION("""COMPUTED_VALUE"""),"Million Dollar Baby")</f>
        <v>Million Dollar Baby</v>
      </c>
      <c r="R941" s="5" t="str">
        <f>IFERROR(__xludf.DUMMYFUNCTION("""COMPUTED_VALUE"""),"Jay Baruchel")</f>
        <v>Jay Baruchel</v>
      </c>
      <c r="S941" s="5" t="str">
        <f>IFERROR(__xludf.DUMMYFUNCTION("""COMPUTED_VALUE"""),"Estrela 4")</f>
        <v>Estrela 4</v>
      </c>
    </row>
    <row r="942">
      <c r="A942" s="1">
        <v>941.0</v>
      </c>
      <c r="B942" s="1" t="s">
        <v>5336</v>
      </c>
      <c r="C942" s="1" t="s">
        <v>2451</v>
      </c>
      <c r="D942" s="1" t="s">
        <v>719</v>
      </c>
      <c r="E942" s="1" t="s">
        <v>2757</v>
      </c>
      <c r="F942" s="1" t="s">
        <v>4598</v>
      </c>
      <c r="G942" s="5" t="str">
        <f>IFERROR(__xludf.DUMMYFUNCTION("""COMPUTED_VALUE"""),"236🤙🏼Hotel Rwanda🤙🏼Don Cheadle🤙🏼Estrela 1")</f>
        <v>236🤙🏼Hotel Rwanda🤙🏼Don Cheadle🤙🏼Estrela 1</v>
      </c>
      <c r="H942" s="5">
        <f>IFERROR(__xludf.DUMMYFUNCTION("SPLiT(G942, ""🤙🏼"",FALSE,FALSE)"),236.0)</f>
        <v>236</v>
      </c>
      <c r="I942" s="5" t="str">
        <f>IFERROR(__xludf.DUMMYFUNCTION("""COMPUTED_VALUE"""),"Hotel Rwanda")</f>
        <v>Hotel Rwanda</v>
      </c>
      <c r="J942" s="5" t="str">
        <f>IFERROR(__xludf.DUMMYFUNCTION("""COMPUTED_VALUE"""),"Don Cheadle")</f>
        <v>Don Cheadle</v>
      </c>
      <c r="K942" s="5" t="str">
        <f>IFERROR(__xludf.DUMMYFUNCTION("""COMPUTED_VALUE"""),"Estrela 1")</f>
        <v>Estrela 1</v>
      </c>
      <c r="P942" s="5">
        <f>IFERROR(__xludf.DUMMYFUNCTION("""COMPUTED_VALUE"""),236.0)</f>
        <v>236</v>
      </c>
      <c r="Q942" s="5" t="str">
        <f>IFERROR(__xludf.DUMMYFUNCTION("""COMPUTED_VALUE"""),"Hotel Rwanda")</f>
        <v>Hotel Rwanda</v>
      </c>
      <c r="R942" s="5" t="str">
        <f>IFERROR(__xludf.DUMMYFUNCTION("""COMPUTED_VALUE"""),"Don Cheadle")</f>
        <v>Don Cheadle</v>
      </c>
      <c r="S942" s="5" t="str">
        <f>IFERROR(__xludf.DUMMYFUNCTION("""COMPUTED_VALUE"""),"Estrela 1")</f>
        <v>Estrela 1</v>
      </c>
    </row>
    <row r="943">
      <c r="A943" s="1">
        <v>942.0</v>
      </c>
      <c r="B943" s="1" t="s">
        <v>5339</v>
      </c>
      <c r="C943" s="1" t="s">
        <v>99</v>
      </c>
      <c r="D943" s="1" t="s">
        <v>5341</v>
      </c>
      <c r="E943" s="1" t="s">
        <v>1593</v>
      </c>
      <c r="F943" s="1" t="s">
        <v>5238</v>
      </c>
      <c r="G943" s="5" t="str">
        <f>IFERROR(__xludf.DUMMYFUNCTION("""COMPUTED_VALUE"""),"236🤙🏼Hotel Rwanda🤙🏼Sophie Okonedo🤙🏼Estrela 2")</f>
        <v>236🤙🏼Hotel Rwanda🤙🏼Sophie Okonedo🤙🏼Estrela 2</v>
      </c>
      <c r="H943" s="5">
        <f>IFERROR(__xludf.DUMMYFUNCTION("SPLiT(G943, ""🤙🏼"",FALSE,FALSE)"),236.0)</f>
        <v>236</v>
      </c>
      <c r="I943" s="5" t="str">
        <f>IFERROR(__xludf.DUMMYFUNCTION("""COMPUTED_VALUE"""),"Hotel Rwanda")</f>
        <v>Hotel Rwanda</v>
      </c>
      <c r="J943" s="5" t="str">
        <f>IFERROR(__xludf.DUMMYFUNCTION("""COMPUTED_VALUE"""),"Sophie Okonedo")</f>
        <v>Sophie Okonedo</v>
      </c>
      <c r="K943" s="5" t="str">
        <f>IFERROR(__xludf.DUMMYFUNCTION("""COMPUTED_VALUE"""),"Estrela 2")</f>
        <v>Estrela 2</v>
      </c>
      <c r="P943" s="5">
        <f>IFERROR(__xludf.DUMMYFUNCTION("""COMPUTED_VALUE"""),236.0)</f>
        <v>236</v>
      </c>
      <c r="Q943" s="5" t="str">
        <f>IFERROR(__xludf.DUMMYFUNCTION("""COMPUTED_VALUE"""),"Hotel Rwanda")</f>
        <v>Hotel Rwanda</v>
      </c>
      <c r="R943" s="5" t="str">
        <f>IFERROR(__xludf.DUMMYFUNCTION("""COMPUTED_VALUE"""),"Sophie Okonedo")</f>
        <v>Sophie Okonedo</v>
      </c>
      <c r="S943" s="5" t="str">
        <f>IFERROR(__xludf.DUMMYFUNCTION("""COMPUTED_VALUE"""),"Estrela 2")</f>
        <v>Estrela 2</v>
      </c>
    </row>
    <row r="944">
      <c r="A944" s="1">
        <v>943.0</v>
      </c>
      <c r="B944" s="1" t="s">
        <v>5342</v>
      </c>
      <c r="C944" s="1" t="s">
        <v>5345</v>
      </c>
      <c r="D944" s="1" t="s">
        <v>5346</v>
      </c>
      <c r="E944" s="1" t="s">
        <v>5347</v>
      </c>
      <c r="F944" s="1" t="s">
        <v>5348</v>
      </c>
      <c r="G944" s="5" t="str">
        <f>IFERROR(__xludf.DUMMYFUNCTION("""COMPUTED_VALUE"""),"236🤙🏼Hotel Rwanda🤙🏼Joaquin Phoenix🤙🏼Estrela 3")</f>
        <v>236🤙🏼Hotel Rwanda🤙🏼Joaquin Phoenix🤙🏼Estrela 3</v>
      </c>
      <c r="H944" s="5">
        <f>IFERROR(__xludf.DUMMYFUNCTION("SPLiT(G944, ""🤙🏼"",FALSE,FALSE)"),236.0)</f>
        <v>236</v>
      </c>
      <c r="I944" s="5" t="str">
        <f>IFERROR(__xludf.DUMMYFUNCTION("""COMPUTED_VALUE"""),"Hotel Rwanda")</f>
        <v>Hotel Rwanda</v>
      </c>
      <c r="J944" s="5" t="str">
        <f>IFERROR(__xludf.DUMMYFUNCTION("""COMPUTED_VALUE"""),"Joaquin Phoenix")</f>
        <v>Joaquin Phoenix</v>
      </c>
      <c r="K944" s="5" t="str">
        <f>IFERROR(__xludf.DUMMYFUNCTION("""COMPUTED_VALUE"""),"Estrela 3")</f>
        <v>Estrela 3</v>
      </c>
      <c r="P944" s="5">
        <f>IFERROR(__xludf.DUMMYFUNCTION("""COMPUTED_VALUE"""),236.0)</f>
        <v>236</v>
      </c>
      <c r="Q944" s="5" t="str">
        <f>IFERROR(__xludf.DUMMYFUNCTION("""COMPUTED_VALUE"""),"Hotel Rwanda")</f>
        <v>Hotel Rwanda</v>
      </c>
      <c r="R944" s="5" t="str">
        <f>IFERROR(__xludf.DUMMYFUNCTION("""COMPUTED_VALUE"""),"Joaquin Phoenix")</f>
        <v>Joaquin Phoenix</v>
      </c>
      <c r="S944" s="5" t="str">
        <f>IFERROR(__xludf.DUMMYFUNCTION("""COMPUTED_VALUE"""),"Estrela 3")</f>
        <v>Estrela 3</v>
      </c>
    </row>
    <row r="945">
      <c r="A945" s="1">
        <v>944.0</v>
      </c>
      <c r="B945" s="1" t="s">
        <v>5349</v>
      </c>
      <c r="C945" s="1" t="s">
        <v>5351</v>
      </c>
      <c r="D945" s="1" t="s">
        <v>4457</v>
      </c>
      <c r="E945" s="1" t="s">
        <v>5352</v>
      </c>
      <c r="F945" s="1" t="s">
        <v>5353</v>
      </c>
      <c r="G945" s="5" t="str">
        <f>IFERROR(__xludf.DUMMYFUNCTION("""COMPUTED_VALUE"""),"236🤙🏼Hotel Rwanda🤙🏼Xolani Mali🤙🏼Estrela 4")</f>
        <v>236🤙🏼Hotel Rwanda🤙🏼Xolani Mali🤙🏼Estrela 4</v>
      </c>
      <c r="H945" s="5">
        <f>IFERROR(__xludf.DUMMYFUNCTION("SPLiT(G945, ""🤙🏼"",FALSE,FALSE)"),236.0)</f>
        <v>236</v>
      </c>
      <c r="I945" s="5" t="str">
        <f>IFERROR(__xludf.DUMMYFUNCTION("""COMPUTED_VALUE"""),"Hotel Rwanda")</f>
        <v>Hotel Rwanda</v>
      </c>
      <c r="J945" s="5" t="str">
        <f>IFERROR(__xludf.DUMMYFUNCTION("""COMPUTED_VALUE"""),"Xolani Mali")</f>
        <v>Xolani Mali</v>
      </c>
      <c r="K945" s="5" t="str">
        <f>IFERROR(__xludf.DUMMYFUNCTION("""COMPUTED_VALUE"""),"Estrela 4")</f>
        <v>Estrela 4</v>
      </c>
      <c r="P945" s="5">
        <f>IFERROR(__xludf.DUMMYFUNCTION("""COMPUTED_VALUE"""),236.0)</f>
        <v>236</v>
      </c>
      <c r="Q945" s="5" t="str">
        <f>IFERROR(__xludf.DUMMYFUNCTION("""COMPUTED_VALUE"""),"Hotel Rwanda")</f>
        <v>Hotel Rwanda</v>
      </c>
      <c r="R945" s="5" t="str">
        <f>IFERROR(__xludf.DUMMYFUNCTION("""COMPUTED_VALUE"""),"Xolani Mali")</f>
        <v>Xolani Mali</v>
      </c>
      <c r="S945" s="5" t="str">
        <f>IFERROR(__xludf.DUMMYFUNCTION("""COMPUTED_VALUE"""),"Estrela 4")</f>
        <v>Estrela 4</v>
      </c>
    </row>
    <row r="946">
      <c r="A946" s="1">
        <v>945.0</v>
      </c>
      <c r="B946" s="1" t="s">
        <v>5354</v>
      </c>
      <c r="C946" s="1" t="s">
        <v>4502</v>
      </c>
      <c r="D946" s="1" t="s">
        <v>5357</v>
      </c>
      <c r="E946" s="1" t="s">
        <v>5358</v>
      </c>
      <c r="F946" s="1" t="s">
        <v>3954</v>
      </c>
      <c r="G946" s="5" t="str">
        <f>IFERROR(__xludf.DUMMYFUNCTION("""COMPUTED_VALUE"""),"237🤙🏼Taegukgi hwinalrimyeo🤙🏼Jang Dong-Gun🤙🏼Estrela 1")</f>
        <v>237🤙🏼Taegukgi hwinalrimyeo🤙🏼Jang Dong-Gun🤙🏼Estrela 1</v>
      </c>
      <c r="H946" s="5">
        <f>IFERROR(__xludf.DUMMYFUNCTION("SPLiT(G946, ""🤙🏼"",FALSE,FALSE)"),237.0)</f>
        <v>237</v>
      </c>
      <c r="I946" s="5" t="str">
        <f>IFERROR(__xludf.DUMMYFUNCTION("""COMPUTED_VALUE"""),"Taegukgi hwinalrimyeo")</f>
        <v>Taegukgi hwinalrimyeo</v>
      </c>
      <c r="J946" s="5" t="str">
        <f>IFERROR(__xludf.DUMMYFUNCTION("""COMPUTED_VALUE"""),"Jang Dong-Gun")</f>
        <v>Jang Dong-Gun</v>
      </c>
      <c r="K946" s="5" t="str">
        <f>IFERROR(__xludf.DUMMYFUNCTION("""COMPUTED_VALUE"""),"Estrela 1")</f>
        <v>Estrela 1</v>
      </c>
      <c r="P946" s="5">
        <f>IFERROR(__xludf.DUMMYFUNCTION("""COMPUTED_VALUE"""),237.0)</f>
        <v>237</v>
      </c>
      <c r="Q946" s="5" t="str">
        <f>IFERROR(__xludf.DUMMYFUNCTION("""COMPUTED_VALUE"""),"Taegukgi hwinalrimyeo")</f>
        <v>Taegukgi hwinalrimyeo</v>
      </c>
      <c r="R946" s="5" t="str">
        <f>IFERROR(__xludf.DUMMYFUNCTION("""COMPUTED_VALUE"""),"Jang Dong-Gun")</f>
        <v>Jang Dong-Gun</v>
      </c>
      <c r="S946" s="5" t="str">
        <f>IFERROR(__xludf.DUMMYFUNCTION("""COMPUTED_VALUE"""),"Estrela 1")</f>
        <v>Estrela 1</v>
      </c>
    </row>
    <row r="947">
      <c r="A947" s="1">
        <v>946.0</v>
      </c>
      <c r="B947" s="1" t="s">
        <v>5359</v>
      </c>
      <c r="C947" s="1" t="s">
        <v>1191</v>
      </c>
      <c r="D947" s="1" t="s">
        <v>3153</v>
      </c>
      <c r="E947" s="1" t="s">
        <v>5361</v>
      </c>
      <c r="F947" s="1" t="s">
        <v>5362</v>
      </c>
      <c r="G947" s="5" t="str">
        <f>IFERROR(__xludf.DUMMYFUNCTION("""COMPUTED_VALUE"""),"237🤙🏼Taegukgi hwinalrimyeo🤙🏼Won Bin🤙🏼Estrela 2")</f>
        <v>237🤙🏼Taegukgi hwinalrimyeo🤙🏼Won Bin🤙🏼Estrela 2</v>
      </c>
      <c r="H947" s="5">
        <f>IFERROR(__xludf.DUMMYFUNCTION("SPLiT(G947, ""🤙🏼"",FALSE,FALSE)"),237.0)</f>
        <v>237</v>
      </c>
      <c r="I947" s="5" t="str">
        <f>IFERROR(__xludf.DUMMYFUNCTION("""COMPUTED_VALUE"""),"Taegukgi hwinalrimyeo")</f>
        <v>Taegukgi hwinalrimyeo</v>
      </c>
      <c r="J947" s="5" t="str">
        <f>IFERROR(__xludf.DUMMYFUNCTION("""COMPUTED_VALUE"""),"Won Bin")</f>
        <v>Won Bin</v>
      </c>
      <c r="K947" s="5" t="str">
        <f>IFERROR(__xludf.DUMMYFUNCTION("""COMPUTED_VALUE"""),"Estrela 2")</f>
        <v>Estrela 2</v>
      </c>
      <c r="P947" s="5">
        <f>IFERROR(__xludf.DUMMYFUNCTION("""COMPUTED_VALUE"""),237.0)</f>
        <v>237</v>
      </c>
      <c r="Q947" s="5" t="str">
        <f>IFERROR(__xludf.DUMMYFUNCTION("""COMPUTED_VALUE"""),"Taegukgi hwinalrimyeo")</f>
        <v>Taegukgi hwinalrimyeo</v>
      </c>
      <c r="R947" s="5" t="str">
        <f>IFERROR(__xludf.DUMMYFUNCTION("""COMPUTED_VALUE"""),"Won Bin")</f>
        <v>Won Bin</v>
      </c>
      <c r="S947" s="5" t="str">
        <f>IFERROR(__xludf.DUMMYFUNCTION("""COMPUTED_VALUE"""),"Estrela 2")</f>
        <v>Estrela 2</v>
      </c>
    </row>
    <row r="948">
      <c r="A948" s="1">
        <v>947.0</v>
      </c>
      <c r="B948" s="1" t="s">
        <v>5363</v>
      </c>
      <c r="C948" s="1" t="s">
        <v>1103</v>
      </c>
      <c r="D948" s="1" t="s">
        <v>492</v>
      </c>
      <c r="E948" s="1" t="s">
        <v>5365</v>
      </c>
      <c r="F948" s="1" t="s">
        <v>5366</v>
      </c>
      <c r="G948" s="5" t="str">
        <f>IFERROR(__xludf.DUMMYFUNCTION("""COMPUTED_VALUE"""),"237🤙🏼Taegukgi hwinalrimyeo🤙🏼Eun-ju Lee🤙🏼Estrela 3")</f>
        <v>237🤙🏼Taegukgi hwinalrimyeo🤙🏼Eun-ju Lee🤙🏼Estrela 3</v>
      </c>
      <c r="H948" s="5">
        <f>IFERROR(__xludf.DUMMYFUNCTION("SPLiT(G948, ""🤙🏼"",FALSE,FALSE)"),237.0)</f>
        <v>237</v>
      </c>
      <c r="I948" s="5" t="str">
        <f>IFERROR(__xludf.DUMMYFUNCTION("""COMPUTED_VALUE"""),"Taegukgi hwinalrimyeo")</f>
        <v>Taegukgi hwinalrimyeo</v>
      </c>
      <c r="J948" s="5" t="str">
        <f>IFERROR(__xludf.DUMMYFUNCTION("""COMPUTED_VALUE"""),"Eun-ju Lee")</f>
        <v>Eun-ju Lee</v>
      </c>
      <c r="K948" s="5" t="str">
        <f>IFERROR(__xludf.DUMMYFUNCTION("""COMPUTED_VALUE"""),"Estrela 3")</f>
        <v>Estrela 3</v>
      </c>
      <c r="P948" s="5">
        <f>IFERROR(__xludf.DUMMYFUNCTION("""COMPUTED_VALUE"""),237.0)</f>
        <v>237</v>
      </c>
      <c r="Q948" s="5" t="str">
        <f>IFERROR(__xludf.DUMMYFUNCTION("""COMPUTED_VALUE"""),"Taegukgi hwinalrimyeo")</f>
        <v>Taegukgi hwinalrimyeo</v>
      </c>
      <c r="R948" s="5" t="str">
        <f>IFERROR(__xludf.DUMMYFUNCTION("""COMPUTED_VALUE"""),"Eun-ju Lee")</f>
        <v>Eun-ju Lee</v>
      </c>
      <c r="S948" s="5" t="str">
        <f>IFERROR(__xludf.DUMMYFUNCTION("""COMPUTED_VALUE"""),"Estrela 3")</f>
        <v>Estrela 3</v>
      </c>
    </row>
    <row r="949">
      <c r="A949" s="1">
        <v>948.0</v>
      </c>
      <c r="B949" s="1" t="s">
        <v>5367</v>
      </c>
      <c r="C949" s="1" t="s">
        <v>1568</v>
      </c>
      <c r="D949" s="1" t="s">
        <v>1570</v>
      </c>
      <c r="E949" s="1" t="s">
        <v>1192</v>
      </c>
      <c r="F949" s="1" t="s">
        <v>5370</v>
      </c>
      <c r="G949" s="5" t="str">
        <f>IFERROR(__xludf.DUMMYFUNCTION("""COMPUTED_VALUE"""),"237🤙🏼Taegukgi hwinalrimyeo🤙🏼Hyeong-jin Kong🤙🏼Estrela 4")</f>
        <v>237🤙🏼Taegukgi hwinalrimyeo🤙🏼Hyeong-jin Kong🤙🏼Estrela 4</v>
      </c>
      <c r="H949" s="5">
        <f>IFERROR(__xludf.DUMMYFUNCTION("SPLiT(G949, ""🤙🏼"",FALSE,FALSE)"),237.0)</f>
        <v>237</v>
      </c>
      <c r="I949" s="5" t="str">
        <f>IFERROR(__xludf.DUMMYFUNCTION("""COMPUTED_VALUE"""),"Taegukgi hwinalrimyeo")</f>
        <v>Taegukgi hwinalrimyeo</v>
      </c>
      <c r="J949" s="5" t="str">
        <f>IFERROR(__xludf.DUMMYFUNCTION("""COMPUTED_VALUE"""),"Hyeong-jin Kong")</f>
        <v>Hyeong-jin Kong</v>
      </c>
      <c r="K949" s="5" t="str">
        <f>IFERROR(__xludf.DUMMYFUNCTION("""COMPUTED_VALUE"""),"Estrela 4")</f>
        <v>Estrela 4</v>
      </c>
      <c r="P949" s="5">
        <f>IFERROR(__xludf.DUMMYFUNCTION("""COMPUTED_VALUE"""),237.0)</f>
        <v>237</v>
      </c>
      <c r="Q949" s="5" t="str">
        <f>IFERROR(__xludf.DUMMYFUNCTION("""COMPUTED_VALUE"""),"Taegukgi hwinalrimyeo")</f>
        <v>Taegukgi hwinalrimyeo</v>
      </c>
      <c r="R949" s="5" t="str">
        <f>IFERROR(__xludf.DUMMYFUNCTION("""COMPUTED_VALUE"""),"Hyeong-jin Kong")</f>
        <v>Hyeong-jin Kong</v>
      </c>
      <c r="S949" s="5" t="str">
        <f>IFERROR(__xludf.DUMMYFUNCTION("""COMPUTED_VALUE"""),"Estrela 4")</f>
        <v>Estrela 4</v>
      </c>
    </row>
    <row r="950">
      <c r="A950" s="1">
        <v>949.0</v>
      </c>
      <c r="B950" s="1" t="s">
        <v>5371</v>
      </c>
      <c r="C950" s="1" t="s">
        <v>2182</v>
      </c>
      <c r="D950" s="1" t="s">
        <v>5352</v>
      </c>
      <c r="E950" s="1" t="s">
        <v>1527</v>
      </c>
      <c r="F950" s="1" t="s">
        <v>5373</v>
      </c>
      <c r="G950" s="5" t="str">
        <f>IFERROR(__xludf.DUMMYFUNCTION("""COMPUTED_VALUE"""),"238🤙🏼Before Sunset🤙🏼Ethan Hawke🤙🏼Estrela 1")</f>
        <v>238🤙🏼Before Sunset🤙🏼Ethan Hawke🤙🏼Estrela 1</v>
      </c>
      <c r="H950" s="5">
        <f>IFERROR(__xludf.DUMMYFUNCTION("SPLiT(G950, ""🤙🏼"",FALSE,FALSE)"),238.0)</f>
        <v>238</v>
      </c>
      <c r="I950" s="5" t="str">
        <f>IFERROR(__xludf.DUMMYFUNCTION("""COMPUTED_VALUE"""),"Before Sunset")</f>
        <v>Before Sunset</v>
      </c>
      <c r="J950" s="5" t="str">
        <f>IFERROR(__xludf.DUMMYFUNCTION("""COMPUTED_VALUE"""),"Ethan Hawke")</f>
        <v>Ethan Hawke</v>
      </c>
      <c r="K950" s="5" t="str">
        <f>IFERROR(__xludf.DUMMYFUNCTION("""COMPUTED_VALUE"""),"Estrela 1")</f>
        <v>Estrela 1</v>
      </c>
      <c r="P950" s="5">
        <f>IFERROR(__xludf.DUMMYFUNCTION("""COMPUTED_VALUE"""),238.0)</f>
        <v>238</v>
      </c>
      <c r="Q950" s="5" t="str">
        <f>IFERROR(__xludf.DUMMYFUNCTION("""COMPUTED_VALUE"""),"Before Sunset")</f>
        <v>Before Sunset</v>
      </c>
      <c r="R950" s="5" t="str">
        <f>IFERROR(__xludf.DUMMYFUNCTION("""COMPUTED_VALUE"""),"Ethan Hawke")</f>
        <v>Ethan Hawke</v>
      </c>
      <c r="S950" s="5" t="str">
        <f>IFERROR(__xludf.DUMMYFUNCTION("""COMPUTED_VALUE"""),"Estrela 1")</f>
        <v>Estrela 1</v>
      </c>
    </row>
    <row r="951">
      <c r="A951" s="1">
        <v>950.0</v>
      </c>
      <c r="B951" s="1" t="s">
        <v>5374</v>
      </c>
      <c r="C951" s="1" t="s">
        <v>2451</v>
      </c>
      <c r="D951" s="1" t="s">
        <v>4701</v>
      </c>
      <c r="E951" s="1" t="s">
        <v>3204</v>
      </c>
      <c r="F951" s="1" t="s">
        <v>5377</v>
      </c>
      <c r="G951" s="5" t="str">
        <f>IFERROR(__xludf.DUMMYFUNCTION("""COMPUTED_VALUE"""),"238🤙🏼Before Sunset🤙🏼Julie Delpy🤙🏼Estrela 2")</f>
        <v>238🤙🏼Before Sunset🤙🏼Julie Delpy🤙🏼Estrela 2</v>
      </c>
      <c r="H951" s="5">
        <f>IFERROR(__xludf.DUMMYFUNCTION("SPLiT(G951, ""🤙🏼"",FALSE,FALSE)"),238.0)</f>
        <v>238</v>
      </c>
      <c r="I951" s="5" t="str">
        <f>IFERROR(__xludf.DUMMYFUNCTION("""COMPUTED_VALUE"""),"Before Sunset")</f>
        <v>Before Sunset</v>
      </c>
      <c r="J951" s="5" t="str">
        <f>IFERROR(__xludf.DUMMYFUNCTION("""COMPUTED_VALUE"""),"Julie Delpy")</f>
        <v>Julie Delpy</v>
      </c>
      <c r="K951" s="5" t="str">
        <f>IFERROR(__xludf.DUMMYFUNCTION("""COMPUTED_VALUE"""),"Estrela 2")</f>
        <v>Estrela 2</v>
      </c>
      <c r="P951" s="5">
        <f>IFERROR(__xludf.DUMMYFUNCTION("""COMPUTED_VALUE"""),238.0)</f>
        <v>238</v>
      </c>
      <c r="Q951" s="5" t="str">
        <f>IFERROR(__xludf.DUMMYFUNCTION("""COMPUTED_VALUE"""),"Before Sunset")</f>
        <v>Before Sunset</v>
      </c>
      <c r="R951" s="5" t="str">
        <f>IFERROR(__xludf.DUMMYFUNCTION("""COMPUTED_VALUE"""),"Julie Delpy")</f>
        <v>Julie Delpy</v>
      </c>
      <c r="S951" s="5" t="str">
        <f>IFERROR(__xludf.DUMMYFUNCTION("""COMPUTED_VALUE"""),"Estrela 2")</f>
        <v>Estrela 2</v>
      </c>
    </row>
    <row r="952">
      <c r="A952" s="1">
        <v>951.0</v>
      </c>
      <c r="B952" s="1" t="s">
        <v>5378</v>
      </c>
      <c r="C952" s="1" t="s">
        <v>3962</v>
      </c>
      <c r="D952" s="1" t="s">
        <v>1151</v>
      </c>
      <c r="E952" s="1" t="s">
        <v>5380</v>
      </c>
      <c r="F952" s="1" t="s">
        <v>5381</v>
      </c>
      <c r="G952" s="5" t="str">
        <f>IFERROR(__xludf.DUMMYFUNCTION("""COMPUTED_VALUE"""),"238🤙🏼Before Sunset🤙🏼Vernon Dobtcheff🤙🏼Estrela 3")</f>
        <v>238🤙🏼Before Sunset🤙🏼Vernon Dobtcheff🤙🏼Estrela 3</v>
      </c>
      <c r="H952" s="5">
        <f>IFERROR(__xludf.DUMMYFUNCTION("SPLiT(G952, ""🤙🏼"",FALSE,FALSE)"),238.0)</f>
        <v>238</v>
      </c>
      <c r="I952" s="5" t="str">
        <f>IFERROR(__xludf.DUMMYFUNCTION("""COMPUTED_VALUE"""),"Before Sunset")</f>
        <v>Before Sunset</v>
      </c>
      <c r="J952" s="5" t="str">
        <f>IFERROR(__xludf.DUMMYFUNCTION("""COMPUTED_VALUE"""),"Vernon Dobtcheff")</f>
        <v>Vernon Dobtcheff</v>
      </c>
      <c r="K952" s="5" t="str">
        <f>IFERROR(__xludf.DUMMYFUNCTION("""COMPUTED_VALUE"""),"Estrela 3")</f>
        <v>Estrela 3</v>
      </c>
      <c r="P952" s="5">
        <f>IFERROR(__xludf.DUMMYFUNCTION("""COMPUTED_VALUE"""),238.0)</f>
        <v>238</v>
      </c>
      <c r="Q952" s="5" t="str">
        <f>IFERROR(__xludf.DUMMYFUNCTION("""COMPUTED_VALUE"""),"Before Sunset")</f>
        <v>Before Sunset</v>
      </c>
      <c r="R952" s="5" t="str">
        <f>IFERROR(__xludf.DUMMYFUNCTION("""COMPUTED_VALUE"""),"Vernon Dobtcheff")</f>
        <v>Vernon Dobtcheff</v>
      </c>
      <c r="S952" s="5" t="str">
        <f>IFERROR(__xludf.DUMMYFUNCTION("""COMPUTED_VALUE"""),"Estrela 3")</f>
        <v>Estrela 3</v>
      </c>
    </row>
    <row r="953">
      <c r="A953" s="1">
        <v>952.0</v>
      </c>
      <c r="B953" s="1" t="s">
        <v>5382</v>
      </c>
      <c r="C953" s="1" t="s">
        <v>2486</v>
      </c>
      <c r="D953" s="1" t="s">
        <v>3106</v>
      </c>
      <c r="E953" s="1" t="s">
        <v>4544</v>
      </c>
      <c r="F953" s="1" t="s">
        <v>1309</v>
      </c>
      <c r="G953" s="5" t="str">
        <f>IFERROR(__xludf.DUMMYFUNCTION("""COMPUTED_VALUE"""),"238🤙🏼Before Sunset🤙🏼Louise Lemoine Torrès🤙🏼Estrela 4")</f>
        <v>238🤙🏼Before Sunset🤙🏼Louise Lemoine Torrès🤙🏼Estrela 4</v>
      </c>
      <c r="H953" s="5">
        <f>IFERROR(__xludf.DUMMYFUNCTION("SPLiT(G953, ""🤙🏼"",FALSE,FALSE)"),238.0)</f>
        <v>238</v>
      </c>
      <c r="I953" s="5" t="str">
        <f>IFERROR(__xludf.DUMMYFUNCTION("""COMPUTED_VALUE"""),"Before Sunset")</f>
        <v>Before Sunset</v>
      </c>
      <c r="J953" s="5" t="str">
        <f>IFERROR(__xludf.DUMMYFUNCTION("""COMPUTED_VALUE"""),"Louise Lemoine Torrès")</f>
        <v>Louise Lemoine Torrès</v>
      </c>
      <c r="K953" s="5" t="str">
        <f>IFERROR(__xludf.DUMMYFUNCTION("""COMPUTED_VALUE"""),"Estrela 4")</f>
        <v>Estrela 4</v>
      </c>
      <c r="P953" s="5">
        <f>IFERROR(__xludf.DUMMYFUNCTION("""COMPUTED_VALUE"""),238.0)</f>
        <v>238</v>
      </c>
      <c r="Q953" s="5" t="str">
        <f>IFERROR(__xludf.DUMMYFUNCTION("""COMPUTED_VALUE"""),"Before Sunset")</f>
        <v>Before Sunset</v>
      </c>
      <c r="R953" s="5" t="str">
        <f>IFERROR(__xludf.DUMMYFUNCTION("""COMPUTED_VALUE"""),"Louise Lemoine Torrès")</f>
        <v>Louise Lemoine Torrès</v>
      </c>
      <c r="S953" s="5" t="str">
        <f>IFERROR(__xludf.DUMMYFUNCTION("""COMPUTED_VALUE"""),"Estrela 4")</f>
        <v>Estrela 4</v>
      </c>
    </row>
    <row r="954">
      <c r="A954" s="1">
        <v>953.0</v>
      </c>
      <c r="B954" s="1" t="s">
        <v>5385</v>
      </c>
      <c r="C954" s="1" t="s">
        <v>3799</v>
      </c>
      <c r="D954" s="1" t="s">
        <v>5387</v>
      </c>
      <c r="E954" s="1" t="s">
        <v>3967</v>
      </c>
      <c r="F954" s="1" t="s">
        <v>1519</v>
      </c>
      <c r="G954" s="5" t="str">
        <f>IFERROR(__xludf.DUMMYFUNCTION("""COMPUTED_VALUE"""),"239🤙🏼Munna Bhai M.B.B.S.🤙🏼Sanjay Dutt🤙🏼Estrela 1")</f>
        <v>239🤙🏼Munna Bhai M.B.B.S.🤙🏼Sanjay Dutt🤙🏼Estrela 1</v>
      </c>
      <c r="H954" s="5">
        <f>IFERROR(__xludf.DUMMYFUNCTION("SPLiT(G954, ""🤙🏼"",FALSE,FALSE)"),239.0)</f>
        <v>239</v>
      </c>
      <c r="I954" s="5" t="str">
        <f>IFERROR(__xludf.DUMMYFUNCTION("""COMPUTED_VALUE"""),"Munna Bhai M.B.B.S.")</f>
        <v>Munna Bhai M.B.B.S.</v>
      </c>
      <c r="J954" s="5" t="str">
        <f>IFERROR(__xludf.DUMMYFUNCTION("""COMPUTED_VALUE"""),"Sanjay Dutt")</f>
        <v>Sanjay Dutt</v>
      </c>
      <c r="K954" s="5" t="str">
        <f>IFERROR(__xludf.DUMMYFUNCTION("""COMPUTED_VALUE"""),"Estrela 1")</f>
        <v>Estrela 1</v>
      </c>
      <c r="P954" s="5">
        <f>IFERROR(__xludf.DUMMYFUNCTION("""COMPUTED_VALUE"""),239.0)</f>
        <v>239</v>
      </c>
      <c r="Q954" s="5" t="str">
        <f>IFERROR(__xludf.DUMMYFUNCTION("""COMPUTED_VALUE"""),"Munna Bhai M.B.B.S.")</f>
        <v>Munna Bhai M.B.B.S.</v>
      </c>
      <c r="R954" s="5" t="str">
        <f>IFERROR(__xludf.DUMMYFUNCTION("""COMPUTED_VALUE"""),"Sanjay Dutt")</f>
        <v>Sanjay Dutt</v>
      </c>
      <c r="S954" s="5" t="str">
        <f>IFERROR(__xludf.DUMMYFUNCTION("""COMPUTED_VALUE"""),"Estrela 1")</f>
        <v>Estrela 1</v>
      </c>
    </row>
    <row r="955">
      <c r="A955" s="1">
        <v>954.0</v>
      </c>
      <c r="B955" s="1" t="s">
        <v>5388</v>
      </c>
      <c r="C955" s="1" t="s">
        <v>42</v>
      </c>
      <c r="D955" s="1" t="s">
        <v>3223</v>
      </c>
      <c r="E955" s="1" t="s">
        <v>5391</v>
      </c>
      <c r="F955" s="1" t="s">
        <v>5392</v>
      </c>
      <c r="G955" s="5" t="str">
        <f>IFERROR(__xludf.DUMMYFUNCTION("""COMPUTED_VALUE"""),"239🤙🏼Munna Bhai M.B.B.S.🤙🏼Arshad Warsi🤙🏼Estrela 2")</f>
        <v>239🤙🏼Munna Bhai M.B.B.S.🤙🏼Arshad Warsi🤙🏼Estrela 2</v>
      </c>
      <c r="H955" s="5">
        <f>IFERROR(__xludf.DUMMYFUNCTION("SPLiT(G955, ""🤙🏼"",FALSE,FALSE)"),239.0)</f>
        <v>239</v>
      </c>
      <c r="I955" s="5" t="str">
        <f>IFERROR(__xludf.DUMMYFUNCTION("""COMPUTED_VALUE"""),"Munna Bhai M.B.B.S.")</f>
        <v>Munna Bhai M.B.B.S.</v>
      </c>
      <c r="J955" s="5" t="str">
        <f>IFERROR(__xludf.DUMMYFUNCTION("""COMPUTED_VALUE"""),"Arshad Warsi")</f>
        <v>Arshad Warsi</v>
      </c>
      <c r="K955" s="5" t="str">
        <f>IFERROR(__xludf.DUMMYFUNCTION("""COMPUTED_VALUE"""),"Estrela 2")</f>
        <v>Estrela 2</v>
      </c>
      <c r="P955" s="5">
        <f>IFERROR(__xludf.DUMMYFUNCTION("""COMPUTED_VALUE"""),239.0)</f>
        <v>239</v>
      </c>
      <c r="Q955" s="5" t="str">
        <f>IFERROR(__xludf.DUMMYFUNCTION("""COMPUTED_VALUE"""),"Munna Bhai M.B.B.S.")</f>
        <v>Munna Bhai M.B.B.S.</v>
      </c>
      <c r="R955" s="5" t="str">
        <f>IFERROR(__xludf.DUMMYFUNCTION("""COMPUTED_VALUE"""),"Arshad Warsi")</f>
        <v>Arshad Warsi</v>
      </c>
      <c r="S955" s="5" t="str">
        <f>IFERROR(__xludf.DUMMYFUNCTION("""COMPUTED_VALUE"""),"Estrela 2")</f>
        <v>Estrela 2</v>
      </c>
    </row>
    <row r="956">
      <c r="A956" s="1">
        <v>955.0</v>
      </c>
      <c r="B956" s="1" t="s">
        <v>5393</v>
      </c>
      <c r="C956" s="1" t="s">
        <v>3204</v>
      </c>
      <c r="D956" s="1" t="s">
        <v>2530</v>
      </c>
      <c r="E956" s="1" t="s">
        <v>5396</v>
      </c>
      <c r="F956" s="1" t="s">
        <v>5397</v>
      </c>
      <c r="G956" s="5" t="str">
        <f>IFERROR(__xludf.DUMMYFUNCTION("""COMPUTED_VALUE"""),"239🤙🏼Munna Bhai M.B.B.S.🤙🏼Gracy Singh🤙🏼Estrela 3")</f>
        <v>239🤙🏼Munna Bhai M.B.B.S.🤙🏼Gracy Singh🤙🏼Estrela 3</v>
      </c>
      <c r="H956" s="5">
        <f>IFERROR(__xludf.DUMMYFUNCTION("SPLiT(G956, ""🤙🏼"",FALSE,FALSE)"),239.0)</f>
        <v>239</v>
      </c>
      <c r="I956" s="5" t="str">
        <f>IFERROR(__xludf.DUMMYFUNCTION("""COMPUTED_VALUE"""),"Munna Bhai M.B.B.S.")</f>
        <v>Munna Bhai M.B.B.S.</v>
      </c>
      <c r="J956" s="5" t="str">
        <f>IFERROR(__xludf.DUMMYFUNCTION("""COMPUTED_VALUE"""),"Gracy Singh")</f>
        <v>Gracy Singh</v>
      </c>
      <c r="K956" s="5" t="str">
        <f>IFERROR(__xludf.DUMMYFUNCTION("""COMPUTED_VALUE"""),"Estrela 3")</f>
        <v>Estrela 3</v>
      </c>
      <c r="P956" s="5">
        <f>IFERROR(__xludf.DUMMYFUNCTION("""COMPUTED_VALUE"""),239.0)</f>
        <v>239</v>
      </c>
      <c r="Q956" s="5" t="str">
        <f>IFERROR(__xludf.DUMMYFUNCTION("""COMPUTED_VALUE"""),"Munna Bhai M.B.B.S.")</f>
        <v>Munna Bhai M.B.B.S.</v>
      </c>
      <c r="R956" s="5" t="str">
        <f>IFERROR(__xludf.DUMMYFUNCTION("""COMPUTED_VALUE"""),"Gracy Singh")</f>
        <v>Gracy Singh</v>
      </c>
      <c r="S956" s="5" t="str">
        <f>IFERROR(__xludf.DUMMYFUNCTION("""COMPUTED_VALUE"""),"Estrela 3")</f>
        <v>Estrela 3</v>
      </c>
    </row>
    <row r="957">
      <c r="A957" s="1">
        <v>956.0</v>
      </c>
      <c r="B957" s="1" t="s">
        <v>5398</v>
      </c>
      <c r="C957" s="1" t="s">
        <v>3896</v>
      </c>
      <c r="D957" s="1" t="s">
        <v>1605</v>
      </c>
      <c r="E957" s="1" t="s">
        <v>1063</v>
      </c>
      <c r="F957" s="1" t="s">
        <v>5400</v>
      </c>
      <c r="G957" s="5" t="str">
        <f>IFERROR(__xludf.DUMMYFUNCTION("""COMPUTED_VALUE"""),"239🤙🏼Munna Bhai M.B.B.S.🤙🏼Sunil Dutt🤙🏼Estrela 4")</f>
        <v>239🤙🏼Munna Bhai M.B.B.S.🤙🏼Sunil Dutt🤙🏼Estrela 4</v>
      </c>
      <c r="H957" s="5">
        <f>IFERROR(__xludf.DUMMYFUNCTION("SPLiT(G957, ""🤙🏼"",FALSE,FALSE)"),239.0)</f>
        <v>239</v>
      </c>
      <c r="I957" s="5" t="str">
        <f>IFERROR(__xludf.DUMMYFUNCTION("""COMPUTED_VALUE"""),"Munna Bhai M.B.B.S.")</f>
        <v>Munna Bhai M.B.B.S.</v>
      </c>
      <c r="J957" s="5" t="str">
        <f>IFERROR(__xludf.DUMMYFUNCTION("""COMPUTED_VALUE"""),"Sunil Dutt")</f>
        <v>Sunil Dutt</v>
      </c>
      <c r="K957" s="5" t="str">
        <f>IFERROR(__xludf.DUMMYFUNCTION("""COMPUTED_VALUE"""),"Estrela 4")</f>
        <v>Estrela 4</v>
      </c>
      <c r="P957" s="5">
        <f>IFERROR(__xludf.DUMMYFUNCTION("""COMPUTED_VALUE"""),239.0)</f>
        <v>239</v>
      </c>
      <c r="Q957" s="5" t="str">
        <f>IFERROR(__xludf.DUMMYFUNCTION("""COMPUTED_VALUE"""),"Munna Bhai M.B.B.S.")</f>
        <v>Munna Bhai M.B.B.S.</v>
      </c>
      <c r="R957" s="5" t="str">
        <f>IFERROR(__xludf.DUMMYFUNCTION("""COMPUTED_VALUE"""),"Sunil Dutt")</f>
        <v>Sunil Dutt</v>
      </c>
      <c r="S957" s="5" t="str">
        <f>IFERROR(__xludf.DUMMYFUNCTION("""COMPUTED_VALUE"""),"Estrela 4")</f>
        <v>Estrela 4</v>
      </c>
    </row>
    <row r="958">
      <c r="A958" s="1">
        <v>957.0</v>
      </c>
      <c r="B958" s="1" t="s">
        <v>5401</v>
      </c>
      <c r="C958" s="1" t="s">
        <v>5404</v>
      </c>
      <c r="D958" s="1" t="s">
        <v>5405</v>
      </c>
      <c r="E958" s="1" t="s">
        <v>3945</v>
      </c>
      <c r="F958" s="1" t="s">
        <v>5406</v>
      </c>
      <c r="G958" s="5" t="str">
        <f>IFERROR(__xludf.DUMMYFUNCTION("""COMPUTED_VALUE"""),"240🤙🏼Salinui chueok🤙🏼Kang-ho Song🤙🏼Estrela 1")</f>
        <v>240🤙🏼Salinui chueok🤙🏼Kang-ho Song🤙🏼Estrela 1</v>
      </c>
      <c r="H958" s="5">
        <f>IFERROR(__xludf.DUMMYFUNCTION("SPLiT(G958, ""🤙🏼"",FALSE,FALSE)"),240.0)</f>
        <v>240</v>
      </c>
      <c r="I958" s="5" t="str">
        <f>IFERROR(__xludf.DUMMYFUNCTION("""COMPUTED_VALUE"""),"Salinui chueok")</f>
        <v>Salinui chueok</v>
      </c>
      <c r="J958" s="5" t="str">
        <f>IFERROR(__xludf.DUMMYFUNCTION("""COMPUTED_VALUE"""),"Kang-ho Song")</f>
        <v>Kang-ho Song</v>
      </c>
      <c r="K958" s="5" t="str">
        <f>IFERROR(__xludf.DUMMYFUNCTION("""COMPUTED_VALUE"""),"Estrela 1")</f>
        <v>Estrela 1</v>
      </c>
      <c r="P958" s="5">
        <f>IFERROR(__xludf.DUMMYFUNCTION("""COMPUTED_VALUE"""),240.0)</f>
        <v>240</v>
      </c>
      <c r="Q958" s="5" t="str">
        <f>IFERROR(__xludf.DUMMYFUNCTION("""COMPUTED_VALUE"""),"Salinui chueok")</f>
        <v>Salinui chueok</v>
      </c>
      <c r="R958" s="5" t="str">
        <f>IFERROR(__xludf.DUMMYFUNCTION("""COMPUTED_VALUE"""),"Kang-ho Song")</f>
        <v>Kang-ho Song</v>
      </c>
      <c r="S958" s="5" t="str">
        <f>IFERROR(__xludf.DUMMYFUNCTION("""COMPUTED_VALUE"""),"Estrela 1")</f>
        <v>Estrela 1</v>
      </c>
    </row>
    <row r="959">
      <c r="A959" s="1">
        <v>958.0</v>
      </c>
      <c r="B959" s="1" t="s">
        <v>5407</v>
      </c>
      <c r="C959" s="1" t="s">
        <v>2451</v>
      </c>
      <c r="D959" s="1" t="s">
        <v>735</v>
      </c>
      <c r="E959" s="1" t="s">
        <v>5409</v>
      </c>
      <c r="F959" s="1" t="s">
        <v>5410</v>
      </c>
      <c r="G959" s="5" t="str">
        <f>IFERROR(__xludf.DUMMYFUNCTION("""COMPUTED_VALUE"""),"240🤙🏼Salinui chueok🤙🏼Kim Sang-kyung🤙🏼Estrela 2")</f>
        <v>240🤙🏼Salinui chueok🤙🏼Kim Sang-kyung🤙🏼Estrela 2</v>
      </c>
      <c r="H959" s="5">
        <f>IFERROR(__xludf.DUMMYFUNCTION("SPLiT(G959, ""🤙🏼"",FALSE,FALSE)"),240.0)</f>
        <v>240</v>
      </c>
      <c r="I959" s="5" t="str">
        <f>IFERROR(__xludf.DUMMYFUNCTION("""COMPUTED_VALUE"""),"Salinui chueok")</f>
        <v>Salinui chueok</v>
      </c>
      <c r="J959" s="5" t="str">
        <f>IFERROR(__xludf.DUMMYFUNCTION("""COMPUTED_VALUE"""),"Kim Sang-kyung")</f>
        <v>Kim Sang-kyung</v>
      </c>
      <c r="K959" s="5" t="str">
        <f>IFERROR(__xludf.DUMMYFUNCTION("""COMPUTED_VALUE"""),"Estrela 2")</f>
        <v>Estrela 2</v>
      </c>
      <c r="P959" s="5">
        <f>IFERROR(__xludf.DUMMYFUNCTION("""COMPUTED_VALUE"""),240.0)</f>
        <v>240</v>
      </c>
      <c r="Q959" s="5" t="str">
        <f>IFERROR(__xludf.DUMMYFUNCTION("""COMPUTED_VALUE"""),"Salinui chueok")</f>
        <v>Salinui chueok</v>
      </c>
      <c r="R959" s="5" t="str">
        <f>IFERROR(__xludf.DUMMYFUNCTION("""COMPUTED_VALUE"""),"Kim Sang-kyung")</f>
        <v>Kim Sang-kyung</v>
      </c>
      <c r="S959" s="5" t="str">
        <f>IFERROR(__xludf.DUMMYFUNCTION("""COMPUTED_VALUE"""),"Estrela 2")</f>
        <v>Estrela 2</v>
      </c>
    </row>
    <row r="960">
      <c r="A960" s="1">
        <v>959.0</v>
      </c>
      <c r="B960" s="1" t="s">
        <v>5411</v>
      </c>
      <c r="C960" s="1" t="s">
        <v>5413</v>
      </c>
      <c r="D960" s="1" t="s">
        <v>530</v>
      </c>
      <c r="E960" s="1" t="s">
        <v>5414</v>
      </c>
      <c r="F960" s="1" t="s">
        <v>5415</v>
      </c>
      <c r="G960" s="5" t="str">
        <f>IFERROR(__xludf.DUMMYFUNCTION("""COMPUTED_VALUE"""),"240🤙🏼Salinui chueok🤙🏼Roe-ha Kim🤙🏼Estrela 3")</f>
        <v>240🤙🏼Salinui chueok🤙🏼Roe-ha Kim🤙🏼Estrela 3</v>
      </c>
      <c r="H960" s="5">
        <f>IFERROR(__xludf.DUMMYFUNCTION("SPLiT(G960, ""🤙🏼"",FALSE,FALSE)"),240.0)</f>
        <v>240</v>
      </c>
      <c r="I960" s="5" t="str">
        <f>IFERROR(__xludf.DUMMYFUNCTION("""COMPUTED_VALUE"""),"Salinui chueok")</f>
        <v>Salinui chueok</v>
      </c>
      <c r="J960" s="5" t="str">
        <f>IFERROR(__xludf.DUMMYFUNCTION("""COMPUTED_VALUE"""),"Roe-ha Kim")</f>
        <v>Roe-ha Kim</v>
      </c>
      <c r="K960" s="5" t="str">
        <f>IFERROR(__xludf.DUMMYFUNCTION("""COMPUTED_VALUE"""),"Estrela 3")</f>
        <v>Estrela 3</v>
      </c>
      <c r="P960" s="5">
        <f>IFERROR(__xludf.DUMMYFUNCTION("""COMPUTED_VALUE"""),240.0)</f>
        <v>240</v>
      </c>
      <c r="Q960" s="5" t="str">
        <f>IFERROR(__xludf.DUMMYFUNCTION("""COMPUTED_VALUE"""),"Salinui chueok")</f>
        <v>Salinui chueok</v>
      </c>
      <c r="R960" s="5" t="str">
        <f>IFERROR(__xludf.DUMMYFUNCTION("""COMPUTED_VALUE"""),"Roe-ha Kim")</f>
        <v>Roe-ha Kim</v>
      </c>
      <c r="S960" s="5" t="str">
        <f>IFERROR(__xludf.DUMMYFUNCTION("""COMPUTED_VALUE"""),"Estrela 3")</f>
        <v>Estrela 3</v>
      </c>
    </row>
    <row r="961">
      <c r="A961" s="1">
        <v>960.0</v>
      </c>
      <c r="B961" s="1" t="s">
        <v>5416</v>
      </c>
      <c r="C961" s="1" t="s">
        <v>5274</v>
      </c>
      <c r="D961" s="1" t="s">
        <v>5419</v>
      </c>
      <c r="E961" s="1" t="s">
        <v>742</v>
      </c>
      <c r="F961" s="1" t="s">
        <v>5420</v>
      </c>
      <c r="G961" s="5" t="str">
        <f>IFERROR(__xludf.DUMMYFUNCTION("""COMPUTED_VALUE"""),"240🤙🏼Salinui chueok🤙🏼Jae-ho Song🤙🏼Estrela 4")</f>
        <v>240🤙🏼Salinui chueok🤙🏼Jae-ho Song🤙🏼Estrela 4</v>
      </c>
      <c r="H961" s="5">
        <f>IFERROR(__xludf.DUMMYFUNCTION("SPLiT(G961, ""🤙🏼"",FALSE,FALSE)"),240.0)</f>
        <v>240</v>
      </c>
      <c r="I961" s="5" t="str">
        <f>IFERROR(__xludf.DUMMYFUNCTION("""COMPUTED_VALUE"""),"Salinui chueok")</f>
        <v>Salinui chueok</v>
      </c>
      <c r="J961" s="5" t="str">
        <f>IFERROR(__xludf.DUMMYFUNCTION("""COMPUTED_VALUE"""),"Jae-ho Song")</f>
        <v>Jae-ho Song</v>
      </c>
      <c r="K961" s="5" t="str">
        <f>IFERROR(__xludf.DUMMYFUNCTION("""COMPUTED_VALUE"""),"Estrela 4")</f>
        <v>Estrela 4</v>
      </c>
      <c r="P961" s="5">
        <f>IFERROR(__xludf.DUMMYFUNCTION("""COMPUTED_VALUE"""),240.0)</f>
        <v>240</v>
      </c>
      <c r="Q961" s="5" t="str">
        <f>IFERROR(__xludf.DUMMYFUNCTION("""COMPUTED_VALUE"""),"Salinui chueok")</f>
        <v>Salinui chueok</v>
      </c>
      <c r="R961" s="5" t="str">
        <f>IFERROR(__xludf.DUMMYFUNCTION("""COMPUTED_VALUE"""),"Jae-ho Song")</f>
        <v>Jae-ho Song</v>
      </c>
      <c r="S961" s="5" t="str">
        <f>IFERROR(__xludf.DUMMYFUNCTION("""COMPUTED_VALUE"""),"Estrela 4")</f>
        <v>Estrela 4</v>
      </c>
    </row>
    <row r="962">
      <c r="A962" s="1">
        <v>961.0</v>
      </c>
      <c r="B962" s="1" t="s">
        <v>5421</v>
      </c>
      <c r="C962" s="1" t="s">
        <v>49</v>
      </c>
      <c r="D962" s="1" t="s">
        <v>3171</v>
      </c>
      <c r="E962" s="1" t="s">
        <v>98</v>
      </c>
      <c r="F962" s="1" t="s">
        <v>5423</v>
      </c>
      <c r="G962" s="5" t="str">
        <f>IFERROR(__xludf.DUMMYFUNCTION("""COMPUTED_VALUE"""),"241🤙🏼Dil Chahta Hai🤙🏼Aamir Khan🤙🏼Estrela 1")</f>
        <v>241🤙🏼Dil Chahta Hai🤙🏼Aamir Khan🤙🏼Estrela 1</v>
      </c>
      <c r="H962" s="5">
        <f>IFERROR(__xludf.DUMMYFUNCTION("SPLiT(G962, ""🤙🏼"",FALSE,FALSE)"),241.0)</f>
        <v>241</v>
      </c>
      <c r="I962" s="5" t="str">
        <f>IFERROR(__xludf.DUMMYFUNCTION("""COMPUTED_VALUE"""),"Dil Chahta Hai")</f>
        <v>Dil Chahta Hai</v>
      </c>
      <c r="J962" s="5" t="str">
        <f>IFERROR(__xludf.DUMMYFUNCTION("""COMPUTED_VALUE"""),"Aamir Khan")</f>
        <v>Aamir Khan</v>
      </c>
      <c r="K962" s="5" t="str">
        <f>IFERROR(__xludf.DUMMYFUNCTION("""COMPUTED_VALUE"""),"Estrela 1")</f>
        <v>Estrela 1</v>
      </c>
      <c r="P962" s="5">
        <f>IFERROR(__xludf.DUMMYFUNCTION("""COMPUTED_VALUE"""),241.0)</f>
        <v>241</v>
      </c>
      <c r="Q962" s="5" t="str">
        <f>IFERROR(__xludf.DUMMYFUNCTION("""COMPUTED_VALUE"""),"Dil Chahta Hai")</f>
        <v>Dil Chahta Hai</v>
      </c>
      <c r="R962" s="5" t="str">
        <f>IFERROR(__xludf.DUMMYFUNCTION("""COMPUTED_VALUE"""),"Aamir Khan")</f>
        <v>Aamir Khan</v>
      </c>
      <c r="S962" s="5" t="str">
        <f>IFERROR(__xludf.DUMMYFUNCTION("""COMPUTED_VALUE"""),"Estrela 1")</f>
        <v>Estrela 1</v>
      </c>
    </row>
    <row r="963">
      <c r="A963" s="1">
        <v>962.0</v>
      </c>
      <c r="B963" s="1" t="s">
        <v>5424</v>
      </c>
      <c r="C963" s="1" t="s">
        <v>5049</v>
      </c>
      <c r="D963" s="1" t="s">
        <v>3089</v>
      </c>
      <c r="E963" s="1" t="s">
        <v>5426</v>
      </c>
      <c r="F963" s="1" t="s">
        <v>5427</v>
      </c>
      <c r="G963" s="5" t="str">
        <f>IFERROR(__xludf.DUMMYFUNCTION("""COMPUTED_VALUE"""),"241🤙🏼Dil Chahta Hai🤙🏼Saif Ali Khan🤙🏼Estrela 2")</f>
        <v>241🤙🏼Dil Chahta Hai🤙🏼Saif Ali Khan🤙🏼Estrela 2</v>
      </c>
      <c r="H963" s="5">
        <f>IFERROR(__xludf.DUMMYFUNCTION("SPLiT(G963, ""🤙🏼"",FALSE,FALSE)"),241.0)</f>
        <v>241</v>
      </c>
      <c r="I963" s="5" t="str">
        <f>IFERROR(__xludf.DUMMYFUNCTION("""COMPUTED_VALUE"""),"Dil Chahta Hai")</f>
        <v>Dil Chahta Hai</v>
      </c>
      <c r="J963" s="5" t="str">
        <f>IFERROR(__xludf.DUMMYFUNCTION("""COMPUTED_VALUE"""),"Saif Ali Khan")</f>
        <v>Saif Ali Khan</v>
      </c>
      <c r="K963" s="5" t="str">
        <f>IFERROR(__xludf.DUMMYFUNCTION("""COMPUTED_VALUE"""),"Estrela 2")</f>
        <v>Estrela 2</v>
      </c>
      <c r="P963" s="5">
        <f>IFERROR(__xludf.DUMMYFUNCTION("""COMPUTED_VALUE"""),241.0)</f>
        <v>241</v>
      </c>
      <c r="Q963" s="5" t="str">
        <f>IFERROR(__xludf.DUMMYFUNCTION("""COMPUTED_VALUE"""),"Dil Chahta Hai")</f>
        <v>Dil Chahta Hai</v>
      </c>
      <c r="R963" s="5" t="str">
        <f>IFERROR(__xludf.DUMMYFUNCTION("""COMPUTED_VALUE"""),"Saif Ali Khan")</f>
        <v>Saif Ali Khan</v>
      </c>
      <c r="S963" s="5" t="str">
        <f>IFERROR(__xludf.DUMMYFUNCTION("""COMPUTED_VALUE"""),"Estrela 2")</f>
        <v>Estrela 2</v>
      </c>
    </row>
    <row r="964">
      <c r="A964" s="1">
        <v>963.0</v>
      </c>
      <c r="B964" s="1" t="s">
        <v>5428</v>
      </c>
      <c r="C964" s="1" t="s">
        <v>3994</v>
      </c>
      <c r="D964" s="1" t="s">
        <v>719</v>
      </c>
      <c r="E964" s="1" t="s">
        <v>5430</v>
      </c>
      <c r="F964" s="1" t="s">
        <v>720</v>
      </c>
      <c r="G964" s="5" t="str">
        <f>IFERROR(__xludf.DUMMYFUNCTION("""COMPUTED_VALUE"""),"241🤙🏼Dil Chahta Hai🤙🏼Akshaye Khanna🤙🏼Estrela 3")</f>
        <v>241🤙🏼Dil Chahta Hai🤙🏼Akshaye Khanna🤙🏼Estrela 3</v>
      </c>
      <c r="H964" s="5">
        <f>IFERROR(__xludf.DUMMYFUNCTION("SPLiT(G964, ""🤙🏼"",FALSE,FALSE)"),241.0)</f>
        <v>241</v>
      </c>
      <c r="I964" s="5" t="str">
        <f>IFERROR(__xludf.DUMMYFUNCTION("""COMPUTED_VALUE"""),"Dil Chahta Hai")</f>
        <v>Dil Chahta Hai</v>
      </c>
      <c r="J964" s="5" t="str">
        <f>IFERROR(__xludf.DUMMYFUNCTION("""COMPUTED_VALUE"""),"Akshaye Khanna")</f>
        <v>Akshaye Khanna</v>
      </c>
      <c r="K964" s="5" t="str">
        <f>IFERROR(__xludf.DUMMYFUNCTION("""COMPUTED_VALUE"""),"Estrela 3")</f>
        <v>Estrela 3</v>
      </c>
      <c r="P964" s="5">
        <f>IFERROR(__xludf.DUMMYFUNCTION("""COMPUTED_VALUE"""),241.0)</f>
        <v>241</v>
      </c>
      <c r="Q964" s="5" t="str">
        <f>IFERROR(__xludf.DUMMYFUNCTION("""COMPUTED_VALUE"""),"Dil Chahta Hai")</f>
        <v>Dil Chahta Hai</v>
      </c>
      <c r="R964" s="5" t="str">
        <f>IFERROR(__xludf.DUMMYFUNCTION("""COMPUTED_VALUE"""),"Akshaye Khanna")</f>
        <v>Akshaye Khanna</v>
      </c>
      <c r="S964" s="5" t="str">
        <f>IFERROR(__xludf.DUMMYFUNCTION("""COMPUTED_VALUE"""),"Estrela 3")</f>
        <v>Estrela 3</v>
      </c>
    </row>
    <row r="965">
      <c r="A965" s="1">
        <v>964.0</v>
      </c>
      <c r="B965" s="1" t="s">
        <v>5431</v>
      </c>
      <c r="C965" s="1" t="s">
        <v>76</v>
      </c>
      <c r="D965" s="1" t="s">
        <v>357</v>
      </c>
      <c r="E965" s="1" t="s">
        <v>75</v>
      </c>
      <c r="F965" s="1" t="s">
        <v>2607</v>
      </c>
      <c r="G965" s="5" t="str">
        <f>IFERROR(__xludf.DUMMYFUNCTION("""COMPUTED_VALUE"""),"241🤙🏼Dil Chahta Hai🤙🏼Preity Zinta🤙🏼Estrela 4")</f>
        <v>241🤙🏼Dil Chahta Hai🤙🏼Preity Zinta🤙🏼Estrela 4</v>
      </c>
      <c r="H965" s="5">
        <f>IFERROR(__xludf.DUMMYFUNCTION("SPLiT(G965, ""🤙🏼"",FALSE,FALSE)"),241.0)</f>
        <v>241</v>
      </c>
      <c r="I965" s="5" t="str">
        <f>IFERROR(__xludf.DUMMYFUNCTION("""COMPUTED_VALUE"""),"Dil Chahta Hai")</f>
        <v>Dil Chahta Hai</v>
      </c>
      <c r="J965" s="5" t="str">
        <f>IFERROR(__xludf.DUMMYFUNCTION("""COMPUTED_VALUE"""),"Preity Zinta")</f>
        <v>Preity Zinta</v>
      </c>
      <c r="K965" s="5" t="str">
        <f>IFERROR(__xludf.DUMMYFUNCTION("""COMPUTED_VALUE"""),"Estrela 4")</f>
        <v>Estrela 4</v>
      </c>
      <c r="P965" s="5">
        <f>IFERROR(__xludf.DUMMYFUNCTION("""COMPUTED_VALUE"""),241.0)</f>
        <v>241</v>
      </c>
      <c r="Q965" s="5" t="str">
        <f>IFERROR(__xludf.DUMMYFUNCTION("""COMPUTED_VALUE"""),"Dil Chahta Hai")</f>
        <v>Dil Chahta Hai</v>
      </c>
      <c r="R965" s="5" t="str">
        <f>IFERROR(__xludf.DUMMYFUNCTION("""COMPUTED_VALUE"""),"Preity Zinta")</f>
        <v>Preity Zinta</v>
      </c>
      <c r="S965" s="5" t="str">
        <f>IFERROR(__xludf.DUMMYFUNCTION("""COMPUTED_VALUE"""),"Estrela 4")</f>
        <v>Estrela 4</v>
      </c>
    </row>
    <row r="966">
      <c r="A966" s="1">
        <v>965.0</v>
      </c>
      <c r="B966" s="1" t="s">
        <v>5433</v>
      </c>
      <c r="C966" s="1" t="s">
        <v>2451</v>
      </c>
      <c r="D966" s="1" t="s">
        <v>5435</v>
      </c>
      <c r="E966" s="1" t="s">
        <v>388</v>
      </c>
      <c r="F966" s="1" t="s">
        <v>5436</v>
      </c>
      <c r="G966" s="5" t="str">
        <f>IFERROR(__xludf.DUMMYFUNCTION("""COMPUTED_VALUE"""),"242🤙🏼Kill Bill: Vol. 1🤙🏼Uma Thurman🤙🏼Estrela 1")</f>
        <v>242🤙🏼Kill Bill: Vol. 1🤙🏼Uma Thurman🤙🏼Estrela 1</v>
      </c>
      <c r="H966" s="5">
        <f>IFERROR(__xludf.DUMMYFUNCTION("SPLiT(G966, ""🤙🏼"",FALSE,FALSE)"),242.0)</f>
        <v>242</v>
      </c>
      <c r="I966" s="5" t="str">
        <f>IFERROR(__xludf.DUMMYFUNCTION("""COMPUTED_VALUE"""),"Kill Bill: Vol. 1")</f>
        <v>Kill Bill: Vol. 1</v>
      </c>
      <c r="J966" s="5" t="str">
        <f>IFERROR(__xludf.DUMMYFUNCTION("""COMPUTED_VALUE"""),"Uma Thurman")</f>
        <v>Uma Thurman</v>
      </c>
      <c r="K966" s="5" t="str">
        <f>IFERROR(__xludf.DUMMYFUNCTION("""COMPUTED_VALUE"""),"Estrela 1")</f>
        <v>Estrela 1</v>
      </c>
      <c r="P966" s="5">
        <f>IFERROR(__xludf.DUMMYFUNCTION("""COMPUTED_VALUE"""),242.0)</f>
        <v>242</v>
      </c>
      <c r="Q966" s="5" t="str">
        <f>IFERROR(__xludf.DUMMYFUNCTION("""COMPUTED_VALUE"""),"Kill Bill: Vol. 1")</f>
        <v>Kill Bill: Vol. 1</v>
      </c>
      <c r="R966" s="5" t="str">
        <f>IFERROR(__xludf.DUMMYFUNCTION("""COMPUTED_VALUE"""),"Uma Thurman")</f>
        <v>Uma Thurman</v>
      </c>
      <c r="S966" s="5" t="str">
        <f>IFERROR(__xludf.DUMMYFUNCTION("""COMPUTED_VALUE"""),"Estrela 1")</f>
        <v>Estrela 1</v>
      </c>
    </row>
    <row r="967">
      <c r="A967" s="1">
        <v>966.0</v>
      </c>
      <c r="B967" s="1" t="s">
        <v>5437</v>
      </c>
      <c r="C967" s="1" t="s">
        <v>119</v>
      </c>
      <c r="D967" s="1" t="s">
        <v>3136</v>
      </c>
      <c r="E967" s="1" t="s">
        <v>5439</v>
      </c>
      <c r="F967" s="1" t="s">
        <v>5440</v>
      </c>
      <c r="G967" s="5" t="str">
        <f>IFERROR(__xludf.DUMMYFUNCTION("""COMPUTED_VALUE"""),"242🤙🏼Kill Bill: Vol. 1🤙🏼David Carradine🤙🏼Estrela 2")</f>
        <v>242🤙🏼Kill Bill: Vol. 1🤙🏼David Carradine🤙🏼Estrela 2</v>
      </c>
      <c r="H967" s="5">
        <f>IFERROR(__xludf.DUMMYFUNCTION("SPLiT(G967, ""🤙🏼"",FALSE,FALSE)"),242.0)</f>
        <v>242</v>
      </c>
      <c r="I967" s="5" t="str">
        <f>IFERROR(__xludf.DUMMYFUNCTION("""COMPUTED_VALUE"""),"Kill Bill: Vol. 1")</f>
        <v>Kill Bill: Vol. 1</v>
      </c>
      <c r="J967" s="5" t="str">
        <f>IFERROR(__xludf.DUMMYFUNCTION("""COMPUTED_VALUE"""),"David Carradine")</f>
        <v>David Carradine</v>
      </c>
      <c r="K967" s="5" t="str">
        <f>IFERROR(__xludf.DUMMYFUNCTION("""COMPUTED_VALUE"""),"Estrela 2")</f>
        <v>Estrela 2</v>
      </c>
      <c r="P967" s="5">
        <f>IFERROR(__xludf.DUMMYFUNCTION("""COMPUTED_VALUE"""),242.0)</f>
        <v>242</v>
      </c>
      <c r="Q967" s="5" t="str">
        <f>IFERROR(__xludf.DUMMYFUNCTION("""COMPUTED_VALUE"""),"Kill Bill: Vol. 1")</f>
        <v>Kill Bill: Vol. 1</v>
      </c>
      <c r="R967" s="5" t="str">
        <f>IFERROR(__xludf.DUMMYFUNCTION("""COMPUTED_VALUE"""),"David Carradine")</f>
        <v>David Carradine</v>
      </c>
      <c r="S967" s="5" t="str">
        <f>IFERROR(__xludf.DUMMYFUNCTION("""COMPUTED_VALUE"""),"Estrela 2")</f>
        <v>Estrela 2</v>
      </c>
    </row>
    <row r="968">
      <c r="A968" s="1">
        <v>967.0</v>
      </c>
      <c r="B968" s="1" t="s">
        <v>5441</v>
      </c>
      <c r="C968" s="1" t="s">
        <v>110</v>
      </c>
      <c r="D968" s="1" t="s">
        <v>3001</v>
      </c>
      <c r="E968" s="1" t="s">
        <v>3171</v>
      </c>
      <c r="F968" s="1" t="s">
        <v>112</v>
      </c>
      <c r="G968" s="5" t="str">
        <f>IFERROR(__xludf.DUMMYFUNCTION("""COMPUTED_VALUE"""),"242🤙🏼Kill Bill: Vol. 1🤙🏼Daryl Hannah🤙🏼Estrela 3")</f>
        <v>242🤙🏼Kill Bill: Vol. 1🤙🏼Daryl Hannah🤙🏼Estrela 3</v>
      </c>
      <c r="H968" s="5">
        <f>IFERROR(__xludf.DUMMYFUNCTION("SPLiT(G968, ""🤙🏼"",FALSE,FALSE)"),242.0)</f>
        <v>242</v>
      </c>
      <c r="I968" s="5" t="str">
        <f>IFERROR(__xludf.DUMMYFUNCTION("""COMPUTED_VALUE"""),"Kill Bill: Vol. 1")</f>
        <v>Kill Bill: Vol. 1</v>
      </c>
      <c r="J968" s="5" t="str">
        <f>IFERROR(__xludf.DUMMYFUNCTION("""COMPUTED_VALUE"""),"Daryl Hannah")</f>
        <v>Daryl Hannah</v>
      </c>
      <c r="K968" s="5" t="str">
        <f>IFERROR(__xludf.DUMMYFUNCTION("""COMPUTED_VALUE"""),"Estrela 3")</f>
        <v>Estrela 3</v>
      </c>
      <c r="P968" s="5">
        <f>IFERROR(__xludf.DUMMYFUNCTION("""COMPUTED_VALUE"""),242.0)</f>
        <v>242</v>
      </c>
      <c r="Q968" s="5" t="str">
        <f>IFERROR(__xludf.DUMMYFUNCTION("""COMPUTED_VALUE"""),"Kill Bill: Vol. 1")</f>
        <v>Kill Bill: Vol. 1</v>
      </c>
      <c r="R968" s="5" t="str">
        <f>IFERROR(__xludf.DUMMYFUNCTION("""COMPUTED_VALUE"""),"Daryl Hannah")</f>
        <v>Daryl Hannah</v>
      </c>
      <c r="S968" s="5" t="str">
        <f>IFERROR(__xludf.DUMMYFUNCTION("""COMPUTED_VALUE"""),"Estrela 3")</f>
        <v>Estrela 3</v>
      </c>
    </row>
    <row r="969">
      <c r="A969" s="1">
        <v>968.0</v>
      </c>
      <c r="B969" s="1" t="s">
        <v>5443</v>
      </c>
      <c r="C969" s="1" t="s">
        <v>3255</v>
      </c>
      <c r="D969" s="1" t="s">
        <v>1643</v>
      </c>
      <c r="E969" s="1" t="s">
        <v>5445</v>
      </c>
      <c r="F969" s="1" t="s">
        <v>5446</v>
      </c>
      <c r="G969" s="5" t="str">
        <f>IFERROR(__xludf.DUMMYFUNCTION("""COMPUTED_VALUE"""),"242🤙🏼Kill Bill: Vol. 1🤙🏼Michael Madsen🤙🏼Estrela 4")</f>
        <v>242🤙🏼Kill Bill: Vol. 1🤙🏼Michael Madsen🤙🏼Estrela 4</v>
      </c>
      <c r="H969" s="5">
        <f>IFERROR(__xludf.DUMMYFUNCTION("SPLiT(G969, ""🤙🏼"",FALSE,FALSE)"),242.0)</f>
        <v>242</v>
      </c>
      <c r="I969" s="5" t="str">
        <f>IFERROR(__xludf.DUMMYFUNCTION("""COMPUTED_VALUE"""),"Kill Bill: Vol. 1")</f>
        <v>Kill Bill: Vol. 1</v>
      </c>
      <c r="J969" s="5" t="str">
        <f>IFERROR(__xludf.DUMMYFUNCTION("""COMPUTED_VALUE"""),"Michael Madsen")</f>
        <v>Michael Madsen</v>
      </c>
      <c r="K969" s="5" t="str">
        <f>IFERROR(__xludf.DUMMYFUNCTION("""COMPUTED_VALUE"""),"Estrela 4")</f>
        <v>Estrela 4</v>
      </c>
      <c r="P969" s="5">
        <f>IFERROR(__xludf.DUMMYFUNCTION("""COMPUTED_VALUE"""),242.0)</f>
        <v>242</v>
      </c>
      <c r="Q969" s="5" t="str">
        <f>IFERROR(__xludf.DUMMYFUNCTION("""COMPUTED_VALUE"""),"Kill Bill: Vol. 1")</f>
        <v>Kill Bill: Vol. 1</v>
      </c>
      <c r="R969" s="5" t="str">
        <f>IFERROR(__xludf.DUMMYFUNCTION("""COMPUTED_VALUE"""),"Michael Madsen")</f>
        <v>Michael Madsen</v>
      </c>
      <c r="S969" s="5" t="str">
        <f>IFERROR(__xludf.DUMMYFUNCTION("""COMPUTED_VALUE"""),"Estrela 4")</f>
        <v>Estrela 4</v>
      </c>
    </row>
    <row r="970">
      <c r="A970" s="1">
        <v>969.0</v>
      </c>
      <c r="B970" s="1" t="s">
        <v>5447</v>
      </c>
      <c r="C970" s="1" t="s">
        <v>3966</v>
      </c>
      <c r="D970" s="1" t="s">
        <v>50</v>
      </c>
      <c r="E970" s="1" t="s">
        <v>3286</v>
      </c>
      <c r="F970" s="1" t="s">
        <v>5450</v>
      </c>
      <c r="G970" s="5" t="str">
        <f>IFERROR(__xludf.DUMMYFUNCTION("""COMPUTED_VALUE"""),"243🤙🏼Finding Nemo🤙🏼Lee Unkrich🤙🏼Estrela 1")</f>
        <v>243🤙🏼Finding Nemo🤙🏼Lee Unkrich🤙🏼Estrela 1</v>
      </c>
      <c r="H970" s="5">
        <f>IFERROR(__xludf.DUMMYFUNCTION("SPLiT(G970, ""🤙🏼"",FALSE,FALSE)"),243.0)</f>
        <v>243</v>
      </c>
      <c r="I970" s="5" t="str">
        <f>IFERROR(__xludf.DUMMYFUNCTION("""COMPUTED_VALUE"""),"Finding Nemo")</f>
        <v>Finding Nemo</v>
      </c>
      <c r="J970" s="5" t="str">
        <f>IFERROR(__xludf.DUMMYFUNCTION("""COMPUTED_VALUE"""),"Lee Unkrich")</f>
        <v>Lee Unkrich</v>
      </c>
      <c r="K970" s="5" t="str">
        <f>IFERROR(__xludf.DUMMYFUNCTION("""COMPUTED_VALUE"""),"Estrela 1")</f>
        <v>Estrela 1</v>
      </c>
      <c r="P970" s="5">
        <f>IFERROR(__xludf.DUMMYFUNCTION("""COMPUTED_VALUE"""),243.0)</f>
        <v>243</v>
      </c>
      <c r="Q970" s="5" t="str">
        <f>IFERROR(__xludf.DUMMYFUNCTION("""COMPUTED_VALUE"""),"Finding Nemo")</f>
        <v>Finding Nemo</v>
      </c>
      <c r="R970" s="5" t="str">
        <f>IFERROR(__xludf.DUMMYFUNCTION("""COMPUTED_VALUE"""),"Lee Unkrich")</f>
        <v>Lee Unkrich</v>
      </c>
      <c r="S970" s="5" t="str">
        <f>IFERROR(__xludf.DUMMYFUNCTION("""COMPUTED_VALUE"""),"Estrela 1")</f>
        <v>Estrela 1</v>
      </c>
    </row>
    <row r="971">
      <c r="A971" s="1">
        <v>970.0</v>
      </c>
      <c r="B971" s="1" t="s">
        <v>5451</v>
      </c>
      <c r="C971" s="1" t="s">
        <v>5453</v>
      </c>
      <c r="D971" s="1" t="s">
        <v>3903</v>
      </c>
      <c r="E971" s="1" t="s">
        <v>190</v>
      </c>
      <c r="F971" s="1" t="s">
        <v>5454</v>
      </c>
      <c r="G971" s="5" t="str">
        <f>IFERROR(__xludf.DUMMYFUNCTION("""COMPUTED_VALUE"""),"243🤙🏼Finding Nemo🤙🏼Albert Brooks🤙🏼Estrela 2")</f>
        <v>243🤙🏼Finding Nemo🤙🏼Albert Brooks🤙🏼Estrela 2</v>
      </c>
      <c r="H971" s="5">
        <f>IFERROR(__xludf.DUMMYFUNCTION("SPLiT(G971, ""🤙🏼"",FALSE,FALSE)"),243.0)</f>
        <v>243</v>
      </c>
      <c r="I971" s="5" t="str">
        <f>IFERROR(__xludf.DUMMYFUNCTION("""COMPUTED_VALUE"""),"Finding Nemo")</f>
        <v>Finding Nemo</v>
      </c>
      <c r="J971" s="5" t="str">
        <f>IFERROR(__xludf.DUMMYFUNCTION("""COMPUTED_VALUE"""),"Albert Brooks")</f>
        <v>Albert Brooks</v>
      </c>
      <c r="K971" s="5" t="str">
        <f>IFERROR(__xludf.DUMMYFUNCTION("""COMPUTED_VALUE"""),"Estrela 2")</f>
        <v>Estrela 2</v>
      </c>
      <c r="P971" s="5">
        <f>IFERROR(__xludf.DUMMYFUNCTION("""COMPUTED_VALUE"""),243.0)</f>
        <v>243</v>
      </c>
      <c r="Q971" s="5" t="str">
        <f>IFERROR(__xludf.DUMMYFUNCTION("""COMPUTED_VALUE"""),"Finding Nemo")</f>
        <v>Finding Nemo</v>
      </c>
      <c r="R971" s="5" t="str">
        <f>IFERROR(__xludf.DUMMYFUNCTION("""COMPUTED_VALUE"""),"Albert Brooks")</f>
        <v>Albert Brooks</v>
      </c>
      <c r="S971" s="5" t="str">
        <f>IFERROR(__xludf.DUMMYFUNCTION("""COMPUTED_VALUE"""),"Estrela 2")</f>
        <v>Estrela 2</v>
      </c>
    </row>
    <row r="972">
      <c r="A972" s="1">
        <v>971.0</v>
      </c>
      <c r="B972" s="1" t="s">
        <v>5455</v>
      </c>
      <c r="C972" s="1" t="s">
        <v>141</v>
      </c>
      <c r="D972" s="1" t="s">
        <v>3077</v>
      </c>
      <c r="E972" s="1" t="s">
        <v>5458</v>
      </c>
      <c r="F972" s="1" t="s">
        <v>5459</v>
      </c>
      <c r="G972" s="5" t="str">
        <f>IFERROR(__xludf.DUMMYFUNCTION("""COMPUTED_VALUE"""),"243🤙🏼Finding Nemo🤙🏼Ellen DeGeneres🤙🏼Estrela 3")</f>
        <v>243🤙🏼Finding Nemo🤙🏼Ellen DeGeneres🤙🏼Estrela 3</v>
      </c>
      <c r="H972" s="5">
        <f>IFERROR(__xludf.DUMMYFUNCTION("SPLiT(G972, ""🤙🏼"",FALSE,FALSE)"),243.0)</f>
        <v>243</v>
      </c>
      <c r="I972" s="5" t="str">
        <f>IFERROR(__xludf.DUMMYFUNCTION("""COMPUTED_VALUE"""),"Finding Nemo")</f>
        <v>Finding Nemo</v>
      </c>
      <c r="J972" s="5" t="str">
        <f>IFERROR(__xludf.DUMMYFUNCTION("""COMPUTED_VALUE"""),"Ellen DeGeneres")</f>
        <v>Ellen DeGeneres</v>
      </c>
      <c r="K972" s="5" t="str">
        <f>IFERROR(__xludf.DUMMYFUNCTION("""COMPUTED_VALUE"""),"Estrela 3")</f>
        <v>Estrela 3</v>
      </c>
      <c r="P972" s="5">
        <f>IFERROR(__xludf.DUMMYFUNCTION("""COMPUTED_VALUE"""),243.0)</f>
        <v>243</v>
      </c>
      <c r="Q972" s="5" t="str">
        <f>IFERROR(__xludf.DUMMYFUNCTION("""COMPUTED_VALUE"""),"Finding Nemo")</f>
        <v>Finding Nemo</v>
      </c>
      <c r="R972" s="5" t="str">
        <f>IFERROR(__xludf.DUMMYFUNCTION("""COMPUTED_VALUE"""),"Ellen DeGeneres")</f>
        <v>Ellen DeGeneres</v>
      </c>
      <c r="S972" s="5" t="str">
        <f>IFERROR(__xludf.DUMMYFUNCTION("""COMPUTED_VALUE"""),"Estrela 3")</f>
        <v>Estrela 3</v>
      </c>
    </row>
    <row r="973">
      <c r="A973" s="1">
        <v>972.0</v>
      </c>
      <c r="B973" s="1" t="s">
        <v>5460</v>
      </c>
      <c r="C973" s="1" t="s">
        <v>5463</v>
      </c>
      <c r="D973" s="1" t="s">
        <v>5464</v>
      </c>
      <c r="E973" s="1" t="s">
        <v>3235</v>
      </c>
      <c r="F973" s="1" t="s">
        <v>5465</v>
      </c>
      <c r="G973" s="5" t="str">
        <f>IFERROR(__xludf.DUMMYFUNCTION("""COMPUTED_VALUE"""),"243🤙🏼Finding Nemo🤙🏼Alexander Gould🤙🏼Estrela 4")</f>
        <v>243🤙🏼Finding Nemo🤙🏼Alexander Gould🤙🏼Estrela 4</v>
      </c>
      <c r="H973" s="5">
        <f>IFERROR(__xludf.DUMMYFUNCTION("SPLiT(G973, ""🤙🏼"",FALSE,FALSE)"),243.0)</f>
        <v>243</v>
      </c>
      <c r="I973" s="5" t="str">
        <f>IFERROR(__xludf.DUMMYFUNCTION("""COMPUTED_VALUE"""),"Finding Nemo")</f>
        <v>Finding Nemo</v>
      </c>
      <c r="J973" s="5" t="str">
        <f>IFERROR(__xludf.DUMMYFUNCTION("""COMPUTED_VALUE"""),"Alexander Gould")</f>
        <v>Alexander Gould</v>
      </c>
      <c r="K973" s="5" t="str">
        <f>IFERROR(__xludf.DUMMYFUNCTION("""COMPUTED_VALUE"""),"Estrela 4")</f>
        <v>Estrela 4</v>
      </c>
      <c r="P973" s="5">
        <f>IFERROR(__xludf.DUMMYFUNCTION("""COMPUTED_VALUE"""),243.0)</f>
        <v>243</v>
      </c>
      <c r="Q973" s="5" t="str">
        <f>IFERROR(__xludf.DUMMYFUNCTION("""COMPUTED_VALUE"""),"Finding Nemo")</f>
        <v>Finding Nemo</v>
      </c>
      <c r="R973" s="5" t="str">
        <f>IFERROR(__xludf.DUMMYFUNCTION("""COMPUTED_VALUE"""),"Alexander Gould")</f>
        <v>Alexander Gould</v>
      </c>
      <c r="S973" s="5" t="str">
        <f>IFERROR(__xludf.DUMMYFUNCTION("""COMPUTED_VALUE"""),"Estrela 4")</f>
        <v>Estrela 4</v>
      </c>
    </row>
    <row r="974">
      <c r="A974" s="1">
        <v>973.0</v>
      </c>
      <c r="B974" s="1" t="s">
        <v>5466</v>
      </c>
      <c r="C974" s="1" t="s">
        <v>725</v>
      </c>
      <c r="D974" s="1" t="s">
        <v>5469</v>
      </c>
      <c r="E974" s="1" t="s">
        <v>5321</v>
      </c>
      <c r="F974" s="1" t="s">
        <v>5470</v>
      </c>
      <c r="G974" s="5" t="str">
        <f>IFERROR(__xludf.DUMMYFUNCTION("""COMPUTED_VALUE"""),"244🤙🏼Catch Me If You Can🤙🏼Leonardo DiCaprio🤙🏼Estrela 1")</f>
        <v>244🤙🏼Catch Me If You Can🤙🏼Leonardo DiCaprio🤙🏼Estrela 1</v>
      </c>
      <c r="H974" s="5">
        <f>IFERROR(__xludf.DUMMYFUNCTION("SPLiT(G974, ""🤙🏼"",FALSE,FALSE)"),244.0)</f>
        <v>244</v>
      </c>
      <c r="I974" s="5" t="str">
        <f>IFERROR(__xludf.DUMMYFUNCTION("""COMPUTED_VALUE"""),"Catch Me If You Can")</f>
        <v>Catch Me If You Can</v>
      </c>
      <c r="J974" s="5" t="str">
        <f>IFERROR(__xludf.DUMMYFUNCTION("""COMPUTED_VALUE"""),"Leonardo DiCaprio")</f>
        <v>Leonardo DiCaprio</v>
      </c>
      <c r="K974" s="5" t="str">
        <f>IFERROR(__xludf.DUMMYFUNCTION("""COMPUTED_VALUE"""),"Estrela 1")</f>
        <v>Estrela 1</v>
      </c>
      <c r="P974" s="5">
        <f>IFERROR(__xludf.DUMMYFUNCTION("""COMPUTED_VALUE"""),244.0)</f>
        <v>244</v>
      </c>
      <c r="Q974" s="5" t="str">
        <f>IFERROR(__xludf.DUMMYFUNCTION("""COMPUTED_VALUE"""),"Catch Me If You Can")</f>
        <v>Catch Me If You Can</v>
      </c>
      <c r="R974" s="5" t="str">
        <f>IFERROR(__xludf.DUMMYFUNCTION("""COMPUTED_VALUE"""),"Leonardo DiCaprio")</f>
        <v>Leonardo DiCaprio</v>
      </c>
      <c r="S974" s="5" t="str">
        <f>IFERROR(__xludf.DUMMYFUNCTION("""COMPUTED_VALUE"""),"Estrela 1")</f>
        <v>Estrela 1</v>
      </c>
    </row>
    <row r="975">
      <c r="A975" s="1">
        <v>974.0</v>
      </c>
      <c r="B975" s="1" t="s">
        <v>5471</v>
      </c>
      <c r="C975" s="1" t="s">
        <v>5473</v>
      </c>
      <c r="D975" s="1" t="s">
        <v>141</v>
      </c>
      <c r="E975" s="1" t="s">
        <v>5474</v>
      </c>
      <c r="F975" s="1" t="s">
        <v>5475</v>
      </c>
      <c r="G975" s="5" t="str">
        <f>IFERROR(__xludf.DUMMYFUNCTION("""COMPUTED_VALUE"""),"244🤙🏼Catch Me If You Can🤙🏼Tom Hanks🤙🏼Estrela 2")</f>
        <v>244🤙🏼Catch Me If You Can🤙🏼Tom Hanks🤙🏼Estrela 2</v>
      </c>
      <c r="H975" s="5">
        <f>IFERROR(__xludf.DUMMYFUNCTION("SPLiT(G975, ""🤙🏼"",FALSE,FALSE)"),244.0)</f>
        <v>244</v>
      </c>
      <c r="I975" s="5" t="str">
        <f>IFERROR(__xludf.DUMMYFUNCTION("""COMPUTED_VALUE"""),"Catch Me If You Can")</f>
        <v>Catch Me If You Can</v>
      </c>
      <c r="J975" s="5" t="str">
        <f>IFERROR(__xludf.DUMMYFUNCTION("""COMPUTED_VALUE"""),"Tom Hanks")</f>
        <v>Tom Hanks</v>
      </c>
      <c r="K975" s="5" t="str">
        <f>IFERROR(__xludf.DUMMYFUNCTION("""COMPUTED_VALUE"""),"Estrela 2")</f>
        <v>Estrela 2</v>
      </c>
      <c r="P975" s="5">
        <f>IFERROR(__xludf.DUMMYFUNCTION("""COMPUTED_VALUE"""),244.0)</f>
        <v>244</v>
      </c>
      <c r="Q975" s="5" t="str">
        <f>IFERROR(__xludf.DUMMYFUNCTION("""COMPUTED_VALUE"""),"Catch Me If You Can")</f>
        <v>Catch Me If You Can</v>
      </c>
      <c r="R975" s="5" t="str">
        <f>IFERROR(__xludf.DUMMYFUNCTION("""COMPUTED_VALUE"""),"Tom Hanks")</f>
        <v>Tom Hanks</v>
      </c>
      <c r="S975" s="5" t="str">
        <f>IFERROR(__xludf.DUMMYFUNCTION("""COMPUTED_VALUE"""),"Estrela 2")</f>
        <v>Estrela 2</v>
      </c>
    </row>
    <row r="976">
      <c r="A976" s="1">
        <v>975.0</v>
      </c>
      <c r="B976" s="1" t="s">
        <v>5476</v>
      </c>
      <c r="C976" s="1" t="s">
        <v>33</v>
      </c>
      <c r="D976" s="1" t="s">
        <v>35</v>
      </c>
      <c r="E976" s="1" t="s">
        <v>5478</v>
      </c>
      <c r="F976" s="1" t="s">
        <v>1894</v>
      </c>
      <c r="G976" s="5" t="str">
        <f>IFERROR(__xludf.DUMMYFUNCTION("""COMPUTED_VALUE"""),"244🤙🏼Catch Me If You Can🤙🏼Christopher Walken🤙🏼Estrela 3")</f>
        <v>244🤙🏼Catch Me If You Can🤙🏼Christopher Walken🤙🏼Estrela 3</v>
      </c>
      <c r="H976" s="5">
        <f>IFERROR(__xludf.DUMMYFUNCTION("SPLiT(G976, ""🤙🏼"",FALSE,FALSE)"),244.0)</f>
        <v>244</v>
      </c>
      <c r="I976" s="5" t="str">
        <f>IFERROR(__xludf.DUMMYFUNCTION("""COMPUTED_VALUE"""),"Catch Me If You Can")</f>
        <v>Catch Me If You Can</v>
      </c>
      <c r="J976" s="5" t="str">
        <f>IFERROR(__xludf.DUMMYFUNCTION("""COMPUTED_VALUE"""),"Christopher Walken")</f>
        <v>Christopher Walken</v>
      </c>
      <c r="K976" s="5" t="str">
        <f>IFERROR(__xludf.DUMMYFUNCTION("""COMPUTED_VALUE"""),"Estrela 3")</f>
        <v>Estrela 3</v>
      </c>
      <c r="P976" s="5">
        <f>IFERROR(__xludf.DUMMYFUNCTION("""COMPUTED_VALUE"""),244.0)</f>
        <v>244</v>
      </c>
      <c r="Q976" s="5" t="str">
        <f>IFERROR(__xludf.DUMMYFUNCTION("""COMPUTED_VALUE"""),"Catch Me If You Can")</f>
        <v>Catch Me If You Can</v>
      </c>
      <c r="R976" s="5" t="str">
        <f>IFERROR(__xludf.DUMMYFUNCTION("""COMPUTED_VALUE"""),"Christopher Walken")</f>
        <v>Christopher Walken</v>
      </c>
      <c r="S976" s="5" t="str">
        <f>IFERROR(__xludf.DUMMYFUNCTION("""COMPUTED_VALUE"""),"Estrela 3")</f>
        <v>Estrela 3</v>
      </c>
    </row>
    <row r="977">
      <c r="A977" s="1">
        <v>976.0</v>
      </c>
      <c r="B977" s="1" t="s">
        <v>5479</v>
      </c>
      <c r="C977" s="1" t="s">
        <v>1684</v>
      </c>
      <c r="D977" s="1" t="s">
        <v>5481</v>
      </c>
      <c r="E977" s="1" t="s">
        <v>150</v>
      </c>
      <c r="F977" s="1" t="s">
        <v>4723</v>
      </c>
      <c r="G977" s="5" t="str">
        <f>IFERROR(__xludf.DUMMYFUNCTION("""COMPUTED_VALUE"""),"244🤙🏼Catch Me If You Can🤙🏼Martin Sheen🤙🏼Estrela 4")</f>
        <v>244🤙🏼Catch Me If You Can🤙🏼Martin Sheen🤙🏼Estrela 4</v>
      </c>
      <c r="H977" s="5">
        <f>IFERROR(__xludf.DUMMYFUNCTION("SPLiT(G977, ""🤙🏼"",FALSE,FALSE)"),244.0)</f>
        <v>244</v>
      </c>
      <c r="I977" s="5" t="str">
        <f>IFERROR(__xludf.DUMMYFUNCTION("""COMPUTED_VALUE"""),"Catch Me If You Can")</f>
        <v>Catch Me If You Can</v>
      </c>
      <c r="J977" s="5" t="str">
        <f>IFERROR(__xludf.DUMMYFUNCTION("""COMPUTED_VALUE"""),"Martin Sheen")</f>
        <v>Martin Sheen</v>
      </c>
      <c r="K977" s="5" t="str">
        <f>IFERROR(__xludf.DUMMYFUNCTION("""COMPUTED_VALUE"""),"Estrela 4")</f>
        <v>Estrela 4</v>
      </c>
      <c r="P977" s="5">
        <f>IFERROR(__xludf.DUMMYFUNCTION("""COMPUTED_VALUE"""),244.0)</f>
        <v>244</v>
      </c>
      <c r="Q977" s="5" t="str">
        <f>IFERROR(__xludf.DUMMYFUNCTION("""COMPUTED_VALUE"""),"Catch Me If You Can")</f>
        <v>Catch Me If You Can</v>
      </c>
      <c r="R977" s="5" t="str">
        <f>IFERROR(__xludf.DUMMYFUNCTION("""COMPUTED_VALUE"""),"Martin Sheen")</f>
        <v>Martin Sheen</v>
      </c>
      <c r="S977" s="5" t="str">
        <f>IFERROR(__xludf.DUMMYFUNCTION("""COMPUTED_VALUE"""),"Estrela 4")</f>
        <v>Estrela 4</v>
      </c>
    </row>
    <row r="978">
      <c r="A978" s="1">
        <v>977.0</v>
      </c>
      <c r="B978" s="1" t="s">
        <v>5482</v>
      </c>
      <c r="C978" s="1" t="s">
        <v>2589</v>
      </c>
      <c r="D978" s="1" t="s">
        <v>5484</v>
      </c>
      <c r="E978" s="1" t="s">
        <v>5485</v>
      </c>
      <c r="F978" s="1" t="s">
        <v>5486</v>
      </c>
      <c r="G978" s="5" t="str">
        <f>IFERROR(__xludf.DUMMYFUNCTION("""COMPUTED_VALUE"""),"245🤙🏼Amores perros🤙🏼Emilio Echevarría🤙🏼Estrela 1")</f>
        <v>245🤙🏼Amores perros🤙🏼Emilio Echevarría🤙🏼Estrela 1</v>
      </c>
      <c r="H978" s="5">
        <f>IFERROR(__xludf.DUMMYFUNCTION("SPLiT(G978, ""🤙🏼"",FALSE,FALSE)"),245.0)</f>
        <v>245</v>
      </c>
      <c r="I978" s="5" t="str">
        <f>IFERROR(__xludf.DUMMYFUNCTION("""COMPUTED_VALUE"""),"Amores perros")</f>
        <v>Amores perros</v>
      </c>
      <c r="J978" s="5" t="str">
        <f>IFERROR(__xludf.DUMMYFUNCTION("""COMPUTED_VALUE"""),"Emilio Echevarría")</f>
        <v>Emilio Echevarría</v>
      </c>
      <c r="K978" s="5" t="str">
        <f>IFERROR(__xludf.DUMMYFUNCTION("""COMPUTED_VALUE"""),"Estrela 1")</f>
        <v>Estrela 1</v>
      </c>
      <c r="P978" s="5">
        <f>IFERROR(__xludf.DUMMYFUNCTION("""COMPUTED_VALUE"""),245.0)</f>
        <v>245</v>
      </c>
      <c r="Q978" s="5" t="str">
        <f>IFERROR(__xludf.DUMMYFUNCTION("""COMPUTED_VALUE"""),"Amores perros")</f>
        <v>Amores perros</v>
      </c>
      <c r="R978" s="5" t="str">
        <f>IFERROR(__xludf.DUMMYFUNCTION("""COMPUTED_VALUE"""),"Emilio Echevarría")</f>
        <v>Emilio Echevarría</v>
      </c>
      <c r="S978" s="5" t="str">
        <f>IFERROR(__xludf.DUMMYFUNCTION("""COMPUTED_VALUE"""),"Estrela 1")</f>
        <v>Estrela 1</v>
      </c>
    </row>
    <row r="979">
      <c r="A979" s="1">
        <v>978.0</v>
      </c>
      <c r="B979" s="1" t="s">
        <v>5487</v>
      </c>
      <c r="C979" s="1" t="s">
        <v>5489</v>
      </c>
      <c r="D979" s="1" t="s">
        <v>5490</v>
      </c>
      <c r="E979" s="1" t="s">
        <v>5491</v>
      </c>
      <c r="F979" s="1" t="s">
        <v>5492</v>
      </c>
      <c r="G979" s="5" t="str">
        <f>IFERROR(__xludf.DUMMYFUNCTION("""COMPUTED_VALUE"""),"245🤙🏼Amores perros🤙🏼Gael García Bernal🤙🏼Estrela 2")</f>
        <v>245🤙🏼Amores perros🤙🏼Gael García Bernal🤙🏼Estrela 2</v>
      </c>
      <c r="H979" s="5">
        <f>IFERROR(__xludf.DUMMYFUNCTION("SPLiT(G979, ""🤙🏼"",FALSE,FALSE)"),245.0)</f>
        <v>245</v>
      </c>
      <c r="I979" s="5" t="str">
        <f>IFERROR(__xludf.DUMMYFUNCTION("""COMPUTED_VALUE"""),"Amores perros")</f>
        <v>Amores perros</v>
      </c>
      <c r="J979" s="5" t="str">
        <f>IFERROR(__xludf.DUMMYFUNCTION("""COMPUTED_VALUE"""),"Gael García Bernal")</f>
        <v>Gael García Bernal</v>
      </c>
      <c r="K979" s="5" t="str">
        <f>IFERROR(__xludf.DUMMYFUNCTION("""COMPUTED_VALUE"""),"Estrela 2")</f>
        <v>Estrela 2</v>
      </c>
      <c r="P979" s="5">
        <f>IFERROR(__xludf.DUMMYFUNCTION("""COMPUTED_VALUE"""),245.0)</f>
        <v>245</v>
      </c>
      <c r="Q979" s="5" t="str">
        <f>IFERROR(__xludf.DUMMYFUNCTION("""COMPUTED_VALUE"""),"Amores perros")</f>
        <v>Amores perros</v>
      </c>
      <c r="R979" s="5" t="str">
        <f>IFERROR(__xludf.DUMMYFUNCTION("""COMPUTED_VALUE"""),"Gael García Bernal")</f>
        <v>Gael García Bernal</v>
      </c>
      <c r="S979" s="5" t="str">
        <f>IFERROR(__xludf.DUMMYFUNCTION("""COMPUTED_VALUE"""),"Estrela 2")</f>
        <v>Estrela 2</v>
      </c>
    </row>
    <row r="980">
      <c r="A980" s="1">
        <v>979.0</v>
      </c>
      <c r="B980" s="1" t="s">
        <v>5493</v>
      </c>
      <c r="C980" s="1" t="s">
        <v>5495</v>
      </c>
      <c r="D980" s="1" t="s">
        <v>3313</v>
      </c>
      <c r="E980" s="1" t="s">
        <v>5496</v>
      </c>
      <c r="F980" s="1" t="s">
        <v>3296</v>
      </c>
      <c r="G980" s="5" t="str">
        <f>IFERROR(__xludf.DUMMYFUNCTION("""COMPUTED_VALUE"""),"245🤙🏼Amores perros🤙🏼Goya Toledo🤙🏼Estrela 3")</f>
        <v>245🤙🏼Amores perros🤙🏼Goya Toledo🤙🏼Estrela 3</v>
      </c>
      <c r="H980" s="5">
        <f>IFERROR(__xludf.DUMMYFUNCTION("SPLiT(G980, ""🤙🏼"",FALSE,FALSE)"),245.0)</f>
        <v>245</v>
      </c>
      <c r="I980" s="5" t="str">
        <f>IFERROR(__xludf.DUMMYFUNCTION("""COMPUTED_VALUE"""),"Amores perros")</f>
        <v>Amores perros</v>
      </c>
      <c r="J980" s="5" t="str">
        <f>IFERROR(__xludf.DUMMYFUNCTION("""COMPUTED_VALUE"""),"Goya Toledo")</f>
        <v>Goya Toledo</v>
      </c>
      <c r="K980" s="5" t="str">
        <f>IFERROR(__xludf.DUMMYFUNCTION("""COMPUTED_VALUE"""),"Estrela 3")</f>
        <v>Estrela 3</v>
      </c>
      <c r="P980" s="5">
        <f>IFERROR(__xludf.DUMMYFUNCTION("""COMPUTED_VALUE"""),245.0)</f>
        <v>245</v>
      </c>
      <c r="Q980" s="5" t="str">
        <f>IFERROR(__xludf.DUMMYFUNCTION("""COMPUTED_VALUE"""),"Amores perros")</f>
        <v>Amores perros</v>
      </c>
      <c r="R980" s="5" t="str">
        <f>IFERROR(__xludf.DUMMYFUNCTION("""COMPUTED_VALUE"""),"Goya Toledo")</f>
        <v>Goya Toledo</v>
      </c>
      <c r="S980" s="5" t="str">
        <f>IFERROR(__xludf.DUMMYFUNCTION("""COMPUTED_VALUE"""),"Estrela 3")</f>
        <v>Estrela 3</v>
      </c>
    </row>
    <row r="981">
      <c r="A981" s="1">
        <v>980.0</v>
      </c>
      <c r="B981" s="1" t="s">
        <v>5497</v>
      </c>
      <c r="C981" s="1" t="s">
        <v>773</v>
      </c>
      <c r="D981" s="1" t="s">
        <v>4094</v>
      </c>
      <c r="E981" s="1" t="s">
        <v>5499</v>
      </c>
      <c r="F981" s="1" t="s">
        <v>5500</v>
      </c>
      <c r="G981" s="5" t="str">
        <f>IFERROR(__xludf.DUMMYFUNCTION("""COMPUTED_VALUE"""),"245🤙🏼Amores perros🤙🏼Álvaro Guerrero🤙🏼Estrela 4")</f>
        <v>245🤙🏼Amores perros🤙🏼Álvaro Guerrero🤙🏼Estrela 4</v>
      </c>
      <c r="H981" s="5">
        <f>IFERROR(__xludf.DUMMYFUNCTION("SPLiT(G981, ""🤙🏼"",FALSE,FALSE)"),245.0)</f>
        <v>245</v>
      </c>
      <c r="I981" s="5" t="str">
        <f>IFERROR(__xludf.DUMMYFUNCTION("""COMPUTED_VALUE"""),"Amores perros")</f>
        <v>Amores perros</v>
      </c>
      <c r="J981" s="5" t="str">
        <f>IFERROR(__xludf.DUMMYFUNCTION("""COMPUTED_VALUE"""),"Álvaro Guerrero")</f>
        <v>Álvaro Guerrero</v>
      </c>
      <c r="K981" s="5" t="str">
        <f>IFERROR(__xludf.DUMMYFUNCTION("""COMPUTED_VALUE"""),"Estrela 4")</f>
        <v>Estrela 4</v>
      </c>
      <c r="P981" s="5">
        <f>IFERROR(__xludf.DUMMYFUNCTION("""COMPUTED_VALUE"""),245.0)</f>
        <v>245</v>
      </c>
      <c r="Q981" s="5" t="str">
        <f>IFERROR(__xludf.DUMMYFUNCTION("""COMPUTED_VALUE"""),"Amores perros")</f>
        <v>Amores perros</v>
      </c>
      <c r="R981" s="5" t="str">
        <f>IFERROR(__xludf.DUMMYFUNCTION("""COMPUTED_VALUE"""),"Álvaro Guerrero")</f>
        <v>Álvaro Guerrero</v>
      </c>
      <c r="S981" s="5" t="str">
        <f>IFERROR(__xludf.DUMMYFUNCTION("""COMPUTED_VALUE"""),"Estrela 4")</f>
        <v>Estrela 4</v>
      </c>
    </row>
    <row r="982">
      <c r="A982" s="1">
        <v>981.0</v>
      </c>
      <c r="B982" s="1" t="s">
        <v>5501</v>
      </c>
      <c r="C982" s="1" t="s">
        <v>1612</v>
      </c>
      <c r="D982" s="1" t="s">
        <v>5503</v>
      </c>
      <c r="E982" s="1" t="s">
        <v>972</v>
      </c>
      <c r="F982" s="1" t="s">
        <v>5504</v>
      </c>
      <c r="G982" s="5" t="str">
        <f>IFERROR(__xludf.DUMMYFUNCTION("""COMPUTED_VALUE"""),"246🤙🏼Monsters, Inc.🤙🏼David Silverman🤙🏼Estrela 1")</f>
        <v>246🤙🏼Monsters, Inc.🤙🏼David Silverman🤙🏼Estrela 1</v>
      </c>
      <c r="H982" s="5">
        <f>IFERROR(__xludf.DUMMYFUNCTION("SPLiT(G982, ""🤙🏼"",FALSE,FALSE)"),246.0)</f>
        <v>246</v>
      </c>
      <c r="I982" s="5" t="str">
        <f>IFERROR(__xludf.DUMMYFUNCTION("""COMPUTED_VALUE"""),"Monsters, Inc.")</f>
        <v>Monsters, Inc.</v>
      </c>
      <c r="J982" s="5" t="str">
        <f>IFERROR(__xludf.DUMMYFUNCTION("""COMPUTED_VALUE"""),"David Silverman")</f>
        <v>David Silverman</v>
      </c>
      <c r="K982" s="5" t="str">
        <f>IFERROR(__xludf.DUMMYFUNCTION("""COMPUTED_VALUE"""),"Estrela 1")</f>
        <v>Estrela 1</v>
      </c>
      <c r="P982" s="5">
        <f>IFERROR(__xludf.DUMMYFUNCTION("""COMPUTED_VALUE"""),246.0)</f>
        <v>246</v>
      </c>
      <c r="Q982" s="5" t="str">
        <f>IFERROR(__xludf.DUMMYFUNCTION("""COMPUTED_VALUE"""),"Monsters, Inc.")</f>
        <v>Monsters, Inc.</v>
      </c>
      <c r="R982" s="5" t="str">
        <f>IFERROR(__xludf.DUMMYFUNCTION("""COMPUTED_VALUE"""),"David Silverman")</f>
        <v>David Silverman</v>
      </c>
      <c r="S982" s="5" t="str">
        <f>IFERROR(__xludf.DUMMYFUNCTION("""COMPUTED_VALUE"""),"Estrela 1")</f>
        <v>Estrela 1</v>
      </c>
    </row>
    <row r="983">
      <c r="A983" s="1">
        <v>982.0</v>
      </c>
      <c r="B983" s="1" t="s">
        <v>5505</v>
      </c>
      <c r="C983" s="1" t="s">
        <v>3385</v>
      </c>
      <c r="D983" s="1" t="s">
        <v>56</v>
      </c>
      <c r="E983" s="1" t="s">
        <v>5508</v>
      </c>
      <c r="F983" s="1" t="s">
        <v>5509</v>
      </c>
      <c r="G983" s="5" t="str">
        <f>IFERROR(__xludf.DUMMYFUNCTION("""COMPUTED_VALUE"""),"246🤙🏼Monsters, Inc.🤙🏼Lee Unkrich🤙🏼Estrela 2")</f>
        <v>246🤙🏼Monsters, Inc.🤙🏼Lee Unkrich🤙🏼Estrela 2</v>
      </c>
      <c r="H983" s="5">
        <f>IFERROR(__xludf.DUMMYFUNCTION("SPLiT(G983, ""🤙🏼"",FALSE,FALSE)"),246.0)</f>
        <v>246</v>
      </c>
      <c r="I983" s="5" t="str">
        <f>IFERROR(__xludf.DUMMYFUNCTION("""COMPUTED_VALUE"""),"Monsters, Inc.")</f>
        <v>Monsters, Inc.</v>
      </c>
      <c r="J983" s="5" t="str">
        <f>IFERROR(__xludf.DUMMYFUNCTION("""COMPUTED_VALUE"""),"Lee Unkrich")</f>
        <v>Lee Unkrich</v>
      </c>
      <c r="K983" s="5" t="str">
        <f>IFERROR(__xludf.DUMMYFUNCTION("""COMPUTED_VALUE"""),"Estrela 2")</f>
        <v>Estrela 2</v>
      </c>
      <c r="P983" s="5">
        <f>IFERROR(__xludf.DUMMYFUNCTION("""COMPUTED_VALUE"""),246.0)</f>
        <v>246</v>
      </c>
      <c r="Q983" s="5" t="str">
        <f>IFERROR(__xludf.DUMMYFUNCTION("""COMPUTED_VALUE"""),"Monsters, Inc.")</f>
        <v>Monsters, Inc.</v>
      </c>
      <c r="R983" s="5" t="str">
        <f>IFERROR(__xludf.DUMMYFUNCTION("""COMPUTED_VALUE"""),"Lee Unkrich")</f>
        <v>Lee Unkrich</v>
      </c>
      <c r="S983" s="5" t="str">
        <f>IFERROR(__xludf.DUMMYFUNCTION("""COMPUTED_VALUE"""),"Estrela 2")</f>
        <v>Estrela 2</v>
      </c>
    </row>
    <row r="984">
      <c r="A984" s="1">
        <v>983.0</v>
      </c>
      <c r="B984" s="1" t="s">
        <v>5510</v>
      </c>
      <c r="C984" s="1" t="s">
        <v>773</v>
      </c>
      <c r="D984" s="1" t="s">
        <v>5512</v>
      </c>
      <c r="E984" s="1" t="s">
        <v>5513</v>
      </c>
      <c r="F984" s="1" t="s">
        <v>5514</v>
      </c>
      <c r="G984" s="5" t="str">
        <f>IFERROR(__xludf.DUMMYFUNCTION("""COMPUTED_VALUE"""),"246🤙🏼Monsters, Inc.🤙🏼Billy Crystal🤙🏼Estrela 3")</f>
        <v>246🤙🏼Monsters, Inc.🤙🏼Billy Crystal🤙🏼Estrela 3</v>
      </c>
      <c r="H984" s="5">
        <f>IFERROR(__xludf.DUMMYFUNCTION("SPLiT(G984, ""🤙🏼"",FALSE,FALSE)"),246.0)</f>
        <v>246</v>
      </c>
      <c r="I984" s="5" t="str">
        <f>IFERROR(__xludf.DUMMYFUNCTION("""COMPUTED_VALUE"""),"Monsters, Inc.")</f>
        <v>Monsters, Inc.</v>
      </c>
      <c r="J984" s="5" t="str">
        <f>IFERROR(__xludf.DUMMYFUNCTION("""COMPUTED_VALUE"""),"Billy Crystal")</f>
        <v>Billy Crystal</v>
      </c>
      <c r="K984" s="5" t="str">
        <f>IFERROR(__xludf.DUMMYFUNCTION("""COMPUTED_VALUE"""),"Estrela 3")</f>
        <v>Estrela 3</v>
      </c>
      <c r="P984" s="5">
        <f>IFERROR(__xludf.DUMMYFUNCTION("""COMPUTED_VALUE"""),246.0)</f>
        <v>246</v>
      </c>
      <c r="Q984" s="5" t="str">
        <f>IFERROR(__xludf.DUMMYFUNCTION("""COMPUTED_VALUE"""),"Monsters, Inc.")</f>
        <v>Monsters, Inc.</v>
      </c>
      <c r="R984" s="5" t="str">
        <f>IFERROR(__xludf.DUMMYFUNCTION("""COMPUTED_VALUE"""),"Billy Crystal")</f>
        <v>Billy Crystal</v>
      </c>
      <c r="S984" s="5" t="str">
        <f>IFERROR(__xludf.DUMMYFUNCTION("""COMPUTED_VALUE"""),"Estrela 3")</f>
        <v>Estrela 3</v>
      </c>
    </row>
    <row r="985">
      <c r="A985" s="1">
        <v>984.0</v>
      </c>
      <c r="B985" s="1" t="s">
        <v>5515</v>
      </c>
      <c r="C985" s="1" t="s">
        <v>5518</v>
      </c>
      <c r="D985" s="1" t="s">
        <v>5519</v>
      </c>
      <c r="E985" s="1" t="s">
        <v>5520</v>
      </c>
      <c r="F985" s="1" t="s">
        <v>5521</v>
      </c>
      <c r="G985" s="5" t="str">
        <f>IFERROR(__xludf.DUMMYFUNCTION("""COMPUTED_VALUE"""),"246🤙🏼Monsters, Inc.🤙🏼John Goodman🤙🏼Estrela 4")</f>
        <v>246🤙🏼Monsters, Inc.🤙🏼John Goodman🤙🏼Estrela 4</v>
      </c>
      <c r="H985" s="5">
        <f>IFERROR(__xludf.DUMMYFUNCTION("SPLiT(G985, ""🤙🏼"",FALSE,FALSE)"),246.0)</f>
        <v>246</v>
      </c>
      <c r="I985" s="5" t="str">
        <f>IFERROR(__xludf.DUMMYFUNCTION("""COMPUTED_VALUE"""),"Monsters, Inc.")</f>
        <v>Monsters, Inc.</v>
      </c>
      <c r="J985" s="5" t="str">
        <f>IFERROR(__xludf.DUMMYFUNCTION("""COMPUTED_VALUE"""),"John Goodman")</f>
        <v>John Goodman</v>
      </c>
      <c r="K985" s="5" t="str">
        <f>IFERROR(__xludf.DUMMYFUNCTION("""COMPUTED_VALUE"""),"Estrela 4")</f>
        <v>Estrela 4</v>
      </c>
      <c r="P985" s="5">
        <f>IFERROR(__xludf.DUMMYFUNCTION("""COMPUTED_VALUE"""),246.0)</f>
        <v>246</v>
      </c>
      <c r="Q985" s="5" t="str">
        <f>IFERROR(__xludf.DUMMYFUNCTION("""COMPUTED_VALUE"""),"Monsters, Inc.")</f>
        <v>Monsters, Inc.</v>
      </c>
      <c r="R985" s="5" t="str">
        <f>IFERROR(__xludf.DUMMYFUNCTION("""COMPUTED_VALUE"""),"John Goodman")</f>
        <v>John Goodman</v>
      </c>
      <c r="S985" s="5" t="str">
        <f>IFERROR(__xludf.DUMMYFUNCTION("""COMPUTED_VALUE"""),"Estrela 4")</f>
        <v>Estrela 4</v>
      </c>
    </row>
    <row r="986">
      <c r="A986" s="1">
        <v>985.0</v>
      </c>
      <c r="B986" s="1" t="s">
        <v>5522</v>
      </c>
      <c r="C986" s="1" t="s">
        <v>5525</v>
      </c>
      <c r="D986" s="1" t="s">
        <v>5526</v>
      </c>
      <c r="E986" s="1" t="s">
        <v>5527</v>
      </c>
      <c r="F986" s="1" t="s">
        <v>5528</v>
      </c>
      <c r="G986" s="5" t="str">
        <f>IFERROR(__xludf.DUMMYFUNCTION("""COMPUTED_VALUE"""),"247🤙🏼Shin seiki Evangelion Gekijô-ban: Air/Magokoro wo, kimi ni🤙🏼Kazuya Tsurumaki🤙🏼Estrela 1")</f>
        <v>247🤙🏼Shin seiki Evangelion Gekijô-ban: Air/Magokoro wo, kimi ni🤙🏼Kazuya Tsurumaki🤙🏼Estrela 1</v>
      </c>
      <c r="H986" s="5">
        <f>IFERROR(__xludf.DUMMYFUNCTION("SPLiT(G986, ""🤙🏼"",FALSE,FALSE)"),247.0)</f>
        <v>247</v>
      </c>
      <c r="I986" s="5" t="str">
        <f>IFERROR(__xludf.DUMMYFUNCTION("""COMPUTED_VALUE"""),"Shin seiki Evangelion Gekijô-ban: Air/Magokoro wo, kimi ni")</f>
        <v>Shin seiki Evangelion Gekijô-ban: Air/Magokoro wo, kimi ni</v>
      </c>
      <c r="J986" s="5" t="str">
        <f>IFERROR(__xludf.DUMMYFUNCTION("""COMPUTED_VALUE"""),"Kazuya Tsurumaki")</f>
        <v>Kazuya Tsurumaki</v>
      </c>
      <c r="K986" s="5" t="str">
        <f>IFERROR(__xludf.DUMMYFUNCTION("""COMPUTED_VALUE"""),"Estrela 1")</f>
        <v>Estrela 1</v>
      </c>
      <c r="P986" s="5">
        <f>IFERROR(__xludf.DUMMYFUNCTION("""COMPUTED_VALUE"""),247.0)</f>
        <v>247</v>
      </c>
      <c r="Q986" s="5" t="str">
        <f>IFERROR(__xludf.DUMMYFUNCTION("""COMPUTED_VALUE"""),"Shin seiki Evangelion Gekijô-ban: Air/Magokoro wo, kimi ni")</f>
        <v>Shin seiki Evangelion Gekijô-ban: Air/Magokoro wo, kimi ni</v>
      </c>
      <c r="R986" s="5" t="str">
        <f>IFERROR(__xludf.DUMMYFUNCTION("""COMPUTED_VALUE"""),"Kazuya Tsurumaki")</f>
        <v>Kazuya Tsurumaki</v>
      </c>
      <c r="S986" s="5" t="str">
        <f>IFERROR(__xludf.DUMMYFUNCTION("""COMPUTED_VALUE"""),"Estrela 1")</f>
        <v>Estrela 1</v>
      </c>
    </row>
    <row r="987">
      <c r="A987" s="1">
        <v>986.0</v>
      </c>
      <c r="B987" s="1" t="s">
        <v>5529</v>
      </c>
      <c r="C987" s="1" t="s">
        <v>119</v>
      </c>
      <c r="D987" s="1" t="s">
        <v>775</v>
      </c>
      <c r="E987" s="1" t="s">
        <v>5531</v>
      </c>
      <c r="F987" s="1" t="s">
        <v>5532</v>
      </c>
      <c r="G987" s="5" t="str">
        <f>IFERROR(__xludf.DUMMYFUNCTION("""COMPUTED_VALUE"""),"247🤙🏼Shin seiki Evangelion Gekijô-ban: Air/Magokoro wo, kimi ni🤙🏼Megumi Ogata🤙🏼Estrela 2")</f>
        <v>247🤙🏼Shin seiki Evangelion Gekijô-ban: Air/Magokoro wo, kimi ni🤙🏼Megumi Ogata🤙🏼Estrela 2</v>
      </c>
      <c r="H987" s="5">
        <f>IFERROR(__xludf.DUMMYFUNCTION("SPLiT(G987, ""🤙🏼"",FALSE,FALSE)"),247.0)</f>
        <v>247</v>
      </c>
      <c r="I987" s="5" t="str">
        <f>IFERROR(__xludf.DUMMYFUNCTION("""COMPUTED_VALUE"""),"Shin seiki Evangelion Gekijô-ban: Air/Magokoro wo, kimi ni")</f>
        <v>Shin seiki Evangelion Gekijô-ban: Air/Magokoro wo, kimi ni</v>
      </c>
      <c r="J987" s="5" t="str">
        <f>IFERROR(__xludf.DUMMYFUNCTION("""COMPUTED_VALUE"""),"Megumi Ogata")</f>
        <v>Megumi Ogata</v>
      </c>
      <c r="K987" s="5" t="str">
        <f>IFERROR(__xludf.DUMMYFUNCTION("""COMPUTED_VALUE"""),"Estrela 2")</f>
        <v>Estrela 2</v>
      </c>
      <c r="P987" s="5">
        <f>IFERROR(__xludf.DUMMYFUNCTION("""COMPUTED_VALUE"""),247.0)</f>
        <v>247</v>
      </c>
      <c r="Q987" s="5" t="str">
        <f>IFERROR(__xludf.DUMMYFUNCTION("""COMPUTED_VALUE"""),"Shin seiki Evangelion Gekijô-ban: Air/Magokoro wo, kimi ni")</f>
        <v>Shin seiki Evangelion Gekijô-ban: Air/Magokoro wo, kimi ni</v>
      </c>
      <c r="R987" s="5" t="str">
        <f>IFERROR(__xludf.DUMMYFUNCTION("""COMPUTED_VALUE"""),"Megumi Ogata")</f>
        <v>Megumi Ogata</v>
      </c>
      <c r="S987" s="5" t="str">
        <f>IFERROR(__xludf.DUMMYFUNCTION("""COMPUTED_VALUE"""),"Estrela 2")</f>
        <v>Estrela 2</v>
      </c>
    </row>
    <row r="988">
      <c r="A988" s="1">
        <v>987.0</v>
      </c>
      <c r="B988" s="1" t="s">
        <v>5533</v>
      </c>
      <c r="C988" s="1" t="s">
        <v>5536</v>
      </c>
      <c r="D988" s="1" t="s">
        <v>585</v>
      </c>
      <c r="E988" s="1" t="s">
        <v>5537</v>
      </c>
      <c r="F988" s="1" t="s">
        <v>5538</v>
      </c>
      <c r="G988" s="5" t="str">
        <f>IFERROR(__xludf.DUMMYFUNCTION("""COMPUTED_VALUE"""),"247🤙🏼Shin seiki Evangelion Gekijô-ban: Air/Magokoro wo, kimi ni🤙🏼Megumi Hayashibara🤙🏼Estrela 3")</f>
        <v>247🤙🏼Shin seiki Evangelion Gekijô-ban: Air/Magokoro wo, kimi ni🤙🏼Megumi Hayashibara🤙🏼Estrela 3</v>
      </c>
      <c r="H988" s="5">
        <f>IFERROR(__xludf.DUMMYFUNCTION("SPLiT(G988, ""🤙🏼"",FALSE,FALSE)"),247.0)</f>
        <v>247</v>
      </c>
      <c r="I988" s="5" t="str">
        <f>IFERROR(__xludf.DUMMYFUNCTION("""COMPUTED_VALUE"""),"Shin seiki Evangelion Gekijô-ban: Air/Magokoro wo, kimi ni")</f>
        <v>Shin seiki Evangelion Gekijô-ban: Air/Magokoro wo, kimi ni</v>
      </c>
      <c r="J988" s="5" t="str">
        <f>IFERROR(__xludf.DUMMYFUNCTION("""COMPUTED_VALUE"""),"Megumi Hayashibara")</f>
        <v>Megumi Hayashibara</v>
      </c>
      <c r="K988" s="5" t="str">
        <f>IFERROR(__xludf.DUMMYFUNCTION("""COMPUTED_VALUE"""),"Estrela 3")</f>
        <v>Estrela 3</v>
      </c>
      <c r="P988" s="5">
        <f>IFERROR(__xludf.DUMMYFUNCTION("""COMPUTED_VALUE"""),247.0)</f>
        <v>247</v>
      </c>
      <c r="Q988" s="5" t="str">
        <f>IFERROR(__xludf.DUMMYFUNCTION("""COMPUTED_VALUE"""),"Shin seiki Evangelion Gekijô-ban: Air/Magokoro wo, kimi ni")</f>
        <v>Shin seiki Evangelion Gekijô-ban: Air/Magokoro wo, kimi ni</v>
      </c>
      <c r="R988" s="5" t="str">
        <f>IFERROR(__xludf.DUMMYFUNCTION("""COMPUTED_VALUE"""),"Megumi Hayashibara")</f>
        <v>Megumi Hayashibara</v>
      </c>
      <c r="S988" s="5" t="str">
        <f>IFERROR(__xludf.DUMMYFUNCTION("""COMPUTED_VALUE"""),"Estrela 3")</f>
        <v>Estrela 3</v>
      </c>
    </row>
    <row r="989">
      <c r="A989" s="1">
        <v>988.0</v>
      </c>
      <c r="B989" s="1" t="s">
        <v>5539</v>
      </c>
      <c r="C989" s="1" t="s">
        <v>5541</v>
      </c>
      <c r="D989" s="1" t="s">
        <v>5542</v>
      </c>
      <c r="E989" s="1" t="s">
        <v>5543</v>
      </c>
      <c r="F989" s="1" t="s">
        <v>5544</v>
      </c>
      <c r="G989" s="5" t="str">
        <f>IFERROR(__xludf.DUMMYFUNCTION("""COMPUTED_VALUE"""),"247🤙🏼Shin seiki Evangelion Gekijô-ban: Air/Magokoro wo, kimi ni🤙🏼Yûko Miyamura🤙🏼Estrela 4")</f>
        <v>247🤙🏼Shin seiki Evangelion Gekijô-ban: Air/Magokoro wo, kimi ni🤙🏼Yûko Miyamura🤙🏼Estrela 4</v>
      </c>
      <c r="H989" s="5">
        <f>IFERROR(__xludf.DUMMYFUNCTION("SPLiT(G989, ""🤙🏼"",FALSE,FALSE)"),247.0)</f>
        <v>247</v>
      </c>
      <c r="I989" s="5" t="str">
        <f>IFERROR(__xludf.DUMMYFUNCTION("""COMPUTED_VALUE"""),"Shin seiki Evangelion Gekijô-ban: Air/Magokoro wo, kimi ni")</f>
        <v>Shin seiki Evangelion Gekijô-ban: Air/Magokoro wo, kimi ni</v>
      </c>
      <c r="J989" s="5" t="str">
        <f>IFERROR(__xludf.DUMMYFUNCTION("""COMPUTED_VALUE"""),"Yûko Miyamura")</f>
        <v>Yûko Miyamura</v>
      </c>
      <c r="K989" s="5" t="str">
        <f>IFERROR(__xludf.DUMMYFUNCTION("""COMPUTED_VALUE"""),"Estrela 4")</f>
        <v>Estrela 4</v>
      </c>
      <c r="P989" s="5">
        <f>IFERROR(__xludf.DUMMYFUNCTION("""COMPUTED_VALUE"""),247.0)</f>
        <v>247</v>
      </c>
      <c r="Q989" s="5" t="str">
        <f>IFERROR(__xludf.DUMMYFUNCTION("""COMPUTED_VALUE"""),"Shin seiki Evangelion Gekijô-ban: Air/Magokoro wo, kimi ni")</f>
        <v>Shin seiki Evangelion Gekijô-ban: Air/Magokoro wo, kimi ni</v>
      </c>
      <c r="R989" s="5" t="str">
        <f>IFERROR(__xludf.DUMMYFUNCTION("""COMPUTED_VALUE"""),"Yûko Miyamura")</f>
        <v>Yûko Miyamura</v>
      </c>
      <c r="S989" s="5" t="str">
        <f>IFERROR(__xludf.DUMMYFUNCTION("""COMPUTED_VALUE"""),"Estrela 4")</f>
        <v>Estrela 4</v>
      </c>
    </row>
    <row r="990">
      <c r="A990" s="1">
        <v>989.0</v>
      </c>
      <c r="B990" s="1" t="s">
        <v>5545</v>
      </c>
      <c r="C990" s="1" t="s">
        <v>2678</v>
      </c>
      <c r="D990" s="1" t="s">
        <v>2004</v>
      </c>
      <c r="E990" s="1" t="s">
        <v>5547</v>
      </c>
      <c r="F990" s="1" t="s">
        <v>3304</v>
      </c>
      <c r="G990" s="5" t="str">
        <f>IFERROR(__xludf.DUMMYFUNCTION("""COMPUTED_VALUE"""),"248🤙🏼Lagaan: Once Upon a Time in India🤙🏼Aamir Khan🤙🏼Estrela 1")</f>
        <v>248🤙🏼Lagaan: Once Upon a Time in India🤙🏼Aamir Khan🤙🏼Estrela 1</v>
      </c>
      <c r="H990" s="5">
        <f>IFERROR(__xludf.DUMMYFUNCTION("SPLiT(G990, ""🤙🏼"",FALSE,FALSE)"),248.0)</f>
        <v>248</v>
      </c>
      <c r="I990" s="5" t="str">
        <f>IFERROR(__xludf.DUMMYFUNCTION("""COMPUTED_VALUE"""),"Lagaan: Once Upon a Time in India")</f>
        <v>Lagaan: Once Upon a Time in India</v>
      </c>
      <c r="J990" s="5" t="str">
        <f>IFERROR(__xludf.DUMMYFUNCTION("""COMPUTED_VALUE"""),"Aamir Khan")</f>
        <v>Aamir Khan</v>
      </c>
      <c r="K990" s="5" t="str">
        <f>IFERROR(__xludf.DUMMYFUNCTION("""COMPUTED_VALUE"""),"Estrela 1")</f>
        <v>Estrela 1</v>
      </c>
      <c r="P990" s="5">
        <f>IFERROR(__xludf.DUMMYFUNCTION("""COMPUTED_VALUE"""),248.0)</f>
        <v>248</v>
      </c>
      <c r="Q990" s="5" t="str">
        <f>IFERROR(__xludf.DUMMYFUNCTION("""COMPUTED_VALUE"""),"Lagaan: Once Upon a Time in India")</f>
        <v>Lagaan: Once Upon a Time in India</v>
      </c>
      <c r="R990" s="5" t="str">
        <f>IFERROR(__xludf.DUMMYFUNCTION("""COMPUTED_VALUE"""),"Aamir Khan")</f>
        <v>Aamir Khan</v>
      </c>
      <c r="S990" s="5" t="str">
        <f>IFERROR(__xludf.DUMMYFUNCTION("""COMPUTED_VALUE"""),"Estrela 1")</f>
        <v>Estrela 1</v>
      </c>
    </row>
    <row r="991">
      <c r="A991" s="1">
        <v>990.0</v>
      </c>
      <c r="B991" s="1" t="s">
        <v>5548</v>
      </c>
      <c r="C991" s="1" t="s">
        <v>5550</v>
      </c>
      <c r="D991" s="1" t="s">
        <v>5551</v>
      </c>
      <c r="E991" s="1" t="s">
        <v>606</v>
      </c>
      <c r="F991" s="1" t="s">
        <v>5507</v>
      </c>
      <c r="G991" s="5" t="str">
        <f>IFERROR(__xludf.DUMMYFUNCTION("""COMPUTED_VALUE"""),"248🤙🏼Lagaan: Once Upon a Time in India🤙🏼Raghuvir Yadav🤙🏼Estrela 2")</f>
        <v>248🤙🏼Lagaan: Once Upon a Time in India🤙🏼Raghuvir Yadav🤙🏼Estrela 2</v>
      </c>
      <c r="H991" s="5">
        <f>IFERROR(__xludf.DUMMYFUNCTION("SPLiT(G991, ""🤙🏼"",FALSE,FALSE)"),248.0)</f>
        <v>248</v>
      </c>
      <c r="I991" s="5" t="str">
        <f>IFERROR(__xludf.DUMMYFUNCTION("""COMPUTED_VALUE"""),"Lagaan: Once Upon a Time in India")</f>
        <v>Lagaan: Once Upon a Time in India</v>
      </c>
      <c r="J991" s="5" t="str">
        <f>IFERROR(__xludf.DUMMYFUNCTION("""COMPUTED_VALUE"""),"Raghuvir Yadav")</f>
        <v>Raghuvir Yadav</v>
      </c>
      <c r="K991" s="5" t="str">
        <f>IFERROR(__xludf.DUMMYFUNCTION("""COMPUTED_VALUE"""),"Estrela 2")</f>
        <v>Estrela 2</v>
      </c>
      <c r="P991" s="5">
        <f>IFERROR(__xludf.DUMMYFUNCTION("""COMPUTED_VALUE"""),248.0)</f>
        <v>248</v>
      </c>
      <c r="Q991" s="5" t="str">
        <f>IFERROR(__xludf.DUMMYFUNCTION("""COMPUTED_VALUE"""),"Lagaan: Once Upon a Time in India")</f>
        <v>Lagaan: Once Upon a Time in India</v>
      </c>
      <c r="R991" s="5" t="str">
        <f>IFERROR(__xludf.DUMMYFUNCTION("""COMPUTED_VALUE"""),"Raghuvir Yadav")</f>
        <v>Raghuvir Yadav</v>
      </c>
      <c r="S991" s="5" t="str">
        <f>IFERROR(__xludf.DUMMYFUNCTION("""COMPUTED_VALUE"""),"Estrela 2")</f>
        <v>Estrela 2</v>
      </c>
    </row>
    <row r="992">
      <c r="A992" s="1">
        <v>991.0</v>
      </c>
      <c r="B992" s="1" t="s">
        <v>5552</v>
      </c>
      <c r="C992" s="1" t="s">
        <v>2038</v>
      </c>
      <c r="D992" s="1" t="s">
        <v>3395</v>
      </c>
      <c r="E992" s="1" t="s">
        <v>5556</v>
      </c>
      <c r="F992" s="1" t="s">
        <v>5557</v>
      </c>
      <c r="G992" s="5" t="str">
        <f>IFERROR(__xludf.DUMMYFUNCTION("""COMPUTED_VALUE"""),"248🤙🏼Lagaan: Once Upon a Time in India🤙🏼Gracy Singh🤙🏼Estrela 3")</f>
        <v>248🤙🏼Lagaan: Once Upon a Time in India🤙🏼Gracy Singh🤙🏼Estrela 3</v>
      </c>
      <c r="H992" s="5">
        <f>IFERROR(__xludf.DUMMYFUNCTION("SPLiT(G992, ""🤙🏼"",FALSE,FALSE)"),248.0)</f>
        <v>248</v>
      </c>
      <c r="I992" s="5" t="str">
        <f>IFERROR(__xludf.DUMMYFUNCTION("""COMPUTED_VALUE"""),"Lagaan: Once Upon a Time in India")</f>
        <v>Lagaan: Once Upon a Time in India</v>
      </c>
      <c r="J992" s="5" t="str">
        <f>IFERROR(__xludf.DUMMYFUNCTION("""COMPUTED_VALUE"""),"Gracy Singh")</f>
        <v>Gracy Singh</v>
      </c>
      <c r="K992" s="5" t="str">
        <f>IFERROR(__xludf.DUMMYFUNCTION("""COMPUTED_VALUE"""),"Estrela 3")</f>
        <v>Estrela 3</v>
      </c>
      <c r="P992" s="5">
        <f>IFERROR(__xludf.DUMMYFUNCTION("""COMPUTED_VALUE"""),248.0)</f>
        <v>248</v>
      </c>
      <c r="Q992" s="5" t="str">
        <f>IFERROR(__xludf.DUMMYFUNCTION("""COMPUTED_VALUE"""),"Lagaan: Once Upon a Time in India")</f>
        <v>Lagaan: Once Upon a Time in India</v>
      </c>
      <c r="R992" s="5" t="str">
        <f>IFERROR(__xludf.DUMMYFUNCTION("""COMPUTED_VALUE"""),"Gracy Singh")</f>
        <v>Gracy Singh</v>
      </c>
      <c r="S992" s="5" t="str">
        <f>IFERROR(__xludf.DUMMYFUNCTION("""COMPUTED_VALUE"""),"Estrela 3")</f>
        <v>Estrela 3</v>
      </c>
    </row>
    <row r="993">
      <c r="A993" s="1">
        <v>992.0</v>
      </c>
      <c r="B993" s="1" t="s">
        <v>5558</v>
      </c>
      <c r="C993" s="1" t="s">
        <v>119</v>
      </c>
      <c r="D993" s="1" t="s">
        <v>5561</v>
      </c>
      <c r="E993" s="1" t="s">
        <v>769</v>
      </c>
      <c r="F993" s="1" t="s">
        <v>5562</v>
      </c>
      <c r="G993" s="5" t="str">
        <f>IFERROR(__xludf.DUMMYFUNCTION("""COMPUTED_VALUE"""),"248🤙🏼Lagaan: Once Upon a Time in India🤙🏼Rachel Shelley🤙🏼Estrela 4")</f>
        <v>248🤙🏼Lagaan: Once Upon a Time in India🤙🏼Rachel Shelley🤙🏼Estrela 4</v>
      </c>
      <c r="H993" s="5">
        <f>IFERROR(__xludf.DUMMYFUNCTION("SPLiT(G993, ""🤙🏼"",FALSE,FALSE)"),248.0)</f>
        <v>248</v>
      </c>
      <c r="I993" s="5" t="str">
        <f>IFERROR(__xludf.DUMMYFUNCTION("""COMPUTED_VALUE"""),"Lagaan: Once Upon a Time in India")</f>
        <v>Lagaan: Once Upon a Time in India</v>
      </c>
      <c r="J993" s="5" t="str">
        <f>IFERROR(__xludf.DUMMYFUNCTION("""COMPUTED_VALUE"""),"Rachel Shelley")</f>
        <v>Rachel Shelley</v>
      </c>
      <c r="K993" s="5" t="str">
        <f>IFERROR(__xludf.DUMMYFUNCTION("""COMPUTED_VALUE"""),"Estrela 4")</f>
        <v>Estrela 4</v>
      </c>
      <c r="P993" s="5">
        <f>IFERROR(__xludf.DUMMYFUNCTION("""COMPUTED_VALUE"""),248.0)</f>
        <v>248</v>
      </c>
      <c r="Q993" s="5" t="str">
        <f>IFERROR(__xludf.DUMMYFUNCTION("""COMPUTED_VALUE"""),"Lagaan: Once Upon a Time in India")</f>
        <v>Lagaan: Once Upon a Time in India</v>
      </c>
      <c r="R993" s="5" t="str">
        <f>IFERROR(__xludf.DUMMYFUNCTION("""COMPUTED_VALUE"""),"Rachel Shelley")</f>
        <v>Rachel Shelley</v>
      </c>
      <c r="S993" s="5" t="str">
        <f>IFERROR(__xludf.DUMMYFUNCTION("""COMPUTED_VALUE"""),"Estrela 4")</f>
        <v>Estrela 4</v>
      </c>
    </row>
    <row r="994">
      <c r="A994" s="1">
        <v>993.0</v>
      </c>
      <c r="B994" s="1" t="s">
        <v>5563</v>
      </c>
      <c r="C994" s="1" t="s">
        <v>5567</v>
      </c>
      <c r="D994" s="1" t="s">
        <v>5568</v>
      </c>
      <c r="E994" s="1" t="s">
        <v>5569</v>
      </c>
      <c r="F994" s="1" t="s">
        <v>5570</v>
      </c>
      <c r="G994" s="5" t="str">
        <f>IFERROR(__xludf.DUMMYFUNCTION("""COMPUTED_VALUE"""),"249🤙🏼The Sixth Sense🤙🏼Bruce Willis🤙🏼Estrela 1")</f>
        <v>249🤙🏼The Sixth Sense🤙🏼Bruce Willis🤙🏼Estrela 1</v>
      </c>
      <c r="H994" s="5">
        <f>IFERROR(__xludf.DUMMYFUNCTION("SPLiT(G994, ""🤙🏼"",FALSE,FALSE)"),249.0)</f>
        <v>249</v>
      </c>
      <c r="I994" s="5" t="str">
        <f>IFERROR(__xludf.DUMMYFUNCTION("""COMPUTED_VALUE"""),"The Sixth Sense")</f>
        <v>The Sixth Sense</v>
      </c>
      <c r="J994" s="5" t="str">
        <f>IFERROR(__xludf.DUMMYFUNCTION("""COMPUTED_VALUE"""),"Bruce Willis")</f>
        <v>Bruce Willis</v>
      </c>
      <c r="K994" s="5" t="str">
        <f>IFERROR(__xludf.DUMMYFUNCTION("""COMPUTED_VALUE"""),"Estrela 1")</f>
        <v>Estrela 1</v>
      </c>
      <c r="P994" s="5">
        <f>IFERROR(__xludf.DUMMYFUNCTION("""COMPUTED_VALUE"""),249.0)</f>
        <v>249</v>
      </c>
      <c r="Q994" s="5" t="str">
        <f>IFERROR(__xludf.DUMMYFUNCTION("""COMPUTED_VALUE"""),"The Sixth Sense")</f>
        <v>The Sixth Sense</v>
      </c>
      <c r="R994" s="5" t="str">
        <f>IFERROR(__xludf.DUMMYFUNCTION("""COMPUTED_VALUE"""),"Bruce Willis")</f>
        <v>Bruce Willis</v>
      </c>
      <c r="S994" s="5" t="str">
        <f>IFERROR(__xludf.DUMMYFUNCTION("""COMPUTED_VALUE"""),"Estrela 1")</f>
        <v>Estrela 1</v>
      </c>
    </row>
    <row r="995">
      <c r="A995" s="1">
        <v>994.0</v>
      </c>
      <c r="B995" s="1" t="s">
        <v>5571</v>
      </c>
      <c r="C995" s="1" t="s">
        <v>5573</v>
      </c>
      <c r="D995" s="1" t="s">
        <v>5574</v>
      </c>
      <c r="E995" s="1" t="s">
        <v>5575</v>
      </c>
      <c r="F995" s="1" t="s">
        <v>3386</v>
      </c>
      <c r="G995" s="5" t="str">
        <f>IFERROR(__xludf.DUMMYFUNCTION("""COMPUTED_VALUE"""),"249🤙🏼The Sixth Sense🤙🏼Haley Joel Osment🤙🏼Estrela 2")</f>
        <v>249🤙🏼The Sixth Sense🤙🏼Haley Joel Osment🤙🏼Estrela 2</v>
      </c>
      <c r="H995" s="5">
        <f>IFERROR(__xludf.DUMMYFUNCTION("SPLiT(G995, ""🤙🏼"",FALSE,FALSE)"),249.0)</f>
        <v>249</v>
      </c>
      <c r="I995" s="5" t="str">
        <f>IFERROR(__xludf.DUMMYFUNCTION("""COMPUTED_VALUE"""),"The Sixth Sense")</f>
        <v>The Sixth Sense</v>
      </c>
      <c r="J995" s="5" t="str">
        <f>IFERROR(__xludf.DUMMYFUNCTION("""COMPUTED_VALUE"""),"Haley Joel Osment")</f>
        <v>Haley Joel Osment</v>
      </c>
      <c r="K995" s="5" t="str">
        <f>IFERROR(__xludf.DUMMYFUNCTION("""COMPUTED_VALUE"""),"Estrela 2")</f>
        <v>Estrela 2</v>
      </c>
      <c r="P995" s="5">
        <f>IFERROR(__xludf.DUMMYFUNCTION("""COMPUTED_VALUE"""),249.0)</f>
        <v>249</v>
      </c>
      <c r="Q995" s="5" t="str">
        <f>IFERROR(__xludf.DUMMYFUNCTION("""COMPUTED_VALUE"""),"The Sixth Sense")</f>
        <v>The Sixth Sense</v>
      </c>
      <c r="R995" s="5" t="str">
        <f>IFERROR(__xludf.DUMMYFUNCTION("""COMPUTED_VALUE"""),"Haley Joel Osment")</f>
        <v>Haley Joel Osment</v>
      </c>
      <c r="S995" s="5" t="str">
        <f>IFERROR(__xludf.DUMMYFUNCTION("""COMPUTED_VALUE"""),"Estrela 2")</f>
        <v>Estrela 2</v>
      </c>
    </row>
    <row r="996">
      <c r="A996" s="1">
        <v>995.0</v>
      </c>
      <c r="B996" s="1" t="s">
        <v>5576</v>
      </c>
      <c r="C996" s="1" t="s">
        <v>5579</v>
      </c>
      <c r="D996" s="1" t="s">
        <v>5580</v>
      </c>
      <c r="E996" s="1" t="s">
        <v>5581</v>
      </c>
      <c r="F996" s="1" t="s">
        <v>5582</v>
      </c>
      <c r="G996" s="5" t="str">
        <f>IFERROR(__xludf.DUMMYFUNCTION("""COMPUTED_VALUE"""),"249🤙🏼The Sixth Sense🤙🏼Toni Collette🤙🏼Estrela 3")</f>
        <v>249🤙🏼The Sixth Sense🤙🏼Toni Collette🤙🏼Estrela 3</v>
      </c>
      <c r="H996" s="5">
        <f>IFERROR(__xludf.DUMMYFUNCTION("SPLiT(G996, ""🤙🏼"",FALSE,FALSE)"),249.0)</f>
        <v>249</v>
      </c>
      <c r="I996" s="5" t="str">
        <f>IFERROR(__xludf.DUMMYFUNCTION("""COMPUTED_VALUE"""),"The Sixth Sense")</f>
        <v>The Sixth Sense</v>
      </c>
      <c r="J996" s="5" t="str">
        <f>IFERROR(__xludf.DUMMYFUNCTION("""COMPUTED_VALUE"""),"Toni Collette")</f>
        <v>Toni Collette</v>
      </c>
      <c r="K996" s="5" t="str">
        <f>IFERROR(__xludf.DUMMYFUNCTION("""COMPUTED_VALUE"""),"Estrela 3")</f>
        <v>Estrela 3</v>
      </c>
      <c r="P996" s="5">
        <f>IFERROR(__xludf.DUMMYFUNCTION("""COMPUTED_VALUE"""),249.0)</f>
        <v>249</v>
      </c>
      <c r="Q996" s="5" t="str">
        <f>IFERROR(__xludf.DUMMYFUNCTION("""COMPUTED_VALUE"""),"The Sixth Sense")</f>
        <v>The Sixth Sense</v>
      </c>
      <c r="R996" s="5" t="str">
        <f>IFERROR(__xludf.DUMMYFUNCTION("""COMPUTED_VALUE"""),"Toni Collette")</f>
        <v>Toni Collette</v>
      </c>
      <c r="S996" s="5" t="str">
        <f>IFERROR(__xludf.DUMMYFUNCTION("""COMPUTED_VALUE"""),"Estrela 3")</f>
        <v>Estrela 3</v>
      </c>
    </row>
    <row r="997">
      <c r="A997" s="1">
        <v>996.0</v>
      </c>
      <c r="B997" s="1" t="s">
        <v>5583</v>
      </c>
      <c r="C997" s="1" t="s">
        <v>2839</v>
      </c>
      <c r="D997" s="1" t="s">
        <v>5586</v>
      </c>
      <c r="E997" s="1" t="s">
        <v>5022</v>
      </c>
      <c r="F997" s="1" t="s">
        <v>5587</v>
      </c>
      <c r="G997" s="5" t="str">
        <f>IFERROR(__xludf.DUMMYFUNCTION("""COMPUTED_VALUE"""),"249🤙🏼The Sixth Sense🤙🏼Olivia Williams🤙🏼Estrela 4")</f>
        <v>249🤙🏼The Sixth Sense🤙🏼Olivia Williams🤙🏼Estrela 4</v>
      </c>
      <c r="H997" s="5">
        <f>IFERROR(__xludf.DUMMYFUNCTION("SPLiT(G997, ""🤙🏼"",FALSE,FALSE)"),249.0)</f>
        <v>249</v>
      </c>
      <c r="I997" s="5" t="str">
        <f>IFERROR(__xludf.DUMMYFUNCTION("""COMPUTED_VALUE"""),"The Sixth Sense")</f>
        <v>The Sixth Sense</v>
      </c>
      <c r="J997" s="5" t="str">
        <f>IFERROR(__xludf.DUMMYFUNCTION("""COMPUTED_VALUE"""),"Olivia Williams")</f>
        <v>Olivia Williams</v>
      </c>
      <c r="K997" s="5" t="str">
        <f>IFERROR(__xludf.DUMMYFUNCTION("""COMPUTED_VALUE"""),"Estrela 4")</f>
        <v>Estrela 4</v>
      </c>
      <c r="P997" s="5">
        <f>IFERROR(__xludf.DUMMYFUNCTION("""COMPUTED_VALUE"""),249.0)</f>
        <v>249</v>
      </c>
      <c r="Q997" s="5" t="str">
        <f>IFERROR(__xludf.DUMMYFUNCTION("""COMPUTED_VALUE"""),"The Sixth Sense")</f>
        <v>The Sixth Sense</v>
      </c>
      <c r="R997" s="5" t="str">
        <f>IFERROR(__xludf.DUMMYFUNCTION("""COMPUTED_VALUE"""),"Olivia Williams")</f>
        <v>Olivia Williams</v>
      </c>
      <c r="S997" s="5" t="str">
        <f>IFERROR(__xludf.DUMMYFUNCTION("""COMPUTED_VALUE"""),"Estrela 4")</f>
        <v>Estrela 4</v>
      </c>
    </row>
    <row r="998">
      <c r="A998" s="1">
        <v>997.0</v>
      </c>
      <c r="B998" s="1" t="s">
        <v>5588</v>
      </c>
      <c r="C998" s="1" t="s">
        <v>2743</v>
      </c>
      <c r="D998" s="1" t="s">
        <v>5592</v>
      </c>
      <c r="E998" s="1" t="s">
        <v>3430</v>
      </c>
      <c r="F998" s="1" t="s">
        <v>5593</v>
      </c>
      <c r="G998" s="5" t="str">
        <f>IFERROR(__xludf.DUMMYFUNCTION("""COMPUTED_VALUE"""),"250🤙🏼La leggenda del pianista sull'oceano🤙🏼Tim Roth🤙🏼Estrela 1")</f>
        <v>250🤙🏼La leggenda del pianista sull'oceano🤙🏼Tim Roth🤙🏼Estrela 1</v>
      </c>
      <c r="H998" s="5">
        <f>IFERROR(__xludf.DUMMYFUNCTION("SPLiT(G998, ""🤙🏼"",FALSE,FALSE)"),250.0)</f>
        <v>250</v>
      </c>
      <c r="I998" s="5" t="str">
        <f>IFERROR(__xludf.DUMMYFUNCTION("""COMPUTED_VALUE"""),"La leggenda del pianista sull'oceano")</f>
        <v>La leggenda del pianista sull'oceano</v>
      </c>
      <c r="J998" s="5" t="str">
        <f>IFERROR(__xludf.DUMMYFUNCTION("""COMPUTED_VALUE"""),"Tim Roth")</f>
        <v>Tim Roth</v>
      </c>
      <c r="K998" s="5" t="str">
        <f>IFERROR(__xludf.DUMMYFUNCTION("""COMPUTED_VALUE"""),"Estrela 1")</f>
        <v>Estrela 1</v>
      </c>
      <c r="P998" s="5">
        <f>IFERROR(__xludf.DUMMYFUNCTION("""COMPUTED_VALUE"""),250.0)</f>
        <v>250</v>
      </c>
      <c r="Q998" s="5" t="str">
        <f>IFERROR(__xludf.DUMMYFUNCTION("""COMPUTED_VALUE"""),"La leggenda del pianista sull'oceano")</f>
        <v>La leggenda del pianista sull'oceano</v>
      </c>
      <c r="R998" s="5" t="str">
        <f>IFERROR(__xludf.DUMMYFUNCTION("""COMPUTED_VALUE"""),"Tim Roth")</f>
        <v>Tim Roth</v>
      </c>
      <c r="S998" s="5" t="str">
        <f>IFERROR(__xludf.DUMMYFUNCTION("""COMPUTED_VALUE"""),"Estrela 1")</f>
        <v>Estrela 1</v>
      </c>
    </row>
    <row r="999">
      <c r="A999" s="1">
        <v>998.0</v>
      </c>
      <c r="B999" s="1" t="s">
        <v>5594</v>
      </c>
      <c r="C999" s="1" t="s">
        <v>1292</v>
      </c>
      <c r="D999" s="1" t="s">
        <v>4245</v>
      </c>
      <c r="E999" s="1" t="s">
        <v>4232</v>
      </c>
      <c r="F999" s="1" t="s">
        <v>275</v>
      </c>
      <c r="G999" s="5" t="str">
        <f>IFERROR(__xludf.DUMMYFUNCTION("""COMPUTED_VALUE"""),"250🤙🏼La leggenda del pianista sull'oceano🤙🏼Pruitt Taylor Vince🤙🏼Estrela 2")</f>
        <v>250🤙🏼La leggenda del pianista sull'oceano🤙🏼Pruitt Taylor Vince🤙🏼Estrela 2</v>
      </c>
      <c r="H999" s="5">
        <f>IFERROR(__xludf.DUMMYFUNCTION("SPLiT(G999, ""🤙🏼"",FALSE,FALSE)"),250.0)</f>
        <v>250</v>
      </c>
      <c r="I999" s="5" t="str">
        <f>IFERROR(__xludf.DUMMYFUNCTION("""COMPUTED_VALUE"""),"La leggenda del pianista sull'oceano")</f>
        <v>La leggenda del pianista sull'oceano</v>
      </c>
      <c r="J999" s="5" t="str">
        <f>IFERROR(__xludf.DUMMYFUNCTION("""COMPUTED_VALUE"""),"Pruitt Taylor Vince")</f>
        <v>Pruitt Taylor Vince</v>
      </c>
      <c r="K999" s="5" t="str">
        <f>IFERROR(__xludf.DUMMYFUNCTION("""COMPUTED_VALUE"""),"Estrela 2")</f>
        <v>Estrela 2</v>
      </c>
      <c r="P999" s="5">
        <f>IFERROR(__xludf.DUMMYFUNCTION("""COMPUTED_VALUE"""),250.0)</f>
        <v>250</v>
      </c>
      <c r="Q999" s="5" t="str">
        <f>IFERROR(__xludf.DUMMYFUNCTION("""COMPUTED_VALUE"""),"La leggenda del pianista sull'oceano")</f>
        <v>La leggenda del pianista sull'oceano</v>
      </c>
      <c r="R999" s="5" t="str">
        <f>IFERROR(__xludf.DUMMYFUNCTION("""COMPUTED_VALUE"""),"Pruitt Taylor Vince")</f>
        <v>Pruitt Taylor Vince</v>
      </c>
      <c r="S999" s="5" t="str">
        <f>IFERROR(__xludf.DUMMYFUNCTION("""COMPUTED_VALUE"""),"Estrela 2")</f>
        <v>Estrela 2</v>
      </c>
    </row>
    <row r="1000">
      <c r="A1000" s="1">
        <v>999.0</v>
      </c>
      <c r="B1000" s="1" t="s">
        <v>5596</v>
      </c>
      <c r="C1000" s="1" t="s">
        <v>5598</v>
      </c>
      <c r="D1000" s="1" t="s">
        <v>5599</v>
      </c>
      <c r="E1000" s="1" t="s">
        <v>5600</v>
      </c>
      <c r="F1000" s="1" t="s">
        <v>5601</v>
      </c>
      <c r="G1000" s="5" t="str">
        <f>IFERROR(__xludf.DUMMYFUNCTION("""COMPUTED_VALUE"""),"250🤙🏼La leggenda del pianista sull'oceano🤙🏼Mélanie Thierry🤙🏼Estrela 3")</f>
        <v>250🤙🏼La leggenda del pianista sull'oceano🤙🏼Mélanie Thierry🤙🏼Estrela 3</v>
      </c>
      <c r="H1000" s="5">
        <f>IFERROR(__xludf.DUMMYFUNCTION("SPLiT(G1000, ""🤙🏼"",FALSE,FALSE)"),250.0)</f>
        <v>250</v>
      </c>
      <c r="I1000" s="5" t="str">
        <f>IFERROR(__xludf.DUMMYFUNCTION("""COMPUTED_VALUE"""),"La leggenda del pianista sull'oceano")</f>
        <v>La leggenda del pianista sull'oceano</v>
      </c>
      <c r="J1000" s="5" t="str">
        <f>IFERROR(__xludf.DUMMYFUNCTION("""COMPUTED_VALUE"""),"Mélanie Thierry")</f>
        <v>Mélanie Thierry</v>
      </c>
      <c r="K1000" s="5" t="str">
        <f>IFERROR(__xludf.DUMMYFUNCTION("""COMPUTED_VALUE"""),"Estrela 3")</f>
        <v>Estrela 3</v>
      </c>
      <c r="P1000" s="5">
        <f>IFERROR(__xludf.DUMMYFUNCTION("""COMPUTED_VALUE"""),250.0)</f>
        <v>250</v>
      </c>
      <c r="Q1000" s="5" t="str">
        <f>IFERROR(__xludf.DUMMYFUNCTION("""COMPUTED_VALUE"""),"La leggenda del pianista sull'oceano")</f>
        <v>La leggenda del pianista sull'oceano</v>
      </c>
      <c r="R1000" s="5" t="str">
        <f>IFERROR(__xludf.DUMMYFUNCTION("""COMPUTED_VALUE"""),"Mélanie Thierry")</f>
        <v>Mélanie Thierry</v>
      </c>
      <c r="S1000" s="5" t="str">
        <f>IFERROR(__xludf.DUMMYFUNCTION("""COMPUTED_VALUE"""),"Estrela 3")</f>
        <v>Estrela 3</v>
      </c>
    </row>
    <row r="1001">
      <c r="A1001" s="1">
        <v>1000.0</v>
      </c>
      <c r="B1001" s="1" t="s">
        <v>5602</v>
      </c>
      <c r="C1001" s="1" t="s">
        <v>5604</v>
      </c>
      <c r="D1001" s="1" t="s">
        <v>5605</v>
      </c>
      <c r="E1001" s="1" t="s">
        <v>5606</v>
      </c>
      <c r="F1001" s="1" t="s">
        <v>5607</v>
      </c>
      <c r="G1001" s="5" t="str">
        <f>IFERROR(__xludf.DUMMYFUNCTION("""COMPUTED_VALUE"""),"250🤙🏼La leggenda del pianista sull'oceano🤙🏼Bill Nunn🤙🏼Estrela 4")</f>
        <v>250🤙🏼La leggenda del pianista sull'oceano🤙🏼Bill Nunn🤙🏼Estrela 4</v>
      </c>
      <c r="H1001" s="5">
        <f>IFERROR(__xludf.DUMMYFUNCTION("SPLiT(G1001, ""🤙🏼"",FALSE,FALSE)"),250.0)</f>
        <v>250</v>
      </c>
      <c r="I1001" s="5" t="str">
        <f>IFERROR(__xludf.DUMMYFUNCTION("""COMPUTED_VALUE"""),"La leggenda del pianista sull'oceano")</f>
        <v>La leggenda del pianista sull'oceano</v>
      </c>
      <c r="J1001" s="5" t="str">
        <f>IFERROR(__xludf.DUMMYFUNCTION("""COMPUTED_VALUE"""),"Bill Nunn")</f>
        <v>Bill Nunn</v>
      </c>
      <c r="K1001" s="5" t="str">
        <f>IFERROR(__xludf.DUMMYFUNCTION("""COMPUTED_VALUE"""),"Estrela 4")</f>
        <v>Estrela 4</v>
      </c>
      <c r="P1001" s="5">
        <f>IFERROR(__xludf.DUMMYFUNCTION("""COMPUTED_VALUE"""),250.0)</f>
        <v>250</v>
      </c>
      <c r="Q1001" s="5" t="str">
        <f>IFERROR(__xludf.DUMMYFUNCTION("""COMPUTED_VALUE"""),"La leggenda del pianista sull'oceano")</f>
        <v>La leggenda del pianista sull'oceano</v>
      </c>
      <c r="R1001" s="5" t="str">
        <f>IFERROR(__xludf.DUMMYFUNCTION("""COMPUTED_VALUE"""),"Bill Nunn")</f>
        <v>Bill Nunn</v>
      </c>
      <c r="S1001" s="5" t="str">
        <f>IFERROR(__xludf.DUMMYFUNCTION("""COMPUTED_VALUE"""),"Estrela 4")</f>
        <v>Estrela 4</v>
      </c>
    </row>
    <row r="1002">
      <c r="G1002" s="5" t="str">
        <f>IFERROR(__xludf.DUMMYFUNCTION("""COMPUTED_VALUE"""),"251🤙🏼The Truman Show🤙🏼Jim Carrey🤙🏼Estrela 1")</f>
        <v>251🤙🏼The Truman Show🤙🏼Jim Carrey🤙🏼Estrela 1</v>
      </c>
      <c r="H1002" s="5">
        <f>IFERROR(__xludf.DUMMYFUNCTION("SPLiT(G1002, ""🤙🏼"",FALSE,FALSE)"),251.0)</f>
        <v>251</v>
      </c>
      <c r="I1002" s="5" t="str">
        <f>IFERROR(__xludf.DUMMYFUNCTION("""COMPUTED_VALUE"""),"The Truman Show")</f>
        <v>The Truman Show</v>
      </c>
      <c r="J1002" s="5" t="str">
        <f>IFERROR(__xludf.DUMMYFUNCTION("""COMPUTED_VALUE"""),"Jim Carrey")</f>
        <v>Jim Carrey</v>
      </c>
      <c r="K1002" s="5" t="str">
        <f>IFERROR(__xludf.DUMMYFUNCTION("""COMPUTED_VALUE"""),"Estrela 1")</f>
        <v>Estrela 1</v>
      </c>
      <c r="P1002" s="5">
        <f>IFERROR(__xludf.DUMMYFUNCTION("""COMPUTED_VALUE"""),251.0)</f>
        <v>251</v>
      </c>
      <c r="Q1002" s="5" t="str">
        <f>IFERROR(__xludf.DUMMYFUNCTION("""COMPUTED_VALUE"""),"The Truman Show")</f>
        <v>The Truman Show</v>
      </c>
      <c r="R1002" s="5" t="str">
        <f>IFERROR(__xludf.DUMMYFUNCTION("""COMPUTED_VALUE"""),"Jim Carrey")</f>
        <v>Jim Carrey</v>
      </c>
      <c r="S1002" s="5" t="str">
        <f>IFERROR(__xludf.DUMMYFUNCTION("""COMPUTED_VALUE"""),"Estrela 1")</f>
        <v>Estrela 1</v>
      </c>
    </row>
    <row r="1003">
      <c r="G1003" s="5" t="str">
        <f>IFERROR(__xludf.DUMMYFUNCTION("""COMPUTED_VALUE"""),"251🤙🏼The Truman Show🤙🏼Ed Harris🤙🏼Estrela 2")</f>
        <v>251🤙🏼The Truman Show🤙🏼Ed Harris🤙🏼Estrela 2</v>
      </c>
      <c r="H1003" s="5">
        <f>IFERROR(__xludf.DUMMYFUNCTION("SPLiT(G1003, ""🤙🏼"",FALSE,FALSE)"),251.0)</f>
        <v>251</v>
      </c>
      <c r="I1003" s="5" t="str">
        <f>IFERROR(__xludf.DUMMYFUNCTION("""COMPUTED_VALUE"""),"The Truman Show")</f>
        <v>The Truman Show</v>
      </c>
      <c r="J1003" s="5" t="str">
        <f>IFERROR(__xludf.DUMMYFUNCTION("""COMPUTED_VALUE"""),"Ed Harris")</f>
        <v>Ed Harris</v>
      </c>
      <c r="K1003" s="5" t="str">
        <f>IFERROR(__xludf.DUMMYFUNCTION("""COMPUTED_VALUE"""),"Estrela 2")</f>
        <v>Estrela 2</v>
      </c>
      <c r="P1003" s="5">
        <f>IFERROR(__xludf.DUMMYFUNCTION("""COMPUTED_VALUE"""),251.0)</f>
        <v>251</v>
      </c>
      <c r="Q1003" s="5" t="str">
        <f>IFERROR(__xludf.DUMMYFUNCTION("""COMPUTED_VALUE"""),"The Truman Show")</f>
        <v>The Truman Show</v>
      </c>
      <c r="R1003" s="5" t="str">
        <f>IFERROR(__xludf.DUMMYFUNCTION("""COMPUTED_VALUE"""),"Ed Harris")</f>
        <v>Ed Harris</v>
      </c>
      <c r="S1003" s="5" t="str">
        <f>IFERROR(__xludf.DUMMYFUNCTION("""COMPUTED_VALUE"""),"Estrela 2")</f>
        <v>Estrela 2</v>
      </c>
    </row>
    <row r="1004">
      <c r="G1004" s="5" t="str">
        <f>IFERROR(__xludf.DUMMYFUNCTION("""COMPUTED_VALUE"""),"251🤙🏼The Truman Show🤙🏼Laura Linney🤙🏼Estrela 3")</f>
        <v>251🤙🏼The Truman Show🤙🏼Laura Linney🤙🏼Estrela 3</v>
      </c>
      <c r="H1004" s="5">
        <f>IFERROR(__xludf.DUMMYFUNCTION("SPLiT(G1004, ""🤙🏼"",FALSE,FALSE)"),251.0)</f>
        <v>251</v>
      </c>
      <c r="I1004" s="5" t="str">
        <f>IFERROR(__xludf.DUMMYFUNCTION("""COMPUTED_VALUE"""),"The Truman Show")</f>
        <v>The Truman Show</v>
      </c>
      <c r="J1004" s="5" t="str">
        <f>IFERROR(__xludf.DUMMYFUNCTION("""COMPUTED_VALUE"""),"Laura Linney")</f>
        <v>Laura Linney</v>
      </c>
      <c r="K1004" s="5" t="str">
        <f>IFERROR(__xludf.DUMMYFUNCTION("""COMPUTED_VALUE"""),"Estrela 3")</f>
        <v>Estrela 3</v>
      </c>
      <c r="P1004" s="5">
        <f>IFERROR(__xludf.DUMMYFUNCTION("""COMPUTED_VALUE"""),251.0)</f>
        <v>251</v>
      </c>
      <c r="Q1004" s="5" t="str">
        <f>IFERROR(__xludf.DUMMYFUNCTION("""COMPUTED_VALUE"""),"The Truman Show")</f>
        <v>The Truman Show</v>
      </c>
      <c r="R1004" s="5" t="str">
        <f>IFERROR(__xludf.DUMMYFUNCTION("""COMPUTED_VALUE"""),"Laura Linney")</f>
        <v>Laura Linney</v>
      </c>
      <c r="S1004" s="5" t="str">
        <f>IFERROR(__xludf.DUMMYFUNCTION("""COMPUTED_VALUE"""),"Estrela 3")</f>
        <v>Estrela 3</v>
      </c>
    </row>
    <row r="1005">
      <c r="G1005" s="5" t="str">
        <f>IFERROR(__xludf.DUMMYFUNCTION("""COMPUTED_VALUE"""),"251🤙🏼The Truman Show🤙🏼Noah Emmerich🤙🏼Estrela 4")</f>
        <v>251🤙🏼The Truman Show🤙🏼Noah Emmerich🤙🏼Estrela 4</v>
      </c>
      <c r="H1005" s="5">
        <f>IFERROR(__xludf.DUMMYFUNCTION("SPLiT(G1005, ""🤙🏼"",FALSE,FALSE)"),251.0)</f>
        <v>251</v>
      </c>
      <c r="I1005" s="5" t="str">
        <f>IFERROR(__xludf.DUMMYFUNCTION("""COMPUTED_VALUE"""),"The Truman Show")</f>
        <v>The Truman Show</v>
      </c>
      <c r="J1005" s="5" t="str">
        <f>IFERROR(__xludf.DUMMYFUNCTION("""COMPUTED_VALUE"""),"Noah Emmerich")</f>
        <v>Noah Emmerich</v>
      </c>
      <c r="K1005" s="5" t="str">
        <f>IFERROR(__xludf.DUMMYFUNCTION("""COMPUTED_VALUE"""),"Estrela 4")</f>
        <v>Estrela 4</v>
      </c>
      <c r="P1005" s="5">
        <f>IFERROR(__xludf.DUMMYFUNCTION("""COMPUTED_VALUE"""),251.0)</f>
        <v>251</v>
      </c>
      <c r="Q1005" s="5" t="str">
        <f>IFERROR(__xludf.DUMMYFUNCTION("""COMPUTED_VALUE"""),"The Truman Show")</f>
        <v>The Truman Show</v>
      </c>
      <c r="R1005" s="5" t="str">
        <f>IFERROR(__xludf.DUMMYFUNCTION("""COMPUTED_VALUE"""),"Noah Emmerich")</f>
        <v>Noah Emmerich</v>
      </c>
      <c r="S1005" s="5" t="str">
        <f>IFERROR(__xludf.DUMMYFUNCTION("""COMPUTED_VALUE"""),"Estrela 4")</f>
        <v>Estrela 4</v>
      </c>
    </row>
    <row r="1006">
      <c r="G1006" s="5" t="str">
        <f>IFERROR(__xludf.DUMMYFUNCTION("""COMPUTED_VALUE"""),"252🤙🏼Crna macka, beli macor🤙🏼Bajram Severdzan🤙🏼Estrela 1")</f>
        <v>252🤙🏼Crna macka, beli macor🤙🏼Bajram Severdzan🤙🏼Estrela 1</v>
      </c>
      <c r="H1006" s="5">
        <f>IFERROR(__xludf.DUMMYFUNCTION("SPLiT(G1006, ""🤙🏼"",FALSE,FALSE)"),252.0)</f>
        <v>252</v>
      </c>
      <c r="I1006" s="5" t="str">
        <f>IFERROR(__xludf.DUMMYFUNCTION("""COMPUTED_VALUE"""),"Crna macka, beli macor")</f>
        <v>Crna macka, beli macor</v>
      </c>
      <c r="J1006" s="5" t="str">
        <f>IFERROR(__xludf.DUMMYFUNCTION("""COMPUTED_VALUE"""),"Bajram Severdzan")</f>
        <v>Bajram Severdzan</v>
      </c>
      <c r="K1006" s="5" t="str">
        <f>IFERROR(__xludf.DUMMYFUNCTION("""COMPUTED_VALUE"""),"Estrela 1")</f>
        <v>Estrela 1</v>
      </c>
      <c r="P1006" s="5">
        <f>IFERROR(__xludf.DUMMYFUNCTION("""COMPUTED_VALUE"""),252.0)</f>
        <v>252</v>
      </c>
      <c r="Q1006" s="5" t="str">
        <f>IFERROR(__xludf.DUMMYFUNCTION("""COMPUTED_VALUE"""),"Crna macka, beli macor")</f>
        <v>Crna macka, beli macor</v>
      </c>
      <c r="R1006" s="5" t="str">
        <f>IFERROR(__xludf.DUMMYFUNCTION("""COMPUTED_VALUE"""),"Bajram Severdzan")</f>
        <v>Bajram Severdzan</v>
      </c>
      <c r="S1006" s="5" t="str">
        <f>IFERROR(__xludf.DUMMYFUNCTION("""COMPUTED_VALUE"""),"Estrela 1")</f>
        <v>Estrela 1</v>
      </c>
    </row>
    <row r="1007">
      <c r="G1007" s="5" t="str">
        <f>IFERROR(__xludf.DUMMYFUNCTION("""COMPUTED_VALUE"""),"252🤙🏼Crna macka, beli macor🤙🏼Srdjan 'Zika' Todorovic🤙🏼Estrela 2")</f>
        <v>252🤙🏼Crna macka, beli macor🤙🏼Srdjan 'Zika' Todorovic🤙🏼Estrela 2</v>
      </c>
      <c r="H1007" s="5">
        <f>IFERROR(__xludf.DUMMYFUNCTION("SPLiT(G1007, ""🤙🏼"",FALSE,FALSE)"),252.0)</f>
        <v>252</v>
      </c>
      <c r="I1007" s="5" t="str">
        <f>IFERROR(__xludf.DUMMYFUNCTION("""COMPUTED_VALUE"""),"Crna macka, beli macor")</f>
        <v>Crna macka, beli macor</v>
      </c>
      <c r="J1007" s="5" t="str">
        <f>IFERROR(__xludf.DUMMYFUNCTION("""COMPUTED_VALUE"""),"Srdjan 'Zika' Todorovic")</f>
        <v>Srdjan 'Zika' Todorovic</v>
      </c>
      <c r="K1007" s="5" t="str">
        <f>IFERROR(__xludf.DUMMYFUNCTION("""COMPUTED_VALUE"""),"Estrela 2")</f>
        <v>Estrela 2</v>
      </c>
      <c r="P1007" s="5">
        <f>IFERROR(__xludf.DUMMYFUNCTION("""COMPUTED_VALUE"""),252.0)</f>
        <v>252</v>
      </c>
      <c r="Q1007" s="5" t="str">
        <f>IFERROR(__xludf.DUMMYFUNCTION("""COMPUTED_VALUE"""),"Crna macka, beli macor")</f>
        <v>Crna macka, beli macor</v>
      </c>
      <c r="R1007" s="5" t="str">
        <f>IFERROR(__xludf.DUMMYFUNCTION("""COMPUTED_VALUE"""),"Srdjan 'Zika' Todorovic")</f>
        <v>Srdjan 'Zika' Todorovic</v>
      </c>
      <c r="S1007" s="5" t="str">
        <f>IFERROR(__xludf.DUMMYFUNCTION("""COMPUTED_VALUE"""),"Estrela 2")</f>
        <v>Estrela 2</v>
      </c>
    </row>
    <row r="1008">
      <c r="G1008" s="5" t="str">
        <f>IFERROR(__xludf.DUMMYFUNCTION("""COMPUTED_VALUE"""),"252🤙🏼Crna macka, beli macor🤙🏼Branka Katic🤙🏼Estrela 3")</f>
        <v>252🤙🏼Crna macka, beli macor🤙🏼Branka Katic🤙🏼Estrela 3</v>
      </c>
      <c r="H1008" s="5">
        <f>IFERROR(__xludf.DUMMYFUNCTION("SPLiT(G1008, ""🤙🏼"",FALSE,FALSE)"),252.0)</f>
        <v>252</v>
      </c>
      <c r="I1008" s="5" t="str">
        <f>IFERROR(__xludf.DUMMYFUNCTION("""COMPUTED_VALUE"""),"Crna macka, beli macor")</f>
        <v>Crna macka, beli macor</v>
      </c>
      <c r="J1008" s="5" t="str">
        <f>IFERROR(__xludf.DUMMYFUNCTION("""COMPUTED_VALUE"""),"Branka Katic")</f>
        <v>Branka Katic</v>
      </c>
      <c r="K1008" s="5" t="str">
        <f>IFERROR(__xludf.DUMMYFUNCTION("""COMPUTED_VALUE"""),"Estrela 3")</f>
        <v>Estrela 3</v>
      </c>
      <c r="P1008" s="5">
        <f>IFERROR(__xludf.DUMMYFUNCTION("""COMPUTED_VALUE"""),252.0)</f>
        <v>252</v>
      </c>
      <c r="Q1008" s="5" t="str">
        <f>IFERROR(__xludf.DUMMYFUNCTION("""COMPUTED_VALUE"""),"Crna macka, beli macor")</f>
        <v>Crna macka, beli macor</v>
      </c>
      <c r="R1008" s="5" t="str">
        <f>IFERROR(__xludf.DUMMYFUNCTION("""COMPUTED_VALUE"""),"Branka Katic")</f>
        <v>Branka Katic</v>
      </c>
      <c r="S1008" s="5" t="str">
        <f>IFERROR(__xludf.DUMMYFUNCTION("""COMPUTED_VALUE"""),"Estrela 3")</f>
        <v>Estrela 3</v>
      </c>
    </row>
    <row r="1009">
      <c r="G1009" s="5" t="str">
        <f>IFERROR(__xludf.DUMMYFUNCTION("""COMPUTED_VALUE"""),"252🤙🏼Crna macka, beli macor🤙🏼Florijan Ajdini🤙🏼Estrela 4")</f>
        <v>252🤙🏼Crna macka, beli macor🤙🏼Florijan Ajdini🤙🏼Estrela 4</v>
      </c>
      <c r="H1009" s="5">
        <f>IFERROR(__xludf.DUMMYFUNCTION("SPLiT(G1009, ""🤙🏼"",FALSE,FALSE)"),252.0)</f>
        <v>252</v>
      </c>
      <c r="I1009" s="5" t="str">
        <f>IFERROR(__xludf.DUMMYFUNCTION("""COMPUTED_VALUE"""),"Crna macka, beli macor")</f>
        <v>Crna macka, beli macor</v>
      </c>
      <c r="J1009" s="5" t="str">
        <f>IFERROR(__xludf.DUMMYFUNCTION("""COMPUTED_VALUE"""),"Florijan Ajdini")</f>
        <v>Florijan Ajdini</v>
      </c>
      <c r="K1009" s="5" t="str">
        <f>IFERROR(__xludf.DUMMYFUNCTION("""COMPUTED_VALUE"""),"Estrela 4")</f>
        <v>Estrela 4</v>
      </c>
      <c r="P1009" s="5">
        <f>IFERROR(__xludf.DUMMYFUNCTION("""COMPUTED_VALUE"""),252.0)</f>
        <v>252</v>
      </c>
      <c r="Q1009" s="5" t="str">
        <f>IFERROR(__xludf.DUMMYFUNCTION("""COMPUTED_VALUE"""),"Crna macka, beli macor")</f>
        <v>Crna macka, beli macor</v>
      </c>
      <c r="R1009" s="5" t="str">
        <f>IFERROR(__xludf.DUMMYFUNCTION("""COMPUTED_VALUE"""),"Florijan Ajdini")</f>
        <v>Florijan Ajdini</v>
      </c>
      <c r="S1009" s="5" t="str">
        <f>IFERROR(__xludf.DUMMYFUNCTION("""COMPUTED_VALUE"""),"Estrela 4")</f>
        <v>Estrela 4</v>
      </c>
    </row>
    <row r="1010">
      <c r="G1010" s="5" t="str">
        <f>IFERROR(__xludf.DUMMYFUNCTION("""COMPUTED_VALUE"""),"253🤙🏼The Big Lebowski🤙🏼Ethan Coen🤙🏼Estrela 1")</f>
        <v>253🤙🏼The Big Lebowski🤙🏼Ethan Coen🤙🏼Estrela 1</v>
      </c>
      <c r="H1010" s="5">
        <f>IFERROR(__xludf.DUMMYFUNCTION("SPLiT(G1010, ""🤙🏼"",FALSE,FALSE)"),253.0)</f>
        <v>253</v>
      </c>
      <c r="I1010" s="5" t="str">
        <f>IFERROR(__xludf.DUMMYFUNCTION("""COMPUTED_VALUE"""),"The Big Lebowski")</f>
        <v>The Big Lebowski</v>
      </c>
      <c r="J1010" s="5" t="str">
        <f>IFERROR(__xludf.DUMMYFUNCTION("""COMPUTED_VALUE"""),"Ethan Coen")</f>
        <v>Ethan Coen</v>
      </c>
      <c r="K1010" s="5" t="str">
        <f>IFERROR(__xludf.DUMMYFUNCTION("""COMPUTED_VALUE"""),"Estrela 1")</f>
        <v>Estrela 1</v>
      </c>
      <c r="P1010" s="5">
        <f>IFERROR(__xludf.DUMMYFUNCTION("""COMPUTED_VALUE"""),253.0)</f>
        <v>253</v>
      </c>
      <c r="Q1010" s="5" t="str">
        <f>IFERROR(__xludf.DUMMYFUNCTION("""COMPUTED_VALUE"""),"The Big Lebowski")</f>
        <v>The Big Lebowski</v>
      </c>
      <c r="R1010" s="5" t="str">
        <f>IFERROR(__xludf.DUMMYFUNCTION("""COMPUTED_VALUE"""),"Ethan Coen")</f>
        <v>Ethan Coen</v>
      </c>
      <c r="S1010" s="5" t="str">
        <f>IFERROR(__xludf.DUMMYFUNCTION("""COMPUTED_VALUE"""),"Estrela 1")</f>
        <v>Estrela 1</v>
      </c>
    </row>
    <row r="1011">
      <c r="G1011" s="5" t="str">
        <f>IFERROR(__xludf.DUMMYFUNCTION("""COMPUTED_VALUE"""),"253🤙🏼The Big Lebowski🤙🏼Jeff Bridges🤙🏼Estrela 2")</f>
        <v>253🤙🏼The Big Lebowski🤙🏼Jeff Bridges🤙🏼Estrela 2</v>
      </c>
      <c r="H1011" s="5">
        <f>IFERROR(__xludf.DUMMYFUNCTION("SPLiT(G1011, ""🤙🏼"",FALSE,FALSE)"),253.0)</f>
        <v>253</v>
      </c>
      <c r="I1011" s="5" t="str">
        <f>IFERROR(__xludf.DUMMYFUNCTION("""COMPUTED_VALUE"""),"The Big Lebowski")</f>
        <v>The Big Lebowski</v>
      </c>
      <c r="J1011" s="5" t="str">
        <f>IFERROR(__xludf.DUMMYFUNCTION("""COMPUTED_VALUE"""),"Jeff Bridges")</f>
        <v>Jeff Bridges</v>
      </c>
      <c r="K1011" s="5" t="str">
        <f>IFERROR(__xludf.DUMMYFUNCTION("""COMPUTED_VALUE"""),"Estrela 2")</f>
        <v>Estrela 2</v>
      </c>
      <c r="P1011" s="5">
        <f>IFERROR(__xludf.DUMMYFUNCTION("""COMPUTED_VALUE"""),253.0)</f>
        <v>253</v>
      </c>
      <c r="Q1011" s="5" t="str">
        <f>IFERROR(__xludf.DUMMYFUNCTION("""COMPUTED_VALUE"""),"The Big Lebowski")</f>
        <v>The Big Lebowski</v>
      </c>
      <c r="R1011" s="5" t="str">
        <f>IFERROR(__xludf.DUMMYFUNCTION("""COMPUTED_VALUE"""),"Jeff Bridges")</f>
        <v>Jeff Bridges</v>
      </c>
      <c r="S1011" s="5" t="str">
        <f>IFERROR(__xludf.DUMMYFUNCTION("""COMPUTED_VALUE"""),"Estrela 2")</f>
        <v>Estrela 2</v>
      </c>
    </row>
    <row r="1012">
      <c r="G1012" s="5" t="str">
        <f>IFERROR(__xludf.DUMMYFUNCTION("""COMPUTED_VALUE"""),"253🤙🏼The Big Lebowski🤙🏼John Goodman🤙🏼Estrela 3")</f>
        <v>253🤙🏼The Big Lebowski🤙🏼John Goodman🤙🏼Estrela 3</v>
      </c>
      <c r="H1012" s="5">
        <f>IFERROR(__xludf.DUMMYFUNCTION("SPLiT(G1012, ""🤙🏼"",FALSE,FALSE)"),253.0)</f>
        <v>253</v>
      </c>
      <c r="I1012" s="5" t="str">
        <f>IFERROR(__xludf.DUMMYFUNCTION("""COMPUTED_VALUE"""),"The Big Lebowski")</f>
        <v>The Big Lebowski</v>
      </c>
      <c r="J1012" s="5" t="str">
        <f>IFERROR(__xludf.DUMMYFUNCTION("""COMPUTED_VALUE"""),"John Goodman")</f>
        <v>John Goodman</v>
      </c>
      <c r="K1012" s="5" t="str">
        <f>IFERROR(__xludf.DUMMYFUNCTION("""COMPUTED_VALUE"""),"Estrela 3")</f>
        <v>Estrela 3</v>
      </c>
      <c r="P1012" s="5">
        <f>IFERROR(__xludf.DUMMYFUNCTION("""COMPUTED_VALUE"""),253.0)</f>
        <v>253</v>
      </c>
      <c r="Q1012" s="5" t="str">
        <f>IFERROR(__xludf.DUMMYFUNCTION("""COMPUTED_VALUE"""),"The Big Lebowski")</f>
        <v>The Big Lebowski</v>
      </c>
      <c r="R1012" s="5" t="str">
        <f>IFERROR(__xludf.DUMMYFUNCTION("""COMPUTED_VALUE"""),"John Goodman")</f>
        <v>John Goodman</v>
      </c>
      <c r="S1012" s="5" t="str">
        <f>IFERROR(__xludf.DUMMYFUNCTION("""COMPUTED_VALUE"""),"Estrela 3")</f>
        <v>Estrela 3</v>
      </c>
    </row>
    <row r="1013">
      <c r="G1013" s="5" t="str">
        <f>IFERROR(__xludf.DUMMYFUNCTION("""COMPUTED_VALUE"""),"253🤙🏼The Big Lebowski🤙🏼Julianne Moore🤙🏼Estrela 4")</f>
        <v>253🤙🏼The Big Lebowski🤙🏼Julianne Moore🤙🏼Estrela 4</v>
      </c>
      <c r="H1013" s="5">
        <f>IFERROR(__xludf.DUMMYFUNCTION("SPLiT(G1013, ""🤙🏼"",FALSE,FALSE)"),253.0)</f>
        <v>253</v>
      </c>
      <c r="I1013" s="5" t="str">
        <f>IFERROR(__xludf.DUMMYFUNCTION("""COMPUTED_VALUE"""),"The Big Lebowski")</f>
        <v>The Big Lebowski</v>
      </c>
      <c r="J1013" s="5" t="str">
        <f>IFERROR(__xludf.DUMMYFUNCTION("""COMPUTED_VALUE"""),"Julianne Moore")</f>
        <v>Julianne Moore</v>
      </c>
      <c r="K1013" s="5" t="str">
        <f>IFERROR(__xludf.DUMMYFUNCTION("""COMPUTED_VALUE"""),"Estrela 4")</f>
        <v>Estrela 4</v>
      </c>
      <c r="P1013" s="5">
        <f>IFERROR(__xludf.DUMMYFUNCTION("""COMPUTED_VALUE"""),253.0)</f>
        <v>253</v>
      </c>
      <c r="Q1013" s="5" t="str">
        <f>IFERROR(__xludf.DUMMYFUNCTION("""COMPUTED_VALUE"""),"The Big Lebowski")</f>
        <v>The Big Lebowski</v>
      </c>
      <c r="R1013" s="5" t="str">
        <f>IFERROR(__xludf.DUMMYFUNCTION("""COMPUTED_VALUE"""),"Julianne Moore")</f>
        <v>Julianne Moore</v>
      </c>
      <c r="S1013" s="5" t="str">
        <f>IFERROR(__xludf.DUMMYFUNCTION("""COMPUTED_VALUE"""),"Estrela 4")</f>
        <v>Estrela 4</v>
      </c>
    </row>
    <row r="1014">
      <c r="G1014" s="5" t="str">
        <f>IFERROR(__xludf.DUMMYFUNCTION("""COMPUTED_VALUE"""),"254🤙🏼Fa yeung nin wah🤙🏼Tony Chiu-Wai Leung🤙🏼Estrela 1")</f>
        <v>254🤙🏼Fa yeung nin wah🤙🏼Tony Chiu-Wai Leung🤙🏼Estrela 1</v>
      </c>
      <c r="H1014" s="5">
        <f>IFERROR(__xludf.DUMMYFUNCTION("SPLiT(G1014, ""🤙🏼"",FALSE,FALSE)"),254.0)</f>
        <v>254</v>
      </c>
      <c r="I1014" s="5" t="str">
        <f>IFERROR(__xludf.DUMMYFUNCTION("""COMPUTED_VALUE"""),"Fa yeung nin wah")</f>
        <v>Fa yeung nin wah</v>
      </c>
      <c r="J1014" s="5" t="str">
        <f>IFERROR(__xludf.DUMMYFUNCTION("""COMPUTED_VALUE"""),"Tony Chiu-Wai Leung")</f>
        <v>Tony Chiu-Wai Leung</v>
      </c>
      <c r="K1014" s="5" t="str">
        <f>IFERROR(__xludf.DUMMYFUNCTION("""COMPUTED_VALUE"""),"Estrela 1")</f>
        <v>Estrela 1</v>
      </c>
      <c r="P1014" s="5">
        <f>IFERROR(__xludf.DUMMYFUNCTION("""COMPUTED_VALUE"""),254.0)</f>
        <v>254</v>
      </c>
      <c r="Q1014" s="5" t="str">
        <f>IFERROR(__xludf.DUMMYFUNCTION("""COMPUTED_VALUE"""),"Fa yeung nin wah")</f>
        <v>Fa yeung nin wah</v>
      </c>
      <c r="R1014" s="5" t="str">
        <f>IFERROR(__xludf.DUMMYFUNCTION("""COMPUTED_VALUE"""),"Tony Chiu-Wai Leung")</f>
        <v>Tony Chiu-Wai Leung</v>
      </c>
      <c r="S1014" s="5" t="str">
        <f>IFERROR(__xludf.DUMMYFUNCTION("""COMPUTED_VALUE"""),"Estrela 1")</f>
        <v>Estrela 1</v>
      </c>
    </row>
    <row r="1015">
      <c r="G1015" s="5" t="str">
        <f>IFERROR(__xludf.DUMMYFUNCTION("""COMPUTED_VALUE"""),"254🤙🏼Fa yeung nin wah🤙🏼Maggie Cheung🤙🏼Estrela 2")</f>
        <v>254🤙🏼Fa yeung nin wah🤙🏼Maggie Cheung🤙🏼Estrela 2</v>
      </c>
      <c r="H1015" s="5">
        <f>IFERROR(__xludf.DUMMYFUNCTION("SPLiT(G1015, ""🤙🏼"",FALSE,FALSE)"),254.0)</f>
        <v>254</v>
      </c>
      <c r="I1015" s="5" t="str">
        <f>IFERROR(__xludf.DUMMYFUNCTION("""COMPUTED_VALUE"""),"Fa yeung nin wah")</f>
        <v>Fa yeung nin wah</v>
      </c>
      <c r="J1015" s="5" t="str">
        <f>IFERROR(__xludf.DUMMYFUNCTION("""COMPUTED_VALUE"""),"Maggie Cheung")</f>
        <v>Maggie Cheung</v>
      </c>
      <c r="K1015" s="5" t="str">
        <f>IFERROR(__xludf.DUMMYFUNCTION("""COMPUTED_VALUE"""),"Estrela 2")</f>
        <v>Estrela 2</v>
      </c>
      <c r="P1015" s="5">
        <f>IFERROR(__xludf.DUMMYFUNCTION("""COMPUTED_VALUE"""),254.0)</f>
        <v>254</v>
      </c>
      <c r="Q1015" s="5" t="str">
        <f>IFERROR(__xludf.DUMMYFUNCTION("""COMPUTED_VALUE"""),"Fa yeung nin wah")</f>
        <v>Fa yeung nin wah</v>
      </c>
      <c r="R1015" s="5" t="str">
        <f>IFERROR(__xludf.DUMMYFUNCTION("""COMPUTED_VALUE"""),"Maggie Cheung")</f>
        <v>Maggie Cheung</v>
      </c>
      <c r="S1015" s="5" t="str">
        <f>IFERROR(__xludf.DUMMYFUNCTION("""COMPUTED_VALUE"""),"Estrela 2")</f>
        <v>Estrela 2</v>
      </c>
    </row>
    <row r="1016">
      <c r="G1016" s="5" t="str">
        <f>IFERROR(__xludf.DUMMYFUNCTION("""COMPUTED_VALUE"""),"254🤙🏼Fa yeung nin wah🤙🏼Ping Lam Siu🤙🏼Estrela 3")</f>
        <v>254🤙🏼Fa yeung nin wah🤙🏼Ping Lam Siu🤙🏼Estrela 3</v>
      </c>
      <c r="H1016" s="5">
        <f>IFERROR(__xludf.DUMMYFUNCTION("SPLiT(G1016, ""🤙🏼"",FALSE,FALSE)"),254.0)</f>
        <v>254</v>
      </c>
      <c r="I1016" s="5" t="str">
        <f>IFERROR(__xludf.DUMMYFUNCTION("""COMPUTED_VALUE"""),"Fa yeung nin wah")</f>
        <v>Fa yeung nin wah</v>
      </c>
      <c r="J1016" s="5" t="str">
        <f>IFERROR(__xludf.DUMMYFUNCTION("""COMPUTED_VALUE"""),"Ping Lam Siu")</f>
        <v>Ping Lam Siu</v>
      </c>
      <c r="K1016" s="5" t="str">
        <f>IFERROR(__xludf.DUMMYFUNCTION("""COMPUTED_VALUE"""),"Estrela 3")</f>
        <v>Estrela 3</v>
      </c>
      <c r="P1016" s="5">
        <f>IFERROR(__xludf.DUMMYFUNCTION("""COMPUTED_VALUE"""),254.0)</f>
        <v>254</v>
      </c>
      <c r="Q1016" s="5" t="str">
        <f>IFERROR(__xludf.DUMMYFUNCTION("""COMPUTED_VALUE"""),"Fa yeung nin wah")</f>
        <v>Fa yeung nin wah</v>
      </c>
      <c r="R1016" s="5" t="str">
        <f>IFERROR(__xludf.DUMMYFUNCTION("""COMPUTED_VALUE"""),"Ping Lam Siu")</f>
        <v>Ping Lam Siu</v>
      </c>
      <c r="S1016" s="5" t="str">
        <f>IFERROR(__xludf.DUMMYFUNCTION("""COMPUTED_VALUE"""),"Estrela 3")</f>
        <v>Estrela 3</v>
      </c>
    </row>
    <row r="1017">
      <c r="G1017" s="5" t="str">
        <f>IFERROR(__xludf.DUMMYFUNCTION("""COMPUTED_VALUE"""),"254🤙🏼Fa yeung nin wah🤙🏼Tung Cho 'Joe' Cheung🤙🏼Estrela 4")</f>
        <v>254🤙🏼Fa yeung nin wah🤙🏼Tung Cho 'Joe' Cheung🤙🏼Estrela 4</v>
      </c>
      <c r="H1017" s="5">
        <f>IFERROR(__xludf.DUMMYFUNCTION("SPLiT(G1017, ""🤙🏼"",FALSE,FALSE)"),254.0)</f>
        <v>254</v>
      </c>
      <c r="I1017" s="5" t="str">
        <f>IFERROR(__xludf.DUMMYFUNCTION("""COMPUTED_VALUE"""),"Fa yeung nin wah")</f>
        <v>Fa yeung nin wah</v>
      </c>
      <c r="J1017" s="5" t="str">
        <f>IFERROR(__xludf.DUMMYFUNCTION("""COMPUTED_VALUE"""),"Tung Cho 'Joe' Cheung")</f>
        <v>Tung Cho 'Joe' Cheung</v>
      </c>
      <c r="K1017" s="5" t="str">
        <f>IFERROR(__xludf.DUMMYFUNCTION("""COMPUTED_VALUE"""),"Estrela 4")</f>
        <v>Estrela 4</v>
      </c>
      <c r="P1017" s="5">
        <f>IFERROR(__xludf.DUMMYFUNCTION("""COMPUTED_VALUE"""),254.0)</f>
        <v>254</v>
      </c>
      <c r="Q1017" s="5" t="str">
        <f>IFERROR(__xludf.DUMMYFUNCTION("""COMPUTED_VALUE"""),"Fa yeung nin wah")</f>
        <v>Fa yeung nin wah</v>
      </c>
      <c r="R1017" s="5" t="str">
        <f>IFERROR(__xludf.DUMMYFUNCTION("""COMPUTED_VALUE"""),"Tung Cho 'Joe' Cheung")</f>
        <v>Tung Cho 'Joe' Cheung</v>
      </c>
      <c r="S1017" s="5" t="str">
        <f>IFERROR(__xludf.DUMMYFUNCTION("""COMPUTED_VALUE"""),"Estrela 4")</f>
        <v>Estrela 4</v>
      </c>
    </row>
    <row r="1018">
      <c r="G1018" s="5" t="str">
        <f>IFERROR(__xludf.DUMMYFUNCTION("""COMPUTED_VALUE"""),"255🤙🏼Trainspotting🤙🏼Ewan McGregor🤙🏼Estrela 1")</f>
        <v>255🤙🏼Trainspotting🤙🏼Ewan McGregor🤙🏼Estrela 1</v>
      </c>
      <c r="H1018" s="5">
        <f>IFERROR(__xludf.DUMMYFUNCTION("SPLiT(G1018, ""🤙🏼"",FALSE,FALSE)"),255.0)</f>
        <v>255</v>
      </c>
      <c r="I1018" s="5" t="str">
        <f>IFERROR(__xludf.DUMMYFUNCTION("""COMPUTED_VALUE"""),"Trainspotting")</f>
        <v>Trainspotting</v>
      </c>
      <c r="J1018" s="5" t="str">
        <f>IFERROR(__xludf.DUMMYFUNCTION("""COMPUTED_VALUE"""),"Ewan McGregor")</f>
        <v>Ewan McGregor</v>
      </c>
      <c r="K1018" s="5" t="str">
        <f>IFERROR(__xludf.DUMMYFUNCTION("""COMPUTED_VALUE"""),"Estrela 1")</f>
        <v>Estrela 1</v>
      </c>
      <c r="P1018" s="5">
        <f>IFERROR(__xludf.DUMMYFUNCTION("""COMPUTED_VALUE"""),255.0)</f>
        <v>255</v>
      </c>
      <c r="Q1018" s="5" t="str">
        <f>IFERROR(__xludf.DUMMYFUNCTION("""COMPUTED_VALUE"""),"Trainspotting")</f>
        <v>Trainspotting</v>
      </c>
      <c r="R1018" s="5" t="str">
        <f>IFERROR(__xludf.DUMMYFUNCTION("""COMPUTED_VALUE"""),"Ewan McGregor")</f>
        <v>Ewan McGregor</v>
      </c>
      <c r="S1018" s="5" t="str">
        <f>IFERROR(__xludf.DUMMYFUNCTION("""COMPUTED_VALUE"""),"Estrela 1")</f>
        <v>Estrela 1</v>
      </c>
    </row>
    <row r="1019">
      <c r="G1019" s="5" t="str">
        <f>IFERROR(__xludf.DUMMYFUNCTION("""COMPUTED_VALUE"""),"255🤙🏼Trainspotting🤙🏼Ewen Bremner🤙🏼Estrela 2")</f>
        <v>255🤙🏼Trainspotting🤙🏼Ewen Bremner🤙🏼Estrela 2</v>
      </c>
      <c r="H1019" s="5">
        <f>IFERROR(__xludf.DUMMYFUNCTION("SPLiT(G1019, ""🤙🏼"",FALSE,FALSE)"),255.0)</f>
        <v>255</v>
      </c>
      <c r="I1019" s="5" t="str">
        <f>IFERROR(__xludf.DUMMYFUNCTION("""COMPUTED_VALUE"""),"Trainspotting")</f>
        <v>Trainspotting</v>
      </c>
      <c r="J1019" s="5" t="str">
        <f>IFERROR(__xludf.DUMMYFUNCTION("""COMPUTED_VALUE"""),"Ewen Bremner")</f>
        <v>Ewen Bremner</v>
      </c>
      <c r="K1019" s="5" t="str">
        <f>IFERROR(__xludf.DUMMYFUNCTION("""COMPUTED_VALUE"""),"Estrela 2")</f>
        <v>Estrela 2</v>
      </c>
      <c r="P1019" s="5">
        <f>IFERROR(__xludf.DUMMYFUNCTION("""COMPUTED_VALUE"""),255.0)</f>
        <v>255</v>
      </c>
      <c r="Q1019" s="5" t="str">
        <f>IFERROR(__xludf.DUMMYFUNCTION("""COMPUTED_VALUE"""),"Trainspotting")</f>
        <v>Trainspotting</v>
      </c>
      <c r="R1019" s="5" t="str">
        <f>IFERROR(__xludf.DUMMYFUNCTION("""COMPUTED_VALUE"""),"Ewen Bremner")</f>
        <v>Ewen Bremner</v>
      </c>
      <c r="S1019" s="5" t="str">
        <f>IFERROR(__xludf.DUMMYFUNCTION("""COMPUTED_VALUE"""),"Estrela 2")</f>
        <v>Estrela 2</v>
      </c>
    </row>
    <row r="1020">
      <c r="G1020" s="5" t="str">
        <f>IFERROR(__xludf.DUMMYFUNCTION("""COMPUTED_VALUE"""),"255🤙🏼Trainspotting🤙🏼Jonny Lee Miller🤙🏼Estrela 3")</f>
        <v>255🤙🏼Trainspotting🤙🏼Jonny Lee Miller🤙🏼Estrela 3</v>
      </c>
      <c r="H1020" s="5">
        <f>IFERROR(__xludf.DUMMYFUNCTION("SPLiT(G1020, ""🤙🏼"",FALSE,FALSE)"),255.0)</f>
        <v>255</v>
      </c>
      <c r="I1020" s="5" t="str">
        <f>IFERROR(__xludf.DUMMYFUNCTION("""COMPUTED_VALUE"""),"Trainspotting")</f>
        <v>Trainspotting</v>
      </c>
      <c r="J1020" s="5" t="str">
        <f>IFERROR(__xludf.DUMMYFUNCTION("""COMPUTED_VALUE"""),"Jonny Lee Miller")</f>
        <v>Jonny Lee Miller</v>
      </c>
      <c r="K1020" s="5" t="str">
        <f>IFERROR(__xludf.DUMMYFUNCTION("""COMPUTED_VALUE"""),"Estrela 3")</f>
        <v>Estrela 3</v>
      </c>
      <c r="P1020" s="5">
        <f>IFERROR(__xludf.DUMMYFUNCTION("""COMPUTED_VALUE"""),255.0)</f>
        <v>255</v>
      </c>
      <c r="Q1020" s="5" t="str">
        <f>IFERROR(__xludf.DUMMYFUNCTION("""COMPUTED_VALUE"""),"Trainspotting")</f>
        <v>Trainspotting</v>
      </c>
      <c r="R1020" s="5" t="str">
        <f>IFERROR(__xludf.DUMMYFUNCTION("""COMPUTED_VALUE"""),"Jonny Lee Miller")</f>
        <v>Jonny Lee Miller</v>
      </c>
      <c r="S1020" s="5" t="str">
        <f>IFERROR(__xludf.DUMMYFUNCTION("""COMPUTED_VALUE"""),"Estrela 3")</f>
        <v>Estrela 3</v>
      </c>
    </row>
    <row r="1021">
      <c r="G1021" s="5" t="str">
        <f>IFERROR(__xludf.DUMMYFUNCTION("""COMPUTED_VALUE"""),"255🤙🏼Trainspotting🤙🏼Kevin McKidd🤙🏼Estrela 4")</f>
        <v>255🤙🏼Trainspotting🤙🏼Kevin McKidd🤙🏼Estrela 4</v>
      </c>
      <c r="H1021" s="5">
        <f>IFERROR(__xludf.DUMMYFUNCTION("SPLiT(G1021, ""🤙🏼"",FALSE,FALSE)"),255.0)</f>
        <v>255</v>
      </c>
      <c r="I1021" s="5" t="str">
        <f>IFERROR(__xludf.DUMMYFUNCTION("""COMPUTED_VALUE"""),"Trainspotting")</f>
        <v>Trainspotting</v>
      </c>
      <c r="J1021" s="5" t="str">
        <f>IFERROR(__xludf.DUMMYFUNCTION("""COMPUTED_VALUE"""),"Kevin McKidd")</f>
        <v>Kevin McKidd</v>
      </c>
      <c r="K1021" s="5" t="str">
        <f>IFERROR(__xludf.DUMMYFUNCTION("""COMPUTED_VALUE"""),"Estrela 4")</f>
        <v>Estrela 4</v>
      </c>
      <c r="P1021" s="5">
        <f>IFERROR(__xludf.DUMMYFUNCTION("""COMPUTED_VALUE"""),255.0)</f>
        <v>255</v>
      </c>
      <c r="Q1021" s="5" t="str">
        <f>IFERROR(__xludf.DUMMYFUNCTION("""COMPUTED_VALUE"""),"Trainspotting")</f>
        <v>Trainspotting</v>
      </c>
      <c r="R1021" s="5" t="str">
        <f>IFERROR(__xludf.DUMMYFUNCTION("""COMPUTED_VALUE"""),"Kevin McKidd")</f>
        <v>Kevin McKidd</v>
      </c>
      <c r="S1021" s="5" t="str">
        <f>IFERROR(__xludf.DUMMYFUNCTION("""COMPUTED_VALUE"""),"Estrela 4")</f>
        <v>Estrela 4</v>
      </c>
    </row>
    <row r="1022">
      <c r="G1022" s="5" t="str">
        <f>IFERROR(__xludf.DUMMYFUNCTION("""COMPUTED_VALUE"""),"256🤙🏼Fargo🤙🏼Ethan Coen🤙🏼Estrela 1")</f>
        <v>256🤙🏼Fargo🤙🏼Ethan Coen🤙🏼Estrela 1</v>
      </c>
      <c r="H1022" s="5">
        <f>IFERROR(__xludf.DUMMYFUNCTION("SPLiT(G1022, ""🤙🏼"",FALSE,FALSE)"),256.0)</f>
        <v>256</v>
      </c>
      <c r="I1022" s="5" t="str">
        <f>IFERROR(__xludf.DUMMYFUNCTION("""COMPUTED_VALUE"""),"Fargo")</f>
        <v>Fargo</v>
      </c>
      <c r="J1022" s="5" t="str">
        <f>IFERROR(__xludf.DUMMYFUNCTION("""COMPUTED_VALUE"""),"Ethan Coen")</f>
        <v>Ethan Coen</v>
      </c>
      <c r="K1022" s="5" t="str">
        <f>IFERROR(__xludf.DUMMYFUNCTION("""COMPUTED_VALUE"""),"Estrela 1")</f>
        <v>Estrela 1</v>
      </c>
      <c r="P1022" s="5">
        <f>IFERROR(__xludf.DUMMYFUNCTION("""COMPUTED_VALUE"""),256.0)</f>
        <v>256</v>
      </c>
      <c r="Q1022" s="5" t="str">
        <f>IFERROR(__xludf.DUMMYFUNCTION("""COMPUTED_VALUE"""),"Fargo")</f>
        <v>Fargo</v>
      </c>
      <c r="R1022" s="5" t="str">
        <f>IFERROR(__xludf.DUMMYFUNCTION("""COMPUTED_VALUE"""),"Ethan Coen")</f>
        <v>Ethan Coen</v>
      </c>
      <c r="S1022" s="5" t="str">
        <f>IFERROR(__xludf.DUMMYFUNCTION("""COMPUTED_VALUE"""),"Estrela 1")</f>
        <v>Estrela 1</v>
      </c>
    </row>
    <row r="1023">
      <c r="G1023" s="5" t="str">
        <f>IFERROR(__xludf.DUMMYFUNCTION("""COMPUTED_VALUE"""),"256🤙🏼Fargo🤙🏼William H. Macy🤙🏼Estrela 2")</f>
        <v>256🤙🏼Fargo🤙🏼William H. Macy🤙🏼Estrela 2</v>
      </c>
      <c r="H1023" s="5">
        <f>IFERROR(__xludf.DUMMYFUNCTION("SPLiT(G1023, ""🤙🏼"",FALSE,FALSE)"),256.0)</f>
        <v>256</v>
      </c>
      <c r="I1023" s="5" t="str">
        <f>IFERROR(__xludf.DUMMYFUNCTION("""COMPUTED_VALUE"""),"Fargo")</f>
        <v>Fargo</v>
      </c>
      <c r="J1023" s="5" t="str">
        <f>IFERROR(__xludf.DUMMYFUNCTION("""COMPUTED_VALUE"""),"William H. Macy")</f>
        <v>William H. Macy</v>
      </c>
      <c r="K1023" s="5" t="str">
        <f>IFERROR(__xludf.DUMMYFUNCTION("""COMPUTED_VALUE"""),"Estrela 2")</f>
        <v>Estrela 2</v>
      </c>
      <c r="P1023" s="5">
        <f>IFERROR(__xludf.DUMMYFUNCTION("""COMPUTED_VALUE"""),256.0)</f>
        <v>256</v>
      </c>
      <c r="Q1023" s="5" t="str">
        <f>IFERROR(__xludf.DUMMYFUNCTION("""COMPUTED_VALUE"""),"Fargo")</f>
        <v>Fargo</v>
      </c>
      <c r="R1023" s="5" t="str">
        <f>IFERROR(__xludf.DUMMYFUNCTION("""COMPUTED_VALUE"""),"William H. Macy")</f>
        <v>William H. Macy</v>
      </c>
      <c r="S1023" s="5" t="str">
        <f>IFERROR(__xludf.DUMMYFUNCTION("""COMPUTED_VALUE"""),"Estrela 2")</f>
        <v>Estrela 2</v>
      </c>
    </row>
    <row r="1024">
      <c r="G1024" s="5" t="str">
        <f>IFERROR(__xludf.DUMMYFUNCTION("""COMPUTED_VALUE"""),"256🤙🏼Fargo🤙🏼Frances McDormand🤙🏼Estrela 3")</f>
        <v>256🤙🏼Fargo🤙🏼Frances McDormand🤙🏼Estrela 3</v>
      </c>
      <c r="H1024" s="5">
        <f>IFERROR(__xludf.DUMMYFUNCTION("SPLiT(G1024, ""🤙🏼"",FALSE,FALSE)"),256.0)</f>
        <v>256</v>
      </c>
      <c r="I1024" s="5" t="str">
        <f>IFERROR(__xludf.DUMMYFUNCTION("""COMPUTED_VALUE"""),"Fargo")</f>
        <v>Fargo</v>
      </c>
      <c r="J1024" s="5" t="str">
        <f>IFERROR(__xludf.DUMMYFUNCTION("""COMPUTED_VALUE"""),"Frances McDormand")</f>
        <v>Frances McDormand</v>
      </c>
      <c r="K1024" s="5" t="str">
        <f>IFERROR(__xludf.DUMMYFUNCTION("""COMPUTED_VALUE"""),"Estrela 3")</f>
        <v>Estrela 3</v>
      </c>
      <c r="P1024" s="5">
        <f>IFERROR(__xludf.DUMMYFUNCTION("""COMPUTED_VALUE"""),256.0)</f>
        <v>256</v>
      </c>
      <c r="Q1024" s="5" t="str">
        <f>IFERROR(__xludf.DUMMYFUNCTION("""COMPUTED_VALUE"""),"Fargo")</f>
        <v>Fargo</v>
      </c>
      <c r="R1024" s="5" t="str">
        <f>IFERROR(__xludf.DUMMYFUNCTION("""COMPUTED_VALUE"""),"Frances McDormand")</f>
        <v>Frances McDormand</v>
      </c>
      <c r="S1024" s="5" t="str">
        <f>IFERROR(__xludf.DUMMYFUNCTION("""COMPUTED_VALUE"""),"Estrela 3")</f>
        <v>Estrela 3</v>
      </c>
    </row>
    <row r="1025">
      <c r="G1025" s="5" t="str">
        <f>IFERROR(__xludf.DUMMYFUNCTION("""COMPUTED_VALUE"""),"256🤙🏼Fargo🤙🏼Steve Buscemi🤙🏼Estrela 4")</f>
        <v>256🤙🏼Fargo🤙🏼Steve Buscemi🤙🏼Estrela 4</v>
      </c>
      <c r="H1025" s="5">
        <f>IFERROR(__xludf.DUMMYFUNCTION("SPLiT(G1025, ""🤙🏼"",FALSE,FALSE)"),256.0)</f>
        <v>256</v>
      </c>
      <c r="I1025" s="5" t="str">
        <f>IFERROR(__xludf.DUMMYFUNCTION("""COMPUTED_VALUE"""),"Fargo")</f>
        <v>Fargo</v>
      </c>
      <c r="J1025" s="5" t="str">
        <f>IFERROR(__xludf.DUMMYFUNCTION("""COMPUTED_VALUE"""),"Steve Buscemi")</f>
        <v>Steve Buscemi</v>
      </c>
      <c r="K1025" s="5" t="str">
        <f>IFERROR(__xludf.DUMMYFUNCTION("""COMPUTED_VALUE"""),"Estrela 4")</f>
        <v>Estrela 4</v>
      </c>
      <c r="P1025" s="5">
        <f>IFERROR(__xludf.DUMMYFUNCTION("""COMPUTED_VALUE"""),256.0)</f>
        <v>256</v>
      </c>
      <c r="Q1025" s="5" t="str">
        <f>IFERROR(__xludf.DUMMYFUNCTION("""COMPUTED_VALUE"""),"Fargo")</f>
        <v>Fargo</v>
      </c>
      <c r="R1025" s="5" t="str">
        <f>IFERROR(__xludf.DUMMYFUNCTION("""COMPUTED_VALUE"""),"Steve Buscemi")</f>
        <v>Steve Buscemi</v>
      </c>
      <c r="S1025" s="5" t="str">
        <f>IFERROR(__xludf.DUMMYFUNCTION("""COMPUTED_VALUE"""),"Estrela 4")</f>
        <v>Estrela 4</v>
      </c>
    </row>
    <row r="1026">
      <c r="G1026" s="5" t="str">
        <f>IFERROR(__xludf.DUMMYFUNCTION("""COMPUTED_VALUE"""),"257🤙🏼Underground🤙🏼Predrag 'Miki' Manojlovic🤙🏼Estrela 1")</f>
        <v>257🤙🏼Underground🤙🏼Predrag 'Miki' Manojlovic🤙🏼Estrela 1</v>
      </c>
      <c r="H1026" s="5">
        <f>IFERROR(__xludf.DUMMYFUNCTION("SPLiT(G1026, ""🤙🏼"",FALSE,FALSE)"),257.0)</f>
        <v>257</v>
      </c>
      <c r="I1026" s="5" t="str">
        <f>IFERROR(__xludf.DUMMYFUNCTION("""COMPUTED_VALUE"""),"Underground")</f>
        <v>Underground</v>
      </c>
      <c r="J1026" s="5" t="str">
        <f>IFERROR(__xludf.DUMMYFUNCTION("""COMPUTED_VALUE"""),"Predrag 'Miki' Manojlovic")</f>
        <v>Predrag 'Miki' Manojlovic</v>
      </c>
      <c r="K1026" s="5" t="str">
        <f>IFERROR(__xludf.DUMMYFUNCTION("""COMPUTED_VALUE"""),"Estrela 1")</f>
        <v>Estrela 1</v>
      </c>
      <c r="P1026" s="5">
        <f>IFERROR(__xludf.DUMMYFUNCTION("""COMPUTED_VALUE"""),257.0)</f>
        <v>257</v>
      </c>
      <c r="Q1026" s="5" t="str">
        <f>IFERROR(__xludf.DUMMYFUNCTION("""COMPUTED_VALUE"""),"Underground")</f>
        <v>Underground</v>
      </c>
      <c r="R1026" s="5" t="str">
        <f>IFERROR(__xludf.DUMMYFUNCTION("""COMPUTED_VALUE"""),"Predrag 'Miki' Manojlovic")</f>
        <v>Predrag 'Miki' Manojlovic</v>
      </c>
      <c r="S1026" s="5" t="str">
        <f>IFERROR(__xludf.DUMMYFUNCTION("""COMPUTED_VALUE"""),"Estrela 1")</f>
        <v>Estrela 1</v>
      </c>
    </row>
    <row r="1027">
      <c r="G1027" s="5" t="str">
        <f>IFERROR(__xludf.DUMMYFUNCTION("""COMPUTED_VALUE"""),"257🤙🏼Underground🤙🏼Lazar Ristovski🤙🏼Estrela 2")</f>
        <v>257🤙🏼Underground🤙🏼Lazar Ristovski🤙🏼Estrela 2</v>
      </c>
      <c r="H1027" s="5">
        <f>IFERROR(__xludf.DUMMYFUNCTION("SPLiT(G1027, ""🤙🏼"",FALSE,FALSE)"),257.0)</f>
        <v>257</v>
      </c>
      <c r="I1027" s="5" t="str">
        <f>IFERROR(__xludf.DUMMYFUNCTION("""COMPUTED_VALUE"""),"Underground")</f>
        <v>Underground</v>
      </c>
      <c r="J1027" s="5" t="str">
        <f>IFERROR(__xludf.DUMMYFUNCTION("""COMPUTED_VALUE"""),"Lazar Ristovski")</f>
        <v>Lazar Ristovski</v>
      </c>
      <c r="K1027" s="5" t="str">
        <f>IFERROR(__xludf.DUMMYFUNCTION("""COMPUTED_VALUE"""),"Estrela 2")</f>
        <v>Estrela 2</v>
      </c>
      <c r="P1027" s="5">
        <f>IFERROR(__xludf.DUMMYFUNCTION("""COMPUTED_VALUE"""),257.0)</f>
        <v>257</v>
      </c>
      <c r="Q1027" s="5" t="str">
        <f>IFERROR(__xludf.DUMMYFUNCTION("""COMPUTED_VALUE"""),"Underground")</f>
        <v>Underground</v>
      </c>
      <c r="R1027" s="5" t="str">
        <f>IFERROR(__xludf.DUMMYFUNCTION("""COMPUTED_VALUE"""),"Lazar Ristovski")</f>
        <v>Lazar Ristovski</v>
      </c>
      <c r="S1027" s="5" t="str">
        <f>IFERROR(__xludf.DUMMYFUNCTION("""COMPUTED_VALUE"""),"Estrela 2")</f>
        <v>Estrela 2</v>
      </c>
    </row>
    <row r="1028">
      <c r="G1028" s="5" t="str">
        <f>IFERROR(__xludf.DUMMYFUNCTION("""COMPUTED_VALUE"""),"257🤙🏼Underground🤙🏼Mirjana Jokovic🤙🏼Estrela 3")</f>
        <v>257🤙🏼Underground🤙🏼Mirjana Jokovic🤙🏼Estrela 3</v>
      </c>
      <c r="H1028" s="5">
        <f>IFERROR(__xludf.DUMMYFUNCTION("SPLiT(G1028, ""🤙🏼"",FALSE,FALSE)"),257.0)</f>
        <v>257</v>
      </c>
      <c r="I1028" s="5" t="str">
        <f>IFERROR(__xludf.DUMMYFUNCTION("""COMPUTED_VALUE"""),"Underground")</f>
        <v>Underground</v>
      </c>
      <c r="J1028" s="5" t="str">
        <f>IFERROR(__xludf.DUMMYFUNCTION("""COMPUTED_VALUE"""),"Mirjana Jokovic")</f>
        <v>Mirjana Jokovic</v>
      </c>
      <c r="K1028" s="5" t="str">
        <f>IFERROR(__xludf.DUMMYFUNCTION("""COMPUTED_VALUE"""),"Estrela 3")</f>
        <v>Estrela 3</v>
      </c>
      <c r="P1028" s="5">
        <f>IFERROR(__xludf.DUMMYFUNCTION("""COMPUTED_VALUE"""),257.0)</f>
        <v>257</v>
      </c>
      <c r="Q1028" s="5" t="str">
        <f>IFERROR(__xludf.DUMMYFUNCTION("""COMPUTED_VALUE"""),"Underground")</f>
        <v>Underground</v>
      </c>
      <c r="R1028" s="5" t="str">
        <f>IFERROR(__xludf.DUMMYFUNCTION("""COMPUTED_VALUE"""),"Mirjana Jokovic")</f>
        <v>Mirjana Jokovic</v>
      </c>
      <c r="S1028" s="5" t="str">
        <f>IFERROR(__xludf.DUMMYFUNCTION("""COMPUTED_VALUE"""),"Estrela 3")</f>
        <v>Estrela 3</v>
      </c>
    </row>
    <row r="1029">
      <c r="G1029" s="5" t="str">
        <f>IFERROR(__xludf.DUMMYFUNCTION("""COMPUTED_VALUE"""),"257🤙🏼Underground🤙🏼Slavko Stimac🤙🏼Estrela 4")</f>
        <v>257🤙🏼Underground🤙🏼Slavko Stimac🤙🏼Estrela 4</v>
      </c>
      <c r="H1029" s="5">
        <f>IFERROR(__xludf.DUMMYFUNCTION("SPLiT(G1029, ""🤙🏼"",FALSE,FALSE)"),257.0)</f>
        <v>257</v>
      </c>
      <c r="I1029" s="5" t="str">
        <f>IFERROR(__xludf.DUMMYFUNCTION("""COMPUTED_VALUE"""),"Underground")</f>
        <v>Underground</v>
      </c>
      <c r="J1029" s="5" t="str">
        <f>IFERROR(__xludf.DUMMYFUNCTION("""COMPUTED_VALUE"""),"Slavko Stimac")</f>
        <v>Slavko Stimac</v>
      </c>
      <c r="K1029" s="5" t="str">
        <f>IFERROR(__xludf.DUMMYFUNCTION("""COMPUTED_VALUE"""),"Estrela 4")</f>
        <v>Estrela 4</v>
      </c>
      <c r="P1029" s="5">
        <f>IFERROR(__xludf.DUMMYFUNCTION("""COMPUTED_VALUE"""),257.0)</f>
        <v>257</v>
      </c>
      <c r="Q1029" s="5" t="str">
        <f>IFERROR(__xludf.DUMMYFUNCTION("""COMPUTED_VALUE"""),"Underground")</f>
        <v>Underground</v>
      </c>
      <c r="R1029" s="5" t="str">
        <f>IFERROR(__xludf.DUMMYFUNCTION("""COMPUTED_VALUE"""),"Slavko Stimac")</f>
        <v>Slavko Stimac</v>
      </c>
      <c r="S1029" s="5" t="str">
        <f>IFERROR(__xludf.DUMMYFUNCTION("""COMPUTED_VALUE"""),"Estrela 4")</f>
        <v>Estrela 4</v>
      </c>
    </row>
    <row r="1030">
      <c r="G1030" s="5" t="str">
        <f>IFERROR(__xludf.DUMMYFUNCTION("""COMPUTED_VALUE"""),"258🤙🏼La haine🤙🏼Vincent Cassel🤙🏼Estrela 1")</f>
        <v>258🤙🏼La haine🤙🏼Vincent Cassel🤙🏼Estrela 1</v>
      </c>
      <c r="H1030" s="5">
        <f>IFERROR(__xludf.DUMMYFUNCTION("SPLiT(G1030, ""🤙🏼"",FALSE,FALSE)"),258.0)</f>
        <v>258</v>
      </c>
      <c r="I1030" s="5" t="str">
        <f>IFERROR(__xludf.DUMMYFUNCTION("""COMPUTED_VALUE"""),"La haine")</f>
        <v>La haine</v>
      </c>
      <c r="J1030" s="5" t="str">
        <f>IFERROR(__xludf.DUMMYFUNCTION("""COMPUTED_VALUE"""),"Vincent Cassel")</f>
        <v>Vincent Cassel</v>
      </c>
      <c r="K1030" s="5" t="str">
        <f>IFERROR(__xludf.DUMMYFUNCTION("""COMPUTED_VALUE"""),"Estrela 1")</f>
        <v>Estrela 1</v>
      </c>
      <c r="P1030" s="5">
        <f>IFERROR(__xludf.DUMMYFUNCTION("""COMPUTED_VALUE"""),258.0)</f>
        <v>258</v>
      </c>
      <c r="Q1030" s="5" t="str">
        <f>IFERROR(__xludf.DUMMYFUNCTION("""COMPUTED_VALUE"""),"La haine")</f>
        <v>La haine</v>
      </c>
      <c r="R1030" s="5" t="str">
        <f>IFERROR(__xludf.DUMMYFUNCTION("""COMPUTED_VALUE"""),"Vincent Cassel")</f>
        <v>Vincent Cassel</v>
      </c>
      <c r="S1030" s="5" t="str">
        <f>IFERROR(__xludf.DUMMYFUNCTION("""COMPUTED_VALUE"""),"Estrela 1")</f>
        <v>Estrela 1</v>
      </c>
    </row>
    <row r="1031">
      <c r="G1031" s="5" t="str">
        <f>IFERROR(__xludf.DUMMYFUNCTION("""COMPUTED_VALUE"""),"258🤙🏼La haine🤙🏼Hubert Koundé🤙🏼Estrela 2")</f>
        <v>258🤙🏼La haine🤙🏼Hubert Koundé🤙🏼Estrela 2</v>
      </c>
      <c r="H1031" s="5">
        <f>IFERROR(__xludf.DUMMYFUNCTION("SPLiT(G1031, ""🤙🏼"",FALSE,FALSE)"),258.0)</f>
        <v>258</v>
      </c>
      <c r="I1031" s="5" t="str">
        <f>IFERROR(__xludf.DUMMYFUNCTION("""COMPUTED_VALUE"""),"La haine")</f>
        <v>La haine</v>
      </c>
      <c r="J1031" s="5" t="str">
        <f>IFERROR(__xludf.DUMMYFUNCTION("""COMPUTED_VALUE"""),"Hubert Koundé")</f>
        <v>Hubert Koundé</v>
      </c>
      <c r="K1031" s="5" t="str">
        <f>IFERROR(__xludf.DUMMYFUNCTION("""COMPUTED_VALUE"""),"Estrela 2")</f>
        <v>Estrela 2</v>
      </c>
      <c r="P1031" s="5">
        <f>IFERROR(__xludf.DUMMYFUNCTION("""COMPUTED_VALUE"""),258.0)</f>
        <v>258</v>
      </c>
      <c r="Q1031" s="5" t="str">
        <f>IFERROR(__xludf.DUMMYFUNCTION("""COMPUTED_VALUE"""),"La haine")</f>
        <v>La haine</v>
      </c>
      <c r="R1031" s="5" t="str">
        <f>IFERROR(__xludf.DUMMYFUNCTION("""COMPUTED_VALUE"""),"Hubert Koundé")</f>
        <v>Hubert Koundé</v>
      </c>
      <c r="S1031" s="5" t="str">
        <f>IFERROR(__xludf.DUMMYFUNCTION("""COMPUTED_VALUE"""),"Estrela 2")</f>
        <v>Estrela 2</v>
      </c>
    </row>
    <row r="1032">
      <c r="G1032" s="5" t="str">
        <f>IFERROR(__xludf.DUMMYFUNCTION("""COMPUTED_VALUE"""),"258🤙🏼La haine🤙🏼Saïd Taghmaoui🤙🏼Estrela 3")</f>
        <v>258🤙🏼La haine🤙🏼Saïd Taghmaoui🤙🏼Estrela 3</v>
      </c>
      <c r="H1032" s="5">
        <f>IFERROR(__xludf.DUMMYFUNCTION("SPLiT(G1032, ""🤙🏼"",FALSE,FALSE)"),258.0)</f>
        <v>258</v>
      </c>
      <c r="I1032" s="5" t="str">
        <f>IFERROR(__xludf.DUMMYFUNCTION("""COMPUTED_VALUE"""),"La haine")</f>
        <v>La haine</v>
      </c>
      <c r="J1032" s="5" t="str">
        <f>IFERROR(__xludf.DUMMYFUNCTION("""COMPUTED_VALUE"""),"Saïd Taghmaoui")</f>
        <v>Saïd Taghmaoui</v>
      </c>
      <c r="K1032" s="5" t="str">
        <f>IFERROR(__xludf.DUMMYFUNCTION("""COMPUTED_VALUE"""),"Estrela 3")</f>
        <v>Estrela 3</v>
      </c>
      <c r="P1032" s="5">
        <f>IFERROR(__xludf.DUMMYFUNCTION("""COMPUTED_VALUE"""),258.0)</f>
        <v>258</v>
      </c>
      <c r="Q1032" s="5" t="str">
        <f>IFERROR(__xludf.DUMMYFUNCTION("""COMPUTED_VALUE"""),"La haine")</f>
        <v>La haine</v>
      </c>
      <c r="R1032" s="5" t="str">
        <f>IFERROR(__xludf.DUMMYFUNCTION("""COMPUTED_VALUE"""),"Saïd Taghmaoui")</f>
        <v>Saïd Taghmaoui</v>
      </c>
      <c r="S1032" s="5" t="str">
        <f>IFERROR(__xludf.DUMMYFUNCTION("""COMPUTED_VALUE"""),"Estrela 3")</f>
        <v>Estrela 3</v>
      </c>
    </row>
    <row r="1033">
      <c r="G1033" s="5" t="str">
        <f>IFERROR(__xludf.DUMMYFUNCTION("""COMPUTED_VALUE"""),"258🤙🏼La haine🤙🏼Abdel Ahmed Ghili🤙🏼Estrela 4")</f>
        <v>258🤙🏼La haine🤙🏼Abdel Ahmed Ghili🤙🏼Estrela 4</v>
      </c>
      <c r="H1033" s="5">
        <f>IFERROR(__xludf.DUMMYFUNCTION("SPLiT(G1033, ""🤙🏼"",FALSE,FALSE)"),258.0)</f>
        <v>258</v>
      </c>
      <c r="I1033" s="5" t="str">
        <f>IFERROR(__xludf.DUMMYFUNCTION("""COMPUTED_VALUE"""),"La haine")</f>
        <v>La haine</v>
      </c>
      <c r="J1033" s="5" t="str">
        <f>IFERROR(__xludf.DUMMYFUNCTION("""COMPUTED_VALUE"""),"Abdel Ahmed Ghili")</f>
        <v>Abdel Ahmed Ghili</v>
      </c>
      <c r="K1033" s="5" t="str">
        <f>IFERROR(__xludf.DUMMYFUNCTION("""COMPUTED_VALUE"""),"Estrela 4")</f>
        <v>Estrela 4</v>
      </c>
      <c r="P1033" s="5">
        <f>IFERROR(__xludf.DUMMYFUNCTION("""COMPUTED_VALUE"""),258.0)</f>
        <v>258</v>
      </c>
      <c r="Q1033" s="5" t="str">
        <f>IFERROR(__xludf.DUMMYFUNCTION("""COMPUTED_VALUE"""),"La haine")</f>
        <v>La haine</v>
      </c>
      <c r="R1033" s="5" t="str">
        <f>IFERROR(__xludf.DUMMYFUNCTION("""COMPUTED_VALUE"""),"Abdel Ahmed Ghili")</f>
        <v>Abdel Ahmed Ghili</v>
      </c>
      <c r="S1033" s="5" t="str">
        <f>IFERROR(__xludf.DUMMYFUNCTION("""COMPUTED_VALUE"""),"Estrela 4")</f>
        <v>Estrela 4</v>
      </c>
    </row>
    <row r="1034">
      <c r="G1034" s="5" t="str">
        <f>IFERROR(__xludf.DUMMYFUNCTION("""COMPUTED_VALUE"""),"259🤙🏼Dilwale Dulhania Le Jayenge🤙🏼Shah Rukh Khan🤙🏼Estrela 1")</f>
        <v>259🤙🏼Dilwale Dulhania Le Jayenge🤙🏼Shah Rukh Khan🤙🏼Estrela 1</v>
      </c>
      <c r="H1034" s="5">
        <f>IFERROR(__xludf.DUMMYFUNCTION("SPLiT(G1034, ""🤙🏼"",FALSE,FALSE)"),259.0)</f>
        <v>259</v>
      </c>
      <c r="I1034" s="5" t="str">
        <f>IFERROR(__xludf.DUMMYFUNCTION("""COMPUTED_VALUE"""),"Dilwale Dulhania Le Jayenge")</f>
        <v>Dilwale Dulhania Le Jayenge</v>
      </c>
      <c r="J1034" s="5" t="str">
        <f>IFERROR(__xludf.DUMMYFUNCTION("""COMPUTED_VALUE"""),"Shah Rukh Khan")</f>
        <v>Shah Rukh Khan</v>
      </c>
      <c r="K1034" s="5" t="str">
        <f>IFERROR(__xludf.DUMMYFUNCTION("""COMPUTED_VALUE"""),"Estrela 1")</f>
        <v>Estrela 1</v>
      </c>
      <c r="P1034" s="5">
        <f>IFERROR(__xludf.DUMMYFUNCTION("""COMPUTED_VALUE"""),259.0)</f>
        <v>259</v>
      </c>
      <c r="Q1034" s="5" t="str">
        <f>IFERROR(__xludf.DUMMYFUNCTION("""COMPUTED_VALUE"""),"Dilwale Dulhania Le Jayenge")</f>
        <v>Dilwale Dulhania Le Jayenge</v>
      </c>
      <c r="R1034" s="5" t="str">
        <f>IFERROR(__xludf.DUMMYFUNCTION("""COMPUTED_VALUE"""),"Shah Rukh Khan")</f>
        <v>Shah Rukh Khan</v>
      </c>
      <c r="S1034" s="5" t="str">
        <f>IFERROR(__xludf.DUMMYFUNCTION("""COMPUTED_VALUE"""),"Estrela 1")</f>
        <v>Estrela 1</v>
      </c>
    </row>
    <row r="1035">
      <c r="G1035" s="5" t="str">
        <f>IFERROR(__xludf.DUMMYFUNCTION("""COMPUTED_VALUE"""),"259🤙🏼Dilwale Dulhania Le Jayenge🤙🏼Kajol🤙🏼Estrela 2")</f>
        <v>259🤙🏼Dilwale Dulhania Le Jayenge🤙🏼Kajol🤙🏼Estrela 2</v>
      </c>
      <c r="H1035" s="5">
        <f>IFERROR(__xludf.DUMMYFUNCTION("SPLiT(G1035, ""🤙🏼"",FALSE,FALSE)"),259.0)</f>
        <v>259</v>
      </c>
      <c r="I1035" s="5" t="str">
        <f>IFERROR(__xludf.DUMMYFUNCTION("""COMPUTED_VALUE"""),"Dilwale Dulhania Le Jayenge")</f>
        <v>Dilwale Dulhania Le Jayenge</v>
      </c>
      <c r="J1035" s="5" t="str">
        <f>IFERROR(__xludf.DUMMYFUNCTION("""COMPUTED_VALUE"""),"Kajol")</f>
        <v>Kajol</v>
      </c>
      <c r="K1035" s="5" t="str">
        <f>IFERROR(__xludf.DUMMYFUNCTION("""COMPUTED_VALUE"""),"Estrela 2")</f>
        <v>Estrela 2</v>
      </c>
      <c r="P1035" s="5">
        <f>IFERROR(__xludf.DUMMYFUNCTION("""COMPUTED_VALUE"""),259.0)</f>
        <v>259</v>
      </c>
      <c r="Q1035" s="5" t="str">
        <f>IFERROR(__xludf.DUMMYFUNCTION("""COMPUTED_VALUE"""),"Dilwale Dulhania Le Jayenge")</f>
        <v>Dilwale Dulhania Le Jayenge</v>
      </c>
      <c r="R1035" s="5" t="str">
        <f>IFERROR(__xludf.DUMMYFUNCTION("""COMPUTED_VALUE"""),"Kajol")</f>
        <v>Kajol</v>
      </c>
      <c r="S1035" s="5" t="str">
        <f>IFERROR(__xludf.DUMMYFUNCTION("""COMPUTED_VALUE"""),"Estrela 2")</f>
        <v>Estrela 2</v>
      </c>
    </row>
    <row r="1036">
      <c r="G1036" s="5" t="str">
        <f>IFERROR(__xludf.DUMMYFUNCTION("""COMPUTED_VALUE"""),"259🤙🏼Dilwale Dulhania Le Jayenge🤙🏼Amrish Puri🤙🏼Estrela 3")</f>
        <v>259🤙🏼Dilwale Dulhania Le Jayenge🤙🏼Amrish Puri🤙🏼Estrela 3</v>
      </c>
      <c r="H1036" s="5">
        <f>IFERROR(__xludf.DUMMYFUNCTION("SPLiT(G1036, ""🤙🏼"",FALSE,FALSE)"),259.0)</f>
        <v>259</v>
      </c>
      <c r="I1036" s="5" t="str">
        <f>IFERROR(__xludf.DUMMYFUNCTION("""COMPUTED_VALUE"""),"Dilwale Dulhania Le Jayenge")</f>
        <v>Dilwale Dulhania Le Jayenge</v>
      </c>
      <c r="J1036" s="5" t="str">
        <f>IFERROR(__xludf.DUMMYFUNCTION("""COMPUTED_VALUE"""),"Amrish Puri")</f>
        <v>Amrish Puri</v>
      </c>
      <c r="K1036" s="5" t="str">
        <f>IFERROR(__xludf.DUMMYFUNCTION("""COMPUTED_VALUE"""),"Estrela 3")</f>
        <v>Estrela 3</v>
      </c>
      <c r="P1036" s="5">
        <f>IFERROR(__xludf.DUMMYFUNCTION("""COMPUTED_VALUE"""),259.0)</f>
        <v>259</v>
      </c>
      <c r="Q1036" s="5" t="str">
        <f>IFERROR(__xludf.DUMMYFUNCTION("""COMPUTED_VALUE"""),"Dilwale Dulhania Le Jayenge")</f>
        <v>Dilwale Dulhania Le Jayenge</v>
      </c>
      <c r="R1036" s="5" t="str">
        <f>IFERROR(__xludf.DUMMYFUNCTION("""COMPUTED_VALUE"""),"Amrish Puri")</f>
        <v>Amrish Puri</v>
      </c>
      <c r="S1036" s="5" t="str">
        <f>IFERROR(__xludf.DUMMYFUNCTION("""COMPUTED_VALUE"""),"Estrela 3")</f>
        <v>Estrela 3</v>
      </c>
    </row>
    <row r="1037">
      <c r="G1037" s="5" t="str">
        <f>IFERROR(__xludf.DUMMYFUNCTION("""COMPUTED_VALUE"""),"259🤙🏼Dilwale Dulhania Le Jayenge🤙🏼Farida Jalal🤙🏼Estrela 4")</f>
        <v>259🤙🏼Dilwale Dulhania Le Jayenge🤙🏼Farida Jalal🤙🏼Estrela 4</v>
      </c>
      <c r="H1037" s="5">
        <f>IFERROR(__xludf.DUMMYFUNCTION("SPLiT(G1037, ""🤙🏼"",FALSE,FALSE)"),259.0)</f>
        <v>259</v>
      </c>
      <c r="I1037" s="5" t="str">
        <f>IFERROR(__xludf.DUMMYFUNCTION("""COMPUTED_VALUE"""),"Dilwale Dulhania Le Jayenge")</f>
        <v>Dilwale Dulhania Le Jayenge</v>
      </c>
      <c r="J1037" s="5" t="str">
        <f>IFERROR(__xludf.DUMMYFUNCTION("""COMPUTED_VALUE"""),"Farida Jalal")</f>
        <v>Farida Jalal</v>
      </c>
      <c r="K1037" s="5" t="str">
        <f>IFERROR(__xludf.DUMMYFUNCTION("""COMPUTED_VALUE"""),"Estrela 4")</f>
        <v>Estrela 4</v>
      </c>
      <c r="P1037" s="5">
        <f>IFERROR(__xludf.DUMMYFUNCTION("""COMPUTED_VALUE"""),259.0)</f>
        <v>259</v>
      </c>
      <c r="Q1037" s="5" t="str">
        <f>IFERROR(__xludf.DUMMYFUNCTION("""COMPUTED_VALUE"""),"Dilwale Dulhania Le Jayenge")</f>
        <v>Dilwale Dulhania Le Jayenge</v>
      </c>
      <c r="R1037" s="5" t="str">
        <f>IFERROR(__xludf.DUMMYFUNCTION("""COMPUTED_VALUE"""),"Farida Jalal")</f>
        <v>Farida Jalal</v>
      </c>
      <c r="S1037" s="5" t="str">
        <f>IFERROR(__xludf.DUMMYFUNCTION("""COMPUTED_VALUE"""),"Estrela 4")</f>
        <v>Estrela 4</v>
      </c>
    </row>
    <row r="1038">
      <c r="G1038" s="5" t="str">
        <f>IFERROR(__xludf.DUMMYFUNCTION("""COMPUTED_VALUE"""),"260🤙🏼Before Sunrise🤙🏼Ethan Hawke🤙🏼Estrela 1")</f>
        <v>260🤙🏼Before Sunrise🤙🏼Ethan Hawke🤙🏼Estrela 1</v>
      </c>
      <c r="H1038" s="5">
        <f>IFERROR(__xludf.DUMMYFUNCTION("SPLiT(G1038, ""🤙🏼"",FALSE,FALSE)"),260.0)</f>
        <v>260</v>
      </c>
      <c r="I1038" s="5" t="str">
        <f>IFERROR(__xludf.DUMMYFUNCTION("""COMPUTED_VALUE"""),"Before Sunrise")</f>
        <v>Before Sunrise</v>
      </c>
      <c r="J1038" s="5" t="str">
        <f>IFERROR(__xludf.DUMMYFUNCTION("""COMPUTED_VALUE"""),"Ethan Hawke")</f>
        <v>Ethan Hawke</v>
      </c>
      <c r="K1038" s="5" t="str">
        <f>IFERROR(__xludf.DUMMYFUNCTION("""COMPUTED_VALUE"""),"Estrela 1")</f>
        <v>Estrela 1</v>
      </c>
      <c r="P1038" s="5">
        <f>IFERROR(__xludf.DUMMYFUNCTION("""COMPUTED_VALUE"""),260.0)</f>
        <v>260</v>
      </c>
      <c r="Q1038" s="5" t="str">
        <f>IFERROR(__xludf.DUMMYFUNCTION("""COMPUTED_VALUE"""),"Before Sunrise")</f>
        <v>Before Sunrise</v>
      </c>
      <c r="R1038" s="5" t="str">
        <f>IFERROR(__xludf.DUMMYFUNCTION("""COMPUTED_VALUE"""),"Ethan Hawke")</f>
        <v>Ethan Hawke</v>
      </c>
      <c r="S1038" s="5" t="str">
        <f>IFERROR(__xludf.DUMMYFUNCTION("""COMPUTED_VALUE"""),"Estrela 1")</f>
        <v>Estrela 1</v>
      </c>
    </row>
    <row r="1039">
      <c r="G1039" s="5" t="str">
        <f>IFERROR(__xludf.DUMMYFUNCTION("""COMPUTED_VALUE"""),"260🤙🏼Before Sunrise🤙🏼Julie Delpy🤙🏼Estrela 2")</f>
        <v>260🤙🏼Before Sunrise🤙🏼Julie Delpy🤙🏼Estrela 2</v>
      </c>
      <c r="H1039" s="5">
        <f>IFERROR(__xludf.DUMMYFUNCTION("SPLiT(G1039, ""🤙🏼"",FALSE,FALSE)"),260.0)</f>
        <v>260</v>
      </c>
      <c r="I1039" s="5" t="str">
        <f>IFERROR(__xludf.DUMMYFUNCTION("""COMPUTED_VALUE"""),"Before Sunrise")</f>
        <v>Before Sunrise</v>
      </c>
      <c r="J1039" s="5" t="str">
        <f>IFERROR(__xludf.DUMMYFUNCTION("""COMPUTED_VALUE"""),"Julie Delpy")</f>
        <v>Julie Delpy</v>
      </c>
      <c r="K1039" s="5" t="str">
        <f>IFERROR(__xludf.DUMMYFUNCTION("""COMPUTED_VALUE"""),"Estrela 2")</f>
        <v>Estrela 2</v>
      </c>
      <c r="P1039" s="5">
        <f>IFERROR(__xludf.DUMMYFUNCTION("""COMPUTED_VALUE"""),260.0)</f>
        <v>260</v>
      </c>
      <c r="Q1039" s="5" t="str">
        <f>IFERROR(__xludf.DUMMYFUNCTION("""COMPUTED_VALUE"""),"Before Sunrise")</f>
        <v>Before Sunrise</v>
      </c>
      <c r="R1039" s="5" t="str">
        <f>IFERROR(__xludf.DUMMYFUNCTION("""COMPUTED_VALUE"""),"Julie Delpy")</f>
        <v>Julie Delpy</v>
      </c>
      <c r="S1039" s="5" t="str">
        <f>IFERROR(__xludf.DUMMYFUNCTION("""COMPUTED_VALUE"""),"Estrela 2")</f>
        <v>Estrela 2</v>
      </c>
    </row>
    <row r="1040">
      <c r="G1040" s="5" t="str">
        <f>IFERROR(__xludf.DUMMYFUNCTION("""COMPUTED_VALUE"""),"260🤙🏼Before Sunrise🤙🏼Andrea Eckert🤙🏼Estrela 3")</f>
        <v>260🤙🏼Before Sunrise🤙🏼Andrea Eckert🤙🏼Estrela 3</v>
      </c>
      <c r="H1040" s="5">
        <f>IFERROR(__xludf.DUMMYFUNCTION("SPLiT(G1040, ""🤙🏼"",FALSE,FALSE)"),260.0)</f>
        <v>260</v>
      </c>
      <c r="I1040" s="5" t="str">
        <f>IFERROR(__xludf.DUMMYFUNCTION("""COMPUTED_VALUE"""),"Before Sunrise")</f>
        <v>Before Sunrise</v>
      </c>
      <c r="J1040" s="5" t="str">
        <f>IFERROR(__xludf.DUMMYFUNCTION("""COMPUTED_VALUE"""),"Andrea Eckert")</f>
        <v>Andrea Eckert</v>
      </c>
      <c r="K1040" s="5" t="str">
        <f>IFERROR(__xludf.DUMMYFUNCTION("""COMPUTED_VALUE"""),"Estrela 3")</f>
        <v>Estrela 3</v>
      </c>
      <c r="P1040" s="5">
        <f>IFERROR(__xludf.DUMMYFUNCTION("""COMPUTED_VALUE"""),260.0)</f>
        <v>260</v>
      </c>
      <c r="Q1040" s="5" t="str">
        <f>IFERROR(__xludf.DUMMYFUNCTION("""COMPUTED_VALUE"""),"Before Sunrise")</f>
        <v>Before Sunrise</v>
      </c>
      <c r="R1040" s="5" t="str">
        <f>IFERROR(__xludf.DUMMYFUNCTION("""COMPUTED_VALUE"""),"Andrea Eckert")</f>
        <v>Andrea Eckert</v>
      </c>
      <c r="S1040" s="5" t="str">
        <f>IFERROR(__xludf.DUMMYFUNCTION("""COMPUTED_VALUE"""),"Estrela 3")</f>
        <v>Estrela 3</v>
      </c>
    </row>
    <row r="1041">
      <c r="G1041" s="5" t="str">
        <f>IFERROR(__xludf.DUMMYFUNCTION("""COMPUTED_VALUE"""),"260🤙🏼Before Sunrise🤙🏼Hanno Pöschl🤙🏼Estrela 4")</f>
        <v>260🤙🏼Before Sunrise🤙🏼Hanno Pöschl🤙🏼Estrela 4</v>
      </c>
      <c r="H1041" s="5">
        <f>IFERROR(__xludf.DUMMYFUNCTION("SPLiT(G1041, ""🤙🏼"",FALSE,FALSE)"),260.0)</f>
        <v>260</v>
      </c>
      <c r="I1041" s="5" t="str">
        <f>IFERROR(__xludf.DUMMYFUNCTION("""COMPUTED_VALUE"""),"Before Sunrise")</f>
        <v>Before Sunrise</v>
      </c>
      <c r="J1041" s="5" t="str">
        <f>IFERROR(__xludf.DUMMYFUNCTION("""COMPUTED_VALUE"""),"Hanno Pöschl")</f>
        <v>Hanno Pöschl</v>
      </c>
      <c r="K1041" s="5" t="str">
        <f>IFERROR(__xludf.DUMMYFUNCTION("""COMPUTED_VALUE"""),"Estrela 4")</f>
        <v>Estrela 4</v>
      </c>
      <c r="P1041" s="5">
        <f>IFERROR(__xludf.DUMMYFUNCTION("""COMPUTED_VALUE"""),260.0)</f>
        <v>260</v>
      </c>
      <c r="Q1041" s="5" t="str">
        <f>IFERROR(__xludf.DUMMYFUNCTION("""COMPUTED_VALUE"""),"Before Sunrise")</f>
        <v>Before Sunrise</v>
      </c>
      <c r="R1041" s="5" t="str">
        <f>IFERROR(__xludf.DUMMYFUNCTION("""COMPUTED_VALUE"""),"Hanno Pöschl")</f>
        <v>Hanno Pöschl</v>
      </c>
      <c r="S1041" s="5" t="str">
        <f>IFERROR(__xludf.DUMMYFUNCTION("""COMPUTED_VALUE"""),"Estrela 4")</f>
        <v>Estrela 4</v>
      </c>
    </row>
    <row r="1042">
      <c r="G1042" s="5" t="str">
        <f>IFERROR(__xludf.DUMMYFUNCTION("""COMPUTED_VALUE"""),"261🤙🏼Trois couleurs: Rouge🤙🏼Irène Jacob🤙🏼Estrela 1")</f>
        <v>261🤙🏼Trois couleurs: Rouge🤙🏼Irène Jacob🤙🏼Estrela 1</v>
      </c>
      <c r="H1042" s="5">
        <f>IFERROR(__xludf.DUMMYFUNCTION("SPLiT(G1042, ""🤙🏼"",FALSE,FALSE)"),261.0)</f>
        <v>261</v>
      </c>
      <c r="I1042" s="5" t="str">
        <f>IFERROR(__xludf.DUMMYFUNCTION("""COMPUTED_VALUE"""),"Trois couleurs: Rouge")</f>
        <v>Trois couleurs: Rouge</v>
      </c>
      <c r="J1042" s="5" t="str">
        <f>IFERROR(__xludf.DUMMYFUNCTION("""COMPUTED_VALUE"""),"Irène Jacob")</f>
        <v>Irène Jacob</v>
      </c>
      <c r="K1042" s="5" t="str">
        <f>IFERROR(__xludf.DUMMYFUNCTION("""COMPUTED_VALUE"""),"Estrela 1")</f>
        <v>Estrela 1</v>
      </c>
      <c r="P1042" s="5">
        <f>IFERROR(__xludf.DUMMYFUNCTION("""COMPUTED_VALUE"""),261.0)</f>
        <v>261</v>
      </c>
      <c r="Q1042" s="5" t="str">
        <f>IFERROR(__xludf.DUMMYFUNCTION("""COMPUTED_VALUE"""),"Trois couleurs: Rouge")</f>
        <v>Trois couleurs: Rouge</v>
      </c>
      <c r="R1042" s="5" t="str">
        <f>IFERROR(__xludf.DUMMYFUNCTION("""COMPUTED_VALUE"""),"Irène Jacob")</f>
        <v>Irène Jacob</v>
      </c>
      <c r="S1042" s="5" t="str">
        <f>IFERROR(__xludf.DUMMYFUNCTION("""COMPUTED_VALUE"""),"Estrela 1")</f>
        <v>Estrela 1</v>
      </c>
    </row>
    <row r="1043">
      <c r="G1043" s="5" t="str">
        <f>IFERROR(__xludf.DUMMYFUNCTION("""COMPUTED_VALUE"""),"261🤙🏼Trois couleurs: Rouge🤙🏼Jean-Louis Trintignant🤙🏼Estrela 2")</f>
        <v>261🤙🏼Trois couleurs: Rouge🤙🏼Jean-Louis Trintignant🤙🏼Estrela 2</v>
      </c>
      <c r="H1043" s="5">
        <f>IFERROR(__xludf.DUMMYFUNCTION("SPLiT(G1043, ""🤙🏼"",FALSE,FALSE)"),261.0)</f>
        <v>261</v>
      </c>
      <c r="I1043" s="5" t="str">
        <f>IFERROR(__xludf.DUMMYFUNCTION("""COMPUTED_VALUE"""),"Trois couleurs: Rouge")</f>
        <v>Trois couleurs: Rouge</v>
      </c>
      <c r="J1043" s="5" t="str">
        <f>IFERROR(__xludf.DUMMYFUNCTION("""COMPUTED_VALUE"""),"Jean-Louis Trintignant")</f>
        <v>Jean-Louis Trintignant</v>
      </c>
      <c r="K1043" s="5" t="str">
        <f>IFERROR(__xludf.DUMMYFUNCTION("""COMPUTED_VALUE"""),"Estrela 2")</f>
        <v>Estrela 2</v>
      </c>
      <c r="P1043" s="5">
        <f>IFERROR(__xludf.DUMMYFUNCTION("""COMPUTED_VALUE"""),261.0)</f>
        <v>261</v>
      </c>
      <c r="Q1043" s="5" t="str">
        <f>IFERROR(__xludf.DUMMYFUNCTION("""COMPUTED_VALUE"""),"Trois couleurs: Rouge")</f>
        <v>Trois couleurs: Rouge</v>
      </c>
      <c r="R1043" s="5" t="str">
        <f>IFERROR(__xludf.DUMMYFUNCTION("""COMPUTED_VALUE"""),"Jean-Louis Trintignant")</f>
        <v>Jean-Louis Trintignant</v>
      </c>
      <c r="S1043" s="5" t="str">
        <f>IFERROR(__xludf.DUMMYFUNCTION("""COMPUTED_VALUE"""),"Estrela 2")</f>
        <v>Estrela 2</v>
      </c>
    </row>
    <row r="1044">
      <c r="G1044" s="5" t="str">
        <f>IFERROR(__xludf.DUMMYFUNCTION("""COMPUTED_VALUE"""),"261🤙🏼Trois couleurs: Rouge🤙🏼Frédérique Feder🤙🏼Estrela 3")</f>
        <v>261🤙🏼Trois couleurs: Rouge🤙🏼Frédérique Feder🤙🏼Estrela 3</v>
      </c>
      <c r="H1044" s="5">
        <f>IFERROR(__xludf.DUMMYFUNCTION("SPLiT(G1044, ""🤙🏼"",FALSE,FALSE)"),261.0)</f>
        <v>261</v>
      </c>
      <c r="I1044" s="5" t="str">
        <f>IFERROR(__xludf.DUMMYFUNCTION("""COMPUTED_VALUE"""),"Trois couleurs: Rouge")</f>
        <v>Trois couleurs: Rouge</v>
      </c>
      <c r="J1044" s="5" t="str">
        <f>IFERROR(__xludf.DUMMYFUNCTION("""COMPUTED_VALUE"""),"Frédérique Feder")</f>
        <v>Frédérique Feder</v>
      </c>
      <c r="K1044" s="5" t="str">
        <f>IFERROR(__xludf.DUMMYFUNCTION("""COMPUTED_VALUE"""),"Estrela 3")</f>
        <v>Estrela 3</v>
      </c>
      <c r="P1044" s="5">
        <f>IFERROR(__xludf.DUMMYFUNCTION("""COMPUTED_VALUE"""),261.0)</f>
        <v>261</v>
      </c>
      <c r="Q1044" s="5" t="str">
        <f>IFERROR(__xludf.DUMMYFUNCTION("""COMPUTED_VALUE"""),"Trois couleurs: Rouge")</f>
        <v>Trois couleurs: Rouge</v>
      </c>
      <c r="R1044" s="5" t="str">
        <f>IFERROR(__xludf.DUMMYFUNCTION("""COMPUTED_VALUE"""),"Frédérique Feder")</f>
        <v>Frédérique Feder</v>
      </c>
      <c r="S1044" s="5" t="str">
        <f>IFERROR(__xludf.DUMMYFUNCTION("""COMPUTED_VALUE"""),"Estrela 3")</f>
        <v>Estrela 3</v>
      </c>
    </row>
    <row r="1045">
      <c r="G1045" s="5" t="str">
        <f>IFERROR(__xludf.DUMMYFUNCTION("""COMPUTED_VALUE"""),"261🤙🏼Trois couleurs: Rouge🤙🏼Jean-Pierre Lorit🤙🏼Estrela 4")</f>
        <v>261🤙🏼Trois couleurs: Rouge🤙🏼Jean-Pierre Lorit🤙🏼Estrela 4</v>
      </c>
      <c r="H1045" s="5">
        <f>IFERROR(__xludf.DUMMYFUNCTION("SPLiT(G1045, ""🤙🏼"",FALSE,FALSE)"),261.0)</f>
        <v>261</v>
      </c>
      <c r="I1045" s="5" t="str">
        <f>IFERROR(__xludf.DUMMYFUNCTION("""COMPUTED_VALUE"""),"Trois couleurs: Rouge")</f>
        <v>Trois couleurs: Rouge</v>
      </c>
      <c r="J1045" s="5" t="str">
        <f>IFERROR(__xludf.DUMMYFUNCTION("""COMPUTED_VALUE"""),"Jean-Pierre Lorit")</f>
        <v>Jean-Pierre Lorit</v>
      </c>
      <c r="K1045" s="5" t="str">
        <f>IFERROR(__xludf.DUMMYFUNCTION("""COMPUTED_VALUE"""),"Estrela 4")</f>
        <v>Estrela 4</v>
      </c>
      <c r="P1045" s="5">
        <f>IFERROR(__xludf.DUMMYFUNCTION("""COMPUTED_VALUE"""),261.0)</f>
        <v>261</v>
      </c>
      <c r="Q1045" s="5" t="str">
        <f>IFERROR(__xludf.DUMMYFUNCTION("""COMPUTED_VALUE"""),"Trois couleurs: Rouge")</f>
        <v>Trois couleurs: Rouge</v>
      </c>
      <c r="R1045" s="5" t="str">
        <f>IFERROR(__xludf.DUMMYFUNCTION("""COMPUTED_VALUE"""),"Jean-Pierre Lorit")</f>
        <v>Jean-Pierre Lorit</v>
      </c>
      <c r="S1045" s="5" t="str">
        <f>IFERROR(__xludf.DUMMYFUNCTION("""COMPUTED_VALUE"""),"Estrela 4")</f>
        <v>Estrela 4</v>
      </c>
    </row>
    <row r="1046">
      <c r="G1046" s="5" t="str">
        <f>IFERROR(__xludf.DUMMYFUNCTION("""COMPUTED_VALUE"""),"262🤙🏼Chung Hing sam lam🤙🏼Brigitte Lin🤙🏼Estrela 1")</f>
        <v>262🤙🏼Chung Hing sam lam🤙🏼Brigitte Lin🤙🏼Estrela 1</v>
      </c>
      <c r="H1046" s="5">
        <f>IFERROR(__xludf.DUMMYFUNCTION("SPLiT(G1046, ""🤙🏼"",FALSE,FALSE)"),262.0)</f>
        <v>262</v>
      </c>
      <c r="I1046" s="5" t="str">
        <f>IFERROR(__xludf.DUMMYFUNCTION("""COMPUTED_VALUE"""),"Chung Hing sam lam")</f>
        <v>Chung Hing sam lam</v>
      </c>
      <c r="J1046" s="5" t="str">
        <f>IFERROR(__xludf.DUMMYFUNCTION("""COMPUTED_VALUE"""),"Brigitte Lin")</f>
        <v>Brigitte Lin</v>
      </c>
      <c r="K1046" s="5" t="str">
        <f>IFERROR(__xludf.DUMMYFUNCTION("""COMPUTED_VALUE"""),"Estrela 1")</f>
        <v>Estrela 1</v>
      </c>
      <c r="P1046" s="5">
        <f>IFERROR(__xludf.DUMMYFUNCTION("""COMPUTED_VALUE"""),262.0)</f>
        <v>262</v>
      </c>
      <c r="Q1046" s="5" t="str">
        <f>IFERROR(__xludf.DUMMYFUNCTION("""COMPUTED_VALUE"""),"Chung Hing sam lam")</f>
        <v>Chung Hing sam lam</v>
      </c>
      <c r="R1046" s="5" t="str">
        <f>IFERROR(__xludf.DUMMYFUNCTION("""COMPUTED_VALUE"""),"Brigitte Lin")</f>
        <v>Brigitte Lin</v>
      </c>
      <c r="S1046" s="5" t="str">
        <f>IFERROR(__xludf.DUMMYFUNCTION("""COMPUTED_VALUE"""),"Estrela 1")</f>
        <v>Estrela 1</v>
      </c>
    </row>
    <row r="1047">
      <c r="G1047" s="5" t="str">
        <f>IFERROR(__xludf.DUMMYFUNCTION("""COMPUTED_VALUE"""),"262🤙🏼Chung Hing sam lam🤙🏼Takeshi Kaneshiro🤙🏼Estrela 2")</f>
        <v>262🤙🏼Chung Hing sam lam🤙🏼Takeshi Kaneshiro🤙🏼Estrela 2</v>
      </c>
      <c r="H1047" s="5">
        <f>IFERROR(__xludf.DUMMYFUNCTION("SPLiT(G1047, ""🤙🏼"",FALSE,FALSE)"),262.0)</f>
        <v>262</v>
      </c>
      <c r="I1047" s="5" t="str">
        <f>IFERROR(__xludf.DUMMYFUNCTION("""COMPUTED_VALUE"""),"Chung Hing sam lam")</f>
        <v>Chung Hing sam lam</v>
      </c>
      <c r="J1047" s="5" t="str">
        <f>IFERROR(__xludf.DUMMYFUNCTION("""COMPUTED_VALUE"""),"Takeshi Kaneshiro")</f>
        <v>Takeshi Kaneshiro</v>
      </c>
      <c r="K1047" s="5" t="str">
        <f>IFERROR(__xludf.DUMMYFUNCTION("""COMPUTED_VALUE"""),"Estrela 2")</f>
        <v>Estrela 2</v>
      </c>
      <c r="P1047" s="5">
        <f>IFERROR(__xludf.DUMMYFUNCTION("""COMPUTED_VALUE"""),262.0)</f>
        <v>262</v>
      </c>
      <c r="Q1047" s="5" t="str">
        <f>IFERROR(__xludf.DUMMYFUNCTION("""COMPUTED_VALUE"""),"Chung Hing sam lam")</f>
        <v>Chung Hing sam lam</v>
      </c>
      <c r="R1047" s="5" t="str">
        <f>IFERROR(__xludf.DUMMYFUNCTION("""COMPUTED_VALUE"""),"Takeshi Kaneshiro")</f>
        <v>Takeshi Kaneshiro</v>
      </c>
      <c r="S1047" s="5" t="str">
        <f>IFERROR(__xludf.DUMMYFUNCTION("""COMPUTED_VALUE"""),"Estrela 2")</f>
        <v>Estrela 2</v>
      </c>
    </row>
    <row r="1048">
      <c r="G1048" s="5" t="str">
        <f>IFERROR(__xludf.DUMMYFUNCTION("""COMPUTED_VALUE"""),"262🤙🏼Chung Hing sam lam🤙🏼Tony Chiu-Wai Leung🤙🏼Estrela 3")</f>
        <v>262🤙🏼Chung Hing sam lam🤙🏼Tony Chiu-Wai Leung🤙🏼Estrela 3</v>
      </c>
      <c r="H1048" s="5">
        <f>IFERROR(__xludf.DUMMYFUNCTION("SPLiT(G1048, ""🤙🏼"",FALSE,FALSE)"),262.0)</f>
        <v>262</v>
      </c>
      <c r="I1048" s="5" t="str">
        <f>IFERROR(__xludf.DUMMYFUNCTION("""COMPUTED_VALUE"""),"Chung Hing sam lam")</f>
        <v>Chung Hing sam lam</v>
      </c>
      <c r="J1048" s="5" t="str">
        <f>IFERROR(__xludf.DUMMYFUNCTION("""COMPUTED_VALUE"""),"Tony Chiu-Wai Leung")</f>
        <v>Tony Chiu-Wai Leung</v>
      </c>
      <c r="K1048" s="5" t="str">
        <f>IFERROR(__xludf.DUMMYFUNCTION("""COMPUTED_VALUE"""),"Estrela 3")</f>
        <v>Estrela 3</v>
      </c>
      <c r="P1048" s="5">
        <f>IFERROR(__xludf.DUMMYFUNCTION("""COMPUTED_VALUE"""),262.0)</f>
        <v>262</v>
      </c>
      <c r="Q1048" s="5" t="str">
        <f>IFERROR(__xludf.DUMMYFUNCTION("""COMPUTED_VALUE"""),"Chung Hing sam lam")</f>
        <v>Chung Hing sam lam</v>
      </c>
      <c r="R1048" s="5" t="str">
        <f>IFERROR(__xludf.DUMMYFUNCTION("""COMPUTED_VALUE"""),"Tony Chiu-Wai Leung")</f>
        <v>Tony Chiu-Wai Leung</v>
      </c>
      <c r="S1048" s="5" t="str">
        <f>IFERROR(__xludf.DUMMYFUNCTION("""COMPUTED_VALUE"""),"Estrela 3")</f>
        <v>Estrela 3</v>
      </c>
    </row>
    <row r="1049">
      <c r="G1049" s="5" t="str">
        <f>IFERROR(__xludf.DUMMYFUNCTION("""COMPUTED_VALUE"""),"262🤙🏼Chung Hing sam lam🤙🏼Faye Wong🤙🏼Estrela 4")</f>
        <v>262🤙🏼Chung Hing sam lam🤙🏼Faye Wong🤙🏼Estrela 4</v>
      </c>
      <c r="H1049" s="5">
        <f>IFERROR(__xludf.DUMMYFUNCTION("SPLiT(G1049, ""🤙🏼"",FALSE,FALSE)"),262.0)</f>
        <v>262</v>
      </c>
      <c r="I1049" s="5" t="str">
        <f>IFERROR(__xludf.DUMMYFUNCTION("""COMPUTED_VALUE"""),"Chung Hing sam lam")</f>
        <v>Chung Hing sam lam</v>
      </c>
      <c r="J1049" s="5" t="str">
        <f>IFERROR(__xludf.DUMMYFUNCTION("""COMPUTED_VALUE"""),"Faye Wong")</f>
        <v>Faye Wong</v>
      </c>
      <c r="K1049" s="5" t="str">
        <f>IFERROR(__xludf.DUMMYFUNCTION("""COMPUTED_VALUE"""),"Estrela 4")</f>
        <v>Estrela 4</v>
      </c>
      <c r="P1049" s="5">
        <f>IFERROR(__xludf.DUMMYFUNCTION("""COMPUTED_VALUE"""),262.0)</f>
        <v>262</v>
      </c>
      <c r="Q1049" s="5" t="str">
        <f>IFERROR(__xludf.DUMMYFUNCTION("""COMPUTED_VALUE"""),"Chung Hing sam lam")</f>
        <v>Chung Hing sam lam</v>
      </c>
      <c r="R1049" s="5" t="str">
        <f>IFERROR(__xludf.DUMMYFUNCTION("""COMPUTED_VALUE"""),"Faye Wong")</f>
        <v>Faye Wong</v>
      </c>
      <c r="S1049" s="5" t="str">
        <f>IFERROR(__xludf.DUMMYFUNCTION("""COMPUTED_VALUE"""),"Estrela 4")</f>
        <v>Estrela 4</v>
      </c>
    </row>
    <row r="1050">
      <c r="G1050" s="5" t="str">
        <f>IFERROR(__xludf.DUMMYFUNCTION("""COMPUTED_VALUE"""),"263🤙🏼Jurassic Park🤙🏼Sam Neill🤙🏼Estrela 1")</f>
        <v>263🤙🏼Jurassic Park🤙🏼Sam Neill🤙🏼Estrela 1</v>
      </c>
      <c r="H1050" s="5">
        <f>IFERROR(__xludf.DUMMYFUNCTION("SPLiT(G1050, ""🤙🏼"",FALSE,FALSE)"),263.0)</f>
        <v>263</v>
      </c>
      <c r="I1050" s="5" t="str">
        <f>IFERROR(__xludf.DUMMYFUNCTION("""COMPUTED_VALUE"""),"Jurassic Park")</f>
        <v>Jurassic Park</v>
      </c>
      <c r="J1050" s="5" t="str">
        <f>IFERROR(__xludf.DUMMYFUNCTION("""COMPUTED_VALUE"""),"Sam Neill")</f>
        <v>Sam Neill</v>
      </c>
      <c r="K1050" s="5" t="str">
        <f>IFERROR(__xludf.DUMMYFUNCTION("""COMPUTED_VALUE"""),"Estrela 1")</f>
        <v>Estrela 1</v>
      </c>
      <c r="P1050" s="5">
        <f>IFERROR(__xludf.DUMMYFUNCTION("""COMPUTED_VALUE"""),263.0)</f>
        <v>263</v>
      </c>
      <c r="Q1050" s="5" t="str">
        <f>IFERROR(__xludf.DUMMYFUNCTION("""COMPUTED_VALUE"""),"Jurassic Park")</f>
        <v>Jurassic Park</v>
      </c>
      <c r="R1050" s="5" t="str">
        <f>IFERROR(__xludf.DUMMYFUNCTION("""COMPUTED_VALUE"""),"Sam Neill")</f>
        <v>Sam Neill</v>
      </c>
      <c r="S1050" s="5" t="str">
        <f>IFERROR(__xludf.DUMMYFUNCTION("""COMPUTED_VALUE"""),"Estrela 1")</f>
        <v>Estrela 1</v>
      </c>
    </row>
    <row r="1051">
      <c r="G1051" s="5" t="str">
        <f>IFERROR(__xludf.DUMMYFUNCTION("""COMPUTED_VALUE"""),"263🤙🏼Jurassic Park🤙🏼Laura Dern🤙🏼Estrela 2")</f>
        <v>263🤙🏼Jurassic Park🤙🏼Laura Dern🤙🏼Estrela 2</v>
      </c>
      <c r="H1051" s="5">
        <f>IFERROR(__xludf.DUMMYFUNCTION("SPLiT(G1051, ""🤙🏼"",FALSE,FALSE)"),263.0)</f>
        <v>263</v>
      </c>
      <c r="I1051" s="5" t="str">
        <f>IFERROR(__xludf.DUMMYFUNCTION("""COMPUTED_VALUE"""),"Jurassic Park")</f>
        <v>Jurassic Park</v>
      </c>
      <c r="J1051" s="5" t="str">
        <f>IFERROR(__xludf.DUMMYFUNCTION("""COMPUTED_VALUE"""),"Laura Dern")</f>
        <v>Laura Dern</v>
      </c>
      <c r="K1051" s="5" t="str">
        <f>IFERROR(__xludf.DUMMYFUNCTION("""COMPUTED_VALUE"""),"Estrela 2")</f>
        <v>Estrela 2</v>
      </c>
      <c r="P1051" s="5">
        <f>IFERROR(__xludf.DUMMYFUNCTION("""COMPUTED_VALUE"""),263.0)</f>
        <v>263</v>
      </c>
      <c r="Q1051" s="5" t="str">
        <f>IFERROR(__xludf.DUMMYFUNCTION("""COMPUTED_VALUE"""),"Jurassic Park")</f>
        <v>Jurassic Park</v>
      </c>
      <c r="R1051" s="5" t="str">
        <f>IFERROR(__xludf.DUMMYFUNCTION("""COMPUTED_VALUE"""),"Laura Dern")</f>
        <v>Laura Dern</v>
      </c>
      <c r="S1051" s="5" t="str">
        <f>IFERROR(__xludf.DUMMYFUNCTION("""COMPUTED_VALUE"""),"Estrela 2")</f>
        <v>Estrela 2</v>
      </c>
    </row>
    <row r="1052">
      <c r="G1052" s="5" t="str">
        <f>IFERROR(__xludf.DUMMYFUNCTION("""COMPUTED_VALUE"""),"263🤙🏼Jurassic Park🤙🏼Jeff Goldblum🤙🏼Estrela 3")</f>
        <v>263🤙🏼Jurassic Park🤙🏼Jeff Goldblum🤙🏼Estrela 3</v>
      </c>
      <c r="H1052" s="5">
        <f>IFERROR(__xludf.DUMMYFUNCTION("SPLiT(G1052, ""🤙🏼"",FALSE,FALSE)"),263.0)</f>
        <v>263</v>
      </c>
      <c r="I1052" s="5" t="str">
        <f>IFERROR(__xludf.DUMMYFUNCTION("""COMPUTED_VALUE"""),"Jurassic Park")</f>
        <v>Jurassic Park</v>
      </c>
      <c r="J1052" s="5" t="str">
        <f>IFERROR(__xludf.DUMMYFUNCTION("""COMPUTED_VALUE"""),"Jeff Goldblum")</f>
        <v>Jeff Goldblum</v>
      </c>
      <c r="K1052" s="5" t="str">
        <f>IFERROR(__xludf.DUMMYFUNCTION("""COMPUTED_VALUE"""),"Estrela 3")</f>
        <v>Estrela 3</v>
      </c>
      <c r="P1052" s="5">
        <f>IFERROR(__xludf.DUMMYFUNCTION("""COMPUTED_VALUE"""),263.0)</f>
        <v>263</v>
      </c>
      <c r="Q1052" s="5" t="str">
        <f>IFERROR(__xludf.DUMMYFUNCTION("""COMPUTED_VALUE"""),"Jurassic Park")</f>
        <v>Jurassic Park</v>
      </c>
      <c r="R1052" s="5" t="str">
        <f>IFERROR(__xludf.DUMMYFUNCTION("""COMPUTED_VALUE"""),"Jeff Goldblum")</f>
        <v>Jeff Goldblum</v>
      </c>
      <c r="S1052" s="5" t="str">
        <f>IFERROR(__xludf.DUMMYFUNCTION("""COMPUTED_VALUE"""),"Estrela 3")</f>
        <v>Estrela 3</v>
      </c>
    </row>
    <row r="1053">
      <c r="G1053" s="5" t="str">
        <f>IFERROR(__xludf.DUMMYFUNCTION("""COMPUTED_VALUE"""),"263🤙🏼Jurassic Park🤙🏼Richard Attenborough🤙🏼Estrela 4")</f>
        <v>263🤙🏼Jurassic Park🤙🏼Richard Attenborough🤙🏼Estrela 4</v>
      </c>
      <c r="H1053" s="5">
        <f>IFERROR(__xludf.DUMMYFUNCTION("SPLiT(G1053, ""🤙🏼"",FALSE,FALSE)"),263.0)</f>
        <v>263</v>
      </c>
      <c r="I1053" s="5" t="str">
        <f>IFERROR(__xludf.DUMMYFUNCTION("""COMPUTED_VALUE"""),"Jurassic Park")</f>
        <v>Jurassic Park</v>
      </c>
      <c r="J1053" s="5" t="str">
        <f>IFERROR(__xludf.DUMMYFUNCTION("""COMPUTED_VALUE"""),"Richard Attenborough")</f>
        <v>Richard Attenborough</v>
      </c>
      <c r="K1053" s="5" t="str">
        <f>IFERROR(__xludf.DUMMYFUNCTION("""COMPUTED_VALUE"""),"Estrela 4")</f>
        <v>Estrela 4</v>
      </c>
      <c r="P1053" s="5">
        <f>IFERROR(__xludf.DUMMYFUNCTION("""COMPUTED_VALUE"""),263.0)</f>
        <v>263</v>
      </c>
      <c r="Q1053" s="5" t="str">
        <f>IFERROR(__xludf.DUMMYFUNCTION("""COMPUTED_VALUE"""),"Jurassic Park")</f>
        <v>Jurassic Park</v>
      </c>
      <c r="R1053" s="5" t="str">
        <f>IFERROR(__xludf.DUMMYFUNCTION("""COMPUTED_VALUE"""),"Richard Attenborough")</f>
        <v>Richard Attenborough</v>
      </c>
      <c r="S1053" s="5" t="str">
        <f>IFERROR(__xludf.DUMMYFUNCTION("""COMPUTED_VALUE"""),"Estrela 4")</f>
        <v>Estrela 4</v>
      </c>
    </row>
    <row r="1054">
      <c r="G1054" s="5" t="str">
        <f>IFERROR(__xludf.DUMMYFUNCTION("""COMPUTED_VALUE"""),"264🤙🏼In the Name of the Father🤙🏼Daniel Day-Lewis🤙🏼Estrela 1")</f>
        <v>264🤙🏼In the Name of the Father🤙🏼Daniel Day-Lewis🤙🏼Estrela 1</v>
      </c>
      <c r="H1054" s="5">
        <f>IFERROR(__xludf.DUMMYFUNCTION("SPLiT(G1054, ""🤙🏼"",FALSE,FALSE)"),264.0)</f>
        <v>264</v>
      </c>
      <c r="I1054" s="5" t="str">
        <f>IFERROR(__xludf.DUMMYFUNCTION("""COMPUTED_VALUE"""),"In the Name of the Father")</f>
        <v>In the Name of the Father</v>
      </c>
      <c r="J1054" s="5" t="str">
        <f>IFERROR(__xludf.DUMMYFUNCTION("""COMPUTED_VALUE"""),"Daniel Day-Lewis")</f>
        <v>Daniel Day-Lewis</v>
      </c>
      <c r="K1054" s="5" t="str">
        <f>IFERROR(__xludf.DUMMYFUNCTION("""COMPUTED_VALUE"""),"Estrela 1")</f>
        <v>Estrela 1</v>
      </c>
      <c r="P1054" s="5">
        <f>IFERROR(__xludf.DUMMYFUNCTION("""COMPUTED_VALUE"""),264.0)</f>
        <v>264</v>
      </c>
      <c r="Q1054" s="5" t="str">
        <f>IFERROR(__xludf.DUMMYFUNCTION("""COMPUTED_VALUE"""),"In the Name of the Father")</f>
        <v>In the Name of the Father</v>
      </c>
      <c r="R1054" s="5" t="str">
        <f>IFERROR(__xludf.DUMMYFUNCTION("""COMPUTED_VALUE"""),"Daniel Day-Lewis")</f>
        <v>Daniel Day-Lewis</v>
      </c>
      <c r="S1054" s="5" t="str">
        <f>IFERROR(__xludf.DUMMYFUNCTION("""COMPUTED_VALUE"""),"Estrela 1")</f>
        <v>Estrela 1</v>
      </c>
    </row>
    <row r="1055">
      <c r="G1055" s="5" t="str">
        <f>IFERROR(__xludf.DUMMYFUNCTION("""COMPUTED_VALUE"""),"264🤙🏼In the Name of the Father🤙🏼Pete Postlethwaite🤙🏼Estrela 2")</f>
        <v>264🤙🏼In the Name of the Father🤙🏼Pete Postlethwaite🤙🏼Estrela 2</v>
      </c>
      <c r="H1055" s="5">
        <f>IFERROR(__xludf.DUMMYFUNCTION("SPLiT(G1055, ""🤙🏼"",FALSE,FALSE)"),264.0)</f>
        <v>264</v>
      </c>
      <c r="I1055" s="5" t="str">
        <f>IFERROR(__xludf.DUMMYFUNCTION("""COMPUTED_VALUE"""),"In the Name of the Father")</f>
        <v>In the Name of the Father</v>
      </c>
      <c r="J1055" s="5" t="str">
        <f>IFERROR(__xludf.DUMMYFUNCTION("""COMPUTED_VALUE"""),"Pete Postlethwaite")</f>
        <v>Pete Postlethwaite</v>
      </c>
      <c r="K1055" s="5" t="str">
        <f>IFERROR(__xludf.DUMMYFUNCTION("""COMPUTED_VALUE"""),"Estrela 2")</f>
        <v>Estrela 2</v>
      </c>
      <c r="P1055" s="5">
        <f>IFERROR(__xludf.DUMMYFUNCTION("""COMPUTED_VALUE"""),264.0)</f>
        <v>264</v>
      </c>
      <c r="Q1055" s="5" t="str">
        <f>IFERROR(__xludf.DUMMYFUNCTION("""COMPUTED_VALUE"""),"In the Name of the Father")</f>
        <v>In the Name of the Father</v>
      </c>
      <c r="R1055" s="5" t="str">
        <f>IFERROR(__xludf.DUMMYFUNCTION("""COMPUTED_VALUE"""),"Pete Postlethwaite")</f>
        <v>Pete Postlethwaite</v>
      </c>
      <c r="S1055" s="5" t="str">
        <f>IFERROR(__xludf.DUMMYFUNCTION("""COMPUTED_VALUE"""),"Estrela 2")</f>
        <v>Estrela 2</v>
      </c>
    </row>
    <row r="1056">
      <c r="G1056" s="5" t="str">
        <f>IFERROR(__xludf.DUMMYFUNCTION("""COMPUTED_VALUE"""),"264🤙🏼In the Name of the Father🤙🏼Alison Crosbie🤙🏼Estrela 3")</f>
        <v>264🤙🏼In the Name of the Father🤙🏼Alison Crosbie🤙🏼Estrela 3</v>
      </c>
      <c r="H1056" s="5">
        <f>IFERROR(__xludf.DUMMYFUNCTION("SPLiT(G1056, ""🤙🏼"",FALSE,FALSE)"),264.0)</f>
        <v>264</v>
      </c>
      <c r="I1056" s="5" t="str">
        <f>IFERROR(__xludf.DUMMYFUNCTION("""COMPUTED_VALUE"""),"In the Name of the Father")</f>
        <v>In the Name of the Father</v>
      </c>
      <c r="J1056" s="5" t="str">
        <f>IFERROR(__xludf.DUMMYFUNCTION("""COMPUTED_VALUE"""),"Alison Crosbie")</f>
        <v>Alison Crosbie</v>
      </c>
      <c r="K1056" s="5" t="str">
        <f>IFERROR(__xludf.DUMMYFUNCTION("""COMPUTED_VALUE"""),"Estrela 3")</f>
        <v>Estrela 3</v>
      </c>
      <c r="P1056" s="5">
        <f>IFERROR(__xludf.DUMMYFUNCTION("""COMPUTED_VALUE"""),264.0)</f>
        <v>264</v>
      </c>
      <c r="Q1056" s="5" t="str">
        <f>IFERROR(__xludf.DUMMYFUNCTION("""COMPUTED_VALUE"""),"In the Name of the Father")</f>
        <v>In the Name of the Father</v>
      </c>
      <c r="R1056" s="5" t="str">
        <f>IFERROR(__xludf.DUMMYFUNCTION("""COMPUTED_VALUE"""),"Alison Crosbie")</f>
        <v>Alison Crosbie</v>
      </c>
      <c r="S1056" s="5" t="str">
        <f>IFERROR(__xludf.DUMMYFUNCTION("""COMPUTED_VALUE"""),"Estrela 3")</f>
        <v>Estrela 3</v>
      </c>
    </row>
    <row r="1057">
      <c r="G1057" s="5" t="str">
        <f>IFERROR(__xludf.DUMMYFUNCTION("""COMPUTED_VALUE"""),"264🤙🏼In the Name of the Father🤙🏼Philip King🤙🏼Estrela 4")</f>
        <v>264🤙🏼In the Name of the Father🤙🏼Philip King🤙🏼Estrela 4</v>
      </c>
      <c r="H1057" s="5">
        <f>IFERROR(__xludf.DUMMYFUNCTION("SPLiT(G1057, ""🤙🏼"",FALSE,FALSE)"),264.0)</f>
        <v>264</v>
      </c>
      <c r="I1057" s="5" t="str">
        <f>IFERROR(__xludf.DUMMYFUNCTION("""COMPUTED_VALUE"""),"In the Name of the Father")</f>
        <v>In the Name of the Father</v>
      </c>
      <c r="J1057" s="5" t="str">
        <f>IFERROR(__xludf.DUMMYFUNCTION("""COMPUTED_VALUE"""),"Philip King")</f>
        <v>Philip King</v>
      </c>
      <c r="K1057" s="5" t="str">
        <f>IFERROR(__xludf.DUMMYFUNCTION("""COMPUTED_VALUE"""),"Estrela 4")</f>
        <v>Estrela 4</v>
      </c>
      <c r="P1057" s="5">
        <f>IFERROR(__xludf.DUMMYFUNCTION("""COMPUTED_VALUE"""),264.0)</f>
        <v>264</v>
      </c>
      <c r="Q1057" s="5" t="str">
        <f>IFERROR(__xludf.DUMMYFUNCTION("""COMPUTED_VALUE"""),"In the Name of the Father")</f>
        <v>In the Name of the Father</v>
      </c>
      <c r="R1057" s="5" t="str">
        <f>IFERROR(__xludf.DUMMYFUNCTION("""COMPUTED_VALUE"""),"Philip King")</f>
        <v>Philip King</v>
      </c>
      <c r="S1057" s="5" t="str">
        <f>IFERROR(__xludf.DUMMYFUNCTION("""COMPUTED_VALUE"""),"Estrela 4")</f>
        <v>Estrela 4</v>
      </c>
    </row>
    <row r="1058">
      <c r="G1058" s="5" t="str">
        <f>IFERROR(__xludf.DUMMYFUNCTION("""COMPUTED_VALUE"""),"265🤙🏼Ba wang bie ji🤙🏼Leslie Cheung🤙🏼Estrela 1")</f>
        <v>265🤙🏼Ba wang bie ji🤙🏼Leslie Cheung🤙🏼Estrela 1</v>
      </c>
      <c r="H1058" s="5">
        <f>IFERROR(__xludf.DUMMYFUNCTION("SPLiT(G1058, ""🤙🏼"",FALSE,FALSE)"),265.0)</f>
        <v>265</v>
      </c>
      <c r="I1058" s="5" t="str">
        <f>IFERROR(__xludf.DUMMYFUNCTION("""COMPUTED_VALUE"""),"Ba wang bie ji")</f>
        <v>Ba wang bie ji</v>
      </c>
      <c r="J1058" s="5" t="str">
        <f>IFERROR(__xludf.DUMMYFUNCTION("""COMPUTED_VALUE"""),"Leslie Cheung")</f>
        <v>Leslie Cheung</v>
      </c>
      <c r="K1058" s="5" t="str">
        <f>IFERROR(__xludf.DUMMYFUNCTION("""COMPUTED_VALUE"""),"Estrela 1")</f>
        <v>Estrela 1</v>
      </c>
      <c r="P1058" s="5">
        <f>IFERROR(__xludf.DUMMYFUNCTION("""COMPUTED_VALUE"""),265.0)</f>
        <v>265</v>
      </c>
      <c r="Q1058" s="5" t="str">
        <f>IFERROR(__xludf.DUMMYFUNCTION("""COMPUTED_VALUE"""),"Ba wang bie ji")</f>
        <v>Ba wang bie ji</v>
      </c>
      <c r="R1058" s="5" t="str">
        <f>IFERROR(__xludf.DUMMYFUNCTION("""COMPUTED_VALUE"""),"Leslie Cheung")</f>
        <v>Leslie Cheung</v>
      </c>
      <c r="S1058" s="5" t="str">
        <f>IFERROR(__xludf.DUMMYFUNCTION("""COMPUTED_VALUE"""),"Estrela 1")</f>
        <v>Estrela 1</v>
      </c>
    </row>
    <row r="1059">
      <c r="G1059" s="5" t="str">
        <f>IFERROR(__xludf.DUMMYFUNCTION("""COMPUTED_VALUE"""),"265🤙🏼Ba wang bie ji🤙🏼Fengyi Zhang🤙🏼Estrela 2")</f>
        <v>265🤙🏼Ba wang bie ji🤙🏼Fengyi Zhang🤙🏼Estrela 2</v>
      </c>
      <c r="H1059" s="5">
        <f>IFERROR(__xludf.DUMMYFUNCTION("SPLiT(G1059, ""🤙🏼"",FALSE,FALSE)"),265.0)</f>
        <v>265</v>
      </c>
      <c r="I1059" s="5" t="str">
        <f>IFERROR(__xludf.DUMMYFUNCTION("""COMPUTED_VALUE"""),"Ba wang bie ji")</f>
        <v>Ba wang bie ji</v>
      </c>
      <c r="J1059" s="5" t="str">
        <f>IFERROR(__xludf.DUMMYFUNCTION("""COMPUTED_VALUE"""),"Fengyi Zhang")</f>
        <v>Fengyi Zhang</v>
      </c>
      <c r="K1059" s="5" t="str">
        <f>IFERROR(__xludf.DUMMYFUNCTION("""COMPUTED_VALUE"""),"Estrela 2")</f>
        <v>Estrela 2</v>
      </c>
      <c r="P1059" s="5">
        <f>IFERROR(__xludf.DUMMYFUNCTION("""COMPUTED_VALUE"""),265.0)</f>
        <v>265</v>
      </c>
      <c r="Q1059" s="5" t="str">
        <f>IFERROR(__xludf.DUMMYFUNCTION("""COMPUTED_VALUE"""),"Ba wang bie ji")</f>
        <v>Ba wang bie ji</v>
      </c>
      <c r="R1059" s="5" t="str">
        <f>IFERROR(__xludf.DUMMYFUNCTION("""COMPUTED_VALUE"""),"Fengyi Zhang")</f>
        <v>Fengyi Zhang</v>
      </c>
      <c r="S1059" s="5" t="str">
        <f>IFERROR(__xludf.DUMMYFUNCTION("""COMPUTED_VALUE"""),"Estrela 2")</f>
        <v>Estrela 2</v>
      </c>
    </row>
    <row r="1060">
      <c r="G1060" s="5" t="str">
        <f>IFERROR(__xludf.DUMMYFUNCTION("""COMPUTED_VALUE"""),"265🤙🏼Ba wang bie ji🤙🏼Gong Li🤙🏼Estrela 3")</f>
        <v>265🤙🏼Ba wang bie ji🤙🏼Gong Li🤙🏼Estrela 3</v>
      </c>
      <c r="H1060" s="5">
        <f>IFERROR(__xludf.DUMMYFUNCTION("SPLiT(G1060, ""🤙🏼"",FALSE,FALSE)"),265.0)</f>
        <v>265</v>
      </c>
      <c r="I1060" s="5" t="str">
        <f>IFERROR(__xludf.DUMMYFUNCTION("""COMPUTED_VALUE"""),"Ba wang bie ji")</f>
        <v>Ba wang bie ji</v>
      </c>
      <c r="J1060" s="5" t="str">
        <f>IFERROR(__xludf.DUMMYFUNCTION("""COMPUTED_VALUE"""),"Gong Li")</f>
        <v>Gong Li</v>
      </c>
      <c r="K1060" s="5" t="str">
        <f>IFERROR(__xludf.DUMMYFUNCTION("""COMPUTED_VALUE"""),"Estrela 3")</f>
        <v>Estrela 3</v>
      </c>
      <c r="P1060" s="5">
        <f>IFERROR(__xludf.DUMMYFUNCTION("""COMPUTED_VALUE"""),265.0)</f>
        <v>265</v>
      </c>
      <c r="Q1060" s="5" t="str">
        <f>IFERROR(__xludf.DUMMYFUNCTION("""COMPUTED_VALUE"""),"Ba wang bie ji")</f>
        <v>Ba wang bie ji</v>
      </c>
      <c r="R1060" s="5" t="str">
        <f>IFERROR(__xludf.DUMMYFUNCTION("""COMPUTED_VALUE"""),"Gong Li")</f>
        <v>Gong Li</v>
      </c>
      <c r="S1060" s="5" t="str">
        <f>IFERROR(__xludf.DUMMYFUNCTION("""COMPUTED_VALUE"""),"Estrela 3")</f>
        <v>Estrela 3</v>
      </c>
    </row>
    <row r="1061">
      <c r="G1061" s="5" t="str">
        <f>IFERROR(__xludf.DUMMYFUNCTION("""COMPUTED_VALUE"""),"265🤙🏼Ba wang bie ji🤙🏼You Ge🤙🏼Estrela 4")</f>
        <v>265🤙🏼Ba wang bie ji🤙🏼You Ge🤙🏼Estrela 4</v>
      </c>
      <c r="H1061" s="5">
        <f>IFERROR(__xludf.DUMMYFUNCTION("SPLiT(G1061, ""🤙🏼"",FALSE,FALSE)"),265.0)</f>
        <v>265</v>
      </c>
      <c r="I1061" s="5" t="str">
        <f>IFERROR(__xludf.DUMMYFUNCTION("""COMPUTED_VALUE"""),"Ba wang bie ji")</f>
        <v>Ba wang bie ji</v>
      </c>
      <c r="J1061" s="5" t="str">
        <f>IFERROR(__xludf.DUMMYFUNCTION("""COMPUTED_VALUE"""),"You Ge")</f>
        <v>You Ge</v>
      </c>
      <c r="K1061" s="5" t="str">
        <f>IFERROR(__xludf.DUMMYFUNCTION("""COMPUTED_VALUE"""),"Estrela 4")</f>
        <v>Estrela 4</v>
      </c>
      <c r="P1061" s="5">
        <f>IFERROR(__xludf.DUMMYFUNCTION("""COMPUTED_VALUE"""),265.0)</f>
        <v>265</v>
      </c>
      <c r="Q1061" s="5" t="str">
        <f>IFERROR(__xludf.DUMMYFUNCTION("""COMPUTED_VALUE"""),"Ba wang bie ji")</f>
        <v>Ba wang bie ji</v>
      </c>
      <c r="R1061" s="5" t="str">
        <f>IFERROR(__xludf.DUMMYFUNCTION("""COMPUTED_VALUE"""),"You Ge")</f>
        <v>You Ge</v>
      </c>
      <c r="S1061" s="5" t="str">
        <f>IFERROR(__xludf.DUMMYFUNCTION("""COMPUTED_VALUE"""),"Estrela 4")</f>
        <v>Estrela 4</v>
      </c>
    </row>
    <row r="1062">
      <c r="G1062" s="5" t="str">
        <f>IFERROR(__xludf.DUMMYFUNCTION("""COMPUTED_VALUE"""),"266🤙🏼Dà hóng denglong gaogao guà🤙🏼Gong Li🤙🏼Estrela 1")</f>
        <v>266🤙🏼Dà hóng denglong gaogao guà🤙🏼Gong Li🤙🏼Estrela 1</v>
      </c>
      <c r="H1062" s="5">
        <f>IFERROR(__xludf.DUMMYFUNCTION("SPLiT(G1062, ""🤙🏼"",FALSE,FALSE)"),266.0)</f>
        <v>266</v>
      </c>
      <c r="I1062" s="5" t="str">
        <f>IFERROR(__xludf.DUMMYFUNCTION("""COMPUTED_VALUE"""),"Dà hóng denglong gaogao guà")</f>
        <v>Dà hóng denglong gaogao guà</v>
      </c>
      <c r="J1062" s="5" t="str">
        <f>IFERROR(__xludf.DUMMYFUNCTION("""COMPUTED_VALUE"""),"Gong Li")</f>
        <v>Gong Li</v>
      </c>
      <c r="K1062" s="5" t="str">
        <f>IFERROR(__xludf.DUMMYFUNCTION("""COMPUTED_VALUE"""),"Estrela 1")</f>
        <v>Estrela 1</v>
      </c>
      <c r="P1062" s="5">
        <f>IFERROR(__xludf.DUMMYFUNCTION("""COMPUTED_VALUE"""),266.0)</f>
        <v>266</v>
      </c>
      <c r="Q1062" s="5" t="str">
        <f>IFERROR(__xludf.DUMMYFUNCTION("""COMPUTED_VALUE"""),"Dà hóng denglong gaogao guà")</f>
        <v>Dà hóng denglong gaogao guà</v>
      </c>
      <c r="R1062" s="5" t="str">
        <f>IFERROR(__xludf.DUMMYFUNCTION("""COMPUTED_VALUE"""),"Gong Li")</f>
        <v>Gong Li</v>
      </c>
      <c r="S1062" s="5" t="str">
        <f>IFERROR(__xludf.DUMMYFUNCTION("""COMPUTED_VALUE"""),"Estrela 1")</f>
        <v>Estrela 1</v>
      </c>
    </row>
    <row r="1063">
      <c r="G1063" s="5" t="str">
        <f>IFERROR(__xludf.DUMMYFUNCTION("""COMPUTED_VALUE"""),"266🤙🏼Dà hóng denglong gaogao guà🤙🏼Jingwu Ma🤙🏼Estrela 2")</f>
        <v>266🤙🏼Dà hóng denglong gaogao guà🤙🏼Jingwu Ma🤙🏼Estrela 2</v>
      </c>
      <c r="H1063" s="5">
        <f>IFERROR(__xludf.DUMMYFUNCTION("SPLiT(G1063, ""🤙🏼"",FALSE,FALSE)"),266.0)</f>
        <v>266</v>
      </c>
      <c r="I1063" s="5" t="str">
        <f>IFERROR(__xludf.DUMMYFUNCTION("""COMPUTED_VALUE"""),"Dà hóng denglong gaogao guà")</f>
        <v>Dà hóng denglong gaogao guà</v>
      </c>
      <c r="J1063" s="5" t="str">
        <f>IFERROR(__xludf.DUMMYFUNCTION("""COMPUTED_VALUE"""),"Jingwu Ma")</f>
        <v>Jingwu Ma</v>
      </c>
      <c r="K1063" s="5" t="str">
        <f>IFERROR(__xludf.DUMMYFUNCTION("""COMPUTED_VALUE"""),"Estrela 2")</f>
        <v>Estrela 2</v>
      </c>
      <c r="P1063" s="5">
        <f>IFERROR(__xludf.DUMMYFUNCTION("""COMPUTED_VALUE"""),266.0)</f>
        <v>266</v>
      </c>
      <c r="Q1063" s="5" t="str">
        <f>IFERROR(__xludf.DUMMYFUNCTION("""COMPUTED_VALUE"""),"Dà hóng denglong gaogao guà")</f>
        <v>Dà hóng denglong gaogao guà</v>
      </c>
      <c r="R1063" s="5" t="str">
        <f>IFERROR(__xludf.DUMMYFUNCTION("""COMPUTED_VALUE"""),"Jingwu Ma")</f>
        <v>Jingwu Ma</v>
      </c>
      <c r="S1063" s="5" t="str">
        <f>IFERROR(__xludf.DUMMYFUNCTION("""COMPUTED_VALUE"""),"Estrela 2")</f>
        <v>Estrela 2</v>
      </c>
    </row>
    <row r="1064">
      <c r="G1064" s="5" t="str">
        <f>IFERROR(__xludf.DUMMYFUNCTION("""COMPUTED_VALUE"""),"266🤙🏼Dà hóng denglong gaogao guà🤙🏼Saifei He🤙🏼Estrela 3")</f>
        <v>266🤙🏼Dà hóng denglong gaogao guà🤙🏼Saifei He🤙🏼Estrela 3</v>
      </c>
      <c r="H1064" s="5">
        <f>IFERROR(__xludf.DUMMYFUNCTION("SPLiT(G1064, ""🤙🏼"",FALSE,FALSE)"),266.0)</f>
        <v>266</v>
      </c>
      <c r="I1064" s="5" t="str">
        <f>IFERROR(__xludf.DUMMYFUNCTION("""COMPUTED_VALUE"""),"Dà hóng denglong gaogao guà")</f>
        <v>Dà hóng denglong gaogao guà</v>
      </c>
      <c r="J1064" s="5" t="str">
        <f>IFERROR(__xludf.DUMMYFUNCTION("""COMPUTED_VALUE"""),"Saifei He")</f>
        <v>Saifei He</v>
      </c>
      <c r="K1064" s="5" t="str">
        <f>IFERROR(__xludf.DUMMYFUNCTION("""COMPUTED_VALUE"""),"Estrela 3")</f>
        <v>Estrela 3</v>
      </c>
      <c r="P1064" s="5">
        <f>IFERROR(__xludf.DUMMYFUNCTION("""COMPUTED_VALUE"""),266.0)</f>
        <v>266</v>
      </c>
      <c r="Q1064" s="5" t="str">
        <f>IFERROR(__xludf.DUMMYFUNCTION("""COMPUTED_VALUE"""),"Dà hóng denglong gaogao guà")</f>
        <v>Dà hóng denglong gaogao guà</v>
      </c>
      <c r="R1064" s="5" t="str">
        <f>IFERROR(__xludf.DUMMYFUNCTION("""COMPUTED_VALUE"""),"Saifei He")</f>
        <v>Saifei He</v>
      </c>
      <c r="S1064" s="5" t="str">
        <f>IFERROR(__xludf.DUMMYFUNCTION("""COMPUTED_VALUE"""),"Estrela 3")</f>
        <v>Estrela 3</v>
      </c>
    </row>
    <row r="1065">
      <c r="G1065" s="5" t="str">
        <f>IFERROR(__xludf.DUMMYFUNCTION("""COMPUTED_VALUE"""),"266🤙🏼Dà hóng denglong gaogao guà🤙🏼Cuifen Cao🤙🏼Estrela 4")</f>
        <v>266🤙🏼Dà hóng denglong gaogao guà🤙🏼Cuifen Cao🤙🏼Estrela 4</v>
      </c>
      <c r="H1065" s="5">
        <f>IFERROR(__xludf.DUMMYFUNCTION("SPLiT(G1065, ""🤙🏼"",FALSE,FALSE)"),266.0)</f>
        <v>266</v>
      </c>
      <c r="I1065" s="5" t="str">
        <f>IFERROR(__xludf.DUMMYFUNCTION("""COMPUTED_VALUE"""),"Dà hóng denglong gaogao guà")</f>
        <v>Dà hóng denglong gaogao guà</v>
      </c>
      <c r="J1065" s="5" t="str">
        <f>IFERROR(__xludf.DUMMYFUNCTION("""COMPUTED_VALUE"""),"Cuifen Cao")</f>
        <v>Cuifen Cao</v>
      </c>
      <c r="K1065" s="5" t="str">
        <f>IFERROR(__xludf.DUMMYFUNCTION("""COMPUTED_VALUE"""),"Estrela 4")</f>
        <v>Estrela 4</v>
      </c>
      <c r="P1065" s="5">
        <f>IFERROR(__xludf.DUMMYFUNCTION("""COMPUTED_VALUE"""),266.0)</f>
        <v>266</v>
      </c>
      <c r="Q1065" s="5" t="str">
        <f>IFERROR(__xludf.DUMMYFUNCTION("""COMPUTED_VALUE"""),"Dà hóng denglong gaogao guà")</f>
        <v>Dà hóng denglong gaogao guà</v>
      </c>
      <c r="R1065" s="5" t="str">
        <f>IFERROR(__xludf.DUMMYFUNCTION("""COMPUTED_VALUE"""),"Cuifen Cao")</f>
        <v>Cuifen Cao</v>
      </c>
      <c r="S1065" s="5" t="str">
        <f>IFERROR(__xludf.DUMMYFUNCTION("""COMPUTED_VALUE"""),"Estrela 4")</f>
        <v>Estrela 4</v>
      </c>
    </row>
    <row r="1066">
      <c r="G1066" s="5" t="str">
        <f>IFERROR(__xludf.DUMMYFUNCTION("""COMPUTED_VALUE"""),"267🤙🏼Dead Poets Society🤙🏼Robin Williams🤙🏼Estrela 1")</f>
        <v>267🤙🏼Dead Poets Society🤙🏼Robin Williams🤙🏼Estrela 1</v>
      </c>
      <c r="H1066" s="5">
        <f>IFERROR(__xludf.DUMMYFUNCTION("SPLiT(G1066, ""🤙🏼"",FALSE,FALSE)"),267.0)</f>
        <v>267</v>
      </c>
      <c r="I1066" s="5" t="str">
        <f>IFERROR(__xludf.DUMMYFUNCTION("""COMPUTED_VALUE"""),"Dead Poets Society")</f>
        <v>Dead Poets Society</v>
      </c>
      <c r="J1066" s="5" t="str">
        <f>IFERROR(__xludf.DUMMYFUNCTION("""COMPUTED_VALUE"""),"Robin Williams")</f>
        <v>Robin Williams</v>
      </c>
      <c r="K1066" s="5" t="str">
        <f>IFERROR(__xludf.DUMMYFUNCTION("""COMPUTED_VALUE"""),"Estrela 1")</f>
        <v>Estrela 1</v>
      </c>
      <c r="P1066" s="5">
        <f>IFERROR(__xludf.DUMMYFUNCTION("""COMPUTED_VALUE"""),267.0)</f>
        <v>267</v>
      </c>
      <c r="Q1066" s="5" t="str">
        <f>IFERROR(__xludf.DUMMYFUNCTION("""COMPUTED_VALUE"""),"Dead Poets Society")</f>
        <v>Dead Poets Society</v>
      </c>
      <c r="R1066" s="5" t="str">
        <f>IFERROR(__xludf.DUMMYFUNCTION("""COMPUTED_VALUE"""),"Robin Williams")</f>
        <v>Robin Williams</v>
      </c>
      <c r="S1066" s="5" t="str">
        <f>IFERROR(__xludf.DUMMYFUNCTION("""COMPUTED_VALUE"""),"Estrela 1")</f>
        <v>Estrela 1</v>
      </c>
    </row>
    <row r="1067">
      <c r="G1067" s="5" t="str">
        <f>IFERROR(__xludf.DUMMYFUNCTION("""COMPUTED_VALUE"""),"267🤙🏼Dead Poets Society🤙🏼Robert Sean Leonard🤙🏼Estrela 2")</f>
        <v>267🤙🏼Dead Poets Society🤙🏼Robert Sean Leonard🤙🏼Estrela 2</v>
      </c>
      <c r="H1067" s="5">
        <f>IFERROR(__xludf.DUMMYFUNCTION("SPLiT(G1067, ""🤙🏼"",FALSE,FALSE)"),267.0)</f>
        <v>267</v>
      </c>
      <c r="I1067" s="5" t="str">
        <f>IFERROR(__xludf.DUMMYFUNCTION("""COMPUTED_VALUE"""),"Dead Poets Society")</f>
        <v>Dead Poets Society</v>
      </c>
      <c r="J1067" s="5" t="str">
        <f>IFERROR(__xludf.DUMMYFUNCTION("""COMPUTED_VALUE"""),"Robert Sean Leonard")</f>
        <v>Robert Sean Leonard</v>
      </c>
      <c r="K1067" s="5" t="str">
        <f>IFERROR(__xludf.DUMMYFUNCTION("""COMPUTED_VALUE"""),"Estrela 2")</f>
        <v>Estrela 2</v>
      </c>
      <c r="P1067" s="5">
        <f>IFERROR(__xludf.DUMMYFUNCTION("""COMPUTED_VALUE"""),267.0)</f>
        <v>267</v>
      </c>
      <c r="Q1067" s="5" t="str">
        <f>IFERROR(__xludf.DUMMYFUNCTION("""COMPUTED_VALUE"""),"Dead Poets Society")</f>
        <v>Dead Poets Society</v>
      </c>
      <c r="R1067" s="5" t="str">
        <f>IFERROR(__xludf.DUMMYFUNCTION("""COMPUTED_VALUE"""),"Robert Sean Leonard")</f>
        <v>Robert Sean Leonard</v>
      </c>
      <c r="S1067" s="5" t="str">
        <f>IFERROR(__xludf.DUMMYFUNCTION("""COMPUTED_VALUE"""),"Estrela 2")</f>
        <v>Estrela 2</v>
      </c>
    </row>
    <row r="1068">
      <c r="G1068" s="5" t="str">
        <f>IFERROR(__xludf.DUMMYFUNCTION("""COMPUTED_VALUE"""),"267🤙🏼Dead Poets Society🤙🏼Ethan Hawke🤙🏼Estrela 3")</f>
        <v>267🤙🏼Dead Poets Society🤙🏼Ethan Hawke🤙🏼Estrela 3</v>
      </c>
      <c r="H1068" s="5">
        <f>IFERROR(__xludf.DUMMYFUNCTION("SPLiT(G1068, ""🤙🏼"",FALSE,FALSE)"),267.0)</f>
        <v>267</v>
      </c>
      <c r="I1068" s="5" t="str">
        <f>IFERROR(__xludf.DUMMYFUNCTION("""COMPUTED_VALUE"""),"Dead Poets Society")</f>
        <v>Dead Poets Society</v>
      </c>
      <c r="J1068" s="5" t="str">
        <f>IFERROR(__xludf.DUMMYFUNCTION("""COMPUTED_VALUE"""),"Ethan Hawke")</f>
        <v>Ethan Hawke</v>
      </c>
      <c r="K1068" s="5" t="str">
        <f>IFERROR(__xludf.DUMMYFUNCTION("""COMPUTED_VALUE"""),"Estrela 3")</f>
        <v>Estrela 3</v>
      </c>
      <c r="P1068" s="5">
        <f>IFERROR(__xludf.DUMMYFUNCTION("""COMPUTED_VALUE"""),267.0)</f>
        <v>267</v>
      </c>
      <c r="Q1068" s="5" t="str">
        <f>IFERROR(__xludf.DUMMYFUNCTION("""COMPUTED_VALUE"""),"Dead Poets Society")</f>
        <v>Dead Poets Society</v>
      </c>
      <c r="R1068" s="5" t="str">
        <f>IFERROR(__xludf.DUMMYFUNCTION("""COMPUTED_VALUE"""),"Ethan Hawke")</f>
        <v>Ethan Hawke</v>
      </c>
      <c r="S1068" s="5" t="str">
        <f>IFERROR(__xludf.DUMMYFUNCTION("""COMPUTED_VALUE"""),"Estrela 3")</f>
        <v>Estrela 3</v>
      </c>
    </row>
    <row r="1069">
      <c r="G1069" s="5" t="str">
        <f>IFERROR(__xludf.DUMMYFUNCTION("""COMPUTED_VALUE"""),"267🤙🏼Dead Poets Society🤙🏼Josh Charles🤙🏼Estrela 4")</f>
        <v>267🤙🏼Dead Poets Society🤙🏼Josh Charles🤙🏼Estrela 4</v>
      </c>
      <c r="H1069" s="5">
        <f>IFERROR(__xludf.DUMMYFUNCTION("SPLiT(G1069, ""🤙🏼"",FALSE,FALSE)"),267.0)</f>
        <v>267</v>
      </c>
      <c r="I1069" s="5" t="str">
        <f>IFERROR(__xludf.DUMMYFUNCTION("""COMPUTED_VALUE"""),"Dead Poets Society")</f>
        <v>Dead Poets Society</v>
      </c>
      <c r="J1069" s="5" t="str">
        <f>IFERROR(__xludf.DUMMYFUNCTION("""COMPUTED_VALUE"""),"Josh Charles")</f>
        <v>Josh Charles</v>
      </c>
      <c r="K1069" s="5" t="str">
        <f>IFERROR(__xludf.DUMMYFUNCTION("""COMPUTED_VALUE"""),"Estrela 4")</f>
        <v>Estrela 4</v>
      </c>
      <c r="P1069" s="5">
        <f>IFERROR(__xludf.DUMMYFUNCTION("""COMPUTED_VALUE"""),267.0)</f>
        <v>267</v>
      </c>
      <c r="Q1069" s="5" t="str">
        <f>IFERROR(__xludf.DUMMYFUNCTION("""COMPUTED_VALUE"""),"Dead Poets Society")</f>
        <v>Dead Poets Society</v>
      </c>
      <c r="R1069" s="5" t="str">
        <f>IFERROR(__xludf.DUMMYFUNCTION("""COMPUTED_VALUE"""),"Josh Charles")</f>
        <v>Josh Charles</v>
      </c>
      <c r="S1069" s="5" t="str">
        <f>IFERROR(__xludf.DUMMYFUNCTION("""COMPUTED_VALUE"""),"Estrela 4")</f>
        <v>Estrela 4</v>
      </c>
    </row>
    <row r="1070">
      <c r="G1070" s="5" t="str">
        <f>IFERROR(__xludf.DUMMYFUNCTION("""COMPUTED_VALUE"""),"268🤙🏼Stand by Me🤙🏼Wil Wheaton🤙🏼Estrela 1")</f>
        <v>268🤙🏼Stand by Me🤙🏼Wil Wheaton🤙🏼Estrela 1</v>
      </c>
      <c r="H1070" s="5">
        <f>IFERROR(__xludf.DUMMYFUNCTION("SPLiT(G1070, ""🤙🏼"",FALSE,FALSE)"),268.0)</f>
        <v>268</v>
      </c>
      <c r="I1070" s="5" t="str">
        <f>IFERROR(__xludf.DUMMYFUNCTION("""COMPUTED_VALUE"""),"Stand by Me")</f>
        <v>Stand by Me</v>
      </c>
      <c r="J1070" s="5" t="str">
        <f>IFERROR(__xludf.DUMMYFUNCTION("""COMPUTED_VALUE"""),"Wil Wheaton")</f>
        <v>Wil Wheaton</v>
      </c>
      <c r="K1070" s="5" t="str">
        <f>IFERROR(__xludf.DUMMYFUNCTION("""COMPUTED_VALUE"""),"Estrela 1")</f>
        <v>Estrela 1</v>
      </c>
      <c r="P1070" s="5">
        <f>IFERROR(__xludf.DUMMYFUNCTION("""COMPUTED_VALUE"""),268.0)</f>
        <v>268</v>
      </c>
      <c r="Q1070" s="5" t="str">
        <f>IFERROR(__xludf.DUMMYFUNCTION("""COMPUTED_VALUE"""),"Stand by Me")</f>
        <v>Stand by Me</v>
      </c>
      <c r="R1070" s="5" t="str">
        <f>IFERROR(__xludf.DUMMYFUNCTION("""COMPUTED_VALUE"""),"Wil Wheaton")</f>
        <v>Wil Wheaton</v>
      </c>
      <c r="S1070" s="5" t="str">
        <f>IFERROR(__xludf.DUMMYFUNCTION("""COMPUTED_VALUE"""),"Estrela 1")</f>
        <v>Estrela 1</v>
      </c>
    </row>
    <row r="1071">
      <c r="G1071" s="5" t="str">
        <f>IFERROR(__xludf.DUMMYFUNCTION("""COMPUTED_VALUE"""),"268🤙🏼Stand by Me🤙🏼River Phoenix🤙🏼Estrela 2")</f>
        <v>268🤙🏼Stand by Me🤙🏼River Phoenix🤙🏼Estrela 2</v>
      </c>
      <c r="H1071" s="5">
        <f>IFERROR(__xludf.DUMMYFUNCTION("SPLiT(G1071, ""🤙🏼"",FALSE,FALSE)"),268.0)</f>
        <v>268</v>
      </c>
      <c r="I1071" s="5" t="str">
        <f>IFERROR(__xludf.DUMMYFUNCTION("""COMPUTED_VALUE"""),"Stand by Me")</f>
        <v>Stand by Me</v>
      </c>
      <c r="J1071" s="5" t="str">
        <f>IFERROR(__xludf.DUMMYFUNCTION("""COMPUTED_VALUE"""),"River Phoenix")</f>
        <v>River Phoenix</v>
      </c>
      <c r="K1071" s="5" t="str">
        <f>IFERROR(__xludf.DUMMYFUNCTION("""COMPUTED_VALUE"""),"Estrela 2")</f>
        <v>Estrela 2</v>
      </c>
      <c r="P1071" s="5">
        <f>IFERROR(__xludf.DUMMYFUNCTION("""COMPUTED_VALUE"""),268.0)</f>
        <v>268</v>
      </c>
      <c r="Q1071" s="5" t="str">
        <f>IFERROR(__xludf.DUMMYFUNCTION("""COMPUTED_VALUE"""),"Stand by Me")</f>
        <v>Stand by Me</v>
      </c>
      <c r="R1071" s="5" t="str">
        <f>IFERROR(__xludf.DUMMYFUNCTION("""COMPUTED_VALUE"""),"River Phoenix")</f>
        <v>River Phoenix</v>
      </c>
      <c r="S1071" s="5" t="str">
        <f>IFERROR(__xludf.DUMMYFUNCTION("""COMPUTED_VALUE"""),"Estrela 2")</f>
        <v>Estrela 2</v>
      </c>
    </row>
    <row r="1072">
      <c r="G1072" s="5" t="str">
        <f>IFERROR(__xludf.DUMMYFUNCTION("""COMPUTED_VALUE"""),"268🤙🏼Stand by Me🤙🏼Corey Feldman🤙🏼Estrela 3")</f>
        <v>268🤙🏼Stand by Me🤙🏼Corey Feldman🤙🏼Estrela 3</v>
      </c>
      <c r="H1072" s="5">
        <f>IFERROR(__xludf.DUMMYFUNCTION("SPLiT(G1072, ""🤙🏼"",FALSE,FALSE)"),268.0)</f>
        <v>268</v>
      </c>
      <c r="I1072" s="5" t="str">
        <f>IFERROR(__xludf.DUMMYFUNCTION("""COMPUTED_VALUE"""),"Stand by Me")</f>
        <v>Stand by Me</v>
      </c>
      <c r="J1072" s="5" t="str">
        <f>IFERROR(__xludf.DUMMYFUNCTION("""COMPUTED_VALUE"""),"Corey Feldman")</f>
        <v>Corey Feldman</v>
      </c>
      <c r="K1072" s="5" t="str">
        <f>IFERROR(__xludf.DUMMYFUNCTION("""COMPUTED_VALUE"""),"Estrela 3")</f>
        <v>Estrela 3</v>
      </c>
      <c r="P1072" s="5">
        <f>IFERROR(__xludf.DUMMYFUNCTION("""COMPUTED_VALUE"""),268.0)</f>
        <v>268</v>
      </c>
      <c r="Q1072" s="5" t="str">
        <f>IFERROR(__xludf.DUMMYFUNCTION("""COMPUTED_VALUE"""),"Stand by Me")</f>
        <v>Stand by Me</v>
      </c>
      <c r="R1072" s="5" t="str">
        <f>IFERROR(__xludf.DUMMYFUNCTION("""COMPUTED_VALUE"""),"Corey Feldman")</f>
        <v>Corey Feldman</v>
      </c>
      <c r="S1072" s="5" t="str">
        <f>IFERROR(__xludf.DUMMYFUNCTION("""COMPUTED_VALUE"""),"Estrela 3")</f>
        <v>Estrela 3</v>
      </c>
    </row>
    <row r="1073">
      <c r="G1073" s="5" t="str">
        <f>IFERROR(__xludf.DUMMYFUNCTION("""COMPUTED_VALUE"""),"268🤙🏼Stand by Me🤙🏼Jerry O'Connell🤙🏼Estrela 4")</f>
        <v>268🤙🏼Stand by Me🤙🏼Jerry O'Connell🤙🏼Estrela 4</v>
      </c>
      <c r="H1073" s="5">
        <f>IFERROR(__xludf.DUMMYFUNCTION("SPLiT(G1073, ""🤙🏼"",FALSE,FALSE)"),268.0)</f>
        <v>268</v>
      </c>
      <c r="I1073" s="5" t="str">
        <f>IFERROR(__xludf.DUMMYFUNCTION("""COMPUTED_VALUE"""),"Stand by Me")</f>
        <v>Stand by Me</v>
      </c>
      <c r="J1073" s="5" t="str">
        <f>IFERROR(__xludf.DUMMYFUNCTION("""COMPUTED_VALUE"""),"Jerry O'Connell")</f>
        <v>Jerry O'Connell</v>
      </c>
      <c r="K1073" s="5" t="str">
        <f>IFERROR(__xludf.DUMMYFUNCTION("""COMPUTED_VALUE"""),"Estrela 4")</f>
        <v>Estrela 4</v>
      </c>
      <c r="P1073" s="5">
        <f>IFERROR(__xludf.DUMMYFUNCTION("""COMPUTED_VALUE"""),268.0)</f>
        <v>268</v>
      </c>
      <c r="Q1073" s="5" t="str">
        <f>IFERROR(__xludf.DUMMYFUNCTION("""COMPUTED_VALUE"""),"Stand by Me")</f>
        <v>Stand by Me</v>
      </c>
      <c r="R1073" s="5" t="str">
        <f>IFERROR(__xludf.DUMMYFUNCTION("""COMPUTED_VALUE"""),"Jerry O'Connell")</f>
        <v>Jerry O'Connell</v>
      </c>
      <c r="S1073" s="5" t="str">
        <f>IFERROR(__xludf.DUMMYFUNCTION("""COMPUTED_VALUE"""),"Estrela 4")</f>
        <v>Estrela 4</v>
      </c>
    </row>
    <row r="1074">
      <c r="G1074" s="5" t="str">
        <f>IFERROR(__xludf.DUMMYFUNCTION("""COMPUTED_VALUE"""),"269🤙🏼Platoon🤙🏼Charlie Sheen🤙🏼Estrela 1")</f>
        <v>269🤙🏼Platoon🤙🏼Charlie Sheen🤙🏼Estrela 1</v>
      </c>
      <c r="H1074" s="5">
        <f>IFERROR(__xludf.DUMMYFUNCTION("SPLiT(G1074, ""🤙🏼"",FALSE,FALSE)"),269.0)</f>
        <v>269</v>
      </c>
      <c r="I1074" s="5" t="str">
        <f>IFERROR(__xludf.DUMMYFUNCTION("""COMPUTED_VALUE"""),"Platoon")</f>
        <v>Platoon</v>
      </c>
      <c r="J1074" s="5" t="str">
        <f>IFERROR(__xludf.DUMMYFUNCTION("""COMPUTED_VALUE"""),"Charlie Sheen")</f>
        <v>Charlie Sheen</v>
      </c>
      <c r="K1074" s="5" t="str">
        <f>IFERROR(__xludf.DUMMYFUNCTION("""COMPUTED_VALUE"""),"Estrela 1")</f>
        <v>Estrela 1</v>
      </c>
      <c r="P1074" s="5">
        <f>IFERROR(__xludf.DUMMYFUNCTION("""COMPUTED_VALUE"""),269.0)</f>
        <v>269</v>
      </c>
      <c r="Q1074" s="5" t="str">
        <f>IFERROR(__xludf.DUMMYFUNCTION("""COMPUTED_VALUE"""),"Platoon")</f>
        <v>Platoon</v>
      </c>
      <c r="R1074" s="5" t="str">
        <f>IFERROR(__xludf.DUMMYFUNCTION("""COMPUTED_VALUE"""),"Charlie Sheen")</f>
        <v>Charlie Sheen</v>
      </c>
      <c r="S1074" s="5" t="str">
        <f>IFERROR(__xludf.DUMMYFUNCTION("""COMPUTED_VALUE"""),"Estrela 1")</f>
        <v>Estrela 1</v>
      </c>
    </row>
    <row r="1075">
      <c r="G1075" s="5" t="str">
        <f>IFERROR(__xludf.DUMMYFUNCTION("""COMPUTED_VALUE"""),"269🤙🏼Platoon🤙🏼Tom Berenger🤙🏼Estrela 2")</f>
        <v>269🤙🏼Platoon🤙🏼Tom Berenger🤙🏼Estrela 2</v>
      </c>
      <c r="H1075" s="5">
        <f>IFERROR(__xludf.DUMMYFUNCTION("SPLiT(G1075, ""🤙🏼"",FALSE,FALSE)"),269.0)</f>
        <v>269</v>
      </c>
      <c r="I1075" s="5" t="str">
        <f>IFERROR(__xludf.DUMMYFUNCTION("""COMPUTED_VALUE"""),"Platoon")</f>
        <v>Platoon</v>
      </c>
      <c r="J1075" s="5" t="str">
        <f>IFERROR(__xludf.DUMMYFUNCTION("""COMPUTED_VALUE"""),"Tom Berenger")</f>
        <v>Tom Berenger</v>
      </c>
      <c r="K1075" s="5" t="str">
        <f>IFERROR(__xludf.DUMMYFUNCTION("""COMPUTED_VALUE"""),"Estrela 2")</f>
        <v>Estrela 2</v>
      </c>
      <c r="P1075" s="5">
        <f>IFERROR(__xludf.DUMMYFUNCTION("""COMPUTED_VALUE"""),269.0)</f>
        <v>269</v>
      </c>
      <c r="Q1075" s="5" t="str">
        <f>IFERROR(__xludf.DUMMYFUNCTION("""COMPUTED_VALUE"""),"Platoon")</f>
        <v>Platoon</v>
      </c>
      <c r="R1075" s="5" t="str">
        <f>IFERROR(__xludf.DUMMYFUNCTION("""COMPUTED_VALUE"""),"Tom Berenger")</f>
        <v>Tom Berenger</v>
      </c>
      <c r="S1075" s="5" t="str">
        <f>IFERROR(__xludf.DUMMYFUNCTION("""COMPUTED_VALUE"""),"Estrela 2")</f>
        <v>Estrela 2</v>
      </c>
    </row>
    <row r="1076">
      <c r="G1076" s="5" t="str">
        <f>IFERROR(__xludf.DUMMYFUNCTION("""COMPUTED_VALUE"""),"269🤙🏼Platoon🤙🏼Willem Dafoe🤙🏼Estrela 3")</f>
        <v>269🤙🏼Platoon🤙🏼Willem Dafoe🤙🏼Estrela 3</v>
      </c>
      <c r="H1076" s="5">
        <f>IFERROR(__xludf.DUMMYFUNCTION("SPLiT(G1076, ""🤙🏼"",FALSE,FALSE)"),269.0)</f>
        <v>269</v>
      </c>
      <c r="I1076" s="5" t="str">
        <f>IFERROR(__xludf.DUMMYFUNCTION("""COMPUTED_VALUE"""),"Platoon")</f>
        <v>Platoon</v>
      </c>
      <c r="J1076" s="5" t="str">
        <f>IFERROR(__xludf.DUMMYFUNCTION("""COMPUTED_VALUE"""),"Willem Dafoe")</f>
        <v>Willem Dafoe</v>
      </c>
      <c r="K1076" s="5" t="str">
        <f>IFERROR(__xludf.DUMMYFUNCTION("""COMPUTED_VALUE"""),"Estrela 3")</f>
        <v>Estrela 3</v>
      </c>
      <c r="P1076" s="5">
        <f>IFERROR(__xludf.DUMMYFUNCTION("""COMPUTED_VALUE"""),269.0)</f>
        <v>269</v>
      </c>
      <c r="Q1076" s="5" t="str">
        <f>IFERROR(__xludf.DUMMYFUNCTION("""COMPUTED_VALUE"""),"Platoon")</f>
        <v>Platoon</v>
      </c>
      <c r="R1076" s="5" t="str">
        <f>IFERROR(__xludf.DUMMYFUNCTION("""COMPUTED_VALUE"""),"Willem Dafoe")</f>
        <v>Willem Dafoe</v>
      </c>
      <c r="S1076" s="5" t="str">
        <f>IFERROR(__xludf.DUMMYFUNCTION("""COMPUTED_VALUE"""),"Estrela 3")</f>
        <v>Estrela 3</v>
      </c>
    </row>
    <row r="1077">
      <c r="G1077" s="5" t="str">
        <f>IFERROR(__xludf.DUMMYFUNCTION("""COMPUTED_VALUE"""),"269🤙🏼Platoon🤙🏼Keith David🤙🏼Estrela 4")</f>
        <v>269🤙🏼Platoon🤙🏼Keith David🤙🏼Estrela 4</v>
      </c>
      <c r="H1077" s="5">
        <f>IFERROR(__xludf.DUMMYFUNCTION("SPLiT(G1077, ""🤙🏼"",FALSE,FALSE)"),269.0)</f>
        <v>269</v>
      </c>
      <c r="I1077" s="5" t="str">
        <f>IFERROR(__xludf.DUMMYFUNCTION("""COMPUTED_VALUE"""),"Platoon")</f>
        <v>Platoon</v>
      </c>
      <c r="J1077" s="5" t="str">
        <f>IFERROR(__xludf.DUMMYFUNCTION("""COMPUTED_VALUE"""),"Keith David")</f>
        <v>Keith David</v>
      </c>
      <c r="K1077" s="5" t="str">
        <f>IFERROR(__xludf.DUMMYFUNCTION("""COMPUTED_VALUE"""),"Estrela 4")</f>
        <v>Estrela 4</v>
      </c>
      <c r="P1077" s="5">
        <f>IFERROR(__xludf.DUMMYFUNCTION("""COMPUTED_VALUE"""),269.0)</f>
        <v>269</v>
      </c>
      <c r="Q1077" s="5" t="str">
        <f>IFERROR(__xludf.DUMMYFUNCTION("""COMPUTED_VALUE"""),"Platoon")</f>
        <v>Platoon</v>
      </c>
      <c r="R1077" s="5" t="str">
        <f>IFERROR(__xludf.DUMMYFUNCTION("""COMPUTED_VALUE"""),"Keith David")</f>
        <v>Keith David</v>
      </c>
      <c r="S1077" s="5" t="str">
        <f>IFERROR(__xludf.DUMMYFUNCTION("""COMPUTED_VALUE"""),"Estrela 4")</f>
        <v>Estrela 4</v>
      </c>
    </row>
    <row r="1078">
      <c r="G1078" s="5" t="str">
        <f>IFERROR(__xludf.DUMMYFUNCTION("""COMPUTED_VALUE"""),"270🤙🏼Paris, Texas🤙🏼Harry Dean Stanton🤙🏼Estrela 1")</f>
        <v>270🤙🏼Paris, Texas🤙🏼Harry Dean Stanton🤙🏼Estrela 1</v>
      </c>
      <c r="H1078" s="5">
        <f>IFERROR(__xludf.DUMMYFUNCTION("SPLiT(G1078, ""🤙🏼"",FALSE,FALSE)"),270.0)</f>
        <v>270</v>
      </c>
      <c r="I1078" s="5" t="str">
        <f>IFERROR(__xludf.DUMMYFUNCTION("""COMPUTED_VALUE"""),"Paris, Texas")</f>
        <v>Paris, Texas</v>
      </c>
      <c r="J1078" s="5" t="str">
        <f>IFERROR(__xludf.DUMMYFUNCTION("""COMPUTED_VALUE"""),"Harry Dean Stanton")</f>
        <v>Harry Dean Stanton</v>
      </c>
      <c r="K1078" s="5" t="str">
        <f>IFERROR(__xludf.DUMMYFUNCTION("""COMPUTED_VALUE"""),"Estrela 1")</f>
        <v>Estrela 1</v>
      </c>
      <c r="P1078" s="5">
        <f>IFERROR(__xludf.DUMMYFUNCTION("""COMPUTED_VALUE"""),270.0)</f>
        <v>270</v>
      </c>
      <c r="Q1078" s="5" t="str">
        <f>IFERROR(__xludf.DUMMYFUNCTION("""COMPUTED_VALUE"""),"Paris, Texas")</f>
        <v>Paris, Texas</v>
      </c>
      <c r="R1078" s="5" t="str">
        <f>IFERROR(__xludf.DUMMYFUNCTION("""COMPUTED_VALUE"""),"Harry Dean Stanton")</f>
        <v>Harry Dean Stanton</v>
      </c>
      <c r="S1078" s="5" t="str">
        <f>IFERROR(__xludf.DUMMYFUNCTION("""COMPUTED_VALUE"""),"Estrela 1")</f>
        <v>Estrela 1</v>
      </c>
    </row>
    <row r="1079">
      <c r="G1079" s="5" t="str">
        <f>IFERROR(__xludf.DUMMYFUNCTION("""COMPUTED_VALUE"""),"270🤙🏼Paris, Texas🤙🏼Nastassja Kinski🤙🏼Estrela 2")</f>
        <v>270🤙🏼Paris, Texas🤙🏼Nastassja Kinski🤙🏼Estrela 2</v>
      </c>
      <c r="H1079" s="5">
        <f>IFERROR(__xludf.DUMMYFUNCTION("SPLiT(G1079, ""🤙🏼"",FALSE,FALSE)"),270.0)</f>
        <v>270</v>
      </c>
      <c r="I1079" s="5" t="str">
        <f>IFERROR(__xludf.DUMMYFUNCTION("""COMPUTED_VALUE"""),"Paris, Texas")</f>
        <v>Paris, Texas</v>
      </c>
      <c r="J1079" s="5" t="str">
        <f>IFERROR(__xludf.DUMMYFUNCTION("""COMPUTED_VALUE"""),"Nastassja Kinski")</f>
        <v>Nastassja Kinski</v>
      </c>
      <c r="K1079" s="5" t="str">
        <f>IFERROR(__xludf.DUMMYFUNCTION("""COMPUTED_VALUE"""),"Estrela 2")</f>
        <v>Estrela 2</v>
      </c>
      <c r="P1079" s="5">
        <f>IFERROR(__xludf.DUMMYFUNCTION("""COMPUTED_VALUE"""),270.0)</f>
        <v>270</v>
      </c>
      <c r="Q1079" s="5" t="str">
        <f>IFERROR(__xludf.DUMMYFUNCTION("""COMPUTED_VALUE"""),"Paris, Texas")</f>
        <v>Paris, Texas</v>
      </c>
      <c r="R1079" s="5" t="str">
        <f>IFERROR(__xludf.DUMMYFUNCTION("""COMPUTED_VALUE"""),"Nastassja Kinski")</f>
        <v>Nastassja Kinski</v>
      </c>
      <c r="S1079" s="5" t="str">
        <f>IFERROR(__xludf.DUMMYFUNCTION("""COMPUTED_VALUE"""),"Estrela 2")</f>
        <v>Estrela 2</v>
      </c>
    </row>
    <row r="1080">
      <c r="G1080" s="5" t="str">
        <f>IFERROR(__xludf.DUMMYFUNCTION("""COMPUTED_VALUE"""),"270🤙🏼Paris, Texas🤙🏼Dean Stockwell🤙🏼Estrela 3")</f>
        <v>270🤙🏼Paris, Texas🤙🏼Dean Stockwell🤙🏼Estrela 3</v>
      </c>
      <c r="H1080" s="5">
        <f>IFERROR(__xludf.DUMMYFUNCTION("SPLiT(G1080, ""🤙🏼"",FALSE,FALSE)"),270.0)</f>
        <v>270</v>
      </c>
      <c r="I1080" s="5" t="str">
        <f>IFERROR(__xludf.DUMMYFUNCTION("""COMPUTED_VALUE"""),"Paris, Texas")</f>
        <v>Paris, Texas</v>
      </c>
      <c r="J1080" s="5" t="str">
        <f>IFERROR(__xludf.DUMMYFUNCTION("""COMPUTED_VALUE"""),"Dean Stockwell")</f>
        <v>Dean Stockwell</v>
      </c>
      <c r="K1080" s="5" t="str">
        <f>IFERROR(__xludf.DUMMYFUNCTION("""COMPUTED_VALUE"""),"Estrela 3")</f>
        <v>Estrela 3</v>
      </c>
      <c r="P1080" s="5">
        <f>IFERROR(__xludf.DUMMYFUNCTION("""COMPUTED_VALUE"""),270.0)</f>
        <v>270</v>
      </c>
      <c r="Q1080" s="5" t="str">
        <f>IFERROR(__xludf.DUMMYFUNCTION("""COMPUTED_VALUE"""),"Paris, Texas")</f>
        <v>Paris, Texas</v>
      </c>
      <c r="R1080" s="5" t="str">
        <f>IFERROR(__xludf.DUMMYFUNCTION("""COMPUTED_VALUE"""),"Dean Stockwell")</f>
        <v>Dean Stockwell</v>
      </c>
      <c r="S1080" s="5" t="str">
        <f>IFERROR(__xludf.DUMMYFUNCTION("""COMPUTED_VALUE"""),"Estrela 3")</f>
        <v>Estrela 3</v>
      </c>
    </row>
    <row r="1081">
      <c r="G1081" s="5" t="str">
        <f>IFERROR(__xludf.DUMMYFUNCTION("""COMPUTED_VALUE"""),"270🤙🏼Paris, Texas🤙🏼Aurore Clément🤙🏼Estrela 4")</f>
        <v>270🤙🏼Paris, Texas🤙🏼Aurore Clément🤙🏼Estrela 4</v>
      </c>
      <c r="H1081" s="5">
        <f>IFERROR(__xludf.DUMMYFUNCTION("SPLiT(G1081, ""🤙🏼"",FALSE,FALSE)"),270.0)</f>
        <v>270</v>
      </c>
      <c r="I1081" s="5" t="str">
        <f>IFERROR(__xludf.DUMMYFUNCTION("""COMPUTED_VALUE"""),"Paris, Texas")</f>
        <v>Paris, Texas</v>
      </c>
      <c r="J1081" s="5" t="str">
        <f>IFERROR(__xludf.DUMMYFUNCTION("""COMPUTED_VALUE"""),"Aurore Clément")</f>
        <v>Aurore Clément</v>
      </c>
      <c r="K1081" s="5" t="str">
        <f>IFERROR(__xludf.DUMMYFUNCTION("""COMPUTED_VALUE"""),"Estrela 4")</f>
        <v>Estrela 4</v>
      </c>
      <c r="P1081" s="5">
        <f>IFERROR(__xludf.DUMMYFUNCTION("""COMPUTED_VALUE"""),270.0)</f>
        <v>270</v>
      </c>
      <c r="Q1081" s="5" t="str">
        <f>IFERROR(__xludf.DUMMYFUNCTION("""COMPUTED_VALUE"""),"Paris, Texas")</f>
        <v>Paris, Texas</v>
      </c>
      <c r="R1081" s="5" t="str">
        <f>IFERROR(__xludf.DUMMYFUNCTION("""COMPUTED_VALUE"""),"Aurore Clément")</f>
        <v>Aurore Clément</v>
      </c>
      <c r="S1081" s="5" t="str">
        <f>IFERROR(__xludf.DUMMYFUNCTION("""COMPUTED_VALUE"""),"Estrela 4")</f>
        <v>Estrela 4</v>
      </c>
    </row>
    <row r="1082">
      <c r="G1082" s="5" t="str">
        <f>IFERROR(__xludf.DUMMYFUNCTION("""COMPUTED_VALUE"""),"271🤙🏼Kaze no tani no Naushika🤙🏼Sumi Shimamoto🤙🏼Estrela 1")</f>
        <v>271🤙🏼Kaze no tani no Naushika🤙🏼Sumi Shimamoto🤙🏼Estrela 1</v>
      </c>
      <c r="H1082" s="5">
        <f>IFERROR(__xludf.DUMMYFUNCTION("SPLiT(G1082, ""🤙🏼"",FALSE,FALSE)"),271.0)</f>
        <v>271</v>
      </c>
      <c r="I1082" s="5" t="str">
        <f>IFERROR(__xludf.DUMMYFUNCTION("""COMPUTED_VALUE"""),"Kaze no tani no Naushika")</f>
        <v>Kaze no tani no Naushika</v>
      </c>
      <c r="J1082" s="5" t="str">
        <f>IFERROR(__xludf.DUMMYFUNCTION("""COMPUTED_VALUE"""),"Sumi Shimamoto")</f>
        <v>Sumi Shimamoto</v>
      </c>
      <c r="K1082" s="5" t="str">
        <f>IFERROR(__xludf.DUMMYFUNCTION("""COMPUTED_VALUE"""),"Estrela 1")</f>
        <v>Estrela 1</v>
      </c>
      <c r="P1082" s="5">
        <f>IFERROR(__xludf.DUMMYFUNCTION("""COMPUTED_VALUE"""),271.0)</f>
        <v>271</v>
      </c>
      <c r="Q1082" s="5" t="str">
        <f>IFERROR(__xludf.DUMMYFUNCTION("""COMPUTED_VALUE"""),"Kaze no tani no Naushika")</f>
        <v>Kaze no tani no Naushika</v>
      </c>
      <c r="R1082" s="5" t="str">
        <f>IFERROR(__xludf.DUMMYFUNCTION("""COMPUTED_VALUE"""),"Sumi Shimamoto")</f>
        <v>Sumi Shimamoto</v>
      </c>
      <c r="S1082" s="5" t="str">
        <f>IFERROR(__xludf.DUMMYFUNCTION("""COMPUTED_VALUE"""),"Estrela 1")</f>
        <v>Estrela 1</v>
      </c>
    </row>
    <row r="1083">
      <c r="G1083" s="5" t="str">
        <f>IFERROR(__xludf.DUMMYFUNCTION("""COMPUTED_VALUE"""),"271🤙🏼Kaze no tani no Naushika🤙🏼Mahito Tsujimura🤙🏼Estrela 2")</f>
        <v>271🤙🏼Kaze no tani no Naushika🤙🏼Mahito Tsujimura🤙🏼Estrela 2</v>
      </c>
      <c r="H1083" s="5">
        <f>IFERROR(__xludf.DUMMYFUNCTION("SPLiT(G1083, ""🤙🏼"",FALSE,FALSE)"),271.0)</f>
        <v>271</v>
      </c>
      <c r="I1083" s="5" t="str">
        <f>IFERROR(__xludf.DUMMYFUNCTION("""COMPUTED_VALUE"""),"Kaze no tani no Naushika")</f>
        <v>Kaze no tani no Naushika</v>
      </c>
      <c r="J1083" s="5" t="str">
        <f>IFERROR(__xludf.DUMMYFUNCTION("""COMPUTED_VALUE"""),"Mahito Tsujimura")</f>
        <v>Mahito Tsujimura</v>
      </c>
      <c r="K1083" s="5" t="str">
        <f>IFERROR(__xludf.DUMMYFUNCTION("""COMPUTED_VALUE"""),"Estrela 2")</f>
        <v>Estrela 2</v>
      </c>
      <c r="P1083" s="5">
        <f>IFERROR(__xludf.DUMMYFUNCTION("""COMPUTED_VALUE"""),271.0)</f>
        <v>271</v>
      </c>
      <c r="Q1083" s="5" t="str">
        <f>IFERROR(__xludf.DUMMYFUNCTION("""COMPUTED_VALUE"""),"Kaze no tani no Naushika")</f>
        <v>Kaze no tani no Naushika</v>
      </c>
      <c r="R1083" s="5" t="str">
        <f>IFERROR(__xludf.DUMMYFUNCTION("""COMPUTED_VALUE"""),"Mahito Tsujimura")</f>
        <v>Mahito Tsujimura</v>
      </c>
      <c r="S1083" s="5" t="str">
        <f>IFERROR(__xludf.DUMMYFUNCTION("""COMPUTED_VALUE"""),"Estrela 2")</f>
        <v>Estrela 2</v>
      </c>
    </row>
    <row r="1084">
      <c r="G1084" s="5" t="str">
        <f>IFERROR(__xludf.DUMMYFUNCTION("""COMPUTED_VALUE"""),"271🤙🏼Kaze no tani no Naushika🤙🏼Hisako Kyôda🤙🏼Estrela 3")</f>
        <v>271🤙🏼Kaze no tani no Naushika🤙🏼Hisako Kyôda🤙🏼Estrela 3</v>
      </c>
      <c r="H1084" s="5">
        <f>IFERROR(__xludf.DUMMYFUNCTION("SPLiT(G1084, ""🤙🏼"",FALSE,FALSE)"),271.0)</f>
        <v>271</v>
      </c>
      <c r="I1084" s="5" t="str">
        <f>IFERROR(__xludf.DUMMYFUNCTION("""COMPUTED_VALUE"""),"Kaze no tani no Naushika")</f>
        <v>Kaze no tani no Naushika</v>
      </c>
      <c r="J1084" s="5" t="str">
        <f>IFERROR(__xludf.DUMMYFUNCTION("""COMPUTED_VALUE"""),"Hisako Kyôda")</f>
        <v>Hisako Kyôda</v>
      </c>
      <c r="K1084" s="5" t="str">
        <f>IFERROR(__xludf.DUMMYFUNCTION("""COMPUTED_VALUE"""),"Estrela 3")</f>
        <v>Estrela 3</v>
      </c>
      <c r="P1084" s="5">
        <f>IFERROR(__xludf.DUMMYFUNCTION("""COMPUTED_VALUE"""),271.0)</f>
        <v>271</v>
      </c>
      <c r="Q1084" s="5" t="str">
        <f>IFERROR(__xludf.DUMMYFUNCTION("""COMPUTED_VALUE"""),"Kaze no tani no Naushika")</f>
        <v>Kaze no tani no Naushika</v>
      </c>
      <c r="R1084" s="5" t="str">
        <f>IFERROR(__xludf.DUMMYFUNCTION("""COMPUTED_VALUE"""),"Hisako Kyôda")</f>
        <v>Hisako Kyôda</v>
      </c>
      <c r="S1084" s="5" t="str">
        <f>IFERROR(__xludf.DUMMYFUNCTION("""COMPUTED_VALUE"""),"Estrela 3")</f>
        <v>Estrela 3</v>
      </c>
    </row>
    <row r="1085">
      <c r="G1085" s="5" t="str">
        <f>IFERROR(__xludf.DUMMYFUNCTION("""COMPUTED_VALUE"""),"271🤙🏼Kaze no tani no Naushika🤙🏼Gorô Naya🤙🏼Estrela 4")</f>
        <v>271🤙🏼Kaze no tani no Naushika🤙🏼Gorô Naya🤙🏼Estrela 4</v>
      </c>
      <c r="H1085" s="5">
        <f>IFERROR(__xludf.DUMMYFUNCTION("SPLiT(G1085, ""🤙🏼"",FALSE,FALSE)"),271.0)</f>
        <v>271</v>
      </c>
      <c r="I1085" s="5" t="str">
        <f>IFERROR(__xludf.DUMMYFUNCTION("""COMPUTED_VALUE"""),"Kaze no tani no Naushika")</f>
        <v>Kaze no tani no Naushika</v>
      </c>
      <c r="J1085" s="5" t="str">
        <f>IFERROR(__xludf.DUMMYFUNCTION("""COMPUTED_VALUE"""),"Gorô Naya")</f>
        <v>Gorô Naya</v>
      </c>
      <c r="K1085" s="5" t="str">
        <f>IFERROR(__xludf.DUMMYFUNCTION("""COMPUTED_VALUE"""),"Estrela 4")</f>
        <v>Estrela 4</v>
      </c>
      <c r="P1085" s="5">
        <f>IFERROR(__xludf.DUMMYFUNCTION("""COMPUTED_VALUE"""),271.0)</f>
        <v>271</v>
      </c>
      <c r="Q1085" s="5" t="str">
        <f>IFERROR(__xludf.DUMMYFUNCTION("""COMPUTED_VALUE"""),"Kaze no tani no Naushika")</f>
        <v>Kaze no tani no Naushika</v>
      </c>
      <c r="R1085" s="5" t="str">
        <f>IFERROR(__xludf.DUMMYFUNCTION("""COMPUTED_VALUE"""),"Gorô Naya")</f>
        <v>Gorô Naya</v>
      </c>
      <c r="S1085" s="5" t="str">
        <f>IFERROR(__xludf.DUMMYFUNCTION("""COMPUTED_VALUE"""),"Estrela 4")</f>
        <v>Estrela 4</v>
      </c>
    </row>
    <row r="1086">
      <c r="G1086" s="5" t="str">
        <f>IFERROR(__xludf.DUMMYFUNCTION("""COMPUTED_VALUE"""),"272🤙🏼The Thing🤙🏼Kurt Russell🤙🏼Estrela 1")</f>
        <v>272🤙🏼The Thing🤙🏼Kurt Russell🤙🏼Estrela 1</v>
      </c>
      <c r="H1086" s="5">
        <f>IFERROR(__xludf.DUMMYFUNCTION("SPLiT(G1086, ""🤙🏼"",FALSE,FALSE)"),272.0)</f>
        <v>272</v>
      </c>
      <c r="I1086" s="5" t="str">
        <f>IFERROR(__xludf.DUMMYFUNCTION("""COMPUTED_VALUE"""),"The Thing")</f>
        <v>The Thing</v>
      </c>
      <c r="J1086" s="5" t="str">
        <f>IFERROR(__xludf.DUMMYFUNCTION("""COMPUTED_VALUE"""),"Kurt Russell")</f>
        <v>Kurt Russell</v>
      </c>
      <c r="K1086" s="5" t="str">
        <f>IFERROR(__xludf.DUMMYFUNCTION("""COMPUTED_VALUE"""),"Estrela 1")</f>
        <v>Estrela 1</v>
      </c>
      <c r="P1086" s="5">
        <f>IFERROR(__xludf.DUMMYFUNCTION("""COMPUTED_VALUE"""),272.0)</f>
        <v>272</v>
      </c>
      <c r="Q1086" s="5" t="str">
        <f>IFERROR(__xludf.DUMMYFUNCTION("""COMPUTED_VALUE"""),"The Thing")</f>
        <v>The Thing</v>
      </c>
      <c r="R1086" s="5" t="str">
        <f>IFERROR(__xludf.DUMMYFUNCTION("""COMPUTED_VALUE"""),"Kurt Russell")</f>
        <v>Kurt Russell</v>
      </c>
      <c r="S1086" s="5" t="str">
        <f>IFERROR(__xludf.DUMMYFUNCTION("""COMPUTED_VALUE"""),"Estrela 1")</f>
        <v>Estrela 1</v>
      </c>
    </row>
    <row r="1087">
      <c r="G1087" s="5" t="str">
        <f>IFERROR(__xludf.DUMMYFUNCTION("""COMPUTED_VALUE"""),"272🤙🏼The Thing🤙🏼Wilford Brimley🤙🏼Estrela 2")</f>
        <v>272🤙🏼The Thing🤙🏼Wilford Brimley🤙🏼Estrela 2</v>
      </c>
      <c r="H1087" s="5">
        <f>IFERROR(__xludf.DUMMYFUNCTION("SPLiT(G1087, ""🤙🏼"",FALSE,FALSE)"),272.0)</f>
        <v>272</v>
      </c>
      <c r="I1087" s="5" t="str">
        <f>IFERROR(__xludf.DUMMYFUNCTION("""COMPUTED_VALUE"""),"The Thing")</f>
        <v>The Thing</v>
      </c>
      <c r="J1087" s="5" t="str">
        <f>IFERROR(__xludf.DUMMYFUNCTION("""COMPUTED_VALUE"""),"Wilford Brimley")</f>
        <v>Wilford Brimley</v>
      </c>
      <c r="K1087" s="5" t="str">
        <f>IFERROR(__xludf.DUMMYFUNCTION("""COMPUTED_VALUE"""),"Estrela 2")</f>
        <v>Estrela 2</v>
      </c>
      <c r="P1087" s="5">
        <f>IFERROR(__xludf.DUMMYFUNCTION("""COMPUTED_VALUE"""),272.0)</f>
        <v>272</v>
      </c>
      <c r="Q1087" s="5" t="str">
        <f>IFERROR(__xludf.DUMMYFUNCTION("""COMPUTED_VALUE"""),"The Thing")</f>
        <v>The Thing</v>
      </c>
      <c r="R1087" s="5" t="str">
        <f>IFERROR(__xludf.DUMMYFUNCTION("""COMPUTED_VALUE"""),"Wilford Brimley")</f>
        <v>Wilford Brimley</v>
      </c>
      <c r="S1087" s="5" t="str">
        <f>IFERROR(__xludf.DUMMYFUNCTION("""COMPUTED_VALUE"""),"Estrela 2")</f>
        <v>Estrela 2</v>
      </c>
    </row>
    <row r="1088">
      <c r="G1088" s="5" t="str">
        <f>IFERROR(__xludf.DUMMYFUNCTION("""COMPUTED_VALUE"""),"272🤙🏼The Thing🤙🏼Keith David🤙🏼Estrela 3")</f>
        <v>272🤙🏼The Thing🤙🏼Keith David🤙🏼Estrela 3</v>
      </c>
      <c r="H1088" s="5">
        <f>IFERROR(__xludf.DUMMYFUNCTION("SPLiT(G1088, ""🤙🏼"",FALSE,FALSE)"),272.0)</f>
        <v>272</v>
      </c>
      <c r="I1088" s="5" t="str">
        <f>IFERROR(__xludf.DUMMYFUNCTION("""COMPUTED_VALUE"""),"The Thing")</f>
        <v>The Thing</v>
      </c>
      <c r="J1088" s="5" t="str">
        <f>IFERROR(__xludf.DUMMYFUNCTION("""COMPUTED_VALUE"""),"Keith David")</f>
        <v>Keith David</v>
      </c>
      <c r="K1088" s="5" t="str">
        <f>IFERROR(__xludf.DUMMYFUNCTION("""COMPUTED_VALUE"""),"Estrela 3")</f>
        <v>Estrela 3</v>
      </c>
      <c r="P1088" s="5">
        <f>IFERROR(__xludf.DUMMYFUNCTION("""COMPUTED_VALUE"""),272.0)</f>
        <v>272</v>
      </c>
      <c r="Q1088" s="5" t="str">
        <f>IFERROR(__xludf.DUMMYFUNCTION("""COMPUTED_VALUE"""),"The Thing")</f>
        <v>The Thing</v>
      </c>
      <c r="R1088" s="5" t="str">
        <f>IFERROR(__xludf.DUMMYFUNCTION("""COMPUTED_VALUE"""),"Keith David")</f>
        <v>Keith David</v>
      </c>
      <c r="S1088" s="5" t="str">
        <f>IFERROR(__xludf.DUMMYFUNCTION("""COMPUTED_VALUE"""),"Estrela 3")</f>
        <v>Estrela 3</v>
      </c>
    </row>
    <row r="1089">
      <c r="G1089" s="5" t="str">
        <f>IFERROR(__xludf.DUMMYFUNCTION("""COMPUTED_VALUE"""),"272🤙🏼The Thing🤙🏼Richard Masur🤙🏼Estrela 4")</f>
        <v>272🤙🏼The Thing🤙🏼Richard Masur🤙🏼Estrela 4</v>
      </c>
      <c r="H1089" s="5">
        <f>IFERROR(__xludf.DUMMYFUNCTION("SPLiT(G1089, ""🤙🏼"",FALSE,FALSE)"),272.0)</f>
        <v>272</v>
      </c>
      <c r="I1089" s="5" t="str">
        <f>IFERROR(__xludf.DUMMYFUNCTION("""COMPUTED_VALUE"""),"The Thing")</f>
        <v>The Thing</v>
      </c>
      <c r="J1089" s="5" t="str">
        <f>IFERROR(__xludf.DUMMYFUNCTION("""COMPUTED_VALUE"""),"Richard Masur")</f>
        <v>Richard Masur</v>
      </c>
      <c r="K1089" s="5" t="str">
        <f>IFERROR(__xludf.DUMMYFUNCTION("""COMPUTED_VALUE"""),"Estrela 4")</f>
        <v>Estrela 4</v>
      </c>
      <c r="P1089" s="5">
        <f>IFERROR(__xludf.DUMMYFUNCTION("""COMPUTED_VALUE"""),272.0)</f>
        <v>272</v>
      </c>
      <c r="Q1089" s="5" t="str">
        <f>IFERROR(__xludf.DUMMYFUNCTION("""COMPUTED_VALUE"""),"The Thing")</f>
        <v>The Thing</v>
      </c>
      <c r="R1089" s="5" t="str">
        <f>IFERROR(__xludf.DUMMYFUNCTION("""COMPUTED_VALUE"""),"Richard Masur")</f>
        <v>Richard Masur</v>
      </c>
      <c r="S1089" s="5" t="str">
        <f>IFERROR(__xludf.DUMMYFUNCTION("""COMPUTED_VALUE"""),"Estrela 4")</f>
        <v>Estrela 4</v>
      </c>
    </row>
    <row r="1090">
      <c r="G1090" s="5" t="str">
        <f>IFERROR(__xludf.DUMMYFUNCTION("""COMPUTED_VALUE"""),"273🤙🏼Pink Floyd: The Wall🤙🏼Bob Geldof🤙🏼Estrela 1")</f>
        <v>273🤙🏼Pink Floyd: The Wall🤙🏼Bob Geldof🤙🏼Estrela 1</v>
      </c>
      <c r="H1090" s="5">
        <f>IFERROR(__xludf.DUMMYFUNCTION("SPLiT(G1090, ""🤙🏼"",FALSE,FALSE)"),273.0)</f>
        <v>273</v>
      </c>
      <c r="I1090" s="5" t="str">
        <f>IFERROR(__xludf.DUMMYFUNCTION("""COMPUTED_VALUE"""),"Pink Floyd: The Wall")</f>
        <v>Pink Floyd: The Wall</v>
      </c>
      <c r="J1090" s="5" t="str">
        <f>IFERROR(__xludf.DUMMYFUNCTION("""COMPUTED_VALUE"""),"Bob Geldof")</f>
        <v>Bob Geldof</v>
      </c>
      <c r="K1090" s="5" t="str">
        <f>IFERROR(__xludf.DUMMYFUNCTION("""COMPUTED_VALUE"""),"Estrela 1")</f>
        <v>Estrela 1</v>
      </c>
      <c r="P1090" s="5">
        <f>IFERROR(__xludf.DUMMYFUNCTION("""COMPUTED_VALUE"""),273.0)</f>
        <v>273</v>
      </c>
      <c r="Q1090" s="5" t="str">
        <f>IFERROR(__xludf.DUMMYFUNCTION("""COMPUTED_VALUE"""),"Pink Floyd: The Wall")</f>
        <v>Pink Floyd: The Wall</v>
      </c>
      <c r="R1090" s="5" t="str">
        <f>IFERROR(__xludf.DUMMYFUNCTION("""COMPUTED_VALUE"""),"Bob Geldof")</f>
        <v>Bob Geldof</v>
      </c>
      <c r="S1090" s="5" t="str">
        <f>IFERROR(__xludf.DUMMYFUNCTION("""COMPUTED_VALUE"""),"Estrela 1")</f>
        <v>Estrela 1</v>
      </c>
    </row>
    <row r="1091">
      <c r="G1091" s="5" t="str">
        <f>IFERROR(__xludf.DUMMYFUNCTION("""COMPUTED_VALUE"""),"273🤙🏼Pink Floyd: The Wall🤙🏼Christine Hargreaves🤙🏼Estrela 2")</f>
        <v>273🤙🏼Pink Floyd: The Wall🤙🏼Christine Hargreaves🤙🏼Estrela 2</v>
      </c>
      <c r="H1091" s="5">
        <f>IFERROR(__xludf.DUMMYFUNCTION("SPLiT(G1091, ""🤙🏼"",FALSE,FALSE)"),273.0)</f>
        <v>273</v>
      </c>
      <c r="I1091" s="5" t="str">
        <f>IFERROR(__xludf.DUMMYFUNCTION("""COMPUTED_VALUE"""),"Pink Floyd: The Wall")</f>
        <v>Pink Floyd: The Wall</v>
      </c>
      <c r="J1091" s="5" t="str">
        <f>IFERROR(__xludf.DUMMYFUNCTION("""COMPUTED_VALUE"""),"Christine Hargreaves")</f>
        <v>Christine Hargreaves</v>
      </c>
      <c r="K1091" s="5" t="str">
        <f>IFERROR(__xludf.DUMMYFUNCTION("""COMPUTED_VALUE"""),"Estrela 2")</f>
        <v>Estrela 2</v>
      </c>
      <c r="P1091" s="5">
        <f>IFERROR(__xludf.DUMMYFUNCTION("""COMPUTED_VALUE"""),273.0)</f>
        <v>273</v>
      </c>
      <c r="Q1091" s="5" t="str">
        <f>IFERROR(__xludf.DUMMYFUNCTION("""COMPUTED_VALUE"""),"Pink Floyd: The Wall")</f>
        <v>Pink Floyd: The Wall</v>
      </c>
      <c r="R1091" s="5" t="str">
        <f>IFERROR(__xludf.DUMMYFUNCTION("""COMPUTED_VALUE"""),"Christine Hargreaves")</f>
        <v>Christine Hargreaves</v>
      </c>
      <c r="S1091" s="5" t="str">
        <f>IFERROR(__xludf.DUMMYFUNCTION("""COMPUTED_VALUE"""),"Estrela 2")</f>
        <v>Estrela 2</v>
      </c>
    </row>
    <row r="1092">
      <c r="G1092" s="5" t="str">
        <f>IFERROR(__xludf.DUMMYFUNCTION("""COMPUTED_VALUE"""),"273🤙🏼Pink Floyd: The Wall🤙🏼James Laurenson🤙🏼Estrela 3")</f>
        <v>273🤙🏼Pink Floyd: The Wall🤙🏼James Laurenson🤙🏼Estrela 3</v>
      </c>
      <c r="H1092" s="5">
        <f>IFERROR(__xludf.DUMMYFUNCTION("SPLiT(G1092, ""🤙🏼"",FALSE,FALSE)"),273.0)</f>
        <v>273</v>
      </c>
      <c r="I1092" s="5" t="str">
        <f>IFERROR(__xludf.DUMMYFUNCTION("""COMPUTED_VALUE"""),"Pink Floyd: The Wall")</f>
        <v>Pink Floyd: The Wall</v>
      </c>
      <c r="J1092" s="5" t="str">
        <f>IFERROR(__xludf.DUMMYFUNCTION("""COMPUTED_VALUE"""),"James Laurenson")</f>
        <v>James Laurenson</v>
      </c>
      <c r="K1092" s="5" t="str">
        <f>IFERROR(__xludf.DUMMYFUNCTION("""COMPUTED_VALUE"""),"Estrela 3")</f>
        <v>Estrela 3</v>
      </c>
      <c r="P1092" s="5">
        <f>IFERROR(__xludf.DUMMYFUNCTION("""COMPUTED_VALUE"""),273.0)</f>
        <v>273</v>
      </c>
      <c r="Q1092" s="5" t="str">
        <f>IFERROR(__xludf.DUMMYFUNCTION("""COMPUTED_VALUE"""),"Pink Floyd: The Wall")</f>
        <v>Pink Floyd: The Wall</v>
      </c>
      <c r="R1092" s="5" t="str">
        <f>IFERROR(__xludf.DUMMYFUNCTION("""COMPUTED_VALUE"""),"James Laurenson")</f>
        <v>James Laurenson</v>
      </c>
      <c r="S1092" s="5" t="str">
        <f>IFERROR(__xludf.DUMMYFUNCTION("""COMPUTED_VALUE"""),"Estrela 3")</f>
        <v>Estrela 3</v>
      </c>
    </row>
    <row r="1093">
      <c r="G1093" s="5" t="str">
        <f>IFERROR(__xludf.DUMMYFUNCTION("""COMPUTED_VALUE"""),"273🤙🏼Pink Floyd: The Wall🤙🏼Eleanor David🤙🏼Estrela 4")</f>
        <v>273🤙🏼Pink Floyd: The Wall🤙🏼Eleanor David🤙🏼Estrela 4</v>
      </c>
      <c r="H1093" s="5">
        <f>IFERROR(__xludf.DUMMYFUNCTION("SPLiT(G1093, ""🤙🏼"",FALSE,FALSE)"),273.0)</f>
        <v>273</v>
      </c>
      <c r="I1093" s="5" t="str">
        <f>IFERROR(__xludf.DUMMYFUNCTION("""COMPUTED_VALUE"""),"Pink Floyd: The Wall")</f>
        <v>Pink Floyd: The Wall</v>
      </c>
      <c r="J1093" s="5" t="str">
        <f>IFERROR(__xludf.DUMMYFUNCTION("""COMPUTED_VALUE"""),"Eleanor David")</f>
        <v>Eleanor David</v>
      </c>
      <c r="K1093" s="5" t="str">
        <f>IFERROR(__xludf.DUMMYFUNCTION("""COMPUTED_VALUE"""),"Estrela 4")</f>
        <v>Estrela 4</v>
      </c>
      <c r="P1093" s="5">
        <f>IFERROR(__xludf.DUMMYFUNCTION("""COMPUTED_VALUE"""),273.0)</f>
        <v>273</v>
      </c>
      <c r="Q1093" s="5" t="str">
        <f>IFERROR(__xludf.DUMMYFUNCTION("""COMPUTED_VALUE"""),"Pink Floyd: The Wall")</f>
        <v>Pink Floyd: The Wall</v>
      </c>
      <c r="R1093" s="5" t="str">
        <f>IFERROR(__xludf.DUMMYFUNCTION("""COMPUTED_VALUE"""),"Eleanor David")</f>
        <v>Eleanor David</v>
      </c>
      <c r="S1093" s="5" t="str">
        <f>IFERROR(__xludf.DUMMYFUNCTION("""COMPUTED_VALUE"""),"Estrela 4")</f>
        <v>Estrela 4</v>
      </c>
    </row>
    <row r="1094">
      <c r="G1094" s="5" t="str">
        <f>IFERROR(__xludf.DUMMYFUNCTION("""COMPUTED_VALUE"""),"274🤙🏼Fitzcarraldo🤙🏼Klaus Kinski🤙🏼Estrela 1")</f>
        <v>274🤙🏼Fitzcarraldo🤙🏼Klaus Kinski🤙🏼Estrela 1</v>
      </c>
      <c r="H1094" s="5">
        <f>IFERROR(__xludf.DUMMYFUNCTION("SPLiT(G1094, ""🤙🏼"",FALSE,FALSE)"),274.0)</f>
        <v>274</v>
      </c>
      <c r="I1094" s="5" t="str">
        <f>IFERROR(__xludf.DUMMYFUNCTION("""COMPUTED_VALUE"""),"Fitzcarraldo")</f>
        <v>Fitzcarraldo</v>
      </c>
      <c r="J1094" s="5" t="str">
        <f>IFERROR(__xludf.DUMMYFUNCTION("""COMPUTED_VALUE"""),"Klaus Kinski")</f>
        <v>Klaus Kinski</v>
      </c>
      <c r="K1094" s="5" t="str">
        <f>IFERROR(__xludf.DUMMYFUNCTION("""COMPUTED_VALUE"""),"Estrela 1")</f>
        <v>Estrela 1</v>
      </c>
      <c r="P1094" s="5">
        <f>IFERROR(__xludf.DUMMYFUNCTION("""COMPUTED_VALUE"""),274.0)</f>
        <v>274</v>
      </c>
      <c r="Q1094" s="5" t="str">
        <f>IFERROR(__xludf.DUMMYFUNCTION("""COMPUTED_VALUE"""),"Fitzcarraldo")</f>
        <v>Fitzcarraldo</v>
      </c>
      <c r="R1094" s="5" t="str">
        <f>IFERROR(__xludf.DUMMYFUNCTION("""COMPUTED_VALUE"""),"Klaus Kinski")</f>
        <v>Klaus Kinski</v>
      </c>
      <c r="S1094" s="5" t="str">
        <f>IFERROR(__xludf.DUMMYFUNCTION("""COMPUTED_VALUE"""),"Estrela 1")</f>
        <v>Estrela 1</v>
      </c>
    </row>
    <row r="1095">
      <c r="G1095" s="5" t="str">
        <f>IFERROR(__xludf.DUMMYFUNCTION("""COMPUTED_VALUE"""),"274🤙🏼Fitzcarraldo🤙🏼Claudia Cardinale🤙🏼Estrela 2")</f>
        <v>274🤙🏼Fitzcarraldo🤙🏼Claudia Cardinale🤙🏼Estrela 2</v>
      </c>
      <c r="H1095" s="5">
        <f>IFERROR(__xludf.DUMMYFUNCTION("SPLiT(G1095, ""🤙🏼"",FALSE,FALSE)"),274.0)</f>
        <v>274</v>
      </c>
      <c r="I1095" s="5" t="str">
        <f>IFERROR(__xludf.DUMMYFUNCTION("""COMPUTED_VALUE"""),"Fitzcarraldo")</f>
        <v>Fitzcarraldo</v>
      </c>
      <c r="J1095" s="5" t="str">
        <f>IFERROR(__xludf.DUMMYFUNCTION("""COMPUTED_VALUE"""),"Claudia Cardinale")</f>
        <v>Claudia Cardinale</v>
      </c>
      <c r="K1095" s="5" t="str">
        <f>IFERROR(__xludf.DUMMYFUNCTION("""COMPUTED_VALUE"""),"Estrela 2")</f>
        <v>Estrela 2</v>
      </c>
      <c r="P1095" s="5">
        <f>IFERROR(__xludf.DUMMYFUNCTION("""COMPUTED_VALUE"""),274.0)</f>
        <v>274</v>
      </c>
      <c r="Q1095" s="5" t="str">
        <f>IFERROR(__xludf.DUMMYFUNCTION("""COMPUTED_VALUE"""),"Fitzcarraldo")</f>
        <v>Fitzcarraldo</v>
      </c>
      <c r="R1095" s="5" t="str">
        <f>IFERROR(__xludf.DUMMYFUNCTION("""COMPUTED_VALUE"""),"Claudia Cardinale")</f>
        <v>Claudia Cardinale</v>
      </c>
      <c r="S1095" s="5" t="str">
        <f>IFERROR(__xludf.DUMMYFUNCTION("""COMPUTED_VALUE"""),"Estrela 2")</f>
        <v>Estrela 2</v>
      </c>
    </row>
    <row r="1096">
      <c r="G1096" s="5" t="str">
        <f>IFERROR(__xludf.DUMMYFUNCTION("""COMPUTED_VALUE"""),"274🤙🏼Fitzcarraldo🤙🏼José Lewgoy🤙🏼Estrela 3")</f>
        <v>274🤙🏼Fitzcarraldo🤙🏼José Lewgoy🤙🏼Estrela 3</v>
      </c>
      <c r="H1096" s="5">
        <f>IFERROR(__xludf.DUMMYFUNCTION("SPLiT(G1096, ""🤙🏼"",FALSE,FALSE)"),274.0)</f>
        <v>274</v>
      </c>
      <c r="I1096" s="5" t="str">
        <f>IFERROR(__xludf.DUMMYFUNCTION("""COMPUTED_VALUE"""),"Fitzcarraldo")</f>
        <v>Fitzcarraldo</v>
      </c>
      <c r="J1096" s="5" t="str">
        <f>IFERROR(__xludf.DUMMYFUNCTION("""COMPUTED_VALUE"""),"José Lewgoy")</f>
        <v>José Lewgoy</v>
      </c>
      <c r="K1096" s="5" t="str">
        <f>IFERROR(__xludf.DUMMYFUNCTION("""COMPUTED_VALUE"""),"Estrela 3")</f>
        <v>Estrela 3</v>
      </c>
      <c r="P1096" s="5">
        <f>IFERROR(__xludf.DUMMYFUNCTION("""COMPUTED_VALUE"""),274.0)</f>
        <v>274</v>
      </c>
      <c r="Q1096" s="5" t="str">
        <f>IFERROR(__xludf.DUMMYFUNCTION("""COMPUTED_VALUE"""),"Fitzcarraldo")</f>
        <v>Fitzcarraldo</v>
      </c>
      <c r="R1096" s="5" t="str">
        <f>IFERROR(__xludf.DUMMYFUNCTION("""COMPUTED_VALUE"""),"José Lewgoy")</f>
        <v>José Lewgoy</v>
      </c>
      <c r="S1096" s="5" t="str">
        <f>IFERROR(__xludf.DUMMYFUNCTION("""COMPUTED_VALUE"""),"Estrela 3")</f>
        <v>Estrela 3</v>
      </c>
    </row>
    <row r="1097">
      <c r="G1097" s="5" t="str">
        <f>IFERROR(__xludf.DUMMYFUNCTION("""COMPUTED_VALUE"""),"274🤙🏼Fitzcarraldo🤙🏼Miguel Ángel Fuentes🤙🏼Estrela 4")</f>
        <v>274🤙🏼Fitzcarraldo🤙🏼Miguel Ángel Fuentes🤙🏼Estrela 4</v>
      </c>
      <c r="H1097" s="5">
        <f>IFERROR(__xludf.DUMMYFUNCTION("SPLiT(G1097, ""🤙🏼"",FALSE,FALSE)"),274.0)</f>
        <v>274</v>
      </c>
      <c r="I1097" s="5" t="str">
        <f>IFERROR(__xludf.DUMMYFUNCTION("""COMPUTED_VALUE"""),"Fitzcarraldo")</f>
        <v>Fitzcarraldo</v>
      </c>
      <c r="J1097" s="5" t="str">
        <f>IFERROR(__xludf.DUMMYFUNCTION("""COMPUTED_VALUE"""),"Miguel Ángel Fuentes")</f>
        <v>Miguel Ángel Fuentes</v>
      </c>
      <c r="K1097" s="5" t="str">
        <f>IFERROR(__xludf.DUMMYFUNCTION("""COMPUTED_VALUE"""),"Estrela 4")</f>
        <v>Estrela 4</v>
      </c>
      <c r="P1097" s="5">
        <f>IFERROR(__xludf.DUMMYFUNCTION("""COMPUTED_VALUE"""),274.0)</f>
        <v>274</v>
      </c>
      <c r="Q1097" s="5" t="str">
        <f>IFERROR(__xludf.DUMMYFUNCTION("""COMPUTED_VALUE"""),"Fitzcarraldo")</f>
        <v>Fitzcarraldo</v>
      </c>
      <c r="R1097" s="5" t="str">
        <f>IFERROR(__xludf.DUMMYFUNCTION("""COMPUTED_VALUE"""),"Miguel Ángel Fuentes")</f>
        <v>Miguel Ángel Fuentes</v>
      </c>
      <c r="S1097" s="5" t="str">
        <f>IFERROR(__xludf.DUMMYFUNCTION("""COMPUTED_VALUE"""),"Estrela 4")</f>
        <v>Estrela 4</v>
      </c>
    </row>
    <row r="1098">
      <c r="G1098" s="5" t="str">
        <f>IFERROR(__xludf.DUMMYFUNCTION("""COMPUTED_VALUE"""),"275🤙🏼Fanny och Alexander🤙🏼Bertil Guve🤙🏼Estrela 1")</f>
        <v>275🤙🏼Fanny och Alexander🤙🏼Bertil Guve🤙🏼Estrela 1</v>
      </c>
      <c r="H1098" s="5">
        <f>IFERROR(__xludf.DUMMYFUNCTION("SPLiT(G1098, ""🤙🏼"",FALSE,FALSE)"),275.0)</f>
        <v>275</v>
      </c>
      <c r="I1098" s="5" t="str">
        <f>IFERROR(__xludf.DUMMYFUNCTION("""COMPUTED_VALUE"""),"Fanny och Alexander")</f>
        <v>Fanny och Alexander</v>
      </c>
      <c r="J1098" s="5" t="str">
        <f>IFERROR(__xludf.DUMMYFUNCTION("""COMPUTED_VALUE"""),"Bertil Guve")</f>
        <v>Bertil Guve</v>
      </c>
      <c r="K1098" s="5" t="str">
        <f>IFERROR(__xludf.DUMMYFUNCTION("""COMPUTED_VALUE"""),"Estrela 1")</f>
        <v>Estrela 1</v>
      </c>
      <c r="P1098" s="5">
        <f>IFERROR(__xludf.DUMMYFUNCTION("""COMPUTED_VALUE"""),275.0)</f>
        <v>275</v>
      </c>
      <c r="Q1098" s="5" t="str">
        <f>IFERROR(__xludf.DUMMYFUNCTION("""COMPUTED_VALUE"""),"Fanny och Alexander")</f>
        <v>Fanny och Alexander</v>
      </c>
      <c r="R1098" s="5" t="str">
        <f>IFERROR(__xludf.DUMMYFUNCTION("""COMPUTED_VALUE"""),"Bertil Guve")</f>
        <v>Bertil Guve</v>
      </c>
      <c r="S1098" s="5" t="str">
        <f>IFERROR(__xludf.DUMMYFUNCTION("""COMPUTED_VALUE"""),"Estrela 1")</f>
        <v>Estrela 1</v>
      </c>
    </row>
    <row r="1099">
      <c r="G1099" s="5" t="str">
        <f>IFERROR(__xludf.DUMMYFUNCTION("""COMPUTED_VALUE"""),"275🤙🏼Fanny och Alexander🤙🏼Pernilla Allwin🤙🏼Estrela 2")</f>
        <v>275🤙🏼Fanny och Alexander🤙🏼Pernilla Allwin🤙🏼Estrela 2</v>
      </c>
      <c r="H1099" s="5">
        <f>IFERROR(__xludf.DUMMYFUNCTION("SPLiT(G1099, ""🤙🏼"",FALSE,FALSE)"),275.0)</f>
        <v>275</v>
      </c>
      <c r="I1099" s="5" t="str">
        <f>IFERROR(__xludf.DUMMYFUNCTION("""COMPUTED_VALUE"""),"Fanny och Alexander")</f>
        <v>Fanny och Alexander</v>
      </c>
      <c r="J1099" s="5" t="str">
        <f>IFERROR(__xludf.DUMMYFUNCTION("""COMPUTED_VALUE"""),"Pernilla Allwin")</f>
        <v>Pernilla Allwin</v>
      </c>
      <c r="K1099" s="5" t="str">
        <f>IFERROR(__xludf.DUMMYFUNCTION("""COMPUTED_VALUE"""),"Estrela 2")</f>
        <v>Estrela 2</v>
      </c>
      <c r="P1099" s="5">
        <f>IFERROR(__xludf.DUMMYFUNCTION("""COMPUTED_VALUE"""),275.0)</f>
        <v>275</v>
      </c>
      <c r="Q1099" s="5" t="str">
        <f>IFERROR(__xludf.DUMMYFUNCTION("""COMPUTED_VALUE"""),"Fanny och Alexander")</f>
        <v>Fanny och Alexander</v>
      </c>
      <c r="R1099" s="5" t="str">
        <f>IFERROR(__xludf.DUMMYFUNCTION("""COMPUTED_VALUE"""),"Pernilla Allwin")</f>
        <v>Pernilla Allwin</v>
      </c>
      <c r="S1099" s="5" t="str">
        <f>IFERROR(__xludf.DUMMYFUNCTION("""COMPUTED_VALUE"""),"Estrela 2")</f>
        <v>Estrela 2</v>
      </c>
    </row>
    <row r="1100">
      <c r="G1100" s="5" t="str">
        <f>IFERROR(__xludf.DUMMYFUNCTION("""COMPUTED_VALUE"""),"275🤙🏼Fanny och Alexander🤙🏼Kristina Adolphson🤙🏼Estrela 3")</f>
        <v>275🤙🏼Fanny och Alexander🤙🏼Kristina Adolphson🤙🏼Estrela 3</v>
      </c>
      <c r="H1100" s="5">
        <f>IFERROR(__xludf.DUMMYFUNCTION("SPLiT(G1100, ""🤙🏼"",FALSE,FALSE)"),275.0)</f>
        <v>275</v>
      </c>
      <c r="I1100" s="5" t="str">
        <f>IFERROR(__xludf.DUMMYFUNCTION("""COMPUTED_VALUE"""),"Fanny och Alexander")</f>
        <v>Fanny och Alexander</v>
      </c>
      <c r="J1100" s="5" t="str">
        <f>IFERROR(__xludf.DUMMYFUNCTION("""COMPUTED_VALUE"""),"Kristina Adolphson")</f>
        <v>Kristina Adolphson</v>
      </c>
      <c r="K1100" s="5" t="str">
        <f>IFERROR(__xludf.DUMMYFUNCTION("""COMPUTED_VALUE"""),"Estrela 3")</f>
        <v>Estrela 3</v>
      </c>
      <c r="P1100" s="5">
        <f>IFERROR(__xludf.DUMMYFUNCTION("""COMPUTED_VALUE"""),275.0)</f>
        <v>275</v>
      </c>
      <c r="Q1100" s="5" t="str">
        <f>IFERROR(__xludf.DUMMYFUNCTION("""COMPUTED_VALUE"""),"Fanny och Alexander")</f>
        <v>Fanny och Alexander</v>
      </c>
      <c r="R1100" s="5" t="str">
        <f>IFERROR(__xludf.DUMMYFUNCTION("""COMPUTED_VALUE"""),"Kristina Adolphson")</f>
        <v>Kristina Adolphson</v>
      </c>
      <c r="S1100" s="5" t="str">
        <f>IFERROR(__xludf.DUMMYFUNCTION("""COMPUTED_VALUE"""),"Estrela 3")</f>
        <v>Estrela 3</v>
      </c>
    </row>
    <row r="1101">
      <c r="G1101" s="5" t="str">
        <f>IFERROR(__xludf.DUMMYFUNCTION("""COMPUTED_VALUE"""),"275🤙🏼Fanny och Alexander🤙🏼Börje Ahlstedt🤙🏼Estrela 4")</f>
        <v>275🤙🏼Fanny och Alexander🤙🏼Börje Ahlstedt🤙🏼Estrela 4</v>
      </c>
      <c r="H1101" s="5">
        <f>IFERROR(__xludf.DUMMYFUNCTION("SPLiT(G1101, ""🤙🏼"",FALSE,FALSE)"),275.0)</f>
        <v>275</v>
      </c>
      <c r="I1101" s="5" t="str">
        <f>IFERROR(__xludf.DUMMYFUNCTION("""COMPUTED_VALUE"""),"Fanny och Alexander")</f>
        <v>Fanny och Alexander</v>
      </c>
      <c r="J1101" s="5" t="str">
        <f>IFERROR(__xludf.DUMMYFUNCTION("""COMPUTED_VALUE"""),"Börje Ahlstedt")</f>
        <v>Börje Ahlstedt</v>
      </c>
      <c r="K1101" s="5" t="str">
        <f>IFERROR(__xludf.DUMMYFUNCTION("""COMPUTED_VALUE"""),"Estrela 4")</f>
        <v>Estrela 4</v>
      </c>
      <c r="P1101" s="5">
        <f>IFERROR(__xludf.DUMMYFUNCTION("""COMPUTED_VALUE"""),275.0)</f>
        <v>275</v>
      </c>
      <c r="Q1101" s="5" t="str">
        <f>IFERROR(__xludf.DUMMYFUNCTION("""COMPUTED_VALUE"""),"Fanny och Alexander")</f>
        <v>Fanny och Alexander</v>
      </c>
      <c r="R1101" s="5" t="str">
        <f>IFERROR(__xludf.DUMMYFUNCTION("""COMPUTED_VALUE"""),"Börje Ahlstedt")</f>
        <v>Börje Ahlstedt</v>
      </c>
      <c r="S1101" s="5" t="str">
        <f>IFERROR(__xludf.DUMMYFUNCTION("""COMPUTED_VALUE"""),"Estrela 4")</f>
        <v>Estrela 4</v>
      </c>
    </row>
    <row r="1102">
      <c r="G1102" s="5" t="str">
        <f>IFERROR(__xludf.DUMMYFUNCTION("""COMPUTED_VALUE"""),"276🤙🏼Blade Runner🤙🏼Harrison Ford🤙🏼Estrela 1")</f>
        <v>276🤙🏼Blade Runner🤙🏼Harrison Ford🤙🏼Estrela 1</v>
      </c>
      <c r="H1102" s="5">
        <f>IFERROR(__xludf.DUMMYFUNCTION("SPLiT(G1102, ""🤙🏼"",FALSE,FALSE)"),276.0)</f>
        <v>276</v>
      </c>
      <c r="I1102" s="5" t="str">
        <f>IFERROR(__xludf.DUMMYFUNCTION("""COMPUTED_VALUE"""),"Blade Runner")</f>
        <v>Blade Runner</v>
      </c>
      <c r="J1102" s="5" t="str">
        <f>IFERROR(__xludf.DUMMYFUNCTION("""COMPUTED_VALUE"""),"Harrison Ford")</f>
        <v>Harrison Ford</v>
      </c>
      <c r="K1102" s="5" t="str">
        <f>IFERROR(__xludf.DUMMYFUNCTION("""COMPUTED_VALUE"""),"Estrela 1")</f>
        <v>Estrela 1</v>
      </c>
      <c r="P1102" s="5">
        <f>IFERROR(__xludf.DUMMYFUNCTION("""COMPUTED_VALUE"""),276.0)</f>
        <v>276</v>
      </c>
      <c r="Q1102" s="5" t="str">
        <f>IFERROR(__xludf.DUMMYFUNCTION("""COMPUTED_VALUE"""),"Blade Runner")</f>
        <v>Blade Runner</v>
      </c>
      <c r="R1102" s="5" t="str">
        <f>IFERROR(__xludf.DUMMYFUNCTION("""COMPUTED_VALUE"""),"Harrison Ford")</f>
        <v>Harrison Ford</v>
      </c>
      <c r="S1102" s="5" t="str">
        <f>IFERROR(__xludf.DUMMYFUNCTION("""COMPUTED_VALUE"""),"Estrela 1")</f>
        <v>Estrela 1</v>
      </c>
    </row>
    <row r="1103">
      <c r="G1103" s="5" t="str">
        <f>IFERROR(__xludf.DUMMYFUNCTION("""COMPUTED_VALUE"""),"276🤙🏼Blade Runner🤙🏼Rutger Hauer🤙🏼Estrela 2")</f>
        <v>276🤙🏼Blade Runner🤙🏼Rutger Hauer🤙🏼Estrela 2</v>
      </c>
      <c r="H1103" s="5">
        <f>IFERROR(__xludf.DUMMYFUNCTION("SPLiT(G1103, ""🤙🏼"",FALSE,FALSE)"),276.0)</f>
        <v>276</v>
      </c>
      <c r="I1103" s="5" t="str">
        <f>IFERROR(__xludf.DUMMYFUNCTION("""COMPUTED_VALUE"""),"Blade Runner")</f>
        <v>Blade Runner</v>
      </c>
      <c r="J1103" s="5" t="str">
        <f>IFERROR(__xludf.DUMMYFUNCTION("""COMPUTED_VALUE"""),"Rutger Hauer")</f>
        <v>Rutger Hauer</v>
      </c>
      <c r="K1103" s="5" t="str">
        <f>IFERROR(__xludf.DUMMYFUNCTION("""COMPUTED_VALUE"""),"Estrela 2")</f>
        <v>Estrela 2</v>
      </c>
      <c r="P1103" s="5">
        <f>IFERROR(__xludf.DUMMYFUNCTION("""COMPUTED_VALUE"""),276.0)</f>
        <v>276</v>
      </c>
      <c r="Q1103" s="5" t="str">
        <f>IFERROR(__xludf.DUMMYFUNCTION("""COMPUTED_VALUE"""),"Blade Runner")</f>
        <v>Blade Runner</v>
      </c>
      <c r="R1103" s="5" t="str">
        <f>IFERROR(__xludf.DUMMYFUNCTION("""COMPUTED_VALUE"""),"Rutger Hauer")</f>
        <v>Rutger Hauer</v>
      </c>
      <c r="S1103" s="5" t="str">
        <f>IFERROR(__xludf.DUMMYFUNCTION("""COMPUTED_VALUE"""),"Estrela 2")</f>
        <v>Estrela 2</v>
      </c>
    </row>
    <row r="1104">
      <c r="G1104" s="5" t="str">
        <f>IFERROR(__xludf.DUMMYFUNCTION("""COMPUTED_VALUE"""),"276🤙🏼Blade Runner🤙🏼Sean Young🤙🏼Estrela 3")</f>
        <v>276🤙🏼Blade Runner🤙🏼Sean Young🤙🏼Estrela 3</v>
      </c>
      <c r="H1104" s="5">
        <f>IFERROR(__xludf.DUMMYFUNCTION("SPLiT(G1104, ""🤙🏼"",FALSE,FALSE)"),276.0)</f>
        <v>276</v>
      </c>
      <c r="I1104" s="5" t="str">
        <f>IFERROR(__xludf.DUMMYFUNCTION("""COMPUTED_VALUE"""),"Blade Runner")</f>
        <v>Blade Runner</v>
      </c>
      <c r="J1104" s="5" t="str">
        <f>IFERROR(__xludf.DUMMYFUNCTION("""COMPUTED_VALUE"""),"Sean Young")</f>
        <v>Sean Young</v>
      </c>
      <c r="K1104" s="5" t="str">
        <f>IFERROR(__xludf.DUMMYFUNCTION("""COMPUTED_VALUE"""),"Estrela 3")</f>
        <v>Estrela 3</v>
      </c>
      <c r="P1104" s="5">
        <f>IFERROR(__xludf.DUMMYFUNCTION("""COMPUTED_VALUE"""),276.0)</f>
        <v>276</v>
      </c>
      <c r="Q1104" s="5" t="str">
        <f>IFERROR(__xludf.DUMMYFUNCTION("""COMPUTED_VALUE"""),"Blade Runner")</f>
        <v>Blade Runner</v>
      </c>
      <c r="R1104" s="5" t="str">
        <f>IFERROR(__xludf.DUMMYFUNCTION("""COMPUTED_VALUE"""),"Sean Young")</f>
        <v>Sean Young</v>
      </c>
      <c r="S1104" s="5" t="str">
        <f>IFERROR(__xludf.DUMMYFUNCTION("""COMPUTED_VALUE"""),"Estrela 3")</f>
        <v>Estrela 3</v>
      </c>
    </row>
    <row r="1105">
      <c r="G1105" s="5" t="str">
        <f>IFERROR(__xludf.DUMMYFUNCTION("""COMPUTED_VALUE"""),"276🤙🏼Blade Runner🤙🏼Edward James Olmos🤙🏼Estrela 4")</f>
        <v>276🤙🏼Blade Runner🤙🏼Edward James Olmos🤙🏼Estrela 4</v>
      </c>
      <c r="H1105" s="5">
        <f>IFERROR(__xludf.DUMMYFUNCTION("SPLiT(G1105, ""🤙🏼"",FALSE,FALSE)"),276.0)</f>
        <v>276</v>
      </c>
      <c r="I1105" s="5" t="str">
        <f>IFERROR(__xludf.DUMMYFUNCTION("""COMPUTED_VALUE"""),"Blade Runner")</f>
        <v>Blade Runner</v>
      </c>
      <c r="J1105" s="5" t="str">
        <f>IFERROR(__xludf.DUMMYFUNCTION("""COMPUTED_VALUE"""),"Edward James Olmos")</f>
        <v>Edward James Olmos</v>
      </c>
      <c r="K1105" s="5" t="str">
        <f>IFERROR(__xludf.DUMMYFUNCTION("""COMPUTED_VALUE"""),"Estrela 4")</f>
        <v>Estrela 4</v>
      </c>
      <c r="P1105" s="5">
        <f>IFERROR(__xludf.DUMMYFUNCTION("""COMPUTED_VALUE"""),276.0)</f>
        <v>276</v>
      </c>
      <c r="Q1105" s="5" t="str">
        <f>IFERROR(__xludf.DUMMYFUNCTION("""COMPUTED_VALUE"""),"Blade Runner")</f>
        <v>Blade Runner</v>
      </c>
      <c r="R1105" s="5" t="str">
        <f>IFERROR(__xludf.DUMMYFUNCTION("""COMPUTED_VALUE"""),"Edward James Olmos")</f>
        <v>Edward James Olmos</v>
      </c>
      <c r="S1105" s="5" t="str">
        <f>IFERROR(__xludf.DUMMYFUNCTION("""COMPUTED_VALUE"""),"Estrela 4")</f>
        <v>Estrela 4</v>
      </c>
    </row>
    <row r="1106">
      <c r="G1106" s="5" t="str">
        <f>IFERROR(__xludf.DUMMYFUNCTION("""COMPUTED_VALUE"""),"277🤙🏼The Elephant Man🤙🏼Anthony Hopkins🤙🏼Estrela 1")</f>
        <v>277🤙🏼The Elephant Man🤙🏼Anthony Hopkins🤙🏼Estrela 1</v>
      </c>
      <c r="H1106" s="5">
        <f>IFERROR(__xludf.DUMMYFUNCTION("SPLiT(G1106, ""🤙🏼"",FALSE,FALSE)"),277.0)</f>
        <v>277</v>
      </c>
      <c r="I1106" s="5" t="str">
        <f>IFERROR(__xludf.DUMMYFUNCTION("""COMPUTED_VALUE"""),"The Elephant Man")</f>
        <v>The Elephant Man</v>
      </c>
      <c r="J1106" s="5" t="str">
        <f>IFERROR(__xludf.DUMMYFUNCTION("""COMPUTED_VALUE"""),"Anthony Hopkins")</f>
        <v>Anthony Hopkins</v>
      </c>
      <c r="K1106" s="5" t="str">
        <f>IFERROR(__xludf.DUMMYFUNCTION("""COMPUTED_VALUE"""),"Estrela 1")</f>
        <v>Estrela 1</v>
      </c>
      <c r="P1106" s="5">
        <f>IFERROR(__xludf.DUMMYFUNCTION("""COMPUTED_VALUE"""),277.0)</f>
        <v>277</v>
      </c>
      <c r="Q1106" s="5" t="str">
        <f>IFERROR(__xludf.DUMMYFUNCTION("""COMPUTED_VALUE"""),"The Elephant Man")</f>
        <v>The Elephant Man</v>
      </c>
      <c r="R1106" s="5" t="str">
        <f>IFERROR(__xludf.DUMMYFUNCTION("""COMPUTED_VALUE"""),"Anthony Hopkins")</f>
        <v>Anthony Hopkins</v>
      </c>
      <c r="S1106" s="5" t="str">
        <f>IFERROR(__xludf.DUMMYFUNCTION("""COMPUTED_VALUE"""),"Estrela 1")</f>
        <v>Estrela 1</v>
      </c>
    </row>
    <row r="1107">
      <c r="G1107" s="5" t="str">
        <f>IFERROR(__xludf.DUMMYFUNCTION("""COMPUTED_VALUE"""),"277🤙🏼The Elephant Man🤙🏼John Hurt🤙🏼Estrela 2")</f>
        <v>277🤙🏼The Elephant Man🤙🏼John Hurt🤙🏼Estrela 2</v>
      </c>
      <c r="H1107" s="5">
        <f>IFERROR(__xludf.DUMMYFUNCTION("SPLiT(G1107, ""🤙🏼"",FALSE,FALSE)"),277.0)</f>
        <v>277</v>
      </c>
      <c r="I1107" s="5" t="str">
        <f>IFERROR(__xludf.DUMMYFUNCTION("""COMPUTED_VALUE"""),"The Elephant Man")</f>
        <v>The Elephant Man</v>
      </c>
      <c r="J1107" s="5" t="str">
        <f>IFERROR(__xludf.DUMMYFUNCTION("""COMPUTED_VALUE"""),"John Hurt")</f>
        <v>John Hurt</v>
      </c>
      <c r="K1107" s="5" t="str">
        <f>IFERROR(__xludf.DUMMYFUNCTION("""COMPUTED_VALUE"""),"Estrela 2")</f>
        <v>Estrela 2</v>
      </c>
      <c r="P1107" s="5">
        <f>IFERROR(__xludf.DUMMYFUNCTION("""COMPUTED_VALUE"""),277.0)</f>
        <v>277</v>
      </c>
      <c r="Q1107" s="5" t="str">
        <f>IFERROR(__xludf.DUMMYFUNCTION("""COMPUTED_VALUE"""),"The Elephant Man")</f>
        <v>The Elephant Man</v>
      </c>
      <c r="R1107" s="5" t="str">
        <f>IFERROR(__xludf.DUMMYFUNCTION("""COMPUTED_VALUE"""),"John Hurt")</f>
        <v>John Hurt</v>
      </c>
      <c r="S1107" s="5" t="str">
        <f>IFERROR(__xludf.DUMMYFUNCTION("""COMPUTED_VALUE"""),"Estrela 2")</f>
        <v>Estrela 2</v>
      </c>
    </row>
    <row r="1108">
      <c r="G1108" s="5" t="str">
        <f>IFERROR(__xludf.DUMMYFUNCTION("""COMPUTED_VALUE"""),"277🤙🏼The Elephant Man🤙🏼Anne Bancroft🤙🏼Estrela 3")</f>
        <v>277🤙🏼The Elephant Man🤙🏼Anne Bancroft🤙🏼Estrela 3</v>
      </c>
      <c r="H1108" s="5">
        <f>IFERROR(__xludf.DUMMYFUNCTION("SPLiT(G1108, ""🤙🏼"",FALSE,FALSE)"),277.0)</f>
        <v>277</v>
      </c>
      <c r="I1108" s="5" t="str">
        <f>IFERROR(__xludf.DUMMYFUNCTION("""COMPUTED_VALUE"""),"The Elephant Man")</f>
        <v>The Elephant Man</v>
      </c>
      <c r="J1108" s="5" t="str">
        <f>IFERROR(__xludf.DUMMYFUNCTION("""COMPUTED_VALUE"""),"Anne Bancroft")</f>
        <v>Anne Bancroft</v>
      </c>
      <c r="K1108" s="5" t="str">
        <f>IFERROR(__xludf.DUMMYFUNCTION("""COMPUTED_VALUE"""),"Estrela 3")</f>
        <v>Estrela 3</v>
      </c>
      <c r="P1108" s="5">
        <f>IFERROR(__xludf.DUMMYFUNCTION("""COMPUTED_VALUE"""),277.0)</f>
        <v>277</v>
      </c>
      <c r="Q1108" s="5" t="str">
        <f>IFERROR(__xludf.DUMMYFUNCTION("""COMPUTED_VALUE"""),"The Elephant Man")</f>
        <v>The Elephant Man</v>
      </c>
      <c r="R1108" s="5" t="str">
        <f>IFERROR(__xludf.DUMMYFUNCTION("""COMPUTED_VALUE"""),"Anne Bancroft")</f>
        <v>Anne Bancroft</v>
      </c>
      <c r="S1108" s="5" t="str">
        <f>IFERROR(__xludf.DUMMYFUNCTION("""COMPUTED_VALUE"""),"Estrela 3")</f>
        <v>Estrela 3</v>
      </c>
    </row>
    <row r="1109">
      <c r="G1109" s="5" t="str">
        <f>IFERROR(__xludf.DUMMYFUNCTION("""COMPUTED_VALUE"""),"277🤙🏼The Elephant Man🤙🏼John Gielgud🤙🏼Estrela 4")</f>
        <v>277🤙🏼The Elephant Man🤙🏼John Gielgud🤙🏼Estrela 4</v>
      </c>
      <c r="H1109" s="5">
        <f>IFERROR(__xludf.DUMMYFUNCTION("SPLiT(G1109, ""🤙🏼"",FALSE,FALSE)"),277.0)</f>
        <v>277</v>
      </c>
      <c r="I1109" s="5" t="str">
        <f>IFERROR(__xludf.DUMMYFUNCTION("""COMPUTED_VALUE"""),"The Elephant Man")</f>
        <v>The Elephant Man</v>
      </c>
      <c r="J1109" s="5" t="str">
        <f>IFERROR(__xludf.DUMMYFUNCTION("""COMPUTED_VALUE"""),"John Gielgud")</f>
        <v>John Gielgud</v>
      </c>
      <c r="K1109" s="5" t="str">
        <f>IFERROR(__xludf.DUMMYFUNCTION("""COMPUTED_VALUE"""),"Estrela 4")</f>
        <v>Estrela 4</v>
      </c>
      <c r="P1109" s="5">
        <f>IFERROR(__xludf.DUMMYFUNCTION("""COMPUTED_VALUE"""),277.0)</f>
        <v>277</v>
      </c>
      <c r="Q1109" s="5" t="str">
        <f>IFERROR(__xludf.DUMMYFUNCTION("""COMPUTED_VALUE"""),"The Elephant Man")</f>
        <v>The Elephant Man</v>
      </c>
      <c r="R1109" s="5" t="str">
        <f>IFERROR(__xludf.DUMMYFUNCTION("""COMPUTED_VALUE"""),"John Gielgud")</f>
        <v>John Gielgud</v>
      </c>
      <c r="S1109" s="5" t="str">
        <f>IFERROR(__xludf.DUMMYFUNCTION("""COMPUTED_VALUE"""),"Estrela 4")</f>
        <v>Estrela 4</v>
      </c>
    </row>
    <row r="1110">
      <c r="G1110" s="5" t="str">
        <f>IFERROR(__xludf.DUMMYFUNCTION("""COMPUTED_VALUE"""),"278🤙🏼Life of Brian🤙🏼Graham Chapman🤙🏼Estrela 1")</f>
        <v>278🤙🏼Life of Brian🤙🏼Graham Chapman🤙🏼Estrela 1</v>
      </c>
      <c r="H1110" s="5">
        <f>IFERROR(__xludf.DUMMYFUNCTION("SPLiT(G1110, ""🤙🏼"",FALSE,FALSE)"),278.0)</f>
        <v>278</v>
      </c>
      <c r="I1110" s="5" t="str">
        <f>IFERROR(__xludf.DUMMYFUNCTION("""COMPUTED_VALUE"""),"Life of Brian")</f>
        <v>Life of Brian</v>
      </c>
      <c r="J1110" s="5" t="str">
        <f>IFERROR(__xludf.DUMMYFUNCTION("""COMPUTED_VALUE"""),"Graham Chapman")</f>
        <v>Graham Chapman</v>
      </c>
      <c r="K1110" s="5" t="str">
        <f>IFERROR(__xludf.DUMMYFUNCTION("""COMPUTED_VALUE"""),"Estrela 1")</f>
        <v>Estrela 1</v>
      </c>
      <c r="P1110" s="5">
        <f>IFERROR(__xludf.DUMMYFUNCTION("""COMPUTED_VALUE"""),278.0)</f>
        <v>278</v>
      </c>
      <c r="Q1110" s="5" t="str">
        <f>IFERROR(__xludf.DUMMYFUNCTION("""COMPUTED_VALUE"""),"Life of Brian")</f>
        <v>Life of Brian</v>
      </c>
      <c r="R1110" s="5" t="str">
        <f>IFERROR(__xludf.DUMMYFUNCTION("""COMPUTED_VALUE"""),"Graham Chapman")</f>
        <v>Graham Chapman</v>
      </c>
      <c r="S1110" s="5" t="str">
        <f>IFERROR(__xludf.DUMMYFUNCTION("""COMPUTED_VALUE"""),"Estrela 1")</f>
        <v>Estrela 1</v>
      </c>
    </row>
    <row r="1111">
      <c r="G1111" s="5" t="str">
        <f>IFERROR(__xludf.DUMMYFUNCTION("""COMPUTED_VALUE"""),"278🤙🏼Life of Brian🤙🏼John Cleese🤙🏼Estrela 2")</f>
        <v>278🤙🏼Life of Brian🤙🏼John Cleese🤙🏼Estrela 2</v>
      </c>
      <c r="H1111" s="5">
        <f>IFERROR(__xludf.DUMMYFUNCTION("SPLiT(G1111, ""🤙🏼"",FALSE,FALSE)"),278.0)</f>
        <v>278</v>
      </c>
      <c r="I1111" s="5" t="str">
        <f>IFERROR(__xludf.DUMMYFUNCTION("""COMPUTED_VALUE"""),"Life of Brian")</f>
        <v>Life of Brian</v>
      </c>
      <c r="J1111" s="5" t="str">
        <f>IFERROR(__xludf.DUMMYFUNCTION("""COMPUTED_VALUE"""),"John Cleese")</f>
        <v>John Cleese</v>
      </c>
      <c r="K1111" s="5" t="str">
        <f>IFERROR(__xludf.DUMMYFUNCTION("""COMPUTED_VALUE"""),"Estrela 2")</f>
        <v>Estrela 2</v>
      </c>
      <c r="P1111" s="5">
        <f>IFERROR(__xludf.DUMMYFUNCTION("""COMPUTED_VALUE"""),278.0)</f>
        <v>278</v>
      </c>
      <c r="Q1111" s="5" t="str">
        <f>IFERROR(__xludf.DUMMYFUNCTION("""COMPUTED_VALUE"""),"Life of Brian")</f>
        <v>Life of Brian</v>
      </c>
      <c r="R1111" s="5" t="str">
        <f>IFERROR(__xludf.DUMMYFUNCTION("""COMPUTED_VALUE"""),"John Cleese")</f>
        <v>John Cleese</v>
      </c>
      <c r="S1111" s="5" t="str">
        <f>IFERROR(__xludf.DUMMYFUNCTION("""COMPUTED_VALUE"""),"Estrela 2")</f>
        <v>Estrela 2</v>
      </c>
    </row>
    <row r="1112">
      <c r="G1112" s="5" t="str">
        <f>IFERROR(__xludf.DUMMYFUNCTION("""COMPUTED_VALUE"""),"278🤙🏼Life of Brian🤙🏼Michael Palin🤙🏼Estrela 3")</f>
        <v>278🤙🏼Life of Brian🤙🏼Michael Palin🤙🏼Estrela 3</v>
      </c>
      <c r="H1112" s="5">
        <f>IFERROR(__xludf.DUMMYFUNCTION("SPLiT(G1112, ""🤙🏼"",FALSE,FALSE)"),278.0)</f>
        <v>278</v>
      </c>
      <c r="I1112" s="5" t="str">
        <f>IFERROR(__xludf.DUMMYFUNCTION("""COMPUTED_VALUE"""),"Life of Brian")</f>
        <v>Life of Brian</v>
      </c>
      <c r="J1112" s="5" t="str">
        <f>IFERROR(__xludf.DUMMYFUNCTION("""COMPUTED_VALUE"""),"Michael Palin")</f>
        <v>Michael Palin</v>
      </c>
      <c r="K1112" s="5" t="str">
        <f>IFERROR(__xludf.DUMMYFUNCTION("""COMPUTED_VALUE"""),"Estrela 3")</f>
        <v>Estrela 3</v>
      </c>
      <c r="P1112" s="5">
        <f>IFERROR(__xludf.DUMMYFUNCTION("""COMPUTED_VALUE"""),278.0)</f>
        <v>278</v>
      </c>
      <c r="Q1112" s="5" t="str">
        <f>IFERROR(__xludf.DUMMYFUNCTION("""COMPUTED_VALUE"""),"Life of Brian")</f>
        <v>Life of Brian</v>
      </c>
      <c r="R1112" s="5" t="str">
        <f>IFERROR(__xludf.DUMMYFUNCTION("""COMPUTED_VALUE"""),"Michael Palin")</f>
        <v>Michael Palin</v>
      </c>
      <c r="S1112" s="5" t="str">
        <f>IFERROR(__xludf.DUMMYFUNCTION("""COMPUTED_VALUE"""),"Estrela 3")</f>
        <v>Estrela 3</v>
      </c>
    </row>
    <row r="1113">
      <c r="G1113" s="5" t="str">
        <f>IFERROR(__xludf.DUMMYFUNCTION("""COMPUTED_VALUE"""),"278🤙🏼Life of Brian🤙🏼Terry Gilliam🤙🏼Estrela 4")</f>
        <v>278🤙🏼Life of Brian🤙🏼Terry Gilliam🤙🏼Estrela 4</v>
      </c>
      <c r="H1113" s="5">
        <f>IFERROR(__xludf.DUMMYFUNCTION("SPLiT(G1113, ""🤙🏼"",FALSE,FALSE)"),278.0)</f>
        <v>278</v>
      </c>
      <c r="I1113" s="5" t="str">
        <f>IFERROR(__xludf.DUMMYFUNCTION("""COMPUTED_VALUE"""),"Life of Brian")</f>
        <v>Life of Brian</v>
      </c>
      <c r="J1113" s="5" t="str">
        <f>IFERROR(__xludf.DUMMYFUNCTION("""COMPUTED_VALUE"""),"Terry Gilliam")</f>
        <v>Terry Gilliam</v>
      </c>
      <c r="K1113" s="5" t="str">
        <f>IFERROR(__xludf.DUMMYFUNCTION("""COMPUTED_VALUE"""),"Estrela 4")</f>
        <v>Estrela 4</v>
      </c>
      <c r="P1113" s="5">
        <f>IFERROR(__xludf.DUMMYFUNCTION("""COMPUTED_VALUE"""),278.0)</f>
        <v>278</v>
      </c>
      <c r="Q1113" s="5" t="str">
        <f>IFERROR(__xludf.DUMMYFUNCTION("""COMPUTED_VALUE"""),"Life of Brian")</f>
        <v>Life of Brian</v>
      </c>
      <c r="R1113" s="5" t="str">
        <f>IFERROR(__xludf.DUMMYFUNCTION("""COMPUTED_VALUE"""),"Terry Gilliam")</f>
        <v>Terry Gilliam</v>
      </c>
      <c r="S1113" s="5" t="str">
        <f>IFERROR(__xludf.DUMMYFUNCTION("""COMPUTED_VALUE"""),"Estrela 4")</f>
        <v>Estrela 4</v>
      </c>
    </row>
    <row r="1114">
      <c r="G1114" s="5" t="str">
        <f>IFERROR(__xludf.DUMMYFUNCTION("""COMPUTED_VALUE"""),"279🤙🏼The Deer Hunter🤙🏼Robert De Niro🤙🏼Estrela 1")</f>
        <v>279🤙🏼The Deer Hunter🤙🏼Robert De Niro🤙🏼Estrela 1</v>
      </c>
      <c r="H1114" s="5">
        <f>IFERROR(__xludf.DUMMYFUNCTION("SPLiT(G1114, ""🤙🏼"",FALSE,FALSE)"),279.0)</f>
        <v>279</v>
      </c>
      <c r="I1114" s="5" t="str">
        <f>IFERROR(__xludf.DUMMYFUNCTION("""COMPUTED_VALUE"""),"The Deer Hunter")</f>
        <v>The Deer Hunter</v>
      </c>
      <c r="J1114" s="5" t="str">
        <f>IFERROR(__xludf.DUMMYFUNCTION("""COMPUTED_VALUE"""),"Robert De Niro")</f>
        <v>Robert De Niro</v>
      </c>
      <c r="K1114" s="5" t="str">
        <f>IFERROR(__xludf.DUMMYFUNCTION("""COMPUTED_VALUE"""),"Estrela 1")</f>
        <v>Estrela 1</v>
      </c>
      <c r="P1114" s="5">
        <f>IFERROR(__xludf.DUMMYFUNCTION("""COMPUTED_VALUE"""),279.0)</f>
        <v>279</v>
      </c>
      <c r="Q1114" s="5" t="str">
        <f>IFERROR(__xludf.DUMMYFUNCTION("""COMPUTED_VALUE"""),"The Deer Hunter")</f>
        <v>The Deer Hunter</v>
      </c>
      <c r="R1114" s="5" t="str">
        <f>IFERROR(__xludf.DUMMYFUNCTION("""COMPUTED_VALUE"""),"Robert De Niro")</f>
        <v>Robert De Niro</v>
      </c>
      <c r="S1114" s="5" t="str">
        <f>IFERROR(__xludf.DUMMYFUNCTION("""COMPUTED_VALUE"""),"Estrela 1")</f>
        <v>Estrela 1</v>
      </c>
    </row>
    <row r="1115">
      <c r="G1115" s="5" t="str">
        <f>IFERROR(__xludf.DUMMYFUNCTION("""COMPUTED_VALUE"""),"279🤙🏼The Deer Hunter🤙🏼Christopher Walken🤙🏼Estrela 2")</f>
        <v>279🤙🏼The Deer Hunter🤙🏼Christopher Walken🤙🏼Estrela 2</v>
      </c>
      <c r="H1115" s="5">
        <f>IFERROR(__xludf.DUMMYFUNCTION("SPLiT(G1115, ""🤙🏼"",FALSE,FALSE)"),279.0)</f>
        <v>279</v>
      </c>
      <c r="I1115" s="5" t="str">
        <f>IFERROR(__xludf.DUMMYFUNCTION("""COMPUTED_VALUE"""),"The Deer Hunter")</f>
        <v>The Deer Hunter</v>
      </c>
      <c r="J1115" s="5" t="str">
        <f>IFERROR(__xludf.DUMMYFUNCTION("""COMPUTED_VALUE"""),"Christopher Walken")</f>
        <v>Christopher Walken</v>
      </c>
      <c r="K1115" s="5" t="str">
        <f>IFERROR(__xludf.DUMMYFUNCTION("""COMPUTED_VALUE"""),"Estrela 2")</f>
        <v>Estrela 2</v>
      </c>
      <c r="P1115" s="5">
        <f>IFERROR(__xludf.DUMMYFUNCTION("""COMPUTED_VALUE"""),279.0)</f>
        <v>279</v>
      </c>
      <c r="Q1115" s="5" t="str">
        <f>IFERROR(__xludf.DUMMYFUNCTION("""COMPUTED_VALUE"""),"The Deer Hunter")</f>
        <v>The Deer Hunter</v>
      </c>
      <c r="R1115" s="5" t="str">
        <f>IFERROR(__xludf.DUMMYFUNCTION("""COMPUTED_VALUE"""),"Christopher Walken")</f>
        <v>Christopher Walken</v>
      </c>
      <c r="S1115" s="5" t="str">
        <f>IFERROR(__xludf.DUMMYFUNCTION("""COMPUTED_VALUE"""),"Estrela 2")</f>
        <v>Estrela 2</v>
      </c>
    </row>
    <row r="1116">
      <c r="G1116" s="5" t="str">
        <f>IFERROR(__xludf.DUMMYFUNCTION("""COMPUTED_VALUE"""),"279🤙🏼The Deer Hunter🤙🏼John Cazale🤙🏼Estrela 3")</f>
        <v>279🤙🏼The Deer Hunter🤙🏼John Cazale🤙🏼Estrela 3</v>
      </c>
      <c r="H1116" s="5">
        <f>IFERROR(__xludf.DUMMYFUNCTION("SPLiT(G1116, ""🤙🏼"",FALSE,FALSE)"),279.0)</f>
        <v>279</v>
      </c>
      <c r="I1116" s="5" t="str">
        <f>IFERROR(__xludf.DUMMYFUNCTION("""COMPUTED_VALUE"""),"The Deer Hunter")</f>
        <v>The Deer Hunter</v>
      </c>
      <c r="J1116" s="5" t="str">
        <f>IFERROR(__xludf.DUMMYFUNCTION("""COMPUTED_VALUE"""),"John Cazale")</f>
        <v>John Cazale</v>
      </c>
      <c r="K1116" s="5" t="str">
        <f>IFERROR(__xludf.DUMMYFUNCTION("""COMPUTED_VALUE"""),"Estrela 3")</f>
        <v>Estrela 3</v>
      </c>
      <c r="P1116" s="5">
        <f>IFERROR(__xludf.DUMMYFUNCTION("""COMPUTED_VALUE"""),279.0)</f>
        <v>279</v>
      </c>
      <c r="Q1116" s="5" t="str">
        <f>IFERROR(__xludf.DUMMYFUNCTION("""COMPUTED_VALUE"""),"The Deer Hunter")</f>
        <v>The Deer Hunter</v>
      </c>
      <c r="R1116" s="5" t="str">
        <f>IFERROR(__xludf.DUMMYFUNCTION("""COMPUTED_VALUE"""),"John Cazale")</f>
        <v>John Cazale</v>
      </c>
      <c r="S1116" s="5" t="str">
        <f>IFERROR(__xludf.DUMMYFUNCTION("""COMPUTED_VALUE"""),"Estrela 3")</f>
        <v>Estrela 3</v>
      </c>
    </row>
    <row r="1117">
      <c r="G1117" s="5" t="str">
        <f>IFERROR(__xludf.DUMMYFUNCTION("""COMPUTED_VALUE"""),"279🤙🏼The Deer Hunter🤙🏼John Savage🤙🏼Estrela 4")</f>
        <v>279🤙🏼The Deer Hunter🤙🏼John Savage🤙🏼Estrela 4</v>
      </c>
      <c r="H1117" s="5">
        <f>IFERROR(__xludf.DUMMYFUNCTION("SPLiT(G1117, ""🤙🏼"",FALSE,FALSE)"),279.0)</f>
        <v>279</v>
      </c>
      <c r="I1117" s="5" t="str">
        <f>IFERROR(__xludf.DUMMYFUNCTION("""COMPUTED_VALUE"""),"The Deer Hunter")</f>
        <v>The Deer Hunter</v>
      </c>
      <c r="J1117" s="5" t="str">
        <f>IFERROR(__xludf.DUMMYFUNCTION("""COMPUTED_VALUE"""),"John Savage")</f>
        <v>John Savage</v>
      </c>
      <c r="K1117" s="5" t="str">
        <f>IFERROR(__xludf.DUMMYFUNCTION("""COMPUTED_VALUE"""),"Estrela 4")</f>
        <v>Estrela 4</v>
      </c>
      <c r="P1117" s="5">
        <f>IFERROR(__xludf.DUMMYFUNCTION("""COMPUTED_VALUE"""),279.0)</f>
        <v>279</v>
      </c>
      <c r="Q1117" s="5" t="str">
        <f>IFERROR(__xludf.DUMMYFUNCTION("""COMPUTED_VALUE"""),"The Deer Hunter")</f>
        <v>The Deer Hunter</v>
      </c>
      <c r="R1117" s="5" t="str">
        <f>IFERROR(__xludf.DUMMYFUNCTION("""COMPUTED_VALUE"""),"John Savage")</f>
        <v>John Savage</v>
      </c>
      <c r="S1117" s="5" t="str">
        <f>IFERROR(__xludf.DUMMYFUNCTION("""COMPUTED_VALUE"""),"Estrela 4")</f>
        <v>Estrela 4</v>
      </c>
    </row>
    <row r="1118">
      <c r="G1118" s="5" t="str">
        <f>IFERROR(__xludf.DUMMYFUNCTION("""COMPUTED_VALUE"""),"280🤙🏼Rocky🤙🏼Sylvester Stallone🤙🏼Estrela 1")</f>
        <v>280🤙🏼Rocky🤙🏼Sylvester Stallone🤙🏼Estrela 1</v>
      </c>
      <c r="H1118" s="5">
        <f>IFERROR(__xludf.DUMMYFUNCTION("SPLiT(G1118, ""🤙🏼"",FALSE,FALSE)"),280.0)</f>
        <v>280</v>
      </c>
      <c r="I1118" s="5" t="str">
        <f>IFERROR(__xludf.DUMMYFUNCTION("""COMPUTED_VALUE"""),"Rocky")</f>
        <v>Rocky</v>
      </c>
      <c r="J1118" s="5" t="str">
        <f>IFERROR(__xludf.DUMMYFUNCTION("""COMPUTED_VALUE"""),"Sylvester Stallone")</f>
        <v>Sylvester Stallone</v>
      </c>
      <c r="K1118" s="5" t="str">
        <f>IFERROR(__xludf.DUMMYFUNCTION("""COMPUTED_VALUE"""),"Estrela 1")</f>
        <v>Estrela 1</v>
      </c>
      <c r="P1118" s="5">
        <f>IFERROR(__xludf.DUMMYFUNCTION("""COMPUTED_VALUE"""),280.0)</f>
        <v>280</v>
      </c>
      <c r="Q1118" s="5" t="str">
        <f>IFERROR(__xludf.DUMMYFUNCTION("""COMPUTED_VALUE"""),"Rocky")</f>
        <v>Rocky</v>
      </c>
      <c r="R1118" s="5" t="str">
        <f>IFERROR(__xludf.DUMMYFUNCTION("""COMPUTED_VALUE"""),"Sylvester Stallone")</f>
        <v>Sylvester Stallone</v>
      </c>
      <c r="S1118" s="5" t="str">
        <f>IFERROR(__xludf.DUMMYFUNCTION("""COMPUTED_VALUE"""),"Estrela 1")</f>
        <v>Estrela 1</v>
      </c>
    </row>
    <row r="1119">
      <c r="G1119" s="5" t="str">
        <f>IFERROR(__xludf.DUMMYFUNCTION("""COMPUTED_VALUE"""),"280🤙🏼Rocky🤙🏼Talia Shire🤙🏼Estrela 2")</f>
        <v>280🤙🏼Rocky🤙🏼Talia Shire🤙🏼Estrela 2</v>
      </c>
      <c r="H1119" s="5">
        <f>IFERROR(__xludf.DUMMYFUNCTION("SPLiT(G1119, ""🤙🏼"",FALSE,FALSE)"),280.0)</f>
        <v>280</v>
      </c>
      <c r="I1119" s="5" t="str">
        <f>IFERROR(__xludf.DUMMYFUNCTION("""COMPUTED_VALUE"""),"Rocky")</f>
        <v>Rocky</v>
      </c>
      <c r="J1119" s="5" t="str">
        <f>IFERROR(__xludf.DUMMYFUNCTION("""COMPUTED_VALUE"""),"Talia Shire")</f>
        <v>Talia Shire</v>
      </c>
      <c r="K1119" s="5" t="str">
        <f>IFERROR(__xludf.DUMMYFUNCTION("""COMPUTED_VALUE"""),"Estrela 2")</f>
        <v>Estrela 2</v>
      </c>
      <c r="P1119" s="5">
        <f>IFERROR(__xludf.DUMMYFUNCTION("""COMPUTED_VALUE"""),280.0)</f>
        <v>280</v>
      </c>
      <c r="Q1119" s="5" t="str">
        <f>IFERROR(__xludf.DUMMYFUNCTION("""COMPUTED_VALUE"""),"Rocky")</f>
        <v>Rocky</v>
      </c>
      <c r="R1119" s="5" t="str">
        <f>IFERROR(__xludf.DUMMYFUNCTION("""COMPUTED_VALUE"""),"Talia Shire")</f>
        <v>Talia Shire</v>
      </c>
      <c r="S1119" s="5" t="str">
        <f>IFERROR(__xludf.DUMMYFUNCTION("""COMPUTED_VALUE"""),"Estrela 2")</f>
        <v>Estrela 2</v>
      </c>
    </row>
    <row r="1120">
      <c r="G1120" s="5" t="str">
        <f>IFERROR(__xludf.DUMMYFUNCTION("""COMPUTED_VALUE"""),"280🤙🏼Rocky🤙🏼Burt Young🤙🏼Estrela 3")</f>
        <v>280🤙🏼Rocky🤙🏼Burt Young🤙🏼Estrela 3</v>
      </c>
      <c r="H1120" s="5">
        <f>IFERROR(__xludf.DUMMYFUNCTION("SPLiT(G1120, ""🤙🏼"",FALSE,FALSE)"),280.0)</f>
        <v>280</v>
      </c>
      <c r="I1120" s="5" t="str">
        <f>IFERROR(__xludf.DUMMYFUNCTION("""COMPUTED_VALUE"""),"Rocky")</f>
        <v>Rocky</v>
      </c>
      <c r="J1120" s="5" t="str">
        <f>IFERROR(__xludf.DUMMYFUNCTION("""COMPUTED_VALUE"""),"Burt Young")</f>
        <v>Burt Young</v>
      </c>
      <c r="K1120" s="5" t="str">
        <f>IFERROR(__xludf.DUMMYFUNCTION("""COMPUTED_VALUE"""),"Estrela 3")</f>
        <v>Estrela 3</v>
      </c>
      <c r="P1120" s="5">
        <f>IFERROR(__xludf.DUMMYFUNCTION("""COMPUTED_VALUE"""),280.0)</f>
        <v>280</v>
      </c>
      <c r="Q1120" s="5" t="str">
        <f>IFERROR(__xludf.DUMMYFUNCTION("""COMPUTED_VALUE"""),"Rocky")</f>
        <v>Rocky</v>
      </c>
      <c r="R1120" s="5" t="str">
        <f>IFERROR(__xludf.DUMMYFUNCTION("""COMPUTED_VALUE"""),"Burt Young")</f>
        <v>Burt Young</v>
      </c>
      <c r="S1120" s="5" t="str">
        <f>IFERROR(__xludf.DUMMYFUNCTION("""COMPUTED_VALUE"""),"Estrela 3")</f>
        <v>Estrela 3</v>
      </c>
    </row>
    <row r="1121">
      <c r="G1121" s="5" t="str">
        <f>IFERROR(__xludf.DUMMYFUNCTION("""COMPUTED_VALUE"""),"280🤙🏼Rocky🤙🏼Carl Weathers🤙🏼Estrela 4")</f>
        <v>280🤙🏼Rocky🤙🏼Carl Weathers🤙🏼Estrela 4</v>
      </c>
      <c r="H1121" s="5">
        <f>IFERROR(__xludf.DUMMYFUNCTION("SPLiT(G1121, ""🤙🏼"",FALSE,FALSE)"),280.0)</f>
        <v>280</v>
      </c>
      <c r="I1121" s="5" t="str">
        <f>IFERROR(__xludf.DUMMYFUNCTION("""COMPUTED_VALUE"""),"Rocky")</f>
        <v>Rocky</v>
      </c>
      <c r="J1121" s="5" t="str">
        <f>IFERROR(__xludf.DUMMYFUNCTION("""COMPUTED_VALUE"""),"Carl Weathers")</f>
        <v>Carl Weathers</v>
      </c>
      <c r="K1121" s="5" t="str">
        <f>IFERROR(__xludf.DUMMYFUNCTION("""COMPUTED_VALUE"""),"Estrela 4")</f>
        <v>Estrela 4</v>
      </c>
      <c r="P1121" s="5">
        <f>IFERROR(__xludf.DUMMYFUNCTION("""COMPUTED_VALUE"""),280.0)</f>
        <v>280</v>
      </c>
      <c r="Q1121" s="5" t="str">
        <f>IFERROR(__xludf.DUMMYFUNCTION("""COMPUTED_VALUE"""),"Rocky")</f>
        <v>Rocky</v>
      </c>
      <c r="R1121" s="5" t="str">
        <f>IFERROR(__xludf.DUMMYFUNCTION("""COMPUTED_VALUE"""),"Carl Weathers")</f>
        <v>Carl Weathers</v>
      </c>
      <c r="S1121" s="5" t="str">
        <f>IFERROR(__xludf.DUMMYFUNCTION("""COMPUTED_VALUE"""),"Estrela 4")</f>
        <v>Estrela 4</v>
      </c>
    </row>
    <row r="1122">
      <c r="G1122" s="5" t="str">
        <f>IFERROR(__xludf.DUMMYFUNCTION("""COMPUTED_VALUE"""),"281🤙🏼Network🤙🏼Faye Dunaway🤙🏼Estrela 1")</f>
        <v>281🤙🏼Network🤙🏼Faye Dunaway🤙🏼Estrela 1</v>
      </c>
      <c r="H1122" s="5">
        <f>IFERROR(__xludf.DUMMYFUNCTION("SPLiT(G1122, ""🤙🏼"",FALSE,FALSE)"),281.0)</f>
        <v>281</v>
      </c>
      <c r="I1122" s="5" t="str">
        <f>IFERROR(__xludf.DUMMYFUNCTION("""COMPUTED_VALUE"""),"Network")</f>
        <v>Network</v>
      </c>
      <c r="J1122" s="5" t="str">
        <f>IFERROR(__xludf.DUMMYFUNCTION("""COMPUTED_VALUE"""),"Faye Dunaway")</f>
        <v>Faye Dunaway</v>
      </c>
      <c r="K1122" s="5" t="str">
        <f>IFERROR(__xludf.DUMMYFUNCTION("""COMPUTED_VALUE"""),"Estrela 1")</f>
        <v>Estrela 1</v>
      </c>
      <c r="P1122" s="5">
        <f>IFERROR(__xludf.DUMMYFUNCTION("""COMPUTED_VALUE"""),281.0)</f>
        <v>281</v>
      </c>
      <c r="Q1122" s="5" t="str">
        <f>IFERROR(__xludf.DUMMYFUNCTION("""COMPUTED_VALUE"""),"Network")</f>
        <v>Network</v>
      </c>
      <c r="R1122" s="5" t="str">
        <f>IFERROR(__xludf.DUMMYFUNCTION("""COMPUTED_VALUE"""),"Faye Dunaway")</f>
        <v>Faye Dunaway</v>
      </c>
      <c r="S1122" s="5" t="str">
        <f>IFERROR(__xludf.DUMMYFUNCTION("""COMPUTED_VALUE"""),"Estrela 1")</f>
        <v>Estrela 1</v>
      </c>
    </row>
    <row r="1123">
      <c r="G1123" s="5" t="str">
        <f>IFERROR(__xludf.DUMMYFUNCTION("""COMPUTED_VALUE"""),"281🤙🏼Network🤙🏼William Holden🤙🏼Estrela 2")</f>
        <v>281🤙🏼Network🤙🏼William Holden🤙🏼Estrela 2</v>
      </c>
      <c r="H1123" s="5">
        <f>IFERROR(__xludf.DUMMYFUNCTION("SPLiT(G1123, ""🤙🏼"",FALSE,FALSE)"),281.0)</f>
        <v>281</v>
      </c>
      <c r="I1123" s="5" t="str">
        <f>IFERROR(__xludf.DUMMYFUNCTION("""COMPUTED_VALUE"""),"Network")</f>
        <v>Network</v>
      </c>
      <c r="J1123" s="5" t="str">
        <f>IFERROR(__xludf.DUMMYFUNCTION("""COMPUTED_VALUE"""),"William Holden")</f>
        <v>William Holden</v>
      </c>
      <c r="K1123" s="5" t="str">
        <f>IFERROR(__xludf.DUMMYFUNCTION("""COMPUTED_VALUE"""),"Estrela 2")</f>
        <v>Estrela 2</v>
      </c>
      <c r="P1123" s="5">
        <f>IFERROR(__xludf.DUMMYFUNCTION("""COMPUTED_VALUE"""),281.0)</f>
        <v>281</v>
      </c>
      <c r="Q1123" s="5" t="str">
        <f>IFERROR(__xludf.DUMMYFUNCTION("""COMPUTED_VALUE"""),"Network")</f>
        <v>Network</v>
      </c>
      <c r="R1123" s="5" t="str">
        <f>IFERROR(__xludf.DUMMYFUNCTION("""COMPUTED_VALUE"""),"William Holden")</f>
        <v>William Holden</v>
      </c>
      <c r="S1123" s="5" t="str">
        <f>IFERROR(__xludf.DUMMYFUNCTION("""COMPUTED_VALUE"""),"Estrela 2")</f>
        <v>Estrela 2</v>
      </c>
    </row>
    <row r="1124">
      <c r="G1124" s="5" t="str">
        <f>IFERROR(__xludf.DUMMYFUNCTION("""COMPUTED_VALUE"""),"281🤙🏼Network🤙🏼Peter Finch🤙🏼Estrela 3")</f>
        <v>281🤙🏼Network🤙🏼Peter Finch🤙🏼Estrela 3</v>
      </c>
      <c r="H1124" s="5">
        <f>IFERROR(__xludf.DUMMYFUNCTION("SPLiT(G1124, ""🤙🏼"",FALSE,FALSE)"),281.0)</f>
        <v>281</v>
      </c>
      <c r="I1124" s="5" t="str">
        <f>IFERROR(__xludf.DUMMYFUNCTION("""COMPUTED_VALUE"""),"Network")</f>
        <v>Network</v>
      </c>
      <c r="J1124" s="5" t="str">
        <f>IFERROR(__xludf.DUMMYFUNCTION("""COMPUTED_VALUE"""),"Peter Finch")</f>
        <v>Peter Finch</v>
      </c>
      <c r="K1124" s="5" t="str">
        <f>IFERROR(__xludf.DUMMYFUNCTION("""COMPUTED_VALUE"""),"Estrela 3")</f>
        <v>Estrela 3</v>
      </c>
      <c r="P1124" s="5">
        <f>IFERROR(__xludf.DUMMYFUNCTION("""COMPUTED_VALUE"""),281.0)</f>
        <v>281</v>
      </c>
      <c r="Q1124" s="5" t="str">
        <f>IFERROR(__xludf.DUMMYFUNCTION("""COMPUTED_VALUE"""),"Network")</f>
        <v>Network</v>
      </c>
      <c r="R1124" s="5" t="str">
        <f>IFERROR(__xludf.DUMMYFUNCTION("""COMPUTED_VALUE"""),"Peter Finch")</f>
        <v>Peter Finch</v>
      </c>
      <c r="S1124" s="5" t="str">
        <f>IFERROR(__xludf.DUMMYFUNCTION("""COMPUTED_VALUE"""),"Estrela 3")</f>
        <v>Estrela 3</v>
      </c>
    </row>
    <row r="1125">
      <c r="G1125" s="5" t="str">
        <f>IFERROR(__xludf.DUMMYFUNCTION("""COMPUTED_VALUE"""),"281🤙🏼Network🤙🏼Robert Duvall🤙🏼Estrela 4")</f>
        <v>281🤙🏼Network🤙🏼Robert Duvall🤙🏼Estrela 4</v>
      </c>
      <c r="H1125" s="5">
        <f>IFERROR(__xludf.DUMMYFUNCTION("SPLiT(G1125, ""🤙🏼"",FALSE,FALSE)"),281.0)</f>
        <v>281</v>
      </c>
      <c r="I1125" s="5" t="str">
        <f>IFERROR(__xludf.DUMMYFUNCTION("""COMPUTED_VALUE"""),"Network")</f>
        <v>Network</v>
      </c>
      <c r="J1125" s="5" t="str">
        <f>IFERROR(__xludf.DUMMYFUNCTION("""COMPUTED_VALUE"""),"Robert Duvall")</f>
        <v>Robert Duvall</v>
      </c>
      <c r="K1125" s="5" t="str">
        <f>IFERROR(__xludf.DUMMYFUNCTION("""COMPUTED_VALUE"""),"Estrela 4")</f>
        <v>Estrela 4</v>
      </c>
      <c r="P1125" s="5">
        <f>IFERROR(__xludf.DUMMYFUNCTION("""COMPUTED_VALUE"""),281.0)</f>
        <v>281</v>
      </c>
      <c r="Q1125" s="5" t="str">
        <f>IFERROR(__xludf.DUMMYFUNCTION("""COMPUTED_VALUE"""),"Network")</f>
        <v>Network</v>
      </c>
      <c r="R1125" s="5" t="str">
        <f>IFERROR(__xludf.DUMMYFUNCTION("""COMPUTED_VALUE"""),"Robert Duvall")</f>
        <v>Robert Duvall</v>
      </c>
      <c r="S1125" s="5" t="str">
        <f>IFERROR(__xludf.DUMMYFUNCTION("""COMPUTED_VALUE"""),"Estrela 4")</f>
        <v>Estrela 4</v>
      </c>
    </row>
    <row r="1126">
      <c r="G1126" s="5" t="str">
        <f>IFERROR(__xludf.DUMMYFUNCTION("""COMPUTED_VALUE"""),"282🤙🏼Barry Lyndon🤙🏼Ryan O'Neal🤙🏼Estrela 1")</f>
        <v>282🤙🏼Barry Lyndon🤙🏼Ryan O'Neal🤙🏼Estrela 1</v>
      </c>
      <c r="H1126" s="5">
        <f>IFERROR(__xludf.DUMMYFUNCTION("SPLiT(G1126, ""🤙🏼"",FALSE,FALSE)"),282.0)</f>
        <v>282</v>
      </c>
      <c r="I1126" s="5" t="str">
        <f>IFERROR(__xludf.DUMMYFUNCTION("""COMPUTED_VALUE"""),"Barry Lyndon")</f>
        <v>Barry Lyndon</v>
      </c>
      <c r="J1126" s="5" t="str">
        <f>IFERROR(__xludf.DUMMYFUNCTION("""COMPUTED_VALUE"""),"Ryan O'Neal")</f>
        <v>Ryan O'Neal</v>
      </c>
      <c r="K1126" s="5" t="str">
        <f>IFERROR(__xludf.DUMMYFUNCTION("""COMPUTED_VALUE"""),"Estrela 1")</f>
        <v>Estrela 1</v>
      </c>
      <c r="P1126" s="5">
        <f>IFERROR(__xludf.DUMMYFUNCTION("""COMPUTED_VALUE"""),282.0)</f>
        <v>282</v>
      </c>
      <c r="Q1126" s="5" t="str">
        <f>IFERROR(__xludf.DUMMYFUNCTION("""COMPUTED_VALUE"""),"Barry Lyndon")</f>
        <v>Barry Lyndon</v>
      </c>
      <c r="R1126" s="5" t="str">
        <f>IFERROR(__xludf.DUMMYFUNCTION("""COMPUTED_VALUE"""),"Ryan O'Neal")</f>
        <v>Ryan O'Neal</v>
      </c>
      <c r="S1126" s="5" t="str">
        <f>IFERROR(__xludf.DUMMYFUNCTION("""COMPUTED_VALUE"""),"Estrela 1")</f>
        <v>Estrela 1</v>
      </c>
    </row>
    <row r="1127">
      <c r="G1127" s="5" t="str">
        <f>IFERROR(__xludf.DUMMYFUNCTION("""COMPUTED_VALUE"""),"282🤙🏼Barry Lyndon🤙🏼Marisa Berenson🤙🏼Estrela 2")</f>
        <v>282🤙🏼Barry Lyndon🤙🏼Marisa Berenson🤙🏼Estrela 2</v>
      </c>
      <c r="H1127" s="5">
        <f>IFERROR(__xludf.DUMMYFUNCTION("SPLiT(G1127, ""🤙🏼"",FALSE,FALSE)"),282.0)</f>
        <v>282</v>
      </c>
      <c r="I1127" s="5" t="str">
        <f>IFERROR(__xludf.DUMMYFUNCTION("""COMPUTED_VALUE"""),"Barry Lyndon")</f>
        <v>Barry Lyndon</v>
      </c>
      <c r="J1127" s="5" t="str">
        <f>IFERROR(__xludf.DUMMYFUNCTION("""COMPUTED_VALUE"""),"Marisa Berenson")</f>
        <v>Marisa Berenson</v>
      </c>
      <c r="K1127" s="5" t="str">
        <f>IFERROR(__xludf.DUMMYFUNCTION("""COMPUTED_VALUE"""),"Estrela 2")</f>
        <v>Estrela 2</v>
      </c>
      <c r="P1127" s="5">
        <f>IFERROR(__xludf.DUMMYFUNCTION("""COMPUTED_VALUE"""),282.0)</f>
        <v>282</v>
      </c>
      <c r="Q1127" s="5" t="str">
        <f>IFERROR(__xludf.DUMMYFUNCTION("""COMPUTED_VALUE"""),"Barry Lyndon")</f>
        <v>Barry Lyndon</v>
      </c>
      <c r="R1127" s="5" t="str">
        <f>IFERROR(__xludf.DUMMYFUNCTION("""COMPUTED_VALUE"""),"Marisa Berenson")</f>
        <v>Marisa Berenson</v>
      </c>
      <c r="S1127" s="5" t="str">
        <f>IFERROR(__xludf.DUMMYFUNCTION("""COMPUTED_VALUE"""),"Estrela 2")</f>
        <v>Estrela 2</v>
      </c>
    </row>
    <row r="1128">
      <c r="G1128" s="5" t="str">
        <f>IFERROR(__xludf.DUMMYFUNCTION("""COMPUTED_VALUE"""),"282🤙🏼Barry Lyndon🤙🏼Patrick Magee🤙🏼Estrela 3")</f>
        <v>282🤙🏼Barry Lyndon🤙🏼Patrick Magee🤙🏼Estrela 3</v>
      </c>
      <c r="H1128" s="5">
        <f>IFERROR(__xludf.DUMMYFUNCTION("SPLiT(G1128, ""🤙🏼"",FALSE,FALSE)"),282.0)</f>
        <v>282</v>
      </c>
      <c r="I1128" s="5" t="str">
        <f>IFERROR(__xludf.DUMMYFUNCTION("""COMPUTED_VALUE"""),"Barry Lyndon")</f>
        <v>Barry Lyndon</v>
      </c>
      <c r="J1128" s="5" t="str">
        <f>IFERROR(__xludf.DUMMYFUNCTION("""COMPUTED_VALUE"""),"Patrick Magee")</f>
        <v>Patrick Magee</v>
      </c>
      <c r="K1128" s="5" t="str">
        <f>IFERROR(__xludf.DUMMYFUNCTION("""COMPUTED_VALUE"""),"Estrela 3")</f>
        <v>Estrela 3</v>
      </c>
      <c r="P1128" s="5">
        <f>IFERROR(__xludf.DUMMYFUNCTION("""COMPUTED_VALUE"""),282.0)</f>
        <v>282</v>
      </c>
      <c r="Q1128" s="5" t="str">
        <f>IFERROR(__xludf.DUMMYFUNCTION("""COMPUTED_VALUE"""),"Barry Lyndon")</f>
        <v>Barry Lyndon</v>
      </c>
      <c r="R1128" s="5" t="str">
        <f>IFERROR(__xludf.DUMMYFUNCTION("""COMPUTED_VALUE"""),"Patrick Magee")</f>
        <v>Patrick Magee</v>
      </c>
      <c r="S1128" s="5" t="str">
        <f>IFERROR(__xludf.DUMMYFUNCTION("""COMPUTED_VALUE"""),"Estrela 3")</f>
        <v>Estrela 3</v>
      </c>
    </row>
    <row r="1129">
      <c r="G1129" s="5" t="str">
        <f>IFERROR(__xludf.DUMMYFUNCTION("""COMPUTED_VALUE"""),"282🤙🏼Barry Lyndon🤙🏼Hardy Krüger🤙🏼Estrela 4")</f>
        <v>282🤙🏼Barry Lyndon🤙🏼Hardy Krüger🤙🏼Estrela 4</v>
      </c>
      <c r="H1129" s="5">
        <f>IFERROR(__xludf.DUMMYFUNCTION("SPLiT(G1129, ""🤙🏼"",FALSE,FALSE)"),282.0)</f>
        <v>282</v>
      </c>
      <c r="I1129" s="5" t="str">
        <f>IFERROR(__xludf.DUMMYFUNCTION("""COMPUTED_VALUE"""),"Barry Lyndon")</f>
        <v>Barry Lyndon</v>
      </c>
      <c r="J1129" s="5" t="str">
        <f>IFERROR(__xludf.DUMMYFUNCTION("""COMPUTED_VALUE"""),"Hardy Krüger")</f>
        <v>Hardy Krüger</v>
      </c>
      <c r="K1129" s="5" t="str">
        <f>IFERROR(__xludf.DUMMYFUNCTION("""COMPUTED_VALUE"""),"Estrela 4")</f>
        <v>Estrela 4</v>
      </c>
      <c r="P1129" s="5">
        <f>IFERROR(__xludf.DUMMYFUNCTION("""COMPUTED_VALUE"""),282.0)</f>
        <v>282</v>
      </c>
      <c r="Q1129" s="5" t="str">
        <f>IFERROR(__xludf.DUMMYFUNCTION("""COMPUTED_VALUE"""),"Barry Lyndon")</f>
        <v>Barry Lyndon</v>
      </c>
      <c r="R1129" s="5" t="str">
        <f>IFERROR(__xludf.DUMMYFUNCTION("""COMPUTED_VALUE"""),"Hardy Krüger")</f>
        <v>Hardy Krüger</v>
      </c>
      <c r="S1129" s="5" t="str">
        <f>IFERROR(__xludf.DUMMYFUNCTION("""COMPUTED_VALUE"""),"Estrela 4")</f>
        <v>Estrela 4</v>
      </c>
    </row>
    <row r="1130">
      <c r="G1130" s="5" t="str">
        <f>IFERROR(__xludf.DUMMYFUNCTION("""COMPUTED_VALUE"""),"283🤙🏼Zerkalo🤙🏼Margarita Terekhova🤙🏼Estrela 1")</f>
        <v>283🤙🏼Zerkalo🤙🏼Margarita Terekhova🤙🏼Estrela 1</v>
      </c>
      <c r="H1130" s="5">
        <f>IFERROR(__xludf.DUMMYFUNCTION("SPLiT(G1130, ""🤙🏼"",FALSE,FALSE)"),283.0)</f>
        <v>283</v>
      </c>
      <c r="I1130" s="5" t="str">
        <f>IFERROR(__xludf.DUMMYFUNCTION("""COMPUTED_VALUE"""),"Zerkalo")</f>
        <v>Zerkalo</v>
      </c>
      <c r="J1130" s="5" t="str">
        <f>IFERROR(__xludf.DUMMYFUNCTION("""COMPUTED_VALUE"""),"Margarita Terekhova")</f>
        <v>Margarita Terekhova</v>
      </c>
      <c r="K1130" s="5" t="str">
        <f>IFERROR(__xludf.DUMMYFUNCTION("""COMPUTED_VALUE"""),"Estrela 1")</f>
        <v>Estrela 1</v>
      </c>
      <c r="P1130" s="5">
        <f>IFERROR(__xludf.DUMMYFUNCTION("""COMPUTED_VALUE"""),283.0)</f>
        <v>283</v>
      </c>
      <c r="Q1130" s="5" t="str">
        <f>IFERROR(__xludf.DUMMYFUNCTION("""COMPUTED_VALUE"""),"Zerkalo")</f>
        <v>Zerkalo</v>
      </c>
      <c r="R1130" s="5" t="str">
        <f>IFERROR(__xludf.DUMMYFUNCTION("""COMPUTED_VALUE"""),"Margarita Terekhova")</f>
        <v>Margarita Terekhova</v>
      </c>
      <c r="S1130" s="5" t="str">
        <f>IFERROR(__xludf.DUMMYFUNCTION("""COMPUTED_VALUE"""),"Estrela 1")</f>
        <v>Estrela 1</v>
      </c>
    </row>
    <row r="1131">
      <c r="G1131" s="5" t="str">
        <f>IFERROR(__xludf.DUMMYFUNCTION("""COMPUTED_VALUE"""),"283🤙🏼Zerkalo🤙🏼Filipp Yankovskiy🤙🏼Estrela 2")</f>
        <v>283🤙🏼Zerkalo🤙🏼Filipp Yankovskiy🤙🏼Estrela 2</v>
      </c>
      <c r="H1131" s="5">
        <f>IFERROR(__xludf.DUMMYFUNCTION("SPLiT(G1131, ""🤙🏼"",FALSE,FALSE)"),283.0)</f>
        <v>283</v>
      </c>
      <c r="I1131" s="5" t="str">
        <f>IFERROR(__xludf.DUMMYFUNCTION("""COMPUTED_VALUE"""),"Zerkalo")</f>
        <v>Zerkalo</v>
      </c>
      <c r="J1131" s="5" t="str">
        <f>IFERROR(__xludf.DUMMYFUNCTION("""COMPUTED_VALUE"""),"Filipp Yankovskiy")</f>
        <v>Filipp Yankovskiy</v>
      </c>
      <c r="K1131" s="5" t="str">
        <f>IFERROR(__xludf.DUMMYFUNCTION("""COMPUTED_VALUE"""),"Estrela 2")</f>
        <v>Estrela 2</v>
      </c>
      <c r="P1131" s="5">
        <f>IFERROR(__xludf.DUMMYFUNCTION("""COMPUTED_VALUE"""),283.0)</f>
        <v>283</v>
      </c>
      <c r="Q1131" s="5" t="str">
        <f>IFERROR(__xludf.DUMMYFUNCTION("""COMPUTED_VALUE"""),"Zerkalo")</f>
        <v>Zerkalo</v>
      </c>
      <c r="R1131" s="5" t="str">
        <f>IFERROR(__xludf.DUMMYFUNCTION("""COMPUTED_VALUE"""),"Filipp Yankovskiy")</f>
        <v>Filipp Yankovskiy</v>
      </c>
      <c r="S1131" s="5" t="str">
        <f>IFERROR(__xludf.DUMMYFUNCTION("""COMPUTED_VALUE"""),"Estrela 2")</f>
        <v>Estrela 2</v>
      </c>
    </row>
    <row r="1132">
      <c r="G1132" s="5" t="str">
        <f>IFERROR(__xludf.DUMMYFUNCTION("""COMPUTED_VALUE"""),"283🤙🏼Zerkalo🤙🏼Ignat Daniltsev🤙🏼Estrela 3")</f>
        <v>283🤙🏼Zerkalo🤙🏼Ignat Daniltsev🤙🏼Estrela 3</v>
      </c>
      <c r="H1132" s="5">
        <f>IFERROR(__xludf.DUMMYFUNCTION("SPLiT(G1132, ""🤙🏼"",FALSE,FALSE)"),283.0)</f>
        <v>283</v>
      </c>
      <c r="I1132" s="5" t="str">
        <f>IFERROR(__xludf.DUMMYFUNCTION("""COMPUTED_VALUE"""),"Zerkalo")</f>
        <v>Zerkalo</v>
      </c>
      <c r="J1132" s="5" t="str">
        <f>IFERROR(__xludf.DUMMYFUNCTION("""COMPUTED_VALUE"""),"Ignat Daniltsev")</f>
        <v>Ignat Daniltsev</v>
      </c>
      <c r="K1132" s="5" t="str">
        <f>IFERROR(__xludf.DUMMYFUNCTION("""COMPUTED_VALUE"""),"Estrela 3")</f>
        <v>Estrela 3</v>
      </c>
      <c r="P1132" s="5">
        <f>IFERROR(__xludf.DUMMYFUNCTION("""COMPUTED_VALUE"""),283.0)</f>
        <v>283</v>
      </c>
      <c r="Q1132" s="5" t="str">
        <f>IFERROR(__xludf.DUMMYFUNCTION("""COMPUTED_VALUE"""),"Zerkalo")</f>
        <v>Zerkalo</v>
      </c>
      <c r="R1132" s="5" t="str">
        <f>IFERROR(__xludf.DUMMYFUNCTION("""COMPUTED_VALUE"""),"Ignat Daniltsev")</f>
        <v>Ignat Daniltsev</v>
      </c>
      <c r="S1132" s="5" t="str">
        <f>IFERROR(__xludf.DUMMYFUNCTION("""COMPUTED_VALUE"""),"Estrela 3")</f>
        <v>Estrela 3</v>
      </c>
    </row>
    <row r="1133">
      <c r="G1133" s="5" t="str">
        <f>IFERROR(__xludf.DUMMYFUNCTION("""COMPUTED_VALUE"""),"283🤙🏼Zerkalo🤙🏼Oleg Yankovskiy🤙🏼Estrela 4")</f>
        <v>283🤙🏼Zerkalo🤙🏼Oleg Yankovskiy🤙🏼Estrela 4</v>
      </c>
      <c r="H1133" s="5">
        <f>IFERROR(__xludf.DUMMYFUNCTION("SPLiT(G1133, ""🤙🏼"",FALSE,FALSE)"),283.0)</f>
        <v>283</v>
      </c>
      <c r="I1133" s="5" t="str">
        <f>IFERROR(__xludf.DUMMYFUNCTION("""COMPUTED_VALUE"""),"Zerkalo")</f>
        <v>Zerkalo</v>
      </c>
      <c r="J1133" s="5" t="str">
        <f>IFERROR(__xludf.DUMMYFUNCTION("""COMPUTED_VALUE"""),"Oleg Yankovskiy")</f>
        <v>Oleg Yankovskiy</v>
      </c>
      <c r="K1133" s="5" t="str">
        <f>IFERROR(__xludf.DUMMYFUNCTION("""COMPUTED_VALUE"""),"Estrela 4")</f>
        <v>Estrela 4</v>
      </c>
      <c r="P1133" s="5">
        <f>IFERROR(__xludf.DUMMYFUNCTION("""COMPUTED_VALUE"""),283.0)</f>
        <v>283</v>
      </c>
      <c r="Q1133" s="5" t="str">
        <f>IFERROR(__xludf.DUMMYFUNCTION("""COMPUTED_VALUE"""),"Zerkalo")</f>
        <v>Zerkalo</v>
      </c>
      <c r="R1133" s="5" t="str">
        <f>IFERROR(__xludf.DUMMYFUNCTION("""COMPUTED_VALUE"""),"Oleg Yankovskiy")</f>
        <v>Oleg Yankovskiy</v>
      </c>
      <c r="S1133" s="5" t="str">
        <f>IFERROR(__xludf.DUMMYFUNCTION("""COMPUTED_VALUE"""),"Estrela 4")</f>
        <v>Estrela 4</v>
      </c>
    </row>
    <row r="1134">
      <c r="G1134" s="5" t="str">
        <f>IFERROR(__xludf.DUMMYFUNCTION("""COMPUTED_VALUE"""),"284🤙🏼Chinatown🤙🏼Jack Nicholson🤙🏼Estrela 1")</f>
        <v>284🤙🏼Chinatown🤙🏼Jack Nicholson🤙🏼Estrela 1</v>
      </c>
      <c r="H1134" s="5">
        <f>IFERROR(__xludf.DUMMYFUNCTION("SPLiT(G1134, ""🤙🏼"",FALSE,FALSE)"),284.0)</f>
        <v>284</v>
      </c>
      <c r="I1134" s="5" t="str">
        <f>IFERROR(__xludf.DUMMYFUNCTION("""COMPUTED_VALUE"""),"Chinatown")</f>
        <v>Chinatown</v>
      </c>
      <c r="J1134" s="5" t="str">
        <f>IFERROR(__xludf.DUMMYFUNCTION("""COMPUTED_VALUE"""),"Jack Nicholson")</f>
        <v>Jack Nicholson</v>
      </c>
      <c r="K1134" s="5" t="str">
        <f>IFERROR(__xludf.DUMMYFUNCTION("""COMPUTED_VALUE"""),"Estrela 1")</f>
        <v>Estrela 1</v>
      </c>
      <c r="P1134" s="5">
        <f>IFERROR(__xludf.DUMMYFUNCTION("""COMPUTED_VALUE"""),284.0)</f>
        <v>284</v>
      </c>
      <c r="Q1134" s="5" t="str">
        <f>IFERROR(__xludf.DUMMYFUNCTION("""COMPUTED_VALUE"""),"Chinatown")</f>
        <v>Chinatown</v>
      </c>
      <c r="R1134" s="5" t="str">
        <f>IFERROR(__xludf.DUMMYFUNCTION("""COMPUTED_VALUE"""),"Jack Nicholson")</f>
        <v>Jack Nicholson</v>
      </c>
      <c r="S1134" s="5" t="str">
        <f>IFERROR(__xludf.DUMMYFUNCTION("""COMPUTED_VALUE"""),"Estrela 1")</f>
        <v>Estrela 1</v>
      </c>
    </row>
    <row r="1135">
      <c r="G1135" s="5" t="str">
        <f>IFERROR(__xludf.DUMMYFUNCTION("""COMPUTED_VALUE"""),"284🤙🏼Chinatown🤙🏼Faye Dunaway🤙🏼Estrela 2")</f>
        <v>284🤙🏼Chinatown🤙🏼Faye Dunaway🤙🏼Estrela 2</v>
      </c>
      <c r="H1135" s="5">
        <f>IFERROR(__xludf.DUMMYFUNCTION("SPLiT(G1135, ""🤙🏼"",FALSE,FALSE)"),284.0)</f>
        <v>284</v>
      </c>
      <c r="I1135" s="5" t="str">
        <f>IFERROR(__xludf.DUMMYFUNCTION("""COMPUTED_VALUE"""),"Chinatown")</f>
        <v>Chinatown</v>
      </c>
      <c r="J1135" s="5" t="str">
        <f>IFERROR(__xludf.DUMMYFUNCTION("""COMPUTED_VALUE"""),"Faye Dunaway")</f>
        <v>Faye Dunaway</v>
      </c>
      <c r="K1135" s="5" t="str">
        <f>IFERROR(__xludf.DUMMYFUNCTION("""COMPUTED_VALUE"""),"Estrela 2")</f>
        <v>Estrela 2</v>
      </c>
      <c r="P1135" s="5">
        <f>IFERROR(__xludf.DUMMYFUNCTION("""COMPUTED_VALUE"""),284.0)</f>
        <v>284</v>
      </c>
      <c r="Q1135" s="5" t="str">
        <f>IFERROR(__xludf.DUMMYFUNCTION("""COMPUTED_VALUE"""),"Chinatown")</f>
        <v>Chinatown</v>
      </c>
      <c r="R1135" s="5" t="str">
        <f>IFERROR(__xludf.DUMMYFUNCTION("""COMPUTED_VALUE"""),"Faye Dunaway")</f>
        <v>Faye Dunaway</v>
      </c>
      <c r="S1135" s="5" t="str">
        <f>IFERROR(__xludf.DUMMYFUNCTION("""COMPUTED_VALUE"""),"Estrela 2")</f>
        <v>Estrela 2</v>
      </c>
    </row>
    <row r="1136">
      <c r="G1136" s="5" t="str">
        <f>IFERROR(__xludf.DUMMYFUNCTION("""COMPUTED_VALUE"""),"284🤙🏼Chinatown🤙🏼John Huston🤙🏼Estrela 3")</f>
        <v>284🤙🏼Chinatown🤙🏼John Huston🤙🏼Estrela 3</v>
      </c>
      <c r="H1136" s="5">
        <f>IFERROR(__xludf.DUMMYFUNCTION("SPLiT(G1136, ""🤙🏼"",FALSE,FALSE)"),284.0)</f>
        <v>284</v>
      </c>
      <c r="I1136" s="5" t="str">
        <f>IFERROR(__xludf.DUMMYFUNCTION("""COMPUTED_VALUE"""),"Chinatown")</f>
        <v>Chinatown</v>
      </c>
      <c r="J1136" s="5" t="str">
        <f>IFERROR(__xludf.DUMMYFUNCTION("""COMPUTED_VALUE"""),"John Huston")</f>
        <v>John Huston</v>
      </c>
      <c r="K1136" s="5" t="str">
        <f>IFERROR(__xludf.DUMMYFUNCTION("""COMPUTED_VALUE"""),"Estrela 3")</f>
        <v>Estrela 3</v>
      </c>
      <c r="P1136" s="5">
        <f>IFERROR(__xludf.DUMMYFUNCTION("""COMPUTED_VALUE"""),284.0)</f>
        <v>284</v>
      </c>
      <c r="Q1136" s="5" t="str">
        <f>IFERROR(__xludf.DUMMYFUNCTION("""COMPUTED_VALUE"""),"Chinatown")</f>
        <v>Chinatown</v>
      </c>
      <c r="R1136" s="5" t="str">
        <f>IFERROR(__xludf.DUMMYFUNCTION("""COMPUTED_VALUE"""),"John Huston")</f>
        <v>John Huston</v>
      </c>
      <c r="S1136" s="5" t="str">
        <f>IFERROR(__xludf.DUMMYFUNCTION("""COMPUTED_VALUE"""),"Estrela 3")</f>
        <v>Estrela 3</v>
      </c>
    </row>
    <row r="1137">
      <c r="G1137" s="5" t="str">
        <f>IFERROR(__xludf.DUMMYFUNCTION("""COMPUTED_VALUE"""),"284🤙🏼Chinatown🤙🏼Perry Lopez🤙🏼Estrela 4")</f>
        <v>284🤙🏼Chinatown🤙🏼Perry Lopez🤙🏼Estrela 4</v>
      </c>
      <c r="H1137" s="5">
        <f>IFERROR(__xludf.DUMMYFUNCTION("SPLiT(G1137, ""🤙🏼"",FALSE,FALSE)"),284.0)</f>
        <v>284</v>
      </c>
      <c r="I1137" s="5" t="str">
        <f>IFERROR(__xludf.DUMMYFUNCTION("""COMPUTED_VALUE"""),"Chinatown")</f>
        <v>Chinatown</v>
      </c>
      <c r="J1137" s="5" t="str">
        <f>IFERROR(__xludf.DUMMYFUNCTION("""COMPUTED_VALUE"""),"Perry Lopez")</f>
        <v>Perry Lopez</v>
      </c>
      <c r="K1137" s="5" t="str">
        <f>IFERROR(__xludf.DUMMYFUNCTION("""COMPUTED_VALUE"""),"Estrela 4")</f>
        <v>Estrela 4</v>
      </c>
      <c r="P1137" s="5">
        <f>IFERROR(__xludf.DUMMYFUNCTION("""COMPUTED_VALUE"""),284.0)</f>
        <v>284</v>
      </c>
      <c r="Q1137" s="5" t="str">
        <f>IFERROR(__xludf.DUMMYFUNCTION("""COMPUTED_VALUE"""),"Chinatown")</f>
        <v>Chinatown</v>
      </c>
      <c r="R1137" s="5" t="str">
        <f>IFERROR(__xludf.DUMMYFUNCTION("""COMPUTED_VALUE"""),"Perry Lopez")</f>
        <v>Perry Lopez</v>
      </c>
      <c r="S1137" s="5" t="str">
        <f>IFERROR(__xludf.DUMMYFUNCTION("""COMPUTED_VALUE"""),"Estrela 4")</f>
        <v>Estrela 4</v>
      </c>
    </row>
    <row r="1138">
      <c r="G1138" s="5" t="str">
        <f>IFERROR(__xludf.DUMMYFUNCTION("""COMPUTED_VALUE"""),"285🤙🏼Paper Moon🤙🏼Ryan O'Neal🤙🏼Estrela 1")</f>
        <v>285🤙🏼Paper Moon🤙🏼Ryan O'Neal🤙🏼Estrela 1</v>
      </c>
      <c r="H1138" s="5">
        <f>IFERROR(__xludf.DUMMYFUNCTION("SPLiT(G1138, ""🤙🏼"",FALSE,FALSE)"),285.0)</f>
        <v>285</v>
      </c>
      <c r="I1138" s="5" t="str">
        <f>IFERROR(__xludf.DUMMYFUNCTION("""COMPUTED_VALUE"""),"Paper Moon")</f>
        <v>Paper Moon</v>
      </c>
      <c r="J1138" s="5" t="str">
        <f>IFERROR(__xludf.DUMMYFUNCTION("""COMPUTED_VALUE"""),"Ryan O'Neal")</f>
        <v>Ryan O'Neal</v>
      </c>
      <c r="K1138" s="5" t="str">
        <f>IFERROR(__xludf.DUMMYFUNCTION("""COMPUTED_VALUE"""),"Estrela 1")</f>
        <v>Estrela 1</v>
      </c>
      <c r="P1138" s="5">
        <f>IFERROR(__xludf.DUMMYFUNCTION("""COMPUTED_VALUE"""),285.0)</f>
        <v>285</v>
      </c>
      <c r="Q1138" s="5" t="str">
        <f>IFERROR(__xludf.DUMMYFUNCTION("""COMPUTED_VALUE"""),"Paper Moon")</f>
        <v>Paper Moon</v>
      </c>
      <c r="R1138" s="5" t="str">
        <f>IFERROR(__xludf.DUMMYFUNCTION("""COMPUTED_VALUE"""),"Ryan O'Neal")</f>
        <v>Ryan O'Neal</v>
      </c>
      <c r="S1138" s="5" t="str">
        <f>IFERROR(__xludf.DUMMYFUNCTION("""COMPUTED_VALUE"""),"Estrela 1")</f>
        <v>Estrela 1</v>
      </c>
    </row>
    <row r="1139">
      <c r="G1139" s="5" t="str">
        <f>IFERROR(__xludf.DUMMYFUNCTION("""COMPUTED_VALUE"""),"285🤙🏼Paper Moon🤙🏼Tatum O'Neal🤙🏼Estrela 2")</f>
        <v>285🤙🏼Paper Moon🤙🏼Tatum O'Neal🤙🏼Estrela 2</v>
      </c>
      <c r="H1139" s="5">
        <f>IFERROR(__xludf.DUMMYFUNCTION("SPLiT(G1139, ""🤙🏼"",FALSE,FALSE)"),285.0)</f>
        <v>285</v>
      </c>
      <c r="I1139" s="5" t="str">
        <f>IFERROR(__xludf.DUMMYFUNCTION("""COMPUTED_VALUE"""),"Paper Moon")</f>
        <v>Paper Moon</v>
      </c>
      <c r="J1139" s="5" t="str">
        <f>IFERROR(__xludf.DUMMYFUNCTION("""COMPUTED_VALUE"""),"Tatum O'Neal")</f>
        <v>Tatum O'Neal</v>
      </c>
      <c r="K1139" s="5" t="str">
        <f>IFERROR(__xludf.DUMMYFUNCTION("""COMPUTED_VALUE"""),"Estrela 2")</f>
        <v>Estrela 2</v>
      </c>
      <c r="P1139" s="5">
        <f>IFERROR(__xludf.DUMMYFUNCTION("""COMPUTED_VALUE"""),285.0)</f>
        <v>285</v>
      </c>
      <c r="Q1139" s="5" t="str">
        <f>IFERROR(__xludf.DUMMYFUNCTION("""COMPUTED_VALUE"""),"Paper Moon")</f>
        <v>Paper Moon</v>
      </c>
      <c r="R1139" s="5" t="str">
        <f>IFERROR(__xludf.DUMMYFUNCTION("""COMPUTED_VALUE"""),"Tatum O'Neal")</f>
        <v>Tatum O'Neal</v>
      </c>
      <c r="S1139" s="5" t="str">
        <f>IFERROR(__xludf.DUMMYFUNCTION("""COMPUTED_VALUE"""),"Estrela 2")</f>
        <v>Estrela 2</v>
      </c>
    </row>
    <row r="1140">
      <c r="G1140" s="5" t="str">
        <f>IFERROR(__xludf.DUMMYFUNCTION("""COMPUTED_VALUE"""),"285🤙🏼Paper Moon🤙🏼Madeline Kahn🤙🏼Estrela 3")</f>
        <v>285🤙🏼Paper Moon🤙🏼Madeline Kahn🤙🏼Estrela 3</v>
      </c>
      <c r="H1140" s="5">
        <f>IFERROR(__xludf.DUMMYFUNCTION("SPLiT(G1140, ""🤙🏼"",FALSE,FALSE)"),285.0)</f>
        <v>285</v>
      </c>
      <c r="I1140" s="5" t="str">
        <f>IFERROR(__xludf.DUMMYFUNCTION("""COMPUTED_VALUE"""),"Paper Moon")</f>
        <v>Paper Moon</v>
      </c>
      <c r="J1140" s="5" t="str">
        <f>IFERROR(__xludf.DUMMYFUNCTION("""COMPUTED_VALUE"""),"Madeline Kahn")</f>
        <v>Madeline Kahn</v>
      </c>
      <c r="K1140" s="5" t="str">
        <f>IFERROR(__xludf.DUMMYFUNCTION("""COMPUTED_VALUE"""),"Estrela 3")</f>
        <v>Estrela 3</v>
      </c>
      <c r="P1140" s="5">
        <f>IFERROR(__xludf.DUMMYFUNCTION("""COMPUTED_VALUE"""),285.0)</f>
        <v>285</v>
      </c>
      <c r="Q1140" s="5" t="str">
        <f>IFERROR(__xludf.DUMMYFUNCTION("""COMPUTED_VALUE"""),"Paper Moon")</f>
        <v>Paper Moon</v>
      </c>
      <c r="R1140" s="5" t="str">
        <f>IFERROR(__xludf.DUMMYFUNCTION("""COMPUTED_VALUE"""),"Madeline Kahn")</f>
        <v>Madeline Kahn</v>
      </c>
      <c r="S1140" s="5" t="str">
        <f>IFERROR(__xludf.DUMMYFUNCTION("""COMPUTED_VALUE"""),"Estrela 3")</f>
        <v>Estrela 3</v>
      </c>
    </row>
    <row r="1141">
      <c r="G1141" s="5" t="str">
        <f>IFERROR(__xludf.DUMMYFUNCTION("""COMPUTED_VALUE"""),"285🤙🏼Paper Moon🤙🏼John Hillerman🤙🏼Estrela 4")</f>
        <v>285🤙🏼Paper Moon🤙🏼John Hillerman🤙🏼Estrela 4</v>
      </c>
      <c r="H1141" s="5">
        <f>IFERROR(__xludf.DUMMYFUNCTION("SPLiT(G1141, ""🤙🏼"",FALSE,FALSE)"),285.0)</f>
        <v>285</v>
      </c>
      <c r="I1141" s="5" t="str">
        <f>IFERROR(__xludf.DUMMYFUNCTION("""COMPUTED_VALUE"""),"Paper Moon")</f>
        <v>Paper Moon</v>
      </c>
      <c r="J1141" s="5" t="str">
        <f>IFERROR(__xludf.DUMMYFUNCTION("""COMPUTED_VALUE"""),"John Hillerman")</f>
        <v>John Hillerman</v>
      </c>
      <c r="K1141" s="5" t="str">
        <f>IFERROR(__xludf.DUMMYFUNCTION("""COMPUTED_VALUE"""),"Estrela 4")</f>
        <v>Estrela 4</v>
      </c>
      <c r="P1141" s="5">
        <f>IFERROR(__xludf.DUMMYFUNCTION("""COMPUTED_VALUE"""),285.0)</f>
        <v>285</v>
      </c>
      <c r="Q1141" s="5" t="str">
        <f>IFERROR(__xludf.DUMMYFUNCTION("""COMPUTED_VALUE"""),"Paper Moon")</f>
        <v>Paper Moon</v>
      </c>
      <c r="R1141" s="5" t="str">
        <f>IFERROR(__xludf.DUMMYFUNCTION("""COMPUTED_VALUE"""),"John Hillerman")</f>
        <v>John Hillerman</v>
      </c>
      <c r="S1141" s="5" t="str">
        <f>IFERROR(__xludf.DUMMYFUNCTION("""COMPUTED_VALUE"""),"Estrela 4")</f>
        <v>Estrela 4</v>
      </c>
    </row>
    <row r="1142">
      <c r="G1142" s="5" t="str">
        <f>IFERROR(__xludf.DUMMYFUNCTION("""COMPUTED_VALUE"""),"286🤙🏼Viskningar och rop🤙🏼Harriet Andersson🤙🏼Estrela 1")</f>
        <v>286🤙🏼Viskningar och rop🤙🏼Harriet Andersson🤙🏼Estrela 1</v>
      </c>
      <c r="H1142" s="5">
        <f>IFERROR(__xludf.DUMMYFUNCTION("SPLiT(G1142, ""🤙🏼"",FALSE,FALSE)"),286.0)</f>
        <v>286</v>
      </c>
      <c r="I1142" s="5" t="str">
        <f>IFERROR(__xludf.DUMMYFUNCTION("""COMPUTED_VALUE"""),"Viskningar och rop")</f>
        <v>Viskningar och rop</v>
      </c>
      <c r="J1142" s="5" t="str">
        <f>IFERROR(__xludf.DUMMYFUNCTION("""COMPUTED_VALUE"""),"Harriet Andersson")</f>
        <v>Harriet Andersson</v>
      </c>
      <c r="K1142" s="5" t="str">
        <f>IFERROR(__xludf.DUMMYFUNCTION("""COMPUTED_VALUE"""),"Estrela 1")</f>
        <v>Estrela 1</v>
      </c>
      <c r="P1142" s="5">
        <f>IFERROR(__xludf.DUMMYFUNCTION("""COMPUTED_VALUE"""),286.0)</f>
        <v>286</v>
      </c>
      <c r="Q1142" s="5" t="str">
        <f>IFERROR(__xludf.DUMMYFUNCTION("""COMPUTED_VALUE"""),"Viskningar och rop")</f>
        <v>Viskningar och rop</v>
      </c>
      <c r="R1142" s="5" t="str">
        <f>IFERROR(__xludf.DUMMYFUNCTION("""COMPUTED_VALUE"""),"Harriet Andersson")</f>
        <v>Harriet Andersson</v>
      </c>
      <c r="S1142" s="5" t="str">
        <f>IFERROR(__xludf.DUMMYFUNCTION("""COMPUTED_VALUE"""),"Estrela 1")</f>
        <v>Estrela 1</v>
      </c>
    </row>
    <row r="1143">
      <c r="G1143" s="5" t="str">
        <f>IFERROR(__xludf.DUMMYFUNCTION("""COMPUTED_VALUE"""),"286🤙🏼Viskningar och rop🤙🏼Liv Ullmann🤙🏼Estrela 2")</f>
        <v>286🤙🏼Viskningar och rop🤙🏼Liv Ullmann🤙🏼Estrela 2</v>
      </c>
      <c r="H1143" s="5">
        <f>IFERROR(__xludf.DUMMYFUNCTION("SPLiT(G1143, ""🤙🏼"",FALSE,FALSE)"),286.0)</f>
        <v>286</v>
      </c>
      <c r="I1143" s="5" t="str">
        <f>IFERROR(__xludf.DUMMYFUNCTION("""COMPUTED_VALUE"""),"Viskningar och rop")</f>
        <v>Viskningar och rop</v>
      </c>
      <c r="J1143" s="5" t="str">
        <f>IFERROR(__xludf.DUMMYFUNCTION("""COMPUTED_VALUE"""),"Liv Ullmann")</f>
        <v>Liv Ullmann</v>
      </c>
      <c r="K1143" s="5" t="str">
        <f>IFERROR(__xludf.DUMMYFUNCTION("""COMPUTED_VALUE"""),"Estrela 2")</f>
        <v>Estrela 2</v>
      </c>
      <c r="P1143" s="5">
        <f>IFERROR(__xludf.DUMMYFUNCTION("""COMPUTED_VALUE"""),286.0)</f>
        <v>286</v>
      </c>
      <c r="Q1143" s="5" t="str">
        <f>IFERROR(__xludf.DUMMYFUNCTION("""COMPUTED_VALUE"""),"Viskningar och rop")</f>
        <v>Viskningar och rop</v>
      </c>
      <c r="R1143" s="5" t="str">
        <f>IFERROR(__xludf.DUMMYFUNCTION("""COMPUTED_VALUE"""),"Liv Ullmann")</f>
        <v>Liv Ullmann</v>
      </c>
      <c r="S1143" s="5" t="str">
        <f>IFERROR(__xludf.DUMMYFUNCTION("""COMPUTED_VALUE"""),"Estrela 2")</f>
        <v>Estrela 2</v>
      </c>
    </row>
    <row r="1144">
      <c r="G1144" s="5" t="str">
        <f>IFERROR(__xludf.DUMMYFUNCTION("""COMPUTED_VALUE"""),"286🤙🏼Viskningar och rop🤙🏼Kari Sylwan🤙🏼Estrela 3")</f>
        <v>286🤙🏼Viskningar och rop🤙🏼Kari Sylwan🤙🏼Estrela 3</v>
      </c>
      <c r="H1144" s="5">
        <f>IFERROR(__xludf.DUMMYFUNCTION("SPLiT(G1144, ""🤙🏼"",FALSE,FALSE)"),286.0)</f>
        <v>286</v>
      </c>
      <c r="I1144" s="5" t="str">
        <f>IFERROR(__xludf.DUMMYFUNCTION("""COMPUTED_VALUE"""),"Viskningar och rop")</f>
        <v>Viskningar och rop</v>
      </c>
      <c r="J1144" s="5" t="str">
        <f>IFERROR(__xludf.DUMMYFUNCTION("""COMPUTED_VALUE"""),"Kari Sylwan")</f>
        <v>Kari Sylwan</v>
      </c>
      <c r="K1144" s="5" t="str">
        <f>IFERROR(__xludf.DUMMYFUNCTION("""COMPUTED_VALUE"""),"Estrela 3")</f>
        <v>Estrela 3</v>
      </c>
      <c r="P1144" s="5">
        <f>IFERROR(__xludf.DUMMYFUNCTION("""COMPUTED_VALUE"""),286.0)</f>
        <v>286</v>
      </c>
      <c r="Q1144" s="5" t="str">
        <f>IFERROR(__xludf.DUMMYFUNCTION("""COMPUTED_VALUE"""),"Viskningar och rop")</f>
        <v>Viskningar och rop</v>
      </c>
      <c r="R1144" s="5" t="str">
        <f>IFERROR(__xludf.DUMMYFUNCTION("""COMPUTED_VALUE"""),"Kari Sylwan")</f>
        <v>Kari Sylwan</v>
      </c>
      <c r="S1144" s="5" t="str">
        <f>IFERROR(__xludf.DUMMYFUNCTION("""COMPUTED_VALUE"""),"Estrela 3")</f>
        <v>Estrela 3</v>
      </c>
    </row>
    <row r="1145">
      <c r="G1145" s="5" t="str">
        <f>IFERROR(__xludf.DUMMYFUNCTION("""COMPUTED_VALUE"""),"286🤙🏼Viskningar och rop🤙🏼Ingrid Thulin🤙🏼Estrela 4")</f>
        <v>286🤙🏼Viskningar och rop🤙🏼Ingrid Thulin🤙🏼Estrela 4</v>
      </c>
      <c r="H1145" s="5">
        <f>IFERROR(__xludf.DUMMYFUNCTION("SPLiT(G1145, ""🤙🏼"",FALSE,FALSE)"),286.0)</f>
        <v>286</v>
      </c>
      <c r="I1145" s="5" t="str">
        <f>IFERROR(__xludf.DUMMYFUNCTION("""COMPUTED_VALUE"""),"Viskningar och rop")</f>
        <v>Viskningar och rop</v>
      </c>
      <c r="J1145" s="5" t="str">
        <f>IFERROR(__xludf.DUMMYFUNCTION("""COMPUTED_VALUE"""),"Ingrid Thulin")</f>
        <v>Ingrid Thulin</v>
      </c>
      <c r="K1145" s="5" t="str">
        <f>IFERROR(__xludf.DUMMYFUNCTION("""COMPUTED_VALUE"""),"Estrela 4")</f>
        <v>Estrela 4</v>
      </c>
      <c r="P1145" s="5">
        <f>IFERROR(__xludf.DUMMYFUNCTION("""COMPUTED_VALUE"""),286.0)</f>
        <v>286</v>
      </c>
      <c r="Q1145" s="5" t="str">
        <f>IFERROR(__xludf.DUMMYFUNCTION("""COMPUTED_VALUE"""),"Viskningar och rop")</f>
        <v>Viskningar och rop</v>
      </c>
      <c r="R1145" s="5" t="str">
        <f>IFERROR(__xludf.DUMMYFUNCTION("""COMPUTED_VALUE"""),"Ingrid Thulin")</f>
        <v>Ingrid Thulin</v>
      </c>
      <c r="S1145" s="5" t="str">
        <f>IFERROR(__xludf.DUMMYFUNCTION("""COMPUTED_VALUE"""),"Estrela 4")</f>
        <v>Estrela 4</v>
      </c>
    </row>
    <row r="1146">
      <c r="G1146" s="5" t="str">
        <f>IFERROR(__xludf.DUMMYFUNCTION("""COMPUTED_VALUE"""),"287🤙🏼Solaris🤙🏼Natalya Bondarchuk🤙🏼Estrela 1")</f>
        <v>287🤙🏼Solaris🤙🏼Natalya Bondarchuk🤙🏼Estrela 1</v>
      </c>
      <c r="H1146" s="5">
        <f>IFERROR(__xludf.DUMMYFUNCTION("SPLiT(G1146, ""🤙🏼"",FALSE,FALSE)"),287.0)</f>
        <v>287</v>
      </c>
      <c r="I1146" s="5" t="str">
        <f>IFERROR(__xludf.DUMMYFUNCTION("""COMPUTED_VALUE"""),"Solaris")</f>
        <v>Solaris</v>
      </c>
      <c r="J1146" s="5" t="str">
        <f>IFERROR(__xludf.DUMMYFUNCTION("""COMPUTED_VALUE"""),"Natalya Bondarchuk")</f>
        <v>Natalya Bondarchuk</v>
      </c>
      <c r="K1146" s="5" t="str">
        <f>IFERROR(__xludf.DUMMYFUNCTION("""COMPUTED_VALUE"""),"Estrela 1")</f>
        <v>Estrela 1</v>
      </c>
      <c r="P1146" s="5">
        <f>IFERROR(__xludf.DUMMYFUNCTION("""COMPUTED_VALUE"""),287.0)</f>
        <v>287</v>
      </c>
      <c r="Q1146" s="5" t="str">
        <f>IFERROR(__xludf.DUMMYFUNCTION("""COMPUTED_VALUE"""),"Solaris")</f>
        <v>Solaris</v>
      </c>
      <c r="R1146" s="5" t="str">
        <f>IFERROR(__xludf.DUMMYFUNCTION("""COMPUTED_VALUE"""),"Natalya Bondarchuk")</f>
        <v>Natalya Bondarchuk</v>
      </c>
      <c r="S1146" s="5" t="str">
        <f>IFERROR(__xludf.DUMMYFUNCTION("""COMPUTED_VALUE"""),"Estrela 1")</f>
        <v>Estrela 1</v>
      </c>
    </row>
    <row r="1147">
      <c r="G1147" s="5" t="str">
        <f>IFERROR(__xludf.DUMMYFUNCTION("""COMPUTED_VALUE"""),"287🤙🏼Solaris🤙🏼Donatas Banionis🤙🏼Estrela 2")</f>
        <v>287🤙🏼Solaris🤙🏼Donatas Banionis🤙🏼Estrela 2</v>
      </c>
      <c r="H1147" s="5">
        <f>IFERROR(__xludf.DUMMYFUNCTION("SPLiT(G1147, ""🤙🏼"",FALSE,FALSE)"),287.0)</f>
        <v>287</v>
      </c>
      <c r="I1147" s="5" t="str">
        <f>IFERROR(__xludf.DUMMYFUNCTION("""COMPUTED_VALUE"""),"Solaris")</f>
        <v>Solaris</v>
      </c>
      <c r="J1147" s="5" t="str">
        <f>IFERROR(__xludf.DUMMYFUNCTION("""COMPUTED_VALUE"""),"Donatas Banionis")</f>
        <v>Donatas Banionis</v>
      </c>
      <c r="K1147" s="5" t="str">
        <f>IFERROR(__xludf.DUMMYFUNCTION("""COMPUTED_VALUE"""),"Estrela 2")</f>
        <v>Estrela 2</v>
      </c>
      <c r="P1147" s="5">
        <f>IFERROR(__xludf.DUMMYFUNCTION("""COMPUTED_VALUE"""),287.0)</f>
        <v>287</v>
      </c>
      <c r="Q1147" s="5" t="str">
        <f>IFERROR(__xludf.DUMMYFUNCTION("""COMPUTED_VALUE"""),"Solaris")</f>
        <v>Solaris</v>
      </c>
      <c r="R1147" s="5" t="str">
        <f>IFERROR(__xludf.DUMMYFUNCTION("""COMPUTED_VALUE"""),"Donatas Banionis")</f>
        <v>Donatas Banionis</v>
      </c>
      <c r="S1147" s="5" t="str">
        <f>IFERROR(__xludf.DUMMYFUNCTION("""COMPUTED_VALUE"""),"Estrela 2")</f>
        <v>Estrela 2</v>
      </c>
    </row>
    <row r="1148">
      <c r="G1148" s="5" t="str">
        <f>IFERROR(__xludf.DUMMYFUNCTION("""COMPUTED_VALUE"""),"287🤙🏼Solaris🤙🏼Jüri Järvet🤙🏼Estrela 3")</f>
        <v>287🤙🏼Solaris🤙🏼Jüri Järvet🤙🏼Estrela 3</v>
      </c>
      <c r="H1148" s="5">
        <f>IFERROR(__xludf.DUMMYFUNCTION("SPLiT(G1148, ""🤙🏼"",FALSE,FALSE)"),287.0)</f>
        <v>287</v>
      </c>
      <c r="I1148" s="5" t="str">
        <f>IFERROR(__xludf.DUMMYFUNCTION("""COMPUTED_VALUE"""),"Solaris")</f>
        <v>Solaris</v>
      </c>
      <c r="J1148" s="5" t="str">
        <f>IFERROR(__xludf.DUMMYFUNCTION("""COMPUTED_VALUE"""),"Jüri Järvet")</f>
        <v>Jüri Järvet</v>
      </c>
      <c r="K1148" s="5" t="str">
        <f>IFERROR(__xludf.DUMMYFUNCTION("""COMPUTED_VALUE"""),"Estrela 3")</f>
        <v>Estrela 3</v>
      </c>
      <c r="P1148" s="5">
        <f>IFERROR(__xludf.DUMMYFUNCTION("""COMPUTED_VALUE"""),287.0)</f>
        <v>287</v>
      </c>
      <c r="Q1148" s="5" t="str">
        <f>IFERROR(__xludf.DUMMYFUNCTION("""COMPUTED_VALUE"""),"Solaris")</f>
        <v>Solaris</v>
      </c>
      <c r="R1148" s="5" t="str">
        <f>IFERROR(__xludf.DUMMYFUNCTION("""COMPUTED_VALUE"""),"Jüri Järvet")</f>
        <v>Jüri Järvet</v>
      </c>
      <c r="S1148" s="5" t="str">
        <f>IFERROR(__xludf.DUMMYFUNCTION("""COMPUTED_VALUE"""),"Estrela 3")</f>
        <v>Estrela 3</v>
      </c>
    </row>
    <row r="1149">
      <c r="G1149" s="5" t="str">
        <f>IFERROR(__xludf.DUMMYFUNCTION("""COMPUTED_VALUE"""),"287🤙🏼Solaris🤙🏼Vladislav Dvorzhetskiy🤙🏼Estrela 4")</f>
        <v>287🤙🏼Solaris🤙🏼Vladislav Dvorzhetskiy🤙🏼Estrela 4</v>
      </c>
      <c r="H1149" s="5">
        <f>IFERROR(__xludf.DUMMYFUNCTION("SPLiT(G1149, ""🤙🏼"",FALSE,FALSE)"),287.0)</f>
        <v>287</v>
      </c>
      <c r="I1149" s="5" t="str">
        <f>IFERROR(__xludf.DUMMYFUNCTION("""COMPUTED_VALUE"""),"Solaris")</f>
        <v>Solaris</v>
      </c>
      <c r="J1149" s="5" t="str">
        <f>IFERROR(__xludf.DUMMYFUNCTION("""COMPUTED_VALUE"""),"Vladislav Dvorzhetskiy")</f>
        <v>Vladislav Dvorzhetskiy</v>
      </c>
      <c r="K1149" s="5" t="str">
        <f>IFERROR(__xludf.DUMMYFUNCTION("""COMPUTED_VALUE"""),"Estrela 4")</f>
        <v>Estrela 4</v>
      </c>
      <c r="P1149" s="5">
        <f>IFERROR(__xludf.DUMMYFUNCTION("""COMPUTED_VALUE"""),287.0)</f>
        <v>287</v>
      </c>
      <c r="Q1149" s="5" t="str">
        <f>IFERROR(__xludf.DUMMYFUNCTION("""COMPUTED_VALUE"""),"Solaris")</f>
        <v>Solaris</v>
      </c>
      <c r="R1149" s="5" t="str">
        <f>IFERROR(__xludf.DUMMYFUNCTION("""COMPUTED_VALUE"""),"Vladislav Dvorzhetskiy")</f>
        <v>Vladislav Dvorzhetskiy</v>
      </c>
      <c r="S1149" s="5" t="str">
        <f>IFERROR(__xludf.DUMMYFUNCTION("""COMPUTED_VALUE"""),"Estrela 4")</f>
        <v>Estrela 4</v>
      </c>
    </row>
    <row r="1150">
      <c r="G1150" s="5" t="str">
        <f>IFERROR(__xludf.DUMMYFUNCTION("""COMPUTED_VALUE"""),"288🤙🏼Le samouraï🤙🏼Alain Delon🤙🏼Estrela 1")</f>
        <v>288🤙🏼Le samouraï🤙🏼Alain Delon🤙🏼Estrela 1</v>
      </c>
      <c r="H1150" s="5">
        <f>IFERROR(__xludf.DUMMYFUNCTION("SPLiT(G1150, ""🤙🏼"",FALSE,FALSE)"),288.0)</f>
        <v>288</v>
      </c>
      <c r="I1150" s="5" t="str">
        <f>IFERROR(__xludf.DUMMYFUNCTION("""COMPUTED_VALUE"""),"Le samouraï")</f>
        <v>Le samouraï</v>
      </c>
      <c r="J1150" s="5" t="str">
        <f>IFERROR(__xludf.DUMMYFUNCTION("""COMPUTED_VALUE"""),"Alain Delon")</f>
        <v>Alain Delon</v>
      </c>
      <c r="K1150" s="5" t="str">
        <f>IFERROR(__xludf.DUMMYFUNCTION("""COMPUTED_VALUE"""),"Estrela 1")</f>
        <v>Estrela 1</v>
      </c>
      <c r="P1150" s="5">
        <f>IFERROR(__xludf.DUMMYFUNCTION("""COMPUTED_VALUE"""),288.0)</f>
        <v>288</v>
      </c>
      <c r="Q1150" s="5" t="str">
        <f>IFERROR(__xludf.DUMMYFUNCTION("""COMPUTED_VALUE"""),"Le samouraï")</f>
        <v>Le samouraï</v>
      </c>
      <c r="R1150" s="5" t="str">
        <f>IFERROR(__xludf.DUMMYFUNCTION("""COMPUTED_VALUE"""),"Alain Delon")</f>
        <v>Alain Delon</v>
      </c>
      <c r="S1150" s="5" t="str">
        <f>IFERROR(__xludf.DUMMYFUNCTION("""COMPUTED_VALUE"""),"Estrela 1")</f>
        <v>Estrela 1</v>
      </c>
    </row>
    <row r="1151">
      <c r="G1151" s="5" t="str">
        <f>IFERROR(__xludf.DUMMYFUNCTION("""COMPUTED_VALUE"""),"288🤙🏼Le samouraï🤙🏼François Périer🤙🏼Estrela 2")</f>
        <v>288🤙🏼Le samouraï🤙🏼François Périer🤙🏼Estrela 2</v>
      </c>
      <c r="H1151" s="5">
        <f>IFERROR(__xludf.DUMMYFUNCTION("SPLiT(G1151, ""🤙🏼"",FALSE,FALSE)"),288.0)</f>
        <v>288</v>
      </c>
      <c r="I1151" s="5" t="str">
        <f>IFERROR(__xludf.DUMMYFUNCTION("""COMPUTED_VALUE"""),"Le samouraï")</f>
        <v>Le samouraï</v>
      </c>
      <c r="J1151" s="5" t="str">
        <f>IFERROR(__xludf.DUMMYFUNCTION("""COMPUTED_VALUE"""),"François Périer")</f>
        <v>François Périer</v>
      </c>
      <c r="K1151" s="5" t="str">
        <f>IFERROR(__xludf.DUMMYFUNCTION("""COMPUTED_VALUE"""),"Estrela 2")</f>
        <v>Estrela 2</v>
      </c>
      <c r="P1151" s="5">
        <f>IFERROR(__xludf.DUMMYFUNCTION("""COMPUTED_VALUE"""),288.0)</f>
        <v>288</v>
      </c>
      <c r="Q1151" s="5" t="str">
        <f>IFERROR(__xludf.DUMMYFUNCTION("""COMPUTED_VALUE"""),"Le samouraï")</f>
        <v>Le samouraï</v>
      </c>
      <c r="R1151" s="5" t="str">
        <f>IFERROR(__xludf.DUMMYFUNCTION("""COMPUTED_VALUE"""),"François Périer")</f>
        <v>François Périer</v>
      </c>
      <c r="S1151" s="5" t="str">
        <f>IFERROR(__xludf.DUMMYFUNCTION("""COMPUTED_VALUE"""),"Estrela 2")</f>
        <v>Estrela 2</v>
      </c>
    </row>
    <row r="1152">
      <c r="G1152" s="5" t="str">
        <f>IFERROR(__xludf.DUMMYFUNCTION("""COMPUTED_VALUE"""),"288🤙🏼Le samouraï🤙🏼Nathalie Delon🤙🏼Estrela 3")</f>
        <v>288🤙🏼Le samouraï🤙🏼Nathalie Delon🤙🏼Estrela 3</v>
      </c>
      <c r="H1152" s="5">
        <f>IFERROR(__xludf.DUMMYFUNCTION("SPLiT(G1152, ""🤙🏼"",FALSE,FALSE)"),288.0)</f>
        <v>288</v>
      </c>
      <c r="I1152" s="5" t="str">
        <f>IFERROR(__xludf.DUMMYFUNCTION("""COMPUTED_VALUE"""),"Le samouraï")</f>
        <v>Le samouraï</v>
      </c>
      <c r="J1152" s="5" t="str">
        <f>IFERROR(__xludf.DUMMYFUNCTION("""COMPUTED_VALUE"""),"Nathalie Delon")</f>
        <v>Nathalie Delon</v>
      </c>
      <c r="K1152" s="5" t="str">
        <f>IFERROR(__xludf.DUMMYFUNCTION("""COMPUTED_VALUE"""),"Estrela 3")</f>
        <v>Estrela 3</v>
      </c>
      <c r="P1152" s="5">
        <f>IFERROR(__xludf.DUMMYFUNCTION("""COMPUTED_VALUE"""),288.0)</f>
        <v>288</v>
      </c>
      <c r="Q1152" s="5" t="str">
        <f>IFERROR(__xludf.DUMMYFUNCTION("""COMPUTED_VALUE"""),"Le samouraï")</f>
        <v>Le samouraï</v>
      </c>
      <c r="R1152" s="5" t="str">
        <f>IFERROR(__xludf.DUMMYFUNCTION("""COMPUTED_VALUE"""),"Nathalie Delon")</f>
        <v>Nathalie Delon</v>
      </c>
      <c r="S1152" s="5" t="str">
        <f>IFERROR(__xludf.DUMMYFUNCTION("""COMPUTED_VALUE"""),"Estrela 3")</f>
        <v>Estrela 3</v>
      </c>
    </row>
    <row r="1153">
      <c r="G1153" s="5" t="str">
        <f>IFERROR(__xludf.DUMMYFUNCTION("""COMPUTED_VALUE"""),"288🤙🏼Le samouraï🤙🏼Cathy Rosier🤙🏼Estrela 4")</f>
        <v>288🤙🏼Le samouraï🤙🏼Cathy Rosier🤙🏼Estrela 4</v>
      </c>
      <c r="H1153" s="5">
        <f>IFERROR(__xludf.DUMMYFUNCTION("SPLiT(G1153, ""🤙🏼"",FALSE,FALSE)"),288.0)</f>
        <v>288</v>
      </c>
      <c r="I1153" s="5" t="str">
        <f>IFERROR(__xludf.DUMMYFUNCTION("""COMPUTED_VALUE"""),"Le samouraï")</f>
        <v>Le samouraï</v>
      </c>
      <c r="J1153" s="5" t="str">
        <f>IFERROR(__xludf.DUMMYFUNCTION("""COMPUTED_VALUE"""),"Cathy Rosier")</f>
        <v>Cathy Rosier</v>
      </c>
      <c r="K1153" s="5" t="str">
        <f>IFERROR(__xludf.DUMMYFUNCTION("""COMPUTED_VALUE"""),"Estrela 4")</f>
        <v>Estrela 4</v>
      </c>
      <c r="P1153" s="5">
        <f>IFERROR(__xludf.DUMMYFUNCTION("""COMPUTED_VALUE"""),288.0)</f>
        <v>288</v>
      </c>
      <c r="Q1153" s="5" t="str">
        <f>IFERROR(__xludf.DUMMYFUNCTION("""COMPUTED_VALUE"""),"Le samouraï")</f>
        <v>Le samouraï</v>
      </c>
      <c r="R1153" s="5" t="str">
        <f>IFERROR(__xludf.DUMMYFUNCTION("""COMPUTED_VALUE"""),"Cathy Rosier")</f>
        <v>Cathy Rosier</v>
      </c>
      <c r="S1153" s="5" t="str">
        <f>IFERROR(__xludf.DUMMYFUNCTION("""COMPUTED_VALUE"""),"Estrela 4")</f>
        <v>Estrela 4</v>
      </c>
    </row>
    <row r="1154">
      <c r="G1154" s="5" t="str">
        <f>IFERROR(__xludf.DUMMYFUNCTION("""COMPUTED_VALUE"""),"289🤙🏼Cool Hand Luke🤙🏼Paul Newman🤙🏼Estrela 1")</f>
        <v>289🤙🏼Cool Hand Luke🤙🏼Paul Newman🤙🏼Estrela 1</v>
      </c>
      <c r="H1154" s="5">
        <f>IFERROR(__xludf.DUMMYFUNCTION("SPLiT(G1154, ""🤙🏼"",FALSE,FALSE)"),289.0)</f>
        <v>289</v>
      </c>
      <c r="I1154" s="5" t="str">
        <f>IFERROR(__xludf.DUMMYFUNCTION("""COMPUTED_VALUE"""),"Cool Hand Luke")</f>
        <v>Cool Hand Luke</v>
      </c>
      <c r="J1154" s="5" t="str">
        <f>IFERROR(__xludf.DUMMYFUNCTION("""COMPUTED_VALUE"""),"Paul Newman")</f>
        <v>Paul Newman</v>
      </c>
      <c r="K1154" s="5" t="str">
        <f>IFERROR(__xludf.DUMMYFUNCTION("""COMPUTED_VALUE"""),"Estrela 1")</f>
        <v>Estrela 1</v>
      </c>
      <c r="P1154" s="5">
        <f>IFERROR(__xludf.DUMMYFUNCTION("""COMPUTED_VALUE"""),289.0)</f>
        <v>289</v>
      </c>
      <c r="Q1154" s="5" t="str">
        <f>IFERROR(__xludf.DUMMYFUNCTION("""COMPUTED_VALUE"""),"Cool Hand Luke")</f>
        <v>Cool Hand Luke</v>
      </c>
      <c r="R1154" s="5" t="str">
        <f>IFERROR(__xludf.DUMMYFUNCTION("""COMPUTED_VALUE"""),"Paul Newman")</f>
        <v>Paul Newman</v>
      </c>
      <c r="S1154" s="5" t="str">
        <f>IFERROR(__xludf.DUMMYFUNCTION("""COMPUTED_VALUE"""),"Estrela 1")</f>
        <v>Estrela 1</v>
      </c>
    </row>
    <row r="1155">
      <c r="G1155" s="5" t="str">
        <f>IFERROR(__xludf.DUMMYFUNCTION("""COMPUTED_VALUE"""),"289🤙🏼Cool Hand Luke🤙🏼George Kennedy🤙🏼Estrela 2")</f>
        <v>289🤙🏼Cool Hand Luke🤙🏼George Kennedy🤙🏼Estrela 2</v>
      </c>
      <c r="H1155" s="5">
        <f>IFERROR(__xludf.DUMMYFUNCTION("SPLiT(G1155, ""🤙🏼"",FALSE,FALSE)"),289.0)</f>
        <v>289</v>
      </c>
      <c r="I1155" s="5" t="str">
        <f>IFERROR(__xludf.DUMMYFUNCTION("""COMPUTED_VALUE"""),"Cool Hand Luke")</f>
        <v>Cool Hand Luke</v>
      </c>
      <c r="J1155" s="5" t="str">
        <f>IFERROR(__xludf.DUMMYFUNCTION("""COMPUTED_VALUE"""),"George Kennedy")</f>
        <v>George Kennedy</v>
      </c>
      <c r="K1155" s="5" t="str">
        <f>IFERROR(__xludf.DUMMYFUNCTION("""COMPUTED_VALUE"""),"Estrela 2")</f>
        <v>Estrela 2</v>
      </c>
      <c r="P1155" s="5">
        <f>IFERROR(__xludf.DUMMYFUNCTION("""COMPUTED_VALUE"""),289.0)</f>
        <v>289</v>
      </c>
      <c r="Q1155" s="5" t="str">
        <f>IFERROR(__xludf.DUMMYFUNCTION("""COMPUTED_VALUE"""),"Cool Hand Luke")</f>
        <v>Cool Hand Luke</v>
      </c>
      <c r="R1155" s="5" t="str">
        <f>IFERROR(__xludf.DUMMYFUNCTION("""COMPUTED_VALUE"""),"George Kennedy")</f>
        <v>George Kennedy</v>
      </c>
      <c r="S1155" s="5" t="str">
        <f>IFERROR(__xludf.DUMMYFUNCTION("""COMPUTED_VALUE"""),"Estrela 2")</f>
        <v>Estrela 2</v>
      </c>
    </row>
    <row r="1156">
      <c r="G1156" s="5" t="str">
        <f>IFERROR(__xludf.DUMMYFUNCTION("""COMPUTED_VALUE"""),"289🤙🏼Cool Hand Luke🤙🏼Strother Martin🤙🏼Estrela 3")</f>
        <v>289🤙🏼Cool Hand Luke🤙🏼Strother Martin🤙🏼Estrela 3</v>
      </c>
      <c r="H1156" s="5">
        <f>IFERROR(__xludf.DUMMYFUNCTION("SPLiT(G1156, ""🤙🏼"",FALSE,FALSE)"),289.0)</f>
        <v>289</v>
      </c>
      <c r="I1156" s="5" t="str">
        <f>IFERROR(__xludf.DUMMYFUNCTION("""COMPUTED_VALUE"""),"Cool Hand Luke")</f>
        <v>Cool Hand Luke</v>
      </c>
      <c r="J1156" s="5" t="str">
        <f>IFERROR(__xludf.DUMMYFUNCTION("""COMPUTED_VALUE"""),"Strother Martin")</f>
        <v>Strother Martin</v>
      </c>
      <c r="K1156" s="5" t="str">
        <f>IFERROR(__xludf.DUMMYFUNCTION("""COMPUTED_VALUE"""),"Estrela 3")</f>
        <v>Estrela 3</v>
      </c>
      <c r="P1156" s="5">
        <f>IFERROR(__xludf.DUMMYFUNCTION("""COMPUTED_VALUE"""),289.0)</f>
        <v>289</v>
      </c>
      <c r="Q1156" s="5" t="str">
        <f>IFERROR(__xludf.DUMMYFUNCTION("""COMPUTED_VALUE"""),"Cool Hand Luke")</f>
        <v>Cool Hand Luke</v>
      </c>
      <c r="R1156" s="5" t="str">
        <f>IFERROR(__xludf.DUMMYFUNCTION("""COMPUTED_VALUE"""),"Strother Martin")</f>
        <v>Strother Martin</v>
      </c>
      <c r="S1156" s="5" t="str">
        <f>IFERROR(__xludf.DUMMYFUNCTION("""COMPUTED_VALUE"""),"Estrela 3")</f>
        <v>Estrela 3</v>
      </c>
    </row>
    <row r="1157">
      <c r="G1157" s="5" t="str">
        <f>IFERROR(__xludf.DUMMYFUNCTION("""COMPUTED_VALUE"""),"289🤙🏼Cool Hand Luke🤙🏼J.D. Cannon🤙🏼Estrela 4")</f>
        <v>289🤙🏼Cool Hand Luke🤙🏼J.D. Cannon🤙🏼Estrela 4</v>
      </c>
      <c r="H1157" s="5">
        <f>IFERROR(__xludf.DUMMYFUNCTION("SPLiT(G1157, ""🤙🏼"",FALSE,FALSE)"),289.0)</f>
        <v>289</v>
      </c>
      <c r="I1157" s="5" t="str">
        <f>IFERROR(__xludf.DUMMYFUNCTION("""COMPUTED_VALUE"""),"Cool Hand Luke")</f>
        <v>Cool Hand Luke</v>
      </c>
      <c r="J1157" s="5" t="str">
        <f>IFERROR(__xludf.DUMMYFUNCTION("""COMPUTED_VALUE"""),"J.D. Cannon")</f>
        <v>J.D. Cannon</v>
      </c>
      <c r="K1157" s="5" t="str">
        <f>IFERROR(__xludf.DUMMYFUNCTION("""COMPUTED_VALUE"""),"Estrela 4")</f>
        <v>Estrela 4</v>
      </c>
      <c r="P1157" s="5">
        <f>IFERROR(__xludf.DUMMYFUNCTION("""COMPUTED_VALUE"""),289.0)</f>
        <v>289</v>
      </c>
      <c r="Q1157" s="5" t="str">
        <f>IFERROR(__xludf.DUMMYFUNCTION("""COMPUTED_VALUE"""),"Cool Hand Luke")</f>
        <v>Cool Hand Luke</v>
      </c>
      <c r="R1157" s="5" t="str">
        <f>IFERROR(__xludf.DUMMYFUNCTION("""COMPUTED_VALUE"""),"J.D. Cannon")</f>
        <v>J.D. Cannon</v>
      </c>
      <c r="S1157" s="5" t="str">
        <f>IFERROR(__xludf.DUMMYFUNCTION("""COMPUTED_VALUE"""),"Estrela 4")</f>
        <v>Estrela 4</v>
      </c>
    </row>
    <row r="1158">
      <c r="G1158" s="5" t="str">
        <f>IFERROR(__xludf.DUMMYFUNCTION("""COMPUTED_VALUE"""),"290🤙🏼Persona🤙🏼Bibi Andersson🤙🏼Estrela 1")</f>
        <v>290🤙🏼Persona🤙🏼Bibi Andersson🤙🏼Estrela 1</v>
      </c>
      <c r="H1158" s="5">
        <f>IFERROR(__xludf.DUMMYFUNCTION("SPLiT(G1158, ""🤙🏼"",FALSE,FALSE)"),290.0)</f>
        <v>290</v>
      </c>
      <c r="I1158" s="5" t="str">
        <f>IFERROR(__xludf.DUMMYFUNCTION("""COMPUTED_VALUE"""),"Persona")</f>
        <v>Persona</v>
      </c>
      <c r="J1158" s="5" t="str">
        <f>IFERROR(__xludf.DUMMYFUNCTION("""COMPUTED_VALUE"""),"Bibi Andersson")</f>
        <v>Bibi Andersson</v>
      </c>
      <c r="K1158" s="5" t="str">
        <f>IFERROR(__xludf.DUMMYFUNCTION("""COMPUTED_VALUE"""),"Estrela 1")</f>
        <v>Estrela 1</v>
      </c>
      <c r="P1158" s="5">
        <f>IFERROR(__xludf.DUMMYFUNCTION("""COMPUTED_VALUE"""),290.0)</f>
        <v>290</v>
      </c>
      <c r="Q1158" s="5" t="str">
        <f>IFERROR(__xludf.DUMMYFUNCTION("""COMPUTED_VALUE"""),"Persona")</f>
        <v>Persona</v>
      </c>
      <c r="R1158" s="5" t="str">
        <f>IFERROR(__xludf.DUMMYFUNCTION("""COMPUTED_VALUE"""),"Bibi Andersson")</f>
        <v>Bibi Andersson</v>
      </c>
      <c r="S1158" s="5" t="str">
        <f>IFERROR(__xludf.DUMMYFUNCTION("""COMPUTED_VALUE"""),"Estrela 1")</f>
        <v>Estrela 1</v>
      </c>
    </row>
    <row r="1159">
      <c r="G1159" s="5" t="str">
        <f>IFERROR(__xludf.DUMMYFUNCTION("""COMPUTED_VALUE"""),"290🤙🏼Persona🤙🏼Liv Ullmann🤙🏼Estrela 2")</f>
        <v>290🤙🏼Persona🤙🏼Liv Ullmann🤙🏼Estrela 2</v>
      </c>
      <c r="H1159" s="5">
        <f>IFERROR(__xludf.DUMMYFUNCTION("SPLiT(G1159, ""🤙🏼"",FALSE,FALSE)"),290.0)</f>
        <v>290</v>
      </c>
      <c r="I1159" s="5" t="str">
        <f>IFERROR(__xludf.DUMMYFUNCTION("""COMPUTED_VALUE"""),"Persona")</f>
        <v>Persona</v>
      </c>
      <c r="J1159" s="5" t="str">
        <f>IFERROR(__xludf.DUMMYFUNCTION("""COMPUTED_VALUE"""),"Liv Ullmann")</f>
        <v>Liv Ullmann</v>
      </c>
      <c r="K1159" s="5" t="str">
        <f>IFERROR(__xludf.DUMMYFUNCTION("""COMPUTED_VALUE"""),"Estrela 2")</f>
        <v>Estrela 2</v>
      </c>
      <c r="P1159" s="5">
        <f>IFERROR(__xludf.DUMMYFUNCTION("""COMPUTED_VALUE"""),290.0)</f>
        <v>290</v>
      </c>
      <c r="Q1159" s="5" t="str">
        <f>IFERROR(__xludf.DUMMYFUNCTION("""COMPUTED_VALUE"""),"Persona")</f>
        <v>Persona</v>
      </c>
      <c r="R1159" s="5" t="str">
        <f>IFERROR(__xludf.DUMMYFUNCTION("""COMPUTED_VALUE"""),"Liv Ullmann")</f>
        <v>Liv Ullmann</v>
      </c>
      <c r="S1159" s="5" t="str">
        <f>IFERROR(__xludf.DUMMYFUNCTION("""COMPUTED_VALUE"""),"Estrela 2")</f>
        <v>Estrela 2</v>
      </c>
    </row>
    <row r="1160">
      <c r="G1160" s="5" t="str">
        <f>IFERROR(__xludf.DUMMYFUNCTION("""COMPUTED_VALUE"""),"290🤙🏼Persona🤙🏼Margaretha Krook🤙🏼Estrela 3")</f>
        <v>290🤙🏼Persona🤙🏼Margaretha Krook🤙🏼Estrela 3</v>
      </c>
      <c r="H1160" s="5">
        <f>IFERROR(__xludf.DUMMYFUNCTION("SPLiT(G1160, ""🤙🏼"",FALSE,FALSE)"),290.0)</f>
        <v>290</v>
      </c>
      <c r="I1160" s="5" t="str">
        <f>IFERROR(__xludf.DUMMYFUNCTION("""COMPUTED_VALUE"""),"Persona")</f>
        <v>Persona</v>
      </c>
      <c r="J1160" s="5" t="str">
        <f>IFERROR(__xludf.DUMMYFUNCTION("""COMPUTED_VALUE"""),"Margaretha Krook")</f>
        <v>Margaretha Krook</v>
      </c>
      <c r="K1160" s="5" t="str">
        <f>IFERROR(__xludf.DUMMYFUNCTION("""COMPUTED_VALUE"""),"Estrela 3")</f>
        <v>Estrela 3</v>
      </c>
      <c r="P1160" s="5">
        <f>IFERROR(__xludf.DUMMYFUNCTION("""COMPUTED_VALUE"""),290.0)</f>
        <v>290</v>
      </c>
      <c r="Q1160" s="5" t="str">
        <f>IFERROR(__xludf.DUMMYFUNCTION("""COMPUTED_VALUE"""),"Persona")</f>
        <v>Persona</v>
      </c>
      <c r="R1160" s="5" t="str">
        <f>IFERROR(__xludf.DUMMYFUNCTION("""COMPUTED_VALUE"""),"Margaretha Krook")</f>
        <v>Margaretha Krook</v>
      </c>
      <c r="S1160" s="5" t="str">
        <f>IFERROR(__xludf.DUMMYFUNCTION("""COMPUTED_VALUE"""),"Estrela 3")</f>
        <v>Estrela 3</v>
      </c>
    </row>
    <row r="1161">
      <c r="G1161" s="5" t="str">
        <f>IFERROR(__xludf.DUMMYFUNCTION("""COMPUTED_VALUE"""),"290🤙🏼Persona🤙🏼Gunnar Björnstrand🤙🏼Estrela 4")</f>
        <v>290🤙🏼Persona🤙🏼Gunnar Björnstrand🤙🏼Estrela 4</v>
      </c>
      <c r="H1161" s="5">
        <f>IFERROR(__xludf.DUMMYFUNCTION("SPLiT(G1161, ""🤙🏼"",FALSE,FALSE)"),290.0)</f>
        <v>290</v>
      </c>
      <c r="I1161" s="5" t="str">
        <f>IFERROR(__xludf.DUMMYFUNCTION("""COMPUTED_VALUE"""),"Persona")</f>
        <v>Persona</v>
      </c>
      <c r="J1161" s="5" t="str">
        <f>IFERROR(__xludf.DUMMYFUNCTION("""COMPUTED_VALUE"""),"Gunnar Björnstrand")</f>
        <v>Gunnar Björnstrand</v>
      </c>
      <c r="K1161" s="5" t="str">
        <f>IFERROR(__xludf.DUMMYFUNCTION("""COMPUTED_VALUE"""),"Estrela 4")</f>
        <v>Estrela 4</v>
      </c>
      <c r="P1161" s="5">
        <f>IFERROR(__xludf.DUMMYFUNCTION("""COMPUTED_VALUE"""),290.0)</f>
        <v>290</v>
      </c>
      <c r="Q1161" s="5" t="str">
        <f>IFERROR(__xludf.DUMMYFUNCTION("""COMPUTED_VALUE"""),"Persona")</f>
        <v>Persona</v>
      </c>
      <c r="R1161" s="5" t="str">
        <f>IFERROR(__xludf.DUMMYFUNCTION("""COMPUTED_VALUE"""),"Gunnar Björnstrand")</f>
        <v>Gunnar Björnstrand</v>
      </c>
      <c r="S1161" s="5" t="str">
        <f>IFERROR(__xludf.DUMMYFUNCTION("""COMPUTED_VALUE"""),"Estrela 4")</f>
        <v>Estrela 4</v>
      </c>
    </row>
    <row r="1162">
      <c r="G1162" s="5" t="str">
        <f>IFERROR(__xludf.DUMMYFUNCTION("""COMPUTED_VALUE"""),"291🤙🏼Andrei Rublev🤙🏼Anatoliy Solonitsyn🤙🏼Estrela 1")</f>
        <v>291🤙🏼Andrei Rublev🤙🏼Anatoliy Solonitsyn🤙🏼Estrela 1</v>
      </c>
      <c r="H1162" s="5">
        <f>IFERROR(__xludf.DUMMYFUNCTION("SPLiT(G1162, ""🤙🏼"",FALSE,FALSE)"),291.0)</f>
        <v>291</v>
      </c>
      <c r="I1162" s="5" t="str">
        <f>IFERROR(__xludf.DUMMYFUNCTION("""COMPUTED_VALUE"""),"Andrei Rublev")</f>
        <v>Andrei Rublev</v>
      </c>
      <c r="J1162" s="5" t="str">
        <f>IFERROR(__xludf.DUMMYFUNCTION("""COMPUTED_VALUE"""),"Anatoliy Solonitsyn")</f>
        <v>Anatoliy Solonitsyn</v>
      </c>
      <c r="K1162" s="5" t="str">
        <f>IFERROR(__xludf.DUMMYFUNCTION("""COMPUTED_VALUE"""),"Estrela 1")</f>
        <v>Estrela 1</v>
      </c>
      <c r="P1162" s="5">
        <f>IFERROR(__xludf.DUMMYFUNCTION("""COMPUTED_VALUE"""),291.0)</f>
        <v>291</v>
      </c>
      <c r="Q1162" s="5" t="str">
        <f>IFERROR(__xludf.DUMMYFUNCTION("""COMPUTED_VALUE"""),"Andrei Rublev")</f>
        <v>Andrei Rublev</v>
      </c>
      <c r="R1162" s="5" t="str">
        <f>IFERROR(__xludf.DUMMYFUNCTION("""COMPUTED_VALUE"""),"Anatoliy Solonitsyn")</f>
        <v>Anatoliy Solonitsyn</v>
      </c>
      <c r="S1162" s="5" t="str">
        <f>IFERROR(__xludf.DUMMYFUNCTION("""COMPUTED_VALUE"""),"Estrela 1")</f>
        <v>Estrela 1</v>
      </c>
    </row>
    <row r="1163">
      <c r="G1163" s="5" t="str">
        <f>IFERROR(__xludf.DUMMYFUNCTION("""COMPUTED_VALUE"""),"291🤙🏼Andrei Rublev🤙🏼Ivan Lapikov🤙🏼Estrela 2")</f>
        <v>291🤙🏼Andrei Rublev🤙🏼Ivan Lapikov🤙🏼Estrela 2</v>
      </c>
      <c r="H1163" s="5">
        <f>IFERROR(__xludf.DUMMYFUNCTION("SPLiT(G1163, ""🤙🏼"",FALSE,FALSE)"),291.0)</f>
        <v>291</v>
      </c>
      <c r="I1163" s="5" t="str">
        <f>IFERROR(__xludf.DUMMYFUNCTION("""COMPUTED_VALUE"""),"Andrei Rublev")</f>
        <v>Andrei Rublev</v>
      </c>
      <c r="J1163" s="5" t="str">
        <f>IFERROR(__xludf.DUMMYFUNCTION("""COMPUTED_VALUE"""),"Ivan Lapikov")</f>
        <v>Ivan Lapikov</v>
      </c>
      <c r="K1163" s="5" t="str">
        <f>IFERROR(__xludf.DUMMYFUNCTION("""COMPUTED_VALUE"""),"Estrela 2")</f>
        <v>Estrela 2</v>
      </c>
      <c r="P1163" s="5">
        <f>IFERROR(__xludf.DUMMYFUNCTION("""COMPUTED_VALUE"""),291.0)</f>
        <v>291</v>
      </c>
      <c r="Q1163" s="5" t="str">
        <f>IFERROR(__xludf.DUMMYFUNCTION("""COMPUTED_VALUE"""),"Andrei Rublev")</f>
        <v>Andrei Rublev</v>
      </c>
      <c r="R1163" s="5" t="str">
        <f>IFERROR(__xludf.DUMMYFUNCTION("""COMPUTED_VALUE"""),"Ivan Lapikov")</f>
        <v>Ivan Lapikov</v>
      </c>
      <c r="S1163" s="5" t="str">
        <f>IFERROR(__xludf.DUMMYFUNCTION("""COMPUTED_VALUE"""),"Estrela 2")</f>
        <v>Estrela 2</v>
      </c>
    </row>
    <row r="1164">
      <c r="G1164" s="5" t="str">
        <f>IFERROR(__xludf.DUMMYFUNCTION("""COMPUTED_VALUE"""),"291🤙🏼Andrei Rublev🤙🏼Nikolay Grinko🤙🏼Estrela 3")</f>
        <v>291🤙🏼Andrei Rublev🤙🏼Nikolay Grinko🤙🏼Estrela 3</v>
      </c>
      <c r="H1164" s="5">
        <f>IFERROR(__xludf.DUMMYFUNCTION("SPLiT(G1164, ""🤙🏼"",FALSE,FALSE)"),291.0)</f>
        <v>291</v>
      </c>
      <c r="I1164" s="5" t="str">
        <f>IFERROR(__xludf.DUMMYFUNCTION("""COMPUTED_VALUE"""),"Andrei Rublev")</f>
        <v>Andrei Rublev</v>
      </c>
      <c r="J1164" s="5" t="str">
        <f>IFERROR(__xludf.DUMMYFUNCTION("""COMPUTED_VALUE"""),"Nikolay Grinko")</f>
        <v>Nikolay Grinko</v>
      </c>
      <c r="K1164" s="5" t="str">
        <f>IFERROR(__xludf.DUMMYFUNCTION("""COMPUTED_VALUE"""),"Estrela 3")</f>
        <v>Estrela 3</v>
      </c>
      <c r="P1164" s="5">
        <f>IFERROR(__xludf.DUMMYFUNCTION("""COMPUTED_VALUE"""),291.0)</f>
        <v>291</v>
      </c>
      <c r="Q1164" s="5" t="str">
        <f>IFERROR(__xludf.DUMMYFUNCTION("""COMPUTED_VALUE"""),"Andrei Rublev")</f>
        <v>Andrei Rublev</v>
      </c>
      <c r="R1164" s="5" t="str">
        <f>IFERROR(__xludf.DUMMYFUNCTION("""COMPUTED_VALUE"""),"Nikolay Grinko")</f>
        <v>Nikolay Grinko</v>
      </c>
      <c r="S1164" s="5" t="str">
        <f>IFERROR(__xludf.DUMMYFUNCTION("""COMPUTED_VALUE"""),"Estrela 3")</f>
        <v>Estrela 3</v>
      </c>
    </row>
    <row r="1165">
      <c r="G1165" s="5" t="str">
        <f>IFERROR(__xludf.DUMMYFUNCTION("""COMPUTED_VALUE"""),"291🤙🏼Andrei Rublev🤙🏼Nikolay Sergeev🤙🏼Estrela 4")</f>
        <v>291🤙🏼Andrei Rublev🤙🏼Nikolay Sergeev🤙🏼Estrela 4</v>
      </c>
      <c r="H1165" s="5">
        <f>IFERROR(__xludf.DUMMYFUNCTION("SPLiT(G1165, ""🤙🏼"",FALSE,FALSE)"),291.0)</f>
        <v>291</v>
      </c>
      <c r="I1165" s="5" t="str">
        <f>IFERROR(__xludf.DUMMYFUNCTION("""COMPUTED_VALUE"""),"Andrei Rublev")</f>
        <v>Andrei Rublev</v>
      </c>
      <c r="J1165" s="5" t="str">
        <f>IFERROR(__xludf.DUMMYFUNCTION("""COMPUTED_VALUE"""),"Nikolay Sergeev")</f>
        <v>Nikolay Sergeev</v>
      </c>
      <c r="K1165" s="5" t="str">
        <f>IFERROR(__xludf.DUMMYFUNCTION("""COMPUTED_VALUE"""),"Estrela 4")</f>
        <v>Estrela 4</v>
      </c>
      <c r="P1165" s="5">
        <f>IFERROR(__xludf.DUMMYFUNCTION("""COMPUTED_VALUE"""),291.0)</f>
        <v>291</v>
      </c>
      <c r="Q1165" s="5" t="str">
        <f>IFERROR(__xludf.DUMMYFUNCTION("""COMPUTED_VALUE"""),"Andrei Rublev")</f>
        <v>Andrei Rublev</v>
      </c>
      <c r="R1165" s="5" t="str">
        <f>IFERROR(__xludf.DUMMYFUNCTION("""COMPUTED_VALUE"""),"Nikolay Sergeev")</f>
        <v>Nikolay Sergeev</v>
      </c>
      <c r="S1165" s="5" t="str">
        <f>IFERROR(__xludf.DUMMYFUNCTION("""COMPUTED_VALUE"""),"Estrela 4")</f>
        <v>Estrela 4</v>
      </c>
    </row>
    <row r="1166">
      <c r="G1166" s="5" t="str">
        <f>IFERROR(__xludf.DUMMYFUNCTION("""COMPUTED_VALUE"""),"292🤙🏼La battaglia di Algeri🤙🏼Brahim Hadjadj🤙🏼Estrela 1")</f>
        <v>292🤙🏼La battaglia di Algeri🤙🏼Brahim Hadjadj🤙🏼Estrela 1</v>
      </c>
      <c r="H1166" s="5">
        <f>IFERROR(__xludf.DUMMYFUNCTION("SPLiT(G1166, ""🤙🏼"",FALSE,FALSE)"),292.0)</f>
        <v>292</v>
      </c>
      <c r="I1166" s="5" t="str">
        <f>IFERROR(__xludf.DUMMYFUNCTION("""COMPUTED_VALUE"""),"La battaglia di Algeri")</f>
        <v>La battaglia di Algeri</v>
      </c>
      <c r="J1166" s="5" t="str">
        <f>IFERROR(__xludf.DUMMYFUNCTION("""COMPUTED_VALUE"""),"Brahim Hadjadj")</f>
        <v>Brahim Hadjadj</v>
      </c>
      <c r="K1166" s="5" t="str">
        <f>IFERROR(__xludf.DUMMYFUNCTION("""COMPUTED_VALUE"""),"Estrela 1")</f>
        <v>Estrela 1</v>
      </c>
      <c r="P1166" s="5">
        <f>IFERROR(__xludf.DUMMYFUNCTION("""COMPUTED_VALUE"""),292.0)</f>
        <v>292</v>
      </c>
      <c r="Q1166" s="5" t="str">
        <f>IFERROR(__xludf.DUMMYFUNCTION("""COMPUTED_VALUE"""),"La battaglia di Algeri")</f>
        <v>La battaglia di Algeri</v>
      </c>
      <c r="R1166" s="5" t="str">
        <f>IFERROR(__xludf.DUMMYFUNCTION("""COMPUTED_VALUE"""),"Brahim Hadjadj")</f>
        <v>Brahim Hadjadj</v>
      </c>
      <c r="S1166" s="5" t="str">
        <f>IFERROR(__xludf.DUMMYFUNCTION("""COMPUTED_VALUE"""),"Estrela 1")</f>
        <v>Estrela 1</v>
      </c>
    </row>
    <row r="1167">
      <c r="G1167" s="5" t="str">
        <f>IFERROR(__xludf.DUMMYFUNCTION("""COMPUTED_VALUE"""),"292🤙🏼La battaglia di Algeri🤙🏼Jean Martin🤙🏼Estrela 2")</f>
        <v>292🤙🏼La battaglia di Algeri🤙🏼Jean Martin🤙🏼Estrela 2</v>
      </c>
      <c r="H1167" s="5">
        <f>IFERROR(__xludf.DUMMYFUNCTION("SPLiT(G1167, ""🤙🏼"",FALSE,FALSE)"),292.0)</f>
        <v>292</v>
      </c>
      <c r="I1167" s="5" t="str">
        <f>IFERROR(__xludf.DUMMYFUNCTION("""COMPUTED_VALUE"""),"La battaglia di Algeri")</f>
        <v>La battaglia di Algeri</v>
      </c>
      <c r="J1167" s="5" t="str">
        <f>IFERROR(__xludf.DUMMYFUNCTION("""COMPUTED_VALUE"""),"Jean Martin")</f>
        <v>Jean Martin</v>
      </c>
      <c r="K1167" s="5" t="str">
        <f>IFERROR(__xludf.DUMMYFUNCTION("""COMPUTED_VALUE"""),"Estrela 2")</f>
        <v>Estrela 2</v>
      </c>
      <c r="P1167" s="5">
        <f>IFERROR(__xludf.DUMMYFUNCTION("""COMPUTED_VALUE"""),292.0)</f>
        <v>292</v>
      </c>
      <c r="Q1167" s="5" t="str">
        <f>IFERROR(__xludf.DUMMYFUNCTION("""COMPUTED_VALUE"""),"La battaglia di Algeri")</f>
        <v>La battaglia di Algeri</v>
      </c>
      <c r="R1167" s="5" t="str">
        <f>IFERROR(__xludf.DUMMYFUNCTION("""COMPUTED_VALUE"""),"Jean Martin")</f>
        <v>Jean Martin</v>
      </c>
      <c r="S1167" s="5" t="str">
        <f>IFERROR(__xludf.DUMMYFUNCTION("""COMPUTED_VALUE"""),"Estrela 2")</f>
        <v>Estrela 2</v>
      </c>
    </row>
    <row r="1168">
      <c r="G1168" s="5" t="str">
        <f>IFERROR(__xludf.DUMMYFUNCTION("""COMPUTED_VALUE"""),"292🤙🏼La battaglia di Algeri🤙🏼Yacef Saadi🤙🏼Estrela 3")</f>
        <v>292🤙🏼La battaglia di Algeri🤙🏼Yacef Saadi🤙🏼Estrela 3</v>
      </c>
      <c r="H1168" s="5">
        <f>IFERROR(__xludf.DUMMYFUNCTION("SPLiT(G1168, ""🤙🏼"",FALSE,FALSE)"),292.0)</f>
        <v>292</v>
      </c>
      <c r="I1168" s="5" t="str">
        <f>IFERROR(__xludf.DUMMYFUNCTION("""COMPUTED_VALUE"""),"La battaglia di Algeri")</f>
        <v>La battaglia di Algeri</v>
      </c>
      <c r="J1168" s="5" t="str">
        <f>IFERROR(__xludf.DUMMYFUNCTION("""COMPUTED_VALUE"""),"Yacef Saadi")</f>
        <v>Yacef Saadi</v>
      </c>
      <c r="K1168" s="5" t="str">
        <f>IFERROR(__xludf.DUMMYFUNCTION("""COMPUTED_VALUE"""),"Estrela 3")</f>
        <v>Estrela 3</v>
      </c>
      <c r="P1168" s="5">
        <f>IFERROR(__xludf.DUMMYFUNCTION("""COMPUTED_VALUE"""),292.0)</f>
        <v>292</v>
      </c>
      <c r="Q1168" s="5" t="str">
        <f>IFERROR(__xludf.DUMMYFUNCTION("""COMPUTED_VALUE"""),"La battaglia di Algeri")</f>
        <v>La battaglia di Algeri</v>
      </c>
      <c r="R1168" s="5" t="str">
        <f>IFERROR(__xludf.DUMMYFUNCTION("""COMPUTED_VALUE"""),"Yacef Saadi")</f>
        <v>Yacef Saadi</v>
      </c>
      <c r="S1168" s="5" t="str">
        <f>IFERROR(__xludf.DUMMYFUNCTION("""COMPUTED_VALUE"""),"Estrela 3")</f>
        <v>Estrela 3</v>
      </c>
    </row>
    <row r="1169">
      <c r="G1169" s="5" t="str">
        <f>IFERROR(__xludf.DUMMYFUNCTION("""COMPUTED_VALUE"""),"292🤙🏼La battaglia di Algeri🤙🏼Samia Kerbash🤙🏼Estrela 4")</f>
        <v>292🤙🏼La battaglia di Algeri🤙🏼Samia Kerbash🤙🏼Estrela 4</v>
      </c>
      <c r="H1169" s="5">
        <f>IFERROR(__xludf.DUMMYFUNCTION("SPLiT(G1169, ""🤙🏼"",FALSE,FALSE)"),292.0)</f>
        <v>292</v>
      </c>
      <c r="I1169" s="5" t="str">
        <f>IFERROR(__xludf.DUMMYFUNCTION("""COMPUTED_VALUE"""),"La battaglia di Algeri")</f>
        <v>La battaglia di Algeri</v>
      </c>
      <c r="J1169" s="5" t="str">
        <f>IFERROR(__xludf.DUMMYFUNCTION("""COMPUTED_VALUE"""),"Samia Kerbash")</f>
        <v>Samia Kerbash</v>
      </c>
      <c r="K1169" s="5" t="str">
        <f>IFERROR(__xludf.DUMMYFUNCTION("""COMPUTED_VALUE"""),"Estrela 4")</f>
        <v>Estrela 4</v>
      </c>
      <c r="P1169" s="5">
        <f>IFERROR(__xludf.DUMMYFUNCTION("""COMPUTED_VALUE"""),292.0)</f>
        <v>292</v>
      </c>
      <c r="Q1169" s="5" t="str">
        <f>IFERROR(__xludf.DUMMYFUNCTION("""COMPUTED_VALUE"""),"La battaglia di Algeri")</f>
        <v>La battaglia di Algeri</v>
      </c>
      <c r="R1169" s="5" t="str">
        <f>IFERROR(__xludf.DUMMYFUNCTION("""COMPUTED_VALUE"""),"Samia Kerbash")</f>
        <v>Samia Kerbash</v>
      </c>
      <c r="S1169" s="5" t="str">
        <f>IFERROR(__xludf.DUMMYFUNCTION("""COMPUTED_VALUE"""),"Estrela 4")</f>
        <v>Estrela 4</v>
      </c>
    </row>
    <row r="1170">
      <c r="G1170" s="5" t="str">
        <f>IFERROR(__xludf.DUMMYFUNCTION("""COMPUTED_VALUE"""),"293🤙🏼El ángel exterminador🤙🏼Silvia Pinal🤙🏼Estrela 1")</f>
        <v>293🤙🏼El ángel exterminador🤙🏼Silvia Pinal🤙🏼Estrela 1</v>
      </c>
      <c r="H1170" s="5">
        <f>IFERROR(__xludf.DUMMYFUNCTION("SPLiT(G1170, ""🤙🏼"",FALSE,FALSE)"),293.0)</f>
        <v>293</v>
      </c>
      <c r="I1170" s="5" t="str">
        <f>IFERROR(__xludf.DUMMYFUNCTION("""COMPUTED_VALUE"""),"El ángel exterminador")</f>
        <v>El ángel exterminador</v>
      </c>
      <c r="J1170" s="5" t="str">
        <f>IFERROR(__xludf.DUMMYFUNCTION("""COMPUTED_VALUE"""),"Silvia Pinal")</f>
        <v>Silvia Pinal</v>
      </c>
      <c r="K1170" s="5" t="str">
        <f>IFERROR(__xludf.DUMMYFUNCTION("""COMPUTED_VALUE"""),"Estrela 1")</f>
        <v>Estrela 1</v>
      </c>
      <c r="P1170" s="5">
        <f>IFERROR(__xludf.DUMMYFUNCTION("""COMPUTED_VALUE"""),293.0)</f>
        <v>293</v>
      </c>
      <c r="Q1170" s="5" t="str">
        <f>IFERROR(__xludf.DUMMYFUNCTION("""COMPUTED_VALUE"""),"El ángel exterminador")</f>
        <v>El ángel exterminador</v>
      </c>
      <c r="R1170" s="5" t="str">
        <f>IFERROR(__xludf.DUMMYFUNCTION("""COMPUTED_VALUE"""),"Silvia Pinal")</f>
        <v>Silvia Pinal</v>
      </c>
      <c r="S1170" s="5" t="str">
        <f>IFERROR(__xludf.DUMMYFUNCTION("""COMPUTED_VALUE"""),"Estrela 1")</f>
        <v>Estrela 1</v>
      </c>
    </row>
    <row r="1171">
      <c r="G1171" s="5" t="str">
        <f>IFERROR(__xludf.DUMMYFUNCTION("""COMPUTED_VALUE"""),"293🤙🏼El ángel exterminador🤙🏼Jacqueline Andere🤙🏼Estrela 2")</f>
        <v>293🤙🏼El ángel exterminador🤙🏼Jacqueline Andere🤙🏼Estrela 2</v>
      </c>
      <c r="H1171" s="5">
        <f>IFERROR(__xludf.DUMMYFUNCTION("SPLiT(G1171, ""🤙🏼"",FALSE,FALSE)"),293.0)</f>
        <v>293</v>
      </c>
      <c r="I1171" s="5" t="str">
        <f>IFERROR(__xludf.DUMMYFUNCTION("""COMPUTED_VALUE"""),"El ángel exterminador")</f>
        <v>El ángel exterminador</v>
      </c>
      <c r="J1171" s="5" t="str">
        <f>IFERROR(__xludf.DUMMYFUNCTION("""COMPUTED_VALUE"""),"Jacqueline Andere")</f>
        <v>Jacqueline Andere</v>
      </c>
      <c r="K1171" s="5" t="str">
        <f>IFERROR(__xludf.DUMMYFUNCTION("""COMPUTED_VALUE"""),"Estrela 2")</f>
        <v>Estrela 2</v>
      </c>
      <c r="P1171" s="5">
        <f>IFERROR(__xludf.DUMMYFUNCTION("""COMPUTED_VALUE"""),293.0)</f>
        <v>293</v>
      </c>
      <c r="Q1171" s="5" t="str">
        <f>IFERROR(__xludf.DUMMYFUNCTION("""COMPUTED_VALUE"""),"El ángel exterminador")</f>
        <v>El ángel exterminador</v>
      </c>
      <c r="R1171" s="5" t="str">
        <f>IFERROR(__xludf.DUMMYFUNCTION("""COMPUTED_VALUE"""),"Jacqueline Andere")</f>
        <v>Jacqueline Andere</v>
      </c>
      <c r="S1171" s="5" t="str">
        <f>IFERROR(__xludf.DUMMYFUNCTION("""COMPUTED_VALUE"""),"Estrela 2")</f>
        <v>Estrela 2</v>
      </c>
    </row>
    <row r="1172">
      <c r="G1172" s="5" t="str">
        <f>IFERROR(__xludf.DUMMYFUNCTION("""COMPUTED_VALUE"""),"293🤙🏼El ángel exterminador🤙🏼Enrique Rambal🤙🏼Estrela 3")</f>
        <v>293🤙🏼El ángel exterminador🤙🏼Enrique Rambal🤙🏼Estrela 3</v>
      </c>
      <c r="H1172" s="5">
        <f>IFERROR(__xludf.DUMMYFUNCTION("SPLiT(G1172, ""🤙🏼"",FALSE,FALSE)"),293.0)</f>
        <v>293</v>
      </c>
      <c r="I1172" s="5" t="str">
        <f>IFERROR(__xludf.DUMMYFUNCTION("""COMPUTED_VALUE"""),"El ángel exterminador")</f>
        <v>El ángel exterminador</v>
      </c>
      <c r="J1172" s="5" t="str">
        <f>IFERROR(__xludf.DUMMYFUNCTION("""COMPUTED_VALUE"""),"Enrique Rambal")</f>
        <v>Enrique Rambal</v>
      </c>
      <c r="K1172" s="5" t="str">
        <f>IFERROR(__xludf.DUMMYFUNCTION("""COMPUTED_VALUE"""),"Estrela 3")</f>
        <v>Estrela 3</v>
      </c>
      <c r="P1172" s="5">
        <f>IFERROR(__xludf.DUMMYFUNCTION("""COMPUTED_VALUE"""),293.0)</f>
        <v>293</v>
      </c>
      <c r="Q1172" s="5" t="str">
        <f>IFERROR(__xludf.DUMMYFUNCTION("""COMPUTED_VALUE"""),"El ángel exterminador")</f>
        <v>El ángel exterminador</v>
      </c>
      <c r="R1172" s="5" t="str">
        <f>IFERROR(__xludf.DUMMYFUNCTION("""COMPUTED_VALUE"""),"Enrique Rambal")</f>
        <v>Enrique Rambal</v>
      </c>
      <c r="S1172" s="5" t="str">
        <f>IFERROR(__xludf.DUMMYFUNCTION("""COMPUTED_VALUE"""),"Estrela 3")</f>
        <v>Estrela 3</v>
      </c>
    </row>
    <row r="1173">
      <c r="G1173" s="5" t="str">
        <f>IFERROR(__xludf.DUMMYFUNCTION("""COMPUTED_VALUE"""),"293🤙🏼El ángel exterminador🤙🏼José Baviera🤙🏼Estrela 4")</f>
        <v>293🤙🏼El ángel exterminador🤙🏼José Baviera🤙🏼Estrela 4</v>
      </c>
      <c r="H1173" s="5">
        <f>IFERROR(__xludf.DUMMYFUNCTION("SPLiT(G1173, ""🤙🏼"",FALSE,FALSE)"),293.0)</f>
        <v>293</v>
      </c>
      <c r="I1173" s="5" t="str">
        <f>IFERROR(__xludf.DUMMYFUNCTION("""COMPUTED_VALUE"""),"El ángel exterminador")</f>
        <v>El ángel exterminador</v>
      </c>
      <c r="J1173" s="5" t="str">
        <f>IFERROR(__xludf.DUMMYFUNCTION("""COMPUTED_VALUE"""),"José Baviera")</f>
        <v>José Baviera</v>
      </c>
      <c r="K1173" s="5" t="str">
        <f>IFERROR(__xludf.DUMMYFUNCTION("""COMPUTED_VALUE"""),"Estrela 4")</f>
        <v>Estrela 4</v>
      </c>
      <c r="P1173" s="5">
        <f>IFERROR(__xludf.DUMMYFUNCTION("""COMPUTED_VALUE"""),293.0)</f>
        <v>293</v>
      </c>
      <c r="Q1173" s="5" t="str">
        <f>IFERROR(__xludf.DUMMYFUNCTION("""COMPUTED_VALUE"""),"El ángel exterminador")</f>
        <v>El ángel exterminador</v>
      </c>
      <c r="R1173" s="5" t="str">
        <f>IFERROR(__xludf.DUMMYFUNCTION("""COMPUTED_VALUE"""),"José Baviera")</f>
        <v>José Baviera</v>
      </c>
      <c r="S1173" s="5" t="str">
        <f>IFERROR(__xludf.DUMMYFUNCTION("""COMPUTED_VALUE"""),"Estrela 4")</f>
        <v>Estrela 4</v>
      </c>
    </row>
    <row r="1174">
      <c r="G1174" s="5" t="str">
        <f>IFERROR(__xludf.DUMMYFUNCTION("""COMPUTED_VALUE"""),"294🤙🏼What Ever Happened to Baby Jane?🤙🏼Bette Davis🤙🏼Estrela 1")</f>
        <v>294🤙🏼What Ever Happened to Baby Jane?🤙🏼Bette Davis🤙🏼Estrela 1</v>
      </c>
      <c r="H1174" s="5">
        <f>IFERROR(__xludf.DUMMYFUNCTION("SPLiT(G1174, ""🤙🏼"",FALSE,FALSE)"),294.0)</f>
        <v>294</v>
      </c>
      <c r="I1174" s="5" t="str">
        <f>IFERROR(__xludf.DUMMYFUNCTION("""COMPUTED_VALUE"""),"What Ever Happened to Baby Jane?")</f>
        <v>What Ever Happened to Baby Jane?</v>
      </c>
      <c r="J1174" s="5" t="str">
        <f>IFERROR(__xludf.DUMMYFUNCTION("""COMPUTED_VALUE"""),"Bette Davis")</f>
        <v>Bette Davis</v>
      </c>
      <c r="K1174" s="5" t="str">
        <f>IFERROR(__xludf.DUMMYFUNCTION("""COMPUTED_VALUE"""),"Estrela 1")</f>
        <v>Estrela 1</v>
      </c>
      <c r="P1174" s="5">
        <f>IFERROR(__xludf.DUMMYFUNCTION("""COMPUTED_VALUE"""),294.0)</f>
        <v>294</v>
      </c>
      <c r="Q1174" s="5" t="str">
        <f>IFERROR(__xludf.DUMMYFUNCTION("""COMPUTED_VALUE"""),"What Ever Happened to Baby Jane?")</f>
        <v>What Ever Happened to Baby Jane?</v>
      </c>
      <c r="R1174" s="5" t="str">
        <f>IFERROR(__xludf.DUMMYFUNCTION("""COMPUTED_VALUE"""),"Bette Davis")</f>
        <v>Bette Davis</v>
      </c>
      <c r="S1174" s="5" t="str">
        <f>IFERROR(__xludf.DUMMYFUNCTION("""COMPUTED_VALUE"""),"Estrela 1")</f>
        <v>Estrela 1</v>
      </c>
    </row>
    <row r="1175">
      <c r="G1175" s="5" t="str">
        <f>IFERROR(__xludf.DUMMYFUNCTION("""COMPUTED_VALUE"""),"294🤙🏼What Ever Happened to Baby Jane?🤙🏼Joan Crawford🤙🏼Estrela 2")</f>
        <v>294🤙🏼What Ever Happened to Baby Jane?🤙🏼Joan Crawford🤙🏼Estrela 2</v>
      </c>
      <c r="H1175" s="5">
        <f>IFERROR(__xludf.DUMMYFUNCTION("SPLiT(G1175, ""🤙🏼"",FALSE,FALSE)"),294.0)</f>
        <v>294</v>
      </c>
      <c r="I1175" s="5" t="str">
        <f>IFERROR(__xludf.DUMMYFUNCTION("""COMPUTED_VALUE"""),"What Ever Happened to Baby Jane?")</f>
        <v>What Ever Happened to Baby Jane?</v>
      </c>
      <c r="J1175" s="5" t="str">
        <f>IFERROR(__xludf.DUMMYFUNCTION("""COMPUTED_VALUE"""),"Joan Crawford")</f>
        <v>Joan Crawford</v>
      </c>
      <c r="K1175" s="5" t="str">
        <f>IFERROR(__xludf.DUMMYFUNCTION("""COMPUTED_VALUE"""),"Estrela 2")</f>
        <v>Estrela 2</v>
      </c>
      <c r="P1175" s="5">
        <f>IFERROR(__xludf.DUMMYFUNCTION("""COMPUTED_VALUE"""),294.0)</f>
        <v>294</v>
      </c>
      <c r="Q1175" s="5" t="str">
        <f>IFERROR(__xludf.DUMMYFUNCTION("""COMPUTED_VALUE"""),"What Ever Happened to Baby Jane?")</f>
        <v>What Ever Happened to Baby Jane?</v>
      </c>
      <c r="R1175" s="5" t="str">
        <f>IFERROR(__xludf.DUMMYFUNCTION("""COMPUTED_VALUE"""),"Joan Crawford")</f>
        <v>Joan Crawford</v>
      </c>
      <c r="S1175" s="5" t="str">
        <f>IFERROR(__xludf.DUMMYFUNCTION("""COMPUTED_VALUE"""),"Estrela 2")</f>
        <v>Estrela 2</v>
      </c>
    </row>
    <row r="1176">
      <c r="G1176" s="5" t="str">
        <f>IFERROR(__xludf.DUMMYFUNCTION("""COMPUTED_VALUE"""),"294🤙🏼What Ever Happened to Baby Jane?🤙🏼Victor Buono🤙🏼Estrela 3")</f>
        <v>294🤙🏼What Ever Happened to Baby Jane?🤙🏼Victor Buono🤙🏼Estrela 3</v>
      </c>
      <c r="H1176" s="5">
        <f>IFERROR(__xludf.DUMMYFUNCTION("SPLiT(G1176, ""🤙🏼"",FALSE,FALSE)"),294.0)</f>
        <v>294</v>
      </c>
      <c r="I1176" s="5" t="str">
        <f>IFERROR(__xludf.DUMMYFUNCTION("""COMPUTED_VALUE"""),"What Ever Happened to Baby Jane?")</f>
        <v>What Ever Happened to Baby Jane?</v>
      </c>
      <c r="J1176" s="5" t="str">
        <f>IFERROR(__xludf.DUMMYFUNCTION("""COMPUTED_VALUE"""),"Victor Buono")</f>
        <v>Victor Buono</v>
      </c>
      <c r="K1176" s="5" t="str">
        <f>IFERROR(__xludf.DUMMYFUNCTION("""COMPUTED_VALUE"""),"Estrela 3")</f>
        <v>Estrela 3</v>
      </c>
      <c r="P1176" s="5">
        <f>IFERROR(__xludf.DUMMYFUNCTION("""COMPUTED_VALUE"""),294.0)</f>
        <v>294</v>
      </c>
      <c r="Q1176" s="5" t="str">
        <f>IFERROR(__xludf.DUMMYFUNCTION("""COMPUTED_VALUE"""),"What Ever Happened to Baby Jane?")</f>
        <v>What Ever Happened to Baby Jane?</v>
      </c>
      <c r="R1176" s="5" t="str">
        <f>IFERROR(__xludf.DUMMYFUNCTION("""COMPUTED_VALUE"""),"Victor Buono")</f>
        <v>Victor Buono</v>
      </c>
      <c r="S1176" s="5" t="str">
        <f>IFERROR(__xludf.DUMMYFUNCTION("""COMPUTED_VALUE"""),"Estrela 3")</f>
        <v>Estrela 3</v>
      </c>
    </row>
    <row r="1177">
      <c r="G1177" s="5" t="str">
        <f>IFERROR(__xludf.DUMMYFUNCTION("""COMPUTED_VALUE"""),"294🤙🏼What Ever Happened to Baby Jane?🤙🏼Wesley Addy🤙🏼Estrela 4")</f>
        <v>294🤙🏼What Ever Happened to Baby Jane?🤙🏼Wesley Addy🤙🏼Estrela 4</v>
      </c>
      <c r="H1177" s="5">
        <f>IFERROR(__xludf.DUMMYFUNCTION("SPLiT(G1177, ""🤙🏼"",FALSE,FALSE)"),294.0)</f>
        <v>294</v>
      </c>
      <c r="I1177" s="5" t="str">
        <f>IFERROR(__xludf.DUMMYFUNCTION("""COMPUTED_VALUE"""),"What Ever Happened to Baby Jane?")</f>
        <v>What Ever Happened to Baby Jane?</v>
      </c>
      <c r="J1177" s="5" t="str">
        <f>IFERROR(__xludf.DUMMYFUNCTION("""COMPUTED_VALUE"""),"Wesley Addy")</f>
        <v>Wesley Addy</v>
      </c>
      <c r="K1177" s="5" t="str">
        <f>IFERROR(__xludf.DUMMYFUNCTION("""COMPUTED_VALUE"""),"Estrela 4")</f>
        <v>Estrela 4</v>
      </c>
      <c r="P1177" s="5">
        <f>IFERROR(__xludf.DUMMYFUNCTION("""COMPUTED_VALUE"""),294.0)</f>
        <v>294</v>
      </c>
      <c r="Q1177" s="5" t="str">
        <f>IFERROR(__xludf.DUMMYFUNCTION("""COMPUTED_VALUE"""),"What Ever Happened to Baby Jane?")</f>
        <v>What Ever Happened to Baby Jane?</v>
      </c>
      <c r="R1177" s="5" t="str">
        <f>IFERROR(__xludf.DUMMYFUNCTION("""COMPUTED_VALUE"""),"Wesley Addy")</f>
        <v>Wesley Addy</v>
      </c>
      <c r="S1177" s="5" t="str">
        <f>IFERROR(__xludf.DUMMYFUNCTION("""COMPUTED_VALUE"""),"Estrela 4")</f>
        <v>Estrela 4</v>
      </c>
    </row>
    <row r="1178">
      <c r="G1178" s="5" t="str">
        <f>IFERROR(__xludf.DUMMYFUNCTION("""COMPUTED_VALUE"""),"295🤙🏼Sanjuro🤙🏼Toshirô Mifune🤙🏼Estrela 1")</f>
        <v>295🤙🏼Sanjuro🤙🏼Toshirô Mifune🤙🏼Estrela 1</v>
      </c>
      <c r="H1178" s="5">
        <f>IFERROR(__xludf.DUMMYFUNCTION("SPLiT(G1178, ""🤙🏼"",FALSE,FALSE)"),295.0)</f>
        <v>295</v>
      </c>
      <c r="I1178" s="5" t="str">
        <f>IFERROR(__xludf.DUMMYFUNCTION("""COMPUTED_VALUE"""),"Sanjuro")</f>
        <v>Sanjuro</v>
      </c>
      <c r="J1178" s="5" t="str">
        <f>IFERROR(__xludf.DUMMYFUNCTION("""COMPUTED_VALUE"""),"Toshirô Mifune")</f>
        <v>Toshirô Mifune</v>
      </c>
      <c r="K1178" s="5" t="str">
        <f>IFERROR(__xludf.DUMMYFUNCTION("""COMPUTED_VALUE"""),"Estrela 1")</f>
        <v>Estrela 1</v>
      </c>
      <c r="P1178" s="5">
        <f>IFERROR(__xludf.DUMMYFUNCTION("""COMPUTED_VALUE"""),295.0)</f>
        <v>295</v>
      </c>
      <c r="Q1178" s="5" t="str">
        <f>IFERROR(__xludf.DUMMYFUNCTION("""COMPUTED_VALUE"""),"Sanjuro")</f>
        <v>Sanjuro</v>
      </c>
      <c r="R1178" s="5" t="str">
        <f>IFERROR(__xludf.DUMMYFUNCTION("""COMPUTED_VALUE"""),"Toshirô Mifune")</f>
        <v>Toshirô Mifune</v>
      </c>
      <c r="S1178" s="5" t="str">
        <f>IFERROR(__xludf.DUMMYFUNCTION("""COMPUTED_VALUE"""),"Estrela 1")</f>
        <v>Estrela 1</v>
      </c>
    </row>
    <row r="1179">
      <c r="G1179" s="5" t="str">
        <f>IFERROR(__xludf.DUMMYFUNCTION("""COMPUTED_VALUE"""),"295🤙🏼Sanjuro🤙🏼Tatsuya Nakadai🤙🏼Estrela 2")</f>
        <v>295🤙🏼Sanjuro🤙🏼Tatsuya Nakadai🤙🏼Estrela 2</v>
      </c>
      <c r="H1179" s="5">
        <f>IFERROR(__xludf.DUMMYFUNCTION("SPLiT(G1179, ""🤙🏼"",FALSE,FALSE)"),295.0)</f>
        <v>295</v>
      </c>
      <c r="I1179" s="5" t="str">
        <f>IFERROR(__xludf.DUMMYFUNCTION("""COMPUTED_VALUE"""),"Sanjuro")</f>
        <v>Sanjuro</v>
      </c>
      <c r="J1179" s="5" t="str">
        <f>IFERROR(__xludf.DUMMYFUNCTION("""COMPUTED_VALUE"""),"Tatsuya Nakadai")</f>
        <v>Tatsuya Nakadai</v>
      </c>
      <c r="K1179" s="5" t="str">
        <f>IFERROR(__xludf.DUMMYFUNCTION("""COMPUTED_VALUE"""),"Estrela 2")</f>
        <v>Estrela 2</v>
      </c>
      <c r="P1179" s="5">
        <f>IFERROR(__xludf.DUMMYFUNCTION("""COMPUTED_VALUE"""),295.0)</f>
        <v>295</v>
      </c>
      <c r="Q1179" s="5" t="str">
        <f>IFERROR(__xludf.DUMMYFUNCTION("""COMPUTED_VALUE"""),"Sanjuro")</f>
        <v>Sanjuro</v>
      </c>
      <c r="R1179" s="5" t="str">
        <f>IFERROR(__xludf.DUMMYFUNCTION("""COMPUTED_VALUE"""),"Tatsuya Nakadai")</f>
        <v>Tatsuya Nakadai</v>
      </c>
      <c r="S1179" s="5" t="str">
        <f>IFERROR(__xludf.DUMMYFUNCTION("""COMPUTED_VALUE"""),"Estrela 2")</f>
        <v>Estrela 2</v>
      </c>
    </row>
    <row r="1180">
      <c r="G1180" s="5" t="str">
        <f>IFERROR(__xludf.DUMMYFUNCTION("""COMPUTED_VALUE"""),"295🤙🏼Sanjuro🤙🏼Keiju Kobayashi🤙🏼Estrela 3")</f>
        <v>295🤙🏼Sanjuro🤙🏼Keiju Kobayashi🤙🏼Estrela 3</v>
      </c>
      <c r="H1180" s="5">
        <f>IFERROR(__xludf.DUMMYFUNCTION("SPLiT(G1180, ""🤙🏼"",FALSE,FALSE)"),295.0)</f>
        <v>295</v>
      </c>
      <c r="I1180" s="5" t="str">
        <f>IFERROR(__xludf.DUMMYFUNCTION("""COMPUTED_VALUE"""),"Sanjuro")</f>
        <v>Sanjuro</v>
      </c>
      <c r="J1180" s="5" t="str">
        <f>IFERROR(__xludf.DUMMYFUNCTION("""COMPUTED_VALUE"""),"Keiju Kobayashi")</f>
        <v>Keiju Kobayashi</v>
      </c>
      <c r="K1180" s="5" t="str">
        <f>IFERROR(__xludf.DUMMYFUNCTION("""COMPUTED_VALUE"""),"Estrela 3")</f>
        <v>Estrela 3</v>
      </c>
      <c r="P1180" s="5">
        <f>IFERROR(__xludf.DUMMYFUNCTION("""COMPUTED_VALUE"""),295.0)</f>
        <v>295</v>
      </c>
      <c r="Q1180" s="5" t="str">
        <f>IFERROR(__xludf.DUMMYFUNCTION("""COMPUTED_VALUE"""),"Sanjuro")</f>
        <v>Sanjuro</v>
      </c>
      <c r="R1180" s="5" t="str">
        <f>IFERROR(__xludf.DUMMYFUNCTION("""COMPUTED_VALUE"""),"Keiju Kobayashi")</f>
        <v>Keiju Kobayashi</v>
      </c>
      <c r="S1180" s="5" t="str">
        <f>IFERROR(__xludf.DUMMYFUNCTION("""COMPUTED_VALUE"""),"Estrela 3")</f>
        <v>Estrela 3</v>
      </c>
    </row>
    <row r="1181">
      <c r="G1181" s="5" t="str">
        <f>IFERROR(__xludf.DUMMYFUNCTION("""COMPUTED_VALUE"""),"295🤙🏼Sanjuro🤙🏼Yûnosuke Itô🤙🏼Estrela 4")</f>
        <v>295🤙🏼Sanjuro🤙🏼Yûnosuke Itô🤙🏼Estrela 4</v>
      </c>
      <c r="H1181" s="5">
        <f>IFERROR(__xludf.DUMMYFUNCTION("SPLiT(G1181, ""🤙🏼"",FALSE,FALSE)"),295.0)</f>
        <v>295</v>
      </c>
      <c r="I1181" s="5" t="str">
        <f>IFERROR(__xludf.DUMMYFUNCTION("""COMPUTED_VALUE"""),"Sanjuro")</f>
        <v>Sanjuro</v>
      </c>
      <c r="J1181" s="5" t="str">
        <f>IFERROR(__xludf.DUMMYFUNCTION("""COMPUTED_VALUE"""),"Yûnosuke Itô")</f>
        <v>Yûnosuke Itô</v>
      </c>
      <c r="K1181" s="5" t="str">
        <f>IFERROR(__xludf.DUMMYFUNCTION("""COMPUTED_VALUE"""),"Estrela 4")</f>
        <v>Estrela 4</v>
      </c>
      <c r="P1181" s="5">
        <f>IFERROR(__xludf.DUMMYFUNCTION("""COMPUTED_VALUE"""),295.0)</f>
        <v>295</v>
      </c>
      <c r="Q1181" s="5" t="str">
        <f>IFERROR(__xludf.DUMMYFUNCTION("""COMPUTED_VALUE"""),"Sanjuro")</f>
        <v>Sanjuro</v>
      </c>
      <c r="R1181" s="5" t="str">
        <f>IFERROR(__xludf.DUMMYFUNCTION("""COMPUTED_VALUE"""),"Yûnosuke Itô")</f>
        <v>Yûnosuke Itô</v>
      </c>
      <c r="S1181" s="5" t="str">
        <f>IFERROR(__xludf.DUMMYFUNCTION("""COMPUTED_VALUE"""),"Estrela 4")</f>
        <v>Estrela 4</v>
      </c>
    </row>
    <row r="1182">
      <c r="G1182" s="5" t="str">
        <f>IFERROR(__xludf.DUMMYFUNCTION("""COMPUTED_VALUE"""),"296🤙🏼The Man Who Shot Liberty Valance🤙🏼James Stewart🤙🏼Estrela 1")</f>
        <v>296🤙🏼The Man Who Shot Liberty Valance🤙🏼James Stewart🤙🏼Estrela 1</v>
      </c>
      <c r="H1182" s="5">
        <f>IFERROR(__xludf.DUMMYFUNCTION("SPLiT(G1182, ""🤙🏼"",FALSE,FALSE)"),296.0)</f>
        <v>296</v>
      </c>
      <c r="I1182" s="5" t="str">
        <f>IFERROR(__xludf.DUMMYFUNCTION("""COMPUTED_VALUE"""),"The Man Who Shot Liberty Valance")</f>
        <v>The Man Who Shot Liberty Valance</v>
      </c>
      <c r="J1182" s="5" t="str">
        <f>IFERROR(__xludf.DUMMYFUNCTION("""COMPUTED_VALUE"""),"James Stewart")</f>
        <v>James Stewart</v>
      </c>
      <c r="K1182" s="5" t="str">
        <f>IFERROR(__xludf.DUMMYFUNCTION("""COMPUTED_VALUE"""),"Estrela 1")</f>
        <v>Estrela 1</v>
      </c>
      <c r="P1182" s="5">
        <f>IFERROR(__xludf.DUMMYFUNCTION("""COMPUTED_VALUE"""),296.0)</f>
        <v>296</v>
      </c>
      <c r="Q1182" s="5" t="str">
        <f>IFERROR(__xludf.DUMMYFUNCTION("""COMPUTED_VALUE"""),"The Man Who Shot Liberty Valance")</f>
        <v>The Man Who Shot Liberty Valance</v>
      </c>
      <c r="R1182" s="5" t="str">
        <f>IFERROR(__xludf.DUMMYFUNCTION("""COMPUTED_VALUE"""),"James Stewart")</f>
        <v>James Stewart</v>
      </c>
      <c r="S1182" s="5" t="str">
        <f>IFERROR(__xludf.DUMMYFUNCTION("""COMPUTED_VALUE"""),"Estrela 1")</f>
        <v>Estrela 1</v>
      </c>
    </row>
    <row r="1183">
      <c r="G1183" s="5" t="str">
        <f>IFERROR(__xludf.DUMMYFUNCTION("""COMPUTED_VALUE"""),"296🤙🏼The Man Who Shot Liberty Valance🤙🏼John Wayne🤙🏼Estrela 2")</f>
        <v>296🤙🏼The Man Who Shot Liberty Valance🤙🏼John Wayne🤙🏼Estrela 2</v>
      </c>
      <c r="H1183" s="5">
        <f>IFERROR(__xludf.DUMMYFUNCTION("SPLiT(G1183, ""🤙🏼"",FALSE,FALSE)"),296.0)</f>
        <v>296</v>
      </c>
      <c r="I1183" s="5" t="str">
        <f>IFERROR(__xludf.DUMMYFUNCTION("""COMPUTED_VALUE"""),"The Man Who Shot Liberty Valance")</f>
        <v>The Man Who Shot Liberty Valance</v>
      </c>
      <c r="J1183" s="5" t="str">
        <f>IFERROR(__xludf.DUMMYFUNCTION("""COMPUTED_VALUE"""),"John Wayne")</f>
        <v>John Wayne</v>
      </c>
      <c r="K1183" s="5" t="str">
        <f>IFERROR(__xludf.DUMMYFUNCTION("""COMPUTED_VALUE"""),"Estrela 2")</f>
        <v>Estrela 2</v>
      </c>
      <c r="P1183" s="5">
        <f>IFERROR(__xludf.DUMMYFUNCTION("""COMPUTED_VALUE"""),296.0)</f>
        <v>296</v>
      </c>
      <c r="Q1183" s="5" t="str">
        <f>IFERROR(__xludf.DUMMYFUNCTION("""COMPUTED_VALUE"""),"The Man Who Shot Liberty Valance")</f>
        <v>The Man Who Shot Liberty Valance</v>
      </c>
      <c r="R1183" s="5" t="str">
        <f>IFERROR(__xludf.DUMMYFUNCTION("""COMPUTED_VALUE"""),"John Wayne")</f>
        <v>John Wayne</v>
      </c>
      <c r="S1183" s="5" t="str">
        <f>IFERROR(__xludf.DUMMYFUNCTION("""COMPUTED_VALUE"""),"Estrela 2")</f>
        <v>Estrela 2</v>
      </c>
    </row>
    <row r="1184">
      <c r="G1184" s="5" t="str">
        <f>IFERROR(__xludf.DUMMYFUNCTION("""COMPUTED_VALUE"""),"296🤙🏼The Man Who Shot Liberty Valance🤙🏼Vera Miles🤙🏼Estrela 3")</f>
        <v>296🤙🏼The Man Who Shot Liberty Valance🤙🏼Vera Miles🤙🏼Estrela 3</v>
      </c>
      <c r="H1184" s="5">
        <f>IFERROR(__xludf.DUMMYFUNCTION("SPLiT(G1184, ""🤙🏼"",FALSE,FALSE)"),296.0)</f>
        <v>296</v>
      </c>
      <c r="I1184" s="5" t="str">
        <f>IFERROR(__xludf.DUMMYFUNCTION("""COMPUTED_VALUE"""),"The Man Who Shot Liberty Valance")</f>
        <v>The Man Who Shot Liberty Valance</v>
      </c>
      <c r="J1184" s="5" t="str">
        <f>IFERROR(__xludf.DUMMYFUNCTION("""COMPUTED_VALUE"""),"Vera Miles")</f>
        <v>Vera Miles</v>
      </c>
      <c r="K1184" s="5" t="str">
        <f>IFERROR(__xludf.DUMMYFUNCTION("""COMPUTED_VALUE"""),"Estrela 3")</f>
        <v>Estrela 3</v>
      </c>
      <c r="P1184" s="5">
        <f>IFERROR(__xludf.DUMMYFUNCTION("""COMPUTED_VALUE"""),296.0)</f>
        <v>296</v>
      </c>
      <c r="Q1184" s="5" t="str">
        <f>IFERROR(__xludf.DUMMYFUNCTION("""COMPUTED_VALUE"""),"The Man Who Shot Liberty Valance")</f>
        <v>The Man Who Shot Liberty Valance</v>
      </c>
      <c r="R1184" s="5" t="str">
        <f>IFERROR(__xludf.DUMMYFUNCTION("""COMPUTED_VALUE"""),"Vera Miles")</f>
        <v>Vera Miles</v>
      </c>
      <c r="S1184" s="5" t="str">
        <f>IFERROR(__xludf.DUMMYFUNCTION("""COMPUTED_VALUE"""),"Estrela 3")</f>
        <v>Estrela 3</v>
      </c>
    </row>
    <row r="1185">
      <c r="G1185" s="5" t="str">
        <f>IFERROR(__xludf.DUMMYFUNCTION("""COMPUTED_VALUE"""),"296🤙🏼The Man Who Shot Liberty Valance🤙🏼Lee Marvin🤙🏼Estrela 4")</f>
        <v>296🤙🏼The Man Who Shot Liberty Valance🤙🏼Lee Marvin🤙🏼Estrela 4</v>
      </c>
      <c r="H1185" s="5">
        <f>IFERROR(__xludf.DUMMYFUNCTION("SPLiT(G1185, ""🤙🏼"",FALSE,FALSE)"),296.0)</f>
        <v>296</v>
      </c>
      <c r="I1185" s="5" t="str">
        <f>IFERROR(__xludf.DUMMYFUNCTION("""COMPUTED_VALUE"""),"The Man Who Shot Liberty Valance")</f>
        <v>The Man Who Shot Liberty Valance</v>
      </c>
      <c r="J1185" s="5" t="str">
        <f>IFERROR(__xludf.DUMMYFUNCTION("""COMPUTED_VALUE"""),"Lee Marvin")</f>
        <v>Lee Marvin</v>
      </c>
      <c r="K1185" s="5" t="str">
        <f>IFERROR(__xludf.DUMMYFUNCTION("""COMPUTED_VALUE"""),"Estrela 4")</f>
        <v>Estrela 4</v>
      </c>
      <c r="P1185" s="5">
        <f>IFERROR(__xludf.DUMMYFUNCTION("""COMPUTED_VALUE"""),296.0)</f>
        <v>296</v>
      </c>
      <c r="Q1185" s="5" t="str">
        <f>IFERROR(__xludf.DUMMYFUNCTION("""COMPUTED_VALUE"""),"The Man Who Shot Liberty Valance")</f>
        <v>The Man Who Shot Liberty Valance</v>
      </c>
      <c r="R1185" s="5" t="str">
        <f>IFERROR(__xludf.DUMMYFUNCTION("""COMPUTED_VALUE"""),"Lee Marvin")</f>
        <v>Lee Marvin</v>
      </c>
      <c r="S1185" s="5" t="str">
        <f>IFERROR(__xludf.DUMMYFUNCTION("""COMPUTED_VALUE"""),"Estrela 4")</f>
        <v>Estrela 4</v>
      </c>
    </row>
    <row r="1186">
      <c r="G1186" s="5" t="str">
        <f>IFERROR(__xludf.DUMMYFUNCTION("""COMPUTED_VALUE"""),"297🤙🏼Ivanovo detstvo🤙🏼Eduard Abalov🤙🏼Estrela 1")</f>
        <v>297🤙🏼Ivanovo detstvo🤙🏼Eduard Abalov🤙🏼Estrela 1</v>
      </c>
      <c r="H1186" s="5">
        <f>IFERROR(__xludf.DUMMYFUNCTION("SPLiT(G1186, ""🤙🏼"",FALSE,FALSE)"),297.0)</f>
        <v>297</v>
      </c>
      <c r="I1186" s="5" t="str">
        <f>IFERROR(__xludf.DUMMYFUNCTION("""COMPUTED_VALUE"""),"Ivanovo detstvo")</f>
        <v>Ivanovo detstvo</v>
      </c>
      <c r="J1186" s="5" t="str">
        <f>IFERROR(__xludf.DUMMYFUNCTION("""COMPUTED_VALUE"""),"Eduard Abalov")</f>
        <v>Eduard Abalov</v>
      </c>
      <c r="K1186" s="5" t="str">
        <f>IFERROR(__xludf.DUMMYFUNCTION("""COMPUTED_VALUE"""),"Estrela 1")</f>
        <v>Estrela 1</v>
      </c>
      <c r="P1186" s="5">
        <f>IFERROR(__xludf.DUMMYFUNCTION("""COMPUTED_VALUE"""),297.0)</f>
        <v>297</v>
      </c>
      <c r="Q1186" s="5" t="str">
        <f>IFERROR(__xludf.DUMMYFUNCTION("""COMPUTED_VALUE"""),"Ivanovo detstvo")</f>
        <v>Ivanovo detstvo</v>
      </c>
      <c r="R1186" s="5" t="str">
        <f>IFERROR(__xludf.DUMMYFUNCTION("""COMPUTED_VALUE"""),"Eduard Abalov")</f>
        <v>Eduard Abalov</v>
      </c>
      <c r="S1186" s="5" t="str">
        <f>IFERROR(__xludf.DUMMYFUNCTION("""COMPUTED_VALUE"""),"Estrela 1")</f>
        <v>Estrela 1</v>
      </c>
    </row>
    <row r="1187">
      <c r="G1187" s="5" t="str">
        <f>IFERROR(__xludf.DUMMYFUNCTION("""COMPUTED_VALUE"""),"297🤙🏼Ivanovo detstvo🤙🏼Nikolay Burlyaev🤙🏼Estrela 2")</f>
        <v>297🤙🏼Ivanovo detstvo🤙🏼Nikolay Burlyaev🤙🏼Estrela 2</v>
      </c>
      <c r="H1187" s="5">
        <f>IFERROR(__xludf.DUMMYFUNCTION("SPLiT(G1187, ""🤙🏼"",FALSE,FALSE)"),297.0)</f>
        <v>297</v>
      </c>
      <c r="I1187" s="5" t="str">
        <f>IFERROR(__xludf.DUMMYFUNCTION("""COMPUTED_VALUE"""),"Ivanovo detstvo")</f>
        <v>Ivanovo detstvo</v>
      </c>
      <c r="J1187" s="5" t="str">
        <f>IFERROR(__xludf.DUMMYFUNCTION("""COMPUTED_VALUE"""),"Nikolay Burlyaev")</f>
        <v>Nikolay Burlyaev</v>
      </c>
      <c r="K1187" s="5" t="str">
        <f>IFERROR(__xludf.DUMMYFUNCTION("""COMPUTED_VALUE"""),"Estrela 2")</f>
        <v>Estrela 2</v>
      </c>
      <c r="P1187" s="5">
        <f>IFERROR(__xludf.DUMMYFUNCTION("""COMPUTED_VALUE"""),297.0)</f>
        <v>297</v>
      </c>
      <c r="Q1187" s="5" t="str">
        <f>IFERROR(__xludf.DUMMYFUNCTION("""COMPUTED_VALUE"""),"Ivanovo detstvo")</f>
        <v>Ivanovo detstvo</v>
      </c>
      <c r="R1187" s="5" t="str">
        <f>IFERROR(__xludf.DUMMYFUNCTION("""COMPUTED_VALUE"""),"Nikolay Burlyaev")</f>
        <v>Nikolay Burlyaev</v>
      </c>
      <c r="S1187" s="5" t="str">
        <f>IFERROR(__xludf.DUMMYFUNCTION("""COMPUTED_VALUE"""),"Estrela 2")</f>
        <v>Estrela 2</v>
      </c>
    </row>
    <row r="1188">
      <c r="G1188" s="5" t="str">
        <f>IFERROR(__xludf.DUMMYFUNCTION("""COMPUTED_VALUE"""),"297🤙🏼Ivanovo detstvo🤙🏼Valentin Zubkov🤙🏼Estrela 3")</f>
        <v>297🤙🏼Ivanovo detstvo🤙🏼Valentin Zubkov🤙🏼Estrela 3</v>
      </c>
      <c r="H1188" s="5">
        <f>IFERROR(__xludf.DUMMYFUNCTION("SPLiT(G1188, ""🤙🏼"",FALSE,FALSE)"),297.0)</f>
        <v>297</v>
      </c>
      <c r="I1188" s="5" t="str">
        <f>IFERROR(__xludf.DUMMYFUNCTION("""COMPUTED_VALUE"""),"Ivanovo detstvo")</f>
        <v>Ivanovo detstvo</v>
      </c>
      <c r="J1188" s="5" t="str">
        <f>IFERROR(__xludf.DUMMYFUNCTION("""COMPUTED_VALUE"""),"Valentin Zubkov")</f>
        <v>Valentin Zubkov</v>
      </c>
      <c r="K1188" s="5" t="str">
        <f>IFERROR(__xludf.DUMMYFUNCTION("""COMPUTED_VALUE"""),"Estrela 3")</f>
        <v>Estrela 3</v>
      </c>
      <c r="P1188" s="5">
        <f>IFERROR(__xludf.DUMMYFUNCTION("""COMPUTED_VALUE"""),297.0)</f>
        <v>297</v>
      </c>
      <c r="Q1188" s="5" t="str">
        <f>IFERROR(__xludf.DUMMYFUNCTION("""COMPUTED_VALUE"""),"Ivanovo detstvo")</f>
        <v>Ivanovo detstvo</v>
      </c>
      <c r="R1188" s="5" t="str">
        <f>IFERROR(__xludf.DUMMYFUNCTION("""COMPUTED_VALUE"""),"Valentin Zubkov")</f>
        <v>Valentin Zubkov</v>
      </c>
      <c r="S1188" s="5" t="str">
        <f>IFERROR(__xludf.DUMMYFUNCTION("""COMPUTED_VALUE"""),"Estrela 3")</f>
        <v>Estrela 3</v>
      </c>
    </row>
    <row r="1189">
      <c r="G1189" s="5" t="str">
        <f>IFERROR(__xludf.DUMMYFUNCTION("""COMPUTED_VALUE"""),"297🤙🏼Ivanovo detstvo🤙🏼Evgeniy Zharikov🤙🏼Estrela 4")</f>
        <v>297🤙🏼Ivanovo detstvo🤙🏼Evgeniy Zharikov🤙🏼Estrela 4</v>
      </c>
      <c r="H1189" s="5">
        <f>IFERROR(__xludf.DUMMYFUNCTION("SPLiT(G1189, ""🤙🏼"",FALSE,FALSE)"),297.0)</f>
        <v>297</v>
      </c>
      <c r="I1189" s="5" t="str">
        <f>IFERROR(__xludf.DUMMYFUNCTION("""COMPUTED_VALUE"""),"Ivanovo detstvo")</f>
        <v>Ivanovo detstvo</v>
      </c>
      <c r="J1189" s="5" t="str">
        <f>IFERROR(__xludf.DUMMYFUNCTION("""COMPUTED_VALUE"""),"Evgeniy Zharikov")</f>
        <v>Evgeniy Zharikov</v>
      </c>
      <c r="K1189" s="5" t="str">
        <f>IFERROR(__xludf.DUMMYFUNCTION("""COMPUTED_VALUE"""),"Estrela 4")</f>
        <v>Estrela 4</v>
      </c>
      <c r="P1189" s="5">
        <f>IFERROR(__xludf.DUMMYFUNCTION("""COMPUTED_VALUE"""),297.0)</f>
        <v>297</v>
      </c>
      <c r="Q1189" s="5" t="str">
        <f>IFERROR(__xludf.DUMMYFUNCTION("""COMPUTED_VALUE"""),"Ivanovo detstvo")</f>
        <v>Ivanovo detstvo</v>
      </c>
      <c r="R1189" s="5" t="str">
        <f>IFERROR(__xludf.DUMMYFUNCTION("""COMPUTED_VALUE"""),"Evgeniy Zharikov")</f>
        <v>Evgeniy Zharikov</v>
      </c>
      <c r="S1189" s="5" t="str">
        <f>IFERROR(__xludf.DUMMYFUNCTION("""COMPUTED_VALUE"""),"Estrela 4")</f>
        <v>Estrela 4</v>
      </c>
    </row>
    <row r="1190">
      <c r="G1190" s="5" t="str">
        <f>IFERROR(__xludf.DUMMYFUNCTION("""COMPUTED_VALUE"""),"298🤙🏼Jungfrukällan🤙🏼Max von Sydow🤙🏼Estrela 1")</f>
        <v>298🤙🏼Jungfrukällan🤙🏼Max von Sydow🤙🏼Estrela 1</v>
      </c>
      <c r="H1190" s="5">
        <f>IFERROR(__xludf.DUMMYFUNCTION("SPLiT(G1190, ""🤙🏼"",FALSE,FALSE)"),298.0)</f>
        <v>298</v>
      </c>
      <c r="I1190" s="5" t="str">
        <f>IFERROR(__xludf.DUMMYFUNCTION("""COMPUTED_VALUE"""),"Jungfrukällan")</f>
        <v>Jungfrukällan</v>
      </c>
      <c r="J1190" s="5" t="str">
        <f>IFERROR(__xludf.DUMMYFUNCTION("""COMPUTED_VALUE"""),"Max von Sydow")</f>
        <v>Max von Sydow</v>
      </c>
      <c r="K1190" s="5" t="str">
        <f>IFERROR(__xludf.DUMMYFUNCTION("""COMPUTED_VALUE"""),"Estrela 1")</f>
        <v>Estrela 1</v>
      </c>
      <c r="P1190" s="5">
        <f>IFERROR(__xludf.DUMMYFUNCTION("""COMPUTED_VALUE"""),298.0)</f>
        <v>298</v>
      </c>
      <c r="Q1190" s="5" t="str">
        <f>IFERROR(__xludf.DUMMYFUNCTION("""COMPUTED_VALUE"""),"Jungfrukällan")</f>
        <v>Jungfrukällan</v>
      </c>
      <c r="R1190" s="5" t="str">
        <f>IFERROR(__xludf.DUMMYFUNCTION("""COMPUTED_VALUE"""),"Max von Sydow")</f>
        <v>Max von Sydow</v>
      </c>
      <c r="S1190" s="5" t="str">
        <f>IFERROR(__xludf.DUMMYFUNCTION("""COMPUTED_VALUE"""),"Estrela 1")</f>
        <v>Estrela 1</v>
      </c>
    </row>
    <row r="1191">
      <c r="G1191" s="5" t="str">
        <f>IFERROR(__xludf.DUMMYFUNCTION("""COMPUTED_VALUE"""),"298🤙🏼Jungfrukällan🤙🏼Birgitta Valberg🤙🏼Estrela 2")</f>
        <v>298🤙🏼Jungfrukällan🤙🏼Birgitta Valberg🤙🏼Estrela 2</v>
      </c>
      <c r="H1191" s="5">
        <f>IFERROR(__xludf.DUMMYFUNCTION("SPLiT(G1191, ""🤙🏼"",FALSE,FALSE)"),298.0)</f>
        <v>298</v>
      </c>
      <c r="I1191" s="5" t="str">
        <f>IFERROR(__xludf.DUMMYFUNCTION("""COMPUTED_VALUE"""),"Jungfrukällan")</f>
        <v>Jungfrukällan</v>
      </c>
      <c r="J1191" s="5" t="str">
        <f>IFERROR(__xludf.DUMMYFUNCTION("""COMPUTED_VALUE"""),"Birgitta Valberg")</f>
        <v>Birgitta Valberg</v>
      </c>
      <c r="K1191" s="5" t="str">
        <f>IFERROR(__xludf.DUMMYFUNCTION("""COMPUTED_VALUE"""),"Estrela 2")</f>
        <v>Estrela 2</v>
      </c>
      <c r="P1191" s="5">
        <f>IFERROR(__xludf.DUMMYFUNCTION("""COMPUTED_VALUE"""),298.0)</f>
        <v>298</v>
      </c>
      <c r="Q1191" s="5" t="str">
        <f>IFERROR(__xludf.DUMMYFUNCTION("""COMPUTED_VALUE"""),"Jungfrukällan")</f>
        <v>Jungfrukällan</v>
      </c>
      <c r="R1191" s="5" t="str">
        <f>IFERROR(__xludf.DUMMYFUNCTION("""COMPUTED_VALUE"""),"Birgitta Valberg")</f>
        <v>Birgitta Valberg</v>
      </c>
      <c r="S1191" s="5" t="str">
        <f>IFERROR(__xludf.DUMMYFUNCTION("""COMPUTED_VALUE"""),"Estrela 2")</f>
        <v>Estrela 2</v>
      </c>
    </row>
    <row r="1192">
      <c r="G1192" s="5" t="str">
        <f>IFERROR(__xludf.DUMMYFUNCTION("""COMPUTED_VALUE"""),"298🤙🏼Jungfrukällan🤙🏼Gunnel Lindblom🤙🏼Estrela 3")</f>
        <v>298🤙🏼Jungfrukällan🤙🏼Gunnel Lindblom🤙🏼Estrela 3</v>
      </c>
      <c r="H1192" s="5">
        <f>IFERROR(__xludf.DUMMYFUNCTION("SPLiT(G1192, ""🤙🏼"",FALSE,FALSE)"),298.0)</f>
        <v>298</v>
      </c>
      <c r="I1192" s="5" t="str">
        <f>IFERROR(__xludf.DUMMYFUNCTION("""COMPUTED_VALUE"""),"Jungfrukällan")</f>
        <v>Jungfrukällan</v>
      </c>
      <c r="J1192" s="5" t="str">
        <f>IFERROR(__xludf.DUMMYFUNCTION("""COMPUTED_VALUE"""),"Gunnel Lindblom")</f>
        <v>Gunnel Lindblom</v>
      </c>
      <c r="K1192" s="5" t="str">
        <f>IFERROR(__xludf.DUMMYFUNCTION("""COMPUTED_VALUE"""),"Estrela 3")</f>
        <v>Estrela 3</v>
      </c>
      <c r="P1192" s="5">
        <f>IFERROR(__xludf.DUMMYFUNCTION("""COMPUTED_VALUE"""),298.0)</f>
        <v>298</v>
      </c>
      <c r="Q1192" s="5" t="str">
        <f>IFERROR(__xludf.DUMMYFUNCTION("""COMPUTED_VALUE"""),"Jungfrukällan")</f>
        <v>Jungfrukällan</v>
      </c>
      <c r="R1192" s="5" t="str">
        <f>IFERROR(__xludf.DUMMYFUNCTION("""COMPUTED_VALUE"""),"Gunnel Lindblom")</f>
        <v>Gunnel Lindblom</v>
      </c>
      <c r="S1192" s="5" t="str">
        <f>IFERROR(__xludf.DUMMYFUNCTION("""COMPUTED_VALUE"""),"Estrela 3")</f>
        <v>Estrela 3</v>
      </c>
    </row>
    <row r="1193">
      <c r="G1193" s="5" t="str">
        <f>IFERROR(__xludf.DUMMYFUNCTION("""COMPUTED_VALUE"""),"298🤙🏼Jungfrukällan🤙🏼Birgitta Pettersson🤙🏼Estrela 4")</f>
        <v>298🤙🏼Jungfrukällan🤙🏼Birgitta Pettersson🤙🏼Estrela 4</v>
      </c>
      <c r="H1193" s="5">
        <f>IFERROR(__xludf.DUMMYFUNCTION("SPLiT(G1193, ""🤙🏼"",FALSE,FALSE)"),298.0)</f>
        <v>298</v>
      </c>
      <c r="I1193" s="5" t="str">
        <f>IFERROR(__xludf.DUMMYFUNCTION("""COMPUTED_VALUE"""),"Jungfrukällan")</f>
        <v>Jungfrukällan</v>
      </c>
      <c r="J1193" s="5" t="str">
        <f>IFERROR(__xludf.DUMMYFUNCTION("""COMPUTED_VALUE"""),"Birgitta Pettersson")</f>
        <v>Birgitta Pettersson</v>
      </c>
      <c r="K1193" s="5" t="str">
        <f>IFERROR(__xludf.DUMMYFUNCTION("""COMPUTED_VALUE"""),"Estrela 4")</f>
        <v>Estrela 4</v>
      </c>
      <c r="P1193" s="5">
        <f>IFERROR(__xludf.DUMMYFUNCTION("""COMPUTED_VALUE"""),298.0)</f>
        <v>298</v>
      </c>
      <c r="Q1193" s="5" t="str">
        <f>IFERROR(__xludf.DUMMYFUNCTION("""COMPUTED_VALUE"""),"Jungfrukällan")</f>
        <v>Jungfrukällan</v>
      </c>
      <c r="R1193" s="5" t="str">
        <f>IFERROR(__xludf.DUMMYFUNCTION("""COMPUTED_VALUE"""),"Birgitta Pettersson")</f>
        <v>Birgitta Pettersson</v>
      </c>
      <c r="S1193" s="5" t="str">
        <f>IFERROR(__xludf.DUMMYFUNCTION("""COMPUTED_VALUE"""),"Estrela 4")</f>
        <v>Estrela 4</v>
      </c>
    </row>
    <row r="1194">
      <c r="G1194" s="5" t="str">
        <f>IFERROR(__xludf.DUMMYFUNCTION("""COMPUTED_VALUE"""),"299🤙🏼Inherit the Wind🤙🏼Spencer Tracy🤙🏼Estrela 1")</f>
        <v>299🤙🏼Inherit the Wind🤙🏼Spencer Tracy🤙🏼Estrela 1</v>
      </c>
      <c r="H1194" s="5">
        <f>IFERROR(__xludf.DUMMYFUNCTION("SPLiT(G1194, ""🤙🏼"",FALSE,FALSE)"),299.0)</f>
        <v>299</v>
      </c>
      <c r="I1194" s="5" t="str">
        <f>IFERROR(__xludf.DUMMYFUNCTION("""COMPUTED_VALUE"""),"Inherit the Wind")</f>
        <v>Inherit the Wind</v>
      </c>
      <c r="J1194" s="5" t="str">
        <f>IFERROR(__xludf.DUMMYFUNCTION("""COMPUTED_VALUE"""),"Spencer Tracy")</f>
        <v>Spencer Tracy</v>
      </c>
      <c r="K1194" s="5" t="str">
        <f>IFERROR(__xludf.DUMMYFUNCTION("""COMPUTED_VALUE"""),"Estrela 1")</f>
        <v>Estrela 1</v>
      </c>
      <c r="P1194" s="5">
        <f>IFERROR(__xludf.DUMMYFUNCTION("""COMPUTED_VALUE"""),299.0)</f>
        <v>299</v>
      </c>
      <c r="Q1194" s="5" t="str">
        <f>IFERROR(__xludf.DUMMYFUNCTION("""COMPUTED_VALUE"""),"Inherit the Wind")</f>
        <v>Inherit the Wind</v>
      </c>
      <c r="R1194" s="5" t="str">
        <f>IFERROR(__xludf.DUMMYFUNCTION("""COMPUTED_VALUE"""),"Spencer Tracy")</f>
        <v>Spencer Tracy</v>
      </c>
      <c r="S1194" s="5" t="str">
        <f>IFERROR(__xludf.DUMMYFUNCTION("""COMPUTED_VALUE"""),"Estrela 1")</f>
        <v>Estrela 1</v>
      </c>
    </row>
    <row r="1195">
      <c r="G1195" s="5" t="str">
        <f>IFERROR(__xludf.DUMMYFUNCTION("""COMPUTED_VALUE"""),"299🤙🏼Inherit the Wind🤙🏼Fredric March🤙🏼Estrela 2")</f>
        <v>299🤙🏼Inherit the Wind🤙🏼Fredric March🤙🏼Estrela 2</v>
      </c>
      <c r="H1195" s="5">
        <f>IFERROR(__xludf.DUMMYFUNCTION("SPLiT(G1195, ""🤙🏼"",FALSE,FALSE)"),299.0)</f>
        <v>299</v>
      </c>
      <c r="I1195" s="5" t="str">
        <f>IFERROR(__xludf.DUMMYFUNCTION("""COMPUTED_VALUE"""),"Inherit the Wind")</f>
        <v>Inherit the Wind</v>
      </c>
      <c r="J1195" s="5" t="str">
        <f>IFERROR(__xludf.DUMMYFUNCTION("""COMPUTED_VALUE"""),"Fredric March")</f>
        <v>Fredric March</v>
      </c>
      <c r="K1195" s="5" t="str">
        <f>IFERROR(__xludf.DUMMYFUNCTION("""COMPUTED_VALUE"""),"Estrela 2")</f>
        <v>Estrela 2</v>
      </c>
      <c r="P1195" s="5">
        <f>IFERROR(__xludf.DUMMYFUNCTION("""COMPUTED_VALUE"""),299.0)</f>
        <v>299</v>
      </c>
      <c r="Q1195" s="5" t="str">
        <f>IFERROR(__xludf.DUMMYFUNCTION("""COMPUTED_VALUE"""),"Inherit the Wind")</f>
        <v>Inherit the Wind</v>
      </c>
      <c r="R1195" s="5" t="str">
        <f>IFERROR(__xludf.DUMMYFUNCTION("""COMPUTED_VALUE"""),"Fredric March")</f>
        <v>Fredric March</v>
      </c>
      <c r="S1195" s="5" t="str">
        <f>IFERROR(__xludf.DUMMYFUNCTION("""COMPUTED_VALUE"""),"Estrela 2")</f>
        <v>Estrela 2</v>
      </c>
    </row>
    <row r="1196">
      <c r="G1196" s="5" t="str">
        <f>IFERROR(__xludf.DUMMYFUNCTION("""COMPUTED_VALUE"""),"299🤙🏼Inherit the Wind🤙🏼Gene Kelly🤙🏼Estrela 3")</f>
        <v>299🤙🏼Inherit the Wind🤙🏼Gene Kelly🤙🏼Estrela 3</v>
      </c>
      <c r="H1196" s="5">
        <f>IFERROR(__xludf.DUMMYFUNCTION("SPLiT(G1196, ""🤙🏼"",FALSE,FALSE)"),299.0)</f>
        <v>299</v>
      </c>
      <c r="I1196" s="5" t="str">
        <f>IFERROR(__xludf.DUMMYFUNCTION("""COMPUTED_VALUE"""),"Inherit the Wind")</f>
        <v>Inherit the Wind</v>
      </c>
      <c r="J1196" s="5" t="str">
        <f>IFERROR(__xludf.DUMMYFUNCTION("""COMPUTED_VALUE"""),"Gene Kelly")</f>
        <v>Gene Kelly</v>
      </c>
      <c r="K1196" s="5" t="str">
        <f>IFERROR(__xludf.DUMMYFUNCTION("""COMPUTED_VALUE"""),"Estrela 3")</f>
        <v>Estrela 3</v>
      </c>
      <c r="P1196" s="5">
        <f>IFERROR(__xludf.DUMMYFUNCTION("""COMPUTED_VALUE"""),299.0)</f>
        <v>299</v>
      </c>
      <c r="Q1196" s="5" t="str">
        <f>IFERROR(__xludf.DUMMYFUNCTION("""COMPUTED_VALUE"""),"Inherit the Wind")</f>
        <v>Inherit the Wind</v>
      </c>
      <c r="R1196" s="5" t="str">
        <f>IFERROR(__xludf.DUMMYFUNCTION("""COMPUTED_VALUE"""),"Gene Kelly")</f>
        <v>Gene Kelly</v>
      </c>
      <c r="S1196" s="5" t="str">
        <f>IFERROR(__xludf.DUMMYFUNCTION("""COMPUTED_VALUE"""),"Estrela 3")</f>
        <v>Estrela 3</v>
      </c>
    </row>
    <row r="1197">
      <c r="G1197" s="5" t="str">
        <f>IFERROR(__xludf.DUMMYFUNCTION("""COMPUTED_VALUE"""),"299🤙🏼Inherit the Wind🤙🏼Dick York🤙🏼Estrela 4")</f>
        <v>299🤙🏼Inherit the Wind🤙🏼Dick York🤙🏼Estrela 4</v>
      </c>
      <c r="H1197" s="5">
        <f>IFERROR(__xludf.DUMMYFUNCTION("SPLiT(G1197, ""🤙🏼"",FALSE,FALSE)"),299.0)</f>
        <v>299</v>
      </c>
      <c r="I1197" s="5" t="str">
        <f>IFERROR(__xludf.DUMMYFUNCTION("""COMPUTED_VALUE"""),"Inherit the Wind")</f>
        <v>Inherit the Wind</v>
      </c>
      <c r="J1197" s="5" t="str">
        <f>IFERROR(__xludf.DUMMYFUNCTION("""COMPUTED_VALUE"""),"Dick York")</f>
        <v>Dick York</v>
      </c>
      <c r="K1197" s="5" t="str">
        <f>IFERROR(__xludf.DUMMYFUNCTION("""COMPUTED_VALUE"""),"Estrela 4")</f>
        <v>Estrela 4</v>
      </c>
      <c r="P1197" s="5">
        <f>IFERROR(__xludf.DUMMYFUNCTION("""COMPUTED_VALUE"""),299.0)</f>
        <v>299</v>
      </c>
      <c r="Q1197" s="5" t="str">
        <f>IFERROR(__xludf.DUMMYFUNCTION("""COMPUTED_VALUE"""),"Inherit the Wind")</f>
        <v>Inherit the Wind</v>
      </c>
      <c r="R1197" s="5" t="str">
        <f>IFERROR(__xludf.DUMMYFUNCTION("""COMPUTED_VALUE"""),"Dick York")</f>
        <v>Dick York</v>
      </c>
      <c r="S1197" s="5" t="str">
        <f>IFERROR(__xludf.DUMMYFUNCTION("""COMPUTED_VALUE"""),"Estrela 4")</f>
        <v>Estrela 4</v>
      </c>
    </row>
    <row r="1198">
      <c r="G1198" s="5" t="str">
        <f>IFERROR(__xludf.DUMMYFUNCTION("""COMPUTED_VALUE"""),"300🤙🏼Les quatre cents coups🤙🏼Jean-Pierre Léaud🤙🏼Estrela 1")</f>
        <v>300🤙🏼Les quatre cents coups🤙🏼Jean-Pierre Léaud🤙🏼Estrela 1</v>
      </c>
      <c r="H1198" s="5">
        <f>IFERROR(__xludf.DUMMYFUNCTION("SPLiT(G1198, ""🤙🏼"",FALSE,FALSE)"),300.0)</f>
        <v>300</v>
      </c>
      <c r="I1198" s="5" t="str">
        <f>IFERROR(__xludf.DUMMYFUNCTION("""COMPUTED_VALUE"""),"Les quatre cents coups")</f>
        <v>Les quatre cents coups</v>
      </c>
      <c r="J1198" s="5" t="str">
        <f>IFERROR(__xludf.DUMMYFUNCTION("""COMPUTED_VALUE"""),"Jean-Pierre Léaud")</f>
        <v>Jean-Pierre Léaud</v>
      </c>
      <c r="K1198" s="5" t="str">
        <f>IFERROR(__xludf.DUMMYFUNCTION("""COMPUTED_VALUE"""),"Estrela 1")</f>
        <v>Estrela 1</v>
      </c>
      <c r="P1198" s="5">
        <f>IFERROR(__xludf.DUMMYFUNCTION("""COMPUTED_VALUE"""),300.0)</f>
        <v>300</v>
      </c>
      <c r="Q1198" s="5" t="str">
        <f>IFERROR(__xludf.DUMMYFUNCTION("""COMPUTED_VALUE"""),"Les quatre cents coups")</f>
        <v>Les quatre cents coups</v>
      </c>
      <c r="R1198" s="5" t="str">
        <f>IFERROR(__xludf.DUMMYFUNCTION("""COMPUTED_VALUE"""),"Jean-Pierre Léaud")</f>
        <v>Jean-Pierre Léaud</v>
      </c>
      <c r="S1198" s="5" t="str">
        <f>IFERROR(__xludf.DUMMYFUNCTION("""COMPUTED_VALUE"""),"Estrela 1")</f>
        <v>Estrela 1</v>
      </c>
    </row>
    <row r="1199">
      <c r="G1199" s="5" t="str">
        <f>IFERROR(__xludf.DUMMYFUNCTION("""COMPUTED_VALUE"""),"300🤙🏼Les quatre cents coups🤙🏼Albert Rémy🤙🏼Estrela 2")</f>
        <v>300🤙🏼Les quatre cents coups🤙🏼Albert Rémy🤙🏼Estrela 2</v>
      </c>
      <c r="H1199" s="5">
        <f>IFERROR(__xludf.DUMMYFUNCTION("SPLiT(G1199, ""🤙🏼"",FALSE,FALSE)"),300.0)</f>
        <v>300</v>
      </c>
      <c r="I1199" s="5" t="str">
        <f>IFERROR(__xludf.DUMMYFUNCTION("""COMPUTED_VALUE"""),"Les quatre cents coups")</f>
        <v>Les quatre cents coups</v>
      </c>
      <c r="J1199" s="5" t="str">
        <f>IFERROR(__xludf.DUMMYFUNCTION("""COMPUTED_VALUE"""),"Albert Rémy")</f>
        <v>Albert Rémy</v>
      </c>
      <c r="K1199" s="5" t="str">
        <f>IFERROR(__xludf.DUMMYFUNCTION("""COMPUTED_VALUE"""),"Estrela 2")</f>
        <v>Estrela 2</v>
      </c>
      <c r="P1199" s="5">
        <f>IFERROR(__xludf.DUMMYFUNCTION("""COMPUTED_VALUE"""),300.0)</f>
        <v>300</v>
      </c>
      <c r="Q1199" s="5" t="str">
        <f>IFERROR(__xludf.DUMMYFUNCTION("""COMPUTED_VALUE"""),"Les quatre cents coups")</f>
        <v>Les quatre cents coups</v>
      </c>
      <c r="R1199" s="5" t="str">
        <f>IFERROR(__xludf.DUMMYFUNCTION("""COMPUTED_VALUE"""),"Albert Rémy")</f>
        <v>Albert Rémy</v>
      </c>
      <c r="S1199" s="5" t="str">
        <f>IFERROR(__xludf.DUMMYFUNCTION("""COMPUTED_VALUE"""),"Estrela 2")</f>
        <v>Estrela 2</v>
      </c>
    </row>
    <row r="1200">
      <c r="G1200" s="5" t="str">
        <f>IFERROR(__xludf.DUMMYFUNCTION("""COMPUTED_VALUE"""),"300🤙🏼Les quatre cents coups🤙🏼Claire Maurier🤙🏼Estrela 3")</f>
        <v>300🤙🏼Les quatre cents coups🤙🏼Claire Maurier🤙🏼Estrela 3</v>
      </c>
      <c r="H1200" s="5">
        <f>IFERROR(__xludf.DUMMYFUNCTION("SPLiT(G1200, ""🤙🏼"",FALSE,FALSE)"),300.0)</f>
        <v>300</v>
      </c>
      <c r="I1200" s="5" t="str">
        <f>IFERROR(__xludf.DUMMYFUNCTION("""COMPUTED_VALUE"""),"Les quatre cents coups")</f>
        <v>Les quatre cents coups</v>
      </c>
      <c r="J1200" s="5" t="str">
        <f>IFERROR(__xludf.DUMMYFUNCTION("""COMPUTED_VALUE"""),"Claire Maurier")</f>
        <v>Claire Maurier</v>
      </c>
      <c r="K1200" s="5" t="str">
        <f>IFERROR(__xludf.DUMMYFUNCTION("""COMPUTED_VALUE"""),"Estrela 3")</f>
        <v>Estrela 3</v>
      </c>
      <c r="P1200" s="5">
        <f>IFERROR(__xludf.DUMMYFUNCTION("""COMPUTED_VALUE"""),300.0)</f>
        <v>300</v>
      </c>
      <c r="Q1200" s="5" t="str">
        <f>IFERROR(__xludf.DUMMYFUNCTION("""COMPUTED_VALUE"""),"Les quatre cents coups")</f>
        <v>Les quatre cents coups</v>
      </c>
      <c r="R1200" s="5" t="str">
        <f>IFERROR(__xludf.DUMMYFUNCTION("""COMPUTED_VALUE"""),"Claire Maurier")</f>
        <v>Claire Maurier</v>
      </c>
      <c r="S1200" s="5" t="str">
        <f>IFERROR(__xludf.DUMMYFUNCTION("""COMPUTED_VALUE"""),"Estrela 3")</f>
        <v>Estrela 3</v>
      </c>
    </row>
    <row r="1201">
      <c r="G1201" s="5" t="str">
        <f>IFERROR(__xludf.DUMMYFUNCTION("""COMPUTED_VALUE"""),"300🤙🏼Les quatre cents coups🤙🏼Guy Decomble🤙🏼Estrela 4")</f>
        <v>300🤙🏼Les quatre cents coups🤙🏼Guy Decomble🤙🏼Estrela 4</v>
      </c>
      <c r="H1201" s="5">
        <f>IFERROR(__xludf.DUMMYFUNCTION("SPLiT(G1201, ""🤙🏼"",FALSE,FALSE)"),300.0)</f>
        <v>300</v>
      </c>
      <c r="I1201" s="5" t="str">
        <f>IFERROR(__xludf.DUMMYFUNCTION("""COMPUTED_VALUE"""),"Les quatre cents coups")</f>
        <v>Les quatre cents coups</v>
      </c>
      <c r="J1201" s="5" t="str">
        <f>IFERROR(__xludf.DUMMYFUNCTION("""COMPUTED_VALUE"""),"Guy Decomble")</f>
        <v>Guy Decomble</v>
      </c>
      <c r="K1201" s="5" t="str">
        <f>IFERROR(__xludf.DUMMYFUNCTION("""COMPUTED_VALUE"""),"Estrela 4")</f>
        <v>Estrela 4</v>
      </c>
      <c r="P1201" s="5">
        <f>IFERROR(__xludf.DUMMYFUNCTION("""COMPUTED_VALUE"""),300.0)</f>
        <v>300</v>
      </c>
      <c r="Q1201" s="5" t="str">
        <f>IFERROR(__xludf.DUMMYFUNCTION("""COMPUTED_VALUE"""),"Les quatre cents coups")</f>
        <v>Les quatre cents coups</v>
      </c>
      <c r="R1201" s="5" t="str">
        <f>IFERROR(__xludf.DUMMYFUNCTION("""COMPUTED_VALUE"""),"Guy Decomble")</f>
        <v>Guy Decomble</v>
      </c>
      <c r="S1201" s="5" t="str">
        <f>IFERROR(__xludf.DUMMYFUNCTION("""COMPUTED_VALUE"""),"Estrela 4")</f>
        <v>Estrela 4</v>
      </c>
    </row>
    <row r="1202">
      <c r="G1202" s="5" t="str">
        <f>IFERROR(__xludf.DUMMYFUNCTION("""COMPUTED_VALUE"""),"301🤙🏼Ben-Hur🤙🏼Charlton Heston🤙🏼Estrela 1")</f>
        <v>301🤙🏼Ben-Hur🤙🏼Charlton Heston🤙🏼Estrela 1</v>
      </c>
      <c r="H1202" s="5">
        <f>IFERROR(__xludf.DUMMYFUNCTION("SPLiT(G1202, ""🤙🏼"",FALSE,FALSE)"),301.0)</f>
        <v>301</v>
      </c>
      <c r="I1202" s="5" t="str">
        <f>IFERROR(__xludf.DUMMYFUNCTION("""COMPUTED_VALUE"""),"Ben-Hur")</f>
        <v>Ben-Hur</v>
      </c>
      <c r="J1202" s="5" t="str">
        <f>IFERROR(__xludf.DUMMYFUNCTION("""COMPUTED_VALUE"""),"Charlton Heston")</f>
        <v>Charlton Heston</v>
      </c>
      <c r="K1202" s="5" t="str">
        <f>IFERROR(__xludf.DUMMYFUNCTION("""COMPUTED_VALUE"""),"Estrela 1")</f>
        <v>Estrela 1</v>
      </c>
      <c r="P1202" s="5">
        <f>IFERROR(__xludf.DUMMYFUNCTION("""COMPUTED_VALUE"""),301.0)</f>
        <v>301</v>
      </c>
      <c r="Q1202" s="5" t="str">
        <f>IFERROR(__xludf.DUMMYFUNCTION("""COMPUTED_VALUE"""),"Ben-Hur")</f>
        <v>Ben-Hur</v>
      </c>
      <c r="R1202" s="5" t="str">
        <f>IFERROR(__xludf.DUMMYFUNCTION("""COMPUTED_VALUE"""),"Charlton Heston")</f>
        <v>Charlton Heston</v>
      </c>
      <c r="S1202" s="5" t="str">
        <f>IFERROR(__xludf.DUMMYFUNCTION("""COMPUTED_VALUE"""),"Estrela 1")</f>
        <v>Estrela 1</v>
      </c>
    </row>
    <row r="1203">
      <c r="G1203" s="5" t="str">
        <f>IFERROR(__xludf.DUMMYFUNCTION("""COMPUTED_VALUE"""),"301🤙🏼Ben-Hur🤙🏼Jack Hawkins🤙🏼Estrela 2")</f>
        <v>301🤙🏼Ben-Hur🤙🏼Jack Hawkins🤙🏼Estrela 2</v>
      </c>
      <c r="H1203" s="5">
        <f>IFERROR(__xludf.DUMMYFUNCTION("SPLiT(G1203, ""🤙🏼"",FALSE,FALSE)"),301.0)</f>
        <v>301</v>
      </c>
      <c r="I1203" s="5" t="str">
        <f>IFERROR(__xludf.DUMMYFUNCTION("""COMPUTED_VALUE"""),"Ben-Hur")</f>
        <v>Ben-Hur</v>
      </c>
      <c r="J1203" s="5" t="str">
        <f>IFERROR(__xludf.DUMMYFUNCTION("""COMPUTED_VALUE"""),"Jack Hawkins")</f>
        <v>Jack Hawkins</v>
      </c>
      <c r="K1203" s="5" t="str">
        <f>IFERROR(__xludf.DUMMYFUNCTION("""COMPUTED_VALUE"""),"Estrela 2")</f>
        <v>Estrela 2</v>
      </c>
      <c r="P1203" s="5">
        <f>IFERROR(__xludf.DUMMYFUNCTION("""COMPUTED_VALUE"""),301.0)</f>
        <v>301</v>
      </c>
      <c r="Q1203" s="5" t="str">
        <f>IFERROR(__xludf.DUMMYFUNCTION("""COMPUTED_VALUE"""),"Ben-Hur")</f>
        <v>Ben-Hur</v>
      </c>
      <c r="R1203" s="5" t="str">
        <f>IFERROR(__xludf.DUMMYFUNCTION("""COMPUTED_VALUE"""),"Jack Hawkins")</f>
        <v>Jack Hawkins</v>
      </c>
      <c r="S1203" s="5" t="str">
        <f>IFERROR(__xludf.DUMMYFUNCTION("""COMPUTED_VALUE"""),"Estrela 2")</f>
        <v>Estrela 2</v>
      </c>
    </row>
    <row r="1204">
      <c r="G1204" s="5" t="str">
        <f>IFERROR(__xludf.DUMMYFUNCTION("""COMPUTED_VALUE"""),"301🤙🏼Ben-Hur🤙🏼Stephen Boyd🤙🏼Estrela 3")</f>
        <v>301🤙🏼Ben-Hur🤙🏼Stephen Boyd🤙🏼Estrela 3</v>
      </c>
      <c r="H1204" s="5">
        <f>IFERROR(__xludf.DUMMYFUNCTION("SPLiT(G1204, ""🤙🏼"",FALSE,FALSE)"),301.0)</f>
        <v>301</v>
      </c>
      <c r="I1204" s="5" t="str">
        <f>IFERROR(__xludf.DUMMYFUNCTION("""COMPUTED_VALUE"""),"Ben-Hur")</f>
        <v>Ben-Hur</v>
      </c>
      <c r="J1204" s="5" t="str">
        <f>IFERROR(__xludf.DUMMYFUNCTION("""COMPUTED_VALUE"""),"Stephen Boyd")</f>
        <v>Stephen Boyd</v>
      </c>
      <c r="K1204" s="5" t="str">
        <f>IFERROR(__xludf.DUMMYFUNCTION("""COMPUTED_VALUE"""),"Estrela 3")</f>
        <v>Estrela 3</v>
      </c>
      <c r="P1204" s="5">
        <f>IFERROR(__xludf.DUMMYFUNCTION("""COMPUTED_VALUE"""),301.0)</f>
        <v>301</v>
      </c>
      <c r="Q1204" s="5" t="str">
        <f>IFERROR(__xludf.DUMMYFUNCTION("""COMPUTED_VALUE"""),"Ben-Hur")</f>
        <v>Ben-Hur</v>
      </c>
      <c r="R1204" s="5" t="str">
        <f>IFERROR(__xludf.DUMMYFUNCTION("""COMPUTED_VALUE"""),"Stephen Boyd")</f>
        <v>Stephen Boyd</v>
      </c>
      <c r="S1204" s="5" t="str">
        <f>IFERROR(__xludf.DUMMYFUNCTION("""COMPUTED_VALUE"""),"Estrela 3")</f>
        <v>Estrela 3</v>
      </c>
    </row>
    <row r="1205">
      <c r="G1205" s="5" t="str">
        <f>IFERROR(__xludf.DUMMYFUNCTION("""COMPUTED_VALUE"""),"301🤙🏼Ben-Hur🤙🏼Haya Harareet🤙🏼Estrela 4")</f>
        <v>301🤙🏼Ben-Hur🤙🏼Haya Harareet🤙🏼Estrela 4</v>
      </c>
      <c r="H1205" s="5">
        <f>IFERROR(__xludf.DUMMYFUNCTION("SPLiT(G1205, ""🤙🏼"",FALSE,FALSE)"),301.0)</f>
        <v>301</v>
      </c>
      <c r="I1205" s="5" t="str">
        <f>IFERROR(__xludf.DUMMYFUNCTION("""COMPUTED_VALUE"""),"Ben-Hur")</f>
        <v>Ben-Hur</v>
      </c>
      <c r="J1205" s="5" t="str">
        <f>IFERROR(__xludf.DUMMYFUNCTION("""COMPUTED_VALUE"""),"Haya Harareet")</f>
        <v>Haya Harareet</v>
      </c>
      <c r="K1205" s="5" t="str">
        <f>IFERROR(__xludf.DUMMYFUNCTION("""COMPUTED_VALUE"""),"Estrela 4")</f>
        <v>Estrela 4</v>
      </c>
      <c r="P1205" s="5">
        <f>IFERROR(__xludf.DUMMYFUNCTION("""COMPUTED_VALUE"""),301.0)</f>
        <v>301</v>
      </c>
      <c r="Q1205" s="5" t="str">
        <f>IFERROR(__xludf.DUMMYFUNCTION("""COMPUTED_VALUE"""),"Ben-Hur")</f>
        <v>Ben-Hur</v>
      </c>
      <c r="R1205" s="5" t="str">
        <f>IFERROR(__xludf.DUMMYFUNCTION("""COMPUTED_VALUE"""),"Haya Harareet")</f>
        <v>Haya Harareet</v>
      </c>
      <c r="S1205" s="5" t="str">
        <f>IFERROR(__xludf.DUMMYFUNCTION("""COMPUTED_VALUE"""),"Estrela 4")</f>
        <v>Estrela 4</v>
      </c>
    </row>
    <row r="1206">
      <c r="G1206" s="5" t="str">
        <f>IFERROR(__xludf.DUMMYFUNCTION("""COMPUTED_VALUE"""),"302🤙🏼Kakushi-toride no san-akunin🤙🏼Toshirô Mifune🤙🏼Estrela 1")</f>
        <v>302🤙🏼Kakushi-toride no san-akunin🤙🏼Toshirô Mifune🤙🏼Estrela 1</v>
      </c>
      <c r="H1206" s="5">
        <f>IFERROR(__xludf.DUMMYFUNCTION("SPLiT(G1206, ""🤙🏼"",FALSE,FALSE)"),302.0)</f>
        <v>302</v>
      </c>
      <c r="I1206" s="5" t="str">
        <f>IFERROR(__xludf.DUMMYFUNCTION("""COMPUTED_VALUE"""),"Kakushi-toride no san-akunin")</f>
        <v>Kakushi-toride no san-akunin</v>
      </c>
      <c r="J1206" s="5" t="str">
        <f>IFERROR(__xludf.DUMMYFUNCTION("""COMPUTED_VALUE"""),"Toshirô Mifune")</f>
        <v>Toshirô Mifune</v>
      </c>
      <c r="K1206" s="5" t="str">
        <f>IFERROR(__xludf.DUMMYFUNCTION("""COMPUTED_VALUE"""),"Estrela 1")</f>
        <v>Estrela 1</v>
      </c>
      <c r="P1206" s="5">
        <f>IFERROR(__xludf.DUMMYFUNCTION("""COMPUTED_VALUE"""),302.0)</f>
        <v>302</v>
      </c>
      <c r="Q1206" s="5" t="str">
        <f>IFERROR(__xludf.DUMMYFUNCTION("""COMPUTED_VALUE"""),"Kakushi-toride no san-akunin")</f>
        <v>Kakushi-toride no san-akunin</v>
      </c>
      <c r="R1206" s="5" t="str">
        <f>IFERROR(__xludf.DUMMYFUNCTION("""COMPUTED_VALUE"""),"Toshirô Mifune")</f>
        <v>Toshirô Mifune</v>
      </c>
      <c r="S1206" s="5" t="str">
        <f>IFERROR(__xludf.DUMMYFUNCTION("""COMPUTED_VALUE"""),"Estrela 1")</f>
        <v>Estrela 1</v>
      </c>
    </row>
    <row r="1207">
      <c r="G1207" s="5" t="str">
        <f>IFERROR(__xludf.DUMMYFUNCTION("""COMPUTED_VALUE"""),"302🤙🏼Kakushi-toride no san-akunin🤙🏼Misa Uehara🤙🏼Estrela 2")</f>
        <v>302🤙🏼Kakushi-toride no san-akunin🤙🏼Misa Uehara🤙🏼Estrela 2</v>
      </c>
      <c r="H1207" s="5">
        <f>IFERROR(__xludf.DUMMYFUNCTION("SPLiT(G1207, ""🤙🏼"",FALSE,FALSE)"),302.0)</f>
        <v>302</v>
      </c>
      <c r="I1207" s="5" t="str">
        <f>IFERROR(__xludf.DUMMYFUNCTION("""COMPUTED_VALUE"""),"Kakushi-toride no san-akunin")</f>
        <v>Kakushi-toride no san-akunin</v>
      </c>
      <c r="J1207" s="5" t="str">
        <f>IFERROR(__xludf.DUMMYFUNCTION("""COMPUTED_VALUE"""),"Misa Uehara")</f>
        <v>Misa Uehara</v>
      </c>
      <c r="K1207" s="5" t="str">
        <f>IFERROR(__xludf.DUMMYFUNCTION("""COMPUTED_VALUE"""),"Estrela 2")</f>
        <v>Estrela 2</v>
      </c>
      <c r="P1207" s="5">
        <f>IFERROR(__xludf.DUMMYFUNCTION("""COMPUTED_VALUE"""),302.0)</f>
        <v>302</v>
      </c>
      <c r="Q1207" s="5" t="str">
        <f>IFERROR(__xludf.DUMMYFUNCTION("""COMPUTED_VALUE"""),"Kakushi-toride no san-akunin")</f>
        <v>Kakushi-toride no san-akunin</v>
      </c>
      <c r="R1207" s="5" t="str">
        <f>IFERROR(__xludf.DUMMYFUNCTION("""COMPUTED_VALUE"""),"Misa Uehara")</f>
        <v>Misa Uehara</v>
      </c>
      <c r="S1207" s="5" t="str">
        <f>IFERROR(__xludf.DUMMYFUNCTION("""COMPUTED_VALUE"""),"Estrela 2")</f>
        <v>Estrela 2</v>
      </c>
    </row>
    <row r="1208">
      <c r="G1208" s="5" t="str">
        <f>IFERROR(__xludf.DUMMYFUNCTION("""COMPUTED_VALUE"""),"302🤙🏼Kakushi-toride no san-akunin🤙🏼Minoru Chiaki🤙🏼Estrela 3")</f>
        <v>302🤙🏼Kakushi-toride no san-akunin🤙🏼Minoru Chiaki🤙🏼Estrela 3</v>
      </c>
      <c r="H1208" s="5">
        <f>IFERROR(__xludf.DUMMYFUNCTION("SPLiT(G1208, ""🤙🏼"",FALSE,FALSE)"),302.0)</f>
        <v>302</v>
      </c>
      <c r="I1208" s="5" t="str">
        <f>IFERROR(__xludf.DUMMYFUNCTION("""COMPUTED_VALUE"""),"Kakushi-toride no san-akunin")</f>
        <v>Kakushi-toride no san-akunin</v>
      </c>
      <c r="J1208" s="5" t="str">
        <f>IFERROR(__xludf.DUMMYFUNCTION("""COMPUTED_VALUE"""),"Minoru Chiaki")</f>
        <v>Minoru Chiaki</v>
      </c>
      <c r="K1208" s="5" t="str">
        <f>IFERROR(__xludf.DUMMYFUNCTION("""COMPUTED_VALUE"""),"Estrela 3")</f>
        <v>Estrela 3</v>
      </c>
      <c r="P1208" s="5">
        <f>IFERROR(__xludf.DUMMYFUNCTION("""COMPUTED_VALUE"""),302.0)</f>
        <v>302</v>
      </c>
      <c r="Q1208" s="5" t="str">
        <f>IFERROR(__xludf.DUMMYFUNCTION("""COMPUTED_VALUE"""),"Kakushi-toride no san-akunin")</f>
        <v>Kakushi-toride no san-akunin</v>
      </c>
      <c r="R1208" s="5" t="str">
        <f>IFERROR(__xludf.DUMMYFUNCTION("""COMPUTED_VALUE"""),"Minoru Chiaki")</f>
        <v>Minoru Chiaki</v>
      </c>
      <c r="S1208" s="5" t="str">
        <f>IFERROR(__xludf.DUMMYFUNCTION("""COMPUTED_VALUE"""),"Estrela 3")</f>
        <v>Estrela 3</v>
      </c>
    </row>
    <row r="1209">
      <c r="G1209" s="5" t="str">
        <f>IFERROR(__xludf.DUMMYFUNCTION("""COMPUTED_VALUE"""),"302🤙🏼Kakushi-toride no san-akunin🤙🏼Kamatari Fujiwara🤙🏼Estrela 4")</f>
        <v>302🤙🏼Kakushi-toride no san-akunin🤙🏼Kamatari Fujiwara🤙🏼Estrela 4</v>
      </c>
      <c r="H1209" s="5">
        <f>IFERROR(__xludf.DUMMYFUNCTION("SPLiT(G1209, ""🤙🏼"",FALSE,FALSE)"),302.0)</f>
        <v>302</v>
      </c>
      <c r="I1209" s="5" t="str">
        <f>IFERROR(__xludf.DUMMYFUNCTION("""COMPUTED_VALUE"""),"Kakushi-toride no san-akunin")</f>
        <v>Kakushi-toride no san-akunin</v>
      </c>
      <c r="J1209" s="5" t="str">
        <f>IFERROR(__xludf.DUMMYFUNCTION("""COMPUTED_VALUE"""),"Kamatari Fujiwara")</f>
        <v>Kamatari Fujiwara</v>
      </c>
      <c r="K1209" s="5" t="str">
        <f>IFERROR(__xludf.DUMMYFUNCTION("""COMPUTED_VALUE"""),"Estrela 4")</f>
        <v>Estrela 4</v>
      </c>
      <c r="P1209" s="5">
        <f>IFERROR(__xludf.DUMMYFUNCTION("""COMPUTED_VALUE"""),302.0)</f>
        <v>302</v>
      </c>
      <c r="Q1209" s="5" t="str">
        <f>IFERROR(__xludf.DUMMYFUNCTION("""COMPUTED_VALUE"""),"Kakushi-toride no san-akunin")</f>
        <v>Kakushi-toride no san-akunin</v>
      </c>
      <c r="R1209" s="5" t="str">
        <f>IFERROR(__xludf.DUMMYFUNCTION("""COMPUTED_VALUE"""),"Kamatari Fujiwara")</f>
        <v>Kamatari Fujiwara</v>
      </c>
      <c r="S1209" s="5" t="str">
        <f>IFERROR(__xludf.DUMMYFUNCTION("""COMPUTED_VALUE"""),"Estrela 4")</f>
        <v>Estrela 4</v>
      </c>
    </row>
    <row r="1210">
      <c r="G1210" s="5" t="str">
        <f>IFERROR(__xludf.DUMMYFUNCTION("""COMPUTED_VALUE"""),"303🤙🏼Le notti di Cabiria🤙🏼Giulietta Masina🤙🏼Estrela 1")</f>
        <v>303🤙🏼Le notti di Cabiria🤙🏼Giulietta Masina🤙🏼Estrela 1</v>
      </c>
      <c r="H1210" s="5">
        <f>IFERROR(__xludf.DUMMYFUNCTION("SPLiT(G1210, ""🤙🏼"",FALSE,FALSE)"),303.0)</f>
        <v>303</v>
      </c>
      <c r="I1210" s="5" t="str">
        <f>IFERROR(__xludf.DUMMYFUNCTION("""COMPUTED_VALUE"""),"Le notti di Cabiria")</f>
        <v>Le notti di Cabiria</v>
      </c>
      <c r="J1210" s="5" t="str">
        <f>IFERROR(__xludf.DUMMYFUNCTION("""COMPUTED_VALUE"""),"Giulietta Masina")</f>
        <v>Giulietta Masina</v>
      </c>
      <c r="K1210" s="5" t="str">
        <f>IFERROR(__xludf.DUMMYFUNCTION("""COMPUTED_VALUE"""),"Estrela 1")</f>
        <v>Estrela 1</v>
      </c>
      <c r="P1210" s="5">
        <f>IFERROR(__xludf.DUMMYFUNCTION("""COMPUTED_VALUE"""),303.0)</f>
        <v>303</v>
      </c>
      <c r="Q1210" s="5" t="str">
        <f>IFERROR(__xludf.DUMMYFUNCTION("""COMPUTED_VALUE"""),"Le notti di Cabiria")</f>
        <v>Le notti di Cabiria</v>
      </c>
      <c r="R1210" s="5" t="str">
        <f>IFERROR(__xludf.DUMMYFUNCTION("""COMPUTED_VALUE"""),"Giulietta Masina")</f>
        <v>Giulietta Masina</v>
      </c>
      <c r="S1210" s="5" t="str">
        <f>IFERROR(__xludf.DUMMYFUNCTION("""COMPUTED_VALUE"""),"Estrela 1")</f>
        <v>Estrela 1</v>
      </c>
    </row>
    <row r="1211">
      <c r="G1211" s="5" t="str">
        <f>IFERROR(__xludf.DUMMYFUNCTION("""COMPUTED_VALUE"""),"303🤙🏼Le notti di Cabiria🤙🏼François Périer🤙🏼Estrela 2")</f>
        <v>303🤙🏼Le notti di Cabiria🤙🏼François Périer🤙🏼Estrela 2</v>
      </c>
      <c r="H1211" s="5">
        <f>IFERROR(__xludf.DUMMYFUNCTION("SPLiT(G1211, ""🤙🏼"",FALSE,FALSE)"),303.0)</f>
        <v>303</v>
      </c>
      <c r="I1211" s="5" t="str">
        <f>IFERROR(__xludf.DUMMYFUNCTION("""COMPUTED_VALUE"""),"Le notti di Cabiria")</f>
        <v>Le notti di Cabiria</v>
      </c>
      <c r="J1211" s="5" t="str">
        <f>IFERROR(__xludf.DUMMYFUNCTION("""COMPUTED_VALUE"""),"François Périer")</f>
        <v>François Périer</v>
      </c>
      <c r="K1211" s="5" t="str">
        <f>IFERROR(__xludf.DUMMYFUNCTION("""COMPUTED_VALUE"""),"Estrela 2")</f>
        <v>Estrela 2</v>
      </c>
      <c r="P1211" s="5">
        <f>IFERROR(__xludf.DUMMYFUNCTION("""COMPUTED_VALUE"""),303.0)</f>
        <v>303</v>
      </c>
      <c r="Q1211" s="5" t="str">
        <f>IFERROR(__xludf.DUMMYFUNCTION("""COMPUTED_VALUE"""),"Le notti di Cabiria")</f>
        <v>Le notti di Cabiria</v>
      </c>
      <c r="R1211" s="5" t="str">
        <f>IFERROR(__xludf.DUMMYFUNCTION("""COMPUTED_VALUE"""),"François Périer")</f>
        <v>François Périer</v>
      </c>
      <c r="S1211" s="5" t="str">
        <f>IFERROR(__xludf.DUMMYFUNCTION("""COMPUTED_VALUE"""),"Estrela 2")</f>
        <v>Estrela 2</v>
      </c>
    </row>
    <row r="1212">
      <c r="G1212" s="5" t="str">
        <f>IFERROR(__xludf.DUMMYFUNCTION("""COMPUTED_VALUE"""),"303🤙🏼Le notti di Cabiria🤙🏼Franca Marzi🤙🏼Estrela 3")</f>
        <v>303🤙🏼Le notti di Cabiria🤙🏼Franca Marzi🤙🏼Estrela 3</v>
      </c>
      <c r="H1212" s="5">
        <f>IFERROR(__xludf.DUMMYFUNCTION("SPLiT(G1212, ""🤙🏼"",FALSE,FALSE)"),303.0)</f>
        <v>303</v>
      </c>
      <c r="I1212" s="5" t="str">
        <f>IFERROR(__xludf.DUMMYFUNCTION("""COMPUTED_VALUE"""),"Le notti di Cabiria")</f>
        <v>Le notti di Cabiria</v>
      </c>
      <c r="J1212" s="5" t="str">
        <f>IFERROR(__xludf.DUMMYFUNCTION("""COMPUTED_VALUE"""),"Franca Marzi")</f>
        <v>Franca Marzi</v>
      </c>
      <c r="K1212" s="5" t="str">
        <f>IFERROR(__xludf.DUMMYFUNCTION("""COMPUTED_VALUE"""),"Estrela 3")</f>
        <v>Estrela 3</v>
      </c>
      <c r="P1212" s="5">
        <f>IFERROR(__xludf.DUMMYFUNCTION("""COMPUTED_VALUE"""),303.0)</f>
        <v>303</v>
      </c>
      <c r="Q1212" s="5" t="str">
        <f>IFERROR(__xludf.DUMMYFUNCTION("""COMPUTED_VALUE"""),"Le notti di Cabiria")</f>
        <v>Le notti di Cabiria</v>
      </c>
      <c r="R1212" s="5" t="str">
        <f>IFERROR(__xludf.DUMMYFUNCTION("""COMPUTED_VALUE"""),"Franca Marzi")</f>
        <v>Franca Marzi</v>
      </c>
      <c r="S1212" s="5" t="str">
        <f>IFERROR(__xludf.DUMMYFUNCTION("""COMPUTED_VALUE"""),"Estrela 3")</f>
        <v>Estrela 3</v>
      </c>
    </row>
    <row r="1213">
      <c r="G1213" s="5" t="str">
        <f>IFERROR(__xludf.DUMMYFUNCTION("""COMPUTED_VALUE"""),"303🤙🏼Le notti di Cabiria🤙🏼Dorian Gray🤙🏼Estrela 4")</f>
        <v>303🤙🏼Le notti di Cabiria🤙🏼Dorian Gray🤙🏼Estrela 4</v>
      </c>
      <c r="H1213" s="5">
        <f>IFERROR(__xludf.DUMMYFUNCTION("SPLiT(G1213, ""🤙🏼"",FALSE,FALSE)"),303.0)</f>
        <v>303</v>
      </c>
      <c r="I1213" s="5" t="str">
        <f>IFERROR(__xludf.DUMMYFUNCTION("""COMPUTED_VALUE"""),"Le notti di Cabiria")</f>
        <v>Le notti di Cabiria</v>
      </c>
      <c r="J1213" s="5" t="str">
        <f>IFERROR(__xludf.DUMMYFUNCTION("""COMPUTED_VALUE"""),"Dorian Gray")</f>
        <v>Dorian Gray</v>
      </c>
      <c r="K1213" s="5" t="str">
        <f>IFERROR(__xludf.DUMMYFUNCTION("""COMPUTED_VALUE"""),"Estrela 4")</f>
        <v>Estrela 4</v>
      </c>
      <c r="P1213" s="5">
        <f>IFERROR(__xludf.DUMMYFUNCTION("""COMPUTED_VALUE"""),303.0)</f>
        <v>303</v>
      </c>
      <c r="Q1213" s="5" t="str">
        <f>IFERROR(__xludf.DUMMYFUNCTION("""COMPUTED_VALUE"""),"Le notti di Cabiria")</f>
        <v>Le notti di Cabiria</v>
      </c>
      <c r="R1213" s="5" t="str">
        <f>IFERROR(__xludf.DUMMYFUNCTION("""COMPUTED_VALUE"""),"Dorian Gray")</f>
        <v>Dorian Gray</v>
      </c>
      <c r="S1213" s="5" t="str">
        <f>IFERROR(__xludf.DUMMYFUNCTION("""COMPUTED_VALUE"""),"Estrela 4")</f>
        <v>Estrela 4</v>
      </c>
    </row>
    <row r="1214">
      <c r="G1214" s="5" t="str">
        <f>IFERROR(__xludf.DUMMYFUNCTION("""COMPUTED_VALUE"""),"304🤙🏼Kumonosu-jô🤙🏼Toshirô Mifune🤙🏼Estrela 1")</f>
        <v>304🤙🏼Kumonosu-jô🤙🏼Toshirô Mifune🤙🏼Estrela 1</v>
      </c>
      <c r="H1214" s="5">
        <f>IFERROR(__xludf.DUMMYFUNCTION("SPLiT(G1214, ""🤙🏼"",FALSE,FALSE)"),304.0)</f>
        <v>304</v>
      </c>
      <c r="I1214" s="5" t="str">
        <f>IFERROR(__xludf.DUMMYFUNCTION("""COMPUTED_VALUE"""),"Kumonosu-jô")</f>
        <v>Kumonosu-jô</v>
      </c>
      <c r="J1214" s="5" t="str">
        <f>IFERROR(__xludf.DUMMYFUNCTION("""COMPUTED_VALUE"""),"Toshirô Mifune")</f>
        <v>Toshirô Mifune</v>
      </c>
      <c r="K1214" s="5" t="str">
        <f>IFERROR(__xludf.DUMMYFUNCTION("""COMPUTED_VALUE"""),"Estrela 1")</f>
        <v>Estrela 1</v>
      </c>
      <c r="P1214" s="5">
        <f>IFERROR(__xludf.DUMMYFUNCTION("""COMPUTED_VALUE"""),304.0)</f>
        <v>304</v>
      </c>
      <c r="Q1214" s="5" t="str">
        <f>IFERROR(__xludf.DUMMYFUNCTION("""COMPUTED_VALUE"""),"Kumonosu-jô")</f>
        <v>Kumonosu-jô</v>
      </c>
      <c r="R1214" s="5" t="str">
        <f>IFERROR(__xludf.DUMMYFUNCTION("""COMPUTED_VALUE"""),"Toshirô Mifune")</f>
        <v>Toshirô Mifune</v>
      </c>
      <c r="S1214" s="5" t="str">
        <f>IFERROR(__xludf.DUMMYFUNCTION("""COMPUTED_VALUE"""),"Estrela 1")</f>
        <v>Estrela 1</v>
      </c>
    </row>
    <row r="1215">
      <c r="G1215" s="5" t="str">
        <f>IFERROR(__xludf.DUMMYFUNCTION("""COMPUTED_VALUE"""),"304🤙🏼Kumonosu-jô🤙🏼Minoru Chiaki🤙🏼Estrela 2")</f>
        <v>304🤙🏼Kumonosu-jô🤙🏼Minoru Chiaki🤙🏼Estrela 2</v>
      </c>
      <c r="H1215" s="5">
        <f>IFERROR(__xludf.DUMMYFUNCTION("SPLiT(G1215, ""🤙🏼"",FALSE,FALSE)"),304.0)</f>
        <v>304</v>
      </c>
      <c r="I1215" s="5" t="str">
        <f>IFERROR(__xludf.DUMMYFUNCTION("""COMPUTED_VALUE"""),"Kumonosu-jô")</f>
        <v>Kumonosu-jô</v>
      </c>
      <c r="J1215" s="5" t="str">
        <f>IFERROR(__xludf.DUMMYFUNCTION("""COMPUTED_VALUE"""),"Minoru Chiaki")</f>
        <v>Minoru Chiaki</v>
      </c>
      <c r="K1215" s="5" t="str">
        <f>IFERROR(__xludf.DUMMYFUNCTION("""COMPUTED_VALUE"""),"Estrela 2")</f>
        <v>Estrela 2</v>
      </c>
      <c r="P1215" s="5">
        <f>IFERROR(__xludf.DUMMYFUNCTION("""COMPUTED_VALUE"""),304.0)</f>
        <v>304</v>
      </c>
      <c r="Q1215" s="5" t="str">
        <f>IFERROR(__xludf.DUMMYFUNCTION("""COMPUTED_VALUE"""),"Kumonosu-jô")</f>
        <v>Kumonosu-jô</v>
      </c>
      <c r="R1215" s="5" t="str">
        <f>IFERROR(__xludf.DUMMYFUNCTION("""COMPUTED_VALUE"""),"Minoru Chiaki")</f>
        <v>Minoru Chiaki</v>
      </c>
      <c r="S1215" s="5" t="str">
        <f>IFERROR(__xludf.DUMMYFUNCTION("""COMPUTED_VALUE"""),"Estrela 2")</f>
        <v>Estrela 2</v>
      </c>
    </row>
    <row r="1216">
      <c r="G1216" s="5" t="str">
        <f>IFERROR(__xludf.DUMMYFUNCTION("""COMPUTED_VALUE"""),"304🤙🏼Kumonosu-jô🤙🏼Isuzu Yamada🤙🏼Estrela 3")</f>
        <v>304🤙🏼Kumonosu-jô🤙🏼Isuzu Yamada🤙🏼Estrela 3</v>
      </c>
      <c r="H1216" s="5">
        <f>IFERROR(__xludf.DUMMYFUNCTION("SPLiT(G1216, ""🤙🏼"",FALSE,FALSE)"),304.0)</f>
        <v>304</v>
      </c>
      <c r="I1216" s="5" t="str">
        <f>IFERROR(__xludf.DUMMYFUNCTION("""COMPUTED_VALUE"""),"Kumonosu-jô")</f>
        <v>Kumonosu-jô</v>
      </c>
      <c r="J1216" s="5" t="str">
        <f>IFERROR(__xludf.DUMMYFUNCTION("""COMPUTED_VALUE"""),"Isuzu Yamada")</f>
        <v>Isuzu Yamada</v>
      </c>
      <c r="K1216" s="5" t="str">
        <f>IFERROR(__xludf.DUMMYFUNCTION("""COMPUTED_VALUE"""),"Estrela 3")</f>
        <v>Estrela 3</v>
      </c>
      <c r="P1216" s="5">
        <f>IFERROR(__xludf.DUMMYFUNCTION("""COMPUTED_VALUE"""),304.0)</f>
        <v>304</v>
      </c>
      <c r="Q1216" s="5" t="str">
        <f>IFERROR(__xludf.DUMMYFUNCTION("""COMPUTED_VALUE"""),"Kumonosu-jô")</f>
        <v>Kumonosu-jô</v>
      </c>
      <c r="R1216" s="5" t="str">
        <f>IFERROR(__xludf.DUMMYFUNCTION("""COMPUTED_VALUE"""),"Isuzu Yamada")</f>
        <v>Isuzu Yamada</v>
      </c>
      <c r="S1216" s="5" t="str">
        <f>IFERROR(__xludf.DUMMYFUNCTION("""COMPUTED_VALUE"""),"Estrela 3")</f>
        <v>Estrela 3</v>
      </c>
    </row>
    <row r="1217">
      <c r="G1217" s="5" t="str">
        <f>IFERROR(__xludf.DUMMYFUNCTION("""COMPUTED_VALUE"""),"304🤙🏼Kumonosu-jô🤙🏼Takashi Shimura🤙🏼Estrela 4")</f>
        <v>304🤙🏼Kumonosu-jô🤙🏼Takashi Shimura🤙🏼Estrela 4</v>
      </c>
      <c r="H1217" s="5">
        <f>IFERROR(__xludf.DUMMYFUNCTION("SPLiT(G1217, ""🤙🏼"",FALSE,FALSE)"),304.0)</f>
        <v>304</v>
      </c>
      <c r="I1217" s="5" t="str">
        <f>IFERROR(__xludf.DUMMYFUNCTION("""COMPUTED_VALUE"""),"Kumonosu-jô")</f>
        <v>Kumonosu-jô</v>
      </c>
      <c r="J1217" s="5" t="str">
        <f>IFERROR(__xludf.DUMMYFUNCTION("""COMPUTED_VALUE"""),"Takashi Shimura")</f>
        <v>Takashi Shimura</v>
      </c>
      <c r="K1217" s="5" t="str">
        <f>IFERROR(__xludf.DUMMYFUNCTION("""COMPUTED_VALUE"""),"Estrela 4")</f>
        <v>Estrela 4</v>
      </c>
      <c r="P1217" s="5">
        <f>IFERROR(__xludf.DUMMYFUNCTION("""COMPUTED_VALUE"""),304.0)</f>
        <v>304</v>
      </c>
      <c r="Q1217" s="5" t="str">
        <f>IFERROR(__xludf.DUMMYFUNCTION("""COMPUTED_VALUE"""),"Kumonosu-jô")</f>
        <v>Kumonosu-jô</v>
      </c>
      <c r="R1217" s="5" t="str">
        <f>IFERROR(__xludf.DUMMYFUNCTION("""COMPUTED_VALUE"""),"Takashi Shimura")</f>
        <v>Takashi Shimura</v>
      </c>
      <c r="S1217" s="5" t="str">
        <f>IFERROR(__xludf.DUMMYFUNCTION("""COMPUTED_VALUE"""),"Estrela 4")</f>
        <v>Estrela 4</v>
      </c>
    </row>
    <row r="1218">
      <c r="G1218" s="5" t="str">
        <f>IFERROR(__xludf.DUMMYFUNCTION("""COMPUTED_VALUE"""),"305🤙🏼The Bridge on the River Kwai🤙🏼William Holden🤙🏼Estrela 1")</f>
        <v>305🤙🏼The Bridge on the River Kwai🤙🏼William Holden🤙🏼Estrela 1</v>
      </c>
      <c r="H1218" s="5">
        <f>IFERROR(__xludf.DUMMYFUNCTION("SPLiT(G1218, ""🤙🏼"",FALSE,FALSE)"),305.0)</f>
        <v>305</v>
      </c>
      <c r="I1218" s="5" t="str">
        <f>IFERROR(__xludf.DUMMYFUNCTION("""COMPUTED_VALUE"""),"The Bridge on the River Kwai")</f>
        <v>The Bridge on the River Kwai</v>
      </c>
      <c r="J1218" s="5" t="str">
        <f>IFERROR(__xludf.DUMMYFUNCTION("""COMPUTED_VALUE"""),"William Holden")</f>
        <v>William Holden</v>
      </c>
      <c r="K1218" s="5" t="str">
        <f>IFERROR(__xludf.DUMMYFUNCTION("""COMPUTED_VALUE"""),"Estrela 1")</f>
        <v>Estrela 1</v>
      </c>
      <c r="P1218" s="5">
        <f>IFERROR(__xludf.DUMMYFUNCTION("""COMPUTED_VALUE"""),305.0)</f>
        <v>305</v>
      </c>
      <c r="Q1218" s="5" t="str">
        <f>IFERROR(__xludf.DUMMYFUNCTION("""COMPUTED_VALUE"""),"The Bridge on the River Kwai")</f>
        <v>The Bridge on the River Kwai</v>
      </c>
      <c r="R1218" s="5" t="str">
        <f>IFERROR(__xludf.DUMMYFUNCTION("""COMPUTED_VALUE"""),"William Holden")</f>
        <v>William Holden</v>
      </c>
      <c r="S1218" s="5" t="str">
        <f>IFERROR(__xludf.DUMMYFUNCTION("""COMPUTED_VALUE"""),"Estrela 1")</f>
        <v>Estrela 1</v>
      </c>
    </row>
    <row r="1219">
      <c r="G1219" s="5" t="str">
        <f>IFERROR(__xludf.DUMMYFUNCTION("""COMPUTED_VALUE"""),"305🤙🏼The Bridge on the River Kwai🤙🏼Alec Guinness🤙🏼Estrela 2")</f>
        <v>305🤙🏼The Bridge on the River Kwai🤙🏼Alec Guinness🤙🏼Estrela 2</v>
      </c>
      <c r="H1219" s="5">
        <f>IFERROR(__xludf.DUMMYFUNCTION("SPLiT(G1219, ""🤙🏼"",FALSE,FALSE)"),305.0)</f>
        <v>305</v>
      </c>
      <c r="I1219" s="5" t="str">
        <f>IFERROR(__xludf.DUMMYFUNCTION("""COMPUTED_VALUE"""),"The Bridge on the River Kwai")</f>
        <v>The Bridge on the River Kwai</v>
      </c>
      <c r="J1219" s="5" t="str">
        <f>IFERROR(__xludf.DUMMYFUNCTION("""COMPUTED_VALUE"""),"Alec Guinness")</f>
        <v>Alec Guinness</v>
      </c>
      <c r="K1219" s="5" t="str">
        <f>IFERROR(__xludf.DUMMYFUNCTION("""COMPUTED_VALUE"""),"Estrela 2")</f>
        <v>Estrela 2</v>
      </c>
      <c r="P1219" s="5">
        <f>IFERROR(__xludf.DUMMYFUNCTION("""COMPUTED_VALUE"""),305.0)</f>
        <v>305</v>
      </c>
      <c r="Q1219" s="5" t="str">
        <f>IFERROR(__xludf.DUMMYFUNCTION("""COMPUTED_VALUE"""),"The Bridge on the River Kwai")</f>
        <v>The Bridge on the River Kwai</v>
      </c>
      <c r="R1219" s="5" t="str">
        <f>IFERROR(__xludf.DUMMYFUNCTION("""COMPUTED_VALUE"""),"Alec Guinness")</f>
        <v>Alec Guinness</v>
      </c>
      <c r="S1219" s="5" t="str">
        <f>IFERROR(__xludf.DUMMYFUNCTION("""COMPUTED_VALUE"""),"Estrela 2")</f>
        <v>Estrela 2</v>
      </c>
    </row>
    <row r="1220">
      <c r="G1220" s="5" t="str">
        <f>IFERROR(__xludf.DUMMYFUNCTION("""COMPUTED_VALUE"""),"305🤙🏼The Bridge on the River Kwai🤙🏼Jack Hawkins🤙🏼Estrela 3")</f>
        <v>305🤙🏼The Bridge on the River Kwai🤙🏼Jack Hawkins🤙🏼Estrela 3</v>
      </c>
      <c r="H1220" s="5">
        <f>IFERROR(__xludf.DUMMYFUNCTION("SPLiT(G1220, ""🤙🏼"",FALSE,FALSE)"),305.0)</f>
        <v>305</v>
      </c>
      <c r="I1220" s="5" t="str">
        <f>IFERROR(__xludf.DUMMYFUNCTION("""COMPUTED_VALUE"""),"The Bridge on the River Kwai")</f>
        <v>The Bridge on the River Kwai</v>
      </c>
      <c r="J1220" s="5" t="str">
        <f>IFERROR(__xludf.DUMMYFUNCTION("""COMPUTED_VALUE"""),"Jack Hawkins")</f>
        <v>Jack Hawkins</v>
      </c>
      <c r="K1220" s="5" t="str">
        <f>IFERROR(__xludf.DUMMYFUNCTION("""COMPUTED_VALUE"""),"Estrela 3")</f>
        <v>Estrela 3</v>
      </c>
      <c r="P1220" s="5">
        <f>IFERROR(__xludf.DUMMYFUNCTION("""COMPUTED_VALUE"""),305.0)</f>
        <v>305</v>
      </c>
      <c r="Q1220" s="5" t="str">
        <f>IFERROR(__xludf.DUMMYFUNCTION("""COMPUTED_VALUE"""),"The Bridge on the River Kwai")</f>
        <v>The Bridge on the River Kwai</v>
      </c>
      <c r="R1220" s="5" t="str">
        <f>IFERROR(__xludf.DUMMYFUNCTION("""COMPUTED_VALUE"""),"Jack Hawkins")</f>
        <v>Jack Hawkins</v>
      </c>
      <c r="S1220" s="5" t="str">
        <f>IFERROR(__xludf.DUMMYFUNCTION("""COMPUTED_VALUE"""),"Estrela 3")</f>
        <v>Estrela 3</v>
      </c>
    </row>
    <row r="1221">
      <c r="G1221" s="5" t="str">
        <f>IFERROR(__xludf.DUMMYFUNCTION("""COMPUTED_VALUE"""),"305🤙🏼The Bridge on the River Kwai🤙🏼Sessue Hayakawa🤙🏼Estrela 4")</f>
        <v>305🤙🏼The Bridge on the River Kwai🤙🏼Sessue Hayakawa🤙🏼Estrela 4</v>
      </c>
      <c r="H1221" s="5">
        <f>IFERROR(__xludf.DUMMYFUNCTION("SPLiT(G1221, ""🤙🏼"",FALSE,FALSE)"),305.0)</f>
        <v>305</v>
      </c>
      <c r="I1221" s="5" t="str">
        <f>IFERROR(__xludf.DUMMYFUNCTION("""COMPUTED_VALUE"""),"The Bridge on the River Kwai")</f>
        <v>The Bridge on the River Kwai</v>
      </c>
      <c r="J1221" s="5" t="str">
        <f>IFERROR(__xludf.DUMMYFUNCTION("""COMPUTED_VALUE"""),"Sessue Hayakawa")</f>
        <v>Sessue Hayakawa</v>
      </c>
      <c r="K1221" s="5" t="str">
        <f>IFERROR(__xludf.DUMMYFUNCTION("""COMPUTED_VALUE"""),"Estrela 4")</f>
        <v>Estrela 4</v>
      </c>
      <c r="P1221" s="5">
        <f>IFERROR(__xludf.DUMMYFUNCTION("""COMPUTED_VALUE"""),305.0)</f>
        <v>305</v>
      </c>
      <c r="Q1221" s="5" t="str">
        <f>IFERROR(__xludf.DUMMYFUNCTION("""COMPUTED_VALUE"""),"The Bridge on the River Kwai")</f>
        <v>The Bridge on the River Kwai</v>
      </c>
      <c r="R1221" s="5" t="str">
        <f>IFERROR(__xludf.DUMMYFUNCTION("""COMPUTED_VALUE"""),"Sessue Hayakawa")</f>
        <v>Sessue Hayakawa</v>
      </c>
      <c r="S1221" s="5" t="str">
        <f>IFERROR(__xludf.DUMMYFUNCTION("""COMPUTED_VALUE"""),"Estrela 4")</f>
        <v>Estrela 4</v>
      </c>
    </row>
    <row r="1222">
      <c r="G1222" s="5" t="str">
        <f>IFERROR(__xludf.DUMMYFUNCTION("""COMPUTED_VALUE"""),"306🤙🏼On the Waterfront🤙🏼Marlon Brando🤙🏼Estrela 1")</f>
        <v>306🤙🏼On the Waterfront🤙🏼Marlon Brando🤙🏼Estrela 1</v>
      </c>
      <c r="H1222" s="5">
        <f>IFERROR(__xludf.DUMMYFUNCTION("SPLiT(G1222, ""🤙🏼"",FALSE,FALSE)"),306.0)</f>
        <v>306</v>
      </c>
      <c r="I1222" s="5" t="str">
        <f>IFERROR(__xludf.DUMMYFUNCTION("""COMPUTED_VALUE"""),"On the Waterfront")</f>
        <v>On the Waterfront</v>
      </c>
      <c r="J1222" s="5" t="str">
        <f>IFERROR(__xludf.DUMMYFUNCTION("""COMPUTED_VALUE"""),"Marlon Brando")</f>
        <v>Marlon Brando</v>
      </c>
      <c r="K1222" s="5" t="str">
        <f>IFERROR(__xludf.DUMMYFUNCTION("""COMPUTED_VALUE"""),"Estrela 1")</f>
        <v>Estrela 1</v>
      </c>
      <c r="P1222" s="5">
        <f>IFERROR(__xludf.DUMMYFUNCTION("""COMPUTED_VALUE"""),306.0)</f>
        <v>306</v>
      </c>
      <c r="Q1222" s="5" t="str">
        <f>IFERROR(__xludf.DUMMYFUNCTION("""COMPUTED_VALUE"""),"On the Waterfront")</f>
        <v>On the Waterfront</v>
      </c>
      <c r="R1222" s="5" t="str">
        <f>IFERROR(__xludf.DUMMYFUNCTION("""COMPUTED_VALUE"""),"Marlon Brando")</f>
        <v>Marlon Brando</v>
      </c>
      <c r="S1222" s="5" t="str">
        <f>IFERROR(__xludf.DUMMYFUNCTION("""COMPUTED_VALUE"""),"Estrela 1")</f>
        <v>Estrela 1</v>
      </c>
    </row>
    <row r="1223">
      <c r="G1223" s="5" t="str">
        <f>IFERROR(__xludf.DUMMYFUNCTION("""COMPUTED_VALUE"""),"306🤙🏼On the Waterfront🤙🏼Karl Malden🤙🏼Estrela 2")</f>
        <v>306🤙🏼On the Waterfront🤙🏼Karl Malden🤙🏼Estrela 2</v>
      </c>
      <c r="H1223" s="5">
        <f>IFERROR(__xludf.DUMMYFUNCTION("SPLiT(G1223, ""🤙🏼"",FALSE,FALSE)"),306.0)</f>
        <v>306</v>
      </c>
      <c r="I1223" s="5" t="str">
        <f>IFERROR(__xludf.DUMMYFUNCTION("""COMPUTED_VALUE"""),"On the Waterfront")</f>
        <v>On the Waterfront</v>
      </c>
      <c r="J1223" s="5" t="str">
        <f>IFERROR(__xludf.DUMMYFUNCTION("""COMPUTED_VALUE"""),"Karl Malden")</f>
        <v>Karl Malden</v>
      </c>
      <c r="K1223" s="5" t="str">
        <f>IFERROR(__xludf.DUMMYFUNCTION("""COMPUTED_VALUE"""),"Estrela 2")</f>
        <v>Estrela 2</v>
      </c>
      <c r="P1223" s="5">
        <f>IFERROR(__xludf.DUMMYFUNCTION("""COMPUTED_VALUE"""),306.0)</f>
        <v>306</v>
      </c>
      <c r="Q1223" s="5" t="str">
        <f>IFERROR(__xludf.DUMMYFUNCTION("""COMPUTED_VALUE"""),"On the Waterfront")</f>
        <v>On the Waterfront</v>
      </c>
      <c r="R1223" s="5" t="str">
        <f>IFERROR(__xludf.DUMMYFUNCTION("""COMPUTED_VALUE"""),"Karl Malden")</f>
        <v>Karl Malden</v>
      </c>
      <c r="S1223" s="5" t="str">
        <f>IFERROR(__xludf.DUMMYFUNCTION("""COMPUTED_VALUE"""),"Estrela 2")</f>
        <v>Estrela 2</v>
      </c>
    </row>
    <row r="1224">
      <c r="G1224" s="5" t="str">
        <f>IFERROR(__xludf.DUMMYFUNCTION("""COMPUTED_VALUE"""),"306🤙🏼On the Waterfront🤙🏼Lee J. Cobb🤙🏼Estrela 3")</f>
        <v>306🤙🏼On the Waterfront🤙🏼Lee J. Cobb🤙🏼Estrela 3</v>
      </c>
      <c r="H1224" s="5">
        <f>IFERROR(__xludf.DUMMYFUNCTION("SPLiT(G1224, ""🤙🏼"",FALSE,FALSE)"),306.0)</f>
        <v>306</v>
      </c>
      <c r="I1224" s="5" t="str">
        <f>IFERROR(__xludf.DUMMYFUNCTION("""COMPUTED_VALUE"""),"On the Waterfront")</f>
        <v>On the Waterfront</v>
      </c>
      <c r="J1224" s="5" t="str">
        <f>IFERROR(__xludf.DUMMYFUNCTION("""COMPUTED_VALUE"""),"Lee J. Cobb")</f>
        <v>Lee J. Cobb</v>
      </c>
      <c r="K1224" s="5" t="str">
        <f>IFERROR(__xludf.DUMMYFUNCTION("""COMPUTED_VALUE"""),"Estrela 3")</f>
        <v>Estrela 3</v>
      </c>
      <c r="P1224" s="5">
        <f>IFERROR(__xludf.DUMMYFUNCTION("""COMPUTED_VALUE"""),306.0)</f>
        <v>306</v>
      </c>
      <c r="Q1224" s="5" t="str">
        <f>IFERROR(__xludf.DUMMYFUNCTION("""COMPUTED_VALUE"""),"On the Waterfront")</f>
        <v>On the Waterfront</v>
      </c>
      <c r="R1224" s="5" t="str">
        <f>IFERROR(__xludf.DUMMYFUNCTION("""COMPUTED_VALUE"""),"Lee J. Cobb")</f>
        <v>Lee J. Cobb</v>
      </c>
      <c r="S1224" s="5" t="str">
        <f>IFERROR(__xludf.DUMMYFUNCTION("""COMPUTED_VALUE"""),"Estrela 3")</f>
        <v>Estrela 3</v>
      </c>
    </row>
    <row r="1225">
      <c r="G1225" s="5" t="str">
        <f>IFERROR(__xludf.DUMMYFUNCTION("""COMPUTED_VALUE"""),"306🤙🏼On the Waterfront🤙🏼Rod Steiger🤙🏼Estrela 4")</f>
        <v>306🤙🏼On the Waterfront🤙🏼Rod Steiger🤙🏼Estrela 4</v>
      </c>
      <c r="H1225" s="5">
        <f>IFERROR(__xludf.DUMMYFUNCTION("SPLiT(G1225, ""🤙🏼"",FALSE,FALSE)"),306.0)</f>
        <v>306</v>
      </c>
      <c r="I1225" s="5" t="str">
        <f>IFERROR(__xludf.DUMMYFUNCTION("""COMPUTED_VALUE"""),"On the Waterfront")</f>
        <v>On the Waterfront</v>
      </c>
      <c r="J1225" s="5" t="str">
        <f>IFERROR(__xludf.DUMMYFUNCTION("""COMPUTED_VALUE"""),"Rod Steiger")</f>
        <v>Rod Steiger</v>
      </c>
      <c r="K1225" s="5" t="str">
        <f>IFERROR(__xludf.DUMMYFUNCTION("""COMPUTED_VALUE"""),"Estrela 4")</f>
        <v>Estrela 4</v>
      </c>
      <c r="P1225" s="5">
        <f>IFERROR(__xludf.DUMMYFUNCTION("""COMPUTED_VALUE"""),306.0)</f>
        <v>306</v>
      </c>
      <c r="Q1225" s="5" t="str">
        <f>IFERROR(__xludf.DUMMYFUNCTION("""COMPUTED_VALUE"""),"On the Waterfront")</f>
        <v>On the Waterfront</v>
      </c>
      <c r="R1225" s="5" t="str">
        <f>IFERROR(__xludf.DUMMYFUNCTION("""COMPUTED_VALUE"""),"Rod Steiger")</f>
        <v>Rod Steiger</v>
      </c>
      <c r="S1225" s="5" t="str">
        <f>IFERROR(__xludf.DUMMYFUNCTION("""COMPUTED_VALUE"""),"Estrela 4")</f>
        <v>Estrela 4</v>
      </c>
    </row>
    <row r="1226">
      <c r="G1226" s="5" t="str">
        <f>IFERROR(__xludf.DUMMYFUNCTION("""COMPUTED_VALUE"""),"307🤙🏼Le salaire de la peur🤙🏼Yves Montand🤙🏼Estrela 1")</f>
        <v>307🤙🏼Le salaire de la peur🤙🏼Yves Montand🤙🏼Estrela 1</v>
      </c>
      <c r="H1226" s="5">
        <f>IFERROR(__xludf.DUMMYFUNCTION("SPLiT(G1226, ""🤙🏼"",FALSE,FALSE)"),307.0)</f>
        <v>307</v>
      </c>
      <c r="I1226" s="5" t="str">
        <f>IFERROR(__xludf.DUMMYFUNCTION("""COMPUTED_VALUE"""),"Le salaire de la peur")</f>
        <v>Le salaire de la peur</v>
      </c>
      <c r="J1226" s="5" t="str">
        <f>IFERROR(__xludf.DUMMYFUNCTION("""COMPUTED_VALUE"""),"Yves Montand")</f>
        <v>Yves Montand</v>
      </c>
      <c r="K1226" s="5" t="str">
        <f>IFERROR(__xludf.DUMMYFUNCTION("""COMPUTED_VALUE"""),"Estrela 1")</f>
        <v>Estrela 1</v>
      </c>
      <c r="P1226" s="5">
        <f>IFERROR(__xludf.DUMMYFUNCTION("""COMPUTED_VALUE"""),307.0)</f>
        <v>307</v>
      </c>
      <c r="Q1226" s="5" t="str">
        <f>IFERROR(__xludf.DUMMYFUNCTION("""COMPUTED_VALUE"""),"Le salaire de la peur")</f>
        <v>Le salaire de la peur</v>
      </c>
      <c r="R1226" s="5" t="str">
        <f>IFERROR(__xludf.DUMMYFUNCTION("""COMPUTED_VALUE"""),"Yves Montand")</f>
        <v>Yves Montand</v>
      </c>
      <c r="S1226" s="5" t="str">
        <f>IFERROR(__xludf.DUMMYFUNCTION("""COMPUTED_VALUE"""),"Estrela 1")</f>
        <v>Estrela 1</v>
      </c>
    </row>
    <row r="1227">
      <c r="G1227" s="5" t="str">
        <f>IFERROR(__xludf.DUMMYFUNCTION("""COMPUTED_VALUE"""),"307🤙🏼Le salaire de la peur🤙🏼Charles Vanel🤙🏼Estrela 2")</f>
        <v>307🤙🏼Le salaire de la peur🤙🏼Charles Vanel🤙🏼Estrela 2</v>
      </c>
      <c r="H1227" s="5">
        <f>IFERROR(__xludf.DUMMYFUNCTION("SPLiT(G1227, ""🤙🏼"",FALSE,FALSE)"),307.0)</f>
        <v>307</v>
      </c>
      <c r="I1227" s="5" t="str">
        <f>IFERROR(__xludf.DUMMYFUNCTION("""COMPUTED_VALUE"""),"Le salaire de la peur")</f>
        <v>Le salaire de la peur</v>
      </c>
      <c r="J1227" s="5" t="str">
        <f>IFERROR(__xludf.DUMMYFUNCTION("""COMPUTED_VALUE"""),"Charles Vanel")</f>
        <v>Charles Vanel</v>
      </c>
      <c r="K1227" s="5" t="str">
        <f>IFERROR(__xludf.DUMMYFUNCTION("""COMPUTED_VALUE"""),"Estrela 2")</f>
        <v>Estrela 2</v>
      </c>
      <c r="P1227" s="5">
        <f>IFERROR(__xludf.DUMMYFUNCTION("""COMPUTED_VALUE"""),307.0)</f>
        <v>307</v>
      </c>
      <c r="Q1227" s="5" t="str">
        <f>IFERROR(__xludf.DUMMYFUNCTION("""COMPUTED_VALUE"""),"Le salaire de la peur")</f>
        <v>Le salaire de la peur</v>
      </c>
      <c r="R1227" s="5" t="str">
        <f>IFERROR(__xludf.DUMMYFUNCTION("""COMPUTED_VALUE"""),"Charles Vanel")</f>
        <v>Charles Vanel</v>
      </c>
      <c r="S1227" s="5" t="str">
        <f>IFERROR(__xludf.DUMMYFUNCTION("""COMPUTED_VALUE"""),"Estrela 2")</f>
        <v>Estrela 2</v>
      </c>
    </row>
    <row r="1228">
      <c r="G1228" s="5" t="str">
        <f>IFERROR(__xludf.DUMMYFUNCTION("""COMPUTED_VALUE"""),"307🤙🏼Le salaire de la peur🤙🏼Peter van Eyck🤙🏼Estrela 3")</f>
        <v>307🤙🏼Le salaire de la peur🤙🏼Peter van Eyck🤙🏼Estrela 3</v>
      </c>
      <c r="H1228" s="5">
        <f>IFERROR(__xludf.DUMMYFUNCTION("SPLiT(G1228, ""🤙🏼"",FALSE,FALSE)"),307.0)</f>
        <v>307</v>
      </c>
      <c r="I1228" s="5" t="str">
        <f>IFERROR(__xludf.DUMMYFUNCTION("""COMPUTED_VALUE"""),"Le salaire de la peur")</f>
        <v>Le salaire de la peur</v>
      </c>
      <c r="J1228" s="5" t="str">
        <f>IFERROR(__xludf.DUMMYFUNCTION("""COMPUTED_VALUE"""),"Peter van Eyck")</f>
        <v>Peter van Eyck</v>
      </c>
      <c r="K1228" s="5" t="str">
        <f>IFERROR(__xludf.DUMMYFUNCTION("""COMPUTED_VALUE"""),"Estrela 3")</f>
        <v>Estrela 3</v>
      </c>
      <c r="P1228" s="5">
        <f>IFERROR(__xludf.DUMMYFUNCTION("""COMPUTED_VALUE"""),307.0)</f>
        <v>307</v>
      </c>
      <c r="Q1228" s="5" t="str">
        <f>IFERROR(__xludf.DUMMYFUNCTION("""COMPUTED_VALUE"""),"Le salaire de la peur")</f>
        <v>Le salaire de la peur</v>
      </c>
      <c r="R1228" s="5" t="str">
        <f>IFERROR(__xludf.DUMMYFUNCTION("""COMPUTED_VALUE"""),"Peter van Eyck")</f>
        <v>Peter van Eyck</v>
      </c>
      <c r="S1228" s="5" t="str">
        <f>IFERROR(__xludf.DUMMYFUNCTION("""COMPUTED_VALUE"""),"Estrela 3")</f>
        <v>Estrela 3</v>
      </c>
    </row>
    <row r="1229">
      <c r="G1229" s="5" t="str">
        <f>IFERROR(__xludf.DUMMYFUNCTION("""COMPUTED_VALUE"""),"307🤙🏼Le salaire de la peur🤙🏼Folco Lulli🤙🏼Estrela 4")</f>
        <v>307🤙🏼Le salaire de la peur🤙🏼Folco Lulli🤙🏼Estrela 4</v>
      </c>
      <c r="H1229" s="5">
        <f>IFERROR(__xludf.DUMMYFUNCTION("SPLiT(G1229, ""🤙🏼"",FALSE,FALSE)"),307.0)</f>
        <v>307</v>
      </c>
      <c r="I1229" s="5" t="str">
        <f>IFERROR(__xludf.DUMMYFUNCTION("""COMPUTED_VALUE"""),"Le salaire de la peur")</f>
        <v>Le salaire de la peur</v>
      </c>
      <c r="J1229" s="5" t="str">
        <f>IFERROR(__xludf.DUMMYFUNCTION("""COMPUTED_VALUE"""),"Folco Lulli")</f>
        <v>Folco Lulli</v>
      </c>
      <c r="K1229" s="5" t="str">
        <f>IFERROR(__xludf.DUMMYFUNCTION("""COMPUTED_VALUE"""),"Estrela 4")</f>
        <v>Estrela 4</v>
      </c>
      <c r="P1229" s="5">
        <f>IFERROR(__xludf.DUMMYFUNCTION("""COMPUTED_VALUE"""),307.0)</f>
        <v>307</v>
      </c>
      <c r="Q1229" s="5" t="str">
        <f>IFERROR(__xludf.DUMMYFUNCTION("""COMPUTED_VALUE"""),"Le salaire de la peur")</f>
        <v>Le salaire de la peur</v>
      </c>
      <c r="R1229" s="5" t="str">
        <f>IFERROR(__xludf.DUMMYFUNCTION("""COMPUTED_VALUE"""),"Folco Lulli")</f>
        <v>Folco Lulli</v>
      </c>
      <c r="S1229" s="5" t="str">
        <f>IFERROR(__xludf.DUMMYFUNCTION("""COMPUTED_VALUE"""),"Estrela 4")</f>
        <v>Estrela 4</v>
      </c>
    </row>
    <row r="1230">
      <c r="G1230" s="5" t="str">
        <f>IFERROR(__xludf.DUMMYFUNCTION("""COMPUTED_VALUE"""),"308🤙🏼Ace in the Hole🤙🏼Kirk Douglas🤙🏼Estrela 1")</f>
        <v>308🤙🏼Ace in the Hole🤙🏼Kirk Douglas🤙🏼Estrela 1</v>
      </c>
      <c r="H1230" s="5">
        <f>IFERROR(__xludf.DUMMYFUNCTION("SPLiT(G1230, ""🤙🏼"",FALSE,FALSE)"),308.0)</f>
        <v>308</v>
      </c>
      <c r="I1230" s="5" t="str">
        <f>IFERROR(__xludf.DUMMYFUNCTION("""COMPUTED_VALUE"""),"Ace in the Hole")</f>
        <v>Ace in the Hole</v>
      </c>
      <c r="J1230" s="5" t="str">
        <f>IFERROR(__xludf.DUMMYFUNCTION("""COMPUTED_VALUE"""),"Kirk Douglas")</f>
        <v>Kirk Douglas</v>
      </c>
      <c r="K1230" s="5" t="str">
        <f>IFERROR(__xludf.DUMMYFUNCTION("""COMPUTED_VALUE"""),"Estrela 1")</f>
        <v>Estrela 1</v>
      </c>
      <c r="P1230" s="5">
        <f>IFERROR(__xludf.DUMMYFUNCTION("""COMPUTED_VALUE"""),308.0)</f>
        <v>308</v>
      </c>
      <c r="Q1230" s="5" t="str">
        <f>IFERROR(__xludf.DUMMYFUNCTION("""COMPUTED_VALUE"""),"Ace in the Hole")</f>
        <v>Ace in the Hole</v>
      </c>
      <c r="R1230" s="5" t="str">
        <f>IFERROR(__xludf.DUMMYFUNCTION("""COMPUTED_VALUE"""),"Kirk Douglas")</f>
        <v>Kirk Douglas</v>
      </c>
      <c r="S1230" s="5" t="str">
        <f>IFERROR(__xludf.DUMMYFUNCTION("""COMPUTED_VALUE"""),"Estrela 1")</f>
        <v>Estrela 1</v>
      </c>
    </row>
    <row r="1231">
      <c r="G1231" s="5" t="str">
        <f>IFERROR(__xludf.DUMMYFUNCTION("""COMPUTED_VALUE"""),"308🤙🏼Ace in the Hole🤙🏼Jan Sterling🤙🏼Estrela 2")</f>
        <v>308🤙🏼Ace in the Hole🤙🏼Jan Sterling🤙🏼Estrela 2</v>
      </c>
      <c r="H1231" s="5">
        <f>IFERROR(__xludf.DUMMYFUNCTION("SPLiT(G1231, ""🤙🏼"",FALSE,FALSE)"),308.0)</f>
        <v>308</v>
      </c>
      <c r="I1231" s="5" t="str">
        <f>IFERROR(__xludf.DUMMYFUNCTION("""COMPUTED_VALUE"""),"Ace in the Hole")</f>
        <v>Ace in the Hole</v>
      </c>
      <c r="J1231" s="5" t="str">
        <f>IFERROR(__xludf.DUMMYFUNCTION("""COMPUTED_VALUE"""),"Jan Sterling")</f>
        <v>Jan Sterling</v>
      </c>
      <c r="K1231" s="5" t="str">
        <f>IFERROR(__xludf.DUMMYFUNCTION("""COMPUTED_VALUE"""),"Estrela 2")</f>
        <v>Estrela 2</v>
      </c>
      <c r="P1231" s="5">
        <f>IFERROR(__xludf.DUMMYFUNCTION("""COMPUTED_VALUE"""),308.0)</f>
        <v>308</v>
      </c>
      <c r="Q1231" s="5" t="str">
        <f>IFERROR(__xludf.DUMMYFUNCTION("""COMPUTED_VALUE"""),"Ace in the Hole")</f>
        <v>Ace in the Hole</v>
      </c>
      <c r="R1231" s="5" t="str">
        <f>IFERROR(__xludf.DUMMYFUNCTION("""COMPUTED_VALUE"""),"Jan Sterling")</f>
        <v>Jan Sterling</v>
      </c>
      <c r="S1231" s="5" t="str">
        <f>IFERROR(__xludf.DUMMYFUNCTION("""COMPUTED_VALUE"""),"Estrela 2")</f>
        <v>Estrela 2</v>
      </c>
    </row>
    <row r="1232">
      <c r="G1232" s="5" t="str">
        <f>IFERROR(__xludf.DUMMYFUNCTION("""COMPUTED_VALUE"""),"308🤙🏼Ace in the Hole🤙🏼Robert Arthur🤙🏼Estrela 3")</f>
        <v>308🤙🏼Ace in the Hole🤙🏼Robert Arthur🤙🏼Estrela 3</v>
      </c>
      <c r="H1232" s="5">
        <f>IFERROR(__xludf.DUMMYFUNCTION("SPLiT(G1232, ""🤙🏼"",FALSE,FALSE)"),308.0)</f>
        <v>308</v>
      </c>
      <c r="I1232" s="5" t="str">
        <f>IFERROR(__xludf.DUMMYFUNCTION("""COMPUTED_VALUE"""),"Ace in the Hole")</f>
        <v>Ace in the Hole</v>
      </c>
      <c r="J1232" s="5" t="str">
        <f>IFERROR(__xludf.DUMMYFUNCTION("""COMPUTED_VALUE"""),"Robert Arthur")</f>
        <v>Robert Arthur</v>
      </c>
      <c r="K1232" s="5" t="str">
        <f>IFERROR(__xludf.DUMMYFUNCTION("""COMPUTED_VALUE"""),"Estrela 3")</f>
        <v>Estrela 3</v>
      </c>
      <c r="P1232" s="5">
        <f>IFERROR(__xludf.DUMMYFUNCTION("""COMPUTED_VALUE"""),308.0)</f>
        <v>308</v>
      </c>
      <c r="Q1232" s="5" t="str">
        <f>IFERROR(__xludf.DUMMYFUNCTION("""COMPUTED_VALUE"""),"Ace in the Hole")</f>
        <v>Ace in the Hole</v>
      </c>
      <c r="R1232" s="5" t="str">
        <f>IFERROR(__xludf.DUMMYFUNCTION("""COMPUTED_VALUE"""),"Robert Arthur")</f>
        <v>Robert Arthur</v>
      </c>
      <c r="S1232" s="5" t="str">
        <f>IFERROR(__xludf.DUMMYFUNCTION("""COMPUTED_VALUE"""),"Estrela 3")</f>
        <v>Estrela 3</v>
      </c>
    </row>
    <row r="1233">
      <c r="G1233" s="5" t="str">
        <f>IFERROR(__xludf.DUMMYFUNCTION("""COMPUTED_VALUE"""),"308🤙🏼Ace in the Hole🤙🏼Porter Hall🤙🏼Estrela 4")</f>
        <v>308🤙🏼Ace in the Hole🤙🏼Porter Hall🤙🏼Estrela 4</v>
      </c>
      <c r="H1233" s="5">
        <f>IFERROR(__xludf.DUMMYFUNCTION("SPLiT(G1233, ""🤙🏼"",FALSE,FALSE)"),308.0)</f>
        <v>308</v>
      </c>
      <c r="I1233" s="5" t="str">
        <f>IFERROR(__xludf.DUMMYFUNCTION("""COMPUTED_VALUE"""),"Ace in the Hole")</f>
        <v>Ace in the Hole</v>
      </c>
      <c r="J1233" s="5" t="str">
        <f>IFERROR(__xludf.DUMMYFUNCTION("""COMPUTED_VALUE"""),"Porter Hall")</f>
        <v>Porter Hall</v>
      </c>
      <c r="K1233" s="5" t="str">
        <f>IFERROR(__xludf.DUMMYFUNCTION("""COMPUTED_VALUE"""),"Estrela 4")</f>
        <v>Estrela 4</v>
      </c>
      <c r="P1233" s="5">
        <f>IFERROR(__xludf.DUMMYFUNCTION("""COMPUTED_VALUE"""),308.0)</f>
        <v>308</v>
      </c>
      <c r="Q1233" s="5" t="str">
        <f>IFERROR(__xludf.DUMMYFUNCTION("""COMPUTED_VALUE"""),"Ace in the Hole")</f>
        <v>Ace in the Hole</v>
      </c>
      <c r="R1233" s="5" t="str">
        <f>IFERROR(__xludf.DUMMYFUNCTION("""COMPUTED_VALUE"""),"Porter Hall")</f>
        <v>Porter Hall</v>
      </c>
      <c r="S1233" s="5" t="str">
        <f>IFERROR(__xludf.DUMMYFUNCTION("""COMPUTED_VALUE"""),"Estrela 4")</f>
        <v>Estrela 4</v>
      </c>
    </row>
    <row r="1234">
      <c r="G1234" s="5" t="str">
        <f>IFERROR(__xludf.DUMMYFUNCTION("""COMPUTED_VALUE"""),"309🤙🏼White Heat🤙🏼James Cagney🤙🏼Estrela 1")</f>
        <v>309🤙🏼White Heat🤙🏼James Cagney🤙🏼Estrela 1</v>
      </c>
      <c r="H1234" s="5">
        <f>IFERROR(__xludf.DUMMYFUNCTION("SPLiT(G1234, ""🤙🏼"",FALSE,FALSE)"),309.0)</f>
        <v>309</v>
      </c>
      <c r="I1234" s="5" t="str">
        <f>IFERROR(__xludf.DUMMYFUNCTION("""COMPUTED_VALUE"""),"White Heat")</f>
        <v>White Heat</v>
      </c>
      <c r="J1234" s="5" t="str">
        <f>IFERROR(__xludf.DUMMYFUNCTION("""COMPUTED_VALUE"""),"James Cagney")</f>
        <v>James Cagney</v>
      </c>
      <c r="K1234" s="5" t="str">
        <f>IFERROR(__xludf.DUMMYFUNCTION("""COMPUTED_VALUE"""),"Estrela 1")</f>
        <v>Estrela 1</v>
      </c>
      <c r="P1234" s="5">
        <f>IFERROR(__xludf.DUMMYFUNCTION("""COMPUTED_VALUE"""),309.0)</f>
        <v>309</v>
      </c>
      <c r="Q1234" s="5" t="str">
        <f>IFERROR(__xludf.DUMMYFUNCTION("""COMPUTED_VALUE"""),"White Heat")</f>
        <v>White Heat</v>
      </c>
      <c r="R1234" s="5" t="str">
        <f>IFERROR(__xludf.DUMMYFUNCTION("""COMPUTED_VALUE"""),"James Cagney")</f>
        <v>James Cagney</v>
      </c>
      <c r="S1234" s="5" t="str">
        <f>IFERROR(__xludf.DUMMYFUNCTION("""COMPUTED_VALUE"""),"Estrela 1")</f>
        <v>Estrela 1</v>
      </c>
    </row>
    <row r="1235">
      <c r="G1235" s="5" t="str">
        <f>IFERROR(__xludf.DUMMYFUNCTION("""COMPUTED_VALUE"""),"309🤙🏼White Heat🤙🏼Virginia Mayo🤙🏼Estrela 2")</f>
        <v>309🤙🏼White Heat🤙🏼Virginia Mayo🤙🏼Estrela 2</v>
      </c>
      <c r="H1235" s="5">
        <f>IFERROR(__xludf.DUMMYFUNCTION("SPLiT(G1235, ""🤙🏼"",FALSE,FALSE)"),309.0)</f>
        <v>309</v>
      </c>
      <c r="I1235" s="5" t="str">
        <f>IFERROR(__xludf.DUMMYFUNCTION("""COMPUTED_VALUE"""),"White Heat")</f>
        <v>White Heat</v>
      </c>
      <c r="J1235" s="5" t="str">
        <f>IFERROR(__xludf.DUMMYFUNCTION("""COMPUTED_VALUE"""),"Virginia Mayo")</f>
        <v>Virginia Mayo</v>
      </c>
      <c r="K1235" s="5" t="str">
        <f>IFERROR(__xludf.DUMMYFUNCTION("""COMPUTED_VALUE"""),"Estrela 2")</f>
        <v>Estrela 2</v>
      </c>
      <c r="P1235" s="5">
        <f>IFERROR(__xludf.DUMMYFUNCTION("""COMPUTED_VALUE"""),309.0)</f>
        <v>309</v>
      </c>
      <c r="Q1235" s="5" t="str">
        <f>IFERROR(__xludf.DUMMYFUNCTION("""COMPUTED_VALUE"""),"White Heat")</f>
        <v>White Heat</v>
      </c>
      <c r="R1235" s="5" t="str">
        <f>IFERROR(__xludf.DUMMYFUNCTION("""COMPUTED_VALUE"""),"Virginia Mayo")</f>
        <v>Virginia Mayo</v>
      </c>
      <c r="S1235" s="5" t="str">
        <f>IFERROR(__xludf.DUMMYFUNCTION("""COMPUTED_VALUE"""),"Estrela 2")</f>
        <v>Estrela 2</v>
      </c>
    </row>
    <row r="1236">
      <c r="G1236" s="5" t="str">
        <f>IFERROR(__xludf.DUMMYFUNCTION("""COMPUTED_VALUE"""),"309🤙🏼White Heat🤙🏼Edmond O'Brien🤙🏼Estrela 3")</f>
        <v>309🤙🏼White Heat🤙🏼Edmond O'Brien🤙🏼Estrela 3</v>
      </c>
      <c r="H1236" s="5">
        <f>IFERROR(__xludf.DUMMYFUNCTION("SPLiT(G1236, ""🤙🏼"",FALSE,FALSE)"),309.0)</f>
        <v>309</v>
      </c>
      <c r="I1236" s="5" t="str">
        <f>IFERROR(__xludf.DUMMYFUNCTION("""COMPUTED_VALUE"""),"White Heat")</f>
        <v>White Heat</v>
      </c>
      <c r="J1236" s="5" t="str">
        <f>IFERROR(__xludf.DUMMYFUNCTION("""COMPUTED_VALUE"""),"Edmond O'Brien")</f>
        <v>Edmond O'Brien</v>
      </c>
      <c r="K1236" s="5" t="str">
        <f>IFERROR(__xludf.DUMMYFUNCTION("""COMPUTED_VALUE"""),"Estrela 3")</f>
        <v>Estrela 3</v>
      </c>
      <c r="P1236" s="5">
        <f>IFERROR(__xludf.DUMMYFUNCTION("""COMPUTED_VALUE"""),309.0)</f>
        <v>309</v>
      </c>
      <c r="Q1236" s="5" t="str">
        <f>IFERROR(__xludf.DUMMYFUNCTION("""COMPUTED_VALUE"""),"White Heat")</f>
        <v>White Heat</v>
      </c>
      <c r="R1236" s="5" t="str">
        <f>IFERROR(__xludf.DUMMYFUNCTION("""COMPUTED_VALUE"""),"Edmond O'Brien")</f>
        <v>Edmond O'Brien</v>
      </c>
      <c r="S1236" s="5" t="str">
        <f>IFERROR(__xludf.DUMMYFUNCTION("""COMPUTED_VALUE"""),"Estrela 3")</f>
        <v>Estrela 3</v>
      </c>
    </row>
    <row r="1237">
      <c r="G1237" s="5" t="str">
        <f>IFERROR(__xludf.DUMMYFUNCTION("""COMPUTED_VALUE"""),"309🤙🏼White Heat🤙🏼Margaret Wycherly🤙🏼Estrela 4")</f>
        <v>309🤙🏼White Heat🤙🏼Margaret Wycherly🤙🏼Estrela 4</v>
      </c>
      <c r="H1237" s="5">
        <f>IFERROR(__xludf.DUMMYFUNCTION("SPLiT(G1237, ""🤙🏼"",FALSE,FALSE)"),309.0)</f>
        <v>309</v>
      </c>
      <c r="I1237" s="5" t="str">
        <f>IFERROR(__xludf.DUMMYFUNCTION("""COMPUTED_VALUE"""),"White Heat")</f>
        <v>White Heat</v>
      </c>
      <c r="J1237" s="5" t="str">
        <f>IFERROR(__xludf.DUMMYFUNCTION("""COMPUTED_VALUE"""),"Margaret Wycherly")</f>
        <v>Margaret Wycherly</v>
      </c>
      <c r="K1237" s="5" t="str">
        <f>IFERROR(__xludf.DUMMYFUNCTION("""COMPUTED_VALUE"""),"Estrela 4")</f>
        <v>Estrela 4</v>
      </c>
      <c r="P1237" s="5">
        <f>IFERROR(__xludf.DUMMYFUNCTION("""COMPUTED_VALUE"""),309.0)</f>
        <v>309</v>
      </c>
      <c r="Q1237" s="5" t="str">
        <f>IFERROR(__xludf.DUMMYFUNCTION("""COMPUTED_VALUE"""),"White Heat")</f>
        <v>White Heat</v>
      </c>
      <c r="R1237" s="5" t="str">
        <f>IFERROR(__xludf.DUMMYFUNCTION("""COMPUTED_VALUE"""),"Margaret Wycherly")</f>
        <v>Margaret Wycherly</v>
      </c>
      <c r="S1237" s="5" t="str">
        <f>IFERROR(__xludf.DUMMYFUNCTION("""COMPUTED_VALUE"""),"Estrela 4")</f>
        <v>Estrela 4</v>
      </c>
    </row>
    <row r="1238">
      <c r="G1238" s="5" t="str">
        <f>IFERROR(__xludf.DUMMYFUNCTION("""COMPUTED_VALUE"""),"310🤙🏼The Third Man🤙🏼Orson Welles🤙🏼Estrela 1")</f>
        <v>310🤙🏼The Third Man🤙🏼Orson Welles🤙🏼Estrela 1</v>
      </c>
      <c r="H1238" s="5">
        <f>IFERROR(__xludf.DUMMYFUNCTION("SPLiT(G1238, ""🤙🏼"",FALSE,FALSE)"),310.0)</f>
        <v>310</v>
      </c>
      <c r="I1238" s="5" t="str">
        <f>IFERROR(__xludf.DUMMYFUNCTION("""COMPUTED_VALUE"""),"The Third Man")</f>
        <v>The Third Man</v>
      </c>
      <c r="J1238" s="5" t="str">
        <f>IFERROR(__xludf.DUMMYFUNCTION("""COMPUTED_VALUE"""),"Orson Welles")</f>
        <v>Orson Welles</v>
      </c>
      <c r="K1238" s="5" t="str">
        <f>IFERROR(__xludf.DUMMYFUNCTION("""COMPUTED_VALUE"""),"Estrela 1")</f>
        <v>Estrela 1</v>
      </c>
      <c r="P1238" s="5">
        <f>IFERROR(__xludf.DUMMYFUNCTION("""COMPUTED_VALUE"""),310.0)</f>
        <v>310</v>
      </c>
      <c r="Q1238" s="5" t="str">
        <f>IFERROR(__xludf.DUMMYFUNCTION("""COMPUTED_VALUE"""),"The Third Man")</f>
        <v>The Third Man</v>
      </c>
      <c r="R1238" s="5" t="str">
        <f>IFERROR(__xludf.DUMMYFUNCTION("""COMPUTED_VALUE"""),"Orson Welles")</f>
        <v>Orson Welles</v>
      </c>
      <c r="S1238" s="5" t="str">
        <f>IFERROR(__xludf.DUMMYFUNCTION("""COMPUTED_VALUE"""),"Estrela 1")</f>
        <v>Estrela 1</v>
      </c>
    </row>
    <row r="1239">
      <c r="G1239" s="5" t="str">
        <f>IFERROR(__xludf.DUMMYFUNCTION("""COMPUTED_VALUE"""),"310🤙🏼The Third Man🤙🏼Joseph Cotten🤙🏼Estrela 2")</f>
        <v>310🤙🏼The Third Man🤙🏼Joseph Cotten🤙🏼Estrela 2</v>
      </c>
      <c r="H1239" s="5">
        <f>IFERROR(__xludf.DUMMYFUNCTION("SPLiT(G1239, ""🤙🏼"",FALSE,FALSE)"),310.0)</f>
        <v>310</v>
      </c>
      <c r="I1239" s="5" t="str">
        <f>IFERROR(__xludf.DUMMYFUNCTION("""COMPUTED_VALUE"""),"The Third Man")</f>
        <v>The Third Man</v>
      </c>
      <c r="J1239" s="5" t="str">
        <f>IFERROR(__xludf.DUMMYFUNCTION("""COMPUTED_VALUE"""),"Joseph Cotten")</f>
        <v>Joseph Cotten</v>
      </c>
      <c r="K1239" s="5" t="str">
        <f>IFERROR(__xludf.DUMMYFUNCTION("""COMPUTED_VALUE"""),"Estrela 2")</f>
        <v>Estrela 2</v>
      </c>
      <c r="P1239" s="5">
        <f>IFERROR(__xludf.DUMMYFUNCTION("""COMPUTED_VALUE"""),310.0)</f>
        <v>310</v>
      </c>
      <c r="Q1239" s="5" t="str">
        <f>IFERROR(__xludf.DUMMYFUNCTION("""COMPUTED_VALUE"""),"The Third Man")</f>
        <v>The Third Man</v>
      </c>
      <c r="R1239" s="5" t="str">
        <f>IFERROR(__xludf.DUMMYFUNCTION("""COMPUTED_VALUE"""),"Joseph Cotten")</f>
        <v>Joseph Cotten</v>
      </c>
      <c r="S1239" s="5" t="str">
        <f>IFERROR(__xludf.DUMMYFUNCTION("""COMPUTED_VALUE"""),"Estrela 2")</f>
        <v>Estrela 2</v>
      </c>
    </row>
    <row r="1240">
      <c r="G1240" s="5" t="str">
        <f>IFERROR(__xludf.DUMMYFUNCTION("""COMPUTED_VALUE"""),"310🤙🏼The Third Man🤙🏼Alida Valli🤙🏼Estrela 3")</f>
        <v>310🤙🏼The Third Man🤙🏼Alida Valli🤙🏼Estrela 3</v>
      </c>
      <c r="H1240" s="5">
        <f>IFERROR(__xludf.DUMMYFUNCTION("SPLiT(G1240, ""🤙🏼"",FALSE,FALSE)"),310.0)</f>
        <v>310</v>
      </c>
      <c r="I1240" s="5" t="str">
        <f>IFERROR(__xludf.DUMMYFUNCTION("""COMPUTED_VALUE"""),"The Third Man")</f>
        <v>The Third Man</v>
      </c>
      <c r="J1240" s="5" t="str">
        <f>IFERROR(__xludf.DUMMYFUNCTION("""COMPUTED_VALUE"""),"Alida Valli")</f>
        <v>Alida Valli</v>
      </c>
      <c r="K1240" s="5" t="str">
        <f>IFERROR(__xludf.DUMMYFUNCTION("""COMPUTED_VALUE"""),"Estrela 3")</f>
        <v>Estrela 3</v>
      </c>
      <c r="P1240" s="5">
        <f>IFERROR(__xludf.DUMMYFUNCTION("""COMPUTED_VALUE"""),310.0)</f>
        <v>310</v>
      </c>
      <c r="Q1240" s="5" t="str">
        <f>IFERROR(__xludf.DUMMYFUNCTION("""COMPUTED_VALUE"""),"The Third Man")</f>
        <v>The Third Man</v>
      </c>
      <c r="R1240" s="5" t="str">
        <f>IFERROR(__xludf.DUMMYFUNCTION("""COMPUTED_VALUE"""),"Alida Valli")</f>
        <v>Alida Valli</v>
      </c>
      <c r="S1240" s="5" t="str">
        <f>IFERROR(__xludf.DUMMYFUNCTION("""COMPUTED_VALUE"""),"Estrela 3")</f>
        <v>Estrela 3</v>
      </c>
    </row>
    <row r="1241">
      <c r="G1241" s="5" t="str">
        <f>IFERROR(__xludf.DUMMYFUNCTION("""COMPUTED_VALUE"""),"310🤙🏼The Third Man🤙🏼Trevor Howard🤙🏼Estrela 4")</f>
        <v>310🤙🏼The Third Man🤙🏼Trevor Howard🤙🏼Estrela 4</v>
      </c>
      <c r="H1241" s="5">
        <f>IFERROR(__xludf.DUMMYFUNCTION("SPLiT(G1241, ""🤙🏼"",FALSE,FALSE)"),310.0)</f>
        <v>310</v>
      </c>
      <c r="I1241" s="5" t="str">
        <f>IFERROR(__xludf.DUMMYFUNCTION("""COMPUTED_VALUE"""),"The Third Man")</f>
        <v>The Third Man</v>
      </c>
      <c r="J1241" s="5" t="str">
        <f>IFERROR(__xludf.DUMMYFUNCTION("""COMPUTED_VALUE"""),"Trevor Howard")</f>
        <v>Trevor Howard</v>
      </c>
      <c r="K1241" s="5" t="str">
        <f>IFERROR(__xludf.DUMMYFUNCTION("""COMPUTED_VALUE"""),"Estrela 4")</f>
        <v>Estrela 4</v>
      </c>
      <c r="P1241" s="5">
        <f>IFERROR(__xludf.DUMMYFUNCTION("""COMPUTED_VALUE"""),310.0)</f>
        <v>310</v>
      </c>
      <c r="Q1241" s="5" t="str">
        <f>IFERROR(__xludf.DUMMYFUNCTION("""COMPUTED_VALUE"""),"The Third Man")</f>
        <v>The Third Man</v>
      </c>
      <c r="R1241" s="5" t="str">
        <f>IFERROR(__xludf.DUMMYFUNCTION("""COMPUTED_VALUE"""),"Trevor Howard")</f>
        <v>Trevor Howard</v>
      </c>
      <c r="S1241" s="5" t="str">
        <f>IFERROR(__xludf.DUMMYFUNCTION("""COMPUTED_VALUE"""),"Estrela 4")</f>
        <v>Estrela 4</v>
      </c>
    </row>
    <row r="1242">
      <c r="G1242" s="5" t="str">
        <f>IFERROR(__xludf.DUMMYFUNCTION("""COMPUTED_VALUE"""),"311🤙🏼The Red Shoes🤙🏼Emeric Pressburger🤙🏼Estrela 1")</f>
        <v>311🤙🏼The Red Shoes🤙🏼Emeric Pressburger🤙🏼Estrela 1</v>
      </c>
      <c r="H1242" s="5">
        <f>IFERROR(__xludf.DUMMYFUNCTION("SPLiT(G1242, ""🤙🏼"",FALSE,FALSE)"),311.0)</f>
        <v>311</v>
      </c>
      <c r="I1242" s="5" t="str">
        <f>IFERROR(__xludf.DUMMYFUNCTION("""COMPUTED_VALUE"""),"The Red Shoes")</f>
        <v>The Red Shoes</v>
      </c>
      <c r="J1242" s="5" t="str">
        <f>IFERROR(__xludf.DUMMYFUNCTION("""COMPUTED_VALUE"""),"Emeric Pressburger")</f>
        <v>Emeric Pressburger</v>
      </c>
      <c r="K1242" s="5" t="str">
        <f>IFERROR(__xludf.DUMMYFUNCTION("""COMPUTED_VALUE"""),"Estrela 1")</f>
        <v>Estrela 1</v>
      </c>
      <c r="P1242" s="5">
        <f>IFERROR(__xludf.DUMMYFUNCTION("""COMPUTED_VALUE"""),311.0)</f>
        <v>311</v>
      </c>
      <c r="Q1242" s="5" t="str">
        <f>IFERROR(__xludf.DUMMYFUNCTION("""COMPUTED_VALUE"""),"The Red Shoes")</f>
        <v>The Red Shoes</v>
      </c>
      <c r="R1242" s="5" t="str">
        <f>IFERROR(__xludf.DUMMYFUNCTION("""COMPUTED_VALUE"""),"Emeric Pressburger")</f>
        <v>Emeric Pressburger</v>
      </c>
      <c r="S1242" s="5" t="str">
        <f>IFERROR(__xludf.DUMMYFUNCTION("""COMPUTED_VALUE"""),"Estrela 1")</f>
        <v>Estrela 1</v>
      </c>
    </row>
    <row r="1243">
      <c r="G1243" s="5" t="str">
        <f>IFERROR(__xludf.DUMMYFUNCTION("""COMPUTED_VALUE"""),"311🤙🏼The Red Shoes🤙🏼Anton Walbrook🤙🏼Estrela 2")</f>
        <v>311🤙🏼The Red Shoes🤙🏼Anton Walbrook🤙🏼Estrela 2</v>
      </c>
      <c r="H1243" s="5">
        <f>IFERROR(__xludf.DUMMYFUNCTION("SPLiT(G1243, ""🤙🏼"",FALSE,FALSE)"),311.0)</f>
        <v>311</v>
      </c>
      <c r="I1243" s="5" t="str">
        <f>IFERROR(__xludf.DUMMYFUNCTION("""COMPUTED_VALUE"""),"The Red Shoes")</f>
        <v>The Red Shoes</v>
      </c>
      <c r="J1243" s="5" t="str">
        <f>IFERROR(__xludf.DUMMYFUNCTION("""COMPUTED_VALUE"""),"Anton Walbrook")</f>
        <v>Anton Walbrook</v>
      </c>
      <c r="K1243" s="5" t="str">
        <f>IFERROR(__xludf.DUMMYFUNCTION("""COMPUTED_VALUE"""),"Estrela 2")</f>
        <v>Estrela 2</v>
      </c>
      <c r="P1243" s="5">
        <f>IFERROR(__xludf.DUMMYFUNCTION("""COMPUTED_VALUE"""),311.0)</f>
        <v>311</v>
      </c>
      <c r="Q1243" s="5" t="str">
        <f>IFERROR(__xludf.DUMMYFUNCTION("""COMPUTED_VALUE"""),"The Red Shoes")</f>
        <v>The Red Shoes</v>
      </c>
      <c r="R1243" s="5" t="str">
        <f>IFERROR(__xludf.DUMMYFUNCTION("""COMPUTED_VALUE"""),"Anton Walbrook")</f>
        <v>Anton Walbrook</v>
      </c>
      <c r="S1243" s="5" t="str">
        <f>IFERROR(__xludf.DUMMYFUNCTION("""COMPUTED_VALUE"""),"Estrela 2")</f>
        <v>Estrela 2</v>
      </c>
    </row>
    <row r="1244">
      <c r="G1244" s="5" t="str">
        <f>IFERROR(__xludf.DUMMYFUNCTION("""COMPUTED_VALUE"""),"311🤙🏼The Red Shoes🤙🏼Marius Goring🤙🏼Estrela 3")</f>
        <v>311🤙🏼The Red Shoes🤙🏼Marius Goring🤙🏼Estrela 3</v>
      </c>
      <c r="H1244" s="5">
        <f>IFERROR(__xludf.DUMMYFUNCTION("SPLiT(G1244, ""🤙🏼"",FALSE,FALSE)"),311.0)</f>
        <v>311</v>
      </c>
      <c r="I1244" s="5" t="str">
        <f>IFERROR(__xludf.DUMMYFUNCTION("""COMPUTED_VALUE"""),"The Red Shoes")</f>
        <v>The Red Shoes</v>
      </c>
      <c r="J1244" s="5" t="str">
        <f>IFERROR(__xludf.DUMMYFUNCTION("""COMPUTED_VALUE"""),"Marius Goring")</f>
        <v>Marius Goring</v>
      </c>
      <c r="K1244" s="5" t="str">
        <f>IFERROR(__xludf.DUMMYFUNCTION("""COMPUTED_VALUE"""),"Estrela 3")</f>
        <v>Estrela 3</v>
      </c>
      <c r="P1244" s="5">
        <f>IFERROR(__xludf.DUMMYFUNCTION("""COMPUTED_VALUE"""),311.0)</f>
        <v>311</v>
      </c>
      <c r="Q1244" s="5" t="str">
        <f>IFERROR(__xludf.DUMMYFUNCTION("""COMPUTED_VALUE"""),"The Red Shoes")</f>
        <v>The Red Shoes</v>
      </c>
      <c r="R1244" s="5" t="str">
        <f>IFERROR(__xludf.DUMMYFUNCTION("""COMPUTED_VALUE"""),"Marius Goring")</f>
        <v>Marius Goring</v>
      </c>
      <c r="S1244" s="5" t="str">
        <f>IFERROR(__xludf.DUMMYFUNCTION("""COMPUTED_VALUE"""),"Estrela 3")</f>
        <v>Estrela 3</v>
      </c>
    </row>
    <row r="1245">
      <c r="G1245" s="5" t="str">
        <f>IFERROR(__xludf.DUMMYFUNCTION("""COMPUTED_VALUE"""),"311🤙🏼The Red Shoes🤙🏼Moira Shearer🤙🏼Estrela 4")</f>
        <v>311🤙🏼The Red Shoes🤙🏼Moira Shearer🤙🏼Estrela 4</v>
      </c>
      <c r="H1245" s="5">
        <f>IFERROR(__xludf.DUMMYFUNCTION("SPLiT(G1245, ""🤙🏼"",FALSE,FALSE)"),311.0)</f>
        <v>311</v>
      </c>
      <c r="I1245" s="5" t="str">
        <f>IFERROR(__xludf.DUMMYFUNCTION("""COMPUTED_VALUE"""),"The Red Shoes")</f>
        <v>The Red Shoes</v>
      </c>
      <c r="J1245" s="5" t="str">
        <f>IFERROR(__xludf.DUMMYFUNCTION("""COMPUTED_VALUE"""),"Moira Shearer")</f>
        <v>Moira Shearer</v>
      </c>
      <c r="K1245" s="5" t="str">
        <f>IFERROR(__xludf.DUMMYFUNCTION("""COMPUTED_VALUE"""),"Estrela 4")</f>
        <v>Estrela 4</v>
      </c>
      <c r="P1245" s="5">
        <f>IFERROR(__xludf.DUMMYFUNCTION("""COMPUTED_VALUE"""),311.0)</f>
        <v>311</v>
      </c>
      <c r="Q1245" s="5" t="str">
        <f>IFERROR(__xludf.DUMMYFUNCTION("""COMPUTED_VALUE"""),"The Red Shoes")</f>
        <v>The Red Shoes</v>
      </c>
      <c r="R1245" s="5" t="str">
        <f>IFERROR(__xludf.DUMMYFUNCTION("""COMPUTED_VALUE"""),"Moira Shearer")</f>
        <v>Moira Shearer</v>
      </c>
      <c r="S1245" s="5" t="str">
        <f>IFERROR(__xludf.DUMMYFUNCTION("""COMPUTED_VALUE"""),"Estrela 4")</f>
        <v>Estrela 4</v>
      </c>
    </row>
    <row r="1246">
      <c r="G1246" s="5" t="str">
        <f>IFERROR(__xludf.DUMMYFUNCTION("""COMPUTED_VALUE"""),"312🤙🏼The Shop Around the Corner🤙🏼Margaret Sullavan🤙🏼Estrela 1")</f>
        <v>312🤙🏼The Shop Around the Corner🤙🏼Margaret Sullavan🤙🏼Estrela 1</v>
      </c>
      <c r="H1246" s="5">
        <f>IFERROR(__xludf.DUMMYFUNCTION("SPLiT(G1246, ""🤙🏼"",FALSE,FALSE)"),312.0)</f>
        <v>312</v>
      </c>
      <c r="I1246" s="5" t="str">
        <f>IFERROR(__xludf.DUMMYFUNCTION("""COMPUTED_VALUE"""),"The Shop Around the Corner")</f>
        <v>The Shop Around the Corner</v>
      </c>
      <c r="J1246" s="5" t="str">
        <f>IFERROR(__xludf.DUMMYFUNCTION("""COMPUTED_VALUE"""),"Margaret Sullavan")</f>
        <v>Margaret Sullavan</v>
      </c>
      <c r="K1246" s="5" t="str">
        <f>IFERROR(__xludf.DUMMYFUNCTION("""COMPUTED_VALUE"""),"Estrela 1")</f>
        <v>Estrela 1</v>
      </c>
      <c r="P1246" s="5">
        <f>IFERROR(__xludf.DUMMYFUNCTION("""COMPUTED_VALUE"""),312.0)</f>
        <v>312</v>
      </c>
      <c r="Q1246" s="5" t="str">
        <f>IFERROR(__xludf.DUMMYFUNCTION("""COMPUTED_VALUE"""),"The Shop Around the Corner")</f>
        <v>The Shop Around the Corner</v>
      </c>
      <c r="R1246" s="5" t="str">
        <f>IFERROR(__xludf.DUMMYFUNCTION("""COMPUTED_VALUE"""),"Margaret Sullavan")</f>
        <v>Margaret Sullavan</v>
      </c>
      <c r="S1246" s="5" t="str">
        <f>IFERROR(__xludf.DUMMYFUNCTION("""COMPUTED_VALUE"""),"Estrela 1")</f>
        <v>Estrela 1</v>
      </c>
    </row>
    <row r="1247">
      <c r="G1247" s="5" t="str">
        <f>IFERROR(__xludf.DUMMYFUNCTION("""COMPUTED_VALUE"""),"312🤙🏼The Shop Around the Corner🤙🏼James Stewart🤙🏼Estrela 2")</f>
        <v>312🤙🏼The Shop Around the Corner🤙🏼James Stewart🤙🏼Estrela 2</v>
      </c>
      <c r="H1247" s="5">
        <f>IFERROR(__xludf.DUMMYFUNCTION("SPLiT(G1247, ""🤙🏼"",FALSE,FALSE)"),312.0)</f>
        <v>312</v>
      </c>
      <c r="I1247" s="5" t="str">
        <f>IFERROR(__xludf.DUMMYFUNCTION("""COMPUTED_VALUE"""),"The Shop Around the Corner")</f>
        <v>The Shop Around the Corner</v>
      </c>
      <c r="J1247" s="5" t="str">
        <f>IFERROR(__xludf.DUMMYFUNCTION("""COMPUTED_VALUE"""),"James Stewart")</f>
        <v>James Stewart</v>
      </c>
      <c r="K1247" s="5" t="str">
        <f>IFERROR(__xludf.DUMMYFUNCTION("""COMPUTED_VALUE"""),"Estrela 2")</f>
        <v>Estrela 2</v>
      </c>
      <c r="P1247" s="5">
        <f>IFERROR(__xludf.DUMMYFUNCTION("""COMPUTED_VALUE"""),312.0)</f>
        <v>312</v>
      </c>
      <c r="Q1247" s="5" t="str">
        <f>IFERROR(__xludf.DUMMYFUNCTION("""COMPUTED_VALUE"""),"The Shop Around the Corner")</f>
        <v>The Shop Around the Corner</v>
      </c>
      <c r="R1247" s="5" t="str">
        <f>IFERROR(__xludf.DUMMYFUNCTION("""COMPUTED_VALUE"""),"James Stewart")</f>
        <v>James Stewart</v>
      </c>
      <c r="S1247" s="5" t="str">
        <f>IFERROR(__xludf.DUMMYFUNCTION("""COMPUTED_VALUE"""),"Estrela 2")</f>
        <v>Estrela 2</v>
      </c>
    </row>
    <row r="1248">
      <c r="G1248" s="5" t="str">
        <f>IFERROR(__xludf.DUMMYFUNCTION("""COMPUTED_VALUE"""),"312🤙🏼The Shop Around the Corner🤙🏼Frank Morgan🤙🏼Estrela 3")</f>
        <v>312🤙🏼The Shop Around the Corner🤙🏼Frank Morgan🤙🏼Estrela 3</v>
      </c>
      <c r="H1248" s="5">
        <f>IFERROR(__xludf.DUMMYFUNCTION("SPLiT(G1248, ""🤙🏼"",FALSE,FALSE)"),312.0)</f>
        <v>312</v>
      </c>
      <c r="I1248" s="5" t="str">
        <f>IFERROR(__xludf.DUMMYFUNCTION("""COMPUTED_VALUE"""),"The Shop Around the Corner")</f>
        <v>The Shop Around the Corner</v>
      </c>
      <c r="J1248" s="5" t="str">
        <f>IFERROR(__xludf.DUMMYFUNCTION("""COMPUTED_VALUE"""),"Frank Morgan")</f>
        <v>Frank Morgan</v>
      </c>
      <c r="K1248" s="5" t="str">
        <f>IFERROR(__xludf.DUMMYFUNCTION("""COMPUTED_VALUE"""),"Estrela 3")</f>
        <v>Estrela 3</v>
      </c>
      <c r="P1248" s="5">
        <f>IFERROR(__xludf.DUMMYFUNCTION("""COMPUTED_VALUE"""),312.0)</f>
        <v>312</v>
      </c>
      <c r="Q1248" s="5" t="str">
        <f>IFERROR(__xludf.DUMMYFUNCTION("""COMPUTED_VALUE"""),"The Shop Around the Corner")</f>
        <v>The Shop Around the Corner</v>
      </c>
      <c r="R1248" s="5" t="str">
        <f>IFERROR(__xludf.DUMMYFUNCTION("""COMPUTED_VALUE"""),"Frank Morgan")</f>
        <v>Frank Morgan</v>
      </c>
      <c r="S1248" s="5" t="str">
        <f>IFERROR(__xludf.DUMMYFUNCTION("""COMPUTED_VALUE"""),"Estrela 3")</f>
        <v>Estrela 3</v>
      </c>
    </row>
    <row r="1249">
      <c r="G1249" s="5" t="str">
        <f>IFERROR(__xludf.DUMMYFUNCTION("""COMPUTED_VALUE"""),"312🤙🏼The Shop Around the Corner🤙🏼Joseph Schildkraut🤙🏼Estrela 4")</f>
        <v>312🤙🏼The Shop Around the Corner🤙🏼Joseph Schildkraut🤙🏼Estrela 4</v>
      </c>
      <c r="H1249" s="5">
        <f>IFERROR(__xludf.DUMMYFUNCTION("SPLiT(G1249, ""🤙🏼"",FALSE,FALSE)"),312.0)</f>
        <v>312</v>
      </c>
      <c r="I1249" s="5" t="str">
        <f>IFERROR(__xludf.DUMMYFUNCTION("""COMPUTED_VALUE"""),"The Shop Around the Corner")</f>
        <v>The Shop Around the Corner</v>
      </c>
      <c r="J1249" s="5" t="str">
        <f>IFERROR(__xludf.DUMMYFUNCTION("""COMPUTED_VALUE"""),"Joseph Schildkraut")</f>
        <v>Joseph Schildkraut</v>
      </c>
      <c r="K1249" s="5" t="str">
        <f>IFERROR(__xludf.DUMMYFUNCTION("""COMPUTED_VALUE"""),"Estrela 4")</f>
        <v>Estrela 4</v>
      </c>
      <c r="P1249" s="5">
        <f>IFERROR(__xludf.DUMMYFUNCTION("""COMPUTED_VALUE"""),312.0)</f>
        <v>312</v>
      </c>
      <c r="Q1249" s="5" t="str">
        <f>IFERROR(__xludf.DUMMYFUNCTION("""COMPUTED_VALUE"""),"The Shop Around the Corner")</f>
        <v>The Shop Around the Corner</v>
      </c>
      <c r="R1249" s="5" t="str">
        <f>IFERROR(__xludf.DUMMYFUNCTION("""COMPUTED_VALUE"""),"Joseph Schildkraut")</f>
        <v>Joseph Schildkraut</v>
      </c>
      <c r="S1249" s="5" t="str">
        <f>IFERROR(__xludf.DUMMYFUNCTION("""COMPUTED_VALUE"""),"Estrela 4")</f>
        <v>Estrela 4</v>
      </c>
    </row>
    <row r="1250">
      <c r="G1250" s="5" t="str">
        <f>IFERROR(__xludf.DUMMYFUNCTION("""COMPUTED_VALUE"""),"313🤙🏼Rebecca🤙🏼Laurence Olivier🤙🏼Estrela 1")</f>
        <v>313🤙🏼Rebecca🤙🏼Laurence Olivier🤙🏼Estrela 1</v>
      </c>
      <c r="H1250" s="5">
        <f>IFERROR(__xludf.DUMMYFUNCTION("SPLiT(G1250, ""🤙🏼"",FALSE,FALSE)"),313.0)</f>
        <v>313</v>
      </c>
      <c r="I1250" s="5" t="str">
        <f>IFERROR(__xludf.DUMMYFUNCTION("""COMPUTED_VALUE"""),"Rebecca")</f>
        <v>Rebecca</v>
      </c>
      <c r="J1250" s="5" t="str">
        <f>IFERROR(__xludf.DUMMYFUNCTION("""COMPUTED_VALUE"""),"Laurence Olivier")</f>
        <v>Laurence Olivier</v>
      </c>
      <c r="K1250" s="5" t="str">
        <f>IFERROR(__xludf.DUMMYFUNCTION("""COMPUTED_VALUE"""),"Estrela 1")</f>
        <v>Estrela 1</v>
      </c>
      <c r="P1250" s="5">
        <f>IFERROR(__xludf.DUMMYFUNCTION("""COMPUTED_VALUE"""),313.0)</f>
        <v>313</v>
      </c>
      <c r="Q1250" s="5" t="str">
        <f>IFERROR(__xludf.DUMMYFUNCTION("""COMPUTED_VALUE"""),"Rebecca")</f>
        <v>Rebecca</v>
      </c>
      <c r="R1250" s="5" t="str">
        <f>IFERROR(__xludf.DUMMYFUNCTION("""COMPUTED_VALUE"""),"Laurence Olivier")</f>
        <v>Laurence Olivier</v>
      </c>
      <c r="S1250" s="5" t="str">
        <f>IFERROR(__xludf.DUMMYFUNCTION("""COMPUTED_VALUE"""),"Estrela 1")</f>
        <v>Estrela 1</v>
      </c>
    </row>
    <row r="1251">
      <c r="G1251" s="5" t="str">
        <f>IFERROR(__xludf.DUMMYFUNCTION("""COMPUTED_VALUE"""),"313🤙🏼Rebecca🤙🏼Joan Fontaine🤙🏼Estrela 2")</f>
        <v>313🤙🏼Rebecca🤙🏼Joan Fontaine🤙🏼Estrela 2</v>
      </c>
      <c r="H1251" s="5">
        <f>IFERROR(__xludf.DUMMYFUNCTION("SPLiT(G1251, ""🤙🏼"",FALSE,FALSE)"),313.0)</f>
        <v>313</v>
      </c>
      <c r="I1251" s="5" t="str">
        <f>IFERROR(__xludf.DUMMYFUNCTION("""COMPUTED_VALUE"""),"Rebecca")</f>
        <v>Rebecca</v>
      </c>
      <c r="J1251" s="5" t="str">
        <f>IFERROR(__xludf.DUMMYFUNCTION("""COMPUTED_VALUE"""),"Joan Fontaine")</f>
        <v>Joan Fontaine</v>
      </c>
      <c r="K1251" s="5" t="str">
        <f>IFERROR(__xludf.DUMMYFUNCTION("""COMPUTED_VALUE"""),"Estrela 2")</f>
        <v>Estrela 2</v>
      </c>
      <c r="P1251" s="5">
        <f>IFERROR(__xludf.DUMMYFUNCTION("""COMPUTED_VALUE"""),313.0)</f>
        <v>313</v>
      </c>
      <c r="Q1251" s="5" t="str">
        <f>IFERROR(__xludf.DUMMYFUNCTION("""COMPUTED_VALUE"""),"Rebecca")</f>
        <v>Rebecca</v>
      </c>
      <c r="R1251" s="5" t="str">
        <f>IFERROR(__xludf.DUMMYFUNCTION("""COMPUTED_VALUE"""),"Joan Fontaine")</f>
        <v>Joan Fontaine</v>
      </c>
      <c r="S1251" s="5" t="str">
        <f>IFERROR(__xludf.DUMMYFUNCTION("""COMPUTED_VALUE"""),"Estrela 2")</f>
        <v>Estrela 2</v>
      </c>
    </row>
    <row r="1252">
      <c r="G1252" s="5" t="str">
        <f>IFERROR(__xludf.DUMMYFUNCTION("""COMPUTED_VALUE"""),"313🤙🏼Rebecca🤙🏼George Sanders🤙🏼Estrela 3")</f>
        <v>313🤙🏼Rebecca🤙🏼George Sanders🤙🏼Estrela 3</v>
      </c>
      <c r="H1252" s="5">
        <f>IFERROR(__xludf.DUMMYFUNCTION("SPLiT(G1252, ""🤙🏼"",FALSE,FALSE)"),313.0)</f>
        <v>313</v>
      </c>
      <c r="I1252" s="5" t="str">
        <f>IFERROR(__xludf.DUMMYFUNCTION("""COMPUTED_VALUE"""),"Rebecca")</f>
        <v>Rebecca</v>
      </c>
      <c r="J1252" s="5" t="str">
        <f>IFERROR(__xludf.DUMMYFUNCTION("""COMPUTED_VALUE"""),"George Sanders")</f>
        <v>George Sanders</v>
      </c>
      <c r="K1252" s="5" t="str">
        <f>IFERROR(__xludf.DUMMYFUNCTION("""COMPUTED_VALUE"""),"Estrela 3")</f>
        <v>Estrela 3</v>
      </c>
      <c r="P1252" s="5">
        <f>IFERROR(__xludf.DUMMYFUNCTION("""COMPUTED_VALUE"""),313.0)</f>
        <v>313</v>
      </c>
      <c r="Q1252" s="5" t="str">
        <f>IFERROR(__xludf.DUMMYFUNCTION("""COMPUTED_VALUE"""),"Rebecca")</f>
        <v>Rebecca</v>
      </c>
      <c r="R1252" s="5" t="str">
        <f>IFERROR(__xludf.DUMMYFUNCTION("""COMPUTED_VALUE"""),"George Sanders")</f>
        <v>George Sanders</v>
      </c>
      <c r="S1252" s="5" t="str">
        <f>IFERROR(__xludf.DUMMYFUNCTION("""COMPUTED_VALUE"""),"Estrela 3")</f>
        <v>Estrela 3</v>
      </c>
    </row>
    <row r="1253">
      <c r="G1253" s="5" t="str">
        <f>IFERROR(__xludf.DUMMYFUNCTION("""COMPUTED_VALUE"""),"313🤙🏼Rebecca🤙🏼Judith Anderson🤙🏼Estrela 4")</f>
        <v>313🤙🏼Rebecca🤙🏼Judith Anderson🤙🏼Estrela 4</v>
      </c>
      <c r="H1253" s="5">
        <f>IFERROR(__xludf.DUMMYFUNCTION("SPLiT(G1253, ""🤙🏼"",FALSE,FALSE)"),313.0)</f>
        <v>313</v>
      </c>
      <c r="I1253" s="5" t="str">
        <f>IFERROR(__xludf.DUMMYFUNCTION("""COMPUTED_VALUE"""),"Rebecca")</f>
        <v>Rebecca</v>
      </c>
      <c r="J1253" s="5" t="str">
        <f>IFERROR(__xludf.DUMMYFUNCTION("""COMPUTED_VALUE"""),"Judith Anderson")</f>
        <v>Judith Anderson</v>
      </c>
      <c r="K1253" s="5" t="str">
        <f>IFERROR(__xludf.DUMMYFUNCTION("""COMPUTED_VALUE"""),"Estrela 4")</f>
        <v>Estrela 4</v>
      </c>
      <c r="P1253" s="5">
        <f>IFERROR(__xludf.DUMMYFUNCTION("""COMPUTED_VALUE"""),313.0)</f>
        <v>313</v>
      </c>
      <c r="Q1253" s="5" t="str">
        <f>IFERROR(__xludf.DUMMYFUNCTION("""COMPUTED_VALUE"""),"Rebecca")</f>
        <v>Rebecca</v>
      </c>
      <c r="R1253" s="5" t="str">
        <f>IFERROR(__xludf.DUMMYFUNCTION("""COMPUTED_VALUE"""),"Judith Anderson")</f>
        <v>Judith Anderson</v>
      </c>
      <c r="S1253" s="5" t="str">
        <f>IFERROR(__xludf.DUMMYFUNCTION("""COMPUTED_VALUE"""),"Estrela 4")</f>
        <v>Estrela 4</v>
      </c>
    </row>
    <row r="1254">
      <c r="G1254" s="5" t="str">
        <f>IFERROR(__xludf.DUMMYFUNCTION("""COMPUTED_VALUE"""),"314🤙🏼Mr. Smith Goes to Washington🤙🏼James Stewart🤙🏼Estrela 1")</f>
        <v>314🤙🏼Mr. Smith Goes to Washington🤙🏼James Stewart🤙🏼Estrela 1</v>
      </c>
      <c r="H1254" s="5">
        <f>IFERROR(__xludf.DUMMYFUNCTION("SPLiT(G1254, ""🤙🏼"",FALSE,FALSE)"),314.0)</f>
        <v>314</v>
      </c>
      <c r="I1254" s="5" t="str">
        <f>IFERROR(__xludf.DUMMYFUNCTION("""COMPUTED_VALUE"""),"Mr. Smith Goes to Washington")</f>
        <v>Mr. Smith Goes to Washington</v>
      </c>
      <c r="J1254" s="5" t="str">
        <f>IFERROR(__xludf.DUMMYFUNCTION("""COMPUTED_VALUE"""),"James Stewart")</f>
        <v>James Stewart</v>
      </c>
      <c r="K1254" s="5" t="str">
        <f>IFERROR(__xludf.DUMMYFUNCTION("""COMPUTED_VALUE"""),"Estrela 1")</f>
        <v>Estrela 1</v>
      </c>
      <c r="P1254" s="5">
        <f>IFERROR(__xludf.DUMMYFUNCTION("""COMPUTED_VALUE"""),314.0)</f>
        <v>314</v>
      </c>
      <c r="Q1254" s="5" t="str">
        <f>IFERROR(__xludf.DUMMYFUNCTION("""COMPUTED_VALUE"""),"Mr. Smith Goes to Washington")</f>
        <v>Mr. Smith Goes to Washington</v>
      </c>
      <c r="R1254" s="5" t="str">
        <f>IFERROR(__xludf.DUMMYFUNCTION("""COMPUTED_VALUE"""),"James Stewart")</f>
        <v>James Stewart</v>
      </c>
      <c r="S1254" s="5" t="str">
        <f>IFERROR(__xludf.DUMMYFUNCTION("""COMPUTED_VALUE"""),"Estrela 1")</f>
        <v>Estrela 1</v>
      </c>
    </row>
    <row r="1255">
      <c r="G1255" s="5" t="str">
        <f>IFERROR(__xludf.DUMMYFUNCTION("""COMPUTED_VALUE"""),"314🤙🏼Mr. Smith Goes to Washington🤙🏼Jean Arthur🤙🏼Estrela 2")</f>
        <v>314🤙🏼Mr. Smith Goes to Washington🤙🏼Jean Arthur🤙🏼Estrela 2</v>
      </c>
      <c r="H1255" s="5">
        <f>IFERROR(__xludf.DUMMYFUNCTION("SPLiT(G1255, ""🤙🏼"",FALSE,FALSE)"),314.0)</f>
        <v>314</v>
      </c>
      <c r="I1255" s="5" t="str">
        <f>IFERROR(__xludf.DUMMYFUNCTION("""COMPUTED_VALUE"""),"Mr. Smith Goes to Washington")</f>
        <v>Mr. Smith Goes to Washington</v>
      </c>
      <c r="J1255" s="5" t="str">
        <f>IFERROR(__xludf.DUMMYFUNCTION("""COMPUTED_VALUE"""),"Jean Arthur")</f>
        <v>Jean Arthur</v>
      </c>
      <c r="K1255" s="5" t="str">
        <f>IFERROR(__xludf.DUMMYFUNCTION("""COMPUTED_VALUE"""),"Estrela 2")</f>
        <v>Estrela 2</v>
      </c>
      <c r="P1255" s="5">
        <f>IFERROR(__xludf.DUMMYFUNCTION("""COMPUTED_VALUE"""),314.0)</f>
        <v>314</v>
      </c>
      <c r="Q1255" s="5" t="str">
        <f>IFERROR(__xludf.DUMMYFUNCTION("""COMPUTED_VALUE"""),"Mr. Smith Goes to Washington")</f>
        <v>Mr. Smith Goes to Washington</v>
      </c>
      <c r="R1255" s="5" t="str">
        <f>IFERROR(__xludf.DUMMYFUNCTION("""COMPUTED_VALUE"""),"Jean Arthur")</f>
        <v>Jean Arthur</v>
      </c>
      <c r="S1255" s="5" t="str">
        <f>IFERROR(__xludf.DUMMYFUNCTION("""COMPUTED_VALUE"""),"Estrela 2")</f>
        <v>Estrela 2</v>
      </c>
    </row>
    <row r="1256">
      <c r="G1256" s="5" t="str">
        <f>IFERROR(__xludf.DUMMYFUNCTION("""COMPUTED_VALUE"""),"314🤙🏼Mr. Smith Goes to Washington🤙🏼Claude Rains🤙🏼Estrela 3")</f>
        <v>314🤙🏼Mr. Smith Goes to Washington🤙🏼Claude Rains🤙🏼Estrela 3</v>
      </c>
      <c r="H1256" s="5">
        <f>IFERROR(__xludf.DUMMYFUNCTION("SPLiT(G1256, ""🤙🏼"",FALSE,FALSE)"),314.0)</f>
        <v>314</v>
      </c>
      <c r="I1256" s="5" t="str">
        <f>IFERROR(__xludf.DUMMYFUNCTION("""COMPUTED_VALUE"""),"Mr. Smith Goes to Washington")</f>
        <v>Mr. Smith Goes to Washington</v>
      </c>
      <c r="J1256" s="5" t="str">
        <f>IFERROR(__xludf.DUMMYFUNCTION("""COMPUTED_VALUE"""),"Claude Rains")</f>
        <v>Claude Rains</v>
      </c>
      <c r="K1256" s="5" t="str">
        <f>IFERROR(__xludf.DUMMYFUNCTION("""COMPUTED_VALUE"""),"Estrela 3")</f>
        <v>Estrela 3</v>
      </c>
      <c r="P1256" s="5">
        <f>IFERROR(__xludf.DUMMYFUNCTION("""COMPUTED_VALUE"""),314.0)</f>
        <v>314</v>
      </c>
      <c r="Q1256" s="5" t="str">
        <f>IFERROR(__xludf.DUMMYFUNCTION("""COMPUTED_VALUE"""),"Mr. Smith Goes to Washington")</f>
        <v>Mr. Smith Goes to Washington</v>
      </c>
      <c r="R1256" s="5" t="str">
        <f>IFERROR(__xludf.DUMMYFUNCTION("""COMPUTED_VALUE"""),"Claude Rains")</f>
        <v>Claude Rains</v>
      </c>
      <c r="S1256" s="5" t="str">
        <f>IFERROR(__xludf.DUMMYFUNCTION("""COMPUTED_VALUE"""),"Estrela 3")</f>
        <v>Estrela 3</v>
      </c>
    </row>
    <row r="1257">
      <c r="G1257" s="5" t="str">
        <f>IFERROR(__xludf.DUMMYFUNCTION("""COMPUTED_VALUE"""),"314🤙🏼Mr. Smith Goes to Washington🤙🏼Edward Arnold🤙🏼Estrela 4")</f>
        <v>314🤙🏼Mr. Smith Goes to Washington🤙🏼Edward Arnold🤙🏼Estrela 4</v>
      </c>
      <c r="H1257" s="5">
        <f>IFERROR(__xludf.DUMMYFUNCTION("SPLiT(G1257, ""🤙🏼"",FALSE,FALSE)"),314.0)</f>
        <v>314</v>
      </c>
      <c r="I1257" s="5" t="str">
        <f>IFERROR(__xludf.DUMMYFUNCTION("""COMPUTED_VALUE"""),"Mr. Smith Goes to Washington")</f>
        <v>Mr. Smith Goes to Washington</v>
      </c>
      <c r="J1257" s="5" t="str">
        <f>IFERROR(__xludf.DUMMYFUNCTION("""COMPUTED_VALUE"""),"Edward Arnold")</f>
        <v>Edward Arnold</v>
      </c>
      <c r="K1257" s="5" t="str">
        <f>IFERROR(__xludf.DUMMYFUNCTION("""COMPUTED_VALUE"""),"Estrela 4")</f>
        <v>Estrela 4</v>
      </c>
      <c r="P1257" s="5">
        <f>IFERROR(__xludf.DUMMYFUNCTION("""COMPUTED_VALUE"""),314.0)</f>
        <v>314</v>
      </c>
      <c r="Q1257" s="5" t="str">
        <f>IFERROR(__xludf.DUMMYFUNCTION("""COMPUTED_VALUE"""),"Mr. Smith Goes to Washington")</f>
        <v>Mr. Smith Goes to Washington</v>
      </c>
      <c r="R1257" s="5" t="str">
        <f>IFERROR(__xludf.DUMMYFUNCTION("""COMPUTED_VALUE"""),"Edward Arnold")</f>
        <v>Edward Arnold</v>
      </c>
      <c r="S1257" s="5" t="str">
        <f>IFERROR(__xludf.DUMMYFUNCTION("""COMPUTED_VALUE"""),"Estrela 4")</f>
        <v>Estrela 4</v>
      </c>
    </row>
    <row r="1258">
      <c r="G1258" s="5" t="str">
        <f>IFERROR(__xludf.DUMMYFUNCTION("""COMPUTED_VALUE"""),"315🤙🏼Gone with the Wind🤙🏼George Cukor🤙🏼Estrela 1")</f>
        <v>315🤙🏼Gone with the Wind🤙🏼George Cukor🤙🏼Estrela 1</v>
      </c>
      <c r="H1258" s="5">
        <f>IFERROR(__xludf.DUMMYFUNCTION("SPLiT(G1258, ""🤙🏼"",FALSE,FALSE)"),315.0)</f>
        <v>315</v>
      </c>
      <c r="I1258" s="5" t="str">
        <f>IFERROR(__xludf.DUMMYFUNCTION("""COMPUTED_VALUE"""),"Gone with the Wind")</f>
        <v>Gone with the Wind</v>
      </c>
      <c r="J1258" s="5" t="str">
        <f>IFERROR(__xludf.DUMMYFUNCTION("""COMPUTED_VALUE"""),"George Cukor")</f>
        <v>George Cukor</v>
      </c>
      <c r="K1258" s="5" t="str">
        <f>IFERROR(__xludf.DUMMYFUNCTION("""COMPUTED_VALUE"""),"Estrela 1")</f>
        <v>Estrela 1</v>
      </c>
      <c r="P1258" s="5">
        <f>IFERROR(__xludf.DUMMYFUNCTION("""COMPUTED_VALUE"""),315.0)</f>
        <v>315</v>
      </c>
      <c r="Q1258" s="5" t="str">
        <f>IFERROR(__xludf.DUMMYFUNCTION("""COMPUTED_VALUE"""),"Gone with the Wind")</f>
        <v>Gone with the Wind</v>
      </c>
      <c r="R1258" s="5" t="str">
        <f>IFERROR(__xludf.DUMMYFUNCTION("""COMPUTED_VALUE"""),"George Cukor")</f>
        <v>George Cukor</v>
      </c>
      <c r="S1258" s="5" t="str">
        <f>IFERROR(__xludf.DUMMYFUNCTION("""COMPUTED_VALUE"""),"Estrela 1")</f>
        <v>Estrela 1</v>
      </c>
    </row>
    <row r="1259">
      <c r="G1259" s="5" t="str">
        <f>IFERROR(__xludf.DUMMYFUNCTION("""COMPUTED_VALUE"""),"315🤙🏼Gone with the Wind🤙🏼Sam Wood🤙🏼Estrela 2")</f>
        <v>315🤙🏼Gone with the Wind🤙🏼Sam Wood🤙🏼Estrela 2</v>
      </c>
      <c r="H1259" s="5">
        <f>IFERROR(__xludf.DUMMYFUNCTION("SPLiT(G1259, ""🤙🏼"",FALSE,FALSE)"),315.0)</f>
        <v>315</v>
      </c>
      <c r="I1259" s="5" t="str">
        <f>IFERROR(__xludf.DUMMYFUNCTION("""COMPUTED_VALUE"""),"Gone with the Wind")</f>
        <v>Gone with the Wind</v>
      </c>
      <c r="J1259" s="5" t="str">
        <f>IFERROR(__xludf.DUMMYFUNCTION("""COMPUTED_VALUE"""),"Sam Wood")</f>
        <v>Sam Wood</v>
      </c>
      <c r="K1259" s="5" t="str">
        <f>IFERROR(__xludf.DUMMYFUNCTION("""COMPUTED_VALUE"""),"Estrela 2")</f>
        <v>Estrela 2</v>
      </c>
      <c r="P1259" s="5">
        <f>IFERROR(__xludf.DUMMYFUNCTION("""COMPUTED_VALUE"""),315.0)</f>
        <v>315</v>
      </c>
      <c r="Q1259" s="5" t="str">
        <f>IFERROR(__xludf.DUMMYFUNCTION("""COMPUTED_VALUE"""),"Gone with the Wind")</f>
        <v>Gone with the Wind</v>
      </c>
      <c r="R1259" s="5" t="str">
        <f>IFERROR(__xludf.DUMMYFUNCTION("""COMPUTED_VALUE"""),"Sam Wood")</f>
        <v>Sam Wood</v>
      </c>
      <c r="S1259" s="5" t="str">
        <f>IFERROR(__xludf.DUMMYFUNCTION("""COMPUTED_VALUE"""),"Estrela 2")</f>
        <v>Estrela 2</v>
      </c>
    </row>
    <row r="1260">
      <c r="G1260" s="5" t="str">
        <f>IFERROR(__xludf.DUMMYFUNCTION("""COMPUTED_VALUE"""),"315🤙🏼Gone with the Wind🤙🏼Clark Gable🤙🏼Estrela 3")</f>
        <v>315🤙🏼Gone with the Wind🤙🏼Clark Gable🤙🏼Estrela 3</v>
      </c>
      <c r="H1260" s="5">
        <f>IFERROR(__xludf.DUMMYFUNCTION("SPLiT(G1260, ""🤙🏼"",FALSE,FALSE)"),315.0)</f>
        <v>315</v>
      </c>
      <c r="I1260" s="5" t="str">
        <f>IFERROR(__xludf.DUMMYFUNCTION("""COMPUTED_VALUE"""),"Gone with the Wind")</f>
        <v>Gone with the Wind</v>
      </c>
      <c r="J1260" s="5" t="str">
        <f>IFERROR(__xludf.DUMMYFUNCTION("""COMPUTED_VALUE"""),"Clark Gable")</f>
        <v>Clark Gable</v>
      </c>
      <c r="K1260" s="5" t="str">
        <f>IFERROR(__xludf.DUMMYFUNCTION("""COMPUTED_VALUE"""),"Estrela 3")</f>
        <v>Estrela 3</v>
      </c>
      <c r="P1260" s="5">
        <f>IFERROR(__xludf.DUMMYFUNCTION("""COMPUTED_VALUE"""),315.0)</f>
        <v>315</v>
      </c>
      <c r="Q1260" s="5" t="str">
        <f>IFERROR(__xludf.DUMMYFUNCTION("""COMPUTED_VALUE"""),"Gone with the Wind")</f>
        <v>Gone with the Wind</v>
      </c>
      <c r="R1260" s="5" t="str">
        <f>IFERROR(__xludf.DUMMYFUNCTION("""COMPUTED_VALUE"""),"Clark Gable")</f>
        <v>Clark Gable</v>
      </c>
      <c r="S1260" s="5" t="str">
        <f>IFERROR(__xludf.DUMMYFUNCTION("""COMPUTED_VALUE"""),"Estrela 3")</f>
        <v>Estrela 3</v>
      </c>
    </row>
    <row r="1261">
      <c r="G1261" s="5" t="str">
        <f>IFERROR(__xludf.DUMMYFUNCTION("""COMPUTED_VALUE"""),"315🤙🏼Gone with the Wind🤙🏼Vivien Leigh🤙🏼Estrela 4")</f>
        <v>315🤙🏼Gone with the Wind🤙🏼Vivien Leigh🤙🏼Estrela 4</v>
      </c>
      <c r="H1261" s="5">
        <f>IFERROR(__xludf.DUMMYFUNCTION("SPLiT(G1261, ""🤙🏼"",FALSE,FALSE)"),315.0)</f>
        <v>315</v>
      </c>
      <c r="I1261" s="5" t="str">
        <f>IFERROR(__xludf.DUMMYFUNCTION("""COMPUTED_VALUE"""),"Gone with the Wind")</f>
        <v>Gone with the Wind</v>
      </c>
      <c r="J1261" s="5" t="str">
        <f>IFERROR(__xludf.DUMMYFUNCTION("""COMPUTED_VALUE"""),"Vivien Leigh")</f>
        <v>Vivien Leigh</v>
      </c>
      <c r="K1261" s="5" t="str">
        <f>IFERROR(__xludf.DUMMYFUNCTION("""COMPUTED_VALUE"""),"Estrela 4")</f>
        <v>Estrela 4</v>
      </c>
      <c r="P1261" s="5">
        <f>IFERROR(__xludf.DUMMYFUNCTION("""COMPUTED_VALUE"""),315.0)</f>
        <v>315</v>
      </c>
      <c r="Q1261" s="5" t="str">
        <f>IFERROR(__xludf.DUMMYFUNCTION("""COMPUTED_VALUE"""),"Gone with the Wind")</f>
        <v>Gone with the Wind</v>
      </c>
      <c r="R1261" s="5" t="str">
        <f>IFERROR(__xludf.DUMMYFUNCTION("""COMPUTED_VALUE"""),"Vivien Leigh")</f>
        <v>Vivien Leigh</v>
      </c>
      <c r="S1261" s="5" t="str">
        <f>IFERROR(__xludf.DUMMYFUNCTION("""COMPUTED_VALUE"""),"Estrela 4")</f>
        <v>Estrela 4</v>
      </c>
    </row>
    <row r="1262">
      <c r="G1262" s="5" t="str">
        <f>IFERROR(__xludf.DUMMYFUNCTION("""COMPUTED_VALUE"""),"316🤙🏼La Grande Illusion🤙🏼Jean Gabin🤙🏼Estrela 1")</f>
        <v>316🤙🏼La Grande Illusion🤙🏼Jean Gabin🤙🏼Estrela 1</v>
      </c>
      <c r="H1262" s="5">
        <f>IFERROR(__xludf.DUMMYFUNCTION("SPLiT(G1262, ""🤙🏼"",FALSE,FALSE)"),316.0)</f>
        <v>316</v>
      </c>
      <c r="I1262" s="5" t="str">
        <f>IFERROR(__xludf.DUMMYFUNCTION("""COMPUTED_VALUE"""),"La Grande Illusion")</f>
        <v>La Grande Illusion</v>
      </c>
      <c r="J1262" s="5" t="str">
        <f>IFERROR(__xludf.DUMMYFUNCTION("""COMPUTED_VALUE"""),"Jean Gabin")</f>
        <v>Jean Gabin</v>
      </c>
      <c r="K1262" s="5" t="str">
        <f>IFERROR(__xludf.DUMMYFUNCTION("""COMPUTED_VALUE"""),"Estrela 1")</f>
        <v>Estrela 1</v>
      </c>
      <c r="P1262" s="5">
        <f>IFERROR(__xludf.DUMMYFUNCTION("""COMPUTED_VALUE"""),316.0)</f>
        <v>316</v>
      </c>
      <c r="Q1262" s="5" t="str">
        <f>IFERROR(__xludf.DUMMYFUNCTION("""COMPUTED_VALUE"""),"La Grande Illusion")</f>
        <v>La Grande Illusion</v>
      </c>
      <c r="R1262" s="5" t="str">
        <f>IFERROR(__xludf.DUMMYFUNCTION("""COMPUTED_VALUE"""),"Jean Gabin")</f>
        <v>Jean Gabin</v>
      </c>
      <c r="S1262" s="5" t="str">
        <f>IFERROR(__xludf.DUMMYFUNCTION("""COMPUTED_VALUE"""),"Estrela 1")</f>
        <v>Estrela 1</v>
      </c>
    </row>
    <row r="1263">
      <c r="G1263" s="5" t="str">
        <f>IFERROR(__xludf.DUMMYFUNCTION("""COMPUTED_VALUE"""),"316🤙🏼La Grande Illusion🤙🏼Dita Parlo🤙🏼Estrela 2")</f>
        <v>316🤙🏼La Grande Illusion🤙🏼Dita Parlo🤙🏼Estrela 2</v>
      </c>
      <c r="H1263" s="5">
        <f>IFERROR(__xludf.DUMMYFUNCTION("SPLiT(G1263, ""🤙🏼"",FALSE,FALSE)"),316.0)</f>
        <v>316</v>
      </c>
      <c r="I1263" s="5" t="str">
        <f>IFERROR(__xludf.DUMMYFUNCTION("""COMPUTED_VALUE"""),"La Grande Illusion")</f>
        <v>La Grande Illusion</v>
      </c>
      <c r="J1263" s="5" t="str">
        <f>IFERROR(__xludf.DUMMYFUNCTION("""COMPUTED_VALUE"""),"Dita Parlo")</f>
        <v>Dita Parlo</v>
      </c>
      <c r="K1263" s="5" t="str">
        <f>IFERROR(__xludf.DUMMYFUNCTION("""COMPUTED_VALUE"""),"Estrela 2")</f>
        <v>Estrela 2</v>
      </c>
      <c r="P1263" s="5">
        <f>IFERROR(__xludf.DUMMYFUNCTION("""COMPUTED_VALUE"""),316.0)</f>
        <v>316</v>
      </c>
      <c r="Q1263" s="5" t="str">
        <f>IFERROR(__xludf.DUMMYFUNCTION("""COMPUTED_VALUE"""),"La Grande Illusion")</f>
        <v>La Grande Illusion</v>
      </c>
      <c r="R1263" s="5" t="str">
        <f>IFERROR(__xludf.DUMMYFUNCTION("""COMPUTED_VALUE"""),"Dita Parlo")</f>
        <v>Dita Parlo</v>
      </c>
      <c r="S1263" s="5" t="str">
        <f>IFERROR(__xludf.DUMMYFUNCTION("""COMPUTED_VALUE"""),"Estrela 2")</f>
        <v>Estrela 2</v>
      </c>
    </row>
    <row r="1264">
      <c r="G1264" s="5" t="str">
        <f>IFERROR(__xludf.DUMMYFUNCTION("""COMPUTED_VALUE"""),"316🤙🏼La Grande Illusion🤙🏼Pierre Fresnay🤙🏼Estrela 3")</f>
        <v>316🤙🏼La Grande Illusion🤙🏼Pierre Fresnay🤙🏼Estrela 3</v>
      </c>
      <c r="H1264" s="5">
        <f>IFERROR(__xludf.DUMMYFUNCTION("SPLiT(G1264, ""🤙🏼"",FALSE,FALSE)"),316.0)</f>
        <v>316</v>
      </c>
      <c r="I1264" s="5" t="str">
        <f>IFERROR(__xludf.DUMMYFUNCTION("""COMPUTED_VALUE"""),"La Grande Illusion")</f>
        <v>La Grande Illusion</v>
      </c>
      <c r="J1264" s="5" t="str">
        <f>IFERROR(__xludf.DUMMYFUNCTION("""COMPUTED_VALUE"""),"Pierre Fresnay")</f>
        <v>Pierre Fresnay</v>
      </c>
      <c r="K1264" s="5" t="str">
        <f>IFERROR(__xludf.DUMMYFUNCTION("""COMPUTED_VALUE"""),"Estrela 3")</f>
        <v>Estrela 3</v>
      </c>
      <c r="P1264" s="5">
        <f>IFERROR(__xludf.DUMMYFUNCTION("""COMPUTED_VALUE"""),316.0)</f>
        <v>316</v>
      </c>
      <c r="Q1264" s="5" t="str">
        <f>IFERROR(__xludf.DUMMYFUNCTION("""COMPUTED_VALUE"""),"La Grande Illusion")</f>
        <v>La Grande Illusion</v>
      </c>
      <c r="R1264" s="5" t="str">
        <f>IFERROR(__xludf.DUMMYFUNCTION("""COMPUTED_VALUE"""),"Pierre Fresnay")</f>
        <v>Pierre Fresnay</v>
      </c>
      <c r="S1264" s="5" t="str">
        <f>IFERROR(__xludf.DUMMYFUNCTION("""COMPUTED_VALUE"""),"Estrela 3")</f>
        <v>Estrela 3</v>
      </c>
    </row>
    <row r="1265">
      <c r="G1265" s="5" t="str">
        <f>IFERROR(__xludf.DUMMYFUNCTION("""COMPUTED_VALUE"""),"316🤙🏼La Grande Illusion🤙🏼Erich von Stroheim🤙🏼Estrela 4")</f>
        <v>316🤙🏼La Grande Illusion🤙🏼Erich von Stroheim🤙🏼Estrela 4</v>
      </c>
      <c r="H1265" s="5">
        <f>IFERROR(__xludf.DUMMYFUNCTION("SPLiT(G1265, ""🤙🏼"",FALSE,FALSE)"),316.0)</f>
        <v>316</v>
      </c>
      <c r="I1265" s="5" t="str">
        <f>IFERROR(__xludf.DUMMYFUNCTION("""COMPUTED_VALUE"""),"La Grande Illusion")</f>
        <v>La Grande Illusion</v>
      </c>
      <c r="J1265" s="5" t="str">
        <f>IFERROR(__xludf.DUMMYFUNCTION("""COMPUTED_VALUE"""),"Erich von Stroheim")</f>
        <v>Erich von Stroheim</v>
      </c>
      <c r="K1265" s="5" t="str">
        <f>IFERROR(__xludf.DUMMYFUNCTION("""COMPUTED_VALUE"""),"Estrela 4")</f>
        <v>Estrela 4</v>
      </c>
      <c r="P1265" s="5">
        <f>IFERROR(__xludf.DUMMYFUNCTION("""COMPUTED_VALUE"""),316.0)</f>
        <v>316</v>
      </c>
      <c r="Q1265" s="5" t="str">
        <f>IFERROR(__xludf.DUMMYFUNCTION("""COMPUTED_VALUE"""),"La Grande Illusion")</f>
        <v>La Grande Illusion</v>
      </c>
      <c r="R1265" s="5" t="str">
        <f>IFERROR(__xludf.DUMMYFUNCTION("""COMPUTED_VALUE"""),"Erich von Stroheim")</f>
        <v>Erich von Stroheim</v>
      </c>
      <c r="S1265" s="5" t="str">
        <f>IFERROR(__xludf.DUMMYFUNCTION("""COMPUTED_VALUE"""),"Estrela 4")</f>
        <v>Estrela 4</v>
      </c>
    </row>
    <row r="1266">
      <c r="G1266" s="5" t="str">
        <f>IFERROR(__xludf.DUMMYFUNCTION("""COMPUTED_VALUE"""),"317🤙🏼It Happened One Night🤙🏼Clark Gable🤙🏼Estrela 1")</f>
        <v>317🤙🏼It Happened One Night🤙🏼Clark Gable🤙🏼Estrela 1</v>
      </c>
      <c r="H1266" s="5">
        <f>IFERROR(__xludf.DUMMYFUNCTION("SPLiT(G1266, ""🤙🏼"",FALSE,FALSE)"),317.0)</f>
        <v>317</v>
      </c>
      <c r="I1266" s="5" t="str">
        <f>IFERROR(__xludf.DUMMYFUNCTION("""COMPUTED_VALUE"""),"It Happened One Night")</f>
        <v>It Happened One Night</v>
      </c>
      <c r="J1266" s="5" t="str">
        <f>IFERROR(__xludf.DUMMYFUNCTION("""COMPUTED_VALUE"""),"Clark Gable")</f>
        <v>Clark Gable</v>
      </c>
      <c r="K1266" s="5" t="str">
        <f>IFERROR(__xludf.DUMMYFUNCTION("""COMPUTED_VALUE"""),"Estrela 1")</f>
        <v>Estrela 1</v>
      </c>
      <c r="P1266" s="5">
        <f>IFERROR(__xludf.DUMMYFUNCTION("""COMPUTED_VALUE"""),317.0)</f>
        <v>317</v>
      </c>
      <c r="Q1266" s="5" t="str">
        <f>IFERROR(__xludf.DUMMYFUNCTION("""COMPUTED_VALUE"""),"It Happened One Night")</f>
        <v>It Happened One Night</v>
      </c>
      <c r="R1266" s="5" t="str">
        <f>IFERROR(__xludf.DUMMYFUNCTION("""COMPUTED_VALUE"""),"Clark Gable")</f>
        <v>Clark Gable</v>
      </c>
      <c r="S1266" s="5" t="str">
        <f>IFERROR(__xludf.DUMMYFUNCTION("""COMPUTED_VALUE"""),"Estrela 1")</f>
        <v>Estrela 1</v>
      </c>
    </row>
    <row r="1267">
      <c r="G1267" s="5" t="str">
        <f>IFERROR(__xludf.DUMMYFUNCTION("""COMPUTED_VALUE"""),"317🤙🏼It Happened One Night🤙🏼Claudette Colbert🤙🏼Estrela 2")</f>
        <v>317🤙🏼It Happened One Night🤙🏼Claudette Colbert🤙🏼Estrela 2</v>
      </c>
      <c r="H1267" s="5">
        <f>IFERROR(__xludf.DUMMYFUNCTION("SPLiT(G1267, ""🤙🏼"",FALSE,FALSE)"),317.0)</f>
        <v>317</v>
      </c>
      <c r="I1267" s="5" t="str">
        <f>IFERROR(__xludf.DUMMYFUNCTION("""COMPUTED_VALUE"""),"It Happened One Night")</f>
        <v>It Happened One Night</v>
      </c>
      <c r="J1267" s="5" t="str">
        <f>IFERROR(__xludf.DUMMYFUNCTION("""COMPUTED_VALUE"""),"Claudette Colbert")</f>
        <v>Claudette Colbert</v>
      </c>
      <c r="K1267" s="5" t="str">
        <f>IFERROR(__xludf.DUMMYFUNCTION("""COMPUTED_VALUE"""),"Estrela 2")</f>
        <v>Estrela 2</v>
      </c>
      <c r="P1267" s="5">
        <f>IFERROR(__xludf.DUMMYFUNCTION("""COMPUTED_VALUE"""),317.0)</f>
        <v>317</v>
      </c>
      <c r="Q1267" s="5" t="str">
        <f>IFERROR(__xludf.DUMMYFUNCTION("""COMPUTED_VALUE"""),"It Happened One Night")</f>
        <v>It Happened One Night</v>
      </c>
      <c r="R1267" s="5" t="str">
        <f>IFERROR(__xludf.DUMMYFUNCTION("""COMPUTED_VALUE"""),"Claudette Colbert")</f>
        <v>Claudette Colbert</v>
      </c>
      <c r="S1267" s="5" t="str">
        <f>IFERROR(__xludf.DUMMYFUNCTION("""COMPUTED_VALUE"""),"Estrela 2")</f>
        <v>Estrela 2</v>
      </c>
    </row>
    <row r="1268">
      <c r="G1268" s="5" t="str">
        <f>IFERROR(__xludf.DUMMYFUNCTION("""COMPUTED_VALUE"""),"317🤙🏼It Happened One Night🤙🏼Walter Connolly🤙🏼Estrela 3")</f>
        <v>317🤙🏼It Happened One Night🤙🏼Walter Connolly🤙🏼Estrela 3</v>
      </c>
      <c r="H1268" s="5">
        <f>IFERROR(__xludf.DUMMYFUNCTION("SPLiT(G1268, ""🤙🏼"",FALSE,FALSE)"),317.0)</f>
        <v>317</v>
      </c>
      <c r="I1268" s="5" t="str">
        <f>IFERROR(__xludf.DUMMYFUNCTION("""COMPUTED_VALUE"""),"It Happened One Night")</f>
        <v>It Happened One Night</v>
      </c>
      <c r="J1268" s="5" t="str">
        <f>IFERROR(__xludf.DUMMYFUNCTION("""COMPUTED_VALUE"""),"Walter Connolly")</f>
        <v>Walter Connolly</v>
      </c>
      <c r="K1268" s="5" t="str">
        <f>IFERROR(__xludf.DUMMYFUNCTION("""COMPUTED_VALUE"""),"Estrela 3")</f>
        <v>Estrela 3</v>
      </c>
      <c r="P1268" s="5">
        <f>IFERROR(__xludf.DUMMYFUNCTION("""COMPUTED_VALUE"""),317.0)</f>
        <v>317</v>
      </c>
      <c r="Q1268" s="5" t="str">
        <f>IFERROR(__xludf.DUMMYFUNCTION("""COMPUTED_VALUE"""),"It Happened One Night")</f>
        <v>It Happened One Night</v>
      </c>
      <c r="R1268" s="5" t="str">
        <f>IFERROR(__xludf.DUMMYFUNCTION("""COMPUTED_VALUE"""),"Walter Connolly")</f>
        <v>Walter Connolly</v>
      </c>
      <c r="S1268" s="5" t="str">
        <f>IFERROR(__xludf.DUMMYFUNCTION("""COMPUTED_VALUE"""),"Estrela 3")</f>
        <v>Estrela 3</v>
      </c>
    </row>
    <row r="1269">
      <c r="G1269" s="5" t="str">
        <f>IFERROR(__xludf.DUMMYFUNCTION("""COMPUTED_VALUE"""),"317🤙🏼It Happened One Night🤙🏼Roscoe Karns🤙🏼Estrela 4")</f>
        <v>317🤙🏼It Happened One Night🤙🏼Roscoe Karns🤙🏼Estrela 4</v>
      </c>
      <c r="H1269" s="5">
        <f>IFERROR(__xludf.DUMMYFUNCTION("SPLiT(G1269, ""🤙🏼"",FALSE,FALSE)"),317.0)</f>
        <v>317</v>
      </c>
      <c r="I1269" s="5" t="str">
        <f>IFERROR(__xludf.DUMMYFUNCTION("""COMPUTED_VALUE"""),"It Happened One Night")</f>
        <v>It Happened One Night</v>
      </c>
      <c r="J1269" s="5" t="str">
        <f>IFERROR(__xludf.DUMMYFUNCTION("""COMPUTED_VALUE"""),"Roscoe Karns")</f>
        <v>Roscoe Karns</v>
      </c>
      <c r="K1269" s="5" t="str">
        <f>IFERROR(__xludf.DUMMYFUNCTION("""COMPUTED_VALUE"""),"Estrela 4")</f>
        <v>Estrela 4</v>
      </c>
      <c r="P1269" s="5">
        <f>IFERROR(__xludf.DUMMYFUNCTION("""COMPUTED_VALUE"""),317.0)</f>
        <v>317</v>
      </c>
      <c r="Q1269" s="5" t="str">
        <f>IFERROR(__xludf.DUMMYFUNCTION("""COMPUTED_VALUE"""),"It Happened One Night")</f>
        <v>It Happened One Night</v>
      </c>
      <c r="R1269" s="5" t="str">
        <f>IFERROR(__xludf.DUMMYFUNCTION("""COMPUTED_VALUE"""),"Roscoe Karns")</f>
        <v>Roscoe Karns</v>
      </c>
      <c r="S1269" s="5" t="str">
        <f>IFERROR(__xludf.DUMMYFUNCTION("""COMPUTED_VALUE"""),"Estrela 4")</f>
        <v>Estrela 4</v>
      </c>
    </row>
    <row r="1270">
      <c r="G1270" s="5" t="str">
        <f>IFERROR(__xludf.DUMMYFUNCTION("""COMPUTED_VALUE"""),"318🤙🏼La passion de Jeanne d'Arc🤙🏼Maria Falconetti🤙🏼Estrela 1")</f>
        <v>318🤙🏼La passion de Jeanne d'Arc🤙🏼Maria Falconetti🤙🏼Estrela 1</v>
      </c>
      <c r="H1270" s="5">
        <f>IFERROR(__xludf.DUMMYFUNCTION("SPLiT(G1270, ""🤙🏼"",FALSE,FALSE)"),318.0)</f>
        <v>318</v>
      </c>
      <c r="I1270" s="5" t="str">
        <f>IFERROR(__xludf.DUMMYFUNCTION("""COMPUTED_VALUE"""),"La passion de Jeanne d'Arc")</f>
        <v>La passion de Jeanne d'Arc</v>
      </c>
      <c r="J1270" s="5" t="str">
        <f>IFERROR(__xludf.DUMMYFUNCTION("""COMPUTED_VALUE"""),"Maria Falconetti")</f>
        <v>Maria Falconetti</v>
      </c>
      <c r="K1270" s="5" t="str">
        <f>IFERROR(__xludf.DUMMYFUNCTION("""COMPUTED_VALUE"""),"Estrela 1")</f>
        <v>Estrela 1</v>
      </c>
      <c r="P1270" s="5">
        <f>IFERROR(__xludf.DUMMYFUNCTION("""COMPUTED_VALUE"""),318.0)</f>
        <v>318</v>
      </c>
      <c r="Q1270" s="5" t="str">
        <f>IFERROR(__xludf.DUMMYFUNCTION("""COMPUTED_VALUE"""),"La passion de Jeanne d'Arc")</f>
        <v>La passion de Jeanne d'Arc</v>
      </c>
      <c r="R1270" s="5" t="str">
        <f>IFERROR(__xludf.DUMMYFUNCTION("""COMPUTED_VALUE"""),"Maria Falconetti")</f>
        <v>Maria Falconetti</v>
      </c>
      <c r="S1270" s="5" t="str">
        <f>IFERROR(__xludf.DUMMYFUNCTION("""COMPUTED_VALUE"""),"Estrela 1")</f>
        <v>Estrela 1</v>
      </c>
    </row>
    <row r="1271">
      <c r="G1271" s="5" t="str">
        <f>IFERROR(__xludf.DUMMYFUNCTION("""COMPUTED_VALUE"""),"318🤙🏼La passion de Jeanne d'Arc🤙🏼Eugene Silvain🤙🏼Estrela 2")</f>
        <v>318🤙🏼La passion de Jeanne d'Arc🤙🏼Eugene Silvain🤙🏼Estrela 2</v>
      </c>
      <c r="H1271" s="5">
        <f>IFERROR(__xludf.DUMMYFUNCTION("SPLiT(G1271, ""🤙🏼"",FALSE,FALSE)"),318.0)</f>
        <v>318</v>
      </c>
      <c r="I1271" s="5" t="str">
        <f>IFERROR(__xludf.DUMMYFUNCTION("""COMPUTED_VALUE"""),"La passion de Jeanne d'Arc")</f>
        <v>La passion de Jeanne d'Arc</v>
      </c>
      <c r="J1271" s="5" t="str">
        <f>IFERROR(__xludf.DUMMYFUNCTION("""COMPUTED_VALUE"""),"Eugene Silvain")</f>
        <v>Eugene Silvain</v>
      </c>
      <c r="K1271" s="5" t="str">
        <f>IFERROR(__xludf.DUMMYFUNCTION("""COMPUTED_VALUE"""),"Estrela 2")</f>
        <v>Estrela 2</v>
      </c>
      <c r="P1271" s="5">
        <f>IFERROR(__xludf.DUMMYFUNCTION("""COMPUTED_VALUE"""),318.0)</f>
        <v>318</v>
      </c>
      <c r="Q1271" s="5" t="str">
        <f>IFERROR(__xludf.DUMMYFUNCTION("""COMPUTED_VALUE"""),"La passion de Jeanne d'Arc")</f>
        <v>La passion de Jeanne d'Arc</v>
      </c>
      <c r="R1271" s="5" t="str">
        <f>IFERROR(__xludf.DUMMYFUNCTION("""COMPUTED_VALUE"""),"Eugene Silvain")</f>
        <v>Eugene Silvain</v>
      </c>
      <c r="S1271" s="5" t="str">
        <f>IFERROR(__xludf.DUMMYFUNCTION("""COMPUTED_VALUE"""),"Estrela 2")</f>
        <v>Estrela 2</v>
      </c>
    </row>
    <row r="1272">
      <c r="G1272" s="5" t="str">
        <f>IFERROR(__xludf.DUMMYFUNCTION("""COMPUTED_VALUE"""),"318🤙🏼La passion de Jeanne d'Arc🤙🏼André Berley🤙🏼Estrela 3")</f>
        <v>318🤙🏼La passion de Jeanne d'Arc🤙🏼André Berley🤙🏼Estrela 3</v>
      </c>
      <c r="H1272" s="5">
        <f>IFERROR(__xludf.DUMMYFUNCTION("SPLiT(G1272, ""🤙🏼"",FALSE,FALSE)"),318.0)</f>
        <v>318</v>
      </c>
      <c r="I1272" s="5" t="str">
        <f>IFERROR(__xludf.DUMMYFUNCTION("""COMPUTED_VALUE"""),"La passion de Jeanne d'Arc")</f>
        <v>La passion de Jeanne d'Arc</v>
      </c>
      <c r="J1272" s="5" t="str">
        <f>IFERROR(__xludf.DUMMYFUNCTION("""COMPUTED_VALUE"""),"André Berley")</f>
        <v>André Berley</v>
      </c>
      <c r="K1272" s="5" t="str">
        <f>IFERROR(__xludf.DUMMYFUNCTION("""COMPUTED_VALUE"""),"Estrela 3")</f>
        <v>Estrela 3</v>
      </c>
      <c r="P1272" s="5">
        <f>IFERROR(__xludf.DUMMYFUNCTION("""COMPUTED_VALUE"""),318.0)</f>
        <v>318</v>
      </c>
      <c r="Q1272" s="5" t="str">
        <f>IFERROR(__xludf.DUMMYFUNCTION("""COMPUTED_VALUE"""),"La passion de Jeanne d'Arc")</f>
        <v>La passion de Jeanne d'Arc</v>
      </c>
      <c r="R1272" s="5" t="str">
        <f>IFERROR(__xludf.DUMMYFUNCTION("""COMPUTED_VALUE"""),"André Berley")</f>
        <v>André Berley</v>
      </c>
      <c r="S1272" s="5" t="str">
        <f>IFERROR(__xludf.DUMMYFUNCTION("""COMPUTED_VALUE"""),"Estrela 3")</f>
        <v>Estrela 3</v>
      </c>
    </row>
    <row r="1273">
      <c r="G1273" s="5" t="str">
        <f>IFERROR(__xludf.DUMMYFUNCTION("""COMPUTED_VALUE"""),"318🤙🏼La passion de Jeanne d'Arc🤙🏼Maurice Schutz🤙🏼Estrela 4")</f>
        <v>318🤙🏼La passion de Jeanne d'Arc🤙🏼Maurice Schutz🤙🏼Estrela 4</v>
      </c>
      <c r="H1273" s="5">
        <f>IFERROR(__xludf.DUMMYFUNCTION("SPLiT(G1273, ""🤙🏼"",FALSE,FALSE)"),318.0)</f>
        <v>318</v>
      </c>
      <c r="I1273" s="5" t="str">
        <f>IFERROR(__xludf.DUMMYFUNCTION("""COMPUTED_VALUE"""),"La passion de Jeanne d'Arc")</f>
        <v>La passion de Jeanne d'Arc</v>
      </c>
      <c r="J1273" s="5" t="str">
        <f>IFERROR(__xludf.DUMMYFUNCTION("""COMPUTED_VALUE"""),"Maurice Schutz")</f>
        <v>Maurice Schutz</v>
      </c>
      <c r="K1273" s="5" t="str">
        <f>IFERROR(__xludf.DUMMYFUNCTION("""COMPUTED_VALUE"""),"Estrela 4")</f>
        <v>Estrela 4</v>
      </c>
      <c r="P1273" s="5">
        <f>IFERROR(__xludf.DUMMYFUNCTION("""COMPUTED_VALUE"""),318.0)</f>
        <v>318</v>
      </c>
      <c r="Q1273" s="5" t="str">
        <f>IFERROR(__xludf.DUMMYFUNCTION("""COMPUTED_VALUE"""),"La passion de Jeanne d'Arc")</f>
        <v>La passion de Jeanne d'Arc</v>
      </c>
      <c r="R1273" s="5" t="str">
        <f>IFERROR(__xludf.DUMMYFUNCTION("""COMPUTED_VALUE"""),"Maurice Schutz")</f>
        <v>Maurice Schutz</v>
      </c>
      <c r="S1273" s="5" t="str">
        <f>IFERROR(__xludf.DUMMYFUNCTION("""COMPUTED_VALUE"""),"Estrela 4")</f>
        <v>Estrela 4</v>
      </c>
    </row>
    <row r="1274">
      <c r="G1274" s="5" t="str">
        <f>IFERROR(__xludf.DUMMYFUNCTION("""COMPUTED_VALUE"""),"319🤙🏼The Circus🤙🏼Charles Chaplin🤙🏼Estrela 1")</f>
        <v>319🤙🏼The Circus🤙🏼Charles Chaplin🤙🏼Estrela 1</v>
      </c>
      <c r="H1274" s="5">
        <f>IFERROR(__xludf.DUMMYFUNCTION("SPLiT(G1274, ""🤙🏼"",FALSE,FALSE)"),319.0)</f>
        <v>319</v>
      </c>
      <c r="I1274" s="5" t="str">
        <f>IFERROR(__xludf.DUMMYFUNCTION("""COMPUTED_VALUE"""),"The Circus")</f>
        <v>The Circus</v>
      </c>
      <c r="J1274" s="5" t="str">
        <f>IFERROR(__xludf.DUMMYFUNCTION("""COMPUTED_VALUE"""),"Charles Chaplin")</f>
        <v>Charles Chaplin</v>
      </c>
      <c r="K1274" s="5" t="str">
        <f>IFERROR(__xludf.DUMMYFUNCTION("""COMPUTED_VALUE"""),"Estrela 1")</f>
        <v>Estrela 1</v>
      </c>
      <c r="P1274" s="5">
        <f>IFERROR(__xludf.DUMMYFUNCTION("""COMPUTED_VALUE"""),319.0)</f>
        <v>319</v>
      </c>
      <c r="Q1274" s="5" t="str">
        <f>IFERROR(__xludf.DUMMYFUNCTION("""COMPUTED_VALUE"""),"The Circus")</f>
        <v>The Circus</v>
      </c>
      <c r="R1274" s="5" t="str">
        <f>IFERROR(__xludf.DUMMYFUNCTION("""COMPUTED_VALUE"""),"Charles Chaplin")</f>
        <v>Charles Chaplin</v>
      </c>
      <c r="S1274" s="5" t="str">
        <f>IFERROR(__xludf.DUMMYFUNCTION("""COMPUTED_VALUE"""),"Estrela 1")</f>
        <v>Estrela 1</v>
      </c>
    </row>
    <row r="1275">
      <c r="G1275" s="5" t="str">
        <f>IFERROR(__xludf.DUMMYFUNCTION("""COMPUTED_VALUE"""),"319🤙🏼The Circus🤙🏼Merna Kennedy🤙🏼Estrela 2")</f>
        <v>319🤙🏼The Circus🤙🏼Merna Kennedy🤙🏼Estrela 2</v>
      </c>
      <c r="H1275" s="5">
        <f>IFERROR(__xludf.DUMMYFUNCTION("SPLiT(G1275, ""🤙🏼"",FALSE,FALSE)"),319.0)</f>
        <v>319</v>
      </c>
      <c r="I1275" s="5" t="str">
        <f>IFERROR(__xludf.DUMMYFUNCTION("""COMPUTED_VALUE"""),"The Circus")</f>
        <v>The Circus</v>
      </c>
      <c r="J1275" s="5" t="str">
        <f>IFERROR(__xludf.DUMMYFUNCTION("""COMPUTED_VALUE"""),"Merna Kennedy")</f>
        <v>Merna Kennedy</v>
      </c>
      <c r="K1275" s="5" t="str">
        <f>IFERROR(__xludf.DUMMYFUNCTION("""COMPUTED_VALUE"""),"Estrela 2")</f>
        <v>Estrela 2</v>
      </c>
      <c r="P1275" s="5">
        <f>IFERROR(__xludf.DUMMYFUNCTION("""COMPUTED_VALUE"""),319.0)</f>
        <v>319</v>
      </c>
      <c r="Q1275" s="5" t="str">
        <f>IFERROR(__xludf.DUMMYFUNCTION("""COMPUTED_VALUE"""),"The Circus")</f>
        <v>The Circus</v>
      </c>
      <c r="R1275" s="5" t="str">
        <f>IFERROR(__xludf.DUMMYFUNCTION("""COMPUTED_VALUE"""),"Merna Kennedy")</f>
        <v>Merna Kennedy</v>
      </c>
      <c r="S1275" s="5" t="str">
        <f>IFERROR(__xludf.DUMMYFUNCTION("""COMPUTED_VALUE"""),"Estrela 2")</f>
        <v>Estrela 2</v>
      </c>
    </row>
    <row r="1276">
      <c r="G1276" s="5" t="str">
        <f>IFERROR(__xludf.DUMMYFUNCTION("""COMPUTED_VALUE"""),"319🤙🏼The Circus🤙🏼Al Ernest Garcia🤙🏼Estrela 3")</f>
        <v>319🤙🏼The Circus🤙🏼Al Ernest Garcia🤙🏼Estrela 3</v>
      </c>
      <c r="H1276" s="5">
        <f>IFERROR(__xludf.DUMMYFUNCTION("SPLiT(G1276, ""🤙🏼"",FALSE,FALSE)"),319.0)</f>
        <v>319</v>
      </c>
      <c r="I1276" s="5" t="str">
        <f>IFERROR(__xludf.DUMMYFUNCTION("""COMPUTED_VALUE"""),"The Circus")</f>
        <v>The Circus</v>
      </c>
      <c r="J1276" s="5" t="str">
        <f>IFERROR(__xludf.DUMMYFUNCTION("""COMPUTED_VALUE"""),"Al Ernest Garcia")</f>
        <v>Al Ernest Garcia</v>
      </c>
      <c r="K1276" s="5" t="str">
        <f>IFERROR(__xludf.DUMMYFUNCTION("""COMPUTED_VALUE"""),"Estrela 3")</f>
        <v>Estrela 3</v>
      </c>
      <c r="P1276" s="5">
        <f>IFERROR(__xludf.DUMMYFUNCTION("""COMPUTED_VALUE"""),319.0)</f>
        <v>319</v>
      </c>
      <c r="Q1276" s="5" t="str">
        <f>IFERROR(__xludf.DUMMYFUNCTION("""COMPUTED_VALUE"""),"The Circus")</f>
        <v>The Circus</v>
      </c>
      <c r="R1276" s="5" t="str">
        <f>IFERROR(__xludf.DUMMYFUNCTION("""COMPUTED_VALUE"""),"Al Ernest Garcia")</f>
        <v>Al Ernest Garcia</v>
      </c>
      <c r="S1276" s="5" t="str">
        <f>IFERROR(__xludf.DUMMYFUNCTION("""COMPUTED_VALUE"""),"Estrela 3")</f>
        <v>Estrela 3</v>
      </c>
    </row>
    <row r="1277">
      <c r="G1277" s="5" t="str">
        <f>IFERROR(__xludf.DUMMYFUNCTION("""COMPUTED_VALUE"""),"319🤙🏼The Circus🤙🏼Harry Crocker🤙🏼Estrela 4")</f>
        <v>319🤙🏼The Circus🤙🏼Harry Crocker🤙🏼Estrela 4</v>
      </c>
      <c r="H1277" s="5">
        <f>IFERROR(__xludf.DUMMYFUNCTION("SPLiT(G1277, ""🤙🏼"",FALSE,FALSE)"),319.0)</f>
        <v>319</v>
      </c>
      <c r="I1277" s="5" t="str">
        <f>IFERROR(__xludf.DUMMYFUNCTION("""COMPUTED_VALUE"""),"The Circus")</f>
        <v>The Circus</v>
      </c>
      <c r="J1277" s="5" t="str">
        <f>IFERROR(__xludf.DUMMYFUNCTION("""COMPUTED_VALUE"""),"Harry Crocker")</f>
        <v>Harry Crocker</v>
      </c>
      <c r="K1277" s="5" t="str">
        <f>IFERROR(__xludf.DUMMYFUNCTION("""COMPUTED_VALUE"""),"Estrela 4")</f>
        <v>Estrela 4</v>
      </c>
      <c r="P1277" s="5">
        <f>IFERROR(__xludf.DUMMYFUNCTION("""COMPUTED_VALUE"""),319.0)</f>
        <v>319</v>
      </c>
      <c r="Q1277" s="5" t="str">
        <f>IFERROR(__xludf.DUMMYFUNCTION("""COMPUTED_VALUE"""),"The Circus")</f>
        <v>The Circus</v>
      </c>
      <c r="R1277" s="5" t="str">
        <f>IFERROR(__xludf.DUMMYFUNCTION("""COMPUTED_VALUE"""),"Harry Crocker")</f>
        <v>Harry Crocker</v>
      </c>
      <c r="S1277" s="5" t="str">
        <f>IFERROR(__xludf.DUMMYFUNCTION("""COMPUTED_VALUE"""),"Estrela 4")</f>
        <v>Estrela 4</v>
      </c>
    </row>
    <row r="1278">
      <c r="G1278" s="5" t="str">
        <f>IFERROR(__xludf.DUMMYFUNCTION("""COMPUTED_VALUE"""),"320🤙🏼Sunrise: A Song of Two Humans🤙🏼George O'Brien🤙🏼Estrela 1")</f>
        <v>320🤙🏼Sunrise: A Song of Two Humans🤙🏼George O'Brien🤙🏼Estrela 1</v>
      </c>
      <c r="H1278" s="5">
        <f>IFERROR(__xludf.DUMMYFUNCTION("SPLiT(G1278, ""🤙🏼"",FALSE,FALSE)"),320.0)</f>
        <v>320</v>
      </c>
      <c r="I1278" s="5" t="str">
        <f>IFERROR(__xludf.DUMMYFUNCTION("""COMPUTED_VALUE"""),"Sunrise: A Song of Two Humans")</f>
        <v>Sunrise: A Song of Two Humans</v>
      </c>
      <c r="J1278" s="5" t="str">
        <f>IFERROR(__xludf.DUMMYFUNCTION("""COMPUTED_VALUE"""),"George O'Brien")</f>
        <v>George O'Brien</v>
      </c>
      <c r="K1278" s="5" t="str">
        <f>IFERROR(__xludf.DUMMYFUNCTION("""COMPUTED_VALUE"""),"Estrela 1")</f>
        <v>Estrela 1</v>
      </c>
      <c r="P1278" s="5">
        <f>IFERROR(__xludf.DUMMYFUNCTION("""COMPUTED_VALUE"""),320.0)</f>
        <v>320</v>
      </c>
      <c r="Q1278" s="5" t="str">
        <f>IFERROR(__xludf.DUMMYFUNCTION("""COMPUTED_VALUE"""),"Sunrise: A Song of Two Humans")</f>
        <v>Sunrise: A Song of Two Humans</v>
      </c>
      <c r="R1278" s="5" t="str">
        <f>IFERROR(__xludf.DUMMYFUNCTION("""COMPUTED_VALUE"""),"George O'Brien")</f>
        <v>George O'Brien</v>
      </c>
      <c r="S1278" s="5" t="str">
        <f>IFERROR(__xludf.DUMMYFUNCTION("""COMPUTED_VALUE"""),"Estrela 1")</f>
        <v>Estrela 1</v>
      </c>
    </row>
    <row r="1279">
      <c r="G1279" s="5" t="str">
        <f>IFERROR(__xludf.DUMMYFUNCTION("""COMPUTED_VALUE"""),"320🤙🏼Sunrise: A Song of Two Humans🤙🏼Janet Gaynor🤙🏼Estrela 2")</f>
        <v>320🤙🏼Sunrise: A Song of Two Humans🤙🏼Janet Gaynor🤙🏼Estrela 2</v>
      </c>
      <c r="H1279" s="5">
        <f>IFERROR(__xludf.DUMMYFUNCTION("SPLiT(G1279, ""🤙🏼"",FALSE,FALSE)"),320.0)</f>
        <v>320</v>
      </c>
      <c r="I1279" s="5" t="str">
        <f>IFERROR(__xludf.DUMMYFUNCTION("""COMPUTED_VALUE"""),"Sunrise: A Song of Two Humans")</f>
        <v>Sunrise: A Song of Two Humans</v>
      </c>
      <c r="J1279" s="5" t="str">
        <f>IFERROR(__xludf.DUMMYFUNCTION("""COMPUTED_VALUE"""),"Janet Gaynor")</f>
        <v>Janet Gaynor</v>
      </c>
      <c r="K1279" s="5" t="str">
        <f>IFERROR(__xludf.DUMMYFUNCTION("""COMPUTED_VALUE"""),"Estrela 2")</f>
        <v>Estrela 2</v>
      </c>
      <c r="P1279" s="5">
        <f>IFERROR(__xludf.DUMMYFUNCTION("""COMPUTED_VALUE"""),320.0)</f>
        <v>320</v>
      </c>
      <c r="Q1279" s="5" t="str">
        <f>IFERROR(__xludf.DUMMYFUNCTION("""COMPUTED_VALUE"""),"Sunrise: A Song of Two Humans")</f>
        <v>Sunrise: A Song of Two Humans</v>
      </c>
      <c r="R1279" s="5" t="str">
        <f>IFERROR(__xludf.DUMMYFUNCTION("""COMPUTED_VALUE"""),"Janet Gaynor")</f>
        <v>Janet Gaynor</v>
      </c>
      <c r="S1279" s="5" t="str">
        <f>IFERROR(__xludf.DUMMYFUNCTION("""COMPUTED_VALUE"""),"Estrela 2")</f>
        <v>Estrela 2</v>
      </c>
    </row>
    <row r="1280">
      <c r="G1280" s="5" t="str">
        <f>IFERROR(__xludf.DUMMYFUNCTION("""COMPUTED_VALUE"""),"320🤙🏼Sunrise: A Song of Two Humans🤙🏼Margaret Livingston🤙🏼Estrela 3")</f>
        <v>320🤙🏼Sunrise: A Song of Two Humans🤙🏼Margaret Livingston🤙🏼Estrela 3</v>
      </c>
      <c r="H1280" s="5">
        <f>IFERROR(__xludf.DUMMYFUNCTION("SPLiT(G1280, ""🤙🏼"",FALSE,FALSE)"),320.0)</f>
        <v>320</v>
      </c>
      <c r="I1280" s="5" t="str">
        <f>IFERROR(__xludf.DUMMYFUNCTION("""COMPUTED_VALUE"""),"Sunrise: A Song of Two Humans")</f>
        <v>Sunrise: A Song of Two Humans</v>
      </c>
      <c r="J1280" s="5" t="str">
        <f>IFERROR(__xludf.DUMMYFUNCTION("""COMPUTED_VALUE"""),"Margaret Livingston")</f>
        <v>Margaret Livingston</v>
      </c>
      <c r="K1280" s="5" t="str">
        <f>IFERROR(__xludf.DUMMYFUNCTION("""COMPUTED_VALUE"""),"Estrela 3")</f>
        <v>Estrela 3</v>
      </c>
      <c r="P1280" s="5">
        <f>IFERROR(__xludf.DUMMYFUNCTION("""COMPUTED_VALUE"""),320.0)</f>
        <v>320</v>
      </c>
      <c r="Q1280" s="5" t="str">
        <f>IFERROR(__xludf.DUMMYFUNCTION("""COMPUTED_VALUE"""),"Sunrise: A Song of Two Humans")</f>
        <v>Sunrise: A Song of Two Humans</v>
      </c>
      <c r="R1280" s="5" t="str">
        <f>IFERROR(__xludf.DUMMYFUNCTION("""COMPUTED_VALUE"""),"Margaret Livingston")</f>
        <v>Margaret Livingston</v>
      </c>
      <c r="S1280" s="5" t="str">
        <f>IFERROR(__xludf.DUMMYFUNCTION("""COMPUTED_VALUE"""),"Estrela 3")</f>
        <v>Estrela 3</v>
      </c>
    </row>
    <row r="1281">
      <c r="G1281" s="5" t="str">
        <f>IFERROR(__xludf.DUMMYFUNCTION("""COMPUTED_VALUE"""),"320🤙🏼Sunrise: A Song of Two Humans🤙🏼Bodil Rosing🤙🏼Estrela 4")</f>
        <v>320🤙🏼Sunrise: A Song of Two Humans🤙🏼Bodil Rosing🤙🏼Estrela 4</v>
      </c>
      <c r="H1281" s="5">
        <f>IFERROR(__xludf.DUMMYFUNCTION("SPLiT(G1281, ""🤙🏼"",FALSE,FALSE)"),320.0)</f>
        <v>320</v>
      </c>
      <c r="I1281" s="5" t="str">
        <f>IFERROR(__xludf.DUMMYFUNCTION("""COMPUTED_VALUE"""),"Sunrise: A Song of Two Humans")</f>
        <v>Sunrise: A Song of Two Humans</v>
      </c>
      <c r="J1281" s="5" t="str">
        <f>IFERROR(__xludf.DUMMYFUNCTION("""COMPUTED_VALUE"""),"Bodil Rosing")</f>
        <v>Bodil Rosing</v>
      </c>
      <c r="K1281" s="5" t="str">
        <f>IFERROR(__xludf.DUMMYFUNCTION("""COMPUTED_VALUE"""),"Estrela 4")</f>
        <v>Estrela 4</v>
      </c>
      <c r="P1281" s="5">
        <f>IFERROR(__xludf.DUMMYFUNCTION("""COMPUTED_VALUE"""),320.0)</f>
        <v>320</v>
      </c>
      <c r="Q1281" s="5" t="str">
        <f>IFERROR(__xludf.DUMMYFUNCTION("""COMPUTED_VALUE"""),"Sunrise: A Song of Two Humans")</f>
        <v>Sunrise: A Song of Two Humans</v>
      </c>
      <c r="R1281" s="5" t="str">
        <f>IFERROR(__xludf.DUMMYFUNCTION("""COMPUTED_VALUE"""),"Bodil Rosing")</f>
        <v>Bodil Rosing</v>
      </c>
      <c r="S1281" s="5" t="str">
        <f>IFERROR(__xludf.DUMMYFUNCTION("""COMPUTED_VALUE"""),"Estrela 4")</f>
        <v>Estrela 4</v>
      </c>
    </row>
    <row r="1282">
      <c r="G1282" s="5" t="str">
        <f>IFERROR(__xludf.DUMMYFUNCTION("""COMPUTED_VALUE"""),"321🤙🏼The General🤙🏼Buster Keaton🤙🏼Estrela 1")</f>
        <v>321🤙🏼The General🤙🏼Buster Keaton🤙🏼Estrela 1</v>
      </c>
      <c r="H1282" s="5">
        <f>IFERROR(__xludf.DUMMYFUNCTION("SPLiT(G1282, ""🤙🏼"",FALSE,FALSE)"),321.0)</f>
        <v>321</v>
      </c>
      <c r="I1282" s="5" t="str">
        <f>IFERROR(__xludf.DUMMYFUNCTION("""COMPUTED_VALUE"""),"The General")</f>
        <v>The General</v>
      </c>
      <c r="J1282" s="5" t="str">
        <f>IFERROR(__xludf.DUMMYFUNCTION("""COMPUTED_VALUE"""),"Buster Keaton")</f>
        <v>Buster Keaton</v>
      </c>
      <c r="K1282" s="5" t="str">
        <f>IFERROR(__xludf.DUMMYFUNCTION("""COMPUTED_VALUE"""),"Estrela 1")</f>
        <v>Estrela 1</v>
      </c>
      <c r="P1282" s="5">
        <f>IFERROR(__xludf.DUMMYFUNCTION("""COMPUTED_VALUE"""),321.0)</f>
        <v>321</v>
      </c>
      <c r="Q1282" s="5" t="str">
        <f>IFERROR(__xludf.DUMMYFUNCTION("""COMPUTED_VALUE"""),"The General")</f>
        <v>The General</v>
      </c>
      <c r="R1282" s="5" t="str">
        <f>IFERROR(__xludf.DUMMYFUNCTION("""COMPUTED_VALUE"""),"Buster Keaton")</f>
        <v>Buster Keaton</v>
      </c>
      <c r="S1282" s="5" t="str">
        <f>IFERROR(__xludf.DUMMYFUNCTION("""COMPUTED_VALUE"""),"Estrela 1")</f>
        <v>Estrela 1</v>
      </c>
    </row>
    <row r="1283">
      <c r="G1283" s="5" t="str">
        <f>IFERROR(__xludf.DUMMYFUNCTION("""COMPUTED_VALUE"""),"321🤙🏼The General🤙🏼Buster Keaton🤙🏼Estrela 2")</f>
        <v>321🤙🏼The General🤙🏼Buster Keaton🤙🏼Estrela 2</v>
      </c>
      <c r="H1283" s="5">
        <f>IFERROR(__xludf.DUMMYFUNCTION("SPLiT(G1283, ""🤙🏼"",FALSE,FALSE)"),321.0)</f>
        <v>321</v>
      </c>
      <c r="I1283" s="5" t="str">
        <f>IFERROR(__xludf.DUMMYFUNCTION("""COMPUTED_VALUE"""),"The General")</f>
        <v>The General</v>
      </c>
      <c r="J1283" s="5" t="str">
        <f>IFERROR(__xludf.DUMMYFUNCTION("""COMPUTED_VALUE"""),"Buster Keaton")</f>
        <v>Buster Keaton</v>
      </c>
      <c r="K1283" s="5" t="str">
        <f>IFERROR(__xludf.DUMMYFUNCTION("""COMPUTED_VALUE"""),"Estrela 2")</f>
        <v>Estrela 2</v>
      </c>
      <c r="P1283" s="5">
        <f>IFERROR(__xludf.DUMMYFUNCTION("""COMPUTED_VALUE"""),321.0)</f>
        <v>321</v>
      </c>
      <c r="Q1283" s="5" t="str">
        <f>IFERROR(__xludf.DUMMYFUNCTION("""COMPUTED_VALUE"""),"The General")</f>
        <v>The General</v>
      </c>
      <c r="R1283" s="5" t="str">
        <f>IFERROR(__xludf.DUMMYFUNCTION("""COMPUTED_VALUE"""),"Buster Keaton")</f>
        <v>Buster Keaton</v>
      </c>
      <c r="S1283" s="5" t="str">
        <f>IFERROR(__xludf.DUMMYFUNCTION("""COMPUTED_VALUE"""),"Estrela 2")</f>
        <v>Estrela 2</v>
      </c>
    </row>
    <row r="1284">
      <c r="G1284" s="5" t="str">
        <f>IFERROR(__xludf.DUMMYFUNCTION("""COMPUTED_VALUE"""),"321🤙🏼The General🤙🏼Marion Mack🤙🏼Estrela 3")</f>
        <v>321🤙🏼The General🤙🏼Marion Mack🤙🏼Estrela 3</v>
      </c>
      <c r="H1284" s="5">
        <f>IFERROR(__xludf.DUMMYFUNCTION("SPLiT(G1284, ""🤙🏼"",FALSE,FALSE)"),321.0)</f>
        <v>321</v>
      </c>
      <c r="I1284" s="5" t="str">
        <f>IFERROR(__xludf.DUMMYFUNCTION("""COMPUTED_VALUE"""),"The General")</f>
        <v>The General</v>
      </c>
      <c r="J1284" s="5" t="str">
        <f>IFERROR(__xludf.DUMMYFUNCTION("""COMPUTED_VALUE"""),"Marion Mack")</f>
        <v>Marion Mack</v>
      </c>
      <c r="K1284" s="5" t="str">
        <f>IFERROR(__xludf.DUMMYFUNCTION("""COMPUTED_VALUE"""),"Estrela 3")</f>
        <v>Estrela 3</v>
      </c>
      <c r="P1284" s="5">
        <f>IFERROR(__xludf.DUMMYFUNCTION("""COMPUTED_VALUE"""),321.0)</f>
        <v>321</v>
      </c>
      <c r="Q1284" s="5" t="str">
        <f>IFERROR(__xludf.DUMMYFUNCTION("""COMPUTED_VALUE"""),"The General")</f>
        <v>The General</v>
      </c>
      <c r="R1284" s="5" t="str">
        <f>IFERROR(__xludf.DUMMYFUNCTION("""COMPUTED_VALUE"""),"Marion Mack")</f>
        <v>Marion Mack</v>
      </c>
      <c r="S1284" s="5" t="str">
        <f>IFERROR(__xludf.DUMMYFUNCTION("""COMPUTED_VALUE"""),"Estrela 3")</f>
        <v>Estrela 3</v>
      </c>
    </row>
    <row r="1285">
      <c r="G1285" s="5" t="str">
        <f>IFERROR(__xludf.DUMMYFUNCTION("""COMPUTED_VALUE"""),"321🤙🏼The General🤙🏼Glen Cavender🤙🏼Estrela 4")</f>
        <v>321🤙🏼The General🤙🏼Glen Cavender🤙🏼Estrela 4</v>
      </c>
      <c r="H1285" s="5">
        <f>IFERROR(__xludf.DUMMYFUNCTION("SPLiT(G1285, ""🤙🏼"",FALSE,FALSE)"),321.0)</f>
        <v>321</v>
      </c>
      <c r="I1285" s="5" t="str">
        <f>IFERROR(__xludf.DUMMYFUNCTION("""COMPUTED_VALUE"""),"The General")</f>
        <v>The General</v>
      </c>
      <c r="J1285" s="5" t="str">
        <f>IFERROR(__xludf.DUMMYFUNCTION("""COMPUTED_VALUE"""),"Glen Cavender")</f>
        <v>Glen Cavender</v>
      </c>
      <c r="K1285" s="5" t="str">
        <f>IFERROR(__xludf.DUMMYFUNCTION("""COMPUTED_VALUE"""),"Estrela 4")</f>
        <v>Estrela 4</v>
      </c>
      <c r="P1285" s="5">
        <f>IFERROR(__xludf.DUMMYFUNCTION("""COMPUTED_VALUE"""),321.0)</f>
        <v>321</v>
      </c>
      <c r="Q1285" s="5" t="str">
        <f>IFERROR(__xludf.DUMMYFUNCTION("""COMPUTED_VALUE"""),"The General")</f>
        <v>The General</v>
      </c>
      <c r="R1285" s="5" t="str">
        <f>IFERROR(__xludf.DUMMYFUNCTION("""COMPUTED_VALUE"""),"Glen Cavender")</f>
        <v>Glen Cavender</v>
      </c>
      <c r="S1285" s="5" t="str">
        <f>IFERROR(__xludf.DUMMYFUNCTION("""COMPUTED_VALUE"""),"Estrela 4")</f>
        <v>Estrela 4</v>
      </c>
    </row>
    <row r="1286">
      <c r="G1286" s="5" t="str">
        <f>IFERROR(__xludf.DUMMYFUNCTION("""COMPUTED_VALUE"""),"322🤙🏼Das Cabinet des Dr. Caligari🤙🏼Werner Krauss🤙🏼Estrela 1")</f>
        <v>322🤙🏼Das Cabinet des Dr. Caligari🤙🏼Werner Krauss🤙🏼Estrela 1</v>
      </c>
      <c r="H1286" s="5">
        <f>IFERROR(__xludf.DUMMYFUNCTION("SPLiT(G1286, ""🤙🏼"",FALSE,FALSE)"),322.0)</f>
        <v>322</v>
      </c>
      <c r="I1286" s="5" t="str">
        <f>IFERROR(__xludf.DUMMYFUNCTION("""COMPUTED_VALUE"""),"Das Cabinet des Dr. Caligari")</f>
        <v>Das Cabinet des Dr. Caligari</v>
      </c>
      <c r="J1286" s="5" t="str">
        <f>IFERROR(__xludf.DUMMYFUNCTION("""COMPUTED_VALUE"""),"Werner Krauss")</f>
        <v>Werner Krauss</v>
      </c>
      <c r="K1286" s="5" t="str">
        <f>IFERROR(__xludf.DUMMYFUNCTION("""COMPUTED_VALUE"""),"Estrela 1")</f>
        <v>Estrela 1</v>
      </c>
      <c r="P1286" s="5">
        <f>IFERROR(__xludf.DUMMYFUNCTION("""COMPUTED_VALUE"""),322.0)</f>
        <v>322</v>
      </c>
      <c r="Q1286" s="5" t="str">
        <f>IFERROR(__xludf.DUMMYFUNCTION("""COMPUTED_VALUE"""),"Das Cabinet des Dr. Caligari")</f>
        <v>Das Cabinet des Dr. Caligari</v>
      </c>
      <c r="R1286" s="5" t="str">
        <f>IFERROR(__xludf.DUMMYFUNCTION("""COMPUTED_VALUE"""),"Werner Krauss")</f>
        <v>Werner Krauss</v>
      </c>
      <c r="S1286" s="5" t="str">
        <f>IFERROR(__xludf.DUMMYFUNCTION("""COMPUTED_VALUE"""),"Estrela 1")</f>
        <v>Estrela 1</v>
      </c>
    </row>
    <row r="1287">
      <c r="G1287" s="5" t="str">
        <f>IFERROR(__xludf.DUMMYFUNCTION("""COMPUTED_VALUE"""),"322🤙🏼Das Cabinet des Dr. Caligari🤙🏼Conrad Veidt🤙🏼Estrela 2")</f>
        <v>322🤙🏼Das Cabinet des Dr. Caligari🤙🏼Conrad Veidt🤙🏼Estrela 2</v>
      </c>
      <c r="H1287" s="5">
        <f>IFERROR(__xludf.DUMMYFUNCTION("SPLiT(G1287, ""🤙🏼"",FALSE,FALSE)"),322.0)</f>
        <v>322</v>
      </c>
      <c r="I1287" s="5" t="str">
        <f>IFERROR(__xludf.DUMMYFUNCTION("""COMPUTED_VALUE"""),"Das Cabinet des Dr. Caligari")</f>
        <v>Das Cabinet des Dr. Caligari</v>
      </c>
      <c r="J1287" s="5" t="str">
        <f>IFERROR(__xludf.DUMMYFUNCTION("""COMPUTED_VALUE"""),"Conrad Veidt")</f>
        <v>Conrad Veidt</v>
      </c>
      <c r="K1287" s="5" t="str">
        <f>IFERROR(__xludf.DUMMYFUNCTION("""COMPUTED_VALUE"""),"Estrela 2")</f>
        <v>Estrela 2</v>
      </c>
      <c r="P1287" s="5">
        <f>IFERROR(__xludf.DUMMYFUNCTION("""COMPUTED_VALUE"""),322.0)</f>
        <v>322</v>
      </c>
      <c r="Q1287" s="5" t="str">
        <f>IFERROR(__xludf.DUMMYFUNCTION("""COMPUTED_VALUE"""),"Das Cabinet des Dr. Caligari")</f>
        <v>Das Cabinet des Dr. Caligari</v>
      </c>
      <c r="R1287" s="5" t="str">
        <f>IFERROR(__xludf.DUMMYFUNCTION("""COMPUTED_VALUE"""),"Conrad Veidt")</f>
        <v>Conrad Veidt</v>
      </c>
      <c r="S1287" s="5" t="str">
        <f>IFERROR(__xludf.DUMMYFUNCTION("""COMPUTED_VALUE"""),"Estrela 2")</f>
        <v>Estrela 2</v>
      </c>
    </row>
    <row r="1288">
      <c r="G1288" s="5" t="str">
        <f>IFERROR(__xludf.DUMMYFUNCTION("""COMPUTED_VALUE"""),"322🤙🏼Das Cabinet des Dr. Caligari🤙🏼Friedrich Feher🤙🏼Estrela 3")</f>
        <v>322🤙🏼Das Cabinet des Dr. Caligari🤙🏼Friedrich Feher🤙🏼Estrela 3</v>
      </c>
      <c r="H1288" s="5">
        <f>IFERROR(__xludf.DUMMYFUNCTION("SPLiT(G1288, ""🤙🏼"",FALSE,FALSE)"),322.0)</f>
        <v>322</v>
      </c>
      <c r="I1288" s="5" t="str">
        <f>IFERROR(__xludf.DUMMYFUNCTION("""COMPUTED_VALUE"""),"Das Cabinet des Dr. Caligari")</f>
        <v>Das Cabinet des Dr. Caligari</v>
      </c>
      <c r="J1288" s="5" t="str">
        <f>IFERROR(__xludf.DUMMYFUNCTION("""COMPUTED_VALUE"""),"Friedrich Feher")</f>
        <v>Friedrich Feher</v>
      </c>
      <c r="K1288" s="5" t="str">
        <f>IFERROR(__xludf.DUMMYFUNCTION("""COMPUTED_VALUE"""),"Estrela 3")</f>
        <v>Estrela 3</v>
      </c>
      <c r="P1288" s="5">
        <f>IFERROR(__xludf.DUMMYFUNCTION("""COMPUTED_VALUE"""),322.0)</f>
        <v>322</v>
      </c>
      <c r="Q1288" s="5" t="str">
        <f>IFERROR(__xludf.DUMMYFUNCTION("""COMPUTED_VALUE"""),"Das Cabinet des Dr. Caligari")</f>
        <v>Das Cabinet des Dr. Caligari</v>
      </c>
      <c r="R1288" s="5" t="str">
        <f>IFERROR(__xludf.DUMMYFUNCTION("""COMPUTED_VALUE"""),"Friedrich Feher")</f>
        <v>Friedrich Feher</v>
      </c>
      <c r="S1288" s="5" t="str">
        <f>IFERROR(__xludf.DUMMYFUNCTION("""COMPUTED_VALUE"""),"Estrela 3")</f>
        <v>Estrela 3</v>
      </c>
    </row>
    <row r="1289">
      <c r="G1289" s="5" t="str">
        <f>IFERROR(__xludf.DUMMYFUNCTION("""COMPUTED_VALUE"""),"322🤙🏼Das Cabinet des Dr. Caligari🤙🏼Lil Dagover🤙🏼Estrela 4")</f>
        <v>322🤙🏼Das Cabinet des Dr. Caligari🤙🏼Lil Dagover🤙🏼Estrela 4</v>
      </c>
      <c r="H1289" s="5">
        <f>IFERROR(__xludf.DUMMYFUNCTION("SPLiT(G1289, ""🤙🏼"",FALSE,FALSE)"),322.0)</f>
        <v>322</v>
      </c>
      <c r="I1289" s="5" t="str">
        <f>IFERROR(__xludf.DUMMYFUNCTION("""COMPUTED_VALUE"""),"Das Cabinet des Dr. Caligari")</f>
        <v>Das Cabinet des Dr. Caligari</v>
      </c>
      <c r="J1289" s="5" t="str">
        <f>IFERROR(__xludf.DUMMYFUNCTION("""COMPUTED_VALUE"""),"Lil Dagover")</f>
        <v>Lil Dagover</v>
      </c>
      <c r="K1289" s="5" t="str">
        <f>IFERROR(__xludf.DUMMYFUNCTION("""COMPUTED_VALUE"""),"Estrela 4")</f>
        <v>Estrela 4</v>
      </c>
      <c r="P1289" s="5">
        <f>IFERROR(__xludf.DUMMYFUNCTION("""COMPUTED_VALUE"""),322.0)</f>
        <v>322</v>
      </c>
      <c r="Q1289" s="5" t="str">
        <f>IFERROR(__xludf.DUMMYFUNCTION("""COMPUTED_VALUE"""),"Das Cabinet des Dr. Caligari")</f>
        <v>Das Cabinet des Dr. Caligari</v>
      </c>
      <c r="R1289" s="5" t="str">
        <f>IFERROR(__xludf.DUMMYFUNCTION("""COMPUTED_VALUE"""),"Lil Dagover")</f>
        <v>Lil Dagover</v>
      </c>
      <c r="S1289" s="5" t="str">
        <f>IFERROR(__xludf.DUMMYFUNCTION("""COMPUTED_VALUE"""),"Estrela 4")</f>
        <v>Estrela 4</v>
      </c>
    </row>
    <row r="1290">
      <c r="G1290" s="5" t="str">
        <f>IFERROR(__xludf.DUMMYFUNCTION("""COMPUTED_VALUE"""),"323🤙🏼Badhaai ho🤙🏼Ayushmann Khurrana🤙🏼Estrela 1")</f>
        <v>323🤙🏼Badhaai ho🤙🏼Ayushmann Khurrana🤙🏼Estrela 1</v>
      </c>
      <c r="H1290" s="5">
        <f>IFERROR(__xludf.DUMMYFUNCTION("SPLiT(G1290, ""🤙🏼"",FALSE,FALSE)"),323.0)</f>
        <v>323</v>
      </c>
      <c r="I1290" s="5" t="str">
        <f>IFERROR(__xludf.DUMMYFUNCTION("""COMPUTED_VALUE"""),"Badhaai ho")</f>
        <v>Badhaai ho</v>
      </c>
      <c r="J1290" s="5" t="str">
        <f>IFERROR(__xludf.DUMMYFUNCTION("""COMPUTED_VALUE"""),"Ayushmann Khurrana")</f>
        <v>Ayushmann Khurrana</v>
      </c>
      <c r="K1290" s="5" t="str">
        <f>IFERROR(__xludf.DUMMYFUNCTION("""COMPUTED_VALUE"""),"Estrela 1")</f>
        <v>Estrela 1</v>
      </c>
      <c r="P1290" s="5">
        <f>IFERROR(__xludf.DUMMYFUNCTION("""COMPUTED_VALUE"""),323.0)</f>
        <v>323</v>
      </c>
      <c r="Q1290" s="5" t="str">
        <f>IFERROR(__xludf.DUMMYFUNCTION("""COMPUTED_VALUE"""),"Badhaai ho")</f>
        <v>Badhaai ho</v>
      </c>
      <c r="R1290" s="5" t="str">
        <f>IFERROR(__xludf.DUMMYFUNCTION("""COMPUTED_VALUE"""),"Ayushmann Khurrana")</f>
        <v>Ayushmann Khurrana</v>
      </c>
      <c r="S1290" s="5" t="str">
        <f>IFERROR(__xludf.DUMMYFUNCTION("""COMPUTED_VALUE"""),"Estrela 1")</f>
        <v>Estrela 1</v>
      </c>
    </row>
    <row r="1291">
      <c r="G1291" s="5" t="str">
        <f>IFERROR(__xludf.DUMMYFUNCTION("""COMPUTED_VALUE"""),"323🤙🏼Badhaai ho🤙🏼Neena Gupta🤙🏼Estrela 2")</f>
        <v>323🤙🏼Badhaai ho🤙🏼Neena Gupta🤙🏼Estrela 2</v>
      </c>
      <c r="H1291" s="5">
        <f>IFERROR(__xludf.DUMMYFUNCTION("SPLiT(G1291, ""🤙🏼"",FALSE,FALSE)"),323.0)</f>
        <v>323</v>
      </c>
      <c r="I1291" s="5" t="str">
        <f>IFERROR(__xludf.DUMMYFUNCTION("""COMPUTED_VALUE"""),"Badhaai ho")</f>
        <v>Badhaai ho</v>
      </c>
      <c r="J1291" s="5" t="str">
        <f>IFERROR(__xludf.DUMMYFUNCTION("""COMPUTED_VALUE"""),"Neena Gupta")</f>
        <v>Neena Gupta</v>
      </c>
      <c r="K1291" s="5" t="str">
        <f>IFERROR(__xludf.DUMMYFUNCTION("""COMPUTED_VALUE"""),"Estrela 2")</f>
        <v>Estrela 2</v>
      </c>
      <c r="P1291" s="5">
        <f>IFERROR(__xludf.DUMMYFUNCTION("""COMPUTED_VALUE"""),323.0)</f>
        <v>323</v>
      </c>
      <c r="Q1291" s="5" t="str">
        <f>IFERROR(__xludf.DUMMYFUNCTION("""COMPUTED_VALUE"""),"Badhaai ho")</f>
        <v>Badhaai ho</v>
      </c>
      <c r="R1291" s="5" t="str">
        <f>IFERROR(__xludf.DUMMYFUNCTION("""COMPUTED_VALUE"""),"Neena Gupta")</f>
        <v>Neena Gupta</v>
      </c>
      <c r="S1291" s="5" t="str">
        <f>IFERROR(__xludf.DUMMYFUNCTION("""COMPUTED_VALUE"""),"Estrela 2")</f>
        <v>Estrela 2</v>
      </c>
    </row>
    <row r="1292">
      <c r="G1292" s="5" t="str">
        <f>IFERROR(__xludf.DUMMYFUNCTION("""COMPUTED_VALUE"""),"323🤙🏼Badhaai ho🤙🏼Gajraj Rao🤙🏼Estrela 3")</f>
        <v>323🤙🏼Badhaai ho🤙🏼Gajraj Rao🤙🏼Estrela 3</v>
      </c>
      <c r="H1292" s="5">
        <f>IFERROR(__xludf.DUMMYFUNCTION("SPLiT(G1292, ""🤙🏼"",FALSE,FALSE)"),323.0)</f>
        <v>323</v>
      </c>
      <c r="I1292" s="5" t="str">
        <f>IFERROR(__xludf.DUMMYFUNCTION("""COMPUTED_VALUE"""),"Badhaai ho")</f>
        <v>Badhaai ho</v>
      </c>
      <c r="J1292" s="5" t="str">
        <f>IFERROR(__xludf.DUMMYFUNCTION("""COMPUTED_VALUE"""),"Gajraj Rao")</f>
        <v>Gajraj Rao</v>
      </c>
      <c r="K1292" s="5" t="str">
        <f>IFERROR(__xludf.DUMMYFUNCTION("""COMPUTED_VALUE"""),"Estrela 3")</f>
        <v>Estrela 3</v>
      </c>
      <c r="P1292" s="5">
        <f>IFERROR(__xludf.DUMMYFUNCTION("""COMPUTED_VALUE"""),323.0)</f>
        <v>323</v>
      </c>
      <c r="Q1292" s="5" t="str">
        <f>IFERROR(__xludf.DUMMYFUNCTION("""COMPUTED_VALUE"""),"Badhaai ho")</f>
        <v>Badhaai ho</v>
      </c>
      <c r="R1292" s="5" t="str">
        <f>IFERROR(__xludf.DUMMYFUNCTION("""COMPUTED_VALUE"""),"Gajraj Rao")</f>
        <v>Gajraj Rao</v>
      </c>
      <c r="S1292" s="5" t="str">
        <f>IFERROR(__xludf.DUMMYFUNCTION("""COMPUTED_VALUE"""),"Estrela 3")</f>
        <v>Estrela 3</v>
      </c>
    </row>
    <row r="1293">
      <c r="G1293" s="5" t="str">
        <f>IFERROR(__xludf.DUMMYFUNCTION("""COMPUTED_VALUE"""),"323🤙🏼Badhaai ho🤙🏼Sanya Malhotra🤙🏼Estrela 4")</f>
        <v>323🤙🏼Badhaai ho🤙🏼Sanya Malhotra🤙🏼Estrela 4</v>
      </c>
      <c r="H1293" s="5">
        <f>IFERROR(__xludf.DUMMYFUNCTION("SPLiT(G1293, ""🤙🏼"",FALSE,FALSE)"),323.0)</f>
        <v>323</v>
      </c>
      <c r="I1293" s="5" t="str">
        <f>IFERROR(__xludf.DUMMYFUNCTION("""COMPUTED_VALUE"""),"Badhaai ho")</f>
        <v>Badhaai ho</v>
      </c>
      <c r="J1293" s="5" t="str">
        <f>IFERROR(__xludf.DUMMYFUNCTION("""COMPUTED_VALUE"""),"Sanya Malhotra")</f>
        <v>Sanya Malhotra</v>
      </c>
      <c r="K1293" s="5" t="str">
        <f>IFERROR(__xludf.DUMMYFUNCTION("""COMPUTED_VALUE"""),"Estrela 4")</f>
        <v>Estrela 4</v>
      </c>
      <c r="P1293" s="5">
        <f>IFERROR(__xludf.DUMMYFUNCTION("""COMPUTED_VALUE"""),323.0)</f>
        <v>323</v>
      </c>
      <c r="Q1293" s="5" t="str">
        <f>IFERROR(__xludf.DUMMYFUNCTION("""COMPUTED_VALUE"""),"Badhaai ho")</f>
        <v>Badhaai ho</v>
      </c>
      <c r="R1293" s="5" t="str">
        <f>IFERROR(__xludf.DUMMYFUNCTION("""COMPUTED_VALUE"""),"Sanya Malhotra")</f>
        <v>Sanya Malhotra</v>
      </c>
      <c r="S1293" s="5" t="str">
        <f>IFERROR(__xludf.DUMMYFUNCTION("""COMPUTED_VALUE"""),"Estrela 4")</f>
        <v>Estrela 4</v>
      </c>
    </row>
    <row r="1294">
      <c r="G1294" s="5" t="str">
        <f>IFERROR(__xludf.DUMMYFUNCTION("""COMPUTED_VALUE"""),"324🤙🏼Togo🤙🏼Willem Dafoe🤙🏼Estrela 1")</f>
        <v>324🤙🏼Togo🤙🏼Willem Dafoe🤙🏼Estrela 1</v>
      </c>
      <c r="H1294" s="5">
        <f>IFERROR(__xludf.DUMMYFUNCTION("SPLiT(G1294, ""🤙🏼"",FALSE,FALSE)"),324.0)</f>
        <v>324</v>
      </c>
      <c r="I1294" s="5" t="str">
        <f>IFERROR(__xludf.DUMMYFUNCTION("""COMPUTED_VALUE"""),"Togo")</f>
        <v>Togo</v>
      </c>
      <c r="J1294" s="5" t="str">
        <f>IFERROR(__xludf.DUMMYFUNCTION("""COMPUTED_VALUE"""),"Willem Dafoe")</f>
        <v>Willem Dafoe</v>
      </c>
      <c r="K1294" s="5" t="str">
        <f>IFERROR(__xludf.DUMMYFUNCTION("""COMPUTED_VALUE"""),"Estrela 1")</f>
        <v>Estrela 1</v>
      </c>
      <c r="P1294" s="5">
        <f>IFERROR(__xludf.DUMMYFUNCTION("""COMPUTED_VALUE"""),324.0)</f>
        <v>324</v>
      </c>
      <c r="Q1294" s="5" t="str">
        <f>IFERROR(__xludf.DUMMYFUNCTION("""COMPUTED_VALUE"""),"Togo")</f>
        <v>Togo</v>
      </c>
      <c r="R1294" s="5" t="str">
        <f>IFERROR(__xludf.DUMMYFUNCTION("""COMPUTED_VALUE"""),"Willem Dafoe")</f>
        <v>Willem Dafoe</v>
      </c>
      <c r="S1294" s="5" t="str">
        <f>IFERROR(__xludf.DUMMYFUNCTION("""COMPUTED_VALUE"""),"Estrela 1")</f>
        <v>Estrela 1</v>
      </c>
    </row>
    <row r="1295">
      <c r="G1295" s="5" t="str">
        <f>IFERROR(__xludf.DUMMYFUNCTION("""COMPUTED_VALUE"""),"324🤙🏼Togo🤙🏼Julianne Nicholson🤙🏼Estrela 2")</f>
        <v>324🤙🏼Togo🤙🏼Julianne Nicholson🤙🏼Estrela 2</v>
      </c>
      <c r="H1295" s="5">
        <f>IFERROR(__xludf.DUMMYFUNCTION("SPLiT(G1295, ""🤙🏼"",FALSE,FALSE)"),324.0)</f>
        <v>324</v>
      </c>
      <c r="I1295" s="5" t="str">
        <f>IFERROR(__xludf.DUMMYFUNCTION("""COMPUTED_VALUE"""),"Togo")</f>
        <v>Togo</v>
      </c>
      <c r="J1295" s="5" t="str">
        <f>IFERROR(__xludf.DUMMYFUNCTION("""COMPUTED_VALUE"""),"Julianne Nicholson")</f>
        <v>Julianne Nicholson</v>
      </c>
      <c r="K1295" s="5" t="str">
        <f>IFERROR(__xludf.DUMMYFUNCTION("""COMPUTED_VALUE"""),"Estrela 2")</f>
        <v>Estrela 2</v>
      </c>
      <c r="P1295" s="5">
        <f>IFERROR(__xludf.DUMMYFUNCTION("""COMPUTED_VALUE"""),324.0)</f>
        <v>324</v>
      </c>
      <c r="Q1295" s="5" t="str">
        <f>IFERROR(__xludf.DUMMYFUNCTION("""COMPUTED_VALUE"""),"Togo")</f>
        <v>Togo</v>
      </c>
      <c r="R1295" s="5" t="str">
        <f>IFERROR(__xludf.DUMMYFUNCTION("""COMPUTED_VALUE"""),"Julianne Nicholson")</f>
        <v>Julianne Nicholson</v>
      </c>
      <c r="S1295" s="5" t="str">
        <f>IFERROR(__xludf.DUMMYFUNCTION("""COMPUTED_VALUE"""),"Estrela 2")</f>
        <v>Estrela 2</v>
      </c>
    </row>
    <row r="1296">
      <c r="G1296" s="5" t="str">
        <f>IFERROR(__xludf.DUMMYFUNCTION("""COMPUTED_VALUE"""),"324🤙🏼Togo🤙🏼Christopher Heyerdahl🤙🏼Estrela 3")</f>
        <v>324🤙🏼Togo🤙🏼Christopher Heyerdahl🤙🏼Estrela 3</v>
      </c>
      <c r="H1296" s="5">
        <f>IFERROR(__xludf.DUMMYFUNCTION("SPLiT(G1296, ""🤙🏼"",FALSE,FALSE)"),324.0)</f>
        <v>324</v>
      </c>
      <c r="I1296" s="5" t="str">
        <f>IFERROR(__xludf.DUMMYFUNCTION("""COMPUTED_VALUE"""),"Togo")</f>
        <v>Togo</v>
      </c>
      <c r="J1296" s="5" t="str">
        <f>IFERROR(__xludf.DUMMYFUNCTION("""COMPUTED_VALUE"""),"Christopher Heyerdahl")</f>
        <v>Christopher Heyerdahl</v>
      </c>
      <c r="K1296" s="5" t="str">
        <f>IFERROR(__xludf.DUMMYFUNCTION("""COMPUTED_VALUE"""),"Estrela 3")</f>
        <v>Estrela 3</v>
      </c>
      <c r="P1296" s="5">
        <f>IFERROR(__xludf.DUMMYFUNCTION("""COMPUTED_VALUE"""),324.0)</f>
        <v>324</v>
      </c>
      <c r="Q1296" s="5" t="str">
        <f>IFERROR(__xludf.DUMMYFUNCTION("""COMPUTED_VALUE"""),"Togo")</f>
        <v>Togo</v>
      </c>
      <c r="R1296" s="5" t="str">
        <f>IFERROR(__xludf.DUMMYFUNCTION("""COMPUTED_VALUE"""),"Christopher Heyerdahl")</f>
        <v>Christopher Heyerdahl</v>
      </c>
      <c r="S1296" s="5" t="str">
        <f>IFERROR(__xludf.DUMMYFUNCTION("""COMPUTED_VALUE"""),"Estrela 3")</f>
        <v>Estrela 3</v>
      </c>
    </row>
    <row r="1297">
      <c r="G1297" s="5" t="str">
        <f>IFERROR(__xludf.DUMMYFUNCTION("""COMPUTED_VALUE"""),"324🤙🏼Togo🤙🏼Richard Dormer🤙🏼Estrela 4")</f>
        <v>324🤙🏼Togo🤙🏼Richard Dormer🤙🏼Estrela 4</v>
      </c>
      <c r="H1297" s="5">
        <f>IFERROR(__xludf.DUMMYFUNCTION("SPLiT(G1297, ""🤙🏼"",FALSE,FALSE)"),324.0)</f>
        <v>324</v>
      </c>
      <c r="I1297" s="5" t="str">
        <f>IFERROR(__xludf.DUMMYFUNCTION("""COMPUTED_VALUE"""),"Togo")</f>
        <v>Togo</v>
      </c>
      <c r="J1297" s="5" t="str">
        <f>IFERROR(__xludf.DUMMYFUNCTION("""COMPUTED_VALUE"""),"Richard Dormer")</f>
        <v>Richard Dormer</v>
      </c>
      <c r="K1297" s="5" t="str">
        <f>IFERROR(__xludf.DUMMYFUNCTION("""COMPUTED_VALUE"""),"Estrela 4")</f>
        <v>Estrela 4</v>
      </c>
      <c r="P1297" s="5">
        <f>IFERROR(__xludf.DUMMYFUNCTION("""COMPUTED_VALUE"""),324.0)</f>
        <v>324</v>
      </c>
      <c r="Q1297" s="5" t="str">
        <f>IFERROR(__xludf.DUMMYFUNCTION("""COMPUTED_VALUE"""),"Togo")</f>
        <v>Togo</v>
      </c>
      <c r="R1297" s="5" t="str">
        <f>IFERROR(__xludf.DUMMYFUNCTION("""COMPUTED_VALUE"""),"Richard Dormer")</f>
        <v>Richard Dormer</v>
      </c>
      <c r="S1297" s="5" t="str">
        <f>IFERROR(__xludf.DUMMYFUNCTION("""COMPUTED_VALUE"""),"Estrela 4")</f>
        <v>Estrela 4</v>
      </c>
    </row>
    <row r="1298">
      <c r="G1298" s="5" t="str">
        <f>IFERROR(__xludf.DUMMYFUNCTION("""COMPUTED_VALUE"""),"325🤙🏼Airlift🤙🏼Akshay Kumar🤙🏼Estrela 1")</f>
        <v>325🤙🏼Airlift🤙🏼Akshay Kumar🤙🏼Estrela 1</v>
      </c>
      <c r="H1298" s="5">
        <f>IFERROR(__xludf.DUMMYFUNCTION("SPLiT(G1298, ""🤙🏼"",FALSE,FALSE)"),325.0)</f>
        <v>325</v>
      </c>
      <c r="I1298" s="5" t="str">
        <f>IFERROR(__xludf.DUMMYFUNCTION("""COMPUTED_VALUE"""),"Airlift")</f>
        <v>Airlift</v>
      </c>
      <c r="J1298" s="5" t="str">
        <f>IFERROR(__xludf.DUMMYFUNCTION("""COMPUTED_VALUE"""),"Akshay Kumar")</f>
        <v>Akshay Kumar</v>
      </c>
      <c r="K1298" s="5" t="str">
        <f>IFERROR(__xludf.DUMMYFUNCTION("""COMPUTED_VALUE"""),"Estrela 1")</f>
        <v>Estrela 1</v>
      </c>
      <c r="P1298" s="5">
        <f>IFERROR(__xludf.DUMMYFUNCTION("""COMPUTED_VALUE"""),325.0)</f>
        <v>325</v>
      </c>
      <c r="Q1298" s="5" t="str">
        <f>IFERROR(__xludf.DUMMYFUNCTION("""COMPUTED_VALUE"""),"Airlift")</f>
        <v>Airlift</v>
      </c>
      <c r="R1298" s="5" t="str">
        <f>IFERROR(__xludf.DUMMYFUNCTION("""COMPUTED_VALUE"""),"Akshay Kumar")</f>
        <v>Akshay Kumar</v>
      </c>
      <c r="S1298" s="5" t="str">
        <f>IFERROR(__xludf.DUMMYFUNCTION("""COMPUTED_VALUE"""),"Estrela 1")</f>
        <v>Estrela 1</v>
      </c>
    </row>
    <row r="1299">
      <c r="G1299" s="5" t="str">
        <f>IFERROR(__xludf.DUMMYFUNCTION("""COMPUTED_VALUE"""),"325🤙🏼Airlift🤙🏼Nimrat Kaur🤙🏼Estrela 2")</f>
        <v>325🤙🏼Airlift🤙🏼Nimrat Kaur🤙🏼Estrela 2</v>
      </c>
      <c r="H1299" s="5">
        <f>IFERROR(__xludf.DUMMYFUNCTION("SPLiT(G1299, ""🤙🏼"",FALSE,FALSE)"),325.0)</f>
        <v>325</v>
      </c>
      <c r="I1299" s="5" t="str">
        <f>IFERROR(__xludf.DUMMYFUNCTION("""COMPUTED_VALUE"""),"Airlift")</f>
        <v>Airlift</v>
      </c>
      <c r="J1299" s="5" t="str">
        <f>IFERROR(__xludf.DUMMYFUNCTION("""COMPUTED_VALUE"""),"Nimrat Kaur")</f>
        <v>Nimrat Kaur</v>
      </c>
      <c r="K1299" s="5" t="str">
        <f>IFERROR(__xludf.DUMMYFUNCTION("""COMPUTED_VALUE"""),"Estrela 2")</f>
        <v>Estrela 2</v>
      </c>
      <c r="P1299" s="5">
        <f>IFERROR(__xludf.DUMMYFUNCTION("""COMPUTED_VALUE"""),325.0)</f>
        <v>325</v>
      </c>
      <c r="Q1299" s="5" t="str">
        <f>IFERROR(__xludf.DUMMYFUNCTION("""COMPUTED_VALUE"""),"Airlift")</f>
        <v>Airlift</v>
      </c>
      <c r="R1299" s="5" t="str">
        <f>IFERROR(__xludf.DUMMYFUNCTION("""COMPUTED_VALUE"""),"Nimrat Kaur")</f>
        <v>Nimrat Kaur</v>
      </c>
      <c r="S1299" s="5" t="str">
        <f>IFERROR(__xludf.DUMMYFUNCTION("""COMPUTED_VALUE"""),"Estrela 2")</f>
        <v>Estrela 2</v>
      </c>
    </row>
    <row r="1300">
      <c r="G1300" s="5" t="str">
        <f>IFERROR(__xludf.DUMMYFUNCTION("""COMPUTED_VALUE"""),"325🤙🏼Airlift🤙🏼Kumud Mishra🤙🏼Estrela 3")</f>
        <v>325🤙🏼Airlift🤙🏼Kumud Mishra🤙🏼Estrela 3</v>
      </c>
      <c r="H1300" s="5">
        <f>IFERROR(__xludf.DUMMYFUNCTION("SPLiT(G1300, ""🤙🏼"",FALSE,FALSE)"),325.0)</f>
        <v>325</v>
      </c>
      <c r="I1300" s="5" t="str">
        <f>IFERROR(__xludf.DUMMYFUNCTION("""COMPUTED_VALUE"""),"Airlift")</f>
        <v>Airlift</v>
      </c>
      <c r="J1300" s="5" t="str">
        <f>IFERROR(__xludf.DUMMYFUNCTION("""COMPUTED_VALUE"""),"Kumud Mishra")</f>
        <v>Kumud Mishra</v>
      </c>
      <c r="K1300" s="5" t="str">
        <f>IFERROR(__xludf.DUMMYFUNCTION("""COMPUTED_VALUE"""),"Estrela 3")</f>
        <v>Estrela 3</v>
      </c>
      <c r="P1300" s="5">
        <f>IFERROR(__xludf.DUMMYFUNCTION("""COMPUTED_VALUE"""),325.0)</f>
        <v>325</v>
      </c>
      <c r="Q1300" s="5" t="str">
        <f>IFERROR(__xludf.DUMMYFUNCTION("""COMPUTED_VALUE"""),"Airlift")</f>
        <v>Airlift</v>
      </c>
      <c r="R1300" s="5" t="str">
        <f>IFERROR(__xludf.DUMMYFUNCTION("""COMPUTED_VALUE"""),"Kumud Mishra")</f>
        <v>Kumud Mishra</v>
      </c>
      <c r="S1300" s="5" t="str">
        <f>IFERROR(__xludf.DUMMYFUNCTION("""COMPUTED_VALUE"""),"Estrela 3")</f>
        <v>Estrela 3</v>
      </c>
    </row>
    <row r="1301">
      <c r="G1301" s="5" t="str">
        <f>IFERROR(__xludf.DUMMYFUNCTION("""COMPUTED_VALUE"""),"325🤙🏼Airlift🤙🏼Prakash Belawadi🤙🏼Estrela 4")</f>
        <v>325🤙🏼Airlift🤙🏼Prakash Belawadi🤙🏼Estrela 4</v>
      </c>
      <c r="H1301" s="5">
        <f>IFERROR(__xludf.DUMMYFUNCTION("SPLiT(G1301, ""🤙🏼"",FALSE,FALSE)"),325.0)</f>
        <v>325</v>
      </c>
      <c r="I1301" s="5" t="str">
        <f>IFERROR(__xludf.DUMMYFUNCTION("""COMPUTED_VALUE"""),"Airlift")</f>
        <v>Airlift</v>
      </c>
      <c r="J1301" s="5" t="str">
        <f>IFERROR(__xludf.DUMMYFUNCTION("""COMPUTED_VALUE"""),"Prakash Belawadi")</f>
        <v>Prakash Belawadi</v>
      </c>
      <c r="K1301" s="5" t="str">
        <f>IFERROR(__xludf.DUMMYFUNCTION("""COMPUTED_VALUE"""),"Estrela 4")</f>
        <v>Estrela 4</v>
      </c>
      <c r="P1301" s="5">
        <f>IFERROR(__xludf.DUMMYFUNCTION("""COMPUTED_VALUE"""),325.0)</f>
        <v>325</v>
      </c>
      <c r="Q1301" s="5" t="str">
        <f>IFERROR(__xludf.DUMMYFUNCTION("""COMPUTED_VALUE"""),"Airlift")</f>
        <v>Airlift</v>
      </c>
      <c r="R1301" s="5" t="str">
        <f>IFERROR(__xludf.DUMMYFUNCTION("""COMPUTED_VALUE"""),"Prakash Belawadi")</f>
        <v>Prakash Belawadi</v>
      </c>
      <c r="S1301" s="5" t="str">
        <f>IFERROR(__xludf.DUMMYFUNCTION("""COMPUTED_VALUE"""),"Estrela 4")</f>
        <v>Estrela 4</v>
      </c>
    </row>
    <row r="1302">
      <c r="G1302" s="5" t="str">
        <f>IFERROR(__xludf.DUMMYFUNCTION("""COMPUTED_VALUE"""),"326🤙🏼Bajrangi Bhaijaan🤙🏼Salman Khan🤙🏼Estrela 1")</f>
        <v>326🤙🏼Bajrangi Bhaijaan🤙🏼Salman Khan🤙🏼Estrela 1</v>
      </c>
      <c r="H1302" s="5">
        <f>IFERROR(__xludf.DUMMYFUNCTION("SPLiT(G1302, ""🤙🏼"",FALSE,FALSE)"),326.0)</f>
        <v>326</v>
      </c>
      <c r="I1302" s="5" t="str">
        <f>IFERROR(__xludf.DUMMYFUNCTION("""COMPUTED_VALUE"""),"Bajrangi Bhaijaan")</f>
        <v>Bajrangi Bhaijaan</v>
      </c>
      <c r="J1302" s="5" t="str">
        <f>IFERROR(__xludf.DUMMYFUNCTION("""COMPUTED_VALUE"""),"Salman Khan")</f>
        <v>Salman Khan</v>
      </c>
      <c r="K1302" s="5" t="str">
        <f>IFERROR(__xludf.DUMMYFUNCTION("""COMPUTED_VALUE"""),"Estrela 1")</f>
        <v>Estrela 1</v>
      </c>
      <c r="P1302" s="5">
        <f>IFERROR(__xludf.DUMMYFUNCTION("""COMPUTED_VALUE"""),326.0)</f>
        <v>326</v>
      </c>
      <c r="Q1302" s="5" t="str">
        <f>IFERROR(__xludf.DUMMYFUNCTION("""COMPUTED_VALUE"""),"Bajrangi Bhaijaan")</f>
        <v>Bajrangi Bhaijaan</v>
      </c>
      <c r="R1302" s="5" t="str">
        <f>IFERROR(__xludf.DUMMYFUNCTION("""COMPUTED_VALUE"""),"Salman Khan")</f>
        <v>Salman Khan</v>
      </c>
      <c r="S1302" s="5" t="str">
        <f>IFERROR(__xludf.DUMMYFUNCTION("""COMPUTED_VALUE"""),"Estrela 1")</f>
        <v>Estrela 1</v>
      </c>
    </row>
    <row r="1303">
      <c r="G1303" s="5" t="str">
        <f>IFERROR(__xludf.DUMMYFUNCTION("""COMPUTED_VALUE"""),"326🤙🏼Bajrangi Bhaijaan🤙🏼Harshaali Malhotra🤙🏼Estrela 2")</f>
        <v>326🤙🏼Bajrangi Bhaijaan🤙🏼Harshaali Malhotra🤙🏼Estrela 2</v>
      </c>
      <c r="H1303" s="5">
        <f>IFERROR(__xludf.DUMMYFUNCTION("SPLiT(G1303, ""🤙🏼"",FALSE,FALSE)"),326.0)</f>
        <v>326</v>
      </c>
      <c r="I1303" s="5" t="str">
        <f>IFERROR(__xludf.DUMMYFUNCTION("""COMPUTED_VALUE"""),"Bajrangi Bhaijaan")</f>
        <v>Bajrangi Bhaijaan</v>
      </c>
      <c r="J1303" s="5" t="str">
        <f>IFERROR(__xludf.DUMMYFUNCTION("""COMPUTED_VALUE"""),"Harshaali Malhotra")</f>
        <v>Harshaali Malhotra</v>
      </c>
      <c r="K1303" s="5" t="str">
        <f>IFERROR(__xludf.DUMMYFUNCTION("""COMPUTED_VALUE"""),"Estrela 2")</f>
        <v>Estrela 2</v>
      </c>
      <c r="P1303" s="5">
        <f>IFERROR(__xludf.DUMMYFUNCTION("""COMPUTED_VALUE"""),326.0)</f>
        <v>326</v>
      </c>
      <c r="Q1303" s="5" t="str">
        <f>IFERROR(__xludf.DUMMYFUNCTION("""COMPUTED_VALUE"""),"Bajrangi Bhaijaan")</f>
        <v>Bajrangi Bhaijaan</v>
      </c>
      <c r="R1303" s="5" t="str">
        <f>IFERROR(__xludf.DUMMYFUNCTION("""COMPUTED_VALUE"""),"Harshaali Malhotra")</f>
        <v>Harshaali Malhotra</v>
      </c>
      <c r="S1303" s="5" t="str">
        <f>IFERROR(__xludf.DUMMYFUNCTION("""COMPUTED_VALUE"""),"Estrela 2")</f>
        <v>Estrela 2</v>
      </c>
    </row>
    <row r="1304">
      <c r="G1304" s="5" t="str">
        <f>IFERROR(__xludf.DUMMYFUNCTION("""COMPUTED_VALUE"""),"326🤙🏼Bajrangi Bhaijaan🤙🏼Nawazuddin Siddiqui🤙🏼Estrela 3")</f>
        <v>326🤙🏼Bajrangi Bhaijaan🤙🏼Nawazuddin Siddiqui🤙🏼Estrela 3</v>
      </c>
      <c r="H1304" s="5">
        <f>IFERROR(__xludf.DUMMYFUNCTION("SPLiT(G1304, ""🤙🏼"",FALSE,FALSE)"),326.0)</f>
        <v>326</v>
      </c>
      <c r="I1304" s="5" t="str">
        <f>IFERROR(__xludf.DUMMYFUNCTION("""COMPUTED_VALUE"""),"Bajrangi Bhaijaan")</f>
        <v>Bajrangi Bhaijaan</v>
      </c>
      <c r="J1304" s="5" t="str">
        <f>IFERROR(__xludf.DUMMYFUNCTION("""COMPUTED_VALUE"""),"Nawazuddin Siddiqui")</f>
        <v>Nawazuddin Siddiqui</v>
      </c>
      <c r="K1304" s="5" t="str">
        <f>IFERROR(__xludf.DUMMYFUNCTION("""COMPUTED_VALUE"""),"Estrela 3")</f>
        <v>Estrela 3</v>
      </c>
      <c r="P1304" s="5">
        <f>IFERROR(__xludf.DUMMYFUNCTION("""COMPUTED_VALUE"""),326.0)</f>
        <v>326</v>
      </c>
      <c r="Q1304" s="5" t="str">
        <f>IFERROR(__xludf.DUMMYFUNCTION("""COMPUTED_VALUE"""),"Bajrangi Bhaijaan")</f>
        <v>Bajrangi Bhaijaan</v>
      </c>
      <c r="R1304" s="5" t="str">
        <f>IFERROR(__xludf.DUMMYFUNCTION("""COMPUTED_VALUE"""),"Nawazuddin Siddiqui")</f>
        <v>Nawazuddin Siddiqui</v>
      </c>
      <c r="S1304" s="5" t="str">
        <f>IFERROR(__xludf.DUMMYFUNCTION("""COMPUTED_VALUE"""),"Estrela 3")</f>
        <v>Estrela 3</v>
      </c>
    </row>
    <row r="1305">
      <c r="G1305" s="5" t="str">
        <f>IFERROR(__xludf.DUMMYFUNCTION("""COMPUTED_VALUE"""),"326🤙🏼Bajrangi Bhaijaan🤙🏼Kareena Kapoor🤙🏼Estrela 4")</f>
        <v>326🤙🏼Bajrangi Bhaijaan🤙🏼Kareena Kapoor🤙🏼Estrela 4</v>
      </c>
      <c r="H1305" s="5">
        <f>IFERROR(__xludf.DUMMYFUNCTION("SPLiT(G1305, ""🤙🏼"",FALSE,FALSE)"),326.0)</f>
        <v>326</v>
      </c>
      <c r="I1305" s="5" t="str">
        <f>IFERROR(__xludf.DUMMYFUNCTION("""COMPUTED_VALUE"""),"Bajrangi Bhaijaan")</f>
        <v>Bajrangi Bhaijaan</v>
      </c>
      <c r="J1305" s="5" t="str">
        <f>IFERROR(__xludf.DUMMYFUNCTION("""COMPUTED_VALUE"""),"Kareena Kapoor")</f>
        <v>Kareena Kapoor</v>
      </c>
      <c r="K1305" s="5" t="str">
        <f>IFERROR(__xludf.DUMMYFUNCTION("""COMPUTED_VALUE"""),"Estrela 4")</f>
        <v>Estrela 4</v>
      </c>
      <c r="P1305" s="5">
        <f>IFERROR(__xludf.DUMMYFUNCTION("""COMPUTED_VALUE"""),326.0)</f>
        <v>326</v>
      </c>
      <c r="Q1305" s="5" t="str">
        <f>IFERROR(__xludf.DUMMYFUNCTION("""COMPUTED_VALUE"""),"Bajrangi Bhaijaan")</f>
        <v>Bajrangi Bhaijaan</v>
      </c>
      <c r="R1305" s="5" t="str">
        <f>IFERROR(__xludf.DUMMYFUNCTION("""COMPUTED_VALUE"""),"Kareena Kapoor")</f>
        <v>Kareena Kapoor</v>
      </c>
      <c r="S1305" s="5" t="str">
        <f>IFERROR(__xludf.DUMMYFUNCTION("""COMPUTED_VALUE"""),"Estrela 4")</f>
        <v>Estrela 4</v>
      </c>
    </row>
    <row r="1306">
      <c r="G1306" s="5" t="str">
        <f>IFERROR(__xludf.DUMMYFUNCTION("""COMPUTED_VALUE"""),"327🤙🏼Baby🤙🏼Akshay Kumar🤙🏼Estrela 1")</f>
        <v>327🤙🏼Baby🤙🏼Akshay Kumar🤙🏼Estrela 1</v>
      </c>
      <c r="H1306" s="5">
        <f>IFERROR(__xludf.DUMMYFUNCTION("SPLiT(G1306, ""🤙🏼"",FALSE,FALSE)"),327.0)</f>
        <v>327</v>
      </c>
      <c r="I1306" s="5" t="str">
        <f>IFERROR(__xludf.DUMMYFUNCTION("""COMPUTED_VALUE"""),"Baby")</f>
        <v>Baby</v>
      </c>
      <c r="J1306" s="5" t="str">
        <f>IFERROR(__xludf.DUMMYFUNCTION("""COMPUTED_VALUE"""),"Akshay Kumar")</f>
        <v>Akshay Kumar</v>
      </c>
      <c r="K1306" s="5" t="str">
        <f>IFERROR(__xludf.DUMMYFUNCTION("""COMPUTED_VALUE"""),"Estrela 1")</f>
        <v>Estrela 1</v>
      </c>
      <c r="P1306" s="5">
        <f>IFERROR(__xludf.DUMMYFUNCTION("""COMPUTED_VALUE"""),327.0)</f>
        <v>327</v>
      </c>
      <c r="Q1306" s="5" t="str">
        <f>IFERROR(__xludf.DUMMYFUNCTION("""COMPUTED_VALUE"""),"Baby")</f>
        <v>Baby</v>
      </c>
      <c r="R1306" s="5" t="str">
        <f>IFERROR(__xludf.DUMMYFUNCTION("""COMPUTED_VALUE"""),"Akshay Kumar")</f>
        <v>Akshay Kumar</v>
      </c>
      <c r="S1306" s="5" t="str">
        <f>IFERROR(__xludf.DUMMYFUNCTION("""COMPUTED_VALUE"""),"Estrela 1")</f>
        <v>Estrela 1</v>
      </c>
    </row>
    <row r="1307">
      <c r="G1307" s="5" t="str">
        <f>IFERROR(__xludf.DUMMYFUNCTION("""COMPUTED_VALUE"""),"327🤙🏼Baby🤙🏼Danny Denzongpa🤙🏼Estrela 2")</f>
        <v>327🤙🏼Baby🤙🏼Danny Denzongpa🤙🏼Estrela 2</v>
      </c>
      <c r="H1307" s="5">
        <f>IFERROR(__xludf.DUMMYFUNCTION("SPLiT(G1307, ""🤙🏼"",FALSE,FALSE)"),327.0)</f>
        <v>327</v>
      </c>
      <c r="I1307" s="5" t="str">
        <f>IFERROR(__xludf.DUMMYFUNCTION("""COMPUTED_VALUE"""),"Baby")</f>
        <v>Baby</v>
      </c>
      <c r="J1307" s="5" t="str">
        <f>IFERROR(__xludf.DUMMYFUNCTION("""COMPUTED_VALUE"""),"Danny Denzongpa")</f>
        <v>Danny Denzongpa</v>
      </c>
      <c r="K1307" s="5" t="str">
        <f>IFERROR(__xludf.DUMMYFUNCTION("""COMPUTED_VALUE"""),"Estrela 2")</f>
        <v>Estrela 2</v>
      </c>
      <c r="P1307" s="5">
        <f>IFERROR(__xludf.DUMMYFUNCTION("""COMPUTED_VALUE"""),327.0)</f>
        <v>327</v>
      </c>
      <c r="Q1307" s="5" t="str">
        <f>IFERROR(__xludf.DUMMYFUNCTION("""COMPUTED_VALUE"""),"Baby")</f>
        <v>Baby</v>
      </c>
      <c r="R1307" s="5" t="str">
        <f>IFERROR(__xludf.DUMMYFUNCTION("""COMPUTED_VALUE"""),"Danny Denzongpa")</f>
        <v>Danny Denzongpa</v>
      </c>
      <c r="S1307" s="5" t="str">
        <f>IFERROR(__xludf.DUMMYFUNCTION("""COMPUTED_VALUE"""),"Estrela 2")</f>
        <v>Estrela 2</v>
      </c>
    </row>
    <row r="1308">
      <c r="G1308" s="5" t="str">
        <f>IFERROR(__xludf.DUMMYFUNCTION("""COMPUTED_VALUE"""),"327🤙🏼Baby🤙🏼Rana Daggubati🤙🏼Estrela 3")</f>
        <v>327🤙🏼Baby🤙🏼Rana Daggubati🤙🏼Estrela 3</v>
      </c>
      <c r="H1308" s="5">
        <f>IFERROR(__xludf.DUMMYFUNCTION("SPLiT(G1308, ""🤙🏼"",FALSE,FALSE)"),327.0)</f>
        <v>327</v>
      </c>
      <c r="I1308" s="5" t="str">
        <f>IFERROR(__xludf.DUMMYFUNCTION("""COMPUTED_VALUE"""),"Baby")</f>
        <v>Baby</v>
      </c>
      <c r="J1308" s="5" t="str">
        <f>IFERROR(__xludf.DUMMYFUNCTION("""COMPUTED_VALUE"""),"Rana Daggubati")</f>
        <v>Rana Daggubati</v>
      </c>
      <c r="K1308" s="5" t="str">
        <f>IFERROR(__xludf.DUMMYFUNCTION("""COMPUTED_VALUE"""),"Estrela 3")</f>
        <v>Estrela 3</v>
      </c>
      <c r="P1308" s="5">
        <f>IFERROR(__xludf.DUMMYFUNCTION("""COMPUTED_VALUE"""),327.0)</f>
        <v>327</v>
      </c>
      <c r="Q1308" s="5" t="str">
        <f>IFERROR(__xludf.DUMMYFUNCTION("""COMPUTED_VALUE"""),"Baby")</f>
        <v>Baby</v>
      </c>
      <c r="R1308" s="5" t="str">
        <f>IFERROR(__xludf.DUMMYFUNCTION("""COMPUTED_VALUE"""),"Rana Daggubati")</f>
        <v>Rana Daggubati</v>
      </c>
      <c r="S1308" s="5" t="str">
        <f>IFERROR(__xludf.DUMMYFUNCTION("""COMPUTED_VALUE"""),"Estrela 3")</f>
        <v>Estrela 3</v>
      </c>
    </row>
    <row r="1309">
      <c r="G1309" s="5" t="str">
        <f>IFERROR(__xludf.DUMMYFUNCTION("""COMPUTED_VALUE"""),"327🤙🏼Baby🤙🏼Taapsee Pannu🤙🏼Estrela 4")</f>
        <v>327🤙🏼Baby🤙🏼Taapsee Pannu🤙🏼Estrela 4</v>
      </c>
      <c r="H1309" s="5">
        <f>IFERROR(__xludf.DUMMYFUNCTION("SPLiT(G1309, ""🤙🏼"",FALSE,FALSE)"),327.0)</f>
        <v>327</v>
      </c>
      <c r="I1309" s="5" t="str">
        <f>IFERROR(__xludf.DUMMYFUNCTION("""COMPUTED_VALUE"""),"Baby")</f>
        <v>Baby</v>
      </c>
      <c r="J1309" s="5" t="str">
        <f>IFERROR(__xludf.DUMMYFUNCTION("""COMPUTED_VALUE"""),"Taapsee Pannu")</f>
        <v>Taapsee Pannu</v>
      </c>
      <c r="K1309" s="5" t="str">
        <f>IFERROR(__xludf.DUMMYFUNCTION("""COMPUTED_VALUE"""),"Estrela 4")</f>
        <v>Estrela 4</v>
      </c>
      <c r="P1309" s="5">
        <f>IFERROR(__xludf.DUMMYFUNCTION("""COMPUTED_VALUE"""),327.0)</f>
        <v>327</v>
      </c>
      <c r="Q1309" s="5" t="str">
        <f>IFERROR(__xludf.DUMMYFUNCTION("""COMPUTED_VALUE"""),"Baby")</f>
        <v>Baby</v>
      </c>
      <c r="R1309" s="5" t="str">
        <f>IFERROR(__xludf.DUMMYFUNCTION("""COMPUTED_VALUE"""),"Taapsee Pannu")</f>
        <v>Taapsee Pannu</v>
      </c>
      <c r="S1309" s="5" t="str">
        <f>IFERROR(__xludf.DUMMYFUNCTION("""COMPUTED_VALUE"""),"Estrela 4")</f>
        <v>Estrela 4</v>
      </c>
    </row>
    <row r="1310">
      <c r="G1310" s="5" t="str">
        <f>IFERROR(__xludf.DUMMYFUNCTION("""COMPUTED_VALUE"""),"328🤙🏼La La Land🤙🏼Ryan Gosling🤙🏼Estrela 1")</f>
        <v>328🤙🏼La La Land🤙🏼Ryan Gosling🤙🏼Estrela 1</v>
      </c>
      <c r="H1310" s="5">
        <f>IFERROR(__xludf.DUMMYFUNCTION("SPLiT(G1310, ""🤙🏼"",FALSE,FALSE)"),328.0)</f>
        <v>328</v>
      </c>
      <c r="I1310" s="5" t="str">
        <f>IFERROR(__xludf.DUMMYFUNCTION("""COMPUTED_VALUE"""),"La La Land")</f>
        <v>La La Land</v>
      </c>
      <c r="J1310" s="5" t="str">
        <f>IFERROR(__xludf.DUMMYFUNCTION("""COMPUTED_VALUE"""),"Ryan Gosling")</f>
        <v>Ryan Gosling</v>
      </c>
      <c r="K1310" s="5" t="str">
        <f>IFERROR(__xludf.DUMMYFUNCTION("""COMPUTED_VALUE"""),"Estrela 1")</f>
        <v>Estrela 1</v>
      </c>
      <c r="P1310" s="5">
        <f>IFERROR(__xludf.DUMMYFUNCTION("""COMPUTED_VALUE"""),328.0)</f>
        <v>328</v>
      </c>
      <c r="Q1310" s="5" t="str">
        <f>IFERROR(__xludf.DUMMYFUNCTION("""COMPUTED_VALUE"""),"La La Land")</f>
        <v>La La Land</v>
      </c>
      <c r="R1310" s="5" t="str">
        <f>IFERROR(__xludf.DUMMYFUNCTION("""COMPUTED_VALUE"""),"Ryan Gosling")</f>
        <v>Ryan Gosling</v>
      </c>
      <c r="S1310" s="5" t="str">
        <f>IFERROR(__xludf.DUMMYFUNCTION("""COMPUTED_VALUE"""),"Estrela 1")</f>
        <v>Estrela 1</v>
      </c>
    </row>
    <row r="1311">
      <c r="G1311" s="5" t="str">
        <f>IFERROR(__xludf.DUMMYFUNCTION("""COMPUTED_VALUE"""),"328🤙🏼La La Land🤙🏼Emma Stone🤙🏼Estrela 2")</f>
        <v>328🤙🏼La La Land🤙🏼Emma Stone🤙🏼Estrela 2</v>
      </c>
      <c r="H1311" s="5">
        <f>IFERROR(__xludf.DUMMYFUNCTION("SPLiT(G1311, ""🤙🏼"",FALSE,FALSE)"),328.0)</f>
        <v>328</v>
      </c>
      <c r="I1311" s="5" t="str">
        <f>IFERROR(__xludf.DUMMYFUNCTION("""COMPUTED_VALUE"""),"La La Land")</f>
        <v>La La Land</v>
      </c>
      <c r="J1311" s="5" t="str">
        <f>IFERROR(__xludf.DUMMYFUNCTION("""COMPUTED_VALUE"""),"Emma Stone")</f>
        <v>Emma Stone</v>
      </c>
      <c r="K1311" s="5" t="str">
        <f>IFERROR(__xludf.DUMMYFUNCTION("""COMPUTED_VALUE"""),"Estrela 2")</f>
        <v>Estrela 2</v>
      </c>
      <c r="P1311" s="5">
        <f>IFERROR(__xludf.DUMMYFUNCTION("""COMPUTED_VALUE"""),328.0)</f>
        <v>328</v>
      </c>
      <c r="Q1311" s="5" t="str">
        <f>IFERROR(__xludf.DUMMYFUNCTION("""COMPUTED_VALUE"""),"La La Land")</f>
        <v>La La Land</v>
      </c>
      <c r="R1311" s="5" t="str">
        <f>IFERROR(__xludf.DUMMYFUNCTION("""COMPUTED_VALUE"""),"Emma Stone")</f>
        <v>Emma Stone</v>
      </c>
      <c r="S1311" s="5" t="str">
        <f>IFERROR(__xludf.DUMMYFUNCTION("""COMPUTED_VALUE"""),"Estrela 2")</f>
        <v>Estrela 2</v>
      </c>
    </row>
    <row r="1312">
      <c r="G1312" s="5" t="str">
        <f>IFERROR(__xludf.DUMMYFUNCTION("""COMPUTED_VALUE"""),"328🤙🏼La La Land🤙🏼Rosemarie DeWitt🤙🏼Estrela 3")</f>
        <v>328🤙🏼La La Land🤙🏼Rosemarie DeWitt🤙🏼Estrela 3</v>
      </c>
      <c r="H1312" s="5">
        <f>IFERROR(__xludf.DUMMYFUNCTION("SPLiT(G1312, ""🤙🏼"",FALSE,FALSE)"),328.0)</f>
        <v>328</v>
      </c>
      <c r="I1312" s="5" t="str">
        <f>IFERROR(__xludf.DUMMYFUNCTION("""COMPUTED_VALUE"""),"La La Land")</f>
        <v>La La Land</v>
      </c>
      <c r="J1312" s="5" t="str">
        <f>IFERROR(__xludf.DUMMYFUNCTION("""COMPUTED_VALUE"""),"Rosemarie DeWitt")</f>
        <v>Rosemarie DeWitt</v>
      </c>
      <c r="K1312" s="5" t="str">
        <f>IFERROR(__xludf.DUMMYFUNCTION("""COMPUTED_VALUE"""),"Estrela 3")</f>
        <v>Estrela 3</v>
      </c>
      <c r="P1312" s="5">
        <f>IFERROR(__xludf.DUMMYFUNCTION("""COMPUTED_VALUE"""),328.0)</f>
        <v>328</v>
      </c>
      <c r="Q1312" s="5" t="str">
        <f>IFERROR(__xludf.DUMMYFUNCTION("""COMPUTED_VALUE"""),"La La Land")</f>
        <v>La La Land</v>
      </c>
      <c r="R1312" s="5" t="str">
        <f>IFERROR(__xludf.DUMMYFUNCTION("""COMPUTED_VALUE"""),"Rosemarie DeWitt")</f>
        <v>Rosemarie DeWitt</v>
      </c>
      <c r="S1312" s="5" t="str">
        <f>IFERROR(__xludf.DUMMYFUNCTION("""COMPUTED_VALUE"""),"Estrela 3")</f>
        <v>Estrela 3</v>
      </c>
    </row>
    <row r="1313">
      <c r="G1313" s="5" t="str">
        <f>IFERROR(__xludf.DUMMYFUNCTION("""COMPUTED_VALUE"""),"328🤙🏼La La Land🤙🏼J.K. Simmons🤙🏼Estrela 4")</f>
        <v>328🤙🏼La La Land🤙🏼J.K. Simmons🤙🏼Estrela 4</v>
      </c>
      <c r="H1313" s="5">
        <f>IFERROR(__xludf.DUMMYFUNCTION("SPLiT(G1313, ""🤙🏼"",FALSE,FALSE)"),328.0)</f>
        <v>328</v>
      </c>
      <c r="I1313" s="5" t="str">
        <f>IFERROR(__xludf.DUMMYFUNCTION("""COMPUTED_VALUE"""),"La La Land")</f>
        <v>La La Land</v>
      </c>
      <c r="J1313" s="5" t="str">
        <f>IFERROR(__xludf.DUMMYFUNCTION("""COMPUTED_VALUE"""),"J.K. Simmons")</f>
        <v>J.K. Simmons</v>
      </c>
      <c r="K1313" s="5" t="str">
        <f>IFERROR(__xludf.DUMMYFUNCTION("""COMPUTED_VALUE"""),"Estrela 4")</f>
        <v>Estrela 4</v>
      </c>
      <c r="P1313" s="5">
        <f>IFERROR(__xludf.DUMMYFUNCTION("""COMPUTED_VALUE"""),328.0)</f>
        <v>328</v>
      </c>
      <c r="Q1313" s="5" t="str">
        <f>IFERROR(__xludf.DUMMYFUNCTION("""COMPUTED_VALUE"""),"La La Land")</f>
        <v>La La Land</v>
      </c>
      <c r="R1313" s="5" t="str">
        <f>IFERROR(__xludf.DUMMYFUNCTION("""COMPUTED_VALUE"""),"J.K. Simmons")</f>
        <v>J.K. Simmons</v>
      </c>
      <c r="S1313" s="5" t="str">
        <f>IFERROR(__xludf.DUMMYFUNCTION("""COMPUTED_VALUE"""),"Estrela 4")</f>
        <v>Estrela 4</v>
      </c>
    </row>
    <row r="1314">
      <c r="G1314" s="5" t="str">
        <f>IFERROR(__xludf.DUMMYFUNCTION("""COMPUTED_VALUE"""),"329🤙🏼Lion🤙🏼Dev Patel🤙🏼Estrela 1")</f>
        <v>329🤙🏼Lion🤙🏼Dev Patel🤙🏼Estrela 1</v>
      </c>
      <c r="H1314" s="5">
        <f>IFERROR(__xludf.DUMMYFUNCTION("SPLiT(G1314, ""🤙🏼"",FALSE,FALSE)"),329.0)</f>
        <v>329</v>
      </c>
      <c r="I1314" s="5" t="str">
        <f>IFERROR(__xludf.DUMMYFUNCTION("""COMPUTED_VALUE"""),"Lion")</f>
        <v>Lion</v>
      </c>
      <c r="J1314" s="5" t="str">
        <f>IFERROR(__xludf.DUMMYFUNCTION("""COMPUTED_VALUE"""),"Dev Patel")</f>
        <v>Dev Patel</v>
      </c>
      <c r="K1314" s="5" t="str">
        <f>IFERROR(__xludf.DUMMYFUNCTION("""COMPUTED_VALUE"""),"Estrela 1")</f>
        <v>Estrela 1</v>
      </c>
      <c r="P1314" s="5">
        <f>IFERROR(__xludf.DUMMYFUNCTION("""COMPUTED_VALUE"""),329.0)</f>
        <v>329</v>
      </c>
      <c r="Q1314" s="5" t="str">
        <f>IFERROR(__xludf.DUMMYFUNCTION("""COMPUTED_VALUE"""),"Lion")</f>
        <v>Lion</v>
      </c>
      <c r="R1314" s="5" t="str">
        <f>IFERROR(__xludf.DUMMYFUNCTION("""COMPUTED_VALUE"""),"Dev Patel")</f>
        <v>Dev Patel</v>
      </c>
      <c r="S1314" s="5" t="str">
        <f>IFERROR(__xludf.DUMMYFUNCTION("""COMPUTED_VALUE"""),"Estrela 1")</f>
        <v>Estrela 1</v>
      </c>
    </row>
    <row r="1315">
      <c r="G1315" s="5" t="str">
        <f>IFERROR(__xludf.DUMMYFUNCTION("""COMPUTED_VALUE"""),"329🤙🏼Lion🤙🏼Nicole Kidman🤙🏼Estrela 2")</f>
        <v>329🤙🏼Lion🤙🏼Nicole Kidman🤙🏼Estrela 2</v>
      </c>
      <c r="H1315" s="5">
        <f>IFERROR(__xludf.DUMMYFUNCTION("SPLiT(G1315, ""🤙🏼"",FALSE,FALSE)"),329.0)</f>
        <v>329</v>
      </c>
      <c r="I1315" s="5" t="str">
        <f>IFERROR(__xludf.DUMMYFUNCTION("""COMPUTED_VALUE"""),"Lion")</f>
        <v>Lion</v>
      </c>
      <c r="J1315" s="5" t="str">
        <f>IFERROR(__xludf.DUMMYFUNCTION("""COMPUTED_VALUE"""),"Nicole Kidman")</f>
        <v>Nicole Kidman</v>
      </c>
      <c r="K1315" s="5" t="str">
        <f>IFERROR(__xludf.DUMMYFUNCTION("""COMPUTED_VALUE"""),"Estrela 2")</f>
        <v>Estrela 2</v>
      </c>
      <c r="P1315" s="5">
        <f>IFERROR(__xludf.DUMMYFUNCTION("""COMPUTED_VALUE"""),329.0)</f>
        <v>329</v>
      </c>
      <c r="Q1315" s="5" t="str">
        <f>IFERROR(__xludf.DUMMYFUNCTION("""COMPUTED_VALUE"""),"Lion")</f>
        <v>Lion</v>
      </c>
      <c r="R1315" s="5" t="str">
        <f>IFERROR(__xludf.DUMMYFUNCTION("""COMPUTED_VALUE"""),"Nicole Kidman")</f>
        <v>Nicole Kidman</v>
      </c>
      <c r="S1315" s="5" t="str">
        <f>IFERROR(__xludf.DUMMYFUNCTION("""COMPUTED_VALUE"""),"Estrela 2")</f>
        <v>Estrela 2</v>
      </c>
    </row>
    <row r="1316">
      <c r="G1316" s="5" t="str">
        <f>IFERROR(__xludf.DUMMYFUNCTION("""COMPUTED_VALUE"""),"329🤙🏼Lion🤙🏼Rooney Mara🤙🏼Estrela 3")</f>
        <v>329🤙🏼Lion🤙🏼Rooney Mara🤙🏼Estrela 3</v>
      </c>
      <c r="H1316" s="5">
        <f>IFERROR(__xludf.DUMMYFUNCTION("SPLiT(G1316, ""🤙🏼"",FALSE,FALSE)"),329.0)</f>
        <v>329</v>
      </c>
      <c r="I1316" s="5" t="str">
        <f>IFERROR(__xludf.DUMMYFUNCTION("""COMPUTED_VALUE"""),"Lion")</f>
        <v>Lion</v>
      </c>
      <c r="J1316" s="5" t="str">
        <f>IFERROR(__xludf.DUMMYFUNCTION("""COMPUTED_VALUE"""),"Rooney Mara")</f>
        <v>Rooney Mara</v>
      </c>
      <c r="K1316" s="5" t="str">
        <f>IFERROR(__xludf.DUMMYFUNCTION("""COMPUTED_VALUE"""),"Estrela 3")</f>
        <v>Estrela 3</v>
      </c>
      <c r="P1316" s="5">
        <f>IFERROR(__xludf.DUMMYFUNCTION("""COMPUTED_VALUE"""),329.0)</f>
        <v>329</v>
      </c>
      <c r="Q1316" s="5" t="str">
        <f>IFERROR(__xludf.DUMMYFUNCTION("""COMPUTED_VALUE"""),"Lion")</f>
        <v>Lion</v>
      </c>
      <c r="R1316" s="5" t="str">
        <f>IFERROR(__xludf.DUMMYFUNCTION("""COMPUTED_VALUE"""),"Rooney Mara")</f>
        <v>Rooney Mara</v>
      </c>
      <c r="S1316" s="5" t="str">
        <f>IFERROR(__xludf.DUMMYFUNCTION("""COMPUTED_VALUE"""),"Estrela 3")</f>
        <v>Estrela 3</v>
      </c>
    </row>
    <row r="1317">
      <c r="G1317" s="5" t="str">
        <f>IFERROR(__xludf.DUMMYFUNCTION("""COMPUTED_VALUE"""),"329🤙🏼Lion🤙🏼Sunny Pawar🤙🏼Estrela 4")</f>
        <v>329🤙🏼Lion🤙🏼Sunny Pawar🤙🏼Estrela 4</v>
      </c>
      <c r="H1317" s="5">
        <f>IFERROR(__xludf.DUMMYFUNCTION("SPLiT(G1317, ""🤙🏼"",FALSE,FALSE)"),329.0)</f>
        <v>329</v>
      </c>
      <c r="I1317" s="5" t="str">
        <f>IFERROR(__xludf.DUMMYFUNCTION("""COMPUTED_VALUE"""),"Lion")</f>
        <v>Lion</v>
      </c>
      <c r="J1317" s="5" t="str">
        <f>IFERROR(__xludf.DUMMYFUNCTION("""COMPUTED_VALUE"""),"Sunny Pawar")</f>
        <v>Sunny Pawar</v>
      </c>
      <c r="K1317" s="5" t="str">
        <f>IFERROR(__xludf.DUMMYFUNCTION("""COMPUTED_VALUE"""),"Estrela 4")</f>
        <v>Estrela 4</v>
      </c>
      <c r="P1317" s="5">
        <f>IFERROR(__xludf.DUMMYFUNCTION("""COMPUTED_VALUE"""),329.0)</f>
        <v>329</v>
      </c>
      <c r="Q1317" s="5" t="str">
        <f>IFERROR(__xludf.DUMMYFUNCTION("""COMPUTED_VALUE"""),"Lion")</f>
        <v>Lion</v>
      </c>
      <c r="R1317" s="5" t="str">
        <f>IFERROR(__xludf.DUMMYFUNCTION("""COMPUTED_VALUE"""),"Sunny Pawar")</f>
        <v>Sunny Pawar</v>
      </c>
      <c r="S1317" s="5" t="str">
        <f>IFERROR(__xludf.DUMMYFUNCTION("""COMPUTED_VALUE"""),"Estrela 4")</f>
        <v>Estrela 4</v>
      </c>
    </row>
    <row r="1318">
      <c r="G1318" s="5" t="str">
        <f>IFERROR(__xludf.DUMMYFUNCTION("""COMPUTED_VALUE"""),"330🤙🏼The Martian🤙🏼Matt Damon🤙🏼Estrela 1")</f>
        <v>330🤙🏼The Martian🤙🏼Matt Damon🤙🏼Estrela 1</v>
      </c>
      <c r="H1318" s="5">
        <f>IFERROR(__xludf.DUMMYFUNCTION("SPLiT(G1318, ""🤙🏼"",FALSE,FALSE)"),330.0)</f>
        <v>330</v>
      </c>
      <c r="I1318" s="5" t="str">
        <f>IFERROR(__xludf.DUMMYFUNCTION("""COMPUTED_VALUE"""),"The Martian")</f>
        <v>The Martian</v>
      </c>
      <c r="J1318" s="5" t="str">
        <f>IFERROR(__xludf.DUMMYFUNCTION("""COMPUTED_VALUE"""),"Matt Damon")</f>
        <v>Matt Damon</v>
      </c>
      <c r="K1318" s="5" t="str">
        <f>IFERROR(__xludf.DUMMYFUNCTION("""COMPUTED_VALUE"""),"Estrela 1")</f>
        <v>Estrela 1</v>
      </c>
      <c r="P1318" s="5">
        <f>IFERROR(__xludf.DUMMYFUNCTION("""COMPUTED_VALUE"""),330.0)</f>
        <v>330</v>
      </c>
      <c r="Q1318" s="5" t="str">
        <f>IFERROR(__xludf.DUMMYFUNCTION("""COMPUTED_VALUE"""),"The Martian")</f>
        <v>The Martian</v>
      </c>
      <c r="R1318" s="5" t="str">
        <f>IFERROR(__xludf.DUMMYFUNCTION("""COMPUTED_VALUE"""),"Matt Damon")</f>
        <v>Matt Damon</v>
      </c>
      <c r="S1318" s="5" t="str">
        <f>IFERROR(__xludf.DUMMYFUNCTION("""COMPUTED_VALUE"""),"Estrela 1")</f>
        <v>Estrela 1</v>
      </c>
    </row>
    <row r="1319">
      <c r="G1319" s="5" t="str">
        <f>IFERROR(__xludf.DUMMYFUNCTION("""COMPUTED_VALUE"""),"330🤙🏼The Martian🤙🏼Jessica Chastain🤙🏼Estrela 2")</f>
        <v>330🤙🏼The Martian🤙🏼Jessica Chastain🤙🏼Estrela 2</v>
      </c>
      <c r="H1319" s="5">
        <f>IFERROR(__xludf.DUMMYFUNCTION("SPLiT(G1319, ""🤙🏼"",FALSE,FALSE)"),330.0)</f>
        <v>330</v>
      </c>
      <c r="I1319" s="5" t="str">
        <f>IFERROR(__xludf.DUMMYFUNCTION("""COMPUTED_VALUE"""),"The Martian")</f>
        <v>The Martian</v>
      </c>
      <c r="J1319" s="5" t="str">
        <f>IFERROR(__xludf.DUMMYFUNCTION("""COMPUTED_VALUE"""),"Jessica Chastain")</f>
        <v>Jessica Chastain</v>
      </c>
      <c r="K1319" s="5" t="str">
        <f>IFERROR(__xludf.DUMMYFUNCTION("""COMPUTED_VALUE"""),"Estrela 2")</f>
        <v>Estrela 2</v>
      </c>
      <c r="P1319" s="5">
        <f>IFERROR(__xludf.DUMMYFUNCTION("""COMPUTED_VALUE"""),330.0)</f>
        <v>330</v>
      </c>
      <c r="Q1319" s="5" t="str">
        <f>IFERROR(__xludf.DUMMYFUNCTION("""COMPUTED_VALUE"""),"The Martian")</f>
        <v>The Martian</v>
      </c>
      <c r="R1319" s="5" t="str">
        <f>IFERROR(__xludf.DUMMYFUNCTION("""COMPUTED_VALUE"""),"Jessica Chastain")</f>
        <v>Jessica Chastain</v>
      </c>
      <c r="S1319" s="5" t="str">
        <f>IFERROR(__xludf.DUMMYFUNCTION("""COMPUTED_VALUE"""),"Estrela 2")</f>
        <v>Estrela 2</v>
      </c>
    </row>
    <row r="1320">
      <c r="G1320" s="5" t="str">
        <f>IFERROR(__xludf.DUMMYFUNCTION("""COMPUTED_VALUE"""),"330🤙🏼The Martian🤙🏼Kristen Wiig🤙🏼Estrela 3")</f>
        <v>330🤙🏼The Martian🤙🏼Kristen Wiig🤙🏼Estrela 3</v>
      </c>
      <c r="H1320" s="5">
        <f>IFERROR(__xludf.DUMMYFUNCTION("SPLiT(G1320, ""🤙🏼"",FALSE,FALSE)"),330.0)</f>
        <v>330</v>
      </c>
      <c r="I1320" s="5" t="str">
        <f>IFERROR(__xludf.DUMMYFUNCTION("""COMPUTED_VALUE"""),"The Martian")</f>
        <v>The Martian</v>
      </c>
      <c r="J1320" s="5" t="str">
        <f>IFERROR(__xludf.DUMMYFUNCTION("""COMPUTED_VALUE"""),"Kristen Wiig")</f>
        <v>Kristen Wiig</v>
      </c>
      <c r="K1320" s="5" t="str">
        <f>IFERROR(__xludf.DUMMYFUNCTION("""COMPUTED_VALUE"""),"Estrela 3")</f>
        <v>Estrela 3</v>
      </c>
      <c r="P1320" s="5">
        <f>IFERROR(__xludf.DUMMYFUNCTION("""COMPUTED_VALUE"""),330.0)</f>
        <v>330</v>
      </c>
      <c r="Q1320" s="5" t="str">
        <f>IFERROR(__xludf.DUMMYFUNCTION("""COMPUTED_VALUE"""),"The Martian")</f>
        <v>The Martian</v>
      </c>
      <c r="R1320" s="5" t="str">
        <f>IFERROR(__xludf.DUMMYFUNCTION("""COMPUTED_VALUE"""),"Kristen Wiig")</f>
        <v>Kristen Wiig</v>
      </c>
      <c r="S1320" s="5" t="str">
        <f>IFERROR(__xludf.DUMMYFUNCTION("""COMPUTED_VALUE"""),"Estrela 3")</f>
        <v>Estrela 3</v>
      </c>
    </row>
    <row r="1321">
      <c r="G1321" s="5" t="str">
        <f>IFERROR(__xludf.DUMMYFUNCTION("""COMPUTED_VALUE"""),"330🤙🏼The Martian🤙🏼Kate Mara🤙🏼Estrela 4")</f>
        <v>330🤙🏼The Martian🤙🏼Kate Mara🤙🏼Estrela 4</v>
      </c>
      <c r="H1321" s="5">
        <f>IFERROR(__xludf.DUMMYFUNCTION("SPLiT(G1321, ""🤙🏼"",FALSE,FALSE)"),330.0)</f>
        <v>330</v>
      </c>
      <c r="I1321" s="5" t="str">
        <f>IFERROR(__xludf.DUMMYFUNCTION("""COMPUTED_VALUE"""),"The Martian")</f>
        <v>The Martian</v>
      </c>
      <c r="J1321" s="5" t="str">
        <f>IFERROR(__xludf.DUMMYFUNCTION("""COMPUTED_VALUE"""),"Kate Mara")</f>
        <v>Kate Mara</v>
      </c>
      <c r="K1321" s="5" t="str">
        <f>IFERROR(__xludf.DUMMYFUNCTION("""COMPUTED_VALUE"""),"Estrela 4")</f>
        <v>Estrela 4</v>
      </c>
      <c r="P1321" s="5">
        <f>IFERROR(__xludf.DUMMYFUNCTION("""COMPUTED_VALUE"""),330.0)</f>
        <v>330</v>
      </c>
      <c r="Q1321" s="5" t="str">
        <f>IFERROR(__xludf.DUMMYFUNCTION("""COMPUTED_VALUE"""),"The Martian")</f>
        <v>The Martian</v>
      </c>
      <c r="R1321" s="5" t="str">
        <f>IFERROR(__xludf.DUMMYFUNCTION("""COMPUTED_VALUE"""),"Kate Mara")</f>
        <v>Kate Mara</v>
      </c>
      <c r="S1321" s="5" t="str">
        <f>IFERROR(__xludf.DUMMYFUNCTION("""COMPUTED_VALUE"""),"Estrela 4")</f>
        <v>Estrela 4</v>
      </c>
    </row>
    <row r="1322">
      <c r="G1322" s="5" t="str">
        <f>IFERROR(__xludf.DUMMYFUNCTION("""COMPUTED_VALUE"""),"331🤙🏼Zootopia🤙🏼Rich Moore🤙🏼Estrela 1")</f>
        <v>331🤙🏼Zootopia🤙🏼Rich Moore🤙🏼Estrela 1</v>
      </c>
      <c r="H1322" s="5">
        <f>IFERROR(__xludf.DUMMYFUNCTION("SPLiT(G1322, ""🤙🏼"",FALSE,FALSE)"),331.0)</f>
        <v>331</v>
      </c>
      <c r="I1322" s="5" t="str">
        <f>IFERROR(__xludf.DUMMYFUNCTION("""COMPUTED_VALUE"""),"Zootopia")</f>
        <v>Zootopia</v>
      </c>
      <c r="J1322" s="5" t="str">
        <f>IFERROR(__xludf.DUMMYFUNCTION("""COMPUTED_VALUE"""),"Rich Moore")</f>
        <v>Rich Moore</v>
      </c>
      <c r="K1322" s="5" t="str">
        <f>IFERROR(__xludf.DUMMYFUNCTION("""COMPUTED_VALUE"""),"Estrela 1")</f>
        <v>Estrela 1</v>
      </c>
      <c r="P1322" s="5">
        <f>IFERROR(__xludf.DUMMYFUNCTION("""COMPUTED_VALUE"""),331.0)</f>
        <v>331</v>
      </c>
      <c r="Q1322" s="5" t="str">
        <f>IFERROR(__xludf.DUMMYFUNCTION("""COMPUTED_VALUE"""),"Zootopia")</f>
        <v>Zootopia</v>
      </c>
      <c r="R1322" s="5" t="str">
        <f>IFERROR(__xludf.DUMMYFUNCTION("""COMPUTED_VALUE"""),"Rich Moore")</f>
        <v>Rich Moore</v>
      </c>
      <c r="S1322" s="5" t="str">
        <f>IFERROR(__xludf.DUMMYFUNCTION("""COMPUTED_VALUE"""),"Estrela 1")</f>
        <v>Estrela 1</v>
      </c>
    </row>
    <row r="1323">
      <c r="G1323" s="5" t="str">
        <f>IFERROR(__xludf.DUMMYFUNCTION("""COMPUTED_VALUE"""),"331🤙🏼Zootopia🤙🏼Jared Bush🤙🏼Estrela 2")</f>
        <v>331🤙🏼Zootopia🤙🏼Jared Bush🤙🏼Estrela 2</v>
      </c>
      <c r="H1323" s="5">
        <f>IFERROR(__xludf.DUMMYFUNCTION("SPLiT(G1323, ""🤙🏼"",FALSE,FALSE)"),331.0)</f>
        <v>331</v>
      </c>
      <c r="I1323" s="5" t="str">
        <f>IFERROR(__xludf.DUMMYFUNCTION("""COMPUTED_VALUE"""),"Zootopia")</f>
        <v>Zootopia</v>
      </c>
      <c r="J1323" s="5" t="str">
        <f>IFERROR(__xludf.DUMMYFUNCTION("""COMPUTED_VALUE"""),"Jared Bush")</f>
        <v>Jared Bush</v>
      </c>
      <c r="K1323" s="5" t="str">
        <f>IFERROR(__xludf.DUMMYFUNCTION("""COMPUTED_VALUE"""),"Estrela 2")</f>
        <v>Estrela 2</v>
      </c>
      <c r="P1323" s="5">
        <f>IFERROR(__xludf.DUMMYFUNCTION("""COMPUTED_VALUE"""),331.0)</f>
        <v>331</v>
      </c>
      <c r="Q1323" s="5" t="str">
        <f>IFERROR(__xludf.DUMMYFUNCTION("""COMPUTED_VALUE"""),"Zootopia")</f>
        <v>Zootopia</v>
      </c>
      <c r="R1323" s="5" t="str">
        <f>IFERROR(__xludf.DUMMYFUNCTION("""COMPUTED_VALUE"""),"Jared Bush")</f>
        <v>Jared Bush</v>
      </c>
      <c r="S1323" s="5" t="str">
        <f>IFERROR(__xludf.DUMMYFUNCTION("""COMPUTED_VALUE"""),"Estrela 2")</f>
        <v>Estrela 2</v>
      </c>
    </row>
    <row r="1324">
      <c r="G1324" s="5" t="str">
        <f>IFERROR(__xludf.DUMMYFUNCTION("""COMPUTED_VALUE"""),"331🤙🏼Zootopia🤙🏼Ginnifer Goodwin🤙🏼Estrela 3")</f>
        <v>331🤙🏼Zootopia🤙🏼Ginnifer Goodwin🤙🏼Estrela 3</v>
      </c>
      <c r="H1324" s="5">
        <f>IFERROR(__xludf.DUMMYFUNCTION("SPLiT(G1324, ""🤙🏼"",FALSE,FALSE)"),331.0)</f>
        <v>331</v>
      </c>
      <c r="I1324" s="5" t="str">
        <f>IFERROR(__xludf.DUMMYFUNCTION("""COMPUTED_VALUE"""),"Zootopia")</f>
        <v>Zootopia</v>
      </c>
      <c r="J1324" s="5" t="str">
        <f>IFERROR(__xludf.DUMMYFUNCTION("""COMPUTED_VALUE"""),"Ginnifer Goodwin")</f>
        <v>Ginnifer Goodwin</v>
      </c>
      <c r="K1324" s="5" t="str">
        <f>IFERROR(__xludf.DUMMYFUNCTION("""COMPUTED_VALUE"""),"Estrela 3")</f>
        <v>Estrela 3</v>
      </c>
      <c r="P1324" s="5">
        <f>IFERROR(__xludf.DUMMYFUNCTION("""COMPUTED_VALUE"""),331.0)</f>
        <v>331</v>
      </c>
      <c r="Q1324" s="5" t="str">
        <f>IFERROR(__xludf.DUMMYFUNCTION("""COMPUTED_VALUE"""),"Zootopia")</f>
        <v>Zootopia</v>
      </c>
      <c r="R1324" s="5" t="str">
        <f>IFERROR(__xludf.DUMMYFUNCTION("""COMPUTED_VALUE"""),"Ginnifer Goodwin")</f>
        <v>Ginnifer Goodwin</v>
      </c>
      <c r="S1324" s="5" t="str">
        <f>IFERROR(__xludf.DUMMYFUNCTION("""COMPUTED_VALUE"""),"Estrela 3")</f>
        <v>Estrela 3</v>
      </c>
    </row>
    <row r="1325">
      <c r="G1325" s="5" t="str">
        <f>IFERROR(__xludf.DUMMYFUNCTION("""COMPUTED_VALUE"""),"331🤙🏼Zootopia🤙🏼Jason Bateman🤙🏼Estrela 4")</f>
        <v>331🤙🏼Zootopia🤙🏼Jason Bateman🤙🏼Estrela 4</v>
      </c>
      <c r="H1325" s="5">
        <f>IFERROR(__xludf.DUMMYFUNCTION("SPLiT(G1325, ""🤙🏼"",FALSE,FALSE)"),331.0)</f>
        <v>331</v>
      </c>
      <c r="I1325" s="5" t="str">
        <f>IFERROR(__xludf.DUMMYFUNCTION("""COMPUTED_VALUE"""),"Zootopia")</f>
        <v>Zootopia</v>
      </c>
      <c r="J1325" s="5" t="str">
        <f>IFERROR(__xludf.DUMMYFUNCTION("""COMPUTED_VALUE"""),"Jason Bateman")</f>
        <v>Jason Bateman</v>
      </c>
      <c r="K1325" s="5" t="str">
        <f>IFERROR(__xludf.DUMMYFUNCTION("""COMPUTED_VALUE"""),"Estrela 4")</f>
        <v>Estrela 4</v>
      </c>
      <c r="P1325" s="5">
        <f>IFERROR(__xludf.DUMMYFUNCTION("""COMPUTED_VALUE"""),331.0)</f>
        <v>331</v>
      </c>
      <c r="Q1325" s="5" t="str">
        <f>IFERROR(__xludf.DUMMYFUNCTION("""COMPUTED_VALUE"""),"Zootopia")</f>
        <v>Zootopia</v>
      </c>
      <c r="R1325" s="5" t="str">
        <f>IFERROR(__xludf.DUMMYFUNCTION("""COMPUTED_VALUE"""),"Jason Bateman")</f>
        <v>Jason Bateman</v>
      </c>
      <c r="S1325" s="5" t="str">
        <f>IFERROR(__xludf.DUMMYFUNCTION("""COMPUTED_VALUE"""),"Estrela 4")</f>
        <v>Estrela 4</v>
      </c>
    </row>
    <row r="1326">
      <c r="G1326" s="5" t="str">
        <f>IFERROR(__xludf.DUMMYFUNCTION("""COMPUTED_VALUE"""),"332🤙🏼Bãhubali: The Beginning🤙🏼Prabhas🤙🏼Estrela 1")</f>
        <v>332🤙🏼Bãhubali: The Beginning🤙🏼Prabhas🤙🏼Estrela 1</v>
      </c>
      <c r="H1326" s="5">
        <f>IFERROR(__xludf.DUMMYFUNCTION("SPLiT(G1326, ""🤙🏼"",FALSE,FALSE)"),332.0)</f>
        <v>332</v>
      </c>
      <c r="I1326" s="5" t="str">
        <f>IFERROR(__xludf.DUMMYFUNCTION("""COMPUTED_VALUE"""),"Bãhubali: The Beginning")</f>
        <v>Bãhubali: The Beginning</v>
      </c>
      <c r="J1326" s="5" t="str">
        <f>IFERROR(__xludf.DUMMYFUNCTION("""COMPUTED_VALUE"""),"Prabhas")</f>
        <v>Prabhas</v>
      </c>
      <c r="K1326" s="5" t="str">
        <f>IFERROR(__xludf.DUMMYFUNCTION("""COMPUTED_VALUE"""),"Estrela 1")</f>
        <v>Estrela 1</v>
      </c>
      <c r="P1326" s="5">
        <f>IFERROR(__xludf.DUMMYFUNCTION("""COMPUTED_VALUE"""),332.0)</f>
        <v>332</v>
      </c>
      <c r="Q1326" s="5" t="str">
        <f>IFERROR(__xludf.DUMMYFUNCTION("""COMPUTED_VALUE"""),"Bãhubali: The Beginning")</f>
        <v>Bãhubali: The Beginning</v>
      </c>
      <c r="R1326" s="5" t="str">
        <f>IFERROR(__xludf.DUMMYFUNCTION("""COMPUTED_VALUE"""),"Prabhas")</f>
        <v>Prabhas</v>
      </c>
      <c r="S1326" s="5" t="str">
        <f>IFERROR(__xludf.DUMMYFUNCTION("""COMPUTED_VALUE"""),"Estrela 1")</f>
        <v>Estrela 1</v>
      </c>
    </row>
    <row r="1327">
      <c r="G1327" s="5" t="str">
        <f>IFERROR(__xludf.DUMMYFUNCTION("""COMPUTED_VALUE"""),"332🤙🏼Bãhubali: The Beginning🤙🏼Rana Daggubati🤙🏼Estrela 2")</f>
        <v>332🤙🏼Bãhubali: The Beginning🤙🏼Rana Daggubati🤙🏼Estrela 2</v>
      </c>
      <c r="H1327" s="5">
        <f>IFERROR(__xludf.DUMMYFUNCTION("SPLiT(G1327, ""🤙🏼"",FALSE,FALSE)"),332.0)</f>
        <v>332</v>
      </c>
      <c r="I1327" s="5" t="str">
        <f>IFERROR(__xludf.DUMMYFUNCTION("""COMPUTED_VALUE"""),"Bãhubali: The Beginning")</f>
        <v>Bãhubali: The Beginning</v>
      </c>
      <c r="J1327" s="5" t="str">
        <f>IFERROR(__xludf.DUMMYFUNCTION("""COMPUTED_VALUE"""),"Rana Daggubati")</f>
        <v>Rana Daggubati</v>
      </c>
      <c r="K1327" s="5" t="str">
        <f>IFERROR(__xludf.DUMMYFUNCTION("""COMPUTED_VALUE"""),"Estrela 2")</f>
        <v>Estrela 2</v>
      </c>
      <c r="P1327" s="5">
        <f>IFERROR(__xludf.DUMMYFUNCTION("""COMPUTED_VALUE"""),332.0)</f>
        <v>332</v>
      </c>
      <c r="Q1327" s="5" t="str">
        <f>IFERROR(__xludf.DUMMYFUNCTION("""COMPUTED_VALUE"""),"Bãhubali: The Beginning")</f>
        <v>Bãhubali: The Beginning</v>
      </c>
      <c r="R1327" s="5" t="str">
        <f>IFERROR(__xludf.DUMMYFUNCTION("""COMPUTED_VALUE"""),"Rana Daggubati")</f>
        <v>Rana Daggubati</v>
      </c>
      <c r="S1327" s="5" t="str">
        <f>IFERROR(__xludf.DUMMYFUNCTION("""COMPUTED_VALUE"""),"Estrela 2")</f>
        <v>Estrela 2</v>
      </c>
    </row>
    <row r="1328">
      <c r="G1328" s="5" t="str">
        <f>IFERROR(__xludf.DUMMYFUNCTION("""COMPUTED_VALUE"""),"332🤙🏼Bãhubali: The Beginning🤙🏼Ramya Krishnan🤙🏼Estrela 3")</f>
        <v>332🤙🏼Bãhubali: The Beginning🤙🏼Ramya Krishnan🤙🏼Estrela 3</v>
      </c>
      <c r="H1328" s="5">
        <f>IFERROR(__xludf.DUMMYFUNCTION("SPLiT(G1328, ""🤙🏼"",FALSE,FALSE)"),332.0)</f>
        <v>332</v>
      </c>
      <c r="I1328" s="5" t="str">
        <f>IFERROR(__xludf.DUMMYFUNCTION("""COMPUTED_VALUE"""),"Bãhubali: The Beginning")</f>
        <v>Bãhubali: The Beginning</v>
      </c>
      <c r="J1328" s="5" t="str">
        <f>IFERROR(__xludf.DUMMYFUNCTION("""COMPUTED_VALUE"""),"Ramya Krishnan")</f>
        <v>Ramya Krishnan</v>
      </c>
      <c r="K1328" s="5" t="str">
        <f>IFERROR(__xludf.DUMMYFUNCTION("""COMPUTED_VALUE"""),"Estrela 3")</f>
        <v>Estrela 3</v>
      </c>
      <c r="P1328" s="5">
        <f>IFERROR(__xludf.DUMMYFUNCTION("""COMPUTED_VALUE"""),332.0)</f>
        <v>332</v>
      </c>
      <c r="Q1328" s="5" t="str">
        <f>IFERROR(__xludf.DUMMYFUNCTION("""COMPUTED_VALUE"""),"Bãhubali: The Beginning")</f>
        <v>Bãhubali: The Beginning</v>
      </c>
      <c r="R1328" s="5" t="str">
        <f>IFERROR(__xludf.DUMMYFUNCTION("""COMPUTED_VALUE"""),"Ramya Krishnan")</f>
        <v>Ramya Krishnan</v>
      </c>
      <c r="S1328" s="5" t="str">
        <f>IFERROR(__xludf.DUMMYFUNCTION("""COMPUTED_VALUE"""),"Estrela 3")</f>
        <v>Estrela 3</v>
      </c>
    </row>
    <row r="1329">
      <c r="G1329" s="5" t="str">
        <f>IFERROR(__xludf.DUMMYFUNCTION("""COMPUTED_VALUE"""),"332🤙🏼Bãhubali: The Beginning🤙🏼Sathyaraj🤙🏼Estrela 4")</f>
        <v>332🤙🏼Bãhubali: The Beginning🤙🏼Sathyaraj🤙🏼Estrela 4</v>
      </c>
      <c r="H1329" s="5">
        <f>IFERROR(__xludf.DUMMYFUNCTION("SPLiT(G1329, ""🤙🏼"",FALSE,FALSE)"),332.0)</f>
        <v>332</v>
      </c>
      <c r="I1329" s="5" t="str">
        <f>IFERROR(__xludf.DUMMYFUNCTION("""COMPUTED_VALUE"""),"Bãhubali: The Beginning")</f>
        <v>Bãhubali: The Beginning</v>
      </c>
      <c r="J1329" s="5" t="str">
        <f>IFERROR(__xludf.DUMMYFUNCTION("""COMPUTED_VALUE"""),"Sathyaraj")</f>
        <v>Sathyaraj</v>
      </c>
      <c r="K1329" s="5" t="str">
        <f>IFERROR(__xludf.DUMMYFUNCTION("""COMPUTED_VALUE"""),"Estrela 4")</f>
        <v>Estrela 4</v>
      </c>
      <c r="P1329" s="5">
        <f>IFERROR(__xludf.DUMMYFUNCTION("""COMPUTED_VALUE"""),332.0)</f>
        <v>332</v>
      </c>
      <c r="Q1329" s="5" t="str">
        <f>IFERROR(__xludf.DUMMYFUNCTION("""COMPUTED_VALUE"""),"Bãhubali: The Beginning")</f>
        <v>Bãhubali: The Beginning</v>
      </c>
      <c r="R1329" s="5" t="str">
        <f>IFERROR(__xludf.DUMMYFUNCTION("""COMPUTED_VALUE"""),"Sathyaraj")</f>
        <v>Sathyaraj</v>
      </c>
      <c r="S1329" s="5" t="str">
        <f>IFERROR(__xludf.DUMMYFUNCTION("""COMPUTED_VALUE"""),"Estrela 4")</f>
        <v>Estrela 4</v>
      </c>
    </row>
    <row r="1330">
      <c r="G1330" s="5" t="str">
        <f>IFERROR(__xludf.DUMMYFUNCTION("""COMPUTED_VALUE"""),"333🤙🏼Kaguyahime no monogatari🤙🏼Chloë Grace Moretz🤙🏼Estrela 1")</f>
        <v>333🤙🏼Kaguyahime no monogatari🤙🏼Chloë Grace Moretz🤙🏼Estrela 1</v>
      </c>
      <c r="H1330" s="5">
        <f>IFERROR(__xludf.DUMMYFUNCTION("SPLiT(G1330, ""🤙🏼"",FALSE,FALSE)"),333.0)</f>
        <v>333</v>
      </c>
      <c r="I1330" s="5" t="str">
        <f>IFERROR(__xludf.DUMMYFUNCTION("""COMPUTED_VALUE"""),"Kaguyahime no monogatari")</f>
        <v>Kaguyahime no monogatari</v>
      </c>
      <c r="J1330" s="5" t="str">
        <f>IFERROR(__xludf.DUMMYFUNCTION("""COMPUTED_VALUE"""),"Chloë Grace Moretz")</f>
        <v>Chloë Grace Moretz</v>
      </c>
      <c r="K1330" s="5" t="str">
        <f>IFERROR(__xludf.DUMMYFUNCTION("""COMPUTED_VALUE"""),"Estrela 1")</f>
        <v>Estrela 1</v>
      </c>
      <c r="P1330" s="5">
        <f>IFERROR(__xludf.DUMMYFUNCTION("""COMPUTED_VALUE"""),333.0)</f>
        <v>333</v>
      </c>
      <c r="Q1330" s="5" t="str">
        <f>IFERROR(__xludf.DUMMYFUNCTION("""COMPUTED_VALUE"""),"Kaguyahime no monogatari")</f>
        <v>Kaguyahime no monogatari</v>
      </c>
      <c r="R1330" s="5" t="str">
        <f>IFERROR(__xludf.DUMMYFUNCTION("""COMPUTED_VALUE"""),"Chloë Grace Moretz")</f>
        <v>Chloë Grace Moretz</v>
      </c>
      <c r="S1330" s="5" t="str">
        <f>IFERROR(__xludf.DUMMYFUNCTION("""COMPUTED_VALUE"""),"Estrela 1")</f>
        <v>Estrela 1</v>
      </c>
    </row>
    <row r="1331">
      <c r="G1331" s="5" t="str">
        <f>IFERROR(__xludf.DUMMYFUNCTION("""COMPUTED_VALUE"""),"333🤙🏼Kaguyahime no monogatari🤙🏼James Caan🤙🏼Estrela 2")</f>
        <v>333🤙🏼Kaguyahime no monogatari🤙🏼James Caan🤙🏼Estrela 2</v>
      </c>
      <c r="H1331" s="5">
        <f>IFERROR(__xludf.DUMMYFUNCTION("SPLiT(G1331, ""🤙🏼"",FALSE,FALSE)"),333.0)</f>
        <v>333</v>
      </c>
      <c r="I1331" s="5" t="str">
        <f>IFERROR(__xludf.DUMMYFUNCTION("""COMPUTED_VALUE"""),"Kaguyahime no monogatari")</f>
        <v>Kaguyahime no monogatari</v>
      </c>
      <c r="J1331" s="5" t="str">
        <f>IFERROR(__xludf.DUMMYFUNCTION("""COMPUTED_VALUE"""),"James Caan")</f>
        <v>James Caan</v>
      </c>
      <c r="K1331" s="5" t="str">
        <f>IFERROR(__xludf.DUMMYFUNCTION("""COMPUTED_VALUE"""),"Estrela 2")</f>
        <v>Estrela 2</v>
      </c>
      <c r="P1331" s="5">
        <f>IFERROR(__xludf.DUMMYFUNCTION("""COMPUTED_VALUE"""),333.0)</f>
        <v>333</v>
      </c>
      <c r="Q1331" s="5" t="str">
        <f>IFERROR(__xludf.DUMMYFUNCTION("""COMPUTED_VALUE"""),"Kaguyahime no monogatari")</f>
        <v>Kaguyahime no monogatari</v>
      </c>
      <c r="R1331" s="5" t="str">
        <f>IFERROR(__xludf.DUMMYFUNCTION("""COMPUTED_VALUE"""),"James Caan")</f>
        <v>James Caan</v>
      </c>
      <c r="S1331" s="5" t="str">
        <f>IFERROR(__xludf.DUMMYFUNCTION("""COMPUTED_VALUE"""),"Estrela 2")</f>
        <v>Estrela 2</v>
      </c>
    </row>
    <row r="1332">
      <c r="G1332" s="5" t="str">
        <f>IFERROR(__xludf.DUMMYFUNCTION("""COMPUTED_VALUE"""),"333🤙🏼Kaguyahime no monogatari🤙🏼Mary Steenburgen🤙🏼Estrela 3")</f>
        <v>333🤙🏼Kaguyahime no monogatari🤙🏼Mary Steenburgen🤙🏼Estrela 3</v>
      </c>
      <c r="H1332" s="5">
        <f>IFERROR(__xludf.DUMMYFUNCTION("SPLiT(G1332, ""🤙🏼"",FALSE,FALSE)"),333.0)</f>
        <v>333</v>
      </c>
      <c r="I1332" s="5" t="str">
        <f>IFERROR(__xludf.DUMMYFUNCTION("""COMPUTED_VALUE"""),"Kaguyahime no monogatari")</f>
        <v>Kaguyahime no monogatari</v>
      </c>
      <c r="J1332" s="5" t="str">
        <f>IFERROR(__xludf.DUMMYFUNCTION("""COMPUTED_VALUE"""),"Mary Steenburgen")</f>
        <v>Mary Steenburgen</v>
      </c>
      <c r="K1332" s="5" t="str">
        <f>IFERROR(__xludf.DUMMYFUNCTION("""COMPUTED_VALUE"""),"Estrela 3")</f>
        <v>Estrela 3</v>
      </c>
      <c r="P1332" s="5">
        <f>IFERROR(__xludf.DUMMYFUNCTION("""COMPUTED_VALUE"""),333.0)</f>
        <v>333</v>
      </c>
      <c r="Q1332" s="5" t="str">
        <f>IFERROR(__xludf.DUMMYFUNCTION("""COMPUTED_VALUE"""),"Kaguyahime no monogatari")</f>
        <v>Kaguyahime no monogatari</v>
      </c>
      <c r="R1332" s="5" t="str">
        <f>IFERROR(__xludf.DUMMYFUNCTION("""COMPUTED_VALUE"""),"Mary Steenburgen")</f>
        <v>Mary Steenburgen</v>
      </c>
      <c r="S1332" s="5" t="str">
        <f>IFERROR(__xludf.DUMMYFUNCTION("""COMPUTED_VALUE"""),"Estrela 3")</f>
        <v>Estrela 3</v>
      </c>
    </row>
    <row r="1333">
      <c r="G1333" s="5" t="str">
        <f>IFERROR(__xludf.DUMMYFUNCTION("""COMPUTED_VALUE"""),"333🤙🏼Kaguyahime no monogatari🤙🏼James Marsden🤙🏼Estrela 4")</f>
        <v>333🤙🏼Kaguyahime no monogatari🤙🏼James Marsden🤙🏼Estrela 4</v>
      </c>
      <c r="H1333" s="5">
        <f>IFERROR(__xludf.DUMMYFUNCTION("SPLiT(G1333, ""🤙🏼"",FALSE,FALSE)"),333.0)</f>
        <v>333</v>
      </c>
      <c r="I1333" s="5" t="str">
        <f>IFERROR(__xludf.DUMMYFUNCTION("""COMPUTED_VALUE"""),"Kaguyahime no monogatari")</f>
        <v>Kaguyahime no monogatari</v>
      </c>
      <c r="J1333" s="5" t="str">
        <f>IFERROR(__xludf.DUMMYFUNCTION("""COMPUTED_VALUE"""),"James Marsden")</f>
        <v>James Marsden</v>
      </c>
      <c r="K1333" s="5" t="str">
        <f>IFERROR(__xludf.DUMMYFUNCTION("""COMPUTED_VALUE"""),"Estrela 4")</f>
        <v>Estrela 4</v>
      </c>
      <c r="P1333" s="5">
        <f>IFERROR(__xludf.DUMMYFUNCTION("""COMPUTED_VALUE"""),333.0)</f>
        <v>333</v>
      </c>
      <c r="Q1333" s="5" t="str">
        <f>IFERROR(__xludf.DUMMYFUNCTION("""COMPUTED_VALUE"""),"Kaguyahime no monogatari")</f>
        <v>Kaguyahime no monogatari</v>
      </c>
      <c r="R1333" s="5" t="str">
        <f>IFERROR(__xludf.DUMMYFUNCTION("""COMPUTED_VALUE"""),"James Marsden")</f>
        <v>James Marsden</v>
      </c>
      <c r="S1333" s="5" t="str">
        <f>IFERROR(__xludf.DUMMYFUNCTION("""COMPUTED_VALUE"""),"Estrela 4")</f>
        <v>Estrela 4</v>
      </c>
    </row>
    <row r="1334">
      <c r="G1334" s="5" t="str">
        <f>IFERROR(__xludf.DUMMYFUNCTION("""COMPUTED_VALUE"""),"334🤙🏼Wonder🤙🏼Jacob Tremblay🤙🏼Estrela 1")</f>
        <v>334🤙🏼Wonder🤙🏼Jacob Tremblay🤙🏼Estrela 1</v>
      </c>
      <c r="H1334" s="5">
        <f>IFERROR(__xludf.DUMMYFUNCTION("SPLiT(G1334, ""🤙🏼"",FALSE,FALSE)"),334.0)</f>
        <v>334</v>
      </c>
      <c r="I1334" s="5" t="str">
        <f>IFERROR(__xludf.DUMMYFUNCTION("""COMPUTED_VALUE"""),"Wonder")</f>
        <v>Wonder</v>
      </c>
      <c r="J1334" s="5" t="str">
        <f>IFERROR(__xludf.DUMMYFUNCTION("""COMPUTED_VALUE"""),"Jacob Tremblay")</f>
        <v>Jacob Tremblay</v>
      </c>
      <c r="K1334" s="5" t="str">
        <f>IFERROR(__xludf.DUMMYFUNCTION("""COMPUTED_VALUE"""),"Estrela 1")</f>
        <v>Estrela 1</v>
      </c>
      <c r="P1334" s="5">
        <f>IFERROR(__xludf.DUMMYFUNCTION("""COMPUTED_VALUE"""),334.0)</f>
        <v>334</v>
      </c>
      <c r="Q1334" s="5" t="str">
        <f>IFERROR(__xludf.DUMMYFUNCTION("""COMPUTED_VALUE"""),"Wonder")</f>
        <v>Wonder</v>
      </c>
      <c r="R1334" s="5" t="str">
        <f>IFERROR(__xludf.DUMMYFUNCTION("""COMPUTED_VALUE"""),"Jacob Tremblay")</f>
        <v>Jacob Tremblay</v>
      </c>
      <c r="S1334" s="5" t="str">
        <f>IFERROR(__xludf.DUMMYFUNCTION("""COMPUTED_VALUE"""),"Estrela 1")</f>
        <v>Estrela 1</v>
      </c>
    </row>
    <row r="1335">
      <c r="G1335" s="5" t="str">
        <f>IFERROR(__xludf.DUMMYFUNCTION("""COMPUTED_VALUE"""),"334🤙🏼Wonder🤙🏼Owen Wilson🤙🏼Estrela 2")</f>
        <v>334🤙🏼Wonder🤙🏼Owen Wilson🤙🏼Estrela 2</v>
      </c>
      <c r="H1335" s="5">
        <f>IFERROR(__xludf.DUMMYFUNCTION("SPLiT(G1335, ""🤙🏼"",FALSE,FALSE)"),334.0)</f>
        <v>334</v>
      </c>
      <c r="I1335" s="5" t="str">
        <f>IFERROR(__xludf.DUMMYFUNCTION("""COMPUTED_VALUE"""),"Wonder")</f>
        <v>Wonder</v>
      </c>
      <c r="J1335" s="5" t="str">
        <f>IFERROR(__xludf.DUMMYFUNCTION("""COMPUTED_VALUE"""),"Owen Wilson")</f>
        <v>Owen Wilson</v>
      </c>
      <c r="K1335" s="5" t="str">
        <f>IFERROR(__xludf.DUMMYFUNCTION("""COMPUTED_VALUE"""),"Estrela 2")</f>
        <v>Estrela 2</v>
      </c>
      <c r="P1335" s="5">
        <f>IFERROR(__xludf.DUMMYFUNCTION("""COMPUTED_VALUE"""),334.0)</f>
        <v>334</v>
      </c>
      <c r="Q1335" s="5" t="str">
        <f>IFERROR(__xludf.DUMMYFUNCTION("""COMPUTED_VALUE"""),"Wonder")</f>
        <v>Wonder</v>
      </c>
      <c r="R1335" s="5" t="str">
        <f>IFERROR(__xludf.DUMMYFUNCTION("""COMPUTED_VALUE"""),"Owen Wilson")</f>
        <v>Owen Wilson</v>
      </c>
      <c r="S1335" s="5" t="str">
        <f>IFERROR(__xludf.DUMMYFUNCTION("""COMPUTED_VALUE"""),"Estrela 2")</f>
        <v>Estrela 2</v>
      </c>
    </row>
    <row r="1336">
      <c r="G1336" s="5" t="str">
        <f>IFERROR(__xludf.DUMMYFUNCTION("""COMPUTED_VALUE"""),"334🤙🏼Wonder🤙🏼Izabela Vidovic🤙🏼Estrela 3")</f>
        <v>334🤙🏼Wonder🤙🏼Izabela Vidovic🤙🏼Estrela 3</v>
      </c>
      <c r="H1336" s="5">
        <f>IFERROR(__xludf.DUMMYFUNCTION("SPLiT(G1336, ""🤙🏼"",FALSE,FALSE)"),334.0)</f>
        <v>334</v>
      </c>
      <c r="I1336" s="5" t="str">
        <f>IFERROR(__xludf.DUMMYFUNCTION("""COMPUTED_VALUE"""),"Wonder")</f>
        <v>Wonder</v>
      </c>
      <c r="J1336" s="5" t="str">
        <f>IFERROR(__xludf.DUMMYFUNCTION("""COMPUTED_VALUE"""),"Izabela Vidovic")</f>
        <v>Izabela Vidovic</v>
      </c>
      <c r="K1336" s="5" t="str">
        <f>IFERROR(__xludf.DUMMYFUNCTION("""COMPUTED_VALUE"""),"Estrela 3")</f>
        <v>Estrela 3</v>
      </c>
      <c r="P1336" s="5">
        <f>IFERROR(__xludf.DUMMYFUNCTION("""COMPUTED_VALUE"""),334.0)</f>
        <v>334</v>
      </c>
      <c r="Q1336" s="5" t="str">
        <f>IFERROR(__xludf.DUMMYFUNCTION("""COMPUTED_VALUE"""),"Wonder")</f>
        <v>Wonder</v>
      </c>
      <c r="R1336" s="5" t="str">
        <f>IFERROR(__xludf.DUMMYFUNCTION("""COMPUTED_VALUE"""),"Izabela Vidovic")</f>
        <v>Izabela Vidovic</v>
      </c>
      <c r="S1336" s="5" t="str">
        <f>IFERROR(__xludf.DUMMYFUNCTION("""COMPUTED_VALUE"""),"Estrela 3")</f>
        <v>Estrela 3</v>
      </c>
    </row>
    <row r="1337">
      <c r="G1337" s="5" t="str">
        <f>IFERROR(__xludf.DUMMYFUNCTION("""COMPUTED_VALUE"""),"334🤙🏼Wonder🤙🏼Julia Roberts🤙🏼Estrela 4")</f>
        <v>334🤙🏼Wonder🤙🏼Julia Roberts🤙🏼Estrela 4</v>
      </c>
      <c r="H1337" s="5">
        <f>IFERROR(__xludf.DUMMYFUNCTION("SPLiT(G1337, ""🤙🏼"",FALSE,FALSE)"),334.0)</f>
        <v>334</v>
      </c>
      <c r="I1337" s="5" t="str">
        <f>IFERROR(__xludf.DUMMYFUNCTION("""COMPUTED_VALUE"""),"Wonder")</f>
        <v>Wonder</v>
      </c>
      <c r="J1337" s="5" t="str">
        <f>IFERROR(__xludf.DUMMYFUNCTION("""COMPUTED_VALUE"""),"Julia Roberts")</f>
        <v>Julia Roberts</v>
      </c>
      <c r="K1337" s="5" t="str">
        <f>IFERROR(__xludf.DUMMYFUNCTION("""COMPUTED_VALUE"""),"Estrela 4")</f>
        <v>Estrela 4</v>
      </c>
      <c r="P1337" s="5">
        <f>IFERROR(__xludf.DUMMYFUNCTION("""COMPUTED_VALUE"""),334.0)</f>
        <v>334</v>
      </c>
      <c r="Q1337" s="5" t="str">
        <f>IFERROR(__xludf.DUMMYFUNCTION("""COMPUTED_VALUE"""),"Wonder")</f>
        <v>Wonder</v>
      </c>
      <c r="R1337" s="5" t="str">
        <f>IFERROR(__xludf.DUMMYFUNCTION("""COMPUTED_VALUE"""),"Julia Roberts")</f>
        <v>Julia Roberts</v>
      </c>
      <c r="S1337" s="5" t="str">
        <f>IFERROR(__xludf.DUMMYFUNCTION("""COMPUTED_VALUE"""),"Estrela 4")</f>
        <v>Estrela 4</v>
      </c>
    </row>
    <row r="1338">
      <c r="G1338" s="5" t="str">
        <f>IFERROR(__xludf.DUMMYFUNCTION("""COMPUTED_VALUE"""),"335🤙🏼Gully Boy🤙🏼Vijay Varma🤙🏼Estrela 1")</f>
        <v>335🤙🏼Gully Boy🤙🏼Vijay Varma🤙🏼Estrela 1</v>
      </c>
      <c r="H1338" s="5">
        <f>IFERROR(__xludf.DUMMYFUNCTION("SPLiT(G1338, ""🤙🏼"",FALSE,FALSE)"),335.0)</f>
        <v>335</v>
      </c>
      <c r="I1338" s="5" t="str">
        <f>IFERROR(__xludf.DUMMYFUNCTION("""COMPUTED_VALUE"""),"Gully Boy")</f>
        <v>Gully Boy</v>
      </c>
      <c r="J1338" s="5" t="str">
        <f>IFERROR(__xludf.DUMMYFUNCTION("""COMPUTED_VALUE"""),"Vijay Varma")</f>
        <v>Vijay Varma</v>
      </c>
      <c r="K1338" s="5" t="str">
        <f>IFERROR(__xludf.DUMMYFUNCTION("""COMPUTED_VALUE"""),"Estrela 1")</f>
        <v>Estrela 1</v>
      </c>
      <c r="P1338" s="5">
        <f>IFERROR(__xludf.DUMMYFUNCTION("""COMPUTED_VALUE"""),335.0)</f>
        <v>335</v>
      </c>
      <c r="Q1338" s="5" t="str">
        <f>IFERROR(__xludf.DUMMYFUNCTION("""COMPUTED_VALUE"""),"Gully Boy")</f>
        <v>Gully Boy</v>
      </c>
      <c r="R1338" s="5" t="str">
        <f>IFERROR(__xludf.DUMMYFUNCTION("""COMPUTED_VALUE"""),"Vijay Varma")</f>
        <v>Vijay Varma</v>
      </c>
      <c r="S1338" s="5" t="str">
        <f>IFERROR(__xludf.DUMMYFUNCTION("""COMPUTED_VALUE"""),"Estrela 1")</f>
        <v>Estrela 1</v>
      </c>
    </row>
    <row r="1339">
      <c r="G1339" s="5" t="str">
        <f>IFERROR(__xludf.DUMMYFUNCTION("""COMPUTED_VALUE"""),"335🤙🏼Gully Boy🤙🏼Nakul Roshan Sahdev🤙🏼Estrela 2")</f>
        <v>335🤙🏼Gully Boy🤙🏼Nakul Roshan Sahdev🤙🏼Estrela 2</v>
      </c>
      <c r="H1339" s="5">
        <f>IFERROR(__xludf.DUMMYFUNCTION("SPLiT(G1339, ""🤙🏼"",FALSE,FALSE)"),335.0)</f>
        <v>335</v>
      </c>
      <c r="I1339" s="5" t="str">
        <f>IFERROR(__xludf.DUMMYFUNCTION("""COMPUTED_VALUE"""),"Gully Boy")</f>
        <v>Gully Boy</v>
      </c>
      <c r="J1339" s="5" t="str">
        <f>IFERROR(__xludf.DUMMYFUNCTION("""COMPUTED_VALUE"""),"Nakul Roshan Sahdev")</f>
        <v>Nakul Roshan Sahdev</v>
      </c>
      <c r="K1339" s="5" t="str">
        <f>IFERROR(__xludf.DUMMYFUNCTION("""COMPUTED_VALUE"""),"Estrela 2")</f>
        <v>Estrela 2</v>
      </c>
      <c r="P1339" s="5">
        <f>IFERROR(__xludf.DUMMYFUNCTION("""COMPUTED_VALUE"""),335.0)</f>
        <v>335</v>
      </c>
      <c r="Q1339" s="5" t="str">
        <f>IFERROR(__xludf.DUMMYFUNCTION("""COMPUTED_VALUE"""),"Gully Boy")</f>
        <v>Gully Boy</v>
      </c>
      <c r="R1339" s="5" t="str">
        <f>IFERROR(__xludf.DUMMYFUNCTION("""COMPUTED_VALUE"""),"Nakul Roshan Sahdev")</f>
        <v>Nakul Roshan Sahdev</v>
      </c>
      <c r="S1339" s="5" t="str">
        <f>IFERROR(__xludf.DUMMYFUNCTION("""COMPUTED_VALUE"""),"Estrela 2")</f>
        <v>Estrela 2</v>
      </c>
    </row>
    <row r="1340">
      <c r="G1340" s="5" t="str">
        <f>IFERROR(__xludf.DUMMYFUNCTION("""COMPUTED_VALUE"""),"335🤙🏼Gully Boy🤙🏼Ranveer Singh🤙🏼Estrela 3")</f>
        <v>335🤙🏼Gully Boy🤙🏼Ranveer Singh🤙🏼Estrela 3</v>
      </c>
      <c r="H1340" s="5">
        <f>IFERROR(__xludf.DUMMYFUNCTION("SPLiT(G1340, ""🤙🏼"",FALSE,FALSE)"),335.0)</f>
        <v>335</v>
      </c>
      <c r="I1340" s="5" t="str">
        <f>IFERROR(__xludf.DUMMYFUNCTION("""COMPUTED_VALUE"""),"Gully Boy")</f>
        <v>Gully Boy</v>
      </c>
      <c r="J1340" s="5" t="str">
        <f>IFERROR(__xludf.DUMMYFUNCTION("""COMPUTED_VALUE"""),"Ranveer Singh")</f>
        <v>Ranveer Singh</v>
      </c>
      <c r="K1340" s="5" t="str">
        <f>IFERROR(__xludf.DUMMYFUNCTION("""COMPUTED_VALUE"""),"Estrela 3")</f>
        <v>Estrela 3</v>
      </c>
      <c r="P1340" s="5">
        <f>IFERROR(__xludf.DUMMYFUNCTION("""COMPUTED_VALUE"""),335.0)</f>
        <v>335</v>
      </c>
      <c r="Q1340" s="5" t="str">
        <f>IFERROR(__xludf.DUMMYFUNCTION("""COMPUTED_VALUE"""),"Gully Boy")</f>
        <v>Gully Boy</v>
      </c>
      <c r="R1340" s="5" t="str">
        <f>IFERROR(__xludf.DUMMYFUNCTION("""COMPUTED_VALUE"""),"Ranveer Singh")</f>
        <v>Ranveer Singh</v>
      </c>
      <c r="S1340" s="5" t="str">
        <f>IFERROR(__xludf.DUMMYFUNCTION("""COMPUTED_VALUE"""),"Estrela 3")</f>
        <v>Estrela 3</v>
      </c>
    </row>
    <row r="1341">
      <c r="G1341" s="5" t="str">
        <f>IFERROR(__xludf.DUMMYFUNCTION("""COMPUTED_VALUE"""),"335🤙🏼Gully Boy🤙🏼Vijay Raaz🤙🏼Estrela 4")</f>
        <v>335🤙🏼Gully Boy🤙🏼Vijay Raaz🤙🏼Estrela 4</v>
      </c>
      <c r="H1341" s="5">
        <f>IFERROR(__xludf.DUMMYFUNCTION("SPLiT(G1341, ""🤙🏼"",FALSE,FALSE)"),335.0)</f>
        <v>335</v>
      </c>
      <c r="I1341" s="5" t="str">
        <f>IFERROR(__xludf.DUMMYFUNCTION("""COMPUTED_VALUE"""),"Gully Boy")</f>
        <v>Gully Boy</v>
      </c>
      <c r="J1341" s="5" t="str">
        <f>IFERROR(__xludf.DUMMYFUNCTION("""COMPUTED_VALUE"""),"Vijay Raaz")</f>
        <v>Vijay Raaz</v>
      </c>
      <c r="K1341" s="5" t="str">
        <f>IFERROR(__xludf.DUMMYFUNCTION("""COMPUTED_VALUE"""),"Estrela 4")</f>
        <v>Estrela 4</v>
      </c>
      <c r="P1341" s="5">
        <f>IFERROR(__xludf.DUMMYFUNCTION("""COMPUTED_VALUE"""),335.0)</f>
        <v>335</v>
      </c>
      <c r="Q1341" s="5" t="str">
        <f>IFERROR(__xludf.DUMMYFUNCTION("""COMPUTED_VALUE"""),"Gully Boy")</f>
        <v>Gully Boy</v>
      </c>
      <c r="R1341" s="5" t="str">
        <f>IFERROR(__xludf.DUMMYFUNCTION("""COMPUTED_VALUE"""),"Vijay Raaz")</f>
        <v>Vijay Raaz</v>
      </c>
      <c r="S1341" s="5" t="str">
        <f>IFERROR(__xludf.DUMMYFUNCTION("""COMPUTED_VALUE"""),"Estrela 4")</f>
        <v>Estrela 4</v>
      </c>
    </row>
    <row r="1342">
      <c r="G1342" s="5" t="str">
        <f>IFERROR(__xludf.DUMMYFUNCTION("""COMPUTED_VALUE"""),"336🤙🏼Special Chabbis🤙🏼Akshay Kumar🤙🏼Estrela 1")</f>
        <v>336🤙🏼Special Chabbis🤙🏼Akshay Kumar🤙🏼Estrela 1</v>
      </c>
      <c r="H1342" s="5">
        <f>IFERROR(__xludf.DUMMYFUNCTION("SPLiT(G1342, ""🤙🏼"",FALSE,FALSE)"),336.0)</f>
        <v>336</v>
      </c>
      <c r="I1342" s="5" t="str">
        <f>IFERROR(__xludf.DUMMYFUNCTION("""COMPUTED_VALUE"""),"Special Chabbis")</f>
        <v>Special Chabbis</v>
      </c>
      <c r="J1342" s="5" t="str">
        <f>IFERROR(__xludf.DUMMYFUNCTION("""COMPUTED_VALUE"""),"Akshay Kumar")</f>
        <v>Akshay Kumar</v>
      </c>
      <c r="K1342" s="5" t="str">
        <f>IFERROR(__xludf.DUMMYFUNCTION("""COMPUTED_VALUE"""),"Estrela 1")</f>
        <v>Estrela 1</v>
      </c>
      <c r="P1342" s="5">
        <f>IFERROR(__xludf.DUMMYFUNCTION("""COMPUTED_VALUE"""),336.0)</f>
        <v>336</v>
      </c>
      <c r="Q1342" s="5" t="str">
        <f>IFERROR(__xludf.DUMMYFUNCTION("""COMPUTED_VALUE"""),"Special Chabbis")</f>
        <v>Special Chabbis</v>
      </c>
      <c r="R1342" s="5" t="str">
        <f>IFERROR(__xludf.DUMMYFUNCTION("""COMPUTED_VALUE"""),"Akshay Kumar")</f>
        <v>Akshay Kumar</v>
      </c>
      <c r="S1342" s="5" t="str">
        <f>IFERROR(__xludf.DUMMYFUNCTION("""COMPUTED_VALUE"""),"Estrela 1")</f>
        <v>Estrela 1</v>
      </c>
    </row>
    <row r="1343">
      <c r="G1343" s="5" t="str">
        <f>IFERROR(__xludf.DUMMYFUNCTION("""COMPUTED_VALUE"""),"336🤙🏼Special Chabbis🤙🏼Anupam Kher🤙🏼Estrela 2")</f>
        <v>336🤙🏼Special Chabbis🤙🏼Anupam Kher🤙🏼Estrela 2</v>
      </c>
      <c r="H1343" s="5">
        <f>IFERROR(__xludf.DUMMYFUNCTION("SPLiT(G1343, ""🤙🏼"",FALSE,FALSE)"),336.0)</f>
        <v>336</v>
      </c>
      <c r="I1343" s="5" t="str">
        <f>IFERROR(__xludf.DUMMYFUNCTION("""COMPUTED_VALUE"""),"Special Chabbis")</f>
        <v>Special Chabbis</v>
      </c>
      <c r="J1343" s="5" t="str">
        <f>IFERROR(__xludf.DUMMYFUNCTION("""COMPUTED_VALUE"""),"Anupam Kher")</f>
        <v>Anupam Kher</v>
      </c>
      <c r="K1343" s="5" t="str">
        <f>IFERROR(__xludf.DUMMYFUNCTION("""COMPUTED_VALUE"""),"Estrela 2")</f>
        <v>Estrela 2</v>
      </c>
      <c r="P1343" s="5">
        <f>IFERROR(__xludf.DUMMYFUNCTION("""COMPUTED_VALUE"""),336.0)</f>
        <v>336</v>
      </c>
      <c r="Q1343" s="5" t="str">
        <f>IFERROR(__xludf.DUMMYFUNCTION("""COMPUTED_VALUE"""),"Special Chabbis")</f>
        <v>Special Chabbis</v>
      </c>
      <c r="R1343" s="5" t="str">
        <f>IFERROR(__xludf.DUMMYFUNCTION("""COMPUTED_VALUE"""),"Anupam Kher")</f>
        <v>Anupam Kher</v>
      </c>
      <c r="S1343" s="5" t="str">
        <f>IFERROR(__xludf.DUMMYFUNCTION("""COMPUTED_VALUE"""),"Estrela 2")</f>
        <v>Estrela 2</v>
      </c>
    </row>
    <row r="1344">
      <c r="G1344" s="5" t="str">
        <f>IFERROR(__xludf.DUMMYFUNCTION("""COMPUTED_VALUE"""),"336🤙🏼Special Chabbis🤙🏼Manoj Bajpayee🤙🏼Estrela 3")</f>
        <v>336🤙🏼Special Chabbis🤙🏼Manoj Bajpayee🤙🏼Estrela 3</v>
      </c>
      <c r="H1344" s="5">
        <f>IFERROR(__xludf.DUMMYFUNCTION("SPLiT(G1344, ""🤙🏼"",FALSE,FALSE)"),336.0)</f>
        <v>336</v>
      </c>
      <c r="I1344" s="5" t="str">
        <f>IFERROR(__xludf.DUMMYFUNCTION("""COMPUTED_VALUE"""),"Special Chabbis")</f>
        <v>Special Chabbis</v>
      </c>
      <c r="J1344" s="5" t="str">
        <f>IFERROR(__xludf.DUMMYFUNCTION("""COMPUTED_VALUE"""),"Manoj Bajpayee")</f>
        <v>Manoj Bajpayee</v>
      </c>
      <c r="K1344" s="5" t="str">
        <f>IFERROR(__xludf.DUMMYFUNCTION("""COMPUTED_VALUE"""),"Estrela 3")</f>
        <v>Estrela 3</v>
      </c>
      <c r="P1344" s="5">
        <f>IFERROR(__xludf.DUMMYFUNCTION("""COMPUTED_VALUE"""),336.0)</f>
        <v>336</v>
      </c>
      <c r="Q1344" s="5" t="str">
        <f>IFERROR(__xludf.DUMMYFUNCTION("""COMPUTED_VALUE"""),"Special Chabbis")</f>
        <v>Special Chabbis</v>
      </c>
      <c r="R1344" s="5" t="str">
        <f>IFERROR(__xludf.DUMMYFUNCTION("""COMPUTED_VALUE"""),"Manoj Bajpayee")</f>
        <v>Manoj Bajpayee</v>
      </c>
      <c r="S1344" s="5" t="str">
        <f>IFERROR(__xludf.DUMMYFUNCTION("""COMPUTED_VALUE"""),"Estrela 3")</f>
        <v>Estrela 3</v>
      </c>
    </row>
    <row r="1345">
      <c r="G1345" s="5" t="str">
        <f>IFERROR(__xludf.DUMMYFUNCTION("""COMPUTED_VALUE"""),"336🤙🏼Special Chabbis🤙🏼Jimmy Sheirgill🤙🏼Estrela 4")</f>
        <v>336🤙🏼Special Chabbis🤙🏼Jimmy Sheirgill🤙🏼Estrela 4</v>
      </c>
      <c r="H1345" s="5">
        <f>IFERROR(__xludf.DUMMYFUNCTION("SPLiT(G1345, ""🤙🏼"",FALSE,FALSE)"),336.0)</f>
        <v>336</v>
      </c>
      <c r="I1345" s="5" t="str">
        <f>IFERROR(__xludf.DUMMYFUNCTION("""COMPUTED_VALUE"""),"Special Chabbis")</f>
        <v>Special Chabbis</v>
      </c>
      <c r="J1345" s="5" t="str">
        <f>IFERROR(__xludf.DUMMYFUNCTION("""COMPUTED_VALUE"""),"Jimmy Sheirgill")</f>
        <v>Jimmy Sheirgill</v>
      </c>
      <c r="K1345" s="5" t="str">
        <f>IFERROR(__xludf.DUMMYFUNCTION("""COMPUTED_VALUE"""),"Estrela 4")</f>
        <v>Estrela 4</v>
      </c>
      <c r="P1345" s="5">
        <f>IFERROR(__xludf.DUMMYFUNCTION("""COMPUTED_VALUE"""),336.0)</f>
        <v>336</v>
      </c>
      <c r="Q1345" s="5" t="str">
        <f>IFERROR(__xludf.DUMMYFUNCTION("""COMPUTED_VALUE"""),"Special Chabbis")</f>
        <v>Special Chabbis</v>
      </c>
      <c r="R1345" s="5" t="str">
        <f>IFERROR(__xludf.DUMMYFUNCTION("""COMPUTED_VALUE"""),"Jimmy Sheirgill")</f>
        <v>Jimmy Sheirgill</v>
      </c>
      <c r="S1345" s="5" t="str">
        <f>IFERROR(__xludf.DUMMYFUNCTION("""COMPUTED_VALUE"""),"Estrela 4")</f>
        <v>Estrela 4</v>
      </c>
    </row>
    <row r="1346">
      <c r="G1346" s="5" t="str">
        <f>IFERROR(__xludf.DUMMYFUNCTION("""COMPUTED_VALUE"""),"337🤙🏼Short Term 12🤙🏼Brie Larson🤙🏼Estrela 1")</f>
        <v>337🤙🏼Short Term 12🤙🏼Brie Larson🤙🏼Estrela 1</v>
      </c>
      <c r="H1346" s="5">
        <f>IFERROR(__xludf.DUMMYFUNCTION("SPLiT(G1346, ""🤙🏼"",FALSE,FALSE)"),337.0)</f>
        <v>337</v>
      </c>
      <c r="I1346" s="5" t="str">
        <f>IFERROR(__xludf.DUMMYFUNCTION("""COMPUTED_VALUE"""),"Short Term 12")</f>
        <v>Short Term 12</v>
      </c>
      <c r="J1346" s="5" t="str">
        <f>IFERROR(__xludf.DUMMYFUNCTION("""COMPUTED_VALUE"""),"Brie Larson")</f>
        <v>Brie Larson</v>
      </c>
      <c r="K1346" s="5" t="str">
        <f>IFERROR(__xludf.DUMMYFUNCTION("""COMPUTED_VALUE"""),"Estrela 1")</f>
        <v>Estrela 1</v>
      </c>
      <c r="P1346" s="5">
        <f>IFERROR(__xludf.DUMMYFUNCTION("""COMPUTED_VALUE"""),337.0)</f>
        <v>337</v>
      </c>
      <c r="Q1346" s="5" t="str">
        <f>IFERROR(__xludf.DUMMYFUNCTION("""COMPUTED_VALUE"""),"Short Term 12")</f>
        <v>Short Term 12</v>
      </c>
      <c r="R1346" s="5" t="str">
        <f>IFERROR(__xludf.DUMMYFUNCTION("""COMPUTED_VALUE"""),"Brie Larson")</f>
        <v>Brie Larson</v>
      </c>
      <c r="S1346" s="5" t="str">
        <f>IFERROR(__xludf.DUMMYFUNCTION("""COMPUTED_VALUE"""),"Estrela 1")</f>
        <v>Estrela 1</v>
      </c>
    </row>
    <row r="1347">
      <c r="G1347" s="5" t="str">
        <f>IFERROR(__xludf.DUMMYFUNCTION("""COMPUTED_VALUE"""),"337🤙🏼Short Term 12🤙🏼Frantz Turner🤙🏼Estrela 2")</f>
        <v>337🤙🏼Short Term 12🤙🏼Frantz Turner🤙🏼Estrela 2</v>
      </c>
      <c r="H1347" s="5">
        <f>IFERROR(__xludf.DUMMYFUNCTION("SPLiT(G1347, ""🤙🏼"",FALSE,FALSE)"),337.0)</f>
        <v>337</v>
      </c>
      <c r="I1347" s="5" t="str">
        <f>IFERROR(__xludf.DUMMYFUNCTION("""COMPUTED_VALUE"""),"Short Term 12")</f>
        <v>Short Term 12</v>
      </c>
      <c r="J1347" s="5" t="str">
        <f>IFERROR(__xludf.DUMMYFUNCTION("""COMPUTED_VALUE"""),"Frantz Turner")</f>
        <v>Frantz Turner</v>
      </c>
      <c r="K1347" s="5" t="str">
        <f>IFERROR(__xludf.DUMMYFUNCTION("""COMPUTED_VALUE"""),"Estrela 2")</f>
        <v>Estrela 2</v>
      </c>
      <c r="P1347" s="5">
        <f>IFERROR(__xludf.DUMMYFUNCTION("""COMPUTED_VALUE"""),337.0)</f>
        <v>337</v>
      </c>
      <c r="Q1347" s="5" t="str">
        <f>IFERROR(__xludf.DUMMYFUNCTION("""COMPUTED_VALUE"""),"Short Term 12")</f>
        <v>Short Term 12</v>
      </c>
      <c r="R1347" s="5" t="str">
        <f>IFERROR(__xludf.DUMMYFUNCTION("""COMPUTED_VALUE"""),"Frantz Turner")</f>
        <v>Frantz Turner</v>
      </c>
      <c r="S1347" s="5" t="str">
        <f>IFERROR(__xludf.DUMMYFUNCTION("""COMPUTED_VALUE"""),"Estrela 2")</f>
        <v>Estrela 2</v>
      </c>
    </row>
    <row r="1348">
      <c r="G1348" s="5" t="str">
        <f>IFERROR(__xludf.DUMMYFUNCTION("""COMPUTED_VALUE"""),"337🤙🏼Short Term 12🤙🏼John Gallagher Jr.🤙🏼Estrela 3")</f>
        <v>337🤙🏼Short Term 12🤙🏼John Gallagher Jr.🤙🏼Estrela 3</v>
      </c>
      <c r="H1348" s="5">
        <f>IFERROR(__xludf.DUMMYFUNCTION("SPLiT(G1348, ""🤙🏼"",FALSE,FALSE)"),337.0)</f>
        <v>337</v>
      </c>
      <c r="I1348" s="5" t="str">
        <f>IFERROR(__xludf.DUMMYFUNCTION("""COMPUTED_VALUE"""),"Short Term 12")</f>
        <v>Short Term 12</v>
      </c>
      <c r="J1348" s="5" t="str">
        <f>IFERROR(__xludf.DUMMYFUNCTION("""COMPUTED_VALUE"""),"John Gallagher Jr.")</f>
        <v>John Gallagher Jr.</v>
      </c>
      <c r="K1348" s="5" t="str">
        <f>IFERROR(__xludf.DUMMYFUNCTION("""COMPUTED_VALUE"""),"Estrela 3")</f>
        <v>Estrela 3</v>
      </c>
      <c r="P1348" s="5">
        <f>IFERROR(__xludf.DUMMYFUNCTION("""COMPUTED_VALUE"""),337.0)</f>
        <v>337</v>
      </c>
      <c r="Q1348" s="5" t="str">
        <f>IFERROR(__xludf.DUMMYFUNCTION("""COMPUTED_VALUE"""),"Short Term 12")</f>
        <v>Short Term 12</v>
      </c>
      <c r="R1348" s="5" t="str">
        <f>IFERROR(__xludf.DUMMYFUNCTION("""COMPUTED_VALUE"""),"John Gallagher Jr.")</f>
        <v>John Gallagher Jr.</v>
      </c>
      <c r="S1348" s="5" t="str">
        <f>IFERROR(__xludf.DUMMYFUNCTION("""COMPUTED_VALUE"""),"Estrela 3")</f>
        <v>Estrela 3</v>
      </c>
    </row>
    <row r="1349">
      <c r="G1349" s="5" t="str">
        <f>IFERROR(__xludf.DUMMYFUNCTION("""COMPUTED_VALUE"""),"337🤙🏼Short Term 12🤙🏼Kaitlyn Dever🤙🏼Estrela 4")</f>
        <v>337🤙🏼Short Term 12🤙🏼Kaitlyn Dever🤙🏼Estrela 4</v>
      </c>
      <c r="H1349" s="5">
        <f>IFERROR(__xludf.DUMMYFUNCTION("SPLiT(G1349, ""🤙🏼"",FALSE,FALSE)"),337.0)</f>
        <v>337</v>
      </c>
      <c r="I1349" s="5" t="str">
        <f>IFERROR(__xludf.DUMMYFUNCTION("""COMPUTED_VALUE"""),"Short Term 12")</f>
        <v>Short Term 12</v>
      </c>
      <c r="J1349" s="5" t="str">
        <f>IFERROR(__xludf.DUMMYFUNCTION("""COMPUTED_VALUE"""),"Kaitlyn Dever")</f>
        <v>Kaitlyn Dever</v>
      </c>
      <c r="K1349" s="5" t="str">
        <f>IFERROR(__xludf.DUMMYFUNCTION("""COMPUTED_VALUE"""),"Estrela 4")</f>
        <v>Estrela 4</v>
      </c>
      <c r="P1349" s="5">
        <f>IFERROR(__xludf.DUMMYFUNCTION("""COMPUTED_VALUE"""),337.0)</f>
        <v>337</v>
      </c>
      <c r="Q1349" s="5" t="str">
        <f>IFERROR(__xludf.DUMMYFUNCTION("""COMPUTED_VALUE"""),"Short Term 12")</f>
        <v>Short Term 12</v>
      </c>
      <c r="R1349" s="5" t="str">
        <f>IFERROR(__xludf.DUMMYFUNCTION("""COMPUTED_VALUE"""),"Kaitlyn Dever")</f>
        <v>Kaitlyn Dever</v>
      </c>
      <c r="S1349" s="5" t="str">
        <f>IFERROR(__xludf.DUMMYFUNCTION("""COMPUTED_VALUE"""),"Estrela 4")</f>
        <v>Estrela 4</v>
      </c>
    </row>
    <row r="1350">
      <c r="G1350" s="5" t="str">
        <f>IFERROR(__xludf.DUMMYFUNCTION("""COMPUTED_VALUE"""),"338🤙🏼Serbuan maut 2: Berandal🤙🏼Iko Uwais🤙🏼Estrela 1")</f>
        <v>338🤙🏼Serbuan maut 2: Berandal🤙🏼Iko Uwais🤙🏼Estrela 1</v>
      </c>
      <c r="H1350" s="5">
        <f>IFERROR(__xludf.DUMMYFUNCTION("SPLiT(G1350, ""🤙🏼"",FALSE,FALSE)"),338.0)</f>
        <v>338</v>
      </c>
      <c r="I1350" s="5" t="str">
        <f>IFERROR(__xludf.DUMMYFUNCTION("""COMPUTED_VALUE"""),"Serbuan maut 2: Berandal")</f>
        <v>Serbuan maut 2: Berandal</v>
      </c>
      <c r="J1350" s="5" t="str">
        <f>IFERROR(__xludf.DUMMYFUNCTION("""COMPUTED_VALUE"""),"Iko Uwais")</f>
        <v>Iko Uwais</v>
      </c>
      <c r="K1350" s="5" t="str">
        <f>IFERROR(__xludf.DUMMYFUNCTION("""COMPUTED_VALUE"""),"Estrela 1")</f>
        <v>Estrela 1</v>
      </c>
      <c r="P1350" s="5">
        <f>IFERROR(__xludf.DUMMYFUNCTION("""COMPUTED_VALUE"""),338.0)</f>
        <v>338</v>
      </c>
      <c r="Q1350" s="5" t="str">
        <f>IFERROR(__xludf.DUMMYFUNCTION("""COMPUTED_VALUE"""),"Serbuan maut 2: Berandal")</f>
        <v>Serbuan maut 2: Berandal</v>
      </c>
      <c r="R1350" s="5" t="str">
        <f>IFERROR(__xludf.DUMMYFUNCTION("""COMPUTED_VALUE"""),"Iko Uwais")</f>
        <v>Iko Uwais</v>
      </c>
      <c r="S1350" s="5" t="str">
        <f>IFERROR(__xludf.DUMMYFUNCTION("""COMPUTED_VALUE"""),"Estrela 1")</f>
        <v>Estrela 1</v>
      </c>
    </row>
    <row r="1351">
      <c r="G1351" s="5" t="str">
        <f>IFERROR(__xludf.DUMMYFUNCTION("""COMPUTED_VALUE"""),"338🤙🏼Serbuan maut 2: Berandal🤙🏼Yayan Ruhian🤙🏼Estrela 2")</f>
        <v>338🤙🏼Serbuan maut 2: Berandal🤙🏼Yayan Ruhian🤙🏼Estrela 2</v>
      </c>
      <c r="H1351" s="5">
        <f>IFERROR(__xludf.DUMMYFUNCTION("SPLiT(G1351, ""🤙🏼"",FALSE,FALSE)"),338.0)</f>
        <v>338</v>
      </c>
      <c r="I1351" s="5" t="str">
        <f>IFERROR(__xludf.DUMMYFUNCTION("""COMPUTED_VALUE"""),"Serbuan maut 2: Berandal")</f>
        <v>Serbuan maut 2: Berandal</v>
      </c>
      <c r="J1351" s="5" t="str">
        <f>IFERROR(__xludf.DUMMYFUNCTION("""COMPUTED_VALUE"""),"Yayan Ruhian")</f>
        <v>Yayan Ruhian</v>
      </c>
      <c r="K1351" s="5" t="str">
        <f>IFERROR(__xludf.DUMMYFUNCTION("""COMPUTED_VALUE"""),"Estrela 2")</f>
        <v>Estrela 2</v>
      </c>
      <c r="P1351" s="5">
        <f>IFERROR(__xludf.DUMMYFUNCTION("""COMPUTED_VALUE"""),338.0)</f>
        <v>338</v>
      </c>
      <c r="Q1351" s="5" t="str">
        <f>IFERROR(__xludf.DUMMYFUNCTION("""COMPUTED_VALUE"""),"Serbuan maut 2: Berandal")</f>
        <v>Serbuan maut 2: Berandal</v>
      </c>
      <c r="R1351" s="5" t="str">
        <f>IFERROR(__xludf.DUMMYFUNCTION("""COMPUTED_VALUE"""),"Yayan Ruhian")</f>
        <v>Yayan Ruhian</v>
      </c>
      <c r="S1351" s="5" t="str">
        <f>IFERROR(__xludf.DUMMYFUNCTION("""COMPUTED_VALUE"""),"Estrela 2")</f>
        <v>Estrela 2</v>
      </c>
    </row>
    <row r="1352">
      <c r="G1352" s="5" t="str">
        <f>IFERROR(__xludf.DUMMYFUNCTION("""COMPUTED_VALUE"""),"338🤙🏼Serbuan maut 2: Berandal🤙🏼Arifin Putra🤙🏼Estrela 3")</f>
        <v>338🤙🏼Serbuan maut 2: Berandal🤙🏼Arifin Putra🤙🏼Estrela 3</v>
      </c>
      <c r="H1352" s="5">
        <f>IFERROR(__xludf.DUMMYFUNCTION("SPLiT(G1352, ""🤙🏼"",FALSE,FALSE)"),338.0)</f>
        <v>338</v>
      </c>
      <c r="I1352" s="5" t="str">
        <f>IFERROR(__xludf.DUMMYFUNCTION("""COMPUTED_VALUE"""),"Serbuan maut 2: Berandal")</f>
        <v>Serbuan maut 2: Berandal</v>
      </c>
      <c r="J1352" s="5" t="str">
        <f>IFERROR(__xludf.DUMMYFUNCTION("""COMPUTED_VALUE"""),"Arifin Putra")</f>
        <v>Arifin Putra</v>
      </c>
      <c r="K1352" s="5" t="str">
        <f>IFERROR(__xludf.DUMMYFUNCTION("""COMPUTED_VALUE"""),"Estrela 3")</f>
        <v>Estrela 3</v>
      </c>
      <c r="P1352" s="5">
        <f>IFERROR(__xludf.DUMMYFUNCTION("""COMPUTED_VALUE"""),338.0)</f>
        <v>338</v>
      </c>
      <c r="Q1352" s="5" t="str">
        <f>IFERROR(__xludf.DUMMYFUNCTION("""COMPUTED_VALUE"""),"Serbuan maut 2: Berandal")</f>
        <v>Serbuan maut 2: Berandal</v>
      </c>
      <c r="R1352" s="5" t="str">
        <f>IFERROR(__xludf.DUMMYFUNCTION("""COMPUTED_VALUE"""),"Arifin Putra")</f>
        <v>Arifin Putra</v>
      </c>
      <c r="S1352" s="5" t="str">
        <f>IFERROR(__xludf.DUMMYFUNCTION("""COMPUTED_VALUE"""),"Estrela 3")</f>
        <v>Estrela 3</v>
      </c>
    </row>
    <row r="1353">
      <c r="G1353" s="5" t="str">
        <f>IFERROR(__xludf.DUMMYFUNCTION("""COMPUTED_VALUE"""),"338🤙🏼Serbuan maut 2: Berandal🤙🏼Oka Antara🤙🏼Estrela 4")</f>
        <v>338🤙🏼Serbuan maut 2: Berandal🤙🏼Oka Antara🤙🏼Estrela 4</v>
      </c>
      <c r="H1353" s="5">
        <f>IFERROR(__xludf.DUMMYFUNCTION("SPLiT(G1353, ""🤙🏼"",FALSE,FALSE)"),338.0)</f>
        <v>338</v>
      </c>
      <c r="I1353" s="5" t="str">
        <f>IFERROR(__xludf.DUMMYFUNCTION("""COMPUTED_VALUE"""),"Serbuan maut 2: Berandal")</f>
        <v>Serbuan maut 2: Berandal</v>
      </c>
      <c r="J1353" s="5" t="str">
        <f>IFERROR(__xludf.DUMMYFUNCTION("""COMPUTED_VALUE"""),"Oka Antara")</f>
        <v>Oka Antara</v>
      </c>
      <c r="K1353" s="5" t="str">
        <f>IFERROR(__xludf.DUMMYFUNCTION("""COMPUTED_VALUE"""),"Estrela 4")</f>
        <v>Estrela 4</v>
      </c>
      <c r="P1353" s="5">
        <f>IFERROR(__xludf.DUMMYFUNCTION("""COMPUTED_VALUE"""),338.0)</f>
        <v>338</v>
      </c>
      <c r="Q1353" s="5" t="str">
        <f>IFERROR(__xludf.DUMMYFUNCTION("""COMPUTED_VALUE"""),"Serbuan maut 2: Berandal")</f>
        <v>Serbuan maut 2: Berandal</v>
      </c>
      <c r="R1353" s="5" t="str">
        <f>IFERROR(__xludf.DUMMYFUNCTION("""COMPUTED_VALUE"""),"Oka Antara")</f>
        <v>Oka Antara</v>
      </c>
      <c r="S1353" s="5" t="str">
        <f>IFERROR(__xludf.DUMMYFUNCTION("""COMPUTED_VALUE"""),"Estrela 4")</f>
        <v>Estrela 4</v>
      </c>
    </row>
    <row r="1354">
      <c r="G1354" s="5" t="str">
        <f>IFERROR(__xludf.DUMMYFUNCTION("""COMPUTED_VALUE"""),"339🤙🏼The Imitation Game🤙🏼Benedict Cumberbatch🤙🏼Estrela 1")</f>
        <v>339🤙🏼The Imitation Game🤙🏼Benedict Cumberbatch🤙🏼Estrela 1</v>
      </c>
      <c r="H1354" s="5">
        <f>IFERROR(__xludf.DUMMYFUNCTION("SPLiT(G1354, ""🤙🏼"",FALSE,FALSE)"),339.0)</f>
        <v>339</v>
      </c>
      <c r="I1354" s="5" t="str">
        <f>IFERROR(__xludf.DUMMYFUNCTION("""COMPUTED_VALUE"""),"The Imitation Game")</f>
        <v>The Imitation Game</v>
      </c>
      <c r="J1354" s="5" t="str">
        <f>IFERROR(__xludf.DUMMYFUNCTION("""COMPUTED_VALUE"""),"Benedict Cumberbatch")</f>
        <v>Benedict Cumberbatch</v>
      </c>
      <c r="K1354" s="5" t="str">
        <f>IFERROR(__xludf.DUMMYFUNCTION("""COMPUTED_VALUE"""),"Estrela 1")</f>
        <v>Estrela 1</v>
      </c>
      <c r="P1354" s="5">
        <f>IFERROR(__xludf.DUMMYFUNCTION("""COMPUTED_VALUE"""),339.0)</f>
        <v>339</v>
      </c>
      <c r="Q1354" s="5" t="str">
        <f>IFERROR(__xludf.DUMMYFUNCTION("""COMPUTED_VALUE"""),"The Imitation Game")</f>
        <v>The Imitation Game</v>
      </c>
      <c r="R1354" s="5" t="str">
        <f>IFERROR(__xludf.DUMMYFUNCTION("""COMPUTED_VALUE"""),"Benedict Cumberbatch")</f>
        <v>Benedict Cumberbatch</v>
      </c>
      <c r="S1354" s="5" t="str">
        <f>IFERROR(__xludf.DUMMYFUNCTION("""COMPUTED_VALUE"""),"Estrela 1")</f>
        <v>Estrela 1</v>
      </c>
    </row>
    <row r="1355">
      <c r="G1355" s="5" t="str">
        <f>IFERROR(__xludf.DUMMYFUNCTION("""COMPUTED_VALUE"""),"339🤙🏼The Imitation Game🤙🏼Keira Knightley🤙🏼Estrela 2")</f>
        <v>339🤙🏼The Imitation Game🤙🏼Keira Knightley🤙🏼Estrela 2</v>
      </c>
      <c r="H1355" s="5">
        <f>IFERROR(__xludf.DUMMYFUNCTION("SPLiT(G1355, ""🤙🏼"",FALSE,FALSE)"),339.0)</f>
        <v>339</v>
      </c>
      <c r="I1355" s="5" t="str">
        <f>IFERROR(__xludf.DUMMYFUNCTION("""COMPUTED_VALUE"""),"The Imitation Game")</f>
        <v>The Imitation Game</v>
      </c>
      <c r="J1355" s="5" t="str">
        <f>IFERROR(__xludf.DUMMYFUNCTION("""COMPUTED_VALUE"""),"Keira Knightley")</f>
        <v>Keira Knightley</v>
      </c>
      <c r="K1355" s="5" t="str">
        <f>IFERROR(__xludf.DUMMYFUNCTION("""COMPUTED_VALUE"""),"Estrela 2")</f>
        <v>Estrela 2</v>
      </c>
      <c r="P1355" s="5">
        <f>IFERROR(__xludf.DUMMYFUNCTION("""COMPUTED_VALUE"""),339.0)</f>
        <v>339</v>
      </c>
      <c r="Q1355" s="5" t="str">
        <f>IFERROR(__xludf.DUMMYFUNCTION("""COMPUTED_VALUE"""),"The Imitation Game")</f>
        <v>The Imitation Game</v>
      </c>
      <c r="R1355" s="5" t="str">
        <f>IFERROR(__xludf.DUMMYFUNCTION("""COMPUTED_VALUE"""),"Keira Knightley")</f>
        <v>Keira Knightley</v>
      </c>
      <c r="S1355" s="5" t="str">
        <f>IFERROR(__xludf.DUMMYFUNCTION("""COMPUTED_VALUE"""),"Estrela 2")</f>
        <v>Estrela 2</v>
      </c>
    </row>
    <row r="1356">
      <c r="G1356" s="5" t="str">
        <f>IFERROR(__xludf.DUMMYFUNCTION("""COMPUTED_VALUE"""),"339🤙🏼The Imitation Game🤙🏼Matthew Goode🤙🏼Estrela 3")</f>
        <v>339🤙🏼The Imitation Game🤙🏼Matthew Goode🤙🏼Estrela 3</v>
      </c>
      <c r="H1356" s="5">
        <f>IFERROR(__xludf.DUMMYFUNCTION("SPLiT(G1356, ""🤙🏼"",FALSE,FALSE)"),339.0)</f>
        <v>339</v>
      </c>
      <c r="I1356" s="5" t="str">
        <f>IFERROR(__xludf.DUMMYFUNCTION("""COMPUTED_VALUE"""),"The Imitation Game")</f>
        <v>The Imitation Game</v>
      </c>
      <c r="J1356" s="5" t="str">
        <f>IFERROR(__xludf.DUMMYFUNCTION("""COMPUTED_VALUE"""),"Matthew Goode")</f>
        <v>Matthew Goode</v>
      </c>
      <c r="K1356" s="5" t="str">
        <f>IFERROR(__xludf.DUMMYFUNCTION("""COMPUTED_VALUE"""),"Estrela 3")</f>
        <v>Estrela 3</v>
      </c>
      <c r="P1356" s="5">
        <f>IFERROR(__xludf.DUMMYFUNCTION("""COMPUTED_VALUE"""),339.0)</f>
        <v>339</v>
      </c>
      <c r="Q1356" s="5" t="str">
        <f>IFERROR(__xludf.DUMMYFUNCTION("""COMPUTED_VALUE"""),"The Imitation Game")</f>
        <v>The Imitation Game</v>
      </c>
      <c r="R1356" s="5" t="str">
        <f>IFERROR(__xludf.DUMMYFUNCTION("""COMPUTED_VALUE"""),"Matthew Goode")</f>
        <v>Matthew Goode</v>
      </c>
      <c r="S1356" s="5" t="str">
        <f>IFERROR(__xludf.DUMMYFUNCTION("""COMPUTED_VALUE"""),"Estrela 3")</f>
        <v>Estrela 3</v>
      </c>
    </row>
    <row r="1357">
      <c r="G1357" s="5" t="str">
        <f>IFERROR(__xludf.DUMMYFUNCTION("""COMPUTED_VALUE"""),"339🤙🏼The Imitation Game🤙🏼Allen Leech🤙🏼Estrela 4")</f>
        <v>339🤙🏼The Imitation Game🤙🏼Allen Leech🤙🏼Estrela 4</v>
      </c>
      <c r="H1357" s="5">
        <f>IFERROR(__xludf.DUMMYFUNCTION("SPLiT(G1357, ""🤙🏼"",FALSE,FALSE)"),339.0)</f>
        <v>339</v>
      </c>
      <c r="I1357" s="5" t="str">
        <f>IFERROR(__xludf.DUMMYFUNCTION("""COMPUTED_VALUE"""),"The Imitation Game")</f>
        <v>The Imitation Game</v>
      </c>
      <c r="J1357" s="5" t="str">
        <f>IFERROR(__xludf.DUMMYFUNCTION("""COMPUTED_VALUE"""),"Allen Leech")</f>
        <v>Allen Leech</v>
      </c>
      <c r="K1357" s="5" t="str">
        <f>IFERROR(__xludf.DUMMYFUNCTION("""COMPUTED_VALUE"""),"Estrela 4")</f>
        <v>Estrela 4</v>
      </c>
      <c r="P1357" s="5">
        <f>IFERROR(__xludf.DUMMYFUNCTION("""COMPUTED_VALUE"""),339.0)</f>
        <v>339</v>
      </c>
      <c r="Q1357" s="5" t="str">
        <f>IFERROR(__xludf.DUMMYFUNCTION("""COMPUTED_VALUE"""),"The Imitation Game")</f>
        <v>The Imitation Game</v>
      </c>
      <c r="R1357" s="5" t="str">
        <f>IFERROR(__xludf.DUMMYFUNCTION("""COMPUTED_VALUE"""),"Allen Leech")</f>
        <v>Allen Leech</v>
      </c>
      <c r="S1357" s="5" t="str">
        <f>IFERROR(__xludf.DUMMYFUNCTION("""COMPUTED_VALUE"""),"Estrela 4")</f>
        <v>Estrela 4</v>
      </c>
    </row>
    <row r="1358">
      <c r="G1358" s="5" t="str">
        <f>IFERROR(__xludf.DUMMYFUNCTION("""COMPUTED_VALUE"""),"340🤙🏼Guardians of the Galaxy🤙🏼Chris Pratt🤙🏼Estrela 1")</f>
        <v>340🤙🏼Guardians of the Galaxy🤙🏼Chris Pratt🤙🏼Estrela 1</v>
      </c>
      <c r="H1358" s="5">
        <f>IFERROR(__xludf.DUMMYFUNCTION("SPLiT(G1358, ""🤙🏼"",FALSE,FALSE)"),340.0)</f>
        <v>340</v>
      </c>
      <c r="I1358" s="5" t="str">
        <f>IFERROR(__xludf.DUMMYFUNCTION("""COMPUTED_VALUE"""),"Guardians of the Galaxy")</f>
        <v>Guardians of the Galaxy</v>
      </c>
      <c r="J1358" s="5" t="str">
        <f>IFERROR(__xludf.DUMMYFUNCTION("""COMPUTED_VALUE"""),"Chris Pratt")</f>
        <v>Chris Pratt</v>
      </c>
      <c r="K1358" s="5" t="str">
        <f>IFERROR(__xludf.DUMMYFUNCTION("""COMPUTED_VALUE"""),"Estrela 1")</f>
        <v>Estrela 1</v>
      </c>
      <c r="P1358" s="5">
        <f>IFERROR(__xludf.DUMMYFUNCTION("""COMPUTED_VALUE"""),340.0)</f>
        <v>340</v>
      </c>
      <c r="Q1358" s="5" t="str">
        <f>IFERROR(__xludf.DUMMYFUNCTION("""COMPUTED_VALUE"""),"Guardians of the Galaxy")</f>
        <v>Guardians of the Galaxy</v>
      </c>
      <c r="R1358" s="5" t="str">
        <f>IFERROR(__xludf.DUMMYFUNCTION("""COMPUTED_VALUE"""),"Chris Pratt")</f>
        <v>Chris Pratt</v>
      </c>
      <c r="S1358" s="5" t="str">
        <f>IFERROR(__xludf.DUMMYFUNCTION("""COMPUTED_VALUE"""),"Estrela 1")</f>
        <v>Estrela 1</v>
      </c>
    </row>
    <row r="1359">
      <c r="G1359" s="5" t="str">
        <f>IFERROR(__xludf.DUMMYFUNCTION("""COMPUTED_VALUE"""),"340🤙🏼Guardians of the Galaxy🤙🏼Vin Diesel🤙🏼Estrela 2")</f>
        <v>340🤙🏼Guardians of the Galaxy🤙🏼Vin Diesel🤙🏼Estrela 2</v>
      </c>
      <c r="H1359" s="5">
        <f>IFERROR(__xludf.DUMMYFUNCTION("SPLiT(G1359, ""🤙🏼"",FALSE,FALSE)"),340.0)</f>
        <v>340</v>
      </c>
      <c r="I1359" s="5" t="str">
        <f>IFERROR(__xludf.DUMMYFUNCTION("""COMPUTED_VALUE"""),"Guardians of the Galaxy")</f>
        <v>Guardians of the Galaxy</v>
      </c>
      <c r="J1359" s="5" t="str">
        <f>IFERROR(__xludf.DUMMYFUNCTION("""COMPUTED_VALUE"""),"Vin Diesel")</f>
        <v>Vin Diesel</v>
      </c>
      <c r="K1359" s="5" t="str">
        <f>IFERROR(__xludf.DUMMYFUNCTION("""COMPUTED_VALUE"""),"Estrela 2")</f>
        <v>Estrela 2</v>
      </c>
      <c r="P1359" s="5">
        <f>IFERROR(__xludf.DUMMYFUNCTION("""COMPUTED_VALUE"""),340.0)</f>
        <v>340</v>
      </c>
      <c r="Q1359" s="5" t="str">
        <f>IFERROR(__xludf.DUMMYFUNCTION("""COMPUTED_VALUE"""),"Guardians of the Galaxy")</f>
        <v>Guardians of the Galaxy</v>
      </c>
      <c r="R1359" s="5" t="str">
        <f>IFERROR(__xludf.DUMMYFUNCTION("""COMPUTED_VALUE"""),"Vin Diesel")</f>
        <v>Vin Diesel</v>
      </c>
      <c r="S1359" s="5" t="str">
        <f>IFERROR(__xludf.DUMMYFUNCTION("""COMPUTED_VALUE"""),"Estrela 2")</f>
        <v>Estrela 2</v>
      </c>
    </row>
    <row r="1360">
      <c r="G1360" s="5" t="str">
        <f>IFERROR(__xludf.DUMMYFUNCTION("""COMPUTED_VALUE"""),"340🤙🏼Guardians of the Galaxy🤙🏼Bradley Cooper🤙🏼Estrela 3")</f>
        <v>340🤙🏼Guardians of the Galaxy🤙🏼Bradley Cooper🤙🏼Estrela 3</v>
      </c>
      <c r="H1360" s="5">
        <f>IFERROR(__xludf.DUMMYFUNCTION("SPLiT(G1360, ""🤙🏼"",FALSE,FALSE)"),340.0)</f>
        <v>340</v>
      </c>
      <c r="I1360" s="5" t="str">
        <f>IFERROR(__xludf.DUMMYFUNCTION("""COMPUTED_VALUE"""),"Guardians of the Galaxy")</f>
        <v>Guardians of the Galaxy</v>
      </c>
      <c r="J1360" s="5" t="str">
        <f>IFERROR(__xludf.DUMMYFUNCTION("""COMPUTED_VALUE"""),"Bradley Cooper")</f>
        <v>Bradley Cooper</v>
      </c>
      <c r="K1360" s="5" t="str">
        <f>IFERROR(__xludf.DUMMYFUNCTION("""COMPUTED_VALUE"""),"Estrela 3")</f>
        <v>Estrela 3</v>
      </c>
      <c r="P1360" s="5">
        <f>IFERROR(__xludf.DUMMYFUNCTION("""COMPUTED_VALUE"""),340.0)</f>
        <v>340</v>
      </c>
      <c r="Q1360" s="5" t="str">
        <f>IFERROR(__xludf.DUMMYFUNCTION("""COMPUTED_VALUE"""),"Guardians of the Galaxy")</f>
        <v>Guardians of the Galaxy</v>
      </c>
      <c r="R1360" s="5" t="str">
        <f>IFERROR(__xludf.DUMMYFUNCTION("""COMPUTED_VALUE"""),"Bradley Cooper")</f>
        <v>Bradley Cooper</v>
      </c>
      <c r="S1360" s="5" t="str">
        <f>IFERROR(__xludf.DUMMYFUNCTION("""COMPUTED_VALUE"""),"Estrela 3")</f>
        <v>Estrela 3</v>
      </c>
    </row>
    <row r="1361">
      <c r="G1361" s="5" t="str">
        <f>IFERROR(__xludf.DUMMYFUNCTION("""COMPUTED_VALUE"""),"340🤙🏼Guardians of the Galaxy🤙🏼Zoe Saldana🤙🏼Estrela 4")</f>
        <v>340🤙🏼Guardians of the Galaxy🤙🏼Zoe Saldana🤙🏼Estrela 4</v>
      </c>
      <c r="H1361" s="5">
        <f>IFERROR(__xludf.DUMMYFUNCTION("SPLiT(G1361, ""🤙🏼"",FALSE,FALSE)"),340.0)</f>
        <v>340</v>
      </c>
      <c r="I1361" s="5" t="str">
        <f>IFERROR(__xludf.DUMMYFUNCTION("""COMPUTED_VALUE"""),"Guardians of the Galaxy")</f>
        <v>Guardians of the Galaxy</v>
      </c>
      <c r="J1361" s="5" t="str">
        <f>IFERROR(__xludf.DUMMYFUNCTION("""COMPUTED_VALUE"""),"Zoe Saldana")</f>
        <v>Zoe Saldana</v>
      </c>
      <c r="K1361" s="5" t="str">
        <f>IFERROR(__xludf.DUMMYFUNCTION("""COMPUTED_VALUE"""),"Estrela 4")</f>
        <v>Estrela 4</v>
      </c>
      <c r="P1361" s="5">
        <f>IFERROR(__xludf.DUMMYFUNCTION("""COMPUTED_VALUE"""),340.0)</f>
        <v>340</v>
      </c>
      <c r="Q1361" s="5" t="str">
        <f>IFERROR(__xludf.DUMMYFUNCTION("""COMPUTED_VALUE"""),"Guardians of the Galaxy")</f>
        <v>Guardians of the Galaxy</v>
      </c>
      <c r="R1361" s="5" t="str">
        <f>IFERROR(__xludf.DUMMYFUNCTION("""COMPUTED_VALUE"""),"Zoe Saldana")</f>
        <v>Zoe Saldana</v>
      </c>
      <c r="S1361" s="5" t="str">
        <f>IFERROR(__xludf.DUMMYFUNCTION("""COMPUTED_VALUE"""),"Estrela 4")</f>
        <v>Estrela 4</v>
      </c>
    </row>
    <row r="1362">
      <c r="G1362" s="5" t="str">
        <f>IFERROR(__xludf.DUMMYFUNCTION("""COMPUTED_VALUE"""),"341🤙🏼Blade Runner 2049🤙🏼Harrison Ford🤙🏼Estrela 1")</f>
        <v>341🤙🏼Blade Runner 2049🤙🏼Harrison Ford🤙🏼Estrela 1</v>
      </c>
      <c r="H1362" s="5">
        <f>IFERROR(__xludf.DUMMYFUNCTION("SPLiT(G1362, ""🤙🏼"",FALSE,FALSE)"),341.0)</f>
        <v>341</v>
      </c>
      <c r="I1362" s="5" t="str">
        <f>IFERROR(__xludf.DUMMYFUNCTION("""COMPUTED_VALUE"""),"Blade Runner 2049")</f>
        <v>Blade Runner 2049</v>
      </c>
      <c r="J1362" s="5" t="str">
        <f>IFERROR(__xludf.DUMMYFUNCTION("""COMPUTED_VALUE"""),"Harrison Ford")</f>
        <v>Harrison Ford</v>
      </c>
      <c r="K1362" s="5" t="str">
        <f>IFERROR(__xludf.DUMMYFUNCTION("""COMPUTED_VALUE"""),"Estrela 1")</f>
        <v>Estrela 1</v>
      </c>
      <c r="P1362" s="5">
        <f>IFERROR(__xludf.DUMMYFUNCTION("""COMPUTED_VALUE"""),341.0)</f>
        <v>341</v>
      </c>
      <c r="Q1362" s="5" t="str">
        <f>IFERROR(__xludf.DUMMYFUNCTION("""COMPUTED_VALUE"""),"Blade Runner 2049")</f>
        <v>Blade Runner 2049</v>
      </c>
      <c r="R1362" s="5" t="str">
        <f>IFERROR(__xludf.DUMMYFUNCTION("""COMPUTED_VALUE"""),"Harrison Ford")</f>
        <v>Harrison Ford</v>
      </c>
      <c r="S1362" s="5" t="str">
        <f>IFERROR(__xludf.DUMMYFUNCTION("""COMPUTED_VALUE"""),"Estrela 1")</f>
        <v>Estrela 1</v>
      </c>
    </row>
    <row r="1363">
      <c r="G1363" s="5" t="str">
        <f>IFERROR(__xludf.DUMMYFUNCTION("""COMPUTED_VALUE"""),"341🤙🏼Blade Runner 2049🤙🏼Ryan Gosling🤙🏼Estrela 2")</f>
        <v>341🤙🏼Blade Runner 2049🤙🏼Ryan Gosling🤙🏼Estrela 2</v>
      </c>
      <c r="H1363" s="5">
        <f>IFERROR(__xludf.DUMMYFUNCTION("SPLiT(G1363, ""🤙🏼"",FALSE,FALSE)"),341.0)</f>
        <v>341</v>
      </c>
      <c r="I1363" s="5" t="str">
        <f>IFERROR(__xludf.DUMMYFUNCTION("""COMPUTED_VALUE"""),"Blade Runner 2049")</f>
        <v>Blade Runner 2049</v>
      </c>
      <c r="J1363" s="5" t="str">
        <f>IFERROR(__xludf.DUMMYFUNCTION("""COMPUTED_VALUE"""),"Ryan Gosling")</f>
        <v>Ryan Gosling</v>
      </c>
      <c r="K1363" s="5" t="str">
        <f>IFERROR(__xludf.DUMMYFUNCTION("""COMPUTED_VALUE"""),"Estrela 2")</f>
        <v>Estrela 2</v>
      </c>
      <c r="P1363" s="5">
        <f>IFERROR(__xludf.DUMMYFUNCTION("""COMPUTED_VALUE"""),341.0)</f>
        <v>341</v>
      </c>
      <c r="Q1363" s="5" t="str">
        <f>IFERROR(__xludf.DUMMYFUNCTION("""COMPUTED_VALUE"""),"Blade Runner 2049")</f>
        <v>Blade Runner 2049</v>
      </c>
      <c r="R1363" s="5" t="str">
        <f>IFERROR(__xludf.DUMMYFUNCTION("""COMPUTED_VALUE"""),"Ryan Gosling")</f>
        <v>Ryan Gosling</v>
      </c>
      <c r="S1363" s="5" t="str">
        <f>IFERROR(__xludf.DUMMYFUNCTION("""COMPUTED_VALUE"""),"Estrela 2")</f>
        <v>Estrela 2</v>
      </c>
    </row>
    <row r="1364">
      <c r="G1364" s="5" t="str">
        <f>IFERROR(__xludf.DUMMYFUNCTION("""COMPUTED_VALUE"""),"341🤙🏼Blade Runner 2049🤙🏼Ana de Armas🤙🏼Estrela 3")</f>
        <v>341🤙🏼Blade Runner 2049🤙🏼Ana de Armas🤙🏼Estrela 3</v>
      </c>
      <c r="H1364" s="5">
        <f>IFERROR(__xludf.DUMMYFUNCTION("SPLiT(G1364, ""🤙🏼"",FALSE,FALSE)"),341.0)</f>
        <v>341</v>
      </c>
      <c r="I1364" s="5" t="str">
        <f>IFERROR(__xludf.DUMMYFUNCTION("""COMPUTED_VALUE"""),"Blade Runner 2049")</f>
        <v>Blade Runner 2049</v>
      </c>
      <c r="J1364" s="5" t="str">
        <f>IFERROR(__xludf.DUMMYFUNCTION("""COMPUTED_VALUE"""),"Ana de Armas")</f>
        <v>Ana de Armas</v>
      </c>
      <c r="K1364" s="5" t="str">
        <f>IFERROR(__xludf.DUMMYFUNCTION("""COMPUTED_VALUE"""),"Estrela 3")</f>
        <v>Estrela 3</v>
      </c>
      <c r="P1364" s="5">
        <f>IFERROR(__xludf.DUMMYFUNCTION("""COMPUTED_VALUE"""),341.0)</f>
        <v>341</v>
      </c>
      <c r="Q1364" s="5" t="str">
        <f>IFERROR(__xludf.DUMMYFUNCTION("""COMPUTED_VALUE"""),"Blade Runner 2049")</f>
        <v>Blade Runner 2049</v>
      </c>
      <c r="R1364" s="5" t="str">
        <f>IFERROR(__xludf.DUMMYFUNCTION("""COMPUTED_VALUE"""),"Ana de Armas")</f>
        <v>Ana de Armas</v>
      </c>
      <c r="S1364" s="5" t="str">
        <f>IFERROR(__xludf.DUMMYFUNCTION("""COMPUTED_VALUE"""),"Estrela 3")</f>
        <v>Estrela 3</v>
      </c>
    </row>
    <row r="1365">
      <c r="G1365" s="5" t="str">
        <f>IFERROR(__xludf.DUMMYFUNCTION("""COMPUTED_VALUE"""),"341🤙🏼Blade Runner 2049🤙🏼Dave Bautista🤙🏼Estrela 4")</f>
        <v>341🤙🏼Blade Runner 2049🤙🏼Dave Bautista🤙🏼Estrela 4</v>
      </c>
      <c r="H1365" s="5">
        <f>IFERROR(__xludf.DUMMYFUNCTION("SPLiT(G1365, ""🤙🏼"",FALSE,FALSE)"),341.0)</f>
        <v>341</v>
      </c>
      <c r="I1365" s="5" t="str">
        <f>IFERROR(__xludf.DUMMYFUNCTION("""COMPUTED_VALUE"""),"Blade Runner 2049")</f>
        <v>Blade Runner 2049</v>
      </c>
      <c r="J1365" s="5" t="str">
        <f>IFERROR(__xludf.DUMMYFUNCTION("""COMPUTED_VALUE"""),"Dave Bautista")</f>
        <v>Dave Bautista</v>
      </c>
      <c r="K1365" s="5" t="str">
        <f>IFERROR(__xludf.DUMMYFUNCTION("""COMPUTED_VALUE"""),"Estrela 4")</f>
        <v>Estrela 4</v>
      </c>
      <c r="P1365" s="5">
        <f>IFERROR(__xludf.DUMMYFUNCTION("""COMPUTED_VALUE"""),341.0)</f>
        <v>341</v>
      </c>
      <c r="Q1365" s="5" t="str">
        <f>IFERROR(__xludf.DUMMYFUNCTION("""COMPUTED_VALUE"""),"Blade Runner 2049")</f>
        <v>Blade Runner 2049</v>
      </c>
      <c r="R1365" s="5" t="str">
        <f>IFERROR(__xludf.DUMMYFUNCTION("""COMPUTED_VALUE"""),"Dave Bautista")</f>
        <v>Dave Bautista</v>
      </c>
      <c r="S1365" s="5" t="str">
        <f>IFERROR(__xludf.DUMMYFUNCTION("""COMPUTED_VALUE"""),"Estrela 4")</f>
        <v>Estrela 4</v>
      </c>
    </row>
    <row r="1366">
      <c r="G1366" s="5" t="str">
        <f>IFERROR(__xludf.DUMMYFUNCTION("""COMPUTED_VALUE"""),"342🤙🏼Her🤙🏼Joaquin Phoenix🤙🏼Estrela 1")</f>
        <v>342🤙🏼Her🤙🏼Joaquin Phoenix🤙🏼Estrela 1</v>
      </c>
      <c r="H1366" s="5">
        <f>IFERROR(__xludf.DUMMYFUNCTION("SPLiT(G1366, ""🤙🏼"",FALSE,FALSE)"),342.0)</f>
        <v>342</v>
      </c>
      <c r="I1366" s="5" t="str">
        <f>IFERROR(__xludf.DUMMYFUNCTION("""COMPUTED_VALUE"""),"Her")</f>
        <v>Her</v>
      </c>
      <c r="J1366" s="5" t="str">
        <f>IFERROR(__xludf.DUMMYFUNCTION("""COMPUTED_VALUE"""),"Joaquin Phoenix")</f>
        <v>Joaquin Phoenix</v>
      </c>
      <c r="K1366" s="5" t="str">
        <f>IFERROR(__xludf.DUMMYFUNCTION("""COMPUTED_VALUE"""),"Estrela 1")</f>
        <v>Estrela 1</v>
      </c>
      <c r="P1366" s="5">
        <f>IFERROR(__xludf.DUMMYFUNCTION("""COMPUTED_VALUE"""),342.0)</f>
        <v>342</v>
      </c>
      <c r="Q1366" s="5" t="str">
        <f>IFERROR(__xludf.DUMMYFUNCTION("""COMPUTED_VALUE"""),"Her")</f>
        <v>Her</v>
      </c>
      <c r="R1366" s="5" t="str">
        <f>IFERROR(__xludf.DUMMYFUNCTION("""COMPUTED_VALUE"""),"Joaquin Phoenix")</f>
        <v>Joaquin Phoenix</v>
      </c>
      <c r="S1366" s="5" t="str">
        <f>IFERROR(__xludf.DUMMYFUNCTION("""COMPUTED_VALUE"""),"Estrela 1")</f>
        <v>Estrela 1</v>
      </c>
    </row>
    <row r="1367">
      <c r="G1367" s="5" t="str">
        <f>IFERROR(__xludf.DUMMYFUNCTION("""COMPUTED_VALUE"""),"342🤙🏼Her🤙🏼Amy Adams🤙🏼Estrela 2")</f>
        <v>342🤙🏼Her🤙🏼Amy Adams🤙🏼Estrela 2</v>
      </c>
      <c r="H1367" s="5">
        <f>IFERROR(__xludf.DUMMYFUNCTION("SPLiT(G1367, ""🤙🏼"",FALSE,FALSE)"),342.0)</f>
        <v>342</v>
      </c>
      <c r="I1367" s="5" t="str">
        <f>IFERROR(__xludf.DUMMYFUNCTION("""COMPUTED_VALUE"""),"Her")</f>
        <v>Her</v>
      </c>
      <c r="J1367" s="5" t="str">
        <f>IFERROR(__xludf.DUMMYFUNCTION("""COMPUTED_VALUE"""),"Amy Adams")</f>
        <v>Amy Adams</v>
      </c>
      <c r="K1367" s="5" t="str">
        <f>IFERROR(__xludf.DUMMYFUNCTION("""COMPUTED_VALUE"""),"Estrela 2")</f>
        <v>Estrela 2</v>
      </c>
      <c r="P1367" s="5">
        <f>IFERROR(__xludf.DUMMYFUNCTION("""COMPUTED_VALUE"""),342.0)</f>
        <v>342</v>
      </c>
      <c r="Q1367" s="5" t="str">
        <f>IFERROR(__xludf.DUMMYFUNCTION("""COMPUTED_VALUE"""),"Her")</f>
        <v>Her</v>
      </c>
      <c r="R1367" s="5" t="str">
        <f>IFERROR(__xludf.DUMMYFUNCTION("""COMPUTED_VALUE"""),"Amy Adams")</f>
        <v>Amy Adams</v>
      </c>
      <c r="S1367" s="5" t="str">
        <f>IFERROR(__xludf.DUMMYFUNCTION("""COMPUTED_VALUE"""),"Estrela 2")</f>
        <v>Estrela 2</v>
      </c>
    </row>
    <row r="1368">
      <c r="G1368" s="5" t="str">
        <f>IFERROR(__xludf.DUMMYFUNCTION("""COMPUTED_VALUE"""),"342🤙🏼Her🤙🏼Scarlett Johansson🤙🏼Estrela 3")</f>
        <v>342🤙🏼Her🤙🏼Scarlett Johansson🤙🏼Estrela 3</v>
      </c>
      <c r="H1368" s="5">
        <f>IFERROR(__xludf.DUMMYFUNCTION("SPLiT(G1368, ""🤙🏼"",FALSE,FALSE)"),342.0)</f>
        <v>342</v>
      </c>
      <c r="I1368" s="5" t="str">
        <f>IFERROR(__xludf.DUMMYFUNCTION("""COMPUTED_VALUE"""),"Her")</f>
        <v>Her</v>
      </c>
      <c r="J1368" s="5" t="str">
        <f>IFERROR(__xludf.DUMMYFUNCTION("""COMPUTED_VALUE"""),"Scarlett Johansson")</f>
        <v>Scarlett Johansson</v>
      </c>
      <c r="K1368" s="5" t="str">
        <f>IFERROR(__xludf.DUMMYFUNCTION("""COMPUTED_VALUE"""),"Estrela 3")</f>
        <v>Estrela 3</v>
      </c>
      <c r="P1368" s="5">
        <f>IFERROR(__xludf.DUMMYFUNCTION("""COMPUTED_VALUE"""),342.0)</f>
        <v>342</v>
      </c>
      <c r="Q1368" s="5" t="str">
        <f>IFERROR(__xludf.DUMMYFUNCTION("""COMPUTED_VALUE"""),"Her")</f>
        <v>Her</v>
      </c>
      <c r="R1368" s="5" t="str">
        <f>IFERROR(__xludf.DUMMYFUNCTION("""COMPUTED_VALUE"""),"Scarlett Johansson")</f>
        <v>Scarlett Johansson</v>
      </c>
      <c r="S1368" s="5" t="str">
        <f>IFERROR(__xludf.DUMMYFUNCTION("""COMPUTED_VALUE"""),"Estrela 3")</f>
        <v>Estrela 3</v>
      </c>
    </row>
    <row r="1369">
      <c r="G1369" s="5" t="str">
        <f>IFERROR(__xludf.DUMMYFUNCTION("""COMPUTED_VALUE"""),"342🤙🏼Her🤙🏼Rooney Mara🤙🏼Estrela 4")</f>
        <v>342🤙🏼Her🤙🏼Rooney Mara🤙🏼Estrela 4</v>
      </c>
      <c r="H1369" s="5">
        <f>IFERROR(__xludf.DUMMYFUNCTION("SPLiT(G1369, ""🤙🏼"",FALSE,FALSE)"),342.0)</f>
        <v>342</v>
      </c>
      <c r="I1369" s="5" t="str">
        <f>IFERROR(__xludf.DUMMYFUNCTION("""COMPUTED_VALUE"""),"Her")</f>
        <v>Her</v>
      </c>
      <c r="J1369" s="5" t="str">
        <f>IFERROR(__xludf.DUMMYFUNCTION("""COMPUTED_VALUE"""),"Rooney Mara")</f>
        <v>Rooney Mara</v>
      </c>
      <c r="K1369" s="5" t="str">
        <f>IFERROR(__xludf.DUMMYFUNCTION("""COMPUTED_VALUE"""),"Estrela 4")</f>
        <v>Estrela 4</v>
      </c>
      <c r="P1369" s="5">
        <f>IFERROR(__xludf.DUMMYFUNCTION("""COMPUTED_VALUE"""),342.0)</f>
        <v>342</v>
      </c>
      <c r="Q1369" s="5" t="str">
        <f>IFERROR(__xludf.DUMMYFUNCTION("""COMPUTED_VALUE"""),"Her")</f>
        <v>Her</v>
      </c>
      <c r="R1369" s="5" t="str">
        <f>IFERROR(__xludf.DUMMYFUNCTION("""COMPUTED_VALUE"""),"Rooney Mara")</f>
        <v>Rooney Mara</v>
      </c>
      <c r="S1369" s="5" t="str">
        <f>IFERROR(__xludf.DUMMYFUNCTION("""COMPUTED_VALUE"""),"Estrela 4")</f>
        <v>Estrela 4</v>
      </c>
    </row>
    <row r="1370">
      <c r="G1370" s="5" t="str">
        <f>IFERROR(__xludf.DUMMYFUNCTION("""COMPUTED_VALUE"""),"343🤙🏼Bohemian Rhapsody🤙🏼Rami Malek🤙🏼Estrela 1")</f>
        <v>343🤙🏼Bohemian Rhapsody🤙🏼Rami Malek🤙🏼Estrela 1</v>
      </c>
      <c r="H1370" s="5">
        <f>IFERROR(__xludf.DUMMYFUNCTION("SPLiT(G1370, ""🤙🏼"",FALSE,FALSE)"),343.0)</f>
        <v>343</v>
      </c>
      <c r="I1370" s="5" t="str">
        <f>IFERROR(__xludf.DUMMYFUNCTION("""COMPUTED_VALUE"""),"Bohemian Rhapsody")</f>
        <v>Bohemian Rhapsody</v>
      </c>
      <c r="J1370" s="5" t="str">
        <f>IFERROR(__xludf.DUMMYFUNCTION("""COMPUTED_VALUE"""),"Rami Malek")</f>
        <v>Rami Malek</v>
      </c>
      <c r="K1370" s="5" t="str">
        <f>IFERROR(__xludf.DUMMYFUNCTION("""COMPUTED_VALUE"""),"Estrela 1")</f>
        <v>Estrela 1</v>
      </c>
      <c r="P1370" s="5">
        <f>IFERROR(__xludf.DUMMYFUNCTION("""COMPUTED_VALUE"""),343.0)</f>
        <v>343</v>
      </c>
      <c r="Q1370" s="5" t="str">
        <f>IFERROR(__xludf.DUMMYFUNCTION("""COMPUTED_VALUE"""),"Bohemian Rhapsody")</f>
        <v>Bohemian Rhapsody</v>
      </c>
      <c r="R1370" s="5" t="str">
        <f>IFERROR(__xludf.DUMMYFUNCTION("""COMPUTED_VALUE"""),"Rami Malek")</f>
        <v>Rami Malek</v>
      </c>
      <c r="S1370" s="5" t="str">
        <f>IFERROR(__xludf.DUMMYFUNCTION("""COMPUTED_VALUE"""),"Estrela 1")</f>
        <v>Estrela 1</v>
      </c>
    </row>
    <row r="1371">
      <c r="G1371" s="5" t="str">
        <f>IFERROR(__xludf.DUMMYFUNCTION("""COMPUTED_VALUE"""),"343🤙🏼Bohemian Rhapsody🤙🏼Lucy Boynton🤙🏼Estrela 2")</f>
        <v>343🤙🏼Bohemian Rhapsody🤙🏼Lucy Boynton🤙🏼Estrela 2</v>
      </c>
      <c r="H1371" s="5">
        <f>IFERROR(__xludf.DUMMYFUNCTION("SPLiT(G1371, ""🤙🏼"",FALSE,FALSE)"),343.0)</f>
        <v>343</v>
      </c>
      <c r="I1371" s="5" t="str">
        <f>IFERROR(__xludf.DUMMYFUNCTION("""COMPUTED_VALUE"""),"Bohemian Rhapsody")</f>
        <v>Bohemian Rhapsody</v>
      </c>
      <c r="J1371" s="5" t="str">
        <f>IFERROR(__xludf.DUMMYFUNCTION("""COMPUTED_VALUE"""),"Lucy Boynton")</f>
        <v>Lucy Boynton</v>
      </c>
      <c r="K1371" s="5" t="str">
        <f>IFERROR(__xludf.DUMMYFUNCTION("""COMPUTED_VALUE"""),"Estrela 2")</f>
        <v>Estrela 2</v>
      </c>
      <c r="P1371" s="5">
        <f>IFERROR(__xludf.DUMMYFUNCTION("""COMPUTED_VALUE"""),343.0)</f>
        <v>343</v>
      </c>
      <c r="Q1371" s="5" t="str">
        <f>IFERROR(__xludf.DUMMYFUNCTION("""COMPUTED_VALUE"""),"Bohemian Rhapsody")</f>
        <v>Bohemian Rhapsody</v>
      </c>
      <c r="R1371" s="5" t="str">
        <f>IFERROR(__xludf.DUMMYFUNCTION("""COMPUTED_VALUE"""),"Lucy Boynton")</f>
        <v>Lucy Boynton</v>
      </c>
      <c r="S1371" s="5" t="str">
        <f>IFERROR(__xludf.DUMMYFUNCTION("""COMPUTED_VALUE"""),"Estrela 2")</f>
        <v>Estrela 2</v>
      </c>
    </row>
    <row r="1372">
      <c r="G1372" s="5" t="str">
        <f>IFERROR(__xludf.DUMMYFUNCTION("""COMPUTED_VALUE"""),"343🤙🏼Bohemian Rhapsody🤙🏼Gwilym Lee🤙🏼Estrela 3")</f>
        <v>343🤙🏼Bohemian Rhapsody🤙🏼Gwilym Lee🤙🏼Estrela 3</v>
      </c>
      <c r="H1372" s="5">
        <f>IFERROR(__xludf.DUMMYFUNCTION("SPLiT(G1372, ""🤙🏼"",FALSE,FALSE)"),343.0)</f>
        <v>343</v>
      </c>
      <c r="I1372" s="5" t="str">
        <f>IFERROR(__xludf.DUMMYFUNCTION("""COMPUTED_VALUE"""),"Bohemian Rhapsody")</f>
        <v>Bohemian Rhapsody</v>
      </c>
      <c r="J1372" s="5" t="str">
        <f>IFERROR(__xludf.DUMMYFUNCTION("""COMPUTED_VALUE"""),"Gwilym Lee")</f>
        <v>Gwilym Lee</v>
      </c>
      <c r="K1372" s="5" t="str">
        <f>IFERROR(__xludf.DUMMYFUNCTION("""COMPUTED_VALUE"""),"Estrela 3")</f>
        <v>Estrela 3</v>
      </c>
      <c r="P1372" s="5">
        <f>IFERROR(__xludf.DUMMYFUNCTION("""COMPUTED_VALUE"""),343.0)</f>
        <v>343</v>
      </c>
      <c r="Q1372" s="5" t="str">
        <f>IFERROR(__xludf.DUMMYFUNCTION("""COMPUTED_VALUE"""),"Bohemian Rhapsody")</f>
        <v>Bohemian Rhapsody</v>
      </c>
      <c r="R1372" s="5" t="str">
        <f>IFERROR(__xludf.DUMMYFUNCTION("""COMPUTED_VALUE"""),"Gwilym Lee")</f>
        <v>Gwilym Lee</v>
      </c>
      <c r="S1372" s="5" t="str">
        <f>IFERROR(__xludf.DUMMYFUNCTION("""COMPUTED_VALUE"""),"Estrela 3")</f>
        <v>Estrela 3</v>
      </c>
    </row>
    <row r="1373">
      <c r="G1373" s="5" t="str">
        <f>IFERROR(__xludf.DUMMYFUNCTION("""COMPUTED_VALUE"""),"343🤙🏼Bohemian Rhapsody🤙🏼Ben Hardy🤙🏼Estrela 4")</f>
        <v>343🤙🏼Bohemian Rhapsody🤙🏼Ben Hardy🤙🏼Estrela 4</v>
      </c>
      <c r="H1373" s="5">
        <f>IFERROR(__xludf.DUMMYFUNCTION("SPLiT(G1373, ""🤙🏼"",FALSE,FALSE)"),343.0)</f>
        <v>343</v>
      </c>
      <c r="I1373" s="5" t="str">
        <f>IFERROR(__xludf.DUMMYFUNCTION("""COMPUTED_VALUE"""),"Bohemian Rhapsody")</f>
        <v>Bohemian Rhapsody</v>
      </c>
      <c r="J1373" s="5" t="str">
        <f>IFERROR(__xludf.DUMMYFUNCTION("""COMPUTED_VALUE"""),"Ben Hardy")</f>
        <v>Ben Hardy</v>
      </c>
      <c r="K1373" s="5" t="str">
        <f>IFERROR(__xludf.DUMMYFUNCTION("""COMPUTED_VALUE"""),"Estrela 4")</f>
        <v>Estrela 4</v>
      </c>
      <c r="P1373" s="5">
        <f>IFERROR(__xludf.DUMMYFUNCTION("""COMPUTED_VALUE"""),343.0)</f>
        <v>343</v>
      </c>
      <c r="Q1373" s="5" t="str">
        <f>IFERROR(__xludf.DUMMYFUNCTION("""COMPUTED_VALUE"""),"Bohemian Rhapsody")</f>
        <v>Bohemian Rhapsody</v>
      </c>
      <c r="R1373" s="5" t="str">
        <f>IFERROR(__xludf.DUMMYFUNCTION("""COMPUTED_VALUE"""),"Ben Hardy")</f>
        <v>Ben Hardy</v>
      </c>
      <c r="S1373" s="5" t="str">
        <f>IFERROR(__xludf.DUMMYFUNCTION("""COMPUTED_VALUE"""),"Estrela 4")</f>
        <v>Estrela 4</v>
      </c>
    </row>
    <row r="1374">
      <c r="G1374" s="5" t="str">
        <f>IFERROR(__xludf.DUMMYFUNCTION("""COMPUTED_VALUE"""),"344🤙🏼The Revenant🤙🏼Leonardo DiCaprio🤙🏼Estrela 1")</f>
        <v>344🤙🏼The Revenant🤙🏼Leonardo DiCaprio🤙🏼Estrela 1</v>
      </c>
      <c r="H1374" s="5">
        <f>IFERROR(__xludf.DUMMYFUNCTION("SPLiT(G1374, ""🤙🏼"",FALSE,FALSE)"),344.0)</f>
        <v>344</v>
      </c>
      <c r="I1374" s="5" t="str">
        <f>IFERROR(__xludf.DUMMYFUNCTION("""COMPUTED_VALUE"""),"The Revenant")</f>
        <v>The Revenant</v>
      </c>
      <c r="J1374" s="5" t="str">
        <f>IFERROR(__xludf.DUMMYFUNCTION("""COMPUTED_VALUE"""),"Leonardo DiCaprio")</f>
        <v>Leonardo DiCaprio</v>
      </c>
      <c r="K1374" s="5" t="str">
        <f>IFERROR(__xludf.DUMMYFUNCTION("""COMPUTED_VALUE"""),"Estrela 1")</f>
        <v>Estrela 1</v>
      </c>
      <c r="P1374" s="5">
        <f>IFERROR(__xludf.DUMMYFUNCTION("""COMPUTED_VALUE"""),344.0)</f>
        <v>344</v>
      </c>
      <c r="Q1374" s="5" t="str">
        <f>IFERROR(__xludf.DUMMYFUNCTION("""COMPUTED_VALUE"""),"The Revenant")</f>
        <v>The Revenant</v>
      </c>
      <c r="R1374" s="5" t="str">
        <f>IFERROR(__xludf.DUMMYFUNCTION("""COMPUTED_VALUE"""),"Leonardo DiCaprio")</f>
        <v>Leonardo DiCaprio</v>
      </c>
      <c r="S1374" s="5" t="str">
        <f>IFERROR(__xludf.DUMMYFUNCTION("""COMPUTED_VALUE"""),"Estrela 1")</f>
        <v>Estrela 1</v>
      </c>
    </row>
    <row r="1375">
      <c r="G1375" s="5" t="str">
        <f>IFERROR(__xludf.DUMMYFUNCTION("""COMPUTED_VALUE"""),"344🤙🏼The Revenant🤙🏼Tom Hardy🤙🏼Estrela 2")</f>
        <v>344🤙🏼The Revenant🤙🏼Tom Hardy🤙🏼Estrela 2</v>
      </c>
      <c r="H1375" s="5">
        <f>IFERROR(__xludf.DUMMYFUNCTION("SPLiT(G1375, ""🤙🏼"",FALSE,FALSE)"),344.0)</f>
        <v>344</v>
      </c>
      <c r="I1375" s="5" t="str">
        <f>IFERROR(__xludf.DUMMYFUNCTION("""COMPUTED_VALUE"""),"The Revenant")</f>
        <v>The Revenant</v>
      </c>
      <c r="J1375" s="5" t="str">
        <f>IFERROR(__xludf.DUMMYFUNCTION("""COMPUTED_VALUE"""),"Tom Hardy")</f>
        <v>Tom Hardy</v>
      </c>
      <c r="K1375" s="5" t="str">
        <f>IFERROR(__xludf.DUMMYFUNCTION("""COMPUTED_VALUE"""),"Estrela 2")</f>
        <v>Estrela 2</v>
      </c>
      <c r="P1375" s="5">
        <f>IFERROR(__xludf.DUMMYFUNCTION("""COMPUTED_VALUE"""),344.0)</f>
        <v>344</v>
      </c>
      <c r="Q1375" s="5" t="str">
        <f>IFERROR(__xludf.DUMMYFUNCTION("""COMPUTED_VALUE"""),"The Revenant")</f>
        <v>The Revenant</v>
      </c>
      <c r="R1375" s="5" t="str">
        <f>IFERROR(__xludf.DUMMYFUNCTION("""COMPUTED_VALUE"""),"Tom Hardy")</f>
        <v>Tom Hardy</v>
      </c>
      <c r="S1375" s="5" t="str">
        <f>IFERROR(__xludf.DUMMYFUNCTION("""COMPUTED_VALUE"""),"Estrela 2")</f>
        <v>Estrela 2</v>
      </c>
    </row>
    <row r="1376">
      <c r="G1376" s="5" t="str">
        <f>IFERROR(__xludf.DUMMYFUNCTION("""COMPUTED_VALUE"""),"344🤙🏼The Revenant🤙🏼Will Poulter🤙🏼Estrela 3")</f>
        <v>344🤙🏼The Revenant🤙🏼Will Poulter🤙🏼Estrela 3</v>
      </c>
      <c r="H1376" s="5">
        <f>IFERROR(__xludf.DUMMYFUNCTION("SPLiT(G1376, ""🤙🏼"",FALSE,FALSE)"),344.0)</f>
        <v>344</v>
      </c>
      <c r="I1376" s="5" t="str">
        <f>IFERROR(__xludf.DUMMYFUNCTION("""COMPUTED_VALUE"""),"The Revenant")</f>
        <v>The Revenant</v>
      </c>
      <c r="J1376" s="5" t="str">
        <f>IFERROR(__xludf.DUMMYFUNCTION("""COMPUTED_VALUE"""),"Will Poulter")</f>
        <v>Will Poulter</v>
      </c>
      <c r="K1376" s="5" t="str">
        <f>IFERROR(__xludf.DUMMYFUNCTION("""COMPUTED_VALUE"""),"Estrela 3")</f>
        <v>Estrela 3</v>
      </c>
      <c r="P1376" s="5">
        <f>IFERROR(__xludf.DUMMYFUNCTION("""COMPUTED_VALUE"""),344.0)</f>
        <v>344</v>
      </c>
      <c r="Q1376" s="5" t="str">
        <f>IFERROR(__xludf.DUMMYFUNCTION("""COMPUTED_VALUE"""),"The Revenant")</f>
        <v>The Revenant</v>
      </c>
      <c r="R1376" s="5" t="str">
        <f>IFERROR(__xludf.DUMMYFUNCTION("""COMPUTED_VALUE"""),"Will Poulter")</f>
        <v>Will Poulter</v>
      </c>
      <c r="S1376" s="5" t="str">
        <f>IFERROR(__xludf.DUMMYFUNCTION("""COMPUTED_VALUE"""),"Estrela 3")</f>
        <v>Estrela 3</v>
      </c>
    </row>
    <row r="1377">
      <c r="G1377" s="5" t="str">
        <f>IFERROR(__xludf.DUMMYFUNCTION("""COMPUTED_VALUE"""),"344🤙🏼The Revenant🤙🏼Domhnall Gleeson🤙🏼Estrela 4")</f>
        <v>344🤙🏼The Revenant🤙🏼Domhnall Gleeson🤙🏼Estrela 4</v>
      </c>
      <c r="H1377" s="5">
        <f>IFERROR(__xludf.DUMMYFUNCTION("SPLiT(G1377, ""🤙🏼"",FALSE,FALSE)"),344.0)</f>
        <v>344</v>
      </c>
      <c r="I1377" s="5" t="str">
        <f>IFERROR(__xludf.DUMMYFUNCTION("""COMPUTED_VALUE"""),"The Revenant")</f>
        <v>The Revenant</v>
      </c>
      <c r="J1377" s="5" t="str">
        <f>IFERROR(__xludf.DUMMYFUNCTION("""COMPUTED_VALUE"""),"Domhnall Gleeson")</f>
        <v>Domhnall Gleeson</v>
      </c>
      <c r="K1377" s="5" t="str">
        <f>IFERROR(__xludf.DUMMYFUNCTION("""COMPUTED_VALUE"""),"Estrela 4")</f>
        <v>Estrela 4</v>
      </c>
      <c r="P1377" s="5">
        <f>IFERROR(__xludf.DUMMYFUNCTION("""COMPUTED_VALUE"""),344.0)</f>
        <v>344</v>
      </c>
      <c r="Q1377" s="5" t="str">
        <f>IFERROR(__xludf.DUMMYFUNCTION("""COMPUTED_VALUE"""),"The Revenant")</f>
        <v>The Revenant</v>
      </c>
      <c r="R1377" s="5" t="str">
        <f>IFERROR(__xludf.DUMMYFUNCTION("""COMPUTED_VALUE"""),"Domhnall Gleeson")</f>
        <v>Domhnall Gleeson</v>
      </c>
      <c r="S1377" s="5" t="str">
        <f>IFERROR(__xludf.DUMMYFUNCTION("""COMPUTED_VALUE"""),"Estrela 4")</f>
        <v>Estrela 4</v>
      </c>
    </row>
    <row r="1378">
      <c r="G1378" s="5" t="str">
        <f>IFERROR(__xludf.DUMMYFUNCTION("""COMPUTED_VALUE"""),"345🤙🏼The Perks of Being a Wallflower🤙🏼Logan Lerman🤙🏼Estrela 1")</f>
        <v>345🤙🏼The Perks of Being a Wallflower🤙🏼Logan Lerman🤙🏼Estrela 1</v>
      </c>
      <c r="H1378" s="5">
        <f>IFERROR(__xludf.DUMMYFUNCTION("SPLiT(G1378, ""🤙🏼"",FALSE,FALSE)"),345.0)</f>
        <v>345</v>
      </c>
      <c r="I1378" s="5" t="str">
        <f>IFERROR(__xludf.DUMMYFUNCTION("""COMPUTED_VALUE"""),"The Perks of Being a Wallflower")</f>
        <v>The Perks of Being a Wallflower</v>
      </c>
      <c r="J1378" s="5" t="str">
        <f>IFERROR(__xludf.DUMMYFUNCTION("""COMPUTED_VALUE"""),"Logan Lerman")</f>
        <v>Logan Lerman</v>
      </c>
      <c r="K1378" s="5" t="str">
        <f>IFERROR(__xludf.DUMMYFUNCTION("""COMPUTED_VALUE"""),"Estrela 1")</f>
        <v>Estrela 1</v>
      </c>
      <c r="P1378" s="5">
        <f>IFERROR(__xludf.DUMMYFUNCTION("""COMPUTED_VALUE"""),345.0)</f>
        <v>345</v>
      </c>
      <c r="Q1378" s="5" t="str">
        <f>IFERROR(__xludf.DUMMYFUNCTION("""COMPUTED_VALUE"""),"The Perks of Being a Wallflower")</f>
        <v>The Perks of Being a Wallflower</v>
      </c>
      <c r="R1378" s="5" t="str">
        <f>IFERROR(__xludf.DUMMYFUNCTION("""COMPUTED_VALUE"""),"Logan Lerman")</f>
        <v>Logan Lerman</v>
      </c>
      <c r="S1378" s="5" t="str">
        <f>IFERROR(__xludf.DUMMYFUNCTION("""COMPUTED_VALUE"""),"Estrela 1")</f>
        <v>Estrela 1</v>
      </c>
    </row>
    <row r="1379">
      <c r="G1379" s="5" t="str">
        <f>IFERROR(__xludf.DUMMYFUNCTION("""COMPUTED_VALUE"""),"345🤙🏼The Perks of Being a Wallflower🤙🏼Emma Watson🤙🏼Estrela 2")</f>
        <v>345🤙🏼The Perks of Being a Wallflower🤙🏼Emma Watson🤙🏼Estrela 2</v>
      </c>
      <c r="H1379" s="5">
        <f>IFERROR(__xludf.DUMMYFUNCTION("SPLiT(G1379, ""🤙🏼"",FALSE,FALSE)"),345.0)</f>
        <v>345</v>
      </c>
      <c r="I1379" s="5" t="str">
        <f>IFERROR(__xludf.DUMMYFUNCTION("""COMPUTED_VALUE"""),"The Perks of Being a Wallflower")</f>
        <v>The Perks of Being a Wallflower</v>
      </c>
      <c r="J1379" s="5" t="str">
        <f>IFERROR(__xludf.DUMMYFUNCTION("""COMPUTED_VALUE"""),"Emma Watson")</f>
        <v>Emma Watson</v>
      </c>
      <c r="K1379" s="5" t="str">
        <f>IFERROR(__xludf.DUMMYFUNCTION("""COMPUTED_VALUE"""),"Estrela 2")</f>
        <v>Estrela 2</v>
      </c>
      <c r="P1379" s="5">
        <f>IFERROR(__xludf.DUMMYFUNCTION("""COMPUTED_VALUE"""),345.0)</f>
        <v>345</v>
      </c>
      <c r="Q1379" s="5" t="str">
        <f>IFERROR(__xludf.DUMMYFUNCTION("""COMPUTED_VALUE"""),"The Perks of Being a Wallflower")</f>
        <v>The Perks of Being a Wallflower</v>
      </c>
      <c r="R1379" s="5" t="str">
        <f>IFERROR(__xludf.DUMMYFUNCTION("""COMPUTED_VALUE"""),"Emma Watson")</f>
        <v>Emma Watson</v>
      </c>
      <c r="S1379" s="5" t="str">
        <f>IFERROR(__xludf.DUMMYFUNCTION("""COMPUTED_VALUE"""),"Estrela 2")</f>
        <v>Estrela 2</v>
      </c>
    </row>
    <row r="1380">
      <c r="G1380" s="5" t="str">
        <f>IFERROR(__xludf.DUMMYFUNCTION("""COMPUTED_VALUE"""),"345🤙🏼The Perks of Being a Wallflower🤙🏼Ezra Miller🤙🏼Estrela 3")</f>
        <v>345🤙🏼The Perks of Being a Wallflower🤙🏼Ezra Miller🤙🏼Estrela 3</v>
      </c>
      <c r="H1380" s="5">
        <f>IFERROR(__xludf.DUMMYFUNCTION("SPLiT(G1380, ""🤙🏼"",FALSE,FALSE)"),345.0)</f>
        <v>345</v>
      </c>
      <c r="I1380" s="5" t="str">
        <f>IFERROR(__xludf.DUMMYFUNCTION("""COMPUTED_VALUE"""),"The Perks of Being a Wallflower")</f>
        <v>The Perks of Being a Wallflower</v>
      </c>
      <c r="J1380" s="5" t="str">
        <f>IFERROR(__xludf.DUMMYFUNCTION("""COMPUTED_VALUE"""),"Ezra Miller")</f>
        <v>Ezra Miller</v>
      </c>
      <c r="K1380" s="5" t="str">
        <f>IFERROR(__xludf.DUMMYFUNCTION("""COMPUTED_VALUE"""),"Estrela 3")</f>
        <v>Estrela 3</v>
      </c>
      <c r="P1380" s="5">
        <f>IFERROR(__xludf.DUMMYFUNCTION("""COMPUTED_VALUE"""),345.0)</f>
        <v>345</v>
      </c>
      <c r="Q1380" s="5" t="str">
        <f>IFERROR(__xludf.DUMMYFUNCTION("""COMPUTED_VALUE"""),"The Perks of Being a Wallflower")</f>
        <v>The Perks of Being a Wallflower</v>
      </c>
      <c r="R1380" s="5" t="str">
        <f>IFERROR(__xludf.DUMMYFUNCTION("""COMPUTED_VALUE"""),"Ezra Miller")</f>
        <v>Ezra Miller</v>
      </c>
      <c r="S1380" s="5" t="str">
        <f>IFERROR(__xludf.DUMMYFUNCTION("""COMPUTED_VALUE"""),"Estrela 3")</f>
        <v>Estrela 3</v>
      </c>
    </row>
    <row r="1381">
      <c r="G1381" s="5" t="str">
        <f>IFERROR(__xludf.DUMMYFUNCTION("""COMPUTED_VALUE"""),"345🤙🏼The Perks of Being a Wallflower🤙🏼Paul Rudd🤙🏼Estrela 4")</f>
        <v>345🤙🏼The Perks of Being a Wallflower🤙🏼Paul Rudd🤙🏼Estrela 4</v>
      </c>
      <c r="H1381" s="5">
        <f>IFERROR(__xludf.DUMMYFUNCTION("SPLiT(G1381, ""🤙🏼"",FALSE,FALSE)"),345.0)</f>
        <v>345</v>
      </c>
      <c r="I1381" s="5" t="str">
        <f>IFERROR(__xludf.DUMMYFUNCTION("""COMPUTED_VALUE"""),"The Perks of Being a Wallflower")</f>
        <v>The Perks of Being a Wallflower</v>
      </c>
      <c r="J1381" s="5" t="str">
        <f>IFERROR(__xludf.DUMMYFUNCTION("""COMPUTED_VALUE"""),"Paul Rudd")</f>
        <v>Paul Rudd</v>
      </c>
      <c r="K1381" s="5" t="str">
        <f>IFERROR(__xludf.DUMMYFUNCTION("""COMPUTED_VALUE"""),"Estrela 4")</f>
        <v>Estrela 4</v>
      </c>
      <c r="P1381" s="5">
        <f>IFERROR(__xludf.DUMMYFUNCTION("""COMPUTED_VALUE"""),345.0)</f>
        <v>345</v>
      </c>
      <c r="Q1381" s="5" t="str">
        <f>IFERROR(__xludf.DUMMYFUNCTION("""COMPUTED_VALUE"""),"The Perks of Being a Wallflower")</f>
        <v>The Perks of Being a Wallflower</v>
      </c>
      <c r="R1381" s="5" t="str">
        <f>IFERROR(__xludf.DUMMYFUNCTION("""COMPUTED_VALUE"""),"Paul Rudd")</f>
        <v>Paul Rudd</v>
      </c>
      <c r="S1381" s="5" t="str">
        <f>IFERROR(__xludf.DUMMYFUNCTION("""COMPUTED_VALUE"""),"Estrela 4")</f>
        <v>Estrela 4</v>
      </c>
    </row>
    <row r="1382">
      <c r="G1382" s="5" t="str">
        <f>IFERROR(__xludf.DUMMYFUNCTION("""COMPUTED_VALUE"""),"346🤙🏼Tropa de Elite 2: O Inimigo Agora é Outro🤙🏼Wagner Moura🤙🏼Estrela 1")</f>
        <v>346🤙🏼Tropa de Elite 2: O Inimigo Agora é Outro🤙🏼Wagner Moura🤙🏼Estrela 1</v>
      </c>
      <c r="H1382" s="5">
        <f>IFERROR(__xludf.DUMMYFUNCTION("SPLiT(G1382, ""🤙🏼"",FALSE,FALSE)"),346.0)</f>
        <v>346</v>
      </c>
      <c r="I1382" s="5" t="str">
        <f>IFERROR(__xludf.DUMMYFUNCTION("""COMPUTED_VALUE"""),"Tropa de Elite 2: O Inimigo Agora é Outro")</f>
        <v>Tropa de Elite 2: O Inimigo Agora é Outro</v>
      </c>
      <c r="J1382" s="5" t="str">
        <f>IFERROR(__xludf.DUMMYFUNCTION("""COMPUTED_VALUE"""),"Wagner Moura")</f>
        <v>Wagner Moura</v>
      </c>
      <c r="K1382" s="5" t="str">
        <f>IFERROR(__xludf.DUMMYFUNCTION("""COMPUTED_VALUE"""),"Estrela 1")</f>
        <v>Estrela 1</v>
      </c>
      <c r="P1382" s="5">
        <f>IFERROR(__xludf.DUMMYFUNCTION("""COMPUTED_VALUE"""),346.0)</f>
        <v>346</v>
      </c>
      <c r="Q1382" s="5" t="str">
        <f>IFERROR(__xludf.DUMMYFUNCTION("""COMPUTED_VALUE"""),"Tropa de Elite 2: O Inimigo Agora é Outro")</f>
        <v>Tropa de Elite 2: O Inimigo Agora é Outro</v>
      </c>
      <c r="R1382" s="5" t="str">
        <f>IFERROR(__xludf.DUMMYFUNCTION("""COMPUTED_VALUE"""),"Wagner Moura")</f>
        <v>Wagner Moura</v>
      </c>
      <c r="S1382" s="5" t="str">
        <f>IFERROR(__xludf.DUMMYFUNCTION("""COMPUTED_VALUE"""),"Estrela 1")</f>
        <v>Estrela 1</v>
      </c>
    </row>
    <row r="1383">
      <c r="G1383" s="5" t="str">
        <f>IFERROR(__xludf.DUMMYFUNCTION("""COMPUTED_VALUE"""),"346🤙🏼Tropa de Elite 2: O Inimigo Agora é Outro🤙🏼Irandhir Santos🤙🏼Estrela 2")</f>
        <v>346🤙🏼Tropa de Elite 2: O Inimigo Agora é Outro🤙🏼Irandhir Santos🤙🏼Estrela 2</v>
      </c>
      <c r="H1383" s="5">
        <f>IFERROR(__xludf.DUMMYFUNCTION("SPLiT(G1383, ""🤙🏼"",FALSE,FALSE)"),346.0)</f>
        <v>346</v>
      </c>
      <c r="I1383" s="5" t="str">
        <f>IFERROR(__xludf.DUMMYFUNCTION("""COMPUTED_VALUE"""),"Tropa de Elite 2: O Inimigo Agora é Outro")</f>
        <v>Tropa de Elite 2: O Inimigo Agora é Outro</v>
      </c>
      <c r="J1383" s="5" t="str">
        <f>IFERROR(__xludf.DUMMYFUNCTION("""COMPUTED_VALUE"""),"Irandhir Santos")</f>
        <v>Irandhir Santos</v>
      </c>
      <c r="K1383" s="5" t="str">
        <f>IFERROR(__xludf.DUMMYFUNCTION("""COMPUTED_VALUE"""),"Estrela 2")</f>
        <v>Estrela 2</v>
      </c>
      <c r="P1383" s="5">
        <f>IFERROR(__xludf.DUMMYFUNCTION("""COMPUTED_VALUE"""),346.0)</f>
        <v>346</v>
      </c>
      <c r="Q1383" s="5" t="str">
        <f>IFERROR(__xludf.DUMMYFUNCTION("""COMPUTED_VALUE"""),"Tropa de Elite 2: O Inimigo Agora é Outro")</f>
        <v>Tropa de Elite 2: O Inimigo Agora é Outro</v>
      </c>
      <c r="R1383" s="5" t="str">
        <f>IFERROR(__xludf.DUMMYFUNCTION("""COMPUTED_VALUE"""),"Irandhir Santos")</f>
        <v>Irandhir Santos</v>
      </c>
      <c r="S1383" s="5" t="str">
        <f>IFERROR(__xludf.DUMMYFUNCTION("""COMPUTED_VALUE"""),"Estrela 2")</f>
        <v>Estrela 2</v>
      </c>
    </row>
    <row r="1384">
      <c r="G1384" s="5" t="str">
        <f>IFERROR(__xludf.DUMMYFUNCTION("""COMPUTED_VALUE"""),"346🤙🏼Tropa de Elite 2: O Inimigo Agora é Outro🤙🏼André Ramiro🤙🏼Estrela 3")</f>
        <v>346🤙🏼Tropa de Elite 2: O Inimigo Agora é Outro🤙🏼André Ramiro🤙🏼Estrela 3</v>
      </c>
      <c r="H1384" s="5">
        <f>IFERROR(__xludf.DUMMYFUNCTION("SPLiT(G1384, ""🤙🏼"",FALSE,FALSE)"),346.0)</f>
        <v>346</v>
      </c>
      <c r="I1384" s="5" t="str">
        <f>IFERROR(__xludf.DUMMYFUNCTION("""COMPUTED_VALUE"""),"Tropa de Elite 2: O Inimigo Agora é Outro")</f>
        <v>Tropa de Elite 2: O Inimigo Agora é Outro</v>
      </c>
      <c r="J1384" s="5" t="str">
        <f>IFERROR(__xludf.DUMMYFUNCTION("""COMPUTED_VALUE"""),"André Ramiro")</f>
        <v>André Ramiro</v>
      </c>
      <c r="K1384" s="5" t="str">
        <f>IFERROR(__xludf.DUMMYFUNCTION("""COMPUTED_VALUE"""),"Estrela 3")</f>
        <v>Estrela 3</v>
      </c>
      <c r="P1384" s="5">
        <f>IFERROR(__xludf.DUMMYFUNCTION("""COMPUTED_VALUE"""),346.0)</f>
        <v>346</v>
      </c>
      <c r="Q1384" s="5" t="str">
        <f>IFERROR(__xludf.DUMMYFUNCTION("""COMPUTED_VALUE"""),"Tropa de Elite 2: O Inimigo Agora é Outro")</f>
        <v>Tropa de Elite 2: O Inimigo Agora é Outro</v>
      </c>
      <c r="R1384" s="5" t="str">
        <f>IFERROR(__xludf.DUMMYFUNCTION("""COMPUTED_VALUE"""),"André Ramiro")</f>
        <v>André Ramiro</v>
      </c>
      <c r="S1384" s="5" t="str">
        <f>IFERROR(__xludf.DUMMYFUNCTION("""COMPUTED_VALUE"""),"Estrela 3")</f>
        <v>Estrela 3</v>
      </c>
    </row>
    <row r="1385">
      <c r="G1385" s="5" t="str">
        <f>IFERROR(__xludf.DUMMYFUNCTION("""COMPUTED_VALUE"""),"346🤙🏼Tropa de Elite 2: O Inimigo Agora é Outro🤙🏼Milhem Cortaz🤙🏼Estrela 4")</f>
        <v>346🤙🏼Tropa de Elite 2: O Inimigo Agora é Outro🤙🏼Milhem Cortaz🤙🏼Estrela 4</v>
      </c>
      <c r="H1385" s="5">
        <f>IFERROR(__xludf.DUMMYFUNCTION("SPLiT(G1385, ""🤙🏼"",FALSE,FALSE)"),346.0)</f>
        <v>346</v>
      </c>
      <c r="I1385" s="5" t="str">
        <f>IFERROR(__xludf.DUMMYFUNCTION("""COMPUTED_VALUE"""),"Tropa de Elite 2: O Inimigo Agora é Outro")</f>
        <v>Tropa de Elite 2: O Inimigo Agora é Outro</v>
      </c>
      <c r="J1385" s="5" t="str">
        <f>IFERROR(__xludf.DUMMYFUNCTION("""COMPUTED_VALUE"""),"Milhem Cortaz")</f>
        <v>Milhem Cortaz</v>
      </c>
      <c r="K1385" s="5" t="str">
        <f>IFERROR(__xludf.DUMMYFUNCTION("""COMPUTED_VALUE"""),"Estrela 4")</f>
        <v>Estrela 4</v>
      </c>
      <c r="P1385" s="5">
        <f>IFERROR(__xludf.DUMMYFUNCTION("""COMPUTED_VALUE"""),346.0)</f>
        <v>346</v>
      </c>
      <c r="Q1385" s="5" t="str">
        <f>IFERROR(__xludf.DUMMYFUNCTION("""COMPUTED_VALUE"""),"Tropa de Elite 2: O Inimigo Agora é Outro")</f>
        <v>Tropa de Elite 2: O Inimigo Agora é Outro</v>
      </c>
      <c r="R1385" s="5" t="str">
        <f>IFERROR(__xludf.DUMMYFUNCTION("""COMPUTED_VALUE"""),"Milhem Cortaz")</f>
        <v>Milhem Cortaz</v>
      </c>
      <c r="S1385" s="5" t="str">
        <f>IFERROR(__xludf.DUMMYFUNCTION("""COMPUTED_VALUE"""),"Estrela 4")</f>
        <v>Estrela 4</v>
      </c>
    </row>
    <row r="1386">
      <c r="G1386" s="5" t="str">
        <f>IFERROR(__xludf.DUMMYFUNCTION("""COMPUTED_VALUE"""),"347🤙🏼The King's Speech🤙🏼Colin Firth🤙🏼Estrela 1")</f>
        <v>347🤙🏼The King's Speech🤙🏼Colin Firth🤙🏼Estrela 1</v>
      </c>
      <c r="H1386" s="5">
        <f>IFERROR(__xludf.DUMMYFUNCTION("SPLiT(G1386, ""🤙🏼"",FALSE,FALSE)"),347.0)</f>
        <v>347</v>
      </c>
      <c r="I1386" s="5" t="str">
        <f>IFERROR(__xludf.DUMMYFUNCTION("""COMPUTED_VALUE"""),"The King's Speech")</f>
        <v>The King's Speech</v>
      </c>
      <c r="J1386" s="5" t="str">
        <f>IFERROR(__xludf.DUMMYFUNCTION("""COMPUTED_VALUE"""),"Colin Firth")</f>
        <v>Colin Firth</v>
      </c>
      <c r="K1386" s="5" t="str">
        <f>IFERROR(__xludf.DUMMYFUNCTION("""COMPUTED_VALUE"""),"Estrela 1")</f>
        <v>Estrela 1</v>
      </c>
      <c r="P1386" s="5">
        <f>IFERROR(__xludf.DUMMYFUNCTION("""COMPUTED_VALUE"""),347.0)</f>
        <v>347</v>
      </c>
      <c r="Q1386" s="5" t="str">
        <f>IFERROR(__xludf.DUMMYFUNCTION("""COMPUTED_VALUE"""),"The King's Speech")</f>
        <v>The King's Speech</v>
      </c>
      <c r="R1386" s="5" t="str">
        <f>IFERROR(__xludf.DUMMYFUNCTION("""COMPUTED_VALUE"""),"Colin Firth")</f>
        <v>Colin Firth</v>
      </c>
      <c r="S1386" s="5" t="str">
        <f>IFERROR(__xludf.DUMMYFUNCTION("""COMPUTED_VALUE"""),"Estrela 1")</f>
        <v>Estrela 1</v>
      </c>
    </row>
    <row r="1387">
      <c r="G1387" s="5" t="str">
        <f>IFERROR(__xludf.DUMMYFUNCTION("""COMPUTED_VALUE"""),"347🤙🏼The King's Speech🤙🏼Geoffrey Rush🤙🏼Estrela 2")</f>
        <v>347🤙🏼The King's Speech🤙🏼Geoffrey Rush🤙🏼Estrela 2</v>
      </c>
      <c r="H1387" s="5">
        <f>IFERROR(__xludf.DUMMYFUNCTION("SPLiT(G1387, ""🤙🏼"",FALSE,FALSE)"),347.0)</f>
        <v>347</v>
      </c>
      <c r="I1387" s="5" t="str">
        <f>IFERROR(__xludf.DUMMYFUNCTION("""COMPUTED_VALUE"""),"The King's Speech")</f>
        <v>The King's Speech</v>
      </c>
      <c r="J1387" s="5" t="str">
        <f>IFERROR(__xludf.DUMMYFUNCTION("""COMPUTED_VALUE"""),"Geoffrey Rush")</f>
        <v>Geoffrey Rush</v>
      </c>
      <c r="K1387" s="5" t="str">
        <f>IFERROR(__xludf.DUMMYFUNCTION("""COMPUTED_VALUE"""),"Estrela 2")</f>
        <v>Estrela 2</v>
      </c>
      <c r="P1387" s="5">
        <f>IFERROR(__xludf.DUMMYFUNCTION("""COMPUTED_VALUE"""),347.0)</f>
        <v>347</v>
      </c>
      <c r="Q1387" s="5" t="str">
        <f>IFERROR(__xludf.DUMMYFUNCTION("""COMPUTED_VALUE"""),"The King's Speech")</f>
        <v>The King's Speech</v>
      </c>
      <c r="R1387" s="5" t="str">
        <f>IFERROR(__xludf.DUMMYFUNCTION("""COMPUTED_VALUE"""),"Geoffrey Rush")</f>
        <v>Geoffrey Rush</v>
      </c>
      <c r="S1387" s="5" t="str">
        <f>IFERROR(__xludf.DUMMYFUNCTION("""COMPUTED_VALUE"""),"Estrela 2")</f>
        <v>Estrela 2</v>
      </c>
    </row>
    <row r="1388">
      <c r="G1388" s="5" t="str">
        <f>IFERROR(__xludf.DUMMYFUNCTION("""COMPUTED_VALUE"""),"347🤙🏼The King's Speech🤙🏼Helena Bonham Carter🤙🏼Estrela 3")</f>
        <v>347🤙🏼The King's Speech🤙🏼Helena Bonham Carter🤙🏼Estrela 3</v>
      </c>
      <c r="H1388" s="5">
        <f>IFERROR(__xludf.DUMMYFUNCTION("SPLiT(G1388, ""🤙🏼"",FALSE,FALSE)"),347.0)</f>
        <v>347</v>
      </c>
      <c r="I1388" s="5" t="str">
        <f>IFERROR(__xludf.DUMMYFUNCTION("""COMPUTED_VALUE"""),"The King's Speech")</f>
        <v>The King's Speech</v>
      </c>
      <c r="J1388" s="5" t="str">
        <f>IFERROR(__xludf.DUMMYFUNCTION("""COMPUTED_VALUE"""),"Helena Bonham Carter")</f>
        <v>Helena Bonham Carter</v>
      </c>
      <c r="K1388" s="5" t="str">
        <f>IFERROR(__xludf.DUMMYFUNCTION("""COMPUTED_VALUE"""),"Estrela 3")</f>
        <v>Estrela 3</v>
      </c>
      <c r="P1388" s="5">
        <f>IFERROR(__xludf.DUMMYFUNCTION("""COMPUTED_VALUE"""),347.0)</f>
        <v>347</v>
      </c>
      <c r="Q1388" s="5" t="str">
        <f>IFERROR(__xludf.DUMMYFUNCTION("""COMPUTED_VALUE"""),"The King's Speech")</f>
        <v>The King's Speech</v>
      </c>
      <c r="R1388" s="5" t="str">
        <f>IFERROR(__xludf.DUMMYFUNCTION("""COMPUTED_VALUE"""),"Helena Bonham Carter")</f>
        <v>Helena Bonham Carter</v>
      </c>
      <c r="S1388" s="5" t="str">
        <f>IFERROR(__xludf.DUMMYFUNCTION("""COMPUTED_VALUE"""),"Estrela 3")</f>
        <v>Estrela 3</v>
      </c>
    </row>
    <row r="1389">
      <c r="G1389" s="5" t="str">
        <f>IFERROR(__xludf.DUMMYFUNCTION("""COMPUTED_VALUE"""),"347🤙🏼The King's Speech🤙🏼Derek Jacobi🤙🏼Estrela 4")</f>
        <v>347🤙🏼The King's Speech🤙🏼Derek Jacobi🤙🏼Estrela 4</v>
      </c>
      <c r="H1389" s="5">
        <f>IFERROR(__xludf.DUMMYFUNCTION("SPLiT(G1389, ""🤙🏼"",FALSE,FALSE)"),347.0)</f>
        <v>347</v>
      </c>
      <c r="I1389" s="5" t="str">
        <f>IFERROR(__xludf.DUMMYFUNCTION("""COMPUTED_VALUE"""),"The King's Speech")</f>
        <v>The King's Speech</v>
      </c>
      <c r="J1389" s="5" t="str">
        <f>IFERROR(__xludf.DUMMYFUNCTION("""COMPUTED_VALUE"""),"Derek Jacobi")</f>
        <v>Derek Jacobi</v>
      </c>
      <c r="K1389" s="5" t="str">
        <f>IFERROR(__xludf.DUMMYFUNCTION("""COMPUTED_VALUE"""),"Estrela 4")</f>
        <v>Estrela 4</v>
      </c>
      <c r="P1389" s="5">
        <f>IFERROR(__xludf.DUMMYFUNCTION("""COMPUTED_VALUE"""),347.0)</f>
        <v>347</v>
      </c>
      <c r="Q1389" s="5" t="str">
        <f>IFERROR(__xludf.DUMMYFUNCTION("""COMPUTED_VALUE"""),"The King's Speech")</f>
        <v>The King's Speech</v>
      </c>
      <c r="R1389" s="5" t="str">
        <f>IFERROR(__xludf.DUMMYFUNCTION("""COMPUTED_VALUE"""),"Derek Jacobi")</f>
        <v>Derek Jacobi</v>
      </c>
      <c r="S1389" s="5" t="str">
        <f>IFERROR(__xludf.DUMMYFUNCTION("""COMPUTED_VALUE"""),"Estrela 4")</f>
        <v>Estrela 4</v>
      </c>
    </row>
    <row r="1390">
      <c r="G1390" s="5" t="str">
        <f>IFERROR(__xludf.DUMMYFUNCTION("""COMPUTED_VALUE"""),"348🤙🏼The Help🤙🏼Emma Stone🤙🏼Estrela 1")</f>
        <v>348🤙🏼The Help🤙🏼Emma Stone🤙🏼Estrela 1</v>
      </c>
      <c r="H1390" s="5">
        <f>IFERROR(__xludf.DUMMYFUNCTION("SPLiT(G1390, ""🤙🏼"",FALSE,FALSE)"),348.0)</f>
        <v>348</v>
      </c>
      <c r="I1390" s="5" t="str">
        <f>IFERROR(__xludf.DUMMYFUNCTION("""COMPUTED_VALUE"""),"The Help")</f>
        <v>The Help</v>
      </c>
      <c r="J1390" s="5" t="str">
        <f>IFERROR(__xludf.DUMMYFUNCTION("""COMPUTED_VALUE"""),"Emma Stone")</f>
        <v>Emma Stone</v>
      </c>
      <c r="K1390" s="5" t="str">
        <f>IFERROR(__xludf.DUMMYFUNCTION("""COMPUTED_VALUE"""),"Estrela 1")</f>
        <v>Estrela 1</v>
      </c>
      <c r="P1390" s="5">
        <f>IFERROR(__xludf.DUMMYFUNCTION("""COMPUTED_VALUE"""),348.0)</f>
        <v>348</v>
      </c>
      <c r="Q1390" s="5" t="str">
        <f>IFERROR(__xludf.DUMMYFUNCTION("""COMPUTED_VALUE"""),"The Help")</f>
        <v>The Help</v>
      </c>
      <c r="R1390" s="5" t="str">
        <f>IFERROR(__xludf.DUMMYFUNCTION("""COMPUTED_VALUE"""),"Emma Stone")</f>
        <v>Emma Stone</v>
      </c>
      <c r="S1390" s="5" t="str">
        <f>IFERROR(__xludf.DUMMYFUNCTION("""COMPUTED_VALUE"""),"Estrela 1")</f>
        <v>Estrela 1</v>
      </c>
    </row>
    <row r="1391">
      <c r="G1391" s="5" t="str">
        <f>IFERROR(__xludf.DUMMYFUNCTION("""COMPUTED_VALUE"""),"348🤙🏼The Help🤙🏼Viola Davis🤙🏼Estrela 2")</f>
        <v>348🤙🏼The Help🤙🏼Viola Davis🤙🏼Estrela 2</v>
      </c>
      <c r="H1391" s="5">
        <f>IFERROR(__xludf.DUMMYFUNCTION("SPLiT(G1391, ""🤙🏼"",FALSE,FALSE)"),348.0)</f>
        <v>348</v>
      </c>
      <c r="I1391" s="5" t="str">
        <f>IFERROR(__xludf.DUMMYFUNCTION("""COMPUTED_VALUE"""),"The Help")</f>
        <v>The Help</v>
      </c>
      <c r="J1391" s="5" t="str">
        <f>IFERROR(__xludf.DUMMYFUNCTION("""COMPUTED_VALUE"""),"Viola Davis")</f>
        <v>Viola Davis</v>
      </c>
      <c r="K1391" s="5" t="str">
        <f>IFERROR(__xludf.DUMMYFUNCTION("""COMPUTED_VALUE"""),"Estrela 2")</f>
        <v>Estrela 2</v>
      </c>
      <c r="P1391" s="5">
        <f>IFERROR(__xludf.DUMMYFUNCTION("""COMPUTED_VALUE"""),348.0)</f>
        <v>348</v>
      </c>
      <c r="Q1391" s="5" t="str">
        <f>IFERROR(__xludf.DUMMYFUNCTION("""COMPUTED_VALUE"""),"The Help")</f>
        <v>The Help</v>
      </c>
      <c r="R1391" s="5" t="str">
        <f>IFERROR(__xludf.DUMMYFUNCTION("""COMPUTED_VALUE"""),"Viola Davis")</f>
        <v>Viola Davis</v>
      </c>
      <c r="S1391" s="5" t="str">
        <f>IFERROR(__xludf.DUMMYFUNCTION("""COMPUTED_VALUE"""),"Estrela 2")</f>
        <v>Estrela 2</v>
      </c>
    </row>
    <row r="1392">
      <c r="G1392" s="5" t="str">
        <f>IFERROR(__xludf.DUMMYFUNCTION("""COMPUTED_VALUE"""),"348🤙🏼The Help🤙🏼Octavia Spencer🤙🏼Estrela 3")</f>
        <v>348🤙🏼The Help🤙🏼Octavia Spencer🤙🏼Estrela 3</v>
      </c>
      <c r="H1392" s="5">
        <f>IFERROR(__xludf.DUMMYFUNCTION("SPLiT(G1392, ""🤙🏼"",FALSE,FALSE)"),348.0)</f>
        <v>348</v>
      </c>
      <c r="I1392" s="5" t="str">
        <f>IFERROR(__xludf.DUMMYFUNCTION("""COMPUTED_VALUE"""),"The Help")</f>
        <v>The Help</v>
      </c>
      <c r="J1392" s="5" t="str">
        <f>IFERROR(__xludf.DUMMYFUNCTION("""COMPUTED_VALUE"""),"Octavia Spencer")</f>
        <v>Octavia Spencer</v>
      </c>
      <c r="K1392" s="5" t="str">
        <f>IFERROR(__xludf.DUMMYFUNCTION("""COMPUTED_VALUE"""),"Estrela 3")</f>
        <v>Estrela 3</v>
      </c>
      <c r="P1392" s="5">
        <f>IFERROR(__xludf.DUMMYFUNCTION("""COMPUTED_VALUE"""),348.0)</f>
        <v>348</v>
      </c>
      <c r="Q1392" s="5" t="str">
        <f>IFERROR(__xludf.DUMMYFUNCTION("""COMPUTED_VALUE"""),"The Help")</f>
        <v>The Help</v>
      </c>
      <c r="R1392" s="5" t="str">
        <f>IFERROR(__xludf.DUMMYFUNCTION("""COMPUTED_VALUE"""),"Octavia Spencer")</f>
        <v>Octavia Spencer</v>
      </c>
      <c r="S1392" s="5" t="str">
        <f>IFERROR(__xludf.DUMMYFUNCTION("""COMPUTED_VALUE"""),"Estrela 3")</f>
        <v>Estrela 3</v>
      </c>
    </row>
    <row r="1393">
      <c r="G1393" s="5" t="str">
        <f>IFERROR(__xludf.DUMMYFUNCTION("""COMPUTED_VALUE"""),"348🤙🏼The Help🤙🏼Bryce Dallas Howard🤙🏼Estrela 4")</f>
        <v>348🤙🏼The Help🤙🏼Bryce Dallas Howard🤙🏼Estrela 4</v>
      </c>
      <c r="H1393" s="5">
        <f>IFERROR(__xludf.DUMMYFUNCTION("SPLiT(G1393, ""🤙🏼"",FALSE,FALSE)"),348.0)</f>
        <v>348</v>
      </c>
      <c r="I1393" s="5" t="str">
        <f>IFERROR(__xludf.DUMMYFUNCTION("""COMPUTED_VALUE"""),"The Help")</f>
        <v>The Help</v>
      </c>
      <c r="J1393" s="5" t="str">
        <f>IFERROR(__xludf.DUMMYFUNCTION("""COMPUTED_VALUE"""),"Bryce Dallas Howard")</f>
        <v>Bryce Dallas Howard</v>
      </c>
      <c r="K1393" s="5" t="str">
        <f>IFERROR(__xludf.DUMMYFUNCTION("""COMPUTED_VALUE"""),"Estrela 4")</f>
        <v>Estrela 4</v>
      </c>
      <c r="P1393" s="5">
        <f>IFERROR(__xludf.DUMMYFUNCTION("""COMPUTED_VALUE"""),348.0)</f>
        <v>348</v>
      </c>
      <c r="Q1393" s="5" t="str">
        <f>IFERROR(__xludf.DUMMYFUNCTION("""COMPUTED_VALUE"""),"The Help")</f>
        <v>The Help</v>
      </c>
      <c r="R1393" s="5" t="str">
        <f>IFERROR(__xludf.DUMMYFUNCTION("""COMPUTED_VALUE"""),"Bryce Dallas Howard")</f>
        <v>Bryce Dallas Howard</v>
      </c>
      <c r="S1393" s="5" t="str">
        <f>IFERROR(__xludf.DUMMYFUNCTION("""COMPUTED_VALUE"""),"Estrela 4")</f>
        <v>Estrela 4</v>
      </c>
    </row>
    <row r="1394">
      <c r="G1394" s="5" t="str">
        <f>IFERROR(__xludf.DUMMYFUNCTION("""COMPUTED_VALUE"""),"349🤙🏼Deadpool🤙🏼Ryan Reynolds🤙🏼Estrela 1")</f>
        <v>349🤙🏼Deadpool🤙🏼Ryan Reynolds🤙🏼Estrela 1</v>
      </c>
      <c r="H1394" s="5">
        <f>IFERROR(__xludf.DUMMYFUNCTION("SPLiT(G1394, ""🤙🏼"",FALSE,FALSE)"),349.0)</f>
        <v>349</v>
      </c>
      <c r="I1394" s="5" t="str">
        <f>IFERROR(__xludf.DUMMYFUNCTION("""COMPUTED_VALUE"""),"Deadpool")</f>
        <v>Deadpool</v>
      </c>
      <c r="J1394" s="5" t="str">
        <f>IFERROR(__xludf.DUMMYFUNCTION("""COMPUTED_VALUE"""),"Ryan Reynolds")</f>
        <v>Ryan Reynolds</v>
      </c>
      <c r="K1394" s="5" t="str">
        <f>IFERROR(__xludf.DUMMYFUNCTION("""COMPUTED_VALUE"""),"Estrela 1")</f>
        <v>Estrela 1</v>
      </c>
      <c r="P1394" s="5">
        <f>IFERROR(__xludf.DUMMYFUNCTION("""COMPUTED_VALUE"""),349.0)</f>
        <v>349</v>
      </c>
      <c r="Q1394" s="5" t="str">
        <f>IFERROR(__xludf.DUMMYFUNCTION("""COMPUTED_VALUE"""),"Deadpool")</f>
        <v>Deadpool</v>
      </c>
      <c r="R1394" s="5" t="str">
        <f>IFERROR(__xludf.DUMMYFUNCTION("""COMPUTED_VALUE"""),"Ryan Reynolds")</f>
        <v>Ryan Reynolds</v>
      </c>
      <c r="S1394" s="5" t="str">
        <f>IFERROR(__xludf.DUMMYFUNCTION("""COMPUTED_VALUE"""),"Estrela 1")</f>
        <v>Estrela 1</v>
      </c>
    </row>
    <row r="1395">
      <c r="G1395" s="5" t="str">
        <f>IFERROR(__xludf.DUMMYFUNCTION("""COMPUTED_VALUE"""),"349🤙🏼Deadpool🤙🏼Morena Baccarin🤙🏼Estrela 2")</f>
        <v>349🤙🏼Deadpool🤙🏼Morena Baccarin🤙🏼Estrela 2</v>
      </c>
      <c r="H1395" s="5">
        <f>IFERROR(__xludf.DUMMYFUNCTION("SPLiT(G1395, ""🤙🏼"",FALSE,FALSE)"),349.0)</f>
        <v>349</v>
      </c>
      <c r="I1395" s="5" t="str">
        <f>IFERROR(__xludf.DUMMYFUNCTION("""COMPUTED_VALUE"""),"Deadpool")</f>
        <v>Deadpool</v>
      </c>
      <c r="J1395" s="5" t="str">
        <f>IFERROR(__xludf.DUMMYFUNCTION("""COMPUTED_VALUE"""),"Morena Baccarin")</f>
        <v>Morena Baccarin</v>
      </c>
      <c r="K1395" s="5" t="str">
        <f>IFERROR(__xludf.DUMMYFUNCTION("""COMPUTED_VALUE"""),"Estrela 2")</f>
        <v>Estrela 2</v>
      </c>
      <c r="P1395" s="5">
        <f>IFERROR(__xludf.DUMMYFUNCTION("""COMPUTED_VALUE"""),349.0)</f>
        <v>349</v>
      </c>
      <c r="Q1395" s="5" t="str">
        <f>IFERROR(__xludf.DUMMYFUNCTION("""COMPUTED_VALUE"""),"Deadpool")</f>
        <v>Deadpool</v>
      </c>
      <c r="R1395" s="5" t="str">
        <f>IFERROR(__xludf.DUMMYFUNCTION("""COMPUTED_VALUE"""),"Morena Baccarin")</f>
        <v>Morena Baccarin</v>
      </c>
      <c r="S1395" s="5" t="str">
        <f>IFERROR(__xludf.DUMMYFUNCTION("""COMPUTED_VALUE"""),"Estrela 2")</f>
        <v>Estrela 2</v>
      </c>
    </row>
    <row r="1396">
      <c r="G1396" s="5" t="str">
        <f>IFERROR(__xludf.DUMMYFUNCTION("""COMPUTED_VALUE"""),"349🤙🏼Deadpool🤙🏼T.J. Miller🤙🏼Estrela 3")</f>
        <v>349🤙🏼Deadpool🤙🏼T.J. Miller🤙🏼Estrela 3</v>
      </c>
      <c r="H1396" s="5">
        <f>IFERROR(__xludf.DUMMYFUNCTION("SPLiT(G1396, ""🤙🏼"",FALSE,FALSE)"),349.0)</f>
        <v>349</v>
      </c>
      <c r="I1396" s="5" t="str">
        <f>IFERROR(__xludf.DUMMYFUNCTION("""COMPUTED_VALUE"""),"Deadpool")</f>
        <v>Deadpool</v>
      </c>
      <c r="J1396" s="5" t="str">
        <f>IFERROR(__xludf.DUMMYFUNCTION("""COMPUTED_VALUE"""),"T.J. Miller")</f>
        <v>T.J. Miller</v>
      </c>
      <c r="K1396" s="5" t="str">
        <f>IFERROR(__xludf.DUMMYFUNCTION("""COMPUTED_VALUE"""),"Estrela 3")</f>
        <v>Estrela 3</v>
      </c>
      <c r="P1396" s="5">
        <f>IFERROR(__xludf.DUMMYFUNCTION("""COMPUTED_VALUE"""),349.0)</f>
        <v>349</v>
      </c>
      <c r="Q1396" s="5" t="str">
        <f>IFERROR(__xludf.DUMMYFUNCTION("""COMPUTED_VALUE"""),"Deadpool")</f>
        <v>Deadpool</v>
      </c>
      <c r="R1396" s="5" t="str">
        <f>IFERROR(__xludf.DUMMYFUNCTION("""COMPUTED_VALUE"""),"T.J. Miller")</f>
        <v>T.J. Miller</v>
      </c>
      <c r="S1396" s="5" t="str">
        <f>IFERROR(__xludf.DUMMYFUNCTION("""COMPUTED_VALUE"""),"Estrela 3")</f>
        <v>Estrela 3</v>
      </c>
    </row>
    <row r="1397">
      <c r="G1397" s="5" t="str">
        <f>IFERROR(__xludf.DUMMYFUNCTION("""COMPUTED_VALUE"""),"349🤙🏼Deadpool🤙🏼Ed Skrein🤙🏼Estrela 4")</f>
        <v>349🤙🏼Deadpool🤙🏼Ed Skrein🤙🏼Estrela 4</v>
      </c>
      <c r="H1397" s="5">
        <f>IFERROR(__xludf.DUMMYFUNCTION("SPLiT(G1397, ""🤙🏼"",FALSE,FALSE)"),349.0)</f>
        <v>349</v>
      </c>
      <c r="I1397" s="5" t="str">
        <f>IFERROR(__xludf.DUMMYFUNCTION("""COMPUTED_VALUE"""),"Deadpool")</f>
        <v>Deadpool</v>
      </c>
      <c r="J1397" s="5" t="str">
        <f>IFERROR(__xludf.DUMMYFUNCTION("""COMPUTED_VALUE"""),"Ed Skrein")</f>
        <v>Ed Skrein</v>
      </c>
      <c r="K1397" s="5" t="str">
        <f>IFERROR(__xludf.DUMMYFUNCTION("""COMPUTED_VALUE"""),"Estrela 4")</f>
        <v>Estrela 4</v>
      </c>
      <c r="P1397" s="5">
        <f>IFERROR(__xludf.DUMMYFUNCTION("""COMPUTED_VALUE"""),349.0)</f>
        <v>349</v>
      </c>
      <c r="Q1397" s="5" t="str">
        <f>IFERROR(__xludf.DUMMYFUNCTION("""COMPUTED_VALUE"""),"Deadpool")</f>
        <v>Deadpool</v>
      </c>
      <c r="R1397" s="5" t="str">
        <f>IFERROR(__xludf.DUMMYFUNCTION("""COMPUTED_VALUE"""),"Ed Skrein")</f>
        <v>Ed Skrein</v>
      </c>
      <c r="S1397" s="5" t="str">
        <f>IFERROR(__xludf.DUMMYFUNCTION("""COMPUTED_VALUE"""),"Estrela 4")</f>
        <v>Estrela 4</v>
      </c>
    </row>
    <row r="1398">
      <c r="G1398" s="5" t="str">
        <f>IFERROR(__xludf.DUMMYFUNCTION("""COMPUTED_VALUE"""),"350🤙🏼Darbareye Elly🤙🏼Golshifteh Farahani🤙🏼Estrela 1")</f>
        <v>350🤙🏼Darbareye Elly🤙🏼Golshifteh Farahani🤙🏼Estrela 1</v>
      </c>
      <c r="H1398" s="5">
        <f>IFERROR(__xludf.DUMMYFUNCTION("SPLiT(G1398, ""🤙🏼"",FALSE,FALSE)"),350.0)</f>
        <v>350</v>
      </c>
      <c r="I1398" s="5" t="str">
        <f>IFERROR(__xludf.DUMMYFUNCTION("""COMPUTED_VALUE"""),"Darbareye Elly")</f>
        <v>Darbareye Elly</v>
      </c>
      <c r="J1398" s="5" t="str">
        <f>IFERROR(__xludf.DUMMYFUNCTION("""COMPUTED_VALUE"""),"Golshifteh Farahani")</f>
        <v>Golshifteh Farahani</v>
      </c>
      <c r="K1398" s="5" t="str">
        <f>IFERROR(__xludf.DUMMYFUNCTION("""COMPUTED_VALUE"""),"Estrela 1")</f>
        <v>Estrela 1</v>
      </c>
      <c r="P1398" s="5">
        <f>IFERROR(__xludf.DUMMYFUNCTION("""COMPUTED_VALUE"""),350.0)</f>
        <v>350</v>
      </c>
      <c r="Q1398" s="5" t="str">
        <f>IFERROR(__xludf.DUMMYFUNCTION("""COMPUTED_VALUE"""),"Darbareye Elly")</f>
        <v>Darbareye Elly</v>
      </c>
      <c r="R1398" s="5" t="str">
        <f>IFERROR(__xludf.DUMMYFUNCTION("""COMPUTED_VALUE"""),"Golshifteh Farahani")</f>
        <v>Golshifteh Farahani</v>
      </c>
      <c r="S1398" s="5" t="str">
        <f>IFERROR(__xludf.DUMMYFUNCTION("""COMPUTED_VALUE"""),"Estrela 1")</f>
        <v>Estrela 1</v>
      </c>
    </row>
    <row r="1399">
      <c r="G1399" s="5" t="str">
        <f>IFERROR(__xludf.DUMMYFUNCTION("""COMPUTED_VALUE"""),"350🤙🏼Darbareye Elly🤙🏼Shahab Hosseini🤙🏼Estrela 2")</f>
        <v>350🤙🏼Darbareye Elly🤙🏼Shahab Hosseini🤙🏼Estrela 2</v>
      </c>
      <c r="H1399" s="5">
        <f>IFERROR(__xludf.DUMMYFUNCTION("SPLiT(G1399, ""🤙🏼"",FALSE,FALSE)"),350.0)</f>
        <v>350</v>
      </c>
      <c r="I1399" s="5" t="str">
        <f>IFERROR(__xludf.DUMMYFUNCTION("""COMPUTED_VALUE"""),"Darbareye Elly")</f>
        <v>Darbareye Elly</v>
      </c>
      <c r="J1399" s="5" t="str">
        <f>IFERROR(__xludf.DUMMYFUNCTION("""COMPUTED_VALUE"""),"Shahab Hosseini")</f>
        <v>Shahab Hosseini</v>
      </c>
      <c r="K1399" s="5" t="str">
        <f>IFERROR(__xludf.DUMMYFUNCTION("""COMPUTED_VALUE"""),"Estrela 2")</f>
        <v>Estrela 2</v>
      </c>
      <c r="P1399" s="5">
        <f>IFERROR(__xludf.DUMMYFUNCTION("""COMPUTED_VALUE"""),350.0)</f>
        <v>350</v>
      </c>
      <c r="Q1399" s="5" t="str">
        <f>IFERROR(__xludf.DUMMYFUNCTION("""COMPUTED_VALUE"""),"Darbareye Elly")</f>
        <v>Darbareye Elly</v>
      </c>
      <c r="R1399" s="5" t="str">
        <f>IFERROR(__xludf.DUMMYFUNCTION("""COMPUTED_VALUE"""),"Shahab Hosseini")</f>
        <v>Shahab Hosseini</v>
      </c>
      <c r="S1399" s="5" t="str">
        <f>IFERROR(__xludf.DUMMYFUNCTION("""COMPUTED_VALUE"""),"Estrela 2")</f>
        <v>Estrela 2</v>
      </c>
    </row>
    <row r="1400">
      <c r="G1400" s="5" t="str">
        <f>IFERROR(__xludf.DUMMYFUNCTION("""COMPUTED_VALUE"""),"350🤙🏼Darbareye Elly🤙🏼Taraneh Alidoosti🤙🏼Estrela 3")</f>
        <v>350🤙🏼Darbareye Elly🤙🏼Taraneh Alidoosti🤙🏼Estrela 3</v>
      </c>
      <c r="H1400" s="5">
        <f>IFERROR(__xludf.DUMMYFUNCTION("SPLiT(G1400, ""🤙🏼"",FALSE,FALSE)"),350.0)</f>
        <v>350</v>
      </c>
      <c r="I1400" s="5" t="str">
        <f>IFERROR(__xludf.DUMMYFUNCTION("""COMPUTED_VALUE"""),"Darbareye Elly")</f>
        <v>Darbareye Elly</v>
      </c>
      <c r="J1400" s="5" t="str">
        <f>IFERROR(__xludf.DUMMYFUNCTION("""COMPUTED_VALUE"""),"Taraneh Alidoosti")</f>
        <v>Taraneh Alidoosti</v>
      </c>
      <c r="K1400" s="5" t="str">
        <f>IFERROR(__xludf.DUMMYFUNCTION("""COMPUTED_VALUE"""),"Estrela 3")</f>
        <v>Estrela 3</v>
      </c>
      <c r="P1400" s="5">
        <f>IFERROR(__xludf.DUMMYFUNCTION("""COMPUTED_VALUE"""),350.0)</f>
        <v>350</v>
      </c>
      <c r="Q1400" s="5" t="str">
        <f>IFERROR(__xludf.DUMMYFUNCTION("""COMPUTED_VALUE"""),"Darbareye Elly")</f>
        <v>Darbareye Elly</v>
      </c>
      <c r="R1400" s="5" t="str">
        <f>IFERROR(__xludf.DUMMYFUNCTION("""COMPUTED_VALUE"""),"Taraneh Alidoosti")</f>
        <v>Taraneh Alidoosti</v>
      </c>
      <c r="S1400" s="5" t="str">
        <f>IFERROR(__xludf.DUMMYFUNCTION("""COMPUTED_VALUE"""),"Estrela 3")</f>
        <v>Estrela 3</v>
      </c>
    </row>
    <row r="1401">
      <c r="G1401" s="5" t="str">
        <f>IFERROR(__xludf.DUMMYFUNCTION("""COMPUTED_VALUE"""),"350🤙🏼Darbareye Elly🤙🏼Merila Zare'i🤙🏼Estrela 4")</f>
        <v>350🤙🏼Darbareye Elly🤙🏼Merila Zare'i🤙🏼Estrela 4</v>
      </c>
      <c r="H1401" s="5">
        <f>IFERROR(__xludf.DUMMYFUNCTION("SPLiT(G1401, ""🤙🏼"",FALSE,FALSE)"),350.0)</f>
        <v>350</v>
      </c>
      <c r="I1401" s="5" t="str">
        <f>IFERROR(__xludf.DUMMYFUNCTION("""COMPUTED_VALUE"""),"Darbareye Elly")</f>
        <v>Darbareye Elly</v>
      </c>
      <c r="J1401" s="5" t="str">
        <f>IFERROR(__xludf.DUMMYFUNCTION("""COMPUTED_VALUE"""),"Merila Zare'i")</f>
        <v>Merila Zare'i</v>
      </c>
      <c r="K1401" s="5" t="str">
        <f>IFERROR(__xludf.DUMMYFUNCTION("""COMPUTED_VALUE"""),"Estrela 4")</f>
        <v>Estrela 4</v>
      </c>
      <c r="P1401" s="5">
        <f>IFERROR(__xludf.DUMMYFUNCTION("""COMPUTED_VALUE"""),350.0)</f>
        <v>350</v>
      </c>
      <c r="Q1401" s="5" t="str">
        <f>IFERROR(__xludf.DUMMYFUNCTION("""COMPUTED_VALUE"""),"Darbareye Elly")</f>
        <v>Darbareye Elly</v>
      </c>
      <c r="R1401" s="5" t="str">
        <f>IFERROR(__xludf.DUMMYFUNCTION("""COMPUTED_VALUE"""),"Merila Zare'i")</f>
        <v>Merila Zare'i</v>
      </c>
      <c r="S1401" s="5" t="str">
        <f>IFERROR(__xludf.DUMMYFUNCTION("""COMPUTED_VALUE"""),"Estrela 4")</f>
        <v>Estrela 4</v>
      </c>
    </row>
    <row r="1402">
      <c r="G1402" s="5" t="str">
        <f>IFERROR(__xludf.DUMMYFUNCTION("""COMPUTED_VALUE"""),"351🤙🏼Dev.D🤙🏼Abhay Deol🤙🏼Estrela 1")</f>
        <v>351🤙🏼Dev.D🤙🏼Abhay Deol🤙🏼Estrela 1</v>
      </c>
      <c r="H1402" s="5">
        <f>IFERROR(__xludf.DUMMYFUNCTION("SPLiT(G1402, ""🤙🏼"",FALSE,FALSE)"),351.0)</f>
        <v>351</v>
      </c>
      <c r="I1402" s="5" t="str">
        <f>IFERROR(__xludf.DUMMYFUNCTION("""COMPUTED_VALUE"""),"Dev.D")</f>
        <v>Dev.D</v>
      </c>
      <c r="J1402" s="5" t="str">
        <f>IFERROR(__xludf.DUMMYFUNCTION("""COMPUTED_VALUE"""),"Abhay Deol")</f>
        <v>Abhay Deol</v>
      </c>
      <c r="K1402" s="5" t="str">
        <f>IFERROR(__xludf.DUMMYFUNCTION("""COMPUTED_VALUE"""),"Estrela 1")</f>
        <v>Estrela 1</v>
      </c>
      <c r="P1402" s="5">
        <f>IFERROR(__xludf.DUMMYFUNCTION("""COMPUTED_VALUE"""),351.0)</f>
        <v>351</v>
      </c>
      <c r="Q1402" s="5" t="str">
        <f>IFERROR(__xludf.DUMMYFUNCTION("""COMPUTED_VALUE"""),"Dev.D")</f>
        <v>Dev.D</v>
      </c>
      <c r="R1402" s="5" t="str">
        <f>IFERROR(__xludf.DUMMYFUNCTION("""COMPUTED_VALUE"""),"Abhay Deol")</f>
        <v>Abhay Deol</v>
      </c>
      <c r="S1402" s="5" t="str">
        <f>IFERROR(__xludf.DUMMYFUNCTION("""COMPUTED_VALUE"""),"Estrela 1")</f>
        <v>Estrela 1</v>
      </c>
    </row>
    <row r="1403">
      <c r="G1403" s="5" t="str">
        <f>IFERROR(__xludf.DUMMYFUNCTION("""COMPUTED_VALUE"""),"351🤙🏼Dev.D🤙🏼Mahie Gill🤙🏼Estrela 2")</f>
        <v>351🤙🏼Dev.D🤙🏼Mahie Gill🤙🏼Estrela 2</v>
      </c>
      <c r="H1403" s="5">
        <f>IFERROR(__xludf.DUMMYFUNCTION("SPLiT(G1403, ""🤙🏼"",FALSE,FALSE)"),351.0)</f>
        <v>351</v>
      </c>
      <c r="I1403" s="5" t="str">
        <f>IFERROR(__xludf.DUMMYFUNCTION("""COMPUTED_VALUE"""),"Dev.D")</f>
        <v>Dev.D</v>
      </c>
      <c r="J1403" s="5" t="str">
        <f>IFERROR(__xludf.DUMMYFUNCTION("""COMPUTED_VALUE"""),"Mahie Gill")</f>
        <v>Mahie Gill</v>
      </c>
      <c r="K1403" s="5" t="str">
        <f>IFERROR(__xludf.DUMMYFUNCTION("""COMPUTED_VALUE"""),"Estrela 2")</f>
        <v>Estrela 2</v>
      </c>
      <c r="P1403" s="5">
        <f>IFERROR(__xludf.DUMMYFUNCTION("""COMPUTED_VALUE"""),351.0)</f>
        <v>351</v>
      </c>
      <c r="Q1403" s="5" t="str">
        <f>IFERROR(__xludf.DUMMYFUNCTION("""COMPUTED_VALUE"""),"Dev.D")</f>
        <v>Dev.D</v>
      </c>
      <c r="R1403" s="5" t="str">
        <f>IFERROR(__xludf.DUMMYFUNCTION("""COMPUTED_VALUE"""),"Mahie Gill")</f>
        <v>Mahie Gill</v>
      </c>
      <c r="S1403" s="5" t="str">
        <f>IFERROR(__xludf.DUMMYFUNCTION("""COMPUTED_VALUE"""),"Estrela 2")</f>
        <v>Estrela 2</v>
      </c>
    </row>
    <row r="1404">
      <c r="G1404" s="5" t="str">
        <f>IFERROR(__xludf.DUMMYFUNCTION("""COMPUTED_VALUE"""),"351🤙🏼Dev.D🤙🏼Kalki Koechlin🤙🏼Estrela 3")</f>
        <v>351🤙🏼Dev.D🤙🏼Kalki Koechlin🤙🏼Estrela 3</v>
      </c>
      <c r="H1404" s="5">
        <f>IFERROR(__xludf.DUMMYFUNCTION("SPLiT(G1404, ""🤙🏼"",FALSE,FALSE)"),351.0)</f>
        <v>351</v>
      </c>
      <c r="I1404" s="5" t="str">
        <f>IFERROR(__xludf.DUMMYFUNCTION("""COMPUTED_VALUE"""),"Dev.D")</f>
        <v>Dev.D</v>
      </c>
      <c r="J1404" s="5" t="str">
        <f>IFERROR(__xludf.DUMMYFUNCTION("""COMPUTED_VALUE"""),"Kalki Koechlin")</f>
        <v>Kalki Koechlin</v>
      </c>
      <c r="K1404" s="5" t="str">
        <f>IFERROR(__xludf.DUMMYFUNCTION("""COMPUTED_VALUE"""),"Estrela 3")</f>
        <v>Estrela 3</v>
      </c>
      <c r="P1404" s="5">
        <f>IFERROR(__xludf.DUMMYFUNCTION("""COMPUTED_VALUE"""),351.0)</f>
        <v>351</v>
      </c>
      <c r="Q1404" s="5" t="str">
        <f>IFERROR(__xludf.DUMMYFUNCTION("""COMPUTED_VALUE"""),"Dev.D")</f>
        <v>Dev.D</v>
      </c>
      <c r="R1404" s="5" t="str">
        <f>IFERROR(__xludf.DUMMYFUNCTION("""COMPUTED_VALUE"""),"Kalki Koechlin")</f>
        <v>Kalki Koechlin</v>
      </c>
      <c r="S1404" s="5" t="str">
        <f>IFERROR(__xludf.DUMMYFUNCTION("""COMPUTED_VALUE"""),"Estrela 3")</f>
        <v>Estrela 3</v>
      </c>
    </row>
    <row r="1405">
      <c r="G1405" s="5" t="str">
        <f>IFERROR(__xludf.DUMMYFUNCTION("""COMPUTED_VALUE"""),"351🤙🏼Dev.D🤙🏼Dibyendu Bhattacharya🤙🏼Estrela 4")</f>
        <v>351🤙🏼Dev.D🤙🏼Dibyendu Bhattacharya🤙🏼Estrela 4</v>
      </c>
      <c r="H1405" s="5">
        <f>IFERROR(__xludf.DUMMYFUNCTION("SPLiT(G1405, ""🤙🏼"",FALSE,FALSE)"),351.0)</f>
        <v>351</v>
      </c>
      <c r="I1405" s="5" t="str">
        <f>IFERROR(__xludf.DUMMYFUNCTION("""COMPUTED_VALUE"""),"Dev.D")</f>
        <v>Dev.D</v>
      </c>
      <c r="J1405" s="5" t="str">
        <f>IFERROR(__xludf.DUMMYFUNCTION("""COMPUTED_VALUE"""),"Dibyendu Bhattacharya")</f>
        <v>Dibyendu Bhattacharya</v>
      </c>
      <c r="K1405" s="5" t="str">
        <f>IFERROR(__xludf.DUMMYFUNCTION("""COMPUTED_VALUE"""),"Estrela 4")</f>
        <v>Estrela 4</v>
      </c>
      <c r="P1405" s="5">
        <f>IFERROR(__xludf.DUMMYFUNCTION("""COMPUTED_VALUE"""),351.0)</f>
        <v>351</v>
      </c>
      <c r="Q1405" s="5" t="str">
        <f>IFERROR(__xludf.DUMMYFUNCTION("""COMPUTED_VALUE"""),"Dev.D")</f>
        <v>Dev.D</v>
      </c>
      <c r="R1405" s="5" t="str">
        <f>IFERROR(__xludf.DUMMYFUNCTION("""COMPUTED_VALUE"""),"Dibyendu Bhattacharya")</f>
        <v>Dibyendu Bhattacharya</v>
      </c>
      <c r="S1405" s="5" t="str">
        <f>IFERROR(__xludf.DUMMYFUNCTION("""COMPUTED_VALUE"""),"Estrela 4")</f>
        <v>Estrela 4</v>
      </c>
    </row>
    <row r="1406">
      <c r="G1406" s="5" t="str">
        <f>IFERROR(__xludf.DUMMYFUNCTION("""COMPUTED_VALUE"""),"352🤙🏼Yip Man🤙🏼Donnie Yen🤙🏼Estrela 1")</f>
        <v>352🤙🏼Yip Man🤙🏼Donnie Yen🤙🏼Estrela 1</v>
      </c>
      <c r="H1406" s="5">
        <f>IFERROR(__xludf.DUMMYFUNCTION("SPLiT(G1406, ""🤙🏼"",FALSE,FALSE)"),352.0)</f>
        <v>352</v>
      </c>
      <c r="I1406" s="5" t="str">
        <f>IFERROR(__xludf.DUMMYFUNCTION("""COMPUTED_VALUE"""),"Yip Man")</f>
        <v>Yip Man</v>
      </c>
      <c r="J1406" s="5" t="str">
        <f>IFERROR(__xludf.DUMMYFUNCTION("""COMPUTED_VALUE"""),"Donnie Yen")</f>
        <v>Donnie Yen</v>
      </c>
      <c r="K1406" s="5" t="str">
        <f>IFERROR(__xludf.DUMMYFUNCTION("""COMPUTED_VALUE"""),"Estrela 1")</f>
        <v>Estrela 1</v>
      </c>
      <c r="P1406" s="5">
        <f>IFERROR(__xludf.DUMMYFUNCTION("""COMPUTED_VALUE"""),352.0)</f>
        <v>352</v>
      </c>
      <c r="Q1406" s="5" t="str">
        <f>IFERROR(__xludf.DUMMYFUNCTION("""COMPUTED_VALUE"""),"Yip Man")</f>
        <v>Yip Man</v>
      </c>
      <c r="R1406" s="5" t="str">
        <f>IFERROR(__xludf.DUMMYFUNCTION("""COMPUTED_VALUE"""),"Donnie Yen")</f>
        <v>Donnie Yen</v>
      </c>
      <c r="S1406" s="5" t="str">
        <f>IFERROR(__xludf.DUMMYFUNCTION("""COMPUTED_VALUE"""),"Estrela 1")</f>
        <v>Estrela 1</v>
      </c>
    </row>
    <row r="1407">
      <c r="G1407" s="5" t="str">
        <f>IFERROR(__xludf.DUMMYFUNCTION("""COMPUTED_VALUE"""),"352🤙🏼Yip Man🤙🏼Simon Yam🤙🏼Estrela 2")</f>
        <v>352🤙🏼Yip Man🤙🏼Simon Yam🤙🏼Estrela 2</v>
      </c>
      <c r="H1407" s="5">
        <f>IFERROR(__xludf.DUMMYFUNCTION("SPLiT(G1407, ""🤙🏼"",FALSE,FALSE)"),352.0)</f>
        <v>352</v>
      </c>
      <c r="I1407" s="5" t="str">
        <f>IFERROR(__xludf.DUMMYFUNCTION("""COMPUTED_VALUE"""),"Yip Man")</f>
        <v>Yip Man</v>
      </c>
      <c r="J1407" s="5" t="str">
        <f>IFERROR(__xludf.DUMMYFUNCTION("""COMPUTED_VALUE"""),"Simon Yam")</f>
        <v>Simon Yam</v>
      </c>
      <c r="K1407" s="5" t="str">
        <f>IFERROR(__xludf.DUMMYFUNCTION("""COMPUTED_VALUE"""),"Estrela 2")</f>
        <v>Estrela 2</v>
      </c>
      <c r="P1407" s="5">
        <f>IFERROR(__xludf.DUMMYFUNCTION("""COMPUTED_VALUE"""),352.0)</f>
        <v>352</v>
      </c>
      <c r="Q1407" s="5" t="str">
        <f>IFERROR(__xludf.DUMMYFUNCTION("""COMPUTED_VALUE"""),"Yip Man")</f>
        <v>Yip Man</v>
      </c>
      <c r="R1407" s="5" t="str">
        <f>IFERROR(__xludf.DUMMYFUNCTION("""COMPUTED_VALUE"""),"Simon Yam")</f>
        <v>Simon Yam</v>
      </c>
      <c r="S1407" s="5" t="str">
        <f>IFERROR(__xludf.DUMMYFUNCTION("""COMPUTED_VALUE"""),"Estrela 2")</f>
        <v>Estrela 2</v>
      </c>
    </row>
    <row r="1408">
      <c r="G1408" s="5" t="str">
        <f>IFERROR(__xludf.DUMMYFUNCTION("""COMPUTED_VALUE"""),"352🤙🏼Yip Man🤙🏼Siu-Wong Fan🤙🏼Estrela 3")</f>
        <v>352🤙🏼Yip Man🤙🏼Siu-Wong Fan🤙🏼Estrela 3</v>
      </c>
      <c r="H1408" s="5">
        <f>IFERROR(__xludf.DUMMYFUNCTION("SPLiT(G1408, ""🤙🏼"",FALSE,FALSE)"),352.0)</f>
        <v>352</v>
      </c>
      <c r="I1408" s="5" t="str">
        <f>IFERROR(__xludf.DUMMYFUNCTION("""COMPUTED_VALUE"""),"Yip Man")</f>
        <v>Yip Man</v>
      </c>
      <c r="J1408" s="5" t="str">
        <f>IFERROR(__xludf.DUMMYFUNCTION("""COMPUTED_VALUE"""),"Siu-Wong Fan")</f>
        <v>Siu-Wong Fan</v>
      </c>
      <c r="K1408" s="5" t="str">
        <f>IFERROR(__xludf.DUMMYFUNCTION("""COMPUTED_VALUE"""),"Estrela 3")</f>
        <v>Estrela 3</v>
      </c>
      <c r="P1408" s="5">
        <f>IFERROR(__xludf.DUMMYFUNCTION("""COMPUTED_VALUE"""),352.0)</f>
        <v>352</v>
      </c>
      <c r="Q1408" s="5" t="str">
        <f>IFERROR(__xludf.DUMMYFUNCTION("""COMPUTED_VALUE"""),"Yip Man")</f>
        <v>Yip Man</v>
      </c>
      <c r="R1408" s="5" t="str">
        <f>IFERROR(__xludf.DUMMYFUNCTION("""COMPUTED_VALUE"""),"Siu-Wong Fan")</f>
        <v>Siu-Wong Fan</v>
      </c>
      <c r="S1408" s="5" t="str">
        <f>IFERROR(__xludf.DUMMYFUNCTION("""COMPUTED_VALUE"""),"Estrela 3")</f>
        <v>Estrela 3</v>
      </c>
    </row>
    <row r="1409">
      <c r="G1409" s="5" t="str">
        <f>IFERROR(__xludf.DUMMYFUNCTION("""COMPUTED_VALUE"""),"352🤙🏼Yip Man🤙🏼Ka Tung Lam🤙🏼Estrela 4")</f>
        <v>352🤙🏼Yip Man🤙🏼Ka Tung Lam🤙🏼Estrela 4</v>
      </c>
      <c r="H1409" s="5">
        <f>IFERROR(__xludf.DUMMYFUNCTION("SPLiT(G1409, ""🤙🏼"",FALSE,FALSE)"),352.0)</f>
        <v>352</v>
      </c>
      <c r="I1409" s="5" t="str">
        <f>IFERROR(__xludf.DUMMYFUNCTION("""COMPUTED_VALUE"""),"Yip Man")</f>
        <v>Yip Man</v>
      </c>
      <c r="J1409" s="5" t="str">
        <f>IFERROR(__xludf.DUMMYFUNCTION("""COMPUTED_VALUE"""),"Ka Tung Lam")</f>
        <v>Ka Tung Lam</v>
      </c>
      <c r="K1409" s="5" t="str">
        <f>IFERROR(__xludf.DUMMYFUNCTION("""COMPUTED_VALUE"""),"Estrela 4")</f>
        <v>Estrela 4</v>
      </c>
      <c r="P1409" s="5">
        <f>IFERROR(__xludf.DUMMYFUNCTION("""COMPUTED_VALUE"""),352.0)</f>
        <v>352</v>
      </c>
      <c r="Q1409" s="5" t="str">
        <f>IFERROR(__xludf.DUMMYFUNCTION("""COMPUTED_VALUE"""),"Yip Man")</f>
        <v>Yip Man</v>
      </c>
      <c r="R1409" s="5" t="str">
        <f>IFERROR(__xludf.DUMMYFUNCTION("""COMPUTED_VALUE"""),"Ka Tung Lam")</f>
        <v>Ka Tung Lam</v>
      </c>
      <c r="S1409" s="5" t="str">
        <f>IFERROR(__xludf.DUMMYFUNCTION("""COMPUTED_VALUE"""),"Estrela 4")</f>
        <v>Estrela 4</v>
      </c>
    </row>
    <row r="1410">
      <c r="G1410" s="5" t="str">
        <f>IFERROR(__xludf.DUMMYFUNCTION("""COMPUTED_VALUE"""),"353🤙🏼My Name Is Khan🤙🏼Shah Rukh Khan🤙🏼Estrela 1")</f>
        <v>353🤙🏼My Name Is Khan🤙🏼Shah Rukh Khan🤙🏼Estrela 1</v>
      </c>
      <c r="H1410" s="5">
        <f>IFERROR(__xludf.DUMMYFUNCTION("SPLiT(G1410, ""🤙🏼"",FALSE,FALSE)"),353.0)</f>
        <v>353</v>
      </c>
      <c r="I1410" s="5" t="str">
        <f>IFERROR(__xludf.DUMMYFUNCTION("""COMPUTED_VALUE"""),"My Name Is Khan")</f>
        <v>My Name Is Khan</v>
      </c>
      <c r="J1410" s="5" t="str">
        <f>IFERROR(__xludf.DUMMYFUNCTION("""COMPUTED_VALUE"""),"Shah Rukh Khan")</f>
        <v>Shah Rukh Khan</v>
      </c>
      <c r="K1410" s="5" t="str">
        <f>IFERROR(__xludf.DUMMYFUNCTION("""COMPUTED_VALUE"""),"Estrela 1")</f>
        <v>Estrela 1</v>
      </c>
      <c r="P1410" s="5">
        <f>IFERROR(__xludf.DUMMYFUNCTION("""COMPUTED_VALUE"""),353.0)</f>
        <v>353</v>
      </c>
      <c r="Q1410" s="5" t="str">
        <f>IFERROR(__xludf.DUMMYFUNCTION("""COMPUTED_VALUE"""),"My Name Is Khan")</f>
        <v>My Name Is Khan</v>
      </c>
      <c r="R1410" s="5" t="str">
        <f>IFERROR(__xludf.DUMMYFUNCTION("""COMPUTED_VALUE"""),"Shah Rukh Khan")</f>
        <v>Shah Rukh Khan</v>
      </c>
      <c r="S1410" s="5" t="str">
        <f>IFERROR(__xludf.DUMMYFUNCTION("""COMPUTED_VALUE"""),"Estrela 1")</f>
        <v>Estrela 1</v>
      </c>
    </row>
    <row r="1411">
      <c r="G1411" s="5" t="str">
        <f>IFERROR(__xludf.DUMMYFUNCTION("""COMPUTED_VALUE"""),"353🤙🏼My Name Is Khan🤙🏼Kajol🤙🏼Estrela 2")</f>
        <v>353🤙🏼My Name Is Khan🤙🏼Kajol🤙🏼Estrela 2</v>
      </c>
      <c r="H1411" s="5">
        <f>IFERROR(__xludf.DUMMYFUNCTION("SPLiT(G1411, ""🤙🏼"",FALSE,FALSE)"),353.0)</f>
        <v>353</v>
      </c>
      <c r="I1411" s="5" t="str">
        <f>IFERROR(__xludf.DUMMYFUNCTION("""COMPUTED_VALUE"""),"My Name Is Khan")</f>
        <v>My Name Is Khan</v>
      </c>
      <c r="J1411" s="5" t="str">
        <f>IFERROR(__xludf.DUMMYFUNCTION("""COMPUTED_VALUE"""),"Kajol")</f>
        <v>Kajol</v>
      </c>
      <c r="K1411" s="5" t="str">
        <f>IFERROR(__xludf.DUMMYFUNCTION("""COMPUTED_VALUE"""),"Estrela 2")</f>
        <v>Estrela 2</v>
      </c>
      <c r="P1411" s="5">
        <f>IFERROR(__xludf.DUMMYFUNCTION("""COMPUTED_VALUE"""),353.0)</f>
        <v>353</v>
      </c>
      <c r="Q1411" s="5" t="str">
        <f>IFERROR(__xludf.DUMMYFUNCTION("""COMPUTED_VALUE"""),"My Name Is Khan")</f>
        <v>My Name Is Khan</v>
      </c>
      <c r="R1411" s="5" t="str">
        <f>IFERROR(__xludf.DUMMYFUNCTION("""COMPUTED_VALUE"""),"Kajol")</f>
        <v>Kajol</v>
      </c>
      <c r="S1411" s="5" t="str">
        <f>IFERROR(__xludf.DUMMYFUNCTION("""COMPUTED_VALUE"""),"Estrela 2")</f>
        <v>Estrela 2</v>
      </c>
    </row>
    <row r="1412">
      <c r="G1412" s="5" t="str">
        <f>IFERROR(__xludf.DUMMYFUNCTION("""COMPUTED_VALUE"""),"353🤙🏼My Name Is Khan🤙🏼Sheetal Menon🤙🏼Estrela 3")</f>
        <v>353🤙🏼My Name Is Khan🤙🏼Sheetal Menon🤙🏼Estrela 3</v>
      </c>
      <c r="H1412" s="5">
        <f>IFERROR(__xludf.DUMMYFUNCTION("SPLiT(G1412, ""🤙🏼"",FALSE,FALSE)"),353.0)</f>
        <v>353</v>
      </c>
      <c r="I1412" s="5" t="str">
        <f>IFERROR(__xludf.DUMMYFUNCTION("""COMPUTED_VALUE"""),"My Name Is Khan")</f>
        <v>My Name Is Khan</v>
      </c>
      <c r="J1412" s="5" t="str">
        <f>IFERROR(__xludf.DUMMYFUNCTION("""COMPUTED_VALUE"""),"Sheetal Menon")</f>
        <v>Sheetal Menon</v>
      </c>
      <c r="K1412" s="5" t="str">
        <f>IFERROR(__xludf.DUMMYFUNCTION("""COMPUTED_VALUE"""),"Estrela 3")</f>
        <v>Estrela 3</v>
      </c>
      <c r="P1412" s="5">
        <f>IFERROR(__xludf.DUMMYFUNCTION("""COMPUTED_VALUE"""),353.0)</f>
        <v>353</v>
      </c>
      <c r="Q1412" s="5" t="str">
        <f>IFERROR(__xludf.DUMMYFUNCTION("""COMPUTED_VALUE"""),"My Name Is Khan")</f>
        <v>My Name Is Khan</v>
      </c>
      <c r="R1412" s="5" t="str">
        <f>IFERROR(__xludf.DUMMYFUNCTION("""COMPUTED_VALUE"""),"Sheetal Menon")</f>
        <v>Sheetal Menon</v>
      </c>
      <c r="S1412" s="5" t="str">
        <f>IFERROR(__xludf.DUMMYFUNCTION("""COMPUTED_VALUE"""),"Estrela 3")</f>
        <v>Estrela 3</v>
      </c>
    </row>
    <row r="1413">
      <c r="G1413" s="5" t="str">
        <f>IFERROR(__xludf.DUMMYFUNCTION("""COMPUTED_VALUE"""),"353🤙🏼My Name Is Khan🤙🏼Katie A. Keane🤙🏼Estrela 4")</f>
        <v>353🤙🏼My Name Is Khan🤙🏼Katie A. Keane🤙🏼Estrela 4</v>
      </c>
      <c r="H1413" s="5">
        <f>IFERROR(__xludf.DUMMYFUNCTION("SPLiT(G1413, ""🤙🏼"",FALSE,FALSE)"),353.0)</f>
        <v>353</v>
      </c>
      <c r="I1413" s="5" t="str">
        <f>IFERROR(__xludf.DUMMYFUNCTION("""COMPUTED_VALUE"""),"My Name Is Khan")</f>
        <v>My Name Is Khan</v>
      </c>
      <c r="J1413" s="5" t="str">
        <f>IFERROR(__xludf.DUMMYFUNCTION("""COMPUTED_VALUE"""),"Katie A. Keane")</f>
        <v>Katie A. Keane</v>
      </c>
      <c r="K1413" s="5" t="str">
        <f>IFERROR(__xludf.DUMMYFUNCTION("""COMPUTED_VALUE"""),"Estrela 4")</f>
        <v>Estrela 4</v>
      </c>
      <c r="P1413" s="5">
        <f>IFERROR(__xludf.DUMMYFUNCTION("""COMPUTED_VALUE"""),353.0)</f>
        <v>353</v>
      </c>
      <c r="Q1413" s="5" t="str">
        <f>IFERROR(__xludf.DUMMYFUNCTION("""COMPUTED_VALUE"""),"My Name Is Khan")</f>
        <v>My Name Is Khan</v>
      </c>
      <c r="R1413" s="5" t="str">
        <f>IFERROR(__xludf.DUMMYFUNCTION("""COMPUTED_VALUE"""),"Katie A. Keane")</f>
        <v>Katie A. Keane</v>
      </c>
      <c r="S1413" s="5" t="str">
        <f>IFERROR(__xludf.DUMMYFUNCTION("""COMPUTED_VALUE"""),"Estrela 4")</f>
        <v>Estrela 4</v>
      </c>
    </row>
    <row r="1414">
      <c r="G1414" s="5" t="str">
        <f>IFERROR(__xludf.DUMMYFUNCTION("""COMPUTED_VALUE"""),"354🤙🏼Nefes: Vatan Sagolsun🤙🏼Erdem Can🤙🏼Estrela 1")</f>
        <v>354🤙🏼Nefes: Vatan Sagolsun🤙🏼Erdem Can🤙🏼Estrela 1</v>
      </c>
      <c r="H1414" s="5">
        <f>IFERROR(__xludf.DUMMYFUNCTION("SPLiT(G1414, ""🤙🏼"",FALSE,FALSE)"),354.0)</f>
        <v>354</v>
      </c>
      <c r="I1414" s="5" t="str">
        <f>IFERROR(__xludf.DUMMYFUNCTION("""COMPUTED_VALUE"""),"Nefes: Vatan Sagolsun")</f>
        <v>Nefes: Vatan Sagolsun</v>
      </c>
      <c r="J1414" s="5" t="str">
        <f>IFERROR(__xludf.DUMMYFUNCTION("""COMPUTED_VALUE"""),"Erdem Can")</f>
        <v>Erdem Can</v>
      </c>
      <c r="K1414" s="5" t="str">
        <f>IFERROR(__xludf.DUMMYFUNCTION("""COMPUTED_VALUE"""),"Estrela 1")</f>
        <v>Estrela 1</v>
      </c>
      <c r="P1414" s="5">
        <f>IFERROR(__xludf.DUMMYFUNCTION("""COMPUTED_VALUE"""),354.0)</f>
        <v>354</v>
      </c>
      <c r="Q1414" s="5" t="str">
        <f>IFERROR(__xludf.DUMMYFUNCTION("""COMPUTED_VALUE"""),"Nefes: Vatan Sagolsun")</f>
        <v>Nefes: Vatan Sagolsun</v>
      </c>
      <c r="R1414" s="5" t="str">
        <f>IFERROR(__xludf.DUMMYFUNCTION("""COMPUTED_VALUE"""),"Erdem Can")</f>
        <v>Erdem Can</v>
      </c>
      <c r="S1414" s="5" t="str">
        <f>IFERROR(__xludf.DUMMYFUNCTION("""COMPUTED_VALUE"""),"Estrela 1")</f>
        <v>Estrela 1</v>
      </c>
    </row>
    <row r="1415">
      <c r="G1415" s="5" t="str">
        <f>IFERROR(__xludf.DUMMYFUNCTION("""COMPUTED_VALUE"""),"354🤙🏼Nefes: Vatan Sagolsun🤙🏼Mete Horozoglu🤙🏼Estrela 2")</f>
        <v>354🤙🏼Nefes: Vatan Sagolsun🤙🏼Mete Horozoglu🤙🏼Estrela 2</v>
      </c>
      <c r="H1415" s="5">
        <f>IFERROR(__xludf.DUMMYFUNCTION("SPLiT(G1415, ""🤙🏼"",FALSE,FALSE)"),354.0)</f>
        <v>354</v>
      </c>
      <c r="I1415" s="5" t="str">
        <f>IFERROR(__xludf.DUMMYFUNCTION("""COMPUTED_VALUE"""),"Nefes: Vatan Sagolsun")</f>
        <v>Nefes: Vatan Sagolsun</v>
      </c>
      <c r="J1415" s="5" t="str">
        <f>IFERROR(__xludf.DUMMYFUNCTION("""COMPUTED_VALUE"""),"Mete Horozoglu")</f>
        <v>Mete Horozoglu</v>
      </c>
      <c r="K1415" s="5" t="str">
        <f>IFERROR(__xludf.DUMMYFUNCTION("""COMPUTED_VALUE"""),"Estrela 2")</f>
        <v>Estrela 2</v>
      </c>
      <c r="P1415" s="5">
        <f>IFERROR(__xludf.DUMMYFUNCTION("""COMPUTED_VALUE"""),354.0)</f>
        <v>354</v>
      </c>
      <c r="Q1415" s="5" t="str">
        <f>IFERROR(__xludf.DUMMYFUNCTION("""COMPUTED_VALUE"""),"Nefes: Vatan Sagolsun")</f>
        <v>Nefes: Vatan Sagolsun</v>
      </c>
      <c r="R1415" s="5" t="str">
        <f>IFERROR(__xludf.DUMMYFUNCTION("""COMPUTED_VALUE"""),"Mete Horozoglu")</f>
        <v>Mete Horozoglu</v>
      </c>
      <c r="S1415" s="5" t="str">
        <f>IFERROR(__xludf.DUMMYFUNCTION("""COMPUTED_VALUE"""),"Estrela 2")</f>
        <v>Estrela 2</v>
      </c>
    </row>
    <row r="1416">
      <c r="G1416" s="5" t="str">
        <f>IFERROR(__xludf.DUMMYFUNCTION("""COMPUTED_VALUE"""),"354🤙🏼Nefes: Vatan Sagolsun🤙🏼Ilker Kizmaz🤙🏼Estrela 3")</f>
        <v>354🤙🏼Nefes: Vatan Sagolsun🤙🏼Ilker Kizmaz🤙🏼Estrela 3</v>
      </c>
      <c r="H1416" s="5">
        <f>IFERROR(__xludf.DUMMYFUNCTION("SPLiT(G1416, ""🤙🏼"",FALSE,FALSE)"),354.0)</f>
        <v>354</v>
      </c>
      <c r="I1416" s="5" t="str">
        <f>IFERROR(__xludf.DUMMYFUNCTION("""COMPUTED_VALUE"""),"Nefes: Vatan Sagolsun")</f>
        <v>Nefes: Vatan Sagolsun</v>
      </c>
      <c r="J1416" s="5" t="str">
        <f>IFERROR(__xludf.DUMMYFUNCTION("""COMPUTED_VALUE"""),"Ilker Kizmaz")</f>
        <v>Ilker Kizmaz</v>
      </c>
      <c r="K1416" s="5" t="str">
        <f>IFERROR(__xludf.DUMMYFUNCTION("""COMPUTED_VALUE"""),"Estrela 3")</f>
        <v>Estrela 3</v>
      </c>
      <c r="P1416" s="5">
        <f>IFERROR(__xludf.DUMMYFUNCTION("""COMPUTED_VALUE"""),354.0)</f>
        <v>354</v>
      </c>
      <c r="Q1416" s="5" t="str">
        <f>IFERROR(__xludf.DUMMYFUNCTION("""COMPUTED_VALUE"""),"Nefes: Vatan Sagolsun")</f>
        <v>Nefes: Vatan Sagolsun</v>
      </c>
      <c r="R1416" s="5" t="str">
        <f>IFERROR(__xludf.DUMMYFUNCTION("""COMPUTED_VALUE"""),"Ilker Kizmaz")</f>
        <v>Ilker Kizmaz</v>
      </c>
      <c r="S1416" s="5" t="str">
        <f>IFERROR(__xludf.DUMMYFUNCTION("""COMPUTED_VALUE"""),"Estrela 3")</f>
        <v>Estrela 3</v>
      </c>
    </row>
    <row r="1417">
      <c r="G1417" s="5" t="str">
        <f>IFERROR(__xludf.DUMMYFUNCTION("""COMPUTED_VALUE"""),"354🤙🏼Nefes: Vatan Sagolsun🤙🏼Baris Bagci🤙🏼Estrela 4")</f>
        <v>354🤙🏼Nefes: Vatan Sagolsun🤙🏼Baris Bagci🤙🏼Estrela 4</v>
      </c>
      <c r="H1417" s="5">
        <f>IFERROR(__xludf.DUMMYFUNCTION("SPLiT(G1417, ""🤙🏼"",FALSE,FALSE)"),354.0)</f>
        <v>354</v>
      </c>
      <c r="I1417" s="5" t="str">
        <f>IFERROR(__xludf.DUMMYFUNCTION("""COMPUTED_VALUE"""),"Nefes: Vatan Sagolsun")</f>
        <v>Nefes: Vatan Sagolsun</v>
      </c>
      <c r="J1417" s="5" t="str">
        <f>IFERROR(__xludf.DUMMYFUNCTION("""COMPUTED_VALUE"""),"Baris Bagci")</f>
        <v>Baris Bagci</v>
      </c>
      <c r="K1417" s="5" t="str">
        <f>IFERROR(__xludf.DUMMYFUNCTION("""COMPUTED_VALUE"""),"Estrela 4")</f>
        <v>Estrela 4</v>
      </c>
      <c r="P1417" s="5">
        <f>IFERROR(__xludf.DUMMYFUNCTION("""COMPUTED_VALUE"""),354.0)</f>
        <v>354</v>
      </c>
      <c r="Q1417" s="5" t="str">
        <f>IFERROR(__xludf.DUMMYFUNCTION("""COMPUTED_VALUE"""),"Nefes: Vatan Sagolsun")</f>
        <v>Nefes: Vatan Sagolsun</v>
      </c>
      <c r="R1417" s="5" t="str">
        <f>IFERROR(__xludf.DUMMYFUNCTION("""COMPUTED_VALUE"""),"Baris Bagci")</f>
        <v>Baris Bagci</v>
      </c>
      <c r="S1417" s="5" t="str">
        <f>IFERROR(__xludf.DUMMYFUNCTION("""COMPUTED_VALUE"""),"Estrela 4")</f>
        <v>Estrela 4</v>
      </c>
    </row>
    <row r="1418">
      <c r="G1418" s="5" t="str">
        <f>IFERROR(__xludf.DUMMYFUNCTION("""COMPUTED_VALUE"""),"355🤙🏼Slumdog Millionaire🤙🏼Loveleen Tandan🤙🏼Estrela 1")</f>
        <v>355🤙🏼Slumdog Millionaire🤙🏼Loveleen Tandan🤙🏼Estrela 1</v>
      </c>
      <c r="H1418" s="5">
        <f>IFERROR(__xludf.DUMMYFUNCTION("SPLiT(G1418, ""🤙🏼"",FALSE,FALSE)"),355.0)</f>
        <v>355</v>
      </c>
      <c r="I1418" s="5" t="str">
        <f>IFERROR(__xludf.DUMMYFUNCTION("""COMPUTED_VALUE"""),"Slumdog Millionaire")</f>
        <v>Slumdog Millionaire</v>
      </c>
      <c r="J1418" s="5" t="str">
        <f>IFERROR(__xludf.DUMMYFUNCTION("""COMPUTED_VALUE"""),"Loveleen Tandan")</f>
        <v>Loveleen Tandan</v>
      </c>
      <c r="K1418" s="5" t="str">
        <f>IFERROR(__xludf.DUMMYFUNCTION("""COMPUTED_VALUE"""),"Estrela 1")</f>
        <v>Estrela 1</v>
      </c>
      <c r="P1418" s="5">
        <f>IFERROR(__xludf.DUMMYFUNCTION("""COMPUTED_VALUE"""),355.0)</f>
        <v>355</v>
      </c>
      <c r="Q1418" s="5" t="str">
        <f>IFERROR(__xludf.DUMMYFUNCTION("""COMPUTED_VALUE"""),"Slumdog Millionaire")</f>
        <v>Slumdog Millionaire</v>
      </c>
      <c r="R1418" s="5" t="str">
        <f>IFERROR(__xludf.DUMMYFUNCTION("""COMPUTED_VALUE"""),"Loveleen Tandan")</f>
        <v>Loveleen Tandan</v>
      </c>
      <c r="S1418" s="5" t="str">
        <f>IFERROR(__xludf.DUMMYFUNCTION("""COMPUTED_VALUE"""),"Estrela 1")</f>
        <v>Estrela 1</v>
      </c>
    </row>
    <row r="1419">
      <c r="G1419" s="5" t="str">
        <f>IFERROR(__xludf.DUMMYFUNCTION("""COMPUTED_VALUE"""),"355🤙🏼Slumdog Millionaire🤙🏼Dev Patel🤙🏼Estrela 2")</f>
        <v>355🤙🏼Slumdog Millionaire🤙🏼Dev Patel🤙🏼Estrela 2</v>
      </c>
      <c r="H1419" s="5">
        <f>IFERROR(__xludf.DUMMYFUNCTION("SPLiT(G1419, ""🤙🏼"",FALSE,FALSE)"),355.0)</f>
        <v>355</v>
      </c>
      <c r="I1419" s="5" t="str">
        <f>IFERROR(__xludf.DUMMYFUNCTION("""COMPUTED_VALUE"""),"Slumdog Millionaire")</f>
        <v>Slumdog Millionaire</v>
      </c>
      <c r="J1419" s="5" t="str">
        <f>IFERROR(__xludf.DUMMYFUNCTION("""COMPUTED_VALUE"""),"Dev Patel")</f>
        <v>Dev Patel</v>
      </c>
      <c r="K1419" s="5" t="str">
        <f>IFERROR(__xludf.DUMMYFUNCTION("""COMPUTED_VALUE"""),"Estrela 2")</f>
        <v>Estrela 2</v>
      </c>
      <c r="P1419" s="5">
        <f>IFERROR(__xludf.DUMMYFUNCTION("""COMPUTED_VALUE"""),355.0)</f>
        <v>355</v>
      </c>
      <c r="Q1419" s="5" t="str">
        <f>IFERROR(__xludf.DUMMYFUNCTION("""COMPUTED_VALUE"""),"Slumdog Millionaire")</f>
        <v>Slumdog Millionaire</v>
      </c>
      <c r="R1419" s="5" t="str">
        <f>IFERROR(__xludf.DUMMYFUNCTION("""COMPUTED_VALUE"""),"Dev Patel")</f>
        <v>Dev Patel</v>
      </c>
      <c r="S1419" s="5" t="str">
        <f>IFERROR(__xludf.DUMMYFUNCTION("""COMPUTED_VALUE"""),"Estrela 2")</f>
        <v>Estrela 2</v>
      </c>
    </row>
    <row r="1420">
      <c r="G1420" s="5" t="str">
        <f>IFERROR(__xludf.DUMMYFUNCTION("""COMPUTED_VALUE"""),"355🤙🏼Slumdog Millionaire🤙🏼Freida Pinto🤙🏼Estrela 3")</f>
        <v>355🤙🏼Slumdog Millionaire🤙🏼Freida Pinto🤙🏼Estrela 3</v>
      </c>
      <c r="H1420" s="5">
        <f>IFERROR(__xludf.DUMMYFUNCTION("SPLiT(G1420, ""🤙🏼"",FALSE,FALSE)"),355.0)</f>
        <v>355</v>
      </c>
      <c r="I1420" s="5" t="str">
        <f>IFERROR(__xludf.DUMMYFUNCTION("""COMPUTED_VALUE"""),"Slumdog Millionaire")</f>
        <v>Slumdog Millionaire</v>
      </c>
      <c r="J1420" s="5" t="str">
        <f>IFERROR(__xludf.DUMMYFUNCTION("""COMPUTED_VALUE"""),"Freida Pinto")</f>
        <v>Freida Pinto</v>
      </c>
      <c r="K1420" s="5" t="str">
        <f>IFERROR(__xludf.DUMMYFUNCTION("""COMPUTED_VALUE"""),"Estrela 3")</f>
        <v>Estrela 3</v>
      </c>
      <c r="P1420" s="5">
        <f>IFERROR(__xludf.DUMMYFUNCTION("""COMPUTED_VALUE"""),355.0)</f>
        <v>355</v>
      </c>
      <c r="Q1420" s="5" t="str">
        <f>IFERROR(__xludf.DUMMYFUNCTION("""COMPUTED_VALUE"""),"Slumdog Millionaire")</f>
        <v>Slumdog Millionaire</v>
      </c>
      <c r="R1420" s="5" t="str">
        <f>IFERROR(__xludf.DUMMYFUNCTION("""COMPUTED_VALUE"""),"Freida Pinto")</f>
        <v>Freida Pinto</v>
      </c>
      <c r="S1420" s="5" t="str">
        <f>IFERROR(__xludf.DUMMYFUNCTION("""COMPUTED_VALUE"""),"Estrela 3")</f>
        <v>Estrela 3</v>
      </c>
    </row>
    <row r="1421">
      <c r="G1421" s="5" t="str">
        <f>IFERROR(__xludf.DUMMYFUNCTION("""COMPUTED_VALUE"""),"355🤙🏼Slumdog Millionaire🤙🏼Saurabh Shukla🤙🏼Estrela 4")</f>
        <v>355🤙🏼Slumdog Millionaire🤙🏼Saurabh Shukla🤙🏼Estrela 4</v>
      </c>
      <c r="H1421" s="5">
        <f>IFERROR(__xludf.DUMMYFUNCTION("SPLiT(G1421, ""🤙🏼"",FALSE,FALSE)"),355.0)</f>
        <v>355</v>
      </c>
      <c r="I1421" s="5" t="str">
        <f>IFERROR(__xludf.DUMMYFUNCTION("""COMPUTED_VALUE"""),"Slumdog Millionaire")</f>
        <v>Slumdog Millionaire</v>
      </c>
      <c r="J1421" s="5" t="str">
        <f>IFERROR(__xludf.DUMMYFUNCTION("""COMPUTED_VALUE"""),"Saurabh Shukla")</f>
        <v>Saurabh Shukla</v>
      </c>
      <c r="K1421" s="5" t="str">
        <f>IFERROR(__xludf.DUMMYFUNCTION("""COMPUTED_VALUE"""),"Estrela 4")</f>
        <v>Estrela 4</v>
      </c>
      <c r="P1421" s="5">
        <f>IFERROR(__xludf.DUMMYFUNCTION("""COMPUTED_VALUE"""),355.0)</f>
        <v>355</v>
      </c>
      <c r="Q1421" s="5" t="str">
        <f>IFERROR(__xludf.DUMMYFUNCTION("""COMPUTED_VALUE"""),"Slumdog Millionaire")</f>
        <v>Slumdog Millionaire</v>
      </c>
      <c r="R1421" s="5" t="str">
        <f>IFERROR(__xludf.DUMMYFUNCTION("""COMPUTED_VALUE"""),"Saurabh Shukla")</f>
        <v>Saurabh Shukla</v>
      </c>
      <c r="S1421" s="5" t="str">
        <f>IFERROR(__xludf.DUMMYFUNCTION("""COMPUTED_VALUE"""),"Estrela 4")</f>
        <v>Estrela 4</v>
      </c>
    </row>
    <row r="1422">
      <c r="G1422" s="5" t="str">
        <f>IFERROR(__xludf.DUMMYFUNCTION("""COMPUTED_VALUE"""),"356🤙🏼Black Swan🤙🏼Natalie Portman🤙🏼Estrela 1")</f>
        <v>356🤙🏼Black Swan🤙🏼Natalie Portman🤙🏼Estrela 1</v>
      </c>
      <c r="H1422" s="5">
        <f>IFERROR(__xludf.DUMMYFUNCTION("SPLiT(G1422, ""🤙🏼"",FALSE,FALSE)"),356.0)</f>
        <v>356</v>
      </c>
      <c r="I1422" s="5" t="str">
        <f>IFERROR(__xludf.DUMMYFUNCTION("""COMPUTED_VALUE"""),"Black Swan")</f>
        <v>Black Swan</v>
      </c>
      <c r="J1422" s="5" t="str">
        <f>IFERROR(__xludf.DUMMYFUNCTION("""COMPUTED_VALUE"""),"Natalie Portman")</f>
        <v>Natalie Portman</v>
      </c>
      <c r="K1422" s="5" t="str">
        <f>IFERROR(__xludf.DUMMYFUNCTION("""COMPUTED_VALUE"""),"Estrela 1")</f>
        <v>Estrela 1</v>
      </c>
      <c r="P1422" s="5">
        <f>IFERROR(__xludf.DUMMYFUNCTION("""COMPUTED_VALUE"""),356.0)</f>
        <v>356</v>
      </c>
      <c r="Q1422" s="5" t="str">
        <f>IFERROR(__xludf.DUMMYFUNCTION("""COMPUTED_VALUE"""),"Black Swan")</f>
        <v>Black Swan</v>
      </c>
      <c r="R1422" s="5" t="str">
        <f>IFERROR(__xludf.DUMMYFUNCTION("""COMPUTED_VALUE"""),"Natalie Portman")</f>
        <v>Natalie Portman</v>
      </c>
      <c r="S1422" s="5" t="str">
        <f>IFERROR(__xludf.DUMMYFUNCTION("""COMPUTED_VALUE"""),"Estrela 1")</f>
        <v>Estrela 1</v>
      </c>
    </row>
    <row r="1423">
      <c r="G1423" s="5" t="str">
        <f>IFERROR(__xludf.DUMMYFUNCTION("""COMPUTED_VALUE"""),"356🤙🏼Black Swan🤙🏼Mila Kunis🤙🏼Estrela 2")</f>
        <v>356🤙🏼Black Swan🤙🏼Mila Kunis🤙🏼Estrela 2</v>
      </c>
      <c r="H1423" s="5">
        <f>IFERROR(__xludf.DUMMYFUNCTION("SPLiT(G1423, ""🤙🏼"",FALSE,FALSE)"),356.0)</f>
        <v>356</v>
      </c>
      <c r="I1423" s="5" t="str">
        <f>IFERROR(__xludf.DUMMYFUNCTION("""COMPUTED_VALUE"""),"Black Swan")</f>
        <v>Black Swan</v>
      </c>
      <c r="J1423" s="5" t="str">
        <f>IFERROR(__xludf.DUMMYFUNCTION("""COMPUTED_VALUE"""),"Mila Kunis")</f>
        <v>Mila Kunis</v>
      </c>
      <c r="K1423" s="5" t="str">
        <f>IFERROR(__xludf.DUMMYFUNCTION("""COMPUTED_VALUE"""),"Estrela 2")</f>
        <v>Estrela 2</v>
      </c>
      <c r="P1423" s="5">
        <f>IFERROR(__xludf.DUMMYFUNCTION("""COMPUTED_VALUE"""),356.0)</f>
        <v>356</v>
      </c>
      <c r="Q1423" s="5" t="str">
        <f>IFERROR(__xludf.DUMMYFUNCTION("""COMPUTED_VALUE"""),"Black Swan")</f>
        <v>Black Swan</v>
      </c>
      <c r="R1423" s="5" t="str">
        <f>IFERROR(__xludf.DUMMYFUNCTION("""COMPUTED_VALUE"""),"Mila Kunis")</f>
        <v>Mila Kunis</v>
      </c>
      <c r="S1423" s="5" t="str">
        <f>IFERROR(__xludf.DUMMYFUNCTION("""COMPUTED_VALUE"""),"Estrela 2")</f>
        <v>Estrela 2</v>
      </c>
    </row>
    <row r="1424">
      <c r="G1424" s="5" t="str">
        <f>IFERROR(__xludf.DUMMYFUNCTION("""COMPUTED_VALUE"""),"356🤙🏼Black Swan🤙🏼Vincent Cassel🤙🏼Estrela 3")</f>
        <v>356🤙🏼Black Swan🤙🏼Vincent Cassel🤙🏼Estrela 3</v>
      </c>
      <c r="H1424" s="5">
        <f>IFERROR(__xludf.DUMMYFUNCTION("SPLiT(G1424, ""🤙🏼"",FALSE,FALSE)"),356.0)</f>
        <v>356</v>
      </c>
      <c r="I1424" s="5" t="str">
        <f>IFERROR(__xludf.DUMMYFUNCTION("""COMPUTED_VALUE"""),"Black Swan")</f>
        <v>Black Swan</v>
      </c>
      <c r="J1424" s="5" t="str">
        <f>IFERROR(__xludf.DUMMYFUNCTION("""COMPUTED_VALUE"""),"Vincent Cassel")</f>
        <v>Vincent Cassel</v>
      </c>
      <c r="K1424" s="5" t="str">
        <f>IFERROR(__xludf.DUMMYFUNCTION("""COMPUTED_VALUE"""),"Estrela 3")</f>
        <v>Estrela 3</v>
      </c>
      <c r="P1424" s="5">
        <f>IFERROR(__xludf.DUMMYFUNCTION("""COMPUTED_VALUE"""),356.0)</f>
        <v>356</v>
      </c>
      <c r="Q1424" s="5" t="str">
        <f>IFERROR(__xludf.DUMMYFUNCTION("""COMPUTED_VALUE"""),"Black Swan")</f>
        <v>Black Swan</v>
      </c>
      <c r="R1424" s="5" t="str">
        <f>IFERROR(__xludf.DUMMYFUNCTION("""COMPUTED_VALUE"""),"Vincent Cassel")</f>
        <v>Vincent Cassel</v>
      </c>
      <c r="S1424" s="5" t="str">
        <f>IFERROR(__xludf.DUMMYFUNCTION("""COMPUTED_VALUE"""),"Estrela 3")</f>
        <v>Estrela 3</v>
      </c>
    </row>
    <row r="1425">
      <c r="G1425" s="5" t="str">
        <f>IFERROR(__xludf.DUMMYFUNCTION("""COMPUTED_VALUE"""),"356🤙🏼Black Swan🤙🏼Winona Ryder🤙🏼Estrela 4")</f>
        <v>356🤙🏼Black Swan🤙🏼Winona Ryder🤙🏼Estrela 4</v>
      </c>
      <c r="H1425" s="5">
        <f>IFERROR(__xludf.DUMMYFUNCTION("SPLiT(G1425, ""🤙🏼"",FALSE,FALSE)"),356.0)</f>
        <v>356</v>
      </c>
      <c r="I1425" s="5" t="str">
        <f>IFERROR(__xludf.DUMMYFUNCTION("""COMPUTED_VALUE"""),"Black Swan")</f>
        <v>Black Swan</v>
      </c>
      <c r="J1425" s="5" t="str">
        <f>IFERROR(__xludf.DUMMYFUNCTION("""COMPUTED_VALUE"""),"Winona Ryder")</f>
        <v>Winona Ryder</v>
      </c>
      <c r="K1425" s="5" t="str">
        <f>IFERROR(__xludf.DUMMYFUNCTION("""COMPUTED_VALUE"""),"Estrela 4")</f>
        <v>Estrela 4</v>
      </c>
      <c r="P1425" s="5">
        <f>IFERROR(__xludf.DUMMYFUNCTION("""COMPUTED_VALUE"""),356.0)</f>
        <v>356</v>
      </c>
      <c r="Q1425" s="5" t="str">
        <f>IFERROR(__xludf.DUMMYFUNCTION("""COMPUTED_VALUE"""),"Black Swan")</f>
        <v>Black Swan</v>
      </c>
      <c r="R1425" s="5" t="str">
        <f>IFERROR(__xludf.DUMMYFUNCTION("""COMPUTED_VALUE"""),"Winona Ryder")</f>
        <v>Winona Ryder</v>
      </c>
      <c r="S1425" s="5" t="str">
        <f>IFERROR(__xludf.DUMMYFUNCTION("""COMPUTED_VALUE"""),"Estrela 4")</f>
        <v>Estrela 4</v>
      </c>
    </row>
    <row r="1426">
      <c r="G1426" s="5" t="str">
        <f>IFERROR(__xludf.DUMMYFUNCTION("""COMPUTED_VALUE"""),"357🤙🏼Tropa de Elite🤙🏼Wagner Moura🤙🏼Estrela 1")</f>
        <v>357🤙🏼Tropa de Elite🤙🏼Wagner Moura🤙🏼Estrela 1</v>
      </c>
      <c r="H1426" s="5">
        <f>IFERROR(__xludf.DUMMYFUNCTION("SPLiT(G1426, ""🤙🏼"",FALSE,FALSE)"),357.0)</f>
        <v>357</v>
      </c>
      <c r="I1426" s="5" t="str">
        <f>IFERROR(__xludf.DUMMYFUNCTION("""COMPUTED_VALUE"""),"Tropa de Elite")</f>
        <v>Tropa de Elite</v>
      </c>
      <c r="J1426" s="5" t="str">
        <f>IFERROR(__xludf.DUMMYFUNCTION("""COMPUTED_VALUE"""),"Wagner Moura")</f>
        <v>Wagner Moura</v>
      </c>
      <c r="K1426" s="5" t="str">
        <f>IFERROR(__xludf.DUMMYFUNCTION("""COMPUTED_VALUE"""),"Estrela 1")</f>
        <v>Estrela 1</v>
      </c>
      <c r="P1426" s="5">
        <f>IFERROR(__xludf.DUMMYFUNCTION("""COMPUTED_VALUE"""),357.0)</f>
        <v>357</v>
      </c>
      <c r="Q1426" s="5" t="str">
        <f>IFERROR(__xludf.DUMMYFUNCTION("""COMPUTED_VALUE"""),"Tropa de Elite")</f>
        <v>Tropa de Elite</v>
      </c>
      <c r="R1426" s="5" t="str">
        <f>IFERROR(__xludf.DUMMYFUNCTION("""COMPUTED_VALUE"""),"Wagner Moura")</f>
        <v>Wagner Moura</v>
      </c>
      <c r="S1426" s="5" t="str">
        <f>IFERROR(__xludf.DUMMYFUNCTION("""COMPUTED_VALUE"""),"Estrela 1")</f>
        <v>Estrela 1</v>
      </c>
    </row>
    <row r="1427">
      <c r="G1427" s="5" t="str">
        <f>IFERROR(__xludf.DUMMYFUNCTION("""COMPUTED_VALUE"""),"357🤙🏼Tropa de Elite🤙🏼André Ramiro🤙🏼Estrela 2")</f>
        <v>357🤙🏼Tropa de Elite🤙🏼André Ramiro🤙🏼Estrela 2</v>
      </c>
      <c r="H1427" s="5">
        <f>IFERROR(__xludf.DUMMYFUNCTION("SPLiT(G1427, ""🤙🏼"",FALSE,FALSE)"),357.0)</f>
        <v>357</v>
      </c>
      <c r="I1427" s="5" t="str">
        <f>IFERROR(__xludf.DUMMYFUNCTION("""COMPUTED_VALUE"""),"Tropa de Elite")</f>
        <v>Tropa de Elite</v>
      </c>
      <c r="J1427" s="5" t="str">
        <f>IFERROR(__xludf.DUMMYFUNCTION("""COMPUTED_VALUE"""),"André Ramiro")</f>
        <v>André Ramiro</v>
      </c>
      <c r="K1427" s="5" t="str">
        <f>IFERROR(__xludf.DUMMYFUNCTION("""COMPUTED_VALUE"""),"Estrela 2")</f>
        <v>Estrela 2</v>
      </c>
      <c r="P1427" s="5">
        <f>IFERROR(__xludf.DUMMYFUNCTION("""COMPUTED_VALUE"""),357.0)</f>
        <v>357</v>
      </c>
      <c r="Q1427" s="5" t="str">
        <f>IFERROR(__xludf.DUMMYFUNCTION("""COMPUTED_VALUE"""),"Tropa de Elite")</f>
        <v>Tropa de Elite</v>
      </c>
      <c r="R1427" s="5" t="str">
        <f>IFERROR(__xludf.DUMMYFUNCTION("""COMPUTED_VALUE"""),"André Ramiro")</f>
        <v>André Ramiro</v>
      </c>
      <c r="S1427" s="5" t="str">
        <f>IFERROR(__xludf.DUMMYFUNCTION("""COMPUTED_VALUE"""),"Estrela 2")</f>
        <v>Estrela 2</v>
      </c>
    </row>
    <row r="1428">
      <c r="G1428" s="5" t="str">
        <f>IFERROR(__xludf.DUMMYFUNCTION("""COMPUTED_VALUE"""),"357🤙🏼Tropa de Elite🤙🏼Caio Junqueira🤙🏼Estrela 3")</f>
        <v>357🤙🏼Tropa de Elite🤙🏼Caio Junqueira🤙🏼Estrela 3</v>
      </c>
      <c r="H1428" s="5">
        <f>IFERROR(__xludf.DUMMYFUNCTION("SPLiT(G1428, ""🤙🏼"",FALSE,FALSE)"),357.0)</f>
        <v>357</v>
      </c>
      <c r="I1428" s="5" t="str">
        <f>IFERROR(__xludf.DUMMYFUNCTION("""COMPUTED_VALUE"""),"Tropa de Elite")</f>
        <v>Tropa de Elite</v>
      </c>
      <c r="J1428" s="5" t="str">
        <f>IFERROR(__xludf.DUMMYFUNCTION("""COMPUTED_VALUE"""),"Caio Junqueira")</f>
        <v>Caio Junqueira</v>
      </c>
      <c r="K1428" s="5" t="str">
        <f>IFERROR(__xludf.DUMMYFUNCTION("""COMPUTED_VALUE"""),"Estrela 3")</f>
        <v>Estrela 3</v>
      </c>
      <c r="P1428" s="5">
        <f>IFERROR(__xludf.DUMMYFUNCTION("""COMPUTED_VALUE"""),357.0)</f>
        <v>357</v>
      </c>
      <c r="Q1428" s="5" t="str">
        <f>IFERROR(__xludf.DUMMYFUNCTION("""COMPUTED_VALUE"""),"Tropa de Elite")</f>
        <v>Tropa de Elite</v>
      </c>
      <c r="R1428" s="5" t="str">
        <f>IFERROR(__xludf.DUMMYFUNCTION("""COMPUTED_VALUE"""),"Caio Junqueira")</f>
        <v>Caio Junqueira</v>
      </c>
      <c r="S1428" s="5" t="str">
        <f>IFERROR(__xludf.DUMMYFUNCTION("""COMPUTED_VALUE"""),"Estrela 3")</f>
        <v>Estrela 3</v>
      </c>
    </row>
    <row r="1429">
      <c r="G1429" s="5" t="str">
        <f>IFERROR(__xludf.DUMMYFUNCTION("""COMPUTED_VALUE"""),"357🤙🏼Tropa de Elite🤙🏼Milhem Cortaz🤙🏼Estrela 4")</f>
        <v>357🤙🏼Tropa de Elite🤙🏼Milhem Cortaz🤙🏼Estrela 4</v>
      </c>
      <c r="H1429" s="5">
        <f>IFERROR(__xludf.DUMMYFUNCTION("SPLiT(G1429, ""🤙🏼"",FALSE,FALSE)"),357.0)</f>
        <v>357</v>
      </c>
      <c r="I1429" s="5" t="str">
        <f>IFERROR(__xludf.DUMMYFUNCTION("""COMPUTED_VALUE"""),"Tropa de Elite")</f>
        <v>Tropa de Elite</v>
      </c>
      <c r="J1429" s="5" t="str">
        <f>IFERROR(__xludf.DUMMYFUNCTION("""COMPUTED_VALUE"""),"Milhem Cortaz")</f>
        <v>Milhem Cortaz</v>
      </c>
      <c r="K1429" s="5" t="str">
        <f>IFERROR(__xludf.DUMMYFUNCTION("""COMPUTED_VALUE"""),"Estrela 4")</f>
        <v>Estrela 4</v>
      </c>
      <c r="P1429" s="5">
        <f>IFERROR(__xludf.DUMMYFUNCTION("""COMPUTED_VALUE"""),357.0)</f>
        <v>357</v>
      </c>
      <c r="Q1429" s="5" t="str">
        <f>IFERROR(__xludf.DUMMYFUNCTION("""COMPUTED_VALUE"""),"Tropa de Elite")</f>
        <v>Tropa de Elite</v>
      </c>
      <c r="R1429" s="5" t="str">
        <f>IFERROR(__xludf.DUMMYFUNCTION("""COMPUTED_VALUE"""),"Milhem Cortaz")</f>
        <v>Milhem Cortaz</v>
      </c>
      <c r="S1429" s="5" t="str">
        <f>IFERROR(__xludf.DUMMYFUNCTION("""COMPUTED_VALUE"""),"Estrela 4")</f>
        <v>Estrela 4</v>
      </c>
    </row>
    <row r="1430">
      <c r="G1430" s="5" t="str">
        <f>IFERROR(__xludf.DUMMYFUNCTION("""COMPUTED_VALUE"""),"358🤙🏼The Avengers🤙🏼Robert Downey Jr.🤙🏼Estrela 1")</f>
        <v>358🤙🏼The Avengers🤙🏼Robert Downey Jr.🤙🏼Estrela 1</v>
      </c>
      <c r="H1430" s="5">
        <f>IFERROR(__xludf.DUMMYFUNCTION("SPLiT(G1430, ""🤙🏼"",FALSE,FALSE)"),358.0)</f>
        <v>358</v>
      </c>
      <c r="I1430" s="5" t="str">
        <f>IFERROR(__xludf.DUMMYFUNCTION("""COMPUTED_VALUE"""),"The Avengers")</f>
        <v>The Avengers</v>
      </c>
      <c r="J1430" s="5" t="str">
        <f>IFERROR(__xludf.DUMMYFUNCTION("""COMPUTED_VALUE"""),"Robert Downey Jr.")</f>
        <v>Robert Downey Jr.</v>
      </c>
      <c r="K1430" s="5" t="str">
        <f>IFERROR(__xludf.DUMMYFUNCTION("""COMPUTED_VALUE"""),"Estrela 1")</f>
        <v>Estrela 1</v>
      </c>
      <c r="P1430" s="5">
        <f>IFERROR(__xludf.DUMMYFUNCTION("""COMPUTED_VALUE"""),358.0)</f>
        <v>358</v>
      </c>
      <c r="Q1430" s="5" t="str">
        <f>IFERROR(__xludf.DUMMYFUNCTION("""COMPUTED_VALUE"""),"The Avengers")</f>
        <v>The Avengers</v>
      </c>
      <c r="R1430" s="5" t="str">
        <f>IFERROR(__xludf.DUMMYFUNCTION("""COMPUTED_VALUE"""),"Robert Downey Jr.")</f>
        <v>Robert Downey Jr.</v>
      </c>
      <c r="S1430" s="5" t="str">
        <f>IFERROR(__xludf.DUMMYFUNCTION("""COMPUTED_VALUE"""),"Estrela 1")</f>
        <v>Estrela 1</v>
      </c>
    </row>
    <row r="1431">
      <c r="G1431" s="5" t="str">
        <f>IFERROR(__xludf.DUMMYFUNCTION("""COMPUTED_VALUE"""),"358🤙🏼The Avengers🤙🏼Chris Evans🤙🏼Estrela 2")</f>
        <v>358🤙🏼The Avengers🤙🏼Chris Evans🤙🏼Estrela 2</v>
      </c>
      <c r="H1431" s="5">
        <f>IFERROR(__xludf.DUMMYFUNCTION("SPLiT(G1431, ""🤙🏼"",FALSE,FALSE)"),358.0)</f>
        <v>358</v>
      </c>
      <c r="I1431" s="5" t="str">
        <f>IFERROR(__xludf.DUMMYFUNCTION("""COMPUTED_VALUE"""),"The Avengers")</f>
        <v>The Avengers</v>
      </c>
      <c r="J1431" s="5" t="str">
        <f>IFERROR(__xludf.DUMMYFUNCTION("""COMPUTED_VALUE"""),"Chris Evans")</f>
        <v>Chris Evans</v>
      </c>
      <c r="K1431" s="5" t="str">
        <f>IFERROR(__xludf.DUMMYFUNCTION("""COMPUTED_VALUE"""),"Estrela 2")</f>
        <v>Estrela 2</v>
      </c>
      <c r="P1431" s="5">
        <f>IFERROR(__xludf.DUMMYFUNCTION("""COMPUTED_VALUE"""),358.0)</f>
        <v>358</v>
      </c>
      <c r="Q1431" s="5" t="str">
        <f>IFERROR(__xludf.DUMMYFUNCTION("""COMPUTED_VALUE"""),"The Avengers")</f>
        <v>The Avengers</v>
      </c>
      <c r="R1431" s="5" t="str">
        <f>IFERROR(__xludf.DUMMYFUNCTION("""COMPUTED_VALUE"""),"Chris Evans")</f>
        <v>Chris Evans</v>
      </c>
      <c r="S1431" s="5" t="str">
        <f>IFERROR(__xludf.DUMMYFUNCTION("""COMPUTED_VALUE"""),"Estrela 2")</f>
        <v>Estrela 2</v>
      </c>
    </row>
    <row r="1432">
      <c r="G1432" s="5" t="str">
        <f>IFERROR(__xludf.DUMMYFUNCTION("""COMPUTED_VALUE"""),"358🤙🏼The Avengers🤙🏼Scarlett Johansson🤙🏼Estrela 3")</f>
        <v>358🤙🏼The Avengers🤙🏼Scarlett Johansson🤙🏼Estrela 3</v>
      </c>
      <c r="H1432" s="5">
        <f>IFERROR(__xludf.DUMMYFUNCTION("SPLiT(G1432, ""🤙🏼"",FALSE,FALSE)"),358.0)</f>
        <v>358</v>
      </c>
      <c r="I1432" s="5" t="str">
        <f>IFERROR(__xludf.DUMMYFUNCTION("""COMPUTED_VALUE"""),"The Avengers")</f>
        <v>The Avengers</v>
      </c>
      <c r="J1432" s="5" t="str">
        <f>IFERROR(__xludf.DUMMYFUNCTION("""COMPUTED_VALUE"""),"Scarlett Johansson")</f>
        <v>Scarlett Johansson</v>
      </c>
      <c r="K1432" s="5" t="str">
        <f>IFERROR(__xludf.DUMMYFUNCTION("""COMPUTED_VALUE"""),"Estrela 3")</f>
        <v>Estrela 3</v>
      </c>
      <c r="P1432" s="5">
        <f>IFERROR(__xludf.DUMMYFUNCTION("""COMPUTED_VALUE"""),358.0)</f>
        <v>358</v>
      </c>
      <c r="Q1432" s="5" t="str">
        <f>IFERROR(__xludf.DUMMYFUNCTION("""COMPUTED_VALUE"""),"The Avengers")</f>
        <v>The Avengers</v>
      </c>
      <c r="R1432" s="5" t="str">
        <f>IFERROR(__xludf.DUMMYFUNCTION("""COMPUTED_VALUE"""),"Scarlett Johansson")</f>
        <v>Scarlett Johansson</v>
      </c>
      <c r="S1432" s="5" t="str">
        <f>IFERROR(__xludf.DUMMYFUNCTION("""COMPUTED_VALUE"""),"Estrela 3")</f>
        <v>Estrela 3</v>
      </c>
    </row>
    <row r="1433">
      <c r="G1433" s="5" t="str">
        <f>IFERROR(__xludf.DUMMYFUNCTION("""COMPUTED_VALUE"""),"358🤙🏼The Avengers🤙🏼Jeremy Renner🤙🏼Estrela 4")</f>
        <v>358🤙🏼The Avengers🤙🏼Jeremy Renner🤙🏼Estrela 4</v>
      </c>
      <c r="H1433" s="5">
        <f>IFERROR(__xludf.DUMMYFUNCTION("SPLiT(G1433, ""🤙🏼"",FALSE,FALSE)"),358.0)</f>
        <v>358</v>
      </c>
      <c r="I1433" s="5" t="str">
        <f>IFERROR(__xludf.DUMMYFUNCTION("""COMPUTED_VALUE"""),"The Avengers")</f>
        <v>The Avengers</v>
      </c>
      <c r="J1433" s="5" t="str">
        <f>IFERROR(__xludf.DUMMYFUNCTION("""COMPUTED_VALUE"""),"Jeremy Renner")</f>
        <v>Jeremy Renner</v>
      </c>
      <c r="K1433" s="5" t="str">
        <f>IFERROR(__xludf.DUMMYFUNCTION("""COMPUTED_VALUE"""),"Estrela 4")</f>
        <v>Estrela 4</v>
      </c>
      <c r="P1433" s="5">
        <f>IFERROR(__xludf.DUMMYFUNCTION("""COMPUTED_VALUE"""),358.0)</f>
        <v>358</v>
      </c>
      <c r="Q1433" s="5" t="str">
        <f>IFERROR(__xludf.DUMMYFUNCTION("""COMPUTED_VALUE"""),"The Avengers")</f>
        <v>The Avengers</v>
      </c>
      <c r="R1433" s="5" t="str">
        <f>IFERROR(__xludf.DUMMYFUNCTION("""COMPUTED_VALUE"""),"Jeremy Renner")</f>
        <v>Jeremy Renner</v>
      </c>
      <c r="S1433" s="5" t="str">
        <f>IFERROR(__xludf.DUMMYFUNCTION("""COMPUTED_VALUE"""),"Estrela 4")</f>
        <v>Estrela 4</v>
      </c>
    </row>
    <row r="1434">
      <c r="G1434" s="5" t="str">
        <f>IFERROR(__xludf.DUMMYFUNCTION("""COMPUTED_VALUE"""),"359🤙🏼Persepolis🤙🏼Marjane Satrapi🤙🏼Estrela 1")</f>
        <v>359🤙🏼Persepolis🤙🏼Marjane Satrapi🤙🏼Estrela 1</v>
      </c>
      <c r="H1434" s="5">
        <f>IFERROR(__xludf.DUMMYFUNCTION("SPLiT(G1434, ""🤙🏼"",FALSE,FALSE)"),359.0)</f>
        <v>359</v>
      </c>
      <c r="I1434" s="5" t="str">
        <f>IFERROR(__xludf.DUMMYFUNCTION("""COMPUTED_VALUE"""),"Persepolis")</f>
        <v>Persepolis</v>
      </c>
      <c r="J1434" s="5" t="str">
        <f>IFERROR(__xludf.DUMMYFUNCTION("""COMPUTED_VALUE"""),"Marjane Satrapi")</f>
        <v>Marjane Satrapi</v>
      </c>
      <c r="K1434" s="5" t="str">
        <f>IFERROR(__xludf.DUMMYFUNCTION("""COMPUTED_VALUE"""),"Estrela 1")</f>
        <v>Estrela 1</v>
      </c>
      <c r="P1434" s="5">
        <f>IFERROR(__xludf.DUMMYFUNCTION("""COMPUTED_VALUE"""),359.0)</f>
        <v>359</v>
      </c>
      <c r="Q1434" s="5" t="str">
        <f>IFERROR(__xludf.DUMMYFUNCTION("""COMPUTED_VALUE"""),"Persepolis")</f>
        <v>Persepolis</v>
      </c>
      <c r="R1434" s="5" t="str">
        <f>IFERROR(__xludf.DUMMYFUNCTION("""COMPUTED_VALUE"""),"Marjane Satrapi")</f>
        <v>Marjane Satrapi</v>
      </c>
      <c r="S1434" s="5" t="str">
        <f>IFERROR(__xludf.DUMMYFUNCTION("""COMPUTED_VALUE"""),"Estrela 1")</f>
        <v>Estrela 1</v>
      </c>
    </row>
    <row r="1435">
      <c r="G1435" s="5" t="str">
        <f>IFERROR(__xludf.DUMMYFUNCTION("""COMPUTED_VALUE"""),"359🤙🏼Persepolis🤙🏼Chiara Mastroianni🤙🏼Estrela 2")</f>
        <v>359🤙🏼Persepolis🤙🏼Chiara Mastroianni🤙🏼Estrela 2</v>
      </c>
      <c r="H1435" s="5">
        <f>IFERROR(__xludf.DUMMYFUNCTION("SPLiT(G1435, ""🤙🏼"",FALSE,FALSE)"),359.0)</f>
        <v>359</v>
      </c>
      <c r="I1435" s="5" t="str">
        <f>IFERROR(__xludf.DUMMYFUNCTION("""COMPUTED_VALUE"""),"Persepolis")</f>
        <v>Persepolis</v>
      </c>
      <c r="J1435" s="5" t="str">
        <f>IFERROR(__xludf.DUMMYFUNCTION("""COMPUTED_VALUE"""),"Chiara Mastroianni")</f>
        <v>Chiara Mastroianni</v>
      </c>
      <c r="K1435" s="5" t="str">
        <f>IFERROR(__xludf.DUMMYFUNCTION("""COMPUTED_VALUE"""),"Estrela 2")</f>
        <v>Estrela 2</v>
      </c>
      <c r="P1435" s="5">
        <f>IFERROR(__xludf.DUMMYFUNCTION("""COMPUTED_VALUE"""),359.0)</f>
        <v>359</v>
      </c>
      <c r="Q1435" s="5" t="str">
        <f>IFERROR(__xludf.DUMMYFUNCTION("""COMPUTED_VALUE"""),"Persepolis")</f>
        <v>Persepolis</v>
      </c>
      <c r="R1435" s="5" t="str">
        <f>IFERROR(__xludf.DUMMYFUNCTION("""COMPUTED_VALUE"""),"Chiara Mastroianni")</f>
        <v>Chiara Mastroianni</v>
      </c>
      <c r="S1435" s="5" t="str">
        <f>IFERROR(__xludf.DUMMYFUNCTION("""COMPUTED_VALUE"""),"Estrela 2")</f>
        <v>Estrela 2</v>
      </c>
    </row>
    <row r="1436">
      <c r="G1436" s="5" t="str">
        <f>IFERROR(__xludf.DUMMYFUNCTION("""COMPUTED_VALUE"""),"359🤙🏼Persepolis🤙🏼Catherine Deneuve🤙🏼Estrela 3")</f>
        <v>359🤙🏼Persepolis🤙🏼Catherine Deneuve🤙🏼Estrela 3</v>
      </c>
      <c r="H1436" s="5">
        <f>IFERROR(__xludf.DUMMYFUNCTION("SPLiT(G1436, ""🤙🏼"",FALSE,FALSE)"),359.0)</f>
        <v>359</v>
      </c>
      <c r="I1436" s="5" t="str">
        <f>IFERROR(__xludf.DUMMYFUNCTION("""COMPUTED_VALUE"""),"Persepolis")</f>
        <v>Persepolis</v>
      </c>
      <c r="J1436" s="5" t="str">
        <f>IFERROR(__xludf.DUMMYFUNCTION("""COMPUTED_VALUE"""),"Catherine Deneuve")</f>
        <v>Catherine Deneuve</v>
      </c>
      <c r="K1436" s="5" t="str">
        <f>IFERROR(__xludf.DUMMYFUNCTION("""COMPUTED_VALUE"""),"Estrela 3")</f>
        <v>Estrela 3</v>
      </c>
      <c r="P1436" s="5">
        <f>IFERROR(__xludf.DUMMYFUNCTION("""COMPUTED_VALUE"""),359.0)</f>
        <v>359</v>
      </c>
      <c r="Q1436" s="5" t="str">
        <f>IFERROR(__xludf.DUMMYFUNCTION("""COMPUTED_VALUE"""),"Persepolis")</f>
        <v>Persepolis</v>
      </c>
      <c r="R1436" s="5" t="str">
        <f>IFERROR(__xludf.DUMMYFUNCTION("""COMPUTED_VALUE"""),"Catherine Deneuve")</f>
        <v>Catherine Deneuve</v>
      </c>
      <c r="S1436" s="5" t="str">
        <f>IFERROR(__xludf.DUMMYFUNCTION("""COMPUTED_VALUE"""),"Estrela 3")</f>
        <v>Estrela 3</v>
      </c>
    </row>
    <row r="1437">
      <c r="G1437" s="5" t="str">
        <f>IFERROR(__xludf.DUMMYFUNCTION("""COMPUTED_VALUE"""),"359🤙🏼Persepolis🤙🏼Gena Rowlands🤙🏼Estrela 4")</f>
        <v>359🤙🏼Persepolis🤙🏼Gena Rowlands🤙🏼Estrela 4</v>
      </c>
      <c r="H1437" s="5">
        <f>IFERROR(__xludf.DUMMYFUNCTION("SPLiT(G1437, ""🤙🏼"",FALSE,FALSE)"),359.0)</f>
        <v>359</v>
      </c>
      <c r="I1437" s="5" t="str">
        <f>IFERROR(__xludf.DUMMYFUNCTION("""COMPUTED_VALUE"""),"Persepolis")</f>
        <v>Persepolis</v>
      </c>
      <c r="J1437" s="5" t="str">
        <f>IFERROR(__xludf.DUMMYFUNCTION("""COMPUTED_VALUE"""),"Gena Rowlands")</f>
        <v>Gena Rowlands</v>
      </c>
      <c r="K1437" s="5" t="str">
        <f>IFERROR(__xludf.DUMMYFUNCTION("""COMPUTED_VALUE"""),"Estrela 4")</f>
        <v>Estrela 4</v>
      </c>
      <c r="P1437" s="5">
        <f>IFERROR(__xludf.DUMMYFUNCTION("""COMPUTED_VALUE"""),359.0)</f>
        <v>359</v>
      </c>
      <c r="Q1437" s="5" t="str">
        <f>IFERROR(__xludf.DUMMYFUNCTION("""COMPUTED_VALUE"""),"Persepolis")</f>
        <v>Persepolis</v>
      </c>
      <c r="R1437" s="5" t="str">
        <f>IFERROR(__xludf.DUMMYFUNCTION("""COMPUTED_VALUE"""),"Gena Rowlands")</f>
        <v>Gena Rowlands</v>
      </c>
      <c r="S1437" s="5" t="str">
        <f>IFERROR(__xludf.DUMMYFUNCTION("""COMPUTED_VALUE"""),"Estrela 4")</f>
        <v>Estrela 4</v>
      </c>
    </row>
    <row r="1438">
      <c r="G1438" s="5" t="str">
        <f>IFERROR(__xludf.DUMMYFUNCTION("""COMPUTED_VALUE"""),"360🤙🏼Dallas Buyers Club🤙🏼Matthew McConaughey🤙🏼Estrela 1")</f>
        <v>360🤙🏼Dallas Buyers Club🤙🏼Matthew McConaughey🤙🏼Estrela 1</v>
      </c>
      <c r="H1438" s="5">
        <f>IFERROR(__xludf.DUMMYFUNCTION("SPLiT(G1438, ""🤙🏼"",FALSE,FALSE)"),360.0)</f>
        <v>360</v>
      </c>
      <c r="I1438" s="5" t="str">
        <f>IFERROR(__xludf.DUMMYFUNCTION("""COMPUTED_VALUE"""),"Dallas Buyers Club")</f>
        <v>Dallas Buyers Club</v>
      </c>
      <c r="J1438" s="5" t="str">
        <f>IFERROR(__xludf.DUMMYFUNCTION("""COMPUTED_VALUE"""),"Matthew McConaughey")</f>
        <v>Matthew McConaughey</v>
      </c>
      <c r="K1438" s="5" t="str">
        <f>IFERROR(__xludf.DUMMYFUNCTION("""COMPUTED_VALUE"""),"Estrela 1")</f>
        <v>Estrela 1</v>
      </c>
      <c r="P1438" s="5">
        <f>IFERROR(__xludf.DUMMYFUNCTION("""COMPUTED_VALUE"""),360.0)</f>
        <v>360</v>
      </c>
      <c r="Q1438" s="5" t="str">
        <f>IFERROR(__xludf.DUMMYFUNCTION("""COMPUTED_VALUE"""),"Dallas Buyers Club")</f>
        <v>Dallas Buyers Club</v>
      </c>
      <c r="R1438" s="5" t="str">
        <f>IFERROR(__xludf.DUMMYFUNCTION("""COMPUTED_VALUE"""),"Matthew McConaughey")</f>
        <v>Matthew McConaughey</v>
      </c>
      <c r="S1438" s="5" t="str">
        <f>IFERROR(__xludf.DUMMYFUNCTION("""COMPUTED_VALUE"""),"Estrela 1")</f>
        <v>Estrela 1</v>
      </c>
    </row>
    <row r="1439">
      <c r="G1439" s="5" t="str">
        <f>IFERROR(__xludf.DUMMYFUNCTION("""COMPUTED_VALUE"""),"360🤙🏼Dallas Buyers Club🤙🏼Jennifer Garner🤙🏼Estrela 2")</f>
        <v>360🤙🏼Dallas Buyers Club🤙🏼Jennifer Garner🤙🏼Estrela 2</v>
      </c>
      <c r="H1439" s="5">
        <f>IFERROR(__xludf.DUMMYFUNCTION("SPLiT(G1439, ""🤙🏼"",FALSE,FALSE)"),360.0)</f>
        <v>360</v>
      </c>
      <c r="I1439" s="5" t="str">
        <f>IFERROR(__xludf.DUMMYFUNCTION("""COMPUTED_VALUE"""),"Dallas Buyers Club")</f>
        <v>Dallas Buyers Club</v>
      </c>
      <c r="J1439" s="5" t="str">
        <f>IFERROR(__xludf.DUMMYFUNCTION("""COMPUTED_VALUE"""),"Jennifer Garner")</f>
        <v>Jennifer Garner</v>
      </c>
      <c r="K1439" s="5" t="str">
        <f>IFERROR(__xludf.DUMMYFUNCTION("""COMPUTED_VALUE"""),"Estrela 2")</f>
        <v>Estrela 2</v>
      </c>
      <c r="P1439" s="5">
        <f>IFERROR(__xludf.DUMMYFUNCTION("""COMPUTED_VALUE"""),360.0)</f>
        <v>360</v>
      </c>
      <c r="Q1439" s="5" t="str">
        <f>IFERROR(__xludf.DUMMYFUNCTION("""COMPUTED_VALUE"""),"Dallas Buyers Club")</f>
        <v>Dallas Buyers Club</v>
      </c>
      <c r="R1439" s="5" t="str">
        <f>IFERROR(__xludf.DUMMYFUNCTION("""COMPUTED_VALUE"""),"Jennifer Garner")</f>
        <v>Jennifer Garner</v>
      </c>
      <c r="S1439" s="5" t="str">
        <f>IFERROR(__xludf.DUMMYFUNCTION("""COMPUTED_VALUE"""),"Estrela 2")</f>
        <v>Estrela 2</v>
      </c>
    </row>
    <row r="1440">
      <c r="G1440" s="5" t="str">
        <f>IFERROR(__xludf.DUMMYFUNCTION("""COMPUTED_VALUE"""),"360🤙🏼Dallas Buyers Club🤙🏼Jared Leto🤙🏼Estrela 3")</f>
        <v>360🤙🏼Dallas Buyers Club🤙🏼Jared Leto🤙🏼Estrela 3</v>
      </c>
      <c r="H1440" s="5">
        <f>IFERROR(__xludf.DUMMYFUNCTION("SPLiT(G1440, ""🤙🏼"",FALSE,FALSE)"),360.0)</f>
        <v>360</v>
      </c>
      <c r="I1440" s="5" t="str">
        <f>IFERROR(__xludf.DUMMYFUNCTION("""COMPUTED_VALUE"""),"Dallas Buyers Club")</f>
        <v>Dallas Buyers Club</v>
      </c>
      <c r="J1440" s="5" t="str">
        <f>IFERROR(__xludf.DUMMYFUNCTION("""COMPUTED_VALUE"""),"Jared Leto")</f>
        <v>Jared Leto</v>
      </c>
      <c r="K1440" s="5" t="str">
        <f>IFERROR(__xludf.DUMMYFUNCTION("""COMPUTED_VALUE"""),"Estrela 3")</f>
        <v>Estrela 3</v>
      </c>
      <c r="P1440" s="5">
        <f>IFERROR(__xludf.DUMMYFUNCTION("""COMPUTED_VALUE"""),360.0)</f>
        <v>360</v>
      </c>
      <c r="Q1440" s="5" t="str">
        <f>IFERROR(__xludf.DUMMYFUNCTION("""COMPUTED_VALUE"""),"Dallas Buyers Club")</f>
        <v>Dallas Buyers Club</v>
      </c>
      <c r="R1440" s="5" t="str">
        <f>IFERROR(__xludf.DUMMYFUNCTION("""COMPUTED_VALUE"""),"Jared Leto")</f>
        <v>Jared Leto</v>
      </c>
      <c r="S1440" s="5" t="str">
        <f>IFERROR(__xludf.DUMMYFUNCTION("""COMPUTED_VALUE"""),"Estrela 3")</f>
        <v>Estrela 3</v>
      </c>
    </row>
    <row r="1441">
      <c r="G1441" s="5" t="str">
        <f>IFERROR(__xludf.DUMMYFUNCTION("""COMPUTED_VALUE"""),"360🤙🏼Dallas Buyers Club🤙🏼Steve Zahn🤙🏼Estrela 4")</f>
        <v>360🤙🏼Dallas Buyers Club🤙🏼Steve Zahn🤙🏼Estrela 4</v>
      </c>
      <c r="H1441" s="5">
        <f>IFERROR(__xludf.DUMMYFUNCTION("SPLiT(G1441, ""🤙🏼"",FALSE,FALSE)"),360.0)</f>
        <v>360</v>
      </c>
      <c r="I1441" s="5" t="str">
        <f>IFERROR(__xludf.DUMMYFUNCTION("""COMPUTED_VALUE"""),"Dallas Buyers Club")</f>
        <v>Dallas Buyers Club</v>
      </c>
      <c r="J1441" s="5" t="str">
        <f>IFERROR(__xludf.DUMMYFUNCTION("""COMPUTED_VALUE"""),"Steve Zahn")</f>
        <v>Steve Zahn</v>
      </c>
      <c r="K1441" s="5" t="str">
        <f>IFERROR(__xludf.DUMMYFUNCTION("""COMPUTED_VALUE"""),"Estrela 4")</f>
        <v>Estrela 4</v>
      </c>
      <c r="P1441" s="5">
        <f>IFERROR(__xludf.DUMMYFUNCTION("""COMPUTED_VALUE"""),360.0)</f>
        <v>360</v>
      </c>
      <c r="Q1441" s="5" t="str">
        <f>IFERROR(__xludf.DUMMYFUNCTION("""COMPUTED_VALUE"""),"Dallas Buyers Club")</f>
        <v>Dallas Buyers Club</v>
      </c>
      <c r="R1441" s="5" t="str">
        <f>IFERROR(__xludf.DUMMYFUNCTION("""COMPUTED_VALUE"""),"Steve Zahn")</f>
        <v>Steve Zahn</v>
      </c>
      <c r="S1441" s="5" t="str">
        <f>IFERROR(__xludf.DUMMYFUNCTION("""COMPUTED_VALUE"""),"Estrela 4")</f>
        <v>Estrela 4</v>
      </c>
    </row>
    <row r="1442">
      <c r="G1442" s="5" t="str">
        <f>IFERROR(__xludf.DUMMYFUNCTION("""COMPUTED_VALUE"""),"361🤙🏼The Pursuit of Happyness🤙🏼Will Smith🤙🏼Estrela 1")</f>
        <v>361🤙🏼The Pursuit of Happyness🤙🏼Will Smith🤙🏼Estrela 1</v>
      </c>
      <c r="H1442" s="5">
        <f>IFERROR(__xludf.DUMMYFUNCTION("SPLiT(G1442, ""🤙🏼"",FALSE,FALSE)"),361.0)</f>
        <v>361</v>
      </c>
      <c r="I1442" s="5" t="str">
        <f>IFERROR(__xludf.DUMMYFUNCTION("""COMPUTED_VALUE"""),"The Pursuit of Happyness")</f>
        <v>The Pursuit of Happyness</v>
      </c>
      <c r="J1442" s="5" t="str">
        <f>IFERROR(__xludf.DUMMYFUNCTION("""COMPUTED_VALUE"""),"Will Smith")</f>
        <v>Will Smith</v>
      </c>
      <c r="K1442" s="5" t="str">
        <f>IFERROR(__xludf.DUMMYFUNCTION("""COMPUTED_VALUE"""),"Estrela 1")</f>
        <v>Estrela 1</v>
      </c>
      <c r="P1442" s="5">
        <f>IFERROR(__xludf.DUMMYFUNCTION("""COMPUTED_VALUE"""),361.0)</f>
        <v>361</v>
      </c>
      <c r="Q1442" s="5" t="str">
        <f>IFERROR(__xludf.DUMMYFUNCTION("""COMPUTED_VALUE"""),"The Pursuit of Happyness")</f>
        <v>The Pursuit of Happyness</v>
      </c>
      <c r="R1442" s="5" t="str">
        <f>IFERROR(__xludf.DUMMYFUNCTION("""COMPUTED_VALUE"""),"Will Smith")</f>
        <v>Will Smith</v>
      </c>
      <c r="S1442" s="5" t="str">
        <f>IFERROR(__xludf.DUMMYFUNCTION("""COMPUTED_VALUE"""),"Estrela 1")</f>
        <v>Estrela 1</v>
      </c>
    </row>
    <row r="1443">
      <c r="G1443" s="5" t="str">
        <f>IFERROR(__xludf.DUMMYFUNCTION("""COMPUTED_VALUE"""),"361🤙🏼The Pursuit of Happyness🤙🏼Thandie Newton🤙🏼Estrela 2")</f>
        <v>361🤙🏼The Pursuit of Happyness🤙🏼Thandie Newton🤙🏼Estrela 2</v>
      </c>
      <c r="H1443" s="5">
        <f>IFERROR(__xludf.DUMMYFUNCTION("SPLiT(G1443, ""🤙🏼"",FALSE,FALSE)"),361.0)</f>
        <v>361</v>
      </c>
      <c r="I1443" s="5" t="str">
        <f>IFERROR(__xludf.DUMMYFUNCTION("""COMPUTED_VALUE"""),"The Pursuit of Happyness")</f>
        <v>The Pursuit of Happyness</v>
      </c>
      <c r="J1443" s="5" t="str">
        <f>IFERROR(__xludf.DUMMYFUNCTION("""COMPUTED_VALUE"""),"Thandie Newton")</f>
        <v>Thandie Newton</v>
      </c>
      <c r="K1443" s="5" t="str">
        <f>IFERROR(__xludf.DUMMYFUNCTION("""COMPUTED_VALUE"""),"Estrela 2")</f>
        <v>Estrela 2</v>
      </c>
      <c r="P1443" s="5">
        <f>IFERROR(__xludf.DUMMYFUNCTION("""COMPUTED_VALUE"""),361.0)</f>
        <v>361</v>
      </c>
      <c r="Q1443" s="5" t="str">
        <f>IFERROR(__xludf.DUMMYFUNCTION("""COMPUTED_VALUE"""),"The Pursuit of Happyness")</f>
        <v>The Pursuit of Happyness</v>
      </c>
      <c r="R1443" s="5" t="str">
        <f>IFERROR(__xludf.DUMMYFUNCTION("""COMPUTED_VALUE"""),"Thandie Newton")</f>
        <v>Thandie Newton</v>
      </c>
      <c r="S1443" s="5" t="str">
        <f>IFERROR(__xludf.DUMMYFUNCTION("""COMPUTED_VALUE"""),"Estrela 2")</f>
        <v>Estrela 2</v>
      </c>
    </row>
    <row r="1444">
      <c r="G1444" s="5" t="str">
        <f>IFERROR(__xludf.DUMMYFUNCTION("""COMPUTED_VALUE"""),"361🤙🏼The Pursuit of Happyness🤙🏼Jaden Smith🤙🏼Estrela 3")</f>
        <v>361🤙🏼The Pursuit of Happyness🤙🏼Jaden Smith🤙🏼Estrela 3</v>
      </c>
      <c r="H1444" s="5">
        <f>IFERROR(__xludf.DUMMYFUNCTION("SPLiT(G1444, ""🤙🏼"",FALSE,FALSE)"),361.0)</f>
        <v>361</v>
      </c>
      <c r="I1444" s="5" t="str">
        <f>IFERROR(__xludf.DUMMYFUNCTION("""COMPUTED_VALUE"""),"The Pursuit of Happyness")</f>
        <v>The Pursuit of Happyness</v>
      </c>
      <c r="J1444" s="5" t="str">
        <f>IFERROR(__xludf.DUMMYFUNCTION("""COMPUTED_VALUE"""),"Jaden Smith")</f>
        <v>Jaden Smith</v>
      </c>
      <c r="K1444" s="5" t="str">
        <f>IFERROR(__xludf.DUMMYFUNCTION("""COMPUTED_VALUE"""),"Estrela 3")</f>
        <v>Estrela 3</v>
      </c>
      <c r="P1444" s="5">
        <f>IFERROR(__xludf.DUMMYFUNCTION("""COMPUTED_VALUE"""),361.0)</f>
        <v>361</v>
      </c>
      <c r="Q1444" s="5" t="str">
        <f>IFERROR(__xludf.DUMMYFUNCTION("""COMPUTED_VALUE"""),"The Pursuit of Happyness")</f>
        <v>The Pursuit of Happyness</v>
      </c>
      <c r="R1444" s="5" t="str">
        <f>IFERROR(__xludf.DUMMYFUNCTION("""COMPUTED_VALUE"""),"Jaden Smith")</f>
        <v>Jaden Smith</v>
      </c>
      <c r="S1444" s="5" t="str">
        <f>IFERROR(__xludf.DUMMYFUNCTION("""COMPUTED_VALUE"""),"Estrela 3")</f>
        <v>Estrela 3</v>
      </c>
    </row>
    <row r="1445">
      <c r="G1445" s="5" t="str">
        <f>IFERROR(__xludf.DUMMYFUNCTION("""COMPUTED_VALUE"""),"361🤙🏼The Pursuit of Happyness🤙🏼Brian Howe🤙🏼Estrela 4")</f>
        <v>361🤙🏼The Pursuit of Happyness🤙🏼Brian Howe🤙🏼Estrela 4</v>
      </c>
      <c r="H1445" s="5">
        <f>IFERROR(__xludf.DUMMYFUNCTION("SPLiT(G1445, ""🤙🏼"",FALSE,FALSE)"),361.0)</f>
        <v>361</v>
      </c>
      <c r="I1445" s="5" t="str">
        <f>IFERROR(__xludf.DUMMYFUNCTION("""COMPUTED_VALUE"""),"The Pursuit of Happyness")</f>
        <v>The Pursuit of Happyness</v>
      </c>
      <c r="J1445" s="5" t="str">
        <f>IFERROR(__xludf.DUMMYFUNCTION("""COMPUTED_VALUE"""),"Brian Howe")</f>
        <v>Brian Howe</v>
      </c>
      <c r="K1445" s="5" t="str">
        <f>IFERROR(__xludf.DUMMYFUNCTION("""COMPUTED_VALUE"""),"Estrela 4")</f>
        <v>Estrela 4</v>
      </c>
      <c r="P1445" s="5">
        <f>IFERROR(__xludf.DUMMYFUNCTION("""COMPUTED_VALUE"""),361.0)</f>
        <v>361</v>
      </c>
      <c r="Q1445" s="5" t="str">
        <f>IFERROR(__xludf.DUMMYFUNCTION("""COMPUTED_VALUE"""),"The Pursuit of Happyness")</f>
        <v>The Pursuit of Happyness</v>
      </c>
      <c r="R1445" s="5" t="str">
        <f>IFERROR(__xludf.DUMMYFUNCTION("""COMPUTED_VALUE"""),"Brian Howe")</f>
        <v>Brian Howe</v>
      </c>
      <c r="S1445" s="5" t="str">
        <f>IFERROR(__xludf.DUMMYFUNCTION("""COMPUTED_VALUE"""),"Estrela 4")</f>
        <v>Estrela 4</v>
      </c>
    </row>
    <row r="1446">
      <c r="G1446" s="5" t="str">
        <f>IFERROR(__xludf.DUMMYFUNCTION("""COMPUTED_VALUE"""),"362🤙🏼Blood Diamond🤙🏼Leonardo DiCaprio🤙🏼Estrela 1")</f>
        <v>362🤙🏼Blood Diamond🤙🏼Leonardo DiCaprio🤙🏼Estrela 1</v>
      </c>
      <c r="H1446" s="5">
        <f>IFERROR(__xludf.DUMMYFUNCTION("SPLiT(G1446, ""🤙🏼"",FALSE,FALSE)"),362.0)</f>
        <v>362</v>
      </c>
      <c r="I1446" s="5" t="str">
        <f>IFERROR(__xludf.DUMMYFUNCTION("""COMPUTED_VALUE"""),"Blood Diamond")</f>
        <v>Blood Diamond</v>
      </c>
      <c r="J1446" s="5" t="str">
        <f>IFERROR(__xludf.DUMMYFUNCTION("""COMPUTED_VALUE"""),"Leonardo DiCaprio")</f>
        <v>Leonardo DiCaprio</v>
      </c>
      <c r="K1446" s="5" t="str">
        <f>IFERROR(__xludf.DUMMYFUNCTION("""COMPUTED_VALUE"""),"Estrela 1")</f>
        <v>Estrela 1</v>
      </c>
      <c r="P1446" s="5">
        <f>IFERROR(__xludf.DUMMYFUNCTION("""COMPUTED_VALUE"""),362.0)</f>
        <v>362</v>
      </c>
      <c r="Q1446" s="5" t="str">
        <f>IFERROR(__xludf.DUMMYFUNCTION("""COMPUTED_VALUE"""),"Blood Diamond")</f>
        <v>Blood Diamond</v>
      </c>
      <c r="R1446" s="5" t="str">
        <f>IFERROR(__xludf.DUMMYFUNCTION("""COMPUTED_VALUE"""),"Leonardo DiCaprio")</f>
        <v>Leonardo DiCaprio</v>
      </c>
      <c r="S1446" s="5" t="str">
        <f>IFERROR(__xludf.DUMMYFUNCTION("""COMPUTED_VALUE"""),"Estrela 1")</f>
        <v>Estrela 1</v>
      </c>
    </row>
    <row r="1447">
      <c r="G1447" s="5" t="str">
        <f>IFERROR(__xludf.DUMMYFUNCTION("""COMPUTED_VALUE"""),"362🤙🏼Blood Diamond🤙🏼Djimon Hounsou🤙🏼Estrela 2")</f>
        <v>362🤙🏼Blood Diamond🤙🏼Djimon Hounsou🤙🏼Estrela 2</v>
      </c>
      <c r="H1447" s="5">
        <f>IFERROR(__xludf.DUMMYFUNCTION("SPLiT(G1447, ""🤙🏼"",FALSE,FALSE)"),362.0)</f>
        <v>362</v>
      </c>
      <c r="I1447" s="5" t="str">
        <f>IFERROR(__xludf.DUMMYFUNCTION("""COMPUTED_VALUE"""),"Blood Diamond")</f>
        <v>Blood Diamond</v>
      </c>
      <c r="J1447" s="5" t="str">
        <f>IFERROR(__xludf.DUMMYFUNCTION("""COMPUTED_VALUE"""),"Djimon Hounsou")</f>
        <v>Djimon Hounsou</v>
      </c>
      <c r="K1447" s="5" t="str">
        <f>IFERROR(__xludf.DUMMYFUNCTION("""COMPUTED_VALUE"""),"Estrela 2")</f>
        <v>Estrela 2</v>
      </c>
      <c r="P1447" s="5">
        <f>IFERROR(__xludf.DUMMYFUNCTION("""COMPUTED_VALUE"""),362.0)</f>
        <v>362</v>
      </c>
      <c r="Q1447" s="5" t="str">
        <f>IFERROR(__xludf.DUMMYFUNCTION("""COMPUTED_VALUE"""),"Blood Diamond")</f>
        <v>Blood Diamond</v>
      </c>
      <c r="R1447" s="5" t="str">
        <f>IFERROR(__xludf.DUMMYFUNCTION("""COMPUTED_VALUE"""),"Djimon Hounsou")</f>
        <v>Djimon Hounsou</v>
      </c>
      <c r="S1447" s="5" t="str">
        <f>IFERROR(__xludf.DUMMYFUNCTION("""COMPUTED_VALUE"""),"Estrela 2")</f>
        <v>Estrela 2</v>
      </c>
    </row>
    <row r="1448">
      <c r="G1448" s="5" t="str">
        <f>IFERROR(__xludf.DUMMYFUNCTION("""COMPUTED_VALUE"""),"362🤙🏼Blood Diamond🤙🏼Jennifer Connelly🤙🏼Estrela 3")</f>
        <v>362🤙🏼Blood Diamond🤙🏼Jennifer Connelly🤙🏼Estrela 3</v>
      </c>
      <c r="H1448" s="5">
        <f>IFERROR(__xludf.DUMMYFUNCTION("SPLiT(G1448, ""🤙🏼"",FALSE,FALSE)"),362.0)</f>
        <v>362</v>
      </c>
      <c r="I1448" s="5" t="str">
        <f>IFERROR(__xludf.DUMMYFUNCTION("""COMPUTED_VALUE"""),"Blood Diamond")</f>
        <v>Blood Diamond</v>
      </c>
      <c r="J1448" s="5" t="str">
        <f>IFERROR(__xludf.DUMMYFUNCTION("""COMPUTED_VALUE"""),"Jennifer Connelly")</f>
        <v>Jennifer Connelly</v>
      </c>
      <c r="K1448" s="5" t="str">
        <f>IFERROR(__xludf.DUMMYFUNCTION("""COMPUTED_VALUE"""),"Estrela 3")</f>
        <v>Estrela 3</v>
      </c>
      <c r="P1448" s="5">
        <f>IFERROR(__xludf.DUMMYFUNCTION("""COMPUTED_VALUE"""),362.0)</f>
        <v>362</v>
      </c>
      <c r="Q1448" s="5" t="str">
        <f>IFERROR(__xludf.DUMMYFUNCTION("""COMPUTED_VALUE"""),"Blood Diamond")</f>
        <v>Blood Diamond</v>
      </c>
      <c r="R1448" s="5" t="str">
        <f>IFERROR(__xludf.DUMMYFUNCTION("""COMPUTED_VALUE"""),"Jennifer Connelly")</f>
        <v>Jennifer Connelly</v>
      </c>
      <c r="S1448" s="5" t="str">
        <f>IFERROR(__xludf.DUMMYFUNCTION("""COMPUTED_VALUE"""),"Estrela 3")</f>
        <v>Estrela 3</v>
      </c>
    </row>
    <row r="1449">
      <c r="G1449" s="5" t="str">
        <f>IFERROR(__xludf.DUMMYFUNCTION("""COMPUTED_VALUE"""),"362🤙🏼Blood Diamond🤙🏼Kagiso Kuypers🤙🏼Estrela 4")</f>
        <v>362🤙🏼Blood Diamond🤙🏼Kagiso Kuypers🤙🏼Estrela 4</v>
      </c>
      <c r="H1449" s="5">
        <f>IFERROR(__xludf.DUMMYFUNCTION("SPLiT(G1449, ""🤙🏼"",FALSE,FALSE)"),362.0)</f>
        <v>362</v>
      </c>
      <c r="I1449" s="5" t="str">
        <f>IFERROR(__xludf.DUMMYFUNCTION("""COMPUTED_VALUE"""),"Blood Diamond")</f>
        <v>Blood Diamond</v>
      </c>
      <c r="J1449" s="5" t="str">
        <f>IFERROR(__xludf.DUMMYFUNCTION("""COMPUTED_VALUE"""),"Kagiso Kuypers")</f>
        <v>Kagiso Kuypers</v>
      </c>
      <c r="K1449" s="5" t="str">
        <f>IFERROR(__xludf.DUMMYFUNCTION("""COMPUTED_VALUE"""),"Estrela 4")</f>
        <v>Estrela 4</v>
      </c>
      <c r="P1449" s="5">
        <f>IFERROR(__xludf.DUMMYFUNCTION("""COMPUTED_VALUE"""),362.0)</f>
        <v>362</v>
      </c>
      <c r="Q1449" s="5" t="str">
        <f>IFERROR(__xludf.DUMMYFUNCTION("""COMPUTED_VALUE"""),"Blood Diamond")</f>
        <v>Blood Diamond</v>
      </c>
      <c r="R1449" s="5" t="str">
        <f>IFERROR(__xludf.DUMMYFUNCTION("""COMPUTED_VALUE"""),"Kagiso Kuypers")</f>
        <v>Kagiso Kuypers</v>
      </c>
      <c r="S1449" s="5" t="str">
        <f>IFERROR(__xludf.DUMMYFUNCTION("""COMPUTED_VALUE"""),"Estrela 4")</f>
        <v>Estrela 4</v>
      </c>
    </row>
    <row r="1450">
      <c r="G1450" s="5" t="str">
        <f>IFERROR(__xludf.DUMMYFUNCTION("""COMPUTED_VALUE"""),"363🤙🏼The Bourne Ultimatum🤙🏼Matt Damon🤙🏼Estrela 1")</f>
        <v>363🤙🏼The Bourne Ultimatum🤙🏼Matt Damon🤙🏼Estrela 1</v>
      </c>
      <c r="H1450" s="5">
        <f>IFERROR(__xludf.DUMMYFUNCTION("SPLiT(G1450, ""🤙🏼"",FALSE,FALSE)"),363.0)</f>
        <v>363</v>
      </c>
      <c r="I1450" s="5" t="str">
        <f>IFERROR(__xludf.DUMMYFUNCTION("""COMPUTED_VALUE"""),"The Bourne Ultimatum")</f>
        <v>The Bourne Ultimatum</v>
      </c>
      <c r="J1450" s="5" t="str">
        <f>IFERROR(__xludf.DUMMYFUNCTION("""COMPUTED_VALUE"""),"Matt Damon")</f>
        <v>Matt Damon</v>
      </c>
      <c r="K1450" s="5" t="str">
        <f>IFERROR(__xludf.DUMMYFUNCTION("""COMPUTED_VALUE"""),"Estrela 1")</f>
        <v>Estrela 1</v>
      </c>
      <c r="P1450" s="5">
        <f>IFERROR(__xludf.DUMMYFUNCTION("""COMPUTED_VALUE"""),363.0)</f>
        <v>363</v>
      </c>
      <c r="Q1450" s="5" t="str">
        <f>IFERROR(__xludf.DUMMYFUNCTION("""COMPUTED_VALUE"""),"The Bourne Ultimatum")</f>
        <v>The Bourne Ultimatum</v>
      </c>
      <c r="R1450" s="5" t="str">
        <f>IFERROR(__xludf.DUMMYFUNCTION("""COMPUTED_VALUE"""),"Matt Damon")</f>
        <v>Matt Damon</v>
      </c>
      <c r="S1450" s="5" t="str">
        <f>IFERROR(__xludf.DUMMYFUNCTION("""COMPUTED_VALUE"""),"Estrela 1")</f>
        <v>Estrela 1</v>
      </c>
    </row>
    <row r="1451">
      <c r="G1451" s="5" t="str">
        <f>IFERROR(__xludf.DUMMYFUNCTION("""COMPUTED_VALUE"""),"363🤙🏼The Bourne Ultimatum🤙🏼Edgar Ramírez🤙🏼Estrela 2")</f>
        <v>363🤙🏼The Bourne Ultimatum🤙🏼Edgar Ramírez🤙🏼Estrela 2</v>
      </c>
      <c r="H1451" s="5">
        <f>IFERROR(__xludf.DUMMYFUNCTION("SPLiT(G1451, ""🤙🏼"",FALSE,FALSE)"),363.0)</f>
        <v>363</v>
      </c>
      <c r="I1451" s="5" t="str">
        <f>IFERROR(__xludf.DUMMYFUNCTION("""COMPUTED_VALUE"""),"The Bourne Ultimatum")</f>
        <v>The Bourne Ultimatum</v>
      </c>
      <c r="J1451" s="5" t="str">
        <f>IFERROR(__xludf.DUMMYFUNCTION("""COMPUTED_VALUE"""),"Edgar Ramírez")</f>
        <v>Edgar Ramírez</v>
      </c>
      <c r="K1451" s="5" t="str">
        <f>IFERROR(__xludf.DUMMYFUNCTION("""COMPUTED_VALUE"""),"Estrela 2")</f>
        <v>Estrela 2</v>
      </c>
      <c r="P1451" s="5">
        <f>IFERROR(__xludf.DUMMYFUNCTION("""COMPUTED_VALUE"""),363.0)</f>
        <v>363</v>
      </c>
      <c r="Q1451" s="5" t="str">
        <f>IFERROR(__xludf.DUMMYFUNCTION("""COMPUTED_VALUE"""),"The Bourne Ultimatum")</f>
        <v>The Bourne Ultimatum</v>
      </c>
      <c r="R1451" s="5" t="str">
        <f>IFERROR(__xludf.DUMMYFUNCTION("""COMPUTED_VALUE"""),"Edgar Ramírez")</f>
        <v>Edgar Ramírez</v>
      </c>
      <c r="S1451" s="5" t="str">
        <f>IFERROR(__xludf.DUMMYFUNCTION("""COMPUTED_VALUE"""),"Estrela 2")</f>
        <v>Estrela 2</v>
      </c>
    </row>
    <row r="1452">
      <c r="G1452" s="5" t="str">
        <f>IFERROR(__xludf.DUMMYFUNCTION("""COMPUTED_VALUE"""),"363🤙🏼The Bourne Ultimatum🤙🏼Joan Allen🤙🏼Estrela 3")</f>
        <v>363🤙🏼The Bourne Ultimatum🤙🏼Joan Allen🤙🏼Estrela 3</v>
      </c>
      <c r="H1452" s="5">
        <f>IFERROR(__xludf.DUMMYFUNCTION("SPLiT(G1452, ""🤙🏼"",FALSE,FALSE)"),363.0)</f>
        <v>363</v>
      </c>
      <c r="I1452" s="5" t="str">
        <f>IFERROR(__xludf.DUMMYFUNCTION("""COMPUTED_VALUE"""),"The Bourne Ultimatum")</f>
        <v>The Bourne Ultimatum</v>
      </c>
      <c r="J1452" s="5" t="str">
        <f>IFERROR(__xludf.DUMMYFUNCTION("""COMPUTED_VALUE"""),"Joan Allen")</f>
        <v>Joan Allen</v>
      </c>
      <c r="K1452" s="5" t="str">
        <f>IFERROR(__xludf.DUMMYFUNCTION("""COMPUTED_VALUE"""),"Estrela 3")</f>
        <v>Estrela 3</v>
      </c>
      <c r="P1452" s="5">
        <f>IFERROR(__xludf.DUMMYFUNCTION("""COMPUTED_VALUE"""),363.0)</f>
        <v>363</v>
      </c>
      <c r="Q1452" s="5" t="str">
        <f>IFERROR(__xludf.DUMMYFUNCTION("""COMPUTED_VALUE"""),"The Bourne Ultimatum")</f>
        <v>The Bourne Ultimatum</v>
      </c>
      <c r="R1452" s="5" t="str">
        <f>IFERROR(__xludf.DUMMYFUNCTION("""COMPUTED_VALUE"""),"Joan Allen")</f>
        <v>Joan Allen</v>
      </c>
      <c r="S1452" s="5" t="str">
        <f>IFERROR(__xludf.DUMMYFUNCTION("""COMPUTED_VALUE"""),"Estrela 3")</f>
        <v>Estrela 3</v>
      </c>
    </row>
    <row r="1453">
      <c r="G1453" s="5" t="str">
        <f>IFERROR(__xludf.DUMMYFUNCTION("""COMPUTED_VALUE"""),"363🤙🏼The Bourne Ultimatum🤙🏼Julia Stiles🤙🏼Estrela 4")</f>
        <v>363🤙🏼The Bourne Ultimatum🤙🏼Julia Stiles🤙🏼Estrela 4</v>
      </c>
      <c r="H1453" s="5">
        <f>IFERROR(__xludf.DUMMYFUNCTION("SPLiT(G1453, ""🤙🏼"",FALSE,FALSE)"),363.0)</f>
        <v>363</v>
      </c>
      <c r="I1453" s="5" t="str">
        <f>IFERROR(__xludf.DUMMYFUNCTION("""COMPUTED_VALUE"""),"The Bourne Ultimatum")</f>
        <v>The Bourne Ultimatum</v>
      </c>
      <c r="J1453" s="5" t="str">
        <f>IFERROR(__xludf.DUMMYFUNCTION("""COMPUTED_VALUE"""),"Julia Stiles")</f>
        <v>Julia Stiles</v>
      </c>
      <c r="K1453" s="5" t="str">
        <f>IFERROR(__xludf.DUMMYFUNCTION("""COMPUTED_VALUE"""),"Estrela 4")</f>
        <v>Estrela 4</v>
      </c>
      <c r="P1453" s="5">
        <f>IFERROR(__xludf.DUMMYFUNCTION("""COMPUTED_VALUE"""),363.0)</f>
        <v>363</v>
      </c>
      <c r="Q1453" s="5" t="str">
        <f>IFERROR(__xludf.DUMMYFUNCTION("""COMPUTED_VALUE"""),"The Bourne Ultimatum")</f>
        <v>The Bourne Ultimatum</v>
      </c>
      <c r="R1453" s="5" t="str">
        <f>IFERROR(__xludf.DUMMYFUNCTION("""COMPUTED_VALUE"""),"Julia Stiles")</f>
        <v>Julia Stiles</v>
      </c>
      <c r="S1453" s="5" t="str">
        <f>IFERROR(__xludf.DUMMYFUNCTION("""COMPUTED_VALUE"""),"Estrela 4")</f>
        <v>Estrela 4</v>
      </c>
    </row>
    <row r="1454">
      <c r="G1454" s="5" t="str">
        <f>IFERROR(__xludf.DUMMYFUNCTION("""COMPUTED_VALUE"""),"364🤙🏼Bin-jip🤙🏼Seung-Yun Lee🤙🏼Estrela 1")</f>
        <v>364🤙🏼Bin-jip🤙🏼Seung-Yun Lee🤙🏼Estrela 1</v>
      </c>
      <c r="H1454" s="5">
        <f>IFERROR(__xludf.DUMMYFUNCTION("SPLiT(G1454, ""🤙🏼"",FALSE,FALSE)"),364.0)</f>
        <v>364</v>
      </c>
      <c r="I1454" s="5" t="str">
        <f>IFERROR(__xludf.DUMMYFUNCTION("""COMPUTED_VALUE"""),"Bin-jip")</f>
        <v>Bin-jip</v>
      </c>
      <c r="J1454" s="5" t="str">
        <f>IFERROR(__xludf.DUMMYFUNCTION("""COMPUTED_VALUE"""),"Seung-Yun Lee")</f>
        <v>Seung-Yun Lee</v>
      </c>
      <c r="K1454" s="5" t="str">
        <f>IFERROR(__xludf.DUMMYFUNCTION("""COMPUTED_VALUE"""),"Estrela 1")</f>
        <v>Estrela 1</v>
      </c>
      <c r="P1454" s="5">
        <f>IFERROR(__xludf.DUMMYFUNCTION("""COMPUTED_VALUE"""),364.0)</f>
        <v>364</v>
      </c>
      <c r="Q1454" s="5" t="str">
        <f>IFERROR(__xludf.DUMMYFUNCTION("""COMPUTED_VALUE"""),"Bin-jip")</f>
        <v>Bin-jip</v>
      </c>
      <c r="R1454" s="5" t="str">
        <f>IFERROR(__xludf.DUMMYFUNCTION("""COMPUTED_VALUE"""),"Seung-Yun Lee")</f>
        <v>Seung-Yun Lee</v>
      </c>
      <c r="S1454" s="5" t="str">
        <f>IFERROR(__xludf.DUMMYFUNCTION("""COMPUTED_VALUE"""),"Estrela 1")</f>
        <v>Estrela 1</v>
      </c>
    </row>
    <row r="1455">
      <c r="G1455" s="5" t="str">
        <f>IFERROR(__xludf.DUMMYFUNCTION("""COMPUTED_VALUE"""),"364🤙🏼Bin-jip🤙🏼Hee Jae🤙🏼Estrela 2")</f>
        <v>364🤙🏼Bin-jip🤙🏼Hee Jae🤙🏼Estrela 2</v>
      </c>
      <c r="H1455" s="5">
        <f>IFERROR(__xludf.DUMMYFUNCTION("SPLiT(G1455, ""🤙🏼"",FALSE,FALSE)"),364.0)</f>
        <v>364</v>
      </c>
      <c r="I1455" s="5" t="str">
        <f>IFERROR(__xludf.DUMMYFUNCTION("""COMPUTED_VALUE"""),"Bin-jip")</f>
        <v>Bin-jip</v>
      </c>
      <c r="J1455" s="5" t="str">
        <f>IFERROR(__xludf.DUMMYFUNCTION("""COMPUTED_VALUE"""),"Hee Jae")</f>
        <v>Hee Jae</v>
      </c>
      <c r="K1455" s="5" t="str">
        <f>IFERROR(__xludf.DUMMYFUNCTION("""COMPUTED_VALUE"""),"Estrela 2")</f>
        <v>Estrela 2</v>
      </c>
      <c r="P1455" s="5">
        <f>IFERROR(__xludf.DUMMYFUNCTION("""COMPUTED_VALUE"""),364.0)</f>
        <v>364</v>
      </c>
      <c r="Q1455" s="5" t="str">
        <f>IFERROR(__xludf.DUMMYFUNCTION("""COMPUTED_VALUE"""),"Bin-jip")</f>
        <v>Bin-jip</v>
      </c>
      <c r="R1455" s="5" t="str">
        <f>IFERROR(__xludf.DUMMYFUNCTION("""COMPUTED_VALUE"""),"Hee Jae")</f>
        <v>Hee Jae</v>
      </c>
      <c r="S1455" s="5" t="str">
        <f>IFERROR(__xludf.DUMMYFUNCTION("""COMPUTED_VALUE"""),"Estrela 2")</f>
        <v>Estrela 2</v>
      </c>
    </row>
    <row r="1456">
      <c r="G1456" s="5" t="str">
        <f>IFERROR(__xludf.DUMMYFUNCTION("""COMPUTED_VALUE"""),"364🤙🏼Bin-jip🤙🏼Hyuk-ho Kwon🤙🏼Estrela 3")</f>
        <v>364🤙🏼Bin-jip🤙🏼Hyuk-ho Kwon🤙🏼Estrela 3</v>
      </c>
      <c r="H1456" s="5">
        <f>IFERROR(__xludf.DUMMYFUNCTION("SPLiT(G1456, ""🤙🏼"",FALSE,FALSE)"),364.0)</f>
        <v>364</v>
      </c>
      <c r="I1456" s="5" t="str">
        <f>IFERROR(__xludf.DUMMYFUNCTION("""COMPUTED_VALUE"""),"Bin-jip")</f>
        <v>Bin-jip</v>
      </c>
      <c r="J1456" s="5" t="str">
        <f>IFERROR(__xludf.DUMMYFUNCTION("""COMPUTED_VALUE"""),"Hyuk-ho Kwon")</f>
        <v>Hyuk-ho Kwon</v>
      </c>
      <c r="K1456" s="5" t="str">
        <f>IFERROR(__xludf.DUMMYFUNCTION("""COMPUTED_VALUE"""),"Estrela 3")</f>
        <v>Estrela 3</v>
      </c>
      <c r="P1456" s="5">
        <f>IFERROR(__xludf.DUMMYFUNCTION("""COMPUTED_VALUE"""),364.0)</f>
        <v>364</v>
      </c>
      <c r="Q1456" s="5" t="str">
        <f>IFERROR(__xludf.DUMMYFUNCTION("""COMPUTED_VALUE"""),"Bin-jip")</f>
        <v>Bin-jip</v>
      </c>
      <c r="R1456" s="5" t="str">
        <f>IFERROR(__xludf.DUMMYFUNCTION("""COMPUTED_VALUE"""),"Hyuk-ho Kwon")</f>
        <v>Hyuk-ho Kwon</v>
      </c>
      <c r="S1456" s="5" t="str">
        <f>IFERROR(__xludf.DUMMYFUNCTION("""COMPUTED_VALUE"""),"Estrela 3")</f>
        <v>Estrela 3</v>
      </c>
    </row>
    <row r="1457">
      <c r="G1457" s="5" t="str">
        <f>IFERROR(__xludf.DUMMYFUNCTION("""COMPUTED_VALUE"""),"364🤙🏼Bin-jip🤙🏼Jin-mo Joo🤙🏼Estrela 4")</f>
        <v>364🤙🏼Bin-jip🤙🏼Jin-mo Joo🤙🏼Estrela 4</v>
      </c>
      <c r="H1457" s="5">
        <f>IFERROR(__xludf.DUMMYFUNCTION("SPLiT(G1457, ""🤙🏼"",FALSE,FALSE)"),364.0)</f>
        <v>364</v>
      </c>
      <c r="I1457" s="5" t="str">
        <f>IFERROR(__xludf.DUMMYFUNCTION("""COMPUTED_VALUE"""),"Bin-jip")</f>
        <v>Bin-jip</v>
      </c>
      <c r="J1457" s="5" t="str">
        <f>IFERROR(__xludf.DUMMYFUNCTION("""COMPUTED_VALUE"""),"Jin-mo Joo")</f>
        <v>Jin-mo Joo</v>
      </c>
      <c r="K1457" s="5" t="str">
        <f>IFERROR(__xludf.DUMMYFUNCTION("""COMPUTED_VALUE"""),"Estrela 4")</f>
        <v>Estrela 4</v>
      </c>
      <c r="P1457" s="5">
        <f>IFERROR(__xludf.DUMMYFUNCTION("""COMPUTED_VALUE"""),364.0)</f>
        <v>364</v>
      </c>
      <c r="Q1457" s="5" t="str">
        <f>IFERROR(__xludf.DUMMYFUNCTION("""COMPUTED_VALUE"""),"Bin-jip")</f>
        <v>Bin-jip</v>
      </c>
      <c r="R1457" s="5" t="str">
        <f>IFERROR(__xludf.DUMMYFUNCTION("""COMPUTED_VALUE"""),"Jin-mo Joo")</f>
        <v>Jin-mo Joo</v>
      </c>
      <c r="S1457" s="5" t="str">
        <f>IFERROR(__xludf.DUMMYFUNCTION("""COMPUTED_VALUE"""),"Estrela 4")</f>
        <v>Estrela 4</v>
      </c>
    </row>
    <row r="1458">
      <c r="G1458" s="5" t="str">
        <f>IFERROR(__xludf.DUMMYFUNCTION("""COMPUTED_VALUE"""),"365🤙🏼Sin City🤙🏼Quentin Tarantino🤙🏼Estrela 1")</f>
        <v>365🤙🏼Sin City🤙🏼Quentin Tarantino🤙🏼Estrela 1</v>
      </c>
      <c r="H1458" s="5">
        <f>IFERROR(__xludf.DUMMYFUNCTION("SPLiT(G1458, ""🤙🏼"",FALSE,FALSE)"),365.0)</f>
        <v>365</v>
      </c>
      <c r="I1458" s="5" t="str">
        <f>IFERROR(__xludf.DUMMYFUNCTION("""COMPUTED_VALUE"""),"Sin City")</f>
        <v>Sin City</v>
      </c>
      <c r="J1458" s="5" t="str">
        <f>IFERROR(__xludf.DUMMYFUNCTION("""COMPUTED_VALUE"""),"Quentin Tarantino")</f>
        <v>Quentin Tarantino</v>
      </c>
      <c r="K1458" s="5" t="str">
        <f>IFERROR(__xludf.DUMMYFUNCTION("""COMPUTED_VALUE"""),"Estrela 1")</f>
        <v>Estrela 1</v>
      </c>
      <c r="P1458" s="5">
        <f>IFERROR(__xludf.DUMMYFUNCTION("""COMPUTED_VALUE"""),365.0)</f>
        <v>365</v>
      </c>
      <c r="Q1458" s="5" t="str">
        <f>IFERROR(__xludf.DUMMYFUNCTION("""COMPUTED_VALUE"""),"Sin City")</f>
        <v>Sin City</v>
      </c>
      <c r="R1458" s="5" t="str">
        <f>IFERROR(__xludf.DUMMYFUNCTION("""COMPUTED_VALUE"""),"Quentin Tarantino")</f>
        <v>Quentin Tarantino</v>
      </c>
      <c r="S1458" s="5" t="str">
        <f>IFERROR(__xludf.DUMMYFUNCTION("""COMPUTED_VALUE"""),"Estrela 1")</f>
        <v>Estrela 1</v>
      </c>
    </row>
    <row r="1459">
      <c r="G1459" s="5" t="str">
        <f>IFERROR(__xludf.DUMMYFUNCTION("""COMPUTED_VALUE"""),"365🤙🏼Sin City🤙🏼Robert Rodriguez🤙🏼Estrela 2")</f>
        <v>365🤙🏼Sin City🤙🏼Robert Rodriguez🤙🏼Estrela 2</v>
      </c>
      <c r="H1459" s="5">
        <f>IFERROR(__xludf.DUMMYFUNCTION("SPLiT(G1459, ""🤙🏼"",FALSE,FALSE)"),365.0)</f>
        <v>365</v>
      </c>
      <c r="I1459" s="5" t="str">
        <f>IFERROR(__xludf.DUMMYFUNCTION("""COMPUTED_VALUE"""),"Sin City")</f>
        <v>Sin City</v>
      </c>
      <c r="J1459" s="5" t="str">
        <f>IFERROR(__xludf.DUMMYFUNCTION("""COMPUTED_VALUE"""),"Robert Rodriguez")</f>
        <v>Robert Rodriguez</v>
      </c>
      <c r="K1459" s="5" t="str">
        <f>IFERROR(__xludf.DUMMYFUNCTION("""COMPUTED_VALUE"""),"Estrela 2")</f>
        <v>Estrela 2</v>
      </c>
      <c r="P1459" s="5">
        <f>IFERROR(__xludf.DUMMYFUNCTION("""COMPUTED_VALUE"""),365.0)</f>
        <v>365</v>
      </c>
      <c r="Q1459" s="5" t="str">
        <f>IFERROR(__xludf.DUMMYFUNCTION("""COMPUTED_VALUE"""),"Sin City")</f>
        <v>Sin City</v>
      </c>
      <c r="R1459" s="5" t="str">
        <f>IFERROR(__xludf.DUMMYFUNCTION("""COMPUTED_VALUE"""),"Robert Rodriguez")</f>
        <v>Robert Rodriguez</v>
      </c>
      <c r="S1459" s="5" t="str">
        <f>IFERROR(__xludf.DUMMYFUNCTION("""COMPUTED_VALUE"""),"Estrela 2")</f>
        <v>Estrela 2</v>
      </c>
    </row>
    <row r="1460">
      <c r="G1460" s="5" t="str">
        <f>IFERROR(__xludf.DUMMYFUNCTION("""COMPUTED_VALUE"""),"365🤙🏼Sin City🤙🏼Mickey Rourke🤙🏼Estrela 3")</f>
        <v>365🤙🏼Sin City🤙🏼Mickey Rourke🤙🏼Estrela 3</v>
      </c>
      <c r="H1460" s="5">
        <f>IFERROR(__xludf.DUMMYFUNCTION("SPLiT(G1460, ""🤙🏼"",FALSE,FALSE)"),365.0)</f>
        <v>365</v>
      </c>
      <c r="I1460" s="5" t="str">
        <f>IFERROR(__xludf.DUMMYFUNCTION("""COMPUTED_VALUE"""),"Sin City")</f>
        <v>Sin City</v>
      </c>
      <c r="J1460" s="5" t="str">
        <f>IFERROR(__xludf.DUMMYFUNCTION("""COMPUTED_VALUE"""),"Mickey Rourke")</f>
        <v>Mickey Rourke</v>
      </c>
      <c r="K1460" s="5" t="str">
        <f>IFERROR(__xludf.DUMMYFUNCTION("""COMPUTED_VALUE"""),"Estrela 3")</f>
        <v>Estrela 3</v>
      </c>
      <c r="P1460" s="5">
        <f>IFERROR(__xludf.DUMMYFUNCTION("""COMPUTED_VALUE"""),365.0)</f>
        <v>365</v>
      </c>
      <c r="Q1460" s="5" t="str">
        <f>IFERROR(__xludf.DUMMYFUNCTION("""COMPUTED_VALUE"""),"Sin City")</f>
        <v>Sin City</v>
      </c>
      <c r="R1460" s="5" t="str">
        <f>IFERROR(__xludf.DUMMYFUNCTION("""COMPUTED_VALUE"""),"Mickey Rourke")</f>
        <v>Mickey Rourke</v>
      </c>
      <c r="S1460" s="5" t="str">
        <f>IFERROR(__xludf.DUMMYFUNCTION("""COMPUTED_VALUE"""),"Estrela 3")</f>
        <v>Estrela 3</v>
      </c>
    </row>
    <row r="1461">
      <c r="G1461" s="5" t="str">
        <f>IFERROR(__xludf.DUMMYFUNCTION("""COMPUTED_VALUE"""),"365🤙🏼Sin City🤙🏼Clive Owen🤙🏼Estrela 4")</f>
        <v>365🤙🏼Sin City🤙🏼Clive Owen🤙🏼Estrela 4</v>
      </c>
      <c r="H1461" s="5">
        <f>IFERROR(__xludf.DUMMYFUNCTION("SPLiT(G1461, ""🤙🏼"",FALSE,FALSE)"),365.0)</f>
        <v>365</v>
      </c>
      <c r="I1461" s="5" t="str">
        <f>IFERROR(__xludf.DUMMYFUNCTION("""COMPUTED_VALUE"""),"Sin City")</f>
        <v>Sin City</v>
      </c>
      <c r="J1461" s="5" t="str">
        <f>IFERROR(__xludf.DUMMYFUNCTION("""COMPUTED_VALUE"""),"Clive Owen")</f>
        <v>Clive Owen</v>
      </c>
      <c r="K1461" s="5" t="str">
        <f>IFERROR(__xludf.DUMMYFUNCTION("""COMPUTED_VALUE"""),"Estrela 4")</f>
        <v>Estrela 4</v>
      </c>
      <c r="P1461" s="5">
        <f>IFERROR(__xludf.DUMMYFUNCTION("""COMPUTED_VALUE"""),365.0)</f>
        <v>365</v>
      </c>
      <c r="Q1461" s="5" t="str">
        <f>IFERROR(__xludf.DUMMYFUNCTION("""COMPUTED_VALUE"""),"Sin City")</f>
        <v>Sin City</v>
      </c>
      <c r="R1461" s="5" t="str">
        <f>IFERROR(__xludf.DUMMYFUNCTION("""COMPUTED_VALUE"""),"Clive Owen")</f>
        <v>Clive Owen</v>
      </c>
      <c r="S1461" s="5" t="str">
        <f>IFERROR(__xludf.DUMMYFUNCTION("""COMPUTED_VALUE"""),"Estrela 4")</f>
        <v>Estrela 4</v>
      </c>
    </row>
    <row r="1462">
      <c r="G1462" s="5" t="str">
        <f>IFERROR(__xludf.DUMMYFUNCTION("""COMPUTED_VALUE"""),"366🤙🏼Le scaphandre et le papillon🤙🏼Laura Obiols🤙🏼Estrela 1")</f>
        <v>366🤙🏼Le scaphandre et le papillon🤙🏼Laura Obiols🤙🏼Estrela 1</v>
      </c>
      <c r="H1462" s="5">
        <f>IFERROR(__xludf.DUMMYFUNCTION("SPLiT(G1462, ""🤙🏼"",FALSE,FALSE)"),366.0)</f>
        <v>366</v>
      </c>
      <c r="I1462" s="5" t="str">
        <f>IFERROR(__xludf.DUMMYFUNCTION("""COMPUTED_VALUE"""),"Le scaphandre et le papillon")</f>
        <v>Le scaphandre et le papillon</v>
      </c>
      <c r="J1462" s="5" t="str">
        <f>IFERROR(__xludf.DUMMYFUNCTION("""COMPUTED_VALUE"""),"Laura Obiols")</f>
        <v>Laura Obiols</v>
      </c>
      <c r="K1462" s="5" t="str">
        <f>IFERROR(__xludf.DUMMYFUNCTION("""COMPUTED_VALUE"""),"Estrela 1")</f>
        <v>Estrela 1</v>
      </c>
      <c r="P1462" s="5">
        <f>IFERROR(__xludf.DUMMYFUNCTION("""COMPUTED_VALUE"""),366.0)</f>
        <v>366</v>
      </c>
      <c r="Q1462" s="5" t="str">
        <f>IFERROR(__xludf.DUMMYFUNCTION("""COMPUTED_VALUE"""),"Le scaphandre et le papillon")</f>
        <v>Le scaphandre et le papillon</v>
      </c>
      <c r="R1462" s="5" t="str">
        <f>IFERROR(__xludf.DUMMYFUNCTION("""COMPUTED_VALUE"""),"Laura Obiols")</f>
        <v>Laura Obiols</v>
      </c>
      <c r="S1462" s="5" t="str">
        <f>IFERROR(__xludf.DUMMYFUNCTION("""COMPUTED_VALUE"""),"Estrela 1")</f>
        <v>Estrela 1</v>
      </c>
    </row>
    <row r="1463">
      <c r="G1463" s="5" t="str">
        <f>IFERROR(__xludf.DUMMYFUNCTION("""COMPUTED_VALUE"""),"366🤙🏼Le scaphandre et le papillon🤙🏼Mathieu Amalric🤙🏼Estrela 2")</f>
        <v>366🤙🏼Le scaphandre et le papillon🤙🏼Mathieu Amalric🤙🏼Estrela 2</v>
      </c>
      <c r="H1463" s="5">
        <f>IFERROR(__xludf.DUMMYFUNCTION("SPLiT(G1463, ""🤙🏼"",FALSE,FALSE)"),366.0)</f>
        <v>366</v>
      </c>
      <c r="I1463" s="5" t="str">
        <f>IFERROR(__xludf.DUMMYFUNCTION("""COMPUTED_VALUE"""),"Le scaphandre et le papillon")</f>
        <v>Le scaphandre et le papillon</v>
      </c>
      <c r="J1463" s="5" t="str">
        <f>IFERROR(__xludf.DUMMYFUNCTION("""COMPUTED_VALUE"""),"Mathieu Amalric")</f>
        <v>Mathieu Amalric</v>
      </c>
      <c r="K1463" s="5" t="str">
        <f>IFERROR(__xludf.DUMMYFUNCTION("""COMPUTED_VALUE"""),"Estrela 2")</f>
        <v>Estrela 2</v>
      </c>
      <c r="P1463" s="5">
        <f>IFERROR(__xludf.DUMMYFUNCTION("""COMPUTED_VALUE"""),366.0)</f>
        <v>366</v>
      </c>
      <c r="Q1463" s="5" t="str">
        <f>IFERROR(__xludf.DUMMYFUNCTION("""COMPUTED_VALUE"""),"Le scaphandre et le papillon")</f>
        <v>Le scaphandre et le papillon</v>
      </c>
      <c r="R1463" s="5" t="str">
        <f>IFERROR(__xludf.DUMMYFUNCTION("""COMPUTED_VALUE"""),"Mathieu Amalric")</f>
        <v>Mathieu Amalric</v>
      </c>
      <c r="S1463" s="5" t="str">
        <f>IFERROR(__xludf.DUMMYFUNCTION("""COMPUTED_VALUE"""),"Estrela 2")</f>
        <v>Estrela 2</v>
      </c>
    </row>
    <row r="1464">
      <c r="G1464" s="5" t="str">
        <f>IFERROR(__xludf.DUMMYFUNCTION("""COMPUTED_VALUE"""),"366🤙🏼Le scaphandre et le papillon🤙🏼Emmanuelle Seigner🤙🏼Estrela 3")</f>
        <v>366🤙🏼Le scaphandre et le papillon🤙🏼Emmanuelle Seigner🤙🏼Estrela 3</v>
      </c>
      <c r="H1464" s="5">
        <f>IFERROR(__xludf.DUMMYFUNCTION("SPLiT(G1464, ""🤙🏼"",FALSE,FALSE)"),366.0)</f>
        <v>366</v>
      </c>
      <c r="I1464" s="5" t="str">
        <f>IFERROR(__xludf.DUMMYFUNCTION("""COMPUTED_VALUE"""),"Le scaphandre et le papillon")</f>
        <v>Le scaphandre et le papillon</v>
      </c>
      <c r="J1464" s="5" t="str">
        <f>IFERROR(__xludf.DUMMYFUNCTION("""COMPUTED_VALUE"""),"Emmanuelle Seigner")</f>
        <v>Emmanuelle Seigner</v>
      </c>
      <c r="K1464" s="5" t="str">
        <f>IFERROR(__xludf.DUMMYFUNCTION("""COMPUTED_VALUE"""),"Estrela 3")</f>
        <v>Estrela 3</v>
      </c>
      <c r="P1464" s="5">
        <f>IFERROR(__xludf.DUMMYFUNCTION("""COMPUTED_VALUE"""),366.0)</f>
        <v>366</v>
      </c>
      <c r="Q1464" s="5" t="str">
        <f>IFERROR(__xludf.DUMMYFUNCTION("""COMPUTED_VALUE"""),"Le scaphandre et le papillon")</f>
        <v>Le scaphandre et le papillon</v>
      </c>
      <c r="R1464" s="5" t="str">
        <f>IFERROR(__xludf.DUMMYFUNCTION("""COMPUTED_VALUE"""),"Emmanuelle Seigner")</f>
        <v>Emmanuelle Seigner</v>
      </c>
      <c r="S1464" s="5" t="str">
        <f>IFERROR(__xludf.DUMMYFUNCTION("""COMPUTED_VALUE"""),"Estrela 3")</f>
        <v>Estrela 3</v>
      </c>
    </row>
    <row r="1465">
      <c r="G1465" s="5" t="str">
        <f>IFERROR(__xludf.DUMMYFUNCTION("""COMPUTED_VALUE"""),"366🤙🏼Le scaphandre et le papillon🤙🏼Marie-Josée Croze🤙🏼Estrela 4")</f>
        <v>366🤙🏼Le scaphandre et le papillon🤙🏼Marie-Josée Croze🤙🏼Estrela 4</v>
      </c>
      <c r="H1465" s="5">
        <f>IFERROR(__xludf.DUMMYFUNCTION("SPLiT(G1465, ""🤙🏼"",FALSE,FALSE)"),366.0)</f>
        <v>366</v>
      </c>
      <c r="I1465" s="5" t="str">
        <f>IFERROR(__xludf.DUMMYFUNCTION("""COMPUTED_VALUE"""),"Le scaphandre et le papillon")</f>
        <v>Le scaphandre et le papillon</v>
      </c>
      <c r="J1465" s="5" t="str">
        <f>IFERROR(__xludf.DUMMYFUNCTION("""COMPUTED_VALUE"""),"Marie-Josée Croze")</f>
        <v>Marie-Josée Croze</v>
      </c>
      <c r="K1465" s="5" t="str">
        <f>IFERROR(__xludf.DUMMYFUNCTION("""COMPUTED_VALUE"""),"Estrela 4")</f>
        <v>Estrela 4</v>
      </c>
      <c r="P1465" s="5">
        <f>IFERROR(__xludf.DUMMYFUNCTION("""COMPUTED_VALUE"""),366.0)</f>
        <v>366</v>
      </c>
      <c r="Q1465" s="5" t="str">
        <f>IFERROR(__xludf.DUMMYFUNCTION("""COMPUTED_VALUE"""),"Le scaphandre et le papillon")</f>
        <v>Le scaphandre et le papillon</v>
      </c>
      <c r="R1465" s="5" t="str">
        <f>IFERROR(__xludf.DUMMYFUNCTION("""COMPUTED_VALUE"""),"Marie-Josée Croze")</f>
        <v>Marie-Josée Croze</v>
      </c>
      <c r="S1465" s="5" t="str">
        <f>IFERROR(__xludf.DUMMYFUNCTION("""COMPUTED_VALUE"""),"Estrela 4")</f>
        <v>Estrela 4</v>
      </c>
    </row>
    <row r="1466">
      <c r="G1466" s="5" t="str">
        <f>IFERROR(__xludf.DUMMYFUNCTION("""COMPUTED_VALUE"""),"367🤙🏼G.O.R.A.🤙🏼Cem Yilmaz🤙🏼Estrela 1")</f>
        <v>367🤙🏼G.O.R.A.🤙🏼Cem Yilmaz🤙🏼Estrela 1</v>
      </c>
      <c r="H1466" s="5">
        <f>IFERROR(__xludf.DUMMYFUNCTION("SPLiT(G1466, ""🤙🏼"",FALSE,FALSE)"),367.0)</f>
        <v>367</v>
      </c>
      <c r="I1466" s="5" t="str">
        <f>IFERROR(__xludf.DUMMYFUNCTION("""COMPUTED_VALUE"""),"G.O.R.A.")</f>
        <v>G.O.R.A.</v>
      </c>
      <c r="J1466" s="5" t="str">
        <f>IFERROR(__xludf.DUMMYFUNCTION("""COMPUTED_VALUE"""),"Cem Yilmaz")</f>
        <v>Cem Yilmaz</v>
      </c>
      <c r="K1466" s="5" t="str">
        <f>IFERROR(__xludf.DUMMYFUNCTION("""COMPUTED_VALUE"""),"Estrela 1")</f>
        <v>Estrela 1</v>
      </c>
      <c r="P1466" s="5">
        <f>IFERROR(__xludf.DUMMYFUNCTION("""COMPUTED_VALUE"""),367.0)</f>
        <v>367</v>
      </c>
      <c r="Q1466" s="5" t="str">
        <f>IFERROR(__xludf.DUMMYFUNCTION("""COMPUTED_VALUE"""),"G.O.R.A.")</f>
        <v>G.O.R.A.</v>
      </c>
      <c r="R1466" s="5" t="str">
        <f>IFERROR(__xludf.DUMMYFUNCTION("""COMPUTED_VALUE"""),"Cem Yilmaz")</f>
        <v>Cem Yilmaz</v>
      </c>
      <c r="S1466" s="5" t="str">
        <f>IFERROR(__xludf.DUMMYFUNCTION("""COMPUTED_VALUE"""),"Estrela 1")</f>
        <v>Estrela 1</v>
      </c>
    </row>
    <row r="1467">
      <c r="G1467" s="5" t="str">
        <f>IFERROR(__xludf.DUMMYFUNCTION("""COMPUTED_VALUE"""),"367🤙🏼G.O.R.A.🤙🏼Özge Özberk🤙🏼Estrela 2")</f>
        <v>367🤙🏼G.O.R.A.🤙🏼Özge Özberk🤙🏼Estrela 2</v>
      </c>
      <c r="H1467" s="5">
        <f>IFERROR(__xludf.DUMMYFUNCTION("SPLiT(G1467, ""🤙🏼"",FALSE,FALSE)"),367.0)</f>
        <v>367</v>
      </c>
      <c r="I1467" s="5" t="str">
        <f>IFERROR(__xludf.DUMMYFUNCTION("""COMPUTED_VALUE"""),"G.O.R.A.")</f>
        <v>G.O.R.A.</v>
      </c>
      <c r="J1467" s="5" t="str">
        <f>IFERROR(__xludf.DUMMYFUNCTION("""COMPUTED_VALUE"""),"Özge Özberk")</f>
        <v>Özge Özberk</v>
      </c>
      <c r="K1467" s="5" t="str">
        <f>IFERROR(__xludf.DUMMYFUNCTION("""COMPUTED_VALUE"""),"Estrela 2")</f>
        <v>Estrela 2</v>
      </c>
      <c r="P1467" s="5">
        <f>IFERROR(__xludf.DUMMYFUNCTION("""COMPUTED_VALUE"""),367.0)</f>
        <v>367</v>
      </c>
      <c r="Q1467" s="5" t="str">
        <f>IFERROR(__xludf.DUMMYFUNCTION("""COMPUTED_VALUE"""),"G.O.R.A.")</f>
        <v>G.O.R.A.</v>
      </c>
      <c r="R1467" s="5" t="str">
        <f>IFERROR(__xludf.DUMMYFUNCTION("""COMPUTED_VALUE"""),"Özge Özberk")</f>
        <v>Özge Özberk</v>
      </c>
      <c r="S1467" s="5" t="str">
        <f>IFERROR(__xludf.DUMMYFUNCTION("""COMPUTED_VALUE"""),"Estrela 2")</f>
        <v>Estrela 2</v>
      </c>
    </row>
    <row r="1468">
      <c r="G1468" s="5" t="str">
        <f>IFERROR(__xludf.DUMMYFUNCTION("""COMPUTED_VALUE"""),"367🤙🏼G.O.R.A.🤙🏼Ozan Güven🤙🏼Estrela 3")</f>
        <v>367🤙🏼G.O.R.A.🤙🏼Ozan Güven🤙🏼Estrela 3</v>
      </c>
      <c r="H1468" s="5">
        <f>IFERROR(__xludf.DUMMYFUNCTION("SPLiT(G1468, ""🤙🏼"",FALSE,FALSE)"),367.0)</f>
        <v>367</v>
      </c>
      <c r="I1468" s="5" t="str">
        <f>IFERROR(__xludf.DUMMYFUNCTION("""COMPUTED_VALUE"""),"G.O.R.A.")</f>
        <v>G.O.R.A.</v>
      </c>
      <c r="J1468" s="5" t="str">
        <f>IFERROR(__xludf.DUMMYFUNCTION("""COMPUTED_VALUE"""),"Ozan Güven")</f>
        <v>Ozan Güven</v>
      </c>
      <c r="K1468" s="5" t="str">
        <f>IFERROR(__xludf.DUMMYFUNCTION("""COMPUTED_VALUE"""),"Estrela 3")</f>
        <v>Estrela 3</v>
      </c>
      <c r="P1468" s="5">
        <f>IFERROR(__xludf.DUMMYFUNCTION("""COMPUTED_VALUE"""),367.0)</f>
        <v>367</v>
      </c>
      <c r="Q1468" s="5" t="str">
        <f>IFERROR(__xludf.DUMMYFUNCTION("""COMPUTED_VALUE"""),"G.O.R.A.")</f>
        <v>G.O.R.A.</v>
      </c>
      <c r="R1468" s="5" t="str">
        <f>IFERROR(__xludf.DUMMYFUNCTION("""COMPUTED_VALUE"""),"Ozan Güven")</f>
        <v>Ozan Güven</v>
      </c>
      <c r="S1468" s="5" t="str">
        <f>IFERROR(__xludf.DUMMYFUNCTION("""COMPUTED_VALUE"""),"Estrela 3")</f>
        <v>Estrela 3</v>
      </c>
    </row>
    <row r="1469">
      <c r="G1469" s="5" t="str">
        <f>IFERROR(__xludf.DUMMYFUNCTION("""COMPUTED_VALUE"""),"367🤙🏼G.O.R.A.🤙🏼Safak Sezer🤙🏼Estrela 4")</f>
        <v>367🤙🏼G.O.R.A.🤙🏼Safak Sezer🤙🏼Estrela 4</v>
      </c>
      <c r="H1469" s="5">
        <f>IFERROR(__xludf.DUMMYFUNCTION("SPLiT(G1469, ""🤙🏼"",FALSE,FALSE)"),367.0)</f>
        <v>367</v>
      </c>
      <c r="I1469" s="5" t="str">
        <f>IFERROR(__xludf.DUMMYFUNCTION("""COMPUTED_VALUE"""),"G.O.R.A.")</f>
        <v>G.O.R.A.</v>
      </c>
      <c r="J1469" s="5" t="str">
        <f>IFERROR(__xludf.DUMMYFUNCTION("""COMPUTED_VALUE"""),"Safak Sezer")</f>
        <v>Safak Sezer</v>
      </c>
      <c r="K1469" s="5" t="str">
        <f>IFERROR(__xludf.DUMMYFUNCTION("""COMPUTED_VALUE"""),"Estrela 4")</f>
        <v>Estrela 4</v>
      </c>
      <c r="P1469" s="5">
        <f>IFERROR(__xludf.DUMMYFUNCTION("""COMPUTED_VALUE"""),367.0)</f>
        <v>367</v>
      </c>
      <c r="Q1469" s="5" t="str">
        <f>IFERROR(__xludf.DUMMYFUNCTION("""COMPUTED_VALUE"""),"G.O.R.A.")</f>
        <v>G.O.R.A.</v>
      </c>
      <c r="R1469" s="5" t="str">
        <f>IFERROR(__xludf.DUMMYFUNCTION("""COMPUTED_VALUE"""),"Safak Sezer")</f>
        <v>Safak Sezer</v>
      </c>
      <c r="S1469" s="5" t="str">
        <f>IFERROR(__xludf.DUMMYFUNCTION("""COMPUTED_VALUE"""),"Estrela 4")</f>
        <v>Estrela 4</v>
      </c>
    </row>
    <row r="1470">
      <c r="G1470" s="5" t="str">
        <f>IFERROR(__xludf.DUMMYFUNCTION("""COMPUTED_VALUE"""),"368🤙🏼Ratatouille🤙🏼Jan Pinkava🤙🏼Estrela 1")</f>
        <v>368🤙🏼Ratatouille🤙🏼Jan Pinkava🤙🏼Estrela 1</v>
      </c>
      <c r="H1470" s="5">
        <f>IFERROR(__xludf.DUMMYFUNCTION("SPLiT(G1470, ""🤙🏼"",FALSE,FALSE)"),368.0)</f>
        <v>368</v>
      </c>
      <c r="I1470" s="5" t="str">
        <f>IFERROR(__xludf.DUMMYFUNCTION("""COMPUTED_VALUE"""),"Ratatouille")</f>
        <v>Ratatouille</v>
      </c>
      <c r="J1470" s="5" t="str">
        <f>IFERROR(__xludf.DUMMYFUNCTION("""COMPUTED_VALUE"""),"Jan Pinkava")</f>
        <v>Jan Pinkava</v>
      </c>
      <c r="K1470" s="5" t="str">
        <f>IFERROR(__xludf.DUMMYFUNCTION("""COMPUTED_VALUE"""),"Estrela 1")</f>
        <v>Estrela 1</v>
      </c>
      <c r="P1470" s="5">
        <f>IFERROR(__xludf.DUMMYFUNCTION("""COMPUTED_VALUE"""),368.0)</f>
        <v>368</v>
      </c>
      <c r="Q1470" s="5" t="str">
        <f>IFERROR(__xludf.DUMMYFUNCTION("""COMPUTED_VALUE"""),"Ratatouille")</f>
        <v>Ratatouille</v>
      </c>
      <c r="R1470" s="5" t="str">
        <f>IFERROR(__xludf.DUMMYFUNCTION("""COMPUTED_VALUE"""),"Jan Pinkava")</f>
        <v>Jan Pinkava</v>
      </c>
      <c r="S1470" s="5" t="str">
        <f>IFERROR(__xludf.DUMMYFUNCTION("""COMPUTED_VALUE"""),"Estrela 1")</f>
        <v>Estrela 1</v>
      </c>
    </row>
    <row r="1471">
      <c r="G1471" s="5" t="str">
        <f>IFERROR(__xludf.DUMMYFUNCTION("""COMPUTED_VALUE"""),"368🤙🏼Ratatouille🤙🏼Brad Garrett🤙🏼Estrela 2")</f>
        <v>368🤙🏼Ratatouille🤙🏼Brad Garrett🤙🏼Estrela 2</v>
      </c>
      <c r="H1471" s="5">
        <f>IFERROR(__xludf.DUMMYFUNCTION("SPLiT(G1471, ""🤙🏼"",FALSE,FALSE)"),368.0)</f>
        <v>368</v>
      </c>
      <c r="I1471" s="5" t="str">
        <f>IFERROR(__xludf.DUMMYFUNCTION("""COMPUTED_VALUE"""),"Ratatouille")</f>
        <v>Ratatouille</v>
      </c>
      <c r="J1471" s="5" t="str">
        <f>IFERROR(__xludf.DUMMYFUNCTION("""COMPUTED_VALUE"""),"Brad Garrett")</f>
        <v>Brad Garrett</v>
      </c>
      <c r="K1471" s="5" t="str">
        <f>IFERROR(__xludf.DUMMYFUNCTION("""COMPUTED_VALUE"""),"Estrela 2")</f>
        <v>Estrela 2</v>
      </c>
      <c r="P1471" s="5">
        <f>IFERROR(__xludf.DUMMYFUNCTION("""COMPUTED_VALUE"""),368.0)</f>
        <v>368</v>
      </c>
      <c r="Q1471" s="5" t="str">
        <f>IFERROR(__xludf.DUMMYFUNCTION("""COMPUTED_VALUE"""),"Ratatouille")</f>
        <v>Ratatouille</v>
      </c>
      <c r="R1471" s="5" t="str">
        <f>IFERROR(__xludf.DUMMYFUNCTION("""COMPUTED_VALUE"""),"Brad Garrett")</f>
        <v>Brad Garrett</v>
      </c>
      <c r="S1471" s="5" t="str">
        <f>IFERROR(__xludf.DUMMYFUNCTION("""COMPUTED_VALUE"""),"Estrela 2")</f>
        <v>Estrela 2</v>
      </c>
    </row>
    <row r="1472">
      <c r="G1472" s="5" t="str">
        <f>IFERROR(__xludf.DUMMYFUNCTION("""COMPUTED_VALUE"""),"368🤙🏼Ratatouille🤙🏼Lou Romano🤙🏼Estrela 3")</f>
        <v>368🤙🏼Ratatouille🤙🏼Lou Romano🤙🏼Estrela 3</v>
      </c>
      <c r="H1472" s="5">
        <f>IFERROR(__xludf.DUMMYFUNCTION("SPLiT(G1472, ""🤙🏼"",FALSE,FALSE)"),368.0)</f>
        <v>368</v>
      </c>
      <c r="I1472" s="5" t="str">
        <f>IFERROR(__xludf.DUMMYFUNCTION("""COMPUTED_VALUE"""),"Ratatouille")</f>
        <v>Ratatouille</v>
      </c>
      <c r="J1472" s="5" t="str">
        <f>IFERROR(__xludf.DUMMYFUNCTION("""COMPUTED_VALUE"""),"Lou Romano")</f>
        <v>Lou Romano</v>
      </c>
      <c r="K1472" s="5" t="str">
        <f>IFERROR(__xludf.DUMMYFUNCTION("""COMPUTED_VALUE"""),"Estrela 3")</f>
        <v>Estrela 3</v>
      </c>
      <c r="P1472" s="5">
        <f>IFERROR(__xludf.DUMMYFUNCTION("""COMPUTED_VALUE"""),368.0)</f>
        <v>368</v>
      </c>
      <c r="Q1472" s="5" t="str">
        <f>IFERROR(__xludf.DUMMYFUNCTION("""COMPUTED_VALUE"""),"Ratatouille")</f>
        <v>Ratatouille</v>
      </c>
      <c r="R1472" s="5" t="str">
        <f>IFERROR(__xludf.DUMMYFUNCTION("""COMPUTED_VALUE"""),"Lou Romano")</f>
        <v>Lou Romano</v>
      </c>
      <c r="S1472" s="5" t="str">
        <f>IFERROR(__xludf.DUMMYFUNCTION("""COMPUTED_VALUE"""),"Estrela 3")</f>
        <v>Estrela 3</v>
      </c>
    </row>
    <row r="1473">
      <c r="G1473" s="5" t="str">
        <f>IFERROR(__xludf.DUMMYFUNCTION("""COMPUTED_VALUE"""),"368🤙🏼Ratatouille🤙🏼Patton Oswalt🤙🏼Estrela 4")</f>
        <v>368🤙🏼Ratatouille🤙🏼Patton Oswalt🤙🏼Estrela 4</v>
      </c>
      <c r="H1473" s="5">
        <f>IFERROR(__xludf.DUMMYFUNCTION("SPLiT(G1473, ""🤙🏼"",FALSE,FALSE)"),368.0)</f>
        <v>368</v>
      </c>
      <c r="I1473" s="5" t="str">
        <f>IFERROR(__xludf.DUMMYFUNCTION("""COMPUTED_VALUE"""),"Ratatouille")</f>
        <v>Ratatouille</v>
      </c>
      <c r="J1473" s="5" t="str">
        <f>IFERROR(__xludf.DUMMYFUNCTION("""COMPUTED_VALUE"""),"Patton Oswalt")</f>
        <v>Patton Oswalt</v>
      </c>
      <c r="K1473" s="5" t="str">
        <f>IFERROR(__xludf.DUMMYFUNCTION("""COMPUTED_VALUE"""),"Estrela 4")</f>
        <v>Estrela 4</v>
      </c>
      <c r="P1473" s="5">
        <f>IFERROR(__xludf.DUMMYFUNCTION("""COMPUTED_VALUE"""),368.0)</f>
        <v>368</v>
      </c>
      <c r="Q1473" s="5" t="str">
        <f>IFERROR(__xludf.DUMMYFUNCTION("""COMPUTED_VALUE"""),"Ratatouille")</f>
        <v>Ratatouille</v>
      </c>
      <c r="R1473" s="5" t="str">
        <f>IFERROR(__xludf.DUMMYFUNCTION("""COMPUTED_VALUE"""),"Patton Oswalt")</f>
        <v>Patton Oswalt</v>
      </c>
      <c r="S1473" s="5" t="str">
        <f>IFERROR(__xludf.DUMMYFUNCTION("""COMPUTED_VALUE"""),"Estrela 4")</f>
        <v>Estrela 4</v>
      </c>
    </row>
    <row r="1474">
      <c r="G1474" s="5" t="str">
        <f>IFERROR(__xludf.DUMMYFUNCTION("""COMPUTED_VALUE"""),"369🤙🏼Casino Royale🤙🏼Daniel Craig🤙🏼Estrela 1")</f>
        <v>369🤙🏼Casino Royale🤙🏼Daniel Craig🤙🏼Estrela 1</v>
      </c>
      <c r="H1474" s="5">
        <f>IFERROR(__xludf.DUMMYFUNCTION("SPLiT(G1474, ""🤙🏼"",FALSE,FALSE)"),369.0)</f>
        <v>369</v>
      </c>
      <c r="I1474" s="5" t="str">
        <f>IFERROR(__xludf.DUMMYFUNCTION("""COMPUTED_VALUE"""),"Casino Royale")</f>
        <v>Casino Royale</v>
      </c>
      <c r="J1474" s="5" t="str">
        <f>IFERROR(__xludf.DUMMYFUNCTION("""COMPUTED_VALUE"""),"Daniel Craig")</f>
        <v>Daniel Craig</v>
      </c>
      <c r="K1474" s="5" t="str">
        <f>IFERROR(__xludf.DUMMYFUNCTION("""COMPUTED_VALUE"""),"Estrela 1")</f>
        <v>Estrela 1</v>
      </c>
      <c r="P1474" s="5">
        <f>IFERROR(__xludf.DUMMYFUNCTION("""COMPUTED_VALUE"""),369.0)</f>
        <v>369</v>
      </c>
      <c r="Q1474" s="5" t="str">
        <f>IFERROR(__xludf.DUMMYFUNCTION("""COMPUTED_VALUE"""),"Casino Royale")</f>
        <v>Casino Royale</v>
      </c>
      <c r="R1474" s="5" t="str">
        <f>IFERROR(__xludf.DUMMYFUNCTION("""COMPUTED_VALUE"""),"Daniel Craig")</f>
        <v>Daniel Craig</v>
      </c>
      <c r="S1474" s="5" t="str">
        <f>IFERROR(__xludf.DUMMYFUNCTION("""COMPUTED_VALUE"""),"Estrela 1")</f>
        <v>Estrela 1</v>
      </c>
    </row>
    <row r="1475">
      <c r="G1475" s="5" t="str">
        <f>IFERROR(__xludf.DUMMYFUNCTION("""COMPUTED_VALUE"""),"369🤙🏼Casino Royale🤙🏼Eva Green🤙🏼Estrela 2")</f>
        <v>369🤙🏼Casino Royale🤙🏼Eva Green🤙🏼Estrela 2</v>
      </c>
      <c r="H1475" s="5">
        <f>IFERROR(__xludf.DUMMYFUNCTION("SPLiT(G1475, ""🤙🏼"",FALSE,FALSE)"),369.0)</f>
        <v>369</v>
      </c>
      <c r="I1475" s="5" t="str">
        <f>IFERROR(__xludf.DUMMYFUNCTION("""COMPUTED_VALUE"""),"Casino Royale")</f>
        <v>Casino Royale</v>
      </c>
      <c r="J1475" s="5" t="str">
        <f>IFERROR(__xludf.DUMMYFUNCTION("""COMPUTED_VALUE"""),"Eva Green")</f>
        <v>Eva Green</v>
      </c>
      <c r="K1475" s="5" t="str">
        <f>IFERROR(__xludf.DUMMYFUNCTION("""COMPUTED_VALUE"""),"Estrela 2")</f>
        <v>Estrela 2</v>
      </c>
      <c r="P1475" s="5">
        <f>IFERROR(__xludf.DUMMYFUNCTION("""COMPUTED_VALUE"""),369.0)</f>
        <v>369</v>
      </c>
      <c r="Q1475" s="5" t="str">
        <f>IFERROR(__xludf.DUMMYFUNCTION("""COMPUTED_VALUE"""),"Casino Royale")</f>
        <v>Casino Royale</v>
      </c>
      <c r="R1475" s="5" t="str">
        <f>IFERROR(__xludf.DUMMYFUNCTION("""COMPUTED_VALUE"""),"Eva Green")</f>
        <v>Eva Green</v>
      </c>
      <c r="S1475" s="5" t="str">
        <f>IFERROR(__xludf.DUMMYFUNCTION("""COMPUTED_VALUE"""),"Estrela 2")</f>
        <v>Estrela 2</v>
      </c>
    </row>
    <row r="1476">
      <c r="G1476" s="5" t="str">
        <f>IFERROR(__xludf.DUMMYFUNCTION("""COMPUTED_VALUE"""),"369🤙🏼Casino Royale🤙🏼Judi Dench🤙🏼Estrela 3")</f>
        <v>369🤙🏼Casino Royale🤙🏼Judi Dench🤙🏼Estrela 3</v>
      </c>
      <c r="H1476" s="5">
        <f>IFERROR(__xludf.DUMMYFUNCTION("SPLiT(G1476, ""🤙🏼"",FALSE,FALSE)"),369.0)</f>
        <v>369</v>
      </c>
      <c r="I1476" s="5" t="str">
        <f>IFERROR(__xludf.DUMMYFUNCTION("""COMPUTED_VALUE"""),"Casino Royale")</f>
        <v>Casino Royale</v>
      </c>
      <c r="J1476" s="5" t="str">
        <f>IFERROR(__xludf.DUMMYFUNCTION("""COMPUTED_VALUE"""),"Judi Dench")</f>
        <v>Judi Dench</v>
      </c>
      <c r="K1476" s="5" t="str">
        <f>IFERROR(__xludf.DUMMYFUNCTION("""COMPUTED_VALUE"""),"Estrela 3")</f>
        <v>Estrela 3</v>
      </c>
      <c r="P1476" s="5">
        <f>IFERROR(__xludf.DUMMYFUNCTION("""COMPUTED_VALUE"""),369.0)</f>
        <v>369</v>
      </c>
      <c r="Q1476" s="5" t="str">
        <f>IFERROR(__xludf.DUMMYFUNCTION("""COMPUTED_VALUE"""),"Casino Royale")</f>
        <v>Casino Royale</v>
      </c>
      <c r="R1476" s="5" t="str">
        <f>IFERROR(__xludf.DUMMYFUNCTION("""COMPUTED_VALUE"""),"Judi Dench")</f>
        <v>Judi Dench</v>
      </c>
      <c r="S1476" s="5" t="str">
        <f>IFERROR(__xludf.DUMMYFUNCTION("""COMPUTED_VALUE"""),"Estrela 3")</f>
        <v>Estrela 3</v>
      </c>
    </row>
    <row r="1477">
      <c r="G1477" s="5" t="str">
        <f>IFERROR(__xludf.DUMMYFUNCTION("""COMPUTED_VALUE"""),"369🤙🏼Casino Royale🤙🏼Jeffrey Wright🤙🏼Estrela 4")</f>
        <v>369🤙🏼Casino Royale🤙🏼Jeffrey Wright🤙🏼Estrela 4</v>
      </c>
      <c r="H1477" s="5">
        <f>IFERROR(__xludf.DUMMYFUNCTION("SPLiT(G1477, ""🤙🏼"",FALSE,FALSE)"),369.0)</f>
        <v>369</v>
      </c>
      <c r="I1477" s="5" t="str">
        <f>IFERROR(__xludf.DUMMYFUNCTION("""COMPUTED_VALUE"""),"Casino Royale")</f>
        <v>Casino Royale</v>
      </c>
      <c r="J1477" s="5" t="str">
        <f>IFERROR(__xludf.DUMMYFUNCTION("""COMPUTED_VALUE"""),"Jeffrey Wright")</f>
        <v>Jeffrey Wright</v>
      </c>
      <c r="K1477" s="5" t="str">
        <f>IFERROR(__xludf.DUMMYFUNCTION("""COMPUTED_VALUE"""),"Estrela 4")</f>
        <v>Estrela 4</v>
      </c>
      <c r="P1477" s="5">
        <f>IFERROR(__xludf.DUMMYFUNCTION("""COMPUTED_VALUE"""),369.0)</f>
        <v>369</v>
      </c>
      <c r="Q1477" s="5" t="str">
        <f>IFERROR(__xludf.DUMMYFUNCTION("""COMPUTED_VALUE"""),"Casino Royale")</f>
        <v>Casino Royale</v>
      </c>
      <c r="R1477" s="5" t="str">
        <f>IFERROR(__xludf.DUMMYFUNCTION("""COMPUTED_VALUE"""),"Jeffrey Wright")</f>
        <v>Jeffrey Wright</v>
      </c>
      <c r="S1477" s="5" t="str">
        <f>IFERROR(__xludf.DUMMYFUNCTION("""COMPUTED_VALUE"""),"Estrela 4")</f>
        <v>Estrela 4</v>
      </c>
    </row>
    <row r="1478">
      <c r="G1478" s="5" t="str">
        <f>IFERROR(__xludf.DUMMYFUNCTION("""COMPUTED_VALUE"""),"370🤙🏼Kill Bill: Vol. 2🤙🏼Uma Thurman🤙🏼Estrela 1")</f>
        <v>370🤙🏼Kill Bill: Vol. 2🤙🏼Uma Thurman🤙🏼Estrela 1</v>
      </c>
      <c r="H1478" s="5">
        <f>IFERROR(__xludf.DUMMYFUNCTION("SPLiT(G1478, ""🤙🏼"",FALSE,FALSE)"),370.0)</f>
        <v>370</v>
      </c>
      <c r="I1478" s="5" t="str">
        <f>IFERROR(__xludf.DUMMYFUNCTION("""COMPUTED_VALUE"""),"Kill Bill: Vol. 2")</f>
        <v>Kill Bill: Vol. 2</v>
      </c>
      <c r="J1478" s="5" t="str">
        <f>IFERROR(__xludf.DUMMYFUNCTION("""COMPUTED_VALUE"""),"Uma Thurman")</f>
        <v>Uma Thurman</v>
      </c>
      <c r="K1478" s="5" t="str">
        <f>IFERROR(__xludf.DUMMYFUNCTION("""COMPUTED_VALUE"""),"Estrela 1")</f>
        <v>Estrela 1</v>
      </c>
      <c r="P1478" s="5">
        <f>IFERROR(__xludf.DUMMYFUNCTION("""COMPUTED_VALUE"""),370.0)</f>
        <v>370</v>
      </c>
      <c r="Q1478" s="5" t="str">
        <f>IFERROR(__xludf.DUMMYFUNCTION("""COMPUTED_VALUE"""),"Kill Bill: Vol. 2")</f>
        <v>Kill Bill: Vol. 2</v>
      </c>
      <c r="R1478" s="5" t="str">
        <f>IFERROR(__xludf.DUMMYFUNCTION("""COMPUTED_VALUE"""),"Uma Thurman")</f>
        <v>Uma Thurman</v>
      </c>
      <c r="S1478" s="5" t="str">
        <f>IFERROR(__xludf.DUMMYFUNCTION("""COMPUTED_VALUE"""),"Estrela 1")</f>
        <v>Estrela 1</v>
      </c>
    </row>
    <row r="1479">
      <c r="G1479" s="5" t="str">
        <f>IFERROR(__xludf.DUMMYFUNCTION("""COMPUTED_VALUE"""),"370🤙🏼Kill Bill: Vol. 2🤙🏼David Carradine🤙🏼Estrela 2")</f>
        <v>370🤙🏼Kill Bill: Vol. 2🤙🏼David Carradine🤙🏼Estrela 2</v>
      </c>
      <c r="H1479" s="5">
        <f>IFERROR(__xludf.DUMMYFUNCTION("SPLiT(G1479, ""🤙🏼"",FALSE,FALSE)"),370.0)</f>
        <v>370</v>
      </c>
      <c r="I1479" s="5" t="str">
        <f>IFERROR(__xludf.DUMMYFUNCTION("""COMPUTED_VALUE"""),"Kill Bill: Vol. 2")</f>
        <v>Kill Bill: Vol. 2</v>
      </c>
      <c r="J1479" s="5" t="str">
        <f>IFERROR(__xludf.DUMMYFUNCTION("""COMPUTED_VALUE"""),"David Carradine")</f>
        <v>David Carradine</v>
      </c>
      <c r="K1479" s="5" t="str">
        <f>IFERROR(__xludf.DUMMYFUNCTION("""COMPUTED_VALUE"""),"Estrela 2")</f>
        <v>Estrela 2</v>
      </c>
      <c r="P1479" s="5">
        <f>IFERROR(__xludf.DUMMYFUNCTION("""COMPUTED_VALUE"""),370.0)</f>
        <v>370</v>
      </c>
      <c r="Q1479" s="5" t="str">
        <f>IFERROR(__xludf.DUMMYFUNCTION("""COMPUTED_VALUE"""),"Kill Bill: Vol. 2")</f>
        <v>Kill Bill: Vol. 2</v>
      </c>
      <c r="R1479" s="5" t="str">
        <f>IFERROR(__xludf.DUMMYFUNCTION("""COMPUTED_VALUE"""),"David Carradine")</f>
        <v>David Carradine</v>
      </c>
      <c r="S1479" s="5" t="str">
        <f>IFERROR(__xludf.DUMMYFUNCTION("""COMPUTED_VALUE"""),"Estrela 2")</f>
        <v>Estrela 2</v>
      </c>
    </row>
    <row r="1480">
      <c r="G1480" s="5" t="str">
        <f>IFERROR(__xludf.DUMMYFUNCTION("""COMPUTED_VALUE"""),"370🤙🏼Kill Bill: Vol. 2🤙🏼Michael Madsen🤙🏼Estrela 3")</f>
        <v>370🤙🏼Kill Bill: Vol. 2🤙🏼Michael Madsen🤙🏼Estrela 3</v>
      </c>
      <c r="H1480" s="5">
        <f>IFERROR(__xludf.DUMMYFUNCTION("SPLiT(G1480, ""🤙🏼"",FALSE,FALSE)"),370.0)</f>
        <v>370</v>
      </c>
      <c r="I1480" s="5" t="str">
        <f>IFERROR(__xludf.DUMMYFUNCTION("""COMPUTED_VALUE"""),"Kill Bill: Vol. 2")</f>
        <v>Kill Bill: Vol. 2</v>
      </c>
      <c r="J1480" s="5" t="str">
        <f>IFERROR(__xludf.DUMMYFUNCTION("""COMPUTED_VALUE"""),"Michael Madsen")</f>
        <v>Michael Madsen</v>
      </c>
      <c r="K1480" s="5" t="str">
        <f>IFERROR(__xludf.DUMMYFUNCTION("""COMPUTED_VALUE"""),"Estrela 3")</f>
        <v>Estrela 3</v>
      </c>
      <c r="P1480" s="5">
        <f>IFERROR(__xludf.DUMMYFUNCTION("""COMPUTED_VALUE"""),370.0)</f>
        <v>370</v>
      </c>
      <c r="Q1480" s="5" t="str">
        <f>IFERROR(__xludf.DUMMYFUNCTION("""COMPUTED_VALUE"""),"Kill Bill: Vol. 2")</f>
        <v>Kill Bill: Vol. 2</v>
      </c>
      <c r="R1480" s="5" t="str">
        <f>IFERROR(__xludf.DUMMYFUNCTION("""COMPUTED_VALUE"""),"Michael Madsen")</f>
        <v>Michael Madsen</v>
      </c>
      <c r="S1480" s="5" t="str">
        <f>IFERROR(__xludf.DUMMYFUNCTION("""COMPUTED_VALUE"""),"Estrela 3")</f>
        <v>Estrela 3</v>
      </c>
    </row>
    <row r="1481">
      <c r="G1481" s="5" t="str">
        <f>IFERROR(__xludf.DUMMYFUNCTION("""COMPUTED_VALUE"""),"370🤙🏼Kill Bill: Vol. 2🤙🏼Daryl Hannah🤙🏼Estrela 4")</f>
        <v>370🤙🏼Kill Bill: Vol. 2🤙🏼Daryl Hannah🤙🏼Estrela 4</v>
      </c>
      <c r="H1481" s="5">
        <f>IFERROR(__xludf.DUMMYFUNCTION("SPLiT(G1481, ""🤙🏼"",FALSE,FALSE)"),370.0)</f>
        <v>370</v>
      </c>
      <c r="I1481" s="5" t="str">
        <f>IFERROR(__xludf.DUMMYFUNCTION("""COMPUTED_VALUE"""),"Kill Bill: Vol. 2")</f>
        <v>Kill Bill: Vol. 2</v>
      </c>
      <c r="J1481" s="5" t="str">
        <f>IFERROR(__xludf.DUMMYFUNCTION("""COMPUTED_VALUE"""),"Daryl Hannah")</f>
        <v>Daryl Hannah</v>
      </c>
      <c r="K1481" s="5" t="str">
        <f>IFERROR(__xludf.DUMMYFUNCTION("""COMPUTED_VALUE"""),"Estrela 4")</f>
        <v>Estrela 4</v>
      </c>
      <c r="P1481" s="5">
        <f>IFERROR(__xludf.DUMMYFUNCTION("""COMPUTED_VALUE"""),370.0)</f>
        <v>370</v>
      </c>
      <c r="Q1481" s="5" t="str">
        <f>IFERROR(__xludf.DUMMYFUNCTION("""COMPUTED_VALUE"""),"Kill Bill: Vol. 2")</f>
        <v>Kill Bill: Vol. 2</v>
      </c>
      <c r="R1481" s="5" t="str">
        <f>IFERROR(__xludf.DUMMYFUNCTION("""COMPUTED_VALUE"""),"Daryl Hannah")</f>
        <v>Daryl Hannah</v>
      </c>
      <c r="S1481" s="5" t="str">
        <f>IFERROR(__xludf.DUMMYFUNCTION("""COMPUTED_VALUE"""),"Estrela 4")</f>
        <v>Estrela 4</v>
      </c>
    </row>
    <row r="1482">
      <c r="G1482" s="5" t="str">
        <f>IFERROR(__xludf.DUMMYFUNCTION("""COMPUTED_VALUE"""),"371🤙🏼Vozvrashchenie🤙🏼Vladimir Garin🤙🏼Estrela 1")</f>
        <v>371🤙🏼Vozvrashchenie🤙🏼Vladimir Garin🤙🏼Estrela 1</v>
      </c>
      <c r="H1482" s="5">
        <f>IFERROR(__xludf.DUMMYFUNCTION("SPLiT(G1482, ""🤙🏼"",FALSE,FALSE)"),371.0)</f>
        <v>371</v>
      </c>
      <c r="I1482" s="5" t="str">
        <f>IFERROR(__xludf.DUMMYFUNCTION("""COMPUTED_VALUE"""),"Vozvrashchenie")</f>
        <v>Vozvrashchenie</v>
      </c>
      <c r="J1482" s="5" t="str">
        <f>IFERROR(__xludf.DUMMYFUNCTION("""COMPUTED_VALUE"""),"Vladimir Garin")</f>
        <v>Vladimir Garin</v>
      </c>
      <c r="K1482" s="5" t="str">
        <f>IFERROR(__xludf.DUMMYFUNCTION("""COMPUTED_VALUE"""),"Estrela 1")</f>
        <v>Estrela 1</v>
      </c>
      <c r="P1482" s="5">
        <f>IFERROR(__xludf.DUMMYFUNCTION("""COMPUTED_VALUE"""),371.0)</f>
        <v>371</v>
      </c>
      <c r="Q1482" s="5" t="str">
        <f>IFERROR(__xludf.DUMMYFUNCTION("""COMPUTED_VALUE"""),"Vozvrashchenie")</f>
        <v>Vozvrashchenie</v>
      </c>
      <c r="R1482" s="5" t="str">
        <f>IFERROR(__xludf.DUMMYFUNCTION("""COMPUTED_VALUE"""),"Vladimir Garin")</f>
        <v>Vladimir Garin</v>
      </c>
      <c r="S1482" s="5" t="str">
        <f>IFERROR(__xludf.DUMMYFUNCTION("""COMPUTED_VALUE"""),"Estrela 1")</f>
        <v>Estrela 1</v>
      </c>
    </row>
    <row r="1483">
      <c r="G1483" s="5" t="str">
        <f>IFERROR(__xludf.DUMMYFUNCTION("""COMPUTED_VALUE"""),"371🤙🏼Vozvrashchenie🤙🏼Ivan Dobronravov🤙🏼Estrela 2")</f>
        <v>371🤙🏼Vozvrashchenie🤙🏼Ivan Dobronravov🤙🏼Estrela 2</v>
      </c>
      <c r="H1483" s="5">
        <f>IFERROR(__xludf.DUMMYFUNCTION("SPLiT(G1483, ""🤙🏼"",FALSE,FALSE)"),371.0)</f>
        <v>371</v>
      </c>
      <c r="I1483" s="5" t="str">
        <f>IFERROR(__xludf.DUMMYFUNCTION("""COMPUTED_VALUE"""),"Vozvrashchenie")</f>
        <v>Vozvrashchenie</v>
      </c>
      <c r="J1483" s="5" t="str">
        <f>IFERROR(__xludf.DUMMYFUNCTION("""COMPUTED_VALUE"""),"Ivan Dobronravov")</f>
        <v>Ivan Dobronravov</v>
      </c>
      <c r="K1483" s="5" t="str">
        <f>IFERROR(__xludf.DUMMYFUNCTION("""COMPUTED_VALUE"""),"Estrela 2")</f>
        <v>Estrela 2</v>
      </c>
      <c r="P1483" s="5">
        <f>IFERROR(__xludf.DUMMYFUNCTION("""COMPUTED_VALUE"""),371.0)</f>
        <v>371</v>
      </c>
      <c r="Q1483" s="5" t="str">
        <f>IFERROR(__xludf.DUMMYFUNCTION("""COMPUTED_VALUE"""),"Vozvrashchenie")</f>
        <v>Vozvrashchenie</v>
      </c>
      <c r="R1483" s="5" t="str">
        <f>IFERROR(__xludf.DUMMYFUNCTION("""COMPUTED_VALUE"""),"Ivan Dobronravov")</f>
        <v>Ivan Dobronravov</v>
      </c>
      <c r="S1483" s="5" t="str">
        <f>IFERROR(__xludf.DUMMYFUNCTION("""COMPUTED_VALUE"""),"Estrela 2")</f>
        <v>Estrela 2</v>
      </c>
    </row>
    <row r="1484">
      <c r="G1484" s="5" t="str">
        <f>IFERROR(__xludf.DUMMYFUNCTION("""COMPUTED_VALUE"""),"371🤙🏼Vozvrashchenie🤙🏼Konstantin Lavronenko🤙🏼Estrela 3")</f>
        <v>371🤙🏼Vozvrashchenie🤙🏼Konstantin Lavronenko🤙🏼Estrela 3</v>
      </c>
      <c r="H1484" s="5">
        <f>IFERROR(__xludf.DUMMYFUNCTION("SPLiT(G1484, ""🤙🏼"",FALSE,FALSE)"),371.0)</f>
        <v>371</v>
      </c>
      <c r="I1484" s="5" t="str">
        <f>IFERROR(__xludf.DUMMYFUNCTION("""COMPUTED_VALUE"""),"Vozvrashchenie")</f>
        <v>Vozvrashchenie</v>
      </c>
      <c r="J1484" s="5" t="str">
        <f>IFERROR(__xludf.DUMMYFUNCTION("""COMPUTED_VALUE"""),"Konstantin Lavronenko")</f>
        <v>Konstantin Lavronenko</v>
      </c>
      <c r="K1484" s="5" t="str">
        <f>IFERROR(__xludf.DUMMYFUNCTION("""COMPUTED_VALUE"""),"Estrela 3")</f>
        <v>Estrela 3</v>
      </c>
      <c r="P1484" s="5">
        <f>IFERROR(__xludf.DUMMYFUNCTION("""COMPUTED_VALUE"""),371.0)</f>
        <v>371</v>
      </c>
      <c r="Q1484" s="5" t="str">
        <f>IFERROR(__xludf.DUMMYFUNCTION("""COMPUTED_VALUE"""),"Vozvrashchenie")</f>
        <v>Vozvrashchenie</v>
      </c>
      <c r="R1484" s="5" t="str">
        <f>IFERROR(__xludf.DUMMYFUNCTION("""COMPUTED_VALUE"""),"Konstantin Lavronenko")</f>
        <v>Konstantin Lavronenko</v>
      </c>
      <c r="S1484" s="5" t="str">
        <f>IFERROR(__xludf.DUMMYFUNCTION("""COMPUTED_VALUE"""),"Estrela 3")</f>
        <v>Estrela 3</v>
      </c>
    </row>
    <row r="1485">
      <c r="G1485" s="5" t="str">
        <f>IFERROR(__xludf.DUMMYFUNCTION("""COMPUTED_VALUE"""),"371🤙🏼Vozvrashchenie🤙🏼Nataliya Vdovina🤙🏼Estrela 4")</f>
        <v>371🤙🏼Vozvrashchenie🤙🏼Nataliya Vdovina🤙🏼Estrela 4</v>
      </c>
      <c r="H1485" s="5">
        <f>IFERROR(__xludf.DUMMYFUNCTION("SPLiT(G1485, ""🤙🏼"",FALSE,FALSE)"),371.0)</f>
        <v>371</v>
      </c>
      <c r="I1485" s="5" t="str">
        <f>IFERROR(__xludf.DUMMYFUNCTION("""COMPUTED_VALUE"""),"Vozvrashchenie")</f>
        <v>Vozvrashchenie</v>
      </c>
      <c r="J1485" s="5" t="str">
        <f>IFERROR(__xludf.DUMMYFUNCTION("""COMPUTED_VALUE"""),"Nataliya Vdovina")</f>
        <v>Nataliya Vdovina</v>
      </c>
      <c r="K1485" s="5" t="str">
        <f>IFERROR(__xludf.DUMMYFUNCTION("""COMPUTED_VALUE"""),"Estrela 4")</f>
        <v>Estrela 4</v>
      </c>
      <c r="P1485" s="5">
        <f>IFERROR(__xludf.DUMMYFUNCTION("""COMPUTED_VALUE"""),371.0)</f>
        <v>371</v>
      </c>
      <c r="Q1485" s="5" t="str">
        <f>IFERROR(__xludf.DUMMYFUNCTION("""COMPUTED_VALUE"""),"Vozvrashchenie")</f>
        <v>Vozvrashchenie</v>
      </c>
      <c r="R1485" s="5" t="str">
        <f>IFERROR(__xludf.DUMMYFUNCTION("""COMPUTED_VALUE"""),"Nataliya Vdovina")</f>
        <v>Nataliya Vdovina</v>
      </c>
      <c r="S1485" s="5" t="str">
        <f>IFERROR(__xludf.DUMMYFUNCTION("""COMPUTED_VALUE"""),"Estrela 4")</f>
        <v>Estrela 4</v>
      </c>
    </row>
    <row r="1486">
      <c r="G1486" s="5" t="str">
        <f>IFERROR(__xludf.DUMMYFUNCTION("""COMPUTED_VALUE"""),"372🤙🏼Bom Yeoareum Gaeul Gyeoul Geurigo Bom🤙🏼Ki-duk Kim🤙🏼Estrela 1")</f>
        <v>372🤙🏼Bom Yeoareum Gaeul Gyeoul Geurigo Bom🤙🏼Ki-duk Kim🤙🏼Estrela 1</v>
      </c>
      <c r="H1486" s="5">
        <f>IFERROR(__xludf.DUMMYFUNCTION("SPLiT(G1486, ""🤙🏼"",FALSE,FALSE)"),372.0)</f>
        <v>372</v>
      </c>
      <c r="I1486" s="5" t="str">
        <f>IFERROR(__xludf.DUMMYFUNCTION("""COMPUTED_VALUE"""),"Bom Yeoareum Gaeul Gyeoul Geurigo Bom")</f>
        <v>Bom Yeoareum Gaeul Gyeoul Geurigo Bom</v>
      </c>
      <c r="J1486" s="5" t="str">
        <f>IFERROR(__xludf.DUMMYFUNCTION("""COMPUTED_VALUE"""),"Ki-duk Kim")</f>
        <v>Ki-duk Kim</v>
      </c>
      <c r="K1486" s="5" t="str">
        <f>IFERROR(__xludf.DUMMYFUNCTION("""COMPUTED_VALUE"""),"Estrela 1")</f>
        <v>Estrela 1</v>
      </c>
      <c r="P1486" s="5">
        <f>IFERROR(__xludf.DUMMYFUNCTION("""COMPUTED_VALUE"""),372.0)</f>
        <v>372</v>
      </c>
      <c r="Q1486" s="5" t="str">
        <f>IFERROR(__xludf.DUMMYFUNCTION("""COMPUTED_VALUE"""),"Bom Yeoareum Gaeul Gyeoul Geurigo Bom")</f>
        <v>Bom Yeoareum Gaeul Gyeoul Geurigo Bom</v>
      </c>
      <c r="R1486" s="5" t="str">
        <f>IFERROR(__xludf.DUMMYFUNCTION("""COMPUTED_VALUE"""),"Ki-duk Kim")</f>
        <v>Ki-duk Kim</v>
      </c>
      <c r="S1486" s="5" t="str">
        <f>IFERROR(__xludf.DUMMYFUNCTION("""COMPUTED_VALUE"""),"Estrela 1")</f>
        <v>Estrela 1</v>
      </c>
    </row>
    <row r="1487">
      <c r="G1487" s="5" t="str">
        <f>IFERROR(__xludf.DUMMYFUNCTION("""COMPUTED_VALUE"""),"372🤙🏼Bom Yeoareum Gaeul Gyeoul Geurigo Bom🤙🏼Yeong-su Oh🤙🏼Estrela 2")</f>
        <v>372🤙🏼Bom Yeoareum Gaeul Gyeoul Geurigo Bom🤙🏼Yeong-su Oh🤙🏼Estrela 2</v>
      </c>
      <c r="H1487" s="5">
        <f>IFERROR(__xludf.DUMMYFUNCTION("SPLiT(G1487, ""🤙🏼"",FALSE,FALSE)"),372.0)</f>
        <v>372</v>
      </c>
      <c r="I1487" s="5" t="str">
        <f>IFERROR(__xludf.DUMMYFUNCTION("""COMPUTED_VALUE"""),"Bom Yeoareum Gaeul Gyeoul Geurigo Bom")</f>
        <v>Bom Yeoareum Gaeul Gyeoul Geurigo Bom</v>
      </c>
      <c r="J1487" s="5" t="str">
        <f>IFERROR(__xludf.DUMMYFUNCTION("""COMPUTED_VALUE"""),"Yeong-su Oh")</f>
        <v>Yeong-su Oh</v>
      </c>
      <c r="K1487" s="5" t="str">
        <f>IFERROR(__xludf.DUMMYFUNCTION("""COMPUTED_VALUE"""),"Estrela 2")</f>
        <v>Estrela 2</v>
      </c>
      <c r="P1487" s="5">
        <f>IFERROR(__xludf.DUMMYFUNCTION("""COMPUTED_VALUE"""),372.0)</f>
        <v>372</v>
      </c>
      <c r="Q1487" s="5" t="str">
        <f>IFERROR(__xludf.DUMMYFUNCTION("""COMPUTED_VALUE"""),"Bom Yeoareum Gaeul Gyeoul Geurigo Bom")</f>
        <v>Bom Yeoareum Gaeul Gyeoul Geurigo Bom</v>
      </c>
      <c r="R1487" s="5" t="str">
        <f>IFERROR(__xludf.DUMMYFUNCTION("""COMPUTED_VALUE"""),"Yeong-su Oh")</f>
        <v>Yeong-su Oh</v>
      </c>
      <c r="S1487" s="5" t="str">
        <f>IFERROR(__xludf.DUMMYFUNCTION("""COMPUTED_VALUE"""),"Estrela 2")</f>
        <v>Estrela 2</v>
      </c>
    </row>
    <row r="1488">
      <c r="G1488" s="5" t="str">
        <f>IFERROR(__xludf.DUMMYFUNCTION("""COMPUTED_VALUE"""),"372🤙🏼Bom Yeoareum Gaeul Gyeoul Geurigo Bom🤙🏼Jong-ho Kim🤙🏼Estrela 3")</f>
        <v>372🤙🏼Bom Yeoareum Gaeul Gyeoul Geurigo Bom🤙🏼Jong-ho Kim🤙🏼Estrela 3</v>
      </c>
      <c r="H1488" s="5">
        <f>IFERROR(__xludf.DUMMYFUNCTION("SPLiT(G1488, ""🤙🏼"",FALSE,FALSE)"),372.0)</f>
        <v>372</v>
      </c>
      <c r="I1488" s="5" t="str">
        <f>IFERROR(__xludf.DUMMYFUNCTION("""COMPUTED_VALUE"""),"Bom Yeoareum Gaeul Gyeoul Geurigo Bom")</f>
        <v>Bom Yeoareum Gaeul Gyeoul Geurigo Bom</v>
      </c>
      <c r="J1488" s="5" t="str">
        <f>IFERROR(__xludf.DUMMYFUNCTION("""COMPUTED_VALUE"""),"Jong-ho Kim")</f>
        <v>Jong-ho Kim</v>
      </c>
      <c r="K1488" s="5" t="str">
        <f>IFERROR(__xludf.DUMMYFUNCTION("""COMPUTED_VALUE"""),"Estrela 3")</f>
        <v>Estrela 3</v>
      </c>
      <c r="P1488" s="5">
        <f>IFERROR(__xludf.DUMMYFUNCTION("""COMPUTED_VALUE"""),372.0)</f>
        <v>372</v>
      </c>
      <c r="Q1488" s="5" t="str">
        <f>IFERROR(__xludf.DUMMYFUNCTION("""COMPUTED_VALUE"""),"Bom Yeoareum Gaeul Gyeoul Geurigo Bom")</f>
        <v>Bom Yeoareum Gaeul Gyeoul Geurigo Bom</v>
      </c>
      <c r="R1488" s="5" t="str">
        <f>IFERROR(__xludf.DUMMYFUNCTION("""COMPUTED_VALUE"""),"Jong-ho Kim")</f>
        <v>Jong-ho Kim</v>
      </c>
      <c r="S1488" s="5" t="str">
        <f>IFERROR(__xludf.DUMMYFUNCTION("""COMPUTED_VALUE"""),"Estrela 3")</f>
        <v>Estrela 3</v>
      </c>
    </row>
    <row r="1489">
      <c r="G1489" s="5" t="str">
        <f>IFERROR(__xludf.DUMMYFUNCTION("""COMPUTED_VALUE"""),"372🤙🏼Bom Yeoareum Gaeul Gyeoul Geurigo Bom🤙🏼Kim Young-Min🤙🏼Estrela 4")</f>
        <v>372🤙🏼Bom Yeoareum Gaeul Gyeoul Geurigo Bom🤙🏼Kim Young-Min🤙🏼Estrela 4</v>
      </c>
      <c r="H1489" s="5">
        <f>IFERROR(__xludf.DUMMYFUNCTION("SPLiT(G1489, ""🤙🏼"",FALSE,FALSE)"),372.0)</f>
        <v>372</v>
      </c>
      <c r="I1489" s="5" t="str">
        <f>IFERROR(__xludf.DUMMYFUNCTION("""COMPUTED_VALUE"""),"Bom Yeoareum Gaeul Gyeoul Geurigo Bom")</f>
        <v>Bom Yeoareum Gaeul Gyeoul Geurigo Bom</v>
      </c>
      <c r="J1489" s="5" t="str">
        <f>IFERROR(__xludf.DUMMYFUNCTION("""COMPUTED_VALUE"""),"Kim Young-Min")</f>
        <v>Kim Young-Min</v>
      </c>
      <c r="K1489" s="5" t="str">
        <f>IFERROR(__xludf.DUMMYFUNCTION("""COMPUTED_VALUE"""),"Estrela 4")</f>
        <v>Estrela 4</v>
      </c>
      <c r="P1489" s="5">
        <f>IFERROR(__xludf.DUMMYFUNCTION("""COMPUTED_VALUE"""),372.0)</f>
        <v>372</v>
      </c>
      <c r="Q1489" s="5" t="str">
        <f>IFERROR(__xludf.DUMMYFUNCTION("""COMPUTED_VALUE"""),"Bom Yeoareum Gaeul Gyeoul Geurigo Bom")</f>
        <v>Bom Yeoareum Gaeul Gyeoul Geurigo Bom</v>
      </c>
      <c r="R1489" s="5" t="str">
        <f>IFERROR(__xludf.DUMMYFUNCTION("""COMPUTED_VALUE"""),"Kim Young-Min")</f>
        <v>Kim Young-Min</v>
      </c>
      <c r="S1489" s="5" t="str">
        <f>IFERROR(__xludf.DUMMYFUNCTION("""COMPUTED_VALUE"""),"Estrela 4")</f>
        <v>Estrela 4</v>
      </c>
    </row>
    <row r="1490">
      <c r="G1490" s="5" t="str">
        <f>IFERROR(__xludf.DUMMYFUNCTION("""COMPUTED_VALUE"""),"373🤙🏼Mar adentro🤙🏼Javier Bardem🤙🏼Estrela 1")</f>
        <v>373🤙🏼Mar adentro🤙🏼Javier Bardem🤙🏼Estrela 1</v>
      </c>
      <c r="H1490" s="5">
        <f>IFERROR(__xludf.DUMMYFUNCTION("SPLiT(G1490, ""🤙🏼"",FALSE,FALSE)"),373.0)</f>
        <v>373</v>
      </c>
      <c r="I1490" s="5" t="str">
        <f>IFERROR(__xludf.DUMMYFUNCTION("""COMPUTED_VALUE"""),"Mar adentro")</f>
        <v>Mar adentro</v>
      </c>
      <c r="J1490" s="5" t="str">
        <f>IFERROR(__xludf.DUMMYFUNCTION("""COMPUTED_VALUE"""),"Javier Bardem")</f>
        <v>Javier Bardem</v>
      </c>
      <c r="K1490" s="5" t="str">
        <f>IFERROR(__xludf.DUMMYFUNCTION("""COMPUTED_VALUE"""),"Estrela 1")</f>
        <v>Estrela 1</v>
      </c>
      <c r="P1490" s="5">
        <f>IFERROR(__xludf.DUMMYFUNCTION("""COMPUTED_VALUE"""),373.0)</f>
        <v>373</v>
      </c>
      <c r="Q1490" s="5" t="str">
        <f>IFERROR(__xludf.DUMMYFUNCTION("""COMPUTED_VALUE"""),"Mar adentro")</f>
        <v>Mar adentro</v>
      </c>
      <c r="R1490" s="5" t="str">
        <f>IFERROR(__xludf.DUMMYFUNCTION("""COMPUTED_VALUE"""),"Javier Bardem")</f>
        <v>Javier Bardem</v>
      </c>
      <c r="S1490" s="5" t="str">
        <f>IFERROR(__xludf.DUMMYFUNCTION("""COMPUTED_VALUE"""),"Estrela 1")</f>
        <v>Estrela 1</v>
      </c>
    </row>
    <row r="1491">
      <c r="G1491" s="5" t="str">
        <f>IFERROR(__xludf.DUMMYFUNCTION("""COMPUTED_VALUE"""),"373🤙🏼Mar adentro🤙🏼Belén Rueda🤙🏼Estrela 2")</f>
        <v>373🤙🏼Mar adentro🤙🏼Belén Rueda🤙🏼Estrela 2</v>
      </c>
      <c r="H1491" s="5">
        <f>IFERROR(__xludf.DUMMYFUNCTION("SPLiT(G1491, ""🤙🏼"",FALSE,FALSE)"),373.0)</f>
        <v>373</v>
      </c>
      <c r="I1491" s="5" t="str">
        <f>IFERROR(__xludf.DUMMYFUNCTION("""COMPUTED_VALUE"""),"Mar adentro")</f>
        <v>Mar adentro</v>
      </c>
      <c r="J1491" s="5" t="str">
        <f>IFERROR(__xludf.DUMMYFUNCTION("""COMPUTED_VALUE"""),"Belén Rueda")</f>
        <v>Belén Rueda</v>
      </c>
      <c r="K1491" s="5" t="str">
        <f>IFERROR(__xludf.DUMMYFUNCTION("""COMPUTED_VALUE"""),"Estrela 2")</f>
        <v>Estrela 2</v>
      </c>
      <c r="P1491" s="5">
        <f>IFERROR(__xludf.DUMMYFUNCTION("""COMPUTED_VALUE"""),373.0)</f>
        <v>373</v>
      </c>
      <c r="Q1491" s="5" t="str">
        <f>IFERROR(__xludf.DUMMYFUNCTION("""COMPUTED_VALUE"""),"Mar adentro")</f>
        <v>Mar adentro</v>
      </c>
      <c r="R1491" s="5" t="str">
        <f>IFERROR(__xludf.DUMMYFUNCTION("""COMPUTED_VALUE"""),"Belén Rueda")</f>
        <v>Belén Rueda</v>
      </c>
      <c r="S1491" s="5" t="str">
        <f>IFERROR(__xludf.DUMMYFUNCTION("""COMPUTED_VALUE"""),"Estrela 2")</f>
        <v>Estrela 2</v>
      </c>
    </row>
    <row r="1492">
      <c r="G1492" s="5" t="str">
        <f>IFERROR(__xludf.DUMMYFUNCTION("""COMPUTED_VALUE"""),"373🤙🏼Mar adentro🤙🏼Lola Dueñas🤙🏼Estrela 3")</f>
        <v>373🤙🏼Mar adentro🤙🏼Lola Dueñas🤙🏼Estrela 3</v>
      </c>
      <c r="H1492" s="5">
        <f>IFERROR(__xludf.DUMMYFUNCTION("SPLiT(G1492, ""🤙🏼"",FALSE,FALSE)"),373.0)</f>
        <v>373</v>
      </c>
      <c r="I1492" s="5" t="str">
        <f>IFERROR(__xludf.DUMMYFUNCTION("""COMPUTED_VALUE"""),"Mar adentro")</f>
        <v>Mar adentro</v>
      </c>
      <c r="J1492" s="5" t="str">
        <f>IFERROR(__xludf.DUMMYFUNCTION("""COMPUTED_VALUE"""),"Lola Dueñas")</f>
        <v>Lola Dueñas</v>
      </c>
      <c r="K1492" s="5" t="str">
        <f>IFERROR(__xludf.DUMMYFUNCTION("""COMPUTED_VALUE"""),"Estrela 3")</f>
        <v>Estrela 3</v>
      </c>
      <c r="P1492" s="5">
        <f>IFERROR(__xludf.DUMMYFUNCTION("""COMPUTED_VALUE"""),373.0)</f>
        <v>373</v>
      </c>
      <c r="Q1492" s="5" t="str">
        <f>IFERROR(__xludf.DUMMYFUNCTION("""COMPUTED_VALUE"""),"Mar adentro")</f>
        <v>Mar adentro</v>
      </c>
      <c r="R1492" s="5" t="str">
        <f>IFERROR(__xludf.DUMMYFUNCTION("""COMPUTED_VALUE"""),"Lola Dueñas")</f>
        <v>Lola Dueñas</v>
      </c>
      <c r="S1492" s="5" t="str">
        <f>IFERROR(__xludf.DUMMYFUNCTION("""COMPUTED_VALUE"""),"Estrela 3")</f>
        <v>Estrela 3</v>
      </c>
    </row>
    <row r="1493">
      <c r="G1493" s="5" t="str">
        <f>IFERROR(__xludf.DUMMYFUNCTION("""COMPUTED_VALUE"""),"373🤙🏼Mar adentro🤙🏼Mabel Rivera🤙🏼Estrela 4")</f>
        <v>373🤙🏼Mar adentro🤙🏼Mabel Rivera🤙🏼Estrela 4</v>
      </c>
      <c r="H1493" s="5">
        <f>IFERROR(__xludf.DUMMYFUNCTION("SPLiT(G1493, ""🤙🏼"",FALSE,FALSE)"),373.0)</f>
        <v>373</v>
      </c>
      <c r="I1493" s="5" t="str">
        <f>IFERROR(__xludf.DUMMYFUNCTION("""COMPUTED_VALUE"""),"Mar adentro")</f>
        <v>Mar adentro</v>
      </c>
      <c r="J1493" s="5" t="str">
        <f>IFERROR(__xludf.DUMMYFUNCTION("""COMPUTED_VALUE"""),"Mabel Rivera")</f>
        <v>Mabel Rivera</v>
      </c>
      <c r="K1493" s="5" t="str">
        <f>IFERROR(__xludf.DUMMYFUNCTION("""COMPUTED_VALUE"""),"Estrela 4")</f>
        <v>Estrela 4</v>
      </c>
      <c r="P1493" s="5">
        <f>IFERROR(__xludf.DUMMYFUNCTION("""COMPUTED_VALUE"""),373.0)</f>
        <v>373</v>
      </c>
      <c r="Q1493" s="5" t="str">
        <f>IFERROR(__xludf.DUMMYFUNCTION("""COMPUTED_VALUE"""),"Mar adentro")</f>
        <v>Mar adentro</v>
      </c>
      <c r="R1493" s="5" t="str">
        <f>IFERROR(__xludf.DUMMYFUNCTION("""COMPUTED_VALUE"""),"Mabel Rivera")</f>
        <v>Mabel Rivera</v>
      </c>
      <c r="S1493" s="5" t="str">
        <f>IFERROR(__xludf.DUMMYFUNCTION("""COMPUTED_VALUE"""),"Estrela 4")</f>
        <v>Estrela 4</v>
      </c>
    </row>
    <row r="1494">
      <c r="G1494" s="5" t="str">
        <f>IFERROR(__xludf.DUMMYFUNCTION("""COMPUTED_VALUE"""),"374🤙🏼Cinderella Man🤙🏼Russell Crowe🤙🏼Estrela 1")</f>
        <v>374🤙🏼Cinderella Man🤙🏼Russell Crowe🤙🏼Estrela 1</v>
      </c>
      <c r="H1494" s="5">
        <f>IFERROR(__xludf.DUMMYFUNCTION("SPLiT(G1494, ""🤙🏼"",FALSE,FALSE)"),374.0)</f>
        <v>374</v>
      </c>
      <c r="I1494" s="5" t="str">
        <f>IFERROR(__xludf.DUMMYFUNCTION("""COMPUTED_VALUE"""),"Cinderella Man")</f>
        <v>Cinderella Man</v>
      </c>
      <c r="J1494" s="5" t="str">
        <f>IFERROR(__xludf.DUMMYFUNCTION("""COMPUTED_VALUE"""),"Russell Crowe")</f>
        <v>Russell Crowe</v>
      </c>
      <c r="K1494" s="5" t="str">
        <f>IFERROR(__xludf.DUMMYFUNCTION("""COMPUTED_VALUE"""),"Estrela 1")</f>
        <v>Estrela 1</v>
      </c>
      <c r="P1494" s="5">
        <f>IFERROR(__xludf.DUMMYFUNCTION("""COMPUTED_VALUE"""),374.0)</f>
        <v>374</v>
      </c>
      <c r="Q1494" s="5" t="str">
        <f>IFERROR(__xludf.DUMMYFUNCTION("""COMPUTED_VALUE"""),"Cinderella Man")</f>
        <v>Cinderella Man</v>
      </c>
      <c r="R1494" s="5" t="str">
        <f>IFERROR(__xludf.DUMMYFUNCTION("""COMPUTED_VALUE"""),"Russell Crowe")</f>
        <v>Russell Crowe</v>
      </c>
      <c r="S1494" s="5" t="str">
        <f>IFERROR(__xludf.DUMMYFUNCTION("""COMPUTED_VALUE"""),"Estrela 1")</f>
        <v>Estrela 1</v>
      </c>
    </row>
    <row r="1495">
      <c r="G1495" s="5" t="str">
        <f>IFERROR(__xludf.DUMMYFUNCTION("""COMPUTED_VALUE"""),"374🤙🏼Cinderella Man🤙🏼Renée Zellweger🤙🏼Estrela 2")</f>
        <v>374🤙🏼Cinderella Man🤙🏼Renée Zellweger🤙🏼Estrela 2</v>
      </c>
      <c r="H1495" s="5">
        <f>IFERROR(__xludf.DUMMYFUNCTION("SPLiT(G1495, ""🤙🏼"",FALSE,FALSE)"),374.0)</f>
        <v>374</v>
      </c>
      <c r="I1495" s="5" t="str">
        <f>IFERROR(__xludf.DUMMYFUNCTION("""COMPUTED_VALUE"""),"Cinderella Man")</f>
        <v>Cinderella Man</v>
      </c>
      <c r="J1495" s="5" t="str">
        <f>IFERROR(__xludf.DUMMYFUNCTION("""COMPUTED_VALUE"""),"Renée Zellweger")</f>
        <v>Renée Zellweger</v>
      </c>
      <c r="K1495" s="5" t="str">
        <f>IFERROR(__xludf.DUMMYFUNCTION("""COMPUTED_VALUE"""),"Estrela 2")</f>
        <v>Estrela 2</v>
      </c>
      <c r="P1495" s="5">
        <f>IFERROR(__xludf.DUMMYFUNCTION("""COMPUTED_VALUE"""),374.0)</f>
        <v>374</v>
      </c>
      <c r="Q1495" s="5" t="str">
        <f>IFERROR(__xludf.DUMMYFUNCTION("""COMPUTED_VALUE"""),"Cinderella Man")</f>
        <v>Cinderella Man</v>
      </c>
      <c r="R1495" s="5" t="str">
        <f>IFERROR(__xludf.DUMMYFUNCTION("""COMPUTED_VALUE"""),"Renée Zellweger")</f>
        <v>Renée Zellweger</v>
      </c>
      <c r="S1495" s="5" t="str">
        <f>IFERROR(__xludf.DUMMYFUNCTION("""COMPUTED_VALUE"""),"Estrela 2")</f>
        <v>Estrela 2</v>
      </c>
    </row>
    <row r="1496">
      <c r="G1496" s="5" t="str">
        <f>IFERROR(__xludf.DUMMYFUNCTION("""COMPUTED_VALUE"""),"374🤙🏼Cinderella Man🤙🏼Craig Bierko🤙🏼Estrela 3")</f>
        <v>374🤙🏼Cinderella Man🤙🏼Craig Bierko🤙🏼Estrela 3</v>
      </c>
      <c r="H1496" s="5">
        <f>IFERROR(__xludf.DUMMYFUNCTION("SPLiT(G1496, ""🤙🏼"",FALSE,FALSE)"),374.0)</f>
        <v>374</v>
      </c>
      <c r="I1496" s="5" t="str">
        <f>IFERROR(__xludf.DUMMYFUNCTION("""COMPUTED_VALUE"""),"Cinderella Man")</f>
        <v>Cinderella Man</v>
      </c>
      <c r="J1496" s="5" t="str">
        <f>IFERROR(__xludf.DUMMYFUNCTION("""COMPUTED_VALUE"""),"Craig Bierko")</f>
        <v>Craig Bierko</v>
      </c>
      <c r="K1496" s="5" t="str">
        <f>IFERROR(__xludf.DUMMYFUNCTION("""COMPUTED_VALUE"""),"Estrela 3")</f>
        <v>Estrela 3</v>
      </c>
      <c r="P1496" s="5">
        <f>IFERROR(__xludf.DUMMYFUNCTION("""COMPUTED_VALUE"""),374.0)</f>
        <v>374</v>
      </c>
      <c r="Q1496" s="5" t="str">
        <f>IFERROR(__xludf.DUMMYFUNCTION("""COMPUTED_VALUE"""),"Cinderella Man")</f>
        <v>Cinderella Man</v>
      </c>
      <c r="R1496" s="5" t="str">
        <f>IFERROR(__xludf.DUMMYFUNCTION("""COMPUTED_VALUE"""),"Craig Bierko")</f>
        <v>Craig Bierko</v>
      </c>
      <c r="S1496" s="5" t="str">
        <f>IFERROR(__xludf.DUMMYFUNCTION("""COMPUTED_VALUE"""),"Estrela 3")</f>
        <v>Estrela 3</v>
      </c>
    </row>
    <row r="1497">
      <c r="G1497" s="5" t="str">
        <f>IFERROR(__xludf.DUMMYFUNCTION("""COMPUTED_VALUE"""),"374🤙🏼Cinderella Man🤙🏼Paul Giamatti🤙🏼Estrela 4")</f>
        <v>374🤙🏼Cinderella Man🤙🏼Paul Giamatti🤙🏼Estrela 4</v>
      </c>
      <c r="H1497" s="5">
        <f>IFERROR(__xludf.DUMMYFUNCTION("SPLiT(G1497, ""🤙🏼"",FALSE,FALSE)"),374.0)</f>
        <v>374</v>
      </c>
      <c r="I1497" s="5" t="str">
        <f>IFERROR(__xludf.DUMMYFUNCTION("""COMPUTED_VALUE"""),"Cinderella Man")</f>
        <v>Cinderella Man</v>
      </c>
      <c r="J1497" s="5" t="str">
        <f>IFERROR(__xludf.DUMMYFUNCTION("""COMPUTED_VALUE"""),"Paul Giamatti")</f>
        <v>Paul Giamatti</v>
      </c>
      <c r="K1497" s="5" t="str">
        <f>IFERROR(__xludf.DUMMYFUNCTION("""COMPUTED_VALUE"""),"Estrela 4")</f>
        <v>Estrela 4</v>
      </c>
      <c r="P1497" s="5">
        <f>IFERROR(__xludf.DUMMYFUNCTION("""COMPUTED_VALUE"""),374.0)</f>
        <v>374</v>
      </c>
      <c r="Q1497" s="5" t="str">
        <f>IFERROR(__xludf.DUMMYFUNCTION("""COMPUTED_VALUE"""),"Cinderella Man")</f>
        <v>Cinderella Man</v>
      </c>
      <c r="R1497" s="5" t="str">
        <f>IFERROR(__xludf.DUMMYFUNCTION("""COMPUTED_VALUE"""),"Paul Giamatti")</f>
        <v>Paul Giamatti</v>
      </c>
      <c r="S1497" s="5" t="str">
        <f>IFERROR(__xludf.DUMMYFUNCTION("""COMPUTED_VALUE"""),"Estrela 4")</f>
        <v>Estrela 4</v>
      </c>
    </row>
    <row r="1498">
      <c r="G1498" s="5" t="str">
        <f>IFERROR(__xludf.DUMMYFUNCTION("""COMPUTED_VALUE"""),"375🤙🏼Kal Ho Naa Ho🤙🏼Preity Zinta🤙🏼Estrela 1")</f>
        <v>375🤙🏼Kal Ho Naa Ho🤙🏼Preity Zinta🤙🏼Estrela 1</v>
      </c>
      <c r="H1498" s="5">
        <f>IFERROR(__xludf.DUMMYFUNCTION("SPLiT(G1498, ""🤙🏼"",FALSE,FALSE)"),375.0)</f>
        <v>375</v>
      </c>
      <c r="I1498" s="5" t="str">
        <f>IFERROR(__xludf.DUMMYFUNCTION("""COMPUTED_VALUE"""),"Kal Ho Naa Ho")</f>
        <v>Kal Ho Naa Ho</v>
      </c>
      <c r="J1498" s="5" t="str">
        <f>IFERROR(__xludf.DUMMYFUNCTION("""COMPUTED_VALUE"""),"Preity Zinta")</f>
        <v>Preity Zinta</v>
      </c>
      <c r="K1498" s="5" t="str">
        <f>IFERROR(__xludf.DUMMYFUNCTION("""COMPUTED_VALUE"""),"Estrela 1")</f>
        <v>Estrela 1</v>
      </c>
      <c r="P1498" s="5">
        <f>IFERROR(__xludf.DUMMYFUNCTION("""COMPUTED_VALUE"""),375.0)</f>
        <v>375</v>
      </c>
      <c r="Q1498" s="5" t="str">
        <f>IFERROR(__xludf.DUMMYFUNCTION("""COMPUTED_VALUE"""),"Kal Ho Naa Ho")</f>
        <v>Kal Ho Naa Ho</v>
      </c>
      <c r="R1498" s="5" t="str">
        <f>IFERROR(__xludf.DUMMYFUNCTION("""COMPUTED_VALUE"""),"Preity Zinta")</f>
        <v>Preity Zinta</v>
      </c>
      <c r="S1498" s="5" t="str">
        <f>IFERROR(__xludf.DUMMYFUNCTION("""COMPUTED_VALUE"""),"Estrela 1")</f>
        <v>Estrela 1</v>
      </c>
    </row>
    <row r="1499">
      <c r="G1499" s="5" t="str">
        <f>IFERROR(__xludf.DUMMYFUNCTION("""COMPUTED_VALUE"""),"375🤙🏼Kal Ho Naa Ho🤙🏼Shah Rukh Khan🤙🏼Estrela 2")</f>
        <v>375🤙🏼Kal Ho Naa Ho🤙🏼Shah Rukh Khan🤙🏼Estrela 2</v>
      </c>
      <c r="H1499" s="5">
        <f>IFERROR(__xludf.DUMMYFUNCTION("SPLiT(G1499, ""🤙🏼"",FALSE,FALSE)"),375.0)</f>
        <v>375</v>
      </c>
      <c r="I1499" s="5" t="str">
        <f>IFERROR(__xludf.DUMMYFUNCTION("""COMPUTED_VALUE"""),"Kal Ho Naa Ho")</f>
        <v>Kal Ho Naa Ho</v>
      </c>
      <c r="J1499" s="5" t="str">
        <f>IFERROR(__xludf.DUMMYFUNCTION("""COMPUTED_VALUE"""),"Shah Rukh Khan")</f>
        <v>Shah Rukh Khan</v>
      </c>
      <c r="K1499" s="5" t="str">
        <f>IFERROR(__xludf.DUMMYFUNCTION("""COMPUTED_VALUE"""),"Estrela 2")</f>
        <v>Estrela 2</v>
      </c>
      <c r="P1499" s="5">
        <f>IFERROR(__xludf.DUMMYFUNCTION("""COMPUTED_VALUE"""),375.0)</f>
        <v>375</v>
      </c>
      <c r="Q1499" s="5" t="str">
        <f>IFERROR(__xludf.DUMMYFUNCTION("""COMPUTED_VALUE"""),"Kal Ho Naa Ho")</f>
        <v>Kal Ho Naa Ho</v>
      </c>
      <c r="R1499" s="5" t="str">
        <f>IFERROR(__xludf.DUMMYFUNCTION("""COMPUTED_VALUE"""),"Shah Rukh Khan")</f>
        <v>Shah Rukh Khan</v>
      </c>
      <c r="S1499" s="5" t="str">
        <f>IFERROR(__xludf.DUMMYFUNCTION("""COMPUTED_VALUE"""),"Estrela 2")</f>
        <v>Estrela 2</v>
      </c>
    </row>
    <row r="1500">
      <c r="G1500" s="5" t="str">
        <f>IFERROR(__xludf.DUMMYFUNCTION("""COMPUTED_VALUE"""),"375🤙🏼Kal Ho Naa Ho🤙🏼Saif Ali Khan🤙🏼Estrela 3")</f>
        <v>375🤙🏼Kal Ho Naa Ho🤙🏼Saif Ali Khan🤙🏼Estrela 3</v>
      </c>
      <c r="H1500" s="5">
        <f>IFERROR(__xludf.DUMMYFUNCTION("SPLiT(G1500, ""🤙🏼"",FALSE,FALSE)"),375.0)</f>
        <v>375</v>
      </c>
      <c r="I1500" s="5" t="str">
        <f>IFERROR(__xludf.DUMMYFUNCTION("""COMPUTED_VALUE"""),"Kal Ho Naa Ho")</f>
        <v>Kal Ho Naa Ho</v>
      </c>
      <c r="J1500" s="5" t="str">
        <f>IFERROR(__xludf.DUMMYFUNCTION("""COMPUTED_VALUE"""),"Saif Ali Khan")</f>
        <v>Saif Ali Khan</v>
      </c>
      <c r="K1500" s="5" t="str">
        <f>IFERROR(__xludf.DUMMYFUNCTION("""COMPUTED_VALUE"""),"Estrela 3")</f>
        <v>Estrela 3</v>
      </c>
      <c r="P1500" s="5">
        <f>IFERROR(__xludf.DUMMYFUNCTION("""COMPUTED_VALUE"""),375.0)</f>
        <v>375</v>
      </c>
      <c r="Q1500" s="5" t="str">
        <f>IFERROR(__xludf.DUMMYFUNCTION("""COMPUTED_VALUE"""),"Kal Ho Naa Ho")</f>
        <v>Kal Ho Naa Ho</v>
      </c>
      <c r="R1500" s="5" t="str">
        <f>IFERROR(__xludf.DUMMYFUNCTION("""COMPUTED_VALUE"""),"Saif Ali Khan")</f>
        <v>Saif Ali Khan</v>
      </c>
      <c r="S1500" s="5" t="str">
        <f>IFERROR(__xludf.DUMMYFUNCTION("""COMPUTED_VALUE"""),"Estrela 3")</f>
        <v>Estrela 3</v>
      </c>
    </row>
    <row r="1501">
      <c r="G1501" s="5" t="str">
        <f>IFERROR(__xludf.DUMMYFUNCTION("""COMPUTED_VALUE"""),"375🤙🏼Kal Ho Naa Ho🤙🏼Jaya Bachchan🤙🏼Estrela 4")</f>
        <v>375🤙🏼Kal Ho Naa Ho🤙🏼Jaya Bachchan🤙🏼Estrela 4</v>
      </c>
      <c r="H1501" s="5">
        <f>IFERROR(__xludf.DUMMYFUNCTION("SPLiT(G1501, ""🤙🏼"",FALSE,FALSE)"),375.0)</f>
        <v>375</v>
      </c>
      <c r="I1501" s="5" t="str">
        <f>IFERROR(__xludf.DUMMYFUNCTION("""COMPUTED_VALUE"""),"Kal Ho Naa Ho")</f>
        <v>Kal Ho Naa Ho</v>
      </c>
      <c r="J1501" s="5" t="str">
        <f>IFERROR(__xludf.DUMMYFUNCTION("""COMPUTED_VALUE"""),"Jaya Bachchan")</f>
        <v>Jaya Bachchan</v>
      </c>
      <c r="K1501" s="5" t="str">
        <f>IFERROR(__xludf.DUMMYFUNCTION("""COMPUTED_VALUE"""),"Estrela 4")</f>
        <v>Estrela 4</v>
      </c>
      <c r="P1501" s="5">
        <f>IFERROR(__xludf.DUMMYFUNCTION("""COMPUTED_VALUE"""),375.0)</f>
        <v>375</v>
      </c>
      <c r="Q1501" s="5" t="str">
        <f>IFERROR(__xludf.DUMMYFUNCTION("""COMPUTED_VALUE"""),"Kal Ho Naa Ho")</f>
        <v>Kal Ho Naa Ho</v>
      </c>
      <c r="R1501" s="5" t="str">
        <f>IFERROR(__xludf.DUMMYFUNCTION("""COMPUTED_VALUE"""),"Jaya Bachchan")</f>
        <v>Jaya Bachchan</v>
      </c>
      <c r="S1501" s="5" t="str">
        <f>IFERROR(__xludf.DUMMYFUNCTION("""COMPUTED_VALUE"""),"Estrela 4")</f>
        <v>Estrela 4</v>
      </c>
    </row>
    <row r="1502">
      <c r="G1502" s="5" t="str">
        <f>IFERROR(__xludf.DUMMYFUNCTION("""COMPUTED_VALUE"""),"376🤙🏼Mou gaan dou🤙🏼Alan Mak🤙🏼Estrela 1")</f>
        <v>376🤙🏼Mou gaan dou🤙🏼Alan Mak🤙🏼Estrela 1</v>
      </c>
      <c r="H1502" s="5">
        <f>IFERROR(__xludf.DUMMYFUNCTION("SPLiT(G1502, ""🤙🏼"",FALSE,FALSE)"),376.0)</f>
        <v>376</v>
      </c>
      <c r="I1502" s="5" t="str">
        <f>IFERROR(__xludf.DUMMYFUNCTION("""COMPUTED_VALUE"""),"Mou gaan dou")</f>
        <v>Mou gaan dou</v>
      </c>
      <c r="J1502" s="5" t="str">
        <f>IFERROR(__xludf.DUMMYFUNCTION("""COMPUTED_VALUE"""),"Alan Mak")</f>
        <v>Alan Mak</v>
      </c>
      <c r="K1502" s="5" t="str">
        <f>IFERROR(__xludf.DUMMYFUNCTION("""COMPUTED_VALUE"""),"Estrela 1")</f>
        <v>Estrela 1</v>
      </c>
      <c r="P1502" s="5">
        <f>IFERROR(__xludf.DUMMYFUNCTION("""COMPUTED_VALUE"""),376.0)</f>
        <v>376</v>
      </c>
      <c r="Q1502" s="5" t="str">
        <f>IFERROR(__xludf.DUMMYFUNCTION("""COMPUTED_VALUE"""),"Mou gaan dou")</f>
        <v>Mou gaan dou</v>
      </c>
      <c r="R1502" s="5" t="str">
        <f>IFERROR(__xludf.DUMMYFUNCTION("""COMPUTED_VALUE"""),"Alan Mak")</f>
        <v>Alan Mak</v>
      </c>
      <c r="S1502" s="5" t="str">
        <f>IFERROR(__xludf.DUMMYFUNCTION("""COMPUTED_VALUE"""),"Estrela 1")</f>
        <v>Estrela 1</v>
      </c>
    </row>
    <row r="1503">
      <c r="G1503" s="5" t="str">
        <f>IFERROR(__xludf.DUMMYFUNCTION("""COMPUTED_VALUE"""),"376🤙🏼Mou gaan dou🤙🏼Andy Lau🤙🏼Estrela 2")</f>
        <v>376🤙🏼Mou gaan dou🤙🏼Andy Lau🤙🏼Estrela 2</v>
      </c>
      <c r="H1503" s="5">
        <f>IFERROR(__xludf.DUMMYFUNCTION("SPLiT(G1503, ""🤙🏼"",FALSE,FALSE)"),376.0)</f>
        <v>376</v>
      </c>
      <c r="I1503" s="5" t="str">
        <f>IFERROR(__xludf.DUMMYFUNCTION("""COMPUTED_VALUE"""),"Mou gaan dou")</f>
        <v>Mou gaan dou</v>
      </c>
      <c r="J1503" s="5" t="str">
        <f>IFERROR(__xludf.DUMMYFUNCTION("""COMPUTED_VALUE"""),"Andy Lau")</f>
        <v>Andy Lau</v>
      </c>
      <c r="K1503" s="5" t="str">
        <f>IFERROR(__xludf.DUMMYFUNCTION("""COMPUTED_VALUE"""),"Estrela 2")</f>
        <v>Estrela 2</v>
      </c>
      <c r="P1503" s="5">
        <f>IFERROR(__xludf.DUMMYFUNCTION("""COMPUTED_VALUE"""),376.0)</f>
        <v>376</v>
      </c>
      <c r="Q1503" s="5" t="str">
        <f>IFERROR(__xludf.DUMMYFUNCTION("""COMPUTED_VALUE"""),"Mou gaan dou")</f>
        <v>Mou gaan dou</v>
      </c>
      <c r="R1503" s="5" t="str">
        <f>IFERROR(__xludf.DUMMYFUNCTION("""COMPUTED_VALUE"""),"Andy Lau")</f>
        <v>Andy Lau</v>
      </c>
      <c r="S1503" s="5" t="str">
        <f>IFERROR(__xludf.DUMMYFUNCTION("""COMPUTED_VALUE"""),"Estrela 2")</f>
        <v>Estrela 2</v>
      </c>
    </row>
    <row r="1504">
      <c r="G1504" s="5" t="str">
        <f>IFERROR(__xludf.DUMMYFUNCTION("""COMPUTED_VALUE"""),"376🤙🏼Mou gaan dou🤙🏼Tony Chiu-Wai Leung🤙🏼Estrela 3")</f>
        <v>376🤙🏼Mou gaan dou🤙🏼Tony Chiu-Wai Leung🤙🏼Estrela 3</v>
      </c>
      <c r="H1504" s="5">
        <f>IFERROR(__xludf.DUMMYFUNCTION("SPLiT(G1504, ""🤙🏼"",FALSE,FALSE)"),376.0)</f>
        <v>376</v>
      </c>
      <c r="I1504" s="5" t="str">
        <f>IFERROR(__xludf.DUMMYFUNCTION("""COMPUTED_VALUE"""),"Mou gaan dou")</f>
        <v>Mou gaan dou</v>
      </c>
      <c r="J1504" s="5" t="str">
        <f>IFERROR(__xludf.DUMMYFUNCTION("""COMPUTED_VALUE"""),"Tony Chiu-Wai Leung")</f>
        <v>Tony Chiu-Wai Leung</v>
      </c>
      <c r="K1504" s="5" t="str">
        <f>IFERROR(__xludf.DUMMYFUNCTION("""COMPUTED_VALUE"""),"Estrela 3")</f>
        <v>Estrela 3</v>
      </c>
      <c r="P1504" s="5">
        <f>IFERROR(__xludf.DUMMYFUNCTION("""COMPUTED_VALUE"""),376.0)</f>
        <v>376</v>
      </c>
      <c r="Q1504" s="5" t="str">
        <f>IFERROR(__xludf.DUMMYFUNCTION("""COMPUTED_VALUE"""),"Mou gaan dou")</f>
        <v>Mou gaan dou</v>
      </c>
      <c r="R1504" s="5" t="str">
        <f>IFERROR(__xludf.DUMMYFUNCTION("""COMPUTED_VALUE"""),"Tony Chiu-Wai Leung")</f>
        <v>Tony Chiu-Wai Leung</v>
      </c>
      <c r="S1504" s="5" t="str">
        <f>IFERROR(__xludf.DUMMYFUNCTION("""COMPUTED_VALUE"""),"Estrela 3")</f>
        <v>Estrela 3</v>
      </c>
    </row>
    <row r="1505">
      <c r="G1505" s="5" t="str">
        <f>IFERROR(__xludf.DUMMYFUNCTION("""COMPUTED_VALUE"""),"376🤙🏼Mou gaan dou🤙🏼Anthony Chau-Sang Wong🤙🏼Estrela 4")</f>
        <v>376🤙🏼Mou gaan dou🤙🏼Anthony Chau-Sang Wong🤙🏼Estrela 4</v>
      </c>
      <c r="H1505" s="5">
        <f>IFERROR(__xludf.DUMMYFUNCTION("SPLiT(G1505, ""🤙🏼"",FALSE,FALSE)"),376.0)</f>
        <v>376</v>
      </c>
      <c r="I1505" s="5" t="str">
        <f>IFERROR(__xludf.DUMMYFUNCTION("""COMPUTED_VALUE"""),"Mou gaan dou")</f>
        <v>Mou gaan dou</v>
      </c>
      <c r="J1505" s="5" t="str">
        <f>IFERROR(__xludf.DUMMYFUNCTION("""COMPUTED_VALUE"""),"Anthony Chau-Sang Wong")</f>
        <v>Anthony Chau-Sang Wong</v>
      </c>
      <c r="K1505" s="5" t="str">
        <f>IFERROR(__xludf.DUMMYFUNCTION("""COMPUTED_VALUE"""),"Estrela 4")</f>
        <v>Estrela 4</v>
      </c>
      <c r="P1505" s="5">
        <f>IFERROR(__xludf.DUMMYFUNCTION("""COMPUTED_VALUE"""),376.0)</f>
        <v>376</v>
      </c>
      <c r="Q1505" s="5" t="str">
        <f>IFERROR(__xludf.DUMMYFUNCTION("""COMPUTED_VALUE"""),"Mou gaan dou")</f>
        <v>Mou gaan dou</v>
      </c>
      <c r="R1505" s="5" t="str">
        <f>IFERROR(__xludf.DUMMYFUNCTION("""COMPUTED_VALUE"""),"Anthony Chau-Sang Wong")</f>
        <v>Anthony Chau-Sang Wong</v>
      </c>
      <c r="S1505" s="5" t="str">
        <f>IFERROR(__xludf.DUMMYFUNCTION("""COMPUTED_VALUE"""),"Estrela 4")</f>
        <v>Estrela 4</v>
      </c>
    </row>
    <row r="1506">
      <c r="G1506" s="5" t="str">
        <f>IFERROR(__xludf.DUMMYFUNCTION("""COMPUTED_VALUE"""),"377🤙🏼Pirates of the Caribbean: The Curse of the Black Pearl🤙🏼Johnny Depp🤙🏼Estrela 1")</f>
        <v>377🤙🏼Pirates of the Caribbean: The Curse of the Black Pearl🤙🏼Johnny Depp🤙🏼Estrela 1</v>
      </c>
      <c r="H1506" s="5">
        <f>IFERROR(__xludf.DUMMYFUNCTION("SPLiT(G1506, ""🤙🏼"",FALSE,FALSE)"),377.0)</f>
        <v>377</v>
      </c>
      <c r="I1506" s="5" t="str">
        <f>IFERROR(__xludf.DUMMYFUNCTION("""COMPUTED_VALUE"""),"Pirates of the Caribbean: The Curse of the Black Pearl")</f>
        <v>Pirates of the Caribbean: The Curse of the Black Pearl</v>
      </c>
      <c r="J1506" s="5" t="str">
        <f>IFERROR(__xludf.DUMMYFUNCTION("""COMPUTED_VALUE"""),"Johnny Depp")</f>
        <v>Johnny Depp</v>
      </c>
      <c r="K1506" s="5" t="str">
        <f>IFERROR(__xludf.DUMMYFUNCTION("""COMPUTED_VALUE"""),"Estrela 1")</f>
        <v>Estrela 1</v>
      </c>
      <c r="P1506" s="5">
        <f>IFERROR(__xludf.DUMMYFUNCTION("""COMPUTED_VALUE"""),377.0)</f>
        <v>377</v>
      </c>
      <c r="Q1506" s="5" t="str">
        <f>IFERROR(__xludf.DUMMYFUNCTION("""COMPUTED_VALUE"""),"Pirates of the Caribbean: The Curse of the Black Pearl")</f>
        <v>Pirates of the Caribbean: The Curse of the Black Pearl</v>
      </c>
      <c r="R1506" s="5" t="str">
        <f>IFERROR(__xludf.DUMMYFUNCTION("""COMPUTED_VALUE"""),"Johnny Depp")</f>
        <v>Johnny Depp</v>
      </c>
      <c r="S1506" s="5" t="str">
        <f>IFERROR(__xludf.DUMMYFUNCTION("""COMPUTED_VALUE"""),"Estrela 1")</f>
        <v>Estrela 1</v>
      </c>
    </row>
    <row r="1507">
      <c r="G1507" s="5" t="str">
        <f>IFERROR(__xludf.DUMMYFUNCTION("""COMPUTED_VALUE"""),"377🤙🏼Pirates of the Caribbean: The Curse of the Black Pearl🤙🏼Geoffrey Rush🤙🏼Estrela 2")</f>
        <v>377🤙🏼Pirates of the Caribbean: The Curse of the Black Pearl🤙🏼Geoffrey Rush🤙🏼Estrela 2</v>
      </c>
      <c r="H1507" s="5">
        <f>IFERROR(__xludf.DUMMYFUNCTION("SPLiT(G1507, ""🤙🏼"",FALSE,FALSE)"),377.0)</f>
        <v>377</v>
      </c>
      <c r="I1507" s="5" t="str">
        <f>IFERROR(__xludf.DUMMYFUNCTION("""COMPUTED_VALUE"""),"Pirates of the Caribbean: The Curse of the Black Pearl")</f>
        <v>Pirates of the Caribbean: The Curse of the Black Pearl</v>
      </c>
      <c r="J1507" s="5" t="str">
        <f>IFERROR(__xludf.DUMMYFUNCTION("""COMPUTED_VALUE"""),"Geoffrey Rush")</f>
        <v>Geoffrey Rush</v>
      </c>
      <c r="K1507" s="5" t="str">
        <f>IFERROR(__xludf.DUMMYFUNCTION("""COMPUTED_VALUE"""),"Estrela 2")</f>
        <v>Estrela 2</v>
      </c>
      <c r="P1507" s="5">
        <f>IFERROR(__xludf.DUMMYFUNCTION("""COMPUTED_VALUE"""),377.0)</f>
        <v>377</v>
      </c>
      <c r="Q1507" s="5" t="str">
        <f>IFERROR(__xludf.DUMMYFUNCTION("""COMPUTED_VALUE"""),"Pirates of the Caribbean: The Curse of the Black Pearl")</f>
        <v>Pirates of the Caribbean: The Curse of the Black Pearl</v>
      </c>
      <c r="R1507" s="5" t="str">
        <f>IFERROR(__xludf.DUMMYFUNCTION("""COMPUTED_VALUE"""),"Geoffrey Rush")</f>
        <v>Geoffrey Rush</v>
      </c>
      <c r="S1507" s="5" t="str">
        <f>IFERROR(__xludf.DUMMYFUNCTION("""COMPUTED_VALUE"""),"Estrela 2")</f>
        <v>Estrela 2</v>
      </c>
    </row>
    <row r="1508">
      <c r="G1508" s="5" t="str">
        <f>IFERROR(__xludf.DUMMYFUNCTION("""COMPUTED_VALUE"""),"377🤙🏼Pirates of the Caribbean: The Curse of the Black Pearl🤙🏼Orlando Bloom🤙🏼Estrela 3")</f>
        <v>377🤙🏼Pirates of the Caribbean: The Curse of the Black Pearl🤙🏼Orlando Bloom🤙🏼Estrela 3</v>
      </c>
      <c r="H1508" s="5">
        <f>IFERROR(__xludf.DUMMYFUNCTION("SPLiT(G1508, ""🤙🏼"",FALSE,FALSE)"),377.0)</f>
        <v>377</v>
      </c>
      <c r="I1508" s="5" t="str">
        <f>IFERROR(__xludf.DUMMYFUNCTION("""COMPUTED_VALUE"""),"Pirates of the Caribbean: The Curse of the Black Pearl")</f>
        <v>Pirates of the Caribbean: The Curse of the Black Pearl</v>
      </c>
      <c r="J1508" s="5" t="str">
        <f>IFERROR(__xludf.DUMMYFUNCTION("""COMPUTED_VALUE"""),"Orlando Bloom")</f>
        <v>Orlando Bloom</v>
      </c>
      <c r="K1508" s="5" t="str">
        <f>IFERROR(__xludf.DUMMYFUNCTION("""COMPUTED_VALUE"""),"Estrela 3")</f>
        <v>Estrela 3</v>
      </c>
      <c r="P1508" s="5">
        <f>IFERROR(__xludf.DUMMYFUNCTION("""COMPUTED_VALUE"""),377.0)</f>
        <v>377</v>
      </c>
      <c r="Q1508" s="5" t="str">
        <f>IFERROR(__xludf.DUMMYFUNCTION("""COMPUTED_VALUE"""),"Pirates of the Caribbean: The Curse of the Black Pearl")</f>
        <v>Pirates of the Caribbean: The Curse of the Black Pearl</v>
      </c>
      <c r="R1508" s="5" t="str">
        <f>IFERROR(__xludf.DUMMYFUNCTION("""COMPUTED_VALUE"""),"Orlando Bloom")</f>
        <v>Orlando Bloom</v>
      </c>
      <c r="S1508" s="5" t="str">
        <f>IFERROR(__xludf.DUMMYFUNCTION("""COMPUTED_VALUE"""),"Estrela 3")</f>
        <v>Estrela 3</v>
      </c>
    </row>
    <row r="1509">
      <c r="G1509" s="5" t="str">
        <f>IFERROR(__xludf.DUMMYFUNCTION("""COMPUTED_VALUE"""),"377🤙🏼Pirates of the Caribbean: The Curse of the Black Pearl🤙🏼Keira Knightley🤙🏼Estrela 4")</f>
        <v>377🤙🏼Pirates of the Caribbean: The Curse of the Black Pearl🤙🏼Keira Knightley🤙🏼Estrela 4</v>
      </c>
      <c r="H1509" s="5">
        <f>IFERROR(__xludf.DUMMYFUNCTION("SPLiT(G1509, ""🤙🏼"",FALSE,FALSE)"),377.0)</f>
        <v>377</v>
      </c>
      <c r="I1509" s="5" t="str">
        <f>IFERROR(__xludf.DUMMYFUNCTION("""COMPUTED_VALUE"""),"Pirates of the Caribbean: The Curse of the Black Pearl")</f>
        <v>Pirates of the Caribbean: The Curse of the Black Pearl</v>
      </c>
      <c r="J1509" s="5" t="str">
        <f>IFERROR(__xludf.DUMMYFUNCTION("""COMPUTED_VALUE"""),"Keira Knightley")</f>
        <v>Keira Knightley</v>
      </c>
      <c r="K1509" s="5" t="str">
        <f>IFERROR(__xludf.DUMMYFUNCTION("""COMPUTED_VALUE"""),"Estrela 4")</f>
        <v>Estrela 4</v>
      </c>
      <c r="P1509" s="5">
        <f>IFERROR(__xludf.DUMMYFUNCTION("""COMPUTED_VALUE"""),377.0)</f>
        <v>377</v>
      </c>
      <c r="Q1509" s="5" t="str">
        <f>IFERROR(__xludf.DUMMYFUNCTION("""COMPUTED_VALUE"""),"Pirates of the Caribbean: The Curse of the Black Pearl")</f>
        <v>Pirates of the Caribbean: The Curse of the Black Pearl</v>
      </c>
      <c r="R1509" s="5" t="str">
        <f>IFERROR(__xludf.DUMMYFUNCTION("""COMPUTED_VALUE"""),"Keira Knightley")</f>
        <v>Keira Knightley</v>
      </c>
      <c r="S1509" s="5" t="str">
        <f>IFERROR(__xludf.DUMMYFUNCTION("""COMPUTED_VALUE"""),"Estrela 4")</f>
        <v>Estrela 4</v>
      </c>
    </row>
    <row r="1510">
      <c r="G1510" s="5" t="str">
        <f>IFERROR(__xludf.DUMMYFUNCTION("""COMPUTED_VALUE"""),"378🤙🏼Big Fish🤙🏼Ewan McGregor🤙🏼Estrela 1")</f>
        <v>378🤙🏼Big Fish🤙🏼Ewan McGregor🤙🏼Estrela 1</v>
      </c>
      <c r="H1510" s="5">
        <f>IFERROR(__xludf.DUMMYFUNCTION("SPLiT(G1510, ""🤙🏼"",FALSE,FALSE)"),378.0)</f>
        <v>378</v>
      </c>
      <c r="I1510" s="5" t="str">
        <f>IFERROR(__xludf.DUMMYFUNCTION("""COMPUTED_VALUE"""),"Big Fish")</f>
        <v>Big Fish</v>
      </c>
      <c r="J1510" s="5" t="str">
        <f>IFERROR(__xludf.DUMMYFUNCTION("""COMPUTED_VALUE"""),"Ewan McGregor")</f>
        <v>Ewan McGregor</v>
      </c>
      <c r="K1510" s="5" t="str">
        <f>IFERROR(__xludf.DUMMYFUNCTION("""COMPUTED_VALUE"""),"Estrela 1")</f>
        <v>Estrela 1</v>
      </c>
      <c r="P1510" s="5">
        <f>IFERROR(__xludf.DUMMYFUNCTION("""COMPUTED_VALUE"""),378.0)</f>
        <v>378</v>
      </c>
      <c r="Q1510" s="5" t="str">
        <f>IFERROR(__xludf.DUMMYFUNCTION("""COMPUTED_VALUE"""),"Big Fish")</f>
        <v>Big Fish</v>
      </c>
      <c r="R1510" s="5" t="str">
        <f>IFERROR(__xludf.DUMMYFUNCTION("""COMPUTED_VALUE"""),"Ewan McGregor")</f>
        <v>Ewan McGregor</v>
      </c>
      <c r="S1510" s="5" t="str">
        <f>IFERROR(__xludf.DUMMYFUNCTION("""COMPUTED_VALUE"""),"Estrela 1")</f>
        <v>Estrela 1</v>
      </c>
    </row>
    <row r="1511">
      <c r="G1511" s="5" t="str">
        <f>IFERROR(__xludf.DUMMYFUNCTION("""COMPUTED_VALUE"""),"378🤙🏼Big Fish🤙🏼Albert Finney🤙🏼Estrela 2")</f>
        <v>378🤙🏼Big Fish🤙🏼Albert Finney🤙🏼Estrela 2</v>
      </c>
      <c r="H1511" s="5">
        <f>IFERROR(__xludf.DUMMYFUNCTION("SPLiT(G1511, ""🤙🏼"",FALSE,FALSE)"),378.0)</f>
        <v>378</v>
      </c>
      <c r="I1511" s="5" t="str">
        <f>IFERROR(__xludf.DUMMYFUNCTION("""COMPUTED_VALUE"""),"Big Fish")</f>
        <v>Big Fish</v>
      </c>
      <c r="J1511" s="5" t="str">
        <f>IFERROR(__xludf.DUMMYFUNCTION("""COMPUTED_VALUE"""),"Albert Finney")</f>
        <v>Albert Finney</v>
      </c>
      <c r="K1511" s="5" t="str">
        <f>IFERROR(__xludf.DUMMYFUNCTION("""COMPUTED_VALUE"""),"Estrela 2")</f>
        <v>Estrela 2</v>
      </c>
      <c r="P1511" s="5">
        <f>IFERROR(__xludf.DUMMYFUNCTION("""COMPUTED_VALUE"""),378.0)</f>
        <v>378</v>
      </c>
      <c r="Q1511" s="5" t="str">
        <f>IFERROR(__xludf.DUMMYFUNCTION("""COMPUTED_VALUE"""),"Big Fish")</f>
        <v>Big Fish</v>
      </c>
      <c r="R1511" s="5" t="str">
        <f>IFERROR(__xludf.DUMMYFUNCTION("""COMPUTED_VALUE"""),"Albert Finney")</f>
        <v>Albert Finney</v>
      </c>
      <c r="S1511" s="5" t="str">
        <f>IFERROR(__xludf.DUMMYFUNCTION("""COMPUTED_VALUE"""),"Estrela 2")</f>
        <v>Estrela 2</v>
      </c>
    </row>
    <row r="1512">
      <c r="G1512" s="5" t="str">
        <f>IFERROR(__xludf.DUMMYFUNCTION("""COMPUTED_VALUE"""),"378🤙🏼Big Fish🤙🏼Billy Crudup🤙🏼Estrela 3")</f>
        <v>378🤙🏼Big Fish🤙🏼Billy Crudup🤙🏼Estrela 3</v>
      </c>
      <c r="H1512" s="5">
        <f>IFERROR(__xludf.DUMMYFUNCTION("SPLiT(G1512, ""🤙🏼"",FALSE,FALSE)"),378.0)</f>
        <v>378</v>
      </c>
      <c r="I1512" s="5" t="str">
        <f>IFERROR(__xludf.DUMMYFUNCTION("""COMPUTED_VALUE"""),"Big Fish")</f>
        <v>Big Fish</v>
      </c>
      <c r="J1512" s="5" t="str">
        <f>IFERROR(__xludf.DUMMYFUNCTION("""COMPUTED_VALUE"""),"Billy Crudup")</f>
        <v>Billy Crudup</v>
      </c>
      <c r="K1512" s="5" t="str">
        <f>IFERROR(__xludf.DUMMYFUNCTION("""COMPUTED_VALUE"""),"Estrela 3")</f>
        <v>Estrela 3</v>
      </c>
      <c r="P1512" s="5">
        <f>IFERROR(__xludf.DUMMYFUNCTION("""COMPUTED_VALUE"""),378.0)</f>
        <v>378</v>
      </c>
      <c r="Q1512" s="5" t="str">
        <f>IFERROR(__xludf.DUMMYFUNCTION("""COMPUTED_VALUE"""),"Big Fish")</f>
        <v>Big Fish</v>
      </c>
      <c r="R1512" s="5" t="str">
        <f>IFERROR(__xludf.DUMMYFUNCTION("""COMPUTED_VALUE"""),"Billy Crudup")</f>
        <v>Billy Crudup</v>
      </c>
      <c r="S1512" s="5" t="str">
        <f>IFERROR(__xludf.DUMMYFUNCTION("""COMPUTED_VALUE"""),"Estrela 3")</f>
        <v>Estrela 3</v>
      </c>
    </row>
    <row r="1513">
      <c r="G1513" s="5" t="str">
        <f>IFERROR(__xludf.DUMMYFUNCTION("""COMPUTED_VALUE"""),"378🤙🏼Big Fish🤙🏼Jessica Lange🤙🏼Estrela 4")</f>
        <v>378🤙🏼Big Fish🤙🏼Jessica Lange🤙🏼Estrela 4</v>
      </c>
      <c r="H1513" s="5">
        <f>IFERROR(__xludf.DUMMYFUNCTION("SPLiT(G1513, ""🤙🏼"",FALSE,FALSE)"),378.0)</f>
        <v>378</v>
      </c>
      <c r="I1513" s="5" t="str">
        <f>IFERROR(__xludf.DUMMYFUNCTION("""COMPUTED_VALUE"""),"Big Fish")</f>
        <v>Big Fish</v>
      </c>
      <c r="J1513" s="5" t="str">
        <f>IFERROR(__xludf.DUMMYFUNCTION("""COMPUTED_VALUE"""),"Jessica Lange")</f>
        <v>Jessica Lange</v>
      </c>
      <c r="K1513" s="5" t="str">
        <f>IFERROR(__xludf.DUMMYFUNCTION("""COMPUTED_VALUE"""),"Estrela 4")</f>
        <v>Estrela 4</v>
      </c>
      <c r="P1513" s="5">
        <f>IFERROR(__xludf.DUMMYFUNCTION("""COMPUTED_VALUE"""),378.0)</f>
        <v>378</v>
      </c>
      <c r="Q1513" s="5" t="str">
        <f>IFERROR(__xludf.DUMMYFUNCTION("""COMPUTED_VALUE"""),"Big Fish")</f>
        <v>Big Fish</v>
      </c>
      <c r="R1513" s="5" t="str">
        <f>IFERROR(__xludf.DUMMYFUNCTION("""COMPUTED_VALUE"""),"Jessica Lange")</f>
        <v>Jessica Lange</v>
      </c>
      <c r="S1513" s="5" t="str">
        <f>IFERROR(__xludf.DUMMYFUNCTION("""COMPUTED_VALUE"""),"Estrela 4")</f>
        <v>Estrela 4</v>
      </c>
    </row>
    <row r="1514">
      <c r="G1514" s="5" t="str">
        <f>IFERROR(__xludf.DUMMYFUNCTION("""COMPUTED_VALUE"""),"379🤙🏼The Incredibles🤙🏼Craig T. Nelson🤙🏼Estrela 1")</f>
        <v>379🤙🏼The Incredibles🤙🏼Craig T. Nelson🤙🏼Estrela 1</v>
      </c>
      <c r="H1514" s="5">
        <f>IFERROR(__xludf.DUMMYFUNCTION("SPLiT(G1514, ""🤙🏼"",FALSE,FALSE)"),379.0)</f>
        <v>379</v>
      </c>
      <c r="I1514" s="5" t="str">
        <f>IFERROR(__xludf.DUMMYFUNCTION("""COMPUTED_VALUE"""),"The Incredibles")</f>
        <v>The Incredibles</v>
      </c>
      <c r="J1514" s="5" t="str">
        <f>IFERROR(__xludf.DUMMYFUNCTION("""COMPUTED_VALUE"""),"Craig T. Nelson")</f>
        <v>Craig T. Nelson</v>
      </c>
      <c r="K1514" s="5" t="str">
        <f>IFERROR(__xludf.DUMMYFUNCTION("""COMPUTED_VALUE"""),"Estrela 1")</f>
        <v>Estrela 1</v>
      </c>
      <c r="P1514" s="5">
        <f>IFERROR(__xludf.DUMMYFUNCTION("""COMPUTED_VALUE"""),379.0)</f>
        <v>379</v>
      </c>
      <c r="Q1514" s="5" t="str">
        <f>IFERROR(__xludf.DUMMYFUNCTION("""COMPUTED_VALUE"""),"The Incredibles")</f>
        <v>The Incredibles</v>
      </c>
      <c r="R1514" s="5" t="str">
        <f>IFERROR(__xludf.DUMMYFUNCTION("""COMPUTED_VALUE"""),"Craig T. Nelson")</f>
        <v>Craig T. Nelson</v>
      </c>
      <c r="S1514" s="5" t="str">
        <f>IFERROR(__xludf.DUMMYFUNCTION("""COMPUTED_VALUE"""),"Estrela 1")</f>
        <v>Estrela 1</v>
      </c>
    </row>
    <row r="1515">
      <c r="G1515" s="5" t="str">
        <f>IFERROR(__xludf.DUMMYFUNCTION("""COMPUTED_VALUE"""),"379🤙🏼The Incredibles🤙🏼Samuel L. Jackson🤙🏼Estrela 2")</f>
        <v>379🤙🏼The Incredibles🤙🏼Samuel L. Jackson🤙🏼Estrela 2</v>
      </c>
      <c r="H1515" s="5">
        <f>IFERROR(__xludf.DUMMYFUNCTION("SPLiT(G1515, ""🤙🏼"",FALSE,FALSE)"),379.0)</f>
        <v>379</v>
      </c>
      <c r="I1515" s="5" t="str">
        <f>IFERROR(__xludf.DUMMYFUNCTION("""COMPUTED_VALUE"""),"The Incredibles")</f>
        <v>The Incredibles</v>
      </c>
      <c r="J1515" s="5" t="str">
        <f>IFERROR(__xludf.DUMMYFUNCTION("""COMPUTED_VALUE"""),"Samuel L. Jackson")</f>
        <v>Samuel L. Jackson</v>
      </c>
      <c r="K1515" s="5" t="str">
        <f>IFERROR(__xludf.DUMMYFUNCTION("""COMPUTED_VALUE"""),"Estrela 2")</f>
        <v>Estrela 2</v>
      </c>
      <c r="P1515" s="5">
        <f>IFERROR(__xludf.DUMMYFUNCTION("""COMPUTED_VALUE"""),379.0)</f>
        <v>379</v>
      </c>
      <c r="Q1515" s="5" t="str">
        <f>IFERROR(__xludf.DUMMYFUNCTION("""COMPUTED_VALUE"""),"The Incredibles")</f>
        <v>The Incredibles</v>
      </c>
      <c r="R1515" s="5" t="str">
        <f>IFERROR(__xludf.DUMMYFUNCTION("""COMPUTED_VALUE"""),"Samuel L. Jackson")</f>
        <v>Samuel L. Jackson</v>
      </c>
      <c r="S1515" s="5" t="str">
        <f>IFERROR(__xludf.DUMMYFUNCTION("""COMPUTED_VALUE"""),"Estrela 2")</f>
        <v>Estrela 2</v>
      </c>
    </row>
    <row r="1516">
      <c r="G1516" s="5" t="str">
        <f>IFERROR(__xludf.DUMMYFUNCTION("""COMPUTED_VALUE"""),"379🤙🏼The Incredibles🤙🏼Holly Hunter🤙🏼Estrela 3")</f>
        <v>379🤙🏼The Incredibles🤙🏼Holly Hunter🤙🏼Estrela 3</v>
      </c>
      <c r="H1516" s="5">
        <f>IFERROR(__xludf.DUMMYFUNCTION("SPLiT(G1516, ""🤙🏼"",FALSE,FALSE)"),379.0)</f>
        <v>379</v>
      </c>
      <c r="I1516" s="5" t="str">
        <f>IFERROR(__xludf.DUMMYFUNCTION("""COMPUTED_VALUE"""),"The Incredibles")</f>
        <v>The Incredibles</v>
      </c>
      <c r="J1516" s="5" t="str">
        <f>IFERROR(__xludf.DUMMYFUNCTION("""COMPUTED_VALUE"""),"Holly Hunter")</f>
        <v>Holly Hunter</v>
      </c>
      <c r="K1516" s="5" t="str">
        <f>IFERROR(__xludf.DUMMYFUNCTION("""COMPUTED_VALUE"""),"Estrela 3")</f>
        <v>Estrela 3</v>
      </c>
      <c r="P1516" s="5">
        <f>IFERROR(__xludf.DUMMYFUNCTION("""COMPUTED_VALUE"""),379.0)</f>
        <v>379</v>
      </c>
      <c r="Q1516" s="5" t="str">
        <f>IFERROR(__xludf.DUMMYFUNCTION("""COMPUTED_VALUE"""),"The Incredibles")</f>
        <v>The Incredibles</v>
      </c>
      <c r="R1516" s="5" t="str">
        <f>IFERROR(__xludf.DUMMYFUNCTION("""COMPUTED_VALUE"""),"Holly Hunter")</f>
        <v>Holly Hunter</v>
      </c>
      <c r="S1516" s="5" t="str">
        <f>IFERROR(__xludf.DUMMYFUNCTION("""COMPUTED_VALUE"""),"Estrela 3")</f>
        <v>Estrela 3</v>
      </c>
    </row>
    <row r="1517">
      <c r="G1517" s="5" t="str">
        <f>IFERROR(__xludf.DUMMYFUNCTION("""COMPUTED_VALUE"""),"379🤙🏼The Incredibles🤙🏼Jason Lee🤙🏼Estrela 4")</f>
        <v>379🤙🏼The Incredibles🤙🏼Jason Lee🤙🏼Estrela 4</v>
      </c>
      <c r="H1517" s="5">
        <f>IFERROR(__xludf.DUMMYFUNCTION("SPLiT(G1517, ""🤙🏼"",FALSE,FALSE)"),379.0)</f>
        <v>379</v>
      </c>
      <c r="I1517" s="5" t="str">
        <f>IFERROR(__xludf.DUMMYFUNCTION("""COMPUTED_VALUE"""),"The Incredibles")</f>
        <v>The Incredibles</v>
      </c>
      <c r="J1517" s="5" t="str">
        <f>IFERROR(__xludf.DUMMYFUNCTION("""COMPUTED_VALUE"""),"Jason Lee")</f>
        <v>Jason Lee</v>
      </c>
      <c r="K1517" s="5" t="str">
        <f>IFERROR(__xludf.DUMMYFUNCTION("""COMPUTED_VALUE"""),"Estrela 4")</f>
        <v>Estrela 4</v>
      </c>
      <c r="P1517" s="5">
        <f>IFERROR(__xludf.DUMMYFUNCTION("""COMPUTED_VALUE"""),379.0)</f>
        <v>379</v>
      </c>
      <c r="Q1517" s="5" t="str">
        <f>IFERROR(__xludf.DUMMYFUNCTION("""COMPUTED_VALUE"""),"The Incredibles")</f>
        <v>The Incredibles</v>
      </c>
      <c r="R1517" s="5" t="str">
        <f>IFERROR(__xludf.DUMMYFUNCTION("""COMPUTED_VALUE"""),"Jason Lee")</f>
        <v>Jason Lee</v>
      </c>
      <c r="S1517" s="5" t="str">
        <f>IFERROR(__xludf.DUMMYFUNCTION("""COMPUTED_VALUE"""),"Estrela 4")</f>
        <v>Estrela 4</v>
      </c>
    </row>
    <row r="1518">
      <c r="G1518" s="5" t="str">
        <f>IFERROR(__xludf.DUMMYFUNCTION("""COMPUTED_VALUE"""),"380🤙🏼Yeopgijeogin geunyeo🤙🏼Tae-Hyun Cha🤙🏼Estrela 1")</f>
        <v>380🤙🏼Yeopgijeogin geunyeo🤙🏼Tae-Hyun Cha🤙🏼Estrela 1</v>
      </c>
      <c r="H1518" s="5">
        <f>IFERROR(__xludf.DUMMYFUNCTION("SPLiT(G1518, ""🤙🏼"",FALSE,FALSE)"),380.0)</f>
        <v>380</v>
      </c>
      <c r="I1518" s="5" t="str">
        <f>IFERROR(__xludf.DUMMYFUNCTION("""COMPUTED_VALUE"""),"Yeopgijeogin geunyeo")</f>
        <v>Yeopgijeogin geunyeo</v>
      </c>
      <c r="J1518" s="5" t="str">
        <f>IFERROR(__xludf.DUMMYFUNCTION("""COMPUTED_VALUE"""),"Tae-Hyun Cha")</f>
        <v>Tae-Hyun Cha</v>
      </c>
      <c r="K1518" s="5" t="str">
        <f>IFERROR(__xludf.DUMMYFUNCTION("""COMPUTED_VALUE"""),"Estrela 1")</f>
        <v>Estrela 1</v>
      </c>
      <c r="P1518" s="5">
        <f>IFERROR(__xludf.DUMMYFUNCTION("""COMPUTED_VALUE"""),380.0)</f>
        <v>380</v>
      </c>
      <c r="Q1518" s="5" t="str">
        <f>IFERROR(__xludf.DUMMYFUNCTION("""COMPUTED_VALUE"""),"Yeopgijeogin geunyeo")</f>
        <v>Yeopgijeogin geunyeo</v>
      </c>
      <c r="R1518" s="5" t="str">
        <f>IFERROR(__xludf.DUMMYFUNCTION("""COMPUTED_VALUE"""),"Tae-Hyun Cha")</f>
        <v>Tae-Hyun Cha</v>
      </c>
      <c r="S1518" s="5" t="str">
        <f>IFERROR(__xludf.DUMMYFUNCTION("""COMPUTED_VALUE"""),"Estrela 1")</f>
        <v>Estrela 1</v>
      </c>
    </row>
    <row r="1519">
      <c r="G1519" s="5" t="str">
        <f>IFERROR(__xludf.DUMMYFUNCTION("""COMPUTED_VALUE"""),"380🤙🏼Yeopgijeogin geunyeo🤙🏼Jun Ji-Hyun🤙🏼Estrela 2")</f>
        <v>380🤙🏼Yeopgijeogin geunyeo🤙🏼Jun Ji-Hyun🤙🏼Estrela 2</v>
      </c>
      <c r="H1519" s="5">
        <f>IFERROR(__xludf.DUMMYFUNCTION("SPLiT(G1519, ""🤙🏼"",FALSE,FALSE)"),380.0)</f>
        <v>380</v>
      </c>
      <c r="I1519" s="5" t="str">
        <f>IFERROR(__xludf.DUMMYFUNCTION("""COMPUTED_VALUE"""),"Yeopgijeogin geunyeo")</f>
        <v>Yeopgijeogin geunyeo</v>
      </c>
      <c r="J1519" s="5" t="str">
        <f>IFERROR(__xludf.DUMMYFUNCTION("""COMPUTED_VALUE"""),"Jun Ji-Hyun")</f>
        <v>Jun Ji-Hyun</v>
      </c>
      <c r="K1519" s="5" t="str">
        <f>IFERROR(__xludf.DUMMYFUNCTION("""COMPUTED_VALUE"""),"Estrela 2")</f>
        <v>Estrela 2</v>
      </c>
      <c r="P1519" s="5">
        <f>IFERROR(__xludf.DUMMYFUNCTION("""COMPUTED_VALUE"""),380.0)</f>
        <v>380</v>
      </c>
      <c r="Q1519" s="5" t="str">
        <f>IFERROR(__xludf.DUMMYFUNCTION("""COMPUTED_VALUE"""),"Yeopgijeogin geunyeo")</f>
        <v>Yeopgijeogin geunyeo</v>
      </c>
      <c r="R1519" s="5" t="str">
        <f>IFERROR(__xludf.DUMMYFUNCTION("""COMPUTED_VALUE"""),"Jun Ji-Hyun")</f>
        <v>Jun Ji-Hyun</v>
      </c>
      <c r="S1519" s="5" t="str">
        <f>IFERROR(__xludf.DUMMYFUNCTION("""COMPUTED_VALUE"""),"Estrela 2")</f>
        <v>Estrela 2</v>
      </c>
    </row>
    <row r="1520">
      <c r="G1520" s="5" t="str">
        <f>IFERROR(__xludf.DUMMYFUNCTION("""COMPUTED_VALUE"""),"380🤙🏼Yeopgijeogin geunyeo🤙🏼In-mun Kim🤙🏼Estrela 3")</f>
        <v>380🤙🏼Yeopgijeogin geunyeo🤙🏼In-mun Kim🤙🏼Estrela 3</v>
      </c>
      <c r="H1520" s="5">
        <f>IFERROR(__xludf.DUMMYFUNCTION("SPLiT(G1520, ""🤙🏼"",FALSE,FALSE)"),380.0)</f>
        <v>380</v>
      </c>
      <c r="I1520" s="5" t="str">
        <f>IFERROR(__xludf.DUMMYFUNCTION("""COMPUTED_VALUE"""),"Yeopgijeogin geunyeo")</f>
        <v>Yeopgijeogin geunyeo</v>
      </c>
      <c r="J1520" s="5" t="str">
        <f>IFERROR(__xludf.DUMMYFUNCTION("""COMPUTED_VALUE"""),"In-mun Kim")</f>
        <v>In-mun Kim</v>
      </c>
      <c r="K1520" s="5" t="str">
        <f>IFERROR(__xludf.DUMMYFUNCTION("""COMPUTED_VALUE"""),"Estrela 3")</f>
        <v>Estrela 3</v>
      </c>
      <c r="P1520" s="5">
        <f>IFERROR(__xludf.DUMMYFUNCTION("""COMPUTED_VALUE"""),380.0)</f>
        <v>380</v>
      </c>
      <c r="Q1520" s="5" t="str">
        <f>IFERROR(__xludf.DUMMYFUNCTION("""COMPUTED_VALUE"""),"Yeopgijeogin geunyeo")</f>
        <v>Yeopgijeogin geunyeo</v>
      </c>
      <c r="R1520" s="5" t="str">
        <f>IFERROR(__xludf.DUMMYFUNCTION("""COMPUTED_VALUE"""),"In-mun Kim")</f>
        <v>In-mun Kim</v>
      </c>
      <c r="S1520" s="5" t="str">
        <f>IFERROR(__xludf.DUMMYFUNCTION("""COMPUTED_VALUE"""),"Estrela 3")</f>
        <v>Estrela 3</v>
      </c>
    </row>
    <row r="1521">
      <c r="G1521" s="5" t="str">
        <f>IFERROR(__xludf.DUMMYFUNCTION("""COMPUTED_VALUE"""),"380🤙🏼Yeopgijeogin geunyeo🤙🏼Song Wok-suk🤙🏼Estrela 4")</f>
        <v>380🤙🏼Yeopgijeogin geunyeo🤙🏼Song Wok-suk🤙🏼Estrela 4</v>
      </c>
      <c r="H1521" s="5">
        <f>IFERROR(__xludf.DUMMYFUNCTION("SPLiT(G1521, ""🤙🏼"",FALSE,FALSE)"),380.0)</f>
        <v>380</v>
      </c>
      <c r="I1521" s="5" t="str">
        <f>IFERROR(__xludf.DUMMYFUNCTION("""COMPUTED_VALUE"""),"Yeopgijeogin geunyeo")</f>
        <v>Yeopgijeogin geunyeo</v>
      </c>
      <c r="J1521" s="5" t="str">
        <f>IFERROR(__xludf.DUMMYFUNCTION("""COMPUTED_VALUE"""),"Song Wok-suk")</f>
        <v>Song Wok-suk</v>
      </c>
      <c r="K1521" s="5" t="str">
        <f>IFERROR(__xludf.DUMMYFUNCTION("""COMPUTED_VALUE"""),"Estrela 4")</f>
        <v>Estrela 4</v>
      </c>
      <c r="P1521" s="5">
        <f>IFERROR(__xludf.DUMMYFUNCTION("""COMPUTED_VALUE"""),380.0)</f>
        <v>380</v>
      </c>
      <c r="Q1521" s="5" t="str">
        <f>IFERROR(__xludf.DUMMYFUNCTION("""COMPUTED_VALUE"""),"Yeopgijeogin geunyeo")</f>
        <v>Yeopgijeogin geunyeo</v>
      </c>
      <c r="R1521" s="5" t="str">
        <f>IFERROR(__xludf.DUMMYFUNCTION("""COMPUTED_VALUE"""),"Song Wok-suk")</f>
        <v>Song Wok-suk</v>
      </c>
      <c r="S1521" s="5" t="str">
        <f>IFERROR(__xludf.DUMMYFUNCTION("""COMPUTED_VALUE"""),"Estrela 4")</f>
        <v>Estrela 4</v>
      </c>
    </row>
    <row r="1522">
      <c r="G1522" s="5" t="str">
        <f>IFERROR(__xludf.DUMMYFUNCTION("""COMPUTED_VALUE"""),"381🤙🏼Dogville🤙🏼Nicole Kidman🤙🏼Estrela 1")</f>
        <v>381🤙🏼Dogville🤙🏼Nicole Kidman🤙🏼Estrela 1</v>
      </c>
      <c r="H1522" s="5">
        <f>IFERROR(__xludf.DUMMYFUNCTION("SPLiT(G1522, ""🤙🏼"",FALSE,FALSE)"),381.0)</f>
        <v>381</v>
      </c>
      <c r="I1522" s="5" t="str">
        <f>IFERROR(__xludf.DUMMYFUNCTION("""COMPUTED_VALUE"""),"Dogville")</f>
        <v>Dogville</v>
      </c>
      <c r="J1522" s="5" t="str">
        <f>IFERROR(__xludf.DUMMYFUNCTION("""COMPUTED_VALUE"""),"Nicole Kidman")</f>
        <v>Nicole Kidman</v>
      </c>
      <c r="K1522" s="5" t="str">
        <f>IFERROR(__xludf.DUMMYFUNCTION("""COMPUTED_VALUE"""),"Estrela 1")</f>
        <v>Estrela 1</v>
      </c>
      <c r="P1522" s="5">
        <f>IFERROR(__xludf.DUMMYFUNCTION("""COMPUTED_VALUE"""),381.0)</f>
        <v>381</v>
      </c>
      <c r="Q1522" s="5" t="str">
        <f>IFERROR(__xludf.DUMMYFUNCTION("""COMPUTED_VALUE"""),"Dogville")</f>
        <v>Dogville</v>
      </c>
      <c r="R1522" s="5" t="str">
        <f>IFERROR(__xludf.DUMMYFUNCTION("""COMPUTED_VALUE"""),"Nicole Kidman")</f>
        <v>Nicole Kidman</v>
      </c>
      <c r="S1522" s="5" t="str">
        <f>IFERROR(__xludf.DUMMYFUNCTION("""COMPUTED_VALUE"""),"Estrela 1")</f>
        <v>Estrela 1</v>
      </c>
    </row>
    <row r="1523">
      <c r="G1523" s="5" t="str">
        <f>IFERROR(__xludf.DUMMYFUNCTION("""COMPUTED_VALUE"""),"381🤙🏼Dogville🤙🏼Paul Bettany🤙🏼Estrela 2")</f>
        <v>381🤙🏼Dogville🤙🏼Paul Bettany🤙🏼Estrela 2</v>
      </c>
      <c r="H1523" s="5">
        <f>IFERROR(__xludf.DUMMYFUNCTION("SPLiT(G1523, ""🤙🏼"",FALSE,FALSE)"),381.0)</f>
        <v>381</v>
      </c>
      <c r="I1523" s="5" t="str">
        <f>IFERROR(__xludf.DUMMYFUNCTION("""COMPUTED_VALUE"""),"Dogville")</f>
        <v>Dogville</v>
      </c>
      <c r="J1523" s="5" t="str">
        <f>IFERROR(__xludf.DUMMYFUNCTION("""COMPUTED_VALUE"""),"Paul Bettany")</f>
        <v>Paul Bettany</v>
      </c>
      <c r="K1523" s="5" t="str">
        <f>IFERROR(__xludf.DUMMYFUNCTION("""COMPUTED_VALUE"""),"Estrela 2")</f>
        <v>Estrela 2</v>
      </c>
      <c r="P1523" s="5">
        <f>IFERROR(__xludf.DUMMYFUNCTION("""COMPUTED_VALUE"""),381.0)</f>
        <v>381</v>
      </c>
      <c r="Q1523" s="5" t="str">
        <f>IFERROR(__xludf.DUMMYFUNCTION("""COMPUTED_VALUE"""),"Dogville")</f>
        <v>Dogville</v>
      </c>
      <c r="R1523" s="5" t="str">
        <f>IFERROR(__xludf.DUMMYFUNCTION("""COMPUTED_VALUE"""),"Paul Bettany")</f>
        <v>Paul Bettany</v>
      </c>
      <c r="S1523" s="5" t="str">
        <f>IFERROR(__xludf.DUMMYFUNCTION("""COMPUTED_VALUE"""),"Estrela 2")</f>
        <v>Estrela 2</v>
      </c>
    </row>
    <row r="1524">
      <c r="G1524" s="5" t="str">
        <f>IFERROR(__xludf.DUMMYFUNCTION("""COMPUTED_VALUE"""),"381🤙🏼Dogville🤙🏼Lauren Bacall🤙🏼Estrela 3")</f>
        <v>381🤙🏼Dogville🤙🏼Lauren Bacall🤙🏼Estrela 3</v>
      </c>
      <c r="H1524" s="5">
        <f>IFERROR(__xludf.DUMMYFUNCTION("SPLiT(G1524, ""🤙🏼"",FALSE,FALSE)"),381.0)</f>
        <v>381</v>
      </c>
      <c r="I1524" s="5" t="str">
        <f>IFERROR(__xludf.DUMMYFUNCTION("""COMPUTED_VALUE"""),"Dogville")</f>
        <v>Dogville</v>
      </c>
      <c r="J1524" s="5" t="str">
        <f>IFERROR(__xludf.DUMMYFUNCTION("""COMPUTED_VALUE"""),"Lauren Bacall")</f>
        <v>Lauren Bacall</v>
      </c>
      <c r="K1524" s="5" t="str">
        <f>IFERROR(__xludf.DUMMYFUNCTION("""COMPUTED_VALUE"""),"Estrela 3")</f>
        <v>Estrela 3</v>
      </c>
      <c r="P1524" s="5">
        <f>IFERROR(__xludf.DUMMYFUNCTION("""COMPUTED_VALUE"""),381.0)</f>
        <v>381</v>
      </c>
      <c r="Q1524" s="5" t="str">
        <f>IFERROR(__xludf.DUMMYFUNCTION("""COMPUTED_VALUE"""),"Dogville")</f>
        <v>Dogville</v>
      </c>
      <c r="R1524" s="5" t="str">
        <f>IFERROR(__xludf.DUMMYFUNCTION("""COMPUTED_VALUE"""),"Lauren Bacall")</f>
        <v>Lauren Bacall</v>
      </c>
      <c r="S1524" s="5" t="str">
        <f>IFERROR(__xludf.DUMMYFUNCTION("""COMPUTED_VALUE"""),"Estrela 3")</f>
        <v>Estrela 3</v>
      </c>
    </row>
    <row r="1525">
      <c r="G1525" s="5" t="str">
        <f>IFERROR(__xludf.DUMMYFUNCTION("""COMPUTED_VALUE"""),"381🤙🏼Dogville🤙🏼Harriet Andersson🤙🏼Estrela 4")</f>
        <v>381🤙🏼Dogville🤙🏼Harriet Andersson🤙🏼Estrela 4</v>
      </c>
      <c r="H1525" s="5">
        <f>IFERROR(__xludf.DUMMYFUNCTION("SPLiT(G1525, ""🤙🏼"",FALSE,FALSE)"),381.0)</f>
        <v>381</v>
      </c>
      <c r="I1525" s="5" t="str">
        <f>IFERROR(__xludf.DUMMYFUNCTION("""COMPUTED_VALUE"""),"Dogville")</f>
        <v>Dogville</v>
      </c>
      <c r="J1525" s="5" t="str">
        <f>IFERROR(__xludf.DUMMYFUNCTION("""COMPUTED_VALUE"""),"Harriet Andersson")</f>
        <v>Harriet Andersson</v>
      </c>
      <c r="K1525" s="5" t="str">
        <f>IFERROR(__xludf.DUMMYFUNCTION("""COMPUTED_VALUE"""),"Estrela 4")</f>
        <v>Estrela 4</v>
      </c>
      <c r="P1525" s="5">
        <f>IFERROR(__xludf.DUMMYFUNCTION("""COMPUTED_VALUE"""),381.0)</f>
        <v>381</v>
      </c>
      <c r="Q1525" s="5" t="str">
        <f>IFERROR(__xludf.DUMMYFUNCTION("""COMPUTED_VALUE"""),"Dogville")</f>
        <v>Dogville</v>
      </c>
      <c r="R1525" s="5" t="str">
        <f>IFERROR(__xludf.DUMMYFUNCTION("""COMPUTED_VALUE"""),"Harriet Andersson")</f>
        <v>Harriet Andersson</v>
      </c>
      <c r="S1525" s="5" t="str">
        <f>IFERROR(__xludf.DUMMYFUNCTION("""COMPUTED_VALUE"""),"Estrela 4")</f>
        <v>Estrela 4</v>
      </c>
    </row>
    <row r="1526">
      <c r="G1526" s="5" t="str">
        <f>IFERROR(__xludf.DUMMYFUNCTION("""COMPUTED_VALUE"""),"382🤙🏼Vizontele🤙🏼Ömer Faruk Sorak🤙🏼Estrela 1")</f>
        <v>382🤙🏼Vizontele🤙🏼Ömer Faruk Sorak🤙🏼Estrela 1</v>
      </c>
      <c r="H1526" s="5">
        <f>IFERROR(__xludf.DUMMYFUNCTION("SPLiT(G1526, ""🤙🏼"",FALSE,FALSE)"),382.0)</f>
        <v>382</v>
      </c>
      <c r="I1526" s="5" t="str">
        <f>IFERROR(__xludf.DUMMYFUNCTION("""COMPUTED_VALUE"""),"Vizontele")</f>
        <v>Vizontele</v>
      </c>
      <c r="J1526" s="5" t="str">
        <f>IFERROR(__xludf.DUMMYFUNCTION("""COMPUTED_VALUE"""),"Ömer Faruk Sorak")</f>
        <v>Ömer Faruk Sorak</v>
      </c>
      <c r="K1526" s="5" t="str">
        <f>IFERROR(__xludf.DUMMYFUNCTION("""COMPUTED_VALUE"""),"Estrela 1")</f>
        <v>Estrela 1</v>
      </c>
      <c r="P1526" s="5">
        <f>IFERROR(__xludf.DUMMYFUNCTION("""COMPUTED_VALUE"""),382.0)</f>
        <v>382</v>
      </c>
      <c r="Q1526" s="5" t="str">
        <f>IFERROR(__xludf.DUMMYFUNCTION("""COMPUTED_VALUE"""),"Vizontele")</f>
        <v>Vizontele</v>
      </c>
      <c r="R1526" s="5" t="str">
        <f>IFERROR(__xludf.DUMMYFUNCTION("""COMPUTED_VALUE"""),"Ömer Faruk Sorak")</f>
        <v>Ömer Faruk Sorak</v>
      </c>
      <c r="S1526" s="5" t="str">
        <f>IFERROR(__xludf.DUMMYFUNCTION("""COMPUTED_VALUE"""),"Estrela 1")</f>
        <v>Estrela 1</v>
      </c>
    </row>
    <row r="1527">
      <c r="G1527" s="5" t="str">
        <f>IFERROR(__xludf.DUMMYFUNCTION("""COMPUTED_VALUE"""),"382🤙🏼Vizontele🤙🏼Yilmaz Erdogan🤙🏼Estrela 2")</f>
        <v>382🤙🏼Vizontele🤙🏼Yilmaz Erdogan🤙🏼Estrela 2</v>
      </c>
      <c r="H1527" s="5">
        <f>IFERROR(__xludf.DUMMYFUNCTION("SPLiT(G1527, ""🤙🏼"",FALSE,FALSE)"),382.0)</f>
        <v>382</v>
      </c>
      <c r="I1527" s="5" t="str">
        <f>IFERROR(__xludf.DUMMYFUNCTION("""COMPUTED_VALUE"""),"Vizontele")</f>
        <v>Vizontele</v>
      </c>
      <c r="J1527" s="5" t="str">
        <f>IFERROR(__xludf.DUMMYFUNCTION("""COMPUTED_VALUE"""),"Yilmaz Erdogan")</f>
        <v>Yilmaz Erdogan</v>
      </c>
      <c r="K1527" s="5" t="str">
        <f>IFERROR(__xludf.DUMMYFUNCTION("""COMPUTED_VALUE"""),"Estrela 2")</f>
        <v>Estrela 2</v>
      </c>
      <c r="P1527" s="5">
        <f>IFERROR(__xludf.DUMMYFUNCTION("""COMPUTED_VALUE"""),382.0)</f>
        <v>382</v>
      </c>
      <c r="Q1527" s="5" t="str">
        <f>IFERROR(__xludf.DUMMYFUNCTION("""COMPUTED_VALUE"""),"Vizontele")</f>
        <v>Vizontele</v>
      </c>
      <c r="R1527" s="5" t="str">
        <f>IFERROR(__xludf.DUMMYFUNCTION("""COMPUTED_VALUE"""),"Yilmaz Erdogan")</f>
        <v>Yilmaz Erdogan</v>
      </c>
      <c r="S1527" s="5" t="str">
        <f>IFERROR(__xludf.DUMMYFUNCTION("""COMPUTED_VALUE"""),"Estrela 2")</f>
        <v>Estrela 2</v>
      </c>
    </row>
    <row r="1528">
      <c r="G1528" s="5" t="str">
        <f>IFERROR(__xludf.DUMMYFUNCTION("""COMPUTED_VALUE"""),"382🤙🏼Vizontele🤙🏼Demet Akbag🤙🏼Estrela 3")</f>
        <v>382🤙🏼Vizontele🤙🏼Demet Akbag🤙🏼Estrela 3</v>
      </c>
      <c r="H1528" s="5">
        <f>IFERROR(__xludf.DUMMYFUNCTION("SPLiT(G1528, ""🤙🏼"",FALSE,FALSE)"),382.0)</f>
        <v>382</v>
      </c>
      <c r="I1528" s="5" t="str">
        <f>IFERROR(__xludf.DUMMYFUNCTION("""COMPUTED_VALUE"""),"Vizontele")</f>
        <v>Vizontele</v>
      </c>
      <c r="J1528" s="5" t="str">
        <f>IFERROR(__xludf.DUMMYFUNCTION("""COMPUTED_VALUE"""),"Demet Akbag")</f>
        <v>Demet Akbag</v>
      </c>
      <c r="K1528" s="5" t="str">
        <f>IFERROR(__xludf.DUMMYFUNCTION("""COMPUTED_VALUE"""),"Estrela 3")</f>
        <v>Estrela 3</v>
      </c>
      <c r="P1528" s="5">
        <f>IFERROR(__xludf.DUMMYFUNCTION("""COMPUTED_VALUE"""),382.0)</f>
        <v>382</v>
      </c>
      <c r="Q1528" s="5" t="str">
        <f>IFERROR(__xludf.DUMMYFUNCTION("""COMPUTED_VALUE"""),"Vizontele")</f>
        <v>Vizontele</v>
      </c>
      <c r="R1528" s="5" t="str">
        <f>IFERROR(__xludf.DUMMYFUNCTION("""COMPUTED_VALUE"""),"Demet Akbag")</f>
        <v>Demet Akbag</v>
      </c>
      <c r="S1528" s="5" t="str">
        <f>IFERROR(__xludf.DUMMYFUNCTION("""COMPUTED_VALUE"""),"Estrela 3")</f>
        <v>Estrela 3</v>
      </c>
    </row>
    <row r="1529">
      <c r="G1529" s="5" t="str">
        <f>IFERROR(__xludf.DUMMYFUNCTION("""COMPUTED_VALUE"""),"382🤙🏼Vizontele🤙🏼Altan Erkekli🤙🏼Estrela 4")</f>
        <v>382🤙🏼Vizontele🤙🏼Altan Erkekli🤙🏼Estrela 4</v>
      </c>
      <c r="H1529" s="5">
        <f>IFERROR(__xludf.DUMMYFUNCTION("SPLiT(G1529, ""🤙🏼"",FALSE,FALSE)"),382.0)</f>
        <v>382</v>
      </c>
      <c r="I1529" s="5" t="str">
        <f>IFERROR(__xludf.DUMMYFUNCTION("""COMPUTED_VALUE"""),"Vizontele")</f>
        <v>Vizontele</v>
      </c>
      <c r="J1529" s="5" t="str">
        <f>IFERROR(__xludf.DUMMYFUNCTION("""COMPUTED_VALUE"""),"Altan Erkekli")</f>
        <v>Altan Erkekli</v>
      </c>
      <c r="K1529" s="5" t="str">
        <f>IFERROR(__xludf.DUMMYFUNCTION("""COMPUTED_VALUE"""),"Estrela 4")</f>
        <v>Estrela 4</v>
      </c>
      <c r="P1529" s="5">
        <f>IFERROR(__xludf.DUMMYFUNCTION("""COMPUTED_VALUE"""),382.0)</f>
        <v>382</v>
      </c>
      <c r="Q1529" s="5" t="str">
        <f>IFERROR(__xludf.DUMMYFUNCTION("""COMPUTED_VALUE"""),"Vizontele")</f>
        <v>Vizontele</v>
      </c>
      <c r="R1529" s="5" t="str">
        <f>IFERROR(__xludf.DUMMYFUNCTION("""COMPUTED_VALUE"""),"Altan Erkekli")</f>
        <v>Altan Erkekli</v>
      </c>
      <c r="S1529" s="5" t="str">
        <f>IFERROR(__xludf.DUMMYFUNCTION("""COMPUTED_VALUE"""),"Estrela 4")</f>
        <v>Estrela 4</v>
      </c>
    </row>
    <row r="1530">
      <c r="G1530" s="5" t="str">
        <f>IFERROR(__xludf.DUMMYFUNCTION("""COMPUTED_VALUE"""),"383🤙🏼Donnie Darko🤙🏼Jake Gyllenhaal🤙🏼Estrela 1")</f>
        <v>383🤙🏼Donnie Darko🤙🏼Jake Gyllenhaal🤙🏼Estrela 1</v>
      </c>
      <c r="H1530" s="5">
        <f>IFERROR(__xludf.DUMMYFUNCTION("SPLiT(G1530, ""🤙🏼"",FALSE,FALSE)"),383.0)</f>
        <v>383</v>
      </c>
      <c r="I1530" s="5" t="str">
        <f>IFERROR(__xludf.DUMMYFUNCTION("""COMPUTED_VALUE"""),"Donnie Darko")</f>
        <v>Donnie Darko</v>
      </c>
      <c r="J1530" s="5" t="str">
        <f>IFERROR(__xludf.DUMMYFUNCTION("""COMPUTED_VALUE"""),"Jake Gyllenhaal")</f>
        <v>Jake Gyllenhaal</v>
      </c>
      <c r="K1530" s="5" t="str">
        <f>IFERROR(__xludf.DUMMYFUNCTION("""COMPUTED_VALUE"""),"Estrela 1")</f>
        <v>Estrela 1</v>
      </c>
      <c r="P1530" s="5">
        <f>IFERROR(__xludf.DUMMYFUNCTION("""COMPUTED_VALUE"""),383.0)</f>
        <v>383</v>
      </c>
      <c r="Q1530" s="5" t="str">
        <f>IFERROR(__xludf.DUMMYFUNCTION("""COMPUTED_VALUE"""),"Donnie Darko")</f>
        <v>Donnie Darko</v>
      </c>
      <c r="R1530" s="5" t="str">
        <f>IFERROR(__xludf.DUMMYFUNCTION("""COMPUTED_VALUE"""),"Jake Gyllenhaal")</f>
        <v>Jake Gyllenhaal</v>
      </c>
      <c r="S1530" s="5" t="str">
        <f>IFERROR(__xludf.DUMMYFUNCTION("""COMPUTED_VALUE"""),"Estrela 1")</f>
        <v>Estrela 1</v>
      </c>
    </row>
    <row r="1531">
      <c r="G1531" s="5" t="str">
        <f>IFERROR(__xludf.DUMMYFUNCTION("""COMPUTED_VALUE"""),"383🤙🏼Donnie Darko🤙🏼Jena Malone🤙🏼Estrela 2")</f>
        <v>383🤙🏼Donnie Darko🤙🏼Jena Malone🤙🏼Estrela 2</v>
      </c>
      <c r="H1531" s="5">
        <f>IFERROR(__xludf.DUMMYFUNCTION("SPLiT(G1531, ""🤙🏼"",FALSE,FALSE)"),383.0)</f>
        <v>383</v>
      </c>
      <c r="I1531" s="5" t="str">
        <f>IFERROR(__xludf.DUMMYFUNCTION("""COMPUTED_VALUE"""),"Donnie Darko")</f>
        <v>Donnie Darko</v>
      </c>
      <c r="J1531" s="5" t="str">
        <f>IFERROR(__xludf.DUMMYFUNCTION("""COMPUTED_VALUE"""),"Jena Malone")</f>
        <v>Jena Malone</v>
      </c>
      <c r="K1531" s="5" t="str">
        <f>IFERROR(__xludf.DUMMYFUNCTION("""COMPUTED_VALUE"""),"Estrela 2")</f>
        <v>Estrela 2</v>
      </c>
      <c r="P1531" s="5">
        <f>IFERROR(__xludf.DUMMYFUNCTION("""COMPUTED_VALUE"""),383.0)</f>
        <v>383</v>
      </c>
      <c r="Q1531" s="5" t="str">
        <f>IFERROR(__xludf.DUMMYFUNCTION("""COMPUTED_VALUE"""),"Donnie Darko")</f>
        <v>Donnie Darko</v>
      </c>
      <c r="R1531" s="5" t="str">
        <f>IFERROR(__xludf.DUMMYFUNCTION("""COMPUTED_VALUE"""),"Jena Malone")</f>
        <v>Jena Malone</v>
      </c>
      <c r="S1531" s="5" t="str">
        <f>IFERROR(__xludf.DUMMYFUNCTION("""COMPUTED_VALUE"""),"Estrela 2")</f>
        <v>Estrela 2</v>
      </c>
    </row>
    <row r="1532">
      <c r="G1532" s="5" t="str">
        <f>IFERROR(__xludf.DUMMYFUNCTION("""COMPUTED_VALUE"""),"383🤙🏼Donnie Darko🤙🏼Mary McDonnell🤙🏼Estrela 3")</f>
        <v>383🤙🏼Donnie Darko🤙🏼Mary McDonnell🤙🏼Estrela 3</v>
      </c>
      <c r="H1532" s="5">
        <f>IFERROR(__xludf.DUMMYFUNCTION("SPLiT(G1532, ""🤙🏼"",FALSE,FALSE)"),383.0)</f>
        <v>383</v>
      </c>
      <c r="I1532" s="5" t="str">
        <f>IFERROR(__xludf.DUMMYFUNCTION("""COMPUTED_VALUE"""),"Donnie Darko")</f>
        <v>Donnie Darko</v>
      </c>
      <c r="J1532" s="5" t="str">
        <f>IFERROR(__xludf.DUMMYFUNCTION("""COMPUTED_VALUE"""),"Mary McDonnell")</f>
        <v>Mary McDonnell</v>
      </c>
      <c r="K1532" s="5" t="str">
        <f>IFERROR(__xludf.DUMMYFUNCTION("""COMPUTED_VALUE"""),"Estrela 3")</f>
        <v>Estrela 3</v>
      </c>
      <c r="P1532" s="5">
        <f>IFERROR(__xludf.DUMMYFUNCTION("""COMPUTED_VALUE"""),383.0)</f>
        <v>383</v>
      </c>
      <c r="Q1532" s="5" t="str">
        <f>IFERROR(__xludf.DUMMYFUNCTION("""COMPUTED_VALUE"""),"Donnie Darko")</f>
        <v>Donnie Darko</v>
      </c>
      <c r="R1532" s="5" t="str">
        <f>IFERROR(__xludf.DUMMYFUNCTION("""COMPUTED_VALUE"""),"Mary McDonnell")</f>
        <v>Mary McDonnell</v>
      </c>
      <c r="S1532" s="5" t="str">
        <f>IFERROR(__xludf.DUMMYFUNCTION("""COMPUTED_VALUE"""),"Estrela 3")</f>
        <v>Estrela 3</v>
      </c>
    </row>
    <row r="1533">
      <c r="G1533" s="5" t="str">
        <f>IFERROR(__xludf.DUMMYFUNCTION("""COMPUTED_VALUE"""),"383🤙🏼Donnie Darko🤙🏼Holmes Osborne🤙🏼Estrela 4")</f>
        <v>383🤙🏼Donnie Darko🤙🏼Holmes Osborne🤙🏼Estrela 4</v>
      </c>
      <c r="H1533" s="5">
        <f>IFERROR(__xludf.DUMMYFUNCTION("SPLiT(G1533, ""🤙🏼"",FALSE,FALSE)"),383.0)</f>
        <v>383</v>
      </c>
      <c r="I1533" s="5" t="str">
        <f>IFERROR(__xludf.DUMMYFUNCTION("""COMPUTED_VALUE"""),"Donnie Darko")</f>
        <v>Donnie Darko</v>
      </c>
      <c r="J1533" s="5" t="str">
        <f>IFERROR(__xludf.DUMMYFUNCTION("""COMPUTED_VALUE"""),"Holmes Osborne")</f>
        <v>Holmes Osborne</v>
      </c>
      <c r="K1533" s="5" t="str">
        <f>IFERROR(__xludf.DUMMYFUNCTION("""COMPUTED_VALUE"""),"Estrela 4")</f>
        <v>Estrela 4</v>
      </c>
      <c r="P1533" s="5">
        <f>IFERROR(__xludf.DUMMYFUNCTION("""COMPUTED_VALUE"""),383.0)</f>
        <v>383</v>
      </c>
      <c r="Q1533" s="5" t="str">
        <f>IFERROR(__xludf.DUMMYFUNCTION("""COMPUTED_VALUE"""),"Donnie Darko")</f>
        <v>Donnie Darko</v>
      </c>
      <c r="R1533" s="5" t="str">
        <f>IFERROR(__xludf.DUMMYFUNCTION("""COMPUTED_VALUE"""),"Holmes Osborne")</f>
        <v>Holmes Osborne</v>
      </c>
      <c r="S1533" s="5" t="str">
        <f>IFERROR(__xludf.DUMMYFUNCTION("""COMPUTED_VALUE"""),"Estrela 4")</f>
        <v>Estrela 4</v>
      </c>
    </row>
    <row r="1534">
      <c r="G1534" s="5" t="str">
        <f>IFERROR(__xludf.DUMMYFUNCTION("""COMPUTED_VALUE"""),"384🤙🏼Magnolia🤙🏼Tom Cruise🤙🏼Estrela 1")</f>
        <v>384🤙🏼Magnolia🤙🏼Tom Cruise🤙🏼Estrela 1</v>
      </c>
      <c r="H1534" s="5">
        <f>IFERROR(__xludf.DUMMYFUNCTION("SPLiT(G1534, ""🤙🏼"",FALSE,FALSE)"),384.0)</f>
        <v>384</v>
      </c>
      <c r="I1534" s="5" t="str">
        <f>IFERROR(__xludf.DUMMYFUNCTION("""COMPUTED_VALUE"""),"Magnolia")</f>
        <v>Magnolia</v>
      </c>
      <c r="J1534" s="5" t="str">
        <f>IFERROR(__xludf.DUMMYFUNCTION("""COMPUTED_VALUE"""),"Tom Cruise")</f>
        <v>Tom Cruise</v>
      </c>
      <c r="K1534" s="5" t="str">
        <f>IFERROR(__xludf.DUMMYFUNCTION("""COMPUTED_VALUE"""),"Estrela 1")</f>
        <v>Estrela 1</v>
      </c>
      <c r="P1534" s="5">
        <f>IFERROR(__xludf.DUMMYFUNCTION("""COMPUTED_VALUE"""),384.0)</f>
        <v>384</v>
      </c>
      <c r="Q1534" s="5" t="str">
        <f>IFERROR(__xludf.DUMMYFUNCTION("""COMPUTED_VALUE"""),"Magnolia")</f>
        <v>Magnolia</v>
      </c>
      <c r="R1534" s="5" t="str">
        <f>IFERROR(__xludf.DUMMYFUNCTION("""COMPUTED_VALUE"""),"Tom Cruise")</f>
        <v>Tom Cruise</v>
      </c>
      <c r="S1534" s="5" t="str">
        <f>IFERROR(__xludf.DUMMYFUNCTION("""COMPUTED_VALUE"""),"Estrela 1")</f>
        <v>Estrela 1</v>
      </c>
    </row>
    <row r="1535">
      <c r="G1535" s="5" t="str">
        <f>IFERROR(__xludf.DUMMYFUNCTION("""COMPUTED_VALUE"""),"384🤙🏼Magnolia🤙🏼Jason Robards🤙🏼Estrela 2")</f>
        <v>384🤙🏼Magnolia🤙🏼Jason Robards🤙🏼Estrela 2</v>
      </c>
      <c r="H1535" s="5">
        <f>IFERROR(__xludf.DUMMYFUNCTION("SPLiT(G1535, ""🤙🏼"",FALSE,FALSE)"),384.0)</f>
        <v>384</v>
      </c>
      <c r="I1535" s="5" t="str">
        <f>IFERROR(__xludf.DUMMYFUNCTION("""COMPUTED_VALUE"""),"Magnolia")</f>
        <v>Magnolia</v>
      </c>
      <c r="J1535" s="5" t="str">
        <f>IFERROR(__xludf.DUMMYFUNCTION("""COMPUTED_VALUE"""),"Jason Robards")</f>
        <v>Jason Robards</v>
      </c>
      <c r="K1535" s="5" t="str">
        <f>IFERROR(__xludf.DUMMYFUNCTION("""COMPUTED_VALUE"""),"Estrela 2")</f>
        <v>Estrela 2</v>
      </c>
      <c r="P1535" s="5">
        <f>IFERROR(__xludf.DUMMYFUNCTION("""COMPUTED_VALUE"""),384.0)</f>
        <v>384</v>
      </c>
      <c r="Q1535" s="5" t="str">
        <f>IFERROR(__xludf.DUMMYFUNCTION("""COMPUTED_VALUE"""),"Magnolia")</f>
        <v>Magnolia</v>
      </c>
      <c r="R1535" s="5" t="str">
        <f>IFERROR(__xludf.DUMMYFUNCTION("""COMPUTED_VALUE"""),"Jason Robards")</f>
        <v>Jason Robards</v>
      </c>
      <c r="S1535" s="5" t="str">
        <f>IFERROR(__xludf.DUMMYFUNCTION("""COMPUTED_VALUE"""),"Estrela 2")</f>
        <v>Estrela 2</v>
      </c>
    </row>
    <row r="1536">
      <c r="G1536" s="5" t="str">
        <f>IFERROR(__xludf.DUMMYFUNCTION("""COMPUTED_VALUE"""),"384🤙🏼Magnolia🤙🏼Julianne Moore🤙🏼Estrela 3")</f>
        <v>384🤙🏼Magnolia🤙🏼Julianne Moore🤙🏼Estrela 3</v>
      </c>
      <c r="H1536" s="5">
        <f>IFERROR(__xludf.DUMMYFUNCTION("SPLiT(G1536, ""🤙🏼"",FALSE,FALSE)"),384.0)</f>
        <v>384</v>
      </c>
      <c r="I1536" s="5" t="str">
        <f>IFERROR(__xludf.DUMMYFUNCTION("""COMPUTED_VALUE"""),"Magnolia")</f>
        <v>Magnolia</v>
      </c>
      <c r="J1536" s="5" t="str">
        <f>IFERROR(__xludf.DUMMYFUNCTION("""COMPUTED_VALUE"""),"Julianne Moore")</f>
        <v>Julianne Moore</v>
      </c>
      <c r="K1536" s="5" t="str">
        <f>IFERROR(__xludf.DUMMYFUNCTION("""COMPUTED_VALUE"""),"Estrela 3")</f>
        <v>Estrela 3</v>
      </c>
      <c r="P1536" s="5">
        <f>IFERROR(__xludf.DUMMYFUNCTION("""COMPUTED_VALUE"""),384.0)</f>
        <v>384</v>
      </c>
      <c r="Q1536" s="5" t="str">
        <f>IFERROR(__xludf.DUMMYFUNCTION("""COMPUTED_VALUE"""),"Magnolia")</f>
        <v>Magnolia</v>
      </c>
      <c r="R1536" s="5" t="str">
        <f>IFERROR(__xludf.DUMMYFUNCTION("""COMPUTED_VALUE"""),"Julianne Moore")</f>
        <v>Julianne Moore</v>
      </c>
      <c r="S1536" s="5" t="str">
        <f>IFERROR(__xludf.DUMMYFUNCTION("""COMPUTED_VALUE"""),"Estrela 3")</f>
        <v>Estrela 3</v>
      </c>
    </row>
    <row r="1537">
      <c r="G1537" s="5" t="str">
        <f>IFERROR(__xludf.DUMMYFUNCTION("""COMPUTED_VALUE"""),"384🤙🏼Magnolia🤙🏼Philip Seymour Hoffman🤙🏼Estrela 4")</f>
        <v>384🤙🏼Magnolia🤙🏼Philip Seymour Hoffman🤙🏼Estrela 4</v>
      </c>
      <c r="H1537" s="5">
        <f>IFERROR(__xludf.DUMMYFUNCTION("SPLiT(G1537, ""🤙🏼"",FALSE,FALSE)"),384.0)</f>
        <v>384</v>
      </c>
      <c r="I1537" s="5" t="str">
        <f>IFERROR(__xludf.DUMMYFUNCTION("""COMPUTED_VALUE"""),"Magnolia")</f>
        <v>Magnolia</v>
      </c>
      <c r="J1537" s="5" t="str">
        <f>IFERROR(__xludf.DUMMYFUNCTION("""COMPUTED_VALUE"""),"Philip Seymour Hoffman")</f>
        <v>Philip Seymour Hoffman</v>
      </c>
      <c r="K1537" s="5" t="str">
        <f>IFERROR(__xludf.DUMMYFUNCTION("""COMPUTED_VALUE"""),"Estrela 4")</f>
        <v>Estrela 4</v>
      </c>
      <c r="P1537" s="5">
        <f>IFERROR(__xludf.DUMMYFUNCTION("""COMPUTED_VALUE"""),384.0)</f>
        <v>384</v>
      </c>
      <c r="Q1537" s="5" t="str">
        <f>IFERROR(__xludf.DUMMYFUNCTION("""COMPUTED_VALUE"""),"Magnolia")</f>
        <v>Magnolia</v>
      </c>
      <c r="R1537" s="5" t="str">
        <f>IFERROR(__xludf.DUMMYFUNCTION("""COMPUTED_VALUE"""),"Philip Seymour Hoffman")</f>
        <v>Philip Seymour Hoffman</v>
      </c>
      <c r="S1537" s="5" t="str">
        <f>IFERROR(__xludf.DUMMYFUNCTION("""COMPUTED_VALUE"""),"Estrela 4")</f>
        <v>Estrela 4</v>
      </c>
    </row>
    <row r="1538">
      <c r="G1538" s="5" t="str">
        <f>IFERROR(__xludf.DUMMYFUNCTION("""COMPUTED_VALUE"""),"385🤙🏼Dancer in the Dark🤙🏼Björk🤙🏼Estrela 1")</f>
        <v>385🤙🏼Dancer in the Dark🤙🏼Björk🤙🏼Estrela 1</v>
      </c>
      <c r="H1538" s="5">
        <f>IFERROR(__xludf.DUMMYFUNCTION("SPLiT(G1538, ""🤙🏼"",FALSE,FALSE)"),385.0)</f>
        <v>385</v>
      </c>
      <c r="I1538" s="5" t="str">
        <f>IFERROR(__xludf.DUMMYFUNCTION("""COMPUTED_VALUE"""),"Dancer in the Dark")</f>
        <v>Dancer in the Dark</v>
      </c>
      <c r="J1538" s="5" t="str">
        <f>IFERROR(__xludf.DUMMYFUNCTION("""COMPUTED_VALUE"""),"Björk")</f>
        <v>Björk</v>
      </c>
      <c r="K1538" s="5" t="str">
        <f>IFERROR(__xludf.DUMMYFUNCTION("""COMPUTED_VALUE"""),"Estrela 1")</f>
        <v>Estrela 1</v>
      </c>
      <c r="P1538" s="5">
        <f>IFERROR(__xludf.DUMMYFUNCTION("""COMPUTED_VALUE"""),385.0)</f>
        <v>385</v>
      </c>
      <c r="Q1538" s="5" t="str">
        <f>IFERROR(__xludf.DUMMYFUNCTION("""COMPUTED_VALUE"""),"Dancer in the Dark")</f>
        <v>Dancer in the Dark</v>
      </c>
      <c r="R1538" s="5" t="str">
        <f>IFERROR(__xludf.DUMMYFUNCTION("""COMPUTED_VALUE"""),"Björk")</f>
        <v>Björk</v>
      </c>
      <c r="S1538" s="5" t="str">
        <f>IFERROR(__xludf.DUMMYFUNCTION("""COMPUTED_VALUE"""),"Estrela 1")</f>
        <v>Estrela 1</v>
      </c>
    </row>
    <row r="1539">
      <c r="G1539" s="5" t="str">
        <f>IFERROR(__xludf.DUMMYFUNCTION("""COMPUTED_VALUE"""),"385🤙🏼Dancer in the Dark🤙🏼Catherine Deneuve🤙🏼Estrela 2")</f>
        <v>385🤙🏼Dancer in the Dark🤙🏼Catherine Deneuve🤙🏼Estrela 2</v>
      </c>
      <c r="H1539" s="5">
        <f>IFERROR(__xludf.DUMMYFUNCTION("SPLiT(G1539, ""🤙🏼"",FALSE,FALSE)"),385.0)</f>
        <v>385</v>
      </c>
      <c r="I1539" s="5" t="str">
        <f>IFERROR(__xludf.DUMMYFUNCTION("""COMPUTED_VALUE"""),"Dancer in the Dark")</f>
        <v>Dancer in the Dark</v>
      </c>
      <c r="J1539" s="5" t="str">
        <f>IFERROR(__xludf.DUMMYFUNCTION("""COMPUTED_VALUE"""),"Catherine Deneuve")</f>
        <v>Catherine Deneuve</v>
      </c>
      <c r="K1539" s="5" t="str">
        <f>IFERROR(__xludf.DUMMYFUNCTION("""COMPUTED_VALUE"""),"Estrela 2")</f>
        <v>Estrela 2</v>
      </c>
      <c r="P1539" s="5">
        <f>IFERROR(__xludf.DUMMYFUNCTION("""COMPUTED_VALUE"""),385.0)</f>
        <v>385</v>
      </c>
      <c r="Q1539" s="5" t="str">
        <f>IFERROR(__xludf.DUMMYFUNCTION("""COMPUTED_VALUE"""),"Dancer in the Dark")</f>
        <v>Dancer in the Dark</v>
      </c>
      <c r="R1539" s="5" t="str">
        <f>IFERROR(__xludf.DUMMYFUNCTION("""COMPUTED_VALUE"""),"Catherine Deneuve")</f>
        <v>Catherine Deneuve</v>
      </c>
      <c r="S1539" s="5" t="str">
        <f>IFERROR(__xludf.DUMMYFUNCTION("""COMPUTED_VALUE"""),"Estrela 2")</f>
        <v>Estrela 2</v>
      </c>
    </row>
    <row r="1540">
      <c r="G1540" s="5" t="str">
        <f>IFERROR(__xludf.DUMMYFUNCTION("""COMPUTED_VALUE"""),"385🤙🏼Dancer in the Dark🤙🏼David Morse🤙🏼Estrela 3")</f>
        <v>385🤙🏼Dancer in the Dark🤙🏼David Morse🤙🏼Estrela 3</v>
      </c>
      <c r="H1540" s="5">
        <f>IFERROR(__xludf.DUMMYFUNCTION("SPLiT(G1540, ""🤙🏼"",FALSE,FALSE)"),385.0)</f>
        <v>385</v>
      </c>
      <c r="I1540" s="5" t="str">
        <f>IFERROR(__xludf.DUMMYFUNCTION("""COMPUTED_VALUE"""),"Dancer in the Dark")</f>
        <v>Dancer in the Dark</v>
      </c>
      <c r="J1540" s="5" t="str">
        <f>IFERROR(__xludf.DUMMYFUNCTION("""COMPUTED_VALUE"""),"David Morse")</f>
        <v>David Morse</v>
      </c>
      <c r="K1540" s="5" t="str">
        <f>IFERROR(__xludf.DUMMYFUNCTION("""COMPUTED_VALUE"""),"Estrela 3")</f>
        <v>Estrela 3</v>
      </c>
      <c r="P1540" s="5">
        <f>IFERROR(__xludf.DUMMYFUNCTION("""COMPUTED_VALUE"""),385.0)</f>
        <v>385</v>
      </c>
      <c r="Q1540" s="5" t="str">
        <f>IFERROR(__xludf.DUMMYFUNCTION("""COMPUTED_VALUE"""),"Dancer in the Dark")</f>
        <v>Dancer in the Dark</v>
      </c>
      <c r="R1540" s="5" t="str">
        <f>IFERROR(__xludf.DUMMYFUNCTION("""COMPUTED_VALUE"""),"David Morse")</f>
        <v>David Morse</v>
      </c>
      <c r="S1540" s="5" t="str">
        <f>IFERROR(__xludf.DUMMYFUNCTION("""COMPUTED_VALUE"""),"Estrela 3")</f>
        <v>Estrela 3</v>
      </c>
    </row>
    <row r="1541">
      <c r="G1541" s="5" t="str">
        <f>IFERROR(__xludf.DUMMYFUNCTION("""COMPUTED_VALUE"""),"385🤙🏼Dancer in the Dark🤙🏼Peter Stormare🤙🏼Estrela 4")</f>
        <v>385🤙🏼Dancer in the Dark🤙🏼Peter Stormare🤙🏼Estrela 4</v>
      </c>
      <c r="H1541" s="5">
        <f>IFERROR(__xludf.DUMMYFUNCTION("SPLiT(G1541, ""🤙🏼"",FALSE,FALSE)"),385.0)</f>
        <v>385</v>
      </c>
      <c r="I1541" s="5" t="str">
        <f>IFERROR(__xludf.DUMMYFUNCTION("""COMPUTED_VALUE"""),"Dancer in the Dark")</f>
        <v>Dancer in the Dark</v>
      </c>
      <c r="J1541" s="5" t="str">
        <f>IFERROR(__xludf.DUMMYFUNCTION("""COMPUTED_VALUE"""),"Peter Stormare")</f>
        <v>Peter Stormare</v>
      </c>
      <c r="K1541" s="5" t="str">
        <f>IFERROR(__xludf.DUMMYFUNCTION("""COMPUTED_VALUE"""),"Estrela 4")</f>
        <v>Estrela 4</v>
      </c>
      <c r="P1541" s="5">
        <f>IFERROR(__xludf.DUMMYFUNCTION("""COMPUTED_VALUE"""),385.0)</f>
        <v>385</v>
      </c>
      <c r="Q1541" s="5" t="str">
        <f>IFERROR(__xludf.DUMMYFUNCTION("""COMPUTED_VALUE"""),"Dancer in the Dark")</f>
        <v>Dancer in the Dark</v>
      </c>
      <c r="R1541" s="5" t="str">
        <f>IFERROR(__xludf.DUMMYFUNCTION("""COMPUTED_VALUE"""),"Peter Stormare")</f>
        <v>Peter Stormare</v>
      </c>
      <c r="S1541" s="5" t="str">
        <f>IFERROR(__xludf.DUMMYFUNCTION("""COMPUTED_VALUE"""),"Estrela 4")</f>
        <v>Estrela 4</v>
      </c>
    </row>
    <row r="1542">
      <c r="G1542" s="5" t="str">
        <f>IFERROR(__xludf.DUMMYFUNCTION("""COMPUTED_VALUE"""),"386🤙🏼The Straight Story🤙🏼Richard Farnsworth🤙🏼Estrela 1")</f>
        <v>386🤙🏼The Straight Story🤙🏼Richard Farnsworth🤙🏼Estrela 1</v>
      </c>
      <c r="H1542" s="5">
        <f>IFERROR(__xludf.DUMMYFUNCTION("SPLiT(G1542, ""🤙🏼"",FALSE,FALSE)"),386.0)</f>
        <v>386</v>
      </c>
      <c r="I1542" s="5" t="str">
        <f>IFERROR(__xludf.DUMMYFUNCTION("""COMPUTED_VALUE"""),"The Straight Story")</f>
        <v>The Straight Story</v>
      </c>
      <c r="J1542" s="5" t="str">
        <f>IFERROR(__xludf.DUMMYFUNCTION("""COMPUTED_VALUE"""),"Richard Farnsworth")</f>
        <v>Richard Farnsworth</v>
      </c>
      <c r="K1542" s="5" t="str">
        <f>IFERROR(__xludf.DUMMYFUNCTION("""COMPUTED_VALUE"""),"Estrela 1")</f>
        <v>Estrela 1</v>
      </c>
      <c r="P1542" s="5">
        <f>IFERROR(__xludf.DUMMYFUNCTION("""COMPUTED_VALUE"""),386.0)</f>
        <v>386</v>
      </c>
      <c r="Q1542" s="5" t="str">
        <f>IFERROR(__xludf.DUMMYFUNCTION("""COMPUTED_VALUE"""),"The Straight Story")</f>
        <v>The Straight Story</v>
      </c>
      <c r="R1542" s="5" t="str">
        <f>IFERROR(__xludf.DUMMYFUNCTION("""COMPUTED_VALUE"""),"Richard Farnsworth")</f>
        <v>Richard Farnsworth</v>
      </c>
      <c r="S1542" s="5" t="str">
        <f>IFERROR(__xludf.DUMMYFUNCTION("""COMPUTED_VALUE"""),"Estrela 1")</f>
        <v>Estrela 1</v>
      </c>
    </row>
    <row r="1543">
      <c r="G1543" s="5" t="str">
        <f>IFERROR(__xludf.DUMMYFUNCTION("""COMPUTED_VALUE"""),"386🤙🏼The Straight Story🤙🏼Sissy Spacek🤙🏼Estrela 2")</f>
        <v>386🤙🏼The Straight Story🤙🏼Sissy Spacek🤙🏼Estrela 2</v>
      </c>
      <c r="H1543" s="5">
        <f>IFERROR(__xludf.DUMMYFUNCTION("SPLiT(G1543, ""🤙🏼"",FALSE,FALSE)"),386.0)</f>
        <v>386</v>
      </c>
      <c r="I1543" s="5" t="str">
        <f>IFERROR(__xludf.DUMMYFUNCTION("""COMPUTED_VALUE"""),"The Straight Story")</f>
        <v>The Straight Story</v>
      </c>
      <c r="J1543" s="5" t="str">
        <f>IFERROR(__xludf.DUMMYFUNCTION("""COMPUTED_VALUE"""),"Sissy Spacek")</f>
        <v>Sissy Spacek</v>
      </c>
      <c r="K1543" s="5" t="str">
        <f>IFERROR(__xludf.DUMMYFUNCTION("""COMPUTED_VALUE"""),"Estrela 2")</f>
        <v>Estrela 2</v>
      </c>
      <c r="P1543" s="5">
        <f>IFERROR(__xludf.DUMMYFUNCTION("""COMPUTED_VALUE"""),386.0)</f>
        <v>386</v>
      </c>
      <c r="Q1543" s="5" t="str">
        <f>IFERROR(__xludf.DUMMYFUNCTION("""COMPUTED_VALUE"""),"The Straight Story")</f>
        <v>The Straight Story</v>
      </c>
      <c r="R1543" s="5" t="str">
        <f>IFERROR(__xludf.DUMMYFUNCTION("""COMPUTED_VALUE"""),"Sissy Spacek")</f>
        <v>Sissy Spacek</v>
      </c>
      <c r="S1543" s="5" t="str">
        <f>IFERROR(__xludf.DUMMYFUNCTION("""COMPUTED_VALUE"""),"Estrela 2")</f>
        <v>Estrela 2</v>
      </c>
    </row>
    <row r="1544">
      <c r="G1544" s="5" t="str">
        <f>IFERROR(__xludf.DUMMYFUNCTION("""COMPUTED_VALUE"""),"386🤙🏼The Straight Story🤙🏼Jane Galloway Heitz🤙🏼Estrela 3")</f>
        <v>386🤙🏼The Straight Story🤙🏼Jane Galloway Heitz🤙🏼Estrela 3</v>
      </c>
      <c r="H1544" s="5">
        <f>IFERROR(__xludf.DUMMYFUNCTION("SPLiT(G1544, ""🤙🏼"",FALSE,FALSE)"),386.0)</f>
        <v>386</v>
      </c>
      <c r="I1544" s="5" t="str">
        <f>IFERROR(__xludf.DUMMYFUNCTION("""COMPUTED_VALUE"""),"The Straight Story")</f>
        <v>The Straight Story</v>
      </c>
      <c r="J1544" s="5" t="str">
        <f>IFERROR(__xludf.DUMMYFUNCTION("""COMPUTED_VALUE"""),"Jane Galloway Heitz")</f>
        <v>Jane Galloway Heitz</v>
      </c>
      <c r="K1544" s="5" t="str">
        <f>IFERROR(__xludf.DUMMYFUNCTION("""COMPUTED_VALUE"""),"Estrela 3")</f>
        <v>Estrela 3</v>
      </c>
      <c r="P1544" s="5">
        <f>IFERROR(__xludf.DUMMYFUNCTION("""COMPUTED_VALUE"""),386.0)</f>
        <v>386</v>
      </c>
      <c r="Q1544" s="5" t="str">
        <f>IFERROR(__xludf.DUMMYFUNCTION("""COMPUTED_VALUE"""),"The Straight Story")</f>
        <v>The Straight Story</v>
      </c>
      <c r="R1544" s="5" t="str">
        <f>IFERROR(__xludf.DUMMYFUNCTION("""COMPUTED_VALUE"""),"Jane Galloway Heitz")</f>
        <v>Jane Galloway Heitz</v>
      </c>
      <c r="S1544" s="5" t="str">
        <f>IFERROR(__xludf.DUMMYFUNCTION("""COMPUTED_VALUE"""),"Estrela 3")</f>
        <v>Estrela 3</v>
      </c>
    </row>
    <row r="1545">
      <c r="G1545" s="5" t="str">
        <f>IFERROR(__xludf.DUMMYFUNCTION("""COMPUTED_VALUE"""),"386🤙🏼The Straight Story🤙🏼Joseph A. Carpenter🤙🏼Estrela 4")</f>
        <v>386🤙🏼The Straight Story🤙🏼Joseph A. Carpenter🤙🏼Estrela 4</v>
      </c>
      <c r="H1545" s="5">
        <f>IFERROR(__xludf.DUMMYFUNCTION("SPLiT(G1545, ""🤙🏼"",FALSE,FALSE)"),386.0)</f>
        <v>386</v>
      </c>
      <c r="I1545" s="5" t="str">
        <f>IFERROR(__xludf.DUMMYFUNCTION("""COMPUTED_VALUE"""),"The Straight Story")</f>
        <v>The Straight Story</v>
      </c>
      <c r="J1545" s="5" t="str">
        <f>IFERROR(__xludf.DUMMYFUNCTION("""COMPUTED_VALUE"""),"Joseph A. Carpenter")</f>
        <v>Joseph A. Carpenter</v>
      </c>
      <c r="K1545" s="5" t="str">
        <f>IFERROR(__xludf.DUMMYFUNCTION("""COMPUTED_VALUE"""),"Estrela 4")</f>
        <v>Estrela 4</v>
      </c>
      <c r="P1545" s="5">
        <f>IFERROR(__xludf.DUMMYFUNCTION("""COMPUTED_VALUE"""),386.0)</f>
        <v>386</v>
      </c>
      <c r="Q1545" s="5" t="str">
        <f>IFERROR(__xludf.DUMMYFUNCTION("""COMPUTED_VALUE"""),"The Straight Story")</f>
        <v>The Straight Story</v>
      </c>
      <c r="R1545" s="5" t="str">
        <f>IFERROR(__xludf.DUMMYFUNCTION("""COMPUTED_VALUE"""),"Joseph A. Carpenter")</f>
        <v>Joseph A. Carpenter</v>
      </c>
      <c r="S1545" s="5" t="str">
        <f>IFERROR(__xludf.DUMMYFUNCTION("""COMPUTED_VALUE"""),"Estrela 4")</f>
        <v>Estrela 4</v>
      </c>
    </row>
    <row r="1546">
      <c r="G1546" s="5" t="str">
        <f>IFERROR(__xludf.DUMMYFUNCTION("""COMPUTED_VALUE"""),"387🤙🏼Pâfekuto burû🤙🏼Junko Iwao🤙🏼Estrela 1")</f>
        <v>387🤙🏼Pâfekuto burû🤙🏼Junko Iwao🤙🏼Estrela 1</v>
      </c>
      <c r="H1546" s="5">
        <f>IFERROR(__xludf.DUMMYFUNCTION("SPLiT(G1546, ""🤙🏼"",FALSE,FALSE)"),387.0)</f>
        <v>387</v>
      </c>
      <c r="I1546" s="5" t="str">
        <f>IFERROR(__xludf.DUMMYFUNCTION("""COMPUTED_VALUE"""),"Pâfekuto burû")</f>
        <v>Pâfekuto burû</v>
      </c>
      <c r="J1546" s="5" t="str">
        <f>IFERROR(__xludf.DUMMYFUNCTION("""COMPUTED_VALUE"""),"Junko Iwao")</f>
        <v>Junko Iwao</v>
      </c>
      <c r="K1546" s="5" t="str">
        <f>IFERROR(__xludf.DUMMYFUNCTION("""COMPUTED_VALUE"""),"Estrela 1")</f>
        <v>Estrela 1</v>
      </c>
      <c r="P1546" s="5">
        <f>IFERROR(__xludf.DUMMYFUNCTION("""COMPUTED_VALUE"""),387.0)</f>
        <v>387</v>
      </c>
      <c r="Q1546" s="5" t="str">
        <f>IFERROR(__xludf.DUMMYFUNCTION("""COMPUTED_VALUE"""),"Pâfekuto burû")</f>
        <v>Pâfekuto burû</v>
      </c>
      <c r="R1546" s="5" t="str">
        <f>IFERROR(__xludf.DUMMYFUNCTION("""COMPUTED_VALUE"""),"Junko Iwao")</f>
        <v>Junko Iwao</v>
      </c>
      <c r="S1546" s="5" t="str">
        <f>IFERROR(__xludf.DUMMYFUNCTION("""COMPUTED_VALUE"""),"Estrela 1")</f>
        <v>Estrela 1</v>
      </c>
    </row>
    <row r="1547">
      <c r="G1547" s="5" t="str">
        <f>IFERROR(__xludf.DUMMYFUNCTION("""COMPUTED_VALUE"""),"387🤙🏼Pâfekuto burû🤙🏼Rica Matsumoto🤙🏼Estrela 2")</f>
        <v>387🤙🏼Pâfekuto burû🤙🏼Rica Matsumoto🤙🏼Estrela 2</v>
      </c>
      <c r="H1547" s="5">
        <f>IFERROR(__xludf.DUMMYFUNCTION("SPLiT(G1547, ""🤙🏼"",FALSE,FALSE)"),387.0)</f>
        <v>387</v>
      </c>
      <c r="I1547" s="5" t="str">
        <f>IFERROR(__xludf.DUMMYFUNCTION("""COMPUTED_VALUE"""),"Pâfekuto burû")</f>
        <v>Pâfekuto burû</v>
      </c>
      <c r="J1547" s="5" t="str">
        <f>IFERROR(__xludf.DUMMYFUNCTION("""COMPUTED_VALUE"""),"Rica Matsumoto")</f>
        <v>Rica Matsumoto</v>
      </c>
      <c r="K1547" s="5" t="str">
        <f>IFERROR(__xludf.DUMMYFUNCTION("""COMPUTED_VALUE"""),"Estrela 2")</f>
        <v>Estrela 2</v>
      </c>
      <c r="P1547" s="5">
        <f>IFERROR(__xludf.DUMMYFUNCTION("""COMPUTED_VALUE"""),387.0)</f>
        <v>387</v>
      </c>
      <c r="Q1547" s="5" t="str">
        <f>IFERROR(__xludf.DUMMYFUNCTION("""COMPUTED_VALUE"""),"Pâfekuto burû")</f>
        <v>Pâfekuto burû</v>
      </c>
      <c r="R1547" s="5" t="str">
        <f>IFERROR(__xludf.DUMMYFUNCTION("""COMPUTED_VALUE"""),"Rica Matsumoto")</f>
        <v>Rica Matsumoto</v>
      </c>
      <c r="S1547" s="5" t="str">
        <f>IFERROR(__xludf.DUMMYFUNCTION("""COMPUTED_VALUE"""),"Estrela 2")</f>
        <v>Estrela 2</v>
      </c>
    </row>
    <row r="1548">
      <c r="G1548" s="5" t="str">
        <f>IFERROR(__xludf.DUMMYFUNCTION("""COMPUTED_VALUE"""),"387🤙🏼Pâfekuto burû🤙🏼Shinpachi Tsuji🤙🏼Estrela 3")</f>
        <v>387🤙🏼Pâfekuto burû🤙🏼Shinpachi Tsuji🤙🏼Estrela 3</v>
      </c>
      <c r="H1548" s="5">
        <f>IFERROR(__xludf.DUMMYFUNCTION("SPLiT(G1548, ""🤙🏼"",FALSE,FALSE)"),387.0)</f>
        <v>387</v>
      </c>
      <c r="I1548" s="5" t="str">
        <f>IFERROR(__xludf.DUMMYFUNCTION("""COMPUTED_VALUE"""),"Pâfekuto burû")</f>
        <v>Pâfekuto burû</v>
      </c>
      <c r="J1548" s="5" t="str">
        <f>IFERROR(__xludf.DUMMYFUNCTION("""COMPUTED_VALUE"""),"Shinpachi Tsuji")</f>
        <v>Shinpachi Tsuji</v>
      </c>
      <c r="K1548" s="5" t="str">
        <f>IFERROR(__xludf.DUMMYFUNCTION("""COMPUTED_VALUE"""),"Estrela 3")</f>
        <v>Estrela 3</v>
      </c>
      <c r="P1548" s="5">
        <f>IFERROR(__xludf.DUMMYFUNCTION("""COMPUTED_VALUE"""),387.0)</f>
        <v>387</v>
      </c>
      <c r="Q1548" s="5" t="str">
        <f>IFERROR(__xludf.DUMMYFUNCTION("""COMPUTED_VALUE"""),"Pâfekuto burû")</f>
        <v>Pâfekuto burû</v>
      </c>
      <c r="R1548" s="5" t="str">
        <f>IFERROR(__xludf.DUMMYFUNCTION("""COMPUTED_VALUE"""),"Shinpachi Tsuji")</f>
        <v>Shinpachi Tsuji</v>
      </c>
      <c r="S1548" s="5" t="str">
        <f>IFERROR(__xludf.DUMMYFUNCTION("""COMPUTED_VALUE"""),"Estrela 3")</f>
        <v>Estrela 3</v>
      </c>
    </row>
    <row r="1549">
      <c r="G1549" s="5" t="str">
        <f>IFERROR(__xludf.DUMMYFUNCTION("""COMPUTED_VALUE"""),"387🤙🏼Pâfekuto burû🤙🏼Masaaki Ôkura🤙🏼Estrela 4")</f>
        <v>387🤙🏼Pâfekuto burû🤙🏼Masaaki Ôkura🤙🏼Estrela 4</v>
      </c>
      <c r="H1549" s="5">
        <f>IFERROR(__xludf.DUMMYFUNCTION("SPLiT(G1549, ""🤙🏼"",FALSE,FALSE)"),387.0)</f>
        <v>387</v>
      </c>
      <c r="I1549" s="5" t="str">
        <f>IFERROR(__xludf.DUMMYFUNCTION("""COMPUTED_VALUE"""),"Pâfekuto burû")</f>
        <v>Pâfekuto burû</v>
      </c>
      <c r="J1549" s="5" t="str">
        <f>IFERROR(__xludf.DUMMYFUNCTION("""COMPUTED_VALUE"""),"Masaaki Ôkura")</f>
        <v>Masaaki Ôkura</v>
      </c>
      <c r="K1549" s="5" t="str">
        <f>IFERROR(__xludf.DUMMYFUNCTION("""COMPUTED_VALUE"""),"Estrela 4")</f>
        <v>Estrela 4</v>
      </c>
      <c r="P1549" s="5">
        <f>IFERROR(__xludf.DUMMYFUNCTION("""COMPUTED_VALUE"""),387.0)</f>
        <v>387</v>
      </c>
      <c r="Q1549" s="5" t="str">
        <f>IFERROR(__xludf.DUMMYFUNCTION("""COMPUTED_VALUE"""),"Pâfekuto burû")</f>
        <v>Pâfekuto burû</v>
      </c>
      <c r="R1549" s="5" t="str">
        <f>IFERROR(__xludf.DUMMYFUNCTION("""COMPUTED_VALUE"""),"Masaaki Ôkura")</f>
        <v>Masaaki Ôkura</v>
      </c>
      <c r="S1549" s="5" t="str">
        <f>IFERROR(__xludf.DUMMYFUNCTION("""COMPUTED_VALUE"""),"Estrela 4")</f>
        <v>Estrela 4</v>
      </c>
    </row>
    <row r="1550">
      <c r="G1550" s="5" t="str">
        <f>IFERROR(__xludf.DUMMYFUNCTION("""COMPUTED_VALUE"""),"388🤙🏼Festen🤙🏼Ulrich Thomsen🤙🏼Estrela 1")</f>
        <v>388🤙🏼Festen🤙🏼Ulrich Thomsen🤙🏼Estrela 1</v>
      </c>
      <c r="H1550" s="5">
        <f>IFERROR(__xludf.DUMMYFUNCTION("SPLiT(G1550, ""🤙🏼"",FALSE,FALSE)"),388.0)</f>
        <v>388</v>
      </c>
      <c r="I1550" s="5" t="str">
        <f>IFERROR(__xludf.DUMMYFUNCTION("""COMPUTED_VALUE"""),"Festen")</f>
        <v>Festen</v>
      </c>
      <c r="J1550" s="5" t="str">
        <f>IFERROR(__xludf.DUMMYFUNCTION("""COMPUTED_VALUE"""),"Ulrich Thomsen")</f>
        <v>Ulrich Thomsen</v>
      </c>
      <c r="K1550" s="5" t="str">
        <f>IFERROR(__xludf.DUMMYFUNCTION("""COMPUTED_VALUE"""),"Estrela 1")</f>
        <v>Estrela 1</v>
      </c>
      <c r="P1550" s="5">
        <f>IFERROR(__xludf.DUMMYFUNCTION("""COMPUTED_VALUE"""),388.0)</f>
        <v>388</v>
      </c>
      <c r="Q1550" s="5" t="str">
        <f>IFERROR(__xludf.DUMMYFUNCTION("""COMPUTED_VALUE"""),"Festen")</f>
        <v>Festen</v>
      </c>
      <c r="R1550" s="5" t="str">
        <f>IFERROR(__xludf.DUMMYFUNCTION("""COMPUTED_VALUE"""),"Ulrich Thomsen")</f>
        <v>Ulrich Thomsen</v>
      </c>
      <c r="S1550" s="5" t="str">
        <f>IFERROR(__xludf.DUMMYFUNCTION("""COMPUTED_VALUE"""),"Estrela 1")</f>
        <v>Estrela 1</v>
      </c>
    </row>
    <row r="1551">
      <c r="G1551" s="5" t="str">
        <f>IFERROR(__xludf.DUMMYFUNCTION("""COMPUTED_VALUE"""),"388🤙🏼Festen🤙🏼Henning Moritzen🤙🏼Estrela 2")</f>
        <v>388🤙🏼Festen🤙🏼Henning Moritzen🤙🏼Estrela 2</v>
      </c>
      <c r="H1551" s="5">
        <f>IFERROR(__xludf.DUMMYFUNCTION("SPLiT(G1551, ""🤙🏼"",FALSE,FALSE)"),388.0)</f>
        <v>388</v>
      </c>
      <c r="I1551" s="5" t="str">
        <f>IFERROR(__xludf.DUMMYFUNCTION("""COMPUTED_VALUE"""),"Festen")</f>
        <v>Festen</v>
      </c>
      <c r="J1551" s="5" t="str">
        <f>IFERROR(__xludf.DUMMYFUNCTION("""COMPUTED_VALUE"""),"Henning Moritzen")</f>
        <v>Henning Moritzen</v>
      </c>
      <c r="K1551" s="5" t="str">
        <f>IFERROR(__xludf.DUMMYFUNCTION("""COMPUTED_VALUE"""),"Estrela 2")</f>
        <v>Estrela 2</v>
      </c>
      <c r="P1551" s="5">
        <f>IFERROR(__xludf.DUMMYFUNCTION("""COMPUTED_VALUE"""),388.0)</f>
        <v>388</v>
      </c>
      <c r="Q1551" s="5" t="str">
        <f>IFERROR(__xludf.DUMMYFUNCTION("""COMPUTED_VALUE"""),"Festen")</f>
        <v>Festen</v>
      </c>
      <c r="R1551" s="5" t="str">
        <f>IFERROR(__xludf.DUMMYFUNCTION("""COMPUTED_VALUE"""),"Henning Moritzen")</f>
        <v>Henning Moritzen</v>
      </c>
      <c r="S1551" s="5" t="str">
        <f>IFERROR(__xludf.DUMMYFUNCTION("""COMPUTED_VALUE"""),"Estrela 2")</f>
        <v>Estrela 2</v>
      </c>
    </row>
    <row r="1552">
      <c r="G1552" s="5" t="str">
        <f>IFERROR(__xludf.DUMMYFUNCTION("""COMPUTED_VALUE"""),"388🤙🏼Festen🤙🏼Thomas Bo Larsen🤙🏼Estrela 3")</f>
        <v>388🤙🏼Festen🤙🏼Thomas Bo Larsen🤙🏼Estrela 3</v>
      </c>
      <c r="H1552" s="5">
        <f>IFERROR(__xludf.DUMMYFUNCTION("SPLiT(G1552, ""🤙🏼"",FALSE,FALSE)"),388.0)</f>
        <v>388</v>
      </c>
      <c r="I1552" s="5" t="str">
        <f>IFERROR(__xludf.DUMMYFUNCTION("""COMPUTED_VALUE"""),"Festen")</f>
        <v>Festen</v>
      </c>
      <c r="J1552" s="5" t="str">
        <f>IFERROR(__xludf.DUMMYFUNCTION("""COMPUTED_VALUE"""),"Thomas Bo Larsen")</f>
        <v>Thomas Bo Larsen</v>
      </c>
      <c r="K1552" s="5" t="str">
        <f>IFERROR(__xludf.DUMMYFUNCTION("""COMPUTED_VALUE"""),"Estrela 3")</f>
        <v>Estrela 3</v>
      </c>
      <c r="P1552" s="5">
        <f>IFERROR(__xludf.DUMMYFUNCTION("""COMPUTED_VALUE"""),388.0)</f>
        <v>388</v>
      </c>
      <c r="Q1552" s="5" t="str">
        <f>IFERROR(__xludf.DUMMYFUNCTION("""COMPUTED_VALUE"""),"Festen")</f>
        <v>Festen</v>
      </c>
      <c r="R1552" s="5" t="str">
        <f>IFERROR(__xludf.DUMMYFUNCTION("""COMPUTED_VALUE"""),"Thomas Bo Larsen")</f>
        <v>Thomas Bo Larsen</v>
      </c>
      <c r="S1552" s="5" t="str">
        <f>IFERROR(__xludf.DUMMYFUNCTION("""COMPUTED_VALUE"""),"Estrela 3")</f>
        <v>Estrela 3</v>
      </c>
    </row>
    <row r="1553">
      <c r="G1553" s="5" t="str">
        <f>IFERROR(__xludf.DUMMYFUNCTION("""COMPUTED_VALUE"""),"388🤙🏼Festen🤙🏼Paprika Steen🤙🏼Estrela 4")</f>
        <v>388🤙🏼Festen🤙🏼Paprika Steen🤙🏼Estrela 4</v>
      </c>
      <c r="H1553" s="5">
        <f>IFERROR(__xludf.DUMMYFUNCTION("SPLiT(G1553, ""🤙🏼"",FALSE,FALSE)"),388.0)</f>
        <v>388</v>
      </c>
      <c r="I1553" s="5" t="str">
        <f>IFERROR(__xludf.DUMMYFUNCTION("""COMPUTED_VALUE"""),"Festen")</f>
        <v>Festen</v>
      </c>
      <c r="J1553" s="5" t="str">
        <f>IFERROR(__xludf.DUMMYFUNCTION("""COMPUTED_VALUE"""),"Paprika Steen")</f>
        <v>Paprika Steen</v>
      </c>
      <c r="K1553" s="5" t="str">
        <f>IFERROR(__xludf.DUMMYFUNCTION("""COMPUTED_VALUE"""),"Estrela 4")</f>
        <v>Estrela 4</v>
      </c>
      <c r="P1553" s="5">
        <f>IFERROR(__xludf.DUMMYFUNCTION("""COMPUTED_VALUE"""),388.0)</f>
        <v>388</v>
      </c>
      <c r="Q1553" s="5" t="str">
        <f>IFERROR(__xludf.DUMMYFUNCTION("""COMPUTED_VALUE"""),"Festen")</f>
        <v>Festen</v>
      </c>
      <c r="R1553" s="5" t="str">
        <f>IFERROR(__xludf.DUMMYFUNCTION("""COMPUTED_VALUE"""),"Paprika Steen")</f>
        <v>Paprika Steen</v>
      </c>
      <c r="S1553" s="5" t="str">
        <f>IFERROR(__xludf.DUMMYFUNCTION("""COMPUTED_VALUE"""),"Estrela 4")</f>
        <v>Estrela 4</v>
      </c>
    </row>
    <row r="1554">
      <c r="G1554" s="5" t="str">
        <f>IFERROR(__xludf.DUMMYFUNCTION("""COMPUTED_VALUE"""),"389🤙🏼Central do Brasil🤙🏼Fernanda Montenegro🤙🏼Estrela 1")</f>
        <v>389🤙🏼Central do Brasil🤙🏼Fernanda Montenegro🤙🏼Estrela 1</v>
      </c>
      <c r="H1554" s="5">
        <f>IFERROR(__xludf.DUMMYFUNCTION("SPLiT(G1554, ""🤙🏼"",FALSE,FALSE)"),389.0)</f>
        <v>389</v>
      </c>
      <c r="I1554" s="5" t="str">
        <f>IFERROR(__xludf.DUMMYFUNCTION("""COMPUTED_VALUE"""),"Central do Brasil")</f>
        <v>Central do Brasil</v>
      </c>
      <c r="J1554" s="5" t="str">
        <f>IFERROR(__xludf.DUMMYFUNCTION("""COMPUTED_VALUE"""),"Fernanda Montenegro")</f>
        <v>Fernanda Montenegro</v>
      </c>
      <c r="K1554" s="5" t="str">
        <f>IFERROR(__xludf.DUMMYFUNCTION("""COMPUTED_VALUE"""),"Estrela 1")</f>
        <v>Estrela 1</v>
      </c>
      <c r="P1554" s="5">
        <f>IFERROR(__xludf.DUMMYFUNCTION("""COMPUTED_VALUE"""),389.0)</f>
        <v>389</v>
      </c>
      <c r="Q1554" s="5" t="str">
        <f>IFERROR(__xludf.DUMMYFUNCTION("""COMPUTED_VALUE"""),"Central do Brasil")</f>
        <v>Central do Brasil</v>
      </c>
      <c r="R1554" s="5" t="str">
        <f>IFERROR(__xludf.DUMMYFUNCTION("""COMPUTED_VALUE"""),"Fernanda Montenegro")</f>
        <v>Fernanda Montenegro</v>
      </c>
      <c r="S1554" s="5" t="str">
        <f>IFERROR(__xludf.DUMMYFUNCTION("""COMPUTED_VALUE"""),"Estrela 1")</f>
        <v>Estrela 1</v>
      </c>
    </row>
    <row r="1555">
      <c r="G1555" s="5" t="str">
        <f>IFERROR(__xludf.DUMMYFUNCTION("""COMPUTED_VALUE"""),"389🤙🏼Central do Brasil🤙🏼Vinícius de Oliveira🤙🏼Estrela 2")</f>
        <v>389🤙🏼Central do Brasil🤙🏼Vinícius de Oliveira🤙🏼Estrela 2</v>
      </c>
      <c r="H1555" s="5">
        <f>IFERROR(__xludf.DUMMYFUNCTION("SPLiT(G1555, ""🤙🏼"",FALSE,FALSE)"),389.0)</f>
        <v>389</v>
      </c>
      <c r="I1555" s="5" t="str">
        <f>IFERROR(__xludf.DUMMYFUNCTION("""COMPUTED_VALUE"""),"Central do Brasil")</f>
        <v>Central do Brasil</v>
      </c>
      <c r="J1555" s="5" t="str">
        <f>IFERROR(__xludf.DUMMYFUNCTION("""COMPUTED_VALUE"""),"Vinícius de Oliveira")</f>
        <v>Vinícius de Oliveira</v>
      </c>
      <c r="K1555" s="5" t="str">
        <f>IFERROR(__xludf.DUMMYFUNCTION("""COMPUTED_VALUE"""),"Estrela 2")</f>
        <v>Estrela 2</v>
      </c>
      <c r="P1555" s="5">
        <f>IFERROR(__xludf.DUMMYFUNCTION("""COMPUTED_VALUE"""),389.0)</f>
        <v>389</v>
      </c>
      <c r="Q1555" s="5" t="str">
        <f>IFERROR(__xludf.DUMMYFUNCTION("""COMPUTED_VALUE"""),"Central do Brasil")</f>
        <v>Central do Brasil</v>
      </c>
      <c r="R1555" s="5" t="str">
        <f>IFERROR(__xludf.DUMMYFUNCTION("""COMPUTED_VALUE"""),"Vinícius de Oliveira")</f>
        <v>Vinícius de Oliveira</v>
      </c>
      <c r="S1555" s="5" t="str">
        <f>IFERROR(__xludf.DUMMYFUNCTION("""COMPUTED_VALUE"""),"Estrela 2")</f>
        <v>Estrela 2</v>
      </c>
    </row>
    <row r="1556">
      <c r="G1556" s="5" t="str">
        <f>IFERROR(__xludf.DUMMYFUNCTION("""COMPUTED_VALUE"""),"389🤙🏼Central do Brasil🤙🏼Marília Pêra🤙🏼Estrela 3")</f>
        <v>389🤙🏼Central do Brasil🤙🏼Marília Pêra🤙🏼Estrela 3</v>
      </c>
      <c r="H1556" s="5">
        <f>IFERROR(__xludf.DUMMYFUNCTION("SPLiT(G1556, ""🤙🏼"",FALSE,FALSE)"),389.0)</f>
        <v>389</v>
      </c>
      <c r="I1556" s="5" t="str">
        <f>IFERROR(__xludf.DUMMYFUNCTION("""COMPUTED_VALUE"""),"Central do Brasil")</f>
        <v>Central do Brasil</v>
      </c>
      <c r="J1556" s="5" t="str">
        <f>IFERROR(__xludf.DUMMYFUNCTION("""COMPUTED_VALUE"""),"Marília Pêra")</f>
        <v>Marília Pêra</v>
      </c>
      <c r="K1556" s="5" t="str">
        <f>IFERROR(__xludf.DUMMYFUNCTION("""COMPUTED_VALUE"""),"Estrela 3")</f>
        <v>Estrela 3</v>
      </c>
      <c r="P1556" s="5">
        <f>IFERROR(__xludf.DUMMYFUNCTION("""COMPUTED_VALUE"""),389.0)</f>
        <v>389</v>
      </c>
      <c r="Q1556" s="5" t="str">
        <f>IFERROR(__xludf.DUMMYFUNCTION("""COMPUTED_VALUE"""),"Central do Brasil")</f>
        <v>Central do Brasil</v>
      </c>
      <c r="R1556" s="5" t="str">
        <f>IFERROR(__xludf.DUMMYFUNCTION("""COMPUTED_VALUE"""),"Marília Pêra")</f>
        <v>Marília Pêra</v>
      </c>
      <c r="S1556" s="5" t="str">
        <f>IFERROR(__xludf.DUMMYFUNCTION("""COMPUTED_VALUE"""),"Estrela 3")</f>
        <v>Estrela 3</v>
      </c>
    </row>
    <row r="1557">
      <c r="G1557" s="5" t="str">
        <f>IFERROR(__xludf.DUMMYFUNCTION("""COMPUTED_VALUE"""),"389🤙🏼Central do Brasil🤙🏼Soia Lira🤙🏼Estrela 4")</f>
        <v>389🤙🏼Central do Brasil🤙🏼Soia Lira🤙🏼Estrela 4</v>
      </c>
      <c r="H1557" s="5">
        <f>IFERROR(__xludf.DUMMYFUNCTION("SPLiT(G1557, ""🤙🏼"",FALSE,FALSE)"),389.0)</f>
        <v>389</v>
      </c>
      <c r="I1557" s="5" t="str">
        <f>IFERROR(__xludf.DUMMYFUNCTION("""COMPUTED_VALUE"""),"Central do Brasil")</f>
        <v>Central do Brasil</v>
      </c>
      <c r="J1557" s="5" t="str">
        <f>IFERROR(__xludf.DUMMYFUNCTION("""COMPUTED_VALUE"""),"Soia Lira")</f>
        <v>Soia Lira</v>
      </c>
      <c r="K1557" s="5" t="str">
        <f>IFERROR(__xludf.DUMMYFUNCTION("""COMPUTED_VALUE"""),"Estrela 4")</f>
        <v>Estrela 4</v>
      </c>
      <c r="P1557" s="5">
        <f>IFERROR(__xludf.DUMMYFUNCTION("""COMPUTED_VALUE"""),389.0)</f>
        <v>389</v>
      </c>
      <c r="Q1557" s="5" t="str">
        <f>IFERROR(__xludf.DUMMYFUNCTION("""COMPUTED_VALUE"""),"Central do Brasil")</f>
        <v>Central do Brasil</v>
      </c>
      <c r="R1557" s="5" t="str">
        <f>IFERROR(__xludf.DUMMYFUNCTION("""COMPUTED_VALUE"""),"Soia Lira")</f>
        <v>Soia Lira</v>
      </c>
      <c r="S1557" s="5" t="str">
        <f>IFERROR(__xludf.DUMMYFUNCTION("""COMPUTED_VALUE"""),"Estrela 4")</f>
        <v>Estrela 4</v>
      </c>
    </row>
    <row r="1558">
      <c r="G1558" s="5" t="str">
        <f>IFERROR(__xludf.DUMMYFUNCTION("""COMPUTED_VALUE"""),"390🤙🏼The Iron Giant🤙🏼Eli Marienthal🤙🏼Estrela 1")</f>
        <v>390🤙🏼The Iron Giant🤙🏼Eli Marienthal🤙🏼Estrela 1</v>
      </c>
      <c r="H1558" s="5">
        <f>IFERROR(__xludf.DUMMYFUNCTION("SPLiT(G1558, ""🤙🏼"",FALSE,FALSE)"),390.0)</f>
        <v>390</v>
      </c>
      <c r="I1558" s="5" t="str">
        <f>IFERROR(__xludf.DUMMYFUNCTION("""COMPUTED_VALUE"""),"The Iron Giant")</f>
        <v>The Iron Giant</v>
      </c>
      <c r="J1558" s="5" t="str">
        <f>IFERROR(__xludf.DUMMYFUNCTION("""COMPUTED_VALUE"""),"Eli Marienthal")</f>
        <v>Eli Marienthal</v>
      </c>
      <c r="K1558" s="5" t="str">
        <f>IFERROR(__xludf.DUMMYFUNCTION("""COMPUTED_VALUE"""),"Estrela 1")</f>
        <v>Estrela 1</v>
      </c>
      <c r="P1558" s="5">
        <f>IFERROR(__xludf.DUMMYFUNCTION("""COMPUTED_VALUE"""),390.0)</f>
        <v>390</v>
      </c>
      <c r="Q1558" s="5" t="str">
        <f>IFERROR(__xludf.DUMMYFUNCTION("""COMPUTED_VALUE"""),"The Iron Giant")</f>
        <v>The Iron Giant</v>
      </c>
      <c r="R1558" s="5" t="str">
        <f>IFERROR(__xludf.DUMMYFUNCTION("""COMPUTED_VALUE"""),"Eli Marienthal")</f>
        <v>Eli Marienthal</v>
      </c>
      <c r="S1558" s="5" t="str">
        <f>IFERROR(__xludf.DUMMYFUNCTION("""COMPUTED_VALUE"""),"Estrela 1")</f>
        <v>Estrela 1</v>
      </c>
    </row>
    <row r="1559">
      <c r="G1559" s="5" t="str">
        <f>IFERROR(__xludf.DUMMYFUNCTION("""COMPUTED_VALUE"""),"390🤙🏼The Iron Giant🤙🏼Harry Connick Jr.🤙🏼Estrela 2")</f>
        <v>390🤙🏼The Iron Giant🤙🏼Harry Connick Jr.🤙🏼Estrela 2</v>
      </c>
      <c r="H1559" s="5">
        <f>IFERROR(__xludf.DUMMYFUNCTION("SPLiT(G1559, ""🤙🏼"",FALSE,FALSE)"),390.0)</f>
        <v>390</v>
      </c>
      <c r="I1559" s="5" t="str">
        <f>IFERROR(__xludf.DUMMYFUNCTION("""COMPUTED_VALUE"""),"The Iron Giant")</f>
        <v>The Iron Giant</v>
      </c>
      <c r="J1559" s="5" t="str">
        <f>IFERROR(__xludf.DUMMYFUNCTION("""COMPUTED_VALUE"""),"Harry Connick Jr.")</f>
        <v>Harry Connick Jr.</v>
      </c>
      <c r="K1559" s="5" t="str">
        <f>IFERROR(__xludf.DUMMYFUNCTION("""COMPUTED_VALUE"""),"Estrela 2")</f>
        <v>Estrela 2</v>
      </c>
      <c r="P1559" s="5">
        <f>IFERROR(__xludf.DUMMYFUNCTION("""COMPUTED_VALUE"""),390.0)</f>
        <v>390</v>
      </c>
      <c r="Q1559" s="5" t="str">
        <f>IFERROR(__xludf.DUMMYFUNCTION("""COMPUTED_VALUE"""),"The Iron Giant")</f>
        <v>The Iron Giant</v>
      </c>
      <c r="R1559" s="5" t="str">
        <f>IFERROR(__xludf.DUMMYFUNCTION("""COMPUTED_VALUE"""),"Harry Connick Jr.")</f>
        <v>Harry Connick Jr.</v>
      </c>
      <c r="S1559" s="5" t="str">
        <f>IFERROR(__xludf.DUMMYFUNCTION("""COMPUTED_VALUE"""),"Estrela 2")</f>
        <v>Estrela 2</v>
      </c>
    </row>
    <row r="1560">
      <c r="G1560" s="5" t="str">
        <f>IFERROR(__xludf.DUMMYFUNCTION("""COMPUTED_VALUE"""),"390🤙🏼The Iron Giant🤙🏼Jennifer Aniston🤙🏼Estrela 3")</f>
        <v>390🤙🏼The Iron Giant🤙🏼Jennifer Aniston🤙🏼Estrela 3</v>
      </c>
      <c r="H1560" s="5">
        <f>IFERROR(__xludf.DUMMYFUNCTION("SPLiT(G1560, ""🤙🏼"",FALSE,FALSE)"),390.0)</f>
        <v>390</v>
      </c>
      <c r="I1560" s="5" t="str">
        <f>IFERROR(__xludf.DUMMYFUNCTION("""COMPUTED_VALUE"""),"The Iron Giant")</f>
        <v>The Iron Giant</v>
      </c>
      <c r="J1560" s="5" t="str">
        <f>IFERROR(__xludf.DUMMYFUNCTION("""COMPUTED_VALUE"""),"Jennifer Aniston")</f>
        <v>Jennifer Aniston</v>
      </c>
      <c r="K1560" s="5" t="str">
        <f>IFERROR(__xludf.DUMMYFUNCTION("""COMPUTED_VALUE"""),"Estrela 3")</f>
        <v>Estrela 3</v>
      </c>
      <c r="P1560" s="5">
        <f>IFERROR(__xludf.DUMMYFUNCTION("""COMPUTED_VALUE"""),390.0)</f>
        <v>390</v>
      </c>
      <c r="Q1560" s="5" t="str">
        <f>IFERROR(__xludf.DUMMYFUNCTION("""COMPUTED_VALUE"""),"The Iron Giant")</f>
        <v>The Iron Giant</v>
      </c>
      <c r="R1560" s="5" t="str">
        <f>IFERROR(__xludf.DUMMYFUNCTION("""COMPUTED_VALUE"""),"Jennifer Aniston")</f>
        <v>Jennifer Aniston</v>
      </c>
      <c r="S1560" s="5" t="str">
        <f>IFERROR(__xludf.DUMMYFUNCTION("""COMPUTED_VALUE"""),"Estrela 3")</f>
        <v>Estrela 3</v>
      </c>
    </row>
    <row r="1561">
      <c r="G1561" s="5" t="str">
        <f>IFERROR(__xludf.DUMMYFUNCTION("""COMPUTED_VALUE"""),"390🤙🏼The Iron Giant🤙🏼Vin Diesel🤙🏼Estrela 4")</f>
        <v>390🤙🏼The Iron Giant🤙🏼Vin Diesel🤙🏼Estrela 4</v>
      </c>
      <c r="H1561" s="5">
        <f>IFERROR(__xludf.DUMMYFUNCTION("SPLiT(G1561, ""🤙🏼"",FALSE,FALSE)"),390.0)</f>
        <v>390</v>
      </c>
      <c r="I1561" s="5" t="str">
        <f>IFERROR(__xludf.DUMMYFUNCTION("""COMPUTED_VALUE"""),"The Iron Giant")</f>
        <v>The Iron Giant</v>
      </c>
      <c r="J1561" s="5" t="str">
        <f>IFERROR(__xludf.DUMMYFUNCTION("""COMPUTED_VALUE"""),"Vin Diesel")</f>
        <v>Vin Diesel</v>
      </c>
      <c r="K1561" s="5" t="str">
        <f>IFERROR(__xludf.DUMMYFUNCTION("""COMPUTED_VALUE"""),"Estrela 4")</f>
        <v>Estrela 4</v>
      </c>
      <c r="P1561" s="5">
        <f>IFERROR(__xludf.DUMMYFUNCTION("""COMPUTED_VALUE"""),390.0)</f>
        <v>390</v>
      </c>
      <c r="Q1561" s="5" t="str">
        <f>IFERROR(__xludf.DUMMYFUNCTION("""COMPUTED_VALUE"""),"The Iron Giant")</f>
        <v>The Iron Giant</v>
      </c>
      <c r="R1561" s="5" t="str">
        <f>IFERROR(__xludf.DUMMYFUNCTION("""COMPUTED_VALUE"""),"Vin Diesel")</f>
        <v>Vin Diesel</v>
      </c>
      <c r="S1561" s="5" t="str">
        <f>IFERROR(__xludf.DUMMYFUNCTION("""COMPUTED_VALUE"""),"Estrela 4")</f>
        <v>Estrela 4</v>
      </c>
    </row>
    <row r="1562">
      <c r="G1562" s="5" t="str">
        <f>IFERROR(__xludf.DUMMYFUNCTION("""COMPUTED_VALUE"""),"391🤙🏼Knockin' on Heaven's Door🤙🏼Til Schweiger🤙🏼Estrela 1")</f>
        <v>391🤙🏼Knockin' on Heaven's Door🤙🏼Til Schweiger🤙🏼Estrela 1</v>
      </c>
      <c r="H1562" s="5">
        <f>IFERROR(__xludf.DUMMYFUNCTION("SPLiT(G1562, ""🤙🏼"",FALSE,FALSE)"),391.0)</f>
        <v>391</v>
      </c>
      <c r="I1562" s="5" t="str">
        <f>IFERROR(__xludf.DUMMYFUNCTION("""COMPUTED_VALUE"""),"Knockin' on Heaven's Door")</f>
        <v>Knockin' on Heaven's Door</v>
      </c>
      <c r="J1562" s="5" t="str">
        <f>IFERROR(__xludf.DUMMYFUNCTION("""COMPUTED_VALUE"""),"Til Schweiger")</f>
        <v>Til Schweiger</v>
      </c>
      <c r="K1562" s="5" t="str">
        <f>IFERROR(__xludf.DUMMYFUNCTION("""COMPUTED_VALUE"""),"Estrela 1")</f>
        <v>Estrela 1</v>
      </c>
      <c r="P1562" s="5">
        <f>IFERROR(__xludf.DUMMYFUNCTION("""COMPUTED_VALUE"""),391.0)</f>
        <v>391</v>
      </c>
      <c r="Q1562" s="5" t="str">
        <f>IFERROR(__xludf.DUMMYFUNCTION("""COMPUTED_VALUE"""),"Knockin' on Heaven's Door")</f>
        <v>Knockin' on Heaven's Door</v>
      </c>
      <c r="R1562" s="5" t="str">
        <f>IFERROR(__xludf.DUMMYFUNCTION("""COMPUTED_VALUE"""),"Til Schweiger")</f>
        <v>Til Schweiger</v>
      </c>
      <c r="S1562" s="5" t="str">
        <f>IFERROR(__xludf.DUMMYFUNCTION("""COMPUTED_VALUE"""),"Estrela 1")</f>
        <v>Estrela 1</v>
      </c>
    </row>
    <row r="1563">
      <c r="G1563" s="5" t="str">
        <f>IFERROR(__xludf.DUMMYFUNCTION("""COMPUTED_VALUE"""),"391🤙🏼Knockin' on Heaven's Door🤙🏼Jan Josef Liefers🤙🏼Estrela 2")</f>
        <v>391🤙🏼Knockin' on Heaven's Door🤙🏼Jan Josef Liefers🤙🏼Estrela 2</v>
      </c>
      <c r="H1563" s="5">
        <f>IFERROR(__xludf.DUMMYFUNCTION("SPLiT(G1563, ""🤙🏼"",FALSE,FALSE)"),391.0)</f>
        <v>391</v>
      </c>
      <c r="I1563" s="5" t="str">
        <f>IFERROR(__xludf.DUMMYFUNCTION("""COMPUTED_VALUE"""),"Knockin' on Heaven's Door")</f>
        <v>Knockin' on Heaven's Door</v>
      </c>
      <c r="J1563" s="5" t="str">
        <f>IFERROR(__xludf.DUMMYFUNCTION("""COMPUTED_VALUE"""),"Jan Josef Liefers")</f>
        <v>Jan Josef Liefers</v>
      </c>
      <c r="K1563" s="5" t="str">
        <f>IFERROR(__xludf.DUMMYFUNCTION("""COMPUTED_VALUE"""),"Estrela 2")</f>
        <v>Estrela 2</v>
      </c>
      <c r="P1563" s="5">
        <f>IFERROR(__xludf.DUMMYFUNCTION("""COMPUTED_VALUE"""),391.0)</f>
        <v>391</v>
      </c>
      <c r="Q1563" s="5" t="str">
        <f>IFERROR(__xludf.DUMMYFUNCTION("""COMPUTED_VALUE"""),"Knockin' on Heaven's Door")</f>
        <v>Knockin' on Heaven's Door</v>
      </c>
      <c r="R1563" s="5" t="str">
        <f>IFERROR(__xludf.DUMMYFUNCTION("""COMPUTED_VALUE"""),"Jan Josef Liefers")</f>
        <v>Jan Josef Liefers</v>
      </c>
      <c r="S1563" s="5" t="str">
        <f>IFERROR(__xludf.DUMMYFUNCTION("""COMPUTED_VALUE"""),"Estrela 2")</f>
        <v>Estrela 2</v>
      </c>
    </row>
    <row r="1564">
      <c r="G1564" s="5" t="str">
        <f>IFERROR(__xludf.DUMMYFUNCTION("""COMPUTED_VALUE"""),"391🤙🏼Knockin' on Heaven's Door🤙🏼Thierry van Werveke🤙🏼Estrela 3")</f>
        <v>391🤙🏼Knockin' on Heaven's Door🤙🏼Thierry van Werveke🤙🏼Estrela 3</v>
      </c>
      <c r="H1564" s="5">
        <f>IFERROR(__xludf.DUMMYFUNCTION("SPLiT(G1564, ""🤙🏼"",FALSE,FALSE)"),391.0)</f>
        <v>391</v>
      </c>
      <c r="I1564" s="5" t="str">
        <f>IFERROR(__xludf.DUMMYFUNCTION("""COMPUTED_VALUE"""),"Knockin' on Heaven's Door")</f>
        <v>Knockin' on Heaven's Door</v>
      </c>
      <c r="J1564" s="5" t="str">
        <f>IFERROR(__xludf.DUMMYFUNCTION("""COMPUTED_VALUE"""),"Thierry van Werveke")</f>
        <v>Thierry van Werveke</v>
      </c>
      <c r="K1564" s="5" t="str">
        <f>IFERROR(__xludf.DUMMYFUNCTION("""COMPUTED_VALUE"""),"Estrela 3")</f>
        <v>Estrela 3</v>
      </c>
      <c r="P1564" s="5">
        <f>IFERROR(__xludf.DUMMYFUNCTION("""COMPUTED_VALUE"""),391.0)</f>
        <v>391</v>
      </c>
      <c r="Q1564" s="5" t="str">
        <f>IFERROR(__xludf.DUMMYFUNCTION("""COMPUTED_VALUE"""),"Knockin' on Heaven's Door")</f>
        <v>Knockin' on Heaven's Door</v>
      </c>
      <c r="R1564" s="5" t="str">
        <f>IFERROR(__xludf.DUMMYFUNCTION("""COMPUTED_VALUE"""),"Thierry van Werveke")</f>
        <v>Thierry van Werveke</v>
      </c>
      <c r="S1564" s="5" t="str">
        <f>IFERROR(__xludf.DUMMYFUNCTION("""COMPUTED_VALUE"""),"Estrela 3")</f>
        <v>Estrela 3</v>
      </c>
    </row>
    <row r="1565">
      <c r="G1565" s="5" t="str">
        <f>IFERROR(__xludf.DUMMYFUNCTION("""COMPUTED_VALUE"""),"391🤙🏼Knockin' on Heaven's Door🤙🏼Moritz Bleibtreu🤙🏼Estrela 4")</f>
        <v>391🤙🏼Knockin' on Heaven's Door🤙🏼Moritz Bleibtreu🤙🏼Estrela 4</v>
      </c>
      <c r="H1565" s="5">
        <f>IFERROR(__xludf.DUMMYFUNCTION("SPLiT(G1565, ""🤙🏼"",FALSE,FALSE)"),391.0)</f>
        <v>391</v>
      </c>
      <c r="I1565" s="5" t="str">
        <f>IFERROR(__xludf.DUMMYFUNCTION("""COMPUTED_VALUE"""),"Knockin' on Heaven's Door")</f>
        <v>Knockin' on Heaven's Door</v>
      </c>
      <c r="J1565" s="5" t="str">
        <f>IFERROR(__xludf.DUMMYFUNCTION("""COMPUTED_VALUE"""),"Moritz Bleibtreu")</f>
        <v>Moritz Bleibtreu</v>
      </c>
      <c r="K1565" s="5" t="str">
        <f>IFERROR(__xludf.DUMMYFUNCTION("""COMPUTED_VALUE"""),"Estrela 4")</f>
        <v>Estrela 4</v>
      </c>
      <c r="P1565" s="5">
        <f>IFERROR(__xludf.DUMMYFUNCTION("""COMPUTED_VALUE"""),391.0)</f>
        <v>391</v>
      </c>
      <c r="Q1565" s="5" t="str">
        <f>IFERROR(__xludf.DUMMYFUNCTION("""COMPUTED_VALUE"""),"Knockin' on Heaven's Door")</f>
        <v>Knockin' on Heaven's Door</v>
      </c>
      <c r="R1565" s="5" t="str">
        <f>IFERROR(__xludf.DUMMYFUNCTION("""COMPUTED_VALUE"""),"Moritz Bleibtreu")</f>
        <v>Moritz Bleibtreu</v>
      </c>
      <c r="S1565" s="5" t="str">
        <f>IFERROR(__xludf.DUMMYFUNCTION("""COMPUTED_VALUE"""),"Estrela 4")</f>
        <v>Estrela 4</v>
      </c>
    </row>
    <row r="1566">
      <c r="G1566" s="5" t="str">
        <f>IFERROR(__xludf.DUMMYFUNCTION("""COMPUTED_VALUE"""),"392🤙🏼Sling Blade🤙🏼Billy Bob Thornton🤙🏼Estrela 1")</f>
        <v>392🤙🏼Sling Blade🤙🏼Billy Bob Thornton🤙🏼Estrela 1</v>
      </c>
      <c r="H1566" s="5">
        <f>IFERROR(__xludf.DUMMYFUNCTION("SPLiT(G1566, ""🤙🏼"",FALSE,FALSE)"),392.0)</f>
        <v>392</v>
      </c>
      <c r="I1566" s="5" t="str">
        <f>IFERROR(__xludf.DUMMYFUNCTION("""COMPUTED_VALUE"""),"Sling Blade")</f>
        <v>Sling Blade</v>
      </c>
      <c r="J1566" s="5" t="str">
        <f>IFERROR(__xludf.DUMMYFUNCTION("""COMPUTED_VALUE"""),"Billy Bob Thornton")</f>
        <v>Billy Bob Thornton</v>
      </c>
      <c r="K1566" s="5" t="str">
        <f>IFERROR(__xludf.DUMMYFUNCTION("""COMPUTED_VALUE"""),"Estrela 1")</f>
        <v>Estrela 1</v>
      </c>
      <c r="P1566" s="5">
        <f>IFERROR(__xludf.DUMMYFUNCTION("""COMPUTED_VALUE"""),392.0)</f>
        <v>392</v>
      </c>
      <c r="Q1566" s="5" t="str">
        <f>IFERROR(__xludf.DUMMYFUNCTION("""COMPUTED_VALUE"""),"Sling Blade")</f>
        <v>Sling Blade</v>
      </c>
      <c r="R1566" s="5" t="str">
        <f>IFERROR(__xludf.DUMMYFUNCTION("""COMPUTED_VALUE"""),"Billy Bob Thornton")</f>
        <v>Billy Bob Thornton</v>
      </c>
      <c r="S1566" s="5" t="str">
        <f>IFERROR(__xludf.DUMMYFUNCTION("""COMPUTED_VALUE"""),"Estrela 1")</f>
        <v>Estrela 1</v>
      </c>
    </row>
    <row r="1567">
      <c r="G1567" s="5" t="str">
        <f>IFERROR(__xludf.DUMMYFUNCTION("""COMPUTED_VALUE"""),"392🤙🏼Sling Blade🤙🏼Dwight Yoakam🤙🏼Estrela 2")</f>
        <v>392🤙🏼Sling Blade🤙🏼Dwight Yoakam🤙🏼Estrela 2</v>
      </c>
      <c r="H1567" s="5">
        <f>IFERROR(__xludf.DUMMYFUNCTION("SPLiT(G1567, ""🤙🏼"",FALSE,FALSE)"),392.0)</f>
        <v>392</v>
      </c>
      <c r="I1567" s="5" t="str">
        <f>IFERROR(__xludf.DUMMYFUNCTION("""COMPUTED_VALUE"""),"Sling Blade")</f>
        <v>Sling Blade</v>
      </c>
      <c r="J1567" s="5" t="str">
        <f>IFERROR(__xludf.DUMMYFUNCTION("""COMPUTED_VALUE"""),"Dwight Yoakam")</f>
        <v>Dwight Yoakam</v>
      </c>
      <c r="K1567" s="5" t="str">
        <f>IFERROR(__xludf.DUMMYFUNCTION("""COMPUTED_VALUE"""),"Estrela 2")</f>
        <v>Estrela 2</v>
      </c>
      <c r="P1567" s="5">
        <f>IFERROR(__xludf.DUMMYFUNCTION("""COMPUTED_VALUE"""),392.0)</f>
        <v>392</v>
      </c>
      <c r="Q1567" s="5" t="str">
        <f>IFERROR(__xludf.DUMMYFUNCTION("""COMPUTED_VALUE"""),"Sling Blade")</f>
        <v>Sling Blade</v>
      </c>
      <c r="R1567" s="5" t="str">
        <f>IFERROR(__xludf.DUMMYFUNCTION("""COMPUTED_VALUE"""),"Dwight Yoakam")</f>
        <v>Dwight Yoakam</v>
      </c>
      <c r="S1567" s="5" t="str">
        <f>IFERROR(__xludf.DUMMYFUNCTION("""COMPUTED_VALUE"""),"Estrela 2")</f>
        <v>Estrela 2</v>
      </c>
    </row>
    <row r="1568">
      <c r="G1568" s="5" t="str">
        <f>IFERROR(__xludf.DUMMYFUNCTION("""COMPUTED_VALUE"""),"392🤙🏼Sling Blade🤙🏼J.T. Walsh🤙🏼Estrela 3")</f>
        <v>392🤙🏼Sling Blade🤙🏼J.T. Walsh🤙🏼Estrela 3</v>
      </c>
      <c r="H1568" s="5">
        <f>IFERROR(__xludf.DUMMYFUNCTION("SPLiT(G1568, ""🤙🏼"",FALSE,FALSE)"),392.0)</f>
        <v>392</v>
      </c>
      <c r="I1568" s="5" t="str">
        <f>IFERROR(__xludf.DUMMYFUNCTION("""COMPUTED_VALUE"""),"Sling Blade")</f>
        <v>Sling Blade</v>
      </c>
      <c r="J1568" s="5" t="str">
        <f>IFERROR(__xludf.DUMMYFUNCTION("""COMPUTED_VALUE"""),"J.T. Walsh")</f>
        <v>J.T. Walsh</v>
      </c>
      <c r="K1568" s="5" t="str">
        <f>IFERROR(__xludf.DUMMYFUNCTION("""COMPUTED_VALUE"""),"Estrela 3")</f>
        <v>Estrela 3</v>
      </c>
      <c r="P1568" s="5">
        <f>IFERROR(__xludf.DUMMYFUNCTION("""COMPUTED_VALUE"""),392.0)</f>
        <v>392</v>
      </c>
      <c r="Q1568" s="5" t="str">
        <f>IFERROR(__xludf.DUMMYFUNCTION("""COMPUTED_VALUE"""),"Sling Blade")</f>
        <v>Sling Blade</v>
      </c>
      <c r="R1568" s="5" t="str">
        <f>IFERROR(__xludf.DUMMYFUNCTION("""COMPUTED_VALUE"""),"J.T. Walsh")</f>
        <v>J.T. Walsh</v>
      </c>
      <c r="S1568" s="5" t="str">
        <f>IFERROR(__xludf.DUMMYFUNCTION("""COMPUTED_VALUE"""),"Estrela 3")</f>
        <v>Estrela 3</v>
      </c>
    </row>
    <row r="1569">
      <c r="G1569" s="5" t="str">
        <f>IFERROR(__xludf.DUMMYFUNCTION("""COMPUTED_VALUE"""),"392🤙🏼Sling Blade🤙🏼John Ritter🤙🏼Estrela 4")</f>
        <v>392🤙🏼Sling Blade🤙🏼John Ritter🤙🏼Estrela 4</v>
      </c>
      <c r="H1569" s="5">
        <f>IFERROR(__xludf.DUMMYFUNCTION("SPLiT(G1569, ""🤙🏼"",FALSE,FALSE)"),392.0)</f>
        <v>392</v>
      </c>
      <c r="I1569" s="5" t="str">
        <f>IFERROR(__xludf.DUMMYFUNCTION("""COMPUTED_VALUE"""),"Sling Blade")</f>
        <v>Sling Blade</v>
      </c>
      <c r="J1569" s="5" t="str">
        <f>IFERROR(__xludf.DUMMYFUNCTION("""COMPUTED_VALUE"""),"John Ritter")</f>
        <v>John Ritter</v>
      </c>
      <c r="K1569" s="5" t="str">
        <f>IFERROR(__xludf.DUMMYFUNCTION("""COMPUTED_VALUE"""),"Estrela 4")</f>
        <v>Estrela 4</v>
      </c>
      <c r="P1569" s="5">
        <f>IFERROR(__xludf.DUMMYFUNCTION("""COMPUTED_VALUE"""),392.0)</f>
        <v>392</v>
      </c>
      <c r="Q1569" s="5" t="str">
        <f>IFERROR(__xludf.DUMMYFUNCTION("""COMPUTED_VALUE"""),"Sling Blade")</f>
        <v>Sling Blade</v>
      </c>
      <c r="R1569" s="5" t="str">
        <f>IFERROR(__xludf.DUMMYFUNCTION("""COMPUTED_VALUE"""),"John Ritter")</f>
        <v>John Ritter</v>
      </c>
      <c r="S1569" s="5" t="str">
        <f>IFERROR(__xludf.DUMMYFUNCTION("""COMPUTED_VALUE"""),"Estrela 4")</f>
        <v>Estrela 4</v>
      </c>
    </row>
    <row r="1570">
      <c r="G1570" s="5" t="str">
        <f>IFERROR(__xludf.DUMMYFUNCTION("""COMPUTED_VALUE"""),"393🤙🏼Secrets &amp; Lies🤙🏼Timothy Spall🤙🏼Estrela 1")</f>
        <v>393🤙🏼Secrets &amp; Lies🤙🏼Timothy Spall🤙🏼Estrela 1</v>
      </c>
      <c r="H1570" s="5">
        <f>IFERROR(__xludf.DUMMYFUNCTION("SPLiT(G1570, ""🤙🏼"",FALSE,FALSE)"),393.0)</f>
        <v>393</v>
      </c>
      <c r="I1570" s="5" t="str">
        <f>IFERROR(__xludf.DUMMYFUNCTION("""COMPUTED_VALUE"""),"Secrets &amp; Lies")</f>
        <v>Secrets &amp; Lies</v>
      </c>
      <c r="J1570" s="5" t="str">
        <f>IFERROR(__xludf.DUMMYFUNCTION("""COMPUTED_VALUE"""),"Timothy Spall")</f>
        <v>Timothy Spall</v>
      </c>
      <c r="K1570" s="5" t="str">
        <f>IFERROR(__xludf.DUMMYFUNCTION("""COMPUTED_VALUE"""),"Estrela 1")</f>
        <v>Estrela 1</v>
      </c>
      <c r="P1570" s="5">
        <f>IFERROR(__xludf.DUMMYFUNCTION("""COMPUTED_VALUE"""),393.0)</f>
        <v>393</v>
      </c>
      <c r="Q1570" s="5" t="str">
        <f>IFERROR(__xludf.DUMMYFUNCTION("""COMPUTED_VALUE"""),"Secrets &amp; Lies")</f>
        <v>Secrets &amp; Lies</v>
      </c>
      <c r="R1570" s="5" t="str">
        <f>IFERROR(__xludf.DUMMYFUNCTION("""COMPUTED_VALUE"""),"Timothy Spall")</f>
        <v>Timothy Spall</v>
      </c>
      <c r="S1570" s="5" t="str">
        <f>IFERROR(__xludf.DUMMYFUNCTION("""COMPUTED_VALUE"""),"Estrela 1")</f>
        <v>Estrela 1</v>
      </c>
    </row>
    <row r="1571">
      <c r="G1571" s="5" t="str">
        <f>IFERROR(__xludf.DUMMYFUNCTION("""COMPUTED_VALUE"""),"393🤙🏼Secrets &amp; Lies🤙🏼Brenda Blethyn🤙🏼Estrela 2")</f>
        <v>393🤙🏼Secrets &amp; Lies🤙🏼Brenda Blethyn🤙🏼Estrela 2</v>
      </c>
      <c r="H1571" s="5">
        <f>IFERROR(__xludf.DUMMYFUNCTION("SPLiT(G1571, ""🤙🏼"",FALSE,FALSE)"),393.0)</f>
        <v>393</v>
      </c>
      <c r="I1571" s="5" t="str">
        <f>IFERROR(__xludf.DUMMYFUNCTION("""COMPUTED_VALUE"""),"Secrets &amp; Lies")</f>
        <v>Secrets &amp; Lies</v>
      </c>
      <c r="J1571" s="5" t="str">
        <f>IFERROR(__xludf.DUMMYFUNCTION("""COMPUTED_VALUE"""),"Brenda Blethyn")</f>
        <v>Brenda Blethyn</v>
      </c>
      <c r="K1571" s="5" t="str">
        <f>IFERROR(__xludf.DUMMYFUNCTION("""COMPUTED_VALUE"""),"Estrela 2")</f>
        <v>Estrela 2</v>
      </c>
      <c r="P1571" s="5">
        <f>IFERROR(__xludf.DUMMYFUNCTION("""COMPUTED_VALUE"""),393.0)</f>
        <v>393</v>
      </c>
      <c r="Q1571" s="5" t="str">
        <f>IFERROR(__xludf.DUMMYFUNCTION("""COMPUTED_VALUE"""),"Secrets &amp; Lies")</f>
        <v>Secrets &amp; Lies</v>
      </c>
      <c r="R1571" s="5" t="str">
        <f>IFERROR(__xludf.DUMMYFUNCTION("""COMPUTED_VALUE"""),"Brenda Blethyn")</f>
        <v>Brenda Blethyn</v>
      </c>
      <c r="S1571" s="5" t="str">
        <f>IFERROR(__xludf.DUMMYFUNCTION("""COMPUTED_VALUE"""),"Estrela 2")</f>
        <v>Estrela 2</v>
      </c>
    </row>
    <row r="1572">
      <c r="G1572" s="5" t="str">
        <f>IFERROR(__xludf.DUMMYFUNCTION("""COMPUTED_VALUE"""),"393🤙🏼Secrets &amp; Lies🤙🏼Phyllis Logan🤙🏼Estrela 3")</f>
        <v>393🤙🏼Secrets &amp; Lies🤙🏼Phyllis Logan🤙🏼Estrela 3</v>
      </c>
      <c r="H1572" s="5">
        <f>IFERROR(__xludf.DUMMYFUNCTION("SPLiT(G1572, ""🤙🏼"",FALSE,FALSE)"),393.0)</f>
        <v>393</v>
      </c>
      <c r="I1572" s="5" t="str">
        <f>IFERROR(__xludf.DUMMYFUNCTION("""COMPUTED_VALUE"""),"Secrets &amp; Lies")</f>
        <v>Secrets &amp; Lies</v>
      </c>
      <c r="J1572" s="5" t="str">
        <f>IFERROR(__xludf.DUMMYFUNCTION("""COMPUTED_VALUE"""),"Phyllis Logan")</f>
        <v>Phyllis Logan</v>
      </c>
      <c r="K1572" s="5" t="str">
        <f>IFERROR(__xludf.DUMMYFUNCTION("""COMPUTED_VALUE"""),"Estrela 3")</f>
        <v>Estrela 3</v>
      </c>
      <c r="P1572" s="5">
        <f>IFERROR(__xludf.DUMMYFUNCTION("""COMPUTED_VALUE"""),393.0)</f>
        <v>393</v>
      </c>
      <c r="Q1572" s="5" t="str">
        <f>IFERROR(__xludf.DUMMYFUNCTION("""COMPUTED_VALUE"""),"Secrets &amp; Lies")</f>
        <v>Secrets &amp; Lies</v>
      </c>
      <c r="R1572" s="5" t="str">
        <f>IFERROR(__xludf.DUMMYFUNCTION("""COMPUTED_VALUE"""),"Phyllis Logan")</f>
        <v>Phyllis Logan</v>
      </c>
      <c r="S1572" s="5" t="str">
        <f>IFERROR(__xludf.DUMMYFUNCTION("""COMPUTED_VALUE"""),"Estrela 3")</f>
        <v>Estrela 3</v>
      </c>
    </row>
    <row r="1573">
      <c r="G1573" s="5" t="str">
        <f>IFERROR(__xludf.DUMMYFUNCTION("""COMPUTED_VALUE"""),"393🤙🏼Secrets &amp; Lies🤙🏼Claire Rushbrook🤙🏼Estrela 4")</f>
        <v>393🤙🏼Secrets &amp; Lies🤙🏼Claire Rushbrook🤙🏼Estrela 4</v>
      </c>
      <c r="H1573" s="5">
        <f>IFERROR(__xludf.DUMMYFUNCTION("SPLiT(G1573, ""🤙🏼"",FALSE,FALSE)"),393.0)</f>
        <v>393</v>
      </c>
      <c r="I1573" s="5" t="str">
        <f>IFERROR(__xludf.DUMMYFUNCTION("""COMPUTED_VALUE"""),"Secrets &amp; Lies")</f>
        <v>Secrets &amp; Lies</v>
      </c>
      <c r="J1573" s="5" t="str">
        <f>IFERROR(__xludf.DUMMYFUNCTION("""COMPUTED_VALUE"""),"Claire Rushbrook")</f>
        <v>Claire Rushbrook</v>
      </c>
      <c r="K1573" s="5" t="str">
        <f>IFERROR(__xludf.DUMMYFUNCTION("""COMPUTED_VALUE"""),"Estrela 4")</f>
        <v>Estrela 4</v>
      </c>
      <c r="P1573" s="5">
        <f>IFERROR(__xludf.DUMMYFUNCTION("""COMPUTED_VALUE"""),393.0)</f>
        <v>393</v>
      </c>
      <c r="Q1573" s="5" t="str">
        <f>IFERROR(__xludf.DUMMYFUNCTION("""COMPUTED_VALUE"""),"Secrets &amp; Lies")</f>
        <v>Secrets &amp; Lies</v>
      </c>
      <c r="R1573" s="5" t="str">
        <f>IFERROR(__xludf.DUMMYFUNCTION("""COMPUTED_VALUE"""),"Claire Rushbrook")</f>
        <v>Claire Rushbrook</v>
      </c>
      <c r="S1573" s="5" t="str">
        <f>IFERROR(__xludf.DUMMYFUNCTION("""COMPUTED_VALUE"""),"Estrela 4")</f>
        <v>Estrela 4</v>
      </c>
    </row>
    <row r="1574">
      <c r="G1574" s="5" t="str">
        <f>IFERROR(__xludf.DUMMYFUNCTION("""COMPUTED_VALUE"""),"394🤙🏼Twelve Monkeys🤙🏼Bruce Willis🤙🏼Estrela 1")</f>
        <v>394🤙🏼Twelve Monkeys🤙🏼Bruce Willis🤙🏼Estrela 1</v>
      </c>
      <c r="H1574" s="5">
        <f>IFERROR(__xludf.DUMMYFUNCTION("SPLiT(G1574, ""🤙🏼"",FALSE,FALSE)"),394.0)</f>
        <v>394</v>
      </c>
      <c r="I1574" s="5" t="str">
        <f>IFERROR(__xludf.DUMMYFUNCTION("""COMPUTED_VALUE"""),"Twelve Monkeys")</f>
        <v>Twelve Monkeys</v>
      </c>
      <c r="J1574" s="5" t="str">
        <f>IFERROR(__xludf.DUMMYFUNCTION("""COMPUTED_VALUE"""),"Bruce Willis")</f>
        <v>Bruce Willis</v>
      </c>
      <c r="K1574" s="5" t="str">
        <f>IFERROR(__xludf.DUMMYFUNCTION("""COMPUTED_VALUE"""),"Estrela 1")</f>
        <v>Estrela 1</v>
      </c>
      <c r="P1574" s="5">
        <f>IFERROR(__xludf.DUMMYFUNCTION("""COMPUTED_VALUE"""),394.0)</f>
        <v>394</v>
      </c>
      <c r="Q1574" s="5" t="str">
        <f>IFERROR(__xludf.DUMMYFUNCTION("""COMPUTED_VALUE"""),"Twelve Monkeys")</f>
        <v>Twelve Monkeys</v>
      </c>
      <c r="R1574" s="5" t="str">
        <f>IFERROR(__xludf.DUMMYFUNCTION("""COMPUTED_VALUE"""),"Bruce Willis")</f>
        <v>Bruce Willis</v>
      </c>
      <c r="S1574" s="5" t="str">
        <f>IFERROR(__xludf.DUMMYFUNCTION("""COMPUTED_VALUE"""),"Estrela 1")</f>
        <v>Estrela 1</v>
      </c>
    </row>
    <row r="1575">
      <c r="G1575" s="5" t="str">
        <f>IFERROR(__xludf.DUMMYFUNCTION("""COMPUTED_VALUE"""),"394🤙🏼Twelve Monkeys🤙🏼Madeleine Stowe🤙🏼Estrela 2")</f>
        <v>394🤙🏼Twelve Monkeys🤙🏼Madeleine Stowe🤙🏼Estrela 2</v>
      </c>
      <c r="H1575" s="5">
        <f>IFERROR(__xludf.DUMMYFUNCTION("SPLiT(G1575, ""🤙🏼"",FALSE,FALSE)"),394.0)</f>
        <v>394</v>
      </c>
      <c r="I1575" s="5" t="str">
        <f>IFERROR(__xludf.DUMMYFUNCTION("""COMPUTED_VALUE"""),"Twelve Monkeys")</f>
        <v>Twelve Monkeys</v>
      </c>
      <c r="J1575" s="5" t="str">
        <f>IFERROR(__xludf.DUMMYFUNCTION("""COMPUTED_VALUE"""),"Madeleine Stowe")</f>
        <v>Madeleine Stowe</v>
      </c>
      <c r="K1575" s="5" t="str">
        <f>IFERROR(__xludf.DUMMYFUNCTION("""COMPUTED_VALUE"""),"Estrela 2")</f>
        <v>Estrela 2</v>
      </c>
      <c r="P1575" s="5">
        <f>IFERROR(__xludf.DUMMYFUNCTION("""COMPUTED_VALUE"""),394.0)</f>
        <v>394</v>
      </c>
      <c r="Q1575" s="5" t="str">
        <f>IFERROR(__xludf.DUMMYFUNCTION("""COMPUTED_VALUE"""),"Twelve Monkeys")</f>
        <v>Twelve Monkeys</v>
      </c>
      <c r="R1575" s="5" t="str">
        <f>IFERROR(__xludf.DUMMYFUNCTION("""COMPUTED_VALUE"""),"Madeleine Stowe")</f>
        <v>Madeleine Stowe</v>
      </c>
      <c r="S1575" s="5" t="str">
        <f>IFERROR(__xludf.DUMMYFUNCTION("""COMPUTED_VALUE"""),"Estrela 2")</f>
        <v>Estrela 2</v>
      </c>
    </row>
    <row r="1576">
      <c r="G1576" s="5" t="str">
        <f>IFERROR(__xludf.DUMMYFUNCTION("""COMPUTED_VALUE"""),"394🤙🏼Twelve Monkeys🤙🏼Brad Pitt🤙🏼Estrela 3")</f>
        <v>394🤙🏼Twelve Monkeys🤙🏼Brad Pitt🤙🏼Estrela 3</v>
      </c>
      <c r="H1576" s="5">
        <f>IFERROR(__xludf.DUMMYFUNCTION("SPLiT(G1576, ""🤙🏼"",FALSE,FALSE)"),394.0)</f>
        <v>394</v>
      </c>
      <c r="I1576" s="5" t="str">
        <f>IFERROR(__xludf.DUMMYFUNCTION("""COMPUTED_VALUE"""),"Twelve Monkeys")</f>
        <v>Twelve Monkeys</v>
      </c>
      <c r="J1576" s="5" t="str">
        <f>IFERROR(__xludf.DUMMYFUNCTION("""COMPUTED_VALUE"""),"Brad Pitt")</f>
        <v>Brad Pitt</v>
      </c>
      <c r="K1576" s="5" t="str">
        <f>IFERROR(__xludf.DUMMYFUNCTION("""COMPUTED_VALUE"""),"Estrela 3")</f>
        <v>Estrela 3</v>
      </c>
      <c r="P1576" s="5">
        <f>IFERROR(__xludf.DUMMYFUNCTION("""COMPUTED_VALUE"""),394.0)</f>
        <v>394</v>
      </c>
      <c r="Q1576" s="5" t="str">
        <f>IFERROR(__xludf.DUMMYFUNCTION("""COMPUTED_VALUE"""),"Twelve Monkeys")</f>
        <v>Twelve Monkeys</v>
      </c>
      <c r="R1576" s="5" t="str">
        <f>IFERROR(__xludf.DUMMYFUNCTION("""COMPUTED_VALUE"""),"Brad Pitt")</f>
        <v>Brad Pitt</v>
      </c>
      <c r="S1576" s="5" t="str">
        <f>IFERROR(__xludf.DUMMYFUNCTION("""COMPUTED_VALUE"""),"Estrela 3")</f>
        <v>Estrela 3</v>
      </c>
    </row>
    <row r="1577">
      <c r="G1577" s="5" t="str">
        <f>IFERROR(__xludf.DUMMYFUNCTION("""COMPUTED_VALUE"""),"394🤙🏼Twelve Monkeys🤙🏼Joseph Melito🤙🏼Estrela 4")</f>
        <v>394🤙🏼Twelve Monkeys🤙🏼Joseph Melito🤙🏼Estrela 4</v>
      </c>
      <c r="H1577" s="5">
        <f>IFERROR(__xludf.DUMMYFUNCTION("SPLiT(G1577, ""🤙🏼"",FALSE,FALSE)"),394.0)</f>
        <v>394</v>
      </c>
      <c r="I1577" s="5" t="str">
        <f>IFERROR(__xludf.DUMMYFUNCTION("""COMPUTED_VALUE"""),"Twelve Monkeys")</f>
        <v>Twelve Monkeys</v>
      </c>
      <c r="J1577" s="5" t="str">
        <f>IFERROR(__xludf.DUMMYFUNCTION("""COMPUTED_VALUE"""),"Joseph Melito")</f>
        <v>Joseph Melito</v>
      </c>
      <c r="K1577" s="5" t="str">
        <f>IFERROR(__xludf.DUMMYFUNCTION("""COMPUTED_VALUE"""),"Estrela 4")</f>
        <v>Estrela 4</v>
      </c>
      <c r="P1577" s="5">
        <f>IFERROR(__xludf.DUMMYFUNCTION("""COMPUTED_VALUE"""),394.0)</f>
        <v>394</v>
      </c>
      <c r="Q1577" s="5" t="str">
        <f>IFERROR(__xludf.DUMMYFUNCTION("""COMPUTED_VALUE"""),"Twelve Monkeys")</f>
        <v>Twelve Monkeys</v>
      </c>
      <c r="R1577" s="5" t="str">
        <f>IFERROR(__xludf.DUMMYFUNCTION("""COMPUTED_VALUE"""),"Joseph Melito")</f>
        <v>Joseph Melito</v>
      </c>
      <c r="S1577" s="5" t="str">
        <f>IFERROR(__xludf.DUMMYFUNCTION("""COMPUTED_VALUE"""),"Estrela 4")</f>
        <v>Estrela 4</v>
      </c>
    </row>
    <row r="1578">
      <c r="G1578" s="5" t="str">
        <f>IFERROR(__xludf.DUMMYFUNCTION("""COMPUTED_VALUE"""),"395🤙🏼Kôkaku Kidôtai🤙🏼Atsuko Tanaka🤙🏼Estrela 1")</f>
        <v>395🤙🏼Kôkaku Kidôtai🤙🏼Atsuko Tanaka🤙🏼Estrela 1</v>
      </c>
      <c r="H1578" s="5">
        <f>IFERROR(__xludf.DUMMYFUNCTION("SPLiT(G1578, ""🤙🏼"",FALSE,FALSE)"),395.0)</f>
        <v>395</v>
      </c>
      <c r="I1578" s="5" t="str">
        <f>IFERROR(__xludf.DUMMYFUNCTION("""COMPUTED_VALUE"""),"Kôkaku Kidôtai")</f>
        <v>Kôkaku Kidôtai</v>
      </c>
      <c r="J1578" s="5" t="str">
        <f>IFERROR(__xludf.DUMMYFUNCTION("""COMPUTED_VALUE"""),"Atsuko Tanaka")</f>
        <v>Atsuko Tanaka</v>
      </c>
      <c r="K1578" s="5" t="str">
        <f>IFERROR(__xludf.DUMMYFUNCTION("""COMPUTED_VALUE"""),"Estrela 1")</f>
        <v>Estrela 1</v>
      </c>
      <c r="P1578" s="5">
        <f>IFERROR(__xludf.DUMMYFUNCTION("""COMPUTED_VALUE"""),395.0)</f>
        <v>395</v>
      </c>
      <c r="Q1578" s="5" t="str">
        <f>IFERROR(__xludf.DUMMYFUNCTION("""COMPUTED_VALUE"""),"Kôkaku Kidôtai")</f>
        <v>Kôkaku Kidôtai</v>
      </c>
      <c r="R1578" s="5" t="str">
        <f>IFERROR(__xludf.DUMMYFUNCTION("""COMPUTED_VALUE"""),"Atsuko Tanaka")</f>
        <v>Atsuko Tanaka</v>
      </c>
      <c r="S1578" s="5" t="str">
        <f>IFERROR(__xludf.DUMMYFUNCTION("""COMPUTED_VALUE"""),"Estrela 1")</f>
        <v>Estrela 1</v>
      </c>
    </row>
    <row r="1579">
      <c r="G1579" s="5" t="str">
        <f>IFERROR(__xludf.DUMMYFUNCTION("""COMPUTED_VALUE"""),"395🤙🏼Kôkaku Kidôtai🤙🏼Iemasa Kayumi🤙🏼Estrela 2")</f>
        <v>395🤙🏼Kôkaku Kidôtai🤙🏼Iemasa Kayumi🤙🏼Estrela 2</v>
      </c>
      <c r="H1579" s="5">
        <f>IFERROR(__xludf.DUMMYFUNCTION("SPLiT(G1579, ""🤙🏼"",FALSE,FALSE)"),395.0)</f>
        <v>395</v>
      </c>
      <c r="I1579" s="5" t="str">
        <f>IFERROR(__xludf.DUMMYFUNCTION("""COMPUTED_VALUE"""),"Kôkaku Kidôtai")</f>
        <v>Kôkaku Kidôtai</v>
      </c>
      <c r="J1579" s="5" t="str">
        <f>IFERROR(__xludf.DUMMYFUNCTION("""COMPUTED_VALUE"""),"Iemasa Kayumi")</f>
        <v>Iemasa Kayumi</v>
      </c>
      <c r="K1579" s="5" t="str">
        <f>IFERROR(__xludf.DUMMYFUNCTION("""COMPUTED_VALUE"""),"Estrela 2")</f>
        <v>Estrela 2</v>
      </c>
      <c r="P1579" s="5">
        <f>IFERROR(__xludf.DUMMYFUNCTION("""COMPUTED_VALUE"""),395.0)</f>
        <v>395</v>
      </c>
      <c r="Q1579" s="5" t="str">
        <f>IFERROR(__xludf.DUMMYFUNCTION("""COMPUTED_VALUE"""),"Kôkaku Kidôtai")</f>
        <v>Kôkaku Kidôtai</v>
      </c>
      <c r="R1579" s="5" t="str">
        <f>IFERROR(__xludf.DUMMYFUNCTION("""COMPUTED_VALUE"""),"Iemasa Kayumi")</f>
        <v>Iemasa Kayumi</v>
      </c>
      <c r="S1579" s="5" t="str">
        <f>IFERROR(__xludf.DUMMYFUNCTION("""COMPUTED_VALUE"""),"Estrela 2")</f>
        <v>Estrela 2</v>
      </c>
    </row>
    <row r="1580">
      <c r="G1580" s="5" t="str">
        <f>IFERROR(__xludf.DUMMYFUNCTION("""COMPUTED_VALUE"""),"395🤙🏼Kôkaku Kidôtai🤙🏼Akio Ôtsuka🤙🏼Estrela 3")</f>
        <v>395🤙🏼Kôkaku Kidôtai🤙🏼Akio Ôtsuka🤙🏼Estrela 3</v>
      </c>
      <c r="H1580" s="5">
        <f>IFERROR(__xludf.DUMMYFUNCTION("SPLiT(G1580, ""🤙🏼"",FALSE,FALSE)"),395.0)</f>
        <v>395</v>
      </c>
      <c r="I1580" s="5" t="str">
        <f>IFERROR(__xludf.DUMMYFUNCTION("""COMPUTED_VALUE"""),"Kôkaku Kidôtai")</f>
        <v>Kôkaku Kidôtai</v>
      </c>
      <c r="J1580" s="5" t="str">
        <f>IFERROR(__xludf.DUMMYFUNCTION("""COMPUTED_VALUE"""),"Akio Ôtsuka")</f>
        <v>Akio Ôtsuka</v>
      </c>
      <c r="K1580" s="5" t="str">
        <f>IFERROR(__xludf.DUMMYFUNCTION("""COMPUTED_VALUE"""),"Estrela 3")</f>
        <v>Estrela 3</v>
      </c>
      <c r="P1580" s="5">
        <f>IFERROR(__xludf.DUMMYFUNCTION("""COMPUTED_VALUE"""),395.0)</f>
        <v>395</v>
      </c>
      <c r="Q1580" s="5" t="str">
        <f>IFERROR(__xludf.DUMMYFUNCTION("""COMPUTED_VALUE"""),"Kôkaku Kidôtai")</f>
        <v>Kôkaku Kidôtai</v>
      </c>
      <c r="R1580" s="5" t="str">
        <f>IFERROR(__xludf.DUMMYFUNCTION("""COMPUTED_VALUE"""),"Akio Ôtsuka")</f>
        <v>Akio Ôtsuka</v>
      </c>
      <c r="S1580" s="5" t="str">
        <f>IFERROR(__xludf.DUMMYFUNCTION("""COMPUTED_VALUE"""),"Estrela 3")</f>
        <v>Estrela 3</v>
      </c>
    </row>
    <row r="1581">
      <c r="G1581" s="5" t="str">
        <f>IFERROR(__xludf.DUMMYFUNCTION("""COMPUTED_VALUE"""),"395🤙🏼Kôkaku Kidôtai🤙🏼Kôichi Yamadera🤙🏼Estrela 4")</f>
        <v>395🤙🏼Kôkaku Kidôtai🤙🏼Kôichi Yamadera🤙🏼Estrela 4</v>
      </c>
      <c r="H1581" s="5">
        <f>IFERROR(__xludf.DUMMYFUNCTION("SPLiT(G1581, ""🤙🏼"",FALSE,FALSE)"),395.0)</f>
        <v>395</v>
      </c>
      <c r="I1581" s="5" t="str">
        <f>IFERROR(__xludf.DUMMYFUNCTION("""COMPUTED_VALUE"""),"Kôkaku Kidôtai")</f>
        <v>Kôkaku Kidôtai</v>
      </c>
      <c r="J1581" s="5" t="str">
        <f>IFERROR(__xludf.DUMMYFUNCTION("""COMPUTED_VALUE"""),"Kôichi Yamadera")</f>
        <v>Kôichi Yamadera</v>
      </c>
      <c r="K1581" s="5" t="str">
        <f>IFERROR(__xludf.DUMMYFUNCTION("""COMPUTED_VALUE"""),"Estrela 4")</f>
        <v>Estrela 4</v>
      </c>
      <c r="P1581" s="5">
        <f>IFERROR(__xludf.DUMMYFUNCTION("""COMPUTED_VALUE"""),395.0)</f>
        <v>395</v>
      </c>
      <c r="Q1581" s="5" t="str">
        <f>IFERROR(__xludf.DUMMYFUNCTION("""COMPUTED_VALUE"""),"Kôkaku Kidôtai")</f>
        <v>Kôkaku Kidôtai</v>
      </c>
      <c r="R1581" s="5" t="str">
        <f>IFERROR(__xludf.DUMMYFUNCTION("""COMPUTED_VALUE"""),"Kôichi Yamadera")</f>
        <v>Kôichi Yamadera</v>
      </c>
      <c r="S1581" s="5" t="str">
        <f>IFERROR(__xludf.DUMMYFUNCTION("""COMPUTED_VALUE"""),"Estrela 4")</f>
        <v>Estrela 4</v>
      </c>
    </row>
    <row r="1582">
      <c r="G1582" s="5" t="str">
        <f>IFERROR(__xludf.DUMMYFUNCTION("""COMPUTED_VALUE"""),"396🤙🏼The Nightmare Before Christmas🤙🏼Danny Elfman🤙🏼Estrela 1")</f>
        <v>396🤙🏼The Nightmare Before Christmas🤙🏼Danny Elfman🤙🏼Estrela 1</v>
      </c>
      <c r="H1582" s="5">
        <f>IFERROR(__xludf.DUMMYFUNCTION("SPLiT(G1582, ""🤙🏼"",FALSE,FALSE)"),396.0)</f>
        <v>396</v>
      </c>
      <c r="I1582" s="5" t="str">
        <f>IFERROR(__xludf.DUMMYFUNCTION("""COMPUTED_VALUE"""),"The Nightmare Before Christmas")</f>
        <v>The Nightmare Before Christmas</v>
      </c>
      <c r="J1582" s="5" t="str">
        <f>IFERROR(__xludf.DUMMYFUNCTION("""COMPUTED_VALUE"""),"Danny Elfman")</f>
        <v>Danny Elfman</v>
      </c>
      <c r="K1582" s="5" t="str">
        <f>IFERROR(__xludf.DUMMYFUNCTION("""COMPUTED_VALUE"""),"Estrela 1")</f>
        <v>Estrela 1</v>
      </c>
      <c r="P1582" s="5">
        <f>IFERROR(__xludf.DUMMYFUNCTION("""COMPUTED_VALUE"""),396.0)</f>
        <v>396</v>
      </c>
      <c r="Q1582" s="5" t="str">
        <f>IFERROR(__xludf.DUMMYFUNCTION("""COMPUTED_VALUE"""),"The Nightmare Before Christmas")</f>
        <v>The Nightmare Before Christmas</v>
      </c>
      <c r="R1582" s="5" t="str">
        <f>IFERROR(__xludf.DUMMYFUNCTION("""COMPUTED_VALUE"""),"Danny Elfman")</f>
        <v>Danny Elfman</v>
      </c>
      <c r="S1582" s="5" t="str">
        <f>IFERROR(__xludf.DUMMYFUNCTION("""COMPUTED_VALUE"""),"Estrela 1")</f>
        <v>Estrela 1</v>
      </c>
    </row>
    <row r="1583">
      <c r="G1583" s="5" t="str">
        <f>IFERROR(__xludf.DUMMYFUNCTION("""COMPUTED_VALUE"""),"396🤙🏼The Nightmare Before Christmas🤙🏼Chris Sarandon🤙🏼Estrela 2")</f>
        <v>396🤙🏼The Nightmare Before Christmas🤙🏼Chris Sarandon🤙🏼Estrela 2</v>
      </c>
      <c r="H1583" s="5">
        <f>IFERROR(__xludf.DUMMYFUNCTION("SPLiT(G1583, ""🤙🏼"",FALSE,FALSE)"),396.0)</f>
        <v>396</v>
      </c>
      <c r="I1583" s="5" t="str">
        <f>IFERROR(__xludf.DUMMYFUNCTION("""COMPUTED_VALUE"""),"The Nightmare Before Christmas")</f>
        <v>The Nightmare Before Christmas</v>
      </c>
      <c r="J1583" s="5" t="str">
        <f>IFERROR(__xludf.DUMMYFUNCTION("""COMPUTED_VALUE"""),"Chris Sarandon")</f>
        <v>Chris Sarandon</v>
      </c>
      <c r="K1583" s="5" t="str">
        <f>IFERROR(__xludf.DUMMYFUNCTION("""COMPUTED_VALUE"""),"Estrela 2")</f>
        <v>Estrela 2</v>
      </c>
      <c r="P1583" s="5">
        <f>IFERROR(__xludf.DUMMYFUNCTION("""COMPUTED_VALUE"""),396.0)</f>
        <v>396</v>
      </c>
      <c r="Q1583" s="5" t="str">
        <f>IFERROR(__xludf.DUMMYFUNCTION("""COMPUTED_VALUE"""),"The Nightmare Before Christmas")</f>
        <v>The Nightmare Before Christmas</v>
      </c>
      <c r="R1583" s="5" t="str">
        <f>IFERROR(__xludf.DUMMYFUNCTION("""COMPUTED_VALUE"""),"Chris Sarandon")</f>
        <v>Chris Sarandon</v>
      </c>
      <c r="S1583" s="5" t="str">
        <f>IFERROR(__xludf.DUMMYFUNCTION("""COMPUTED_VALUE"""),"Estrela 2")</f>
        <v>Estrela 2</v>
      </c>
    </row>
    <row r="1584">
      <c r="G1584" s="5" t="str">
        <f>IFERROR(__xludf.DUMMYFUNCTION("""COMPUTED_VALUE"""),"396🤙🏼The Nightmare Before Christmas🤙🏼Catherine O'Hara🤙🏼Estrela 3")</f>
        <v>396🤙🏼The Nightmare Before Christmas🤙🏼Catherine O'Hara🤙🏼Estrela 3</v>
      </c>
      <c r="H1584" s="5">
        <f>IFERROR(__xludf.DUMMYFUNCTION("SPLiT(G1584, ""🤙🏼"",FALSE,FALSE)"),396.0)</f>
        <v>396</v>
      </c>
      <c r="I1584" s="5" t="str">
        <f>IFERROR(__xludf.DUMMYFUNCTION("""COMPUTED_VALUE"""),"The Nightmare Before Christmas")</f>
        <v>The Nightmare Before Christmas</v>
      </c>
      <c r="J1584" s="5" t="str">
        <f>IFERROR(__xludf.DUMMYFUNCTION("""COMPUTED_VALUE"""),"Catherine O'Hara")</f>
        <v>Catherine O'Hara</v>
      </c>
      <c r="K1584" s="5" t="str">
        <f>IFERROR(__xludf.DUMMYFUNCTION("""COMPUTED_VALUE"""),"Estrela 3")</f>
        <v>Estrela 3</v>
      </c>
      <c r="P1584" s="5">
        <f>IFERROR(__xludf.DUMMYFUNCTION("""COMPUTED_VALUE"""),396.0)</f>
        <v>396</v>
      </c>
      <c r="Q1584" s="5" t="str">
        <f>IFERROR(__xludf.DUMMYFUNCTION("""COMPUTED_VALUE"""),"The Nightmare Before Christmas")</f>
        <v>The Nightmare Before Christmas</v>
      </c>
      <c r="R1584" s="5" t="str">
        <f>IFERROR(__xludf.DUMMYFUNCTION("""COMPUTED_VALUE"""),"Catherine O'Hara")</f>
        <v>Catherine O'Hara</v>
      </c>
      <c r="S1584" s="5" t="str">
        <f>IFERROR(__xludf.DUMMYFUNCTION("""COMPUTED_VALUE"""),"Estrela 3")</f>
        <v>Estrela 3</v>
      </c>
    </row>
    <row r="1585">
      <c r="G1585" s="5" t="str">
        <f>IFERROR(__xludf.DUMMYFUNCTION("""COMPUTED_VALUE"""),"396🤙🏼The Nightmare Before Christmas🤙🏼William Hickey🤙🏼Estrela 4")</f>
        <v>396🤙🏼The Nightmare Before Christmas🤙🏼William Hickey🤙🏼Estrela 4</v>
      </c>
      <c r="H1585" s="5">
        <f>IFERROR(__xludf.DUMMYFUNCTION("SPLiT(G1585, ""🤙🏼"",FALSE,FALSE)"),396.0)</f>
        <v>396</v>
      </c>
      <c r="I1585" s="5" t="str">
        <f>IFERROR(__xludf.DUMMYFUNCTION("""COMPUTED_VALUE"""),"The Nightmare Before Christmas")</f>
        <v>The Nightmare Before Christmas</v>
      </c>
      <c r="J1585" s="5" t="str">
        <f>IFERROR(__xludf.DUMMYFUNCTION("""COMPUTED_VALUE"""),"William Hickey")</f>
        <v>William Hickey</v>
      </c>
      <c r="K1585" s="5" t="str">
        <f>IFERROR(__xludf.DUMMYFUNCTION("""COMPUTED_VALUE"""),"Estrela 4")</f>
        <v>Estrela 4</v>
      </c>
      <c r="P1585" s="5">
        <f>IFERROR(__xludf.DUMMYFUNCTION("""COMPUTED_VALUE"""),396.0)</f>
        <v>396</v>
      </c>
      <c r="Q1585" s="5" t="str">
        <f>IFERROR(__xludf.DUMMYFUNCTION("""COMPUTED_VALUE"""),"The Nightmare Before Christmas")</f>
        <v>The Nightmare Before Christmas</v>
      </c>
      <c r="R1585" s="5" t="str">
        <f>IFERROR(__xludf.DUMMYFUNCTION("""COMPUTED_VALUE"""),"William Hickey")</f>
        <v>William Hickey</v>
      </c>
      <c r="S1585" s="5" t="str">
        <f>IFERROR(__xludf.DUMMYFUNCTION("""COMPUTED_VALUE"""),"Estrela 4")</f>
        <v>Estrela 4</v>
      </c>
    </row>
    <row r="1586">
      <c r="G1586" s="5" t="str">
        <f>IFERROR(__xludf.DUMMYFUNCTION("""COMPUTED_VALUE"""),"397🤙🏼Groundhog Day🤙🏼Bill Murray🤙🏼Estrela 1")</f>
        <v>397🤙🏼Groundhog Day🤙🏼Bill Murray🤙🏼Estrela 1</v>
      </c>
      <c r="H1586" s="5">
        <f>IFERROR(__xludf.DUMMYFUNCTION("SPLiT(G1586, ""🤙🏼"",FALSE,FALSE)"),397.0)</f>
        <v>397</v>
      </c>
      <c r="I1586" s="5" t="str">
        <f>IFERROR(__xludf.DUMMYFUNCTION("""COMPUTED_VALUE"""),"Groundhog Day")</f>
        <v>Groundhog Day</v>
      </c>
      <c r="J1586" s="5" t="str">
        <f>IFERROR(__xludf.DUMMYFUNCTION("""COMPUTED_VALUE"""),"Bill Murray")</f>
        <v>Bill Murray</v>
      </c>
      <c r="K1586" s="5" t="str">
        <f>IFERROR(__xludf.DUMMYFUNCTION("""COMPUTED_VALUE"""),"Estrela 1")</f>
        <v>Estrela 1</v>
      </c>
      <c r="P1586" s="5">
        <f>IFERROR(__xludf.DUMMYFUNCTION("""COMPUTED_VALUE"""),397.0)</f>
        <v>397</v>
      </c>
      <c r="Q1586" s="5" t="str">
        <f>IFERROR(__xludf.DUMMYFUNCTION("""COMPUTED_VALUE"""),"Groundhog Day")</f>
        <v>Groundhog Day</v>
      </c>
      <c r="R1586" s="5" t="str">
        <f>IFERROR(__xludf.DUMMYFUNCTION("""COMPUTED_VALUE"""),"Bill Murray")</f>
        <v>Bill Murray</v>
      </c>
      <c r="S1586" s="5" t="str">
        <f>IFERROR(__xludf.DUMMYFUNCTION("""COMPUTED_VALUE"""),"Estrela 1")</f>
        <v>Estrela 1</v>
      </c>
    </row>
    <row r="1587">
      <c r="G1587" s="5" t="str">
        <f>IFERROR(__xludf.DUMMYFUNCTION("""COMPUTED_VALUE"""),"397🤙🏼Groundhog Day🤙🏼Andie MacDowell🤙🏼Estrela 2")</f>
        <v>397🤙🏼Groundhog Day🤙🏼Andie MacDowell🤙🏼Estrela 2</v>
      </c>
      <c r="H1587" s="5">
        <f>IFERROR(__xludf.DUMMYFUNCTION("SPLiT(G1587, ""🤙🏼"",FALSE,FALSE)"),397.0)</f>
        <v>397</v>
      </c>
      <c r="I1587" s="5" t="str">
        <f>IFERROR(__xludf.DUMMYFUNCTION("""COMPUTED_VALUE"""),"Groundhog Day")</f>
        <v>Groundhog Day</v>
      </c>
      <c r="J1587" s="5" t="str">
        <f>IFERROR(__xludf.DUMMYFUNCTION("""COMPUTED_VALUE"""),"Andie MacDowell")</f>
        <v>Andie MacDowell</v>
      </c>
      <c r="K1587" s="5" t="str">
        <f>IFERROR(__xludf.DUMMYFUNCTION("""COMPUTED_VALUE"""),"Estrela 2")</f>
        <v>Estrela 2</v>
      </c>
      <c r="P1587" s="5">
        <f>IFERROR(__xludf.DUMMYFUNCTION("""COMPUTED_VALUE"""),397.0)</f>
        <v>397</v>
      </c>
      <c r="Q1587" s="5" t="str">
        <f>IFERROR(__xludf.DUMMYFUNCTION("""COMPUTED_VALUE"""),"Groundhog Day")</f>
        <v>Groundhog Day</v>
      </c>
      <c r="R1587" s="5" t="str">
        <f>IFERROR(__xludf.DUMMYFUNCTION("""COMPUTED_VALUE"""),"Andie MacDowell")</f>
        <v>Andie MacDowell</v>
      </c>
      <c r="S1587" s="5" t="str">
        <f>IFERROR(__xludf.DUMMYFUNCTION("""COMPUTED_VALUE"""),"Estrela 2")</f>
        <v>Estrela 2</v>
      </c>
    </row>
    <row r="1588">
      <c r="G1588" s="5" t="str">
        <f>IFERROR(__xludf.DUMMYFUNCTION("""COMPUTED_VALUE"""),"397🤙🏼Groundhog Day🤙🏼Chris Elliott🤙🏼Estrela 3")</f>
        <v>397🤙🏼Groundhog Day🤙🏼Chris Elliott🤙🏼Estrela 3</v>
      </c>
      <c r="H1588" s="5">
        <f>IFERROR(__xludf.DUMMYFUNCTION("SPLiT(G1588, ""🤙🏼"",FALSE,FALSE)"),397.0)</f>
        <v>397</v>
      </c>
      <c r="I1588" s="5" t="str">
        <f>IFERROR(__xludf.DUMMYFUNCTION("""COMPUTED_VALUE"""),"Groundhog Day")</f>
        <v>Groundhog Day</v>
      </c>
      <c r="J1588" s="5" t="str">
        <f>IFERROR(__xludf.DUMMYFUNCTION("""COMPUTED_VALUE"""),"Chris Elliott")</f>
        <v>Chris Elliott</v>
      </c>
      <c r="K1588" s="5" t="str">
        <f>IFERROR(__xludf.DUMMYFUNCTION("""COMPUTED_VALUE"""),"Estrela 3")</f>
        <v>Estrela 3</v>
      </c>
      <c r="P1588" s="5">
        <f>IFERROR(__xludf.DUMMYFUNCTION("""COMPUTED_VALUE"""),397.0)</f>
        <v>397</v>
      </c>
      <c r="Q1588" s="5" t="str">
        <f>IFERROR(__xludf.DUMMYFUNCTION("""COMPUTED_VALUE"""),"Groundhog Day")</f>
        <v>Groundhog Day</v>
      </c>
      <c r="R1588" s="5" t="str">
        <f>IFERROR(__xludf.DUMMYFUNCTION("""COMPUTED_VALUE"""),"Chris Elliott")</f>
        <v>Chris Elliott</v>
      </c>
      <c r="S1588" s="5" t="str">
        <f>IFERROR(__xludf.DUMMYFUNCTION("""COMPUTED_VALUE"""),"Estrela 3")</f>
        <v>Estrela 3</v>
      </c>
    </row>
    <row r="1589">
      <c r="G1589" s="5" t="str">
        <f>IFERROR(__xludf.DUMMYFUNCTION("""COMPUTED_VALUE"""),"397🤙🏼Groundhog Day🤙🏼Stephen Tobolowsky🤙🏼Estrela 4")</f>
        <v>397🤙🏼Groundhog Day🤙🏼Stephen Tobolowsky🤙🏼Estrela 4</v>
      </c>
      <c r="H1589" s="5">
        <f>IFERROR(__xludf.DUMMYFUNCTION("SPLiT(G1589, ""🤙🏼"",FALSE,FALSE)"),397.0)</f>
        <v>397</v>
      </c>
      <c r="I1589" s="5" t="str">
        <f>IFERROR(__xludf.DUMMYFUNCTION("""COMPUTED_VALUE"""),"Groundhog Day")</f>
        <v>Groundhog Day</v>
      </c>
      <c r="J1589" s="5" t="str">
        <f>IFERROR(__xludf.DUMMYFUNCTION("""COMPUTED_VALUE"""),"Stephen Tobolowsky")</f>
        <v>Stephen Tobolowsky</v>
      </c>
      <c r="K1589" s="5" t="str">
        <f>IFERROR(__xludf.DUMMYFUNCTION("""COMPUTED_VALUE"""),"Estrela 4")</f>
        <v>Estrela 4</v>
      </c>
      <c r="P1589" s="5">
        <f>IFERROR(__xludf.DUMMYFUNCTION("""COMPUTED_VALUE"""),397.0)</f>
        <v>397</v>
      </c>
      <c r="Q1589" s="5" t="str">
        <f>IFERROR(__xludf.DUMMYFUNCTION("""COMPUTED_VALUE"""),"Groundhog Day")</f>
        <v>Groundhog Day</v>
      </c>
      <c r="R1589" s="5" t="str">
        <f>IFERROR(__xludf.DUMMYFUNCTION("""COMPUTED_VALUE"""),"Stephen Tobolowsky")</f>
        <v>Stephen Tobolowsky</v>
      </c>
      <c r="S1589" s="5" t="str">
        <f>IFERROR(__xludf.DUMMYFUNCTION("""COMPUTED_VALUE"""),"Estrela 4")</f>
        <v>Estrela 4</v>
      </c>
    </row>
    <row r="1590">
      <c r="G1590" s="5" t="str">
        <f>IFERROR(__xludf.DUMMYFUNCTION("""COMPUTED_VALUE"""),"398🤙🏼Bound by Honor🤙🏼Damian Chapa🤙🏼Estrela 1")</f>
        <v>398🤙🏼Bound by Honor🤙🏼Damian Chapa🤙🏼Estrela 1</v>
      </c>
      <c r="H1590" s="5">
        <f>IFERROR(__xludf.DUMMYFUNCTION("SPLiT(G1590, ""🤙🏼"",FALSE,FALSE)"),398.0)</f>
        <v>398</v>
      </c>
      <c r="I1590" s="5" t="str">
        <f>IFERROR(__xludf.DUMMYFUNCTION("""COMPUTED_VALUE"""),"Bound by Honor")</f>
        <v>Bound by Honor</v>
      </c>
      <c r="J1590" s="5" t="str">
        <f>IFERROR(__xludf.DUMMYFUNCTION("""COMPUTED_VALUE"""),"Damian Chapa")</f>
        <v>Damian Chapa</v>
      </c>
      <c r="K1590" s="5" t="str">
        <f>IFERROR(__xludf.DUMMYFUNCTION("""COMPUTED_VALUE"""),"Estrela 1")</f>
        <v>Estrela 1</v>
      </c>
      <c r="P1590" s="5">
        <f>IFERROR(__xludf.DUMMYFUNCTION("""COMPUTED_VALUE"""),398.0)</f>
        <v>398</v>
      </c>
      <c r="Q1590" s="5" t="str">
        <f>IFERROR(__xludf.DUMMYFUNCTION("""COMPUTED_VALUE"""),"Bound by Honor")</f>
        <v>Bound by Honor</v>
      </c>
      <c r="R1590" s="5" t="str">
        <f>IFERROR(__xludf.DUMMYFUNCTION("""COMPUTED_VALUE"""),"Damian Chapa")</f>
        <v>Damian Chapa</v>
      </c>
      <c r="S1590" s="5" t="str">
        <f>IFERROR(__xludf.DUMMYFUNCTION("""COMPUTED_VALUE"""),"Estrela 1")</f>
        <v>Estrela 1</v>
      </c>
    </row>
    <row r="1591">
      <c r="G1591" s="5" t="str">
        <f>IFERROR(__xludf.DUMMYFUNCTION("""COMPUTED_VALUE"""),"398🤙🏼Bound by Honor🤙🏼Jesse Borrego🤙🏼Estrela 2")</f>
        <v>398🤙🏼Bound by Honor🤙🏼Jesse Borrego🤙🏼Estrela 2</v>
      </c>
      <c r="H1591" s="5">
        <f>IFERROR(__xludf.DUMMYFUNCTION("SPLiT(G1591, ""🤙🏼"",FALSE,FALSE)"),398.0)</f>
        <v>398</v>
      </c>
      <c r="I1591" s="5" t="str">
        <f>IFERROR(__xludf.DUMMYFUNCTION("""COMPUTED_VALUE"""),"Bound by Honor")</f>
        <v>Bound by Honor</v>
      </c>
      <c r="J1591" s="5" t="str">
        <f>IFERROR(__xludf.DUMMYFUNCTION("""COMPUTED_VALUE"""),"Jesse Borrego")</f>
        <v>Jesse Borrego</v>
      </c>
      <c r="K1591" s="5" t="str">
        <f>IFERROR(__xludf.DUMMYFUNCTION("""COMPUTED_VALUE"""),"Estrela 2")</f>
        <v>Estrela 2</v>
      </c>
      <c r="P1591" s="5">
        <f>IFERROR(__xludf.DUMMYFUNCTION("""COMPUTED_VALUE"""),398.0)</f>
        <v>398</v>
      </c>
      <c r="Q1591" s="5" t="str">
        <f>IFERROR(__xludf.DUMMYFUNCTION("""COMPUTED_VALUE"""),"Bound by Honor")</f>
        <v>Bound by Honor</v>
      </c>
      <c r="R1591" s="5" t="str">
        <f>IFERROR(__xludf.DUMMYFUNCTION("""COMPUTED_VALUE"""),"Jesse Borrego")</f>
        <v>Jesse Borrego</v>
      </c>
      <c r="S1591" s="5" t="str">
        <f>IFERROR(__xludf.DUMMYFUNCTION("""COMPUTED_VALUE"""),"Estrela 2")</f>
        <v>Estrela 2</v>
      </c>
    </row>
    <row r="1592">
      <c r="G1592" s="5" t="str">
        <f>IFERROR(__xludf.DUMMYFUNCTION("""COMPUTED_VALUE"""),"398🤙🏼Bound by Honor🤙🏼Benjamin Bratt🤙🏼Estrela 3")</f>
        <v>398🤙🏼Bound by Honor🤙🏼Benjamin Bratt🤙🏼Estrela 3</v>
      </c>
      <c r="H1592" s="5">
        <f>IFERROR(__xludf.DUMMYFUNCTION("SPLiT(G1592, ""🤙🏼"",FALSE,FALSE)"),398.0)</f>
        <v>398</v>
      </c>
      <c r="I1592" s="5" t="str">
        <f>IFERROR(__xludf.DUMMYFUNCTION("""COMPUTED_VALUE"""),"Bound by Honor")</f>
        <v>Bound by Honor</v>
      </c>
      <c r="J1592" s="5" t="str">
        <f>IFERROR(__xludf.DUMMYFUNCTION("""COMPUTED_VALUE"""),"Benjamin Bratt")</f>
        <v>Benjamin Bratt</v>
      </c>
      <c r="K1592" s="5" t="str">
        <f>IFERROR(__xludf.DUMMYFUNCTION("""COMPUTED_VALUE"""),"Estrela 3")</f>
        <v>Estrela 3</v>
      </c>
      <c r="P1592" s="5">
        <f>IFERROR(__xludf.DUMMYFUNCTION("""COMPUTED_VALUE"""),398.0)</f>
        <v>398</v>
      </c>
      <c r="Q1592" s="5" t="str">
        <f>IFERROR(__xludf.DUMMYFUNCTION("""COMPUTED_VALUE"""),"Bound by Honor")</f>
        <v>Bound by Honor</v>
      </c>
      <c r="R1592" s="5" t="str">
        <f>IFERROR(__xludf.DUMMYFUNCTION("""COMPUTED_VALUE"""),"Benjamin Bratt")</f>
        <v>Benjamin Bratt</v>
      </c>
      <c r="S1592" s="5" t="str">
        <f>IFERROR(__xludf.DUMMYFUNCTION("""COMPUTED_VALUE"""),"Estrela 3")</f>
        <v>Estrela 3</v>
      </c>
    </row>
    <row r="1593">
      <c r="G1593" s="5" t="str">
        <f>IFERROR(__xludf.DUMMYFUNCTION("""COMPUTED_VALUE"""),"398🤙🏼Bound by Honor🤙🏼Enrique Castillo🤙🏼Estrela 4")</f>
        <v>398🤙🏼Bound by Honor🤙🏼Enrique Castillo🤙🏼Estrela 4</v>
      </c>
      <c r="H1593" s="5">
        <f>IFERROR(__xludf.DUMMYFUNCTION("SPLiT(G1593, ""🤙🏼"",FALSE,FALSE)"),398.0)</f>
        <v>398</v>
      </c>
      <c r="I1593" s="5" t="str">
        <f>IFERROR(__xludf.DUMMYFUNCTION("""COMPUTED_VALUE"""),"Bound by Honor")</f>
        <v>Bound by Honor</v>
      </c>
      <c r="J1593" s="5" t="str">
        <f>IFERROR(__xludf.DUMMYFUNCTION("""COMPUTED_VALUE"""),"Enrique Castillo")</f>
        <v>Enrique Castillo</v>
      </c>
      <c r="K1593" s="5" t="str">
        <f>IFERROR(__xludf.DUMMYFUNCTION("""COMPUTED_VALUE"""),"Estrela 4")</f>
        <v>Estrela 4</v>
      </c>
      <c r="P1593" s="5">
        <f>IFERROR(__xludf.DUMMYFUNCTION("""COMPUTED_VALUE"""),398.0)</f>
        <v>398</v>
      </c>
      <c r="Q1593" s="5" t="str">
        <f>IFERROR(__xludf.DUMMYFUNCTION("""COMPUTED_VALUE"""),"Bound by Honor")</f>
        <v>Bound by Honor</v>
      </c>
      <c r="R1593" s="5" t="str">
        <f>IFERROR(__xludf.DUMMYFUNCTION("""COMPUTED_VALUE"""),"Enrique Castillo")</f>
        <v>Enrique Castillo</v>
      </c>
      <c r="S1593" s="5" t="str">
        <f>IFERROR(__xludf.DUMMYFUNCTION("""COMPUTED_VALUE"""),"Estrela 4")</f>
        <v>Estrela 4</v>
      </c>
    </row>
    <row r="1594">
      <c r="G1594" s="5" t="str">
        <f>IFERROR(__xludf.DUMMYFUNCTION("""COMPUTED_VALUE"""),"399🤙🏼Scent of a Woman🤙🏼Al Pacino🤙🏼Estrela 1")</f>
        <v>399🤙🏼Scent of a Woman🤙🏼Al Pacino🤙🏼Estrela 1</v>
      </c>
      <c r="H1594" s="5">
        <f>IFERROR(__xludf.DUMMYFUNCTION("SPLiT(G1594, ""🤙🏼"",FALSE,FALSE)"),399.0)</f>
        <v>399</v>
      </c>
      <c r="I1594" s="5" t="str">
        <f>IFERROR(__xludf.DUMMYFUNCTION("""COMPUTED_VALUE"""),"Scent of a Woman")</f>
        <v>Scent of a Woman</v>
      </c>
      <c r="J1594" s="5" t="str">
        <f>IFERROR(__xludf.DUMMYFUNCTION("""COMPUTED_VALUE"""),"Al Pacino")</f>
        <v>Al Pacino</v>
      </c>
      <c r="K1594" s="5" t="str">
        <f>IFERROR(__xludf.DUMMYFUNCTION("""COMPUTED_VALUE"""),"Estrela 1")</f>
        <v>Estrela 1</v>
      </c>
      <c r="P1594" s="5">
        <f>IFERROR(__xludf.DUMMYFUNCTION("""COMPUTED_VALUE"""),399.0)</f>
        <v>399</v>
      </c>
      <c r="Q1594" s="5" t="str">
        <f>IFERROR(__xludf.DUMMYFUNCTION("""COMPUTED_VALUE"""),"Scent of a Woman")</f>
        <v>Scent of a Woman</v>
      </c>
      <c r="R1594" s="5" t="str">
        <f>IFERROR(__xludf.DUMMYFUNCTION("""COMPUTED_VALUE"""),"Al Pacino")</f>
        <v>Al Pacino</v>
      </c>
      <c r="S1594" s="5" t="str">
        <f>IFERROR(__xludf.DUMMYFUNCTION("""COMPUTED_VALUE"""),"Estrela 1")</f>
        <v>Estrela 1</v>
      </c>
    </row>
    <row r="1595">
      <c r="G1595" s="5" t="str">
        <f>IFERROR(__xludf.DUMMYFUNCTION("""COMPUTED_VALUE"""),"399🤙🏼Scent of a Woman🤙🏼Chris O'Donnell🤙🏼Estrela 2")</f>
        <v>399🤙🏼Scent of a Woman🤙🏼Chris O'Donnell🤙🏼Estrela 2</v>
      </c>
      <c r="H1595" s="5">
        <f>IFERROR(__xludf.DUMMYFUNCTION("SPLiT(G1595, ""🤙🏼"",FALSE,FALSE)"),399.0)</f>
        <v>399</v>
      </c>
      <c r="I1595" s="5" t="str">
        <f>IFERROR(__xludf.DUMMYFUNCTION("""COMPUTED_VALUE"""),"Scent of a Woman")</f>
        <v>Scent of a Woman</v>
      </c>
      <c r="J1595" s="5" t="str">
        <f>IFERROR(__xludf.DUMMYFUNCTION("""COMPUTED_VALUE"""),"Chris O'Donnell")</f>
        <v>Chris O'Donnell</v>
      </c>
      <c r="K1595" s="5" t="str">
        <f>IFERROR(__xludf.DUMMYFUNCTION("""COMPUTED_VALUE"""),"Estrela 2")</f>
        <v>Estrela 2</v>
      </c>
      <c r="P1595" s="5">
        <f>IFERROR(__xludf.DUMMYFUNCTION("""COMPUTED_VALUE"""),399.0)</f>
        <v>399</v>
      </c>
      <c r="Q1595" s="5" t="str">
        <f>IFERROR(__xludf.DUMMYFUNCTION("""COMPUTED_VALUE"""),"Scent of a Woman")</f>
        <v>Scent of a Woman</v>
      </c>
      <c r="R1595" s="5" t="str">
        <f>IFERROR(__xludf.DUMMYFUNCTION("""COMPUTED_VALUE"""),"Chris O'Donnell")</f>
        <v>Chris O'Donnell</v>
      </c>
      <c r="S1595" s="5" t="str">
        <f>IFERROR(__xludf.DUMMYFUNCTION("""COMPUTED_VALUE"""),"Estrela 2")</f>
        <v>Estrela 2</v>
      </c>
    </row>
    <row r="1596">
      <c r="G1596" s="5" t="str">
        <f>IFERROR(__xludf.DUMMYFUNCTION("""COMPUTED_VALUE"""),"399🤙🏼Scent of a Woman🤙🏼James Rebhorn🤙🏼Estrela 3")</f>
        <v>399🤙🏼Scent of a Woman🤙🏼James Rebhorn🤙🏼Estrela 3</v>
      </c>
      <c r="H1596" s="5">
        <f>IFERROR(__xludf.DUMMYFUNCTION("SPLiT(G1596, ""🤙🏼"",FALSE,FALSE)"),399.0)</f>
        <v>399</v>
      </c>
      <c r="I1596" s="5" t="str">
        <f>IFERROR(__xludf.DUMMYFUNCTION("""COMPUTED_VALUE"""),"Scent of a Woman")</f>
        <v>Scent of a Woman</v>
      </c>
      <c r="J1596" s="5" t="str">
        <f>IFERROR(__xludf.DUMMYFUNCTION("""COMPUTED_VALUE"""),"James Rebhorn")</f>
        <v>James Rebhorn</v>
      </c>
      <c r="K1596" s="5" t="str">
        <f>IFERROR(__xludf.DUMMYFUNCTION("""COMPUTED_VALUE"""),"Estrela 3")</f>
        <v>Estrela 3</v>
      </c>
      <c r="P1596" s="5">
        <f>IFERROR(__xludf.DUMMYFUNCTION("""COMPUTED_VALUE"""),399.0)</f>
        <v>399</v>
      </c>
      <c r="Q1596" s="5" t="str">
        <f>IFERROR(__xludf.DUMMYFUNCTION("""COMPUTED_VALUE"""),"Scent of a Woman")</f>
        <v>Scent of a Woman</v>
      </c>
      <c r="R1596" s="5" t="str">
        <f>IFERROR(__xludf.DUMMYFUNCTION("""COMPUTED_VALUE"""),"James Rebhorn")</f>
        <v>James Rebhorn</v>
      </c>
      <c r="S1596" s="5" t="str">
        <f>IFERROR(__xludf.DUMMYFUNCTION("""COMPUTED_VALUE"""),"Estrela 3")</f>
        <v>Estrela 3</v>
      </c>
    </row>
    <row r="1597">
      <c r="G1597" s="5" t="str">
        <f>IFERROR(__xludf.DUMMYFUNCTION("""COMPUTED_VALUE"""),"399🤙🏼Scent of a Woman🤙🏼Gabrielle Anwar🤙🏼Estrela 4")</f>
        <v>399🤙🏼Scent of a Woman🤙🏼Gabrielle Anwar🤙🏼Estrela 4</v>
      </c>
      <c r="H1597" s="5">
        <f>IFERROR(__xludf.DUMMYFUNCTION("SPLiT(G1597, ""🤙🏼"",FALSE,FALSE)"),399.0)</f>
        <v>399</v>
      </c>
      <c r="I1597" s="5" t="str">
        <f>IFERROR(__xludf.DUMMYFUNCTION("""COMPUTED_VALUE"""),"Scent of a Woman")</f>
        <v>Scent of a Woman</v>
      </c>
      <c r="J1597" s="5" t="str">
        <f>IFERROR(__xludf.DUMMYFUNCTION("""COMPUTED_VALUE"""),"Gabrielle Anwar")</f>
        <v>Gabrielle Anwar</v>
      </c>
      <c r="K1597" s="5" t="str">
        <f>IFERROR(__xludf.DUMMYFUNCTION("""COMPUTED_VALUE"""),"Estrela 4")</f>
        <v>Estrela 4</v>
      </c>
      <c r="P1597" s="5">
        <f>IFERROR(__xludf.DUMMYFUNCTION("""COMPUTED_VALUE"""),399.0)</f>
        <v>399</v>
      </c>
      <c r="Q1597" s="5" t="str">
        <f>IFERROR(__xludf.DUMMYFUNCTION("""COMPUTED_VALUE"""),"Scent of a Woman")</f>
        <v>Scent of a Woman</v>
      </c>
      <c r="R1597" s="5" t="str">
        <f>IFERROR(__xludf.DUMMYFUNCTION("""COMPUTED_VALUE"""),"Gabrielle Anwar")</f>
        <v>Gabrielle Anwar</v>
      </c>
      <c r="S1597" s="5" t="str">
        <f>IFERROR(__xludf.DUMMYFUNCTION("""COMPUTED_VALUE"""),"Estrela 4")</f>
        <v>Estrela 4</v>
      </c>
    </row>
    <row r="1598">
      <c r="G1598" s="5" t="str">
        <f>IFERROR(__xludf.DUMMYFUNCTION("""COMPUTED_VALUE"""),"400🤙🏼Aladdin🤙🏼John Musker🤙🏼Estrela 1")</f>
        <v>400🤙🏼Aladdin🤙🏼John Musker🤙🏼Estrela 1</v>
      </c>
      <c r="H1598" s="5">
        <f>IFERROR(__xludf.DUMMYFUNCTION("SPLiT(G1598, ""🤙🏼"",FALSE,FALSE)"),400.0)</f>
        <v>400</v>
      </c>
      <c r="I1598" s="5" t="str">
        <f>IFERROR(__xludf.DUMMYFUNCTION("""COMPUTED_VALUE"""),"Aladdin")</f>
        <v>Aladdin</v>
      </c>
      <c r="J1598" s="5" t="str">
        <f>IFERROR(__xludf.DUMMYFUNCTION("""COMPUTED_VALUE"""),"John Musker")</f>
        <v>John Musker</v>
      </c>
      <c r="K1598" s="5" t="str">
        <f>IFERROR(__xludf.DUMMYFUNCTION("""COMPUTED_VALUE"""),"Estrela 1")</f>
        <v>Estrela 1</v>
      </c>
      <c r="P1598" s="5">
        <f>IFERROR(__xludf.DUMMYFUNCTION("""COMPUTED_VALUE"""),400.0)</f>
        <v>400</v>
      </c>
      <c r="Q1598" s="5" t="str">
        <f>IFERROR(__xludf.DUMMYFUNCTION("""COMPUTED_VALUE"""),"Aladdin")</f>
        <v>Aladdin</v>
      </c>
      <c r="R1598" s="5" t="str">
        <f>IFERROR(__xludf.DUMMYFUNCTION("""COMPUTED_VALUE"""),"John Musker")</f>
        <v>John Musker</v>
      </c>
      <c r="S1598" s="5" t="str">
        <f>IFERROR(__xludf.DUMMYFUNCTION("""COMPUTED_VALUE"""),"Estrela 1")</f>
        <v>Estrela 1</v>
      </c>
    </row>
    <row r="1599">
      <c r="G1599" s="5" t="str">
        <f>IFERROR(__xludf.DUMMYFUNCTION("""COMPUTED_VALUE"""),"400🤙🏼Aladdin🤙🏼Scott Weinger🤙🏼Estrela 2")</f>
        <v>400🤙🏼Aladdin🤙🏼Scott Weinger🤙🏼Estrela 2</v>
      </c>
      <c r="H1599" s="5">
        <f>IFERROR(__xludf.DUMMYFUNCTION("SPLiT(G1599, ""🤙🏼"",FALSE,FALSE)"),400.0)</f>
        <v>400</v>
      </c>
      <c r="I1599" s="5" t="str">
        <f>IFERROR(__xludf.DUMMYFUNCTION("""COMPUTED_VALUE"""),"Aladdin")</f>
        <v>Aladdin</v>
      </c>
      <c r="J1599" s="5" t="str">
        <f>IFERROR(__xludf.DUMMYFUNCTION("""COMPUTED_VALUE"""),"Scott Weinger")</f>
        <v>Scott Weinger</v>
      </c>
      <c r="K1599" s="5" t="str">
        <f>IFERROR(__xludf.DUMMYFUNCTION("""COMPUTED_VALUE"""),"Estrela 2")</f>
        <v>Estrela 2</v>
      </c>
      <c r="P1599" s="5">
        <f>IFERROR(__xludf.DUMMYFUNCTION("""COMPUTED_VALUE"""),400.0)</f>
        <v>400</v>
      </c>
      <c r="Q1599" s="5" t="str">
        <f>IFERROR(__xludf.DUMMYFUNCTION("""COMPUTED_VALUE"""),"Aladdin")</f>
        <v>Aladdin</v>
      </c>
      <c r="R1599" s="5" t="str">
        <f>IFERROR(__xludf.DUMMYFUNCTION("""COMPUTED_VALUE"""),"Scott Weinger")</f>
        <v>Scott Weinger</v>
      </c>
      <c r="S1599" s="5" t="str">
        <f>IFERROR(__xludf.DUMMYFUNCTION("""COMPUTED_VALUE"""),"Estrela 2")</f>
        <v>Estrela 2</v>
      </c>
    </row>
    <row r="1600">
      <c r="G1600" s="5" t="str">
        <f>IFERROR(__xludf.DUMMYFUNCTION("""COMPUTED_VALUE"""),"400🤙🏼Aladdin🤙🏼Robin Williams🤙🏼Estrela 3")</f>
        <v>400🤙🏼Aladdin🤙🏼Robin Williams🤙🏼Estrela 3</v>
      </c>
      <c r="H1600" s="5">
        <f>IFERROR(__xludf.DUMMYFUNCTION("SPLiT(G1600, ""🤙🏼"",FALSE,FALSE)"),400.0)</f>
        <v>400</v>
      </c>
      <c r="I1600" s="5" t="str">
        <f>IFERROR(__xludf.DUMMYFUNCTION("""COMPUTED_VALUE"""),"Aladdin")</f>
        <v>Aladdin</v>
      </c>
      <c r="J1600" s="5" t="str">
        <f>IFERROR(__xludf.DUMMYFUNCTION("""COMPUTED_VALUE"""),"Robin Williams")</f>
        <v>Robin Williams</v>
      </c>
      <c r="K1600" s="5" t="str">
        <f>IFERROR(__xludf.DUMMYFUNCTION("""COMPUTED_VALUE"""),"Estrela 3")</f>
        <v>Estrela 3</v>
      </c>
      <c r="P1600" s="5">
        <f>IFERROR(__xludf.DUMMYFUNCTION("""COMPUTED_VALUE"""),400.0)</f>
        <v>400</v>
      </c>
      <c r="Q1600" s="5" t="str">
        <f>IFERROR(__xludf.DUMMYFUNCTION("""COMPUTED_VALUE"""),"Aladdin")</f>
        <v>Aladdin</v>
      </c>
      <c r="R1600" s="5" t="str">
        <f>IFERROR(__xludf.DUMMYFUNCTION("""COMPUTED_VALUE"""),"Robin Williams")</f>
        <v>Robin Williams</v>
      </c>
      <c r="S1600" s="5" t="str">
        <f>IFERROR(__xludf.DUMMYFUNCTION("""COMPUTED_VALUE"""),"Estrela 3")</f>
        <v>Estrela 3</v>
      </c>
    </row>
    <row r="1601">
      <c r="G1601" s="5" t="str">
        <f>IFERROR(__xludf.DUMMYFUNCTION("""COMPUTED_VALUE"""),"400🤙🏼Aladdin🤙🏼Linda Larkin🤙🏼Estrela 4")</f>
        <v>400🤙🏼Aladdin🤙🏼Linda Larkin🤙🏼Estrela 4</v>
      </c>
      <c r="H1601" s="5">
        <f>IFERROR(__xludf.DUMMYFUNCTION("SPLiT(G1601, ""🤙🏼"",FALSE,FALSE)"),400.0)</f>
        <v>400</v>
      </c>
      <c r="I1601" s="5" t="str">
        <f>IFERROR(__xludf.DUMMYFUNCTION("""COMPUTED_VALUE"""),"Aladdin")</f>
        <v>Aladdin</v>
      </c>
      <c r="J1601" s="5" t="str">
        <f>IFERROR(__xludf.DUMMYFUNCTION("""COMPUTED_VALUE"""),"Linda Larkin")</f>
        <v>Linda Larkin</v>
      </c>
      <c r="K1601" s="5" t="str">
        <f>IFERROR(__xludf.DUMMYFUNCTION("""COMPUTED_VALUE"""),"Estrela 4")</f>
        <v>Estrela 4</v>
      </c>
      <c r="P1601" s="5">
        <f>IFERROR(__xludf.DUMMYFUNCTION("""COMPUTED_VALUE"""),400.0)</f>
        <v>400</v>
      </c>
      <c r="Q1601" s="5" t="str">
        <f>IFERROR(__xludf.DUMMYFUNCTION("""COMPUTED_VALUE"""),"Aladdin")</f>
        <v>Aladdin</v>
      </c>
      <c r="R1601" s="5" t="str">
        <f>IFERROR(__xludf.DUMMYFUNCTION("""COMPUTED_VALUE"""),"Linda Larkin")</f>
        <v>Linda Larkin</v>
      </c>
      <c r="S1601" s="5" t="str">
        <f>IFERROR(__xludf.DUMMYFUNCTION("""COMPUTED_VALUE"""),"Estrela 4")</f>
        <v>Estrela 4</v>
      </c>
    </row>
    <row r="1602">
      <c r="G1602" s="5" t="str">
        <f>IFERROR(__xludf.DUMMYFUNCTION("""COMPUTED_VALUE"""),"401🤙🏼JFK🤙🏼Kevin Costner🤙🏼Estrela 1")</f>
        <v>401🤙🏼JFK🤙🏼Kevin Costner🤙🏼Estrela 1</v>
      </c>
      <c r="H1602" s="5">
        <f>IFERROR(__xludf.DUMMYFUNCTION("SPLiT(G1602, ""🤙🏼"",FALSE,FALSE)"),401.0)</f>
        <v>401</v>
      </c>
      <c r="I1602" s="5" t="str">
        <f>IFERROR(__xludf.DUMMYFUNCTION("""COMPUTED_VALUE"""),"JFK")</f>
        <v>JFK</v>
      </c>
      <c r="J1602" s="5" t="str">
        <f>IFERROR(__xludf.DUMMYFUNCTION("""COMPUTED_VALUE"""),"Kevin Costner")</f>
        <v>Kevin Costner</v>
      </c>
      <c r="K1602" s="5" t="str">
        <f>IFERROR(__xludf.DUMMYFUNCTION("""COMPUTED_VALUE"""),"Estrela 1")</f>
        <v>Estrela 1</v>
      </c>
      <c r="P1602" s="5">
        <f>IFERROR(__xludf.DUMMYFUNCTION("""COMPUTED_VALUE"""),401.0)</f>
        <v>401</v>
      </c>
      <c r="Q1602" s="5" t="str">
        <f>IFERROR(__xludf.DUMMYFUNCTION("""COMPUTED_VALUE"""),"JFK")</f>
        <v>JFK</v>
      </c>
      <c r="R1602" s="5" t="str">
        <f>IFERROR(__xludf.DUMMYFUNCTION("""COMPUTED_VALUE"""),"Kevin Costner")</f>
        <v>Kevin Costner</v>
      </c>
      <c r="S1602" s="5" t="str">
        <f>IFERROR(__xludf.DUMMYFUNCTION("""COMPUTED_VALUE"""),"Estrela 1")</f>
        <v>Estrela 1</v>
      </c>
    </row>
    <row r="1603">
      <c r="G1603" s="5" t="str">
        <f>IFERROR(__xludf.DUMMYFUNCTION("""COMPUTED_VALUE"""),"401🤙🏼JFK🤙🏼Gary Oldman🤙🏼Estrela 2")</f>
        <v>401🤙🏼JFK🤙🏼Gary Oldman🤙🏼Estrela 2</v>
      </c>
      <c r="H1603" s="5">
        <f>IFERROR(__xludf.DUMMYFUNCTION("SPLiT(G1603, ""🤙🏼"",FALSE,FALSE)"),401.0)</f>
        <v>401</v>
      </c>
      <c r="I1603" s="5" t="str">
        <f>IFERROR(__xludf.DUMMYFUNCTION("""COMPUTED_VALUE"""),"JFK")</f>
        <v>JFK</v>
      </c>
      <c r="J1603" s="5" t="str">
        <f>IFERROR(__xludf.DUMMYFUNCTION("""COMPUTED_VALUE"""),"Gary Oldman")</f>
        <v>Gary Oldman</v>
      </c>
      <c r="K1603" s="5" t="str">
        <f>IFERROR(__xludf.DUMMYFUNCTION("""COMPUTED_VALUE"""),"Estrela 2")</f>
        <v>Estrela 2</v>
      </c>
      <c r="P1603" s="5">
        <f>IFERROR(__xludf.DUMMYFUNCTION("""COMPUTED_VALUE"""),401.0)</f>
        <v>401</v>
      </c>
      <c r="Q1603" s="5" t="str">
        <f>IFERROR(__xludf.DUMMYFUNCTION("""COMPUTED_VALUE"""),"JFK")</f>
        <v>JFK</v>
      </c>
      <c r="R1603" s="5" t="str">
        <f>IFERROR(__xludf.DUMMYFUNCTION("""COMPUTED_VALUE"""),"Gary Oldman")</f>
        <v>Gary Oldman</v>
      </c>
      <c r="S1603" s="5" t="str">
        <f>IFERROR(__xludf.DUMMYFUNCTION("""COMPUTED_VALUE"""),"Estrela 2")</f>
        <v>Estrela 2</v>
      </c>
    </row>
    <row r="1604">
      <c r="G1604" s="5" t="str">
        <f>IFERROR(__xludf.DUMMYFUNCTION("""COMPUTED_VALUE"""),"401🤙🏼JFK🤙🏼Jack Lemmon🤙🏼Estrela 3")</f>
        <v>401🤙🏼JFK🤙🏼Jack Lemmon🤙🏼Estrela 3</v>
      </c>
      <c r="H1604" s="5">
        <f>IFERROR(__xludf.DUMMYFUNCTION("SPLiT(G1604, ""🤙🏼"",FALSE,FALSE)"),401.0)</f>
        <v>401</v>
      </c>
      <c r="I1604" s="5" t="str">
        <f>IFERROR(__xludf.DUMMYFUNCTION("""COMPUTED_VALUE"""),"JFK")</f>
        <v>JFK</v>
      </c>
      <c r="J1604" s="5" t="str">
        <f>IFERROR(__xludf.DUMMYFUNCTION("""COMPUTED_VALUE"""),"Jack Lemmon")</f>
        <v>Jack Lemmon</v>
      </c>
      <c r="K1604" s="5" t="str">
        <f>IFERROR(__xludf.DUMMYFUNCTION("""COMPUTED_VALUE"""),"Estrela 3")</f>
        <v>Estrela 3</v>
      </c>
      <c r="P1604" s="5">
        <f>IFERROR(__xludf.DUMMYFUNCTION("""COMPUTED_VALUE"""),401.0)</f>
        <v>401</v>
      </c>
      <c r="Q1604" s="5" t="str">
        <f>IFERROR(__xludf.DUMMYFUNCTION("""COMPUTED_VALUE"""),"JFK")</f>
        <v>JFK</v>
      </c>
      <c r="R1604" s="5" t="str">
        <f>IFERROR(__xludf.DUMMYFUNCTION("""COMPUTED_VALUE"""),"Jack Lemmon")</f>
        <v>Jack Lemmon</v>
      </c>
      <c r="S1604" s="5" t="str">
        <f>IFERROR(__xludf.DUMMYFUNCTION("""COMPUTED_VALUE"""),"Estrela 3")</f>
        <v>Estrela 3</v>
      </c>
    </row>
    <row r="1605">
      <c r="G1605" s="5" t="str">
        <f>IFERROR(__xludf.DUMMYFUNCTION("""COMPUTED_VALUE"""),"401🤙🏼JFK🤙🏼Walter Matthau🤙🏼Estrela 4")</f>
        <v>401🤙🏼JFK🤙🏼Walter Matthau🤙🏼Estrela 4</v>
      </c>
      <c r="H1605" s="5">
        <f>IFERROR(__xludf.DUMMYFUNCTION("SPLiT(G1605, ""🤙🏼"",FALSE,FALSE)"),401.0)</f>
        <v>401</v>
      </c>
      <c r="I1605" s="5" t="str">
        <f>IFERROR(__xludf.DUMMYFUNCTION("""COMPUTED_VALUE"""),"JFK")</f>
        <v>JFK</v>
      </c>
      <c r="J1605" s="5" t="str">
        <f>IFERROR(__xludf.DUMMYFUNCTION("""COMPUTED_VALUE"""),"Walter Matthau")</f>
        <v>Walter Matthau</v>
      </c>
      <c r="K1605" s="5" t="str">
        <f>IFERROR(__xludf.DUMMYFUNCTION("""COMPUTED_VALUE"""),"Estrela 4")</f>
        <v>Estrela 4</v>
      </c>
      <c r="P1605" s="5">
        <f>IFERROR(__xludf.DUMMYFUNCTION("""COMPUTED_VALUE"""),401.0)</f>
        <v>401</v>
      </c>
      <c r="Q1605" s="5" t="str">
        <f>IFERROR(__xludf.DUMMYFUNCTION("""COMPUTED_VALUE"""),"JFK")</f>
        <v>JFK</v>
      </c>
      <c r="R1605" s="5" t="str">
        <f>IFERROR(__xludf.DUMMYFUNCTION("""COMPUTED_VALUE"""),"Walter Matthau")</f>
        <v>Walter Matthau</v>
      </c>
      <c r="S1605" s="5" t="str">
        <f>IFERROR(__xludf.DUMMYFUNCTION("""COMPUTED_VALUE"""),"Estrela 4")</f>
        <v>Estrela 4</v>
      </c>
    </row>
    <row r="1606">
      <c r="G1606" s="5" t="str">
        <f>IFERROR(__xludf.DUMMYFUNCTION("""COMPUTED_VALUE"""),"402🤙🏼Beauty and the Beast🤙🏼Kirk Wise🤙🏼Estrela 1")</f>
        <v>402🤙🏼Beauty and the Beast🤙🏼Kirk Wise🤙🏼Estrela 1</v>
      </c>
      <c r="H1606" s="5">
        <f>IFERROR(__xludf.DUMMYFUNCTION("SPLiT(G1606, ""🤙🏼"",FALSE,FALSE)"),402.0)</f>
        <v>402</v>
      </c>
      <c r="I1606" s="5" t="str">
        <f>IFERROR(__xludf.DUMMYFUNCTION("""COMPUTED_VALUE"""),"Beauty and the Beast")</f>
        <v>Beauty and the Beast</v>
      </c>
      <c r="J1606" s="5" t="str">
        <f>IFERROR(__xludf.DUMMYFUNCTION("""COMPUTED_VALUE"""),"Kirk Wise")</f>
        <v>Kirk Wise</v>
      </c>
      <c r="K1606" s="5" t="str">
        <f>IFERROR(__xludf.DUMMYFUNCTION("""COMPUTED_VALUE"""),"Estrela 1")</f>
        <v>Estrela 1</v>
      </c>
      <c r="P1606" s="5">
        <f>IFERROR(__xludf.DUMMYFUNCTION("""COMPUTED_VALUE"""),402.0)</f>
        <v>402</v>
      </c>
      <c r="Q1606" s="5" t="str">
        <f>IFERROR(__xludf.DUMMYFUNCTION("""COMPUTED_VALUE"""),"Beauty and the Beast")</f>
        <v>Beauty and the Beast</v>
      </c>
      <c r="R1606" s="5" t="str">
        <f>IFERROR(__xludf.DUMMYFUNCTION("""COMPUTED_VALUE"""),"Kirk Wise")</f>
        <v>Kirk Wise</v>
      </c>
      <c r="S1606" s="5" t="str">
        <f>IFERROR(__xludf.DUMMYFUNCTION("""COMPUTED_VALUE"""),"Estrela 1")</f>
        <v>Estrela 1</v>
      </c>
    </row>
    <row r="1607">
      <c r="G1607" s="5" t="str">
        <f>IFERROR(__xludf.DUMMYFUNCTION("""COMPUTED_VALUE"""),"402🤙🏼Beauty and the Beast🤙🏼Paige O'Hara🤙🏼Estrela 2")</f>
        <v>402🤙🏼Beauty and the Beast🤙🏼Paige O'Hara🤙🏼Estrela 2</v>
      </c>
      <c r="H1607" s="5">
        <f>IFERROR(__xludf.DUMMYFUNCTION("SPLiT(G1607, ""🤙🏼"",FALSE,FALSE)"),402.0)</f>
        <v>402</v>
      </c>
      <c r="I1607" s="5" t="str">
        <f>IFERROR(__xludf.DUMMYFUNCTION("""COMPUTED_VALUE"""),"Beauty and the Beast")</f>
        <v>Beauty and the Beast</v>
      </c>
      <c r="J1607" s="5" t="str">
        <f>IFERROR(__xludf.DUMMYFUNCTION("""COMPUTED_VALUE"""),"Paige O'Hara")</f>
        <v>Paige O'Hara</v>
      </c>
      <c r="K1607" s="5" t="str">
        <f>IFERROR(__xludf.DUMMYFUNCTION("""COMPUTED_VALUE"""),"Estrela 2")</f>
        <v>Estrela 2</v>
      </c>
      <c r="P1607" s="5">
        <f>IFERROR(__xludf.DUMMYFUNCTION("""COMPUTED_VALUE"""),402.0)</f>
        <v>402</v>
      </c>
      <c r="Q1607" s="5" t="str">
        <f>IFERROR(__xludf.DUMMYFUNCTION("""COMPUTED_VALUE"""),"Beauty and the Beast")</f>
        <v>Beauty and the Beast</v>
      </c>
      <c r="R1607" s="5" t="str">
        <f>IFERROR(__xludf.DUMMYFUNCTION("""COMPUTED_VALUE"""),"Paige O'Hara")</f>
        <v>Paige O'Hara</v>
      </c>
      <c r="S1607" s="5" t="str">
        <f>IFERROR(__xludf.DUMMYFUNCTION("""COMPUTED_VALUE"""),"Estrela 2")</f>
        <v>Estrela 2</v>
      </c>
    </row>
    <row r="1608">
      <c r="G1608" s="5" t="str">
        <f>IFERROR(__xludf.DUMMYFUNCTION("""COMPUTED_VALUE"""),"402🤙🏼Beauty and the Beast🤙🏼Robby Benson🤙🏼Estrela 3")</f>
        <v>402🤙🏼Beauty and the Beast🤙🏼Robby Benson🤙🏼Estrela 3</v>
      </c>
      <c r="H1608" s="5">
        <f>IFERROR(__xludf.DUMMYFUNCTION("SPLiT(G1608, ""🤙🏼"",FALSE,FALSE)"),402.0)</f>
        <v>402</v>
      </c>
      <c r="I1608" s="5" t="str">
        <f>IFERROR(__xludf.DUMMYFUNCTION("""COMPUTED_VALUE"""),"Beauty and the Beast")</f>
        <v>Beauty and the Beast</v>
      </c>
      <c r="J1608" s="5" t="str">
        <f>IFERROR(__xludf.DUMMYFUNCTION("""COMPUTED_VALUE"""),"Robby Benson")</f>
        <v>Robby Benson</v>
      </c>
      <c r="K1608" s="5" t="str">
        <f>IFERROR(__xludf.DUMMYFUNCTION("""COMPUTED_VALUE"""),"Estrela 3")</f>
        <v>Estrela 3</v>
      </c>
      <c r="P1608" s="5">
        <f>IFERROR(__xludf.DUMMYFUNCTION("""COMPUTED_VALUE"""),402.0)</f>
        <v>402</v>
      </c>
      <c r="Q1608" s="5" t="str">
        <f>IFERROR(__xludf.DUMMYFUNCTION("""COMPUTED_VALUE"""),"Beauty and the Beast")</f>
        <v>Beauty and the Beast</v>
      </c>
      <c r="R1608" s="5" t="str">
        <f>IFERROR(__xludf.DUMMYFUNCTION("""COMPUTED_VALUE"""),"Robby Benson")</f>
        <v>Robby Benson</v>
      </c>
      <c r="S1608" s="5" t="str">
        <f>IFERROR(__xludf.DUMMYFUNCTION("""COMPUTED_VALUE"""),"Estrela 3")</f>
        <v>Estrela 3</v>
      </c>
    </row>
    <row r="1609">
      <c r="G1609" s="5" t="str">
        <f>IFERROR(__xludf.DUMMYFUNCTION("""COMPUTED_VALUE"""),"402🤙🏼Beauty and the Beast🤙🏼Jesse Corti🤙🏼Estrela 4")</f>
        <v>402🤙🏼Beauty and the Beast🤙🏼Jesse Corti🤙🏼Estrela 4</v>
      </c>
      <c r="H1609" s="5">
        <f>IFERROR(__xludf.DUMMYFUNCTION("SPLiT(G1609, ""🤙🏼"",FALSE,FALSE)"),402.0)</f>
        <v>402</v>
      </c>
      <c r="I1609" s="5" t="str">
        <f>IFERROR(__xludf.DUMMYFUNCTION("""COMPUTED_VALUE"""),"Beauty and the Beast")</f>
        <v>Beauty and the Beast</v>
      </c>
      <c r="J1609" s="5" t="str">
        <f>IFERROR(__xludf.DUMMYFUNCTION("""COMPUTED_VALUE"""),"Jesse Corti")</f>
        <v>Jesse Corti</v>
      </c>
      <c r="K1609" s="5" t="str">
        <f>IFERROR(__xludf.DUMMYFUNCTION("""COMPUTED_VALUE"""),"Estrela 4")</f>
        <v>Estrela 4</v>
      </c>
      <c r="P1609" s="5">
        <f>IFERROR(__xludf.DUMMYFUNCTION("""COMPUTED_VALUE"""),402.0)</f>
        <v>402</v>
      </c>
      <c r="Q1609" s="5" t="str">
        <f>IFERROR(__xludf.DUMMYFUNCTION("""COMPUTED_VALUE"""),"Beauty and the Beast")</f>
        <v>Beauty and the Beast</v>
      </c>
      <c r="R1609" s="5" t="str">
        <f>IFERROR(__xludf.DUMMYFUNCTION("""COMPUTED_VALUE"""),"Jesse Corti")</f>
        <v>Jesse Corti</v>
      </c>
      <c r="S1609" s="5" t="str">
        <f>IFERROR(__xludf.DUMMYFUNCTION("""COMPUTED_VALUE"""),"Estrela 4")</f>
        <v>Estrela 4</v>
      </c>
    </row>
    <row r="1610">
      <c r="G1610" s="5" t="str">
        <f>IFERROR(__xludf.DUMMYFUNCTION("""COMPUTED_VALUE"""),"403🤙🏼Dances with Wolves🤙🏼Kevin Costner🤙🏼Estrela 1")</f>
        <v>403🤙🏼Dances with Wolves🤙🏼Kevin Costner🤙🏼Estrela 1</v>
      </c>
      <c r="H1610" s="5">
        <f>IFERROR(__xludf.DUMMYFUNCTION("SPLiT(G1610, ""🤙🏼"",FALSE,FALSE)"),403.0)</f>
        <v>403</v>
      </c>
      <c r="I1610" s="5" t="str">
        <f>IFERROR(__xludf.DUMMYFUNCTION("""COMPUTED_VALUE"""),"Dances with Wolves")</f>
        <v>Dances with Wolves</v>
      </c>
      <c r="J1610" s="5" t="str">
        <f>IFERROR(__xludf.DUMMYFUNCTION("""COMPUTED_VALUE"""),"Kevin Costner")</f>
        <v>Kevin Costner</v>
      </c>
      <c r="K1610" s="5" t="str">
        <f>IFERROR(__xludf.DUMMYFUNCTION("""COMPUTED_VALUE"""),"Estrela 1")</f>
        <v>Estrela 1</v>
      </c>
      <c r="P1610" s="5">
        <f>IFERROR(__xludf.DUMMYFUNCTION("""COMPUTED_VALUE"""),403.0)</f>
        <v>403</v>
      </c>
      <c r="Q1610" s="5" t="str">
        <f>IFERROR(__xludf.DUMMYFUNCTION("""COMPUTED_VALUE"""),"Dances with Wolves")</f>
        <v>Dances with Wolves</v>
      </c>
      <c r="R1610" s="5" t="str">
        <f>IFERROR(__xludf.DUMMYFUNCTION("""COMPUTED_VALUE"""),"Kevin Costner")</f>
        <v>Kevin Costner</v>
      </c>
      <c r="S1610" s="5" t="str">
        <f>IFERROR(__xludf.DUMMYFUNCTION("""COMPUTED_VALUE"""),"Estrela 1")</f>
        <v>Estrela 1</v>
      </c>
    </row>
    <row r="1611">
      <c r="G1611" s="5" t="str">
        <f>IFERROR(__xludf.DUMMYFUNCTION("""COMPUTED_VALUE"""),"403🤙🏼Dances with Wolves🤙🏼Mary McDonnell🤙🏼Estrela 2")</f>
        <v>403🤙🏼Dances with Wolves🤙🏼Mary McDonnell🤙🏼Estrela 2</v>
      </c>
      <c r="H1611" s="5">
        <f>IFERROR(__xludf.DUMMYFUNCTION("SPLiT(G1611, ""🤙🏼"",FALSE,FALSE)"),403.0)</f>
        <v>403</v>
      </c>
      <c r="I1611" s="5" t="str">
        <f>IFERROR(__xludf.DUMMYFUNCTION("""COMPUTED_VALUE"""),"Dances with Wolves")</f>
        <v>Dances with Wolves</v>
      </c>
      <c r="J1611" s="5" t="str">
        <f>IFERROR(__xludf.DUMMYFUNCTION("""COMPUTED_VALUE"""),"Mary McDonnell")</f>
        <v>Mary McDonnell</v>
      </c>
      <c r="K1611" s="5" t="str">
        <f>IFERROR(__xludf.DUMMYFUNCTION("""COMPUTED_VALUE"""),"Estrela 2")</f>
        <v>Estrela 2</v>
      </c>
      <c r="P1611" s="5">
        <f>IFERROR(__xludf.DUMMYFUNCTION("""COMPUTED_VALUE"""),403.0)</f>
        <v>403</v>
      </c>
      <c r="Q1611" s="5" t="str">
        <f>IFERROR(__xludf.DUMMYFUNCTION("""COMPUTED_VALUE"""),"Dances with Wolves")</f>
        <v>Dances with Wolves</v>
      </c>
      <c r="R1611" s="5" t="str">
        <f>IFERROR(__xludf.DUMMYFUNCTION("""COMPUTED_VALUE"""),"Mary McDonnell")</f>
        <v>Mary McDonnell</v>
      </c>
      <c r="S1611" s="5" t="str">
        <f>IFERROR(__xludf.DUMMYFUNCTION("""COMPUTED_VALUE"""),"Estrela 2")</f>
        <v>Estrela 2</v>
      </c>
    </row>
    <row r="1612">
      <c r="G1612" s="5" t="str">
        <f>IFERROR(__xludf.DUMMYFUNCTION("""COMPUTED_VALUE"""),"403🤙🏼Dances with Wolves🤙🏼Graham Greene🤙🏼Estrela 3")</f>
        <v>403🤙🏼Dances with Wolves🤙🏼Graham Greene🤙🏼Estrela 3</v>
      </c>
      <c r="H1612" s="5">
        <f>IFERROR(__xludf.DUMMYFUNCTION("SPLiT(G1612, ""🤙🏼"",FALSE,FALSE)"),403.0)</f>
        <v>403</v>
      </c>
      <c r="I1612" s="5" t="str">
        <f>IFERROR(__xludf.DUMMYFUNCTION("""COMPUTED_VALUE"""),"Dances with Wolves")</f>
        <v>Dances with Wolves</v>
      </c>
      <c r="J1612" s="5" t="str">
        <f>IFERROR(__xludf.DUMMYFUNCTION("""COMPUTED_VALUE"""),"Graham Greene")</f>
        <v>Graham Greene</v>
      </c>
      <c r="K1612" s="5" t="str">
        <f>IFERROR(__xludf.DUMMYFUNCTION("""COMPUTED_VALUE"""),"Estrela 3")</f>
        <v>Estrela 3</v>
      </c>
      <c r="P1612" s="5">
        <f>IFERROR(__xludf.DUMMYFUNCTION("""COMPUTED_VALUE"""),403.0)</f>
        <v>403</v>
      </c>
      <c r="Q1612" s="5" t="str">
        <f>IFERROR(__xludf.DUMMYFUNCTION("""COMPUTED_VALUE"""),"Dances with Wolves")</f>
        <v>Dances with Wolves</v>
      </c>
      <c r="R1612" s="5" t="str">
        <f>IFERROR(__xludf.DUMMYFUNCTION("""COMPUTED_VALUE"""),"Graham Greene")</f>
        <v>Graham Greene</v>
      </c>
      <c r="S1612" s="5" t="str">
        <f>IFERROR(__xludf.DUMMYFUNCTION("""COMPUTED_VALUE"""),"Estrela 3")</f>
        <v>Estrela 3</v>
      </c>
    </row>
    <row r="1613">
      <c r="G1613" s="5" t="str">
        <f>IFERROR(__xludf.DUMMYFUNCTION("""COMPUTED_VALUE"""),"403🤙🏼Dances with Wolves🤙🏼Rodney A. Grant🤙🏼Estrela 4")</f>
        <v>403🤙🏼Dances with Wolves🤙🏼Rodney A. Grant🤙🏼Estrela 4</v>
      </c>
      <c r="H1613" s="5">
        <f>IFERROR(__xludf.DUMMYFUNCTION("SPLiT(G1613, ""🤙🏼"",FALSE,FALSE)"),403.0)</f>
        <v>403</v>
      </c>
      <c r="I1613" s="5" t="str">
        <f>IFERROR(__xludf.DUMMYFUNCTION("""COMPUTED_VALUE"""),"Dances with Wolves")</f>
        <v>Dances with Wolves</v>
      </c>
      <c r="J1613" s="5" t="str">
        <f>IFERROR(__xludf.DUMMYFUNCTION("""COMPUTED_VALUE"""),"Rodney A. Grant")</f>
        <v>Rodney A. Grant</v>
      </c>
      <c r="K1613" s="5" t="str">
        <f>IFERROR(__xludf.DUMMYFUNCTION("""COMPUTED_VALUE"""),"Estrela 4")</f>
        <v>Estrela 4</v>
      </c>
      <c r="P1613" s="5">
        <f>IFERROR(__xludf.DUMMYFUNCTION("""COMPUTED_VALUE"""),403.0)</f>
        <v>403</v>
      </c>
      <c r="Q1613" s="5" t="str">
        <f>IFERROR(__xludf.DUMMYFUNCTION("""COMPUTED_VALUE"""),"Dances with Wolves")</f>
        <v>Dances with Wolves</v>
      </c>
      <c r="R1613" s="5" t="str">
        <f>IFERROR(__xludf.DUMMYFUNCTION("""COMPUTED_VALUE"""),"Rodney A. Grant")</f>
        <v>Rodney A. Grant</v>
      </c>
      <c r="S1613" s="5" t="str">
        <f>IFERROR(__xludf.DUMMYFUNCTION("""COMPUTED_VALUE"""),"Estrela 4")</f>
        <v>Estrela 4</v>
      </c>
    </row>
    <row r="1614">
      <c r="G1614" s="5" t="str">
        <f>IFERROR(__xludf.DUMMYFUNCTION("""COMPUTED_VALUE"""),"404🤙🏼Do the Right Thing🤙🏼Danny Aiello🤙🏼Estrela 1")</f>
        <v>404🤙🏼Do the Right Thing🤙🏼Danny Aiello🤙🏼Estrela 1</v>
      </c>
      <c r="H1614" s="5">
        <f>IFERROR(__xludf.DUMMYFUNCTION("SPLiT(G1614, ""🤙🏼"",FALSE,FALSE)"),404.0)</f>
        <v>404</v>
      </c>
      <c r="I1614" s="5" t="str">
        <f>IFERROR(__xludf.DUMMYFUNCTION("""COMPUTED_VALUE"""),"Do the Right Thing")</f>
        <v>Do the Right Thing</v>
      </c>
      <c r="J1614" s="5" t="str">
        <f>IFERROR(__xludf.DUMMYFUNCTION("""COMPUTED_VALUE"""),"Danny Aiello")</f>
        <v>Danny Aiello</v>
      </c>
      <c r="K1614" s="5" t="str">
        <f>IFERROR(__xludf.DUMMYFUNCTION("""COMPUTED_VALUE"""),"Estrela 1")</f>
        <v>Estrela 1</v>
      </c>
      <c r="P1614" s="5">
        <f>IFERROR(__xludf.DUMMYFUNCTION("""COMPUTED_VALUE"""),404.0)</f>
        <v>404</v>
      </c>
      <c r="Q1614" s="5" t="str">
        <f>IFERROR(__xludf.DUMMYFUNCTION("""COMPUTED_VALUE"""),"Do the Right Thing")</f>
        <v>Do the Right Thing</v>
      </c>
      <c r="R1614" s="5" t="str">
        <f>IFERROR(__xludf.DUMMYFUNCTION("""COMPUTED_VALUE"""),"Danny Aiello")</f>
        <v>Danny Aiello</v>
      </c>
      <c r="S1614" s="5" t="str">
        <f>IFERROR(__xludf.DUMMYFUNCTION("""COMPUTED_VALUE"""),"Estrela 1")</f>
        <v>Estrela 1</v>
      </c>
    </row>
    <row r="1615">
      <c r="G1615" s="5" t="str">
        <f>IFERROR(__xludf.DUMMYFUNCTION("""COMPUTED_VALUE"""),"404🤙🏼Do the Right Thing🤙🏼Ossie Davis🤙🏼Estrela 2")</f>
        <v>404🤙🏼Do the Right Thing🤙🏼Ossie Davis🤙🏼Estrela 2</v>
      </c>
      <c r="H1615" s="5">
        <f>IFERROR(__xludf.DUMMYFUNCTION("SPLiT(G1615, ""🤙🏼"",FALSE,FALSE)"),404.0)</f>
        <v>404</v>
      </c>
      <c r="I1615" s="5" t="str">
        <f>IFERROR(__xludf.DUMMYFUNCTION("""COMPUTED_VALUE"""),"Do the Right Thing")</f>
        <v>Do the Right Thing</v>
      </c>
      <c r="J1615" s="5" t="str">
        <f>IFERROR(__xludf.DUMMYFUNCTION("""COMPUTED_VALUE"""),"Ossie Davis")</f>
        <v>Ossie Davis</v>
      </c>
      <c r="K1615" s="5" t="str">
        <f>IFERROR(__xludf.DUMMYFUNCTION("""COMPUTED_VALUE"""),"Estrela 2")</f>
        <v>Estrela 2</v>
      </c>
      <c r="P1615" s="5">
        <f>IFERROR(__xludf.DUMMYFUNCTION("""COMPUTED_VALUE"""),404.0)</f>
        <v>404</v>
      </c>
      <c r="Q1615" s="5" t="str">
        <f>IFERROR(__xludf.DUMMYFUNCTION("""COMPUTED_VALUE"""),"Do the Right Thing")</f>
        <v>Do the Right Thing</v>
      </c>
      <c r="R1615" s="5" t="str">
        <f>IFERROR(__xludf.DUMMYFUNCTION("""COMPUTED_VALUE"""),"Ossie Davis")</f>
        <v>Ossie Davis</v>
      </c>
      <c r="S1615" s="5" t="str">
        <f>IFERROR(__xludf.DUMMYFUNCTION("""COMPUTED_VALUE"""),"Estrela 2")</f>
        <v>Estrela 2</v>
      </c>
    </row>
    <row r="1616">
      <c r="G1616" s="5" t="str">
        <f>IFERROR(__xludf.DUMMYFUNCTION("""COMPUTED_VALUE"""),"404🤙🏼Do the Right Thing🤙🏼Ruby Dee🤙🏼Estrela 3")</f>
        <v>404🤙🏼Do the Right Thing🤙🏼Ruby Dee🤙🏼Estrela 3</v>
      </c>
      <c r="H1616" s="5">
        <f>IFERROR(__xludf.DUMMYFUNCTION("SPLiT(G1616, ""🤙🏼"",FALSE,FALSE)"),404.0)</f>
        <v>404</v>
      </c>
      <c r="I1616" s="5" t="str">
        <f>IFERROR(__xludf.DUMMYFUNCTION("""COMPUTED_VALUE"""),"Do the Right Thing")</f>
        <v>Do the Right Thing</v>
      </c>
      <c r="J1616" s="5" t="str">
        <f>IFERROR(__xludf.DUMMYFUNCTION("""COMPUTED_VALUE"""),"Ruby Dee")</f>
        <v>Ruby Dee</v>
      </c>
      <c r="K1616" s="5" t="str">
        <f>IFERROR(__xludf.DUMMYFUNCTION("""COMPUTED_VALUE"""),"Estrela 3")</f>
        <v>Estrela 3</v>
      </c>
      <c r="P1616" s="5">
        <f>IFERROR(__xludf.DUMMYFUNCTION("""COMPUTED_VALUE"""),404.0)</f>
        <v>404</v>
      </c>
      <c r="Q1616" s="5" t="str">
        <f>IFERROR(__xludf.DUMMYFUNCTION("""COMPUTED_VALUE"""),"Do the Right Thing")</f>
        <v>Do the Right Thing</v>
      </c>
      <c r="R1616" s="5" t="str">
        <f>IFERROR(__xludf.DUMMYFUNCTION("""COMPUTED_VALUE"""),"Ruby Dee")</f>
        <v>Ruby Dee</v>
      </c>
      <c r="S1616" s="5" t="str">
        <f>IFERROR(__xludf.DUMMYFUNCTION("""COMPUTED_VALUE"""),"Estrela 3")</f>
        <v>Estrela 3</v>
      </c>
    </row>
    <row r="1617">
      <c r="G1617" s="5" t="str">
        <f>IFERROR(__xludf.DUMMYFUNCTION("""COMPUTED_VALUE"""),"404🤙🏼Do the Right Thing🤙🏼Richard Edson🤙🏼Estrela 4")</f>
        <v>404🤙🏼Do the Right Thing🤙🏼Richard Edson🤙🏼Estrela 4</v>
      </c>
      <c r="H1617" s="5">
        <f>IFERROR(__xludf.DUMMYFUNCTION("SPLiT(G1617, ""🤙🏼"",FALSE,FALSE)"),404.0)</f>
        <v>404</v>
      </c>
      <c r="I1617" s="5" t="str">
        <f>IFERROR(__xludf.DUMMYFUNCTION("""COMPUTED_VALUE"""),"Do the Right Thing")</f>
        <v>Do the Right Thing</v>
      </c>
      <c r="J1617" s="5" t="str">
        <f>IFERROR(__xludf.DUMMYFUNCTION("""COMPUTED_VALUE"""),"Richard Edson")</f>
        <v>Richard Edson</v>
      </c>
      <c r="K1617" s="5" t="str">
        <f>IFERROR(__xludf.DUMMYFUNCTION("""COMPUTED_VALUE"""),"Estrela 4")</f>
        <v>Estrela 4</v>
      </c>
      <c r="P1617" s="5">
        <f>IFERROR(__xludf.DUMMYFUNCTION("""COMPUTED_VALUE"""),404.0)</f>
        <v>404</v>
      </c>
      <c r="Q1617" s="5" t="str">
        <f>IFERROR(__xludf.DUMMYFUNCTION("""COMPUTED_VALUE"""),"Do the Right Thing")</f>
        <v>Do the Right Thing</v>
      </c>
      <c r="R1617" s="5" t="str">
        <f>IFERROR(__xludf.DUMMYFUNCTION("""COMPUTED_VALUE"""),"Richard Edson")</f>
        <v>Richard Edson</v>
      </c>
      <c r="S1617" s="5" t="str">
        <f>IFERROR(__xludf.DUMMYFUNCTION("""COMPUTED_VALUE"""),"Estrela 4")</f>
        <v>Estrela 4</v>
      </c>
    </row>
    <row r="1618">
      <c r="G1618" s="5" t="str">
        <f>IFERROR(__xludf.DUMMYFUNCTION("""COMPUTED_VALUE"""),"405🤙🏼Rain Man🤙🏼Dustin Hoffman🤙🏼Estrela 1")</f>
        <v>405🤙🏼Rain Man🤙🏼Dustin Hoffman🤙🏼Estrela 1</v>
      </c>
      <c r="H1618" s="5">
        <f>IFERROR(__xludf.DUMMYFUNCTION("SPLiT(G1618, ""🤙🏼"",FALSE,FALSE)"),405.0)</f>
        <v>405</v>
      </c>
      <c r="I1618" s="5" t="str">
        <f>IFERROR(__xludf.DUMMYFUNCTION("""COMPUTED_VALUE"""),"Rain Man")</f>
        <v>Rain Man</v>
      </c>
      <c r="J1618" s="5" t="str">
        <f>IFERROR(__xludf.DUMMYFUNCTION("""COMPUTED_VALUE"""),"Dustin Hoffman")</f>
        <v>Dustin Hoffman</v>
      </c>
      <c r="K1618" s="5" t="str">
        <f>IFERROR(__xludf.DUMMYFUNCTION("""COMPUTED_VALUE"""),"Estrela 1")</f>
        <v>Estrela 1</v>
      </c>
      <c r="P1618" s="5">
        <f>IFERROR(__xludf.DUMMYFUNCTION("""COMPUTED_VALUE"""),405.0)</f>
        <v>405</v>
      </c>
      <c r="Q1618" s="5" t="str">
        <f>IFERROR(__xludf.DUMMYFUNCTION("""COMPUTED_VALUE"""),"Rain Man")</f>
        <v>Rain Man</v>
      </c>
      <c r="R1618" s="5" t="str">
        <f>IFERROR(__xludf.DUMMYFUNCTION("""COMPUTED_VALUE"""),"Dustin Hoffman")</f>
        <v>Dustin Hoffman</v>
      </c>
      <c r="S1618" s="5" t="str">
        <f>IFERROR(__xludf.DUMMYFUNCTION("""COMPUTED_VALUE"""),"Estrela 1")</f>
        <v>Estrela 1</v>
      </c>
    </row>
    <row r="1619">
      <c r="G1619" s="5" t="str">
        <f>IFERROR(__xludf.DUMMYFUNCTION("""COMPUTED_VALUE"""),"405🤙🏼Rain Man🤙🏼Tom Cruise🤙🏼Estrela 2")</f>
        <v>405🤙🏼Rain Man🤙🏼Tom Cruise🤙🏼Estrela 2</v>
      </c>
      <c r="H1619" s="5">
        <f>IFERROR(__xludf.DUMMYFUNCTION("SPLiT(G1619, ""🤙🏼"",FALSE,FALSE)"),405.0)</f>
        <v>405</v>
      </c>
      <c r="I1619" s="5" t="str">
        <f>IFERROR(__xludf.DUMMYFUNCTION("""COMPUTED_VALUE"""),"Rain Man")</f>
        <v>Rain Man</v>
      </c>
      <c r="J1619" s="5" t="str">
        <f>IFERROR(__xludf.DUMMYFUNCTION("""COMPUTED_VALUE"""),"Tom Cruise")</f>
        <v>Tom Cruise</v>
      </c>
      <c r="K1619" s="5" t="str">
        <f>IFERROR(__xludf.DUMMYFUNCTION("""COMPUTED_VALUE"""),"Estrela 2")</f>
        <v>Estrela 2</v>
      </c>
      <c r="P1619" s="5">
        <f>IFERROR(__xludf.DUMMYFUNCTION("""COMPUTED_VALUE"""),405.0)</f>
        <v>405</v>
      </c>
      <c r="Q1619" s="5" t="str">
        <f>IFERROR(__xludf.DUMMYFUNCTION("""COMPUTED_VALUE"""),"Rain Man")</f>
        <v>Rain Man</v>
      </c>
      <c r="R1619" s="5" t="str">
        <f>IFERROR(__xludf.DUMMYFUNCTION("""COMPUTED_VALUE"""),"Tom Cruise")</f>
        <v>Tom Cruise</v>
      </c>
      <c r="S1619" s="5" t="str">
        <f>IFERROR(__xludf.DUMMYFUNCTION("""COMPUTED_VALUE"""),"Estrela 2")</f>
        <v>Estrela 2</v>
      </c>
    </row>
    <row r="1620">
      <c r="G1620" s="5" t="str">
        <f>IFERROR(__xludf.DUMMYFUNCTION("""COMPUTED_VALUE"""),"405🤙🏼Rain Man🤙🏼Valeria Golino🤙🏼Estrela 3")</f>
        <v>405🤙🏼Rain Man🤙🏼Valeria Golino🤙🏼Estrela 3</v>
      </c>
      <c r="H1620" s="5">
        <f>IFERROR(__xludf.DUMMYFUNCTION("SPLiT(G1620, ""🤙🏼"",FALSE,FALSE)"),405.0)</f>
        <v>405</v>
      </c>
      <c r="I1620" s="5" t="str">
        <f>IFERROR(__xludf.DUMMYFUNCTION("""COMPUTED_VALUE"""),"Rain Man")</f>
        <v>Rain Man</v>
      </c>
      <c r="J1620" s="5" t="str">
        <f>IFERROR(__xludf.DUMMYFUNCTION("""COMPUTED_VALUE"""),"Valeria Golino")</f>
        <v>Valeria Golino</v>
      </c>
      <c r="K1620" s="5" t="str">
        <f>IFERROR(__xludf.DUMMYFUNCTION("""COMPUTED_VALUE"""),"Estrela 3")</f>
        <v>Estrela 3</v>
      </c>
      <c r="P1620" s="5">
        <f>IFERROR(__xludf.DUMMYFUNCTION("""COMPUTED_VALUE"""),405.0)</f>
        <v>405</v>
      </c>
      <c r="Q1620" s="5" t="str">
        <f>IFERROR(__xludf.DUMMYFUNCTION("""COMPUTED_VALUE"""),"Rain Man")</f>
        <v>Rain Man</v>
      </c>
      <c r="R1620" s="5" t="str">
        <f>IFERROR(__xludf.DUMMYFUNCTION("""COMPUTED_VALUE"""),"Valeria Golino")</f>
        <v>Valeria Golino</v>
      </c>
      <c r="S1620" s="5" t="str">
        <f>IFERROR(__xludf.DUMMYFUNCTION("""COMPUTED_VALUE"""),"Estrela 3")</f>
        <v>Estrela 3</v>
      </c>
    </row>
    <row r="1621">
      <c r="G1621" s="5" t="str">
        <f>IFERROR(__xludf.DUMMYFUNCTION("""COMPUTED_VALUE"""),"405🤙🏼Rain Man🤙🏼Gerald R. Molen🤙🏼Estrela 4")</f>
        <v>405🤙🏼Rain Man🤙🏼Gerald R. Molen🤙🏼Estrela 4</v>
      </c>
      <c r="H1621" s="5">
        <f>IFERROR(__xludf.DUMMYFUNCTION("SPLiT(G1621, ""🤙🏼"",FALSE,FALSE)"),405.0)</f>
        <v>405</v>
      </c>
      <c r="I1621" s="5" t="str">
        <f>IFERROR(__xludf.DUMMYFUNCTION("""COMPUTED_VALUE"""),"Rain Man")</f>
        <v>Rain Man</v>
      </c>
      <c r="J1621" s="5" t="str">
        <f>IFERROR(__xludf.DUMMYFUNCTION("""COMPUTED_VALUE"""),"Gerald R. Molen")</f>
        <v>Gerald R. Molen</v>
      </c>
      <c r="K1621" s="5" t="str">
        <f>IFERROR(__xludf.DUMMYFUNCTION("""COMPUTED_VALUE"""),"Estrela 4")</f>
        <v>Estrela 4</v>
      </c>
      <c r="P1621" s="5">
        <f>IFERROR(__xludf.DUMMYFUNCTION("""COMPUTED_VALUE"""),405.0)</f>
        <v>405</v>
      </c>
      <c r="Q1621" s="5" t="str">
        <f>IFERROR(__xludf.DUMMYFUNCTION("""COMPUTED_VALUE"""),"Rain Man")</f>
        <v>Rain Man</v>
      </c>
      <c r="R1621" s="5" t="str">
        <f>IFERROR(__xludf.DUMMYFUNCTION("""COMPUTED_VALUE"""),"Gerald R. Molen")</f>
        <v>Gerald R. Molen</v>
      </c>
      <c r="S1621" s="5" t="str">
        <f>IFERROR(__xludf.DUMMYFUNCTION("""COMPUTED_VALUE"""),"Estrela 4")</f>
        <v>Estrela 4</v>
      </c>
    </row>
    <row r="1622">
      <c r="G1622" s="5" t="str">
        <f>IFERROR(__xludf.DUMMYFUNCTION("""COMPUTED_VALUE"""),"406🤙🏼Akira🤙🏼Mitsuo Iwata🤙🏼Estrela 1")</f>
        <v>406🤙🏼Akira🤙🏼Mitsuo Iwata🤙🏼Estrela 1</v>
      </c>
      <c r="H1622" s="5">
        <f>IFERROR(__xludf.DUMMYFUNCTION("SPLiT(G1622, ""🤙🏼"",FALSE,FALSE)"),406.0)</f>
        <v>406</v>
      </c>
      <c r="I1622" s="5" t="str">
        <f>IFERROR(__xludf.DUMMYFUNCTION("""COMPUTED_VALUE"""),"Akira")</f>
        <v>Akira</v>
      </c>
      <c r="J1622" s="5" t="str">
        <f>IFERROR(__xludf.DUMMYFUNCTION("""COMPUTED_VALUE"""),"Mitsuo Iwata")</f>
        <v>Mitsuo Iwata</v>
      </c>
      <c r="K1622" s="5" t="str">
        <f>IFERROR(__xludf.DUMMYFUNCTION("""COMPUTED_VALUE"""),"Estrela 1")</f>
        <v>Estrela 1</v>
      </c>
      <c r="P1622" s="5">
        <f>IFERROR(__xludf.DUMMYFUNCTION("""COMPUTED_VALUE"""),406.0)</f>
        <v>406</v>
      </c>
      <c r="Q1622" s="5" t="str">
        <f>IFERROR(__xludf.DUMMYFUNCTION("""COMPUTED_VALUE"""),"Akira")</f>
        <v>Akira</v>
      </c>
      <c r="R1622" s="5" t="str">
        <f>IFERROR(__xludf.DUMMYFUNCTION("""COMPUTED_VALUE"""),"Mitsuo Iwata")</f>
        <v>Mitsuo Iwata</v>
      </c>
      <c r="S1622" s="5" t="str">
        <f>IFERROR(__xludf.DUMMYFUNCTION("""COMPUTED_VALUE"""),"Estrela 1")</f>
        <v>Estrela 1</v>
      </c>
    </row>
    <row r="1623">
      <c r="G1623" s="5" t="str">
        <f>IFERROR(__xludf.DUMMYFUNCTION("""COMPUTED_VALUE"""),"406🤙🏼Akira🤙🏼Nozomu Sasaki🤙🏼Estrela 2")</f>
        <v>406🤙🏼Akira🤙🏼Nozomu Sasaki🤙🏼Estrela 2</v>
      </c>
      <c r="H1623" s="5">
        <f>IFERROR(__xludf.DUMMYFUNCTION("SPLiT(G1623, ""🤙🏼"",FALSE,FALSE)"),406.0)</f>
        <v>406</v>
      </c>
      <c r="I1623" s="5" t="str">
        <f>IFERROR(__xludf.DUMMYFUNCTION("""COMPUTED_VALUE"""),"Akira")</f>
        <v>Akira</v>
      </c>
      <c r="J1623" s="5" t="str">
        <f>IFERROR(__xludf.DUMMYFUNCTION("""COMPUTED_VALUE"""),"Nozomu Sasaki")</f>
        <v>Nozomu Sasaki</v>
      </c>
      <c r="K1623" s="5" t="str">
        <f>IFERROR(__xludf.DUMMYFUNCTION("""COMPUTED_VALUE"""),"Estrela 2")</f>
        <v>Estrela 2</v>
      </c>
      <c r="P1623" s="5">
        <f>IFERROR(__xludf.DUMMYFUNCTION("""COMPUTED_VALUE"""),406.0)</f>
        <v>406</v>
      </c>
      <c r="Q1623" s="5" t="str">
        <f>IFERROR(__xludf.DUMMYFUNCTION("""COMPUTED_VALUE"""),"Akira")</f>
        <v>Akira</v>
      </c>
      <c r="R1623" s="5" t="str">
        <f>IFERROR(__xludf.DUMMYFUNCTION("""COMPUTED_VALUE"""),"Nozomu Sasaki")</f>
        <v>Nozomu Sasaki</v>
      </c>
      <c r="S1623" s="5" t="str">
        <f>IFERROR(__xludf.DUMMYFUNCTION("""COMPUTED_VALUE"""),"Estrela 2")</f>
        <v>Estrela 2</v>
      </c>
    </row>
    <row r="1624">
      <c r="G1624" s="5" t="str">
        <f>IFERROR(__xludf.DUMMYFUNCTION("""COMPUTED_VALUE"""),"406🤙🏼Akira🤙🏼Mami Koyama🤙🏼Estrela 3")</f>
        <v>406🤙🏼Akira🤙🏼Mami Koyama🤙🏼Estrela 3</v>
      </c>
      <c r="H1624" s="5">
        <f>IFERROR(__xludf.DUMMYFUNCTION("SPLiT(G1624, ""🤙🏼"",FALSE,FALSE)"),406.0)</f>
        <v>406</v>
      </c>
      <c r="I1624" s="5" t="str">
        <f>IFERROR(__xludf.DUMMYFUNCTION("""COMPUTED_VALUE"""),"Akira")</f>
        <v>Akira</v>
      </c>
      <c r="J1624" s="5" t="str">
        <f>IFERROR(__xludf.DUMMYFUNCTION("""COMPUTED_VALUE"""),"Mami Koyama")</f>
        <v>Mami Koyama</v>
      </c>
      <c r="K1624" s="5" t="str">
        <f>IFERROR(__xludf.DUMMYFUNCTION("""COMPUTED_VALUE"""),"Estrela 3")</f>
        <v>Estrela 3</v>
      </c>
      <c r="P1624" s="5">
        <f>IFERROR(__xludf.DUMMYFUNCTION("""COMPUTED_VALUE"""),406.0)</f>
        <v>406</v>
      </c>
      <c r="Q1624" s="5" t="str">
        <f>IFERROR(__xludf.DUMMYFUNCTION("""COMPUTED_VALUE"""),"Akira")</f>
        <v>Akira</v>
      </c>
      <c r="R1624" s="5" t="str">
        <f>IFERROR(__xludf.DUMMYFUNCTION("""COMPUTED_VALUE"""),"Mami Koyama")</f>
        <v>Mami Koyama</v>
      </c>
      <c r="S1624" s="5" t="str">
        <f>IFERROR(__xludf.DUMMYFUNCTION("""COMPUTED_VALUE"""),"Estrela 3")</f>
        <v>Estrela 3</v>
      </c>
    </row>
    <row r="1625">
      <c r="G1625" s="5" t="str">
        <f>IFERROR(__xludf.DUMMYFUNCTION("""COMPUTED_VALUE"""),"406🤙🏼Akira🤙🏼Tesshô Genda🤙🏼Estrela 4")</f>
        <v>406🤙🏼Akira🤙🏼Tesshô Genda🤙🏼Estrela 4</v>
      </c>
      <c r="H1625" s="5">
        <f>IFERROR(__xludf.DUMMYFUNCTION("SPLiT(G1625, ""🤙🏼"",FALSE,FALSE)"),406.0)</f>
        <v>406</v>
      </c>
      <c r="I1625" s="5" t="str">
        <f>IFERROR(__xludf.DUMMYFUNCTION("""COMPUTED_VALUE"""),"Akira")</f>
        <v>Akira</v>
      </c>
      <c r="J1625" s="5" t="str">
        <f>IFERROR(__xludf.DUMMYFUNCTION("""COMPUTED_VALUE"""),"Tesshô Genda")</f>
        <v>Tesshô Genda</v>
      </c>
      <c r="K1625" s="5" t="str">
        <f>IFERROR(__xludf.DUMMYFUNCTION("""COMPUTED_VALUE"""),"Estrela 4")</f>
        <v>Estrela 4</v>
      </c>
      <c r="P1625" s="5">
        <f>IFERROR(__xludf.DUMMYFUNCTION("""COMPUTED_VALUE"""),406.0)</f>
        <v>406</v>
      </c>
      <c r="Q1625" s="5" t="str">
        <f>IFERROR(__xludf.DUMMYFUNCTION("""COMPUTED_VALUE"""),"Akira")</f>
        <v>Akira</v>
      </c>
      <c r="R1625" s="5" t="str">
        <f>IFERROR(__xludf.DUMMYFUNCTION("""COMPUTED_VALUE"""),"Tesshô Genda")</f>
        <v>Tesshô Genda</v>
      </c>
      <c r="S1625" s="5" t="str">
        <f>IFERROR(__xludf.DUMMYFUNCTION("""COMPUTED_VALUE"""),"Estrela 4")</f>
        <v>Estrela 4</v>
      </c>
    </row>
    <row r="1626">
      <c r="G1626" s="5" t="str">
        <f>IFERROR(__xludf.DUMMYFUNCTION("""COMPUTED_VALUE"""),"407🤙🏼The Princess Bride🤙🏼Cary Elwes🤙🏼Estrela 1")</f>
        <v>407🤙🏼The Princess Bride🤙🏼Cary Elwes🤙🏼Estrela 1</v>
      </c>
      <c r="H1626" s="5">
        <f>IFERROR(__xludf.DUMMYFUNCTION("SPLiT(G1626, ""🤙🏼"",FALSE,FALSE)"),407.0)</f>
        <v>407</v>
      </c>
      <c r="I1626" s="5" t="str">
        <f>IFERROR(__xludf.DUMMYFUNCTION("""COMPUTED_VALUE"""),"The Princess Bride")</f>
        <v>The Princess Bride</v>
      </c>
      <c r="J1626" s="5" t="str">
        <f>IFERROR(__xludf.DUMMYFUNCTION("""COMPUTED_VALUE"""),"Cary Elwes")</f>
        <v>Cary Elwes</v>
      </c>
      <c r="K1626" s="5" t="str">
        <f>IFERROR(__xludf.DUMMYFUNCTION("""COMPUTED_VALUE"""),"Estrela 1")</f>
        <v>Estrela 1</v>
      </c>
      <c r="P1626" s="5">
        <f>IFERROR(__xludf.DUMMYFUNCTION("""COMPUTED_VALUE"""),407.0)</f>
        <v>407</v>
      </c>
      <c r="Q1626" s="5" t="str">
        <f>IFERROR(__xludf.DUMMYFUNCTION("""COMPUTED_VALUE"""),"The Princess Bride")</f>
        <v>The Princess Bride</v>
      </c>
      <c r="R1626" s="5" t="str">
        <f>IFERROR(__xludf.DUMMYFUNCTION("""COMPUTED_VALUE"""),"Cary Elwes")</f>
        <v>Cary Elwes</v>
      </c>
      <c r="S1626" s="5" t="str">
        <f>IFERROR(__xludf.DUMMYFUNCTION("""COMPUTED_VALUE"""),"Estrela 1")</f>
        <v>Estrela 1</v>
      </c>
    </row>
    <row r="1627">
      <c r="G1627" s="5" t="str">
        <f>IFERROR(__xludf.DUMMYFUNCTION("""COMPUTED_VALUE"""),"407🤙🏼The Princess Bride🤙🏼Mandy Patinkin🤙🏼Estrela 2")</f>
        <v>407🤙🏼The Princess Bride🤙🏼Mandy Patinkin🤙🏼Estrela 2</v>
      </c>
      <c r="H1627" s="5">
        <f>IFERROR(__xludf.DUMMYFUNCTION("SPLiT(G1627, ""🤙🏼"",FALSE,FALSE)"),407.0)</f>
        <v>407</v>
      </c>
      <c r="I1627" s="5" t="str">
        <f>IFERROR(__xludf.DUMMYFUNCTION("""COMPUTED_VALUE"""),"The Princess Bride")</f>
        <v>The Princess Bride</v>
      </c>
      <c r="J1627" s="5" t="str">
        <f>IFERROR(__xludf.DUMMYFUNCTION("""COMPUTED_VALUE"""),"Mandy Patinkin")</f>
        <v>Mandy Patinkin</v>
      </c>
      <c r="K1627" s="5" t="str">
        <f>IFERROR(__xludf.DUMMYFUNCTION("""COMPUTED_VALUE"""),"Estrela 2")</f>
        <v>Estrela 2</v>
      </c>
      <c r="P1627" s="5">
        <f>IFERROR(__xludf.DUMMYFUNCTION("""COMPUTED_VALUE"""),407.0)</f>
        <v>407</v>
      </c>
      <c r="Q1627" s="5" t="str">
        <f>IFERROR(__xludf.DUMMYFUNCTION("""COMPUTED_VALUE"""),"The Princess Bride")</f>
        <v>The Princess Bride</v>
      </c>
      <c r="R1627" s="5" t="str">
        <f>IFERROR(__xludf.DUMMYFUNCTION("""COMPUTED_VALUE"""),"Mandy Patinkin")</f>
        <v>Mandy Patinkin</v>
      </c>
      <c r="S1627" s="5" t="str">
        <f>IFERROR(__xludf.DUMMYFUNCTION("""COMPUTED_VALUE"""),"Estrela 2")</f>
        <v>Estrela 2</v>
      </c>
    </row>
    <row r="1628">
      <c r="G1628" s="5" t="str">
        <f>IFERROR(__xludf.DUMMYFUNCTION("""COMPUTED_VALUE"""),"407🤙🏼The Princess Bride🤙🏼Robin Wright🤙🏼Estrela 3")</f>
        <v>407🤙🏼The Princess Bride🤙🏼Robin Wright🤙🏼Estrela 3</v>
      </c>
      <c r="H1628" s="5">
        <f>IFERROR(__xludf.DUMMYFUNCTION("SPLiT(G1628, ""🤙🏼"",FALSE,FALSE)"),407.0)</f>
        <v>407</v>
      </c>
      <c r="I1628" s="5" t="str">
        <f>IFERROR(__xludf.DUMMYFUNCTION("""COMPUTED_VALUE"""),"The Princess Bride")</f>
        <v>The Princess Bride</v>
      </c>
      <c r="J1628" s="5" t="str">
        <f>IFERROR(__xludf.DUMMYFUNCTION("""COMPUTED_VALUE"""),"Robin Wright")</f>
        <v>Robin Wright</v>
      </c>
      <c r="K1628" s="5" t="str">
        <f>IFERROR(__xludf.DUMMYFUNCTION("""COMPUTED_VALUE"""),"Estrela 3")</f>
        <v>Estrela 3</v>
      </c>
      <c r="P1628" s="5">
        <f>IFERROR(__xludf.DUMMYFUNCTION("""COMPUTED_VALUE"""),407.0)</f>
        <v>407</v>
      </c>
      <c r="Q1628" s="5" t="str">
        <f>IFERROR(__xludf.DUMMYFUNCTION("""COMPUTED_VALUE"""),"The Princess Bride")</f>
        <v>The Princess Bride</v>
      </c>
      <c r="R1628" s="5" t="str">
        <f>IFERROR(__xludf.DUMMYFUNCTION("""COMPUTED_VALUE"""),"Robin Wright")</f>
        <v>Robin Wright</v>
      </c>
      <c r="S1628" s="5" t="str">
        <f>IFERROR(__xludf.DUMMYFUNCTION("""COMPUTED_VALUE"""),"Estrela 3")</f>
        <v>Estrela 3</v>
      </c>
    </row>
    <row r="1629">
      <c r="G1629" s="5" t="str">
        <f>IFERROR(__xludf.DUMMYFUNCTION("""COMPUTED_VALUE"""),"407🤙🏼The Princess Bride🤙🏼Chris Sarandon🤙🏼Estrela 4")</f>
        <v>407🤙🏼The Princess Bride🤙🏼Chris Sarandon🤙🏼Estrela 4</v>
      </c>
      <c r="H1629" s="5">
        <f>IFERROR(__xludf.DUMMYFUNCTION("SPLiT(G1629, ""🤙🏼"",FALSE,FALSE)"),407.0)</f>
        <v>407</v>
      </c>
      <c r="I1629" s="5" t="str">
        <f>IFERROR(__xludf.DUMMYFUNCTION("""COMPUTED_VALUE"""),"The Princess Bride")</f>
        <v>The Princess Bride</v>
      </c>
      <c r="J1629" s="5" t="str">
        <f>IFERROR(__xludf.DUMMYFUNCTION("""COMPUTED_VALUE"""),"Chris Sarandon")</f>
        <v>Chris Sarandon</v>
      </c>
      <c r="K1629" s="5" t="str">
        <f>IFERROR(__xludf.DUMMYFUNCTION("""COMPUTED_VALUE"""),"Estrela 4")</f>
        <v>Estrela 4</v>
      </c>
      <c r="P1629" s="5">
        <f>IFERROR(__xludf.DUMMYFUNCTION("""COMPUTED_VALUE"""),407.0)</f>
        <v>407</v>
      </c>
      <c r="Q1629" s="5" t="str">
        <f>IFERROR(__xludf.DUMMYFUNCTION("""COMPUTED_VALUE"""),"The Princess Bride")</f>
        <v>The Princess Bride</v>
      </c>
      <c r="R1629" s="5" t="str">
        <f>IFERROR(__xludf.DUMMYFUNCTION("""COMPUTED_VALUE"""),"Chris Sarandon")</f>
        <v>Chris Sarandon</v>
      </c>
      <c r="S1629" s="5" t="str">
        <f>IFERROR(__xludf.DUMMYFUNCTION("""COMPUTED_VALUE"""),"Estrela 4")</f>
        <v>Estrela 4</v>
      </c>
    </row>
    <row r="1630">
      <c r="G1630" s="5" t="str">
        <f>IFERROR(__xludf.DUMMYFUNCTION("""COMPUTED_VALUE"""),"408🤙🏼Der Himmel über Berlin🤙🏼Bruno Ganz🤙🏼Estrela 1")</f>
        <v>408🤙🏼Der Himmel über Berlin🤙🏼Bruno Ganz🤙🏼Estrela 1</v>
      </c>
      <c r="H1630" s="5">
        <f>IFERROR(__xludf.DUMMYFUNCTION("SPLiT(G1630, ""🤙🏼"",FALSE,FALSE)"),408.0)</f>
        <v>408</v>
      </c>
      <c r="I1630" s="5" t="str">
        <f>IFERROR(__xludf.DUMMYFUNCTION("""COMPUTED_VALUE"""),"Der Himmel über Berlin")</f>
        <v>Der Himmel über Berlin</v>
      </c>
      <c r="J1630" s="5" t="str">
        <f>IFERROR(__xludf.DUMMYFUNCTION("""COMPUTED_VALUE"""),"Bruno Ganz")</f>
        <v>Bruno Ganz</v>
      </c>
      <c r="K1630" s="5" t="str">
        <f>IFERROR(__xludf.DUMMYFUNCTION("""COMPUTED_VALUE"""),"Estrela 1")</f>
        <v>Estrela 1</v>
      </c>
      <c r="P1630" s="5">
        <f>IFERROR(__xludf.DUMMYFUNCTION("""COMPUTED_VALUE"""),408.0)</f>
        <v>408</v>
      </c>
      <c r="Q1630" s="5" t="str">
        <f>IFERROR(__xludf.DUMMYFUNCTION("""COMPUTED_VALUE"""),"Der Himmel über Berlin")</f>
        <v>Der Himmel über Berlin</v>
      </c>
      <c r="R1630" s="5" t="str">
        <f>IFERROR(__xludf.DUMMYFUNCTION("""COMPUTED_VALUE"""),"Bruno Ganz")</f>
        <v>Bruno Ganz</v>
      </c>
      <c r="S1630" s="5" t="str">
        <f>IFERROR(__xludf.DUMMYFUNCTION("""COMPUTED_VALUE"""),"Estrela 1")</f>
        <v>Estrela 1</v>
      </c>
    </row>
    <row r="1631">
      <c r="G1631" s="5" t="str">
        <f>IFERROR(__xludf.DUMMYFUNCTION("""COMPUTED_VALUE"""),"408🤙🏼Der Himmel über Berlin🤙🏼Solveig Dommartin🤙🏼Estrela 2")</f>
        <v>408🤙🏼Der Himmel über Berlin🤙🏼Solveig Dommartin🤙🏼Estrela 2</v>
      </c>
      <c r="H1631" s="5">
        <f>IFERROR(__xludf.DUMMYFUNCTION("SPLiT(G1631, ""🤙🏼"",FALSE,FALSE)"),408.0)</f>
        <v>408</v>
      </c>
      <c r="I1631" s="5" t="str">
        <f>IFERROR(__xludf.DUMMYFUNCTION("""COMPUTED_VALUE"""),"Der Himmel über Berlin")</f>
        <v>Der Himmel über Berlin</v>
      </c>
      <c r="J1631" s="5" t="str">
        <f>IFERROR(__xludf.DUMMYFUNCTION("""COMPUTED_VALUE"""),"Solveig Dommartin")</f>
        <v>Solveig Dommartin</v>
      </c>
      <c r="K1631" s="5" t="str">
        <f>IFERROR(__xludf.DUMMYFUNCTION("""COMPUTED_VALUE"""),"Estrela 2")</f>
        <v>Estrela 2</v>
      </c>
      <c r="P1631" s="5">
        <f>IFERROR(__xludf.DUMMYFUNCTION("""COMPUTED_VALUE"""),408.0)</f>
        <v>408</v>
      </c>
      <c r="Q1631" s="5" t="str">
        <f>IFERROR(__xludf.DUMMYFUNCTION("""COMPUTED_VALUE"""),"Der Himmel über Berlin")</f>
        <v>Der Himmel über Berlin</v>
      </c>
      <c r="R1631" s="5" t="str">
        <f>IFERROR(__xludf.DUMMYFUNCTION("""COMPUTED_VALUE"""),"Solveig Dommartin")</f>
        <v>Solveig Dommartin</v>
      </c>
      <c r="S1631" s="5" t="str">
        <f>IFERROR(__xludf.DUMMYFUNCTION("""COMPUTED_VALUE"""),"Estrela 2")</f>
        <v>Estrela 2</v>
      </c>
    </row>
    <row r="1632">
      <c r="G1632" s="5" t="str">
        <f>IFERROR(__xludf.DUMMYFUNCTION("""COMPUTED_VALUE"""),"408🤙🏼Der Himmel über Berlin🤙🏼Otto Sander🤙🏼Estrela 3")</f>
        <v>408🤙🏼Der Himmel über Berlin🤙🏼Otto Sander🤙🏼Estrela 3</v>
      </c>
      <c r="H1632" s="5">
        <f>IFERROR(__xludf.DUMMYFUNCTION("SPLiT(G1632, ""🤙🏼"",FALSE,FALSE)"),408.0)</f>
        <v>408</v>
      </c>
      <c r="I1632" s="5" t="str">
        <f>IFERROR(__xludf.DUMMYFUNCTION("""COMPUTED_VALUE"""),"Der Himmel über Berlin")</f>
        <v>Der Himmel über Berlin</v>
      </c>
      <c r="J1632" s="5" t="str">
        <f>IFERROR(__xludf.DUMMYFUNCTION("""COMPUTED_VALUE"""),"Otto Sander")</f>
        <v>Otto Sander</v>
      </c>
      <c r="K1632" s="5" t="str">
        <f>IFERROR(__xludf.DUMMYFUNCTION("""COMPUTED_VALUE"""),"Estrela 3")</f>
        <v>Estrela 3</v>
      </c>
      <c r="P1632" s="5">
        <f>IFERROR(__xludf.DUMMYFUNCTION("""COMPUTED_VALUE"""),408.0)</f>
        <v>408</v>
      </c>
      <c r="Q1632" s="5" t="str">
        <f>IFERROR(__xludf.DUMMYFUNCTION("""COMPUTED_VALUE"""),"Der Himmel über Berlin")</f>
        <v>Der Himmel über Berlin</v>
      </c>
      <c r="R1632" s="5" t="str">
        <f>IFERROR(__xludf.DUMMYFUNCTION("""COMPUTED_VALUE"""),"Otto Sander")</f>
        <v>Otto Sander</v>
      </c>
      <c r="S1632" s="5" t="str">
        <f>IFERROR(__xludf.DUMMYFUNCTION("""COMPUTED_VALUE"""),"Estrela 3")</f>
        <v>Estrela 3</v>
      </c>
    </row>
    <row r="1633">
      <c r="G1633" s="5" t="str">
        <f>IFERROR(__xludf.DUMMYFUNCTION("""COMPUTED_VALUE"""),"408🤙🏼Der Himmel über Berlin🤙🏼Curt Bois🤙🏼Estrela 4")</f>
        <v>408🤙🏼Der Himmel über Berlin🤙🏼Curt Bois🤙🏼Estrela 4</v>
      </c>
      <c r="H1633" s="5">
        <f>IFERROR(__xludf.DUMMYFUNCTION("SPLiT(G1633, ""🤙🏼"",FALSE,FALSE)"),408.0)</f>
        <v>408</v>
      </c>
      <c r="I1633" s="5" t="str">
        <f>IFERROR(__xludf.DUMMYFUNCTION("""COMPUTED_VALUE"""),"Der Himmel über Berlin")</f>
        <v>Der Himmel über Berlin</v>
      </c>
      <c r="J1633" s="5" t="str">
        <f>IFERROR(__xludf.DUMMYFUNCTION("""COMPUTED_VALUE"""),"Curt Bois")</f>
        <v>Curt Bois</v>
      </c>
      <c r="K1633" s="5" t="str">
        <f>IFERROR(__xludf.DUMMYFUNCTION("""COMPUTED_VALUE"""),"Estrela 4")</f>
        <v>Estrela 4</v>
      </c>
      <c r="P1633" s="5">
        <f>IFERROR(__xludf.DUMMYFUNCTION("""COMPUTED_VALUE"""),408.0)</f>
        <v>408</v>
      </c>
      <c r="Q1633" s="5" t="str">
        <f>IFERROR(__xludf.DUMMYFUNCTION("""COMPUTED_VALUE"""),"Der Himmel über Berlin")</f>
        <v>Der Himmel über Berlin</v>
      </c>
      <c r="R1633" s="5" t="str">
        <f>IFERROR(__xludf.DUMMYFUNCTION("""COMPUTED_VALUE"""),"Curt Bois")</f>
        <v>Curt Bois</v>
      </c>
      <c r="S1633" s="5" t="str">
        <f>IFERROR(__xludf.DUMMYFUNCTION("""COMPUTED_VALUE"""),"Estrela 4")</f>
        <v>Estrela 4</v>
      </c>
    </row>
    <row r="1634">
      <c r="G1634" s="5" t="str">
        <f>IFERROR(__xludf.DUMMYFUNCTION("""COMPUTED_VALUE"""),"409🤙🏼Au revoir les enfants🤙🏼Gaspard Manesse🤙🏼Estrela 1")</f>
        <v>409🤙🏼Au revoir les enfants🤙🏼Gaspard Manesse🤙🏼Estrela 1</v>
      </c>
      <c r="H1634" s="5">
        <f>IFERROR(__xludf.DUMMYFUNCTION("SPLiT(G1634, ""🤙🏼"",FALSE,FALSE)"),409.0)</f>
        <v>409</v>
      </c>
      <c r="I1634" s="5" t="str">
        <f>IFERROR(__xludf.DUMMYFUNCTION("""COMPUTED_VALUE"""),"Au revoir les enfants")</f>
        <v>Au revoir les enfants</v>
      </c>
      <c r="J1634" s="5" t="str">
        <f>IFERROR(__xludf.DUMMYFUNCTION("""COMPUTED_VALUE"""),"Gaspard Manesse")</f>
        <v>Gaspard Manesse</v>
      </c>
      <c r="K1634" s="5" t="str">
        <f>IFERROR(__xludf.DUMMYFUNCTION("""COMPUTED_VALUE"""),"Estrela 1")</f>
        <v>Estrela 1</v>
      </c>
      <c r="P1634" s="5">
        <f>IFERROR(__xludf.DUMMYFUNCTION("""COMPUTED_VALUE"""),409.0)</f>
        <v>409</v>
      </c>
      <c r="Q1634" s="5" t="str">
        <f>IFERROR(__xludf.DUMMYFUNCTION("""COMPUTED_VALUE"""),"Au revoir les enfants")</f>
        <v>Au revoir les enfants</v>
      </c>
      <c r="R1634" s="5" t="str">
        <f>IFERROR(__xludf.DUMMYFUNCTION("""COMPUTED_VALUE"""),"Gaspard Manesse")</f>
        <v>Gaspard Manesse</v>
      </c>
      <c r="S1634" s="5" t="str">
        <f>IFERROR(__xludf.DUMMYFUNCTION("""COMPUTED_VALUE"""),"Estrela 1")</f>
        <v>Estrela 1</v>
      </c>
    </row>
    <row r="1635">
      <c r="G1635" s="5" t="str">
        <f>IFERROR(__xludf.DUMMYFUNCTION("""COMPUTED_VALUE"""),"409🤙🏼Au revoir les enfants🤙🏼Raphael Fejtö🤙🏼Estrela 2")</f>
        <v>409🤙🏼Au revoir les enfants🤙🏼Raphael Fejtö🤙🏼Estrela 2</v>
      </c>
      <c r="H1635" s="5">
        <f>IFERROR(__xludf.DUMMYFUNCTION("SPLiT(G1635, ""🤙🏼"",FALSE,FALSE)"),409.0)</f>
        <v>409</v>
      </c>
      <c r="I1635" s="5" t="str">
        <f>IFERROR(__xludf.DUMMYFUNCTION("""COMPUTED_VALUE"""),"Au revoir les enfants")</f>
        <v>Au revoir les enfants</v>
      </c>
      <c r="J1635" s="5" t="str">
        <f>IFERROR(__xludf.DUMMYFUNCTION("""COMPUTED_VALUE"""),"Raphael Fejtö")</f>
        <v>Raphael Fejtö</v>
      </c>
      <c r="K1635" s="5" t="str">
        <f>IFERROR(__xludf.DUMMYFUNCTION("""COMPUTED_VALUE"""),"Estrela 2")</f>
        <v>Estrela 2</v>
      </c>
      <c r="P1635" s="5">
        <f>IFERROR(__xludf.DUMMYFUNCTION("""COMPUTED_VALUE"""),409.0)</f>
        <v>409</v>
      </c>
      <c r="Q1635" s="5" t="str">
        <f>IFERROR(__xludf.DUMMYFUNCTION("""COMPUTED_VALUE"""),"Au revoir les enfants")</f>
        <v>Au revoir les enfants</v>
      </c>
      <c r="R1635" s="5" t="str">
        <f>IFERROR(__xludf.DUMMYFUNCTION("""COMPUTED_VALUE"""),"Raphael Fejtö")</f>
        <v>Raphael Fejtö</v>
      </c>
      <c r="S1635" s="5" t="str">
        <f>IFERROR(__xludf.DUMMYFUNCTION("""COMPUTED_VALUE"""),"Estrela 2")</f>
        <v>Estrela 2</v>
      </c>
    </row>
    <row r="1636">
      <c r="G1636" s="5" t="str">
        <f>IFERROR(__xludf.DUMMYFUNCTION("""COMPUTED_VALUE"""),"409🤙🏼Au revoir les enfants🤙🏼Francine Racette🤙🏼Estrela 3")</f>
        <v>409🤙🏼Au revoir les enfants🤙🏼Francine Racette🤙🏼Estrela 3</v>
      </c>
      <c r="H1636" s="5">
        <f>IFERROR(__xludf.DUMMYFUNCTION("SPLiT(G1636, ""🤙🏼"",FALSE,FALSE)"),409.0)</f>
        <v>409</v>
      </c>
      <c r="I1636" s="5" t="str">
        <f>IFERROR(__xludf.DUMMYFUNCTION("""COMPUTED_VALUE"""),"Au revoir les enfants")</f>
        <v>Au revoir les enfants</v>
      </c>
      <c r="J1636" s="5" t="str">
        <f>IFERROR(__xludf.DUMMYFUNCTION("""COMPUTED_VALUE"""),"Francine Racette")</f>
        <v>Francine Racette</v>
      </c>
      <c r="K1636" s="5" t="str">
        <f>IFERROR(__xludf.DUMMYFUNCTION("""COMPUTED_VALUE"""),"Estrela 3")</f>
        <v>Estrela 3</v>
      </c>
      <c r="P1636" s="5">
        <f>IFERROR(__xludf.DUMMYFUNCTION("""COMPUTED_VALUE"""),409.0)</f>
        <v>409</v>
      </c>
      <c r="Q1636" s="5" t="str">
        <f>IFERROR(__xludf.DUMMYFUNCTION("""COMPUTED_VALUE"""),"Au revoir les enfants")</f>
        <v>Au revoir les enfants</v>
      </c>
      <c r="R1636" s="5" t="str">
        <f>IFERROR(__xludf.DUMMYFUNCTION("""COMPUTED_VALUE"""),"Francine Racette")</f>
        <v>Francine Racette</v>
      </c>
      <c r="S1636" s="5" t="str">
        <f>IFERROR(__xludf.DUMMYFUNCTION("""COMPUTED_VALUE"""),"Estrela 3")</f>
        <v>Estrela 3</v>
      </c>
    </row>
    <row r="1637">
      <c r="G1637" s="5" t="str">
        <f>IFERROR(__xludf.DUMMYFUNCTION("""COMPUTED_VALUE"""),"409🤙🏼Au revoir les enfants🤙🏼Stanislas Carré de Malberg🤙🏼Estrela 4")</f>
        <v>409🤙🏼Au revoir les enfants🤙🏼Stanislas Carré de Malberg🤙🏼Estrela 4</v>
      </c>
      <c r="H1637" s="5">
        <f>IFERROR(__xludf.DUMMYFUNCTION("SPLiT(G1637, ""🤙🏼"",FALSE,FALSE)"),409.0)</f>
        <v>409</v>
      </c>
      <c r="I1637" s="5" t="str">
        <f>IFERROR(__xludf.DUMMYFUNCTION("""COMPUTED_VALUE"""),"Au revoir les enfants")</f>
        <v>Au revoir les enfants</v>
      </c>
      <c r="J1637" s="5" t="str">
        <f>IFERROR(__xludf.DUMMYFUNCTION("""COMPUTED_VALUE"""),"Stanislas Carré de Malberg")</f>
        <v>Stanislas Carré de Malberg</v>
      </c>
      <c r="K1637" s="5" t="str">
        <f>IFERROR(__xludf.DUMMYFUNCTION("""COMPUTED_VALUE"""),"Estrela 4")</f>
        <v>Estrela 4</v>
      </c>
      <c r="P1637" s="5">
        <f>IFERROR(__xludf.DUMMYFUNCTION("""COMPUTED_VALUE"""),409.0)</f>
        <v>409</v>
      </c>
      <c r="Q1637" s="5" t="str">
        <f>IFERROR(__xludf.DUMMYFUNCTION("""COMPUTED_VALUE"""),"Au revoir les enfants")</f>
        <v>Au revoir les enfants</v>
      </c>
      <c r="R1637" s="5" t="str">
        <f>IFERROR(__xludf.DUMMYFUNCTION("""COMPUTED_VALUE"""),"Stanislas Carré de Malberg")</f>
        <v>Stanislas Carré de Malberg</v>
      </c>
      <c r="S1637" s="5" t="str">
        <f>IFERROR(__xludf.DUMMYFUNCTION("""COMPUTED_VALUE"""),"Estrela 4")</f>
        <v>Estrela 4</v>
      </c>
    </row>
    <row r="1638">
      <c r="G1638" s="5" t="str">
        <f>IFERROR(__xludf.DUMMYFUNCTION("""COMPUTED_VALUE"""),"410🤙🏼Tenkû no shiro Rapyuta🤙🏼Mayumi Tanaka🤙🏼Estrela 1")</f>
        <v>410🤙🏼Tenkû no shiro Rapyuta🤙🏼Mayumi Tanaka🤙🏼Estrela 1</v>
      </c>
      <c r="H1638" s="5">
        <f>IFERROR(__xludf.DUMMYFUNCTION("SPLiT(G1638, ""🤙🏼"",FALSE,FALSE)"),410.0)</f>
        <v>410</v>
      </c>
      <c r="I1638" s="5" t="str">
        <f>IFERROR(__xludf.DUMMYFUNCTION("""COMPUTED_VALUE"""),"Tenkû no shiro Rapyuta")</f>
        <v>Tenkû no shiro Rapyuta</v>
      </c>
      <c r="J1638" s="5" t="str">
        <f>IFERROR(__xludf.DUMMYFUNCTION("""COMPUTED_VALUE"""),"Mayumi Tanaka")</f>
        <v>Mayumi Tanaka</v>
      </c>
      <c r="K1638" s="5" t="str">
        <f>IFERROR(__xludf.DUMMYFUNCTION("""COMPUTED_VALUE"""),"Estrela 1")</f>
        <v>Estrela 1</v>
      </c>
      <c r="P1638" s="5">
        <f>IFERROR(__xludf.DUMMYFUNCTION("""COMPUTED_VALUE"""),410.0)</f>
        <v>410</v>
      </c>
      <c r="Q1638" s="5" t="str">
        <f>IFERROR(__xludf.DUMMYFUNCTION("""COMPUTED_VALUE"""),"Tenkû no shiro Rapyuta")</f>
        <v>Tenkû no shiro Rapyuta</v>
      </c>
      <c r="R1638" s="5" t="str">
        <f>IFERROR(__xludf.DUMMYFUNCTION("""COMPUTED_VALUE"""),"Mayumi Tanaka")</f>
        <v>Mayumi Tanaka</v>
      </c>
      <c r="S1638" s="5" t="str">
        <f>IFERROR(__xludf.DUMMYFUNCTION("""COMPUTED_VALUE"""),"Estrela 1")</f>
        <v>Estrela 1</v>
      </c>
    </row>
    <row r="1639">
      <c r="G1639" s="5" t="str">
        <f>IFERROR(__xludf.DUMMYFUNCTION("""COMPUTED_VALUE"""),"410🤙🏼Tenkû no shiro Rapyuta🤙🏼Keiko Yokozawa🤙🏼Estrela 2")</f>
        <v>410🤙🏼Tenkû no shiro Rapyuta🤙🏼Keiko Yokozawa🤙🏼Estrela 2</v>
      </c>
      <c r="H1639" s="5">
        <f>IFERROR(__xludf.DUMMYFUNCTION("SPLiT(G1639, ""🤙🏼"",FALSE,FALSE)"),410.0)</f>
        <v>410</v>
      </c>
      <c r="I1639" s="5" t="str">
        <f>IFERROR(__xludf.DUMMYFUNCTION("""COMPUTED_VALUE"""),"Tenkû no shiro Rapyuta")</f>
        <v>Tenkû no shiro Rapyuta</v>
      </c>
      <c r="J1639" s="5" t="str">
        <f>IFERROR(__xludf.DUMMYFUNCTION("""COMPUTED_VALUE"""),"Keiko Yokozawa")</f>
        <v>Keiko Yokozawa</v>
      </c>
      <c r="K1639" s="5" t="str">
        <f>IFERROR(__xludf.DUMMYFUNCTION("""COMPUTED_VALUE"""),"Estrela 2")</f>
        <v>Estrela 2</v>
      </c>
      <c r="P1639" s="5">
        <f>IFERROR(__xludf.DUMMYFUNCTION("""COMPUTED_VALUE"""),410.0)</f>
        <v>410</v>
      </c>
      <c r="Q1639" s="5" t="str">
        <f>IFERROR(__xludf.DUMMYFUNCTION("""COMPUTED_VALUE"""),"Tenkû no shiro Rapyuta")</f>
        <v>Tenkû no shiro Rapyuta</v>
      </c>
      <c r="R1639" s="5" t="str">
        <f>IFERROR(__xludf.DUMMYFUNCTION("""COMPUTED_VALUE"""),"Keiko Yokozawa")</f>
        <v>Keiko Yokozawa</v>
      </c>
      <c r="S1639" s="5" t="str">
        <f>IFERROR(__xludf.DUMMYFUNCTION("""COMPUTED_VALUE"""),"Estrela 2")</f>
        <v>Estrela 2</v>
      </c>
    </row>
    <row r="1640">
      <c r="G1640" s="5" t="str">
        <f>IFERROR(__xludf.DUMMYFUNCTION("""COMPUTED_VALUE"""),"410🤙🏼Tenkû no shiro Rapyuta🤙🏼Kotoe Hatsui🤙🏼Estrela 3")</f>
        <v>410🤙🏼Tenkû no shiro Rapyuta🤙🏼Kotoe Hatsui🤙🏼Estrela 3</v>
      </c>
      <c r="H1640" s="5">
        <f>IFERROR(__xludf.DUMMYFUNCTION("SPLiT(G1640, ""🤙🏼"",FALSE,FALSE)"),410.0)</f>
        <v>410</v>
      </c>
      <c r="I1640" s="5" t="str">
        <f>IFERROR(__xludf.DUMMYFUNCTION("""COMPUTED_VALUE"""),"Tenkû no shiro Rapyuta")</f>
        <v>Tenkû no shiro Rapyuta</v>
      </c>
      <c r="J1640" s="5" t="str">
        <f>IFERROR(__xludf.DUMMYFUNCTION("""COMPUTED_VALUE"""),"Kotoe Hatsui")</f>
        <v>Kotoe Hatsui</v>
      </c>
      <c r="K1640" s="5" t="str">
        <f>IFERROR(__xludf.DUMMYFUNCTION("""COMPUTED_VALUE"""),"Estrela 3")</f>
        <v>Estrela 3</v>
      </c>
      <c r="P1640" s="5">
        <f>IFERROR(__xludf.DUMMYFUNCTION("""COMPUTED_VALUE"""),410.0)</f>
        <v>410</v>
      </c>
      <c r="Q1640" s="5" t="str">
        <f>IFERROR(__xludf.DUMMYFUNCTION("""COMPUTED_VALUE"""),"Tenkû no shiro Rapyuta")</f>
        <v>Tenkû no shiro Rapyuta</v>
      </c>
      <c r="R1640" s="5" t="str">
        <f>IFERROR(__xludf.DUMMYFUNCTION("""COMPUTED_VALUE"""),"Kotoe Hatsui")</f>
        <v>Kotoe Hatsui</v>
      </c>
      <c r="S1640" s="5" t="str">
        <f>IFERROR(__xludf.DUMMYFUNCTION("""COMPUTED_VALUE"""),"Estrela 3")</f>
        <v>Estrela 3</v>
      </c>
    </row>
    <row r="1641">
      <c r="G1641" s="5" t="str">
        <f>IFERROR(__xludf.DUMMYFUNCTION("""COMPUTED_VALUE"""),"410🤙🏼Tenkû no shiro Rapyuta🤙🏼Minori Terada🤙🏼Estrela 4")</f>
        <v>410🤙🏼Tenkû no shiro Rapyuta🤙🏼Minori Terada🤙🏼Estrela 4</v>
      </c>
      <c r="H1641" s="5">
        <f>IFERROR(__xludf.DUMMYFUNCTION("SPLiT(G1641, ""🤙🏼"",FALSE,FALSE)"),410.0)</f>
        <v>410</v>
      </c>
      <c r="I1641" s="5" t="str">
        <f>IFERROR(__xludf.DUMMYFUNCTION("""COMPUTED_VALUE"""),"Tenkû no shiro Rapyuta")</f>
        <v>Tenkû no shiro Rapyuta</v>
      </c>
      <c r="J1641" s="5" t="str">
        <f>IFERROR(__xludf.DUMMYFUNCTION("""COMPUTED_VALUE"""),"Minori Terada")</f>
        <v>Minori Terada</v>
      </c>
      <c r="K1641" s="5" t="str">
        <f>IFERROR(__xludf.DUMMYFUNCTION("""COMPUTED_VALUE"""),"Estrela 4")</f>
        <v>Estrela 4</v>
      </c>
      <c r="P1641" s="5">
        <f>IFERROR(__xludf.DUMMYFUNCTION("""COMPUTED_VALUE"""),410.0)</f>
        <v>410</v>
      </c>
      <c r="Q1641" s="5" t="str">
        <f>IFERROR(__xludf.DUMMYFUNCTION("""COMPUTED_VALUE"""),"Tenkû no shiro Rapyuta")</f>
        <v>Tenkû no shiro Rapyuta</v>
      </c>
      <c r="R1641" s="5" t="str">
        <f>IFERROR(__xludf.DUMMYFUNCTION("""COMPUTED_VALUE"""),"Minori Terada")</f>
        <v>Minori Terada</v>
      </c>
      <c r="S1641" s="5" t="str">
        <f>IFERROR(__xludf.DUMMYFUNCTION("""COMPUTED_VALUE"""),"Estrela 4")</f>
        <v>Estrela 4</v>
      </c>
    </row>
    <row r="1642">
      <c r="G1642" s="5" t="str">
        <f>IFERROR(__xludf.DUMMYFUNCTION("""COMPUTED_VALUE"""),"411🤙🏼The Terminator🤙🏼Arnold Schwarzenegger🤙🏼Estrela 1")</f>
        <v>411🤙🏼The Terminator🤙🏼Arnold Schwarzenegger🤙🏼Estrela 1</v>
      </c>
      <c r="H1642" s="5">
        <f>IFERROR(__xludf.DUMMYFUNCTION("SPLiT(G1642, ""🤙🏼"",FALSE,FALSE)"),411.0)</f>
        <v>411</v>
      </c>
      <c r="I1642" s="5" t="str">
        <f>IFERROR(__xludf.DUMMYFUNCTION("""COMPUTED_VALUE"""),"The Terminator")</f>
        <v>The Terminator</v>
      </c>
      <c r="J1642" s="5" t="str">
        <f>IFERROR(__xludf.DUMMYFUNCTION("""COMPUTED_VALUE"""),"Arnold Schwarzenegger")</f>
        <v>Arnold Schwarzenegger</v>
      </c>
      <c r="K1642" s="5" t="str">
        <f>IFERROR(__xludf.DUMMYFUNCTION("""COMPUTED_VALUE"""),"Estrela 1")</f>
        <v>Estrela 1</v>
      </c>
      <c r="P1642" s="5">
        <f>IFERROR(__xludf.DUMMYFUNCTION("""COMPUTED_VALUE"""),411.0)</f>
        <v>411</v>
      </c>
      <c r="Q1642" s="5" t="str">
        <f>IFERROR(__xludf.DUMMYFUNCTION("""COMPUTED_VALUE"""),"The Terminator")</f>
        <v>The Terminator</v>
      </c>
      <c r="R1642" s="5" t="str">
        <f>IFERROR(__xludf.DUMMYFUNCTION("""COMPUTED_VALUE"""),"Arnold Schwarzenegger")</f>
        <v>Arnold Schwarzenegger</v>
      </c>
      <c r="S1642" s="5" t="str">
        <f>IFERROR(__xludf.DUMMYFUNCTION("""COMPUTED_VALUE"""),"Estrela 1")</f>
        <v>Estrela 1</v>
      </c>
    </row>
    <row r="1643">
      <c r="G1643" s="5" t="str">
        <f>IFERROR(__xludf.DUMMYFUNCTION("""COMPUTED_VALUE"""),"411🤙🏼The Terminator🤙🏼Linda Hamilton🤙🏼Estrela 2")</f>
        <v>411🤙🏼The Terminator🤙🏼Linda Hamilton🤙🏼Estrela 2</v>
      </c>
      <c r="H1643" s="5">
        <f>IFERROR(__xludf.DUMMYFUNCTION("SPLiT(G1643, ""🤙🏼"",FALSE,FALSE)"),411.0)</f>
        <v>411</v>
      </c>
      <c r="I1643" s="5" t="str">
        <f>IFERROR(__xludf.DUMMYFUNCTION("""COMPUTED_VALUE"""),"The Terminator")</f>
        <v>The Terminator</v>
      </c>
      <c r="J1643" s="5" t="str">
        <f>IFERROR(__xludf.DUMMYFUNCTION("""COMPUTED_VALUE"""),"Linda Hamilton")</f>
        <v>Linda Hamilton</v>
      </c>
      <c r="K1643" s="5" t="str">
        <f>IFERROR(__xludf.DUMMYFUNCTION("""COMPUTED_VALUE"""),"Estrela 2")</f>
        <v>Estrela 2</v>
      </c>
      <c r="P1643" s="5">
        <f>IFERROR(__xludf.DUMMYFUNCTION("""COMPUTED_VALUE"""),411.0)</f>
        <v>411</v>
      </c>
      <c r="Q1643" s="5" t="str">
        <f>IFERROR(__xludf.DUMMYFUNCTION("""COMPUTED_VALUE"""),"The Terminator")</f>
        <v>The Terminator</v>
      </c>
      <c r="R1643" s="5" t="str">
        <f>IFERROR(__xludf.DUMMYFUNCTION("""COMPUTED_VALUE"""),"Linda Hamilton")</f>
        <v>Linda Hamilton</v>
      </c>
      <c r="S1643" s="5" t="str">
        <f>IFERROR(__xludf.DUMMYFUNCTION("""COMPUTED_VALUE"""),"Estrela 2")</f>
        <v>Estrela 2</v>
      </c>
    </row>
    <row r="1644">
      <c r="G1644" s="5" t="str">
        <f>IFERROR(__xludf.DUMMYFUNCTION("""COMPUTED_VALUE"""),"411🤙🏼The Terminator🤙🏼Michael Biehn🤙🏼Estrela 3")</f>
        <v>411🤙🏼The Terminator🤙🏼Michael Biehn🤙🏼Estrela 3</v>
      </c>
      <c r="H1644" s="5">
        <f>IFERROR(__xludf.DUMMYFUNCTION("SPLiT(G1644, ""🤙🏼"",FALSE,FALSE)"),411.0)</f>
        <v>411</v>
      </c>
      <c r="I1644" s="5" t="str">
        <f>IFERROR(__xludf.DUMMYFUNCTION("""COMPUTED_VALUE"""),"The Terminator")</f>
        <v>The Terminator</v>
      </c>
      <c r="J1644" s="5" t="str">
        <f>IFERROR(__xludf.DUMMYFUNCTION("""COMPUTED_VALUE"""),"Michael Biehn")</f>
        <v>Michael Biehn</v>
      </c>
      <c r="K1644" s="5" t="str">
        <f>IFERROR(__xludf.DUMMYFUNCTION("""COMPUTED_VALUE"""),"Estrela 3")</f>
        <v>Estrela 3</v>
      </c>
      <c r="P1644" s="5">
        <f>IFERROR(__xludf.DUMMYFUNCTION("""COMPUTED_VALUE"""),411.0)</f>
        <v>411</v>
      </c>
      <c r="Q1644" s="5" t="str">
        <f>IFERROR(__xludf.DUMMYFUNCTION("""COMPUTED_VALUE"""),"The Terminator")</f>
        <v>The Terminator</v>
      </c>
      <c r="R1644" s="5" t="str">
        <f>IFERROR(__xludf.DUMMYFUNCTION("""COMPUTED_VALUE"""),"Michael Biehn")</f>
        <v>Michael Biehn</v>
      </c>
      <c r="S1644" s="5" t="str">
        <f>IFERROR(__xludf.DUMMYFUNCTION("""COMPUTED_VALUE"""),"Estrela 3")</f>
        <v>Estrela 3</v>
      </c>
    </row>
    <row r="1645">
      <c r="G1645" s="5" t="str">
        <f>IFERROR(__xludf.DUMMYFUNCTION("""COMPUTED_VALUE"""),"411🤙🏼The Terminator🤙🏼Paul Winfield🤙🏼Estrela 4")</f>
        <v>411🤙🏼The Terminator🤙🏼Paul Winfield🤙🏼Estrela 4</v>
      </c>
      <c r="H1645" s="5">
        <f>IFERROR(__xludf.DUMMYFUNCTION("SPLiT(G1645, ""🤙🏼"",FALSE,FALSE)"),411.0)</f>
        <v>411</v>
      </c>
      <c r="I1645" s="5" t="str">
        <f>IFERROR(__xludf.DUMMYFUNCTION("""COMPUTED_VALUE"""),"The Terminator")</f>
        <v>The Terminator</v>
      </c>
      <c r="J1645" s="5" t="str">
        <f>IFERROR(__xludf.DUMMYFUNCTION("""COMPUTED_VALUE"""),"Paul Winfield")</f>
        <v>Paul Winfield</v>
      </c>
      <c r="K1645" s="5" t="str">
        <f>IFERROR(__xludf.DUMMYFUNCTION("""COMPUTED_VALUE"""),"Estrela 4")</f>
        <v>Estrela 4</v>
      </c>
      <c r="P1645" s="5">
        <f>IFERROR(__xludf.DUMMYFUNCTION("""COMPUTED_VALUE"""),411.0)</f>
        <v>411</v>
      </c>
      <c r="Q1645" s="5" t="str">
        <f>IFERROR(__xludf.DUMMYFUNCTION("""COMPUTED_VALUE"""),"The Terminator")</f>
        <v>The Terminator</v>
      </c>
      <c r="R1645" s="5" t="str">
        <f>IFERROR(__xludf.DUMMYFUNCTION("""COMPUTED_VALUE"""),"Paul Winfield")</f>
        <v>Paul Winfield</v>
      </c>
      <c r="S1645" s="5" t="str">
        <f>IFERROR(__xludf.DUMMYFUNCTION("""COMPUTED_VALUE"""),"Estrela 4")</f>
        <v>Estrela 4</v>
      </c>
    </row>
    <row r="1646">
      <c r="G1646" s="5" t="str">
        <f>IFERROR(__xludf.DUMMYFUNCTION("""COMPUTED_VALUE"""),"412🤙🏼Gandhi🤙🏼Ben Kingsley🤙🏼Estrela 1")</f>
        <v>412🤙🏼Gandhi🤙🏼Ben Kingsley🤙🏼Estrela 1</v>
      </c>
      <c r="H1646" s="5">
        <f>IFERROR(__xludf.DUMMYFUNCTION("SPLiT(G1646, ""🤙🏼"",FALSE,FALSE)"),412.0)</f>
        <v>412</v>
      </c>
      <c r="I1646" s="5" t="str">
        <f>IFERROR(__xludf.DUMMYFUNCTION("""COMPUTED_VALUE"""),"Gandhi")</f>
        <v>Gandhi</v>
      </c>
      <c r="J1646" s="5" t="str">
        <f>IFERROR(__xludf.DUMMYFUNCTION("""COMPUTED_VALUE"""),"Ben Kingsley")</f>
        <v>Ben Kingsley</v>
      </c>
      <c r="K1646" s="5" t="str">
        <f>IFERROR(__xludf.DUMMYFUNCTION("""COMPUTED_VALUE"""),"Estrela 1")</f>
        <v>Estrela 1</v>
      </c>
      <c r="P1646" s="5">
        <f>IFERROR(__xludf.DUMMYFUNCTION("""COMPUTED_VALUE"""),412.0)</f>
        <v>412</v>
      </c>
      <c r="Q1646" s="5" t="str">
        <f>IFERROR(__xludf.DUMMYFUNCTION("""COMPUTED_VALUE"""),"Gandhi")</f>
        <v>Gandhi</v>
      </c>
      <c r="R1646" s="5" t="str">
        <f>IFERROR(__xludf.DUMMYFUNCTION("""COMPUTED_VALUE"""),"Ben Kingsley")</f>
        <v>Ben Kingsley</v>
      </c>
      <c r="S1646" s="5" t="str">
        <f>IFERROR(__xludf.DUMMYFUNCTION("""COMPUTED_VALUE"""),"Estrela 1")</f>
        <v>Estrela 1</v>
      </c>
    </row>
    <row r="1647">
      <c r="G1647" s="5" t="str">
        <f>IFERROR(__xludf.DUMMYFUNCTION("""COMPUTED_VALUE"""),"412🤙🏼Gandhi🤙🏼John Gielgud🤙🏼Estrela 2")</f>
        <v>412🤙🏼Gandhi🤙🏼John Gielgud🤙🏼Estrela 2</v>
      </c>
      <c r="H1647" s="5">
        <f>IFERROR(__xludf.DUMMYFUNCTION("SPLiT(G1647, ""🤙🏼"",FALSE,FALSE)"),412.0)</f>
        <v>412</v>
      </c>
      <c r="I1647" s="5" t="str">
        <f>IFERROR(__xludf.DUMMYFUNCTION("""COMPUTED_VALUE"""),"Gandhi")</f>
        <v>Gandhi</v>
      </c>
      <c r="J1647" s="5" t="str">
        <f>IFERROR(__xludf.DUMMYFUNCTION("""COMPUTED_VALUE"""),"John Gielgud")</f>
        <v>John Gielgud</v>
      </c>
      <c r="K1647" s="5" t="str">
        <f>IFERROR(__xludf.DUMMYFUNCTION("""COMPUTED_VALUE"""),"Estrela 2")</f>
        <v>Estrela 2</v>
      </c>
      <c r="P1647" s="5">
        <f>IFERROR(__xludf.DUMMYFUNCTION("""COMPUTED_VALUE"""),412.0)</f>
        <v>412</v>
      </c>
      <c r="Q1647" s="5" t="str">
        <f>IFERROR(__xludf.DUMMYFUNCTION("""COMPUTED_VALUE"""),"Gandhi")</f>
        <v>Gandhi</v>
      </c>
      <c r="R1647" s="5" t="str">
        <f>IFERROR(__xludf.DUMMYFUNCTION("""COMPUTED_VALUE"""),"John Gielgud")</f>
        <v>John Gielgud</v>
      </c>
      <c r="S1647" s="5" t="str">
        <f>IFERROR(__xludf.DUMMYFUNCTION("""COMPUTED_VALUE"""),"Estrela 2")</f>
        <v>Estrela 2</v>
      </c>
    </row>
    <row r="1648">
      <c r="G1648" s="5" t="str">
        <f>IFERROR(__xludf.DUMMYFUNCTION("""COMPUTED_VALUE"""),"412🤙🏼Gandhi🤙🏼Rohini Hattangadi🤙🏼Estrela 3")</f>
        <v>412🤙🏼Gandhi🤙🏼Rohini Hattangadi🤙🏼Estrela 3</v>
      </c>
      <c r="H1648" s="5">
        <f>IFERROR(__xludf.DUMMYFUNCTION("SPLiT(G1648, ""🤙🏼"",FALSE,FALSE)"),412.0)</f>
        <v>412</v>
      </c>
      <c r="I1648" s="5" t="str">
        <f>IFERROR(__xludf.DUMMYFUNCTION("""COMPUTED_VALUE"""),"Gandhi")</f>
        <v>Gandhi</v>
      </c>
      <c r="J1648" s="5" t="str">
        <f>IFERROR(__xludf.DUMMYFUNCTION("""COMPUTED_VALUE"""),"Rohini Hattangadi")</f>
        <v>Rohini Hattangadi</v>
      </c>
      <c r="K1648" s="5" t="str">
        <f>IFERROR(__xludf.DUMMYFUNCTION("""COMPUTED_VALUE"""),"Estrela 3")</f>
        <v>Estrela 3</v>
      </c>
      <c r="P1648" s="5">
        <f>IFERROR(__xludf.DUMMYFUNCTION("""COMPUTED_VALUE"""),412.0)</f>
        <v>412</v>
      </c>
      <c r="Q1648" s="5" t="str">
        <f>IFERROR(__xludf.DUMMYFUNCTION("""COMPUTED_VALUE"""),"Gandhi")</f>
        <v>Gandhi</v>
      </c>
      <c r="R1648" s="5" t="str">
        <f>IFERROR(__xludf.DUMMYFUNCTION("""COMPUTED_VALUE"""),"Rohini Hattangadi")</f>
        <v>Rohini Hattangadi</v>
      </c>
      <c r="S1648" s="5" t="str">
        <f>IFERROR(__xludf.DUMMYFUNCTION("""COMPUTED_VALUE"""),"Estrela 3")</f>
        <v>Estrela 3</v>
      </c>
    </row>
    <row r="1649">
      <c r="G1649" s="5" t="str">
        <f>IFERROR(__xludf.DUMMYFUNCTION("""COMPUTED_VALUE"""),"412🤙🏼Gandhi🤙🏼Roshan Seth🤙🏼Estrela 4")</f>
        <v>412🤙🏼Gandhi🤙🏼Roshan Seth🤙🏼Estrela 4</v>
      </c>
      <c r="H1649" s="5">
        <f>IFERROR(__xludf.DUMMYFUNCTION("SPLiT(G1649, ""🤙🏼"",FALSE,FALSE)"),412.0)</f>
        <v>412</v>
      </c>
      <c r="I1649" s="5" t="str">
        <f>IFERROR(__xludf.DUMMYFUNCTION("""COMPUTED_VALUE"""),"Gandhi")</f>
        <v>Gandhi</v>
      </c>
      <c r="J1649" s="5" t="str">
        <f>IFERROR(__xludf.DUMMYFUNCTION("""COMPUTED_VALUE"""),"Roshan Seth")</f>
        <v>Roshan Seth</v>
      </c>
      <c r="K1649" s="5" t="str">
        <f>IFERROR(__xludf.DUMMYFUNCTION("""COMPUTED_VALUE"""),"Estrela 4")</f>
        <v>Estrela 4</v>
      </c>
      <c r="P1649" s="5">
        <f>IFERROR(__xludf.DUMMYFUNCTION("""COMPUTED_VALUE"""),412.0)</f>
        <v>412</v>
      </c>
      <c r="Q1649" s="5" t="str">
        <f>IFERROR(__xludf.DUMMYFUNCTION("""COMPUTED_VALUE"""),"Gandhi")</f>
        <v>Gandhi</v>
      </c>
      <c r="R1649" s="5" t="str">
        <f>IFERROR(__xludf.DUMMYFUNCTION("""COMPUTED_VALUE"""),"Roshan Seth")</f>
        <v>Roshan Seth</v>
      </c>
      <c r="S1649" s="5" t="str">
        <f>IFERROR(__xludf.DUMMYFUNCTION("""COMPUTED_VALUE"""),"Estrela 4")</f>
        <v>Estrela 4</v>
      </c>
    </row>
    <row r="1650">
      <c r="G1650" s="5" t="str">
        <f>IFERROR(__xludf.DUMMYFUNCTION("""COMPUTED_VALUE"""),"413🤙🏼Kagemusha🤙🏼Tatsuya Nakadai🤙🏼Estrela 1")</f>
        <v>413🤙🏼Kagemusha🤙🏼Tatsuya Nakadai🤙🏼Estrela 1</v>
      </c>
      <c r="H1650" s="5">
        <f>IFERROR(__xludf.DUMMYFUNCTION("SPLiT(G1650, ""🤙🏼"",FALSE,FALSE)"),413.0)</f>
        <v>413</v>
      </c>
      <c r="I1650" s="5" t="str">
        <f>IFERROR(__xludf.DUMMYFUNCTION("""COMPUTED_VALUE"""),"Kagemusha")</f>
        <v>Kagemusha</v>
      </c>
      <c r="J1650" s="5" t="str">
        <f>IFERROR(__xludf.DUMMYFUNCTION("""COMPUTED_VALUE"""),"Tatsuya Nakadai")</f>
        <v>Tatsuya Nakadai</v>
      </c>
      <c r="K1650" s="5" t="str">
        <f>IFERROR(__xludf.DUMMYFUNCTION("""COMPUTED_VALUE"""),"Estrela 1")</f>
        <v>Estrela 1</v>
      </c>
      <c r="P1650" s="5">
        <f>IFERROR(__xludf.DUMMYFUNCTION("""COMPUTED_VALUE"""),413.0)</f>
        <v>413</v>
      </c>
      <c r="Q1650" s="5" t="str">
        <f>IFERROR(__xludf.DUMMYFUNCTION("""COMPUTED_VALUE"""),"Kagemusha")</f>
        <v>Kagemusha</v>
      </c>
      <c r="R1650" s="5" t="str">
        <f>IFERROR(__xludf.DUMMYFUNCTION("""COMPUTED_VALUE"""),"Tatsuya Nakadai")</f>
        <v>Tatsuya Nakadai</v>
      </c>
      <c r="S1650" s="5" t="str">
        <f>IFERROR(__xludf.DUMMYFUNCTION("""COMPUTED_VALUE"""),"Estrela 1")</f>
        <v>Estrela 1</v>
      </c>
    </row>
    <row r="1651">
      <c r="G1651" s="5" t="str">
        <f>IFERROR(__xludf.DUMMYFUNCTION("""COMPUTED_VALUE"""),"413🤙🏼Kagemusha🤙🏼Tsutomu Yamazaki🤙🏼Estrela 2")</f>
        <v>413🤙🏼Kagemusha🤙🏼Tsutomu Yamazaki🤙🏼Estrela 2</v>
      </c>
      <c r="H1651" s="5">
        <f>IFERROR(__xludf.DUMMYFUNCTION("SPLiT(G1651, ""🤙🏼"",FALSE,FALSE)"),413.0)</f>
        <v>413</v>
      </c>
      <c r="I1651" s="5" t="str">
        <f>IFERROR(__xludf.DUMMYFUNCTION("""COMPUTED_VALUE"""),"Kagemusha")</f>
        <v>Kagemusha</v>
      </c>
      <c r="J1651" s="5" t="str">
        <f>IFERROR(__xludf.DUMMYFUNCTION("""COMPUTED_VALUE"""),"Tsutomu Yamazaki")</f>
        <v>Tsutomu Yamazaki</v>
      </c>
      <c r="K1651" s="5" t="str">
        <f>IFERROR(__xludf.DUMMYFUNCTION("""COMPUTED_VALUE"""),"Estrela 2")</f>
        <v>Estrela 2</v>
      </c>
      <c r="P1651" s="5">
        <f>IFERROR(__xludf.DUMMYFUNCTION("""COMPUTED_VALUE"""),413.0)</f>
        <v>413</v>
      </c>
      <c r="Q1651" s="5" t="str">
        <f>IFERROR(__xludf.DUMMYFUNCTION("""COMPUTED_VALUE"""),"Kagemusha")</f>
        <v>Kagemusha</v>
      </c>
      <c r="R1651" s="5" t="str">
        <f>IFERROR(__xludf.DUMMYFUNCTION("""COMPUTED_VALUE"""),"Tsutomu Yamazaki")</f>
        <v>Tsutomu Yamazaki</v>
      </c>
      <c r="S1651" s="5" t="str">
        <f>IFERROR(__xludf.DUMMYFUNCTION("""COMPUTED_VALUE"""),"Estrela 2")</f>
        <v>Estrela 2</v>
      </c>
    </row>
    <row r="1652">
      <c r="G1652" s="5" t="str">
        <f>IFERROR(__xludf.DUMMYFUNCTION("""COMPUTED_VALUE"""),"413🤙🏼Kagemusha🤙🏼Ken'ichi Hagiwara🤙🏼Estrela 3")</f>
        <v>413🤙🏼Kagemusha🤙🏼Ken'ichi Hagiwara🤙🏼Estrela 3</v>
      </c>
      <c r="H1652" s="5">
        <f>IFERROR(__xludf.DUMMYFUNCTION("SPLiT(G1652, ""🤙🏼"",FALSE,FALSE)"),413.0)</f>
        <v>413</v>
      </c>
      <c r="I1652" s="5" t="str">
        <f>IFERROR(__xludf.DUMMYFUNCTION("""COMPUTED_VALUE"""),"Kagemusha")</f>
        <v>Kagemusha</v>
      </c>
      <c r="J1652" s="5" t="str">
        <f>IFERROR(__xludf.DUMMYFUNCTION("""COMPUTED_VALUE"""),"Ken'ichi Hagiwara")</f>
        <v>Ken'ichi Hagiwara</v>
      </c>
      <c r="K1652" s="5" t="str">
        <f>IFERROR(__xludf.DUMMYFUNCTION("""COMPUTED_VALUE"""),"Estrela 3")</f>
        <v>Estrela 3</v>
      </c>
      <c r="P1652" s="5">
        <f>IFERROR(__xludf.DUMMYFUNCTION("""COMPUTED_VALUE"""),413.0)</f>
        <v>413</v>
      </c>
      <c r="Q1652" s="5" t="str">
        <f>IFERROR(__xludf.DUMMYFUNCTION("""COMPUTED_VALUE"""),"Kagemusha")</f>
        <v>Kagemusha</v>
      </c>
      <c r="R1652" s="5" t="str">
        <f>IFERROR(__xludf.DUMMYFUNCTION("""COMPUTED_VALUE"""),"Ken'ichi Hagiwara")</f>
        <v>Ken'ichi Hagiwara</v>
      </c>
      <c r="S1652" s="5" t="str">
        <f>IFERROR(__xludf.DUMMYFUNCTION("""COMPUTED_VALUE"""),"Estrela 3")</f>
        <v>Estrela 3</v>
      </c>
    </row>
    <row r="1653">
      <c r="G1653" s="5" t="str">
        <f>IFERROR(__xludf.DUMMYFUNCTION("""COMPUTED_VALUE"""),"413🤙🏼Kagemusha🤙🏼Jinpachi Nezu🤙🏼Estrela 4")</f>
        <v>413🤙🏼Kagemusha🤙🏼Jinpachi Nezu🤙🏼Estrela 4</v>
      </c>
      <c r="H1653" s="5">
        <f>IFERROR(__xludf.DUMMYFUNCTION("SPLiT(G1653, ""🤙🏼"",FALSE,FALSE)"),413.0)</f>
        <v>413</v>
      </c>
      <c r="I1653" s="5" t="str">
        <f>IFERROR(__xludf.DUMMYFUNCTION("""COMPUTED_VALUE"""),"Kagemusha")</f>
        <v>Kagemusha</v>
      </c>
      <c r="J1653" s="5" t="str">
        <f>IFERROR(__xludf.DUMMYFUNCTION("""COMPUTED_VALUE"""),"Jinpachi Nezu")</f>
        <v>Jinpachi Nezu</v>
      </c>
      <c r="K1653" s="5" t="str">
        <f>IFERROR(__xludf.DUMMYFUNCTION("""COMPUTED_VALUE"""),"Estrela 4")</f>
        <v>Estrela 4</v>
      </c>
      <c r="P1653" s="5">
        <f>IFERROR(__xludf.DUMMYFUNCTION("""COMPUTED_VALUE"""),413.0)</f>
        <v>413</v>
      </c>
      <c r="Q1653" s="5" t="str">
        <f>IFERROR(__xludf.DUMMYFUNCTION("""COMPUTED_VALUE"""),"Kagemusha")</f>
        <v>Kagemusha</v>
      </c>
      <c r="R1653" s="5" t="str">
        <f>IFERROR(__xludf.DUMMYFUNCTION("""COMPUTED_VALUE"""),"Jinpachi Nezu")</f>
        <v>Jinpachi Nezu</v>
      </c>
      <c r="S1653" s="5" t="str">
        <f>IFERROR(__xludf.DUMMYFUNCTION("""COMPUTED_VALUE"""),"Estrela 4")</f>
        <v>Estrela 4</v>
      </c>
    </row>
    <row r="1654">
      <c r="G1654" s="5" t="str">
        <f>IFERROR(__xludf.DUMMYFUNCTION("""COMPUTED_VALUE"""),"414🤙🏼Being There🤙🏼Peter Sellers🤙🏼Estrela 1")</f>
        <v>414🤙🏼Being There🤙🏼Peter Sellers🤙🏼Estrela 1</v>
      </c>
      <c r="H1654" s="5">
        <f>IFERROR(__xludf.DUMMYFUNCTION("SPLiT(G1654, ""🤙🏼"",FALSE,FALSE)"),414.0)</f>
        <v>414</v>
      </c>
      <c r="I1654" s="5" t="str">
        <f>IFERROR(__xludf.DUMMYFUNCTION("""COMPUTED_VALUE"""),"Being There")</f>
        <v>Being There</v>
      </c>
      <c r="J1654" s="5" t="str">
        <f>IFERROR(__xludf.DUMMYFUNCTION("""COMPUTED_VALUE"""),"Peter Sellers")</f>
        <v>Peter Sellers</v>
      </c>
      <c r="K1654" s="5" t="str">
        <f>IFERROR(__xludf.DUMMYFUNCTION("""COMPUTED_VALUE"""),"Estrela 1")</f>
        <v>Estrela 1</v>
      </c>
      <c r="P1654" s="5">
        <f>IFERROR(__xludf.DUMMYFUNCTION("""COMPUTED_VALUE"""),414.0)</f>
        <v>414</v>
      </c>
      <c r="Q1654" s="5" t="str">
        <f>IFERROR(__xludf.DUMMYFUNCTION("""COMPUTED_VALUE"""),"Being There")</f>
        <v>Being There</v>
      </c>
      <c r="R1654" s="5" t="str">
        <f>IFERROR(__xludf.DUMMYFUNCTION("""COMPUTED_VALUE"""),"Peter Sellers")</f>
        <v>Peter Sellers</v>
      </c>
      <c r="S1654" s="5" t="str">
        <f>IFERROR(__xludf.DUMMYFUNCTION("""COMPUTED_VALUE"""),"Estrela 1")</f>
        <v>Estrela 1</v>
      </c>
    </row>
    <row r="1655">
      <c r="G1655" s="5" t="str">
        <f>IFERROR(__xludf.DUMMYFUNCTION("""COMPUTED_VALUE"""),"414🤙🏼Being There🤙🏼Shirley MacLaine🤙🏼Estrela 2")</f>
        <v>414🤙🏼Being There🤙🏼Shirley MacLaine🤙🏼Estrela 2</v>
      </c>
      <c r="H1655" s="5">
        <f>IFERROR(__xludf.DUMMYFUNCTION("SPLiT(G1655, ""🤙🏼"",FALSE,FALSE)"),414.0)</f>
        <v>414</v>
      </c>
      <c r="I1655" s="5" t="str">
        <f>IFERROR(__xludf.DUMMYFUNCTION("""COMPUTED_VALUE"""),"Being There")</f>
        <v>Being There</v>
      </c>
      <c r="J1655" s="5" t="str">
        <f>IFERROR(__xludf.DUMMYFUNCTION("""COMPUTED_VALUE"""),"Shirley MacLaine")</f>
        <v>Shirley MacLaine</v>
      </c>
      <c r="K1655" s="5" t="str">
        <f>IFERROR(__xludf.DUMMYFUNCTION("""COMPUTED_VALUE"""),"Estrela 2")</f>
        <v>Estrela 2</v>
      </c>
      <c r="P1655" s="5">
        <f>IFERROR(__xludf.DUMMYFUNCTION("""COMPUTED_VALUE"""),414.0)</f>
        <v>414</v>
      </c>
      <c r="Q1655" s="5" t="str">
        <f>IFERROR(__xludf.DUMMYFUNCTION("""COMPUTED_VALUE"""),"Being There")</f>
        <v>Being There</v>
      </c>
      <c r="R1655" s="5" t="str">
        <f>IFERROR(__xludf.DUMMYFUNCTION("""COMPUTED_VALUE"""),"Shirley MacLaine")</f>
        <v>Shirley MacLaine</v>
      </c>
      <c r="S1655" s="5" t="str">
        <f>IFERROR(__xludf.DUMMYFUNCTION("""COMPUTED_VALUE"""),"Estrela 2")</f>
        <v>Estrela 2</v>
      </c>
    </row>
    <row r="1656">
      <c r="G1656" s="5" t="str">
        <f>IFERROR(__xludf.DUMMYFUNCTION("""COMPUTED_VALUE"""),"414🤙🏼Being There🤙🏼Melvyn Douglas🤙🏼Estrela 3")</f>
        <v>414🤙🏼Being There🤙🏼Melvyn Douglas🤙🏼Estrela 3</v>
      </c>
      <c r="H1656" s="5">
        <f>IFERROR(__xludf.DUMMYFUNCTION("SPLiT(G1656, ""🤙🏼"",FALSE,FALSE)"),414.0)</f>
        <v>414</v>
      </c>
      <c r="I1656" s="5" t="str">
        <f>IFERROR(__xludf.DUMMYFUNCTION("""COMPUTED_VALUE"""),"Being There")</f>
        <v>Being There</v>
      </c>
      <c r="J1656" s="5" t="str">
        <f>IFERROR(__xludf.DUMMYFUNCTION("""COMPUTED_VALUE"""),"Melvyn Douglas")</f>
        <v>Melvyn Douglas</v>
      </c>
      <c r="K1656" s="5" t="str">
        <f>IFERROR(__xludf.DUMMYFUNCTION("""COMPUTED_VALUE"""),"Estrela 3")</f>
        <v>Estrela 3</v>
      </c>
      <c r="P1656" s="5">
        <f>IFERROR(__xludf.DUMMYFUNCTION("""COMPUTED_VALUE"""),414.0)</f>
        <v>414</v>
      </c>
      <c r="Q1656" s="5" t="str">
        <f>IFERROR(__xludf.DUMMYFUNCTION("""COMPUTED_VALUE"""),"Being There")</f>
        <v>Being There</v>
      </c>
      <c r="R1656" s="5" t="str">
        <f>IFERROR(__xludf.DUMMYFUNCTION("""COMPUTED_VALUE"""),"Melvyn Douglas")</f>
        <v>Melvyn Douglas</v>
      </c>
      <c r="S1656" s="5" t="str">
        <f>IFERROR(__xludf.DUMMYFUNCTION("""COMPUTED_VALUE"""),"Estrela 3")</f>
        <v>Estrela 3</v>
      </c>
    </row>
    <row r="1657">
      <c r="G1657" s="5" t="str">
        <f>IFERROR(__xludf.DUMMYFUNCTION("""COMPUTED_VALUE"""),"414🤙🏼Being There🤙🏼Jack Warden🤙🏼Estrela 4")</f>
        <v>414🤙🏼Being There🤙🏼Jack Warden🤙🏼Estrela 4</v>
      </c>
      <c r="H1657" s="5">
        <f>IFERROR(__xludf.DUMMYFUNCTION("SPLiT(G1657, ""🤙🏼"",FALSE,FALSE)"),414.0)</f>
        <v>414</v>
      </c>
      <c r="I1657" s="5" t="str">
        <f>IFERROR(__xludf.DUMMYFUNCTION("""COMPUTED_VALUE"""),"Being There")</f>
        <v>Being There</v>
      </c>
      <c r="J1657" s="5" t="str">
        <f>IFERROR(__xludf.DUMMYFUNCTION("""COMPUTED_VALUE"""),"Jack Warden")</f>
        <v>Jack Warden</v>
      </c>
      <c r="K1657" s="5" t="str">
        <f>IFERROR(__xludf.DUMMYFUNCTION("""COMPUTED_VALUE"""),"Estrela 4")</f>
        <v>Estrela 4</v>
      </c>
      <c r="P1657" s="5">
        <f>IFERROR(__xludf.DUMMYFUNCTION("""COMPUTED_VALUE"""),414.0)</f>
        <v>414</v>
      </c>
      <c r="Q1657" s="5" t="str">
        <f>IFERROR(__xludf.DUMMYFUNCTION("""COMPUTED_VALUE"""),"Being There")</f>
        <v>Being There</v>
      </c>
      <c r="R1657" s="5" t="str">
        <f>IFERROR(__xludf.DUMMYFUNCTION("""COMPUTED_VALUE"""),"Jack Warden")</f>
        <v>Jack Warden</v>
      </c>
      <c r="S1657" s="5" t="str">
        <f>IFERROR(__xludf.DUMMYFUNCTION("""COMPUTED_VALUE"""),"Estrela 4")</f>
        <v>Estrela 4</v>
      </c>
    </row>
    <row r="1658">
      <c r="G1658" s="5" t="str">
        <f>IFERROR(__xludf.DUMMYFUNCTION("""COMPUTED_VALUE"""),"415🤙🏼Annie Hall🤙🏼Woody Allen🤙🏼Estrela 1")</f>
        <v>415🤙🏼Annie Hall🤙🏼Woody Allen🤙🏼Estrela 1</v>
      </c>
      <c r="H1658" s="5">
        <f>IFERROR(__xludf.DUMMYFUNCTION("SPLiT(G1658, ""🤙🏼"",FALSE,FALSE)"),415.0)</f>
        <v>415</v>
      </c>
      <c r="I1658" s="5" t="str">
        <f>IFERROR(__xludf.DUMMYFUNCTION("""COMPUTED_VALUE"""),"Annie Hall")</f>
        <v>Annie Hall</v>
      </c>
      <c r="J1658" s="5" t="str">
        <f>IFERROR(__xludf.DUMMYFUNCTION("""COMPUTED_VALUE"""),"Woody Allen")</f>
        <v>Woody Allen</v>
      </c>
      <c r="K1658" s="5" t="str">
        <f>IFERROR(__xludf.DUMMYFUNCTION("""COMPUTED_VALUE"""),"Estrela 1")</f>
        <v>Estrela 1</v>
      </c>
      <c r="P1658" s="5">
        <f>IFERROR(__xludf.DUMMYFUNCTION("""COMPUTED_VALUE"""),415.0)</f>
        <v>415</v>
      </c>
      <c r="Q1658" s="5" t="str">
        <f>IFERROR(__xludf.DUMMYFUNCTION("""COMPUTED_VALUE"""),"Annie Hall")</f>
        <v>Annie Hall</v>
      </c>
      <c r="R1658" s="5" t="str">
        <f>IFERROR(__xludf.DUMMYFUNCTION("""COMPUTED_VALUE"""),"Woody Allen")</f>
        <v>Woody Allen</v>
      </c>
      <c r="S1658" s="5" t="str">
        <f>IFERROR(__xludf.DUMMYFUNCTION("""COMPUTED_VALUE"""),"Estrela 1")</f>
        <v>Estrela 1</v>
      </c>
    </row>
    <row r="1659">
      <c r="G1659" s="5" t="str">
        <f>IFERROR(__xludf.DUMMYFUNCTION("""COMPUTED_VALUE"""),"415🤙🏼Annie Hall🤙🏼Diane Keaton🤙🏼Estrela 2")</f>
        <v>415🤙🏼Annie Hall🤙🏼Diane Keaton🤙🏼Estrela 2</v>
      </c>
      <c r="H1659" s="5">
        <f>IFERROR(__xludf.DUMMYFUNCTION("SPLiT(G1659, ""🤙🏼"",FALSE,FALSE)"),415.0)</f>
        <v>415</v>
      </c>
      <c r="I1659" s="5" t="str">
        <f>IFERROR(__xludf.DUMMYFUNCTION("""COMPUTED_VALUE"""),"Annie Hall")</f>
        <v>Annie Hall</v>
      </c>
      <c r="J1659" s="5" t="str">
        <f>IFERROR(__xludf.DUMMYFUNCTION("""COMPUTED_VALUE"""),"Diane Keaton")</f>
        <v>Diane Keaton</v>
      </c>
      <c r="K1659" s="5" t="str">
        <f>IFERROR(__xludf.DUMMYFUNCTION("""COMPUTED_VALUE"""),"Estrela 2")</f>
        <v>Estrela 2</v>
      </c>
      <c r="P1659" s="5">
        <f>IFERROR(__xludf.DUMMYFUNCTION("""COMPUTED_VALUE"""),415.0)</f>
        <v>415</v>
      </c>
      <c r="Q1659" s="5" t="str">
        <f>IFERROR(__xludf.DUMMYFUNCTION("""COMPUTED_VALUE"""),"Annie Hall")</f>
        <v>Annie Hall</v>
      </c>
      <c r="R1659" s="5" t="str">
        <f>IFERROR(__xludf.DUMMYFUNCTION("""COMPUTED_VALUE"""),"Diane Keaton")</f>
        <v>Diane Keaton</v>
      </c>
      <c r="S1659" s="5" t="str">
        <f>IFERROR(__xludf.DUMMYFUNCTION("""COMPUTED_VALUE"""),"Estrela 2")</f>
        <v>Estrela 2</v>
      </c>
    </row>
    <row r="1660">
      <c r="G1660" s="5" t="str">
        <f>IFERROR(__xludf.DUMMYFUNCTION("""COMPUTED_VALUE"""),"415🤙🏼Annie Hall🤙🏼Tony Roberts🤙🏼Estrela 3")</f>
        <v>415🤙🏼Annie Hall🤙🏼Tony Roberts🤙🏼Estrela 3</v>
      </c>
      <c r="H1660" s="5">
        <f>IFERROR(__xludf.DUMMYFUNCTION("SPLiT(G1660, ""🤙🏼"",FALSE,FALSE)"),415.0)</f>
        <v>415</v>
      </c>
      <c r="I1660" s="5" t="str">
        <f>IFERROR(__xludf.DUMMYFUNCTION("""COMPUTED_VALUE"""),"Annie Hall")</f>
        <v>Annie Hall</v>
      </c>
      <c r="J1660" s="5" t="str">
        <f>IFERROR(__xludf.DUMMYFUNCTION("""COMPUTED_VALUE"""),"Tony Roberts")</f>
        <v>Tony Roberts</v>
      </c>
      <c r="K1660" s="5" t="str">
        <f>IFERROR(__xludf.DUMMYFUNCTION("""COMPUTED_VALUE"""),"Estrela 3")</f>
        <v>Estrela 3</v>
      </c>
      <c r="P1660" s="5">
        <f>IFERROR(__xludf.DUMMYFUNCTION("""COMPUTED_VALUE"""),415.0)</f>
        <v>415</v>
      </c>
      <c r="Q1660" s="5" t="str">
        <f>IFERROR(__xludf.DUMMYFUNCTION("""COMPUTED_VALUE"""),"Annie Hall")</f>
        <v>Annie Hall</v>
      </c>
      <c r="R1660" s="5" t="str">
        <f>IFERROR(__xludf.DUMMYFUNCTION("""COMPUTED_VALUE"""),"Tony Roberts")</f>
        <v>Tony Roberts</v>
      </c>
      <c r="S1660" s="5" t="str">
        <f>IFERROR(__xludf.DUMMYFUNCTION("""COMPUTED_VALUE"""),"Estrela 3")</f>
        <v>Estrela 3</v>
      </c>
    </row>
    <row r="1661">
      <c r="G1661" s="5" t="str">
        <f>IFERROR(__xludf.DUMMYFUNCTION("""COMPUTED_VALUE"""),"415🤙🏼Annie Hall🤙🏼Carol Kane🤙🏼Estrela 4")</f>
        <v>415🤙🏼Annie Hall🤙🏼Carol Kane🤙🏼Estrela 4</v>
      </c>
      <c r="H1661" s="5">
        <f>IFERROR(__xludf.DUMMYFUNCTION("SPLiT(G1661, ""🤙🏼"",FALSE,FALSE)"),415.0)</f>
        <v>415</v>
      </c>
      <c r="I1661" s="5" t="str">
        <f>IFERROR(__xludf.DUMMYFUNCTION("""COMPUTED_VALUE"""),"Annie Hall")</f>
        <v>Annie Hall</v>
      </c>
      <c r="J1661" s="5" t="str">
        <f>IFERROR(__xludf.DUMMYFUNCTION("""COMPUTED_VALUE"""),"Carol Kane")</f>
        <v>Carol Kane</v>
      </c>
      <c r="K1661" s="5" t="str">
        <f>IFERROR(__xludf.DUMMYFUNCTION("""COMPUTED_VALUE"""),"Estrela 4")</f>
        <v>Estrela 4</v>
      </c>
      <c r="P1661" s="5">
        <f>IFERROR(__xludf.DUMMYFUNCTION("""COMPUTED_VALUE"""),415.0)</f>
        <v>415</v>
      </c>
      <c r="Q1661" s="5" t="str">
        <f>IFERROR(__xludf.DUMMYFUNCTION("""COMPUTED_VALUE"""),"Annie Hall")</f>
        <v>Annie Hall</v>
      </c>
      <c r="R1661" s="5" t="str">
        <f>IFERROR(__xludf.DUMMYFUNCTION("""COMPUTED_VALUE"""),"Carol Kane")</f>
        <v>Carol Kane</v>
      </c>
      <c r="S1661" s="5" t="str">
        <f>IFERROR(__xludf.DUMMYFUNCTION("""COMPUTED_VALUE"""),"Estrela 4")</f>
        <v>Estrela 4</v>
      </c>
    </row>
    <row r="1662">
      <c r="G1662" s="5" t="str">
        <f>IFERROR(__xludf.DUMMYFUNCTION("""COMPUTED_VALUE"""),"416🤙🏼Jaws🤙🏼Roy Scheider🤙🏼Estrela 1")</f>
        <v>416🤙🏼Jaws🤙🏼Roy Scheider🤙🏼Estrela 1</v>
      </c>
      <c r="H1662" s="5">
        <f>IFERROR(__xludf.DUMMYFUNCTION("SPLiT(G1662, ""🤙🏼"",FALSE,FALSE)"),416.0)</f>
        <v>416</v>
      </c>
      <c r="I1662" s="5" t="str">
        <f>IFERROR(__xludf.DUMMYFUNCTION("""COMPUTED_VALUE"""),"Jaws")</f>
        <v>Jaws</v>
      </c>
      <c r="J1662" s="5" t="str">
        <f>IFERROR(__xludf.DUMMYFUNCTION("""COMPUTED_VALUE"""),"Roy Scheider")</f>
        <v>Roy Scheider</v>
      </c>
      <c r="K1662" s="5" t="str">
        <f>IFERROR(__xludf.DUMMYFUNCTION("""COMPUTED_VALUE"""),"Estrela 1")</f>
        <v>Estrela 1</v>
      </c>
      <c r="P1662" s="5">
        <f>IFERROR(__xludf.DUMMYFUNCTION("""COMPUTED_VALUE"""),416.0)</f>
        <v>416</v>
      </c>
      <c r="Q1662" s="5" t="str">
        <f>IFERROR(__xludf.DUMMYFUNCTION("""COMPUTED_VALUE"""),"Jaws")</f>
        <v>Jaws</v>
      </c>
      <c r="R1662" s="5" t="str">
        <f>IFERROR(__xludf.DUMMYFUNCTION("""COMPUTED_VALUE"""),"Roy Scheider")</f>
        <v>Roy Scheider</v>
      </c>
      <c r="S1662" s="5" t="str">
        <f>IFERROR(__xludf.DUMMYFUNCTION("""COMPUTED_VALUE"""),"Estrela 1")</f>
        <v>Estrela 1</v>
      </c>
    </row>
    <row r="1663">
      <c r="G1663" s="5" t="str">
        <f>IFERROR(__xludf.DUMMYFUNCTION("""COMPUTED_VALUE"""),"416🤙🏼Jaws🤙🏼Robert Shaw🤙🏼Estrela 2")</f>
        <v>416🤙🏼Jaws🤙🏼Robert Shaw🤙🏼Estrela 2</v>
      </c>
      <c r="H1663" s="5">
        <f>IFERROR(__xludf.DUMMYFUNCTION("SPLiT(G1663, ""🤙🏼"",FALSE,FALSE)"),416.0)</f>
        <v>416</v>
      </c>
      <c r="I1663" s="5" t="str">
        <f>IFERROR(__xludf.DUMMYFUNCTION("""COMPUTED_VALUE"""),"Jaws")</f>
        <v>Jaws</v>
      </c>
      <c r="J1663" s="5" t="str">
        <f>IFERROR(__xludf.DUMMYFUNCTION("""COMPUTED_VALUE"""),"Robert Shaw")</f>
        <v>Robert Shaw</v>
      </c>
      <c r="K1663" s="5" t="str">
        <f>IFERROR(__xludf.DUMMYFUNCTION("""COMPUTED_VALUE"""),"Estrela 2")</f>
        <v>Estrela 2</v>
      </c>
      <c r="P1663" s="5">
        <f>IFERROR(__xludf.DUMMYFUNCTION("""COMPUTED_VALUE"""),416.0)</f>
        <v>416</v>
      </c>
      <c r="Q1663" s="5" t="str">
        <f>IFERROR(__xludf.DUMMYFUNCTION("""COMPUTED_VALUE"""),"Jaws")</f>
        <v>Jaws</v>
      </c>
      <c r="R1663" s="5" t="str">
        <f>IFERROR(__xludf.DUMMYFUNCTION("""COMPUTED_VALUE"""),"Robert Shaw")</f>
        <v>Robert Shaw</v>
      </c>
      <c r="S1663" s="5" t="str">
        <f>IFERROR(__xludf.DUMMYFUNCTION("""COMPUTED_VALUE"""),"Estrela 2")</f>
        <v>Estrela 2</v>
      </c>
    </row>
    <row r="1664">
      <c r="G1664" s="5" t="str">
        <f>IFERROR(__xludf.DUMMYFUNCTION("""COMPUTED_VALUE"""),"416🤙🏼Jaws🤙🏼Richard Dreyfuss🤙🏼Estrela 3")</f>
        <v>416🤙🏼Jaws🤙🏼Richard Dreyfuss🤙🏼Estrela 3</v>
      </c>
      <c r="H1664" s="5">
        <f>IFERROR(__xludf.DUMMYFUNCTION("SPLiT(G1664, ""🤙🏼"",FALSE,FALSE)"),416.0)</f>
        <v>416</v>
      </c>
      <c r="I1664" s="5" t="str">
        <f>IFERROR(__xludf.DUMMYFUNCTION("""COMPUTED_VALUE"""),"Jaws")</f>
        <v>Jaws</v>
      </c>
      <c r="J1664" s="5" t="str">
        <f>IFERROR(__xludf.DUMMYFUNCTION("""COMPUTED_VALUE"""),"Richard Dreyfuss")</f>
        <v>Richard Dreyfuss</v>
      </c>
      <c r="K1664" s="5" t="str">
        <f>IFERROR(__xludf.DUMMYFUNCTION("""COMPUTED_VALUE"""),"Estrela 3")</f>
        <v>Estrela 3</v>
      </c>
      <c r="P1664" s="5">
        <f>IFERROR(__xludf.DUMMYFUNCTION("""COMPUTED_VALUE"""),416.0)</f>
        <v>416</v>
      </c>
      <c r="Q1664" s="5" t="str">
        <f>IFERROR(__xludf.DUMMYFUNCTION("""COMPUTED_VALUE"""),"Jaws")</f>
        <v>Jaws</v>
      </c>
      <c r="R1664" s="5" t="str">
        <f>IFERROR(__xludf.DUMMYFUNCTION("""COMPUTED_VALUE"""),"Richard Dreyfuss")</f>
        <v>Richard Dreyfuss</v>
      </c>
      <c r="S1664" s="5" t="str">
        <f>IFERROR(__xludf.DUMMYFUNCTION("""COMPUTED_VALUE"""),"Estrela 3")</f>
        <v>Estrela 3</v>
      </c>
    </row>
    <row r="1665">
      <c r="G1665" s="5" t="str">
        <f>IFERROR(__xludf.DUMMYFUNCTION("""COMPUTED_VALUE"""),"416🤙🏼Jaws🤙🏼Lorraine Gary🤙🏼Estrela 4")</f>
        <v>416🤙🏼Jaws🤙🏼Lorraine Gary🤙🏼Estrela 4</v>
      </c>
      <c r="H1665" s="5">
        <f>IFERROR(__xludf.DUMMYFUNCTION("SPLiT(G1665, ""🤙🏼"",FALSE,FALSE)"),416.0)</f>
        <v>416</v>
      </c>
      <c r="I1665" s="5" t="str">
        <f>IFERROR(__xludf.DUMMYFUNCTION("""COMPUTED_VALUE"""),"Jaws")</f>
        <v>Jaws</v>
      </c>
      <c r="J1665" s="5" t="str">
        <f>IFERROR(__xludf.DUMMYFUNCTION("""COMPUTED_VALUE"""),"Lorraine Gary")</f>
        <v>Lorraine Gary</v>
      </c>
      <c r="K1665" s="5" t="str">
        <f>IFERROR(__xludf.DUMMYFUNCTION("""COMPUTED_VALUE"""),"Estrela 4")</f>
        <v>Estrela 4</v>
      </c>
      <c r="P1665" s="5">
        <f>IFERROR(__xludf.DUMMYFUNCTION("""COMPUTED_VALUE"""),416.0)</f>
        <v>416</v>
      </c>
      <c r="Q1665" s="5" t="str">
        <f>IFERROR(__xludf.DUMMYFUNCTION("""COMPUTED_VALUE"""),"Jaws")</f>
        <v>Jaws</v>
      </c>
      <c r="R1665" s="5" t="str">
        <f>IFERROR(__xludf.DUMMYFUNCTION("""COMPUTED_VALUE"""),"Lorraine Gary")</f>
        <v>Lorraine Gary</v>
      </c>
      <c r="S1665" s="5" t="str">
        <f>IFERROR(__xludf.DUMMYFUNCTION("""COMPUTED_VALUE"""),"Estrela 4")</f>
        <v>Estrela 4</v>
      </c>
    </row>
    <row r="1666">
      <c r="G1666" s="5" t="str">
        <f>IFERROR(__xludf.DUMMYFUNCTION("""COMPUTED_VALUE"""),"417🤙🏼Dog Day Afternoon🤙🏼Al Pacino🤙🏼Estrela 1")</f>
        <v>417🤙🏼Dog Day Afternoon🤙🏼Al Pacino🤙🏼Estrela 1</v>
      </c>
      <c r="H1666" s="5">
        <f>IFERROR(__xludf.DUMMYFUNCTION("SPLiT(G1666, ""🤙🏼"",FALSE,FALSE)"),417.0)</f>
        <v>417</v>
      </c>
      <c r="I1666" s="5" t="str">
        <f>IFERROR(__xludf.DUMMYFUNCTION("""COMPUTED_VALUE"""),"Dog Day Afternoon")</f>
        <v>Dog Day Afternoon</v>
      </c>
      <c r="J1666" s="5" t="str">
        <f>IFERROR(__xludf.DUMMYFUNCTION("""COMPUTED_VALUE"""),"Al Pacino")</f>
        <v>Al Pacino</v>
      </c>
      <c r="K1666" s="5" t="str">
        <f>IFERROR(__xludf.DUMMYFUNCTION("""COMPUTED_VALUE"""),"Estrela 1")</f>
        <v>Estrela 1</v>
      </c>
      <c r="P1666" s="5">
        <f>IFERROR(__xludf.DUMMYFUNCTION("""COMPUTED_VALUE"""),417.0)</f>
        <v>417</v>
      </c>
      <c r="Q1666" s="5" t="str">
        <f>IFERROR(__xludf.DUMMYFUNCTION("""COMPUTED_VALUE"""),"Dog Day Afternoon")</f>
        <v>Dog Day Afternoon</v>
      </c>
      <c r="R1666" s="5" t="str">
        <f>IFERROR(__xludf.DUMMYFUNCTION("""COMPUTED_VALUE"""),"Al Pacino")</f>
        <v>Al Pacino</v>
      </c>
      <c r="S1666" s="5" t="str">
        <f>IFERROR(__xludf.DUMMYFUNCTION("""COMPUTED_VALUE"""),"Estrela 1")</f>
        <v>Estrela 1</v>
      </c>
    </row>
    <row r="1667">
      <c r="G1667" s="5" t="str">
        <f>IFERROR(__xludf.DUMMYFUNCTION("""COMPUTED_VALUE"""),"417🤙🏼Dog Day Afternoon🤙🏼John Cazale🤙🏼Estrela 2")</f>
        <v>417🤙🏼Dog Day Afternoon🤙🏼John Cazale🤙🏼Estrela 2</v>
      </c>
      <c r="H1667" s="5">
        <f>IFERROR(__xludf.DUMMYFUNCTION("SPLiT(G1667, ""🤙🏼"",FALSE,FALSE)"),417.0)</f>
        <v>417</v>
      </c>
      <c r="I1667" s="5" t="str">
        <f>IFERROR(__xludf.DUMMYFUNCTION("""COMPUTED_VALUE"""),"Dog Day Afternoon")</f>
        <v>Dog Day Afternoon</v>
      </c>
      <c r="J1667" s="5" t="str">
        <f>IFERROR(__xludf.DUMMYFUNCTION("""COMPUTED_VALUE"""),"John Cazale")</f>
        <v>John Cazale</v>
      </c>
      <c r="K1667" s="5" t="str">
        <f>IFERROR(__xludf.DUMMYFUNCTION("""COMPUTED_VALUE"""),"Estrela 2")</f>
        <v>Estrela 2</v>
      </c>
      <c r="P1667" s="5">
        <f>IFERROR(__xludf.DUMMYFUNCTION("""COMPUTED_VALUE"""),417.0)</f>
        <v>417</v>
      </c>
      <c r="Q1667" s="5" t="str">
        <f>IFERROR(__xludf.DUMMYFUNCTION("""COMPUTED_VALUE"""),"Dog Day Afternoon")</f>
        <v>Dog Day Afternoon</v>
      </c>
      <c r="R1667" s="5" t="str">
        <f>IFERROR(__xludf.DUMMYFUNCTION("""COMPUTED_VALUE"""),"John Cazale")</f>
        <v>John Cazale</v>
      </c>
      <c r="S1667" s="5" t="str">
        <f>IFERROR(__xludf.DUMMYFUNCTION("""COMPUTED_VALUE"""),"Estrela 2")</f>
        <v>Estrela 2</v>
      </c>
    </row>
    <row r="1668">
      <c r="G1668" s="5" t="str">
        <f>IFERROR(__xludf.DUMMYFUNCTION("""COMPUTED_VALUE"""),"417🤙🏼Dog Day Afternoon🤙🏼Penelope Allen🤙🏼Estrela 3")</f>
        <v>417🤙🏼Dog Day Afternoon🤙🏼Penelope Allen🤙🏼Estrela 3</v>
      </c>
      <c r="H1668" s="5">
        <f>IFERROR(__xludf.DUMMYFUNCTION("SPLiT(G1668, ""🤙🏼"",FALSE,FALSE)"),417.0)</f>
        <v>417</v>
      </c>
      <c r="I1668" s="5" t="str">
        <f>IFERROR(__xludf.DUMMYFUNCTION("""COMPUTED_VALUE"""),"Dog Day Afternoon")</f>
        <v>Dog Day Afternoon</v>
      </c>
      <c r="J1668" s="5" t="str">
        <f>IFERROR(__xludf.DUMMYFUNCTION("""COMPUTED_VALUE"""),"Penelope Allen")</f>
        <v>Penelope Allen</v>
      </c>
      <c r="K1668" s="5" t="str">
        <f>IFERROR(__xludf.DUMMYFUNCTION("""COMPUTED_VALUE"""),"Estrela 3")</f>
        <v>Estrela 3</v>
      </c>
      <c r="P1668" s="5">
        <f>IFERROR(__xludf.DUMMYFUNCTION("""COMPUTED_VALUE"""),417.0)</f>
        <v>417</v>
      </c>
      <c r="Q1668" s="5" t="str">
        <f>IFERROR(__xludf.DUMMYFUNCTION("""COMPUTED_VALUE"""),"Dog Day Afternoon")</f>
        <v>Dog Day Afternoon</v>
      </c>
      <c r="R1668" s="5" t="str">
        <f>IFERROR(__xludf.DUMMYFUNCTION("""COMPUTED_VALUE"""),"Penelope Allen")</f>
        <v>Penelope Allen</v>
      </c>
      <c r="S1668" s="5" t="str">
        <f>IFERROR(__xludf.DUMMYFUNCTION("""COMPUTED_VALUE"""),"Estrela 3")</f>
        <v>Estrela 3</v>
      </c>
    </row>
    <row r="1669">
      <c r="G1669" s="5" t="str">
        <f>IFERROR(__xludf.DUMMYFUNCTION("""COMPUTED_VALUE"""),"417🤙🏼Dog Day Afternoon🤙🏼Sully Boyar🤙🏼Estrela 4")</f>
        <v>417🤙🏼Dog Day Afternoon🤙🏼Sully Boyar🤙🏼Estrela 4</v>
      </c>
      <c r="H1669" s="5">
        <f>IFERROR(__xludf.DUMMYFUNCTION("SPLiT(G1669, ""🤙🏼"",FALSE,FALSE)"),417.0)</f>
        <v>417</v>
      </c>
      <c r="I1669" s="5" t="str">
        <f>IFERROR(__xludf.DUMMYFUNCTION("""COMPUTED_VALUE"""),"Dog Day Afternoon")</f>
        <v>Dog Day Afternoon</v>
      </c>
      <c r="J1669" s="5" t="str">
        <f>IFERROR(__xludf.DUMMYFUNCTION("""COMPUTED_VALUE"""),"Sully Boyar")</f>
        <v>Sully Boyar</v>
      </c>
      <c r="K1669" s="5" t="str">
        <f>IFERROR(__xludf.DUMMYFUNCTION("""COMPUTED_VALUE"""),"Estrela 4")</f>
        <v>Estrela 4</v>
      </c>
      <c r="P1669" s="5">
        <f>IFERROR(__xludf.DUMMYFUNCTION("""COMPUTED_VALUE"""),417.0)</f>
        <v>417</v>
      </c>
      <c r="Q1669" s="5" t="str">
        <f>IFERROR(__xludf.DUMMYFUNCTION("""COMPUTED_VALUE"""),"Dog Day Afternoon")</f>
        <v>Dog Day Afternoon</v>
      </c>
      <c r="R1669" s="5" t="str">
        <f>IFERROR(__xludf.DUMMYFUNCTION("""COMPUTED_VALUE"""),"Sully Boyar")</f>
        <v>Sully Boyar</v>
      </c>
      <c r="S1669" s="5" t="str">
        <f>IFERROR(__xludf.DUMMYFUNCTION("""COMPUTED_VALUE"""),"Estrela 4")</f>
        <v>Estrela 4</v>
      </c>
    </row>
    <row r="1670">
      <c r="G1670" s="5" t="str">
        <f>IFERROR(__xludf.DUMMYFUNCTION("""COMPUTED_VALUE"""),"418🤙🏼Young Frankenstein🤙🏼Gene Wilder🤙🏼Estrela 1")</f>
        <v>418🤙🏼Young Frankenstein🤙🏼Gene Wilder🤙🏼Estrela 1</v>
      </c>
      <c r="H1670" s="5">
        <f>IFERROR(__xludf.DUMMYFUNCTION("SPLiT(G1670, ""🤙🏼"",FALSE,FALSE)"),418.0)</f>
        <v>418</v>
      </c>
      <c r="I1670" s="5" t="str">
        <f>IFERROR(__xludf.DUMMYFUNCTION("""COMPUTED_VALUE"""),"Young Frankenstein")</f>
        <v>Young Frankenstein</v>
      </c>
      <c r="J1670" s="5" t="str">
        <f>IFERROR(__xludf.DUMMYFUNCTION("""COMPUTED_VALUE"""),"Gene Wilder")</f>
        <v>Gene Wilder</v>
      </c>
      <c r="K1670" s="5" t="str">
        <f>IFERROR(__xludf.DUMMYFUNCTION("""COMPUTED_VALUE"""),"Estrela 1")</f>
        <v>Estrela 1</v>
      </c>
      <c r="P1670" s="5">
        <f>IFERROR(__xludf.DUMMYFUNCTION("""COMPUTED_VALUE"""),418.0)</f>
        <v>418</v>
      </c>
      <c r="Q1670" s="5" t="str">
        <f>IFERROR(__xludf.DUMMYFUNCTION("""COMPUTED_VALUE"""),"Young Frankenstein")</f>
        <v>Young Frankenstein</v>
      </c>
      <c r="R1670" s="5" t="str">
        <f>IFERROR(__xludf.DUMMYFUNCTION("""COMPUTED_VALUE"""),"Gene Wilder")</f>
        <v>Gene Wilder</v>
      </c>
      <c r="S1670" s="5" t="str">
        <f>IFERROR(__xludf.DUMMYFUNCTION("""COMPUTED_VALUE"""),"Estrela 1")</f>
        <v>Estrela 1</v>
      </c>
    </row>
    <row r="1671">
      <c r="G1671" s="5" t="str">
        <f>IFERROR(__xludf.DUMMYFUNCTION("""COMPUTED_VALUE"""),"418🤙🏼Young Frankenstein🤙🏼Madeline Kahn🤙🏼Estrela 2")</f>
        <v>418🤙🏼Young Frankenstein🤙🏼Madeline Kahn🤙🏼Estrela 2</v>
      </c>
      <c r="H1671" s="5">
        <f>IFERROR(__xludf.DUMMYFUNCTION("SPLiT(G1671, ""🤙🏼"",FALSE,FALSE)"),418.0)</f>
        <v>418</v>
      </c>
      <c r="I1671" s="5" t="str">
        <f>IFERROR(__xludf.DUMMYFUNCTION("""COMPUTED_VALUE"""),"Young Frankenstein")</f>
        <v>Young Frankenstein</v>
      </c>
      <c r="J1671" s="5" t="str">
        <f>IFERROR(__xludf.DUMMYFUNCTION("""COMPUTED_VALUE"""),"Madeline Kahn")</f>
        <v>Madeline Kahn</v>
      </c>
      <c r="K1671" s="5" t="str">
        <f>IFERROR(__xludf.DUMMYFUNCTION("""COMPUTED_VALUE"""),"Estrela 2")</f>
        <v>Estrela 2</v>
      </c>
      <c r="P1671" s="5">
        <f>IFERROR(__xludf.DUMMYFUNCTION("""COMPUTED_VALUE"""),418.0)</f>
        <v>418</v>
      </c>
      <c r="Q1671" s="5" t="str">
        <f>IFERROR(__xludf.DUMMYFUNCTION("""COMPUTED_VALUE"""),"Young Frankenstein")</f>
        <v>Young Frankenstein</v>
      </c>
      <c r="R1671" s="5" t="str">
        <f>IFERROR(__xludf.DUMMYFUNCTION("""COMPUTED_VALUE"""),"Madeline Kahn")</f>
        <v>Madeline Kahn</v>
      </c>
      <c r="S1671" s="5" t="str">
        <f>IFERROR(__xludf.DUMMYFUNCTION("""COMPUTED_VALUE"""),"Estrela 2")</f>
        <v>Estrela 2</v>
      </c>
    </row>
    <row r="1672">
      <c r="G1672" s="5" t="str">
        <f>IFERROR(__xludf.DUMMYFUNCTION("""COMPUTED_VALUE"""),"418🤙🏼Young Frankenstein🤙🏼Marty Feldman🤙🏼Estrela 3")</f>
        <v>418🤙🏼Young Frankenstein🤙🏼Marty Feldman🤙🏼Estrela 3</v>
      </c>
      <c r="H1672" s="5">
        <f>IFERROR(__xludf.DUMMYFUNCTION("SPLiT(G1672, ""🤙🏼"",FALSE,FALSE)"),418.0)</f>
        <v>418</v>
      </c>
      <c r="I1672" s="5" t="str">
        <f>IFERROR(__xludf.DUMMYFUNCTION("""COMPUTED_VALUE"""),"Young Frankenstein")</f>
        <v>Young Frankenstein</v>
      </c>
      <c r="J1672" s="5" t="str">
        <f>IFERROR(__xludf.DUMMYFUNCTION("""COMPUTED_VALUE"""),"Marty Feldman")</f>
        <v>Marty Feldman</v>
      </c>
      <c r="K1672" s="5" t="str">
        <f>IFERROR(__xludf.DUMMYFUNCTION("""COMPUTED_VALUE"""),"Estrela 3")</f>
        <v>Estrela 3</v>
      </c>
      <c r="P1672" s="5">
        <f>IFERROR(__xludf.DUMMYFUNCTION("""COMPUTED_VALUE"""),418.0)</f>
        <v>418</v>
      </c>
      <c r="Q1672" s="5" t="str">
        <f>IFERROR(__xludf.DUMMYFUNCTION("""COMPUTED_VALUE"""),"Young Frankenstein")</f>
        <v>Young Frankenstein</v>
      </c>
      <c r="R1672" s="5" t="str">
        <f>IFERROR(__xludf.DUMMYFUNCTION("""COMPUTED_VALUE"""),"Marty Feldman")</f>
        <v>Marty Feldman</v>
      </c>
      <c r="S1672" s="5" t="str">
        <f>IFERROR(__xludf.DUMMYFUNCTION("""COMPUTED_VALUE"""),"Estrela 3")</f>
        <v>Estrela 3</v>
      </c>
    </row>
    <row r="1673">
      <c r="G1673" s="5" t="str">
        <f>IFERROR(__xludf.DUMMYFUNCTION("""COMPUTED_VALUE"""),"418🤙🏼Young Frankenstein🤙🏼Peter Boyle🤙🏼Estrela 4")</f>
        <v>418🤙🏼Young Frankenstein🤙🏼Peter Boyle🤙🏼Estrela 4</v>
      </c>
      <c r="H1673" s="5">
        <f>IFERROR(__xludf.DUMMYFUNCTION("SPLiT(G1673, ""🤙🏼"",FALSE,FALSE)"),418.0)</f>
        <v>418</v>
      </c>
      <c r="I1673" s="5" t="str">
        <f>IFERROR(__xludf.DUMMYFUNCTION("""COMPUTED_VALUE"""),"Young Frankenstein")</f>
        <v>Young Frankenstein</v>
      </c>
      <c r="J1673" s="5" t="str">
        <f>IFERROR(__xludf.DUMMYFUNCTION("""COMPUTED_VALUE"""),"Peter Boyle")</f>
        <v>Peter Boyle</v>
      </c>
      <c r="K1673" s="5" t="str">
        <f>IFERROR(__xludf.DUMMYFUNCTION("""COMPUTED_VALUE"""),"Estrela 4")</f>
        <v>Estrela 4</v>
      </c>
      <c r="P1673" s="5">
        <f>IFERROR(__xludf.DUMMYFUNCTION("""COMPUTED_VALUE"""),418.0)</f>
        <v>418</v>
      </c>
      <c r="Q1673" s="5" t="str">
        <f>IFERROR(__xludf.DUMMYFUNCTION("""COMPUTED_VALUE"""),"Young Frankenstein")</f>
        <v>Young Frankenstein</v>
      </c>
      <c r="R1673" s="5" t="str">
        <f>IFERROR(__xludf.DUMMYFUNCTION("""COMPUTED_VALUE"""),"Peter Boyle")</f>
        <v>Peter Boyle</v>
      </c>
      <c r="S1673" s="5" t="str">
        <f>IFERROR(__xludf.DUMMYFUNCTION("""COMPUTED_VALUE"""),"Estrela 4")</f>
        <v>Estrela 4</v>
      </c>
    </row>
    <row r="1674">
      <c r="G1674" s="5" t="str">
        <f>IFERROR(__xludf.DUMMYFUNCTION("""COMPUTED_VALUE"""),"419🤙🏼Papillon🤙🏼Steve McQueen🤙🏼Estrela 1")</f>
        <v>419🤙🏼Papillon🤙🏼Steve McQueen🤙🏼Estrela 1</v>
      </c>
      <c r="H1674" s="5">
        <f>IFERROR(__xludf.DUMMYFUNCTION("SPLiT(G1674, ""🤙🏼"",FALSE,FALSE)"),419.0)</f>
        <v>419</v>
      </c>
      <c r="I1674" s="5" t="str">
        <f>IFERROR(__xludf.DUMMYFUNCTION("""COMPUTED_VALUE"""),"Papillon")</f>
        <v>Papillon</v>
      </c>
      <c r="J1674" s="5" t="str">
        <f>IFERROR(__xludf.DUMMYFUNCTION("""COMPUTED_VALUE"""),"Steve McQueen")</f>
        <v>Steve McQueen</v>
      </c>
      <c r="K1674" s="5" t="str">
        <f>IFERROR(__xludf.DUMMYFUNCTION("""COMPUTED_VALUE"""),"Estrela 1")</f>
        <v>Estrela 1</v>
      </c>
      <c r="P1674" s="5">
        <f>IFERROR(__xludf.DUMMYFUNCTION("""COMPUTED_VALUE"""),419.0)</f>
        <v>419</v>
      </c>
      <c r="Q1674" s="5" t="str">
        <f>IFERROR(__xludf.DUMMYFUNCTION("""COMPUTED_VALUE"""),"Papillon")</f>
        <v>Papillon</v>
      </c>
      <c r="R1674" s="5" t="str">
        <f>IFERROR(__xludf.DUMMYFUNCTION("""COMPUTED_VALUE"""),"Steve McQueen")</f>
        <v>Steve McQueen</v>
      </c>
      <c r="S1674" s="5" t="str">
        <f>IFERROR(__xludf.DUMMYFUNCTION("""COMPUTED_VALUE"""),"Estrela 1")</f>
        <v>Estrela 1</v>
      </c>
    </row>
    <row r="1675">
      <c r="G1675" s="5" t="str">
        <f>IFERROR(__xludf.DUMMYFUNCTION("""COMPUTED_VALUE"""),"419🤙🏼Papillon🤙🏼Dustin Hoffman🤙🏼Estrela 2")</f>
        <v>419🤙🏼Papillon🤙🏼Dustin Hoffman🤙🏼Estrela 2</v>
      </c>
      <c r="H1675" s="5">
        <f>IFERROR(__xludf.DUMMYFUNCTION("SPLiT(G1675, ""🤙🏼"",FALSE,FALSE)"),419.0)</f>
        <v>419</v>
      </c>
      <c r="I1675" s="5" t="str">
        <f>IFERROR(__xludf.DUMMYFUNCTION("""COMPUTED_VALUE"""),"Papillon")</f>
        <v>Papillon</v>
      </c>
      <c r="J1675" s="5" t="str">
        <f>IFERROR(__xludf.DUMMYFUNCTION("""COMPUTED_VALUE"""),"Dustin Hoffman")</f>
        <v>Dustin Hoffman</v>
      </c>
      <c r="K1675" s="5" t="str">
        <f>IFERROR(__xludf.DUMMYFUNCTION("""COMPUTED_VALUE"""),"Estrela 2")</f>
        <v>Estrela 2</v>
      </c>
      <c r="P1675" s="5">
        <f>IFERROR(__xludf.DUMMYFUNCTION("""COMPUTED_VALUE"""),419.0)</f>
        <v>419</v>
      </c>
      <c r="Q1675" s="5" t="str">
        <f>IFERROR(__xludf.DUMMYFUNCTION("""COMPUTED_VALUE"""),"Papillon")</f>
        <v>Papillon</v>
      </c>
      <c r="R1675" s="5" t="str">
        <f>IFERROR(__xludf.DUMMYFUNCTION("""COMPUTED_VALUE"""),"Dustin Hoffman")</f>
        <v>Dustin Hoffman</v>
      </c>
      <c r="S1675" s="5" t="str">
        <f>IFERROR(__xludf.DUMMYFUNCTION("""COMPUTED_VALUE"""),"Estrela 2")</f>
        <v>Estrela 2</v>
      </c>
    </row>
    <row r="1676">
      <c r="G1676" s="5" t="str">
        <f>IFERROR(__xludf.DUMMYFUNCTION("""COMPUTED_VALUE"""),"419🤙🏼Papillon🤙🏼Victor Jory🤙🏼Estrela 3")</f>
        <v>419🤙🏼Papillon🤙🏼Victor Jory🤙🏼Estrela 3</v>
      </c>
      <c r="H1676" s="5">
        <f>IFERROR(__xludf.DUMMYFUNCTION("SPLiT(G1676, ""🤙🏼"",FALSE,FALSE)"),419.0)</f>
        <v>419</v>
      </c>
      <c r="I1676" s="5" t="str">
        <f>IFERROR(__xludf.DUMMYFUNCTION("""COMPUTED_VALUE"""),"Papillon")</f>
        <v>Papillon</v>
      </c>
      <c r="J1676" s="5" t="str">
        <f>IFERROR(__xludf.DUMMYFUNCTION("""COMPUTED_VALUE"""),"Victor Jory")</f>
        <v>Victor Jory</v>
      </c>
      <c r="K1676" s="5" t="str">
        <f>IFERROR(__xludf.DUMMYFUNCTION("""COMPUTED_VALUE"""),"Estrela 3")</f>
        <v>Estrela 3</v>
      </c>
      <c r="P1676" s="5">
        <f>IFERROR(__xludf.DUMMYFUNCTION("""COMPUTED_VALUE"""),419.0)</f>
        <v>419</v>
      </c>
      <c r="Q1676" s="5" t="str">
        <f>IFERROR(__xludf.DUMMYFUNCTION("""COMPUTED_VALUE"""),"Papillon")</f>
        <v>Papillon</v>
      </c>
      <c r="R1676" s="5" t="str">
        <f>IFERROR(__xludf.DUMMYFUNCTION("""COMPUTED_VALUE"""),"Victor Jory")</f>
        <v>Victor Jory</v>
      </c>
      <c r="S1676" s="5" t="str">
        <f>IFERROR(__xludf.DUMMYFUNCTION("""COMPUTED_VALUE"""),"Estrela 3")</f>
        <v>Estrela 3</v>
      </c>
    </row>
    <row r="1677">
      <c r="G1677" s="5" t="str">
        <f>IFERROR(__xludf.DUMMYFUNCTION("""COMPUTED_VALUE"""),"419🤙🏼Papillon🤙🏼Don Gordon🤙🏼Estrela 4")</f>
        <v>419🤙🏼Papillon🤙🏼Don Gordon🤙🏼Estrela 4</v>
      </c>
      <c r="H1677" s="5">
        <f>IFERROR(__xludf.DUMMYFUNCTION("SPLiT(G1677, ""🤙🏼"",FALSE,FALSE)"),419.0)</f>
        <v>419</v>
      </c>
      <c r="I1677" s="5" t="str">
        <f>IFERROR(__xludf.DUMMYFUNCTION("""COMPUTED_VALUE"""),"Papillon")</f>
        <v>Papillon</v>
      </c>
      <c r="J1677" s="5" t="str">
        <f>IFERROR(__xludf.DUMMYFUNCTION("""COMPUTED_VALUE"""),"Don Gordon")</f>
        <v>Don Gordon</v>
      </c>
      <c r="K1677" s="5" t="str">
        <f>IFERROR(__xludf.DUMMYFUNCTION("""COMPUTED_VALUE"""),"Estrela 4")</f>
        <v>Estrela 4</v>
      </c>
      <c r="P1677" s="5">
        <f>IFERROR(__xludf.DUMMYFUNCTION("""COMPUTED_VALUE"""),419.0)</f>
        <v>419</v>
      </c>
      <c r="Q1677" s="5" t="str">
        <f>IFERROR(__xludf.DUMMYFUNCTION("""COMPUTED_VALUE"""),"Papillon")</f>
        <v>Papillon</v>
      </c>
      <c r="R1677" s="5" t="str">
        <f>IFERROR(__xludf.DUMMYFUNCTION("""COMPUTED_VALUE"""),"Don Gordon")</f>
        <v>Don Gordon</v>
      </c>
      <c r="S1677" s="5" t="str">
        <f>IFERROR(__xludf.DUMMYFUNCTION("""COMPUTED_VALUE"""),"Estrela 4")</f>
        <v>Estrela 4</v>
      </c>
    </row>
    <row r="1678">
      <c r="G1678" s="5" t="str">
        <f>IFERROR(__xludf.DUMMYFUNCTION("""COMPUTED_VALUE"""),"420🤙🏼The Exorcist🤙🏼Ellen Burstyn🤙🏼Estrela 1")</f>
        <v>420🤙🏼The Exorcist🤙🏼Ellen Burstyn🤙🏼Estrela 1</v>
      </c>
      <c r="H1678" s="5">
        <f>IFERROR(__xludf.DUMMYFUNCTION("SPLiT(G1678, ""🤙🏼"",FALSE,FALSE)"),420.0)</f>
        <v>420</v>
      </c>
      <c r="I1678" s="5" t="str">
        <f>IFERROR(__xludf.DUMMYFUNCTION("""COMPUTED_VALUE"""),"The Exorcist")</f>
        <v>The Exorcist</v>
      </c>
      <c r="J1678" s="5" t="str">
        <f>IFERROR(__xludf.DUMMYFUNCTION("""COMPUTED_VALUE"""),"Ellen Burstyn")</f>
        <v>Ellen Burstyn</v>
      </c>
      <c r="K1678" s="5" t="str">
        <f>IFERROR(__xludf.DUMMYFUNCTION("""COMPUTED_VALUE"""),"Estrela 1")</f>
        <v>Estrela 1</v>
      </c>
      <c r="P1678" s="5">
        <f>IFERROR(__xludf.DUMMYFUNCTION("""COMPUTED_VALUE"""),420.0)</f>
        <v>420</v>
      </c>
      <c r="Q1678" s="5" t="str">
        <f>IFERROR(__xludf.DUMMYFUNCTION("""COMPUTED_VALUE"""),"The Exorcist")</f>
        <v>The Exorcist</v>
      </c>
      <c r="R1678" s="5" t="str">
        <f>IFERROR(__xludf.DUMMYFUNCTION("""COMPUTED_VALUE"""),"Ellen Burstyn")</f>
        <v>Ellen Burstyn</v>
      </c>
      <c r="S1678" s="5" t="str">
        <f>IFERROR(__xludf.DUMMYFUNCTION("""COMPUTED_VALUE"""),"Estrela 1")</f>
        <v>Estrela 1</v>
      </c>
    </row>
    <row r="1679">
      <c r="G1679" s="5" t="str">
        <f>IFERROR(__xludf.DUMMYFUNCTION("""COMPUTED_VALUE"""),"420🤙🏼The Exorcist🤙🏼Max von Sydow🤙🏼Estrela 2")</f>
        <v>420🤙🏼The Exorcist🤙🏼Max von Sydow🤙🏼Estrela 2</v>
      </c>
      <c r="H1679" s="5">
        <f>IFERROR(__xludf.DUMMYFUNCTION("SPLiT(G1679, ""🤙🏼"",FALSE,FALSE)"),420.0)</f>
        <v>420</v>
      </c>
      <c r="I1679" s="5" t="str">
        <f>IFERROR(__xludf.DUMMYFUNCTION("""COMPUTED_VALUE"""),"The Exorcist")</f>
        <v>The Exorcist</v>
      </c>
      <c r="J1679" s="5" t="str">
        <f>IFERROR(__xludf.DUMMYFUNCTION("""COMPUTED_VALUE"""),"Max von Sydow")</f>
        <v>Max von Sydow</v>
      </c>
      <c r="K1679" s="5" t="str">
        <f>IFERROR(__xludf.DUMMYFUNCTION("""COMPUTED_VALUE"""),"Estrela 2")</f>
        <v>Estrela 2</v>
      </c>
      <c r="P1679" s="5">
        <f>IFERROR(__xludf.DUMMYFUNCTION("""COMPUTED_VALUE"""),420.0)</f>
        <v>420</v>
      </c>
      <c r="Q1679" s="5" t="str">
        <f>IFERROR(__xludf.DUMMYFUNCTION("""COMPUTED_VALUE"""),"The Exorcist")</f>
        <v>The Exorcist</v>
      </c>
      <c r="R1679" s="5" t="str">
        <f>IFERROR(__xludf.DUMMYFUNCTION("""COMPUTED_VALUE"""),"Max von Sydow")</f>
        <v>Max von Sydow</v>
      </c>
      <c r="S1679" s="5" t="str">
        <f>IFERROR(__xludf.DUMMYFUNCTION("""COMPUTED_VALUE"""),"Estrela 2")</f>
        <v>Estrela 2</v>
      </c>
    </row>
    <row r="1680">
      <c r="G1680" s="5" t="str">
        <f>IFERROR(__xludf.DUMMYFUNCTION("""COMPUTED_VALUE"""),"420🤙🏼The Exorcist🤙🏼Linda Blair🤙🏼Estrela 3")</f>
        <v>420🤙🏼The Exorcist🤙🏼Linda Blair🤙🏼Estrela 3</v>
      </c>
      <c r="H1680" s="5">
        <f>IFERROR(__xludf.DUMMYFUNCTION("SPLiT(G1680, ""🤙🏼"",FALSE,FALSE)"),420.0)</f>
        <v>420</v>
      </c>
      <c r="I1680" s="5" t="str">
        <f>IFERROR(__xludf.DUMMYFUNCTION("""COMPUTED_VALUE"""),"The Exorcist")</f>
        <v>The Exorcist</v>
      </c>
      <c r="J1680" s="5" t="str">
        <f>IFERROR(__xludf.DUMMYFUNCTION("""COMPUTED_VALUE"""),"Linda Blair")</f>
        <v>Linda Blair</v>
      </c>
      <c r="K1680" s="5" t="str">
        <f>IFERROR(__xludf.DUMMYFUNCTION("""COMPUTED_VALUE"""),"Estrela 3")</f>
        <v>Estrela 3</v>
      </c>
      <c r="P1680" s="5">
        <f>IFERROR(__xludf.DUMMYFUNCTION("""COMPUTED_VALUE"""),420.0)</f>
        <v>420</v>
      </c>
      <c r="Q1680" s="5" t="str">
        <f>IFERROR(__xludf.DUMMYFUNCTION("""COMPUTED_VALUE"""),"The Exorcist")</f>
        <v>The Exorcist</v>
      </c>
      <c r="R1680" s="5" t="str">
        <f>IFERROR(__xludf.DUMMYFUNCTION("""COMPUTED_VALUE"""),"Linda Blair")</f>
        <v>Linda Blair</v>
      </c>
      <c r="S1680" s="5" t="str">
        <f>IFERROR(__xludf.DUMMYFUNCTION("""COMPUTED_VALUE"""),"Estrela 3")</f>
        <v>Estrela 3</v>
      </c>
    </row>
    <row r="1681">
      <c r="G1681" s="5" t="str">
        <f>IFERROR(__xludf.DUMMYFUNCTION("""COMPUTED_VALUE"""),"420🤙🏼The Exorcist🤙🏼Lee J. Cobb🤙🏼Estrela 4")</f>
        <v>420🤙🏼The Exorcist🤙🏼Lee J. Cobb🤙🏼Estrela 4</v>
      </c>
      <c r="H1681" s="5">
        <f>IFERROR(__xludf.DUMMYFUNCTION("SPLiT(G1681, ""🤙🏼"",FALSE,FALSE)"),420.0)</f>
        <v>420</v>
      </c>
      <c r="I1681" s="5" t="str">
        <f>IFERROR(__xludf.DUMMYFUNCTION("""COMPUTED_VALUE"""),"The Exorcist")</f>
        <v>The Exorcist</v>
      </c>
      <c r="J1681" s="5" t="str">
        <f>IFERROR(__xludf.DUMMYFUNCTION("""COMPUTED_VALUE"""),"Lee J. Cobb")</f>
        <v>Lee J. Cobb</v>
      </c>
      <c r="K1681" s="5" t="str">
        <f>IFERROR(__xludf.DUMMYFUNCTION("""COMPUTED_VALUE"""),"Estrela 4")</f>
        <v>Estrela 4</v>
      </c>
      <c r="P1681" s="5">
        <f>IFERROR(__xludf.DUMMYFUNCTION("""COMPUTED_VALUE"""),420.0)</f>
        <v>420</v>
      </c>
      <c r="Q1681" s="5" t="str">
        <f>IFERROR(__xludf.DUMMYFUNCTION("""COMPUTED_VALUE"""),"The Exorcist")</f>
        <v>The Exorcist</v>
      </c>
      <c r="R1681" s="5" t="str">
        <f>IFERROR(__xludf.DUMMYFUNCTION("""COMPUTED_VALUE"""),"Lee J. Cobb")</f>
        <v>Lee J. Cobb</v>
      </c>
      <c r="S1681" s="5" t="str">
        <f>IFERROR(__xludf.DUMMYFUNCTION("""COMPUTED_VALUE"""),"Estrela 4")</f>
        <v>Estrela 4</v>
      </c>
    </row>
    <row r="1682">
      <c r="G1682" s="5" t="str">
        <f>IFERROR(__xludf.DUMMYFUNCTION("""COMPUTED_VALUE"""),"421🤙🏼Sleuth🤙🏼Laurence Olivier🤙🏼Estrela 1")</f>
        <v>421🤙🏼Sleuth🤙🏼Laurence Olivier🤙🏼Estrela 1</v>
      </c>
      <c r="H1682" s="5">
        <f>IFERROR(__xludf.DUMMYFUNCTION("SPLiT(G1682, ""🤙🏼"",FALSE,FALSE)"),421.0)</f>
        <v>421</v>
      </c>
      <c r="I1682" s="5" t="str">
        <f>IFERROR(__xludf.DUMMYFUNCTION("""COMPUTED_VALUE"""),"Sleuth")</f>
        <v>Sleuth</v>
      </c>
      <c r="J1682" s="5" t="str">
        <f>IFERROR(__xludf.DUMMYFUNCTION("""COMPUTED_VALUE"""),"Laurence Olivier")</f>
        <v>Laurence Olivier</v>
      </c>
      <c r="K1682" s="5" t="str">
        <f>IFERROR(__xludf.DUMMYFUNCTION("""COMPUTED_VALUE"""),"Estrela 1")</f>
        <v>Estrela 1</v>
      </c>
      <c r="P1682" s="5">
        <f>IFERROR(__xludf.DUMMYFUNCTION("""COMPUTED_VALUE"""),421.0)</f>
        <v>421</v>
      </c>
      <c r="Q1682" s="5" t="str">
        <f>IFERROR(__xludf.DUMMYFUNCTION("""COMPUTED_VALUE"""),"Sleuth")</f>
        <v>Sleuth</v>
      </c>
      <c r="R1682" s="5" t="str">
        <f>IFERROR(__xludf.DUMMYFUNCTION("""COMPUTED_VALUE"""),"Laurence Olivier")</f>
        <v>Laurence Olivier</v>
      </c>
      <c r="S1682" s="5" t="str">
        <f>IFERROR(__xludf.DUMMYFUNCTION("""COMPUTED_VALUE"""),"Estrela 1")</f>
        <v>Estrela 1</v>
      </c>
    </row>
    <row r="1683">
      <c r="G1683" s="5" t="str">
        <f>IFERROR(__xludf.DUMMYFUNCTION("""COMPUTED_VALUE"""),"421🤙🏼Sleuth🤙🏼Michael Caine🤙🏼Estrela 2")</f>
        <v>421🤙🏼Sleuth🤙🏼Michael Caine🤙🏼Estrela 2</v>
      </c>
      <c r="H1683" s="5">
        <f>IFERROR(__xludf.DUMMYFUNCTION("SPLiT(G1683, ""🤙🏼"",FALSE,FALSE)"),421.0)</f>
        <v>421</v>
      </c>
      <c r="I1683" s="5" t="str">
        <f>IFERROR(__xludf.DUMMYFUNCTION("""COMPUTED_VALUE"""),"Sleuth")</f>
        <v>Sleuth</v>
      </c>
      <c r="J1683" s="5" t="str">
        <f>IFERROR(__xludf.DUMMYFUNCTION("""COMPUTED_VALUE"""),"Michael Caine")</f>
        <v>Michael Caine</v>
      </c>
      <c r="K1683" s="5" t="str">
        <f>IFERROR(__xludf.DUMMYFUNCTION("""COMPUTED_VALUE"""),"Estrela 2")</f>
        <v>Estrela 2</v>
      </c>
      <c r="P1683" s="5">
        <f>IFERROR(__xludf.DUMMYFUNCTION("""COMPUTED_VALUE"""),421.0)</f>
        <v>421</v>
      </c>
      <c r="Q1683" s="5" t="str">
        <f>IFERROR(__xludf.DUMMYFUNCTION("""COMPUTED_VALUE"""),"Sleuth")</f>
        <v>Sleuth</v>
      </c>
      <c r="R1683" s="5" t="str">
        <f>IFERROR(__xludf.DUMMYFUNCTION("""COMPUTED_VALUE"""),"Michael Caine")</f>
        <v>Michael Caine</v>
      </c>
      <c r="S1683" s="5" t="str">
        <f>IFERROR(__xludf.DUMMYFUNCTION("""COMPUTED_VALUE"""),"Estrela 2")</f>
        <v>Estrela 2</v>
      </c>
    </row>
    <row r="1684">
      <c r="G1684" s="5" t="str">
        <f>IFERROR(__xludf.DUMMYFUNCTION("""COMPUTED_VALUE"""),"421🤙🏼Sleuth🤙🏼Alec Cawthorne🤙🏼Estrela 3")</f>
        <v>421🤙🏼Sleuth🤙🏼Alec Cawthorne🤙🏼Estrela 3</v>
      </c>
      <c r="H1684" s="5">
        <f>IFERROR(__xludf.DUMMYFUNCTION("SPLiT(G1684, ""🤙🏼"",FALSE,FALSE)"),421.0)</f>
        <v>421</v>
      </c>
      <c r="I1684" s="5" t="str">
        <f>IFERROR(__xludf.DUMMYFUNCTION("""COMPUTED_VALUE"""),"Sleuth")</f>
        <v>Sleuth</v>
      </c>
      <c r="J1684" s="5" t="str">
        <f>IFERROR(__xludf.DUMMYFUNCTION("""COMPUTED_VALUE"""),"Alec Cawthorne")</f>
        <v>Alec Cawthorne</v>
      </c>
      <c r="K1684" s="5" t="str">
        <f>IFERROR(__xludf.DUMMYFUNCTION("""COMPUTED_VALUE"""),"Estrela 3")</f>
        <v>Estrela 3</v>
      </c>
      <c r="P1684" s="5">
        <f>IFERROR(__xludf.DUMMYFUNCTION("""COMPUTED_VALUE"""),421.0)</f>
        <v>421</v>
      </c>
      <c r="Q1684" s="5" t="str">
        <f>IFERROR(__xludf.DUMMYFUNCTION("""COMPUTED_VALUE"""),"Sleuth")</f>
        <v>Sleuth</v>
      </c>
      <c r="R1684" s="5" t="str">
        <f>IFERROR(__xludf.DUMMYFUNCTION("""COMPUTED_VALUE"""),"Alec Cawthorne")</f>
        <v>Alec Cawthorne</v>
      </c>
      <c r="S1684" s="5" t="str">
        <f>IFERROR(__xludf.DUMMYFUNCTION("""COMPUTED_VALUE"""),"Estrela 3")</f>
        <v>Estrela 3</v>
      </c>
    </row>
    <row r="1685">
      <c r="G1685" s="5" t="str">
        <f>IFERROR(__xludf.DUMMYFUNCTION("""COMPUTED_VALUE"""),"421🤙🏼Sleuth🤙🏼John Matthews🤙🏼Estrela 4")</f>
        <v>421🤙🏼Sleuth🤙🏼John Matthews🤙🏼Estrela 4</v>
      </c>
      <c r="H1685" s="5">
        <f>IFERROR(__xludf.DUMMYFUNCTION("SPLiT(G1685, ""🤙🏼"",FALSE,FALSE)"),421.0)</f>
        <v>421</v>
      </c>
      <c r="I1685" s="5" t="str">
        <f>IFERROR(__xludf.DUMMYFUNCTION("""COMPUTED_VALUE"""),"Sleuth")</f>
        <v>Sleuth</v>
      </c>
      <c r="J1685" s="5" t="str">
        <f>IFERROR(__xludf.DUMMYFUNCTION("""COMPUTED_VALUE"""),"John Matthews")</f>
        <v>John Matthews</v>
      </c>
      <c r="K1685" s="5" t="str">
        <f>IFERROR(__xludf.DUMMYFUNCTION("""COMPUTED_VALUE"""),"Estrela 4")</f>
        <v>Estrela 4</v>
      </c>
      <c r="P1685" s="5">
        <f>IFERROR(__xludf.DUMMYFUNCTION("""COMPUTED_VALUE"""),421.0)</f>
        <v>421</v>
      </c>
      <c r="Q1685" s="5" t="str">
        <f>IFERROR(__xludf.DUMMYFUNCTION("""COMPUTED_VALUE"""),"Sleuth")</f>
        <v>Sleuth</v>
      </c>
      <c r="R1685" s="5" t="str">
        <f>IFERROR(__xludf.DUMMYFUNCTION("""COMPUTED_VALUE"""),"John Matthews")</f>
        <v>John Matthews</v>
      </c>
      <c r="S1685" s="5" t="str">
        <f>IFERROR(__xludf.DUMMYFUNCTION("""COMPUTED_VALUE"""),"Estrela 4")</f>
        <v>Estrela 4</v>
      </c>
    </row>
    <row r="1686">
      <c r="G1686" s="5" t="str">
        <f>IFERROR(__xludf.DUMMYFUNCTION("""COMPUTED_VALUE"""),"422🤙🏼The Last Picture Show🤙🏼Timothy Bottoms🤙🏼Estrela 1")</f>
        <v>422🤙🏼The Last Picture Show🤙🏼Timothy Bottoms🤙🏼Estrela 1</v>
      </c>
      <c r="H1686" s="5">
        <f>IFERROR(__xludf.DUMMYFUNCTION("SPLiT(G1686, ""🤙🏼"",FALSE,FALSE)"),422.0)</f>
        <v>422</v>
      </c>
      <c r="I1686" s="5" t="str">
        <f>IFERROR(__xludf.DUMMYFUNCTION("""COMPUTED_VALUE"""),"The Last Picture Show")</f>
        <v>The Last Picture Show</v>
      </c>
      <c r="J1686" s="5" t="str">
        <f>IFERROR(__xludf.DUMMYFUNCTION("""COMPUTED_VALUE"""),"Timothy Bottoms")</f>
        <v>Timothy Bottoms</v>
      </c>
      <c r="K1686" s="5" t="str">
        <f>IFERROR(__xludf.DUMMYFUNCTION("""COMPUTED_VALUE"""),"Estrela 1")</f>
        <v>Estrela 1</v>
      </c>
      <c r="P1686" s="5">
        <f>IFERROR(__xludf.DUMMYFUNCTION("""COMPUTED_VALUE"""),422.0)</f>
        <v>422</v>
      </c>
      <c r="Q1686" s="5" t="str">
        <f>IFERROR(__xludf.DUMMYFUNCTION("""COMPUTED_VALUE"""),"The Last Picture Show")</f>
        <v>The Last Picture Show</v>
      </c>
      <c r="R1686" s="5" t="str">
        <f>IFERROR(__xludf.DUMMYFUNCTION("""COMPUTED_VALUE"""),"Timothy Bottoms")</f>
        <v>Timothy Bottoms</v>
      </c>
      <c r="S1686" s="5" t="str">
        <f>IFERROR(__xludf.DUMMYFUNCTION("""COMPUTED_VALUE"""),"Estrela 1")</f>
        <v>Estrela 1</v>
      </c>
    </row>
    <row r="1687">
      <c r="G1687" s="5" t="str">
        <f>IFERROR(__xludf.DUMMYFUNCTION("""COMPUTED_VALUE"""),"422🤙🏼The Last Picture Show🤙🏼Jeff Bridges🤙🏼Estrela 2")</f>
        <v>422🤙🏼The Last Picture Show🤙🏼Jeff Bridges🤙🏼Estrela 2</v>
      </c>
      <c r="H1687" s="5">
        <f>IFERROR(__xludf.DUMMYFUNCTION("SPLiT(G1687, ""🤙🏼"",FALSE,FALSE)"),422.0)</f>
        <v>422</v>
      </c>
      <c r="I1687" s="5" t="str">
        <f>IFERROR(__xludf.DUMMYFUNCTION("""COMPUTED_VALUE"""),"The Last Picture Show")</f>
        <v>The Last Picture Show</v>
      </c>
      <c r="J1687" s="5" t="str">
        <f>IFERROR(__xludf.DUMMYFUNCTION("""COMPUTED_VALUE"""),"Jeff Bridges")</f>
        <v>Jeff Bridges</v>
      </c>
      <c r="K1687" s="5" t="str">
        <f>IFERROR(__xludf.DUMMYFUNCTION("""COMPUTED_VALUE"""),"Estrela 2")</f>
        <v>Estrela 2</v>
      </c>
      <c r="P1687" s="5">
        <f>IFERROR(__xludf.DUMMYFUNCTION("""COMPUTED_VALUE"""),422.0)</f>
        <v>422</v>
      </c>
      <c r="Q1687" s="5" t="str">
        <f>IFERROR(__xludf.DUMMYFUNCTION("""COMPUTED_VALUE"""),"The Last Picture Show")</f>
        <v>The Last Picture Show</v>
      </c>
      <c r="R1687" s="5" t="str">
        <f>IFERROR(__xludf.DUMMYFUNCTION("""COMPUTED_VALUE"""),"Jeff Bridges")</f>
        <v>Jeff Bridges</v>
      </c>
      <c r="S1687" s="5" t="str">
        <f>IFERROR(__xludf.DUMMYFUNCTION("""COMPUTED_VALUE"""),"Estrela 2")</f>
        <v>Estrela 2</v>
      </c>
    </row>
    <row r="1688">
      <c r="G1688" s="5" t="str">
        <f>IFERROR(__xludf.DUMMYFUNCTION("""COMPUTED_VALUE"""),"422🤙🏼The Last Picture Show🤙🏼Cybill Shepherd🤙🏼Estrela 3")</f>
        <v>422🤙🏼The Last Picture Show🤙🏼Cybill Shepherd🤙🏼Estrela 3</v>
      </c>
      <c r="H1688" s="5">
        <f>IFERROR(__xludf.DUMMYFUNCTION("SPLiT(G1688, ""🤙🏼"",FALSE,FALSE)"),422.0)</f>
        <v>422</v>
      </c>
      <c r="I1688" s="5" t="str">
        <f>IFERROR(__xludf.DUMMYFUNCTION("""COMPUTED_VALUE"""),"The Last Picture Show")</f>
        <v>The Last Picture Show</v>
      </c>
      <c r="J1688" s="5" t="str">
        <f>IFERROR(__xludf.DUMMYFUNCTION("""COMPUTED_VALUE"""),"Cybill Shepherd")</f>
        <v>Cybill Shepherd</v>
      </c>
      <c r="K1688" s="5" t="str">
        <f>IFERROR(__xludf.DUMMYFUNCTION("""COMPUTED_VALUE"""),"Estrela 3")</f>
        <v>Estrela 3</v>
      </c>
      <c r="P1688" s="5">
        <f>IFERROR(__xludf.DUMMYFUNCTION("""COMPUTED_VALUE"""),422.0)</f>
        <v>422</v>
      </c>
      <c r="Q1688" s="5" t="str">
        <f>IFERROR(__xludf.DUMMYFUNCTION("""COMPUTED_VALUE"""),"The Last Picture Show")</f>
        <v>The Last Picture Show</v>
      </c>
      <c r="R1688" s="5" t="str">
        <f>IFERROR(__xludf.DUMMYFUNCTION("""COMPUTED_VALUE"""),"Cybill Shepherd")</f>
        <v>Cybill Shepherd</v>
      </c>
      <c r="S1688" s="5" t="str">
        <f>IFERROR(__xludf.DUMMYFUNCTION("""COMPUTED_VALUE"""),"Estrela 3")</f>
        <v>Estrela 3</v>
      </c>
    </row>
    <row r="1689">
      <c r="G1689" s="5" t="str">
        <f>IFERROR(__xludf.DUMMYFUNCTION("""COMPUTED_VALUE"""),"422🤙🏼The Last Picture Show🤙🏼Ben Johnson🤙🏼Estrela 4")</f>
        <v>422🤙🏼The Last Picture Show🤙🏼Ben Johnson🤙🏼Estrela 4</v>
      </c>
      <c r="H1689" s="5">
        <f>IFERROR(__xludf.DUMMYFUNCTION("SPLiT(G1689, ""🤙🏼"",FALSE,FALSE)"),422.0)</f>
        <v>422</v>
      </c>
      <c r="I1689" s="5" t="str">
        <f>IFERROR(__xludf.DUMMYFUNCTION("""COMPUTED_VALUE"""),"The Last Picture Show")</f>
        <v>The Last Picture Show</v>
      </c>
      <c r="J1689" s="5" t="str">
        <f>IFERROR(__xludf.DUMMYFUNCTION("""COMPUTED_VALUE"""),"Ben Johnson")</f>
        <v>Ben Johnson</v>
      </c>
      <c r="K1689" s="5" t="str">
        <f>IFERROR(__xludf.DUMMYFUNCTION("""COMPUTED_VALUE"""),"Estrela 4")</f>
        <v>Estrela 4</v>
      </c>
      <c r="P1689" s="5">
        <f>IFERROR(__xludf.DUMMYFUNCTION("""COMPUTED_VALUE"""),422.0)</f>
        <v>422</v>
      </c>
      <c r="Q1689" s="5" t="str">
        <f>IFERROR(__xludf.DUMMYFUNCTION("""COMPUTED_VALUE"""),"The Last Picture Show")</f>
        <v>The Last Picture Show</v>
      </c>
      <c r="R1689" s="5" t="str">
        <f>IFERROR(__xludf.DUMMYFUNCTION("""COMPUTED_VALUE"""),"Ben Johnson")</f>
        <v>Ben Johnson</v>
      </c>
      <c r="S1689" s="5" t="str">
        <f>IFERROR(__xludf.DUMMYFUNCTION("""COMPUTED_VALUE"""),"Estrela 4")</f>
        <v>Estrela 4</v>
      </c>
    </row>
    <row r="1690">
      <c r="G1690" s="5" t="str">
        <f>IFERROR(__xludf.DUMMYFUNCTION("""COMPUTED_VALUE"""),"423🤙🏼Fiddler on the Roof🤙🏼Topol🤙🏼Estrela 1")</f>
        <v>423🤙🏼Fiddler on the Roof🤙🏼Topol🤙🏼Estrela 1</v>
      </c>
      <c r="H1690" s="5">
        <f>IFERROR(__xludf.DUMMYFUNCTION("SPLiT(G1690, ""🤙🏼"",FALSE,FALSE)"),423.0)</f>
        <v>423</v>
      </c>
      <c r="I1690" s="5" t="str">
        <f>IFERROR(__xludf.DUMMYFUNCTION("""COMPUTED_VALUE"""),"Fiddler on the Roof")</f>
        <v>Fiddler on the Roof</v>
      </c>
      <c r="J1690" s="5" t="str">
        <f>IFERROR(__xludf.DUMMYFUNCTION("""COMPUTED_VALUE"""),"Topol")</f>
        <v>Topol</v>
      </c>
      <c r="K1690" s="5" t="str">
        <f>IFERROR(__xludf.DUMMYFUNCTION("""COMPUTED_VALUE"""),"Estrela 1")</f>
        <v>Estrela 1</v>
      </c>
      <c r="P1690" s="5">
        <f>IFERROR(__xludf.DUMMYFUNCTION("""COMPUTED_VALUE"""),423.0)</f>
        <v>423</v>
      </c>
      <c r="Q1690" s="5" t="str">
        <f>IFERROR(__xludf.DUMMYFUNCTION("""COMPUTED_VALUE"""),"Fiddler on the Roof")</f>
        <v>Fiddler on the Roof</v>
      </c>
      <c r="R1690" s="5" t="str">
        <f>IFERROR(__xludf.DUMMYFUNCTION("""COMPUTED_VALUE"""),"Topol")</f>
        <v>Topol</v>
      </c>
      <c r="S1690" s="5" t="str">
        <f>IFERROR(__xludf.DUMMYFUNCTION("""COMPUTED_VALUE"""),"Estrela 1")</f>
        <v>Estrela 1</v>
      </c>
    </row>
    <row r="1691">
      <c r="G1691" s="5" t="str">
        <f>IFERROR(__xludf.DUMMYFUNCTION("""COMPUTED_VALUE"""),"423🤙🏼Fiddler on the Roof🤙🏼Norma Crane🤙🏼Estrela 2")</f>
        <v>423🤙🏼Fiddler on the Roof🤙🏼Norma Crane🤙🏼Estrela 2</v>
      </c>
      <c r="H1691" s="5">
        <f>IFERROR(__xludf.DUMMYFUNCTION("SPLiT(G1691, ""🤙🏼"",FALSE,FALSE)"),423.0)</f>
        <v>423</v>
      </c>
      <c r="I1691" s="5" t="str">
        <f>IFERROR(__xludf.DUMMYFUNCTION("""COMPUTED_VALUE"""),"Fiddler on the Roof")</f>
        <v>Fiddler on the Roof</v>
      </c>
      <c r="J1691" s="5" t="str">
        <f>IFERROR(__xludf.DUMMYFUNCTION("""COMPUTED_VALUE"""),"Norma Crane")</f>
        <v>Norma Crane</v>
      </c>
      <c r="K1691" s="5" t="str">
        <f>IFERROR(__xludf.DUMMYFUNCTION("""COMPUTED_VALUE"""),"Estrela 2")</f>
        <v>Estrela 2</v>
      </c>
      <c r="P1691" s="5">
        <f>IFERROR(__xludf.DUMMYFUNCTION("""COMPUTED_VALUE"""),423.0)</f>
        <v>423</v>
      </c>
      <c r="Q1691" s="5" t="str">
        <f>IFERROR(__xludf.DUMMYFUNCTION("""COMPUTED_VALUE"""),"Fiddler on the Roof")</f>
        <v>Fiddler on the Roof</v>
      </c>
      <c r="R1691" s="5" t="str">
        <f>IFERROR(__xludf.DUMMYFUNCTION("""COMPUTED_VALUE"""),"Norma Crane")</f>
        <v>Norma Crane</v>
      </c>
      <c r="S1691" s="5" t="str">
        <f>IFERROR(__xludf.DUMMYFUNCTION("""COMPUTED_VALUE"""),"Estrela 2")</f>
        <v>Estrela 2</v>
      </c>
    </row>
    <row r="1692">
      <c r="G1692" s="5" t="str">
        <f>IFERROR(__xludf.DUMMYFUNCTION("""COMPUTED_VALUE"""),"423🤙🏼Fiddler on the Roof🤙🏼Leonard Frey🤙🏼Estrela 3")</f>
        <v>423🤙🏼Fiddler on the Roof🤙🏼Leonard Frey🤙🏼Estrela 3</v>
      </c>
      <c r="H1692" s="5">
        <f>IFERROR(__xludf.DUMMYFUNCTION("SPLiT(G1692, ""🤙🏼"",FALSE,FALSE)"),423.0)</f>
        <v>423</v>
      </c>
      <c r="I1692" s="5" t="str">
        <f>IFERROR(__xludf.DUMMYFUNCTION("""COMPUTED_VALUE"""),"Fiddler on the Roof")</f>
        <v>Fiddler on the Roof</v>
      </c>
      <c r="J1692" s="5" t="str">
        <f>IFERROR(__xludf.DUMMYFUNCTION("""COMPUTED_VALUE"""),"Leonard Frey")</f>
        <v>Leonard Frey</v>
      </c>
      <c r="K1692" s="5" t="str">
        <f>IFERROR(__xludf.DUMMYFUNCTION("""COMPUTED_VALUE"""),"Estrela 3")</f>
        <v>Estrela 3</v>
      </c>
      <c r="P1692" s="5">
        <f>IFERROR(__xludf.DUMMYFUNCTION("""COMPUTED_VALUE"""),423.0)</f>
        <v>423</v>
      </c>
      <c r="Q1692" s="5" t="str">
        <f>IFERROR(__xludf.DUMMYFUNCTION("""COMPUTED_VALUE"""),"Fiddler on the Roof")</f>
        <v>Fiddler on the Roof</v>
      </c>
      <c r="R1692" s="5" t="str">
        <f>IFERROR(__xludf.DUMMYFUNCTION("""COMPUTED_VALUE"""),"Leonard Frey")</f>
        <v>Leonard Frey</v>
      </c>
      <c r="S1692" s="5" t="str">
        <f>IFERROR(__xludf.DUMMYFUNCTION("""COMPUTED_VALUE"""),"Estrela 3")</f>
        <v>Estrela 3</v>
      </c>
    </row>
    <row r="1693">
      <c r="G1693" s="5" t="str">
        <f>IFERROR(__xludf.DUMMYFUNCTION("""COMPUTED_VALUE"""),"423🤙🏼Fiddler on the Roof🤙🏼Molly Picon🤙🏼Estrela 4")</f>
        <v>423🤙🏼Fiddler on the Roof🤙🏼Molly Picon🤙🏼Estrela 4</v>
      </c>
      <c r="H1693" s="5">
        <f>IFERROR(__xludf.DUMMYFUNCTION("SPLiT(G1693, ""🤙🏼"",FALSE,FALSE)"),423.0)</f>
        <v>423</v>
      </c>
      <c r="I1693" s="5" t="str">
        <f>IFERROR(__xludf.DUMMYFUNCTION("""COMPUTED_VALUE"""),"Fiddler on the Roof")</f>
        <v>Fiddler on the Roof</v>
      </c>
      <c r="J1693" s="5" t="str">
        <f>IFERROR(__xludf.DUMMYFUNCTION("""COMPUTED_VALUE"""),"Molly Picon")</f>
        <v>Molly Picon</v>
      </c>
      <c r="K1693" s="5" t="str">
        <f>IFERROR(__xludf.DUMMYFUNCTION("""COMPUTED_VALUE"""),"Estrela 4")</f>
        <v>Estrela 4</v>
      </c>
      <c r="P1693" s="5">
        <f>IFERROR(__xludf.DUMMYFUNCTION("""COMPUTED_VALUE"""),423.0)</f>
        <v>423</v>
      </c>
      <c r="Q1693" s="5" t="str">
        <f>IFERROR(__xludf.DUMMYFUNCTION("""COMPUTED_VALUE"""),"Fiddler on the Roof")</f>
        <v>Fiddler on the Roof</v>
      </c>
      <c r="R1693" s="5" t="str">
        <f>IFERROR(__xludf.DUMMYFUNCTION("""COMPUTED_VALUE"""),"Molly Picon")</f>
        <v>Molly Picon</v>
      </c>
      <c r="S1693" s="5" t="str">
        <f>IFERROR(__xludf.DUMMYFUNCTION("""COMPUTED_VALUE"""),"Estrela 4")</f>
        <v>Estrela 4</v>
      </c>
    </row>
    <row r="1694">
      <c r="G1694" s="5" t="str">
        <f>IFERROR(__xludf.DUMMYFUNCTION("""COMPUTED_VALUE"""),"424🤙🏼Il conformista🤙🏼Jean-Louis Trintignant🤙🏼Estrela 1")</f>
        <v>424🤙🏼Il conformista🤙🏼Jean-Louis Trintignant🤙🏼Estrela 1</v>
      </c>
      <c r="H1694" s="5">
        <f>IFERROR(__xludf.DUMMYFUNCTION("SPLiT(G1694, ""🤙🏼"",FALSE,FALSE)"),424.0)</f>
        <v>424</v>
      </c>
      <c r="I1694" s="5" t="str">
        <f>IFERROR(__xludf.DUMMYFUNCTION("""COMPUTED_VALUE"""),"Il conformista")</f>
        <v>Il conformista</v>
      </c>
      <c r="J1694" s="5" t="str">
        <f>IFERROR(__xludf.DUMMYFUNCTION("""COMPUTED_VALUE"""),"Jean-Louis Trintignant")</f>
        <v>Jean-Louis Trintignant</v>
      </c>
      <c r="K1694" s="5" t="str">
        <f>IFERROR(__xludf.DUMMYFUNCTION("""COMPUTED_VALUE"""),"Estrela 1")</f>
        <v>Estrela 1</v>
      </c>
      <c r="P1694" s="5">
        <f>IFERROR(__xludf.DUMMYFUNCTION("""COMPUTED_VALUE"""),424.0)</f>
        <v>424</v>
      </c>
      <c r="Q1694" s="5" t="str">
        <f>IFERROR(__xludf.DUMMYFUNCTION("""COMPUTED_VALUE"""),"Il conformista")</f>
        <v>Il conformista</v>
      </c>
      <c r="R1694" s="5" t="str">
        <f>IFERROR(__xludf.DUMMYFUNCTION("""COMPUTED_VALUE"""),"Jean-Louis Trintignant")</f>
        <v>Jean-Louis Trintignant</v>
      </c>
      <c r="S1694" s="5" t="str">
        <f>IFERROR(__xludf.DUMMYFUNCTION("""COMPUTED_VALUE"""),"Estrela 1")</f>
        <v>Estrela 1</v>
      </c>
    </row>
    <row r="1695">
      <c r="G1695" s="5" t="str">
        <f>IFERROR(__xludf.DUMMYFUNCTION("""COMPUTED_VALUE"""),"424🤙🏼Il conformista🤙🏼Stefania Sandrelli🤙🏼Estrela 2")</f>
        <v>424🤙🏼Il conformista🤙🏼Stefania Sandrelli🤙🏼Estrela 2</v>
      </c>
      <c r="H1695" s="5">
        <f>IFERROR(__xludf.DUMMYFUNCTION("SPLiT(G1695, ""🤙🏼"",FALSE,FALSE)"),424.0)</f>
        <v>424</v>
      </c>
      <c r="I1695" s="5" t="str">
        <f>IFERROR(__xludf.DUMMYFUNCTION("""COMPUTED_VALUE"""),"Il conformista")</f>
        <v>Il conformista</v>
      </c>
      <c r="J1695" s="5" t="str">
        <f>IFERROR(__xludf.DUMMYFUNCTION("""COMPUTED_VALUE"""),"Stefania Sandrelli")</f>
        <v>Stefania Sandrelli</v>
      </c>
      <c r="K1695" s="5" t="str">
        <f>IFERROR(__xludf.DUMMYFUNCTION("""COMPUTED_VALUE"""),"Estrela 2")</f>
        <v>Estrela 2</v>
      </c>
      <c r="P1695" s="5">
        <f>IFERROR(__xludf.DUMMYFUNCTION("""COMPUTED_VALUE"""),424.0)</f>
        <v>424</v>
      </c>
      <c r="Q1695" s="5" t="str">
        <f>IFERROR(__xludf.DUMMYFUNCTION("""COMPUTED_VALUE"""),"Il conformista")</f>
        <v>Il conformista</v>
      </c>
      <c r="R1695" s="5" t="str">
        <f>IFERROR(__xludf.DUMMYFUNCTION("""COMPUTED_VALUE"""),"Stefania Sandrelli")</f>
        <v>Stefania Sandrelli</v>
      </c>
      <c r="S1695" s="5" t="str">
        <f>IFERROR(__xludf.DUMMYFUNCTION("""COMPUTED_VALUE"""),"Estrela 2")</f>
        <v>Estrela 2</v>
      </c>
    </row>
    <row r="1696">
      <c r="G1696" s="5" t="str">
        <f>IFERROR(__xludf.DUMMYFUNCTION("""COMPUTED_VALUE"""),"424🤙🏼Il conformista🤙🏼Gastone Moschin🤙🏼Estrela 3")</f>
        <v>424🤙🏼Il conformista🤙🏼Gastone Moschin🤙🏼Estrela 3</v>
      </c>
      <c r="H1696" s="5">
        <f>IFERROR(__xludf.DUMMYFUNCTION("SPLiT(G1696, ""🤙🏼"",FALSE,FALSE)"),424.0)</f>
        <v>424</v>
      </c>
      <c r="I1696" s="5" t="str">
        <f>IFERROR(__xludf.DUMMYFUNCTION("""COMPUTED_VALUE"""),"Il conformista")</f>
        <v>Il conformista</v>
      </c>
      <c r="J1696" s="5" t="str">
        <f>IFERROR(__xludf.DUMMYFUNCTION("""COMPUTED_VALUE"""),"Gastone Moschin")</f>
        <v>Gastone Moschin</v>
      </c>
      <c r="K1696" s="5" t="str">
        <f>IFERROR(__xludf.DUMMYFUNCTION("""COMPUTED_VALUE"""),"Estrela 3")</f>
        <v>Estrela 3</v>
      </c>
      <c r="P1696" s="5">
        <f>IFERROR(__xludf.DUMMYFUNCTION("""COMPUTED_VALUE"""),424.0)</f>
        <v>424</v>
      </c>
      <c r="Q1696" s="5" t="str">
        <f>IFERROR(__xludf.DUMMYFUNCTION("""COMPUTED_VALUE"""),"Il conformista")</f>
        <v>Il conformista</v>
      </c>
      <c r="R1696" s="5" t="str">
        <f>IFERROR(__xludf.DUMMYFUNCTION("""COMPUTED_VALUE"""),"Gastone Moschin")</f>
        <v>Gastone Moschin</v>
      </c>
      <c r="S1696" s="5" t="str">
        <f>IFERROR(__xludf.DUMMYFUNCTION("""COMPUTED_VALUE"""),"Estrela 3")</f>
        <v>Estrela 3</v>
      </c>
    </row>
    <row r="1697">
      <c r="G1697" s="5" t="str">
        <f>IFERROR(__xludf.DUMMYFUNCTION("""COMPUTED_VALUE"""),"424🤙🏼Il conformista🤙🏼Enzo Tarascio🤙🏼Estrela 4")</f>
        <v>424🤙🏼Il conformista🤙🏼Enzo Tarascio🤙🏼Estrela 4</v>
      </c>
      <c r="H1697" s="5">
        <f>IFERROR(__xludf.DUMMYFUNCTION("SPLiT(G1697, ""🤙🏼"",FALSE,FALSE)"),424.0)</f>
        <v>424</v>
      </c>
      <c r="I1697" s="5" t="str">
        <f>IFERROR(__xludf.DUMMYFUNCTION("""COMPUTED_VALUE"""),"Il conformista")</f>
        <v>Il conformista</v>
      </c>
      <c r="J1697" s="5" t="str">
        <f>IFERROR(__xludf.DUMMYFUNCTION("""COMPUTED_VALUE"""),"Enzo Tarascio")</f>
        <v>Enzo Tarascio</v>
      </c>
      <c r="K1697" s="5" t="str">
        <f>IFERROR(__xludf.DUMMYFUNCTION("""COMPUTED_VALUE"""),"Estrela 4")</f>
        <v>Estrela 4</v>
      </c>
      <c r="P1697" s="5">
        <f>IFERROR(__xludf.DUMMYFUNCTION("""COMPUTED_VALUE"""),424.0)</f>
        <v>424</v>
      </c>
      <c r="Q1697" s="5" t="str">
        <f>IFERROR(__xludf.DUMMYFUNCTION("""COMPUTED_VALUE"""),"Il conformista")</f>
        <v>Il conformista</v>
      </c>
      <c r="R1697" s="5" t="str">
        <f>IFERROR(__xludf.DUMMYFUNCTION("""COMPUTED_VALUE"""),"Enzo Tarascio")</f>
        <v>Enzo Tarascio</v>
      </c>
      <c r="S1697" s="5" t="str">
        <f>IFERROR(__xludf.DUMMYFUNCTION("""COMPUTED_VALUE"""),"Estrela 4")</f>
        <v>Estrela 4</v>
      </c>
    </row>
    <row r="1698">
      <c r="G1698" s="5" t="str">
        <f>IFERROR(__xludf.DUMMYFUNCTION("""COMPUTED_VALUE"""),"425🤙🏼Butch Cassidy and the Sundance Kid🤙🏼Paul Newman🤙🏼Estrela 1")</f>
        <v>425🤙🏼Butch Cassidy and the Sundance Kid🤙🏼Paul Newman🤙🏼Estrela 1</v>
      </c>
      <c r="H1698" s="5">
        <f>IFERROR(__xludf.DUMMYFUNCTION("SPLiT(G1698, ""🤙🏼"",FALSE,FALSE)"),425.0)</f>
        <v>425</v>
      </c>
      <c r="I1698" s="5" t="str">
        <f>IFERROR(__xludf.DUMMYFUNCTION("""COMPUTED_VALUE"""),"Butch Cassidy and the Sundance Kid")</f>
        <v>Butch Cassidy and the Sundance Kid</v>
      </c>
      <c r="J1698" s="5" t="str">
        <f>IFERROR(__xludf.DUMMYFUNCTION("""COMPUTED_VALUE"""),"Paul Newman")</f>
        <v>Paul Newman</v>
      </c>
      <c r="K1698" s="5" t="str">
        <f>IFERROR(__xludf.DUMMYFUNCTION("""COMPUTED_VALUE"""),"Estrela 1")</f>
        <v>Estrela 1</v>
      </c>
      <c r="P1698" s="5">
        <f>IFERROR(__xludf.DUMMYFUNCTION("""COMPUTED_VALUE"""),425.0)</f>
        <v>425</v>
      </c>
      <c r="Q1698" s="5" t="str">
        <f>IFERROR(__xludf.DUMMYFUNCTION("""COMPUTED_VALUE"""),"Butch Cassidy and the Sundance Kid")</f>
        <v>Butch Cassidy and the Sundance Kid</v>
      </c>
      <c r="R1698" s="5" t="str">
        <f>IFERROR(__xludf.DUMMYFUNCTION("""COMPUTED_VALUE"""),"Paul Newman")</f>
        <v>Paul Newman</v>
      </c>
      <c r="S1698" s="5" t="str">
        <f>IFERROR(__xludf.DUMMYFUNCTION("""COMPUTED_VALUE"""),"Estrela 1")</f>
        <v>Estrela 1</v>
      </c>
    </row>
    <row r="1699">
      <c r="G1699" s="5" t="str">
        <f>IFERROR(__xludf.DUMMYFUNCTION("""COMPUTED_VALUE"""),"425🤙🏼Butch Cassidy and the Sundance Kid🤙🏼Robert Redford🤙🏼Estrela 2")</f>
        <v>425🤙🏼Butch Cassidy and the Sundance Kid🤙🏼Robert Redford🤙🏼Estrela 2</v>
      </c>
      <c r="H1699" s="5">
        <f>IFERROR(__xludf.DUMMYFUNCTION("SPLiT(G1699, ""🤙🏼"",FALSE,FALSE)"),425.0)</f>
        <v>425</v>
      </c>
      <c r="I1699" s="5" t="str">
        <f>IFERROR(__xludf.DUMMYFUNCTION("""COMPUTED_VALUE"""),"Butch Cassidy and the Sundance Kid")</f>
        <v>Butch Cassidy and the Sundance Kid</v>
      </c>
      <c r="J1699" s="5" t="str">
        <f>IFERROR(__xludf.DUMMYFUNCTION("""COMPUTED_VALUE"""),"Robert Redford")</f>
        <v>Robert Redford</v>
      </c>
      <c r="K1699" s="5" t="str">
        <f>IFERROR(__xludf.DUMMYFUNCTION("""COMPUTED_VALUE"""),"Estrela 2")</f>
        <v>Estrela 2</v>
      </c>
      <c r="P1699" s="5">
        <f>IFERROR(__xludf.DUMMYFUNCTION("""COMPUTED_VALUE"""),425.0)</f>
        <v>425</v>
      </c>
      <c r="Q1699" s="5" t="str">
        <f>IFERROR(__xludf.DUMMYFUNCTION("""COMPUTED_VALUE"""),"Butch Cassidy and the Sundance Kid")</f>
        <v>Butch Cassidy and the Sundance Kid</v>
      </c>
      <c r="R1699" s="5" t="str">
        <f>IFERROR(__xludf.DUMMYFUNCTION("""COMPUTED_VALUE"""),"Robert Redford")</f>
        <v>Robert Redford</v>
      </c>
      <c r="S1699" s="5" t="str">
        <f>IFERROR(__xludf.DUMMYFUNCTION("""COMPUTED_VALUE"""),"Estrela 2")</f>
        <v>Estrela 2</v>
      </c>
    </row>
    <row r="1700">
      <c r="G1700" s="5" t="str">
        <f>IFERROR(__xludf.DUMMYFUNCTION("""COMPUTED_VALUE"""),"425🤙🏼Butch Cassidy and the Sundance Kid🤙🏼Katharine Ross🤙🏼Estrela 3")</f>
        <v>425🤙🏼Butch Cassidy and the Sundance Kid🤙🏼Katharine Ross🤙🏼Estrela 3</v>
      </c>
      <c r="H1700" s="5">
        <f>IFERROR(__xludf.DUMMYFUNCTION("SPLiT(G1700, ""🤙🏼"",FALSE,FALSE)"),425.0)</f>
        <v>425</v>
      </c>
      <c r="I1700" s="5" t="str">
        <f>IFERROR(__xludf.DUMMYFUNCTION("""COMPUTED_VALUE"""),"Butch Cassidy and the Sundance Kid")</f>
        <v>Butch Cassidy and the Sundance Kid</v>
      </c>
      <c r="J1700" s="5" t="str">
        <f>IFERROR(__xludf.DUMMYFUNCTION("""COMPUTED_VALUE"""),"Katharine Ross")</f>
        <v>Katharine Ross</v>
      </c>
      <c r="K1700" s="5" t="str">
        <f>IFERROR(__xludf.DUMMYFUNCTION("""COMPUTED_VALUE"""),"Estrela 3")</f>
        <v>Estrela 3</v>
      </c>
      <c r="P1700" s="5">
        <f>IFERROR(__xludf.DUMMYFUNCTION("""COMPUTED_VALUE"""),425.0)</f>
        <v>425</v>
      </c>
      <c r="Q1700" s="5" t="str">
        <f>IFERROR(__xludf.DUMMYFUNCTION("""COMPUTED_VALUE"""),"Butch Cassidy and the Sundance Kid")</f>
        <v>Butch Cassidy and the Sundance Kid</v>
      </c>
      <c r="R1700" s="5" t="str">
        <f>IFERROR(__xludf.DUMMYFUNCTION("""COMPUTED_VALUE"""),"Katharine Ross")</f>
        <v>Katharine Ross</v>
      </c>
      <c r="S1700" s="5" t="str">
        <f>IFERROR(__xludf.DUMMYFUNCTION("""COMPUTED_VALUE"""),"Estrela 3")</f>
        <v>Estrela 3</v>
      </c>
    </row>
    <row r="1701">
      <c r="G1701" s="5" t="str">
        <f>IFERROR(__xludf.DUMMYFUNCTION("""COMPUTED_VALUE"""),"425🤙🏼Butch Cassidy and the Sundance Kid🤙🏼Strother Martin🤙🏼Estrela 4")</f>
        <v>425🤙🏼Butch Cassidy and the Sundance Kid🤙🏼Strother Martin🤙🏼Estrela 4</v>
      </c>
      <c r="H1701" s="5">
        <f>IFERROR(__xludf.DUMMYFUNCTION("SPLiT(G1701, ""🤙🏼"",FALSE,FALSE)"),425.0)</f>
        <v>425</v>
      </c>
      <c r="I1701" s="5" t="str">
        <f>IFERROR(__xludf.DUMMYFUNCTION("""COMPUTED_VALUE"""),"Butch Cassidy and the Sundance Kid")</f>
        <v>Butch Cassidy and the Sundance Kid</v>
      </c>
      <c r="J1701" s="5" t="str">
        <f>IFERROR(__xludf.DUMMYFUNCTION("""COMPUTED_VALUE"""),"Strother Martin")</f>
        <v>Strother Martin</v>
      </c>
      <c r="K1701" s="5" t="str">
        <f>IFERROR(__xludf.DUMMYFUNCTION("""COMPUTED_VALUE"""),"Estrela 4")</f>
        <v>Estrela 4</v>
      </c>
      <c r="P1701" s="5">
        <f>IFERROR(__xludf.DUMMYFUNCTION("""COMPUTED_VALUE"""),425.0)</f>
        <v>425</v>
      </c>
      <c r="Q1701" s="5" t="str">
        <f>IFERROR(__xludf.DUMMYFUNCTION("""COMPUTED_VALUE"""),"Butch Cassidy and the Sundance Kid")</f>
        <v>Butch Cassidy and the Sundance Kid</v>
      </c>
      <c r="R1701" s="5" t="str">
        <f>IFERROR(__xludf.DUMMYFUNCTION("""COMPUTED_VALUE"""),"Strother Martin")</f>
        <v>Strother Martin</v>
      </c>
      <c r="S1701" s="5" t="str">
        <f>IFERROR(__xludf.DUMMYFUNCTION("""COMPUTED_VALUE"""),"Estrela 4")</f>
        <v>Estrela 4</v>
      </c>
    </row>
    <row r="1702">
      <c r="G1702" s="5" t="str">
        <f>IFERROR(__xludf.DUMMYFUNCTION("""COMPUTED_VALUE"""),"426🤙🏼Rosemary's Baby🤙🏼Mia Farrow🤙🏼Estrela 1")</f>
        <v>426🤙🏼Rosemary's Baby🤙🏼Mia Farrow🤙🏼Estrela 1</v>
      </c>
      <c r="H1702" s="5">
        <f>IFERROR(__xludf.DUMMYFUNCTION("SPLiT(G1702, ""🤙🏼"",FALSE,FALSE)"),426.0)</f>
        <v>426</v>
      </c>
      <c r="I1702" s="5" t="str">
        <f>IFERROR(__xludf.DUMMYFUNCTION("""COMPUTED_VALUE"""),"Rosemary's Baby")</f>
        <v>Rosemary's Baby</v>
      </c>
      <c r="J1702" s="5" t="str">
        <f>IFERROR(__xludf.DUMMYFUNCTION("""COMPUTED_VALUE"""),"Mia Farrow")</f>
        <v>Mia Farrow</v>
      </c>
      <c r="K1702" s="5" t="str">
        <f>IFERROR(__xludf.DUMMYFUNCTION("""COMPUTED_VALUE"""),"Estrela 1")</f>
        <v>Estrela 1</v>
      </c>
      <c r="P1702" s="5">
        <f>IFERROR(__xludf.DUMMYFUNCTION("""COMPUTED_VALUE"""),426.0)</f>
        <v>426</v>
      </c>
      <c r="Q1702" s="5" t="str">
        <f>IFERROR(__xludf.DUMMYFUNCTION("""COMPUTED_VALUE"""),"Rosemary's Baby")</f>
        <v>Rosemary's Baby</v>
      </c>
      <c r="R1702" s="5" t="str">
        <f>IFERROR(__xludf.DUMMYFUNCTION("""COMPUTED_VALUE"""),"Mia Farrow")</f>
        <v>Mia Farrow</v>
      </c>
      <c r="S1702" s="5" t="str">
        <f>IFERROR(__xludf.DUMMYFUNCTION("""COMPUTED_VALUE"""),"Estrela 1")</f>
        <v>Estrela 1</v>
      </c>
    </row>
    <row r="1703">
      <c r="G1703" s="5" t="str">
        <f>IFERROR(__xludf.DUMMYFUNCTION("""COMPUTED_VALUE"""),"426🤙🏼Rosemary's Baby🤙🏼John Cassavetes🤙🏼Estrela 2")</f>
        <v>426🤙🏼Rosemary's Baby🤙🏼John Cassavetes🤙🏼Estrela 2</v>
      </c>
      <c r="H1703" s="5">
        <f>IFERROR(__xludf.DUMMYFUNCTION("SPLiT(G1703, ""🤙🏼"",FALSE,FALSE)"),426.0)</f>
        <v>426</v>
      </c>
      <c r="I1703" s="5" t="str">
        <f>IFERROR(__xludf.DUMMYFUNCTION("""COMPUTED_VALUE"""),"Rosemary's Baby")</f>
        <v>Rosemary's Baby</v>
      </c>
      <c r="J1703" s="5" t="str">
        <f>IFERROR(__xludf.DUMMYFUNCTION("""COMPUTED_VALUE"""),"John Cassavetes")</f>
        <v>John Cassavetes</v>
      </c>
      <c r="K1703" s="5" t="str">
        <f>IFERROR(__xludf.DUMMYFUNCTION("""COMPUTED_VALUE"""),"Estrela 2")</f>
        <v>Estrela 2</v>
      </c>
      <c r="P1703" s="5">
        <f>IFERROR(__xludf.DUMMYFUNCTION("""COMPUTED_VALUE"""),426.0)</f>
        <v>426</v>
      </c>
      <c r="Q1703" s="5" t="str">
        <f>IFERROR(__xludf.DUMMYFUNCTION("""COMPUTED_VALUE"""),"Rosemary's Baby")</f>
        <v>Rosemary's Baby</v>
      </c>
      <c r="R1703" s="5" t="str">
        <f>IFERROR(__xludf.DUMMYFUNCTION("""COMPUTED_VALUE"""),"John Cassavetes")</f>
        <v>John Cassavetes</v>
      </c>
      <c r="S1703" s="5" t="str">
        <f>IFERROR(__xludf.DUMMYFUNCTION("""COMPUTED_VALUE"""),"Estrela 2")</f>
        <v>Estrela 2</v>
      </c>
    </row>
    <row r="1704">
      <c r="G1704" s="5" t="str">
        <f>IFERROR(__xludf.DUMMYFUNCTION("""COMPUTED_VALUE"""),"426🤙🏼Rosemary's Baby🤙🏼Ruth Gordon🤙🏼Estrela 3")</f>
        <v>426🤙🏼Rosemary's Baby🤙🏼Ruth Gordon🤙🏼Estrela 3</v>
      </c>
      <c r="H1704" s="5">
        <f>IFERROR(__xludf.DUMMYFUNCTION("SPLiT(G1704, ""🤙🏼"",FALSE,FALSE)"),426.0)</f>
        <v>426</v>
      </c>
      <c r="I1704" s="5" t="str">
        <f>IFERROR(__xludf.DUMMYFUNCTION("""COMPUTED_VALUE"""),"Rosemary's Baby")</f>
        <v>Rosemary's Baby</v>
      </c>
      <c r="J1704" s="5" t="str">
        <f>IFERROR(__xludf.DUMMYFUNCTION("""COMPUTED_VALUE"""),"Ruth Gordon")</f>
        <v>Ruth Gordon</v>
      </c>
      <c r="K1704" s="5" t="str">
        <f>IFERROR(__xludf.DUMMYFUNCTION("""COMPUTED_VALUE"""),"Estrela 3")</f>
        <v>Estrela 3</v>
      </c>
      <c r="P1704" s="5">
        <f>IFERROR(__xludf.DUMMYFUNCTION("""COMPUTED_VALUE"""),426.0)</f>
        <v>426</v>
      </c>
      <c r="Q1704" s="5" t="str">
        <f>IFERROR(__xludf.DUMMYFUNCTION("""COMPUTED_VALUE"""),"Rosemary's Baby")</f>
        <v>Rosemary's Baby</v>
      </c>
      <c r="R1704" s="5" t="str">
        <f>IFERROR(__xludf.DUMMYFUNCTION("""COMPUTED_VALUE"""),"Ruth Gordon")</f>
        <v>Ruth Gordon</v>
      </c>
      <c r="S1704" s="5" t="str">
        <f>IFERROR(__xludf.DUMMYFUNCTION("""COMPUTED_VALUE"""),"Estrela 3")</f>
        <v>Estrela 3</v>
      </c>
    </row>
    <row r="1705">
      <c r="G1705" s="5" t="str">
        <f>IFERROR(__xludf.DUMMYFUNCTION("""COMPUTED_VALUE"""),"426🤙🏼Rosemary's Baby🤙🏼Sidney Blackmer🤙🏼Estrela 4")</f>
        <v>426🤙🏼Rosemary's Baby🤙🏼Sidney Blackmer🤙🏼Estrela 4</v>
      </c>
      <c r="H1705" s="5">
        <f>IFERROR(__xludf.DUMMYFUNCTION("SPLiT(G1705, ""🤙🏼"",FALSE,FALSE)"),426.0)</f>
        <v>426</v>
      </c>
      <c r="I1705" s="5" t="str">
        <f>IFERROR(__xludf.DUMMYFUNCTION("""COMPUTED_VALUE"""),"Rosemary's Baby")</f>
        <v>Rosemary's Baby</v>
      </c>
      <c r="J1705" s="5" t="str">
        <f>IFERROR(__xludf.DUMMYFUNCTION("""COMPUTED_VALUE"""),"Sidney Blackmer")</f>
        <v>Sidney Blackmer</v>
      </c>
      <c r="K1705" s="5" t="str">
        <f>IFERROR(__xludf.DUMMYFUNCTION("""COMPUTED_VALUE"""),"Estrela 4")</f>
        <v>Estrela 4</v>
      </c>
      <c r="P1705" s="5">
        <f>IFERROR(__xludf.DUMMYFUNCTION("""COMPUTED_VALUE"""),426.0)</f>
        <v>426</v>
      </c>
      <c r="Q1705" s="5" t="str">
        <f>IFERROR(__xludf.DUMMYFUNCTION("""COMPUTED_VALUE"""),"Rosemary's Baby")</f>
        <v>Rosemary's Baby</v>
      </c>
      <c r="R1705" s="5" t="str">
        <f>IFERROR(__xludf.DUMMYFUNCTION("""COMPUTED_VALUE"""),"Sidney Blackmer")</f>
        <v>Sidney Blackmer</v>
      </c>
      <c r="S1705" s="5" t="str">
        <f>IFERROR(__xludf.DUMMYFUNCTION("""COMPUTED_VALUE"""),"Estrela 4")</f>
        <v>Estrela 4</v>
      </c>
    </row>
    <row r="1706">
      <c r="G1706" s="5" t="str">
        <f>IFERROR(__xludf.DUMMYFUNCTION("""COMPUTED_VALUE"""),"427🤙🏼Planet of the Apes🤙🏼Charlton Heston🤙🏼Estrela 1")</f>
        <v>427🤙🏼Planet of the Apes🤙🏼Charlton Heston🤙🏼Estrela 1</v>
      </c>
      <c r="H1706" s="5">
        <f>IFERROR(__xludf.DUMMYFUNCTION("SPLiT(G1706, ""🤙🏼"",FALSE,FALSE)"),427.0)</f>
        <v>427</v>
      </c>
      <c r="I1706" s="5" t="str">
        <f>IFERROR(__xludf.DUMMYFUNCTION("""COMPUTED_VALUE"""),"Planet of the Apes")</f>
        <v>Planet of the Apes</v>
      </c>
      <c r="J1706" s="5" t="str">
        <f>IFERROR(__xludf.DUMMYFUNCTION("""COMPUTED_VALUE"""),"Charlton Heston")</f>
        <v>Charlton Heston</v>
      </c>
      <c r="K1706" s="5" t="str">
        <f>IFERROR(__xludf.DUMMYFUNCTION("""COMPUTED_VALUE"""),"Estrela 1")</f>
        <v>Estrela 1</v>
      </c>
      <c r="P1706" s="5">
        <f>IFERROR(__xludf.DUMMYFUNCTION("""COMPUTED_VALUE"""),427.0)</f>
        <v>427</v>
      </c>
      <c r="Q1706" s="5" t="str">
        <f>IFERROR(__xludf.DUMMYFUNCTION("""COMPUTED_VALUE"""),"Planet of the Apes")</f>
        <v>Planet of the Apes</v>
      </c>
      <c r="R1706" s="5" t="str">
        <f>IFERROR(__xludf.DUMMYFUNCTION("""COMPUTED_VALUE"""),"Charlton Heston")</f>
        <v>Charlton Heston</v>
      </c>
      <c r="S1706" s="5" t="str">
        <f>IFERROR(__xludf.DUMMYFUNCTION("""COMPUTED_VALUE"""),"Estrela 1")</f>
        <v>Estrela 1</v>
      </c>
    </row>
    <row r="1707">
      <c r="G1707" s="5" t="str">
        <f>IFERROR(__xludf.DUMMYFUNCTION("""COMPUTED_VALUE"""),"427🤙🏼Planet of the Apes🤙🏼Roddy McDowall🤙🏼Estrela 2")</f>
        <v>427🤙🏼Planet of the Apes🤙🏼Roddy McDowall🤙🏼Estrela 2</v>
      </c>
      <c r="H1707" s="5">
        <f>IFERROR(__xludf.DUMMYFUNCTION("SPLiT(G1707, ""🤙🏼"",FALSE,FALSE)"),427.0)</f>
        <v>427</v>
      </c>
      <c r="I1707" s="5" t="str">
        <f>IFERROR(__xludf.DUMMYFUNCTION("""COMPUTED_VALUE"""),"Planet of the Apes")</f>
        <v>Planet of the Apes</v>
      </c>
      <c r="J1707" s="5" t="str">
        <f>IFERROR(__xludf.DUMMYFUNCTION("""COMPUTED_VALUE"""),"Roddy McDowall")</f>
        <v>Roddy McDowall</v>
      </c>
      <c r="K1707" s="5" t="str">
        <f>IFERROR(__xludf.DUMMYFUNCTION("""COMPUTED_VALUE"""),"Estrela 2")</f>
        <v>Estrela 2</v>
      </c>
      <c r="P1707" s="5">
        <f>IFERROR(__xludf.DUMMYFUNCTION("""COMPUTED_VALUE"""),427.0)</f>
        <v>427</v>
      </c>
      <c r="Q1707" s="5" t="str">
        <f>IFERROR(__xludf.DUMMYFUNCTION("""COMPUTED_VALUE"""),"Planet of the Apes")</f>
        <v>Planet of the Apes</v>
      </c>
      <c r="R1707" s="5" t="str">
        <f>IFERROR(__xludf.DUMMYFUNCTION("""COMPUTED_VALUE"""),"Roddy McDowall")</f>
        <v>Roddy McDowall</v>
      </c>
      <c r="S1707" s="5" t="str">
        <f>IFERROR(__xludf.DUMMYFUNCTION("""COMPUTED_VALUE"""),"Estrela 2")</f>
        <v>Estrela 2</v>
      </c>
    </row>
    <row r="1708">
      <c r="G1708" s="5" t="str">
        <f>IFERROR(__xludf.DUMMYFUNCTION("""COMPUTED_VALUE"""),"427🤙🏼Planet of the Apes🤙🏼Kim Hunter🤙🏼Estrela 3")</f>
        <v>427🤙🏼Planet of the Apes🤙🏼Kim Hunter🤙🏼Estrela 3</v>
      </c>
      <c r="H1708" s="5">
        <f>IFERROR(__xludf.DUMMYFUNCTION("SPLiT(G1708, ""🤙🏼"",FALSE,FALSE)"),427.0)</f>
        <v>427</v>
      </c>
      <c r="I1708" s="5" t="str">
        <f>IFERROR(__xludf.DUMMYFUNCTION("""COMPUTED_VALUE"""),"Planet of the Apes")</f>
        <v>Planet of the Apes</v>
      </c>
      <c r="J1708" s="5" t="str">
        <f>IFERROR(__xludf.DUMMYFUNCTION("""COMPUTED_VALUE"""),"Kim Hunter")</f>
        <v>Kim Hunter</v>
      </c>
      <c r="K1708" s="5" t="str">
        <f>IFERROR(__xludf.DUMMYFUNCTION("""COMPUTED_VALUE"""),"Estrela 3")</f>
        <v>Estrela 3</v>
      </c>
      <c r="P1708" s="5">
        <f>IFERROR(__xludf.DUMMYFUNCTION("""COMPUTED_VALUE"""),427.0)</f>
        <v>427</v>
      </c>
      <c r="Q1708" s="5" t="str">
        <f>IFERROR(__xludf.DUMMYFUNCTION("""COMPUTED_VALUE"""),"Planet of the Apes")</f>
        <v>Planet of the Apes</v>
      </c>
      <c r="R1708" s="5" t="str">
        <f>IFERROR(__xludf.DUMMYFUNCTION("""COMPUTED_VALUE"""),"Kim Hunter")</f>
        <v>Kim Hunter</v>
      </c>
      <c r="S1708" s="5" t="str">
        <f>IFERROR(__xludf.DUMMYFUNCTION("""COMPUTED_VALUE"""),"Estrela 3")</f>
        <v>Estrela 3</v>
      </c>
    </row>
    <row r="1709">
      <c r="G1709" s="5" t="str">
        <f>IFERROR(__xludf.DUMMYFUNCTION("""COMPUTED_VALUE"""),"427🤙🏼Planet of the Apes🤙🏼Maurice Evans🤙🏼Estrela 4")</f>
        <v>427🤙🏼Planet of the Apes🤙🏼Maurice Evans🤙🏼Estrela 4</v>
      </c>
      <c r="H1709" s="5">
        <f>IFERROR(__xludf.DUMMYFUNCTION("SPLiT(G1709, ""🤙🏼"",FALSE,FALSE)"),427.0)</f>
        <v>427</v>
      </c>
      <c r="I1709" s="5" t="str">
        <f>IFERROR(__xludf.DUMMYFUNCTION("""COMPUTED_VALUE"""),"Planet of the Apes")</f>
        <v>Planet of the Apes</v>
      </c>
      <c r="J1709" s="5" t="str">
        <f>IFERROR(__xludf.DUMMYFUNCTION("""COMPUTED_VALUE"""),"Maurice Evans")</f>
        <v>Maurice Evans</v>
      </c>
      <c r="K1709" s="5" t="str">
        <f>IFERROR(__xludf.DUMMYFUNCTION("""COMPUTED_VALUE"""),"Estrela 4")</f>
        <v>Estrela 4</v>
      </c>
      <c r="P1709" s="5">
        <f>IFERROR(__xludf.DUMMYFUNCTION("""COMPUTED_VALUE"""),427.0)</f>
        <v>427</v>
      </c>
      <c r="Q1709" s="5" t="str">
        <f>IFERROR(__xludf.DUMMYFUNCTION("""COMPUTED_VALUE"""),"Planet of the Apes")</f>
        <v>Planet of the Apes</v>
      </c>
      <c r="R1709" s="5" t="str">
        <f>IFERROR(__xludf.DUMMYFUNCTION("""COMPUTED_VALUE"""),"Maurice Evans")</f>
        <v>Maurice Evans</v>
      </c>
      <c r="S1709" s="5" t="str">
        <f>IFERROR(__xludf.DUMMYFUNCTION("""COMPUTED_VALUE"""),"Estrela 4")</f>
        <v>Estrela 4</v>
      </c>
    </row>
    <row r="1710">
      <c r="G1710" s="5" t="str">
        <f>IFERROR(__xludf.DUMMYFUNCTION("""COMPUTED_VALUE"""),"428🤙🏼The Graduate🤙🏼Dustin Hoffman🤙🏼Estrela 1")</f>
        <v>428🤙🏼The Graduate🤙🏼Dustin Hoffman🤙🏼Estrela 1</v>
      </c>
      <c r="H1710" s="5">
        <f>IFERROR(__xludf.DUMMYFUNCTION("SPLiT(G1710, ""🤙🏼"",FALSE,FALSE)"),428.0)</f>
        <v>428</v>
      </c>
      <c r="I1710" s="5" t="str">
        <f>IFERROR(__xludf.DUMMYFUNCTION("""COMPUTED_VALUE"""),"The Graduate")</f>
        <v>The Graduate</v>
      </c>
      <c r="J1710" s="5" t="str">
        <f>IFERROR(__xludf.DUMMYFUNCTION("""COMPUTED_VALUE"""),"Dustin Hoffman")</f>
        <v>Dustin Hoffman</v>
      </c>
      <c r="K1710" s="5" t="str">
        <f>IFERROR(__xludf.DUMMYFUNCTION("""COMPUTED_VALUE"""),"Estrela 1")</f>
        <v>Estrela 1</v>
      </c>
      <c r="P1710" s="5">
        <f>IFERROR(__xludf.DUMMYFUNCTION("""COMPUTED_VALUE"""),428.0)</f>
        <v>428</v>
      </c>
      <c r="Q1710" s="5" t="str">
        <f>IFERROR(__xludf.DUMMYFUNCTION("""COMPUTED_VALUE"""),"The Graduate")</f>
        <v>The Graduate</v>
      </c>
      <c r="R1710" s="5" t="str">
        <f>IFERROR(__xludf.DUMMYFUNCTION("""COMPUTED_VALUE"""),"Dustin Hoffman")</f>
        <v>Dustin Hoffman</v>
      </c>
      <c r="S1710" s="5" t="str">
        <f>IFERROR(__xludf.DUMMYFUNCTION("""COMPUTED_VALUE"""),"Estrela 1")</f>
        <v>Estrela 1</v>
      </c>
    </row>
    <row r="1711">
      <c r="G1711" s="5" t="str">
        <f>IFERROR(__xludf.DUMMYFUNCTION("""COMPUTED_VALUE"""),"428🤙🏼The Graduate🤙🏼Anne Bancroft🤙🏼Estrela 2")</f>
        <v>428🤙🏼The Graduate🤙🏼Anne Bancroft🤙🏼Estrela 2</v>
      </c>
      <c r="H1711" s="5">
        <f>IFERROR(__xludf.DUMMYFUNCTION("SPLiT(G1711, ""🤙🏼"",FALSE,FALSE)"),428.0)</f>
        <v>428</v>
      </c>
      <c r="I1711" s="5" t="str">
        <f>IFERROR(__xludf.DUMMYFUNCTION("""COMPUTED_VALUE"""),"The Graduate")</f>
        <v>The Graduate</v>
      </c>
      <c r="J1711" s="5" t="str">
        <f>IFERROR(__xludf.DUMMYFUNCTION("""COMPUTED_VALUE"""),"Anne Bancroft")</f>
        <v>Anne Bancroft</v>
      </c>
      <c r="K1711" s="5" t="str">
        <f>IFERROR(__xludf.DUMMYFUNCTION("""COMPUTED_VALUE"""),"Estrela 2")</f>
        <v>Estrela 2</v>
      </c>
      <c r="P1711" s="5">
        <f>IFERROR(__xludf.DUMMYFUNCTION("""COMPUTED_VALUE"""),428.0)</f>
        <v>428</v>
      </c>
      <c r="Q1711" s="5" t="str">
        <f>IFERROR(__xludf.DUMMYFUNCTION("""COMPUTED_VALUE"""),"The Graduate")</f>
        <v>The Graduate</v>
      </c>
      <c r="R1711" s="5" t="str">
        <f>IFERROR(__xludf.DUMMYFUNCTION("""COMPUTED_VALUE"""),"Anne Bancroft")</f>
        <v>Anne Bancroft</v>
      </c>
      <c r="S1711" s="5" t="str">
        <f>IFERROR(__xludf.DUMMYFUNCTION("""COMPUTED_VALUE"""),"Estrela 2")</f>
        <v>Estrela 2</v>
      </c>
    </row>
    <row r="1712">
      <c r="G1712" s="5" t="str">
        <f>IFERROR(__xludf.DUMMYFUNCTION("""COMPUTED_VALUE"""),"428🤙🏼The Graduate🤙🏼Katharine Ross🤙🏼Estrela 3")</f>
        <v>428🤙🏼The Graduate🤙🏼Katharine Ross🤙🏼Estrela 3</v>
      </c>
      <c r="H1712" s="5">
        <f>IFERROR(__xludf.DUMMYFUNCTION("SPLiT(G1712, ""🤙🏼"",FALSE,FALSE)"),428.0)</f>
        <v>428</v>
      </c>
      <c r="I1712" s="5" t="str">
        <f>IFERROR(__xludf.DUMMYFUNCTION("""COMPUTED_VALUE"""),"The Graduate")</f>
        <v>The Graduate</v>
      </c>
      <c r="J1712" s="5" t="str">
        <f>IFERROR(__xludf.DUMMYFUNCTION("""COMPUTED_VALUE"""),"Katharine Ross")</f>
        <v>Katharine Ross</v>
      </c>
      <c r="K1712" s="5" t="str">
        <f>IFERROR(__xludf.DUMMYFUNCTION("""COMPUTED_VALUE"""),"Estrela 3")</f>
        <v>Estrela 3</v>
      </c>
      <c r="P1712" s="5">
        <f>IFERROR(__xludf.DUMMYFUNCTION("""COMPUTED_VALUE"""),428.0)</f>
        <v>428</v>
      </c>
      <c r="Q1712" s="5" t="str">
        <f>IFERROR(__xludf.DUMMYFUNCTION("""COMPUTED_VALUE"""),"The Graduate")</f>
        <v>The Graduate</v>
      </c>
      <c r="R1712" s="5" t="str">
        <f>IFERROR(__xludf.DUMMYFUNCTION("""COMPUTED_VALUE"""),"Katharine Ross")</f>
        <v>Katharine Ross</v>
      </c>
      <c r="S1712" s="5" t="str">
        <f>IFERROR(__xludf.DUMMYFUNCTION("""COMPUTED_VALUE"""),"Estrela 3")</f>
        <v>Estrela 3</v>
      </c>
    </row>
    <row r="1713">
      <c r="G1713" s="5" t="str">
        <f>IFERROR(__xludf.DUMMYFUNCTION("""COMPUTED_VALUE"""),"428🤙🏼The Graduate🤙🏼William Daniels🤙🏼Estrela 4")</f>
        <v>428🤙🏼The Graduate🤙🏼William Daniels🤙🏼Estrela 4</v>
      </c>
      <c r="H1713" s="5">
        <f>IFERROR(__xludf.DUMMYFUNCTION("SPLiT(G1713, ""🤙🏼"",FALSE,FALSE)"),428.0)</f>
        <v>428</v>
      </c>
      <c r="I1713" s="5" t="str">
        <f>IFERROR(__xludf.DUMMYFUNCTION("""COMPUTED_VALUE"""),"The Graduate")</f>
        <v>The Graduate</v>
      </c>
      <c r="J1713" s="5" t="str">
        <f>IFERROR(__xludf.DUMMYFUNCTION("""COMPUTED_VALUE"""),"William Daniels")</f>
        <v>William Daniels</v>
      </c>
      <c r="K1713" s="5" t="str">
        <f>IFERROR(__xludf.DUMMYFUNCTION("""COMPUTED_VALUE"""),"Estrela 4")</f>
        <v>Estrela 4</v>
      </c>
      <c r="P1713" s="5">
        <f>IFERROR(__xludf.DUMMYFUNCTION("""COMPUTED_VALUE"""),428.0)</f>
        <v>428</v>
      </c>
      <c r="Q1713" s="5" t="str">
        <f>IFERROR(__xludf.DUMMYFUNCTION("""COMPUTED_VALUE"""),"The Graduate")</f>
        <v>The Graduate</v>
      </c>
      <c r="R1713" s="5" t="str">
        <f>IFERROR(__xludf.DUMMYFUNCTION("""COMPUTED_VALUE"""),"William Daniels")</f>
        <v>William Daniels</v>
      </c>
      <c r="S1713" s="5" t="str">
        <f>IFERROR(__xludf.DUMMYFUNCTION("""COMPUTED_VALUE"""),"Estrela 4")</f>
        <v>Estrela 4</v>
      </c>
    </row>
    <row r="1714">
      <c r="G1714" s="5" t="str">
        <f>IFERROR(__xludf.DUMMYFUNCTION("""COMPUTED_VALUE"""),"429🤙🏼Who's Afraid of Virginia Woolf?🤙🏼Elizabeth Taylor🤙🏼Estrela 1")</f>
        <v>429🤙🏼Who's Afraid of Virginia Woolf?🤙🏼Elizabeth Taylor🤙🏼Estrela 1</v>
      </c>
      <c r="H1714" s="5">
        <f>IFERROR(__xludf.DUMMYFUNCTION("SPLiT(G1714, ""🤙🏼"",FALSE,FALSE)"),429.0)</f>
        <v>429</v>
      </c>
      <c r="I1714" s="5" t="str">
        <f>IFERROR(__xludf.DUMMYFUNCTION("""COMPUTED_VALUE"""),"Who's Afraid of Virginia Woolf?")</f>
        <v>Who's Afraid of Virginia Woolf?</v>
      </c>
      <c r="J1714" s="5" t="str">
        <f>IFERROR(__xludf.DUMMYFUNCTION("""COMPUTED_VALUE"""),"Elizabeth Taylor")</f>
        <v>Elizabeth Taylor</v>
      </c>
      <c r="K1714" s="5" t="str">
        <f>IFERROR(__xludf.DUMMYFUNCTION("""COMPUTED_VALUE"""),"Estrela 1")</f>
        <v>Estrela 1</v>
      </c>
      <c r="P1714" s="5">
        <f>IFERROR(__xludf.DUMMYFUNCTION("""COMPUTED_VALUE"""),429.0)</f>
        <v>429</v>
      </c>
      <c r="Q1714" s="5" t="str">
        <f>IFERROR(__xludf.DUMMYFUNCTION("""COMPUTED_VALUE"""),"Who's Afraid of Virginia Woolf?")</f>
        <v>Who's Afraid of Virginia Woolf?</v>
      </c>
      <c r="R1714" s="5" t="str">
        <f>IFERROR(__xludf.DUMMYFUNCTION("""COMPUTED_VALUE"""),"Elizabeth Taylor")</f>
        <v>Elizabeth Taylor</v>
      </c>
      <c r="S1714" s="5" t="str">
        <f>IFERROR(__xludf.DUMMYFUNCTION("""COMPUTED_VALUE"""),"Estrela 1")</f>
        <v>Estrela 1</v>
      </c>
    </row>
    <row r="1715">
      <c r="G1715" s="5" t="str">
        <f>IFERROR(__xludf.DUMMYFUNCTION("""COMPUTED_VALUE"""),"429🤙🏼Who's Afraid of Virginia Woolf?🤙🏼Richard Burton🤙🏼Estrela 2")</f>
        <v>429🤙🏼Who's Afraid of Virginia Woolf?🤙🏼Richard Burton🤙🏼Estrela 2</v>
      </c>
      <c r="H1715" s="5">
        <f>IFERROR(__xludf.DUMMYFUNCTION("SPLiT(G1715, ""🤙🏼"",FALSE,FALSE)"),429.0)</f>
        <v>429</v>
      </c>
      <c r="I1715" s="5" t="str">
        <f>IFERROR(__xludf.DUMMYFUNCTION("""COMPUTED_VALUE"""),"Who's Afraid of Virginia Woolf?")</f>
        <v>Who's Afraid of Virginia Woolf?</v>
      </c>
      <c r="J1715" s="5" t="str">
        <f>IFERROR(__xludf.DUMMYFUNCTION("""COMPUTED_VALUE"""),"Richard Burton")</f>
        <v>Richard Burton</v>
      </c>
      <c r="K1715" s="5" t="str">
        <f>IFERROR(__xludf.DUMMYFUNCTION("""COMPUTED_VALUE"""),"Estrela 2")</f>
        <v>Estrela 2</v>
      </c>
      <c r="P1715" s="5">
        <f>IFERROR(__xludf.DUMMYFUNCTION("""COMPUTED_VALUE"""),429.0)</f>
        <v>429</v>
      </c>
      <c r="Q1715" s="5" t="str">
        <f>IFERROR(__xludf.DUMMYFUNCTION("""COMPUTED_VALUE"""),"Who's Afraid of Virginia Woolf?")</f>
        <v>Who's Afraid of Virginia Woolf?</v>
      </c>
      <c r="R1715" s="5" t="str">
        <f>IFERROR(__xludf.DUMMYFUNCTION("""COMPUTED_VALUE"""),"Richard Burton")</f>
        <v>Richard Burton</v>
      </c>
      <c r="S1715" s="5" t="str">
        <f>IFERROR(__xludf.DUMMYFUNCTION("""COMPUTED_VALUE"""),"Estrela 2")</f>
        <v>Estrela 2</v>
      </c>
    </row>
    <row r="1716">
      <c r="G1716" s="5" t="str">
        <f>IFERROR(__xludf.DUMMYFUNCTION("""COMPUTED_VALUE"""),"429🤙🏼Who's Afraid of Virginia Woolf?🤙🏼George Segal🤙🏼Estrela 3")</f>
        <v>429🤙🏼Who's Afraid of Virginia Woolf?🤙🏼George Segal🤙🏼Estrela 3</v>
      </c>
      <c r="H1716" s="5">
        <f>IFERROR(__xludf.DUMMYFUNCTION("SPLiT(G1716, ""🤙🏼"",FALSE,FALSE)"),429.0)</f>
        <v>429</v>
      </c>
      <c r="I1716" s="5" t="str">
        <f>IFERROR(__xludf.DUMMYFUNCTION("""COMPUTED_VALUE"""),"Who's Afraid of Virginia Woolf?")</f>
        <v>Who's Afraid of Virginia Woolf?</v>
      </c>
      <c r="J1716" s="5" t="str">
        <f>IFERROR(__xludf.DUMMYFUNCTION("""COMPUTED_VALUE"""),"George Segal")</f>
        <v>George Segal</v>
      </c>
      <c r="K1716" s="5" t="str">
        <f>IFERROR(__xludf.DUMMYFUNCTION("""COMPUTED_VALUE"""),"Estrela 3")</f>
        <v>Estrela 3</v>
      </c>
      <c r="P1716" s="5">
        <f>IFERROR(__xludf.DUMMYFUNCTION("""COMPUTED_VALUE"""),429.0)</f>
        <v>429</v>
      </c>
      <c r="Q1716" s="5" t="str">
        <f>IFERROR(__xludf.DUMMYFUNCTION("""COMPUTED_VALUE"""),"Who's Afraid of Virginia Woolf?")</f>
        <v>Who's Afraid of Virginia Woolf?</v>
      </c>
      <c r="R1716" s="5" t="str">
        <f>IFERROR(__xludf.DUMMYFUNCTION("""COMPUTED_VALUE"""),"George Segal")</f>
        <v>George Segal</v>
      </c>
      <c r="S1716" s="5" t="str">
        <f>IFERROR(__xludf.DUMMYFUNCTION("""COMPUTED_VALUE"""),"Estrela 3")</f>
        <v>Estrela 3</v>
      </c>
    </row>
    <row r="1717">
      <c r="G1717" s="5" t="str">
        <f>IFERROR(__xludf.DUMMYFUNCTION("""COMPUTED_VALUE"""),"429🤙🏼Who's Afraid of Virginia Woolf?🤙🏼Sandy Dennis🤙🏼Estrela 4")</f>
        <v>429🤙🏼Who's Afraid of Virginia Woolf?🤙🏼Sandy Dennis🤙🏼Estrela 4</v>
      </c>
      <c r="H1717" s="5">
        <f>IFERROR(__xludf.DUMMYFUNCTION("SPLiT(G1717, ""🤙🏼"",FALSE,FALSE)"),429.0)</f>
        <v>429</v>
      </c>
      <c r="I1717" s="5" t="str">
        <f>IFERROR(__xludf.DUMMYFUNCTION("""COMPUTED_VALUE"""),"Who's Afraid of Virginia Woolf?")</f>
        <v>Who's Afraid of Virginia Woolf?</v>
      </c>
      <c r="J1717" s="5" t="str">
        <f>IFERROR(__xludf.DUMMYFUNCTION("""COMPUTED_VALUE"""),"Sandy Dennis")</f>
        <v>Sandy Dennis</v>
      </c>
      <c r="K1717" s="5" t="str">
        <f>IFERROR(__xludf.DUMMYFUNCTION("""COMPUTED_VALUE"""),"Estrela 4")</f>
        <v>Estrela 4</v>
      </c>
      <c r="P1717" s="5">
        <f>IFERROR(__xludf.DUMMYFUNCTION("""COMPUTED_VALUE"""),429.0)</f>
        <v>429</v>
      </c>
      <c r="Q1717" s="5" t="str">
        <f>IFERROR(__xludf.DUMMYFUNCTION("""COMPUTED_VALUE"""),"Who's Afraid of Virginia Woolf?")</f>
        <v>Who's Afraid of Virginia Woolf?</v>
      </c>
      <c r="R1717" s="5" t="str">
        <f>IFERROR(__xludf.DUMMYFUNCTION("""COMPUTED_VALUE"""),"Sandy Dennis")</f>
        <v>Sandy Dennis</v>
      </c>
      <c r="S1717" s="5" t="str">
        <f>IFERROR(__xludf.DUMMYFUNCTION("""COMPUTED_VALUE"""),"Estrela 4")</f>
        <v>Estrela 4</v>
      </c>
    </row>
    <row r="1718">
      <c r="G1718" s="5" t="str">
        <f>IFERROR(__xludf.DUMMYFUNCTION("""COMPUTED_VALUE"""),"430🤙🏼The Sound of Music🤙🏼Julie Andrews🤙🏼Estrela 1")</f>
        <v>430🤙🏼The Sound of Music🤙🏼Julie Andrews🤙🏼Estrela 1</v>
      </c>
      <c r="H1718" s="5">
        <f>IFERROR(__xludf.DUMMYFUNCTION("SPLiT(G1718, ""🤙🏼"",FALSE,FALSE)"),430.0)</f>
        <v>430</v>
      </c>
      <c r="I1718" s="5" t="str">
        <f>IFERROR(__xludf.DUMMYFUNCTION("""COMPUTED_VALUE"""),"The Sound of Music")</f>
        <v>The Sound of Music</v>
      </c>
      <c r="J1718" s="5" t="str">
        <f>IFERROR(__xludf.DUMMYFUNCTION("""COMPUTED_VALUE"""),"Julie Andrews")</f>
        <v>Julie Andrews</v>
      </c>
      <c r="K1718" s="5" t="str">
        <f>IFERROR(__xludf.DUMMYFUNCTION("""COMPUTED_VALUE"""),"Estrela 1")</f>
        <v>Estrela 1</v>
      </c>
      <c r="P1718" s="5">
        <f>IFERROR(__xludf.DUMMYFUNCTION("""COMPUTED_VALUE"""),430.0)</f>
        <v>430</v>
      </c>
      <c r="Q1718" s="5" t="str">
        <f>IFERROR(__xludf.DUMMYFUNCTION("""COMPUTED_VALUE"""),"The Sound of Music")</f>
        <v>The Sound of Music</v>
      </c>
      <c r="R1718" s="5" t="str">
        <f>IFERROR(__xludf.DUMMYFUNCTION("""COMPUTED_VALUE"""),"Julie Andrews")</f>
        <v>Julie Andrews</v>
      </c>
      <c r="S1718" s="5" t="str">
        <f>IFERROR(__xludf.DUMMYFUNCTION("""COMPUTED_VALUE"""),"Estrela 1")</f>
        <v>Estrela 1</v>
      </c>
    </row>
    <row r="1719">
      <c r="G1719" s="5" t="str">
        <f>IFERROR(__xludf.DUMMYFUNCTION("""COMPUTED_VALUE"""),"430🤙🏼The Sound of Music🤙🏼Christopher Plummer🤙🏼Estrela 2")</f>
        <v>430🤙🏼The Sound of Music🤙🏼Christopher Plummer🤙🏼Estrela 2</v>
      </c>
      <c r="H1719" s="5">
        <f>IFERROR(__xludf.DUMMYFUNCTION("SPLiT(G1719, ""🤙🏼"",FALSE,FALSE)"),430.0)</f>
        <v>430</v>
      </c>
      <c r="I1719" s="5" t="str">
        <f>IFERROR(__xludf.DUMMYFUNCTION("""COMPUTED_VALUE"""),"The Sound of Music")</f>
        <v>The Sound of Music</v>
      </c>
      <c r="J1719" s="5" t="str">
        <f>IFERROR(__xludf.DUMMYFUNCTION("""COMPUTED_VALUE"""),"Christopher Plummer")</f>
        <v>Christopher Plummer</v>
      </c>
      <c r="K1719" s="5" t="str">
        <f>IFERROR(__xludf.DUMMYFUNCTION("""COMPUTED_VALUE"""),"Estrela 2")</f>
        <v>Estrela 2</v>
      </c>
      <c r="P1719" s="5">
        <f>IFERROR(__xludf.DUMMYFUNCTION("""COMPUTED_VALUE"""),430.0)</f>
        <v>430</v>
      </c>
      <c r="Q1719" s="5" t="str">
        <f>IFERROR(__xludf.DUMMYFUNCTION("""COMPUTED_VALUE"""),"The Sound of Music")</f>
        <v>The Sound of Music</v>
      </c>
      <c r="R1719" s="5" t="str">
        <f>IFERROR(__xludf.DUMMYFUNCTION("""COMPUTED_VALUE"""),"Christopher Plummer")</f>
        <v>Christopher Plummer</v>
      </c>
      <c r="S1719" s="5" t="str">
        <f>IFERROR(__xludf.DUMMYFUNCTION("""COMPUTED_VALUE"""),"Estrela 2")</f>
        <v>Estrela 2</v>
      </c>
    </row>
    <row r="1720">
      <c r="G1720" s="5" t="str">
        <f>IFERROR(__xludf.DUMMYFUNCTION("""COMPUTED_VALUE"""),"430🤙🏼The Sound of Music🤙🏼Eleanor Parker🤙🏼Estrela 3")</f>
        <v>430🤙🏼The Sound of Music🤙🏼Eleanor Parker🤙🏼Estrela 3</v>
      </c>
      <c r="H1720" s="5">
        <f>IFERROR(__xludf.DUMMYFUNCTION("SPLiT(G1720, ""🤙🏼"",FALSE,FALSE)"),430.0)</f>
        <v>430</v>
      </c>
      <c r="I1720" s="5" t="str">
        <f>IFERROR(__xludf.DUMMYFUNCTION("""COMPUTED_VALUE"""),"The Sound of Music")</f>
        <v>The Sound of Music</v>
      </c>
      <c r="J1720" s="5" t="str">
        <f>IFERROR(__xludf.DUMMYFUNCTION("""COMPUTED_VALUE"""),"Eleanor Parker")</f>
        <v>Eleanor Parker</v>
      </c>
      <c r="K1720" s="5" t="str">
        <f>IFERROR(__xludf.DUMMYFUNCTION("""COMPUTED_VALUE"""),"Estrela 3")</f>
        <v>Estrela 3</v>
      </c>
      <c r="P1720" s="5">
        <f>IFERROR(__xludf.DUMMYFUNCTION("""COMPUTED_VALUE"""),430.0)</f>
        <v>430</v>
      </c>
      <c r="Q1720" s="5" t="str">
        <f>IFERROR(__xludf.DUMMYFUNCTION("""COMPUTED_VALUE"""),"The Sound of Music")</f>
        <v>The Sound of Music</v>
      </c>
      <c r="R1720" s="5" t="str">
        <f>IFERROR(__xludf.DUMMYFUNCTION("""COMPUTED_VALUE"""),"Eleanor Parker")</f>
        <v>Eleanor Parker</v>
      </c>
      <c r="S1720" s="5" t="str">
        <f>IFERROR(__xludf.DUMMYFUNCTION("""COMPUTED_VALUE"""),"Estrela 3")</f>
        <v>Estrela 3</v>
      </c>
    </row>
    <row r="1721">
      <c r="G1721" s="5" t="str">
        <f>IFERROR(__xludf.DUMMYFUNCTION("""COMPUTED_VALUE"""),"430🤙🏼The Sound of Music🤙🏼Richard Haydn🤙🏼Estrela 4")</f>
        <v>430🤙🏼The Sound of Music🤙🏼Richard Haydn🤙🏼Estrela 4</v>
      </c>
      <c r="H1721" s="5">
        <f>IFERROR(__xludf.DUMMYFUNCTION("SPLiT(G1721, ""🤙🏼"",FALSE,FALSE)"),430.0)</f>
        <v>430</v>
      </c>
      <c r="I1721" s="5" t="str">
        <f>IFERROR(__xludf.DUMMYFUNCTION("""COMPUTED_VALUE"""),"The Sound of Music")</f>
        <v>The Sound of Music</v>
      </c>
      <c r="J1721" s="5" t="str">
        <f>IFERROR(__xludf.DUMMYFUNCTION("""COMPUTED_VALUE"""),"Richard Haydn")</f>
        <v>Richard Haydn</v>
      </c>
      <c r="K1721" s="5" t="str">
        <f>IFERROR(__xludf.DUMMYFUNCTION("""COMPUTED_VALUE"""),"Estrela 4")</f>
        <v>Estrela 4</v>
      </c>
      <c r="P1721" s="5">
        <f>IFERROR(__xludf.DUMMYFUNCTION("""COMPUTED_VALUE"""),430.0)</f>
        <v>430</v>
      </c>
      <c r="Q1721" s="5" t="str">
        <f>IFERROR(__xludf.DUMMYFUNCTION("""COMPUTED_VALUE"""),"The Sound of Music")</f>
        <v>The Sound of Music</v>
      </c>
      <c r="R1721" s="5" t="str">
        <f>IFERROR(__xludf.DUMMYFUNCTION("""COMPUTED_VALUE"""),"Richard Haydn")</f>
        <v>Richard Haydn</v>
      </c>
      <c r="S1721" s="5" t="str">
        <f>IFERROR(__xludf.DUMMYFUNCTION("""COMPUTED_VALUE"""),"Estrela 4")</f>
        <v>Estrela 4</v>
      </c>
    </row>
    <row r="1722">
      <c r="G1722" s="5" t="str">
        <f>IFERROR(__xludf.DUMMYFUNCTION("""COMPUTED_VALUE"""),"431🤙🏼Doctor Zhivago🤙🏼Omar Sharif🤙🏼Estrela 1")</f>
        <v>431🤙🏼Doctor Zhivago🤙🏼Omar Sharif🤙🏼Estrela 1</v>
      </c>
      <c r="H1722" s="5">
        <f>IFERROR(__xludf.DUMMYFUNCTION("SPLiT(G1722, ""🤙🏼"",FALSE,FALSE)"),431.0)</f>
        <v>431</v>
      </c>
      <c r="I1722" s="5" t="str">
        <f>IFERROR(__xludf.DUMMYFUNCTION("""COMPUTED_VALUE"""),"Doctor Zhivago")</f>
        <v>Doctor Zhivago</v>
      </c>
      <c r="J1722" s="5" t="str">
        <f>IFERROR(__xludf.DUMMYFUNCTION("""COMPUTED_VALUE"""),"Omar Sharif")</f>
        <v>Omar Sharif</v>
      </c>
      <c r="K1722" s="5" t="str">
        <f>IFERROR(__xludf.DUMMYFUNCTION("""COMPUTED_VALUE"""),"Estrela 1")</f>
        <v>Estrela 1</v>
      </c>
      <c r="P1722" s="5">
        <f>IFERROR(__xludf.DUMMYFUNCTION("""COMPUTED_VALUE"""),431.0)</f>
        <v>431</v>
      </c>
      <c r="Q1722" s="5" t="str">
        <f>IFERROR(__xludf.DUMMYFUNCTION("""COMPUTED_VALUE"""),"Doctor Zhivago")</f>
        <v>Doctor Zhivago</v>
      </c>
      <c r="R1722" s="5" t="str">
        <f>IFERROR(__xludf.DUMMYFUNCTION("""COMPUTED_VALUE"""),"Omar Sharif")</f>
        <v>Omar Sharif</v>
      </c>
      <c r="S1722" s="5" t="str">
        <f>IFERROR(__xludf.DUMMYFUNCTION("""COMPUTED_VALUE"""),"Estrela 1")</f>
        <v>Estrela 1</v>
      </c>
    </row>
    <row r="1723">
      <c r="G1723" s="5" t="str">
        <f>IFERROR(__xludf.DUMMYFUNCTION("""COMPUTED_VALUE"""),"431🤙🏼Doctor Zhivago🤙🏼Julie Christie🤙🏼Estrela 2")</f>
        <v>431🤙🏼Doctor Zhivago🤙🏼Julie Christie🤙🏼Estrela 2</v>
      </c>
      <c r="H1723" s="5">
        <f>IFERROR(__xludf.DUMMYFUNCTION("SPLiT(G1723, ""🤙🏼"",FALSE,FALSE)"),431.0)</f>
        <v>431</v>
      </c>
      <c r="I1723" s="5" t="str">
        <f>IFERROR(__xludf.DUMMYFUNCTION("""COMPUTED_VALUE"""),"Doctor Zhivago")</f>
        <v>Doctor Zhivago</v>
      </c>
      <c r="J1723" s="5" t="str">
        <f>IFERROR(__xludf.DUMMYFUNCTION("""COMPUTED_VALUE"""),"Julie Christie")</f>
        <v>Julie Christie</v>
      </c>
      <c r="K1723" s="5" t="str">
        <f>IFERROR(__xludf.DUMMYFUNCTION("""COMPUTED_VALUE"""),"Estrela 2")</f>
        <v>Estrela 2</v>
      </c>
      <c r="P1723" s="5">
        <f>IFERROR(__xludf.DUMMYFUNCTION("""COMPUTED_VALUE"""),431.0)</f>
        <v>431</v>
      </c>
      <c r="Q1723" s="5" t="str">
        <f>IFERROR(__xludf.DUMMYFUNCTION("""COMPUTED_VALUE"""),"Doctor Zhivago")</f>
        <v>Doctor Zhivago</v>
      </c>
      <c r="R1723" s="5" t="str">
        <f>IFERROR(__xludf.DUMMYFUNCTION("""COMPUTED_VALUE"""),"Julie Christie")</f>
        <v>Julie Christie</v>
      </c>
      <c r="S1723" s="5" t="str">
        <f>IFERROR(__xludf.DUMMYFUNCTION("""COMPUTED_VALUE"""),"Estrela 2")</f>
        <v>Estrela 2</v>
      </c>
    </row>
    <row r="1724">
      <c r="G1724" s="5" t="str">
        <f>IFERROR(__xludf.DUMMYFUNCTION("""COMPUTED_VALUE"""),"431🤙🏼Doctor Zhivago🤙🏼Geraldine Chaplin🤙🏼Estrela 3")</f>
        <v>431🤙🏼Doctor Zhivago🤙🏼Geraldine Chaplin🤙🏼Estrela 3</v>
      </c>
      <c r="H1724" s="5">
        <f>IFERROR(__xludf.DUMMYFUNCTION("SPLiT(G1724, ""🤙🏼"",FALSE,FALSE)"),431.0)</f>
        <v>431</v>
      </c>
      <c r="I1724" s="5" t="str">
        <f>IFERROR(__xludf.DUMMYFUNCTION("""COMPUTED_VALUE"""),"Doctor Zhivago")</f>
        <v>Doctor Zhivago</v>
      </c>
      <c r="J1724" s="5" t="str">
        <f>IFERROR(__xludf.DUMMYFUNCTION("""COMPUTED_VALUE"""),"Geraldine Chaplin")</f>
        <v>Geraldine Chaplin</v>
      </c>
      <c r="K1724" s="5" t="str">
        <f>IFERROR(__xludf.DUMMYFUNCTION("""COMPUTED_VALUE"""),"Estrela 3")</f>
        <v>Estrela 3</v>
      </c>
      <c r="P1724" s="5">
        <f>IFERROR(__xludf.DUMMYFUNCTION("""COMPUTED_VALUE"""),431.0)</f>
        <v>431</v>
      </c>
      <c r="Q1724" s="5" t="str">
        <f>IFERROR(__xludf.DUMMYFUNCTION("""COMPUTED_VALUE"""),"Doctor Zhivago")</f>
        <v>Doctor Zhivago</v>
      </c>
      <c r="R1724" s="5" t="str">
        <f>IFERROR(__xludf.DUMMYFUNCTION("""COMPUTED_VALUE"""),"Geraldine Chaplin")</f>
        <v>Geraldine Chaplin</v>
      </c>
      <c r="S1724" s="5" t="str">
        <f>IFERROR(__xludf.DUMMYFUNCTION("""COMPUTED_VALUE"""),"Estrela 3")</f>
        <v>Estrela 3</v>
      </c>
    </row>
    <row r="1725">
      <c r="G1725" s="5" t="str">
        <f>IFERROR(__xludf.DUMMYFUNCTION("""COMPUTED_VALUE"""),"431🤙🏼Doctor Zhivago🤙🏼Rod Steiger🤙🏼Estrela 4")</f>
        <v>431🤙🏼Doctor Zhivago🤙🏼Rod Steiger🤙🏼Estrela 4</v>
      </c>
      <c r="H1725" s="5">
        <f>IFERROR(__xludf.DUMMYFUNCTION("SPLiT(G1725, ""🤙🏼"",FALSE,FALSE)"),431.0)</f>
        <v>431</v>
      </c>
      <c r="I1725" s="5" t="str">
        <f>IFERROR(__xludf.DUMMYFUNCTION("""COMPUTED_VALUE"""),"Doctor Zhivago")</f>
        <v>Doctor Zhivago</v>
      </c>
      <c r="J1725" s="5" t="str">
        <f>IFERROR(__xludf.DUMMYFUNCTION("""COMPUTED_VALUE"""),"Rod Steiger")</f>
        <v>Rod Steiger</v>
      </c>
      <c r="K1725" s="5" t="str">
        <f>IFERROR(__xludf.DUMMYFUNCTION("""COMPUTED_VALUE"""),"Estrela 4")</f>
        <v>Estrela 4</v>
      </c>
      <c r="P1725" s="5">
        <f>IFERROR(__xludf.DUMMYFUNCTION("""COMPUTED_VALUE"""),431.0)</f>
        <v>431</v>
      </c>
      <c r="Q1725" s="5" t="str">
        <f>IFERROR(__xludf.DUMMYFUNCTION("""COMPUTED_VALUE"""),"Doctor Zhivago")</f>
        <v>Doctor Zhivago</v>
      </c>
      <c r="R1725" s="5" t="str">
        <f>IFERROR(__xludf.DUMMYFUNCTION("""COMPUTED_VALUE"""),"Rod Steiger")</f>
        <v>Rod Steiger</v>
      </c>
      <c r="S1725" s="5" t="str">
        <f>IFERROR(__xludf.DUMMYFUNCTION("""COMPUTED_VALUE"""),"Estrela 4")</f>
        <v>Estrela 4</v>
      </c>
    </row>
    <row r="1726">
      <c r="G1726" s="5" t="str">
        <f>IFERROR(__xludf.DUMMYFUNCTION("""COMPUTED_VALUE"""),"432🤙🏼Per un pugno di dollari🤙🏼Clint Eastwood🤙🏼Estrela 1")</f>
        <v>432🤙🏼Per un pugno di dollari🤙🏼Clint Eastwood🤙🏼Estrela 1</v>
      </c>
      <c r="H1726" s="5">
        <f>IFERROR(__xludf.DUMMYFUNCTION("SPLiT(G1726, ""🤙🏼"",FALSE,FALSE)"),432.0)</f>
        <v>432</v>
      </c>
      <c r="I1726" s="5" t="str">
        <f>IFERROR(__xludf.DUMMYFUNCTION("""COMPUTED_VALUE"""),"Per un pugno di dollari")</f>
        <v>Per un pugno di dollari</v>
      </c>
      <c r="J1726" s="5" t="str">
        <f>IFERROR(__xludf.DUMMYFUNCTION("""COMPUTED_VALUE"""),"Clint Eastwood")</f>
        <v>Clint Eastwood</v>
      </c>
      <c r="K1726" s="5" t="str">
        <f>IFERROR(__xludf.DUMMYFUNCTION("""COMPUTED_VALUE"""),"Estrela 1")</f>
        <v>Estrela 1</v>
      </c>
      <c r="P1726" s="5">
        <f>IFERROR(__xludf.DUMMYFUNCTION("""COMPUTED_VALUE"""),432.0)</f>
        <v>432</v>
      </c>
      <c r="Q1726" s="5" t="str">
        <f>IFERROR(__xludf.DUMMYFUNCTION("""COMPUTED_VALUE"""),"Per un pugno di dollari")</f>
        <v>Per un pugno di dollari</v>
      </c>
      <c r="R1726" s="5" t="str">
        <f>IFERROR(__xludf.DUMMYFUNCTION("""COMPUTED_VALUE"""),"Clint Eastwood")</f>
        <v>Clint Eastwood</v>
      </c>
      <c r="S1726" s="5" t="str">
        <f>IFERROR(__xludf.DUMMYFUNCTION("""COMPUTED_VALUE"""),"Estrela 1")</f>
        <v>Estrela 1</v>
      </c>
    </row>
    <row r="1727">
      <c r="G1727" s="5" t="str">
        <f>IFERROR(__xludf.DUMMYFUNCTION("""COMPUTED_VALUE"""),"432🤙🏼Per un pugno di dollari🤙🏼Gian Maria Volontè🤙🏼Estrela 2")</f>
        <v>432🤙🏼Per un pugno di dollari🤙🏼Gian Maria Volontè🤙🏼Estrela 2</v>
      </c>
      <c r="H1727" s="5">
        <f>IFERROR(__xludf.DUMMYFUNCTION("SPLiT(G1727, ""🤙🏼"",FALSE,FALSE)"),432.0)</f>
        <v>432</v>
      </c>
      <c r="I1727" s="5" t="str">
        <f>IFERROR(__xludf.DUMMYFUNCTION("""COMPUTED_VALUE"""),"Per un pugno di dollari")</f>
        <v>Per un pugno di dollari</v>
      </c>
      <c r="J1727" s="5" t="str">
        <f>IFERROR(__xludf.DUMMYFUNCTION("""COMPUTED_VALUE"""),"Gian Maria Volontè")</f>
        <v>Gian Maria Volontè</v>
      </c>
      <c r="K1727" s="5" t="str">
        <f>IFERROR(__xludf.DUMMYFUNCTION("""COMPUTED_VALUE"""),"Estrela 2")</f>
        <v>Estrela 2</v>
      </c>
      <c r="P1727" s="5">
        <f>IFERROR(__xludf.DUMMYFUNCTION("""COMPUTED_VALUE"""),432.0)</f>
        <v>432</v>
      </c>
      <c r="Q1727" s="5" t="str">
        <f>IFERROR(__xludf.DUMMYFUNCTION("""COMPUTED_VALUE"""),"Per un pugno di dollari")</f>
        <v>Per un pugno di dollari</v>
      </c>
      <c r="R1727" s="5" t="str">
        <f>IFERROR(__xludf.DUMMYFUNCTION("""COMPUTED_VALUE"""),"Gian Maria Volontè")</f>
        <v>Gian Maria Volontè</v>
      </c>
      <c r="S1727" s="5" t="str">
        <f>IFERROR(__xludf.DUMMYFUNCTION("""COMPUTED_VALUE"""),"Estrela 2")</f>
        <v>Estrela 2</v>
      </c>
    </row>
    <row r="1728">
      <c r="G1728" s="5" t="str">
        <f>IFERROR(__xludf.DUMMYFUNCTION("""COMPUTED_VALUE"""),"432🤙🏼Per un pugno di dollari🤙🏼Marianne Koch🤙🏼Estrela 3")</f>
        <v>432🤙🏼Per un pugno di dollari🤙🏼Marianne Koch🤙🏼Estrela 3</v>
      </c>
      <c r="H1728" s="5">
        <f>IFERROR(__xludf.DUMMYFUNCTION("SPLiT(G1728, ""🤙🏼"",FALSE,FALSE)"),432.0)</f>
        <v>432</v>
      </c>
      <c r="I1728" s="5" t="str">
        <f>IFERROR(__xludf.DUMMYFUNCTION("""COMPUTED_VALUE"""),"Per un pugno di dollari")</f>
        <v>Per un pugno di dollari</v>
      </c>
      <c r="J1728" s="5" t="str">
        <f>IFERROR(__xludf.DUMMYFUNCTION("""COMPUTED_VALUE"""),"Marianne Koch")</f>
        <v>Marianne Koch</v>
      </c>
      <c r="K1728" s="5" t="str">
        <f>IFERROR(__xludf.DUMMYFUNCTION("""COMPUTED_VALUE"""),"Estrela 3")</f>
        <v>Estrela 3</v>
      </c>
      <c r="P1728" s="5">
        <f>IFERROR(__xludf.DUMMYFUNCTION("""COMPUTED_VALUE"""),432.0)</f>
        <v>432</v>
      </c>
      <c r="Q1728" s="5" t="str">
        <f>IFERROR(__xludf.DUMMYFUNCTION("""COMPUTED_VALUE"""),"Per un pugno di dollari")</f>
        <v>Per un pugno di dollari</v>
      </c>
      <c r="R1728" s="5" t="str">
        <f>IFERROR(__xludf.DUMMYFUNCTION("""COMPUTED_VALUE"""),"Marianne Koch")</f>
        <v>Marianne Koch</v>
      </c>
      <c r="S1728" s="5" t="str">
        <f>IFERROR(__xludf.DUMMYFUNCTION("""COMPUTED_VALUE"""),"Estrela 3")</f>
        <v>Estrela 3</v>
      </c>
    </row>
    <row r="1729">
      <c r="G1729" s="5" t="str">
        <f>IFERROR(__xludf.DUMMYFUNCTION("""COMPUTED_VALUE"""),"432🤙🏼Per un pugno di dollari🤙🏼Wolfgang Lukschy🤙🏼Estrela 4")</f>
        <v>432🤙🏼Per un pugno di dollari🤙🏼Wolfgang Lukschy🤙🏼Estrela 4</v>
      </c>
      <c r="H1729" s="5">
        <f>IFERROR(__xludf.DUMMYFUNCTION("SPLiT(G1729, ""🤙🏼"",FALSE,FALSE)"),432.0)</f>
        <v>432</v>
      </c>
      <c r="I1729" s="5" t="str">
        <f>IFERROR(__xludf.DUMMYFUNCTION("""COMPUTED_VALUE"""),"Per un pugno di dollari")</f>
        <v>Per un pugno di dollari</v>
      </c>
      <c r="J1729" s="5" t="str">
        <f>IFERROR(__xludf.DUMMYFUNCTION("""COMPUTED_VALUE"""),"Wolfgang Lukschy")</f>
        <v>Wolfgang Lukschy</v>
      </c>
      <c r="K1729" s="5" t="str">
        <f>IFERROR(__xludf.DUMMYFUNCTION("""COMPUTED_VALUE"""),"Estrela 4")</f>
        <v>Estrela 4</v>
      </c>
      <c r="P1729" s="5">
        <f>IFERROR(__xludf.DUMMYFUNCTION("""COMPUTED_VALUE"""),432.0)</f>
        <v>432</v>
      </c>
      <c r="Q1729" s="5" t="str">
        <f>IFERROR(__xludf.DUMMYFUNCTION("""COMPUTED_VALUE"""),"Per un pugno di dollari")</f>
        <v>Per un pugno di dollari</v>
      </c>
      <c r="R1729" s="5" t="str">
        <f>IFERROR(__xludf.DUMMYFUNCTION("""COMPUTED_VALUE"""),"Wolfgang Lukschy")</f>
        <v>Wolfgang Lukschy</v>
      </c>
      <c r="S1729" s="5" t="str">
        <f>IFERROR(__xludf.DUMMYFUNCTION("""COMPUTED_VALUE"""),"Estrela 4")</f>
        <v>Estrela 4</v>
      </c>
    </row>
    <row r="1730">
      <c r="G1730" s="5" t="str">
        <f>IFERROR(__xludf.DUMMYFUNCTION("""COMPUTED_VALUE"""),"433🤙🏼8½🤙🏼Marcello Mastroianni🤙🏼Estrela 1")</f>
        <v>433🤙🏼8½🤙🏼Marcello Mastroianni🤙🏼Estrela 1</v>
      </c>
      <c r="H1730" s="5">
        <f>IFERROR(__xludf.DUMMYFUNCTION("SPLiT(G1730, ""🤙🏼"",FALSE,FALSE)"),433.0)</f>
        <v>433</v>
      </c>
      <c r="I1730" s="5" t="str">
        <f>IFERROR(__xludf.DUMMYFUNCTION("""COMPUTED_VALUE"""),"8½")</f>
        <v>8½</v>
      </c>
      <c r="J1730" s="5" t="str">
        <f>IFERROR(__xludf.DUMMYFUNCTION("""COMPUTED_VALUE"""),"Marcello Mastroianni")</f>
        <v>Marcello Mastroianni</v>
      </c>
      <c r="K1730" s="5" t="str">
        <f>IFERROR(__xludf.DUMMYFUNCTION("""COMPUTED_VALUE"""),"Estrela 1")</f>
        <v>Estrela 1</v>
      </c>
      <c r="P1730" s="5">
        <f>IFERROR(__xludf.DUMMYFUNCTION("""COMPUTED_VALUE"""),433.0)</f>
        <v>433</v>
      </c>
      <c r="Q1730" s="5" t="str">
        <f>IFERROR(__xludf.DUMMYFUNCTION("""COMPUTED_VALUE"""),"8½")</f>
        <v>8½</v>
      </c>
      <c r="R1730" s="5" t="str">
        <f>IFERROR(__xludf.DUMMYFUNCTION("""COMPUTED_VALUE"""),"Marcello Mastroianni")</f>
        <v>Marcello Mastroianni</v>
      </c>
      <c r="S1730" s="5" t="str">
        <f>IFERROR(__xludf.DUMMYFUNCTION("""COMPUTED_VALUE"""),"Estrela 1")</f>
        <v>Estrela 1</v>
      </c>
    </row>
    <row r="1731">
      <c r="G1731" s="5" t="str">
        <f>IFERROR(__xludf.DUMMYFUNCTION("""COMPUTED_VALUE"""),"433🤙🏼8½🤙🏼Anouk Aimée🤙🏼Estrela 2")</f>
        <v>433🤙🏼8½🤙🏼Anouk Aimée🤙🏼Estrela 2</v>
      </c>
      <c r="H1731" s="5">
        <f>IFERROR(__xludf.DUMMYFUNCTION("SPLiT(G1731, ""🤙🏼"",FALSE,FALSE)"),433.0)</f>
        <v>433</v>
      </c>
      <c r="I1731" s="5" t="str">
        <f>IFERROR(__xludf.DUMMYFUNCTION("""COMPUTED_VALUE"""),"8½")</f>
        <v>8½</v>
      </c>
      <c r="J1731" s="5" t="str">
        <f>IFERROR(__xludf.DUMMYFUNCTION("""COMPUTED_VALUE"""),"Anouk Aimée")</f>
        <v>Anouk Aimée</v>
      </c>
      <c r="K1731" s="5" t="str">
        <f>IFERROR(__xludf.DUMMYFUNCTION("""COMPUTED_VALUE"""),"Estrela 2")</f>
        <v>Estrela 2</v>
      </c>
      <c r="P1731" s="5">
        <f>IFERROR(__xludf.DUMMYFUNCTION("""COMPUTED_VALUE"""),433.0)</f>
        <v>433</v>
      </c>
      <c r="Q1731" s="5" t="str">
        <f>IFERROR(__xludf.DUMMYFUNCTION("""COMPUTED_VALUE"""),"8½")</f>
        <v>8½</v>
      </c>
      <c r="R1731" s="5" t="str">
        <f>IFERROR(__xludf.DUMMYFUNCTION("""COMPUTED_VALUE"""),"Anouk Aimée")</f>
        <v>Anouk Aimée</v>
      </c>
      <c r="S1731" s="5" t="str">
        <f>IFERROR(__xludf.DUMMYFUNCTION("""COMPUTED_VALUE"""),"Estrela 2")</f>
        <v>Estrela 2</v>
      </c>
    </row>
    <row r="1732">
      <c r="G1732" s="5" t="str">
        <f>IFERROR(__xludf.DUMMYFUNCTION("""COMPUTED_VALUE"""),"433🤙🏼8½🤙🏼Claudia Cardinale🤙🏼Estrela 3")</f>
        <v>433🤙🏼8½🤙🏼Claudia Cardinale🤙🏼Estrela 3</v>
      </c>
      <c r="H1732" s="5">
        <f>IFERROR(__xludf.DUMMYFUNCTION("SPLiT(G1732, ""🤙🏼"",FALSE,FALSE)"),433.0)</f>
        <v>433</v>
      </c>
      <c r="I1732" s="5" t="str">
        <f>IFERROR(__xludf.DUMMYFUNCTION("""COMPUTED_VALUE"""),"8½")</f>
        <v>8½</v>
      </c>
      <c r="J1732" s="5" t="str">
        <f>IFERROR(__xludf.DUMMYFUNCTION("""COMPUTED_VALUE"""),"Claudia Cardinale")</f>
        <v>Claudia Cardinale</v>
      </c>
      <c r="K1732" s="5" t="str">
        <f>IFERROR(__xludf.DUMMYFUNCTION("""COMPUTED_VALUE"""),"Estrela 3")</f>
        <v>Estrela 3</v>
      </c>
      <c r="P1732" s="5">
        <f>IFERROR(__xludf.DUMMYFUNCTION("""COMPUTED_VALUE"""),433.0)</f>
        <v>433</v>
      </c>
      <c r="Q1732" s="5" t="str">
        <f>IFERROR(__xludf.DUMMYFUNCTION("""COMPUTED_VALUE"""),"8½")</f>
        <v>8½</v>
      </c>
      <c r="R1732" s="5" t="str">
        <f>IFERROR(__xludf.DUMMYFUNCTION("""COMPUTED_VALUE"""),"Claudia Cardinale")</f>
        <v>Claudia Cardinale</v>
      </c>
      <c r="S1732" s="5" t="str">
        <f>IFERROR(__xludf.DUMMYFUNCTION("""COMPUTED_VALUE"""),"Estrela 3")</f>
        <v>Estrela 3</v>
      </c>
    </row>
    <row r="1733">
      <c r="G1733" s="5" t="str">
        <f>IFERROR(__xludf.DUMMYFUNCTION("""COMPUTED_VALUE"""),"433🤙🏼8½🤙🏼Sandra Milo🤙🏼Estrela 4")</f>
        <v>433🤙🏼8½🤙🏼Sandra Milo🤙🏼Estrela 4</v>
      </c>
      <c r="H1733" s="5">
        <f>IFERROR(__xludf.DUMMYFUNCTION("SPLiT(G1733, ""🤙🏼"",FALSE,FALSE)"),433.0)</f>
        <v>433</v>
      </c>
      <c r="I1733" s="5" t="str">
        <f>IFERROR(__xludf.DUMMYFUNCTION("""COMPUTED_VALUE"""),"8½")</f>
        <v>8½</v>
      </c>
      <c r="J1733" s="5" t="str">
        <f>IFERROR(__xludf.DUMMYFUNCTION("""COMPUTED_VALUE"""),"Sandra Milo")</f>
        <v>Sandra Milo</v>
      </c>
      <c r="K1733" s="5" t="str">
        <f>IFERROR(__xludf.DUMMYFUNCTION("""COMPUTED_VALUE"""),"Estrela 4")</f>
        <v>Estrela 4</v>
      </c>
      <c r="P1733" s="5">
        <f>IFERROR(__xludf.DUMMYFUNCTION("""COMPUTED_VALUE"""),433.0)</f>
        <v>433</v>
      </c>
      <c r="Q1733" s="5" t="str">
        <f>IFERROR(__xludf.DUMMYFUNCTION("""COMPUTED_VALUE"""),"8½")</f>
        <v>8½</v>
      </c>
      <c r="R1733" s="5" t="str">
        <f>IFERROR(__xludf.DUMMYFUNCTION("""COMPUTED_VALUE"""),"Sandra Milo")</f>
        <v>Sandra Milo</v>
      </c>
      <c r="S1733" s="5" t="str">
        <f>IFERROR(__xludf.DUMMYFUNCTION("""COMPUTED_VALUE"""),"Estrela 4")</f>
        <v>Estrela 4</v>
      </c>
    </row>
    <row r="1734">
      <c r="G1734" s="5" t="str">
        <f>IFERROR(__xludf.DUMMYFUNCTION("""COMPUTED_VALUE"""),"434🤙🏼Vivre sa vie: Film en douze tableaux🤙🏼Anna Karina🤙🏼Estrela 1")</f>
        <v>434🤙🏼Vivre sa vie: Film en douze tableaux🤙🏼Anna Karina🤙🏼Estrela 1</v>
      </c>
      <c r="H1734" s="5">
        <f>IFERROR(__xludf.DUMMYFUNCTION("SPLiT(G1734, ""🤙🏼"",FALSE,FALSE)"),434.0)</f>
        <v>434</v>
      </c>
      <c r="I1734" s="5" t="str">
        <f>IFERROR(__xludf.DUMMYFUNCTION("""COMPUTED_VALUE"""),"Vivre sa vie: Film en douze tableaux")</f>
        <v>Vivre sa vie: Film en douze tableaux</v>
      </c>
      <c r="J1734" s="5" t="str">
        <f>IFERROR(__xludf.DUMMYFUNCTION("""COMPUTED_VALUE"""),"Anna Karina")</f>
        <v>Anna Karina</v>
      </c>
      <c r="K1734" s="5" t="str">
        <f>IFERROR(__xludf.DUMMYFUNCTION("""COMPUTED_VALUE"""),"Estrela 1")</f>
        <v>Estrela 1</v>
      </c>
      <c r="P1734" s="5">
        <f>IFERROR(__xludf.DUMMYFUNCTION("""COMPUTED_VALUE"""),434.0)</f>
        <v>434</v>
      </c>
      <c r="Q1734" s="5" t="str">
        <f>IFERROR(__xludf.DUMMYFUNCTION("""COMPUTED_VALUE"""),"Vivre sa vie: Film en douze tableaux")</f>
        <v>Vivre sa vie: Film en douze tableaux</v>
      </c>
      <c r="R1734" s="5" t="str">
        <f>IFERROR(__xludf.DUMMYFUNCTION("""COMPUTED_VALUE"""),"Anna Karina")</f>
        <v>Anna Karina</v>
      </c>
      <c r="S1734" s="5" t="str">
        <f>IFERROR(__xludf.DUMMYFUNCTION("""COMPUTED_VALUE"""),"Estrela 1")</f>
        <v>Estrela 1</v>
      </c>
    </row>
    <row r="1735">
      <c r="G1735" s="5" t="str">
        <f>IFERROR(__xludf.DUMMYFUNCTION("""COMPUTED_VALUE"""),"434🤙🏼Vivre sa vie: Film en douze tableaux🤙🏼Sady Rebbot🤙🏼Estrela 2")</f>
        <v>434🤙🏼Vivre sa vie: Film en douze tableaux🤙🏼Sady Rebbot🤙🏼Estrela 2</v>
      </c>
      <c r="H1735" s="5">
        <f>IFERROR(__xludf.DUMMYFUNCTION("SPLiT(G1735, ""🤙🏼"",FALSE,FALSE)"),434.0)</f>
        <v>434</v>
      </c>
      <c r="I1735" s="5" t="str">
        <f>IFERROR(__xludf.DUMMYFUNCTION("""COMPUTED_VALUE"""),"Vivre sa vie: Film en douze tableaux")</f>
        <v>Vivre sa vie: Film en douze tableaux</v>
      </c>
      <c r="J1735" s="5" t="str">
        <f>IFERROR(__xludf.DUMMYFUNCTION("""COMPUTED_VALUE"""),"Sady Rebbot")</f>
        <v>Sady Rebbot</v>
      </c>
      <c r="K1735" s="5" t="str">
        <f>IFERROR(__xludf.DUMMYFUNCTION("""COMPUTED_VALUE"""),"Estrela 2")</f>
        <v>Estrela 2</v>
      </c>
      <c r="P1735" s="5">
        <f>IFERROR(__xludf.DUMMYFUNCTION("""COMPUTED_VALUE"""),434.0)</f>
        <v>434</v>
      </c>
      <c r="Q1735" s="5" t="str">
        <f>IFERROR(__xludf.DUMMYFUNCTION("""COMPUTED_VALUE"""),"Vivre sa vie: Film en douze tableaux")</f>
        <v>Vivre sa vie: Film en douze tableaux</v>
      </c>
      <c r="R1735" s="5" t="str">
        <f>IFERROR(__xludf.DUMMYFUNCTION("""COMPUTED_VALUE"""),"Sady Rebbot")</f>
        <v>Sady Rebbot</v>
      </c>
      <c r="S1735" s="5" t="str">
        <f>IFERROR(__xludf.DUMMYFUNCTION("""COMPUTED_VALUE"""),"Estrela 2")</f>
        <v>Estrela 2</v>
      </c>
    </row>
    <row r="1736">
      <c r="G1736" s="5" t="str">
        <f>IFERROR(__xludf.DUMMYFUNCTION("""COMPUTED_VALUE"""),"434🤙🏼Vivre sa vie: Film en douze tableaux🤙🏼André S. Labarthe🤙🏼Estrela 3")</f>
        <v>434🤙🏼Vivre sa vie: Film en douze tableaux🤙🏼André S. Labarthe🤙🏼Estrela 3</v>
      </c>
      <c r="H1736" s="5">
        <f>IFERROR(__xludf.DUMMYFUNCTION("SPLiT(G1736, ""🤙🏼"",FALSE,FALSE)"),434.0)</f>
        <v>434</v>
      </c>
      <c r="I1736" s="5" t="str">
        <f>IFERROR(__xludf.DUMMYFUNCTION("""COMPUTED_VALUE"""),"Vivre sa vie: Film en douze tableaux")</f>
        <v>Vivre sa vie: Film en douze tableaux</v>
      </c>
      <c r="J1736" s="5" t="str">
        <f>IFERROR(__xludf.DUMMYFUNCTION("""COMPUTED_VALUE"""),"André S. Labarthe")</f>
        <v>André S. Labarthe</v>
      </c>
      <c r="K1736" s="5" t="str">
        <f>IFERROR(__xludf.DUMMYFUNCTION("""COMPUTED_VALUE"""),"Estrela 3")</f>
        <v>Estrela 3</v>
      </c>
      <c r="P1736" s="5">
        <f>IFERROR(__xludf.DUMMYFUNCTION("""COMPUTED_VALUE"""),434.0)</f>
        <v>434</v>
      </c>
      <c r="Q1736" s="5" t="str">
        <f>IFERROR(__xludf.DUMMYFUNCTION("""COMPUTED_VALUE"""),"Vivre sa vie: Film en douze tableaux")</f>
        <v>Vivre sa vie: Film en douze tableaux</v>
      </c>
      <c r="R1736" s="5" t="str">
        <f>IFERROR(__xludf.DUMMYFUNCTION("""COMPUTED_VALUE"""),"André S. Labarthe")</f>
        <v>André S. Labarthe</v>
      </c>
      <c r="S1736" s="5" t="str">
        <f>IFERROR(__xludf.DUMMYFUNCTION("""COMPUTED_VALUE"""),"Estrela 3")</f>
        <v>Estrela 3</v>
      </c>
    </row>
    <row r="1737">
      <c r="G1737" s="5" t="str">
        <f>IFERROR(__xludf.DUMMYFUNCTION("""COMPUTED_VALUE"""),"434🤙🏼Vivre sa vie: Film en douze tableaux🤙🏼Guylaine Schlumberger🤙🏼Estrela 4")</f>
        <v>434🤙🏼Vivre sa vie: Film en douze tableaux🤙🏼Guylaine Schlumberger🤙🏼Estrela 4</v>
      </c>
      <c r="H1737" s="5">
        <f>IFERROR(__xludf.DUMMYFUNCTION("SPLiT(G1737, ""🤙🏼"",FALSE,FALSE)"),434.0)</f>
        <v>434</v>
      </c>
      <c r="I1737" s="5" t="str">
        <f>IFERROR(__xludf.DUMMYFUNCTION("""COMPUTED_VALUE"""),"Vivre sa vie: Film en douze tableaux")</f>
        <v>Vivre sa vie: Film en douze tableaux</v>
      </c>
      <c r="J1737" s="5" t="str">
        <f>IFERROR(__xludf.DUMMYFUNCTION("""COMPUTED_VALUE"""),"Guylaine Schlumberger")</f>
        <v>Guylaine Schlumberger</v>
      </c>
      <c r="K1737" s="5" t="str">
        <f>IFERROR(__xludf.DUMMYFUNCTION("""COMPUTED_VALUE"""),"Estrela 4")</f>
        <v>Estrela 4</v>
      </c>
      <c r="P1737" s="5">
        <f>IFERROR(__xludf.DUMMYFUNCTION("""COMPUTED_VALUE"""),434.0)</f>
        <v>434</v>
      </c>
      <c r="Q1737" s="5" t="str">
        <f>IFERROR(__xludf.DUMMYFUNCTION("""COMPUTED_VALUE"""),"Vivre sa vie: Film en douze tableaux")</f>
        <v>Vivre sa vie: Film en douze tableaux</v>
      </c>
      <c r="R1737" s="5" t="str">
        <f>IFERROR(__xludf.DUMMYFUNCTION("""COMPUTED_VALUE"""),"Guylaine Schlumberger")</f>
        <v>Guylaine Schlumberger</v>
      </c>
      <c r="S1737" s="5" t="str">
        <f>IFERROR(__xludf.DUMMYFUNCTION("""COMPUTED_VALUE"""),"Estrela 4")</f>
        <v>Estrela 4</v>
      </c>
    </row>
    <row r="1738">
      <c r="G1738" s="5" t="str">
        <f>IFERROR(__xludf.DUMMYFUNCTION("""COMPUTED_VALUE"""),"435🤙🏼The Hustler🤙🏼Paul Newman🤙🏼Estrela 1")</f>
        <v>435🤙🏼The Hustler🤙🏼Paul Newman🤙🏼Estrela 1</v>
      </c>
      <c r="H1738" s="5">
        <f>IFERROR(__xludf.DUMMYFUNCTION("SPLiT(G1738, ""🤙🏼"",FALSE,FALSE)"),435.0)</f>
        <v>435</v>
      </c>
      <c r="I1738" s="5" t="str">
        <f>IFERROR(__xludf.DUMMYFUNCTION("""COMPUTED_VALUE"""),"The Hustler")</f>
        <v>The Hustler</v>
      </c>
      <c r="J1738" s="5" t="str">
        <f>IFERROR(__xludf.DUMMYFUNCTION("""COMPUTED_VALUE"""),"Paul Newman")</f>
        <v>Paul Newman</v>
      </c>
      <c r="K1738" s="5" t="str">
        <f>IFERROR(__xludf.DUMMYFUNCTION("""COMPUTED_VALUE"""),"Estrela 1")</f>
        <v>Estrela 1</v>
      </c>
      <c r="P1738" s="5">
        <f>IFERROR(__xludf.DUMMYFUNCTION("""COMPUTED_VALUE"""),435.0)</f>
        <v>435</v>
      </c>
      <c r="Q1738" s="5" t="str">
        <f>IFERROR(__xludf.DUMMYFUNCTION("""COMPUTED_VALUE"""),"The Hustler")</f>
        <v>The Hustler</v>
      </c>
      <c r="R1738" s="5" t="str">
        <f>IFERROR(__xludf.DUMMYFUNCTION("""COMPUTED_VALUE"""),"Paul Newman")</f>
        <v>Paul Newman</v>
      </c>
      <c r="S1738" s="5" t="str">
        <f>IFERROR(__xludf.DUMMYFUNCTION("""COMPUTED_VALUE"""),"Estrela 1")</f>
        <v>Estrela 1</v>
      </c>
    </row>
    <row r="1739">
      <c r="G1739" s="5" t="str">
        <f>IFERROR(__xludf.DUMMYFUNCTION("""COMPUTED_VALUE"""),"435🤙🏼The Hustler🤙🏼Jackie Gleason🤙🏼Estrela 2")</f>
        <v>435🤙🏼The Hustler🤙🏼Jackie Gleason🤙🏼Estrela 2</v>
      </c>
      <c r="H1739" s="5">
        <f>IFERROR(__xludf.DUMMYFUNCTION("SPLiT(G1739, ""🤙🏼"",FALSE,FALSE)"),435.0)</f>
        <v>435</v>
      </c>
      <c r="I1739" s="5" t="str">
        <f>IFERROR(__xludf.DUMMYFUNCTION("""COMPUTED_VALUE"""),"The Hustler")</f>
        <v>The Hustler</v>
      </c>
      <c r="J1739" s="5" t="str">
        <f>IFERROR(__xludf.DUMMYFUNCTION("""COMPUTED_VALUE"""),"Jackie Gleason")</f>
        <v>Jackie Gleason</v>
      </c>
      <c r="K1739" s="5" t="str">
        <f>IFERROR(__xludf.DUMMYFUNCTION("""COMPUTED_VALUE"""),"Estrela 2")</f>
        <v>Estrela 2</v>
      </c>
      <c r="P1739" s="5">
        <f>IFERROR(__xludf.DUMMYFUNCTION("""COMPUTED_VALUE"""),435.0)</f>
        <v>435</v>
      </c>
      <c r="Q1739" s="5" t="str">
        <f>IFERROR(__xludf.DUMMYFUNCTION("""COMPUTED_VALUE"""),"The Hustler")</f>
        <v>The Hustler</v>
      </c>
      <c r="R1739" s="5" t="str">
        <f>IFERROR(__xludf.DUMMYFUNCTION("""COMPUTED_VALUE"""),"Jackie Gleason")</f>
        <v>Jackie Gleason</v>
      </c>
      <c r="S1739" s="5" t="str">
        <f>IFERROR(__xludf.DUMMYFUNCTION("""COMPUTED_VALUE"""),"Estrela 2")</f>
        <v>Estrela 2</v>
      </c>
    </row>
    <row r="1740">
      <c r="G1740" s="5" t="str">
        <f>IFERROR(__xludf.DUMMYFUNCTION("""COMPUTED_VALUE"""),"435🤙🏼The Hustler🤙🏼Piper Laurie🤙🏼Estrela 3")</f>
        <v>435🤙🏼The Hustler🤙🏼Piper Laurie🤙🏼Estrela 3</v>
      </c>
      <c r="H1740" s="5">
        <f>IFERROR(__xludf.DUMMYFUNCTION("SPLiT(G1740, ""🤙🏼"",FALSE,FALSE)"),435.0)</f>
        <v>435</v>
      </c>
      <c r="I1740" s="5" t="str">
        <f>IFERROR(__xludf.DUMMYFUNCTION("""COMPUTED_VALUE"""),"The Hustler")</f>
        <v>The Hustler</v>
      </c>
      <c r="J1740" s="5" t="str">
        <f>IFERROR(__xludf.DUMMYFUNCTION("""COMPUTED_VALUE"""),"Piper Laurie")</f>
        <v>Piper Laurie</v>
      </c>
      <c r="K1740" s="5" t="str">
        <f>IFERROR(__xludf.DUMMYFUNCTION("""COMPUTED_VALUE"""),"Estrela 3")</f>
        <v>Estrela 3</v>
      </c>
      <c r="P1740" s="5">
        <f>IFERROR(__xludf.DUMMYFUNCTION("""COMPUTED_VALUE"""),435.0)</f>
        <v>435</v>
      </c>
      <c r="Q1740" s="5" t="str">
        <f>IFERROR(__xludf.DUMMYFUNCTION("""COMPUTED_VALUE"""),"The Hustler")</f>
        <v>The Hustler</v>
      </c>
      <c r="R1740" s="5" t="str">
        <f>IFERROR(__xludf.DUMMYFUNCTION("""COMPUTED_VALUE"""),"Piper Laurie")</f>
        <v>Piper Laurie</v>
      </c>
      <c r="S1740" s="5" t="str">
        <f>IFERROR(__xludf.DUMMYFUNCTION("""COMPUTED_VALUE"""),"Estrela 3")</f>
        <v>Estrela 3</v>
      </c>
    </row>
    <row r="1741">
      <c r="G1741" s="5" t="str">
        <f>IFERROR(__xludf.DUMMYFUNCTION("""COMPUTED_VALUE"""),"435🤙🏼The Hustler🤙🏼George C. Scott🤙🏼Estrela 4")</f>
        <v>435🤙🏼The Hustler🤙🏼George C. Scott🤙🏼Estrela 4</v>
      </c>
      <c r="H1741" s="5">
        <f>IFERROR(__xludf.DUMMYFUNCTION("SPLiT(G1741, ""🤙🏼"",FALSE,FALSE)"),435.0)</f>
        <v>435</v>
      </c>
      <c r="I1741" s="5" t="str">
        <f>IFERROR(__xludf.DUMMYFUNCTION("""COMPUTED_VALUE"""),"The Hustler")</f>
        <v>The Hustler</v>
      </c>
      <c r="J1741" s="5" t="str">
        <f>IFERROR(__xludf.DUMMYFUNCTION("""COMPUTED_VALUE"""),"George C. Scott")</f>
        <v>George C. Scott</v>
      </c>
      <c r="K1741" s="5" t="str">
        <f>IFERROR(__xludf.DUMMYFUNCTION("""COMPUTED_VALUE"""),"Estrela 4")</f>
        <v>Estrela 4</v>
      </c>
      <c r="P1741" s="5">
        <f>IFERROR(__xludf.DUMMYFUNCTION("""COMPUTED_VALUE"""),435.0)</f>
        <v>435</v>
      </c>
      <c r="Q1741" s="5" t="str">
        <f>IFERROR(__xludf.DUMMYFUNCTION("""COMPUTED_VALUE"""),"The Hustler")</f>
        <v>The Hustler</v>
      </c>
      <c r="R1741" s="5" t="str">
        <f>IFERROR(__xludf.DUMMYFUNCTION("""COMPUTED_VALUE"""),"George C. Scott")</f>
        <v>George C. Scott</v>
      </c>
      <c r="S1741" s="5" t="str">
        <f>IFERROR(__xludf.DUMMYFUNCTION("""COMPUTED_VALUE"""),"Estrela 4")</f>
        <v>Estrela 4</v>
      </c>
    </row>
    <row r="1742">
      <c r="G1742" s="5" t="str">
        <f>IFERROR(__xludf.DUMMYFUNCTION("""COMPUTED_VALUE"""),"436🤙🏼La dolce vita🤙🏼Marcello Mastroianni🤙🏼Estrela 1")</f>
        <v>436🤙🏼La dolce vita🤙🏼Marcello Mastroianni🤙🏼Estrela 1</v>
      </c>
      <c r="H1742" s="5">
        <f>IFERROR(__xludf.DUMMYFUNCTION("SPLiT(G1742, ""🤙🏼"",FALSE,FALSE)"),436.0)</f>
        <v>436</v>
      </c>
      <c r="I1742" s="5" t="str">
        <f>IFERROR(__xludf.DUMMYFUNCTION("""COMPUTED_VALUE"""),"La dolce vita")</f>
        <v>La dolce vita</v>
      </c>
      <c r="J1742" s="5" t="str">
        <f>IFERROR(__xludf.DUMMYFUNCTION("""COMPUTED_VALUE"""),"Marcello Mastroianni")</f>
        <v>Marcello Mastroianni</v>
      </c>
      <c r="K1742" s="5" t="str">
        <f>IFERROR(__xludf.DUMMYFUNCTION("""COMPUTED_VALUE"""),"Estrela 1")</f>
        <v>Estrela 1</v>
      </c>
      <c r="P1742" s="5">
        <f>IFERROR(__xludf.DUMMYFUNCTION("""COMPUTED_VALUE"""),436.0)</f>
        <v>436</v>
      </c>
      <c r="Q1742" s="5" t="str">
        <f>IFERROR(__xludf.DUMMYFUNCTION("""COMPUTED_VALUE"""),"La dolce vita")</f>
        <v>La dolce vita</v>
      </c>
      <c r="R1742" s="5" t="str">
        <f>IFERROR(__xludf.DUMMYFUNCTION("""COMPUTED_VALUE"""),"Marcello Mastroianni")</f>
        <v>Marcello Mastroianni</v>
      </c>
      <c r="S1742" s="5" t="str">
        <f>IFERROR(__xludf.DUMMYFUNCTION("""COMPUTED_VALUE"""),"Estrela 1")</f>
        <v>Estrela 1</v>
      </c>
    </row>
    <row r="1743">
      <c r="G1743" s="5" t="str">
        <f>IFERROR(__xludf.DUMMYFUNCTION("""COMPUTED_VALUE"""),"436🤙🏼La dolce vita🤙🏼Anita Ekberg🤙🏼Estrela 2")</f>
        <v>436🤙🏼La dolce vita🤙🏼Anita Ekberg🤙🏼Estrela 2</v>
      </c>
      <c r="H1743" s="5">
        <f>IFERROR(__xludf.DUMMYFUNCTION("SPLiT(G1743, ""🤙🏼"",FALSE,FALSE)"),436.0)</f>
        <v>436</v>
      </c>
      <c r="I1743" s="5" t="str">
        <f>IFERROR(__xludf.DUMMYFUNCTION("""COMPUTED_VALUE"""),"La dolce vita")</f>
        <v>La dolce vita</v>
      </c>
      <c r="J1743" s="5" t="str">
        <f>IFERROR(__xludf.DUMMYFUNCTION("""COMPUTED_VALUE"""),"Anita Ekberg")</f>
        <v>Anita Ekberg</v>
      </c>
      <c r="K1743" s="5" t="str">
        <f>IFERROR(__xludf.DUMMYFUNCTION("""COMPUTED_VALUE"""),"Estrela 2")</f>
        <v>Estrela 2</v>
      </c>
      <c r="P1743" s="5">
        <f>IFERROR(__xludf.DUMMYFUNCTION("""COMPUTED_VALUE"""),436.0)</f>
        <v>436</v>
      </c>
      <c r="Q1743" s="5" t="str">
        <f>IFERROR(__xludf.DUMMYFUNCTION("""COMPUTED_VALUE"""),"La dolce vita")</f>
        <v>La dolce vita</v>
      </c>
      <c r="R1743" s="5" t="str">
        <f>IFERROR(__xludf.DUMMYFUNCTION("""COMPUTED_VALUE"""),"Anita Ekberg")</f>
        <v>Anita Ekberg</v>
      </c>
      <c r="S1743" s="5" t="str">
        <f>IFERROR(__xludf.DUMMYFUNCTION("""COMPUTED_VALUE"""),"Estrela 2")</f>
        <v>Estrela 2</v>
      </c>
    </row>
    <row r="1744">
      <c r="G1744" s="5" t="str">
        <f>IFERROR(__xludf.DUMMYFUNCTION("""COMPUTED_VALUE"""),"436🤙🏼La dolce vita🤙🏼Anouk Aimée🤙🏼Estrela 3")</f>
        <v>436🤙🏼La dolce vita🤙🏼Anouk Aimée🤙🏼Estrela 3</v>
      </c>
      <c r="H1744" s="5">
        <f>IFERROR(__xludf.DUMMYFUNCTION("SPLiT(G1744, ""🤙🏼"",FALSE,FALSE)"),436.0)</f>
        <v>436</v>
      </c>
      <c r="I1744" s="5" t="str">
        <f>IFERROR(__xludf.DUMMYFUNCTION("""COMPUTED_VALUE"""),"La dolce vita")</f>
        <v>La dolce vita</v>
      </c>
      <c r="J1744" s="5" t="str">
        <f>IFERROR(__xludf.DUMMYFUNCTION("""COMPUTED_VALUE"""),"Anouk Aimée")</f>
        <v>Anouk Aimée</v>
      </c>
      <c r="K1744" s="5" t="str">
        <f>IFERROR(__xludf.DUMMYFUNCTION("""COMPUTED_VALUE"""),"Estrela 3")</f>
        <v>Estrela 3</v>
      </c>
      <c r="P1744" s="5">
        <f>IFERROR(__xludf.DUMMYFUNCTION("""COMPUTED_VALUE"""),436.0)</f>
        <v>436</v>
      </c>
      <c r="Q1744" s="5" t="str">
        <f>IFERROR(__xludf.DUMMYFUNCTION("""COMPUTED_VALUE"""),"La dolce vita")</f>
        <v>La dolce vita</v>
      </c>
      <c r="R1744" s="5" t="str">
        <f>IFERROR(__xludf.DUMMYFUNCTION("""COMPUTED_VALUE"""),"Anouk Aimée")</f>
        <v>Anouk Aimée</v>
      </c>
      <c r="S1744" s="5" t="str">
        <f>IFERROR(__xludf.DUMMYFUNCTION("""COMPUTED_VALUE"""),"Estrela 3")</f>
        <v>Estrela 3</v>
      </c>
    </row>
    <row r="1745">
      <c r="G1745" s="5" t="str">
        <f>IFERROR(__xludf.DUMMYFUNCTION("""COMPUTED_VALUE"""),"436🤙🏼La dolce vita🤙🏼Yvonne Furneaux🤙🏼Estrela 4")</f>
        <v>436🤙🏼La dolce vita🤙🏼Yvonne Furneaux🤙🏼Estrela 4</v>
      </c>
      <c r="H1745" s="5">
        <f>IFERROR(__xludf.DUMMYFUNCTION("SPLiT(G1745, ""🤙🏼"",FALSE,FALSE)"),436.0)</f>
        <v>436</v>
      </c>
      <c r="I1745" s="5" t="str">
        <f>IFERROR(__xludf.DUMMYFUNCTION("""COMPUTED_VALUE"""),"La dolce vita")</f>
        <v>La dolce vita</v>
      </c>
      <c r="J1745" s="5" t="str">
        <f>IFERROR(__xludf.DUMMYFUNCTION("""COMPUTED_VALUE"""),"Yvonne Furneaux")</f>
        <v>Yvonne Furneaux</v>
      </c>
      <c r="K1745" s="5" t="str">
        <f>IFERROR(__xludf.DUMMYFUNCTION("""COMPUTED_VALUE"""),"Estrela 4")</f>
        <v>Estrela 4</v>
      </c>
      <c r="P1745" s="5">
        <f>IFERROR(__xludf.DUMMYFUNCTION("""COMPUTED_VALUE"""),436.0)</f>
        <v>436</v>
      </c>
      <c r="Q1745" s="5" t="str">
        <f>IFERROR(__xludf.DUMMYFUNCTION("""COMPUTED_VALUE"""),"La dolce vita")</f>
        <v>La dolce vita</v>
      </c>
      <c r="R1745" s="5" t="str">
        <f>IFERROR(__xludf.DUMMYFUNCTION("""COMPUTED_VALUE"""),"Yvonne Furneaux")</f>
        <v>Yvonne Furneaux</v>
      </c>
      <c r="S1745" s="5" t="str">
        <f>IFERROR(__xludf.DUMMYFUNCTION("""COMPUTED_VALUE"""),"Estrela 4")</f>
        <v>Estrela 4</v>
      </c>
    </row>
    <row r="1746">
      <c r="G1746" s="5" t="str">
        <f>IFERROR(__xludf.DUMMYFUNCTION("""COMPUTED_VALUE"""),"437🤙🏼Rio Bravo🤙🏼John Wayne🤙🏼Estrela 1")</f>
        <v>437🤙🏼Rio Bravo🤙🏼John Wayne🤙🏼Estrela 1</v>
      </c>
      <c r="H1746" s="5">
        <f>IFERROR(__xludf.DUMMYFUNCTION("SPLiT(G1746, ""🤙🏼"",FALSE,FALSE)"),437.0)</f>
        <v>437</v>
      </c>
      <c r="I1746" s="5" t="str">
        <f>IFERROR(__xludf.DUMMYFUNCTION("""COMPUTED_VALUE"""),"Rio Bravo")</f>
        <v>Rio Bravo</v>
      </c>
      <c r="J1746" s="5" t="str">
        <f>IFERROR(__xludf.DUMMYFUNCTION("""COMPUTED_VALUE"""),"John Wayne")</f>
        <v>John Wayne</v>
      </c>
      <c r="K1746" s="5" t="str">
        <f>IFERROR(__xludf.DUMMYFUNCTION("""COMPUTED_VALUE"""),"Estrela 1")</f>
        <v>Estrela 1</v>
      </c>
      <c r="P1746" s="5">
        <f>IFERROR(__xludf.DUMMYFUNCTION("""COMPUTED_VALUE"""),437.0)</f>
        <v>437</v>
      </c>
      <c r="Q1746" s="5" t="str">
        <f>IFERROR(__xludf.DUMMYFUNCTION("""COMPUTED_VALUE"""),"Rio Bravo")</f>
        <v>Rio Bravo</v>
      </c>
      <c r="R1746" s="5" t="str">
        <f>IFERROR(__xludf.DUMMYFUNCTION("""COMPUTED_VALUE"""),"John Wayne")</f>
        <v>John Wayne</v>
      </c>
      <c r="S1746" s="5" t="str">
        <f>IFERROR(__xludf.DUMMYFUNCTION("""COMPUTED_VALUE"""),"Estrela 1")</f>
        <v>Estrela 1</v>
      </c>
    </row>
    <row r="1747">
      <c r="G1747" s="5" t="str">
        <f>IFERROR(__xludf.DUMMYFUNCTION("""COMPUTED_VALUE"""),"437🤙🏼Rio Bravo🤙🏼Dean Martin🤙🏼Estrela 2")</f>
        <v>437🤙🏼Rio Bravo🤙🏼Dean Martin🤙🏼Estrela 2</v>
      </c>
      <c r="H1747" s="5">
        <f>IFERROR(__xludf.DUMMYFUNCTION("SPLiT(G1747, ""🤙🏼"",FALSE,FALSE)"),437.0)</f>
        <v>437</v>
      </c>
      <c r="I1747" s="5" t="str">
        <f>IFERROR(__xludf.DUMMYFUNCTION("""COMPUTED_VALUE"""),"Rio Bravo")</f>
        <v>Rio Bravo</v>
      </c>
      <c r="J1747" s="5" t="str">
        <f>IFERROR(__xludf.DUMMYFUNCTION("""COMPUTED_VALUE"""),"Dean Martin")</f>
        <v>Dean Martin</v>
      </c>
      <c r="K1747" s="5" t="str">
        <f>IFERROR(__xludf.DUMMYFUNCTION("""COMPUTED_VALUE"""),"Estrela 2")</f>
        <v>Estrela 2</v>
      </c>
      <c r="P1747" s="5">
        <f>IFERROR(__xludf.DUMMYFUNCTION("""COMPUTED_VALUE"""),437.0)</f>
        <v>437</v>
      </c>
      <c r="Q1747" s="5" t="str">
        <f>IFERROR(__xludf.DUMMYFUNCTION("""COMPUTED_VALUE"""),"Rio Bravo")</f>
        <v>Rio Bravo</v>
      </c>
      <c r="R1747" s="5" t="str">
        <f>IFERROR(__xludf.DUMMYFUNCTION("""COMPUTED_VALUE"""),"Dean Martin")</f>
        <v>Dean Martin</v>
      </c>
      <c r="S1747" s="5" t="str">
        <f>IFERROR(__xludf.DUMMYFUNCTION("""COMPUTED_VALUE"""),"Estrela 2")</f>
        <v>Estrela 2</v>
      </c>
    </row>
    <row r="1748">
      <c r="G1748" s="5" t="str">
        <f>IFERROR(__xludf.DUMMYFUNCTION("""COMPUTED_VALUE"""),"437🤙🏼Rio Bravo🤙🏼Ricky Nelson🤙🏼Estrela 3")</f>
        <v>437🤙🏼Rio Bravo🤙🏼Ricky Nelson🤙🏼Estrela 3</v>
      </c>
      <c r="H1748" s="5">
        <f>IFERROR(__xludf.DUMMYFUNCTION("SPLiT(G1748, ""🤙🏼"",FALSE,FALSE)"),437.0)</f>
        <v>437</v>
      </c>
      <c r="I1748" s="5" t="str">
        <f>IFERROR(__xludf.DUMMYFUNCTION("""COMPUTED_VALUE"""),"Rio Bravo")</f>
        <v>Rio Bravo</v>
      </c>
      <c r="J1748" s="5" t="str">
        <f>IFERROR(__xludf.DUMMYFUNCTION("""COMPUTED_VALUE"""),"Ricky Nelson")</f>
        <v>Ricky Nelson</v>
      </c>
      <c r="K1748" s="5" t="str">
        <f>IFERROR(__xludf.DUMMYFUNCTION("""COMPUTED_VALUE"""),"Estrela 3")</f>
        <v>Estrela 3</v>
      </c>
      <c r="P1748" s="5">
        <f>IFERROR(__xludf.DUMMYFUNCTION("""COMPUTED_VALUE"""),437.0)</f>
        <v>437</v>
      </c>
      <c r="Q1748" s="5" t="str">
        <f>IFERROR(__xludf.DUMMYFUNCTION("""COMPUTED_VALUE"""),"Rio Bravo")</f>
        <v>Rio Bravo</v>
      </c>
      <c r="R1748" s="5" t="str">
        <f>IFERROR(__xludf.DUMMYFUNCTION("""COMPUTED_VALUE"""),"Ricky Nelson")</f>
        <v>Ricky Nelson</v>
      </c>
      <c r="S1748" s="5" t="str">
        <f>IFERROR(__xludf.DUMMYFUNCTION("""COMPUTED_VALUE"""),"Estrela 3")</f>
        <v>Estrela 3</v>
      </c>
    </row>
    <row r="1749">
      <c r="G1749" s="5" t="str">
        <f>IFERROR(__xludf.DUMMYFUNCTION("""COMPUTED_VALUE"""),"437🤙🏼Rio Bravo🤙🏼Angie Dickinson🤙🏼Estrela 4")</f>
        <v>437🤙🏼Rio Bravo🤙🏼Angie Dickinson🤙🏼Estrela 4</v>
      </c>
      <c r="H1749" s="5">
        <f>IFERROR(__xludf.DUMMYFUNCTION("SPLiT(G1749, ""🤙🏼"",FALSE,FALSE)"),437.0)</f>
        <v>437</v>
      </c>
      <c r="I1749" s="5" t="str">
        <f>IFERROR(__xludf.DUMMYFUNCTION("""COMPUTED_VALUE"""),"Rio Bravo")</f>
        <v>Rio Bravo</v>
      </c>
      <c r="J1749" s="5" t="str">
        <f>IFERROR(__xludf.DUMMYFUNCTION("""COMPUTED_VALUE"""),"Angie Dickinson")</f>
        <v>Angie Dickinson</v>
      </c>
      <c r="K1749" s="5" t="str">
        <f>IFERROR(__xludf.DUMMYFUNCTION("""COMPUTED_VALUE"""),"Estrela 4")</f>
        <v>Estrela 4</v>
      </c>
      <c r="P1749" s="5">
        <f>IFERROR(__xludf.DUMMYFUNCTION("""COMPUTED_VALUE"""),437.0)</f>
        <v>437</v>
      </c>
      <c r="Q1749" s="5" t="str">
        <f>IFERROR(__xludf.DUMMYFUNCTION("""COMPUTED_VALUE"""),"Rio Bravo")</f>
        <v>Rio Bravo</v>
      </c>
      <c r="R1749" s="5" t="str">
        <f>IFERROR(__xludf.DUMMYFUNCTION("""COMPUTED_VALUE"""),"Angie Dickinson")</f>
        <v>Angie Dickinson</v>
      </c>
      <c r="S1749" s="5" t="str">
        <f>IFERROR(__xludf.DUMMYFUNCTION("""COMPUTED_VALUE"""),"Estrela 4")</f>
        <v>Estrela 4</v>
      </c>
    </row>
    <row r="1750">
      <c r="G1750" s="5" t="str">
        <f>IFERROR(__xludf.DUMMYFUNCTION("""COMPUTED_VALUE"""),"438🤙🏼Anatomy of a Murder🤙🏼James Stewart🤙🏼Estrela 1")</f>
        <v>438🤙🏼Anatomy of a Murder🤙🏼James Stewart🤙🏼Estrela 1</v>
      </c>
      <c r="H1750" s="5">
        <f>IFERROR(__xludf.DUMMYFUNCTION("SPLiT(G1750, ""🤙🏼"",FALSE,FALSE)"),438.0)</f>
        <v>438</v>
      </c>
      <c r="I1750" s="5" t="str">
        <f>IFERROR(__xludf.DUMMYFUNCTION("""COMPUTED_VALUE"""),"Anatomy of a Murder")</f>
        <v>Anatomy of a Murder</v>
      </c>
      <c r="J1750" s="5" t="str">
        <f>IFERROR(__xludf.DUMMYFUNCTION("""COMPUTED_VALUE"""),"James Stewart")</f>
        <v>James Stewart</v>
      </c>
      <c r="K1750" s="5" t="str">
        <f>IFERROR(__xludf.DUMMYFUNCTION("""COMPUTED_VALUE"""),"Estrela 1")</f>
        <v>Estrela 1</v>
      </c>
      <c r="P1750" s="5">
        <f>IFERROR(__xludf.DUMMYFUNCTION("""COMPUTED_VALUE"""),438.0)</f>
        <v>438</v>
      </c>
      <c r="Q1750" s="5" t="str">
        <f>IFERROR(__xludf.DUMMYFUNCTION("""COMPUTED_VALUE"""),"Anatomy of a Murder")</f>
        <v>Anatomy of a Murder</v>
      </c>
      <c r="R1750" s="5" t="str">
        <f>IFERROR(__xludf.DUMMYFUNCTION("""COMPUTED_VALUE"""),"James Stewart")</f>
        <v>James Stewart</v>
      </c>
      <c r="S1750" s="5" t="str">
        <f>IFERROR(__xludf.DUMMYFUNCTION("""COMPUTED_VALUE"""),"Estrela 1")</f>
        <v>Estrela 1</v>
      </c>
    </row>
    <row r="1751">
      <c r="G1751" s="5" t="str">
        <f>IFERROR(__xludf.DUMMYFUNCTION("""COMPUTED_VALUE"""),"438🤙🏼Anatomy of a Murder🤙🏼Lee Remick🤙🏼Estrela 2")</f>
        <v>438🤙🏼Anatomy of a Murder🤙🏼Lee Remick🤙🏼Estrela 2</v>
      </c>
      <c r="H1751" s="5">
        <f>IFERROR(__xludf.DUMMYFUNCTION("SPLiT(G1751, ""🤙🏼"",FALSE,FALSE)"),438.0)</f>
        <v>438</v>
      </c>
      <c r="I1751" s="5" t="str">
        <f>IFERROR(__xludf.DUMMYFUNCTION("""COMPUTED_VALUE"""),"Anatomy of a Murder")</f>
        <v>Anatomy of a Murder</v>
      </c>
      <c r="J1751" s="5" t="str">
        <f>IFERROR(__xludf.DUMMYFUNCTION("""COMPUTED_VALUE"""),"Lee Remick")</f>
        <v>Lee Remick</v>
      </c>
      <c r="K1751" s="5" t="str">
        <f>IFERROR(__xludf.DUMMYFUNCTION("""COMPUTED_VALUE"""),"Estrela 2")</f>
        <v>Estrela 2</v>
      </c>
      <c r="P1751" s="5">
        <f>IFERROR(__xludf.DUMMYFUNCTION("""COMPUTED_VALUE"""),438.0)</f>
        <v>438</v>
      </c>
      <c r="Q1751" s="5" t="str">
        <f>IFERROR(__xludf.DUMMYFUNCTION("""COMPUTED_VALUE"""),"Anatomy of a Murder")</f>
        <v>Anatomy of a Murder</v>
      </c>
      <c r="R1751" s="5" t="str">
        <f>IFERROR(__xludf.DUMMYFUNCTION("""COMPUTED_VALUE"""),"Lee Remick")</f>
        <v>Lee Remick</v>
      </c>
      <c r="S1751" s="5" t="str">
        <f>IFERROR(__xludf.DUMMYFUNCTION("""COMPUTED_VALUE"""),"Estrela 2")</f>
        <v>Estrela 2</v>
      </c>
    </row>
    <row r="1752">
      <c r="G1752" s="5" t="str">
        <f>IFERROR(__xludf.DUMMYFUNCTION("""COMPUTED_VALUE"""),"438🤙🏼Anatomy of a Murder🤙🏼Ben Gazzara🤙🏼Estrela 3")</f>
        <v>438🤙🏼Anatomy of a Murder🤙🏼Ben Gazzara🤙🏼Estrela 3</v>
      </c>
      <c r="H1752" s="5">
        <f>IFERROR(__xludf.DUMMYFUNCTION("SPLiT(G1752, ""🤙🏼"",FALSE,FALSE)"),438.0)</f>
        <v>438</v>
      </c>
      <c r="I1752" s="5" t="str">
        <f>IFERROR(__xludf.DUMMYFUNCTION("""COMPUTED_VALUE"""),"Anatomy of a Murder")</f>
        <v>Anatomy of a Murder</v>
      </c>
      <c r="J1752" s="5" t="str">
        <f>IFERROR(__xludf.DUMMYFUNCTION("""COMPUTED_VALUE"""),"Ben Gazzara")</f>
        <v>Ben Gazzara</v>
      </c>
      <c r="K1752" s="5" t="str">
        <f>IFERROR(__xludf.DUMMYFUNCTION("""COMPUTED_VALUE"""),"Estrela 3")</f>
        <v>Estrela 3</v>
      </c>
      <c r="P1752" s="5">
        <f>IFERROR(__xludf.DUMMYFUNCTION("""COMPUTED_VALUE"""),438.0)</f>
        <v>438</v>
      </c>
      <c r="Q1752" s="5" t="str">
        <f>IFERROR(__xludf.DUMMYFUNCTION("""COMPUTED_VALUE"""),"Anatomy of a Murder")</f>
        <v>Anatomy of a Murder</v>
      </c>
      <c r="R1752" s="5" t="str">
        <f>IFERROR(__xludf.DUMMYFUNCTION("""COMPUTED_VALUE"""),"Ben Gazzara")</f>
        <v>Ben Gazzara</v>
      </c>
      <c r="S1752" s="5" t="str">
        <f>IFERROR(__xludf.DUMMYFUNCTION("""COMPUTED_VALUE"""),"Estrela 3")</f>
        <v>Estrela 3</v>
      </c>
    </row>
    <row r="1753">
      <c r="G1753" s="5" t="str">
        <f>IFERROR(__xludf.DUMMYFUNCTION("""COMPUTED_VALUE"""),"438🤙🏼Anatomy of a Murder🤙🏼Arthur O'Connell🤙🏼Estrela 4")</f>
        <v>438🤙🏼Anatomy of a Murder🤙🏼Arthur O'Connell🤙🏼Estrela 4</v>
      </c>
      <c r="H1753" s="5">
        <f>IFERROR(__xludf.DUMMYFUNCTION("SPLiT(G1753, ""🤙🏼"",FALSE,FALSE)"),438.0)</f>
        <v>438</v>
      </c>
      <c r="I1753" s="5" t="str">
        <f>IFERROR(__xludf.DUMMYFUNCTION("""COMPUTED_VALUE"""),"Anatomy of a Murder")</f>
        <v>Anatomy of a Murder</v>
      </c>
      <c r="J1753" s="5" t="str">
        <f>IFERROR(__xludf.DUMMYFUNCTION("""COMPUTED_VALUE"""),"Arthur O'Connell")</f>
        <v>Arthur O'Connell</v>
      </c>
      <c r="K1753" s="5" t="str">
        <f>IFERROR(__xludf.DUMMYFUNCTION("""COMPUTED_VALUE"""),"Estrela 4")</f>
        <v>Estrela 4</v>
      </c>
      <c r="P1753" s="5">
        <f>IFERROR(__xludf.DUMMYFUNCTION("""COMPUTED_VALUE"""),438.0)</f>
        <v>438</v>
      </c>
      <c r="Q1753" s="5" t="str">
        <f>IFERROR(__xludf.DUMMYFUNCTION("""COMPUTED_VALUE"""),"Anatomy of a Murder")</f>
        <v>Anatomy of a Murder</v>
      </c>
      <c r="R1753" s="5" t="str">
        <f>IFERROR(__xludf.DUMMYFUNCTION("""COMPUTED_VALUE"""),"Arthur O'Connell")</f>
        <v>Arthur O'Connell</v>
      </c>
      <c r="S1753" s="5" t="str">
        <f>IFERROR(__xludf.DUMMYFUNCTION("""COMPUTED_VALUE"""),"Estrela 4")</f>
        <v>Estrela 4</v>
      </c>
    </row>
    <row r="1754">
      <c r="G1754" s="5" t="str">
        <f>IFERROR(__xludf.DUMMYFUNCTION("""COMPUTED_VALUE"""),"439🤙🏼Touch of Evil🤙🏼Charlton Heston🤙🏼Estrela 1")</f>
        <v>439🤙🏼Touch of Evil🤙🏼Charlton Heston🤙🏼Estrela 1</v>
      </c>
      <c r="H1754" s="5">
        <f>IFERROR(__xludf.DUMMYFUNCTION("SPLiT(G1754, ""🤙🏼"",FALSE,FALSE)"),439.0)</f>
        <v>439</v>
      </c>
      <c r="I1754" s="5" t="str">
        <f>IFERROR(__xludf.DUMMYFUNCTION("""COMPUTED_VALUE"""),"Touch of Evil")</f>
        <v>Touch of Evil</v>
      </c>
      <c r="J1754" s="5" t="str">
        <f>IFERROR(__xludf.DUMMYFUNCTION("""COMPUTED_VALUE"""),"Charlton Heston")</f>
        <v>Charlton Heston</v>
      </c>
      <c r="K1754" s="5" t="str">
        <f>IFERROR(__xludf.DUMMYFUNCTION("""COMPUTED_VALUE"""),"Estrela 1")</f>
        <v>Estrela 1</v>
      </c>
      <c r="P1754" s="5">
        <f>IFERROR(__xludf.DUMMYFUNCTION("""COMPUTED_VALUE"""),439.0)</f>
        <v>439</v>
      </c>
      <c r="Q1754" s="5" t="str">
        <f>IFERROR(__xludf.DUMMYFUNCTION("""COMPUTED_VALUE"""),"Touch of Evil")</f>
        <v>Touch of Evil</v>
      </c>
      <c r="R1754" s="5" t="str">
        <f>IFERROR(__xludf.DUMMYFUNCTION("""COMPUTED_VALUE"""),"Charlton Heston")</f>
        <v>Charlton Heston</v>
      </c>
      <c r="S1754" s="5" t="str">
        <f>IFERROR(__xludf.DUMMYFUNCTION("""COMPUTED_VALUE"""),"Estrela 1")</f>
        <v>Estrela 1</v>
      </c>
    </row>
    <row r="1755">
      <c r="G1755" s="5" t="str">
        <f>IFERROR(__xludf.DUMMYFUNCTION("""COMPUTED_VALUE"""),"439🤙🏼Touch of Evil🤙🏼Orson Welles🤙🏼Estrela 2")</f>
        <v>439🤙🏼Touch of Evil🤙🏼Orson Welles🤙🏼Estrela 2</v>
      </c>
      <c r="H1755" s="5">
        <f>IFERROR(__xludf.DUMMYFUNCTION("SPLiT(G1755, ""🤙🏼"",FALSE,FALSE)"),439.0)</f>
        <v>439</v>
      </c>
      <c r="I1755" s="5" t="str">
        <f>IFERROR(__xludf.DUMMYFUNCTION("""COMPUTED_VALUE"""),"Touch of Evil")</f>
        <v>Touch of Evil</v>
      </c>
      <c r="J1755" s="5" t="str">
        <f>IFERROR(__xludf.DUMMYFUNCTION("""COMPUTED_VALUE"""),"Orson Welles")</f>
        <v>Orson Welles</v>
      </c>
      <c r="K1755" s="5" t="str">
        <f>IFERROR(__xludf.DUMMYFUNCTION("""COMPUTED_VALUE"""),"Estrela 2")</f>
        <v>Estrela 2</v>
      </c>
      <c r="P1755" s="5">
        <f>IFERROR(__xludf.DUMMYFUNCTION("""COMPUTED_VALUE"""),439.0)</f>
        <v>439</v>
      </c>
      <c r="Q1755" s="5" t="str">
        <f>IFERROR(__xludf.DUMMYFUNCTION("""COMPUTED_VALUE"""),"Touch of Evil")</f>
        <v>Touch of Evil</v>
      </c>
      <c r="R1755" s="5" t="str">
        <f>IFERROR(__xludf.DUMMYFUNCTION("""COMPUTED_VALUE"""),"Orson Welles")</f>
        <v>Orson Welles</v>
      </c>
      <c r="S1755" s="5" t="str">
        <f>IFERROR(__xludf.DUMMYFUNCTION("""COMPUTED_VALUE"""),"Estrela 2")</f>
        <v>Estrela 2</v>
      </c>
    </row>
    <row r="1756">
      <c r="G1756" s="5" t="str">
        <f>IFERROR(__xludf.DUMMYFUNCTION("""COMPUTED_VALUE"""),"439🤙🏼Touch of Evil🤙🏼Janet Leigh🤙🏼Estrela 3")</f>
        <v>439🤙🏼Touch of Evil🤙🏼Janet Leigh🤙🏼Estrela 3</v>
      </c>
      <c r="H1756" s="5">
        <f>IFERROR(__xludf.DUMMYFUNCTION("SPLiT(G1756, ""🤙🏼"",FALSE,FALSE)"),439.0)</f>
        <v>439</v>
      </c>
      <c r="I1756" s="5" t="str">
        <f>IFERROR(__xludf.DUMMYFUNCTION("""COMPUTED_VALUE"""),"Touch of Evil")</f>
        <v>Touch of Evil</v>
      </c>
      <c r="J1756" s="5" t="str">
        <f>IFERROR(__xludf.DUMMYFUNCTION("""COMPUTED_VALUE"""),"Janet Leigh")</f>
        <v>Janet Leigh</v>
      </c>
      <c r="K1756" s="5" t="str">
        <f>IFERROR(__xludf.DUMMYFUNCTION("""COMPUTED_VALUE"""),"Estrela 3")</f>
        <v>Estrela 3</v>
      </c>
      <c r="P1756" s="5">
        <f>IFERROR(__xludf.DUMMYFUNCTION("""COMPUTED_VALUE"""),439.0)</f>
        <v>439</v>
      </c>
      <c r="Q1756" s="5" t="str">
        <f>IFERROR(__xludf.DUMMYFUNCTION("""COMPUTED_VALUE"""),"Touch of Evil")</f>
        <v>Touch of Evil</v>
      </c>
      <c r="R1756" s="5" t="str">
        <f>IFERROR(__xludf.DUMMYFUNCTION("""COMPUTED_VALUE"""),"Janet Leigh")</f>
        <v>Janet Leigh</v>
      </c>
      <c r="S1756" s="5" t="str">
        <f>IFERROR(__xludf.DUMMYFUNCTION("""COMPUTED_VALUE"""),"Estrela 3")</f>
        <v>Estrela 3</v>
      </c>
    </row>
    <row r="1757">
      <c r="G1757" s="5" t="str">
        <f>IFERROR(__xludf.DUMMYFUNCTION("""COMPUTED_VALUE"""),"439🤙🏼Touch of Evil🤙🏼Joseph Calleia🤙🏼Estrela 4")</f>
        <v>439🤙🏼Touch of Evil🤙🏼Joseph Calleia🤙🏼Estrela 4</v>
      </c>
      <c r="H1757" s="5">
        <f>IFERROR(__xludf.DUMMYFUNCTION("SPLiT(G1757, ""🤙🏼"",FALSE,FALSE)"),439.0)</f>
        <v>439</v>
      </c>
      <c r="I1757" s="5" t="str">
        <f>IFERROR(__xludf.DUMMYFUNCTION("""COMPUTED_VALUE"""),"Touch of Evil")</f>
        <v>Touch of Evil</v>
      </c>
      <c r="J1757" s="5" t="str">
        <f>IFERROR(__xludf.DUMMYFUNCTION("""COMPUTED_VALUE"""),"Joseph Calleia")</f>
        <v>Joseph Calleia</v>
      </c>
      <c r="K1757" s="5" t="str">
        <f>IFERROR(__xludf.DUMMYFUNCTION("""COMPUTED_VALUE"""),"Estrela 4")</f>
        <v>Estrela 4</v>
      </c>
      <c r="P1757" s="5">
        <f>IFERROR(__xludf.DUMMYFUNCTION("""COMPUTED_VALUE"""),439.0)</f>
        <v>439</v>
      </c>
      <c r="Q1757" s="5" t="str">
        <f>IFERROR(__xludf.DUMMYFUNCTION("""COMPUTED_VALUE"""),"Touch of Evil")</f>
        <v>Touch of Evil</v>
      </c>
      <c r="R1757" s="5" t="str">
        <f>IFERROR(__xludf.DUMMYFUNCTION("""COMPUTED_VALUE"""),"Joseph Calleia")</f>
        <v>Joseph Calleia</v>
      </c>
      <c r="S1757" s="5" t="str">
        <f>IFERROR(__xludf.DUMMYFUNCTION("""COMPUTED_VALUE"""),"Estrela 4")</f>
        <v>Estrela 4</v>
      </c>
    </row>
    <row r="1758">
      <c r="G1758" s="5" t="str">
        <f>IFERROR(__xludf.DUMMYFUNCTION("""COMPUTED_VALUE"""),"440🤙🏼Cat on a Hot Tin Roof🤙🏼Elizabeth Taylor🤙🏼Estrela 1")</f>
        <v>440🤙🏼Cat on a Hot Tin Roof🤙🏼Elizabeth Taylor🤙🏼Estrela 1</v>
      </c>
      <c r="H1758" s="5">
        <f>IFERROR(__xludf.DUMMYFUNCTION("SPLiT(G1758, ""🤙🏼"",FALSE,FALSE)"),440.0)</f>
        <v>440</v>
      </c>
      <c r="I1758" s="5" t="str">
        <f>IFERROR(__xludf.DUMMYFUNCTION("""COMPUTED_VALUE"""),"Cat on a Hot Tin Roof")</f>
        <v>Cat on a Hot Tin Roof</v>
      </c>
      <c r="J1758" s="5" t="str">
        <f>IFERROR(__xludf.DUMMYFUNCTION("""COMPUTED_VALUE"""),"Elizabeth Taylor")</f>
        <v>Elizabeth Taylor</v>
      </c>
      <c r="K1758" s="5" t="str">
        <f>IFERROR(__xludf.DUMMYFUNCTION("""COMPUTED_VALUE"""),"Estrela 1")</f>
        <v>Estrela 1</v>
      </c>
      <c r="P1758" s="5">
        <f>IFERROR(__xludf.DUMMYFUNCTION("""COMPUTED_VALUE"""),440.0)</f>
        <v>440</v>
      </c>
      <c r="Q1758" s="5" t="str">
        <f>IFERROR(__xludf.DUMMYFUNCTION("""COMPUTED_VALUE"""),"Cat on a Hot Tin Roof")</f>
        <v>Cat on a Hot Tin Roof</v>
      </c>
      <c r="R1758" s="5" t="str">
        <f>IFERROR(__xludf.DUMMYFUNCTION("""COMPUTED_VALUE"""),"Elizabeth Taylor")</f>
        <v>Elizabeth Taylor</v>
      </c>
      <c r="S1758" s="5" t="str">
        <f>IFERROR(__xludf.DUMMYFUNCTION("""COMPUTED_VALUE"""),"Estrela 1")</f>
        <v>Estrela 1</v>
      </c>
    </row>
    <row r="1759">
      <c r="G1759" s="5" t="str">
        <f>IFERROR(__xludf.DUMMYFUNCTION("""COMPUTED_VALUE"""),"440🤙🏼Cat on a Hot Tin Roof🤙🏼Paul Newman🤙🏼Estrela 2")</f>
        <v>440🤙🏼Cat on a Hot Tin Roof🤙🏼Paul Newman🤙🏼Estrela 2</v>
      </c>
      <c r="H1759" s="5">
        <f>IFERROR(__xludf.DUMMYFUNCTION("SPLiT(G1759, ""🤙🏼"",FALSE,FALSE)"),440.0)</f>
        <v>440</v>
      </c>
      <c r="I1759" s="5" t="str">
        <f>IFERROR(__xludf.DUMMYFUNCTION("""COMPUTED_VALUE"""),"Cat on a Hot Tin Roof")</f>
        <v>Cat on a Hot Tin Roof</v>
      </c>
      <c r="J1759" s="5" t="str">
        <f>IFERROR(__xludf.DUMMYFUNCTION("""COMPUTED_VALUE"""),"Paul Newman")</f>
        <v>Paul Newman</v>
      </c>
      <c r="K1759" s="5" t="str">
        <f>IFERROR(__xludf.DUMMYFUNCTION("""COMPUTED_VALUE"""),"Estrela 2")</f>
        <v>Estrela 2</v>
      </c>
      <c r="P1759" s="5">
        <f>IFERROR(__xludf.DUMMYFUNCTION("""COMPUTED_VALUE"""),440.0)</f>
        <v>440</v>
      </c>
      <c r="Q1759" s="5" t="str">
        <f>IFERROR(__xludf.DUMMYFUNCTION("""COMPUTED_VALUE"""),"Cat on a Hot Tin Roof")</f>
        <v>Cat on a Hot Tin Roof</v>
      </c>
      <c r="R1759" s="5" t="str">
        <f>IFERROR(__xludf.DUMMYFUNCTION("""COMPUTED_VALUE"""),"Paul Newman")</f>
        <v>Paul Newman</v>
      </c>
      <c r="S1759" s="5" t="str">
        <f>IFERROR(__xludf.DUMMYFUNCTION("""COMPUTED_VALUE"""),"Estrela 2")</f>
        <v>Estrela 2</v>
      </c>
    </row>
    <row r="1760">
      <c r="G1760" s="5" t="str">
        <f>IFERROR(__xludf.DUMMYFUNCTION("""COMPUTED_VALUE"""),"440🤙🏼Cat on a Hot Tin Roof🤙🏼Burl Ives🤙🏼Estrela 3")</f>
        <v>440🤙🏼Cat on a Hot Tin Roof🤙🏼Burl Ives🤙🏼Estrela 3</v>
      </c>
      <c r="H1760" s="5">
        <f>IFERROR(__xludf.DUMMYFUNCTION("SPLiT(G1760, ""🤙🏼"",FALSE,FALSE)"),440.0)</f>
        <v>440</v>
      </c>
      <c r="I1760" s="5" t="str">
        <f>IFERROR(__xludf.DUMMYFUNCTION("""COMPUTED_VALUE"""),"Cat on a Hot Tin Roof")</f>
        <v>Cat on a Hot Tin Roof</v>
      </c>
      <c r="J1760" s="5" t="str">
        <f>IFERROR(__xludf.DUMMYFUNCTION("""COMPUTED_VALUE"""),"Burl Ives")</f>
        <v>Burl Ives</v>
      </c>
      <c r="K1760" s="5" t="str">
        <f>IFERROR(__xludf.DUMMYFUNCTION("""COMPUTED_VALUE"""),"Estrela 3")</f>
        <v>Estrela 3</v>
      </c>
      <c r="P1760" s="5">
        <f>IFERROR(__xludf.DUMMYFUNCTION("""COMPUTED_VALUE"""),440.0)</f>
        <v>440</v>
      </c>
      <c r="Q1760" s="5" t="str">
        <f>IFERROR(__xludf.DUMMYFUNCTION("""COMPUTED_VALUE"""),"Cat on a Hot Tin Roof")</f>
        <v>Cat on a Hot Tin Roof</v>
      </c>
      <c r="R1760" s="5" t="str">
        <f>IFERROR(__xludf.DUMMYFUNCTION("""COMPUTED_VALUE"""),"Burl Ives")</f>
        <v>Burl Ives</v>
      </c>
      <c r="S1760" s="5" t="str">
        <f>IFERROR(__xludf.DUMMYFUNCTION("""COMPUTED_VALUE"""),"Estrela 3")</f>
        <v>Estrela 3</v>
      </c>
    </row>
    <row r="1761">
      <c r="G1761" s="5" t="str">
        <f>IFERROR(__xludf.DUMMYFUNCTION("""COMPUTED_VALUE"""),"440🤙🏼Cat on a Hot Tin Roof🤙🏼Jack Carson🤙🏼Estrela 4")</f>
        <v>440🤙🏼Cat on a Hot Tin Roof🤙🏼Jack Carson🤙🏼Estrela 4</v>
      </c>
      <c r="H1761" s="5">
        <f>IFERROR(__xludf.DUMMYFUNCTION("SPLiT(G1761, ""🤙🏼"",FALSE,FALSE)"),440.0)</f>
        <v>440</v>
      </c>
      <c r="I1761" s="5" t="str">
        <f>IFERROR(__xludf.DUMMYFUNCTION("""COMPUTED_VALUE"""),"Cat on a Hot Tin Roof")</f>
        <v>Cat on a Hot Tin Roof</v>
      </c>
      <c r="J1761" s="5" t="str">
        <f>IFERROR(__xludf.DUMMYFUNCTION("""COMPUTED_VALUE"""),"Jack Carson")</f>
        <v>Jack Carson</v>
      </c>
      <c r="K1761" s="5" t="str">
        <f>IFERROR(__xludf.DUMMYFUNCTION("""COMPUTED_VALUE"""),"Estrela 4")</f>
        <v>Estrela 4</v>
      </c>
      <c r="P1761" s="5">
        <f>IFERROR(__xludf.DUMMYFUNCTION("""COMPUTED_VALUE"""),440.0)</f>
        <v>440</v>
      </c>
      <c r="Q1761" s="5" t="str">
        <f>IFERROR(__xludf.DUMMYFUNCTION("""COMPUTED_VALUE"""),"Cat on a Hot Tin Roof")</f>
        <v>Cat on a Hot Tin Roof</v>
      </c>
      <c r="R1761" s="5" t="str">
        <f>IFERROR(__xludf.DUMMYFUNCTION("""COMPUTED_VALUE"""),"Jack Carson")</f>
        <v>Jack Carson</v>
      </c>
      <c r="S1761" s="5" t="str">
        <f>IFERROR(__xludf.DUMMYFUNCTION("""COMPUTED_VALUE"""),"Estrela 4")</f>
        <v>Estrela 4</v>
      </c>
    </row>
    <row r="1762">
      <c r="G1762" s="5" t="str">
        <f>IFERROR(__xludf.DUMMYFUNCTION("""COMPUTED_VALUE"""),"441🤙🏼Sweet Smell of Success🤙🏼Burt Lancaster🤙🏼Estrela 1")</f>
        <v>441🤙🏼Sweet Smell of Success🤙🏼Burt Lancaster🤙🏼Estrela 1</v>
      </c>
      <c r="H1762" s="5">
        <f>IFERROR(__xludf.DUMMYFUNCTION("SPLiT(G1762, ""🤙🏼"",FALSE,FALSE)"),441.0)</f>
        <v>441</v>
      </c>
      <c r="I1762" s="5" t="str">
        <f>IFERROR(__xludf.DUMMYFUNCTION("""COMPUTED_VALUE"""),"Sweet Smell of Success")</f>
        <v>Sweet Smell of Success</v>
      </c>
      <c r="J1762" s="5" t="str">
        <f>IFERROR(__xludf.DUMMYFUNCTION("""COMPUTED_VALUE"""),"Burt Lancaster")</f>
        <v>Burt Lancaster</v>
      </c>
      <c r="K1762" s="5" t="str">
        <f>IFERROR(__xludf.DUMMYFUNCTION("""COMPUTED_VALUE"""),"Estrela 1")</f>
        <v>Estrela 1</v>
      </c>
      <c r="P1762" s="5">
        <f>IFERROR(__xludf.DUMMYFUNCTION("""COMPUTED_VALUE"""),441.0)</f>
        <v>441</v>
      </c>
      <c r="Q1762" s="5" t="str">
        <f>IFERROR(__xludf.DUMMYFUNCTION("""COMPUTED_VALUE"""),"Sweet Smell of Success")</f>
        <v>Sweet Smell of Success</v>
      </c>
      <c r="R1762" s="5" t="str">
        <f>IFERROR(__xludf.DUMMYFUNCTION("""COMPUTED_VALUE"""),"Burt Lancaster")</f>
        <v>Burt Lancaster</v>
      </c>
      <c r="S1762" s="5" t="str">
        <f>IFERROR(__xludf.DUMMYFUNCTION("""COMPUTED_VALUE"""),"Estrela 1")</f>
        <v>Estrela 1</v>
      </c>
    </row>
    <row r="1763">
      <c r="G1763" s="5" t="str">
        <f>IFERROR(__xludf.DUMMYFUNCTION("""COMPUTED_VALUE"""),"441🤙🏼Sweet Smell of Success🤙🏼Tony Curtis🤙🏼Estrela 2")</f>
        <v>441🤙🏼Sweet Smell of Success🤙🏼Tony Curtis🤙🏼Estrela 2</v>
      </c>
      <c r="H1763" s="5">
        <f>IFERROR(__xludf.DUMMYFUNCTION("SPLiT(G1763, ""🤙🏼"",FALSE,FALSE)"),441.0)</f>
        <v>441</v>
      </c>
      <c r="I1763" s="5" t="str">
        <f>IFERROR(__xludf.DUMMYFUNCTION("""COMPUTED_VALUE"""),"Sweet Smell of Success")</f>
        <v>Sweet Smell of Success</v>
      </c>
      <c r="J1763" s="5" t="str">
        <f>IFERROR(__xludf.DUMMYFUNCTION("""COMPUTED_VALUE"""),"Tony Curtis")</f>
        <v>Tony Curtis</v>
      </c>
      <c r="K1763" s="5" t="str">
        <f>IFERROR(__xludf.DUMMYFUNCTION("""COMPUTED_VALUE"""),"Estrela 2")</f>
        <v>Estrela 2</v>
      </c>
      <c r="P1763" s="5">
        <f>IFERROR(__xludf.DUMMYFUNCTION("""COMPUTED_VALUE"""),441.0)</f>
        <v>441</v>
      </c>
      <c r="Q1763" s="5" t="str">
        <f>IFERROR(__xludf.DUMMYFUNCTION("""COMPUTED_VALUE"""),"Sweet Smell of Success")</f>
        <v>Sweet Smell of Success</v>
      </c>
      <c r="R1763" s="5" t="str">
        <f>IFERROR(__xludf.DUMMYFUNCTION("""COMPUTED_VALUE"""),"Tony Curtis")</f>
        <v>Tony Curtis</v>
      </c>
      <c r="S1763" s="5" t="str">
        <f>IFERROR(__xludf.DUMMYFUNCTION("""COMPUTED_VALUE"""),"Estrela 2")</f>
        <v>Estrela 2</v>
      </c>
    </row>
    <row r="1764">
      <c r="G1764" s="5" t="str">
        <f>IFERROR(__xludf.DUMMYFUNCTION("""COMPUTED_VALUE"""),"441🤙🏼Sweet Smell of Success🤙🏼Susan Harrison🤙🏼Estrela 3")</f>
        <v>441🤙🏼Sweet Smell of Success🤙🏼Susan Harrison🤙🏼Estrela 3</v>
      </c>
      <c r="H1764" s="5">
        <f>IFERROR(__xludf.DUMMYFUNCTION("SPLiT(G1764, ""🤙🏼"",FALSE,FALSE)"),441.0)</f>
        <v>441</v>
      </c>
      <c r="I1764" s="5" t="str">
        <f>IFERROR(__xludf.DUMMYFUNCTION("""COMPUTED_VALUE"""),"Sweet Smell of Success")</f>
        <v>Sweet Smell of Success</v>
      </c>
      <c r="J1764" s="5" t="str">
        <f>IFERROR(__xludf.DUMMYFUNCTION("""COMPUTED_VALUE"""),"Susan Harrison")</f>
        <v>Susan Harrison</v>
      </c>
      <c r="K1764" s="5" t="str">
        <f>IFERROR(__xludf.DUMMYFUNCTION("""COMPUTED_VALUE"""),"Estrela 3")</f>
        <v>Estrela 3</v>
      </c>
      <c r="P1764" s="5">
        <f>IFERROR(__xludf.DUMMYFUNCTION("""COMPUTED_VALUE"""),441.0)</f>
        <v>441</v>
      </c>
      <c r="Q1764" s="5" t="str">
        <f>IFERROR(__xludf.DUMMYFUNCTION("""COMPUTED_VALUE"""),"Sweet Smell of Success")</f>
        <v>Sweet Smell of Success</v>
      </c>
      <c r="R1764" s="5" t="str">
        <f>IFERROR(__xludf.DUMMYFUNCTION("""COMPUTED_VALUE"""),"Susan Harrison")</f>
        <v>Susan Harrison</v>
      </c>
      <c r="S1764" s="5" t="str">
        <f>IFERROR(__xludf.DUMMYFUNCTION("""COMPUTED_VALUE"""),"Estrela 3")</f>
        <v>Estrela 3</v>
      </c>
    </row>
    <row r="1765">
      <c r="G1765" s="5" t="str">
        <f>IFERROR(__xludf.DUMMYFUNCTION("""COMPUTED_VALUE"""),"441🤙🏼Sweet Smell of Success🤙🏼Martin Milner🤙🏼Estrela 4")</f>
        <v>441🤙🏼Sweet Smell of Success🤙🏼Martin Milner🤙🏼Estrela 4</v>
      </c>
      <c r="H1765" s="5">
        <f>IFERROR(__xludf.DUMMYFUNCTION("SPLiT(G1765, ""🤙🏼"",FALSE,FALSE)"),441.0)</f>
        <v>441</v>
      </c>
      <c r="I1765" s="5" t="str">
        <f>IFERROR(__xludf.DUMMYFUNCTION("""COMPUTED_VALUE"""),"Sweet Smell of Success")</f>
        <v>Sweet Smell of Success</v>
      </c>
      <c r="J1765" s="5" t="str">
        <f>IFERROR(__xludf.DUMMYFUNCTION("""COMPUTED_VALUE"""),"Martin Milner")</f>
        <v>Martin Milner</v>
      </c>
      <c r="K1765" s="5" t="str">
        <f>IFERROR(__xludf.DUMMYFUNCTION("""COMPUTED_VALUE"""),"Estrela 4")</f>
        <v>Estrela 4</v>
      </c>
      <c r="P1765" s="5">
        <f>IFERROR(__xludf.DUMMYFUNCTION("""COMPUTED_VALUE"""),441.0)</f>
        <v>441</v>
      </c>
      <c r="Q1765" s="5" t="str">
        <f>IFERROR(__xludf.DUMMYFUNCTION("""COMPUTED_VALUE"""),"Sweet Smell of Success")</f>
        <v>Sweet Smell of Success</v>
      </c>
      <c r="R1765" s="5" t="str">
        <f>IFERROR(__xludf.DUMMYFUNCTION("""COMPUTED_VALUE"""),"Martin Milner")</f>
        <v>Martin Milner</v>
      </c>
      <c r="S1765" s="5" t="str">
        <f>IFERROR(__xludf.DUMMYFUNCTION("""COMPUTED_VALUE"""),"Estrela 4")</f>
        <v>Estrela 4</v>
      </c>
    </row>
    <row r="1766">
      <c r="G1766" s="5" t="str">
        <f>IFERROR(__xludf.DUMMYFUNCTION("""COMPUTED_VALUE"""),"442🤙🏼The Killing🤙🏼Sterling Hayden🤙🏼Estrela 1")</f>
        <v>442🤙🏼The Killing🤙🏼Sterling Hayden🤙🏼Estrela 1</v>
      </c>
      <c r="H1766" s="5">
        <f>IFERROR(__xludf.DUMMYFUNCTION("SPLiT(G1766, ""🤙🏼"",FALSE,FALSE)"),442.0)</f>
        <v>442</v>
      </c>
      <c r="I1766" s="5" t="str">
        <f>IFERROR(__xludf.DUMMYFUNCTION("""COMPUTED_VALUE"""),"The Killing")</f>
        <v>The Killing</v>
      </c>
      <c r="J1766" s="5" t="str">
        <f>IFERROR(__xludf.DUMMYFUNCTION("""COMPUTED_VALUE"""),"Sterling Hayden")</f>
        <v>Sterling Hayden</v>
      </c>
      <c r="K1766" s="5" t="str">
        <f>IFERROR(__xludf.DUMMYFUNCTION("""COMPUTED_VALUE"""),"Estrela 1")</f>
        <v>Estrela 1</v>
      </c>
      <c r="P1766" s="5">
        <f>IFERROR(__xludf.DUMMYFUNCTION("""COMPUTED_VALUE"""),442.0)</f>
        <v>442</v>
      </c>
      <c r="Q1766" s="5" t="str">
        <f>IFERROR(__xludf.DUMMYFUNCTION("""COMPUTED_VALUE"""),"The Killing")</f>
        <v>The Killing</v>
      </c>
      <c r="R1766" s="5" t="str">
        <f>IFERROR(__xludf.DUMMYFUNCTION("""COMPUTED_VALUE"""),"Sterling Hayden")</f>
        <v>Sterling Hayden</v>
      </c>
      <c r="S1766" s="5" t="str">
        <f>IFERROR(__xludf.DUMMYFUNCTION("""COMPUTED_VALUE"""),"Estrela 1")</f>
        <v>Estrela 1</v>
      </c>
    </row>
    <row r="1767">
      <c r="G1767" s="5" t="str">
        <f>IFERROR(__xludf.DUMMYFUNCTION("""COMPUTED_VALUE"""),"442🤙🏼The Killing🤙🏼Coleen Gray🤙🏼Estrela 2")</f>
        <v>442🤙🏼The Killing🤙🏼Coleen Gray🤙🏼Estrela 2</v>
      </c>
      <c r="H1767" s="5">
        <f>IFERROR(__xludf.DUMMYFUNCTION("SPLiT(G1767, ""🤙🏼"",FALSE,FALSE)"),442.0)</f>
        <v>442</v>
      </c>
      <c r="I1767" s="5" t="str">
        <f>IFERROR(__xludf.DUMMYFUNCTION("""COMPUTED_VALUE"""),"The Killing")</f>
        <v>The Killing</v>
      </c>
      <c r="J1767" s="5" t="str">
        <f>IFERROR(__xludf.DUMMYFUNCTION("""COMPUTED_VALUE"""),"Coleen Gray")</f>
        <v>Coleen Gray</v>
      </c>
      <c r="K1767" s="5" t="str">
        <f>IFERROR(__xludf.DUMMYFUNCTION("""COMPUTED_VALUE"""),"Estrela 2")</f>
        <v>Estrela 2</v>
      </c>
      <c r="P1767" s="5">
        <f>IFERROR(__xludf.DUMMYFUNCTION("""COMPUTED_VALUE"""),442.0)</f>
        <v>442</v>
      </c>
      <c r="Q1767" s="5" t="str">
        <f>IFERROR(__xludf.DUMMYFUNCTION("""COMPUTED_VALUE"""),"The Killing")</f>
        <v>The Killing</v>
      </c>
      <c r="R1767" s="5" t="str">
        <f>IFERROR(__xludf.DUMMYFUNCTION("""COMPUTED_VALUE"""),"Coleen Gray")</f>
        <v>Coleen Gray</v>
      </c>
      <c r="S1767" s="5" t="str">
        <f>IFERROR(__xludf.DUMMYFUNCTION("""COMPUTED_VALUE"""),"Estrela 2")</f>
        <v>Estrela 2</v>
      </c>
    </row>
    <row r="1768">
      <c r="G1768" s="5" t="str">
        <f>IFERROR(__xludf.DUMMYFUNCTION("""COMPUTED_VALUE"""),"442🤙🏼The Killing🤙🏼Vince Edwards🤙🏼Estrela 3")</f>
        <v>442🤙🏼The Killing🤙🏼Vince Edwards🤙🏼Estrela 3</v>
      </c>
      <c r="H1768" s="5">
        <f>IFERROR(__xludf.DUMMYFUNCTION("SPLiT(G1768, ""🤙🏼"",FALSE,FALSE)"),442.0)</f>
        <v>442</v>
      </c>
      <c r="I1768" s="5" t="str">
        <f>IFERROR(__xludf.DUMMYFUNCTION("""COMPUTED_VALUE"""),"The Killing")</f>
        <v>The Killing</v>
      </c>
      <c r="J1768" s="5" t="str">
        <f>IFERROR(__xludf.DUMMYFUNCTION("""COMPUTED_VALUE"""),"Vince Edwards")</f>
        <v>Vince Edwards</v>
      </c>
      <c r="K1768" s="5" t="str">
        <f>IFERROR(__xludf.DUMMYFUNCTION("""COMPUTED_VALUE"""),"Estrela 3")</f>
        <v>Estrela 3</v>
      </c>
      <c r="P1768" s="5">
        <f>IFERROR(__xludf.DUMMYFUNCTION("""COMPUTED_VALUE"""),442.0)</f>
        <v>442</v>
      </c>
      <c r="Q1768" s="5" t="str">
        <f>IFERROR(__xludf.DUMMYFUNCTION("""COMPUTED_VALUE"""),"The Killing")</f>
        <v>The Killing</v>
      </c>
      <c r="R1768" s="5" t="str">
        <f>IFERROR(__xludf.DUMMYFUNCTION("""COMPUTED_VALUE"""),"Vince Edwards")</f>
        <v>Vince Edwards</v>
      </c>
      <c r="S1768" s="5" t="str">
        <f>IFERROR(__xludf.DUMMYFUNCTION("""COMPUTED_VALUE"""),"Estrela 3")</f>
        <v>Estrela 3</v>
      </c>
    </row>
    <row r="1769">
      <c r="G1769" s="5" t="str">
        <f>IFERROR(__xludf.DUMMYFUNCTION("""COMPUTED_VALUE"""),"442🤙🏼The Killing🤙🏼Jay C. Flippen🤙🏼Estrela 4")</f>
        <v>442🤙🏼The Killing🤙🏼Jay C. Flippen🤙🏼Estrela 4</v>
      </c>
      <c r="H1769" s="5">
        <f>IFERROR(__xludf.DUMMYFUNCTION("SPLiT(G1769, ""🤙🏼"",FALSE,FALSE)"),442.0)</f>
        <v>442</v>
      </c>
      <c r="I1769" s="5" t="str">
        <f>IFERROR(__xludf.DUMMYFUNCTION("""COMPUTED_VALUE"""),"The Killing")</f>
        <v>The Killing</v>
      </c>
      <c r="J1769" s="5" t="str">
        <f>IFERROR(__xludf.DUMMYFUNCTION("""COMPUTED_VALUE"""),"Jay C. Flippen")</f>
        <v>Jay C. Flippen</v>
      </c>
      <c r="K1769" s="5" t="str">
        <f>IFERROR(__xludf.DUMMYFUNCTION("""COMPUTED_VALUE"""),"Estrela 4")</f>
        <v>Estrela 4</v>
      </c>
      <c r="P1769" s="5">
        <f>IFERROR(__xludf.DUMMYFUNCTION("""COMPUTED_VALUE"""),442.0)</f>
        <v>442</v>
      </c>
      <c r="Q1769" s="5" t="str">
        <f>IFERROR(__xludf.DUMMYFUNCTION("""COMPUTED_VALUE"""),"The Killing")</f>
        <v>The Killing</v>
      </c>
      <c r="R1769" s="5" t="str">
        <f>IFERROR(__xludf.DUMMYFUNCTION("""COMPUTED_VALUE"""),"Jay C. Flippen")</f>
        <v>Jay C. Flippen</v>
      </c>
      <c r="S1769" s="5" t="str">
        <f>IFERROR(__xludf.DUMMYFUNCTION("""COMPUTED_VALUE"""),"Estrela 4")</f>
        <v>Estrela 4</v>
      </c>
    </row>
    <row r="1770">
      <c r="G1770" s="5" t="str">
        <f>IFERROR(__xludf.DUMMYFUNCTION("""COMPUTED_VALUE"""),"443🤙🏼The Night of the Hunter🤙🏼Robert Mitchum🤙🏼Estrela 1")</f>
        <v>443🤙🏼The Night of the Hunter🤙🏼Robert Mitchum🤙🏼Estrela 1</v>
      </c>
      <c r="H1770" s="5">
        <f>IFERROR(__xludf.DUMMYFUNCTION("SPLiT(G1770, ""🤙🏼"",FALSE,FALSE)"),443.0)</f>
        <v>443</v>
      </c>
      <c r="I1770" s="5" t="str">
        <f>IFERROR(__xludf.DUMMYFUNCTION("""COMPUTED_VALUE"""),"The Night of the Hunter")</f>
        <v>The Night of the Hunter</v>
      </c>
      <c r="J1770" s="5" t="str">
        <f>IFERROR(__xludf.DUMMYFUNCTION("""COMPUTED_VALUE"""),"Robert Mitchum")</f>
        <v>Robert Mitchum</v>
      </c>
      <c r="K1770" s="5" t="str">
        <f>IFERROR(__xludf.DUMMYFUNCTION("""COMPUTED_VALUE"""),"Estrela 1")</f>
        <v>Estrela 1</v>
      </c>
      <c r="P1770" s="5">
        <f>IFERROR(__xludf.DUMMYFUNCTION("""COMPUTED_VALUE"""),443.0)</f>
        <v>443</v>
      </c>
      <c r="Q1770" s="5" t="str">
        <f>IFERROR(__xludf.DUMMYFUNCTION("""COMPUTED_VALUE"""),"The Night of the Hunter")</f>
        <v>The Night of the Hunter</v>
      </c>
      <c r="R1770" s="5" t="str">
        <f>IFERROR(__xludf.DUMMYFUNCTION("""COMPUTED_VALUE"""),"Robert Mitchum")</f>
        <v>Robert Mitchum</v>
      </c>
      <c r="S1770" s="5" t="str">
        <f>IFERROR(__xludf.DUMMYFUNCTION("""COMPUTED_VALUE"""),"Estrela 1")</f>
        <v>Estrela 1</v>
      </c>
    </row>
    <row r="1771">
      <c r="G1771" s="5" t="str">
        <f>IFERROR(__xludf.DUMMYFUNCTION("""COMPUTED_VALUE"""),"443🤙🏼The Night of the Hunter🤙🏼Shelley Winters🤙🏼Estrela 2")</f>
        <v>443🤙🏼The Night of the Hunter🤙🏼Shelley Winters🤙🏼Estrela 2</v>
      </c>
      <c r="H1771" s="5">
        <f>IFERROR(__xludf.DUMMYFUNCTION("SPLiT(G1771, ""🤙🏼"",FALSE,FALSE)"),443.0)</f>
        <v>443</v>
      </c>
      <c r="I1771" s="5" t="str">
        <f>IFERROR(__xludf.DUMMYFUNCTION("""COMPUTED_VALUE"""),"The Night of the Hunter")</f>
        <v>The Night of the Hunter</v>
      </c>
      <c r="J1771" s="5" t="str">
        <f>IFERROR(__xludf.DUMMYFUNCTION("""COMPUTED_VALUE"""),"Shelley Winters")</f>
        <v>Shelley Winters</v>
      </c>
      <c r="K1771" s="5" t="str">
        <f>IFERROR(__xludf.DUMMYFUNCTION("""COMPUTED_VALUE"""),"Estrela 2")</f>
        <v>Estrela 2</v>
      </c>
      <c r="P1771" s="5">
        <f>IFERROR(__xludf.DUMMYFUNCTION("""COMPUTED_VALUE"""),443.0)</f>
        <v>443</v>
      </c>
      <c r="Q1771" s="5" t="str">
        <f>IFERROR(__xludf.DUMMYFUNCTION("""COMPUTED_VALUE"""),"The Night of the Hunter")</f>
        <v>The Night of the Hunter</v>
      </c>
      <c r="R1771" s="5" t="str">
        <f>IFERROR(__xludf.DUMMYFUNCTION("""COMPUTED_VALUE"""),"Shelley Winters")</f>
        <v>Shelley Winters</v>
      </c>
      <c r="S1771" s="5" t="str">
        <f>IFERROR(__xludf.DUMMYFUNCTION("""COMPUTED_VALUE"""),"Estrela 2")</f>
        <v>Estrela 2</v>
      </c>
    </row>
    <row r="1772">
      <c r="G1772" s="5" t="str">
        <f>IFERROR(__xludf.DUMMYFUNCTION("""COMPUTED_VALUE"""),"443🤙🏼The Night of the Hunter🤙🏼Lillian Gish🤙🏼Estrela 3")</f>
        <v>443🤙🏼The Night of the Hunter🤙🏼Lillian Gish🤙🏼Estrela 3</v>
      </c>
      <c r="H1772" s="5">
        <f>IFERROR(__xludf.DUMMYFUNCTION("SPLiT(G1772, ""🤙🏼"",FALSE,FALSE)"),443.0)</f>
        <v>443</v>
      </c>
      <c r="I1772" s="5" t="str">
        <f>IFERROR(__xludf.DUMMYFUNCTION("""COMPUTED_VALUE"""),"The Night of the Hunter")</f>
        <v>The Night of the Hunter</v>
      </c>
      <c r="J1772" s="5" t="str">
        <f>IFERROR(__xludf.DUMMYFUNCTION("""COMPUTED_VALUE"""),"Lillian Gish")</f>
        <v>Lillian Gish</v>
      </c>
      <c r="K1772" s="5" t="str">
        <f>IFERROR(__xludf.DUMMYFUNCTION("""COMPUTED_VALUE"""),"Estrela 3")</f>
        <v>Estrela 3</v>
      </c>
      <c r="P1772" s="5">
        <f>IFERROR(__xludf.DUMMYFUNCTION("""COMPUTED_VALUE"""),443.0)</f>
        <v>443</v>
      </c>
      <c r="Q1772" s="5" t="str">
        <f>IFERROR(__xludf.DUMMYFUNCTION("""COMPUTED_VALUE"""),"The Night of the Hunter")</f>
        <v>The Night of the Hunter</v>
      </c>
      <c r="R1772" s="5" t="str">
        <f>IFERROR(__xludf.DUMMYFUNCTION("""COMPUTED_VALUE"""),"Lillian Gish")</f>
        <v>Lillian Gish</v>
      </c>
      <c r="S1772" s="5" t="str">
        <f>IFERROR(__xludf.DUMMYFUNCTION("""COMPUTED_VALUE"""),"Estrela 3")</f>
        <v>Estrela 3</v>
      </c>
    </row>
    <row r="1773">
      <c r="G1773" s="5" t="str">
        <f>IFERROR(__xludf.DUMMYFUNCTION("""COMPUTED_VALUE"""),"443🤙🏼The Night of the Hunter🤙🏼James Gleason🤙🏼Estrela 4")</f>
        <v>443🤙🏼The Night of the Hunter🤙🏼James Gleason🤙🏼Estrela 4</v>
      </c>
      <c r="H1773" s="5">
        <f>IFERROR(__xludf.DUMMYFUNCTION("SPLiT(G1773, ""🤙🏼"",FALSE,FALSE)"),443.0)</f>
        <v>443</v>
      </c>
      <c r="I1773" s="5" t="str">
        <f>IFERROR(__xludf.DUMMYFUNCTION("""COMPUTED_VALUE"""),"The Night of the Hunter")</f>
        <v>The Night of the Hunter</v>
      </c>
      <c r="J1773" s="5" t="str">
        <f>IFERROR(__xludf.DUMMYFUNCTION("""COMPUTED_VALUE"""),"James Gleason")</f>
        <v>James Gleason</v>
      </c>
      <c r="K1773" s="5" t="str">
        <f>IFERROR(__xludf.DUMMYFUNCTION("""COMPUTED_VALUE"""),"Estrela 4")</f>
        <v>Estrela 4</v>
      </c>
      <c r="P1773" s="5">
        <f>IFERROR(__xludf.DUMMYFUNCTION("""COMPUTED_VALUE"""),443.0)</f>
        <v>443</v>
      </c>
      <c r="Q1773" s="5" t="str">
        <f>IFERROR(__xludf.DUMMYFUNCTION("""COMPUTED_VALUE"""),"The Night of the Hunter")</f>
        <v>The Night of the Hunter</v>
      </c>
      <c r="R1773" s="5" t="str">
        <f>IFERROR(__xludf.DUMMYFUNCTION("""COMPUTED_VALUE"""),"James Gleason")</f>
        <v>James Gleason</v>
      </c>
      <c r="S1773" s="5" t="str">
        <f>IFERROR(__xludf.DUMMYFUNCTION("""COMPUTED_VALUE"""),"Estrela 4")</f>
        <v>Estrela 4</v>
      </c>
    </row>
    <row r="1774">
      <c r="G1774" s="5" t="str">
        <f>IFERROR(__xludf.DUMMYFUNCTION("""COMPUTED_VALUE"""),"444🤙🏼La Strada🤙🏼Anthony Quinn🤙🏼Estrela 1")</f>
        <v>444🤙🏼La Strada🤙🏼Anthony Quinn🤙🏼Estrela 1</v>
      </c>
      <c r="H1774" s="5">
        <f>IFERROR(__xludf.DUMMYFUNCTION("SPLiT(G1774, ""🤙🏼"",FALSE,FALSE)"),444.0)</f>
        <v>444</v>
      </c>
      <c r="I1774" s="5" t="str">
        <f>IFERROR(__xludf.DUMMYFUNCTION("""COMPUTED_VALUE"""),"La Strada")</f>
        <v>La Strada</v>
      </c>
      <c r="J1774" s="5" t="str">
        <f>IFERROR(__xludf.DUMMYFUNCTION("""COMPUTED_VALUE"""),"Anthony Quinn")</f>
        <v>Anthony Quinn</v>
      </c>
      <c r="K1774" s="5" t="str">
        <f>IFERROR(__xludf.DUMMYFUNCTION("""COMPUTED_VALUE"""),"Estrela 1")</f>
        <v>Estrela 1</v>
      </c>
      <c r="P1774" s="5">
        <f>IFERROR(__xludf.DUMMYFUNCTION("""COMPUTED_VALUE"""),444.0)</f>
        <v>444</v>
      </c>
      <c r="Q1774" s="5" t="str">
        <f>IFERROR(__xludf.DUMMYFUNCTION("""COMPUTED_VALUE"""),"La Strada")</f>
        <v>La Strada</v>
      </c>
      <c r="R1774" s="5" t="str">
        <f>IFERROR(__xludf.DUMMYFUNCTION("""COMPUTED_VALUE"""),"Anthony Quinn")</f>
        <v>Anthony Quinn</v>
      </c>
      <c r="S1774" s="5" t="str">
        <f>IFERROR(__xludf.DUMMYFUNCTION("""COMPUTED_VALUE"""),"Estrela 1")</f>
        <v>Estrela 1</v>
      </c>
    </row>
    <row r="1775">
      <c r="G1775" s="5" t="str">
        <f>IFERROR(__xludf.DUMMYFUNCTION("""COMPUTED_VALUE"""),"444🤙🏼La Strada🤙🏼Giulietta Masina🤙🏼Estrela 2")</f>
        <v>444🤙🏼La Strada🤙🏼Giulietta Masina🤙🏼Estrela 2</v>
      </c>
      <c r="H1775" s="5">
        <f>IFERROR(__xludf.DUMMYFUNCTION("SPLiT(G1775, ""🤙🏼"",FALSE,FALSE)"),444.0)</f>
        <v>444</v>
      </c>
      <c r="I1775" s="5" t="str">
        <f>IFERROR(__xludf.DUMMYFUNCTION("""COMPUTED_VALUE"""),"La Strada")</f>
        <v>La Strada</v>
      </c>
      <c r="J1775" s="5" t="str">
        <f>IFERROR(__xludf.DUMMYFUNCTION("""COMPUTED_VALUE"""),"Giulietta Masina")</f>
        <v>Giulietta Masina</v>
      </c>
      <c r="K1775" s="5" t="str">
        <f>IFERROR(__xludf.DUMMYFUNCTION("""COMPUTED_VALUE"""),"Estrela 2")</f>
        <v>Estrela 2</v>
      </c>
      <c r="P1775" s="5">
        <f>IFERROR(__xludf.DUMMYFUNCTION("""COMPUTED_VALUE"""),444.0)</f>
        <v>444</v>
      </c>
      <c r="Q1775" s="5" t="str">
        <f>IFERROR(__xludf.DUMMYFUNCTION("""COMPUTED_VALUE"""),"La Strada")</f>
        <v>La Strada</v>
      </c>
      <c r="R1775" s="5" t="str">
        <f>IFERROR(__xludf.DUMMYFUNCTION("""COMPUTED_VALUE"""),"Giulietta Masina")</f>
        <v>Giulietta Masina</v>
      </c>
      <c r="S1775" s="5" t="str">
        <f>IFERROR(__xludf.DUMMYFUNCTION("""COMPUTED_VALUE"""),"Estrela 2")</f>
        <v>Estrela 2</v>
      </c>
    </row>
    <row r="1776">
      <c r="G1776" s="5" t="str">
        <f>IFERROR(__xludf.DUMMYFUNCTION("""COMPUTED_VALUE"""),"444🤙🏼La Strada🤙🏼Richard Basehart🤙🏼Estrela 3")</f>
        <v>444🤙🏼La Strada🤙🏼Richard Basehart🤙🏼Estrela 3</v>
      </c>
      <c r="H1776" s="5">
        <f>IFERROR(__xludf.DUMMYFUNCTION("SPLiT(G1776, ""🤙🏼"",FALSE,FALSE)"),444.0)</f>
        <v>444</v>
      </c>
      <c r="I1776" s="5" t="str">
        <f>IFERROR(__xludf.DUMMYFUNCTION("""COMPUTED_VALUE"""),"La Strada")</f>
        <v>La Strada</v>
      </c>
      <c r="J1776" s="5" t="str">
        <f>IFERROR(__xludf.DUMMYFUNCTION("""COMPUTED_VALUE"""),"Richard Basehart")</f>
        <v>Richard Basehart</v>
      </c>
      <c r="K1776" s="5" t="str">
        <f>IFERROR(__xludf.DUMMYFUNCTION("""COMPUTED_VALUE"""),"Estrela 3")</f>
        <v>Estrela 3</v>
      </c>
      <c r="P1776" s="5">
        <f>IFERROR(__xludf.DUMMYFUNCTION("""COMPUTED_VALUE"""),444.0)</f>
        <v>444</v>
      </c>
      <c r="Q1776" s="5" t="str">
        <f>IFERROR(__xludf.DUMMYFUNCTION("""COMPUTED_VALUE"""),"La Strada")</f>
        <v>La Strada</v>
      </c>
      <c r="R1776" s="5" t="str">
        <f>IFERROR(__xludf.DUMMYFUNCTION("""COMPUTED_VALUE"""),"Richard Basehart")</f>
        <v>Richard Basehart</v>
      </c>
      <c r="S1776" s="5" t="str">
        <f>IFERROR(__xludf.DUMMYFUNCTION("""COMPUTED_VALUE"""),"Estrela 3")</f>
        <v>Estrela 3</v>
      </c>
    </row>
    <row r="1777">
      <c r="G1777" s="5" t="str">
        <f>IFERROR(__xludf.DUMMYFUNCTION("""COMPUTED_VALUE"""),"444🤙🏼La Strada🤙🏼Aldo Silvani🤙🏼Estrela 4")</f>
        <v>444🤙🏼La Strada🤙🏼Aldo Silvani🤙🏼Estrela 4</v>
      </c>
      <c r="H1777" s="5">
        <f>IFERROR(__xludf.DUMMYFUNCTION("SPLiT(G1777, ""🤙🏼"",FALSE,FALSE)"),444.0)</f>
        <v>444</v>
      </c>
      <c r="I1777" s="5" t="str">
        <f>IFERROR(__xludf.DUMMYFUNCTION("""COMPUTED_VALUE"""),"La Strada")</f>
        <v>La Strada</v>
      </c>
      <c r="J1777" s="5" t="str">
        <f>IFERROR(__xludf.DUMMYFUNCTION("""COMPUTED_VALUE"""),"Aldo Silvani")</f>
        <v>Aldo Silvani</v>
      </c>
      <c r="K1777" s="5" t="str">
        <f>IFERROR(__xludf.DUMMYFUNCTION("""COMPUTED_VALUE"""),"Estrela 4")</f>
        <v>Estrela 4</v>
      </c>
      <c r="P1777" s="5">
        <f>IFERROR(__xludf.DUMMYFUNCTION("""COMPUTED_VALUE"""),444.0)</f>
        <v>444</v>
      </c>
      <c r="Q1777" s="5" t="str">
        <f>IFERROR(__xludf.DUMMYFUNCTION("""COMPUTED_VALUE"""),"La Strada")</f>
        <v>La Strada</v>
      </c>
      <c r="R1777" s="5" t="str">
        <f>IFERROR(__xludf.DUMMYFUNCTION("""COMPUTED_VALUE"""),"Aldo Silvani")</f>
        <v>Aldo Silvani</v>
      </c>
      <c r="S1777" s="5" t="str">
        <f>IFERROR(__xludf.DUMMYFUNCTION("""COMPUTED_VALUE"""),"Estrela 4")</f>
        <v>Estrela 4</v>
      </c>
    </row>
    <row r="1778">
      <c r="G1778" s="5" t="str">
        <f>IFERROR(__xludf.DUMMYFUNCTION("""COMPUTED_VALUE"""),"445🤙🏼Les diaboliques🤙🏼Simone Signoret🤙🏼Estrela 1")</f>
        <v>445🤙🏼Les diaboliques🤙🏼Simone Signoret🤙🏼Estrela 1</v>
      </c>
      <c r="H1778" s="5">
        <f>IFERROR(__xludf.DUMMYFUNCTION("SPLiT(G1778, ""🤙🏼"",FALSE,FALSE)"),445.0)</f>
        <v>445</v>
      </c>
      <c r="I1778" s="5" t="str">
        <f>IFERROR(__xludf.DUMMYFUNCTION("""COMPUTED_VALUE"""),"Les diaboliques")</f>
        <v>Les diaboliques</v>
      </c>
      <c r="J1778" s="5" t="str">
        <f>IFERROR(__xludf.DUMMYFUNCTION("""COMPUTED_VALUE"""),"Simone Signoret")</f>
        <v>Simone Signoret</v>
      </c>
      <c r="K1778" s="5" t="str">
        <f>IFERROR(__xludf.DUMMYFUNCTION("""COMPUTED_VALUE"""),"Estrela 1")</f>
        <v>Estrela 1</v>
      </c>
      <c r="P1778" s="5">
        <f>IFERROR(__xludf.DUMMYFUNCTION("""COMPUTED_VALUE"""),445.0)</f>
        <v>445</v>
      </c>
      <c r="Q1778" s="5" t="str">
        <f>IFERROR(__xludf.DUMMYFUNCTION("""COMPUTED_VALUE"""),"Les diaboliques")</f>
        <v>Les diaboliques</v>
      </c>
      <c r="R1778" s="5" t="str">
        <f>IFERROR(__xludf.DUMMYFUNCTION("""COMPUTED_VALUE"""),"Simone Signoret")</f>
        <v>Simone Signoret</v>
      </c>
      <c r="S1778" s="5" t="str">
        <f>IFERROR(__xludf.DUMMYFUNCTION("""COMPUTED_VALUE"""),"Estrela 1")</f>
        <v>Estrela 1</v>
      </c>
    </row>
    <row r="1779">
      <c r="G1779" s="5" t="str">
        <f>IFERROR(__xludf.DUMMYFUNCTION("""COMPUTED_VALUE"""),"445🤙🏼Les diaboliques🤙🏼Véra Clouzot🤙🏼Estrela 2")</f>
        <v>445🤙🏼Les diaboliques🤙🏼Véra Clouzot🤙🏼Estrela 2</v>
      </c>
      <c r="H1779" s="5">
        <f>IFERROR(__xludf.DUMMYFUNCTION("SPLiT(G1779, ""🤙🏼"",FALSE,FALSE)"),445.0)</f>
        <v>445</v>
      </c>
      <c r="I1779" s="5" t="str">
        <f>IFERROR(__xludf.DUMMYFUNCTION("""COMPUTED_VALUE"""),"Les diaboliques")</f>
        <v>Les diaboliques</v>
      </c>
      <c r="J1779" s="5" t="str">
        <f>IFERROR(__xludf.DUMMYFUNCTION("""COMPUTED_VALUE"""),"Véra Clouzot")</f>
        <v>Véra Clouzot</v>
      </c>
      <c r="K1779" s="5" t="str">
        <f>IFERROR(__xludf.DUMMYFUNCTION("""COMPUTED_VALUE"""),"Estrela 2")</f>
        <v>Estrela 2</v>
      </c>
      <c r="P1779" s="5">
        <f>IFERROR(__xludf.DUMMYFUNCTION("""COMPUTED_VALUE"""),445.0)</f>
        <v>445</v>
      </c>
      <c r="Q1779" s="5" t="str">
        <f>IFERROR(__xludf.DUMMYFUNCTION("""COMPUTED_VALUE"""),"Les diaboliques")</f>
        <v>Les diaboliques</v>
      </c>
      <c r="R1779" s="5" t="str">
        <f>IFERROR(__xludf.DUMMYFUNCTION("""COMPUTED_VALUE"""),"Véra Clouzot")</f>
        <v>Véra Clouzot</v>
      </c>
      <c r="S1779" s="5" t="str">
        <f>IFERROR(__xludf.DUMMYFUNCTION("""COMPUTED_VALUE"""),"Estrela 2")</f>
        <v>Estrela 2</v>
      </c>
    </row>
    <row r="1780">
      <c r="G1780" s="5" t="str">
        <f>IFERROR(__xludf.DUMMYFUNCTION("""COMPUTED_VALUE"""),"445🤙🏼Les diaboliques🤙🏼Paul Meurisse🤙🏼Estrela 3")</f>
        <v>445🤙🏼Les diaboliques🤙🏼Paul Meurisse🤙🏼Estrela 3</v>
      </c>
      <c r="H1780" s="5">
        <f>IFERROR(__xludf.DUMMYFUNCTION("SPLiT(G1780, ""🤙🏼"",FALSE,FALSE)"),445.0)</f>
        <v>445</v>
      </c>
      <c r="I1780" s="5" t="str">
        <f>IFERROR(__xludf.DUMMYFUNCTION("""COMPUTED_VALUE"""),"Les diaboliques")</f>
        <v>Les diaboliques</v>
      </c>
      <c r="J1780" s="5" t="str">
        <f>IFERROR(__xludf.DUMMYFUNCTION("""COMPUTED_VALUE"""),"Paul Meurisse")</f>
        <v>Paul Meurisse</v>
      </c>
      <c r="K1780" s="5" t="str">
        <f>IFERROR(__xludf.DUMMYFUNCTION("""COMPUTED_VALUE"""),"Estrela 3")</f>
        <v>Estrela 3</v>
      </c>
      <c r="P1780" s="5">
        <f>IFERROR(__xludf.DUMMYFUNCTION("""COMPUTED_VALUE"""),445.0)</f>
        <v>445</v>
      </c>
      <c r="Q1780" s="5" t="str">
        <f>IFERROR(__xludf.DUMMYFUNCTION("""COMPUTED_VALUE"""),"Les diaboliques")</f>
        <v>Les diaboliques</v>
      </c>
      <c r="R1780" s="5" t="str">
        <f>IFERROR(__xludf.DUMMYFUNCTION("""COMPUTED_VALUE"""),"Paul Meurisse")</f>
        <v>Paul Meurisse</v>
      </c>
      <c r="S1780" s="5" t="str">
        <f>IFERROR(__xludf.DUMMYFUNCTION("""COMPUTED_VALUE"""),"Estrela 3")</f>
        <v>Estrela 3</v>
      </c>
    </row>
    <row r="1781">
      <c r="G1781" s="5" t="str">
        <f>IFERROR(__xludf.DUMMYFUNCTION("""COMPUTED_VALUE"""),"445🤙🏼Les diaboliques🤙🏼Charles Vanel🤙🏼Estrela 4")</f>
        <v>445🤙🏼Les diaboliques🤙🏼Charles Vanel🤙🏼Estrela 4</v>
      </c>
      <c r="H1781" s="5">
        <f>IFERROR(__xludf.DUMMYFUNCTION("SPLiT(G1781, ""🤙🏼"",FALSE,FALSE)"),445.0)</f>
        <v>445</v>
      </c>
      <c r="I1781" s="5" t="str">
        <f>IFERROR(__xludf.DUMMYFUNCTION("""COMPUTED_VALUE"""),"Les diaboliques")</f>
        <v>Les diaboliques</v>
      </c>
      <c r="J1781" s="5" t="str">
        <f>IFERROR(__xludf.DUMMYFUNCTION("""COMPUTED_VALUE"""),"Charles Vanel")</f>
        <v>Charles Vanel</v>
      </c>
      <c r="K1781" s="5" t="str">
        <f>IFERROR(__xludf.DUMMYFUNCTION("""COMPUTED_VALUE"""),"Estrela 4")</f>
        <v>Estrela 4</v>
      </c>
      <c r="P1781" s="5">
        <f>IFERROR(__xludf.DUMMYFUNCTION("""COMPUTED_VALUE"""),445.0)</f>
        <v>445</v>
      </c>
      <c r="Q1781" s="5" t="str">
        <f>IFERROR(__xludf.DUMMYFUNCTION("""COMPUTED_VALUE"""),"Les diaboliques")</f>
        <v>Les diaboliques</v>
      </c>
      <c r="R1781" s="5" t="str">
        <f>IFERROR(__xludf.DUMMYFUNCTION("""COMPUTED_VALUE"""),"Charles Vanel")</f>
        <v>Charles Vanel</v>
      </c>
      <c r="S1781" s="5" t="str">
        <f>IFERROR(__xludf.DUMMYFUNCTION("""COMPUTED_VALUE"""),"Estrela 4")</f>
        <v>Estrela 4</v>
      </c>
    </row>
    <row r="1782">
      <c r="G1782" s="5" t="str">
        <f>IFERROR(__xludf.DUMMYFUNCTION("""COMPUTED_VALUE"""),"446🤙🏼Stalag 17🤙🏼William Holden🤙🏼Estrela 1")</f>
        <v>446🤙🏼Stalag 17🤙🏼William Holden🤙🏼Estrela 1</v>
      </c>
      <c r="H1782" s="5">
        <f>IFERROR(__xludf.DUMMYFUNCTION("SPLiT(G1782, ""🤙🏼"",FALSE,FALSE)"),446.0)</f>
        <v>446</v>
      </c>
      <c r="I1782" s="5" t="str">
        <f>IFERROR(__xludf.DUMMYFUNCTION("""COMPUTED_VALUE"""),"Stalag 17")</f>
        <v>Stalag 17</v>
      </c>
      <c r="J1782" s="5" t="str">
        <f>IFERROR(__xludf.DUMMYFUNCTION("""COMPUTED_VALUE"""),"William Holden")</f>
        <v>William Holden</v>
      </c>
      <c r="K1782" s="5" t="str">
        <f>IFERROR(__xludf.DUMMYFUNCTION("""COMPUTED_VALUE"""),"Estrela 1")</f>
        <v>Estrela 1</v>
      </c>
      <c r="P1782" s="5">
        <f>IFERROR(__xludf.DUMMYFUNCTION("""COMPUTED_VALUE"""),446.0)</f>
        <v>446</v>
      </c>
      <c r="Q1782" s="5" t="str">
        <f>IFERROR(__xludf.DUMMYFUNCTION("""COMPUTED_VALUE"""),"Stalag 17")</f>
        <v>Stalag 17</v>
      </c>
      <c r="R1782" s="5" t="str">
        <f>IFERROR(__xludf.DUMMYFUNCTION("""COMPUTED_VALUE"""),"William Holden")</f>
        <v>William Holden</v>
      </c>
      <c r="S1782" s="5" t="str">
        <f>IFERROR(__xludf.DUMMYFUNCTION("""COMPUTED_VALUE"""),"Estrela 1")</f>
        <v>Estrela 1</v>
      </c>
    </row>
    <row r="1783">
      <c r="G1783" s="5" t="str">
        <f>IFERROR(__xludf.DUMMYFUNCTION("""COMPUTED_VALUE"""),"446🤙🏼Stalag 17🤙🏼Don Taylor🤙🏼Estrela 2")</f>
        <v>446🤙🏼Stalag 17🤙🏼Don Taylor🤙🏼Estrela 2</v>
      </c>
      <c r="H1783" s="5">
        <f>IFERROR(__xludf.DUMMYFUNCTION("SPLiT(G1783, ""🤙🏼"",FALSE,FALSE)"),446.0)</f>
        <v>446</v>
      </c>
      <c r="I1783" s="5" t="str">
        <f>IFERROR(__xludf.DUMMYFUNCTION("""COMPUTED_VALUE"""),"Stalag 17")</f>
        <v>Stalag 17</v>
      </c>
      <c r="J1783" s="5" t="str">
        <f>IFERROR(__xludf.DUMMYFUNCTION("""COMPUTED_VALUE"""),"Don Taylor")</f>
        <v>Don Taylor</v>
      </c>
      <c r="K1783" s="5" t="str">
        <f>IFERROR(__xludf.DUMMYFUNCTION("""COMPUTED_VALUE"""),"Estrela 2")</f>
        <v>Estrela 2</v>
      </c>
      <c r="P1783" s="5">
        <f>IFERROR(__xludf.DUMMYFUNCTION("""COMPUTED_VALUE"""),446.0)</f>
        <v>446</v>
      </c>
      <c r="Q1783" s="5" t="str">
        <f>IFERROR(__xludf.DUMMYFUNCTION("""COMPUTED_VALUE"""),"Stalag 17")</f>
        <v>Stalag 17</v>
      </c>
      <c r="R1783" s="5" t="str">
        <f>IFERROR(__xludf.DUMMYFUNCTION("""COMPUTED_VALUE"""),"Don Taylor")</f>
        <v>Don Taylor</v>
      </c>
      <c r="S1783" s="5" t="str">
        <f>IFERROR(__xludf.DUMMYFUNCTION("""COMPUTED_VALUE"""),"Estrela 2")</f>
        <v>Estrela 2</v>
      </c>
    </row>
    <row r="1784">
      <c r="G1784" s="5" t="str">
        <f>IFERROR(__xludf.DUMMYFUNCTION("""COMPUTED_VALUE"""),"446🤙🏼Stalag 17🤙🏼Otto Preminger🤙🏼Estrela 3")</f>
        <v>446🤙🏼Stalag 17🤙🏼Otto Preminger🤙🏼Estrela 3</v>
      </c>
      <c r="H1784" s="5">
        <f>IFERROR(__xludf.DUMMYFUNCTION("SPLiT(G1784, ""🤙🏼"",FALSE,FALSE)"),446.0)</f>
        <v>446</v>
      </c>
      <c r="I1784" s="5" t="str">
        <f>IFERROR(__xludf.DUMMYFUNCTION("""COMPUTED_VALUE"""),"Stalag 17")</f>
        <v>Stalag 17</v>
      </c>
      <c r="J1784" s="5" t="str">
        <f>IFERROR(__xludf.DUMMYFUNCTION("""COMPUTED_VALUE"""),"Otto Preminger")</f>
        <v>Otto Preminger</v>
      </c>
      <c r="K1784" s="5" t="str">
        <f>IFERROR(__xludf.DUMMYFUNCTION("""COMPUTED_VALUE"""),"Estrela 3")</f>
        <v>Estrela 3</v>
      </c>
      <c r="P1784" s="5">
        <f>IFERROR(__xludf.DUMMYFUNCTION("""COMPUTED_VALUE"""),446.0)</f>
        <v>446</v>
      </c>
      <c r="Q1784" s="5" t="str">
        <f>IFERROR(__xludf.DUMMYFUNCTION("""COMPUTED_VALUE"""),"Stalag 17")</f>
        <v>Stalag 17</v>
      </c>
      <c r="R1784" s="5" t="str">
        <f>IFERROR(__xludf.DUMMYFUNCTION("""COMPUTED_VALUE"""),"Otto Preminger")</f>
        <v>Otto Preminger</v>
      </c>
      <c r="S1784" s="5" t="str">
        <f>IFERROR(__xludf.DUMMYFUNCTION("""COMPUTED_VALUE"""),"Estrela 3")</f>
        <v>Estrela 3</v>
      </c>
    </row>
    <row r="1785">
      <c r="G1785" s="5" t="str">
        <f>IFERROR(__xludf.DUMMYFUNCTION("""COMPUTED_VALUE"""),"446🤙🏼Stalag 17🤙🏼Robert Strauss🤙🏼Estrela 4")</f>
        <v>446🤙🏼Stalag 17🤙🏼Robert Strauss🤙🏼Estrela 4</v>
      </c>
      <c r="H1785" s="5">
        <f>IFERROR(__xludf.DUMMYFUNCTION("SPLiT(G1785, ""🤙🏼"",FALSE,FALSE)"),446.0)</f>
        <v>446</v>
      </c>
      <c r="I1785" s="5" t="str">
        <f>IFERROR(__xludf.DUMMYFUNCTION("""COMPUTED_VALUE"""),"Stalag 17")</f>
        <v>Stalag 17</v>
      </c>
      <c r="J1785" s="5" t="str">
        <f>IFERROR(__xludf.DUMMYFUNCTION("""COMPUTED_VALUE"""),"Robert Strauss")</f>
        <v>Robert Strauss</v>
      </c>
      <c r="K1785" s="5" t="str">
        <f>IFERROR(__xludf.DUMMYFUNCTION("""COMPUTED_VALUE"""),"Estrela 4")</f>
        <v>Estrela 4</v>
      </c>
      <c r="P1785" s="5">
        <f>IFERROR(__xludf.DUMMYFUNCTION("""COMPUTED_VALUE"""),446.0)</f>
        <v>446</v>
      </c>
      <c r="Q1785" s="5" t="str">
        <f>IFERROR(__xludf.DUMMYFUNCTION("""COMPUTED_VALUE"""),"Stalag 17")</f>
        <v>Stalag 17</v>
      </c>
      <c r="R1785" s="5" t="str">
        <f>IFERROR(__xludf.DUMMYFUNCTION("""COMPUTED_VALUE"""),"Robert Strauss")</f>
        <v>Robert Strauss</v>
      </c>
      <c r="S1785" s="5" t="str">
        <f>IFERROR(__xludf.DUMMYFUNCTION("""COMPUTED_VALUE"""),"Estrela 4")</f>
        <v>Estrela 4</v>
      </c>
    </row>
    <row r="1786">
      <c r="G1786" s="5" t="str">
        <f>IFERROR(__xludf.DUMMYFUNCTION("""COMPUTED_VALUE"""),"447🤙🏼Roman Holiday🤙🏼Gregory Peck🤙🏼Estrela 1")</f>
        <v>447🤙🏼Roman Holiday🤙🏼Gregory Peck🤙🏼Estrela 1</v>
      </c>
      <c r="H1786" s="5">
        <f>IFERROR(__xludf.DUMMYFUNCTION("SPLiT(G1786, ""🤙🏼"",FALSE,FALSE)"),447.0)</f>
        <v>447</v>
      </c>
      <c r="I1786" s="5" t="str">
        <f>IFERROR(__xludf.DUMMYFUNCTION("""COMPUTED_VALUE"""),"Roman Holiday")</f>
        <v>Roman Holiday</v>
      </c>
      <c r="J1786" s="5" t="str">
        <f>IFERROR(__xludf.DUMMYFUNCTION("""COMPUTED_VALUE"""),"Gregory Peck")</f>
        <v>Gregory Peck</v>
      </c>
      <c r="K1786" s="5" t="str">
        <f>IFERROR(__xludf.DUMMYFUNCTION("""COMPUTED_VALUE"""),"Estrela 1")</f>
        <v>Estrela 1</v>
      </c>
      <c r="P1786" s="5">
        <f>IFERROR(__xludf.DUMMYFUNCTION("""COMPUTED_VALUE"""),447.0)</f>
        <v>447</v>
      </c>
      <c r="Q1786" s="5" t="str">
        <f>IFERROR(__xludf.DUMMYFUNCTION("""COMPUTED_VALUE"""),"Roman Holiday")</f>
        <v>Roman Holiday</v>
      </c>
      <c r="R1786" s="5" t="str">
        <f>IFERROR(__xludf.DUMMYFUNCTION("""COMPUTED_VALUE"""),"Gregory Peck")</f>
        <v>Gregory Peck</v>
      </c>
      <c r="S1786" s="5" t="str">
        <f>IFERROR(__xludf.DUMMYFUNCTION("""COMPUTED_VALUE"""),"Estrela 1")</f>
        <v>Estrela 1</v>
      </c>
    </row>
    <row r="1787">
      <c r="G1787" s="5" t="str">
        <f>IFERROR(__xludf.DUMMYFUNCTION("""COMPUTED_VALUE"""),"447🤙🏼Roman Holiday🤙🏼Audrey Hepburn🤙🏼Estrela 2")</f>
        <v>447🤙🏼Roman Holiday🤙🏼Audrey Hepburn🤙🏼Estrela 2</v>
      </c>
      <c r="H1787" s="5">
        <f>IFERROR(__xludf.DUMMYFUNCTION("SPLiT(G1787, ""🤙🏼"",FALSE,FALSE)"),447.0)</f>
        <v>447</v>
      </c>
      <c r="I1787" s="5" t="str">
        <f>IFERROR(__xludf.DUMMYFUNCTION("""COMPUTED_VALUE"""),"Roman Holiday")</f>
        <v>Roman Holiday</v>
      </c>
      <c r="J1787" s="5" t="str">
        <f>IFERROR(__xludf.DUMMYFUNCTION("""COMPUTED_VALUE"""),"Audrey Hepburn")</f>
        <v>Audrey Hepburn</v>
      </c>
      <c r="K1787" s="5" t="str">
        <f>IFERROR(__xludf.DUMMYFUNCTION("""COMPUTED_VALUE"""),"Estrela 2")</f>
        <v>Estrela 2</v>
      </c>
      <c r="P1787" s="5">
        <f>IFERROR(__xludf.DUMMYFUNCTION("""COMPUTED_VALUE"""),447.0)</f>
        <v>447</v>
      </c>
      <c r="Q1787" s="5" t="str">
        <f>IFERROR(__xludf.DUMMYFUNCTION("""COMPUTED_VALUE"""),"Roman Holiday")</f>
        <v>Roman Holiday</v>
      </c>
      <c r="R1787" s="5" t="str">
        <f>IFERROR(__xludf.DUMMYFUNCTION("""COMPUTED_VALUE"""),"Audrey Hepburn")</f>
        <v>Audrey Hepburn</v>
      </c>
      <c r="S1787" s="5" t="str">
        <f>IFERROR(__xludf.DUMMYFUNCTION("""COMPUTED_VALUE"""),"Estrela 2")</f>
        <v>Estrela 2</v>
      </c>
    </row>
    <row r="1788">
      <c r="G1788" s="5" t="str">
        <f>IFERROR(__xludf.DUMMYFUNCTION("""COMPUTED_VALUE"""),"447🤙🏼Roman Holiday🤙🏼Eddie Albert🤙🏼Estrela 3")</f>
        <v>447🤙🏼Roman Holiday🤙🏼Eddie Albert🤙🏼Estrela 3</v>
      </c>
      <c r="H1788" s="5">
        <f>IFERROR(__xludf.DUMMYFUNCTION("SPLiT(G1788, ""🤙🏼"",FALSE,FALSE)"),447.0)</f>
        <v>447</v>
      </c>
      <c r="I1788" s="5" t="str">
        <f>IFERROR(__xludf.DUMMYFUNCTION("""COMPUTED_VALUE"""),"Roman Holiday")</f>
        <v>Roman Holiday</v>
      </c>
      <c r="J1788" s="5" t="str">
        <f>IFERROR(__xludf.DUMMYFUNCTION("""COMPUTED_VALUE"""),"Eddie Albert")</f>
        <v>Eddie Albert</v>
      </c>
      <c r="K1788" s="5" t="str">
        <f>IFERROR(__xludf.DUMMYFUNCTION("""COMPUTED_VALUE"""),"Estrela 3")</f>
        <v>Estrela 3</v>
      </c>
      <c r="P1788" s="5">
        <f>IFERROR(__xludf.DUMMYFUNCTION("""COMPUTED_VALUE"""),447.0)</f>
        <v>447</v>
      </c>
      <c r="Q1788" s="5" t="str">
        <f>IFERROR(__xludf.DUMMYFUNCTION("""COMPUTED_VALUE"""),"Roman Holiday")</f>
        <v>Roman Holiday</v>
      </c>
      <c r="R1788" s="5" t="str">
        <f>IFERROR(__xludf.DUMMYFUNCTION("""COMPUTED_VALUE"""),"Eddie Albert")</f>
        <v>Eddie Albert</v>
      </c>
      <c r="S1788" s="5" t="str">
        <f>IFERROR(__xludf.DUMMYFUNCTION("""COMPUTED_VALUE"""),"Estrela 3")</f>
        <v>Estrela 3</v>
      </c>
    </row>
    <row r="1789">
      <c r="G1789" s="5" t="str">
        <f>IFERROR(__xludf.DUMMYFUNCTION("""COMPUTED_VALUE"""),"447🤙🏼Roman Holiday🤙🏼Hartley Power🤙🏼Estrela 4")</f>
        <v>447🤙🏼Roman Holiday🤙🏼Hartley Power🤙🏼Estrela 4</v>
      </c>
      <c r="H1789" s="5">
        <f>IFERROR(__xludf.DUMMYFUNCTION("SPLiT(G1789, ""🤙🏼"",FALSE,FALSE)"),447.0)</f>
        <v>447</v>
      </c>
      <c r="I1789" s="5" t="str">
        <f>IFERROR(__xludf.DUMMYFUNCTION("""COMPUTED_VALUE"""),"Roman Holiday")</f>
        <v>Roman Holiday</v>
      </c>
      <c r="J1789" s="5" t="str">
        <f>IFERROR(__xludf.DUMMYFUNCTION("""COMPUTED_VALUE"""),"Hartley Power")</f>
        <v>Hartley Power</v>
      </c>
      <c r="K1789" s="5" t="str">
        <f>IFERROR(__xludf.DUMMYFUNCTION("""COMPUTED_VALUE"""),"Estrela 4")</f>
        <v>Estrela 4</v>
      </c>
      <c r="P1789" s="5">
        <f>IFERROR(__xludf.DUMMYFUNCTION("""COMPUTED_VALUE"""),447.0)</f>
        <v>447</v>
      </c>
      <c r="Q1789" s="5" t="str">
        <f>IFERROR(__xludf.DUMMYFUNCTION("""COMPUTED_VALUE"""),"Roman Holiday")</f>
        <v>Roman Holiday</v>
      </c>
      <c r="R1789" s="5" t="str">
        <f>IFERROR(__xludf.DUMMYFUNCTION("""COMPUTED_VALUE"""),"Hartley Power")</f>
        <v>Hartley Power</v>
      </c>
      <c r="S1789" s="5" t="str">
        <f>IFERROR(__xludf.DUMMYFUNCTION("""COMPUTED_VALUE"""),"Estrela 4")</f>
        <v>Estrela 4</v>
      </c>
    </row>
    <row r="1790">
      <c r="G1790" s="5" t="str">
        <f>IFERROR(__xludf.DUMMYFUNCTION("""COMPUTED_VALUE"""),"448🤙🏼A Streetcar Named Desire🤙🏼Vivien Leigh🤙🏼Estrela 1")</f>
        <v>448🤙🏼A Streetcar Named Desire🤙🏼Vivien Leigh🤙🏼Estrela 1</v>
      </c>
      <c r="H1790" s="5">
        <f>IFERROR(__xludf.DUMMYFUNCTION("SPLiT(G1790, ""🤙🏼"",FALSE,FALSE)"),448.0)</f>
        <v>448</v>
      </c>
      <c r="I1790" s="5" t="str">
        <f>IFERROR(__xludf.DUMMYFUNCTION("""COMPUTED_VALUE"""),"A Streetcar Named Desire")</f>
        <v>A Streetcar Named Desire</v>
      </c>
      <c r="J1790" s="5" t="str">
        <f>IFERROR(__xludf.DUMMYFUNCTION("""COMPUTED_VALUE"""),"Vivien Leigh")</f>
        <v>Vivien Leigh</v>
      </c>
      <c r="K1790" s="5" t="str">
        <f>IFERROR(__xludf.DUMMYFUNCTION("""COMPUTED_VALUE"""),"Estrela 1")</f>
        <v>Estrela 1</v>
      </c>
      <c r="P1790" s="5">
        <f>IFERROR(__xludf.DUMMYFUNCTION("""COMPUTED_VALUE"""),448.0)</f>
        <v>448</v>
      </c>
      <c r="Q1790" s="5" t="str">
        <f>IFERROR(__xludf.DUMMYFUNCTION("""COMPUTED_VALUE"""),"A Streetcar Named Desire")</f>
        <v>A Streetcar Named Desire</v>
      </c>
      <c r="R1790" s="5" t="str">
        <f>IFERROR(__xludf.DUMMYFUNCTION("""COMPUTED_VALUE"""),"Vivien Leigh")</f>
        <v>Vivien Leigh</v>
      </c>
      <c r="S1790" s="5" t="str">
        <f>IFERROR(__xludf.DUMMYFUNCTION("""COMPUTED_VALUE"""),"Estrela 1")</f>
        <v>Estrela 1</v>
      </c>
    </row>
    <row r="1791">
      <c r="G1791" s="5" t="str">
        <f>IFERROR(__xludf.DUMMYFUNCTION("""COMPUTED_VALUE"""),"448🤙🏼A Streetcar Named Desire🤙🏼Marlon Brando🤙🏼Estrela 2")</f>
        <v>448🤙🏼A Streetcar Named Desire🤙🏼Marlon Brando🤙🏼Estrela 2</v>
      </c>
      <c r="H1791" s="5">
        <f>IFERROR(__xludf.DUMMYFUNCTION("SPLiT(G1791, ""🤙🏼"",FALSE,FALSE)"),448.0)</f>
        <v>448</v>
      </c>
      <c r="I1791" s="5" t="str">
        <f>IFERROR(__xludf.DUMMYFUNCTION("""COMPUTED_VALUE"""),"A Streetcar Named Desire")</f>
        <v>A Streetcar Named Desire</v>
      </c>
      <c r="J1791" s="5" t="str">
        <f>IFERROR(__xludf.DUMMYFUNCTION("""COMPUTED_VALUE"""),"Marlon Brando")</f>
        <v>Marlon Brando</v>
      </c>
      <c r="K1791" s="5" t="str">
        <f>IFERROR(__xludf.DUMMYFUNCTION("""COMPUTED_VALUE"""),"Estrela 2")</f>
        <v>Estrela 2</v>
      </c>
      <c r="P1791" s="5">
        <f>IFERROR(__xludf.DUMMYFUNCTION("""COMPUTED_VALUE"""),448.0)</f>
        <v>448</v>
      </c>
      <c r="Q1791" s="5" t="str">
        <f>IFERROR(__xludf.DUMMYFUNCTION("""COMPUTED_VALUE"""),"A Streetcar Named Desire")</f>
        <v>A Streetcar Named Desire</v>
      </c>
      <c r="R1791" s="5" t="str">
        <f>IFERROR(__xludf.DUMMYFUNCTION("""COMPUTED_VALUE"""),"Marlon Brando")</f>
        <v>Marlon Brando</v>
      </c>
      <c r="S1791" s="5" t="str">
        <f>IFERROR(__xludf.DUMMYFUNCTION("""COMPUTED_VALUE"""),"Estrela 2")</f>
        <v>Estrela 2</v>
      </c>
    </row>
    <row r="1792">
      <c r="G1792" s="5" t="str">
        <f>IFERROR(__xludf.DUMMYFUNCTION("""COMPUTED_VALUE"""),"448🤙🏼A Streetcar Named Desire🤙🏼Kim Hunter🤙🏼Estrela 3")</f>
        <v>448🤙🏼A Streetcar Named Desire🤙🏼Kim Hunter🤙🏼Estrela 3</v>
      </c>
      <c r="H1792" s="5">
        <f>IFERROR(__xludf.DUMMYFUNCTION("SPLiT(G1792, ""🤙🏼"",FALSE,FALSE)"),448.0)</f>
        <v>448</v>
      </c>
      <c r="I1792" s="5" t="str">
        <f>IFERROR(__xludf.DUMMYFUNCTION("""COMPUTED_VALUE"""),"A Streetcar Named Desire")</f>
        <v>A Streetcar Named Desire</v>
      </c>
      <c r="J1792" s="5" t="str">
        <f>IFERROR(__xludf.DUMMYFUNCTION("""COMPUTED_VALUE"""),"Kim Hunter")</f>
        <v>Kim Hunter</v>
      </c>
      <c r="K1792" s="5" t="str">
        <f>IFERROR(__xludf.DUMMYFUNCTION("""COMPUTED_VALUE"""),"Estrela 3")</f>
        <v>Estrela 3</v>
      </c>
      <c r="P1792" s="5">
        <f>IFERROR(__xludf.DUMMYFUNCTION("""COMPUTED_VALUE"""),448.0)</f>
        <v>448</v>
      </c>
      <c r="Q1792" s="5" t="str">
        <f>IFERROR(__xludf.DUMMYFUNCTION("""COMPUTED_VALUE"""),"A Streetcar Named Desire")</f>
        <v>A Streetcar Named Desire</v>
      </c>
      <c r="R1792" s="5" t="str">
        <f>IFERROR(__xludf.DUMMYFUNCTION("""COMPUTED_VALUE"""),"Kim Hunter")</f>
        <v>Kim Hunter</v>
      </c>
      <c r="S1792" s="5" t="str">
        <f>IFERROR(__xludf.DUMMYFUNCTION("""COMPUTED_VALUE"""),"Estrela 3")</f>
        <v>Estrela 3</v>
      </c>
    </row>
    <row r="1793">
      <c r="G1793" s="5" t="str">
        <f>IFERROR(__xludf.DUMMYFUNCTION("""COMPUTED_VALUE"""),"448🤙🏼A Streetcar Named Desire🤙🏼Karl Malden🤙🏼Estrela 4")</f>
        <v>448🤙🏼A Streetcar Named Desire🤙🏼Karl Malden🤙🏼Estrela 4</v>
      </c>
      <c r="H1793" s="5">
        <f>IFERROR(__xludf.DUMMYFUNCTION("SPLiT(G1793, ""🤙🏼"",FALSE,FALSE)"),448.0)</f>
        <v>448</v>
      </c>
      <c r="I1793" s="5" t="str">
        <f>IFERROR(__xludf.DUMMYFUNCTION("""COMPUTED_VALUE"""),"A Streetcar Named Desire")</f>
        <v>A Streetcar Named Desire</v>
      </c>
      <c r="J1793" s="5" t="str">
        <f>IFERROR(__xludf.DUMMYFUNCTION("""COMPUTED_VALUE"""),"Karl Malden")</f>
        <v>Karl Malden</v>
      </c>
      <c r="K1793" s="5" t="str">
        <f>IFERROR(__xludf.DUMMYFUNCTION("""COMPUTED_VALUE"""),"Estrela 4")</f>
        <v>Estrela 4</v>
      </c>
      <c r="P1793" s="5">
        <f>IFERROR(__xludf.DUMMYFUNCTION("""COMPUTED_VALUE"""),448.0)</f>
        <v>448</v>
      </c>
      <c r="Q1793" s="5" t="str">
        <f>IFERROR(__xludf.DUMMYFUNCTION("""COMPUTED_VALUE"""),"A Streetcar Named Desire")</f>
        <v>A Streetcar Named Desire</v>
      </c>
      <c r="R1793" s="5" t="str">
        <f>IFERROR(__xludf.DUMMYFUNCTION("""COMPUTED_VALUE"""),"Karl Malden")</f>
        <v>Karl Malden</v>
      </c>
      <c r="S1793" s="5" t="str">
        <f>IFERROR(__xludf.DUMMYFUNCTION("""COMPUTED_VALUE"""),"Estrela 4")</f>
        <v>Estrela 4</v>
      </c>
    </row>
    <row r="1794">
      <c r="G1794" s="5" t="str">
        <f>IFERROR(__xludf.DUMMYFUNCTION("""COMPUTED_VALUE"""),"449🤙🏼In a Lonely Place🤙🏼Humphrey Bogart🤙🏼Estrela 1")</f>
        <v>449🤙🏼In a Lonely Place🤙🏼Humphrey Bogart🤙🏼Estrela 1</v>
      </c>
      <c r="H1794" s="5">
        <f>IFERROR(__xludf.DUMMYFUNCTION("SPLiT(G1794, ""🤙🏼"",FALSE,FALSE)"),449.0)</f>
        <v>449</v>
      </c>
      <c r="I1794" s="5" t="str">
        <f>IFERROR(__xludf.DUMMYFUNCTION("""COMPUTED_VALUE"""),"In a Lonely Place")</f>
        <v>In a Lonely Place</v>
      </c>
      <c r="J1794" s="5" t="str">
        <f>IFERROR(__xludf.DUMMYFUNCTION("""COMPUTED_VALUE"""),"Humphrey Bogart")</f>
        <v>Humphrey Bogart</v>
      </c>
      <c r="K1794" s="5" t="str">
        <f>IFERROR(__xludf.DUMMYFUNCTION("""COMPUTED_VALUE"""),"Estrela 1")</f>
        <v>Estrela 1</v>
      </c>
      <c r="P1794" s="5">
        <f>IFERROR(__xludf.DUMMYFUNCTION("""COMPUTED_VALUE"""),449.0)</f>
        <v>449</v>
      </c>
      <c r="Q1794" s="5" t="str">
        <f>IFERROR(__xludf.DUMMYFUNCTION("""COMPUTED_VALUE"""),"In a Lonely Place")</f>
        <v>In a Lonely Place</v>
      </c>
      <c r="R1794" s="5" t="str">
        <f>IFERROR(__xludf.DUMMYFUNCTION("""COMPUTED_VALUE"""),"Humphrey Bogart")</f>
        <v>Humphrey Bogart</v>
      </c>
      <c r="S1794" s="5" t="str">
        <f>IFERROR(__xludf.DUMMYFUNCTION("""COMPUTED_VALUE"""),"Estrela 1")</f>
        <v>Estrela 1</v>
      </c>
    </row>
    <row r="1795">
      <c r="G1795" s="5" t="str">
        <f>IFERROR(__xludf.DUMMYFUNCTION("""COMPUTED_VALUE"""),"449🤙🏼In a Lonely Place🤙🏼Gloria Grahame🤙🏼Estrela 2")</f>
        <v>449🤙🏼In a Lonely Place🤙🏼Gloria Grahame🤙🏼Estrela 2</v>
      </c>
      <c r="H1795" s="5">
        <f>IFERROR(__xludf.DUMMYFUNCTION("SPLiT(G1795, ""🤙🏼"",FALSE,FALSE)"),449.0)</f>
        <v>449</v>
      </c>
      <c r="I1795" s="5" t="str">
        <f>IFERROR(__xludf.DUMMYFUNCTION("""COMPUTED_VALUE"""),"In a Lonely Place")</f>
        <v>In a Lonely Place</v>
      </c>
      <c r="J1795" s="5" t="str">
        <f>IFERROR(__xludf.DUMMYFUNCTION("""COMPUTED_VALUE"""),"Gloria Grahame")</f>
        <v>Gloria Grahame</v>
      </c>
      <c r="K1795" s="5" t="str">
        <f>IFERROR(__xludf.DUMMYFUNCTION("""COMPUTED_VALUE"""),"Estrela 2")</f>
        <v>Estrela 2</v>
      </c>
      <c r="P1795" s="5">
        <f>IFERROR(__xludf.DUMMYFUNCTION("""COMPUTED_VALUE"""),449.0)</f>
        <v>449</v>
      </c>
      <c r="Q1795" s="5" t="str">
        <f>IFERROR(__xludf.DUMMYFUNCTION("""COMPUTED_VALUE"""),"In a Lonely Place")</f>
        <v>In a Lonely Place</v>
      </c>
      <c r="R1795" s="5" t="str">
        <f>IFERROR(__xludf.DUMMYFUNCTION("""COMPUTED_VALUE"""),"Gloria Grahame")</f>
        <v>Gloria Grahame</v>
      </c>
      <c r="S1795" s="5" t="str">
        <f>IFERROR(__xludf.DUMMYFUNCTION("""COMPUTED_VALUE"""),"Estrela 2")</f>
        <v>Estrela 2</v>
      </c>
    </row>
    <row r="1796">
      <c r="G1796" s="5" t="str">
        <f>IFERROR(__xludf.DUMMYFUNCTION("""COMPUTED_VALUE"""),"449🤙🏼In a Lonely Place🤙🏼Frank Lovejoy🤙🏼Estrela 3")</f>
        <v>449🤙🏼In a Lonely Place🤙🏼Frank Lovejoy🤙🏼Estrela 3</v>
      </c>
      <c r="H1796" s="5">
        <f>IFERROR(__xludf.DUMMYFUNCTION("SPLiT(G1796, ""🤙🏼"",FALSE,FALSE)"),449.0)</f>
        <v>449</v>
      </c>
      <c r="I1796" s="5" t="str">
        <f>IFERROR(__xludf.DUMMYFUNCTION("""COMPUTED_VALUE"""),"In a Lonely Place")</f>
        <v>In a Lonely Place</v>
      </c>
      <c r="J1796" s="5" t="str">
        <f>IFERROR(__xludf.DUMMYFUNCTION("""COMPUTED_VALUE"""),"Frank Lovejoy")</f>
        <v>Frank Lovejoy</v>
      </c>
      <c r="K1796" s="5" t="str">
        <f>IFERROR(__xludf.DUMMYFUNCTION("""COMPUTED_VALUE"""),"Estrela 3")</f>
        <v>Estrela 3</v>
      </c>
      <c r="P1796" s="5">
        <f>IFERROR(__xludf.DUMMYFUNCTION("""COMPUTED_VALUE"""),449.0)</f>
        <v>449</v>
      </c>
      <c r="Q1796" s="5" t="str">
        <f>IFERROR(__xludf.DUMMYFUNCTION("""COMPUTED_VALUE"""),"In a Lonely Place")</f>
        <v>In a Lonely Place</v>
      </c>
      <c r="R1796" s="5" t="str">
        <f>IFERROR(__xludf.DUMMYFUNCTION("""COMPUTED_VALUE"""),"Frank Lovejoy")</f>
        <v>Frank Lovejoy</v>
      </c>
      <c r="S1796" s="5" t="str">
        <f>IFERROR(__xludf.DUMMYFUNCTION("""COMPUTED_VALUE"""),"Estrela 3")</f>
        <v>Estrela 3</v>
      </c>
    </row>
    <row r="1797">
      <c r="G1797" s="5" t="str">
        <f>IFERROR(__xludf.DUMMYFUNCTION("""COMPUTED_VALUE"""),"449🤙🏼In a Lonely Place🤙🏼Carl Benton Reid🤙🏼Estrela 4")</f>
        <v>449🤙🏼In a Lonely Place🤙🏼Carl Benton Reid🤙🏼Estrela 4</v>
      </c>
      <c r="H1797" s="5">
        <f>IFERROR(__xludf.DUMMYFUNCTION("SPLiT(G1797, ""🤙🏼"",FALSE,FALSE)"),449.0)</f>
        <v>449</v>
      </c>
      <c r="I1797" s="5" t="str">
        <f>IFERROR(__xludf.DUMMYFUNCTION("""COMPUTED_VALUE"""),"In a Lonely Place")</f>
        <v>In a Lonely Place</v>
      </c>
      <c r="J1797" s="5" t="str">
        <f>IFERROR(__xludf.DUMMYFUNCTION("""COMPUTED_VALUE"""),"Carl Benton Reid")</f>
        <v>Carl Benton Reid</v>
      </c>
      <c r="K1797" s="5" t="str">
        <f>IFERROR(__xludf.DUMMYFUNCTION("""COMPUTED_VALUE"""),"Estrela 4")</f>
        <v>Estrela 4</v>
      </c>
      <c r="P1797" s="5">
        <f>IFERROR(__xludf.DUMMYFUNCTION("""COMPUTED_VALUE"""),449.0)</f>
        <v>449</v>
      </c>
      <c r="Q1797" s="5" t="str">
        <f>IFERROR(__xludf.DUMMYFUNCTION("""COMPUTED_VALUE"""),"In a Lonely Place")</f>
        <v>In a Lonely Place</v>
      </c>
      <c r="R1797" s="5" t="str">
        <f>IFERROR(__xludf.DUMMYFUNCTION("""COMPUTED_VALUE"""),"Carl Benton Reid")</f>
        <v>Carl Benton Reid</v>
      </c>
      <c r="S1797" s="5" t="str">
        <f>IFERROR(__xludf.DUMMYFUNCTION("""COMPUTED_VALUE"""),"Estrela 4")</f>
        <v>Estrela 4</v>
      </c>
    </row>
    <row r="1798">
      <c r="G1798" s="5" t="str">
        <f>IFERROR(__xludf.DUMMYFUNCTION("""COMPUTED_VALUE"""),"450🤙🏼Kind Hearts and Coronets🤙🏼Dennis Price🤙🏼Estrela 1")</f>
        <v>450🤙🏼Kind Hearts and Coronets🤙🏼Dennis Price🤙🏼Estrela 1</v>
      </c>
      <c r="H1798" s="5">
        <f>IFERROR(__xludf.DUMMYFUNCTION("SPLiT(G1798, ""🤙🏼"",FALSE,FALSE)"),450.0)</f>
        <v>450</v>
      </c>
      <c r="I1798" s="5" t="str">
        <f>IFERROR(__xludf.DUMMYFUNCTION("""COMPUTED_VALUE"""),"Kind Hearts and Coronets")</f>
        <v>Kind Hearts and Coronets</v>
      </c>
      <c r="J1798" s="5" t="str">
        <f>IFERROR(__xludf.DUMMYFUNCTION("""COMPUTED_VALUE"""),"Dennis Price")</f>
        <v>Dennis Price</v>
      </c>
      <c r="K1798" s="5" t="str">
        <f>IFERROR(__xludf.DUMMYFUNCTION("""COMPUTED_VALUE"""),"Estrela 1")</f>
        <v>Estrela 1</v>
      </c>
      <c r="P1798" s="5">
        <f>IFERROR(__xludf.DUMMYFUNCTION("""COMPUTED_VALUE"""),450.0)</f>
        <v>450</v>
      </c>
      <c r="Q1798" s="5" t="str">
        <f>IFERROR(__xludf.DUMMYFUNCTION("""COMPUTED_VALUE"""),"Kind Hearts and Coronets")</f>
        <v>Kind Hearts and Coronets</v>
      </c>
      <c r="R1798" s="5" t="str">
        <f>IFERROR(__xludf.DUMMYFUNCTION("""COMPUTED_VALUE"""),"Dennis Price")</f>
        <v>Dennis Price</v>
      </c>
      <c r="S1798" s="5" t="str">
        <f>IFERROR(__xludf.DUMMYFUNCTION("""COMPUTED_VALUE"""),"Estrela 1")</f>
        <v>Estrela 1</v>
      </c>
    </row>
    <row r="1799">
      <c r="G1799" s="5" t="str">
        <f>IFERROR(__xludf.DUMMYFUNCTION("""COMPUTED_VALUE"""),"450🤙🏼Kind Hearts and Coronets🤙🏼Alec Guinness🤙🏼Estrela 2")</f>
        <v>450🤙🏼Kind Hearts and Coronets🤙🏼Alec Guinness🤙🏼Estrela 2</v>
      </c>
      <c r="H1799" s="5">
        <f>IFERROR(__xludf.DUMMYFUNCTION("SPLiT(G1799, ""🤙🏼"",FALSE,FALSE)"),450.0)</f>
        <v>450</v>
      </c>
      <c r="I1799" s="5" t="str">
        <f>IFERROR(__xludf.DUMMYFUNCTION("""COMPUTED_VALUE"""),"Kind Hearts and Coronets")</f>
        <v>Kind Hearts and Coronets</v>
      </c>
      <c r="J1799" s="5" t="str">
        <f>IFERROR(__xludf.DUMMYFUNCTION("""COMPUTED_VALUE"""),"Alec Guinness")</f>
        <v>Alec Guinness</v>
      </c>
      <c r="K1799" s="5" t="str">
        <f>IFERROR(__xludf.DUMMYFUNCTION("""COMPUTED_VALUE"""),"Estrela 2")</f>
        <v>Estrela 2</v>
      </c>
      <c r="P1799" s="5">
        <f>IFERROR(__xludf.DUMMYFUNCTION("""COMPUTED_VALUE"""),450.0)</f>
        <v>450</v>
      </c>
      <c r="Q1799" s="5" t="str">
        <f>IFERROR(__xludf.DUMMYFUNCTION("""COMPUTED_VALUE"""),"Kind Hearts and Coronets")</f>
        <v>Kind Hearts and Coronets</v>
      </c>
      <c r="R1799" s="5" t="str">
        <f>IFERROR(__xludf.DUMMYFUNCTION("""COMPUTED_VALUE"""),"Alec Guinness")</f>
        <v>Alec Guinness</v>
      </c>
      <c r="S1799" s="5" t="str">
        <f>IFERROR(__xludf.DUMMYFUNCTION("""COMPUTED_VALUE"""),"Estrela 2")</f>
        <v>Estrela 2</v>
      </c>
    </row>
    <row r="1800">
      <c r="G1800" s="5" t="str">
        <f>IFERROR(__xludf.DUMMYFUNCTION("""COMPUTED_VALUE"""),"450🤙🏼Kind Hearts and Coronets🤙🏼Valerie Hobson🤙🏼Estrela 3")</f>
        <v>450🤙🏼Kind Hearts and Coronets🤙🏼Valerie Hobson🤙🏼Estrela 3</v>
      </c>
      <c r="H1800" s="5">
        <f>IFERROR(__xludf.DUMMYFUNCTION("SPLiT(G1800, ""🤙🏼"",FALSE,FALSE)"),450.0)</f>
        <v>450</v>
      </c>
      <c r="I1800" s="5" t="str">
        <f>IFERROR(__xludf.DUMMYFUNCTION("""COMPUTED_VALUE"""),"Kind Hearts and Coronets")</f>
        <v>Kind Hearts and Coronets</v>
      </c>
      <c r="J1800" s="5" t="str">
        <f>IFERROR(__xludf.DUMMYFUNCTION("""COMPUTED_VALUE"""),"Valerie Hobson")</f>
        <v>Valerie Hobson</v>
      </c>
      <c r="K1800" s="5" t="str">
        <f>IFERROR(__xludf.DUMMYFUNCTION("""COMPUTED_VALUE"""),"Estrela 3")</f>
        <v>Estrela 3</v>
      </c>
      <c r="P1800" s="5">
        <f>IFERROR(__xludf.DUMMYFUNCTION("""COMPUTED_VALUE"""),450.0)</f>
        <v>450</v>
      </c>
      <c r="Q1800" s="5" t="str">
        <f>IFERROR(__xludf.DUMMYFUNCTION("""COMPUTED_VALUE"""),"Kind Hearts and Coronets")</f>
        <v>Kind Hearts and Coronets</v>
      </c>
      <c r="R1800" s="5" t="str">
        <f>IFERROR(__xludf.DUMMYFUNCTION("""COMPUTED_VALUE"""),"Valerie Hobson")</f>
        <v>Valerie Hobson</v>
      </c>
      <c r="S1800" s="5" t="str">
        <f>IFERROR(__xludf.DUMMYFUNCTION("""COMPUTED_VALUE"""),"Estrela 3")</f>
        <v>Estrela 3</v>
      </c>
    </row>
    <row r="1801">
      <c r="G1801" s="5" t="str">
        <f>IFERROR(__xludf.DUMMYFUNCTION("""COMPUTED_VALUE"""),"450🤙🏼Kind Hearts and Coronets🤙🏼Joan Greenwood🤙🏼Estrela 4")</f>
        <v>450🤙🏼Kind Hearts and Coronets🤙🏼Joan Greenwood🤙🏼Estrela 4</v>
      </c>
      <c r="H1801" s="5">
        <f>IFERROR(__xludf.DUMMYFUNCTION("SPLiT(G1801, ""🤙🏼"",FALSE,FALSE)"),450.0)</f>
        <v>450</v>
      </c>
      <c r="I1801" s="5" t="str">
        <f>IFERROR(__xludf.DUMMYFUNCTION("""COMPUTED_VALUE"""),"Kind Hearts and Coronets")</f>
        <v>Kind Hearts and Coronets</v>
      </c>
      <c r="J1801" s="5" t="str">
        <f>IFERROR(__xludf.DUMMYFUNCTION("""COMPUTED_VALUE"""),"Joan Greenwood")</f>
        <v>Joan Greenwood</v>
      </c>
      <c r="K1801" s="5" t="str">
        <f>IFERROR(__xludf.DUMMYFUNCTION("""COMPUTED_VALUE"""),"Estrela 4")</f>
        <v>Estrela 4</v>
      </c>
      <c r="P1801" s="5">
        <f>IFERROR(__xludf.DUMMYFUNCTION("""COMPUTED_VALUE"""),450.0)</f>
        <v>450</v>
      </c>
      <c r="Q1801" s="5" t="str">
        <f>IFERROR(__xludf.DUMMYFUNCTION("""COMPUTED_VALUE"""),"Kind Hearts and Coronets")</f>
        <v>Kind Hearts and Coronets</v>
      </c>
      <c r="R1801" s="5" t="str">
        <f>IFERROR(__xludf.DUMMYFUNCTION("""COMPUTED_VALUE"""),"Joan Greenwood")</f>
        <v>Joan Greenwood</v>
      </c>
      <c r="S1801" s="5" t="str">
        <f>IFERROR(__xludf.DUMMYFUNCTION("""COMPUTED_VALUE"""),"Estrela 4")</f>
        <v>Estrela 4</v>
      </c>
    </row>
    <row r="1802">
      <c r="G1802" s="5" t="str">
        <f>IFERROR(__xludf.DUMMYFUNCTION("""COMPUTED_VALUE"""),"451🤙🏼Rope🤙🏼James Stewart🤙🏼Estrela 1")</f>
        <v>451🤙🏼Rope🤙🏼James Stewart🤙🏼Estrela 1</v>
      </c>
      <c r="H1802" s="5">
        <f>IFERROR(__xludf.DUMMYFUNCTION("SPLiT(G1802, ""🤙🏼"",FALSE,FALSE)"),451.0)</f>
        <v>451</v>
      </c>
      <c r="I1802" s="5" t="str">
        <f>IFERROR(__xludf.DUMMYFUNCTION("""COMPUTED_VALUE"""),"Rope")</f>
        <v>Rope</v>
      </c>
      <c r="J1802" s="5" t="str">
        <f>IFERROR(__xludf.DUMMYFUNCTION("""COMPUTED_VALUE"""),"James Stewart")</f>
        <v>James Stewart</v>
      </c>
      <c r="K1802" s="5" t="str">
        <f>IFERROR(__xludf.DUMMYFUNCTION("""COMPUTED_VALUE"""),"Estrela 1")</f>
        <v>Estrela 1</v>
      </c>
      <c r="P1802" s="5">
        <f>IFERROR(__xludf.DUMMYFUNCTION("""COMPUTED_VALUE"""),451.0)</f>
        <v>451</v>
      </c>
      <c r="Q1802" s="5" t="str">
        <f>IFERROR(__xludf.DUMMYFUNCTION("""COMPUTED_VALUE"""),"Rope")</f>
        <v>Rope</v>
      </c>
      <c r="R1802" s="5" t="str">
        <f>IFERROR(__xludf.DUMMYFUNCTION("""COMPUTED_VALUE"""),"James Stewart")</f>
        <v>James Stewart</v>
      </c>
      <c r="S1802" s="5" t="str">
        <f>IFERROR(__xludf.DUMMYFUNCTION("""COMPUTED_VALUE"""),"Estrela 1")</f>
        <v>Estrela 1</v>
      </c>
    </row>
    <row r="1803">
      <c r="G1803" s="5" t="str">
        <f>IFERROR(__xludf.DUMMYFUNCTION("""COMPUTED_VALUE"""),"451🤙🏼Rope🤙🏼John Dall🤙🏼Estrela 2")</f>
        <v>451🤙🏼Rope🤙🏼John Dall🤙🏼Estrela 2</v>
      </c>
      <c r="H1803" s="5">
        <f>IFERROR(__xludf.DUMMYFUNCTION("SPLiT(G1803, ""🤙🏼"",FALSE,FALSE)"),451.0)</f>
        <v>451</v>
      </c>
      <c r="I1803" s="5" t="str">
        <f>IFERROR(__xludf.DUMMYFUNCTION("""COMPUTED_VALUE"""),"Rope")</f>
        <v>Rope</v>
      </c>
      <c r="J1803" s="5" t="str">
        <f>IFERROR(__xludf.DUMMYFUNCTION("""COMPUTED_VALUE"""),"John Dall")</f>
        <v>John Dall</v>
      </c>
      <c r="K1803" s="5" t="str">
        <f>IFERROR(__xludf.DUMMYFUNCTION("""COMPUTED_VALUE"""),"Estrela 2")</f>
        <v>Estrela 2</v>
      </c>
      <c r="P1803" s="5">
        <f>IFERROR(__xludf.DUMMYFUNCTION("""COMPUTED_VALUE"""),451.0)</f>
        <v>451</v>
      </c>
      <c r="Q1803" s="5" t="str">
        <f>IFERROR(__xludf.DUMMYFUNCTION("""COMPUTED_VALUE"""),"Rope")</f>
        <v>Rope</v>
      </c>
      <c r="R1803" s="5" t="str">
        <f>IFERROR(__xludf.DUMMYFUNCTION("""COMPUTED_VALUE"""),"John Dall")</f>
        <v>John Dall</v>
      </c>
      <c r="S1803" s="5" t="str">
        <f>IFERROR(__xludf.DUMMYFUNCTION("""COMPUTED_VALUE"""),"Estrela 2")</f>
        <v>Estrela 2</v>
      </c>
    </row>
    <row r="1804">
      <c r="G1804" s="5" t="str">
        <f>IFERROR(__xludf.DUMMYFUNCTION("""COMPUTED_VALUE"""),"451🤙🏼Rope🤙🏼Farley Granger🤙🏼Estrela 3")</f>
        <v>451🤙🏼Rope🤙🏼Farley Granger🤙🏼Estrela 3</v>
      </c>
      <c r="H1804" s="5">
        <f>IFERROR(__xludf.DUMMYFUNCTION("SPLiT(G1804, ""🤙🏼"",FALSE,FALSE)"),451.0)</f>
        <v>451</v>
      </c>
      <c r="I1804" s="5" t="str">
        <f>IFERROR(__xludf.DUMMYFUNCTION("""COMPUTED_VALUE"""),"Rope")</f>
        <v>Rope</v>
      </c>
      <c r="J1804" s="5" t="str">
        <f>IFERROR(__xludf.DUMMYFUNCTION("""COMPUTED_VALUE"""),"Farley Granger")</f>
        <v>Farley Granger</v>
      </c>
      <c r="K1804" s="5" t="str">
        <f>IFERROR(__xludf.DUMMYFUNCTION("""COMPUTED_VALUE"""),"Estrela 3")</f>
        <v>Estrela 3</v>
      </c>
      <c r="P1804" s="5">
        <f>IFERROR(__xludf.DUMMYFUNCTION("""COMPUTED_VALUE"""),451.0)</f>
        <v>451</v>
      </c>
      <c r="Q1804" s="5" t="str">
        <f>IFERROR(__xludf.DUMMYFUNCTION("""COMPUTED_VALUE"""),"Rope")</f>
        <v>Rope</v>
      </c>
      <c r="R1804" s="5" t="str">
        <f>IFERROR(__xludf.DUMMYFUNCTION("""COMPUTED_VALUE"""),"Farley Granger")</f>
        <v>Farley Granger</v>
      </c>
      <c r="S1804" s="5" t="str">
        <f>IFERROR(__xludf.DUMMYFUNCTION("""COMPUTED_VALUE"""),"Estrela 3")</f>
        <v>Estrela 3</v>
      </c>
    </row>
    <row r="1805">
      <c r="G1805" s="5" t="str">
        <f>IFERROR(__xludf.DUMMYFUNCTION("""COMPUTED_VALUE"""),"451🤙🏼Rope🤙🏼Dick Hogan🤙🏼Estrela 4")</f>
        <v>451🤙🏼Rope🤙🏼Dick Hogan🤙🏼Estrela 4</v>
      </c>
      <c r="H1805" s="5">
        <f>IFERROR(__xludf.DUMMYFUNCTION("SPLiT(G1805, ""🤙🏼"",FALSE,FALSE)"),451.0)</f>
        <v>451</v>
      </c>
      <c r="I1805" s="5" t="str">
        <f>IFERROR(__xludf.DUMMYFUNCTION("""COMPUTED_VALUE"""),"Rope")</f>
        <v>Rope</v>
      </c>
      <c r="J1805" s="5" t="str">
        <f>IFERROR(__xludf.DUMMYFUNCTION("""COMPUTED_VALUE"""),"Dick Hogan")</f>
        <v>Dick Hogan</v>
      </c>
      <c r="K1805" s="5" t="str">
        <f>IFERROR(__xludf.DUMMYFUNCTION("""COMPUTED_VALUE"""),"Estrela 4")</f>
        <v>Estrela 4</v>
      </c>
      <c r="P1805" s="5">
        <f>IFERROR(__xludf.DUMMYFUNCTION("""COMPUTED_VALUE"""),451.0)</f>
        <v>451</v>
      </c>
      <c r="Q1805" s="5" t="str">
        <f>IFERROR(__xludf.DUMMYFUNCTION("""COMPUTED_VALUE"""),"Rope")</f>
        <v>Rope</v>
      </c>
      <c r="R1805" s="5" t="str">
        <f>IFERROR(__xludf.DUMMYFUNCTION("""COMPUTED_VALUE"""),"Dick Hogan")</f>
        <v>Dick Hogan</v>
      </c>
      <c r="S1805" s="5" t="str">
        <f>IFERROR(__xludf.DUMMYFUNCTION("""COMPUTED_VALUE"""),"Estrela 4")</f>
        <v>Estrela 4</v>
      </c>
    </row>
    <row r="1806">
      <c r="G1806" s="5" t="str">
        <f>IFERROR(__xludf.DUMMYFUNCTION("""COMPUTED_VALUE"""),"452🤙🏼Out of the Past🤙🏼Robert Mitchum🤙🏼Estrela 1")</f>
        <v>452🤙🏼Out of the Past🤙🏼Robert Mitchum🤙🏼Estrela 1</v>
      </c>
      <c r="H1806" s="5">
        <f>IFERROR(__xludf.DUMMYFUNCTION("SPLiT(G1806, ""🤙🏼"",FALSE,FALSE)"),452.0)</f>
        <v>452</v>
      </c>
      <c r="I1806" s="5" t="str">
        <f>IFERROR(__xludf.DUMMYFUNCTION("""COMPUTED_VALUE"""),"Out of the Past")</f>
        <v>Out of the Past</v>
      </c>
      <c r="J1806" s="5" t="str">
        <f>IFERROR(__xludf.DUMMYFUNCTION("""COMPUTED_VALUE"""),"Robert Mitchum")</f>
        <v>Robert Mitchum</v>
      </c>
      <c r="K1806" s="5" t="str">
        <f>IFERROR(__xludf.DUMMYFUNCTION("""COMPUTED_VALUE"""),"Estrela 1")</f>
        <v>Estrela 1</v>
      </c>
      <c r="P1806" s="5">
        <f>IFERROR(__xludf.DUMMYFUNCTION("""COMPUTED_VALUE"""),452.0)</f>
        <v>452</v>
      </c>
      <c r="Q1806" s="5" t="str">
        <f>IFERROR(__xludf.DUMMYFUNCTION("""COMPUTED_VALUE"""),"Out of the Past")</f>
        <v>Out of the Past</v>
      </c>
      <c r="R1806" s="5" t="str">
        <f>IFERROR(__xludf.DUMMYFUNCTION("""COMPUTED_VALUE"""),"Robert Mitchum")</f>
        <v>Robert Mitchum</v>
      </c>
      <c r="S1806" s="5" t="str">
        <f>IFERROR(__xludf.DUMMYFUNCTION("""COMPUTED_VALUE"""),"Estrela 1")</f>
        <v>Estrela 1</v>
      </c>
    </row>
    <row r="1807">
      <c r="G1807" s="5" t="str">
        <f>IFERROR(__xludf.DUMMYFUNCTION("""COMPUTED_VALUE"""),"452🤙🏼Out of the Past🤙🏼Jane Greer🤙🏼Estrela 2")</f>
        <v>452🤙🏼Out of the Past🤙🏼Jane Greer🤙🏼Estrela 2</v>
      </c>
      <c r="H1807" s="5">
        <f>IFERROR(__xludf.DUMMYFUNCTION("SPLiT(G1807, ""🤙🏼"",FALSE,FALSE)"),452.0)</f>
        <v>452</v>
      </c>
      <c r="I1807" s="5" t="str">
        <f>IFERROR(__xludf.DUMMYFUNCTION("""COMPUTED_VALUE"""),"Out of the Past")</f>
        <v>Out of the Past</v>
      </c>
      <c r="J1807" s="5" t="str">
        <f>IFERROR(__xludf.DUMMYFUNCTION("""COMPUTED_VALUE"""),"Jane Greer")</f>
        <v>Jane Greer</v>
      </c>
      <c r="K1807" s="5" t="str">
        <f>IFERROR(__xludf.DUMMYFUNCTION("""COMPUTED_VALUE"""),"Estrela 2")</f>
        <v>Estrela 2</v>
      </c>
      <c r="P1807" s="5">
        <f>IFERROR(__xludf.DUMMYFUNCTION("""COMPUTED_VALUE"""),452.0)</f>
        <v>452</v>
      </c>
      <c r="Q1807" s="5" t="str">
        <f>IFERROR(__xludf.DUMMYFUNCTION("""COMPUTED_VALUE"""),"Out of the Past")</f>
        <v>Out of the Past</v>
      </c>
      <c r="R1807" s="5" t="str">
        <f>IFERROR(__xludf.DUMMYFUNCTION("""COMPUTED_VALUE"""),"Jane Greer")</f>
        <v>Jane Greer</v>
      </c>
      <c r="S1807" s="5" t="str">
        <f>IFERROR(__xludf.DUMMYFUNCTION("""COMPUTED_VALUE"""),"Estrela 2")</f>
        <v>Estrela 2</v>
      </c>
    </row>
    <row r="1808">
      <c r="G1808" s="5" t="str">
        <f>IFERROR(__xludf.DUMMYFUNCTION("""COMPUTED_VALUE"""),"452🤙🏼Out of the Past🤙🏼Kirk Douglas🤙🏼Estrela 3")</f>
        <v>452🤙🏼Out of the Past🤙🏼Kirk Douglas🤙🏼Estrela 3</v>
      </c>
      <c r="H1808" s="5">
        <f>IFERROR(__xludf.DUMMYFUNCTION("SPLiT(G1808, ""🤙🏼"",FALSE,FALSE)"),452.0)</f>
        <v>452</v>
      </c>
      <c r="I1808" s="5" t="str">
        <f>IFERROR(__xludf.DUMMYFUNCTION("""COMPUTED_VALUE"""),"Out of the Past")</f>
        <v>Out of the Past</v>
      </c>
      <c r="J1808" s="5" t="str">
        <f>IFERROR(__xludf.DUMMYFUNCTION("""COMPUTED_VALUE"""),"Kirk Douglas")</f>
        <v>Kirk Douglas</v>
      </c>
      <c r="K1808" s="5" t="str">
        <f>IFERROR(__xludf.DUMMYFUNCTION("""COMPUTED_VALUE"""),"Estrela 3")</f>
        <v>Estrela 3</v>
      </c>
      <c r="P1808" s="5">
        <f>IFERROR(__xludf.DUMMYFUNCTION("""COMPUTED_VALUE"""),452.0)</f>
        <v>452</v>
      </c>
      <c r="Q1808" s="5" t="str">
        <f>IFERROR(__xludf.DUMMYFUNCTION("""COMPUTED_VALUE"""),"Out of the Past")</f>
        <v>Out of the Past</v>
      </c>
      <c r="R1808" s="5" t="str">
        <f>IFERROR(__xludf.DUMMYFUNCTION("""COMPUTED_VALUE"""),"Kirk Douglas")</f>
        <v>Kirk Douglas</v>
      </c>
      <c r="S1808" s="5" t="str">
        <f>IFERROR(__xludf.DUMMYFUNCTION("""COMPUTED_VALUE"""),"Estrela 3")</f>
        <v>Estrela 3</v>
      </c>
    </row>
    <row r="1809">
      <c r="G1809" s="5" t="str">
        <f>IFERROR(__xludf.DUMMYFUNCTION("""COMPUTED_VALUE"""),"452🤙🏼Out of the Past🤙🏼Rhonda Fleming🤙🏼Estrela 4")</f>
        <v>452🤙🏼Out of the Past🤙🏼Rhonda Fleming🤙🏼Estrela 4</v>
      </c>
      <c r="H1809" s="5">
        <f>IFERROR(__xludf.DUMMYFUNCTION("SPLiT(G1809, ""🤙🏼"",FALSE,FALSE)"),452.0)</f>
        <v>452</v>
      </c>
      <c r="I1809" s="5" t="str">
        <f>IFERROR(__xludf.DUMMYFUNCTION("""COMPUTED_VALUE"""),"Out of the Past")</f>
        <v>Out of the Past</v>
      </c>
      <c r="J1809" s="5" t="str">
        <f>IFERROR(__xludf.DUMMYFUNCTION("""COMPUTED_VALUE"""),"Rhonda Fleming")</f>
        <v>Rhonda Fleming</v>
      </c>
      <c r="K1809" s="5" t="str">
        <f>IFERROR(__xludf.DUMMYFUNCTION("""COMPUTED_VALUE"""),"Estrela 4")</f>
        <v>Estrela 4</v>
      </c>
      <c r="P1809" s="5">
        <f>IFERROR(__xludf.DUMMYFUNCTION("""COMPUTED_VALUE"""),452.0)</f>
        <v>452</v>
      </c>
      <c r="Q1809" s="5" t="str">
        <f>IFERROR(__xludf.DUMMYFUNCTION("""COMPUTED_VALUE"""),"Out of the Past")</f>
        <v>Out of the Past</v>
      </c>
      <c r="R1809" s="5" t="str">
        <f>IFERROR(__xludf.DUMMYFUNCTION("""COMPUTED_VALUE"""),"Rhonda Fleming")</f>
        <v>Rhonda Fleming</v>
      </c>
      <c r="S1809" s="5" t="str">
        <f>IFERROR(__xludf.DUMMYFUNCTION("""COMPUTED_VALUE"""),"Estrela 4")</f>
        <v>Estrela 4</v>
      </c>
    </row>
    <row r="1810">
      <c r="G1810" s="5" t="str">
        <f>IFERROR(__xludf.DUMMYFUNCTION("""COMPUTED_VALUE"""),"453🤙🏼Brief Encounter🤙🏼Celia Johnson🤙🏼Estrela 1")</f>
        <v>453🤙🏼Brief Encounter🤙🏼Celia Johnson🤙🏼Estrela 1</v>
      </c>
      <c r="H1810" s="5">
        <f>IFERROR(__xludf.DUMMYFUNCTION("SPLiT(G1810, ""🤙🏼"",FALSE,FALSE)"),453.0)</f>
        <v>453</v>
      </c>
      <c r="I1810" s="5" t="str">
        <f>IFERROR(__xludf.DUMMYFUNCTION("""COMPUTED_VALUE"""),"Brief Encounter")</f>
        <v>Brief Encounter</v>
      </c>
      <c r="J1810" s="5" t="str">
        <f>IFERROR(__xludf.DUMMYFUNCTION("""COMPUTED_VALUE"""),"Celia Johnson")</f>
        <v>Celia Johnson</v>
      </c>
      <c r="K1810" s="5" t="str">
        <f>IFERROR(__xludf.DUMMYFUNCTION("""COMPUTED_VALUE"""),"Estrela 1")</f>
        <v>Estrela 1</v>
      </c>
      <c r="P1810" s="5">
        <f>IFERROR(__xludf.DUMMYFUNCTION("""COMPUTED_VALUE"""),453.0)</f>
        <v>453</v>
      </c>
      <c r="Q1810" s="5" t="str">
        <f>IFERROR(__xludf.DUMMYFUNCTION("""COMPUTED_VALUE"""),"Brief Encounter")</f>
        <v>Brief Encounter</v>
      </c>
      <c r="R1810" s="5" t="str">
        <f>IFERROR(__xludf.DUMMYFUNCTION("""COMPUTED_VALUE"""),"Celia Johnson")</f>
        <v>Celia Johnson</v>
      </c>
      <c r="S1810" s="5" t="str">
        <f>IFERROR(__xludf.DUMMYFUNCTION("""COMPUTED_VALUE"""),"Estrela 1")</f>
        <v>Estrela 1</v>
      </c>
    </row>
    <row r="1811">
      <c r="G1811" s="5" t="str">
        <f>IFERROR(__xludf.DUMMYFUNCTION("""COMPUTED_VALUE"""),"453🤙🏼Brief Encounter🤙🏼Trevor Howard🤙🏼Estrela 2")</f>
        <v>453🤙🏼Brief Encounter🤙🏼Trevor Howard🤙🏼Estrela 2</v>
      </c>
      <c r="H1811" s="5">
        <f>IFERROR(__xludf.DUMMYFUNCTION("SPLiT(G1811, ""🤙🏼"",FALSE,FALSE)"),453.0)</f>
        <v>453</v>
      </c>
      <c r="I1811" s="5" t="str">
        <f>IFERROR(__xludf.DUMMYFUNCTION("""COMPUTED_VALUE"""),"Brief Encounter")</f>
        <v>Brief Encounter</v>
      </c>
      <c r="J1811" s="5" t="str">
        <f>IFERROR(__xludf.DUMMYFUNCTION("""COMPUTED_VALUE"""),"Trevor Howard")</f>
        <v>Trevor Howard</v>
      </c>
      <c r="K1811" s="5" t="str">
        <f>IFERROR(__xludf.DUMMYFUNCTION("""COMPUTED_VALUE"""),"Estrela 2")</f>
        <v>Estrela 2</v>
      </c>
      <c r="P1811" s="5">
        <f>IFERROR(__xludf.DUMMYFUNCTION("""COMPUTED_VALUE"""),453.0)</f>
        <v>453</v>
      </c>
      <c r="Q1811" s="5" t="str">
        <f>IFERROR(__xludf.DUMMYFUNCTION("""COMPUTED_VALUE"""),"Brief Encounter")</f>
        <v>Brief Encounter</v>
      </c>
      <c r="R1811" s="5" t="str">
        <f>IFERROR(__xludf.DUMMYFUNCTION("""COMPUTED_VALUE"""),"Trevor Howard")</f>
        <v>Trevor Howard</v>
      </c>
      <c r="S1811" s="5" t="str">
        <f>IFERROR(__xludf.DUMMYFUNCTION("""COMPUTED_VALUE"""),"Estrela 2")</f>
        <v>Estrela 2</v>
      </c>
    </row>
    <row r="1812">
      <c r="G1812" s="5" t="str">
        <f>IFERROR(__xludf.DUMMYFUNCTION("""COMPUTED_VALUE"""),"453🤙🏼Brief Encounter🤙🏼Stanley Holloway🤙🏼Estrela 3")</f>
        <v>453🤙🏼Brief Encounter🤙🏼Stanley Holloway🤙🏼Estrela 3</v>
      </c>
      <c r="H1812" s="5">
        <f>IFERROR(__xludf.DUMMYFUNCTION("SPLiT(G1812, ""🤙🏼"",FALSE,FALSE)"),453.0)</f>
        <v>453</v>
      </c>
      <c r="I1812" s="5" t="str">
        <f>IFERROR(__xludf.DUMMYFUNCTION("""COMPUTED_VALUE"""),"Brief Encounter")</f>
        <v>Brief Encounter</v>
      </c>
      <c r="J1812" s="5" t="str">
        <f>IFERROR(__xludf.DUMMYFUNCTION("""COMPUTED_VALUE"""),"Stanley Holloway")</f>
        <v>Stanley Holloway</v>
      </c>
      <c r="K1812" s="5" t="str">
        <f>IFERROR(__xludf.DUMMYFUNCTION("""COMPUTED_VALUE"""),"Estrela 3")</f>
        <v>Estrela 3</v>
      </c>
      <c r="P1812" s="5">
        <f>IFERROR(__xludf.DUMMYFUNCTION("""COMPUTED_VALUE"""),453.0)</f>
        <v>453</v>
      </c>
      <c r="Q1812" s="5" t="str">
        <f>IFERROR(__xludf.DUMMYFUNCTION("""COMPUTED_VALUE"""),"Brief Encounter")</f>
        <v>Brief Encounter</v>
      </c>
      <c r="R1812" s="5" t="str">
        <f>IFERROR(__xludf.DUMMYFUNCTION("""COMPUTED_VALUE"""),"Stanley Holloway")</f>
        <v>Stanley Holloway</v>
      </c>
      <c r="S1812" s="5" t="str">
        <f>IFERROR(__xludf.DUMMYFUNCTION("""COMPUTED_VALUE"""),"Estrela 3")</f>
        <v>Estrela 3</v>
      </c>
    </row>
    <row r="1813">
      <c r="G1813" s="5" t="str">
        <f>IFERROR(__xludf.DUMMYFUNCTION("""COMPUTED_VALUE"""),"453🤙🏼Brief Encounter🤙🏼Joyce Carey🤙🏼Estrela 4")</f>
        <v>453🤙🏼Brief Encounter🤙🏼Joyce Carey🤙🏼Estrela 4</v>
      </c>
      <c r="H1813" s="5">
        <f>IFERROR(__xludf.DUMMYFUNCTION("SPLiT(G1813, ""🤙🏼"",FALSE,FALSE)"),453.0)</f>
        <v>453</v>
      </c>
      <c r="I1813" s="5" t="str">
        <f>IFERROR(__xludf.DUMMYFUNCTION("""COMPUTED_VALUE"""),"Brief Encounter")</f>
        <v>Brief Encounter</v>
      </c>
      <c r="J1813" s="5" t="str">
        <f>IFERROR(__xludf.DUMMYFUNCTION("""COMPUTED_VALUE"""),"Joyce Carey")</f>
        <v>Joyce Carey</v>
      </c>
      <c r="K1813" s="5" t="str">
        <f>IFERROR(__xludf.DUMMYFUNCTION("""COMPUTED_VALUE"""),"Estrela 4")</f>
        <v>Estrela 4</v>
      </c>
      <c r="P1813" s="5">
        <f>IFERROR(__xludf.DUMMYFUNCTION("""COMPUTED_VALUE"""),453.0)</f>
        <v>453</v>
      </c>
      <c r="Q1813" s="5" t="str">
        <f>IFERROR(__xludf.DUMMYFUNCTION("""COMPUTED_VALUE"""),"Brief Encounter")</f>
        <v>Brief Encounter</v>
      </c>
      <c r="R1813" s="5" t="str">
        <f>IFERROR(__xludf.DUMMYFUNCTION("""COMPUTED_VALUE"""),"Joyce Carey")</f>
        <v>Joyce Carey</v>
      </c>
      <c r="S1813" s="5" t="str">
        <f>IFERROR(__xludf.DUMMYFUNCTION("""COMPUTED_VALUE"""),"Estrela 4")</f>
        <v>Estrela 4</v>
      </c>
    </row>
    <row r="1814">
      <c r="G1814" s="5" t="str">
        <f>IFERROR(__xludf.DUMMYFUNCTION("""COMPUTED_VALUE"""),"454🤙🏼Laura🤙🏼Gene Tierney🤙🏼Estrela 1")</f>
        <v>454🤙🏼Laura🤙🏼Gene Tierney🤙🏼Estrela 1</v>
      </c>
      <c r="H1814" s="5">
        <f>IFERROR(__xludf.DUMMYFUNCTION("SPLiT(G1814, ""🤙🏼"",FALSE,FALSE)"),454.0)</f>
        <v>454</v>
      </c>
      <c r="I1814" s="5" t="str">
        <f>IFERROR(__xludf.DUMMYFUNCTION("""COMPUTED_VALUE"""),"Laura")</f>
        <v>Laura</v>
      </c>
      <c r="J1814" s="5" t="str">
        <f>IFERROR(__xludf.DUMMYFUNCTION("""COMPUTED_VALUE"""),"Gene Tierney")</f>
        <v>Gene Tierney</v>
      </c>
      <c r="K1814" s="5" t="str">
        <f>IFERROR(__xludf.DUMMYFUNCTION("""COMPUTED_VALUE"""),"Estrela 1")</f>
        <v>Estrela 1</v>
      </c>
      <c r="P1814" s="5">
        <f>IFERROR(__xludf.DUMMYFUNCTION("""COMPUTED_VALUE"""),454.0)</f>
        <v>454</v>
      </c>
      <c r="Q1814" s="5" t="str">
        <f>IFERROR(__xludf.DUMMYFUNCTION("""COMPUTED_VALUE"""),"Laura")</f>
        <v>Laura</v>
      </c>
      <c r="R1814" s="5" t="str">
        <f>IFERROR(__xludf.DUMMYFUNCTION("""COMPUTED_VALUE"""),"Gene Tierney")</f>
        <v>Gene Tierney</v>
      </c>
      <c r="S1814" s="5" t="str">
        <f>IFERROR(__xludf.DUMMYFUNCTION("""COMPUTED_VALUE"""),"Estrela 1")</f>
        <v>Estrela 1</v>
      </c>
    </row>
    <row r="1815">
      <c r="G1815" s="5" t="str">
        <f>IFERROR(__xludf.DUMMYFUNCTION("""COMPUTED_VALUE"""),"454🤙🏼Laura🤙🏼Dana Andrews🤙🏼Estrela 2")</f>
        <v>454🤙🏼Laura🤙🏼Dana Andrews🤙🏼Estrela 2</v>
      </c>
      <c r="H1815" s="5">
        <f>IFERROR(__xludf.DUMMYFUNCTION("SPLiT(G1815, ""🤙🏼"",FALSE,FALSE)"),454.0)</f>
        <v>454</v>
      </c>
      <c r="I1815" s="5" t="str">
        <f>IFERROR(__xludf.DUMMYFUNCTION("""COMPUTED_VALUE"""),"Laura")</f>
        <v>Laura</v>
      </c>
      <c r="J1815" s="5" t="str">
        <f>IFERROR(__xludf.DUMMYFUNCTION("""COMPUTED_VALUE"""),"Dana Andrews")</f>
        <v>Dana Andrews</v>
      </c>
      <c r="K1815" s="5" t="str">
        <f>IFERROR(__xludf.DUMMYFUNCTION("""COMPUTED_VALUE"""),"Estrela 2")</f>
        <v>Estrela 2</v>
      </c>
      <c r="P1815" s="5">
        <f>IFERROR(__xludf.DUMMYFUNCTION("""COMPUTED_VALUE"""),454.0)</f>
        <v>454</v>
      </c>
      <c r="Q1815" s="5" t="str">
        <f>IFERROR(__xludf.DUMMYFUNCTION("""COMPUTED_VALUE"""),"Laura")</f>
        <v>Laura</v>
      </c>
      <c r="R1815" s="5" t="str">
        <f>IFERROR(__xludf.DUMMYFUNCTION("""COMPUTED_VALUE"""),"Dana Andrews")</f>
        <v>Dana Andrews</v>
      </c>
      <c r="S1815" s="5" t="str">
        <f>IFERROR(__xludf.DUMMYFUNCTION("""COMPUTED_VALUE"""),"Estrela 2")</f>
        <v>Estrela 2</v>
      </c>
    </row>
    <row r="1816">
      <c r="G1816" s="5" t="str">
        <f>IFERROR(__xludf.DUMMYFUNCTION("""COMPUTED_VALUE"""),"454🤙🏼Laura🤙🏼Clifton Webb🤙🏼Estrela 3")</f>
        <v>454🤙🏼Laura🤙🏼Clifton Webb🤙🏼Estrela 3</v>
      </c>
      <c r="H1816" s="5">
        <f>IFERROR(__xludf.DUMMYFUNCTION("SPLiT(G1816, ""🤙🏼"",FALSE,FALSE)"),454.0)</f>
        <v>454</v>
      </c>
      <c r="I1816" s="5" t="str">
        <f>IFERROR(__xludf.DUMMYFUNCTION("""COMPUTED_VALUE"""),"Laura")</f>
        <v>Laura</v>
      </c>
      <c r="J1816" s="5" t="str">
        <f>IFERROR(__xludf.DUMMYFUNCTION("""COMPUTED_VALUE"""),"Clifton Webb")</f>
        <v>Clifton Webb</v>
      </c>
      <c r="K1816" s="5" t="str">
        <f>IFERROR(__xludf.DUMMYFUNCTION("""COMPUTED_VALUE"""),"Estrela 3")</f>
        <v>Estrela 3</v>
      </c>
      <c r="P1816" s="5">
        <f>IFERROR(__xludf.DUMMYFUNCTION("""COMPUTED_VALUE"""),454.0)</f>
        <v>454</v>
      </c>
      <c r="Q1816" s="5" t="str">
        <f>IFERROR(__xludf.DUMMYFUNCTION("""COMPUTED_VALUE"""),"Laura")</f>
        <v>Laura</v>
      </c>
      <c r="R1816" s="5" t="str">
        <f>IFERROR(__xludf.DUMMYFUNCTION("""COMPUTED_VALUE"""),"Clifton Webb")</f>
        <v>Clifton Webb</v>
      </c>
      <c r="S1816" s="5" t="str">
        <f>IFERROR(__xludf.DUMMYFUNCTION("""COMPUTED_VALUE"""),"Estrela 3")</f>
        <v>Estrela 3</v>
      </c>
    </row>
    <row r="1817">
      <c r="G1817" s="5" t="str">
        <f>IFERROR(__xludf.DUMMYFUNCTION("""COMPUTED_VALUE"""),"454🤙🏼Laura🤙🏼Vincent Price🤙🏼Estrela 4")</f>
        <v>454🤙🏼Laura🤙🏼Vincent Price🤙🏼Estrela 4</v>
      </c>
      <c r="H1817" s="5">
        <f>IFERROR(__xludf.DUMMYFUNCTION("SPLiT(G1817, ""🤙🏼"",FALSE,FALSE)"),454.0)</f>
        <v>454</v>
      </c>
      <c r="I1817" s="5" t="str">
        <f>IFERROR(__xludf.DUMMYFUNCTION("""COMPUTED_VALUE"""),"Laura")</f>
        <v>Laura</v>
      </c>
      <c r="J1817" s="5" t="str">
        <f>IFERROR(__xludf.DUMMYFUNCTION("""COMPUTED_VALUE"""),"Vincent Price")</f>
        <v>Vincent Price</v>
      </c>
      <c r="K1817" s="5" t="str">
        <f>IFERROR(__xludf.DUMMYFUNCTION("""COMPUTED_VALUE"""),"Estrela 4")</f>
        <v>Estrela 4</v>
      </c>
      <c r="P1817" s="5">
        <f>IFERROR(__xludf.DUMMYFUNCTION("""COMPUTED_VALUE"""),454.0)</f>
        <v>454</v>
      </c>
      <c r="Q1817" s="5" t="str">
        <f>IFERROR(__xludf.DUMMYFUNCTION("""COMPUTED_VALUE"""),"Laura")</f>
        <v>Laura</v>
      </c>
      <c r="R1817" s="5" t="str">
        <f>IFERROR(__xludf.DUMMYFUNCTION("""COMPUTED_VALUE"""),"Vincent Price")</f>
        <v>Vincent Price</v>
      </c>
      <c r="S1817" s="5" t="str">
        <f>IFERROR(__xludf.DUMMYFUNCTION("""COMPUTED_VALUE"""),"Estrela 4")</f>
        <v>Estrela 4</v>
      </c>
    </row>
    <row r="1818">
      <c r="G1818" s="5" t="str">
        <f>IFERROR(__xludf.DUMMYFUNCTION("""COMPUTED_VALUE"""),"455🤙🏼The Best Years of Our Lives🤙🏼Myrna Loy🤙🏼Estrela 1")</f>
        <v>455🤙🏼The Best Years of Our Lives🤙🏼Myrna Loy🤙🏼Estrela 1</v>
      </c>
      <c r="H1818" s="5">
        <f>IFERROR(__xludf.DUMMYFUNCTION("SPLiT(G1818, ""🤙🏼"",FALSE,FALSE)"),455.0)</f>
        <v>455</v>
      </c>
      <c r="I1818" s="5" t="str">
        <f>IFERROR(__xludf.DUMMYFUNCTION("""COMPUTED_VALUE"""),"The Best Years of Our Lives")</f>
        <v>The Best Years of Our Lives</v>
      </c>
      <c r="J1818" s="5" t="str">
        <f>IFERROR(__xludf.DUMMYFUNCTION("""COMPUTED_VALUE"""),"Myrna Loy")</f>
        <v>Myrna Loy</v>
      </c>
      <c r="K1818" s="5" t="str">
        <f>IFERROR(__xludf.DUMMYFUNCTION("""COMPUTED_VALUE"""),"Estrela 1")</f>
        <v>Estrela 1</v>
      </c>
      <c r="P1818" s="5">
        <f>IFERROR(__xludf.DUMMYFUNCTION("""COMPUTED_VALUE"""),455.0)</f>
        <v>455</v>
      </c>
      <c r="Q1818" s="5" t="str">
        <f>IFERROR(__xludf.DUMMYFUNCTION("""COMPUTED_VALUE"""),"The Best Years of Our Lives")</f>
        <v>The Best Years of Our Lives</v>
      </c>
      <c r="R1818" s="5" t="str">
        <f>IFERROR(__xludf.DUMMYFUNCTION("""COMPUTED_VALUE"""),"Myrna Loy")</f>
        <v>Myrna Loy</v>
      </c>
      <c r="S1818" s="5" t="str">
        <f>IFERROR(__xludf.DUMMYFUNCTION("""COMPUTED_VALUE"""),"Estrela 1")</f>
        <v>Estrela 1</v>
      </c>
    </row>
    <row r="1819">
      <c r="G1819" s="5" t="str">
        <f>IFERROR(__xludf.DUMMYFUNCTION("""COMPUTED_VALUE"""),"455🤙🏼The Best Years of Our Lives🤙🏼Dana Andrews🤙🏼Estrela 2")</f>
        <v>455🤙🏼The Best Years of Our Lives🤙🏼Dana Andrews🤙🏼Estrela 2</v>
      </c>
      <c r="H1819" s="5">
        <f>IFERROR(__xludf.DUMMYFUNCTION("SPLiT(G1819, ""🤙🏼"",FALSE,FALSE)"),455.0)</f>
        <v>455</v>
      </c>
      <c r="I1819" s="5" t="str">
        <f>IFERROR(__xludf.DUMMYFUNCTION("""COMPUTED_VALUE"""),"The Best Years of Our Lives")</f>
        <v>The Best Years of Our Lives</v>
      </c>
      <c r="J1819" s="5" t="str">
        <f>IFERROR(__xludf.DUMMYFUNCTION("""COMPUTED_VALUE"""),"Dana Andrews")</f>
        <v>Dana Andrews</v>
      </c>
      <c r="K1819" s="5" t="str">
        <f>IFERROR(__xludf.DUMMYFUNCTION("""COMPUTED_VALUE"""),"Estrela 2")</f>
        <v>Estrela 2</v>
      </c>
      <c r="P1819" s="5">
        <f>IFERROR(__xludf.DUMMYFUNCTION("""COMPUTED_VALUE"""),455.0)</f>
        <v>455</v>
      </c>
      <c r="Q1819" s="5" t="str">
        <f>IFERROR(__xludf.DUMMYFUNCTION("""COMPUTED_VALUE"""),"The Best Years of Our Lives")</f>
        <v>The Best Years of Our Lives</v>
      </c>
      <c r="R1819" s="5" t="str">
        <f>IFERROR(__xludf.DUMMYFUNCTION("""COMPUTED_VALUE"""),"Dana Andrews")</f>
        <v>Dana Andrews</v>
      </c>
      <c r="S1819" s="5" t="str">
        <f>IFERROR(__xludf.DUMMYFUNCTION("""COMPUTED_VALUE"""),"Estrela 2")</f>
        <v>Estrela 2</v>
      </c>
    </row>
    <row r="1820">
      <c r="G1820" s="5" t="str">
        <f>IFERROR(__xludf.DUMMYFUNCTION("""COMPUTED_VALUE"""),"455🤙🏼The Best Years of Our Lives🤙🏼Fredric March🤙🏼Estrela 3")</f>
        <v>455🤙🏼The Best Years of Our Lives🤙🏼Fredric March🤙🏼Estrela 3</v>
      </c>
      <c r="H1820" s="5">
        <f>IFERROR(__xludf.DUMMYFUNCTION("SPLiT(G1820, ""🤙🏼"",FALSE,FALSE)"),455.0)</f>
        <v>455</v>
      </c>
      <c r="I1820" s="5" t="str">
        <f>IFERROR(__xludf.DUMMYFUNCTION("""COMPUTED_VALUE"""),"The Best Years of Our Lives")</f>
        <v>The Best Years of Our Lives</v>
      </c>
      <c r="J1820" s="5" t="str">
        <f>IFERROR(__xludf.DUMMYFUNCTION("""COMPUTED_VALUE"""),"Fredric March")</f>
        <v>Fredric March</v>
      </c>
      <c r="K1820" s="5" t="str">
        <f>IFERROR(__xludf.DUMMYFUNCTION("""COMPUTED_VALUE"""),"Estrela 3")</f>
        <v>Estrela 3</v>
      </c>
      <c r="P1820" s="5">
        <f>IFERROR(__xludf.DUMMYFUNCTION("""COMPUTED_VALUE"""),455.0)</f>
        <v>455</v>
      </c>
      <c r="Q1820" s="5" t="str">
        <f>IFERROR(__xludf.DUMMYFUNCTION("""COMPUTED_VALUE"""),"The Best Years of Our Lives")</f>
        <v>The Best Years of Our Lives</v>
      </c>
      <c r="R1820" s="5" t="str">
        <f>IFERROR(__xludf.DUMMYFUNCTION("""COMPUTED_VALUE"""),"Fredric March")</f>
        <v>Fredric March</v>
      </c>
      <c r="S1820" s="5" t="str">
        <f>IFERROR(__xludf.DUMMYFUNCTION("""COMPUTED_VALUE"""),"Estrela 3")</f>
        <v>Estrela 3</v>
      </c>
    </row>
    <row r="1821">
      <c r="G1821" s="5" t="str">
        <f>IFERROR(__xludf.DUMMYFUNCTION("""COMPUTED_VALUE"""),"455🤙🏼The Best Years of Our Lives🤙🏼Teresa Wright🤙🏼Estrela 4")</f>
        <v>455🤙🏼The Best Years of Our Lives🤙🏼Teresa Wright🤙🏼Estrela 4</v>
      </c>
      <c r="H1821" s="5">
        <f>IFERROR(__xludf.DUMMYFUNCTION("SPLiT(G1821, ""🤙🏼"",FALSE,FALSE)"),455.0)</f>
        <v>455</v>
      </c>
      <c r="I1821" s="5" t="str">
        <f>IFERROR(__xludf.DUMMYFUNCTION("""COMPUTED_VALUE"""),"The Best Years of Our Lives")</f>
        <v>The Best Years of Our Lives</v>
      </c>
      <c r="J1821" s="5" t="str">
        <f>IFERROR(__xludf.DUMMYFUNCTION("""COMPUTED_VALUE"""),"Teresa Wright")</f>
        <v>Teresa Wright</v>
      </c>
      <c r="K1821" s="5" t="str">
        <f>IFERROR(__xludf.DUMMYFUNCTION("""COMPUTED_VALUE"""),"Estrela 4")</f>
        <v>Estrela 4</v>
      </c>
      <c r="P1821" s="5">
        <f>IFERROR(__xludf.DUMMYFUNCTION("""COMPUTED_VALUE"""),455.0)</f>
        <v>455</v>
      </c>
      <c r="Q1821" s="5" t="str">
        <f>IFERROR(__xludf.DUMMYFUNCTION("""COMPUTED_VALUE"""),"The Best Years of Our Lives")</f>
        <v>The Best Years of Our Lives</v>
      </c>
      <c r="R1821" s="5" t="str">
        <f>IFERROR(__xludf.DUMMYFUNCTION("""COMPUTED_VALUE"""),"Teresa Wright")</f>
        <v>Teresa Wright</v>
      </c>
      <c r="S1821" s="5" t="str">
        <f>IFERROR(__xludf.DUMMYFUNCTION("""COMPUTED_VALUE"""),"Estrela 4")</f>
        <v>Estrela 4</v>
      </c>
    </row>
    <row r="1822">
      <c r="G1822" s="5" t="str">
        <f>IFERROR(__xludf.DUMMYFUNCTION("""COMPUTED_VALUE"""),"456🤙🏼Arsenic and Old Lace🤙🏼Cary Grant🤙🏼Estrela 1")</f>
        <v>456🤙🏼Arsenic and Old Lace🤙🏼Cary Grant🤙🏼Estrela 1</v>
      </c>
      <c r="H1822" s="5">
        <f>IFERROR(__xludf.DUMMYFUNCTION("SPLiT(G1822, ""🤙🏼"",FALSE,FALSE)"),456.0)</f>
        <v>456</v>
      </c>
      <c r="I1822" s="5" t="str">
        <f>IFERROR(__xludf.DUMMYFUNCTION("""COMPUTED_VALUE"""),"Arsenic and Old Lace")</f>
        <v>Arsenic and Old Lace</v>
      </c>
      <c r="J1822" s="5" t="str">
        <f>IFERROR(__xludf.DUMMYFUNCTION("""COMPUTED_VALUE"""),"Cary Grant")</f>
        <v>Cary Grant</v>
      </c>
      <c r="K1822" s="5" t="str">
        <f>IFERROR(__xludf.DUMMYFUNCTION("""COMPUTED_VALUE"""),"Estrela 1")</f>
        <v>Estrela 1</v>
      </c>
      <c r="P1822" s="5">
        <f>IFERROR(__xludf.DUMMYFUNCTION("""COMPUTED_VALUE"""),456.0)</f>
        <v>456</v>
      </c>
      <c r="Q1822" s="5" t="str">
        <f>IFERROR(__xludf.DUMMYFUNCTION("""COMPUTED_VALUE"""),"Arsenic and Old Lace")</f>
        <v>Arsenic and Old Lace</v>
      </c>
      <c r="R1822" s="5" t="str">
        <f>IFERROR(__xludf.DUMMYFUNCTION("""COMPUTED_VALUE"""),"Cary Grant")</f>
        <v>Cary Grant</v>
      </c>
      <c r="S1822" s="5" t="str">
        <f>IFERROR(__xludf.DUMMYFUNCTION("""COMPUTED_VALUE"""),"Estrela 1")</f>
        <v>Estrela 1</v>
      </c>
    </row>
    <row r="1823">
      <c r="G1823" s="5" t="str">
        <f>IFERROR(__xludf.DUMMYFUNCTION("""COMPUTED_VALUE"""),"456🤙🏼Arsenic and Old Lace🤙🏼Priscilla Lane🤙🏼Estrela 2")</f>
        <v>456🤙🏼Arsenic and Old Lace🤙🏼Priscilla Lane🤙🏼Estrela 2</v>
      </c>
      <c r="H1823" s="5">
        <f>IFERROR(__xludf.DUMMYFUNCTION("SPLiT(G1823, ""🤙🏼"",FALSE,FALSE)"),456.0)</f>
        <v>456</v>
      </c>
      <c r="I1823" s="5" t="str">
        <f>IFERROR(__xludf.DUMMYFUNCTION("""COMPUTED_VALUE"""),"Arsenic and Old Lace")</f>
        <v>Arsenic and Old Lace</v>
      </c>
      <c r="J1823" s="5" t="str">
        <f>IFERROR(__xludf.DUMMYFUNCTION("""COMPUTED_VALUE"""),"Priscilla Lane")</f>
        <v>Priscilla Lane</v>
      </c>
      <c r="K1823" s="5" t="str">
        <f>IFERROR(__xludf.DUMMYFUNCTION("""COMPUTED_VALUE"""),"Estrela 2")</f>
        <v>Estrela 2</v>
      </c>
      <c r="P1823" s="5">
        <f>IFERROR(__xludf.DUMMYFUNCTION("""COMPUTED_VALUE"""),456.0)</f>
        <v>456</v>
      </c>
      <c r="Q1823" s="5" t="str">
        <f>IFERROR(__xludf.DUMMYFUNCTION("""COMPUTED_VALUE"""),"Arsenic and Old Lace")</f>
        <v>Arsenic and Old Lace</v>
      </c>
      <c r="R1823" s="5" t="str">
        <f>IFERROR(__xludf.DUMMYFUNCTION("""COMPUTED_VALUE"""),"Priscilla Lane")</f>
        <v>Priscilla Lane</v>
      </c>
      <c r="S1823" s="5" t="str">
        <f>IFERROR(__xludf.DUMMYFUNCTION("""COMPUTED_VALUE"""),"Estrela 2")</f>
        <v>Estrela 2</v>
      </c>
    </row>
    <row r="1824">
      <c r="G1824" s="5" t="str">
        <f>IFERROR(__xludf.DUMMYFUNCTION("""COMPUTED_VALUE"""),"456🤙🏼Arsenic and Old Lace🤙🏼Raymond Massey🤙🏼Estrela 3")</f>
        <v>456🤙🏼Arsenic and Old Lace🤙🏼Raymond Massey🤙🏼Estrela 3</v>
      </c>
      <c r="H1824" s="5">
        <f>IFERROR(__xludf.DUMMYFUNCTION("SPLiT(G1824, ""🤙🏼"",FALSE,FALSE)"),456.0)</f>
        <v>456</v>
      </c>
      <c r="I1824" s="5" t="str">
        <f>IFERROR(__xludf.DUMMYFUNCTION("""COMPUTED_VALUE"""),"Arsenic and Old Lace")</f>
        <v>Arsenic and Old Lace</v>
      </c>
      <c r="J1824" s="5" t="str">
        <f>IFERROR(__xludf.DUMMYFUNCTION("""COMPUTED_VALUE"""),"Raymond Massey")</f>
        <v>Raymond Massey</v>
      </c>
      <c r="K1824" s="5" t="str">
        <f>IFERROR(__xludf.DUMMYFUNCTION("""COMPUTED_VALUE"""),"Estrela 3")</f>
        <v>Estrela 3</v>
      </c>
      <c r="P1824" s="5">
        <f>IFERROR(__xludf.DUMMYFUNCTION("""COMPUTED_VALUE"""),456.0)</f>
        <v>456</v>
      </c>
      <c r="Q1824" s="5" t="str">
        <f>IFERROR(__xludf.DUMMYFUNCTION("""COMPUTED_VALUE"""),"Arsenic and Old Lace")</f>
        <v>Arsenic and Old Lace</v>
      </c>
      <c r="R1824" s="5" t="str">
        <f>IFERROR(__xludf.DUMMYFUNCTION("""COMPUTED_VALUE"""),"Raymond Massey")</f>
        <v>Raymond Massey</v>
      </c>
      <c r="S1824" s="5" t="str">
        <f>IFERROR(__xludf.DUMMYFUNCTION("""COMPUTED_VALUE"""),"Estrela 3")</f>
        <v>Estrela 3</v>
      </c>
    </row>
    <row r="1825">
      <c r="G1825" s="5" t="str">
        <f>IFERROR(__xludf.DUMMYFUNCTION("""COMPUTED_VALUE"""),"456🤙🏼Arsenic and Old Lace🤙🏼Jack Carson🤙🏼Estrela 4")</f>
        <v>456🤙🏼Arsenic and Old Lace🤙🏼Jack Carson🤙🏼Estrela 4</v>
      </c>
      <c r="H1825" s="5">
        <f>IFERROR(__xludf.DUMMYFUNCTION("SPLiT(G1825, ""🤙🏼"",FALSE,FALSE)"),456.0)</f>
        <v>456</v>
      </c>
      <c r="I1825" s="5" t="str">
        <f>IFERROR(__xludf.DUMMYFUNCTION("""COMPUTED_VALUE"""),"Arsenic and Old Lace")</f>
        <v>Arsenic and Old Lace</v>
      </c>
      <c r="J1825" s="5" t="str">
        <f>IFERROR(__xludf.DUMMYFUNCTION("""COMPUTED_VALUE"""),"Jack Carson")</f>
        <v>Jack Carson</v>
      </c>
      <c r="K1825" s="5" t="str">
        <f>IFERROR(__xludf.DUMMYFUNCTION("""COMPUTED_VALUE"""),"Estrela 4")</f>
        <v>Estrela 4</v>
      </c>
      <c r="P1825" s="5">
        <f>IFERROR(__xludf.DUMMYFUNCTION("""COMPUTED_VALUE"""),456.0)</f>
        <v>456</v>
      </c>
      <c r="Q1825" s="5" t="str">
        <f>IFERROR(__xludf.DUMMYFUNCTION("""COMPUTED_VALUE"""),"Arsenic and Old Lace")</f>
        <v>Arsenic and Old Lace</v>
      </c>
      <c r="R1825" s="5" t="str">
        <f>IFERROR(__xludf.DUMMYFUNCTION("""COMPUTED_VALUE"""),"Jack Carson")</f>
        <v>Jack Carson</v>
      </c>
      <c r="S1825" s="5" t="str">
        <f>IFERROR(__xludf.DUMMYFUNCTION("""COMPUTED_VALUE"""),"Estrela 4")</f>
        <v>Estrela 4</v>
      </c>
    </row>
    <row r="1826">
      <c r="G1826" s="5" t="str">
        <f>IFERROR(__xludf.DUMMYFUNCTION("""COMPUTED_VALUE"""),"457🤙🏼The Maltese Falcon🤙🏼Humphrey Bogart🤙🏼Estrela 1")</f>
        <v>457🤙🏼The Maltese Falcon🤙🏼Humphrey Bogart🤙🏼Estrela 1</v>
      </c>
      <c r="H1826" s="5">
        <f>IFERROR(__xludf.DUMMYFUNCTION("SPLiT(G1826, ""🤙🏼"",FALSE,FALSE)"),457.0)</f>
        <v>457</v>
      </c>
      <c r="I1826" s="5" t="str">
        <f>IFERROR(__xludf.DUMMYFUNCTION("""COMPUTED_VALUE"""),"The Maltese Falcon")</f>
        <v>The Maltese Falcon</v>
      </c>
      <c r="J1826" s="5" t="str">
        <f>IFERROR(__xludf.DUMMYFUNCTION("""COMPUTED_VALUE"""),"Humphrey Bogart")</f>
        <v>Humphrey Bogart</v>
      </c>
      <c r="K1826" s="5" t="str">
        <f>IFERROR(__xludf.DUMMYFUNCTION("""COMPUTED_VALUE"""),"Estrela 1")</f>
        <v>Estrela 1</v>
      </c>
      <c r="P1826" s="5">
        <f>IFERROR(__xludf.DUMMYFUNCTION("""COMPUTED_VALUE"""),457.0)</f>
        <v>457</v>
      </c>
      <c r="Q1826" s="5" t="str">
        <f>IFERROR(__xludf.DUMMYFUNCTION("""COMPUTED_VALUE"""),"The Maltese Falcon")</f>
        <v>The Maltese Falcon</v>
      </c>
      <c r="R1826" s="5" t="str">
        <f>IFERROR(__xludf.DUMMYFUNCTION("""COMPUTED_VALUE"""),"Humphrey Bogart")</f>
        <v>Humphrey Bogart</v>
      </c>
      <c r="S1826" s="5" t="str">
        <f>IFERROR(__xludf.DUMMYFUNCTION("""COMPUTED_VALUE"""),"Estrela 1")</f>
        <v>Estrela 1</v>
      </c>
    </row>
    <row r="1827">
      <c r="G1827" s="5" t="str">
        <f>IFERROR(__xludf.DUMMYFUNCTION("""COMPUTED_VALUE"""),"457🤙🏼The Maltese Falcon🤙🏼Mary Astor🤙🏼Estrela 2")</f>
        <v>457🤙🏼The Maltese Falcon🤙🏼Mary Astor🤙🏼Estrela 2</v>
      </c>
      <c r="H1827" s="5">
        <f>IFERROR(__xludf.DUMMYFUNCTION("SPLiT(G1827, ""🤙🏼"",FALSE,FALSE)"),457.0)</f>
        <v>457</v>
      </c>
      <c r="I1827" s="5" t="str">
        <f>IFERROR(__xludf.DUMMYFUNCTION("""COMPUTED_VALUE"""),"The Maltese Falcon")</f>
        <v>The Maltese Falcon</v>
      </c>
      <c r="J1827" s="5" t="str">
        <f>IFERROR(__xludf.DUMMYFUNCTION("""COMPUTED_VALUE"""),"Mary Astor")</f>
        <v>Mary Astor</v>
      </c>
      <c r="K1827" s="5" t="str">
        <f>IFERROR(__xludf.DUMMYFUNCTION("""COMPUTED_VALUE"""),"Estrela 2")</f>
        <v>Estrela 2</v>
      </c>
      <c r="P1827" s="5">
        <f>IFERROR(__xludf.DUMMYFUNCTION("""COMPUTED_VALUE"""),457.0)</f>
        <v>457</v>
      </c>
      <c r="Q1827" s="5" t="str">
        <f>IFERROR(__xludf.DUMMYFUNCTION("""COMPUTED_VALUE"""),"The Maltese Falcon")</f>
        <v>The Maltese Falcon</v>
      </c>
      <c r="R1827" s="5" t="str">
        <f>IFERROR(__xludf.DUMMYFUNCTION("""COMPUTED_VALUE"""),"Mary Astor")</f>
        <v>Mary Astor</v>
      </c>
      <c r="S1827" s="5" t="str">
        <f>IFERROR(__xludf.DUMMYFUNCTION("""COMPUTED_VALUE"""),"Estrela 2")</f>
        <v>Estrela 2</v>
      </c>
    </row>
    <row r="1828">
      <c r="G1828" s="5" t="str">
        <f>IFERROR(__xludf.DUMMYFUNCTION("""COMPUTED_VALUE"""),"457🤙🏼The Maltese Falcon🤙🏼Gladys George🤙🏼Estrela 3")</f>
        <v>457🤙🏼The Maltese Falcon🤙🏼Gladys George🤙🏼Estrela 3</v>
      </c>
      <c r="H1828" s="5">
        <f>IFERROR(__xludf.DUMMYFUNCTION("SPLiT(G1828, ""🤙🏼"",FALSE,FALSE)"),457.0)</f>
        <v>457</v>
      </c>
      <c r="I1828" s="5" t="str">
        <f>IFERROR(__xludf.DUMMYFUNCTION("""COMPUTED_VALUE"""),"The Maltese Falcon")</f>
        <v>The Maltese Falcon</v>
      </c>
      <c r="J1828" s="5" t="str">
        <f>IFERROR(__xludf.DUMMYFUNCTION("""COMPUTED_VALUE"""),"Gladys George")</f>
        <v>Gladys George</v>
      </c>
      <c r="K1828" s="5" t="str">
        <f>IFERROR(__xludf.DUMMYFUNCTION("""COMPUTED_VALUE"""),"Estrela 3")</f>
        <v>Estrela 3</v>
      </c>
      <c r="P1828" s="5">
        <f>IFERROR(__xludf.DUMMYFUNCTION("""COMPUTED_VALUE"""),457.0)</f>
        <v>457</v>
      </c>
      <c r="Q1828" s="5" t="str">
        <f>IFERROR(__xludf.DUMMYFUNCTION("""COMPUTED_VALUE"""),"The Maltese Falcon")</f>
        <v>The Maltese Falcon</v>
      </c>
      <c r="R1828" s="5" t="str">
        <f>IFERROR(__xludf.DUMMYFUNCTION("""COMPUTED_VALUE"""),"Gladys George")</f>
        <v>Gladys George</v>
      </c>
      <c r="S1828" s="5" t="str">
        <f>IFERROR(__xludf.DUMMYFUNCTION("""COMPUTED_VALUE"""),"Estrela 3")</f>
        <v>Estrela 3</v>
      </c>
    </row>
    <row r="1829">
      <c r="G1829" s="5" t="str">
        <f>IFERROR(__xludf.DUMMYFUNCTION("""COMPUTED_VALUE"""),"457🤙🏼The Maltese Falcon🤙🏼Peter Lorre🤙🏼Estrela 4")</f>
        <v>457🤙🏼The Maltese Falcon🤙🏼Peter Lorre🤙🏼Estrela 4</v>
      </c>
      <c r="H1829" s="5">
        <f>IFERROR(__xludf.DUMMYFUNCTION("SPLiT(G1829, ""🤙🏼"",FALSE,FALSE)"),457.0)</f>
        <v>457</v>
      </c>
      <c r="I1829" s="5" t="str">
        <f>IFERROR(__xludf.DUMMYFUNCTION("""COMPUTED_VALUE"""),"The Maltese Falcon")</f>
        <v>The Maltese Falcon</v>
      </c>
      <c r="J1829" s="5" t="str">
        <f>IFERROR(__xludf.DUMMYFUNCTION("""COMPUTED_VALUE"""),"Peter Lorre")</f>
        <v>Peter Lorre</v>
      </c>
      <c r="K1829" s="5" t="str">
        <f>IFERROR(__xludf.DUMMYFUNCTION("""COMPUTED_VALUE"""),"Estrela 4")</f>
        <v>Estrela 4</v>
      </c>
      <c r="P1829" s="5">
        <f>IFERROR(__xludf.DUMMYFUNCTION("""COMPUTED_VALUE"""),457.0)</f>
        <v>457</v>
      </c>
      <c r="Q1829" s="5" t="str">
        <f>IFERROR(__xludf.DUMMYFUNCTION("""COMPUTED_VALUE"""),"The Maltese Falcon")</f>
        <v>The Maltese Falcon</v>
      </c>
      <c r="R1829" s="5" t="str">
        <f>IFERROR(__xludf.DUMMYFUNCTION("""COMPUTED_VALUE"""),"Peter Lorre")</f>
        <v>Peter Lorre</v>
      </c>
      <c r="S1829" s="5" t="str">
        <f>IFERROR(__xludf.DUMMYFUNCTION("""COMPUTED_VALUE"""),"Estrela 4")</f>
        <v>Estrela 4</v>
      </c>
    </row>
    <row r="1830">
      <c r="G1830" s="5" t="str">
        <f>IFERROR(__xludf.DUMMYFUNCTION("""COMPUTED_VALUE"""),"458🤙🏼The Grapes of Wrath🤙🏼Henry Fonda🤙🏼Estrela 1")</f>
        <v>458🤙🏼The Grapes of Wrath🤙🏼Henry Fonda🤙🏼Estrela 1</v>
      </c>
      <c r="H1830" s="5">
        <f>IFERROR(__xludf.DUMMYFUNCTION("SPLiT(G1830, ""🤙🏼"",FALSE,FALSE)"),458.0)</f>
        <v>458</v>
      </c>
      <c r="I1830" s="5" t="str">
        <f>IFERROR(__xludf.DUMMYFUNCTION("""COMPUTED_VALUE"""),"The Grapes of Wrath")</f>
        <v>The Grapes of Wrath</v>
      </c>
      <c r="J1830" s="5" t="str">
        <f>IFERROR(__xludf.DUMMYFUNCTION("""COMPUTED_VALUE"""),"Henry Fonda")</f>
        <v>Henry Fonda</v>
      </c>
      <c r="K1830" s="5" t="str">
        <f>IFERROR(__xludf.DUMMYFUNCTION("""COMPUTED_VALUE"""),"Estrela 1")</f>
        <v>Estrela 1</v>
      </c>
      <c r="P1830" s="5">
        <f>IFERROR(__xludf.DUMMYFUNCTION("""COMPUTED_VALUE"""),458.0)</f>
        <v>458</v>
      </c>
      <c r="Q1830" s="5" t="str">
        <f>IFERROR(__xludf.DUMMYFUNCTION("""COMPUTED_VALUE"""),"The Grapes of Wrath")</f>
        <v>The Grapes of Wrath</v>
      </c>
      <c r="R1830" s="5" t="str">
        <f>IFERROR(__xludf.DUMMYFUNCTION("""COMPUTED_VALUE"""),"Henry Fonda")</f>
        <v>Henry Fonda</v>
      </c>
      <c r="S1830" s="5" t="str">
        <f>IFERROR(__xludf.DUMMYFUNCTION("""COMPUTED_VALUE"""),"Estrela 1")</f>
        <v>Estrela 1</v>
      </c>
    </row>
    <row r="1831">
      <c r="G1831" s="5" t="str">
        <f>IFERROR(__xludf.DUMMYFUNCTION("""COMPUTED_VALUE"""),"458🤙🏼The Grapes of Wrath🤙🏼Jane Darwell🤙🏼Estrela 2")</f>
        <v>458🤙🏼The Grapes of Wrath🤙🏼Jane Darwell🤙🏼Estrela 2</v>
      </c>
      <c r="H1831" s="5">
        <f>IFERROR(__xludf.DUMMYFUNCTION("SPLiT(G1831, ""🤙🏼"",FALSE,FALSE)"),458.0)</f>
        <v>458</v>
      </c>
      <c r="I1831" s="5" t="str">
        <f>IFERROR(__xludf.DUMMYFUNCTION("""COMPUTED_VALUE"""),"The Grapes of Wrath")</f>
        <v>The Grapes of Wrath</v>
      </c>
      <c r="J1831" s="5" t="str">
        <f>IFERROR(__xludf.DUMMYFUNCTION("""COMPUTED_VALUE"""),"Jane Darwell")</f>
        <v>Jane Darwell</v>
      </c>
      <c r="K1831" s="5" t="str">
        <f>IFERROR(__xludf.DUMMYFUNCTION("""COMPUTED_VALUE"""),"Estrela 2")</f>
        <v>Estrela 2</v>
      </c>
      <c r="P1831" s="5">
        <f>IFERROR(__xludf.DUMMYFUNCTION("""COMPUTED_VALUE"""),458.0)</f>
        <v>458</v>
      </c>
      <c r="Q1831" s="5" t="str">
        <f>IFERROR(__xludf.DUMMYFUNCTION("""COMPUTED_VALUE"""),"The Grapes of Wrath")</f>
        <v>The Grapes of Wrath</v>
      </c>
      <c r="R1831" s="5" t="str">
        <f>IFERROR(__xludf.DUMMYFUNCTION("""COMPUTED_VALUE"""),"Jane Darwell")</f>
        <v>Jane Darwell</v>
      </c>
      <c r="S1831" s="5" t="str">
        <f>IFERROR(__xludf.DUMMYFUNCTION("""COMPUTED_VALUE"""),"Estrela 2")</f>
        <v>Estrela 2</v>
      </c>
    </row>
    <row r="1832">
      <c r="G1832" s="5" t="str">
        <f>IFERROR(__xludf.DUMMYFUNCTION("""COMPUTED_VALUE"""),"458🤙🏼The Grapes of Wrath🤙🏼John Carradine🤙🏼Estrela 3")</f>
        <v>458🤙🏼The Grapes of Wrath🤙🏼John Carradine🤙🏼Estrela 3</v>
      </c>
      <c r="H1832" s="5">
        <f>IFERROR(__xludf.DUMMYFUNCTION("SPLiT(G1832, ""🤙🏼"",FALSE,FALSE)"),458.0)</f>
        <v>458</v>
      </c>
      <c r="I1832" s="5" t="str">
        <f>IFERROR(__xludf.DUMMYFUNCTION("""COMPUTED_VALUE"""),"The Grapes of Wrath")</f>
        <v>The Grapes of Wrath</v>
      </c>
      <c r="J1832" s="5" t="str">
        <f>IFERROR(__xludf.DUMMYFUNCTION("""COMPUTED_VALUE"""),"John Carradine")</f>
        <v>John Carradine</v>
      </c>
      <c r="K1832" s="5" t="str">
        <f>IFERROR(__xludf.DUMMYFUNCTION("""COMPUTED_VALUE"""),"Estrela 3")</f>
        <v>Estrela 3</v>
      </c>
      <c r="P1832" s="5">
        <f>IFERROR(__xludf.DUMMYFUNCTION("""COMPUTED_VALUE"""),458.0)</f>
        <v>458</v>
      </c>
      <c r="Q1832" s="5" t="str">
        <f>IFERROR(__xludf.DUMMYFUNCTION("""COMPUTED_VALUE"""),"The Grapes of Wrath")</f>
        <v>The Grapes of Wrath</v>
      </c>
      <c r="R1832" s="5" t="str">
        <f>IFERROR(__xludf.DUMMYFUNCTION("""COMPUTED_VALUE"""),"John Carradine")</f>
        <v>John Carradine</v>
      </c>
      <c r="S1832" s="5" t="str">
        <f>IFERROR(__xludf.DUMMYFUNCTION("""COMPUTED_VALUE"""),"Estrela 3")</f>
        <v>Estrela 3</v>
      </c>
    </row>
    <row r="1833">
      <c r="G1833" s="5" t="str">
        <f>IFERROR(__xludf.DUMMYFUNCTION("""COMPUTED_VALUE"""),"458🤙🏼The Grapes of Wrath🤙🏼Charley Grapewin🤙🏼Estrela 4")</f>
        <v>458🤙🏼The Grapes of Wrath🤙🏼Charley Grapewin🤙🏼Estrela 4</v>
      </c>
      <c r="H1833" s="5">
        <f>IFERROR(__xludf.DUMMYFUNCTION("SPLiT(G1833, ""🤙🏼"",FALSE,FALSE)"),458.0)</f>
        <v>458</v>
      </c>
      <c r="I1833" s="5" t="str">
        <f>IFERROR(__xludf.DUMMYFUNCTION("""COMPUTED_VALUE"""),"The Grapes of Wrath")</f>
        <v>The Grapes of Wrath</v>
      </c>
      <c r="J1833" s="5" t="str">
        <f>IFERROR(__xludf.DUMMYFUNCTION("""COMPUTED_VALUE"""),"Charley Grapewin")</f>
        <v>Charley Grapewin</v>
      </c>
      <c r="K1833" s="5" t="str">
        <f>IFERROR(__xludf.DUMMYFUNCTION("""COMPUTED_VALUE"""),"Estrela 4")</f>
        <v>Estrela 4</v>
      </c>
      <c r="P1833" s="5">
        <f>IFERROR(__xludf.DUMMYFUNCTION("""COMPUTED_VALUE"""),458.0)</f>
        <v>458</v>
      </c>
      <c r="Q1833" s="5" t="str">
        <f>IFERROR(__xludf.DUMMYFUNCTION("""COMPUTED_VALUE"""),"The Grapes of Wrath")</f>
        <v>The Grapes of Wrath</v>
      </c>
      <c r="R1833" s="5" t="str">
        <f>IFERROR(__xludf.DUMMYFUNCTION("""COMPUTED_VALUE"""),"Charley Grapewin")</f>
        <v>Charley Grapewin</v>
      </c>
      <c r="S1833" s="5" t="str">
        <f>IFERROR(__xludf.DUMMYFUNCTION("""COMPUTED_VALUE"""),"Estrela 4")</f>
        <v>Estrela 4</v>
      </c>
    </row>
    <row r="1834">
      <c r="G1834" s="5" t="str">
        <f>IFERROR(__xludf.DUMMYFUNCTION("""COMPUTED_VALUE"""),"459🤙🏼The Wizard of Oz🤙🏼George Cukor🤙🏼Estrela 1")</f>
        <v>459🤙🏼The Wizard of Oz🤙🏼George Cukor🤙🏼Estrela 1</v>
      </c>
      <c r="H1834" s="5">
        <f>IFERROR(__xludf.DUMMYFUNCTION("SPLiT(G1834, ""🤙🏼"",FALSE,FALSE)"),459.0)</f>
        <v>459</v>
      </c>
      <c r="I1834" s="5" t="str">
        <f>IFERROR(__xludf.DUMMYFUNCTION("""COMPUTED_VALUE"""),"The Wizard of Oz")</f>
        <v>The Wizard of Oz</v>
      </c>
      <c r="J1834" s="5" t="str">
        <f>IFERROR(__xludf.DUMMYFUNCTION("""COMPUTED_VALUE"""),"George Cukor")</f>
        <v>George Cukor</v>
      </c>
      <c r="K1834" s="5" t="str">
        <f>IFERROR(__xludf.DUMMYFUNCTION("""COMPUTED_VALUE"""),"Estrela 1")</f>
        <v>Estrela 1</v>
      </c>
      <c r="P1834" s="5">
        <f>IFERROR(__xludf.DUMMYFUNCTION("""COMPUTED_VALUE"""),459.0)</f>
        <v>459</v>
      </c>
      <c r="Q1834" s="5" t="str">
        <f>IFERROR(__xludf.DUMMYFUNCTION("""COMPUTED_VALUE"""),"The Wizard of Oz")</f>
        <v>The Wizard of Oz</v>
      </c>
      <c r="R1834" s="5" t="str">
        <f>IFERROR(__xludf.DUMMYFUNCTION("""COMPUTED_VALUE"""),"George Cukor")</f>
        <v>George Cukor</v>
      </c>
      <c r="S1834" s="5" t="str">
        <f>IFERROR(__xludf.DUMMYFUNCTION("""COMPUTED_VALUE"""),"Estrela 1")</f>
        <v>Estrela 1</v>
      </c>
    </row>
    <row r="1835">
      <c r="G1835" s="5" t="str">
        <f>IFERROR(__xludf.DUMMYFUNCTION("""COMPUTED_VALUE"""),"459🤙🏼The Wizard of Oz🤙🏼Mervyn LeRoy🤙🏼Estrela 2")</f>
        <v>459🤙🏼The Wizard of Oz🤙🏼Mervyn LeRoy🤙🏼Estrela 2</v>
      </c>
      <c r="H1835" s="5">
        <f>IFERROR(__xludf.DUMMYFUNCTION("SPLiT(G1835, ""🤙🏼"",FALSE,FALSE)"),459.0)</f>
        <v>459</v>
      </c>
      <c r="I1835" s="5" t="str">
        <f>IFERROR(__xludf.DUMMYFUNCTION("""COMPUTED_VALUE"""),"The Wizard of Oz")</f>
        <v>The Wizard of Oz</v>
      </c>
      <c r="J1835" s="5" t="str">
        <f>IFERROR(__xludf.DUMMYFUNCTION("""COMPUTED_VALUE"""),"Mervyn LeRoy")</f>
        <v>Mervyn LeRoy</v>
      </c>
      <c r="K1835" s="5" t="str">
        <f>IFERROR(__xludf.DUMMYFUNCTION("""COMPUTED_VALUE"""),"Estrela 2")</f>
        <v>Estrela 2</v>
      </c>
      <c r="P1835" s="5">
        <f>IFERROR(__xludf.DUMMYFUNCTION("""COMPUTED_VALUE"""),459.0)</f>
        <v>459</v>
      </c>
      <c r="Q1835" s="5" t="str">
        <f>IFERROR(__xludf.DUMMYFUNCTION("""COMPUTED_VALUE"""),"The Wizard of Oz")</f>
        <v>The Wizard of Oz</v>
      </c>
      <c r="R1835" s="5" t="str">
        <f>IFERROR(__xludf.DUMMYFUNCTION("""COMPUTED_VALUE"""),"Mervyn LeRoy")</f>
        <v>Mervyn LeRoy</v>
      </c>
      <c r="S1835" s="5" t="str">
        <f>IFERROR(__xludf.DUMMYFUNCTION("""COMPUTED_VALUE"""),"Estrela 2")</f>
        <v>Estrela 2</v>
      </c>
    </row>
    <row r="1836">
      <c r="G1836" s="5" t="str">
        <f>IFERROR(__xludf.DUMMYFUNCTION("""COMPUTED_VALUE"""),"459🤙🏼The Wizard of Oz🤙🏼Norman Taurog🤙🏼Estrela 3")</f>
        <v>459🤙🏼The Wizard of Oz🤙🏼Norman Taurog🤙🏼Estrela 3</v>
      </c>
      <c r="H1836" s="5">
        <f>IFERROR(__xludf.DUMMYFUNCTION("SPLiT(G1836, ""🤙🏼"",FALSE,FALSE)"),459.0)</f>
        <v>459</v>
      </c>
      <c r="I1836" s="5" t="str">
        <f>IFERROR(__xludf.DUMMYFUNCTION("""COMPUTED_VALUE"""),"The Wizard of Oz")</f>
        <v>The Wizard of Oz</v>
      </c>
      <c r="J1836" s="5" t="str">
        <f>IFERROR(__xludf.DUMMYFUNCTION("""COMPUTED_VALUE"""),"Norman Taurog")</f>
        <v>Norman Taurog</v>
      </c>
      <c r="K1836" s="5" t="str">
        <f>IFERROR(__xludf.DUMMYFUNCTION("""COMPUTED_VALUE"""),"Estrela 3")</f>
        <v>Estrela 3</v>
      </c>
      <c r="P1836" s="5">
        <f>IFERROR(__xludf.DUMMYFUNCTION("""COMPUTED_VALUE"""),459.0)</f>
        <v>459</v>
      </c>
      <c r="Q1836" s="5" t="str">
        <f>IFERROR(__xludf.DUMMYFUNCTION("""COMPUTED_VALUE"""),"The Wizard of Oz")</f>
        <v>The Wizard of Oz</v>
      </c>
      <c r="R1836" s="5" t="str">
        <f>IFERROR(__xludf.DUMMYFUNCTION("""COMPUTED_VALUE"""),"Norman Taurog")</f>
        <v>Norman Taurog</v>
      </c>
      <c r="S1836" s="5" t="str">
        <f>IFERROR(__xludf.DUMMYFUNCTION("""COMPUTED_VALUE"""),"Estrela 3")</f>
        <v>Estrela 3</v>
      </c>
    </row>
    <row r="1837">
      <c r="G1837" s="5" t="str">
        <f>IFERROR(__xludf.DUMMYFUNCTION("""COMPUTED_VALUE"""),"459🤙🏼The Wizard of Oz🤙🏼Richard Thorpe🤙🏼Estrela 4")</f>
        <v>459🤙🏼The Wizard of Oz🤙🏼Richard Thorpe🤙🏼Estrela 4</v>
      </c>
      <c r="H1837" s="5">
        <f>IFERROR(__xludf.DUMMYFUNCTION("SPLiT(G1837, ""🤙🏼"",FALSE,FALSE)"),459.0)</f>
        <v>459</v>
      </c>
      <c r="I1837" s="5" t="str">
        <f>IFERROR(__xludf.DUMMYFUNCTION("""COMPUTED_VALUE"""),"The Wizard of Oz")</f>
        <v>The Wizard of Oz</v>
      </c>
      <c r="J1837" s="5" t="str">
        <f>IFERROR(__xludf.DUMMYFUNCTION("""COMPUTED_VALUE"""),"Richard Thorpe")</f>
        <v>Richard Thorpe</v>
      </c>
      <c r="K1837" s="5" t="str">
        <f>IFERROR(__xludf.DUMMYFUNCTION("""COMPUTED_VALUE"""),"Estrela 4")</f>
        <v>Estrela 4</v>
      </c>
      <c r="P1837" s="5">
        <f>IFERROR(__xludf.DUMMYFUNCTION("""COMPUTED_VALUE"""),459.0)</f>
        <v>459</v>
      </c>
      <c r="Q1837" s="5" t="str">
        <f>IFERROR(__xludf.DUMMYFUNCTION("""COMPUTED_VALUE"""),"The Wizard of Oz")</f>
        <v>The Wizard of Oz</v>
      </c>
      <c r="R1837" s="5" t="str">
        <f>IFERROR(__xludf.DUMMYFUNCTION("""COMPUTED_VALUE"""),"Richard Thorpe")</f>
        <v>Richard Thorpe</v>
      </c>
      <c r="S1837" s="5" t="str">
        <f>IFERROR(__xludf.DUMMYFUNCTION("""COMPUTED_VALUE"""),"Estrela 4")</f>
        <v>Estrela 4</v>
      </c>
    </row>
    <row r="1838">
      <c r="G1838" s="5" t="str">
        <f>IFERROR(__xludf.DUMMYFUNCTION("""COMPUTED_VALUE"""),"460🤙🏼La règle du jeu🤙🏼Marcel Dalio🤙🏼Estrela 1")</f>
        <v>460🤙🏼La règle du jeu🤙🏼Marcel Dalio🤙🏼Estrela 1</v>
      </c>
      <c r="H1838" s="5">
        <f>IFERROR(__xludf.DUMMYFUNCTION("SPLiT(G1838, ""🤙🏼"",FALSE,FALSE)"),460.0)</f>
        <v>460</v>
      </c>
      <c r="I1838" s="5" t="str">
        <f>IFERROR(__xludf.DUMMYFUNCTION("""COMPUTED_VALUE"""),"La règle du jeu")</f>
        <v>La règle du jeu</v>
      </c>
      <c r="J1838" s="5" t="str">
        <f>IFERROR(__xludf.DUMMYFUNCTION("""COMPUTED_VALUE"""),"Marcel Dalio")</f>
        <v>Marcel Dalio</v>
      </c>
      <c r="K1838" s="5" t="str">
        <f>IFERROR(__xludf.DUMMYFUNCTION("""COMPUTED_VALUE"""),"Estrela 1")</f>
        <v>Estrela 1</v>
      </c>
      <c r="P1838" s="5">
        <f>IFERROR(__xludf.DUMMYFUNCTION("""COMPUTED_VALUE"""),460.0)</f>
        <v>460</v>
      </c>
      <c r="Q1838" s="5" t="str">
        <f>IFERROR(__xludf.DUMMYFUNCTION("""COMPUTED_VALUE"""),"La règle du jeu")</f>
        <v>La règle du jeu</v>
      </c>
      <c r="R1838" s="5" t="str">
        <f>IFERROR(__xludf.DUMMYFUNCTION("""COMPUTED_VALUE"""),"Marcel Dalio")</f>
        <v>Marcel Dalio</v>
      </c>
      <c r="S1838" s="5" t="str">
        <f>IFERROR(__xludf.DUMMYFUNCTION("""COMPUTED_VALUE"""),"Estrela 1")</f>
        <v>Estrela 1</v>
      </c>
    </row>
    <row r="1839">
      <c r="G1839" s="5" t="str">
        <f>IFERROR(__xludf.DUMMYFUNCTION("""COMPUTED_VALUE"""),"460🤙🏼La règle du jeu🤙🏼Nora Gregor🤙🏼Estrela 2")</f>
        <v>460🤙🏼La règle du jeu🤙🏼Nora Gregor🤙🏼Estrela 2</v>
      </c>
      <c r="H1839" s="5">
        <f>IFERROR(__xludf.DUMMYFUNCTION("SPLiT(G1839, ""🤙🏼"",FALSE,FALSE)"),460.0)</f>
        <v>460</v>
      </c>
      <c r="I1839" s="5" t="str">
        <f>IFERROR(__xludf.DUMMYFUNCTION("""COMPUTED_VALUE"""),"La règle du jeu")</f>
        <v>La règle du jeu</v>
      </c>
      <c r="J1839" s="5" t="str">
        <f>IFERROR(__xludf.DUMMYFUNCTION("""COMPUTED_VALUE"""),"Nora Gregor")</f>
        <v>Nora Gregor</v>
      </c>
      <c r="K1839" s="5" t="str">
        <f>IFERROR(__xludf.DUMMYFUNCTION("""COMPUTED_VALUE"""),"Estrela 2")</f>
        <v>Estrela 2</v>
      </c>
      <c r="P1839" s="5">
        <f>IFERROR(__xludf.DUMMYFUNCTION("""COMPUTED_VALUE"""),460.0)</f>
        <v>460</v>
      </c>
      <c r="Q1839" s="5" t="str">
        <f>IFERROR(__xludf.DUMMYFUNCTION("""COMPUTED_VALUE"""),"La règle du jeu")</f>
        <v>La règle du jeu</v>
      </c>
      <c r="R1839" s="5" t="str">
        <f>IFERROR(__xludf.DUMMYFUNCTION("""COMPUTED_VALUE"""),"Nora Gregor")</f>
        <v>Nora Gregor</v>
      </c>
      <c r="S1839" s="5" t="str">
        <f>IFERROR(__xludf.DUMMYFUNCTION("""COMPUTED_VALUE"""),"Estrela 2")</f>
        <v>Estrela 2</v>
      </c>
    </row>
    <row r="1840">
      <c r="G1840" s="5" t="str">
        <f>IFERROR(__xludf.DUMMYFUNCTION("""COMPUTED_VALUE"""),"460🤙🏼La règle du jeu🤙🏼Paulette Dubost🤙🏼Estrela 3")</f>
        <v>460🤙🏼La règle du jeu🤙🏼Paulette Dubost🤙🏼Estrela 3</v>
      </c>
      <c r="H1840" s="5">
        <f>IFERROR(__xludf.DUMMYFUNCTION("SPLiT(G1840, ""🤙🏼"",FALSE,FALSE)"),460.0)</f>
        <v>460</v>
      </c>
      <c r="I1840" s="5" t="str">
        <f>IFERROR(__xludf.DUMMYFUNCTION("""COMPUTED_VALUE"""),"La règle du jeu")</f>
        <v>La règle du jeu</v>
      </c>
      <c r="J1840" s="5" t="str">
        <f>IFERROR(__xludf.DUMMYFUNCTION("""COMPUTED_VALUE"""),"Paulette Dubost")</f>
        <v>Paulette Dubost</v>
      </c>
      <c r="K1840" s="5" t="str">
        <f>IFERROR(__xludf.DUMMYFUNCTION("""COMPUTED_VALUE"""),"Estrela 3")</f>
        <v>Estrela 3</v>
      </c>
      <c r="P1840" s="5">
        <f>IFERROR(__xludf.DUMMYFUNCTION("""COMPUTED_VALUE"""),460.0)</f>
        <v>460</v>
      </c>
      <c r="Q1840" s="5" t="str">
        <f>IFERROR(__xludf.DUMMYFUNCTION("""COMPUTED_VALUE"""),"La règle du jeu")</f>
        <v>La règle du jeu</v>
      </c>
      <c r="R1840" s="5" t="str">
        <f>IFERROR(__xludf.DUMMYFUNCTION("""COMPUTED_VALUE"""),"Paulette Dubost")</f>
        <v>Paulette Dubost</v>
      </c>
      <c r="S1840" s="5" t="str">
        <f>IFERROR(__xludf.DUMMYFUNCTION("""COMPUTED_VALUE"""),"Estrela 3")</f>
        <v>Estrela 3</v>
      </c>
    </row>
    <row r="1841">
      <c r="G1841" s="5" t="str">
        <f>IFERROR(__xludf.DUMMYFUNCTION("""COMPUTED_VALUE"""),"460🤙🏼La règle du jeu🤙🏼Mila Parély🤙🏼Estrela 4")</f>
        <v>460🤙🏼La règle du jeu🤙🏼Mila Parély🤙🏼Estrela 4</v>
      </c>
      <c r="H1841" s="5">
        <f>IFERROR(__xludf.DUMMYFUNCTION("SPLiT(G1841, ""🤙🏼"",FALSE,FALSE)"),460.0)</f>
        <v>460</v>
      </c>
      <c r="I1841" s="5" t="str">
        <f>IFERROR(__xludf.DUMMYFUNCTION("""COMPUTED_VALUE"""),"La règle du jeu")</f>
        <v>La règle du jeu</v>
      </c>
      <c r="J1841" s="5" t="str">
        <f>IFERROR(__xludf.DUMMYFUNCTION("""COMPUTED_VALUE"""),"Mila Parély")</f>
        <v>Mila Parély</v>
      </c>
      <c r="K1841" s="5" t="str">
        <f>IFERROR(__xludf.DUMMYFUNCTION("""COMPUTED_VALUE"""),"Estrela 4")</f>
        <v>Estrela 4</v>
      </c>
      <c r="P1841" s="5">
        <f>IFERROR(__xludf.DUMMYFUNCTION("""COMPUTED_VALUE"""),460.0)</f>
        <v>460</v>
      </c>
      <c r="Q1841" s="5" t="str">
        <f>IFERROR(__xludf.DUMMYFUNCTION("""COMPUTED_VALUE"""),"La règle du jeu")</f>
        <v>La règle du jeu</v>
      </c>
      <c r="R1841" s="5" t="str">
        <f>IFERROR(__xludf.DUMMYFUNCTION("""COMPUTED_VALUE"""),"Mila Parély")</f>
        <v>Mila Parély</v>
      </c>
      <c r="S1841" s="5" t="str">
        <f>IFERROR(__xludf.DUMMYFUNCTION("""COMPUTED_VALUE"""),"Estrela 4")</f>
        <v>Estrela 4</v>
      </c>
    </row>
    <row r="1842">
      <c r="G1842" s="5" t="str">
        <f>IFERROR(__xludf.DUMMYFUNCTION("""COMPUTED_VALUE"""),"461🤙🏼The Thin Man🤙🏼William Powell🤙🏼Estrela 1")</f>
        <v>461🤙🏼The Thin Man🤙🏼William Powell🤙🏼Estrela 1</v>
      </c>
      <c r="H1842" s="5">
        <f>IFERROR(__xludf.DUMMYFUNCTION("SPLiT(G1842, ""🤙🏼"",FALSE,FALSE)"),461.0)</f>
        <v>461</v>
      </c>
      <c r="I1842" s="5" t="str">
        <f>IFERROR(__xludf.DUMMYFUNCTION("""COMPUTED_VALUE"""),"The Thin Man")</f>
        <v>The Thin Man</v>
      </c>
      <c r="J1842" s="5" t="str">
        <f>IFERROR(__xludf.DUMMYFUNCTION("""COMPUTED_VALUE"""),"William Powell")</f>
        <v>William Powell</v>
      </c>
      <c r="K1842" s="5" t="str">
        <f>IFERROR(__xludf.DUMMYFUNCTION("""COMPUTED_VALUE"""),"Estrela 1")</f>
        <v>Estrela 1</v>
      </c>
      <c r="P1842" s="5">
        <f>IFERROR(__xludf.DUMMYFUNCTION("""COMPUTED_VALUE"""),461.0)</f>
        <v>461</v>
      </c>
      <c r="Q1842" s="5" t="str">
        <f>IFERROR(__xludf.DUMMYFUNCTION("""COMPUTED_VALUE"""),"The Thin Man")</f>
        <v>The Thin Man</v>
      </c>
      <c r="R1842" s="5" t="str">
        <f>IFERROR(__xludf.DUMMYFUNCTION("""COMPUTED_VALUE"""),"William Powell")</f>
        <v>William Powell</v>
      </c>
      <c r="S1842" s="5" t="str">
        <f>IFERROR(__xludf.DUMMYFUNCTION("""COMPUTED_VALUE"""),"Estrela 1")</f>
        <v>Estrela 1</v>
      </c>
    </row>
    <row r="1843">
      <c r="G1843" s="5" t="str">
        <f>IFERROR(__xludf.DUMMYFUNCTION("""COMPUTED_VALUE"""),"461🤙🏼The Thin Man🤙🏼Myrna Loy🤙🏼Estrela 2")</f>
        <v>461🤙🏼The Thin Man🤙🏼Myrna Loy🤙🏼Estrela 2</v>
      </c>
      <c r="H1843" s="5">
        <f>IFERROR(__xludf.DUMMYFUNCTION("SPLiT(G1843, ""🤙🏼"",FALSE,FALSE)"),461.0)</f>
        <v>461</v>
      </c>
      <c r="I1843" s="5" t="str">
        <f>IFERROR(__xludf.DUMMYFUNCTION("""COMPUTED_VALUE"""),"The Thin Man")</f>
        <v>The Thin Man</v>
      </c>
      <c r="J1843" s="5" t="str">
        <f>IFERROR(__xludf.DUMMYFUNCTION("""COMPUTED_VALUE"""),"Myrna Loy")</f>
        <v>Myrna Loy</v>
      </c>
      <c r="K1843" s="5" t="str">
        <f>IFERROR(__xludf.DUMMYFUNCTION("""COMPUTED_VALUE"""),"Estrela 2")</f>
        <v>Estrela 2</v>
      </c>
      <c r="P1843" s="5">
        <f>IFERROR(__xludf.DUMMYFUNCTION("""COMPUTED_VALUE"""),461.0)</f>
        <v>461</v>
      </c>
      <c r="Q1843" s="5" t="str">
        <f>IFERROR(__xludf.DUMMYFUNCTION("""COMPUTED_VALUE"""),"The Thin Man")</f>
        <v>The Thin Man</v>
      </c>
      <c r="R1843" s="5" t="str">
        <f>IFERROR(__xludf.DUMMYFUNCTION("""COMPUTED_VALUE"""),"Myrna Loy")</f>
        <v>Myrna Loy</v>
      </c>
      <c r="S1843" s="5" t="str">
        <f>IFERROR(__xludf.DUMMYFUNCTION("""COMPUTED_VALUE"""),"Estrela 2")</f>
        <v>Estrela 2</v>
      </c>
    </row>
    <row r="1844">
      <c r="G1844" s="5" t="str">
        <f>IFERROR(__xludf.DUMMYFUNCTION("""COMPUTED_VALUE"""),"461🤙🏼The Thin Man🤙🏼Maureen O'Sullivan🤙🏼Estrela 3")</f>
        <v>461🤙🏼The Thin Man🤙🏼Maureen O'Sullivan🤙🏼Estrela 3</v>
      </c>
      <c r="H1844" s="5">
        <f>IFERROR(__xludf.DUMMYFUNCTION("SPLiT(G1844, ""🤙🏼"",FALSE,FALSE)"),461.0)</f>
        <v>461</v>
      </c>
      <c r="I1844" s="5" t="str">
        <f>IFERROR(__xludf.DUMMYFUNCTION("""COMPUTED_VALUE"""),"The Thin Man")</f>
        <v>The Thin Man</v>
      </c>
      <c r="J1844" s="5" t="str">
        <f>IFERROR(__xludf.DUMMYFUNCTION("""COMPUTED_VALUE"""),"Maureen O'Sullivan")</f>
        <v>Maureen O'Sullivan</v>
      </c>
      <c r="K1844" s="5" t="str">
        <f>IFERROR(__xludf.DUMMYFUNCTION("""COMPUTED_VALUE"""),"Estrela 3")</f>
        <v>Estrela 3</v>
      </c>
      <c r="P1844" s="5">
        <f>IFERROR(__xludf.DUMMYFUNCTION("""COMPUTED_VALUE"""),461.0)</f>
        <v>461</v>
      </c>
      <c r="Q1844" s="5" t="str">
        <f>IFERROR(__xludf.DUMMYFUNCTION("""COMPUTED_VALUE"""),"The Thin Man")</f>
        <v>The Thin Man</v>
      </c>
      <c r="R1844" s="5" t="str">
        <f>IFERROR(__xludf.DUMMYFUNCTION("""COMPUTED_VALUE"""),"Maureen O'Sullivan")</f>
        <v>Maureen O'Sullivan</v>
      </c>
      <c r="S1844" s="5" t="str">
        <f>IFERROR(__xludf.DUMMYFUNCTION("""COMPUTED_VALUE"""),"Estrela 3")</f>
        <v>Estrela 3</v>
      </c>
    </row>
    <row r="1845">
      <c r="G1845" s="5" t="str">
        <f>IFERROR(__xludf.DUMMYFUNCTION("""COMPUTED_VALUE"""),"461🤙🏼The Thin Man🤙🏼Nat Pendleton🤙🏼Estrela 4")</f>
        <v>461🤙🏼The Thin Man🤙🏼Nat Pendleton🤙🏼Estrela 4</v>
      </c>
      <c r="H1845" s="5">
        <f>IFERROR(__xludf.DUMMYFUNCTION("SPLiT(G1845, ""🤙🏼"",FALSE,FALSE)"),461.0)</f>
        <v>461</v>
      </c>
      <c r="I1845" s="5" t="str">
        <f>IFERROR(__xludf.DUMMYFUNCTION("""COMPUTED_VALUE"""),"The Thin Man")</f>
        <v>The Thin Man</v>
      </c>
      <c r="J1845" s="5" t="str">
        <f>IFERROR(__xludf.DUMMYFUNCTION("""COMPUTED_VALUE"""),"Nat Pendleton")</f>
        <v>Nat Pendleton</v>
      </c>
      <c r="K1845" s="5" t="str">
        <f>IFERROR(__xludf.DUMMYFUNCTION("""COMPUTED_VALUE"""),"Estrela 4")</f>
        <v>Estrela 4</v>
      </c>
      <c r="P1845" s="5">
        <f>IFERROR(__xludf.DUMMYFUNCTION("""COMPUTED_VALUE"""),461.0)</f>
        <v>461</v>
      </c>
      <c r="Q1845" s="5" t="str">
        <f>IFERROR(__xludf.DUMMYFUNCTION("""COMPUTED_VALUE"""),"The Thin Man")</f>
        <v>The Thin Man</v>
      </c>
      <c r="R1845" s="5" t="str">
        <f>IFERROR(__xludf.DUMMYFUNCTION("""COMPUTED_VALUE"""),"Nat Pendleton")</f>
        <v>Nat Pendleton</v>
      </c>
      <c r="S1845" s="5" t="str">
        <f>IFERROR(__xludf.DUMMYFUNCTION("""COMPUTED_VALUE"""),"Estrela 4")</f>
        <v>Estrela 4</v>
      </c>
    </row>
    <row r="1846">
      <c r="G1846" s="5" t="str">
        <f>IFERROR(__xludf.DUMMYFUNCTION("""COMPUTED_VALUE"""),"462🤙🏼All Quiet on the Western Front🤙🏼Lew Ayres🤙🏼Estrela 1")</f>
        <v>462🤙🏼All Quiet on the Western Front🤙🏼Lew Ayres🤙🏼Estrela 1</v>
      </c>
      <c r="H1846" s="5">
        <f>IFERROR(__xludf.DUMMYFUNCTION("SPLiT(G1846, ""🤙🏼"",FALSE,FALSE)"),462.0)</f>
        <v>462</v>
      </c>
      <c r="I1846" s="5" t="str">
        <f>IFERROR(__xludf.DUMMYFUNCTION("""COMPUTED_VALUE"""),"All Quiet on the Western Front")</f>
        <v>All Quiet on the Western Front</v>
      </c>
      <c r="J1846" s="5" t="str">
        <f>IFERROR(__xludf.DUMMYFUNCTION("""COMPUTED_VALUE"""),"Lew Ayres")</f>
        <v>Lew Ayres</v>
      </c>
      <c r="K1846" s="5" t="str">
        <f>IFERROR(__xludf.DUMMYFUNCTION("""COMPUTED_VALUE"""),"Estrela 1")</f>
        <v>Estrela 1</v>
      </c>
      <c r="P1846" s="5">
        <f>IFERROR(__xludf.DUMMYFUNCTION("""COMPUTED_VALUE"""),462.0)</f>
        <v>462</v>
      </c>
      <c r="Q1846" s="5" t="str">
        <f>IFERROR(__xludf.DUMMYFUNCTION("""COMPUTED_VALUE"""),"All Quiet on the Western Front")</f>
        <v>All Quiet on the Western Front</v>
      </c>
      <c r="R1846" s="5" t="str">
        <f>IFERROR(__xludf.DUMMYFUNCTION("""COMPUTED_VALUE"""),"Lew Ayres")</f>
        <v>Lew Ayres</v>
      </c>
      <c r="S1846" s="5" t="str">
        <f>IFERROR(__xludf.DUMMYFUNCTION("""COMPUTED_VALUE"""),"Estrela 1")</f>
        <v>Estrela 1</v>
      </c>
    </row>
    <row r="1847">
      <c r="G1847" s="5" t="str">
        <f>IFERROR(__xludf.DUMMYFUNCTION("""COMPUTED_VALUE"""),"462🤙🏼All Quiet on the Western Front🤙🏼Louis Wolheim🤙🏼Estrela 2")</f>
        <v>462🤙🏼All Quiet on the Western Front🤙🏼Louis Wolheim🤙🏼Estrela 2</v>
      </c>
      <c r="H1847" s="5">
        <f>IFERROR(__xludf.DUMMYFUNCTION("SPLiT(G1847, ""🤙🏼"",FALSE,FALSE)"),462.0)</f>
        <v>462</v>
      </c>
      <c r="I1847" s="5" t="str">
        <f>IFERROR(__xludf.DUMMYFUNCTION("""COMPUTED_VALUE"""),"All Quiet on the Western Front")</f>
        <v>All Quiet on the Western Front</v>
      </c>
      <c r="J1847" s="5" t="str">
        <f>IFERROR(__xludf.DUMMYFUNCTION("""COMPUTED_VALUE"""),"Louis Wolheim")</f>
        <v>Louis Wolheim</v>
      </c>
      <c r="K1847" s="5" t="str">
        <f>IFERROR(__xludf.DUMMYFUNCTION("""COMPUTED_VALUE"""),"Estrela 2")</f>
        <v>Estrela 2</v>
      </c>
      <c r="P1847" s="5">
        <f>IFERROR(__xludf.DUMMYFUNCTION("""COMPUTED_VALUE"""),462.0)</f>
        <v>462</v>
      </c>
      <c r="Q1847" s="5" t="str">
        <f>IFERROR(__xludf.DUMMYFUNCTION("""COMPUTED_VALUE"""),"All Quiet on the Western Front")</f>
        <v>All Quiet on the Western Front</v>
      </c>
      <c r="R1847" s="5" t="str">
        <f>IFERROR(__xludf.DUMMYFUNCTION("""COMPUTED_VALUE"""),"Louis Wolheim")</f>
        <v>Louis Wolheim</v>
      </c>
      <c r="S1847" s="5" t="str">
        <f>IFERROR(__xludf.DUMMYFUNCTION("""COMPUTED_VALUE"""),"Estrela 2")</f>
        <v>Estrela 2</v>
      </c>
    </row>
    <row r="1848">
      <c r="G1848" s="5" t="str">
        <f>IFERROR(__xludf.DUMMYFUNCTION("""COMPUTED_VALUE"""),"462🤙🏼All Quiet on the Western Front🤙🏼John Wray🤙🏼Estrela 3")</f>
        <v>462🤙🏼All Quiet on the Western Front🤙🏼John Wray🤙🏼Estrela 3</v>
      </c>
      <c r="H1848" s="5">
        <f>IFERROR(__xludf.DUMMYFUNCTION("SPLiT(G1848, ""🤙🏼"",FALSE,FALSE)"),462.0)</f>
        <v>462</v>
      </c>
      <c r="I1848" s="5" t="str">
        <f>IFERROR(__xludf.DUMMYFUNCTION("""COMPUTED_VALUE"""),"All Quiet on the Western Front")</f>
        <v>All Quiet on the Western Front</v>
      </c>
      <c r="J1848" s="5" t="str">
        <f>IFERROR(__xludf.DUMMYFUNCTION("""COMPUTED_VALUE"""),"John Wray")</f>
        <v>John Wray</v>
      </c>
      <c r="K1848" s="5" t="str">
        <f>IFERROR(__xludf.DUMMYFUNCTION("""COMPUTED_VALUE"""),"Estrela 3")</f>
        <v>Estrela 3</v>
      </c>
      <c r="P1848" s="5">
        <f>IFERROR(__xludf.DUMMYFUNCTION("""COMPUTED_VALUE"""),462.0)</f>
        <v>462</v>
      </c>
      <c r="Q1848" s="5" t="str">
        <f>IFERROR(__xludf.DUMMYFUNCTION("""COMPUTED_VALUE"""),"All Quiet on the Western Front")</f>
        <v>All Quiet on the Western Front</v>
      </c>
      <c r="R1848" s="5" t="str">
        <f>IFERROR(__xludf.DUMMYFUNCTION("""COMPUTED_VALUE"""),"John Wray")</f>
        <v>John Wray</v>
      </c>
      <c r="S1848" s="5" t="str">
        <f>IFERROR(__xludf.DUMMYFUNCTION("""COMPUTED_VALUE"""),"Estrela 3")</f>
        <v>Estrela 3</v>
      </c>
    </row>
    <row r="1849">
      <c r="G1849" s="5" t="str">
        <f>IFERROR(__xludf.DUMMYFUNCTION("""COMPUTED_VALUE"""),"462🤙🏼All Quiet on the Western Front🤙🏼Arnold Lucy🤙🏼Estrela 4")</f>
        <v>462🤙🏼All Quiet on the Western Front🤙🏼Arnold Lucy🤙🏼Estrela 4</v>
      </c>
      <c r="H1849" s="5">
        <f>IFERROR(__xludf.DUMMYFUNCTION("SPLiT(G1849, ""🤙🏼"",FALSE,FALSE)"),462.0)</f>
        <v>462</v>
      </c>
      <c r="I1849" s="5" t="str">
        <f>IFERROR(__xludf.DUMMYFUNCTION("""COMPUTED_VALUE"""),"All Quiet on the Western Front")</f>
        <v>All Quiet on the Western Front</v>
      </c>
      <c r="J1849" s="5" t="str">
        <f>IFERROR(__xludf.DUMMYFUNCTION("""COMPUTED_VALUE"""),"Arnold Lucy")</f>
        <v>Arnold Lucy</v>
      </c>
      <c r="K1849" s="5" t="str">
        <f>IFERROR(__xludf.DUMMYFUNCTION("""COMPUTED_VALUE"""),"Estrela 4")</f>
        <v>Estrela 4</v>
      </c>
      <c r="P1849" s="5">
        <f>IFERROR(__xludf.DUMMYFUNCTION("""COMPUTED_VALUE"""),462.0)</f>
        <v>462</v>
      </c>
      <c r="Q1849" s="5" t="str">
        <f>IFERROR(__xludf.DUMMYFUNCTION("""COMPUTED_VALUE"""),"All Quiet on the Western Front")</f>
        <v>All Quiet on the Western Front</v>
      </c>
      <c r="R1849" s="5" t="str">
        <f>IFERROR(__xludf.DUMMYFUNCTION("""COMPUTED_VALUE"""),"Arnold Lucy")</f>
        <v>Arnold Lucy</v>
      </c>
      <c r="S1849" s="5" t="str">
        <f>IFERROR(__xludf.DUMMYFUNCTION("""COMPUTED_VALUE"""),"Estrela 4")</f>
        <v>Estrela 4</v>
      </c>
    </row>
    <row r="1850">
      <c r="G1850" s="5" t="str">
        <f>IFERROR(__xludf.DUMMYFUNCTION("""COMPUTED_VALUE"""),"463🤙🏼Bronenosets Potemkin🤙🏼Aleksandr Antonov🤙🏼Estrela 1")</f>
        <v>463🤙🏼Bronenosets Potemkin🤙🏼Aleksandr Antonov🤙🏼Estrela 1</v>
      </c>
      <c r="H1850" s="5">
        <f>IFERROR(__xludf.DUMMYFUNCTION("SPLiT(G1850, ""🤙🏼"",FALSE,FALSE)"),463.0)</f>
        <v>463</v>
      </c>
      <c r="I1850" s="5" t="str">
        <f>IFERROR(__xludf.DUMMYFUNCTION("""COMPUTED_VALUE"""),"Bronenosets Potemkin")</f>
        <v>Bronenosets Potemkin</v>
      </c>
      <c r="J1850" s="5" t="str">
        <f>IFERROR(__xludf.DUMMYFUNCTION("""COMPUTED_VALUE"""),"Aleksandr Antonov")</f>
        <v>Aleksandr Antonov</v>
      </c>
      <c r="K1850" s="5" t="str">
        <f>IFERROR(__xludf.DUMMYFUNCTION("""COMPUTED_VALUE"""),"Estrela 1")</f>
        <v>Estrela 1</v>
      </c>
      <c r="P1850" s="5">
        <f>IFERROR(__xludf.DUMMYFUNCTION("""COMPUTED_VALUE"""),463.0)</f>
        <v>463</v>
      </c>
      <c r="Q1850" s="5" t="str">
        <f>IFERROR(__xludf.DUMMYFUNCTION("""COMPUTED_VALUE"""),"Bronenosets Potemkin")</f>
        <v>Bronenosets Potemkin</v>
      </c>
      <c r="R1850" s="5" t="str">
        <f>IFERROR(__xludf.DUMMYFUNCTION("""COMPUTED_VALUE"""),"Aleksandr Antonov")</f>
        <v>Aleksandr Antonov</v>
      </c>
      <c r="S1850" s="5" t="str">
        <f>IFERROR(__xludf.DUMMYFUNCTION("""COMPUTED_VALUE"""),"Estrela 1")</f>
        <v>Estrela 1</v>
      </c>
    </row>
    <row r="1851">
      <c r="G1851" s="5" t="str">
        <f>IFERROR(__xludf.DUMMYFUNCTION("""COMPUTED_VALUE"""),"463🤙🏼Bronenosets Potemkin🤙🏼Vladimir Barskiy🤙🏼Estrela 2")</f>
        <v>463🤙🏼Bronenosets Potemkin🤙🏼Vladimir Barskiy🤙🏼Estrela 2</v>
      </c>
      <c r="H1851" s="5">
        <f>IFERROR(__xludf.DUMMYFUNCTION("SPLiT(G1851, ""🤙🏼"",FALSE,FALSE)"),463.0)</f>
        <v>463</v>
      </c>
      <c r="I1851" s="5" t="str">
        <f>IFERROR(__xludf.DUMMYFUNCTION("""COMPUTED_VALUE"""),"Bronenosets Potemkin")</f>
        <v>Bronenosets Potemkin</v>
      </c>
      <c r="J1851" s="5" t="str">
        <f>IFERROR(__xludf.DUMMYFUNCTION("""COMPUTED_VALUE"""),"Vladimir Barskiy")</f>
        <v>Vladimir Barskiy</v>
      </c>
      <c r="K1851" s="5" t="str">
        <f>IFERROR(__xludf.DUMMYFUNCTION("""COMPUTED_VALUE"""),"Estrela 2")</f>
        <v>Estrela 2</v>
      </c>
      <c r="P1851" s="5">
        <f>IFERROR(__xludf.DUMMYFUNCTION("""COMPUTED_VALUE"""),463.0)</f>
        <v>463</v>
      </c>
      <c r="Q1851" s="5" t="str">
        <f>IFERROR(__xludf.DUMMYFUNCTION("""COMPUTED_VALUE"""),"Bronenosets Potemkin")</f>
        <v>Bronenosets Potemkin</v>
      </c>
      <c r="R1851" s="5" t="str">
        <f>IFERROR(__xludf.DUMMYFUNCTION("""COMPUTED_VALUE"""),"Vladimir Barskiy")</f>
        <v>Vladimir Barskiy</v>
      </c>
      <c r="S1851" s="5" t="str">
        <f>IFERROR(__xludf.DUMMYFUNCTION("""COMPUTED_VALUE"""),"Estrela 2")</f>
        <v>Estrela 2</v>
      </c>
    </row>
    <row r="1852">
      <c r="G1852" s="5" t="str">
        <f>IFERROR(__xludf.DUMMYFUNCTION("""COMPUTED_VALUE"""),"463🤙🏼Bronenosets Potemkin🤙🏼Grigoriy Aleksandrov🤙🏼Estrela 3")</f>
        <v>463🤙🏼Bronenosets Potemkin🤙🏼Grigoriy Aleksandrov🤙🏼Estrela 3</v>
      </c>
      <c r="H1852" s="5">
        <f>IFERROR(__xludf.DUMMYFUNCTION("SPLiT(G1852, ""🤙🏼"",FALSE,FALSE)"),463.0)</f>
        <v>463</v>
      </c>
      <c r="I1852" s="5" t="str">
        <f>IFERROR(__xludf.DUMMYFUNCTION("""COMPUTED_VALUE"""),"Bronenosets Potemkin")</f>
        <v>Bronenosets Potemkin</v>
      </c>
      <c r="J1852" s="5" t="str">
        <f>IFERROR(__xludf.DUMMYFUNCTION("""COMPUTED_VALUE"""),"Grigoriy Aleksandrov")</f>
        <v>Grigoriy Aleksandrov</v>
      </c>
      <c r="K1852" s="5" t="str">
        <f>IFERROR(__xludf.DUMMYFUNCTION("""COMPUTED_VALUE"""),"Estrela 3")</f>
        <v>Estrela 3</v>
      </c>
      <c r="P1852" s="5">
        <f>IFERROR(__xludf.DUMMYFUNCTION("""COMPUTED_VALUE"""),463.0)</f>
        <v>463</v>
      </c>
      <c r="Q1852" s="5" t="str">
        <f>IFERROR(__xludf.DUMMYFUNCTION("""COMPUTED_VALUE"""),"Bronenosets Potemkin")</f>
        <v>Bronenosets Potemkin</v>
      </c>
      <c r="R1852" s="5" t="str">
        <f>IFERROR(__xludf.DUMMYFUNCTION("""COMPUTED_VALUE"""),"Grigoriy Aleksandrov")</f>
        <v>Grigoriy Aleksandrov</v>
      </c>
      <c r="S1852" s="5" t="str">
        <f>IFERROR(__xludf.DUMMYFUNCTION("""COMPUTED_VALUE"""),"Estrela 3")</f>
        <v>Estrela 3</v>
      </c>
    </row>
    <row r="1853">
      <c r="G1853" s="5" t="str">
        <f>IFERROR(__xludf.DUMMYFUNCTION("""COMPUTED_VALUE"""),"463🤙🏼Bronenosets Potemkin🤙🏼Ivan Bobrov🤙🏼Estrela 4")</f>
        <v>463🤙🏼Bronenosets Potemkin🤙🏼Ivan Bobrov🤙🏼Estrela 4</v>
      </c>
      <c r="H1853" s="5">
        <f>IFERROR(__xludf.DUMMYFUNCTION("SPLiT(G1853, ""🤙🏼"",FALSE,FALSE)"),463.0)</f>
        <v>463</v>
      </c>
      <c r="I1853" s="5" t="str">
        <f>IFERROR(__xludf.DUMMYFUNCTION("""COMPUTED_VALUE"""),"Bronenosets Potemkin")</f>
        <v>Bronenosets Potemkin</v>
      </c>
      <c r="J1853" s="5" t="str">
        <f>IFERROR(__xludf.DUMMYFUNCTION("""COMPUTED_VALUE"""),"Ivan Bobrov")</f>
        <v>Ivan Bobrov</v>
      </c>
      <c r="K1853" s="5" t="str">
        <f>IFERROR(__xludf.DUMMYFUNCTION("""COMPUTED_VALUE"""),"Estrela 4")</f>
        <v>Estrela 4</v>
      </c>
      <c r="P1853" s="5">
        <f>IFERROR(__xludf.DUMMYFUNCTION("""COMPUTED_VALUE"""),463.0)</f>
        <v>463</v>
      </c>
      <c r="Q1853" s="5" t="str">
        <f>IFERROR(__xludf.DUMMYFUNCTION("""COMPUTED_VALUE"""),"Bronenosets Potemkin")</f>
        <v>Bronenosets Potemkin</v>
      </c>
      <c r="R1853" s="5" t="str">
        <f>IFERROR(__xludf.DUMMYFUNCTION("""COMPUTED_VALUE"""),"Ivan Bobrov")</f>
        <v>Ivan Bobrov</v>
      </c>
      <c r="S1853" s="5" t="str">
        <f>IFERROR(__xludf.DUMMYFUNCTION("""COMPUTED_VALUE"""),"Estrela 4")</f>
        <v>Estrela 4</v>
      </c>
    </row>
    <row r="1854">
      <c r="G1854" s="5" t="str">
        <f>IFERROR(__xludf.DUMMYFUNCTION("""COMPUTED_VALUE"""),"464🤙🏼Knives Out🤙🏼Daniel Craig🤙🏼Estrela 1")</f>
        <v>464🤙🏼Knives Out🤙🏼Daniel Craig🤙🏼Estrela 1</v>
      </c>
      <c r="H1854" s="5">
        <f>IFERROR(__xludf.DUMMYFUNCTION("SPLiT(G1854, ""🤙🏼"",FALSE,FALSE)"),464.0)</f>
        <v>464</v>
      </c>
      <c r="I1854" s="5" t="str">
        <f>IFERROR(__xludf.DUMMYFUNCTION("""COMPUTED_VALUE"""),"Knives Out")</f>
        <v>Knives Out</v>
      </c>
      <c r="J1854" s="5" t="str">
        <f>IFERROR(__xludf.DUMMYFUNCTION("""COMPUTED_VALUE"""),"Daniel Craig")</f>
        <v>Daniel Craig</v>
      </c>
      <c r="K1854" s="5" t="str">
        <f>IFERROR(__xludf.DUMMYFUNCTION("""COMPUTED_VALUE"""),"Estrela 1")</f>
        <v>Estrela 1</v>
      </c>
      <c r="P1854" s="5">
        <f>IFERROR(__xludf.DUMMYFUNCTION("""COMPUTED_VALUE"""),464.0)</f>
        <v>464</v>
      </c>
      <c r="Q1854" s="5" t="str">
        <f>IFERROR(__xludf.DUMMYFUNCTION("""COMPUTED_VALUE"""),"Knives Out")</f>
        <v>Knives Out</v>
      </c>
      <c r="R1854" s="5" t="str">
        <f>IFERROR(__xludf.DUMMYFUNCTION("""COMPUTED_VALUE"""),"Daniel Craig")</f>
        <v>Daniel Craig</v>
      </c>
      <c r="S1854" s="5" t="str">
        <f>IFERROR(__xludf.DUMMYFUNCTION("""COMPUTED_VALUE"""),"Estrela 1")</f>
        <v>Estrela 1</v>
      </c>
    </row>
    <row r="1855">
      <c r="G1855" s="5" t="str">
        <f>IFERROR(__xludf.DUMMYFUNCTION("""COMPUTED_VALUE"""),"464🤙🏼Knives Out🤙🏼Chris Evans🤙🏼Estrela 2")</f>
        <v>464🤙🏼Knives Out🤙🏼Chris Evans🤙🏼Estrela 2</v>
      </c>
      <c r="H1855" s="5">
        <f>IFERROR(__xludf.DUMMYFUNCTION("SPLiT(G1855, ""🤙🏼"",FALSE,FALSE)"),464.0)</f>
        <v>464</v>
      </c>
      <c r="I1855" s="5" t="str">
        <f>IFERROR(__xludf.DUMMYFUNCTION("""COMPUTED_VALUE"""),"Knives Out")</f>
        <v>Knives Out</v>
      </c>
      <c r="J1855" s="5" t="str">
        <f>IFERROR(__xludf.DUMMYFUNCTION("""COMPUTED_VALUE"""),"Chris Evans")</f>
        <v>Chris Evans</v>
      </c>
      <c r="K1855" s="5" t="str">
        <f>IFERROR(__xludf.DUMMYFUNCTION("""COMPUTED_VALUE"""),"Estrela 2")</f>
        <v>Estrela 2</v>
      </c>
      <c r="P1855" s="5">
        <f>IFERROR(__xludf.DUMMYFUNCTION("""COMPUTED_VALUE"""),464.0)</f>
        <v>464</v>
      </c>
      <c r="Q1855" s="5" t="str">
        <f>IFERROR(__xludf.DUMMYFUNCTION("""COMPUTED_VALUE"""),"Knives Out")</f>
        <v>Knives Out</v>
      </c>
      <c r="R1855" s="5" t="str">
        <f>IFERROR(__xludf.DUMMYFUNCTION("""COMPUTED_VALUE"""),"Chris Evans")</f>
        <v>Chris Evans</v>
      </c>
      <c r="S1855" s="5" t="str">
        <f>IFERROR(__xludf.DUMMYFUNCTION("""COMPUTED_VALUE"""),"Estrela 2")</f>
        <v>Estrela 2</v>
      </c>
    </row>
    <row r="1856">
      <c r="G1856" s="5" t="str">
        <f>IFERROR(__xludf.DUMMYFUNCTION("""COMPUTED_VALUE"""),"464🤙🏼Knives Out🤙🏼Ana de Armas🤙🏼Estrela 3")</f>
        <v>464🤙🏼Knives Out🤙🏼Ana de Armas🤙🏼Estrela 3</v>
      </c>
      <c r="H1856" s="5">
        <f>IFERROR(__xludf.DUMMYFUNCTION("SPLiT(G1856, ""🤙🏼"",FALSE,FALSE)"),464.0)</f>
        <v>464</v>
      </c>
      <c r="I1856" s="5" t="str">
        <f>IFERROR(__xludf.DUMMYFUNCTION("""COMPUTED_VALUE"""),"Knives Out")</f>
        <v>Knives Out</v>
      </c>
      <c r="J1856" s="5" t="str">
        <f>IFERROR(__xludf.DUMMYFUNCTION("""COMPUTED_VALUE"""),"Ana de Armas")</f>
        <v>Ana de Armas</v>
      </c>
      <c r="K1856" s="5" t="str">
        <f>IFERROR(__xludf.DUMMYFUNCTION("""COMPUTED_VALUE"""),"Estrela 3")</f>
        <v>Estrela 3</v>
      </c>
      <c r="P1856" s="5">
        <f>IFERROR(__xludf.DUMMYFUNCTION("""COMPUTED_VALUE"""),464.0)</f>
        <v>464</v>
      </c>
      <c r="Q1856" s="5" t="str">
        <f>IFERROR(__xludf.DUMMYFUNCTION("""COMPUTED_VALUE"""),"Knives Out")</f>
        <v>Knives Out</v>
      </c>
      <c r="R1856" s="5" t="str">
        <f>IFERROR(__xludf.DUMMYFUNCTION("""COMPUTED_VALUE"""),"Ana de Armas")</f>
        <v>Ana de Armas</v>
      </c>
      <c r="S1856" s="5" t="str">
        <f>IFERROR(__xludf.DUMMYFUNCTION("""COMPUTED_VALUE"""),"Estrela 3")</f>
        <v>Estrela 3</v>
      </c>
    </row>
    <row r="1857">
      <c r="G1857" s="5" t="str">
        <f>IFERROR(__xludf.DUMMYFUNCTION("""COMPUTED_VALUE"""),"464🤙🏼Knives Out🤙🏼Jamie Lee Curtis🤙🏼Estrela 4")</f>
        <v>464🤙🏼Knives Out🤙🏼Jamie Lee Curtis🤙🏼Estrela 4</v>
      </c>
      <c r="H1857" s="5">
        <f>IFERROR(__xludf.DUMMYFUNCTION("SPLiT(G1857, ""🤙🏼"",FALSE,FALSE)"),464.0)</f>
        <v>464</v>
      </c>
      <c r="I1857" s="5" t="str">
        <f>IFERROR(__xludf.DUMMYFUNCTION("""COMPUTED_VALUE"""),"Knives Out")</f>
        <v>Knives Out</v>
      </c>
      <c r="J1857" s="5" t="str">
        <f>IFERROR(__xludf.DUMMYFUNCTION("""COMPUTED_VALUE"""),"Jamie Lee Curtis")</f>
        <v>Jamie Lee Curtis</v>
      </c>
      <c r="K1857" s="5" t="str">
        <f>IFERROR(__xludf.DUMMYFUNCTION("""COMPUTED_VALUE"""),"Estrela 4")</f>
        <v>Estrela 4</v>
      </c>
      <c r="P1857" s="5">
        <f>IFERROR(__xludf.DUMMYFUNCTION("""COMPUTED_VALUE"""),464.0)</f>
        <v>464</v>
      </c>
      <c r="Q1857" s="5" t="str">
        <f>IFERROR(__xludf.DUMMYFUNCTION("""COMPUTED_VALUE"""),"Knives Out")</f>
        <v>Knives Out</v>
      </c>
      <c r="R1857" s="5" t="str">
        <f>IFERROR(__xludf.DUMMYFUNCTION("""COMPUTED_VALUE"""),"Jamie Lee Curtis")</f>
        <v>Jamie Lee Curtis</v>
      </c>
      <c r="S1857" s="5" t="str">
        <f>IFERROR(__xludf.DUMMYFUNCTION("""COMPUTED_VALUE"""),"Estrela 4")</f>
        <v>Estrela 4</v>
      </c>
    </row>
    <row r="1858">
      <c r="G1858" s="5" t="str">
        <f>IFERROR(__xludf.DUMMYFUNCTION("""COMPUTED_VALUE"""),"465🤙🏼Dil Bechara🤙🏼Sushant Singh Rajput🤙🏼Estrela 1")</f>
        <v>465🤙🏼Dil Bechara🤙🏼Sushant Singh Rajput🤙🏼Estrela 1</v>
      </c>
      <c r="H1858" s="5">
        <f>IFERROR(__xludf.DUMMYFUNCTION("SPLiT(G1858, ""🤙🏼"",FALSE,FALSE)"),465.0)</f>
        <v>465</v>
      </c>
      <c r="I1858" s="5" t="str">
        <f>IFERROR(__xludf.DUMMYFUNCTION("""COMPUTED_VALUE"""),"Dil Bechara")</f>
        <v>Dil Bechara</v>
      </c>
      <c r="J1858" s="5" t="str">
        <f>IFERROR(__xludf.DUMMYFUNCTION("""COMPUTED_VALUE"""),"Sushant Singh Rajput")</f>
        <v>Sushant Singh Rajput</v>
      </c>
      <c r="K1858" s="5" t="str">
        <f>IFERROR(__xludf.DUMMYFUNCTION("""COMPUTED_VALUE"""),"Estrela 1")</f>
        <v>Estrela 1</v>
      </c>
      <c r="P1858" s="5">
        <f>IFERROR(__xludf.DUMMYFUNCTION("""COMPUTED_VALUE"""),465.0)</f>
        <v>465</v>
      </c>
      <c r="Q1858" s="5" t="str">
        <f>IFERROR(__xludf.DUMMYFUNCTION("""COMPUTED_VALUE"""),"Dil Bechara")</f>
        <v>Dil Bechara</v>
      </c>
      <c r="R1858" s="5" t="str">
        <f>IFERROR(__xludf.DUMMYFUNCTION("""COMPUTED_VALUE"""),"Sushant Singh Rajput")</f>
        <v>Sushant Singh Rajput</v>
      </c>
      <c r="S1858" s="5" t="str">
        <f>IFERROR(__xludf.DUMMYFUNCTION("""COMPUTED_VALUE"""),"Estrela 1")</f>
        <v>Estrela 1</v>
      </c>
    </row>
    <row r="1859">
      <c r="G1859" s="5" t="str">
        <f>IFERROR(__xludf.DUMMYFUNCTION("""COMPUTED_VALUE"""),"465🤙🏼Dil Bechara🤙🏼Sanjana Sanghi🤙🏼Estrela 2")</f>
        <v>465🤙🏼Dil Bechara🤙🏼Sanjana Sanghi🤙🏼Estrela 2</v>
      </c>
      <c r="H1859" s="5">
        <f>IFERROR(__xludf.DUMMYFUNCTION("SPLiT(G1859, ""🤙🏼"",FALSE,FALSE)"),465.0)</f>
        <v>465</v>
      </c>
      <c r="I1859" s="5" t="str">
        <f>IFERROR(__xludf.DUMMYFUNCTION("""COMPUTED_VALUE"""),"Dil Bechara")</f>
        <v>Dil Bechara</v>
      </c>
      <c r="J1859" s="5" t="str">
        <f>IFERROR(__xludf.DUMMYFUNCTION("""COMPUTED_VALUE"""),"Sanjana Sanghi")</f>
        <v>Sanjana Sanghi</v>
      </c>
      <c r="K1859" s="5" t="str">
        <f>IFERROR(__xludf.DUMMYFUNCTION("""COMPUTED_VALUE"""),"Estrela 2")</f>
        <v>Estrela 2</v>
      </c>
      <c r="P1859" s="5">
        <f>IFERROR(__xludf.DUMMYFUNCTION("""COMPUTED_VALUE"""),465.0)</f>
        <v>465</v>
      </c>
      <c r="Q1859" s="5" t="str">
        <f>IFERROR(__xludf.DUMMYFUNCTION("""COMPUTED_VALUE"""),"Dil Bechara")</f>
        <v>Dil Bechara</v>
      </c>
      <c r="R1859" s="5" t="str">
        <f>IFERROR(__xludf.DUMMYFUNCTION("""COMPUTED_VALUE"""),"Sanjana Sanghi")</f>
        <v>Sanjana Sanghi</v>
      </c>
      <c r="S1859" s="5" t="str">
        <f>IFERROR(__xludf.DUMMYFUNCTION("""COMPUTED_VALUE"""),"Estrela 2")</f>
        <v>Estrela 2</v>
      </c>
    </row>
    <row r="1860">
      <c r="G1860" s="5" t="str">
        <f>IFERROR(__xludf.DUMMYFUNCTION("""COMPUTED_VALUE"""),"465🤙🏼Dil Bechara🤙🏼Sahil Vaid🤙🏼Estrela 3")</f>
        <v>465🤙🏼Dil Bechara🤙🏼Sahil Vaid🤙🏼Estrela 3</v>
      </c>
      <c r="H1860" s="5">
        <f>IFERROR(__xludf.DUMMYFUNCTION("SPLiT(G1860, ""🤙🏼"",FALSE,FALSE)"),465.0)</f>
        <v>465</v>
      </c>
      <c r="I1860" s="5" t="str">
        <f>IFERROR(__xludf.DUMMYFUNCTION("""COMPUTED_VALUE"""),"Dil Bechara")</f>
        <v>Dil Bechara</v>
      </c>
      <c r="J1860" s="5" t="str">
        <f>IFERROR(__xludf.DUMMYFUNCTION("""COMPUTED_VALUE"""),"Sahil Vaid")</f>
        <v>Sahil Vaid</v>
      </c>
      <c r="K1860" s="5" t="str">
        <f>IFERROR(__xludf.DUMMYFUNCTION("""COMPUTED_VALUE"""),"Estrela 3")</f>
        <v>Estrela 3</v>
      </c>
      <c r="P1860" s="5">
        <f>IFERROR(__xludf.DUMMYFUNCTION("""COMPUTED_VALUE"""),465.0)</f>
        <v>465</v>
      </c>
      <c r="Q1860" s="5" t="str">
        <f>IFERROR(__xludf.DUMMYFUNCTION("""COMPUTED_VALUE"""),"Dil Bechara")</f>
        <v>Dil Bechara</v>
      </c>
      <c r="R1860" s="5" t="str">
        <f>IFERROR(__xludf.DUMMYFUNCTION("""COMPUTED_VALUE"""),"Sahil Vaid")</f>
        <v>Sahil Vaid</v>
      </c>
      <c r="S1860" s="5" t="str">
        <f>IFERROR(__xludf.DUMMYFUNCTION("""COMPUTED_VALUE"""),"Estrela 3")</f>
        <v>Estrela 3</v>
      </c>
    </row>
    <row r="1861">
      <c r="G1861" s="5" t="str">
        <f>IFERROR(__xludf.DUMMYFUNCTION("""COMPUTED_VALUE"""),"465🤙🏼Dil Bechara🤙🏼Saswata Chatterjee🤙🏼Estrela 4")</f>
        <v>465🤙🏼Dil Bechara🤙🏼Saswata Chatterjee🤙🏼Estrela 4</v>
      </c>
      <c r="H1861" s="5">
        <f>IFERROR(__xludf.DUMMYFUNCTION("SPLiT(G1861, ""🤙🏼"",FALSE,FALSE)"),465.0)</f>
        <v>465</v>
      </c>
      <c r="I1861" s="5" t="str">
        <f>IFERROR(__xludf.DUMMYFUNCTION("""COMPUTED_VALUE"""),"Dil Bechara")</f>
        <v>Dil Bechara</v>
      </c>
      <c r="J1861" s="5" t="str">
        <f>IFERROR(__xludf.DUMMYFUNCTION("""COMPUTED_VALUE"""),"Saswata Chatterjee")</f>
        <v>Saswata Chatterjee</v>
      </c>
      <c r="K1861" s="5" t="str">
        <f>IFERROR(__xludf.DUMMYFUNCTION("""COMPUTED_VALUE"""),"Estrela 4")</f>
        <v>Estrela 4</v>
      </c>
      <c r="P1861" s="5">
        <f>IFERROR(__xludf.DUMMYFUNCTION("""COMPUTED_VALUE"""),465.0)</f>
        <v>465</v>
      </c>
      <c r="Q1861" s="5" t="str">
        <f>IFERROR(__xludf.DUMMYFUNCTION("""COMPUTED_VALUE"""),"Dil Bechara")</f>
        <v>Dil Bechara</v>
      </c>
      <c r="R1861" s="5" t="str">
        <f>IFERROR(__xludf.DUMMYFUNCTION("""COMPUTED_VALUE"""),"Saswata Chatterjee")</f>
        <v>Saswata Chatterjee</v>
      </c>
      <c r="S1861" s="5" t="str">
        <f>IFERROR(__xludf.DUMMYFUNCTION("""COMPUTED_VALUE"""),"Estrela 4")</f>
        <v>Estrela 4</v>
      </c>
    </row>
    <row r="1862">
      <c r="G1862" s="5" t="str">
        <f>IFERROR(__xludf.DUMMYFUNCTION("""COMPUTED_VALUE"""),"466🤙🏼Manbiki kazoku🤙🏼Lily Franky🤙🏼Estrela 1")</f>
        <v>466🤙🏼Manbiki kazoku🤙🏼Lily Franky🤙🏼Estrela 1</v>
      </c>
      <c r="H1862" s="5">
        <f>IFERROR(__xludf.DUMMYFUNCTION("SPLiT(G1862, ""🤙🏼"",FALSE,FALSE)"),466.0)</f>
        <v>466</v>
      </c>
      <c r="I1862" s="5" t="str">
        <f>IFERROR(__xludf.DUMMYFUNCTION("""COMPUTED_VALUE"""),"Manbiki kazoku")</f>
        <v>Manbiki kazoku</v>
      </c>
      <c r="J1862" s="5" t="str">
        <f>IFERROR(__xludf.DUMMYFUNCTION("""COMPUTED_VALUE"""),"Lily Franky")</f>
        <v>Lily Franky</v>
      </c>
      <c r="K1862" s="5" t="str">
        <f>IFERROR(__xludf.DUMMYFUNCTION("""COMPUTED_VALUE"""),"Estrela 1")</f>
        <v>Estrela 1</v>
      </c>
      <c r="P1862" s="5">
        <f>IFERROR(__xludf.DUMMYFUNCTION("""COMPUTED_VALUE"""),466.0)</f>
        <v>466</v>
      </c>
      <c r="Q1862" s="5" t="str">
        <f>IFERROR(__xludf.DUMMYFUNCTION("""COMPUTED_VALUE"""),"Manbiki kazoku")</f>
        <v>Manbiki kazoku</v>
      </c>
      <c r="R1862" s="5" t="str">
        <f>IFERROR(__xludf.DUMMYFUNCTION("""COMPUTED_VALUE"""),"Lily Franky")</f>
        <v>Lily Franky</v>
      </c>
      <c r="S1862" s="5" t="str">
        <f>IFERROR(__xludf.DUMMYFUNCTION("""COMPUTED_VALUE"""),"Estrela 1")</f>
        <v>Estrela 1</v>
      </c>
    </row>
    <row r="1863">
      <c r="G1863" s="5" t="str">
        <f>IFERROR(__xludf.DUMMYFUNCTION("""COMPUTED_VALUE"""),"466🤙🏼Manbiki kazoku🤙🏼Sakura Andô🤙🏼Estrela 2")</f>
        <v>466🤙🏼Manbiki kazoku🤙🏼Sakura Andô🤙🏼Estrela 2</v>
      </c>
      <c r="H1863" s="5">
        <f>IFERROR(__xludf.DUMMYFUNCTION("SPLiT(G1863, ""🤙🏼"",FALSE,FALSE)"),466.0)</f>
        <v>466</v>
      </c>
      <c r="I1863" s="5" t="str">
        <f>IFERROR(__xludf.DUMMYFUNCTION("""COMPUTED_VALUE"""),"Manbiki kazoku")</f>
        <v>Manbiki kazoku</v>
      </c>
      <c r="J1863" s="5" t="str">
        <f>IFERROR(__xludf.DUMMYFUNCTION("""COMPUTED_VALUE"""),"Sakura Andô")</f>
        <v>Sakura Andô</v>
      </c>
      <c r="K1863" s="5" t="str">
        <f>IFERROR(__xludf.DUMMYFUNCTION("""COMPUTED_VALUE"""),"Estrela 2")</f>
        <v>Estrela 2</v>
      </c>
      <c r="P1863" s="5">
        <f>IFERROR(__xludf.DUMMYFUNCTION("""COMPUTED_VALUE"""),466.0)</f>
        <v>466</v>
      </c>
      <c r="Q1863" s="5" t="str">
        <f>IFERROR(__xludf.DUMMYFUNCTION("""COMPUTED_VALUE"""),"Manbiki kazoku")</f>
        <v>Manbiki kazoku</v>
      </c>
      <c r="R1863" s="5" t="str">
        <f>IFERROR(__xludf.DUMMYFUNCTION("""COMPUTED_VALUE"""),"Sakura Andô")</f>
        <v>Sakura Andô</v>
      </c>
      <c r="S1863" s="5" t="str">
        <f>IFERROR(__xludf.DUMMYFUNCTION("""COMPUTED_VALUE"""),"Estrela 2")</f>
        <v>Estrela 2</v>
      </c>
    </row>
    <row r="1864">
      <c r="G1864" s="5" t="str">
        <f>IFERROR(__xludf.DUMMYFUNCTION("""COMPUTED_VALUE"""),"466🤙🏼Manbiki kazoku🤙🏼Kirin Kiki🤙🏼Estrela 3")</f>
        <v>466🤙🏼Manbiki kazoku🤙🏼Kirin Kiki🤙🏼Estrela 3</v>
      </c>
      <c r="H1864" s="5">
        <f>IFERROR(__xludf.DUMMYFUNCTION("SPLiT(G1864, ""🤙🏼"",FALSE,FALSE)"),466.0)</f>
        <v>466</v>
      </c>
      <c r="I1864" s="5" t="str">
        <f>IFERROR(__xludf.DUMMYFUNCTION("""COMPUTED_VALUE"""),"Manbiki kazoku")</f>
        <v>Manbiki kazoku</v>
      </c>
      <c r="J1864" s="5" t="str">
        <f>IFERROR(__xludf.DUMMYFUNCTION("""COMPUTED_VALUE"""),"Kirin Kiki")</f>
        <v>Kirin Kiki</v>
      </c>
      <c r="K1864" s="5" t="str">
        <f>IFERROR(__xludf.DUMMYFUNCTION("""COMPUTED_VALUE"""),"Estrela 3")</f>
        <v>Estrela 3</v>
      </c>
      <c r="P1864" s="5">
        <f>IFERROR(__xludf.DUMMYFUNCTION("""COMPUTED_VALUE"""),466.0)</f>
        <v>466</v>
      </c>
      <c r="Q1864" s="5" t="str">
        <f>IFERROR(__xludf.DUMMYFUNCTION("""COMPUTED_VALUE"""),"Manbiki kazoku")</f>
        <v>Manbiki kazoku</v>
      </c>
      <c r="R1864" s="5" t="str">
        <f>IFERROR(__xludf.DUMMYFUNCTION("""COMPUTED_VALUE"""),"Kirin Kiki")</f>
        <v>Kirin Kiki</v>
      </c>
      <c r="S1864" s="5" t="str">
        <f>IFERROR(__xludf.DUMMYFUNCTION("""COMPUTED_VALUE"""),"Estrela 3")</f>
        <v>Estrela 3</v>
      </c>
    </row>
    <row r="1865">
      <c r="G1865" s="5" t="str">
        <f>IFERROR(__xludf.DUMMYFUNCTION("""COMPUTED_VALUE"""),"466🤙🏼Manbiki kazoku🤙🏼Mayu Matsuoka🤙🏼Estrela 4")</f>
        <v>466🤙🏼Manbiki kazoku🤙🏼Mayu Matsuoka🤙🏼Estrela 4</v>
      </c>
      <c r="H1865" s="5">
        <f>IFERROR(__xludf.DUMMYFUNCTION("SPLiT(G1865, ""🤙🏼"",FALSE,FALSE)"),466.0)</f>
        <v>466</v>
      </c>
      <c r="I1865" s="5" t="str">
        <f>IFERROR(__xludf.DUMMYFUNCTION("""COMPUTED_VALUE"""),"Manbiki kazoku")</f>
        <v>Manbiki kazoku</v>
      </c>
      <c r="J1865" s="5" t="str">
        <f>IFERROR(__xludf.DUMMYFUNCTION("""COMPUTED_VALUE"""),"Mayu Matsuoka")</f>
        <v>Mayu Matsuoka</v>
      </c>
      <c r="K1865" s="5" t="str">
        <f>IFERROR(__xludf.DUMMYFUNCTION("""COMPUTED_VALUE"""),"Estrela 4")</f>
        <v>Estrela 4</v>
      </c>
      <c r="P1865" s="5">
        <f>IFERROR(__xludf.DUMMYFUNCTION("""COMPUTED_VALUE"""),466.0)</f>
        <v>466</v>
      </c>
      <c r="Q1865" s="5" t="str">
        <f>IFERROR(__xludf.DUMMYFUNCTION("""COMPUTED_VALUE"""),"Manbiki kazoku")</f>
        <v>Manbiki kazoku</v>
      </c>
      <c r="R1865" s="5" t="str">
        <f>IFERROR(__xludf.DUMMYFUNCTION("""COMPUTED_VALUE"""),"Mayu Matsuoka")</f>
        <v>Mayu Matsuoka</v>
      </c>
      <c r="S1865" s="5" t="str">
        <f>IFERROR(__xludf.DUMMYFUNCTION("""COMPUTED_VALUE"""),"Estrela 4")</f>
        <v>Estrela 4</v>
      </c>
    </row>
    <row r="1866">
      <c r="G1866" s="5" t="str">
        <f>IFERROR(__xludf.DUMMYFUNCTION("""COMPUTED_VALUE"""),"467🤙🏼Marriage Story🤙🏼Adam Driver🤙🏼Estrela 1")</f>
        <v>467🤙🏼Marriage Story🤙🏼Adam Driver🤙🏼Estrela 1</v>
      </c>
      <c r="H1866" s="5">
        <f>IFERROR(__xludf.DUMMYFUNCTION("SPLiT(G1866, ""🤙🏼"",FALSE,FALSE)"),467.0)</f>
        <v>467</v>
      </c>
      <c r="I1866" s="5" t="str">
        <f>IFERROR(__xludf.DUMMYFUNCTION("""COMPUTED_VALUE"""),"Marriage Story")</f>
        <v>Marriage Story</v>
      </c>
      <c r="J1866" s="5" t="str">
        <f>IFERROR(__xludf.DUMMYFUNCTION("""COMPUTED_VALUE"""),"Adam Driver")</f>
        <v>Adam Driver</v>
      </c>
      <c r="K1866" s="5" t="str">
        <f>IFERROR(__xludf.DUMMYFUNCTION("""COMPUTED_VALUE"""),"Estrela 1")</f>
        <v>Estrela 1</v>
      </c>
      <c r="P1866" s="5">
        <f>IFERROR(__xludf.DUMMYFUNCTION("""COMPUTED_VALUE"""),467.0)</f>
        <v>467</v>
      </c>
      <c r="Q1866" s="5" t="str">
        <f>IFERROR(__xludf.DUMMYFUNCTION("""COMPUTED_VALUE"""),"Marriage Story")</f>
        <v>Marriage Story</v>
      </c>
      <c r="R1866" s="5" t="str">
        <f>IFERROR(__xludf.DUMMYFUNCTION("""COMPUTED_VALUE"""),"Adam Driver")</f>
        <v>Adam Driver</v>
      </c>
      <c r="S1866" s="5" t="str">
        <f>IFERROR(__xludf.DUMMYFUNCTION("""COMPUTED_VALUE"""),"Estrela 1")</f>
        <v>Estrela 1</v>
      </c>
    </row>
    <row r="1867">
      <c r="G1867" s="5" t="str">
        <f>IFERROR(__xludf.DUMMYFUNCTION("""COMPUTED_VALUE"""),"467🤙🏼Marriage Story🤙🏼Scarlett Johansson🤙🏼Estrela 2")</f>
        <v>467🤙🏼Marriage Story🤙🏼Scarlett Johansson🤙🏼Estrela 2</v>
      </c>
      <c r="H1867" s="5">
        <f>IFERROR(__xludf.DUMMYFUNCTION("SPLiT(G1867, ""🤙🏼"",FALSE,FALSE)"),467.0)</f>
        <v>467</v>
      </c>
      <c r="I1867" s="5" t="str">
        <f>IFERROR(__xludf.DUMMYFUNCTION("""COMPUTED_VALUE"""),"Marriage Story")</f>
        <v>Marriage Story</v>
      </c>
      <c r="J1867" s="5" t="str">
        <f>IFERROR(__xludf.DUMMYFUNCTION("""COMPUTED_VALUE"""),"Scarlett Johansson")</f>
        <v>Scarlett Johansson</v>
      </c>
      <c r="K1867" s="5" t="str">
        <f>IFERROR(__xludf.DUMMYFUNCTION("""COMPUTED_VALUE"""),"Estrela 2")</f>
        <v>Estrela 2</v>
      </c>
      <c r="P1867" s="5">
        <f>IFERROR(__xludf.DUMMYFUNCTION("""COMPUTED_VALUE"""),467.0)</f>
        <v>467</v>
      </c>
      <c r="Q1867" s="5" t="str">
        <f>IFERROR(__xludf.DUMMYFUNCTION("""COMPUTED_VALUE"""),"Marriage Story")</f>
        <v>Marriage Story</v>
      </c>
      <c r="R1867" s="5" t="str">
        <f>IFERROR(__xludf.DUMMYFUNCTION("""COMPUTED_VALUE"""),"Scarlett Johansson")</f>
        <v>Scarlett Johansson</v>
      </c>
      <c r="S1867" s="5" t="str">
        <f>IFERROR(__xludf.DUMMYFUNCTION("""COMPUTED_VALUE"""),"Estrela 2")</f>
        <v>Estrela 2</v>
      </c>
    </row>
    <row r="1868">
      <c r="G1868" s="5" t="str">
        <f>IFERROR(__xludf.DUMMYFUNCTION("""COMPUTED_VALUE"""),"467🤙🏼Marriage Story🤙🏼Julia Greer🤙🏼Estrela 3")</f>
        <v>467🤙🏼Marriage Story🤙🏼Julia Greer🤙🏼Estrela 3</v>
      </c>
      <c r="H1868" s="5">
        <f>IFERROR(__xludf.DUMMYFUNCTION("SPLiT(G1868, ""🤙🏼"",FALSE,FALSE)"),467.0)</f>
        <v>467</v>
      </c>
      <c r="I1868" s="5" t="str">
        <f>IFERROR(__xludf.DUMMYFUNCTION("""COMPUTED_VALUE"""),"Marriage Story")</f>
        <v>Marriage Story</v>
      </c>
      <c r="J1868" s="5" t="str">
        <f>IFERROR(__xludf.DUMMYFUNCTION("""COMPUTED_VALUE"""),"Julia Greer")</f>
        <v>Julia Greer</v>
      </c>
      <c r="K1868" s="5" t="str">
        <f>IFERROR(__xludf.DUMMYFUNCTION("""COMPUTED_VALUE"""),"Estrela 3")</f>
        <v>Estrela 3</v>
      </c>
      <c r="P1868" s="5">
        <f>IFERROR(__xludf.DUMMYFUNCTION("""COMPUTED_VALUE"""),467.0)</f>
        <v>467</v>
      </c>
      <c r="Q1868" s="5" t="str">
        <f>IFERROR(__xludf.DUMMYFUNCTION("""COMPUTED_VALUE"""),"Marriage Story")</f>
        <v>Marriage Story</v>
      </c>
      <c r="R1868" s="5" t="str">
        <f>IFERROR(__xludf.DUMMYFUNCTION("""COMPUTED_VALUE"""),"Julia Greer")</f>
        <v>Julia Greer</v>
      </c>
      <c r="S1868" s="5" t="str">
        <f>IFERROR(__xludf.DUMMYFUNCTION("""COMPUTED_VALUE"""),"Estrela 3")</f>
        <v>Estrela 3</v>
      </c>
    </row>
    <row r="1869">
      <c r="G1869" s="5" t="str">
        <f>IFERROR(__xludf.DUMMYFUNCTION("""COMPUTED_VALUE"""),"467🤙🏼Marriage Story🤙🏼Azhy Robertson🤙🏼Estrela 4")</f>
        <v>467🤙🏼Marriage Story🤙🏼Azhy Robertson🤙🏼Estrela 4</v>
      </c>
      <c r="H1869" s="5">
        <f>IFERROR(__xludf.DUMMYFUNCTION("SPLiT(G1869, ""🤙🏼"",FALSE,FALSE)"),467.0)</f>
        <v>467</v>
      </c>
      <c r="I1869" s="5" t="str">
        <f>IFERROR(__xludf.DUMMYFUNCTION("""COMPUTED_VALUE"""),"Marriage Story")</f>
        <v>Marriage Story</v>
      </c>
      <c r="J1869" s="5" t="str">
        <f>IFERROR(__xludf.DUMMYFUNCTION("""COMPUTED_VALUE"""),"Azhy Robertson")</f>
        <v>Azhy Robertson</v>
      </c>
      <c r="K1869" s="5" t="str">
        <f>IFERROR(__xludf.DUMMYFUNCTION("""COMPUTED_VALUE"""),"Estrela 4")</f>
        <v>Estrela 4</v>
      </c>
      <c r="P1869" s="5">
        <f>IFERROR(__xludf.DUMMYFUNCTION("""COMPUTED_VALUE"""),467.0)</f>
        <v>467</v>
      </c>
      <c r="Q1869" s="5" t="str">
        <f>IFERROR(__xludf.DUMMYFUNCTION("""COMPUTED_VALUE"""),"Marriage Story")</f>
        <v>Marriage Story</v>
      </c>
      <c r="R1869" s="5" t="str">
        <f>IFERROR(__xludf.DUMMYFUNCTION("""COMPUTED_VALUE"""),"Azhy Robertson")</f>
        <v>Azhy Robertson</v>
      </c>
      <c r="S1869" s="5" t="str">
        <f>IFERROR(__xludf.DUMMYFUNCTION("""COMPUTED_VALUE"""),"Estrela 4")</f>
        <v>Estrela 4</v>
      </c>
    </row>
    <row r="1870">
      <c r="G1870" s="5" t="str">
        <f>IFERROR(__xludf.DUMMYFUNCTION("""COMPUTED_VALUE"""),"468🤙🏼Call Me by Your Name🤙🏼Armie Hammer🤙🏼Estrela 1")</f>
        <v>468🤙🏼Call Me by Your Name🤙🏼Armie Hammer🤙🏼Estrela 1</v>
      </c>
      <c r="H1870" s="5">
        <f>IFERROR(__xludf.DUMMYFUNCTION("SPLiT(G1870, ""🤙🏼"",FALSE,FALSE)"),468.0)</f>
        <v>468</v>
      </c>
      <c r="I1870" s="5" t="str">
        <f>IFERROR(__xludf.DUMMYFUNCTION("""COMPUTED_VALUE"""),"Call Me by Your Name")</f>
        <v>Call Me by Your Name</v>
      </c>
      <c r="J1870" s="5" t="str">
        <f>IFERROR(__xludf.DUMMYFUNCTION("""COMPUTED_VALUE"""),"Armie Hammer")</f>
        <v>Armie Hammer</v>
      </c>
      <c r="K1870" s="5" t="str">
        <f>IFERROR(__xludf.DUMMYFUNCTION("""COMPUTED_VALUE"""),"Estrela 1")</f>
        <v>Estrela 1</v>
      </c>
      <c r="P1870" s="5">
        <f>IFERROR(__xludf.DUMMYFUNCTION("""COMPUTED_VALUE"""),468.0)</f>
        <v>468</v>
      </c>
      <c r="Q1870" s="5" t="str">
        <f>IFERROR(__xludf.DUMMYFUNCTION("""COMPUTED_VALUE"""),"Call Me by Your Name")</f>
        <v>Call Me by Your Name</v>
      </c>
      <c r="R1870" s="5" t="str">
        <f>IFERROR(__xludf.DUMMYFUNCTION("""COMPUTED_VALUE"""),"Armie Hammer")</f>
        <v>Armie Hammer</v>
      </c>
      <c r="S1870" s="5" t="str">
        <f>IFERROR(__xludf.DUMMYFUNCTION("""COMPUTED_VALUE"""),"Estrela 1")</f>
        <v>Estrela 1</v>
      </c>
    </row>
    <row r="1871">
      <c r="G1871" s="5" t="str">
        <f>IFERROR(__xludf.DUMMYFUNCTION("""COMPUTED_VALUE"""),"468🤙🏼Call Me by Your Name🤙🏼Timothée Chalamet🤙🏼Estrela 2")</f>
        <v>468🤙🏼Call Me by Your Name🤙🏼Timothée Chalamet🤙🏼Estrela 2</v>
      </c>
      <c r="H1871" s="5">
        <f>IFERROR(__xludf.DUMMYFUNCTION("SPLiT(G1871, ""🤙🏼"",FALSE,FALSE)"),468.0)</f>
        <v>468</v>
      </c>
      <c r="I1871" s="5" t="str">
        <f>IFERROR(__xludf.DUMMYFUNCTION("""COMPUTED_VALUE"""),"Call Me by Your Name")</f>
        <v>Call Me by Your Name</v>
      </c>
      <c r="J1871" s="5" t="str">
        <f>IFERROR(__xludf.DUMMYFUNCTION("""COMPUTED_VALUE"""),"Timothée Chalamet")</f>
        <v>Timothée Chalamet</v>
      </c>
      <c r="K1871" s="5" t="str">
        <f>IFERROR(__xludf.DUMMYFUNCTION("""COMPUTED_VALUE"""),"Estrela 2")</f>
        <v>Estrela 2</v>
      </c>
      <c r="P1871" s="5">
        <f>IFERROR(__xludf.DUMMYFUNCTION("""COMPUTED_VALUE"""),468.0)</f>
        <v>468</v>
      </c>
      <c r="Q1871" s="5" t="str">
        <f>IFERROR(__xludf.DUMMYFUNCTION("""COMPUTED_VALUE"""),"Call Me by Your Name")</f>
        <v>Call Me by Your Name</v>
      </c>
      <c r="R1871" s="5" t="str">
        <f>IFERROR(__xludf.DUMMYFUNCTION("""COMPUTED_VALUE"""),"Timothée Chalamet")</f>
        <v>Timothée Chalamet</v>
      </c>
      <c r="S1871" s="5" t="str">
        <f>IFERROR(__xludf.DUMMYFUNCTION("""COMPUTED_VALUE"""),"Estrela 2")</f>
        <v>Estrela 2</v>
      </c>
    </row>
    <row r="1872">
      <c r="G1872" s="5" t="str">
        <f>IFERROR(__xludf.DUMMYFUNCTION("""COMPUTED_VALUE"""),"468🤙🏼Call Me by Your Name🤙🏼Michael Stuhlbarg🤙🏼Estrela 3")</f>
        <v>468🤙🏼Call Me by Your Name🤙🏼Michael Stuhlbarg🤙🏼Estrela 3</v>
      </c>
      <c r="H1872" s="5">
        <f>IFERROR(__xludf.DUMMYFUNCTION("SPLiT(G1872, ""🤙🏼"",FALSE,FALSE)"),468.0)</f>
        <v>468</v>
      </c>
      <c r="I1872" s="5" t="str">
        <f>IFERROR(__xludf.DUMMYFUNCTION("""COMPUTED_VALUE"""),"Call Me by Your Name")</f>
        <v>Call Me by Your Name</v>
      </c>
      <c r="J1872" s="5" t="str">
        <f>IFERROR(__xludf.DUMMYFUNCTION("""COMPUTED_VALUE"""),"Michael Stuhlbarg")</f>
        <v>Michael Stuhlbarg</v>
      </c>
      <c r="K1872" s="5" t="str">
        <f>IFERROR(__xludf.DUMMYFUNCTION("""COMPUTED_VALUE"""),"Estrela 3")</f>
        <v>Estrela 3</v>
      </c>
      <c r="P1872" s="5">
        <f>IFERROR(__xludf.DUMMYFUNCTION("""COMPUTED_VALUE"""),468.0)</f>
        <v>468</v>
      </c>
      <c r="Q1872" s="5" t="str">
        <f>IFERROR(__xludf.DUMMYFUNCTION("""COMPUTED_VALUE"""),"Call Me by Your Name")</f>
        <v>Call Me by Your Name</v>
      </c>
      <c r="R1872" s="5" t="str">
        <f>IFERROR(__xludf.DUMMYFUNCTION("""COMPUTED_VALUE"""),"Michael Stuhlbarg")</f>
        <v>Michael Stuhlbarg</v>
      </c>
      <c r="S1872" s="5" t="str">
        <f>IFERROR(__xludf.DUMMYFUNCTION("""COMPUTED_VALUE"""),"Estrela 3")</f>
        <v>Estrela 3</v>
      </c>
    </row>
    <row r="1873">
      <c r="G1873" s="5" t="str">
        <f>IFERROR(__xludf.DUMMYFUNCTION("""COMPUTED_VALUE"""),"468🤙🏼Call Me by Your Name🤙🏼Amira Casar🤙🏼Estrela 4")</f>
        <v>468🤙🏼Call Me by Your Name🤙🏼Amira Casar🤙🏼Estrela 4</v>
      </c>
      <c r="H1873" s="5">
        <f>IFERROR(__xludf.DUMMYFUNCTION("SPLiT(G1873, ""🤙🏼"",FALSE,FALSE)"),468.0)</f>
        <v>468</v>
      </c>
      <c r="I1873" s="5" t="str">
        <f>IFERROR(__xludf.DUMMYFUNCTION("""COMPUTED_VALUE"""),"Call Me by Your Name")</f>
        <v>Call Me by Your Name</v>
      </c>
      <c r="J1873" s="5" t="str">
        <f>IFERROR(__xludf.DUMMYFUNCTION("""COMPUTED_VALUE"""),"Amira Casar")</f>
        <v>Amira Casar</v>
      </c>
      <c r="K1873" s="5" t="str">
        <f>IFERROR(__xludf.DUMMYFUNCTION("""COMPUTED_VALUE"""),"Estrela 4")</f>
        <v>Estrela 4</v>
      </c>
      <c r="P1873" s="5">
        <f>IFERROR(__xludf.DUMMYFUNCTION("""COMPUTED_VALUE"""),468.0)</f>
        <v>468</v>
      </c>
      <c r="Q1873" s="5" t="str">
        <f>IFERROR(__xludf.DUMMYFUNCTION("""COMPUTED_VALUE"""),"Call Me by Your Name")</f>
        <v>Call Me by Your Name</v>
      </c>
      <c r="R1873" s="5" t="str">
        <f>IFERROR(__xludf.DUMMYFUNCTION("""COMPUTED_VALUE"""),"Amira Casar")</f>
        <v>Amira Casar</v>
      </c>
      <c r="S1873" s="5" t="str">
        <f>IFERROR(__xludf.DUMMYFUNCTION("""COMPUTED_VALUE"""),"Estrela 4")</f>
        <v>Estrela 4</v>
      </c>
    </row>
    <row r="1874">
      <c r="G1874" s="5" t="str">
        <f>IFERROR(__xludf.DUMMYFUNCTION("""COMPUTED_VALUE"""),"469🤙🏼I, Daniel Blake🤙🏼Laura Obiols🤙🏼Estrela 1")</f>
        <v>469🤙🏼I, Daniel Blake🤙🏼Laura Obiols🤙🏼Estrela 1</v>
      </c>
      <c r="H1874" s="5">
        <f>IFERROR(__xludf.DUMMYFUNCTION("SPLiT(G1874, ""🤙🏼"",FALSE,FALSE)"),469.0)</f>
        <v>469</v>
      </c>
      <c r="I1874" s="5" t="str">
        <f>IFERROR(__xludf.DUMMYFUNCTION("""COMPUTED_VALUE"""),"I, Daniel Blake")</f>
        <v>I, Daniel Blake</v>
      </c>
      <c r="J1874" s="5" t="str">
        <f>IFERROR(__xludf.DUMMYFUNCTION("""COMPUTED_VALUE"""),"Laura Obiols")</f>
        <v>Laura Obiols</v>
      </c>
      <c r="K1874" s="5" t="str">
        <f>IFERROR(__xludf.DUMMYFUNCTION("""COMPUTED_VALUE"""),"Estrela 1")</f>
        <v>Estrela 1</v>
      </c>
      <c r="P1874" s="5">
        <f>IFERROR(__xludf.DUMMYFUNCTION("""COMPUTED_VALUE"""),469.0)</f>
        <v>469</v>
      </c>
      <c r="Q1874" s="5" t="str">
        <f>IFERROR(__xludf.DUMMYFUNCTION("""COMPUTED_VALUE"""),"I, Daniel Blake")</f>
        <v>I, Daniel Blake</v>
      </c>
      <c r="R1874" s="5" t="str">
        <f>IFERROR(__xludf.DUMMYFUNCTION("""COMPUTED_VALUE"""),"Laura Obiols")</f>
        <v>Laura Obiols</v>
      </c>
      <c r="S1874" s="5" t="str">
        <f>IFERROR(__xludf.DUMMYFUNCTION("""COMPUTED_VALUE"""),"Estrela 1")</f>
        <v>Estrela 1</v>
      </c>
    </row>
    <row r="1875">
      <c r="G1875" s="5" t="str">
        <f>IFERROR(__xludf.DUMMYFUNCTION("""COMPUTED_VALUE"""),"469🤙🏼I, Daniel Blake🤙🏼Dave Johns🤙🏼Estrela 2")</f>
        <v>469🤙🏼I, Daniel Blake🤙🏼Dave Johns🤙🏼Estrela 2</v>
      </c>
      <c r="H1875" s="5">
        <f>IFERROR(__xludf.DUMMYFUNCTION("SPLiT(G1875, ""🤙🏼"",FALSE,FALSE)"),469.0)</f>
        <v>469</v>
      </c>
      <c r="I1875" s="5" t="str">
        <f>IFERROR(__xludf.DUMMYFUNCTION("""COMPUTED_VALUE"""),"I, Daniel Blake")</f>
        <v>I, Daniel Blake</v>
      </c>
      <c r="J1875" s="5" t="str">
        <f>IFERROR(__xludf.DUMMYFUNCTION("""COMPUTED_VALUE"""),"Dave Johns")</f>
        <v>Dave Johns</v>
      </c>
      <c r="K1875" s="5" t="str">
        <f>IFERROR(__xludf.DUMMYFUNCTION("""COMPUTED_VALUE"""),"Estrela 2")</f>
        <v>Estrela 2</v>
      </c>
      <c r="P1875" s="5">
        <f>IFERROR(__xludf.DUMMYFUNCTION("""COMPUTED_VALUE"""),469.0)</f>
        <v>469</v>
      </c>
      <c r="Q1875" s="5" t="str">
        <f>IFERROR(__xludf.DUMMYFUNCTION("""COMPUTED_VALUE"""),"I, Daniel Blake")</f>
        <v>I, Daniel Blake</v>
      </c>
      <c r="R1875" s="5" t="str">
        <f>IFERROR(__xludf.DUMMYFUNCTION("""COMPUTED_VALUE"""),"Dave Johns")</f>
        <v>Dave Johns</v>
      </c>
      <c r="S1875" s="5" t="str">
        <f>IFERROR(__xludf.DUMMYFUNCTION("""COMPUTED_VALUE"""),"Estrela 2")</f>
        <v>Estrela 2</v>
      </c>
    </row>
    <row r="1876">
      <c r="G1876" s="5" t="str">
        <f>IFERROR(__xludf.DUMMYFUNCTION("""COMPUTED_VALUE"""),"469🤙🏼I, Daniel Blake🤙🏼Hayley Squires🤙🏼Estrela 3")</f>
        <v>469🤙🏼I, Daniel Blake🤙🏼Hayley Squires🤙🏼Estrela 3</v>
      </c>
      <c r="H1876" s="5">
        <f>IFERROR(__xludf.DUMMYFUNCTION("SPLiT(G1876, ""🤙🏼"",FALSE,FALSE)"),469.0)</f>
        <v>469</v>
      </c>
      <c r="I1876" s="5" t="str">
        <f>IFERROR(__xludf.DUMMYFUNCTION("""COMPUTED_VALUE"""),"I, Daniel Blake")</f>
        <v>I, Daniel Blake</v>
      </c>
      <c r="J1876" s="5" t="str">
        <f>IFERROR(__xludf.DUMMYFUNCTION("""COMPUTED_VALUE"""),"Hayley Squires")</f>
        <v>Hayley Squires</v>
      </c>
      <c r="K1876" s="5" t="str">
        <f>IFERROR(__xludf.DUMMYFUNCTION("""COMPUTED_VALUE"""),"Estrela 3")</f>
        <v>Estrela 3</v>
      </c>
      <c r="P1876" s="5">
        <f>IFERROR(__xludf.DUMMYFUNCTION("""COMPUTED_VALUE"""),469.0)</f>
        <v>469</v>
      </c>
      <c r="Q1876" s="5" t="str">
        <f>IFERROR(__xludf.DUMMYFUNCTION("""COMPUTED_VALUE"""),"I, Daniel Blake")</f>
        <v>I, Daniel Blake</v>
      </c>
      <c r="R1876" s="5" t="str">
        <f>IFERROR(__xludf.DUMMYFUNCTION("""COMPUTED_VALUE"""),"Hayley Squires")</f>
        <v>Hayley Squires</v>
      </c>
      <c r="S1876" s="5" t="str">
        <f>IFERROR(__xludf.DUMMYFUNCTION("""COMPUTED_VALUE"""),"Estrela 3")</f>
        <v>Estrela 3</v>
      </c>
    </row>
    <row r="1877">
      <c r="G1877" s="5" t="str">
        <f>IFERROR(__xludf.DUMMYFUNCTION("""COMPUTED_VALUE"""),"469🤙🏼I, Daniel Blake🤙🏼Sharon Percy🤙🏼Estrela 4")</f>
        <v>469🤙🏼I, Daniel Blake🤙🏼Sharon Percy🤙🏼Estrela 4</v>
      </c>
      <c r="H1877" s="5">
        <f>IFERROR(__xludf.DUMMYFUNCTION("SPLiT(G1877, ""🤙🏼"",FALSE,FALSE)"),469.0)</f>
        <v>469</v>
      </c>
      <c r="I1877" s="5" t="str">
        <f>IFERROR(__xludf.DUMMYFUNCTION("""COMPUTED_VALUE"""),"I, Daniel Blake")</f>
        <v>I, Daniel Blake</v>
      </c>
      <c r="J1877" s="5" t="str">
        <f>IFERROR(__xludf.DUMMYFUNCTION("""COMPUTED_VALUE"""),"Sharon Percy")</f>
        <v>Sharon Percy</v>
      </c>
      <c r="K1877" s="5" t="str">
        <f>IFERROR(__xludf.DUMMYFUNCTION("""COMPUTED_VALUE"""),"Estrela 4")</f>
        <v>Estrela 4</v>
      </c>
      <c r="P1877" s="5">
        <f>IFERROR(__xludf.DUMMYFUNCTION("""COMPUTED_VALUE"""),469.0)</f>
        <v>469</v>
      </c>
      <c r="Q1877" s="5" t="str">
        <f>IFERROR(__xludf.DUMMYFUNCTION("""COMPUTED_VALUE"""),"I, Daniel Blake")</f>
        <v>I, Daniel Blake</v>
      </c>
      <c r="R1877" s="5" t="str">
        <f>IFERROR(__xludf.DUMMYFUNCTION("""COMPUTED_VALUE"""),"Sharon Percy")</f>
        <v>Sharon Percy</v>
      </c>
      <c r="S1877" s="5" t="str">
        <f>IFERROR(__xludf.DUMMYFUNCTION("""COMPUTED_VALUE"""),"Estrela 4")</f>
        <v>Estrela 4</v>
      </c>
    </row>
    <row r="1878">
      <c r="G1878" s="5" t="str">
        <f>IFERROR(__xludf.DUMMYFUNCTION("""COMPUTED_VALUE"""),"470🤙🏼Isle of Dogs🤙🏼Bryan Cranston🤙🏼Estrela 1")</f>
        <v>470🤙🏼Isle of Dogs🤙🏼Bryan Cranston🤙🏼Estrela 1</v>
      </c>
      <c r="H1878" s="5">
        <f>IFERROR(__xludf.DUMMYFUNCTION("SPLiT(G1878, ""🤙🏼"",FALSE,FALSE)"),470.0)</f>
        <v>470</v>
      </c>
      <c r="I1878" s="5" t="str">
        <f>IFERROR(__xludf.DUMMYFUNCTION("""COMPUTED_VALUE"""),"Isle of Dogs")</f>
        <v>Isle of Dogs</v>
      </c>
      <c r="J1878" s="5" t="str">
        <f>IFERROR(__xludf.DUMMYFUNCTION("""COMPUTED_VALUE"""),"Bryan Cranston")</f>
        <v>Bryan Cranston</v>
      </c>
      <c r="K1878" s="5" t="str">
        <f>IFERROR(__xludf.DUMMYFUNCTION("""COMPUTED_VALUE"""),"Estrela 1")</f>
        <v>Estrela 1</v>
      </c>
      <c r="P1878" s="5">
        <f>IFERROR(__xludf.DUMMYFUNCTION("""COMPUTED_VALUE"""),470.0)</f>
        <v>470</v>
      </c>
      <c r="Q1878" s="5" t="str">
        <f>IFERROR(__xludf.DUMMYFUNCTION("""COMPUTED_VALUE"""),"Isle of Dogs")</f>
        <v>Isle of Dogs</v>
      </c>
      <c r="R1878" s="5" t="str">
        <f>IFERROR(__xludf.DUMMYFUNCTION("""COMPUTED_VALUE"""),"Bryan Cranston")</f>
        <v>Bryan Cranston</v>
      </c>
      <c r="S1878" s="5" t="str">
        <f>IFERROR(__xludf.DUMMYFUNCTION("""COMPUTED_VALUE"""),"Estrela 1")</f>
        <v>Estrela 1</v>
      </c>
    </row>
    <row r="1879">
      <c r="G1879" s="5" t="str">
        <f>IFERROR(__xludf.DUMMYFUNCTION("""COMPUTED_VALUE"""),"470🤙🏼Isle of Dogs🤙🏼Koyu Rankin🤙🏼Estrela 2")</f>
        <v>470🤙🏼Isle of Dogs🤙🏼Koyu Rankin🤙🏼Estrela 2</v>
      </c>
      <c r="H1879" s="5">
        <f>IFERROR(__xludf.DUMMYFUNCTION("SPLiT(G1879, ""🤙🏼"",FALSE,FALSE)"),470.0)</f>
        <v>470</v>
      </c>
      <c r="I1879" s="5" t="str">
        <f>IFERROR(__xludf.DUMMYFUNCTION("""COMPUTED_VALUE"""),"Isle of Dogs")</f>
        <v>Isle of Dogs</v>
      </c>
      <c r="J1879" s="5" t="str">
        <f>IFERROR(__xludf.DUMMYFUNCTION("""COMPUTED_VALUE"""),"Koyu Rankin")</f>
        <v>Koyu Rankin</v>
      </c>
      <c r="K1879" s="5" t="str">
        <f>IFERROR(__xludf.DUMMYFUNCTION("""COMPUTED_VALUE"""),"Estrela 2")</f>
        <v>Estrela 2</v>
      </c>
      <c r="P1879" s="5">
        <f>IFERROR(__xludf.DUMMYFUNCTION("""COMPUTED_VALUE"""),470.0)</f>
        <v>470</v>
      </c>
      <c r="Q1879" s="5" t="str">
        <f>IFERROR(__xludf.DUMMYFUNCTION("""COMPUTED_VALUE"""),"Isle of Dogs")</f>
        <v>Isle of Dogs</v>
      </c>
      <c r="R1879" s="5" t="str">
        <f>IFERROR(__xludf.DUMMYFUNCTION("""COMPUTED_VALUE"""),"Koyu Rankin")</f>
        <v>Koyu Rankin</v>
      </c>
      <c r="S1879" s="5" t="str">
        <f>IFERROR(__xludf.DUMMYFUNCTION("""COMPUTED_VALUE"""),"Estrela 2")</f>
        <v>Estrela 2</v>
      </c>
    </row>
    <row r="1880">
      <c r="G1880" s="5" t="str">
        <f>IFERROR(__xludf.DUMMYFUNCTION("""COMPUTED_VALUE"""),"470🤙🏼Isle of Dogs🤙🏼Edward Norton🤙🏼Estrela 3")</f>
        <v>470🤙🏼Isle of Dogs🤙🏼Edward Norton🤙🏼Estrela 3</v>
      </c>
      <c r="H1880" s="5">
        <f>IFERROR(__xludf.DUMMYFUNCTION("SPLiT(G1880, ""🤙🏼"",FALSE,FALSE)"),470.0)</f>
        <v>470</v>
      </c>
      <c r="I1880" s="5" t="str">
        <f>IFERROR(__xludf.DUMMYFUNCTION("""COMPUTED_VALUE"""),"Isle of Dogs")</f>
        <v>Isle of Dogs</v>
      </c>
      <c r="J1880" s="5" t="str">
        <f>IFERROR(__xludf.DUMMYFUNCTION("""COMPUTED_VALUE"""),"Edward Norton")</f>
        <v>Edward Norton</v>
      </c>
      <c r="K1880" s="5" t="str">
        <f>IFERROR(__xludf.DUMMYFUNCTION("""COMPUTED_VALUE"""),"Estrela 3")</f>
        <v>Estrela 3</v>
      </c>
      <c r="P1880" s="5">
        <f>IFERROR(__xludf.DUMMYFUNCTION("""COMPUTED_VALUE"""),470.0)</f>
        <v>470</v>
      </c>
      <c r="Q1880" s="5" t="str">
        <f>IFERROR(__xludf.DUMMYFUNCTION("""COMPUTED_VALUE"""),"Isle of Dogs")</f>
        <v>Isle of Dogs</v>
      </c>
      <c r="R1880" s="5" t="str">
        <f>IFERROR(__xludf.DUMMYFUNCTION("""COMPUTED_VALUE"""),"Edward Norton")</f>
        <v>Edward Norton</v>
      </c>
      <c r="S1880" s="5" t="str">
        <f>IFERROR(__xludf.DUMMYFUNCTION("""COMPUTED_VALUE"""),"Estrela 3")</f>
        <v>Estrela 3</v>
      </c>
    </row>
    <row r="1881">
      <c r="G1881" s="5" t="str">
        <f>IFERROR(__xludf.DUMMYFUNCTION("""COMPUTED_VALUE"""),"470🤙🏼Isle of Dogs🤙🏼Bob Balaban🤙🏼Estrela 4")</f>
        <v>470🤙🏼Isle of Dogs🤙🏼Bob Balaban🤙🏼Estrela 4</v>
      </c>
      <c r="H1881" s="5">
        <f>IFERROR(__xludf.DUMMYFUNCTION("SPLiT(G1881, ""🤙🏼"",FALSE,FALSE)"),470.0)</f>
        <v>470</v>
      </c>
      <c r="I1881" s="5" t="str">
        <f>IFERROR(__xludf.DUMMYFUNCTION("""COMPUTED_VALUE"""),"Isle of Dogs")</f>
        <v>Isle of Dogs</v>
      </c>
      <c r="J1881" s="5" t="str">
        <f>IFERROR(__xludf.DUMMYFUNCTION("""COMPUTED_VALUE"""),"Bob Balaban")</f>
        <v>Bob Balaban</v>
      </c>
      <c r="K1881" s="5" t="str">
        <f>IFERROR(__xludf.DUMMYFUNCTION("""COMPUTED_VALUE"""),"Estrela 4")</f>
        <v>Estrela 4</v>
      </c>
      <c r="P1881" s="5">
        <f>IFERROR(__xludf.DUMMYFUNCTION("""COMPUTED_VALUE"""),470.0)</f>
        <v>470</v>
      </c>
      <c r="Q1881" s="5" t="str">
        <f>IFERROR(__xludf.DUMMYFUNCTION("""COMPUTED_VALUE"""),"Isle of Dogs")</f>
        <v>Isle of Dogs</v>
      </c>
      <c r="R1881" s="5" t="str">
        <f>IFERROR(__xludf.DUMMYFUNCTION("""COMPUTED_VALUE"""),"Bob Balaban")</f>
        <v>Bob Balaban</v>
      </c>
      <c r="S1881" s="5" t="str">
        <f>IFERROR(__xludf.DUMMYFUNCTION("""COMPUTED_VALUE"""),"Estrela 4")</f>
        <v>Estrela 4</v>
      </c>
    </row>
    <row r="1882">
      <c r="G1882" s="5" t="str">
        <f>IFERROR(__xludf.DUMMYFUNCTION("""COMPUTED_VALUE"""),"471🤙🏼Hunt for the Wilderpeople🤙🏼Sam Neill🤙🏼Estrela 1")</f>
        <v>471🤙🏼Hunt for the Wilderpeople🤙🏼Sam Neill🤙🏼Estrela 1</v>
      </c>
      <c r="H1882" s="5">
        <f>IFERROR(__xludf.DUMMYFUNCTION("SPLiT(G1882, ""🤙🏼"",FALSE,FALSE)"),471.0)</f>
        <v>471</v>
      </c>
      <c r="I1882" s="5" t="str">
        <f>IFERROR(__xludf.DUMMYFUNCTION("""COMPUTED_VALUE"""),"Hunt for the Wilderpeople")</f>
        <v>Hunt for the Wilderpeople</v>
      </c>
      <c r="J1882" s="5" t="str">
        <f>IFERROR(__xludf.DUMMYFUNCTION("""COMPUTED_VALUE"""),"Sam Neill")</f>
        <v>Sam Neill</v>
      </c>
      <c r="K1882" s="5" t="str">
        <f>IFERROR(__xludf.DUMMYFUNCTION("""COMPUTED_VALUE"""),"Estrela 1")</f>
        <v>Estrela 1</v>
      </c>
      <c r="P1882" s="5">
        <f>IFERROR(__xludf.DUMMYFUNCTION("""COMPUTED_VALUE"""),471.0)</f>
        <v>471</v>
      </c>
      <c r="Q1882" s="5" t="str">
        <f>IFERROR(__xludf.DUMMYFUNCTION("""COMPUTED_VALUE"""),"Hunt for the Wilderpeople")</f>
        <v>Hunt for the Wilderpeople</v>
      </c>
      <c r="R1882" s="5" t="str">
        <f>IFERROR(__xludf.DUMMYFUNCTION("""COMPUTED_VALUE"""),"Sam Neill")</f>
        <v>Sam Neill</v>
      </c>
      <c r="S1882" s="5" t="str">
        <f>IFERROR(__xludf.DUMMYFUNCTION("""COMPUTED_VALUE"""),"Estrela 1")</f>
        <v>Estrela 1</v>
      </c>
    </row>
    <row r="1883">
      <c r="G1883" s="5" t="str">
        <f>IFERROR(__xludf.DUMMYFUNCTION("""COMPUTED_VALUE"""),"471🤙🏼Hunt for the Wilderpeople🤙🏼Julian Dennison🤙🏼Estrela 2")</f>
        <v>471🤙🏼Hunt for the Wilderpeople🤙🏼Julian Dennison🤙🏼Estrela 2</v>
      </c>
      <c r="H1883" s="5">
        <f>IFERROR(__xludf.DUMMYFUNCTION("SPLiT(G1883, ""🤙🏼"",FALSE,FALSE)"),471.0)</f>
        <v>471</v>
      </c>
      <c r="I1883" s="5" t="str">
        <f>IFERROR(__xludf.DUMMYFUNCTION("""COMPUTED_VALUE"""),"Hunt for the Wilderpeople")</f>
        <v>Hunt for the Wilderpeople</v>
      </c>
      <c r="J1883" s="5" t="str">
        <f>IFERROR(__xludf.DUMMYFUNCTION("""COMPUTED_VALUE"""),"Julian Dennison")</f>
        <v>Julian Dennison</v>
      </c>
      <c r="K1883" s="5" t="str">
        <f>IFERROR(__xludf.DUMMYFUNCTION("""COMPUTED_VALUE"""),"Estrela 2")</f>
        <v>Estrela 2</v>
      </c>
      <c r="P1883" s="5">
        <f>IFERROR(__xludf.DUMMYFUNCTION("""COMPUTED_VALUE"""),471.0)</f>
        <v>471</v>
      </c>
      <c r="Q1883" s="5" t="str">
        <f>IFERROR(__xludf.DUMMYFUNCTION("""COMPUTED_VALUE"""),"Hunt for the Wilderpeople")</f>
        <v>Hunt for the Wilderpeople</v>
      </c>
      <c r="R1883" s="5" t="str">
        <f>IFERROR(__xludf.DUMMYFUNCTION("""COMPUTED_VALUE"""),"Julian Dennison")</f>
        <v>Julian Dennison</v>
      </c>
      <c r="S1883" s="5" t="str">
        <f>IFERROR(__xludf.DUMMYFUNCTION("""COMPUTED_VALUE"""),"Estrela 2")</f>
        <v>Estrela 2</v>
      </c>
    </row>
    <row r="1884">
      <c r="G1884" s="5" t="str">
        <f>IFERROR(__xludf.DUMMYFUNCTION("""COMPUTED_VALUE"""),"471🤙🏼Hunt for the Wilderpeople🤙🏼Rima Te Wiata🤙🏼Estrela 3")</f>
        <v>471🤙🏼Hunt for the Wilderpeople🤙🏼Rima Te Wiata🤙🏼Estrela 3</v>
      </c>
      <c r="H1884" s="5">
        <f>IFERROR(__xludf.DUMMYFUNCTION("SPLiT(G1884, ""🤙🏼"",FALSE,FALSE)"),471.0)</f>
        <v>471</v>
      </c>
      <c r="I1884" s="5" t="str">
        <f>IFERROR(__xludf.DUMMYFUNCTION("""COMPUTED_VALUE"""),"Hunt for the Wilderpeople")</f>
        <v>Hunt for the Wilderpeople</v>
      </c>
      <c r="J1884" s="5" t="str">
        <f>IFERROR(__xludf.DUMMYFUNCTION("""COMPUTED_VALUE"""),"Rima Te Wiata")</f>
        <v>Rima Te Wiata</v>
      </c>
      <c r="K1884" s="5" t="str">
        <f>IFERROR(__xludf.DUMMYFUNCTION("""COMPUTED_VALUE"""),"Estrela 3")</f>
        <v>Estrela 3</v>
      </c>
      <c r="P1884" s="5">
        <f>IFERROR(__xludf.DUMMYFUNCTION("""COMPUTED_VALUE"""),471.0)</f>
        <v>471</v>
      </c>
      <c r="Q1884" s="5" t="str">
        <f>IFERROR(__xludf.DUMMYFUNCTION("""COMPUTED_VALUE"""),"Hunt for the Wilderpeople")</f>
        <v>Hunt for the Wilderpeople</v>
      </c>
      <c r="R1884" s="5" t="str">
        <f>IFERROR(__xludf.DUMMYFUNCTION("""COMPUTED_VALUE"""),"Rima Te Wiata")</f>
        <v>Rima Te Wiata</v>
      </c>
      <c r="S1884" s="5" t="str">
        <f>IFERROR(__xludf.DUMMYFUNCTION("""COMPUTED_VALUE"""),"Estrela 3")</f>
        <v>Estrela 3</v>
      </c>
    </row>
    <row r="1885">
      <c r="G1885" s="5" t="str">
        <f>IFERROR(__xludf.DUMMYFUNCTION("""COMPUTED_VALUE"""),"471🤙🏼Hunt for the Wilderpeople🤙🏼Rachel House🤙🏼Estrela 4")</f>
        <v>471🤙🏼Hunt for the Wilderpeople🤙🏼Rachel House🤙🏼Estrela 4</v>
      </c>
      <c r="H1885" s="5">
        <f>IFERROR(__xludf.DUMMYFUNCTION("SPLiT(G1885, ""🤙🏼"",FALSE,FALSE)"),471.0)</f>
        <v>471</v>
      </c>
      <c r="I1885" s="5" t="str">
        <f>IFERROR(__xludf.DUMMYFUNCTION("""COMPUTED_VALUE"""),"Hunt for the Wilderpeople")</f>
        <v>Hunt for the Wilderpeople</v>
      </c>
      <c r="J1885" s="5" t="str">
        <f>IFERROR(__xludf.DUMMYFUNCTION("""COMPUTED_VALUE"""),"Rachel House")</f>
        <v>Rachel House</v>
      </c>
      <c r="K1885" s="5" t="str">
        <f>IFERROR(__xludf.DUMMYFUNCTION("""COMPUTED_VALUE"""),"Estrela 4")</f>
        <v>Estrela 4</v>
      </c>
      <c r="P1885" s="5">
        <f>IFERROR(__xludf.DUMMYFUNCTION("""COMPUTED_VALUE"""),471.0)</f>
        <v>471</v>
      </c>
      <c r="Q1885" s="5" t="str">
        <f>IFERROR(__xludf.DUMMYFUNCTION("""COMPUTED_VALUE"""),"Hunt for the Wilderpeople")</f>
        <v>Hunt for the Wilderpeople</v>
      </c>
      <c r="R1885" s="5" t="str">
        <f>IFERROR(__xludf.DUMMYFUNCTION("""COMPUTED_VALUE"""),"Rachel House")</f>
        <v>Rachel House</v>
      </c>
      <c r="S1885" s="5" t="str">
        <f>IFERROR(__xludf.DUMMYFUNCTION("""COMPUTED_VALUE"""),"Estrela 4")</f>
        <v>Estrela 4</v>
      </c>
    </row>
    <row r="1886">
      <c r="G1886" s="5" t="str">
        <f>IFERROR(__xludf.DUMMYFUNCTION("""COMPUTED_VALUE"""),"472🤙🏼Captain Fantastic🤙🏼Viggo Mortensen🤙🏼Estrela 1")</f>
        <v>472🤙🏼Captain Fantastic🤙🏼Viggo Mortensen🤙🏼Estrela 1</v>
      </c>
      <c r="H1886" s="5">
        <f>IFERROR(__xludf.DUMMYFUNCTION("SPLiT(G1886, ""🤙🏼"",FALSE,FALSE)"),472.0)</f>
        <v>472</v>
      </c>
      <c r="I1886" s="5" t="str">
        <f>IFERROR(__xludf.DUMMYFUNCTION("""COMPUTED_VALUE"""),"Captain Fantastic")</f>
        <v>Captain Fantastic</v>
      </c>
      <c r="J1886" s="5" t="str">
        <f>IFERROR(__xludf.DUMMYFUNCTION("""COMPUTED_VALUE"""),"Viggo Mortensen")</f>
        <v>Viggo Mortensen</v>
      </c>
      <c r="K1886" s="5" t="str">
        <f>IFERROR(__xludf.DUMMYFUNCTION("""COMPUTED_VALUE"""),"Estrela 1")</f>
        <v>Estrela 1</v>
      </c>
      <c r="P1886" s="5">
        <f>IFERROR(__xludf.DUMMYFUNCTION("""COMPUTED_VALUE"""),472.0)</f>
        <v>472</v>
      </c>
      <c r="Q1886" s="5" t="str">
        <f>IFERROR(__xludf.DUMMYFUNCTION("""COMPUTED_VALUE"""),"Captain Fantastic")</f>
        <v>Captain Fantastic</v>
      </c>
      <c r="R1886" s="5" t="str">
        <f>IFERROR(__xludf.DUMMYFUNCTION("""COMPUTED_VALUE"""),"Viggo Mortensen")</f>
        <v>Viggo Mortensen</v>
      </c>
      <c r="S1886" s="5" t="str">
        <f>IFERROR(__xludf.DUMMYFUNCTION("""COMPUTED_VALUE"""),"Estrela 1")</f>
        <v>Estrela 1</v>
      </c>
    </row>
    <row r="1887">
      <c r="G1887" s="5" t="str">
        <f>IFERROR(__xludf.DUMMYFUNCTION("""COMPUTED_VALUE"""),"472🤙🏼Captain Fantastic🤙🏼George MacKay🤙🏼Estrela 2")</f>
        <v>472🤙🏼Captain Fantastic🤙🏼George MacKay🤙🏼Estrela 2</v>
      </c>
      <c r="H1887" s="5">
        <f>IFERROR(__xludf.DUMMYFUNCTION("SPLiT(G1887, ""🤙🏼"",FALSE,FALSE)"),472.0)</f>
        <v>472</v>
      </c>
      <c r="I1887" s="5" t="str">
        <f>IFERROR(__xludf.DUMMYFUNCTION("""COMPUTED_VALUE"""),"Captain Fantastic")</f>
        <v>Captain Fantastic</v>
      </c>
      <c r="J1887" s="5" t="str">
        <f>IFERROR(__xludf.DUMMYFUNCTION("""COMPUTED_VALUE"""),"George MacKay")</f>
        <v>George MacKay</v>
      </c>
      <c r="K1887" s="5" t="str">
        <f>IFERROR(__xludf.DUMMYFUNCTION("""COMPUTED_VALUE"""),"Estrela 2")</f>
        <v>Estrela 2</v>
      </c>
      <c r="P1887" s="5">
        <f>IFERROR(__xludf.DUMMYFUNCTION("""COMPUTED_VALUE"""),472.0)</f>
        <v>472</v>
      </c>
      <c r="Q1887" s="5" t="str">
        <f>IFERROR(__xludf.DUMMYFUNCTION("""COMPUTED_VALUE"""),"Captain Fantastic")</f>
        <v>Captain Fantastic</v>
      </c>
      <c r="R1887" s="5" t="str">
        <f>IFERROR(__xludf.DUMMYFUNCTION("""COMPUTED_VALUE"""),"George MacKay")</f>
        <v>George MacKay</v>
      </c>
      <c r="S1887" s="5" t="str">
        <f>IFERROR(__xludf.DUMMYFUNCTION("""COMPUTED_VALUE"""),"Estrela 2")</f>
        <v>Estrela 2</v>
      </c>
    </row>
    <row r="1888">
      <c r="G1888" s="5" t="str">
        <f>IFERROR(__xludf.DUMMYFUNCTION("""COMPUTED_VALUE"""),"472🤙🏼Captain Fantastic🤙🏼Samantha Isler🤙🏼Estrela 3")</f>
        <v>472🤙🏼Captain Fantastic🤙🏼Samantha Isler🤙🏼Estrela 3</v>
      </c>
      <c r="H1888" s="5">
        <f>IFERROR(__xludf.DUMMYFUNCTION("SPLiT(G1888, ""🤙🏼"",FALSE,FALSE)"),472.0)</f>
        <v>472</v>
      </c>
      <c r="I1888" s="5" t="str">
        <f>IFERROR(__xludf.DUMMYFUNCTION("""COMPUTED_VALUE"""),"Captain Fantastic")</f>
        <v>Captain Fantastic</v>
      </c>
      <c r="J1888" s="5" t="str">
        <f>IFERROR(__xludf.DUMMYFUNCTION("""COMPUTED_VALUE"""),"Samantha Isler")</f>
        <v>Samantha Isler</v>
      </c>
      <c r="K1888" s="5" t="str">
        <f>IFERROR(__xludf.DUMMYFUNCTION("""COMPUTED_VALUE"""),"Estrela 3")</f>
        <v>Estrela 3</v>
      </c>
      <c r="P1888" s="5">
        <f>IFERROR(__xludf.DUMMYFUNCTION("""COMPUTED_VALUE"""),472.0)</f>
        <v>472</v>
      </c>
      <c r="Q1888" s="5" t="str">
        <f>IFERROR(__xludf.DUMMYFUNCTION("""COMPUTED_VALUE"""),"Captain Fantastic")</f>
        <v>Captain Fantastic</v>
      </c>
      <c r="R1888" s="5" t="str">
        <f>IFERROR(__xludf.DUMMYFUNCTION("""COMPUTED_VALUE"""),"Samantha Isler")</f>
        <v>Samantha Isler</v>
      </c>
      <c r="S1888" s="5" t="str">
        <f>IFERROR(__xludf.DUMMYFUNCTION("""COMPUTED_VALUE"""),"Estrela 3")</f>
        <v>Estrela 3</v>
      </c>
    </row>
    <row r="1889">
      <c r="G1889" s="5" t="str">
        <f>IFERROR(__xludf.DUMMYFUNCTION("""COMPUTED_VALUE"""),"472🤙🏼Captain Fantastic🤙🏼Annalise Basso🤙🏼Estrela 4")</f>
        <v>472🤙🏼Captain Fantastic🤙🏼Annalise Basso🤙🏼Estrela 4</v>
      </c>
      <c r="H1889" s="5">
        <f>IFERROR(__xludf.DUMMYFUNCTION("SPLiT(G1889, ""🤙🏼"",FALSE,FALSE)"),472.0)</f>
        <v>472</v>
      </c>
      <c r="I1889" s="5" t="str">
        <f>IFERROR(__xludf.DUMMYFUNCTION("""COMPUTED_VALUE"""),"Captain Fantastic")</f>
        <v>Captain Fantastic</v>
      </c>
      <c r="J1889" s="5" t="str">
        <f>IFERROR(__xludf.DUMMYFUNCTION("""COMPUTED_VALUE"""),"Annalise Basso")</f>
        <v>Annalise Basso</v>
      </c>
      <c r="K1889" s="5" t="str">
        <f>IFERROR(__xludf.DUMMYFUNCTION("""COMPUTED_VALUE"""),"Estrela 4")</f>
        <v>Estrela 4</v>
      </c>
      <c r="P1889" s="5">
        <f>IFERROR(__xludf.DUMMYFUNCTION("""COMPUTED_VALUE"""),472.0)</f>
        <v>472</v>
      </c>
      <c r="Q1889" s="5" t="str">
        <f>IFERROR(__xludf.DUMMYFUNCTION("""COMPUTED_VALUE"""),"Captain Fantastic")</f>
        <v>Captain Fantastic</v>
      </c>
      <c r="R1889" s="5" t="str">
        <f>IFERROR(__xludf.DUMMYFUNCTION("""COMPUTED_VALUE"""),"Annalise Basso")</f>
        <v>Annalise Basso</v>
      </c>
      <c r="S1889" s="5" t="str">
        <f>IFERROR(__xludf.DUMMYFUNCTION("""COMPUTED_VALUE"""),"Estrela 4")</f>
        <v>Estrela 4</v>
      </c>
    </row>
    <row r="1890">
      <c r="G1890" s="5" t="str">
        <f>IFERROR(__xludf.DUMMYFUNCTION("""COMPUTED_VALUE"""),"473🤙🏼Sing Street🤙🏼Ferdia Walsh-Peelo🤙🏼Estrela 1")</f>
        <v>473🤙🏼Sing Street🤙🏼Ferdia Walsh-Peelo🤙🏼Estrela 1</v>
      </c>
      <c r="H1890" s="5">
        <f>IFERROR(__xludf.DUMMYFUNCTION("SPLiT(G1890, ""🤙🏼"",FALSE,FALSE)"),473.0)</f>
        <v>473</v>
      </c>
      <c r="I1890" s="5" t="str">
        <f>IFERROR(__xludf.DUMMYFUNCTION("""COMPUTED_VALUE"""),"Sing Street")</f>
        <v>Sing Street</v>
      </c>
      <c r="J1890" s="5" t="str">
        <f>IFERROR(__xludf.DUMMYFUNCTION("""COMPUTED_VALUE"""),"Ferdia Walsh-Peelo")</f>
        <v>Ferdia Walsh-Peelo</v>
      </c>
      <c r="K1890" s="5" t="str">
        <f>IFERROR(__xludf.DUMMYFUNCTION("""COMPUTED_VALUE"""),"Estrela 1")</f>
        <v>Estrela 1</v>
      </c>
      <c r="P1890" s="5">
        <f>IFERROR(__xludf.DUMMYFUNCTION("""COMPUTED_VALUE"""),473.0)</f>
        <v>473</v>
      </c>
      <c r="Q1890" s="5" t="str">
        <f>IFERROR(__xludf.DUMMYFUNCTION("""COMPUTED_VALUE"""),"Sing Street")</f>
        <v>Sing Street</v>
      </c>
      <c r="R1890" s="5" t="str">
        <f>IFERROR(__xludf.DUMMYFUNCTION("""COMPUTED_VALUE"""),"Ferdia Walsh-Peelo")</f>
        <v>Ferdia Walsh-Peelo</v>
      </c>
      <c r="S1890" s="5" t="str">
        <f>IFERROR(__xludf.DUMMYFUNCTION("""COMPUTED_VALUE"""),"Estrela 1")</f>
        <v>Estrela 1</v>
      </c>
    </row>
    <row r="1891">
      <c r="G1891" s="5" t="str">
        <f>IFERROR(__xludf.DUMMYFUNCTION("""COMPUTED_VALUE"""),"473🤙🏼Sing Street🤙🏼Aidan Gillen🤙🏼Estrela 2")</f>
        <v>473🤙🏼Sing Street🤙🏼Aidan Gillen🤙🏼Estrela 2</v>
      </c>
      <c r="H1891" s="5">
        <f>IFERROR(__xludf.DUMMYFUNCTION("SPLiT(G1891, ""🤙🏼"",FALSE,FALSE)"),473.0)</f>
        <v>473</v>
      </c>
      <c r="I1891" s="5" t="str">
        <f>IFERROR(__xludf.DUMMYFUNCTION("""COMPUTED_VALUE"""),"Sing Street")</f>
        <v>Sing Street</v>
      </c>
      <c r="J1891" s="5" t="str">
        <f>IFERROR(__xludf.DUMMYFUNCTION("""COMPUTED_VALUE"""),"Aidan Gillen")</f>
        <v>Aidan Gillen</v>
      </c>
      <c r="K1891" s="5" t="str">
        <f>IFERROR(__xludf.DUMMYFUNCTION("""COMPUTED_VALUE"""),"Estrela 2")</f>
        <v>Estrela 2</v>
      </c>
      <c r="P1891" s="5">
        <f>IFERROR(__xludf.DUMMYFUNCTION("""COMPUTED_VALUE"""),473.0)</f>
        <v>473</v>
      </c>
      <c r="Q1891" s="5" t="str">
        <f>IFERROR(__xludf.DUMMYFUNCTION("""COMPUTED_VALUE"""),"Sing Street")</f>
        <v>Sing Street</v>
      </c>
      <c r="R1891" s="5" t="str">
        <f>IFERROR(__xludf.DUMMYFUNCTION("""COMPUTED_VALUE"""),"Aidan Gillen")</f>
        <v>Aidan Gillen</v>
      </c>
      <c r="S1891" s="5" t="str">
        <f>IFERROR(__xludf.DUMMYFUNCTION("""COMPUTED_VALUE"""),"Estrela 2")</f>
        <v>Estrela 2</v>
      </c>
    </row>
    <row r="1892">
      <c r="G1892" s="5" t="str">
        <f>IFERROR(__xludf.DUMMYFUNCTION("""COMPUTED_VALUE"""),"473🤙🏼Sing Street🤙🏼Maria Doyle Kennedy🤙🏼Estrela 3")</f>
        <v>473🤙🏼Sing Street🤙🏼Maria Doyle Kennedy🤙🏼Estrela 3</v>
      </c>
      <c r="H1892" s="5">
        <f>IFERROR(__xludf.DUMMYFUNCTION("SPLiT(G1892, ""🤙🏼"",FALSE,FALSE)"),473.0)</f>
        <v>473</v>
      </c>
      <c r="I1892" s="5" t="str">
        <f>IFERROR(__xludf.DUMMYFUNCTION("""COMPUTED_VALUE"""),"Sing Street")</f>
        <v>Sing Street</v>
      </c>
      <c r="J1892" s="5" t="str">
        <f>IFERROR(__xludf.DUMMYFUNCTION("""COMPUTED_VALUE"""),"Maria Doyle Kennedy")</f>
        <v>Maria Doyle Kennedy</v>
      </c>
      <c r="K1892" s="5" t="str">
        <f>IFERROR(__xludf.DUMMYFUNCTION("""COMPUTED_VALUE"""),"Estrela 3")</f>
        <v>Estrela 3</v>
      </c>
      <c r="P1892" s="5">
        <f>IFERROR(__xludf.DUMMYFUNCTION("""COMPUTED_VALUE"""),473.0)</f>
        <v>473</v>
      </c>
      <c r="Q1892" s="5" t="str">
        <f>IFERROR(__xludf.DUMMYFUNCTION("""COMPUTED_VALUE"""),"Sing Street")</f>
        <v>Sing Street</v>
      </c>
      <c r="R1892" s="5" t="str">
        <f>IFERROR(__xludf.DUMMYFUNCTION("""COMPUTED_VALUE"""),"Maria Doyle Kennedy")</f>
        <v>Maria Doyle Kennedy</v>
      </c>
      <c r="S1892" s="5" t="str">
        <f>IFERROR(__xludf.DUMMYFUNCTION("""COMPUTED_VALUE"""),"Estrela 3")</f>
        <v>Estrela 3</v>
      </c>
    </row>
    <row r="1893">
      <c r="G1893" s="5" t="str">
        <f>IFERROR(__xludf.DUMMYFUNCTION("""COMPUTED_VALUE"""),"473🤙🏼Sing Street🤙🏼Jack Reynor🤙🏼Estrela 4")</f>
        <v>473🤙🏼Sing Street🤙🏼Jack Reynor🤙🏼Estrela 4</v>
      </c>
      <c r="H1893" s="5">
        <f>IFERROR(__xludf.DUMMYFUNCTION("SPLiT(G1893, ""🤙🏼"",FALSE,FALSE)"),473.0)</f>
        <v>473</v>
      </c>
      <c r="I1893" s="5" t="str">
        <f>IFERROR(__xludf.DUMMYFUNCTION("""COMPUTED_VALUE"""),"Sing Street")</f>
        <v>Sing Street</v>
      </c>
      <c r="J1893" s="5" t="str">
        <f>IFERROR(__xludf.DUMMYFUNCTION("""COMPUTED_VALUE"""),"Jack Reynor")</f>
        <v>Jack Reynor</v>
      </c>
      <c r="K1893" s="5" t="str">
        <f>IFERROR(__xludf.DUMMYFUNCTION("""COMPUTED_VALUE"""),"Estrela 4")</f>
        <v>Estrela 4</v>
      </c>
      <c r="P1893" s="5">
        <f>IFERROR(__xludf.DUMMYFUNCTION("""COMPUTED_VALUE"""),473.0)</f>
        <v>473</v>
      </c>
      <c r="Q1893" s="5" t="str">
        <f>IFERROR(__xludf.DUMMYFUNCTION("""COMPUTED_VALUE"""),"Sing Street")</f>
        <v>Sing Street</v>
      </c>
      <c r="R1893" s="5" t="str">
        <f>IFERROR(__xludf.DUMMYFUNCTION("""COMPUTED_VALUE"""),"Jack Reynor")</f>
        <v>Jack Reynor</v>
      </c>
      <c r="S1893" s="5" t="str">
        <f>IFERROR(__xludf.DUMMYFUNCTION("""COMPUTED_VALUE"""),"Estrela 4")</f>
        <v>Estrela 4</v>
      </c>
    </row>
    <row r="1894">
      <c r="G1894" s="5" t="str">
        <f>IFERROR(__xludf.DUMMYFUNCTION("""COMPUTED_VALUE"""),"474🤙🏼Thor: Ragnarok🤙🏼Chris Hemsworth🤙🏼Estrela 1")</f>
        <v>474🤙🏼Thor: Ragnarok🤙🏼Chris Hemsworth🤙🏼Estrela 1</v>
      </c>
      <c r="H1894" s="5">
        <f>IFERROR(__xludf.DUMMYFUNCTION("SPLiT(G1894, ""🤙🏼"",FALSE,FALSE)"),474.0)</f>
        <v>474</v>
      </c>
      <c r="I1894" s="5" t="str">
        <f>IFERROR(__xludf.DUMMYFUNCTION("""COMPUTED_VALUE"""),"Thor: Ragnarok")</f>
        <v>Thor: Ragnarok</v>
      </c>
      <c r="J1894" s="5" t="str">
        <f>IFERROR(__xludf.DUMMYFUNCTION("""COMPUTED_VALUE"""),"Chris Hemsworth")</f>
        <v>Chris Hemsworth</v>
      </c>
      <c r="K1894" s="5" t="str">
        <f>IFERROR(__xludf.DUMMYFUNCTION("""COMPUTED_VALUE"""),"Estrela 1")</f>
        <v>Estrela 1</v>
      </c>
      <c r="P1894" s="5">
        <f>IFERROR(__xludf.DUMMYFUNCTION("""COMPUTED_VALUE"""),474.0)</f>
        <v>474</v>
      </c>
      <c r="Q1894" s="5" t="str">
        <f>IFERROR(__xludf.DUMMYFUNCTION("""COMPUTED_VALUE"""),"Thor: Ragnarok")</f>
        <v>Thor: Ragnarok</v>
      </c>
      <c r="R1894" s="5" t="str">
        <f>IFERROR(__xludf.DUMMYFUNCTION("""COMPUTED_VALUE"""),"Chris Hemsworth")</f>
        <v>Chris Hemsworth</v>
      </c>
      <c r="S1894" s="5" t="str">
        <f>IFERROR(__xludf.DUMMYFUNCTION("""COMPUTED_VALUE"""),"Estrela 1")</f>
        <v>Estrela 1</v>
      </c>
    </row>
    <row r="1895">
      <c r="G1895" s="5" t="str">
        <f>IFERROR(__xludf.DUMMYFUNCTION("""COMPUTED_VALUE"""),"474🤙🏼Thor: Ragnarok🤙🏼Tom Hiddleston🤙🏼Estrela 2")</f>
        <v>474🤙🏼Thor: Ragnarok🤙🏼Tom Hiddleston🤙🏼Estrela 2</v>
      </c>
      <c r="H1895" s="5">
        <f>IFERROR(__xludf.DUMMYFUNCTION("SPLiT(G1895, ""🤙🏼"",FALSE,FALSE)"),474.0)</f>
        <v>474</v>
      </c>
      <c r="I1895" s="5" t="str">
        <f>IFERROR(__xludf.DUMMYFUNCTION("""COMPUTED_VALUE"""),"Thor: Ragnarok")</f>
        <v>Thor: Ragnarok</v>
      </c>
      <c r="J1895" s="5" t="str">
        <f>IFERROR(__xludf.DUMMYFUNCTION("""COMPUTED_VALUE"""),"Tom Hiddleston")</f>
        <v>Tom Hiddleston</v>
      </c>
      <c r="K1895" s="5" t="str">
        <f>IFERROR(__xludf.DUMMYFUNCTION("""COMPUTED_VALUE"""),"Estrela 2")</f>
        <v>Estrela 2</v>
      </c>
      <c r="P1895" s="5">
        <f>IFERROR(__xludf.DUMMYFUNCTION("""COMPUTED_VALUE"""),474.0)</f>
        <v>474</v>
      </c>
      <c r="Q1895" s="5" t="str">
        <f>IFERROR(__xludf.DUMMYFUNCTION("""COMPUTED_VALUE"""),"Thor: Ragnarok")</f>
        <v>Thor: Ragnarok</v>
      </c>
      <c r="R1895" s="5" t="str">
        <f>IFERROR(__xludf.DUMMYFUNCTION("""COMPUTED_VALUE"""),"Tom Hiddleston")</f>
        <v>Tom Hiddleston</v>
      </c>
      <c r="S1895" s="5" t="str">
        <f>IFERROR(__xludf.DUMMYFUNCTION("""COMPUTED_VALUE"""),"Estrela 2")</f>
        <v>Estrela 2</v>
      </c>
    </row>
    <row r="1896">
      <c r="G1896" s="5" t="str">
        <f>IFERROR(__xludf.DUMMYFUNCTION("""COMPUTED_VALUE"""),"474🤙🏼Thor: Ragnarok🤙🏼Cate Blanchett🤙🏼Estrela 3")</f>
        <v>474🤙🏼Thor: Ragnarok🤙🏼Cate Blanchett🤙🏼Estrela 3</v>
      </c>
      <c r="H1896" s="5">
        <f>IFERROR(__xludf.DUMMYFUNCTION("SPLiT(G1896, ""🤙🏼"",FALSE,FALSE)"),474.0)</f>
        <v>474</v>
      </c>
      <c r="I1896" s="5" t="str">
        <f>IFERROR(__xludf.DUMMYFUNCTION("""COMPUTED_VALUE"""),"Thor: Ragnarok")</f>
        <v>Thor: Ragnarok</v>
      </c>
      <c r="J1896" s="5" t="str">
        <f>IFERROR(__xludf.DUMMYFUNCTION("""COMPUTED_VALUE"""),"Cate Blanchett")</f>
        <v>Cate Blanchett</v>
      </c>
      <c r="K1896" s="5" t="str">
        <f>IFERROR(__xludf.DUMMYFUNCTION("""COMPUTED_VALUE"""),"Estrela 3")</f>
        <v>Estrela 3</v>
      </c>
      <c r="P1896" s="5">
        <f>IFERROR(__xludf.DUMMYFUNCTION("""COMPUTED_VALUE"""),474.0)</f>
        <v>474</v>
      </c>
      <c r="Q1896" s="5" t="str">
        <f>IFERROR(__xludf.DUMMYFUNCTION("""COMPUTED_VALUE"""),"Thor: Ragnarok")</f>
        <v>Thor: Ragnarok</v>
      </c>
      <c r="R1896" s="5" t="str">
        <f>IFERROR(__xludf.DUMMYFUNCTION("""COMPUTED_VALUE"""),"Cate Blanchett")</f>
        <v>Cate Blanchett</v>
      </c>
      <c r="S1896" s="5" t="str">
        <f>IFERROR(__xludf.DUMMYFUNCTION("""COMPUTED_VALUE"""),"Estrela 3")</f>
        <v>Estrela 3</v>
      </c>
    </row>
    <row r="1897">
      <c r="G1897" s="5" t="str">
        <f>IFERROR(__xludf.DUMMYFUNCTION("""COMPUTED_VALUE"""),"474🤙🏼Thor: Ragnarok🤙🏼Mark Ruffalo🤙🏼Estrela 4")</f>
        <v>474🤙🏼Thor: Ragnarok🤙🏼Mark Ruffalo🤙🏼Estrela 4</v>
      </c>
      <c r="H1897" s="5">
        <f>IFERROR(__xludf.DUMMYFUNCTION("SPLiT(G1897, ""🤙🏼"",FALSE,FALSE)"),474.0)</f>
        <v>474</v>
      </c>
      <c r="I1897" s="5" t="str">
        <f>IFERROR(__xludf.DUMMYFUNCTION("""COMPUTED_VALUE"""),"Thor: Ragnarok")</f>
        <v>Thor: Ragnarok</v>
      </c>
      <c r="J1897" s="5" t="str">
        <f>IFERROR(__xludf.DUMMYFUNCTION("""COMPUTED_VALUE"""),"Mark Ruffalo")</f>
        <v>Mark Ruffalo</v>
      </c>
      <c r="K1897" s="5" t="str">
        <f>IFERROR(__xludf.DUMMYFUNCTION("""COMPUTED_VALUE"""),"Estrela 4")</f>
        <v>Estrela 4</v>
      </c>
      <c r="P1897" s="5">
        <f>IFERROR(__xludf.DUMMYFUNCTION("""COMPUTED_VALUE"""),474.0)</f>
        <v>474</v>
      </c>
      <c r="Q1897" s="5" t="str">
        <f>IFERROR(__xludf.DUMMYFUNCTION("""COMPUTED_VALUE"""),"Thor: Ragnarok")</f>
        <v>Thor: Ragnarok</v>
      </c>
      <c r="R1897" s="5" t="str">
        <f>IFERROR(__xludf.DUMMYFUNCTION("""COMPUTED_VALUE"""),"Mark Ruffalo")</f>
        <v>Mark Ruffalo</v>
      </c>
      <c r="S1897" s="5" t="str">
        <f>IFERROR(__xludf.DUMMYFUNCTION("""COMPUTED_VALUE"""),"Estrela 4")</f>
        <v>Estrela 4</v>
      </c>
    </row>
    <row r="1898">
      <c r="G1898" s="5" t="str">
        <f>IFERROR(__xludf.DUMMYFUNCTION("""COMPUTED_VALUE"""),"475🤙🏼Nightcrawler🤙🏼Jake Gyllenhaal🤙🏼Estrela 1")</f>
        <v>475🤙🏼Nightcrawler🤙🏼Jake Gyllenhaal🤙🏼Estrela 1</v>
      </c>
      <c r="H1898" s="5">
        <f>IFERROR(__xludf.DUMMYFUNCTION("SPLiT(G1898, ""🤙🏼"",FALSE,FALSE)"),475.0)</f>
        <v>475</v>
      </c>
      <c r="I1898" s="5" t="str">
        <f>IFERROR(__xludf.DUMMYFUNCTION("""COMPUTED_VALUE"""),"Nightcrawler")</f>
        <v>Nightcrawler</v>
      </c>
      <c r="J1898" s="5" t="str">
        <f>IFERROR(__xludf.DUMMYFUNCTION("""COMPUTED_VALUE"""),"Jake Gyllenhaal")</f>
        <v>Jake Gyllenhaal</v>
      </c>
      <c r="K1898" s="5" t="str">
        <f>IFERROR(__xludf.DUMMYFUNCTION("""COMPUTED_VALUE"""),"Estrela 1")</f>
        <v>Estrela 1</v>
      </c>
      <c r="P1898" s="5">
        <f>IFERROR(__xludf.DUMMYFUNCTION("""COMPUTED_VALUE"""),475.0)</f>
        <v>475</v>
      </c>
      <c r="Q1898" s="5" t="str">
        <f>IFERROR(__xludf.DUMMYFUNCTION("""COMPUTED_VALUE"""),"Nightcrawler")</f>
        <v>Nightcrawler</v>
      </c>
      <c r="R1898" s="5" t="str">
        <f>IFERROR(__xludf.DUMMYFUNCTION("""COMPUTED_VALUE"""),"Jake Gyllenhaal")</f>
        <v>Jake Gyllenhaal</v>
      </c>
      <c r="S1898" s="5" t="str">
        <f>IFERROR(__xludf.DUMMYFUNCTION("""COMPUTED_VALUE"""),"Estrela 1")</f>
        <v>Estrela 1</v>
      </c>
    </row>
    <row r="1899">
      <c r="G1899" s="5" t="str">
        <f>IFERROR(__xludf.DUMMYFUNCTION("""COMPUTED_VALUE"""),"475🤙🏼Nightcrawler🤙🏼Rene Russo🤙🏼Estrela 2")</f>
        <v>475🤙🏼Nightcrawler🤙🏼Rene Russo🤙🏼Estrela 2</v>
      </c>
      <c r="H1899" s="5">
        <f>IFERROR(__xludf.DUMMYFUNCTION("SPLiT(G1899, ""🤙🏼"",FALSE,FALSE)"),475.0)</f>
        <v>475</v>
      </c>
      <c r="I1899" s="5" t="str">
        <f>IFERROR(__xludf.DUMMYFUNCTION("""COMPUTED_VALUE"""),"Nightcrawler")</f>
        <v>Nightcrawler</v>
      </c>
      <c r="J1899" s="5" t="str">
        <f>IFERROR(__xludf.DUMMYFUNCTION("""COMPUTED_VALUE"""),"Rene Russo")</f>
        <v>Rene Russo</v>
      </c>
      <c r="K1899" s="5" t="str">
        <f>IFERROR(__xludf.DUMMYFUNCTION("""COMPUTED_VALUE"""),"Estrela 2")</f>
        <v>Estrela 2</v>
      </c>
      <c r="P1899" s="5">
        <f>IFERROR(__xludf.DUMMYFUNCTION("""COMPUTED_VALUE"""),475.0)</f>
        <v>475</v>
      </c>
      <c r="Q1899" s="5" t="str">
        <f>IFERROR(__xludf.DUMMYFUNCTION("""COMPUTED_VALUE"""),"Nightcrawler")</f>
        <v>Nightcrawler</v>
      </c>
      <c r="R1899" s="5" t="str">
        <f>IFERROR(__xludf.DUMMYFUNCTION("""COMPUTED_VALUE"""),"Rene Russo")</f>
        <v>Rene Russo</v>
      </c>
      <c r="S1899" s="5" t="str">
        <f>IFERROR(__xludf.DUMMYFUNCTION("""COMPUTED_VALUE"""),"Estrela 2")</f>
        <v>Estrela 2</v>
      </c>
    </row>
    <row r="1900">
      <c r="G1900" s="5" t="str">
        <f>IFERROR(__xludf.DUMMYFUNCTION("""COMPUTED_VALUE"""),"475🤙🏼Nightcrawler🤙🏼Bill Paxton🤙🏼Estrela 3")</f>
        <v>475🤙🏼Nightcrawler🤙🏼Bill Paxton🤙🏼Estrela 3</v>
      </c>
      <c r="H1900" s="5">
        <f>IFERROR(__xludf.DUMMYFUNCTION("SPLiT(G1900, ""🤙🏼"",FALSE,FALSE)"),475.0)</f>
        <v>475</v>
      </c>
      <c r="I1900" s="5" t="str">
        <f>IFERROR(__xludf.DUMMYFUNCTION("""COMPUTED_VALUE"""),"Nightcrawler")</f>
        <v>Nightcrawler</v>
      </c>
      <c r="J1900" s="5" t="str">
        <f>IFERROR(__xludf.DUMMYFUNCTION("""COMPUTED_VALUE"""),"Bill Paxton")</f>
        <v>Bill Paxton</v>
      </c>
      <c r="K1900" s="5" t="str">
        <f>IFERROR(__xludf.DUMMYFUNCTION("""COMPUTED_VALUE"""),"Estrela 3")</f>
        <v>Estrela 3</v>
      </c>
      <c r="P1900" s="5">
        <f>IFERROR(__xludf.DUMMYFUNCTION("""COMPUTED_VALUE"""),475.0)</f>
        <v>475</v>
      </c>
      <c r="Q1900" s="5" t="str">
        <f>IFERROR(__xludf.DUMMYFUNCTION("""COMPUTED_VALUE"""),"Nightcrawler")</f>
        <v>Nightcrawler</v>
      </c>
      <c r="R1900" s="5" t="str">
        <f>IFERROR(__xludf.DUMMYFUNCTION("""COMPUTED_VALUE"""),"Bill Paxton")</f>
        <v>Bill Paxton</v>
      </c>
      <c r="S1900" s="5" t="str">
        <f>IFERROR(__xludf.DUMMYFUNCTION("""COMPUTED_VALUE"""),"Estrela 3")</f>
        <v>Estrela 3</v>
      </c>
    </row>
    <row r="1901">
      <c r="G1901" s="5" t="str">
        <f>IFERROR(__xludf.DUMMYFUNCTION("""COMPUTED_VALUE"""),"475🤙🏼Nightcrawler🤙🏼Riz Ahmed🤙🏼Estrela 4")</f>
        <v>475🤙🏼Nightcrawler🤙🏼Riz Ahmed🤙🏼Estrela 4</v>
      </c>
      <c r="H1901" s="5">
        <f>IFERROR(__xludf.DUMMYFUNCTION("SPLiT(G1901, ""🤙🏼"",FALSE,FALSE)"),475.0)</f>
        <v>475</v>
      </c>
      <c r="I1901" s="5" t="str">
        <f>IFERROR(__xludf.DUMMYFUNCTION("""COMPUTED_VALUE"""),"Nightcrawler")</f>
        <v>Nightcrawler</v>
      </c>
      <c r="J1901" s="5" t="str">
        <f>IFERROR(__xludf.DUMMYFUNCTION("""COMPUTED_VALUE"""),"Riz Ahmed")</f>
        <v>Riz Ahmed</v>
      </c>
      <c r="K1901" s="5" t="str">
        <f>IFERROR(__xludf.DUMMYFUNCTION("""COMPUTED_VALUE"""),"Estrela 4")</f>
        <v>Estrela 4</v>
      </c>
      <c r="P1901" s="5">
        <f>IFERROR(__xludf.DUMMYFUNCTION("""COMPUTED_VALUE"""),475.0)</f>
        <v>475</v>
      </c>
      <c r="Q1901" s="5" t="str">
        <f>IFERROR(__xludf.DUMMYFUNCTION("""COMPUTED_VALUE"""),"Nightcrawler")</f>
        <v>Nightcrawler</v>
      </c>
      <c r="R1901" s="5" t="str">
        <f>IFERROR(__xludf.DUMMYFUNCTION("""COMPUTED_VALUE"""),"Riz Ahmed")</f>
        <v>Riz Ahmed</v>
      </c>
      <c r="S1901" s="5" t="str">
        <f>IFERROR(__xludf.DUMMYFUNCTION("""COMPUTED_VALUE"""),"Estrela 4")</f>
        <v>Estrela 4</v>
      </c>
    </row>
    <row r="1902">
      <c r="G1902" s="5" t="str">
        <f>IFERROR(__xludf.DUMMYFUNCTION("""COMPUTED_VALUE"""),"476🤙🏼Jojo Rabbit🤙🏼Roman Griffin Davis🤙🏼Estrela 1")</f>
        <v>476🤙🏼Jojo Rabbit🤙🏼Roman Griffin Davis🤙🏼Estrela 1</v>
      </c>
      <c r="H1902" s="5">
        <f>IFERROR(__xludf.DUMMYFUNCTION("SPLiT(G1902, ""🤙🏼"",FALSE,FALSE)"),476.0)</f>
        <v>476</v>
      </c>
      <c r="I1902" s="5" t="str">
        <f>IFERROR(__xludf.DUMMYFUNCTION("""COMPUTED_VALUE"""),"Jojo Rabbit")</f>
        <v>Jojo Rabbit</v>
      </c>
      <c r="J1902" s="5" t="str">
        <f>IFERROR(__xludf.DUMMYFUNCTION("""COMPUTED_VALUE"""),"Roman Griffin Davis")</f>
        <v>Roman Griffin Davis</v>
      </c>
      <c r="K1902" s="5" t="str">
        <f>IFERROR(__xludf.DUMMYFUNCTION("""COMPUTED_VALUE"""),"Estrela 1")</f>
        <v>Estrela 1</v>
      </c>
      <c r="P1902" s="5">
        <f>IFERROR(__xludf.DUMMYFUNCTION("""COMPUTED_VALUE"""),476.0)</f>
        <v>476</v>
      </c>
      <c r="Q1902" s="5" t="str">
        <f>IFERROR(__xludf.DUMMYFUNCTION("""COMPUTED_VALUE"""),"Jojo Rabbit")</f>
        <v>Jojo Rabbit</v>
      </c>
      <c r="R1902" s="5" t="str">
        <f>IFERROR(__xludf.DUMMYFUNCTION("""COMPUTED_VALUE"""),"Roman Griffin Davis")</f>
        <v>Roman Griffin Davis</v>
      </c>
      <c r="S1902" s="5" t="str">
        <f>IFERROR(__xludf.DUMMYFUNCTION("""COMPUTED_VALUE"""),"Estrela 1")</f>
        <v>Estrela 1</v>
      </c>
    </row>
    <row r="1903">
      <c r="G1903" s="5" t="str">
        <f>IFERROR(__xludf.DUMMYFUNCTION("""COMPUTED_VALUE"""),"476🤙🏼Jojo Rabbit🤙🏼Thomasin McKenzie🤙🏼Estrela 2")</f>
        <v>476🤙🏼Jojo Rabbit🤙🏼Thomasin McKenzie🤙🏼Estrela 2</v>
      </c>
      <c r="H1903" s="5">
        <f>IFERROR(__xludf.DUMMYFUNCTION("SPLiT(G1903, ""🤙🏼"",FALSE,FALSE)"),476.0)</f>
        <v>476</v>
      </c>
      <c r="I1903" s="5" t="str">
        <f>IFERROR(__xludf.DUMMYFUNCTION("""COMPUTED_VALUE"""),"Jojo Rabbit")</f>
        <v>Jojo Rabbit</v>
      </c>
      <c r="J1903" s="5" t="str">
        <f>IFERROR(__xludf.DUMMYFUNCTION("""COMPUTED_VALUE"""),"Thomasin McKenzie")</f>
        <v>Thomasin McKenzie</v>
      </c>
      <c r="K1903" s="5" t="str">
        <f>IFERROR(__xludf.DUMMYFUNCTION("""COMPUTED_VALUE"""),"Estrela 2")</f>
        <v>Estrela 2</v>
      </c>
      <c r="P1903" s="5">
        <f>IFERROR(__xludf.DUMMYFUNCTION("""COMPUTED_VALUE"""),476.0)</f>
        <v>476</v>
      </c>
      <c r="Q1903" s="5" t="str">
        <f>IFERROR(__xludf.DUMMYFUNCTION("""COMPUTED_VALUE"""),"Jojo Rabbit")</f>
        <v>Jojo Rabbit</v>
      </c>
      <c r="R1903" s="5" t="str">
        <f>IFERROR(__xludf.DUMMYFUNCTION("""COMPUTED_VALUE"""),"Thomasin McKenzie")</f>
        <v>Thomasin McKenzie</v>
      </c>
      <c r="S1903" s="5" t="str">
        <f>IFERROR(__xludf.DUMMYFUNCTION("""COMPUTED_VALUE"""),"Estrela 2")</f>
        <v>Estrela 2</v>
      </c>
    </row>
    <row r="1904">
      <c r="G1904" s="5" t="str">
        <f>IFERROR(__xludf.DUMMYFUNCTION("""COMPUTED_VALUE"""),"476🤙🏼Jojo Rabbit🤙🏼Scarlett Johansson🤙🏼Estrela 3")</f>
        <v>476🤙🏼Jojo Rabbit🤙🏼Scarlett Johansson🤙🏼Estrela 3</v>
      </c>
      <c r="H1904" s="5">
        <f>IFERROR(__xludf.DUMMYFUNCTION("SPLiT(G1904, ""🤙🏼"",FALSE,FALSE)"),476.0)</f>
        <v>476</v>
      </c>
      <c r="I1904" s="5" t="str">
        <f>IFERROR(__xludf.DUMMYFUNCTION("""COMPUTED_VALUE"""),"Jojo Rabbit")</f>
        <v>Jojo Rabbit</v>
      </c>
      <c r="J1904" s="5" t="str">
        <f>IFERROR(__xludf.DUMMYFUNCTION("""COMPUTED_VALUE"""),"Scarlett Johansson")</f>
        <v>Scarlett Johansson</v>
      </c>
      <c r="K1904" s="5" t="str">
        <f>IFERROR(__xludf.DUMMYFUNCTION("""COMPUTED_VALUE"""),"Estrela 3")</f>
        <v>Estrela 3</v>
      </c>
      <c r="P1904" s="5">
        <f>IFERROR(__xludf.DUMMYFUNCTION("""COMPUTED_VALUE"""),476.0)</f>
        <v>476</v>
      </c>
      <c r="Q1904" s="5" t="str">
        <f>IFERROR(__xludf.DUMMYFUNCTION("""COMPUTED_VALUE"""),"Jojo Rabbit")</f>
        <v>Jojo Rabbit</v>
      </c>
      <c r="R1904" s="5" t="str">
        <f>IFERROR(__xludf.DUMMYFUNCTION("""COMPUTED_VALUE"""),"Scarlett Johansson")</f>
        <v>Scarlett Johansson</v>
      </c>
      <c r="S1904" s="5" t="str">
        <f>IFERROR(__xludf.DUMMYFUNCTION("""COMPUTED_VALUE"""),"Estrela 3")</f>
        <v>Estrela 3</v>
      </c>
    </row>
    <row r="1905">
      <c r="G1905" s="5" t="str">
        <f>IFERROR(__xludf.DUMMYFUNCTION("""COMPUTED_VALUE"""),"476🤙🏼Jojo Rabbit🤙🏼Taika Waititi🤙🏼Estrela 4")</f>
        <v>476🤙🏼Jojo Rabbit🤙🏼Taika Waititi🤙🏼Estrela 4</v>
      </c>
      <c r="H1905" s="5">
        <f>IFERROR(__xludf.DUMMYFUNCTION("SPLiT(G1905, ""🤙🏼"",FALSE,FALSE)"),476.0)</f>
        <v>476</v>
      </c>
      <c r="I1905" s="5" t="str">
        <f>IFERROR(__xludf.DUMMYFUNCTION("""COMPUTED_VALUE"""),"Jojo Rabbit")</f>
        <v>Jojo Rabbit</v>
      </c>
      <c r="J1905" s="5" t="str">
        <f>IFERROR(__xludf.DUMMYFUNCTION("""COMPUTED_VALUE"""),"Taika Waititi")</f>
        <v>Taika Waititi</v>
      </c>
      <c r="K1905" s="5" t="str">
        <f>IFERROR(__xludf.DUMMYFUNCTION("""COMPUTED_VALUE"""),"Estrela 4")</f>
        <v>Estrela 4</v>
      </c>
      <c r="P1905" s="5">
        <f>IFERROR(__xludf.DUMMYFUNCTION("""COMPUTED_VALUE"""),476.0)</f>
        <v>476</v>
      </c>
      <c r="Q1905" s="5" t="str">
        <f>IFERROR(__xludf.DUMMYFUNCTION("""COMPUTED_VALUE"""),"Jojo Rabbit")</f>
        <v>Jojo Rabbit</v>
      </c>
      <c r="R1905" s="5" t="str">
        <f>IFERROR(__xludf.DUMMYFUNCTION("""COMPUTED_VALUE"""),"Taika Waititi")</f>
        <v>Taika Waititi</v>
      </c>
      <c r="S1905" s="5" t="str">
        <f>IFERROR(__xludf.DUMMYFUNCTION("""COMPUTED_VALUE"""),"Estrela 4")</f>
        <v>Estrela 4</v>
      </c>
    </row>
    <row r="1906">
      <c r="G1906" s="5" t="str">
        <f>IFERROR(__xludf.DUMMYFUNCTION("""COMPUTED_VALUE"""),"477🤙🏼Arrival🤙🏼Amy Adams🤙🏼Estrela 1")</f>
        <v>477🤙🏼Arrival🤙🏼Amy Adams🤙🏼Estrela 1</v>
      </c>
      <c r="H1906" s="5">
        <f>IFERROR(__xludf.DUMMYFUNCTION("SPLiT(G1906, ""🤙🏼"",FALSE,FALSE)"),477.0)</f>
        <v>477</v>
      </c>
      <c r="I1906" s="5" t="str">
        <f>IFERROR(__xludf.DUMMYFUNCTION("""COMPUTED_VALUE"""),"Arrival")</f>
        <v>Arrival</v>
      </c>
      <c r="J1906" s="5" t="str">
        <f>IFERROR(__xludf.DUMMYFUNCTION("""COMPUTED_VALUE"""),"Amy Adams")</f>
        <v>Amy Adams</v>
      </c>
      <c r="K1906" s="5" t="str">
        <f>IFERROR(__xludf.DUMMYFUNCTION("""COMPUTED_VALUE"""),"Estrela 1")</f>
        <v>Estrela 1</v>
      </c>
      <c r="P1906" s="5">
        <f>IFERROR(__xludf.DUMMYFUNCTION("""COMPUTED_VALUE"""),477.0)</f>
        <v>477</v>
      </c>
      <c r="Q1906" s="5" t="str">
        <f>IFERROR(__xludf.DUMMYFUNCTION("""COMPUTED_VALUE"""),"Arrival")</f>
        <v>Arrival</v>
      </c>
      <c r="R1906" s="5" t="str">
        <f>IFERROR(__xludf.DUMMYFUNCTION("""COMPUTED_VALUE"""),"Amy Adams")</f>
        <v>Amy Adams</v>
      </c>
      <c r="S1906" s="5" t="str">
        <f>IFERROR(__xludf.DUMMYFUNCTION("""COMPUTED_VALUE"""),"Estrela 1")</f>
        <v>Estrela 1</v>
      </c>
    </row>
    <row r="1907">
      <c r="G1907" s="5" t="str">
        <f>IFERROR(__xludf.DUMMYFUNCTION("""COMPUTED_VALUE"""),"477🤙🏼Arrival🤙🏼Jeremy Renner🤙🏼Estrela 2")</f>
        <v>477🤙🏼Arrival🤙🏼Jeremy Renner🤙🏼Estrela 2</v>
      </c>
      <c r="H1907" s="5">
        <f>IFERROR(__xludf.DUMMYFUNCTION("SPLiT(G1907, ""🤙🏼"",FALSE,FALSE)"),477.0)</f>
        <v>477</v>
      </c>
      <c r="I1907" s="5" t="str">
        <f>IFERROR(__xludf.DUMMYFUNCTION("""COMPUTED_VALUE"""),"Arrival")</f>
        <v>Arrival</v>
      </c>
      <c r="J1907" s="5" t="str">
        <f>IFERROR(__xludf.DUMMYFUNCTION("""COMPUTED_VALUE"""),"Jeremy Renner")</f>
        <v>Jeremy Renner</v>
      </c>
      <c r="K1907" s="5" t="str">
        <f>IFERROR(__xludf.DUMMYFUNCTION("""COMPUTED_VALUE"""),"Estrela 2")</f>
        <v>Estrela 2</v>
      </c>
      <c r="P1907" s="5">
        <f>IFERROR(__xludf.DUMMYFUNCTION("""COMPUTED_VALUE"""),477.0)</f>
        <v>477</v>
      </c>
      <c r="Q1907" s="5" t="str">
        <f>IFERROR(__xludf.DUMMYFUNCTION("""COMPUTED_VALUE"""),"Arrival")</f>
        <v>Arrival</v>
      </c>
      <c r="R1907" s="5" t="str">
        <f>IFERROR(__xludf.DUMMYFUNCTION("""COMPUTED_VALUE"""),"Jeremy Renner")</f>
        <v>Jeremy Renner</v>
      </c>
      <c r="S1907" s="5" t="str">
        <f>IFERROR(__xludf.DUMMYFUNCTION("""COMPUTED_VALUE"""),"Estrela 2")</f>
        <v>Estrela 2</v>
      </c>
    </row>
    <row r="1908">
      <c r="G1908" s="5" t="str">
        <f>IFERROR(__xludf.DUMMYFUNCTION("""COMPUTED_VALUE"""),"477🤙🏼Arrival🤙🏼Forest Whitaker🤙🏼Estrela 3")</f>
        <v>477🤙🏼Arrival🤙🏼Forest Whitaker🤙🏼Estrela 3</v>
      </c>
      <c r="H1908" s="5">
        <f>IFERROR(__xludf.DUMMYFUNCTION("SPLiT(G1908, ""🤙🏼"",FALSE,FALSE)"),477.0)</f>
        <v>477</v>
      </c>
      <c r="I1908" s="5" t="str">
        <f>IFERROR(__xludf.DUMMYFUNCTION("""COMPUTED_VALUE"""),"Arrival")</f>
        <v>Arrival</v>
      </c>
      <c r="J1908" s="5" t="str">
        <f>IFERROR(__xludf.DUMMYFUNCTION("""COMPUTED_VALUE"""),"Forest Whitaker")</f>
        <v>Forest Whitaker</v>
      </c>
      <c r="K1908" s="5" t="str">
        <f>IFERROR(__xludf.DUMMYFUNCTION("""COMPUTED_VALUE"""),"Estrela 3")</f>
        <v>Estrela 3</v>
      </c>
      <c r="P1908" s="5">
        <f>IFERROR(__xludf.DUMMYFUNCTION("""COMPUTED_VALUE"""),477.0)</f>
        <v>477</v>
      </c>
      <c r="Q1908" s="5" t="str">
        <f>IFERROR(__xludf.DUMMYFUNCTION("""COMPUTED_VALUE"""),"Arrival")</f>
        <v>Arrival</v>
      </c>
      <c r="R1908" s="5" t="str">
        <f>IFERROR(__xludf.DUMMYFUNCTION("""COMPUTED_VALUE"""),"Forest Whitaker")</f>
        <v>Forest Whitaker</v>
      </c>
      <c r="S1908" s="5" t="str">
        <f>IFERROR(__xludf.DUMMYFUNCTION("""COMPUTED_VALUE"""),"Estrela 3")</f>
        <v>Estrela 3</v>
      </c>
    </row>
    <row r="1909">
      <c r="G1909" s="5" t="str">
        <f>IFERROR(__xludf.DUMMYFUNCTION("""COMPUTED_VALUE"""),"477🤙🏼Arrival🤙🏼Michael Stuhlbarg🤙🏼Estrela 4")</f>
        <v>477🤙🏼Arrival🤙🏼Michael Stuhlbarg🤙🏼Estrela 4</v>
      </c>
      <c r="H1909" s="5">
        <f>IFERROR(__xludf.DUMMYFUNCTION("SPLiT(G1909, ""🤙🏼"",FALSE,FALSE)"),477.0)</f>
        <v>477</v>
      </c>
      <c r="I1909" s="5" t="str">
        <f>IFERROR(__xludf.DUMMYFUNCTION("""COMPUTED_VALUE"""),"Arrival")</f>
        <v>Arrival</v>
      </c>
      <c r="J1909" s="5" t="str">
        <f>IFERROR(__xludf.DUMMYFUNCTION("""COMPUTED_VALUE"""),"Michael Stuhlbarg")</f>
        <v>Michael Stuhlbarg</v>
      </c>
      <c r="K1909" s="5" t="str">
        <f>IFERROR(__xludf.DUMMYFUNCTION("""COMPUTED_VALUE"""),"Estrela 4")</f>
        <v>Estrela 4</v>
      </c>
      <c r="P1909" s="5">
        <f>IFERROR(__xludf.DUMMYFUNCTION("""COMPUTED_VALUE"""),477.0)</f>
        <v>477</v>
      </c>
      <c r="Q1909" s="5" t="str">
        <f>IFERROR(__xludf.DUMMYFUNCTION("""COMPUTED_VALUE"""),"Arrival")</f>
        <v>Arrival</v>
      </c>
      <c r="R1909" s="5" t="str">
        <f>IFERROR(__xludf.DUMMYFUNCTION("""COMPUTED_VALUE"""),"Michael Stuhlbarg")</f>
        <v>Michael Stuhlbarg</v>
      </c>
      <c r="S1909" s="5" t="str">
        <f>IFERROR(__xludf.DUMMYFUNCTION("""COMPUTED_VALUE"""),"Estrela 4")</f>
        <v>Estrela 4</v>
      </c>
    </row>
    <row r="1910">
      <c r="G1910" s="5" t="str">
        <f>IFERROR(__xludf.DUMMYFUNCTION("""COMPUTED_VALUE"""),"478🤙🏼Star Wars: Episode VII - The Force Awakens🤙🏼Daisy Ridley🤙🏼Estrela 1")</f>
        <v>478🤙🏼Star Wars: Episode VII - The Force Awakens🤙🏼Daisy Ridley🤙🏼Estrela 1</v>
      </c>
      <c r="H1910" s="5">
        <f>IFERROR(__xludf.DUMMYFUNCTION("SPLiT(G1910, ""🤙🏼"",FALSE,FALSE)"),478.0)</f>
        <v>478</v>
      </c>
      <c r="I1910" s="5" t="str">
        <f>IFERROR(__xludf.DUMMYFUNCTION("""COMPUTED_VALUE"""),"Star Wars: Episode VII - The Force Awakens")</f>
        <v>Star Wars: Episode VII - The Force Awakens</v>
      </c>
      <c r="J1910" s="5" t="str">
        <f>IFERROR(__xludf.DUMMYFUNCTION("""COMPUTED_VALUE"""),"Daisy Ridley")</f>
        <v>Daisy Ridley</v>
      </c>
      <c r="K1910" s="5" t="str">
        <f>IFERROR(__xludf.DUMMYFUNCTION("""COMPUTED_VALUE"""),"Estrela 1")</f>
        <v>Estrela 1</v>
      </c>
      <c r="P1910" s="5">
        <f>IFERROR(__xludf.DUMMYFUNCTION("""COMPUTED_VALUE"""),478.0)</f>
        <v>478</v>
      </c>
      <c r="Q1910" s="5" t="str">
        <f>IFERROR(__xludf.DUMMYFUNCTION("""COMPUTED_VALUE"""),"Star Wars: Episode VII - The Force Awakens")</f>
        <v>Star Wars: Episode VII - The Force Awakens</v>
      </c>
      <c r="R1910" s="5" t="str">
        <f>IFERROR(__xludf.DUMMYFUNCTION("""COMPUTED_VALUE"""),"Daisy Ridley")</f>
        <v>Daisy Ridley</v>
      </c>
      <c r="S1910" s="5" t="str">
        <f>IFERROR(__xludf.DUMMYFUNCTION("""COMPUTED_VALUE"""),"Estrela 1")</f>
        <v>Estrela 1</v>
      </c>
    </row>
    <row r="1911">
      <c r="G1911" s="5" t="str">
        <f>IFERROR(__xludf.DUMMYFUNCTION("""COMPUTED_VALUE"""),"478🤙🏼Star Wars: Episode VII - The Force Awakens🤙🏼John Boyega🤙🏼Estrela 2")</f>
        <v>478🤙🏼Star Wars: Episode VII - The Force Awakens🤙🏼John Boyega🤙🏼Estrela 2</v>
      </c>
      <c r="H1911" s="5">
        <f>IFERROR(__xludf.DUMMYFUNCTION("SPLiT(G1911, ""🤙🏼"",FALSE,FALSE)"),478.0)</f>
        <v>478</v>
      </c>
      <c r="I1911" s="5" t="str">
        <f>IFERROR(__xludf.DUMMYFUNCTION("""COMPUTED_VALUE"""),"Star Wars: Episode VII - The Force Awakens")</f>
        <v>Star Wars: Episode VII - The Force Awakens</v>
      </c>
      <c r="J1911" s="5" t="str">
        <f>IFERROR(__xludf.DUMMYFUNCTION("""COMPUTED_VALUE"""),"John Boyega")</f>
        <v>John Boyega</v>
      </c>
      <c r="K1911" s="5" t="str">
        <f>IFERROR(__xludf.DUMMYFUNCTION("""COMPUTED_VALUE"""),"Estrela 2")</f>
        <v>Estrela 2</v>
      </c>
      <c r="P1911" s="5">
        <f>IFERROR(__xludf.DUMMYFUNCTION("""COMPUTED_VALUE"""),478.0)</f>
        <v>478</v>
      </c>
      <c r="Q1911" s="5" t="str">
        <f>IFERROR(__xludf.DUMMYFUNCTION("""COMPUTED_VALUE"""),"Star Wars: Episode VII - The Force Awakens")</f>
        <v>Star Wars: Episode VII - The Force Awakens</v>
      </c>
      <c r="R1911" s="5" t="str">
        <f>IFERROR(__xludf.DUMMYFUNCTION("""COMPUTED_VALUE"""),"John Boyega")</f>
        <v>John Boyega</v>
      </c>
      <c r="S1911" s="5" t="str">
        <f>IFERROR(__xludf.DUMMYFUNCTION("""COMPUTED_VALUE"""),"Estrela 2")</f>
        <v>Estrela 2</v>
      </c>
    </row>
    <row r="1912">
      <c r="G1912" s="5" t="str">
        <f>IFERROR(__xludf.DUMMYFUNCTION("""COMPUTED_VALUE"""),"478🤙🏼Star Wars: Episode VII - The Force Awakens🤙🏼Oscar Isaac🤙🏼Estrela 3")</f>
        <v>478🤙🏼Star Wars: Episode VII - The Force Awakens🤙🏼Oscar Isaac🤙🏼Estrela 3</v>
      </c>
      <c r="H1912" s="5">
        <f>IFERROR(__xludf.DUMMYFUNCTION("SPLiT(G1912, ""🤙🏼"",FALSE,FALSE)"),478.0)</f>
        <v>478</v>
      </c>
      <c r="I1912" s="5" t="str">
        <f>IFERROR(__xludf.DUMMYFUNCTION("""COMPUTED_VALUE"""),"Star Wars: Episode VII - The Force Awakens")</f>
        <v>Star Wars: Episode VII - The Force Awakens</v>
      </c>
      <c r="J1912" s="5" t="str">
        <f>IFERROR(__xludf.DUMMYFUNCTION("""COMPUTED_VALUE"""),"Oscar Isaac")</f>
        <v>Oscar Isaac</v>
      </c>
      <c r="K1912" s="5" t="str">
        <f>IFERROR(__xludf.DUMMYFUNCTION("""COMPUTED_VALUE"""),"Estrela 3")</f>
        <v>Estrela 3</v>
      </c>
      <c r="P1912" s="5">
        <f>IFERROR(__xludf.DUMMYFUNCTION("""COMPUTED_VALUE"""),478.0)</f>
        <v>478</v>
      </c>
      <c r="Q1912" s="5" t="str">
        <f>IFERROR(__xludf.DUMMYFUNCTION("""COMPUTED_VALUE"""),"Star Wars: Episode VII - The Force Awakens")</f>
        <v>Star Wars: Episode VII - The Force Awakens</v>
      </c>
      <c r="R1912" s="5" t="str">
        <f>IFERROR(__xludf.DUMMYFUNCTION("""COMPUTED_VALUE"""),"Oscar Isaac")</f>
        <v>Oscar Isaac</v>
      </c>
      <c r="S1912" s="5" t="str">
        <f>IFERROR(__xludf.DUMMYFUNCTION("""COMPUTED_VALUE"""),"Estrela 3")</f>
        <v>Estrela 3</v>
      </c>
    </row>
    <row r="1913">
      <c r="G1913" s="5" t="str">
        <f>IFERROR(__xludf.DUMMYFUNCTION("""COMPUTED_VALUE"""),"478🤙🏼Star Wars: Episode VII - The Force Awakens🤙🏼Domhnall Gleeson🤙🏼Estrela 4")</f>
        <v>478🤙🏼Star Wars: Episode VII - The Force Awakens🤙🏼Domhnall Gleeson🤙🏼Estrela 4</v>
      </c>
      <c r="H1913" s="5">
        <f>IFERROR(__xludf.DUMMYFUNCTION("SPLiT(G1913, ""🤙🏼"",FALSE,FALSE)"),478.0)</f>
        <v>478</v>
      </c>
      <c r="I1913" s="5" t="str">
        <f>IFERROR(__xludf.DUMMYFUNCTION("""COMPUTED_VALUE"""),"Star Wars: Episode VII - The Force Awakens")</f>
        <v>Star Wars: Episode VII - The Force Awakens</v>
      </c>
      <c r="J1913" s="5" t="str">
        <f>IFERROR(__xludf.DUMMYFUNCTION("""COMPUTED_VALUE"""),"Domhnall Gleeson")</f>
        <v>Domhnall Gleeson</v>
      </c>
      <c r="K1913" s="5" t="str">
        <f>IFERROR(__xludf.DUMMYFUNCTION("""COMPUTED_VALUE"""),"Estrela 4")</f>
        <v>Estrela 4</v>
      </c>
      <c r="P1913" s="5">
        <f>IFERROR(__xludf.DUMMYFUNCTION("""COMPUTED_VALUE"""),478.0)</f>
        <v>478</v>
      </c>
      <c r="Q1913" s="5" t="str">
        <f>IFERROR(__xludf.DUMMYFUNCTION("""COMPUTED_VALUE"""),"Star Wars: Episode VII - The Force Awakens")</f>
        <v>Star Wars: Episode VII - The Force Awakens</v>
      </c>
      <c r="R1913" s="5" t="str">
        <f>IFERROR(__xludf.DUMMYFUNCTION("""COMPUTED_VALUE"""),"Domhnall Gleeson")</f>
        <v>Domhnall Gleeson</v>
      </c>
      <c r="S1913" s="5" t="str">
        <f>IFERROR(__xludf.DUMMYFUNCTION("""COMPUTED_VALUE"""),"Estrela 4")</f>
        <v>Estrela 4</v>
      </c>
    </row>
    <row r="1914">
      <c r="G1914" s="5" t="str">
        <f>IFERROR(__xludf.DUMMYFUNCTION("""COMPUTED_VALUE"""),"479🤙🏼Before Midnight🤙🏼Ethan Hawke🤙🏼Estrela 1")</f>
        <v>479🤙🏼Before Midnight🤙🏼Ethan Hawke🤙🏼Estrela 1</v>
      </c>
      <c r="H1914" s="5">
        <f>IFERROR(__xludf.DUMMYFUNCTION("SPLiT(G1914, ""🤙🏼"",FALSE,FALSE)"),479.0)</f>
        <v>479</v>
      </c>
      <c r="I1914" s="5" t="str">
        <f>IFERROR(__xludf.DUMMYFUNCTION("""COMPUTED_VALUE"""),"Before Midnight")</f>
        <v>Before Midnight</v>
      </c>
      <c r="J1914" s="5" t="str">
        <f>IFERROR(__xludf.DUMMYFUNCTION("""COMPUTED_VALUE"""),"Ethan Hawke")</f>
        <v>Ethan Hawke</v>
      </c>
      <c r="K1914" s="5" t="str">
        <f>IFERROR(__xludf.DUMMYFUNCTION("""COMPUTED_VALUE"""),"Estrela 1")</f>
        <v>Estrela 1</v>
      </c>
      <c r="P1914" s="5">
        <f>IFERROR(__xludf.DUMMYFUNCTION("""COMPUTED_VALUE"""),479.0)</f>
        <v>479</v>
      </c>
      <c r="Q1914" s="5" t="str">
        <f>IFERROR(__xludf.DUMMYFUNCTION("""COMPUTED_VALUE"""),"Before Midnight")</f>
        <v>Before Midnight</v>
      </c>
      <c r="R1914" s="5" t="str">
        <f>IFERROR(__xludf.DUMMYFUNCTION("""COMPUTED_VALUE"""),"Ethan Hawke")</f>
        <v>Ethan Hawke</v>
      </c>
      <c r="S1914" s="5" t="str">
        <f>IFERROR(__xludf.DUMMYFUNCTION("""COMPUTED_VALUE"""),"Estrela 1")</f>
        <v>Estrela 1</v>
      </c>
    </row>
    <row r="1915">
      <c r="G1915" s="5" t="str">
        <f>IFERROR(__xludf.DUMMYFUNCTION("""COMPUTED_VALUE"""),"479🤙🏼Before Midnight🤙🏼Julie Delpy🤙🏼Estrela 2")</f>
        <v>479🤙🏼Before Midnight🤙🏼Julie Delpy🤙🏼Estrela 2</v>
      </c>
      <c r="H1915" s="5">
        <f>IFERROR(__xludf.DUMMYFUNCTION("SPLiT(G1915, ""🤙🏼"",FALSE,FALSE)"),479.0)</f>
        <v>479</v>
      </c>
      <c r="I1915" s="5" t="str">
        <f>IFERROR(__xludf.DUMMYFUNCTION("""COMPUTED_VALUE"""),"Before Midnight")</f>
        <v>Before Midnight</v>
      </c>
      <c r="J1915" s="5" t="str">
        <f>IFERROR(__xludf.DUMMYFUNCTION("""COMPUTED_VALUE"""),"Julie Delpy")</f>
        <v>Julie Delpy</v>
      </c>
      <c r="K1915" s="5" t="str">
        <f>IFERROR(__xludf.DUMMYFUNCTION("""COMPUTED_VALUE"""),"Estrela 2")</f>
        <v>Estrela 2</v>
      </c>
      <c r="P1915" s="5">
        <f>IFERROR(__xludf.DUMMYFUNCTION("""COMPUTED_VALUE"""),479.0)</f>
        <v>479</v>
      </c>
      <c r="Q1915" s="5" t="str">
        <f>IFERROR(__xludf.DUMMYFUNCTION("""COMPUTED_VALUE"""),"Before Midnight")</f>
        <v>Before Midnight</v>
      </c>
      <c r="R1915" s="5" t="str">
        <f>IFERROR(__xludf.DUMMYFUNCTION("""COMPUTED_VALUE"""),"Julie Delpy")</f>
        <v>Julie Delpy</v>
      </c>
      <c r="S1915" s="5" t="str">
        <f>IFERROR(__xludf.DUMMYFUNCTION("""COMPUTED_VALUE"""),"Estrela 2")</f>
        <v>Estrela 2</v>
      </c>
    </row>
    <row r="1916">
      <c r="G1916" s="5" t="str">
        <f>IFERROR(__xludf.DUMMYFUNCTION("""COMPUTED_VALUE"""),"479🤙🏼Before Midnight🤙🏼Seamus Davey-Fitzpatrick🤙🏼Estrela 3")</f>
        <v>479🤙🏼Before Midnight🤙🏼Seamus Davey-Fitzpatrick🤙🏼Estrela 3</v>
      </c>
      <c r="H1916" s="5">
        <f>IFERROR(__xludf.DUMMYFUNCTION("SPLiT(G1916, ""🤙🏼"",FALSE,FALSE)"),479.0)</f>
        <v>479</v>
      </c>
      <c r="I1916" s="5" t="str">
        <f>IFERROR(__xludf.DUMMYFUNCTION("""COMPUTED_VALUE"""),"Before Midnight")</f>
        <v>Before Midnight</v>
      </c>
      <c r="J1916" s="5" t="str">
        <f>IFERROR(__xludf.DUMMYFUNCTION("""COMPUTED_VALUE"""),"Seamus Davey-Fitzpatrick")</f>
        <v>Seamus Davey-Fitzpatrick</v>
      </c>
      <c r="K1916" s="5" t="str">
        <f>IFERROR(__xludf.DUMMYFUNCTION("""COMPUTED_VALUE"""),"Estrela 3")</f>
        <v>Estrela 3</v>
      </c>
      <c r="P1916" s="5">
        <f>IFERROR(__xludf.DUMMYFUNCTION("""COMPUTED_VALUE"""),479.0)</f>
        <v>479</v>
      </c>
      <c r="Q1916" s="5" t="str">
        <f>IFERROR(__xludf.DUMMYFUNCTION("""COMPUTED_VALUE"""),"Before Midnight")</f>
        <v>Before Midnight</v>
      </c>
      <c r="R1916" s="5" t="str">
        <f>IFERROR(__xludf.DUMMYFUNCTION("""COMPUTED_VALUE"""),"Seamus Davey-Fitzpatrick")</f>
        <v>Seamus Davey-Fitzpatrick</v>
      </c>
      <c r="S1916" s="5" t="str">
        <f>IFERROR(__xludf.DUMMYFUNCTION("""COMPUTED_VALUE"""),"Estrela 3")</f>
        <v>Estrela 3</v>
      </c>
    </row>
    <row r="1917">
      <c r="G1917" s="5" t="str">
        <f>IFERROR(__xludf.DUMMYFUNCTION("""COMPUTED_VALUE"""),"479🤙🏼Before Midnight🤙🏼Ariane Labed🤙🏼Estrela 4")</f>
        <v>479🤙🏼Before Midnight🤙🏼Ariane Labed🤙🏼Estrela 4</v>
      </c>
      <c r="H1917" s="5">
        <f>IFERROR(__xludf.DUMMYFUNCTION("SPLiT(G1917, ""🤙🏼"",FALSE,FALSE)"),479.0)</f>
        <v>479</v>
      </c>
      <c r="I1917" s="5" t="str">
        <f>IFERROR(__xludf.DUMMYFUNCTION("""COMPUTED_VALUE"""),"Before Midnight")</f>
        <v>Before Midnight</v>
      </c>
      <c r="J1917" s="5" t="str">
        <f>IFERROR(__xludf.DUMMYFUNCTION("""COMPUTED_VALUE"""),"Ariane Labed")</f>
        <v>Ariane Labed</v>
      </c>
      <c r="K1917" s="5" t="str">
        <f>IFERROR(__xludf.DUMMYFUNCTION("""COMPUTED_VALUE"""),"Estrela 4")</f>
        <v>Estrela 4</v>
      </c>
      <c r="P1917" s="5">
        <f>IFERROR(__xludf.DUMMYFUNCTION("""COMPUTED_VALUE"""),479.0)</f>
        <v>479</v>
      </c>
      <c r="Q1917" s="5" t="str">
        <f>IFERROR(__xludf.DUMMYFUNCTION("""COMPUTED_VALUE"""),"Before Midnight")</f>
        <v>Before Midnight</v>
      </c>
      <c r="R1917" s="5" t="str">
        <f>IFERROR(__xludf.DUMMYFUNCTION("""COMPUTED_VALUE"""),"Ariane Labed")</f>
        <v>Ariane Labed</v>
      </c>
      <c r="S1917" s="5" t="str">
        <f>IFERROR(__xludf.DUMMYFUNCTION("""COMPUTED_VALUE"""),"Estrela 4")</f>
        <v>Estrela 4</v>
      </c>
    </row>
    <row r="1918">
      <c r="G1918" s="5" t="str">
        <f>IFERROR(__xludf.DUMMYFUNCTION("""COMPUTED_VALUE"""),"480🤙🏼X-Men: Days of Future Past🤙🏼Patrick Stewart🤙🏼Estrela 1")</f>
        <v>480🤙🏼X-Men: Days of Future Past🤙🏼Patrick Stewart🤙🏼Estrela 1</v>
      </c>
      <c r="H1918" s="5">
        <f>IFERROR(__xludf.DUMMYFUNCTION("SPLiT(G1918, ""🤙🏼"",FALSE,FALSE)"),480.0)</f>
        <v>480</v>
      </c>
      <c r="I1918" s="5" t="str">
        <f>IFERROR(__xludf.DUMMYFUNCTION("""COMPUTED_VALUE"""),"X-Men: Days of Future Past")</f>
        <v>X-Men: Days of Future Past</v>
      </c>
      <c r="J1918" s="5" t="str">
        <f>IFERROR(__xludf.DUMMYFUNCTION("""COMPUTED_VALUE"""),"Patrick Stewart")</f>
        <v>Patrick Stewart</v>
      </c>
      <c r="K1918" s="5" t="str">
        <f>IFERROR(__xludf.DUMMYFUNCTION("""COMPUTED_VALUE"""),"Estrela 1")</f>
        <v>Estrela 1</v>
      </c>
      <c r="P1918" s="5">
        <f>IFERROR(__xludf.DUMMYFUNCTION("""COMPUTED_VALUE"""),480.0)</f>
        <v>480</v>
      </c>
      <c r="Q1918" s="5" t="str">
        <f>IFERROR(__xludf.DUMMYFUNCTION("""COMPUTED_VALUE"""),"X-Men: Days of Future Past")</f>
        <v>X-Men: Days of Future Past</v>
      </c>
      <c r="R1918" s="5" t="str">
        <f>IFERROR(__xludf.DUMMYFUNCTION("""COMPUTED_VALUE"""),"Patrick Stewart")</f>
        <v>Patrick Stewart</v>
      </c>
      <c r="S1918" s="5" t="str">
        <f>IFERROR(__xludf.DUMMYFUNCTION("""COMPUTED_VALUE"""),"Estrela 1")</f>
        <v>Estrela 1</v>
      </c>
    </row>
    <row r="1919">
      <c r="G1919" s="5" t="str">
        <f>IFERROR(__xludf.DUMMYFUNCTION("""COMPUTED_VALUE"""),"480🤙🏼X-Men: Days of Future Past🤙🏼Ian McKellen🤙🏼Estrela 2")</f>
        <v>480🤙🏼X-Men: Days of Future Past🤙🏼Ian McKellen🤙🏼Estrela 2</v>
      </c>
      <c r="H1919" s="5">
        <f>IFERROR(__xludf.DUMMYFUNCTION("SPLiT(G1919, ""🤙🏼"",FALSE,FALSE)"),480.0)</f>
        <v>480</v>
      </c>
      <c r="I1919" s="5" t="str">
        <f>IFERROR(__xludf.DUMMYFUNCTION("""COMPUTED_VALUE"""),"X-Men: Days of Future Past")</f>
        <v>X-Men: Days of Future Past</v>
      </c>
      <c r="J1919" s="5" t="str">
        <f>IFERROR(__xludf.DUMMYFUNCTION("""COMPUTED_VALUE"""),"Ian McKellen")</f>
        <v>Ian McKellen</v>
      </c>
      <c r="K1919" s="5" t="str">
        <f>IFERROR(__xludf.DUMMYFUNCTION("""COMPUTED_VALUE"""),"Estrela 2")</f>
        <v>Estrela 2</v>
      </c>
      <c r="P1919" s="5">
        <f>IFERROR(__xludf.DUMMYFUNCTION("""COMPUTED_VALUE"""),480.0)</f>
        <v>480</v>
      </c>
      <c r="Q1919" s="5" t="str">
        <f>IFERROR(__xludf.DUMMYFUNCTION("""COMPUTED_VALUE"""),"X-Men: Days of Future Past")</f>
        <v>X-Men: Days of Future Past</v>
      </c>
      <c r="R1919" s="5" t="str">
        <f>IFERROR(__xludf.DUMMYFUNCTION("""COMPUTED_VALUE"""),"Ian McKellen")</f>
        <v>Ian McKellen</v>
      </c>
      <c r="S1919" s="5" t="str">
        <f>IFERROR(__xludf.DUMMYFUNCTION("""COMPUTED_VALUE"""),"Estrela 2")</f>
        <v>Estrela 2</v>
      </c>
    </row>
    <row r="1920">
      <c r="G1920" s="5" t="str">
        <f>IFERROR(__xludf.DUMMYFUNCTION("""COMPUTED_VALUE"""),"480🤙🏼X-Men: Days of Future Past🤙🏼Hugh Jackman🤙🏼Estrela 3")</f>
        <v>480🤙🏼X-Men: Days of Future Past🤙🏼Hugh Jackman🤙🏼Estrela 3</v>
      </c>
      <c r="H1920" s="5">
        <f>IFERROR(__xludf.DUMMYFUNCTION("SPLiT(G1920, ""🤙🏼"",FALSE,FALSE)"),480.0)</f>
        <v>480</v>
      </c>
      <c r="I1920" s="5" t="str">
        <f>IFERROR(__xludf.DUMMYFUNCTION("""COMPUTED_VALUE"""),"X-Men: Days of Future Past")</f>
        <v>X-Men: Days of Future Past</v>
      </c>
      <c r="J1920" s="5" t="str">
        <f>IFERROR(__xludf.DUMMYFUNCTION("""COMPUTED_VALUE"""),"Hugh Jackman")</f>
        <v>Hugh Jackman</v>
      </c>
      <c r="K1920" s="5" t="str">
        <f>IFERROR(__xludf.DUMMYFUNCTION("""COMPUTED_VALUE"""),"Estrela 3")</f>
        <v>Estrela 3</v>
      </c>
      <c r="P1920" s="5">
        <f>IFERROR(__xludf.DUMMYFUNCTION("""COMPUTED_VALUE"""),480.0)</f>
        <v>480</v>
      </c>
      <c r="Q1920" s="5" t="str">
        <f>IFERROR(__xludf.DUMMYFUNCTION("""COMPUTED_VALUE"""),"X-Men: Days of Future Past")</f>
        <v>X-Men: Days of Future Past</v>
      </c>
      <c r="R1920" s="5" t="str">
        <f>IFERROR(__xludf.DUMMYFUNCTION("""COMPUTED_VALUE"""),"Hugh Jackman")</f>
        <v>Hugh Jackman</v>
      </c>
      <c r="S1920" s="5" t="str">
        <f>IFERROR(__xludf.DUMMYFUNCTION("""COMPUTED_VALUE"""),"Estrela 3")</f>
        <v>Estrela 3</v>
      </c>
    </row>
    <row r="1921">
      <c r="G1921" s="5" t="str">
        <f>IFERROR(__xludf.DUMMYFUNCTION("""COMPUTED_VALUE"""),"480🤙🏼X-Men: Days of Future Past🤙🏼James McAvoy🤙🏼Estrela 4")</f>
        <v>480🤙🏼X-Men: Days of Future Past🤙🏼James McAvoy🤙🏼Estrela 4</v>
      </c>
      <c r="H1921" s="5">
        <f>IFERROR(__xludf.DUMMYFUNCTION("SPLiT(G1921, ""🤙🏼"",FALSE,FALSE)"),480.0)</f>
        <v>480</v>
      </c>
      <c r="I1921" s="5" t="str">
        <f>IFERROR(__xludf.DUMMYFUNCTION("""COMPUTED_VALUE"""),"X-Men: Days of Future Past")</f>
        <v>X-Men: Days of Future Past</v>
      </c>
      <c r="J1921" s="5" t="str">
        <f>IFERROR(__xludf.DUMMYFUNCTION("""COMPUTED_VALUE"""),"James McAvoy")</f>
        <v>James McAvoy</v>
      </c>
      <c r="K1921" s="5" t="str">
        <f>IFERROR(__xludf.DUMMYFUNCTION("""COMPUTED_VALUE"""),"Estrela 4")</f>
        <v>Estrela 4</v>
      </c>
      <c r="P1921" s="5">
        <f>IFERROR(__xludf.DUMMYFUNCTION("""COMPUTED_VALUE"""),480.0)</f>
        <v>480</v>
      </c>
      <c r="Q1921" s="5" t="str">
        <f>IFERROR(__xludf.DUMMYFUNCTION("""COMPUTED_VALUE"""),"X-Men: Days of Future Past")</f>
        <v>X-Men: Days of Future Past</v>
      </c>
      <c r="R1921" s="5" t="str">
        <f>IFERROR(__xludf.DUMMYFUNCTION("""COMPUTED_VALUE"""),"James McAvoy")</f>
        <v>James McAvoy</v>
      </c>
      <c r="S1921" s="5" t="str">
        <f>IFERROR(__xludf.DUMMYFUNCTION("""COMPUTED_VALUE"""),"Estrela 4")</f>
        <v>Estrela 4</v>
      </c>
    </row>
    <row r="1922">
      <c r="G1922" s="5" t="str">
        <f>IFERROR(__xludf.DUMMYFUNCTION("""COMPUTED_VALUE"""),"481🤙🏼Bir Zamanlar Anadolu'da🤙🏼Muhammet Uzuner🤙🏼Estrela 1")</f>
        <v>481🤙🏼Bir Zamanlar Anadolu'da🤙🏼Muhammet Uzuner🤙🏼Estrela 1</v>
      </c>
      <c r="H1922" s="5">
        <f>IFERROR(__xludf.DUMMYFUNCTION("SPLiT(G1922, ""🤙🏼"",FALSE,FALSE)"),481.0)</f>
        <v>481</v>
      </c>
      <c r="I1922" s="5" t="str">
        <f>IFERROR(__xludf.DUMMYFUNCTION("""COMPUTED_VALUE"""),"Bir Zamanlar Anadolu'da")</f>
        <v>Bir Zamanlar Anadolu'da</v>
      </c>
      <c r="J1922" s="5" t="str">
        <f>IFERROR(__xludf.DUMMYFUNCTION("""COMPUTED_VALUE"""),"Muhammet Uzuner")</f>
        <v>Muhammet Uzuner</v>
      </c>
      <c r="K1922" s="5" t="str">
        <f>IFERROR(__xludf.DUMMYFUNCTION("""COMPUTED_VALUE"""),"Estrela 1")</f>
        <v>Estrela 1</v>
      </c>
      <c r="P1922" s="5">
        <f>IFERROR(__xludf.DUMMYFUNCTION("""COMPUTED_VALUE"""),481.0)</f>
        <v>481</v>
      </c>
      <c r="Q1922" s="5" t="str">
        <f>IFERROR(__xludf.DUMMYFUNCTION("""COMPUTED_VALUE"""),"Bir Zamanlar Anadolu'da")</f>
        <v>Bir Zamanlar Anadolu'da</v>
      </c>
      <c r="R1922" s="5" t="str">
        <f>IFERROR(__xludf.DUMMYFUNCTION("""COMPUTED_VALUE"""),"Muhammet Uzuner")</f>
        <v>Muhammet Uzuner</v>
      </c>
      <c r="S1922" s="5" t="str">
        <f>IFERROR(__xludf.DUMMYFUNCTION("""COMPUTED_VALUE"""),"Estrela 1")</f>
        <v>Estrela 1</v>
      </c>
    </row>
    <row r="1923">
      <c r="G1923" s="5" t="str">
        <f>IFERROR(__xludf.DUMMYFUNCTION("""COMPUTED_VALUE"""),"481🤙🏼Bir Zamanlar Anadolu'da🤙🏼Yilmaz Erdogan🤙🏼Estrela 2")</f>
        <v>481🤙🏼Bir Zamanlar Anadolu'da🤙🏼Yilmaz Erdogan🤙🏼Estrela 2</v>
      </c>
      <c r="H1923" s="5">
        <f>IFERROR(__xludf.DUMMYFUNCTION("SPLiT(G1923, ""🤙🏼"",FALSE,FALSE)"),481.0)</f>
        <v>481</v>
      </c>
      <c r="I1923" s="5" t="str">
        <f>IFERROR(__xludf.DUMMYFUNCTION("""COMPUTED_VALUE"""),"Bir Zamanlar Anadolu'da")</f>
        <v>Bir Zamanlar Anadolu'da</v>
      </c>
      <c r="J1923" s="5" t="str">
        <f>IFERROR(__xludf.DUMMYFUNCTION("""COMPUTED_VALUE"""),"Yilmaz Erdogan")</f>
        <v>Yilmaz Erdogan</v>
      </c>
      <c r="K1923" s="5" t="str">
        <f>IFERROR(__xludf.DUMMYFUNCTION("""COMPUTED_VALUE"""),"Estrela 2")</f>
        <v>Estrela 2</v>
      </c>
      <c r="P1923" s="5">
        <f>IFERROR(__xludf.DUMMYFUNCTION("""COMPUTED_VALUE"""),481.0)</f>
        <v>481</v>
      </c>
      <c r="Q1923" s="5" t="str">
        <f>IFERROR(__xludf.DUMMYFUNCTION("""COMPUTED_VALUE"""),"Bir Zamanlar Anadolu'da")</f>
        <v>Bir Zamanlar Anadolu'da</v>
      </c>
      <c r="R1923" s="5" t="str">
        <f>IFERROR(__xludf.DUMMYFUNCTION("""COMPUTED_VALUE"""),"Yilmaz Erdogan")</f>
        <v>Yilmaz Erdogan</v>
      </c>
      <c r="S1923" s="5" t="str">
        <f>IFERROR(__xludf.DUMMYFUNCTION("""COMPUTED_VALUE"""),"Estrela 2")</f>
        <v>Estrela 2</v>
      </c>
    </row>
    <row r="1924">
      <c r="G1924" s="5" t="str">
        <f>IFERROR(__xludf.DUMMYFUNCTION("""COMPUTED_VALUE"""),"481🤙🏼Bir Zamanlar Anadolu'da🤙🏼Taner Birsel🤙🏼Estrela 3")</f>
        <v>481🤙🏼Bir Zamanlar Anadolu'da🤙🏼Taner Birsel🤙🏼Estrela 3</v>
      </c>
      <c r="H1924" s="5">
        <f>IFERROR(__xludf.DUMMYFUNCTION("SPLiT(G1924, ""🤙🏼"",FALSE,FALSE)"),481.0)</f>
        <v>481</v>
      </c>
      <c r="I1924" s="5" t="str">
        <f>IFERROR(__xludf.DUMMYFUNCTION("""COMPUTED_VALUE"""),"Bir Zamanlar Anadolu'da")</f>
        <v>Bir Zamanlar Anadolu'da</v>
      </c>
      <c r="J1924" s="5" t="str">
        <f>IFERROR(__xludf.DUMMYFUNCTION("""COMPUTED_VALUE"""),"Taner Birsel")</f>
        <v>Taner Birsel</v>
      </c>
      <c r="K1924" s="5" t="str">
        <f>IFERROR(__xludf.DUMMYFUNCTION("""COMPUTED_VALUE"""),"Estrela 3")</f>
        <v>Estrela 3</v>
      </c>
      <c r="P1924" s="5">
        <f>IFERROR(__xludf.DUMMYFUNCTION("""COMPUTED_VALUE"""),481.0)</f>
        <v>481</v>
      </c>
      <c r="Q1924" s="5" t="str">
        <f>IFERROR(__xludf.DUMMYFUNCTION("""COMPUTED_VALUE"""),"Bir Zamanlar Anadolu'da")</f>
        <v>Bir Zamanlar Anadolu'da</v>
      </c>
      <c r="R1924" s="5" t="str">
        <f>IFERROR(__xludf.DUMMYFUNCTION("""COMPUTED_VALUE"""),"Taner Birsel")</f>
        <v>Taner Birsel</v>
      </c>
      <c r="S1924" s="5" t="str">
        <f>IFERROR(__xludf.DUMMYFUNCTION("""COMPUTED_VALUE"""),"Estrela 3")</f>
        <v>Estrela 3</v>
      </c>
    </row>
    <row r="1925">
      <c r="G1925" s="5" t="str">
        <f>IFERROR(__xludf.DUMMYFUNCTION("""COMPUTED_VALUE"""),"481🤙🏼Bir Zamanlar Anadolu'da🤙🏼Ahmet Mümtaz Taylan🤙🏼Estrela 4")</f>
        <v>481🤙🏼Bir Zamanlar Anadolu'da🤙🏼Ahmet Mümtaz Taylan🤙🏼Estrela 4</v>
      </c>
      <c r="H1925" s="5">
        <f>IFERROR(__xludf.DUMMYFUNCTION("SPLiT(G1925, ""🤙🏼"",FALSE,FALSE)"),481.0)</f>
        <v>481</v>
      </c>
      <c r="I1925" s="5" t="str">
        <f>IFERROR(__xludf.DUMMYFUNCTION("""COMPUTED_VALUE"""),"Bir Zamanlar Anadolu'da")</f>
        <v>Bir Zamanlar Anadolu'da</v>
      </c>
      <c r="J1925" s="5" t="str">
        <f>IFERROR(__xludf.DUMMYFUNCTION("""COMPUTED_VALUE"""),"Ahmet Mümtaz Taylan")</f>
        <v>Ahmet Mümtaz Taylan</v>
      </c>
      <c r="K1925" s="5" t="str">
        <f>IFERROR(__xludf.DUMMYFUNCTION("""COMPUTED_VALUE"""),"Estrela 4")</f>
        <v>Estrela 4</v>
      </c>
      <c r="P1925" s="5">
        <f>IFERROR(__xludf.DUMMYFUNCTION("""COMPUTED_VALUE"""),481.0)</f>
        <v>481</v>
      </c>
      <c r="Q1925" s="5" t="str">
        <f>IFERROR(__xludf.DUMMYFUNCTION("""COMPUTED_VALUE"""),"Bir Zamanlar Anadolu'da")</f>
        <v>Bir Zamanlar Anadolu'da</v>
      </c>
      <c r="R1925" s="5" t="str">
        <f>IFERROR(__xludf.DUMMYFUNCTION("""COMPUTED_VALUE"""),"Ahmet Mümtaz Taylan")</f>
        <v>Ahmet Mümtaz Taylan</v>
      </c>
      <c r="S1925" s="5" t="str">
        <f>IFERROR(__xludf.DUMMYFUNCTION("""COMPUTED_VALUE"""),"Estrela 4")</f>
        <v>Estrela 4</v>
      </c>
    </row>
    <row r="1926">
      <c r="G1926" s="5" t="str">
        <f>IFERROR(__xludf.DUMMYFUNCTION("""COMPUTED_VALUE"""),"482🤙🏼The Artist🤙🏼Jean Dujardin🤙🏼Estrela 1")</f>
        <v>482🤙🏼The Artist🤙🏼Jean Dujardin🤙🏼Estrela 1</v>
      </c>
      <c r="H1926" s="5">
        <f>IFERROR(__xludf.DUMMYFUNCTION("SPLiT(G1926, ""🤙🏼"",FALSE,FALSE)"),482.0)</f>
        <v>482</v>
      </c>
      <c r="I1926" s="5" t="str">
        <f>IFERROR(__xludf.DUMMYFUNCTION("""COMPUTED_VALUE"""),"The Artist")</f>
        <v>The Artist</v>
      </c>
      <c r="J1926" s="5" t="str">
        <f>IFERROR(__xludf.DUMMYFUNCTION("""COMPUTED_VALUE"""),"Jean Dujardin")</f>
        <v>Jean Dujardin</v>
      </c>
      <c r="K1926" s="5" t="str">
        <f>IFERROR(__xludf.DUMMYFUNCTION("""COMPUTED_VALUE"""),"Estrela 1")</f>
        <v>Estrela 1</v>
      </c>
      <c r="P1926" s="5">
        <f>IFERROR(__xludf.DUMMYFUNCTION("""COMPUTED_VALUE"""),482.0)</f>
        <v>482</v>
      </c>
      <c r="Q1926" s="5" t="str">
        <f>IFERROR(__xludf.DUMMYFUNCTION("""COMPUTED_VALUE"""),"The Artist")</f>
        <v>The Artist</v>
      </c>
      <c r="R1926" s="5" t="str">
        <f>IFERROR(__xludf.DUMMYFUNCTION("""COMPUTED_VALUE"""),"Jean Dujardin")</f>
        <v>Jean Dujardin</v>
      </c>
      <c r="S1926" s="5" t="str">
        <f>IFERROR(__xludf.DUMMYFUNCTION("""COMPUTED_VALUE"""),"Estrela 1")</f>
        <v>Estrela 1</v>
      </c>
    </row>
    <row r="1927">
      <c r="G1927" s="5" t="str">
        <f>IFERROR(__xludf.DUMMYFUNCTION("""COMPUTED_VALUE"""),"482🤙🏼The Artist🤙🏼Bérénice Bejo🤙🏼Estrela 2")</f>
        <v>482🤙🏼The Artist🤙🏼Bérénice Bejo🤙🏼Estrela 2</v>
      </c>
      <c r="H1927" s="5">
        <f>IFERROR(__xludf.DUMMYFUNCTION("SPLiT(G1927, ""🤙🏼"",FALSE,FALSE)"),482.0)</f>
        <v>482</v>
      </c>
      <c r="I1927" s="5" t="str">
        <f>IFERROR(__xludf.DUMMYFUNCTION("""COMPUTED_VALUE"""),"The Artist")</f>
        <v>The Artist</v>
      </c>
      <c r="J1927" s="5" t="str">
        <f>IFERROR(__xludf.DUMMYFUNCTION("""COMPUTED_VALUE"""),"Bérénice Bejo")</f>
        <v>Bérénice Bejo</v>
      </c>
      <c r="K1927" s="5" t="str">
        <f>IFERROR(__xludf.DUMMYFUNCTION("""COMPUTED_VALUE"""),"Estrela 2")</f>
        <v>Estrela 2</v>
      </c>
      <c r="P1927" s="5">
        <f>IFERROR(__xludf.DUMMYFUNCTION("""COMPUTED_VALUE"""),482.0)</f>
        <v>482</v>
      </c>
      <c r="Q1927" s="5" t="str">
        <f>IFERROR(__xludf.DUMMYFUNCTION("""COMPUTED_VALUE"""),"The Artist")</f>
        <v>The Artist</v>
      </c>
      <c r="R1927" s="5" t="str">
        <f>IFERROR(__xludf.DUMMYFUNCTION("""COMPUTED_VALUE"""),"Bérénice Bejo")</f>
        <v>Bérénice Bejo</v>
      </c>
      <c r="S1927" s="5" t="str">
        <f>IFERROR(__xludf.DUMMYFUNCTION("""COMPUTED_VALUE"""),"Estrela 2")</f>
        <v>Estrela 2</v>
      </c>
    </row>
    <row r="1928">
      <c r="G1928" s="5" t="str">
        <f>IFERROR(__xludf.DUMMYFUNCTION("""COMPUTED_VALUE"""),"482🤙🏼The Artist🤙🏼John Goodman🤙🏼Estrela 3")</f>
        <v>482🤙🏼The Artist🤙🏼John Goodman🤙🏼Estrela 3</v>
      </c>
      <c r="H1928" s="5">
        <f>IFERROR(__xludf.DUMMYFUNCTION("SPLiT(G1928, ""🤙🏼"",FALSE,FALSE)"),482.0)</f>
        <v>482</v>
      </c>
      <c r="I1928" s="5" t="str">
        <f>IFERROR(__xludf.DUMMYFUNCTION("""COMPUTED_VALUE"""),"The Artist")</f>
        <v>The Artist</v>
      </c>
      <c r="J1928" s="5" t="str">
        <f>IFERROR(__xludf.DUMMYFUNCTION("""COMPUTED_VALUE"""),"John Goodman")</f>
        <v>John Goodman</v>
      </c>
      <c r="K1928" s="5" t="str">
        <f>IFERROR(__xludf.DUMMYFUNCTION("""COMPUTED_VALUE"""),"Estrela 3")</f>
        <v>Estrela 3</v>
      </c>
      <c r="P1928" s="5">
        <f>IFERROR(__xludf.DUMMYFUNCTION("""COMPUTED_VALUE"""),482.0)</f>
        <v>482</v>
      </c>
      <c r="Q1928" s="5" t="str">
        <f>IFERROR(__xludf.DUMMYFUNCTION("""COMPUTED_VALUE"""),"The Artist")</f>
        <v>The Artist</v>
      </c>
      <c r="R1928" s="5" t="str">
        <f>IFERROR(__xludf.DUMMYFUNCTION("""COMPUTED_VALUE"""),"John Goodman")</f>
        <v>John Goodman</v>
      </c>
      <c r="S1928" s="5" t="str">
        <f>IFERROR(__xludf.DUMMYFUNCTION("""COMPUTED_VALUE"""),"Estrela 3")</f>
        <v>Estrela 3</v>
      </c>
    </row>
    <row r="1929">
      <c r="G1929" s="5" t="str">
        <f>IFERROR(__xludf.DUMMYFUNCTION("""COMPUTED_VALUE"""),"482🤙🏼The Artist🤙🏼James Cromwell🤙🏼Estrela 4")</f>
        <v>482🤙🏼The Artist🤙🏼James Cromwell🤙🏼Estrela 4</v>
      </c>
      <c r="H1929" s="5">
        <f>IFERROR(__xludf.DUMMYFUNCTION("SPLiT(G1929, ""🤙🏼"",FALSE,FALSE)"),482.0)</f>
        <v>482</v>
      </c>
      <c r="I1929" s="5" t="str">
        <f>IFERROR(__xludf.DUMMYFUNCTION("""COMPUTED_VALUE"""),"The Artist")</f>
        <v>The Artist</v>
      </c>
      <c r="J1929" s="5" t="str">
        <f>IFERROR(__xludf.DUMMYFUNCTION("""COMPUTED_VALUE"""),"James Cromwell")</f>
        <v>James Cromwell</v>
      </c>
      <c r="K1929" s="5" t="str">
        <f>IFERROR(__xludf.DUMMYFUNCTION("""COMPUTED_VALUE"""),"Estrela 4")</f>
        <v>Estrela 4</v>
      </c>
      <c r="P1929" s="5">
        <f>IFERROR(__xludf.DUMMYFUNCTION("""COMPUTED_VALUE"""),482.0)</f>
        <v>482</v>
      </c>
      <c r="Q1929" s="5" t="str">
        <f>IFERROR(__xludf.DUMMYFUNCTION("""COMPUTED_VALUE"""),"The Artist")</f>
        <v>The Artist</v>
      </c>
      <c r="R1929" s="5" t="str">
        <f>IFERROR(__xludf.DUMMYFUNCTION("""COMPUTED_VALUE"""),"James Cromwell")</f>
        <v>James Cromwell</v>
      </c>
      <c r="S1929" s="5" t="str">
        <f>IFERROR(__xludf.DUMMYFUNCTION("""COMPUTED_VALUE"""),"Estrela 4")</f>
        <v>Estrela 4</v>
      </c>
    </row>
    <row r="1930">
      <c r="G1930" s="5" t="str">
        <f>IFERROR(__xludf.DUMMYFUNCTION("""COMPUTED_VALUE"""),"483🤙🏼Edge of Tomorrow🤙🏼Tom Cruise🤙🏼Estrela 1")</f>
        <v>483🤙🏼Edge of Tomorrow🤙🏼Tom Cruise🤙🏼Estrela 1</v>
      </c>
      <c r="H1930" s="5">
        <f>IFERROR(__xludf.DUMMYFUNCTION("SPLiT(G1930, ""🤙🏼"",FALSE,FALSE)"),483.0)</f>
        <v>483</v>
      </c>
      <c r="I1930" s="5" t="str">
        <f>IFERROR(__xludf.DUMMYFUNCTION("""COMPUTED_VALUE"""),"Edge of Tomorrow")</f>
        <v>Edge of Tomorrow</v>
      </c>
      <c r="J1930" s="5" t="str">
        <f>IFERROR(__xludf.DUMMYFUNCTION("""COMPUTED_VALUE"""),"Tom Cruise")</f>
        <v>Tom Cruise</v>
      </c>
      <c r="K1930" s="5" t="str">
        <f>IFERROR(__xludf.DUMMYFUNCTION("""COMPUTED_VALUE"""),"Estrela 1")</f>
        <v>Estrela 1</v>
      </c>
      <c r="P1930" s="5">
        <f>IFERROR(__xludf.DUMMYFUNCTION("""COMPUTED_VALUE"""),483.0)</f>
        <v>483</v>
      </c>
      <c r="Q1930" s="5" t="str">
        <f>IFERROR(__xludf.DUMMYFUNCTION("""COMPUTED_VALUE"""),"Edge of Tomorrow")</f>
        <v>Edge of Tomorrow</v>
      </c>
      <c r="R1930" s="5" t="str">
        <f>IFERROR(__xludf.DUMMYFUNCTION("""COMPUTED_VALUE"""),"Tom Cruise")</f>
        <v>Tom Cruise</v>
      </c>
      <c r="S1930" s="5" t="str">
        <f>IFERROR(__xludf.DUMMYFUNCTION("""COMPUTED_VALUE"""),"Estrela 1")</f>
        <v>Estrela 1</v>
      </c>
    </row>
    <row r="1931">
      <c r="G1931" s="5" t="str">
        <f>IFERROR(__xludf.DUMMYFUNCTION("""COMPUTED_VALUE"""),"483🤙🏼Edge of Tomorrow🤙🏼Emily Blunt🤙🏼Estrela 2")</f>
        <v>483🤙🏼Edge of Tomorrow🤙🏼Emily Blunt🤙🏼Estrela 2</v>
      </c>
      <c r="H1931" s="5">
        <f>IFERROR(__xludf.DUMMYFUNCTION("SPLiT(G1931, ""🤙🏼"",FALSE,FALSE)"),483.0)</f>
        <v>483</v>
      </c>
      <c r="I1931" s="5" t="str">
        <f>IFERROR(__xludf.DUMMYFUNCTION("""COMPUTED_VALUE"""),"Edge of Tomorrow")</f>
        <v>Edge of Tomorrow</v>
      </c>
      <c r="J1931" s="5" t="str">
        <f>IFERROR(__xludf.DUMMYFUNCTION("""COMPUTED_VALUE"""),"Emily Blunt")</f>
        <v>Emily Blunt</v>
      </c>
      <c r="K1931" s="5" t="str">
        <f>IFERROR(__xludf.DUMMYFUNCTION("""COMPUTED_VALUE"""),"Estrela 2")</f>
        <v>Estrela 2</v>
      </c>
      <c r="P1931" s="5">
        <f>IFERROR(__xludf.DUMMYFUNCTION("""COMPUTED_VALUE"""),483.0)</f>
        <v>483</v>
      </c>
      <c r="Q1931" s="5" t="str">
        <f>IFERROR(__xludf.DUMMYFUNCTION("""COMPUTED_VALUE"""),"Edge of Tomorrow")</f>
        <v>Edge of Tomorrow</v>
      </c>
      <c r="R1931" s="5" t="str">
        <f>IFERROR(__xludf.DUMMYFUNCTION("""COMPUTED_VALUE"""),"Emily Blunt")</f>
        <v>Emily Blunt</v>
      </c>
      <c r="S1931" s="5" t="str">
        <f>IFERROR(__xludf.DUMMYFUNCTION("""COMPUTED_VALUE"""),"Estrela 2")</f>
        <v>Estrela 2</v>
      </c>
    </row>
    <row r="1932">
      <c r="G1932" s="5" t="str">
        <f>IFERROR(__xludf.DUMMYFUNCTION("""COMPUTED_VALUE"""),"483🤙🏼Edge of Tomorrow🤙🏼Bill Paxton🤙🏼Estrela 3")</f>
        <v>483🤙🏼Edge of Tomorrow🤙🏼Bill Paxton🤙🏼Estrela 3</v>
      </c>
      <c r="H1932" s="5">
        <f>IFERROR(__xludf.DUMMYFUNCTION("SPLiT(G1932, ""🤙🏼"",FALSE,FALSE)"),483.0)</f>
        <v>483</v>
      </c>
      <c r="I1932" s="5" t="str">
        <f>IFERROR(__xludf.DUMMYFUNCTION("""COMPUTED_VALUE"""),"Edge of Tomorrow")</f>
        <v>Edge of Tomorrow</v>
      </c>
      <c r="J1932" s="5" t="str">
        <f>IFERROR(__xludf.DUMMYFUNCTION("""COMPUTED_VALUE"""),"Bill Paxton")</f>
        <v>Bill Paxton</v>
      </c>
      <c r="K1932" s="5" t="str">
        <f>IFERROR(__xludf.DUMMYFUNCTION("""COMPUTED_VALUE"""),"Estrela 3")</f>
        <v>Estrela 3</v>
      </c>
      <c r="P1932" s="5">
        <f>IFERROR(__xludf.DUMMYFUNCTION("""COMPUTED_VALUE"""),483.0)</f>
        <v>483</v>
      </c>
      <c r="Q1932" s="5" t="str">
        <f>IFERROR(__xludf.DUMMYFUNCTION("""COMPUTED_VALUE"""),"Edge of Tomorrow")</f>
        <v>Edge of Tomorrow</v>
      </c>
      <c r="R1932" s="5" t="str">
        <f>IFERROR(__xludf.DUMMYFUNCTION("""COMPUTED_VALUE"""),"Bill Paxton")</f>
        <v>Bill Paxton</v>
      </c>
      <c r="S1932" s="5" t="str">
        <f>IFERROR(__xludf.DUMMYFUNCTION("""COMPUTED_VALUE"""),"Estrela 3")</f>
        <v>Estrela 3</v>
      </c>
    </row>
    <row r="1933">
      <c r="G1933" s="5" t="str">
        <f>IFERROR(__xludf.DUMMYFUNCTION("""COMPUTED_VALUE"""),"483🤙🏼Edge of Tomorrow🤙🏼Brendan Gleeson🤙🏼Estrela 4")</f>
        <v>483🤙🏼Edge of Tomorrow🤙🏼Brendan Gleeson🤙🏼Estrela 4</v>
      </c>
      <c r="H1933" s="5">
        <f>IFERROR(__xludf.DUMMYFUNCTION("SPLiT(G1933, ""🤙🏼"",FALSE,FALSE)"),483.0)</f>
        <v>483</v>
      </c>
      <c r="I1933" s="5" t="str">
        <f>IFERROR(__xludf.DUMMYFUNCTION("""COMPUTED_VALUE"""),"Edge of Tomorrow")</f>
        <v>Edge of Tomorrow</v>
      </c>
      <c r="J1933" s="5" t="str">
        <f>IFERROR(__xludf.DUMMYFUNCTION("""COMPUTED_VALUE"""),"Brendan Gleeson")</f>
        <v>Brendan Gleeson</v>
      </c>
      <c r="K1933" s="5" t="str">
        <f>IFERROR(__xludf.DUMMYFUNCTION("""COMPUTED_VALUE"""),"Estrela 4")</f>
        <v>Estrela 4</v>
      </c>
      <c r="P1933" s="5">
        <f>IFERROR(__xludf.DUMMYFUNCTION("""COMPUTED_VALUE"""),483.0)</f>
        <v>483</v>
      </c>
      <c r="Q1933" s="5" t="str">
        <f>IFERROR(__xludf.DUMMYFUNCTION("""COMPUTED_VALUE"""),"Edge of Tomorrow")</f>
        <v>Edge of Tomorrow</v>
      </c>
      <c r="R1933" s="5" t="str">
        <f>IFERROR(__xludf.DUMMYFUNCTION("""COMPUTED_VALUE"""),"Brendan Gleeson")</f>
        <v>Brendan Gleeson</v>
      </c>
      <c r="S1933" s="5" t="str">
        <f>IFERROR(__xludf.DUMMYFUNCTION("""COMPUTED_VALUE"""),"Estrela 4")</f>
        <v>Estrela 4</v>
      </c>
    </row>
    <row r="1934">
      <c r="G1934" s="5" t="str">
        <f>IFERROR(__xludf.DUMMYFUNCTION("""COMPUTED_VALUE"""),"484🤙🏼Amour🤙🏼Jean-Louis Trintignant🤙🏼Estrela 1")</f>
        <v>484🤙🏼Amour🤙🏼Jean-Louis Trintignant🤙🏼Estrela 1</v>
      </c>
      <c r="H1934" s="5">
        <f>IFERROR(__xludf.DUMMYFUNCTION("SPLiT(G1934, ""🤙🏼"",FALSE,FALSE)"),484.0)</f>
        <v>484</v>
      </c>
      <c r="I1934" s="5" t="str">
        <f>IFERROR(__xludf.DUMMYFUNCTION("""COMPUTED_VALUE"""),"Amour")</f>
        <v>Amour</v>
      </c>
      <c r="J1934" s="5" t="str">
        <f>IFERROR(__xludf.DUMMYFUNCTION("""COMPUTED_VALUE"""),"Jean-Louis Trintignant")</f>
        <v>Jean-Louis Trintignant</v>
      </c>
      <c r="K1934" s="5" t="str">
        <f>IFERROR(__xludf.DUMMYFUNCTION("""COMPUTED_VALUE"""),"Estrela 1")</f>
        <v>Estrela 1</v>
      </c>
      <c r="P1934" s="5">
        <f>IFERROR(__xludf.DUMMYFUNCTION("""COMPUTED_VALUE"""),484.0)</f>
        <v>484</v>
      </c>
      <c r="Q1934" s="5" t="str">
        <f>IFERROR(__xludf.DUMMYFUNCTION("""COMPUTED_VALUE"""),"Amour")</f>
        <v>Amour</v>
      </c>
      <c r="R1934" s="5" t="str">
        <f>IFERROR(__xludf.DUMMYFUNCTION("""COMPUTED_VALUE"""),"Jean-Louis Trintignant")</f>
        <v>Jean-Louis Trintignant</v>
      </c>
      <c r="S1934" s="5" t="str">
        <f>IFERROR(__xludf.DUMMYFUNCTION("""COMPUTED_VALUE"""),"Estrela 1")</f>
        <v>Estrela 1</v>
      </c>
    </row>
    <row r="1935">
      <c r="G1935" s="5" t="str">
        <f>IFERROR(__xludf.DUMMYFUNCTION("""COMPUTED_VALUE"""),"484🤙🏼Amour🤙🏼Emmanuelle Riva🤙🏼Estrela 2")</f>
        <v>484🤙🏼Amour🤙🏼Emmanuelle Riva🤙🏼Estrela 2</v>
      </c>
      <c r="H1935" s="5">
        <f>IFERROR(__xludf.DUMMYFUNCTION("SPLiT(G1935, ""🤙🏼"",FALSE,FALSE)"),484.0)</f>
        <v>484</v>
      </c>
      <c r="I1935" s="5" t="str">
        <f>IFERROR(__xludf.DUMMYFUNCTION("""COMPUTED_VALUE"""),"Amour")</f>
        <v>Amour</v>
      </c>
      <c r="J1935" s="5" t="str">
        <f>IFERROR(__xludf.DUMMYFUNCTION("""COMPUTED_VALUE"""),"Emmanuelle Riva")</f>
        <v>Emmanuelle Riva</v>
      </c>
      <c r="K1935" s="5" t="str">
        <f>IFERROR(__xludf.DUMMYFUNCTION("""COMPUTED_VALUE"""),"Estrela 2")</f>
        <v>Estrela 2</v>
      </c>
      <c r="P1935" s="5">
        <f>IFERROR(__xludf.DUMMYFUNCTION("""COMPUTED_VALUE"""),484.0)</f>
        <v>484</v>
      </c>
      <c r="Q1935" s="5" t="str">
        <f>IFERROR(__xludf.DUMMYFUNCTION("""COMPUTED_VALUE"""),"Amour")</f>
        <v>Amour</v>
      </c>
      <c r="R1935" s="5" t="str">
        <f>IFERROR(__xludf.DUMMYFUNCTION("""COMPUTED_VALUE"""),"Emmanuelle Riva")</f>
        <v>Emmanuelle Riva</v>
      </c>
      <c r="S1935" s="5" t="str">
        <f>IFERROR(__xludf.DUMMYFUNCTION("""COMPUTED_VALUE"""),"Estrela 2")</f>
        <v>Estrela 2</v>
      </c>
    </row>
    <row r="1936">
      <c r="G1936" s="5" t="str">
        <f>IFERROR(__xludf.DUMMYFUNCTION("""COMPUTED_VALUE"""),"484🤙🏼Amour🤙🏼Isabelle Huppert🤙🏼Estrela 3")</f>
        <v>484🤙🏼Amour🤙🏼Isabelle Huppert🤙🏼Estrela 3</v>
      </c>
      <c r="H1936" s="5">
        <f>IFERROR(__xludf.DUMMYFUNCTION("SPLiT(G1936, ""🤙🏼"",FALSE,FALSE)"),484.0)</f>
        <v>484</v>
      </c>
      <c r="I1936" s="5" t="str">
        <f>IFERROR(__xludf.DUMMYFUNCTION("""COMPUTED_VALUE"""),"Amour")</f>
        <v>Amour</v>
      </c>
      <c r="J1936" s="5" t="str">
        <f>IFERROR(__xludf.DUMMYFUNCTION("""COMPUTED_VALUE"""),"Isabelle Huppert")</f>
        <v>Isabelle Huppert</v>
      </c>
      <c r="K1936" s="5" t="str">
        <f>IFERROR(__xludf.DUMMYFUNCTION("""COMPUTED_VALUE"""),"Estrela 3")</f>
        <v>Estrela 3</v>
      </c>
      <c r="P1936" s="5">
        <f>IFERROR(__xludf.DUMMYFUNCTION("""COMPUTED_VALUE"""),484.0)</f>
        <v>484</v>
      </c>
      <c r="Q1936" s="5" t="str">
        <f>IFERROR(__xludf.DUMMYFUNCTION("""COMPUTED_VALUE"""),"Amour")</f>
        <v>Amour</v>
      </c>
      <c r="R1936" s="5" t="str">
        <f>IFERROR(__xludf.DUMMYFUNCTION("""COMPUTED_VALUE"""),"Isabelle Huppert")</f>
        <v>Isabelle Huppert</v>
      </c>
      <c r="S1936" s="5" t="str">
        <f>IFERROR(__xludf.DUMMYFUNCTION("""COMPUTED_VALUE"""),"Estrela 3")</f>
        <v>Estrela 3</v>
      </c>
    </row>
    <row r="1937">
      <c r="G1937" s="5" t="str">
        <f>IFERROR(__xludf.DUMMYFUNCTION("""COMPUTED_VALUE"""),"484🤙🏼Amour🤙🏼Alexandre Tharaud🤙🏼Estrela 4")</f>
        <v>484🤙🏼Amour🤙🏼Alexandre Tharaud🤙🏼Estrela 4</v>
      </c>
      <c r="H1937" s="5">
        <f>IFERROR(__xludf.DUMMYFUNCTION("SPLiT(G1937, ""🤙🏼"",FALSE,FALSE)"),484.0)</f>
        <v>484</v>
      </c>
      <c r="I1937" s="5" t="str">
        <f>IFERROR(__xludf.DUMMYFUNCTION("""COMPUTED_VALUE"""),"Amour")</f>
        <v>Amour</v>
      </c>
      <c r="J1937" s="5" t="str">
        <f>IFERROR(__xludf.DUMMYFUNCTION("""COMPUTED_VALUE"""),"Alexandre Tharaud")</f>
        <v>Alexandre Tharaud</v>
      </c>
      <c r="K1937" s="5" t="str">
        <f>IFERROR(__xludf.DUMMYFUNCTION("""COMPUTED_VALUE"""),"Estrela 4")</f>
        <v>Estrela 4</v>
      </c>
      <c r="P1937" s="5">
        <f>IFERROR(__xludf.DUMMYFUNCTION("""COMPUTED_VALUE"""),484.0)</f>
        <v>484</v>
      </c>
      <c r="Q1937" s="5" t="str">
        <f>IFERROR(__xludf.DUMMYFUNCTION("""COMPUTED_VALUE"""),"Amour")</f>
        <v>Amour</v>
      </c>
      <c r="R1937" s="5" t="str">
        <f>IFERROR(__xludf.DUMMYFUNCTION("""COMPUTED_VALUE"""),"Alexandre Tharaud")</f>
        <v>Alexandre Tharaud</v>
      </c>
      <c r="S1937" s="5" t="str">
        <f>IFERROR(__xludf.DUMMYFUNCTION("""COMPUTED_VALUE"""),"Estrela 4")</f>
        <v>Estrela 4</v>
      </c>
    </row>
    <row r="1938">
      <c r="G1938" s="5" t="str">
        <f>IFERROR(__xludf.DUMMYFUNCTION("""COMPUTED_VALUE"""),"485🤙🏼The Irishman🤙🏼Robert De Niro🤙🏼Estrela 1")</f>
        <v>485🤙🏼The Irishman🤙🏼Robert De Niro🤙🏼Estrela 1</v>
      </c>
      <c r="H1938" s="5">
        <f>IFERROR(__xludf.DUMMYFUNCTION("SPLiT(G1938, ""🤙🏼"",FALSE,FALSE)"),485.0)</f>
        <v>485</v>
      </c>
      <c r="I1938" s="5" t="str">
        <f>IFERROR(__xludf.DUMMYFUNCTION("""COMPUTED_VALUE"""),"The Irishman")</f>
        <v>The Irishman</v>
      </c>
      <c r="J1938" s="5" t="str">
        <f>IFERROR(__xludf.DUMMYFUNCTION("""COMPUTED_VALUE"""),"Robert De Niro")</f>
        <v>Robert De Niro</v>
      </c>
      <c r="K1938" s="5" t="str">
        <f>IFERROR(__xludf.DUMMYFUNCTION("""COMPUTED_VALUE"""),"Estrela 1")</f>
        <v>Estrela 1</v>
      </c>
      <c r="P1938" s="5">
        <f>IFERROR(__xludf.DUMMYFUNCTION("""COMPUTED_VALUE"""),485.0)</f>
        <v>485</v>
      </c>
      <c r="Q1938" s="5" t="str">
        <f>IFERROR(__xludf.DUMMYFUNCTION("""COMPUTED_VALUE"""),"The Irishman")</f>
        <v>The Irishman</v>
      </c>
      <c r="R1938" s="5" t="str">
        <f>IFERROR(__xludf.DUMMYFUNCTION("""COMPUTED_VALUE"""),"Robert De Niro")</f>
        <v>Robert De Niro</v>
      </c>
      <c r="S1938" s="5" t="str">
        <f>IFERROR(__xludf.DUMMYFUNCTION("""COMPUTED_VALUE"""),"Estrela 1")</f>
        <v>Estrela 1</v>
      </c>
    </row>
    <row r="1939">
      <c r="G1939" s="5" t="str">
        <f>IFERROR(__xludf.DUMMYFUNCTION("""COMPUTED_VALUE"""),"485🤙🏼The Irishman🤙🏼Al Pacino🤙🏼Estrela 2")</f>
        <v>485🤙🏼The Irishman🤙🏼Al Pacino🤙🏼Estrela 2</v>
      </c>
      <c r="H1939" s="5">
        <f>IFERROR(__xludf.DUMMYFUNCTION("SPLiT(G1939, ""🤙🏼"",FALSE,FALSE)"),485.0)</f>
        <v>485</v>
      </c>
      <c r="I1939" s="5" t="str">
        <f>IFERROR(__xludf.DUMMYFUNCTION("""COMPUTED_VALUE"""),"The Irishman")</f>
        <v>The Irishman</v>
      </c>
      <c r="J1939" s="5" t="str">
        <f>IFERROR(__xludf.DUMMYFUNCTION("""COMPUTED_VALUE"""),"Al Pacino")</f>
        <v>Al Pacino</v>
      </c>
      <c r="K1939" s="5" t="str">
        <f>IFERROR(__xludf.DUMMYFUNCTION("""COMPUTED_VALUE"""),"Estrela 2")</f>
        <v>Estrela 2</v>
      </c>
      <c r="P1939" s="5">
        <f>IFERROR(__xludf.DUMMYFUNCTION("""COMPUTED_VALUE"""),485.0)</f>
        <v>485</v>
      </c>
      <c r="Q1939" s="5" t="str">
        <f>IFERROR(__xludf.DUMMYFUNCTION("""COMPUTED_VALUE"""),"The Irishman")</f>
        <v>The Irishman</v>
      </c>
      <c r="R1939" s="5" t="str">
        <f>IFERROR(__xludf.DUMMYFUNCTION("""COMPUTED_VALUE"""),"Al Pacino")</f>
        <v>Al Pacino</v>
      </c>
      <c r="S1939" s="5" t="str">
        <f>IFERROR(__xludf.DUMMYFUNCTION("""COMPUTED_VALUE"""),"Estrela 2")</f>
        <v>Estrela 2</v>
      </c>
    </row>
    <row r="1940">
      <c r="G1940" s="5" t="str">
        <f>IFERROR(__xludf.DUMMYFUNCTION("""COMPUTED_VALUE"""),"485🤙🏼The Irishman🤙🏼Joe Pesci🤙🏼Estrela 3")</f>
        <v>485🤙🏼The Irishman🤙🏼Joe Pesci🤙🏼Estrela 3</v>
      </c>
      <c r="H1940" s="5">
        <f>IFERROR(__xludf.DUMMYFUNCTION("SPLiT(G1940, ""🤙🏼"",FALSE,FALSE)"),485.0)</f>
        <v>485</v>
      </c>
      <c r="I1940" s="5" t="str">
        <f>IFERROR(__xludf.DUMMYFUNCTION("""COMPUTED_VALUE"""),"The Irishman")</f>
        <v>The Irishman</v>
      </c>
      <c r="J1940" s="5" t="str">
        <f>IFERROR(__xludf.DUMMYFUNCTION("""COMPUTED_VALUE"""),"Joe Pesci")</f>
        <v>Joe Pesci</v>
      </c>
      <c r="K1940" s="5" t="str">
        <f>IFERROR(__xludf.DUMMYFUNCTION("""COMPUTED_VALUE"""),"Estrela 3")</f>
        <v>Estrela 3</v>
      </c>
      <c r="P1940" s="5">
        <f>IFERROR(__xludf.DUMMYFUNCTION("""COMPUTED_VALUE"""),485.0)</f>
        <v>485</v>
      </c>
      <c r="Q1940" s="5" t="str">
        <f>IFERROR(__xludf.DUMMYFUNCTION("""COMPUTED_VALUE"""),"The Irishman")</f>
        <v>The Irishman</v>
      </c>
      <c r="R1940" s="5" t="str">
        <f>IFERROR(__xludf.DUMMYFUNCTION("""COMPUTED_VALUE"""),"Joe Pesci")</f>
        <v>Joe Pesci</v>
      </c>
      <c r="S1940" s="5" t="str">
        <f>IFERROR(__xludf.DUMMYFUNCTION("""COMPUTED_VALUE"""),"Estrela 3")</f>
        <v>Estrela 3</v>
      </c>
    </row>
    <row r="1941">
      <c r="G1941" s="5" t="str">
        <f>IFERROR(__xludf.DUMMYFUNCTION("""COMPUTED_VALUE"""),"485🤙🏼The Irishman🤙🏼Harvey Keitel🤙🏼Estrela 4")</f>
        <v>485🤙🏼The Irishman🤙🏼Harvey Keitel🤙🏼Estrela 4</v>
      </c>
      <c r="H1941" s="5">
        <f>IFERROR(__xludf.DUMMYFUNCTION("SPLiT(G1941, ""🤙🏼"",FALSE,FALSE)"),485.0)</f>
        <v>485</v>
      </c>
      <c r="I1941" s="5" t="str">
        <f>IFERROR(__xludf.DUMMYFUNCTION("""COMPUTED_VALUE"""),"The Irishman")</f>
        <v>The Irishman</v>
      </c>
      <c r="J1941" s="5" t="str">
        <f>IFERROR(__xludf.DUMMYFUNCTION("""COMPUTED_VALUE"""),"Harvey Keitel")</f>
        <v>Harvey Keitel</v>
      </c>
      <c r="K1941" s="5" t="str">
        <f>IFERROR(__xludf.DUMMYFUNCTION("""COMPUTED_VALUE"""),"Estrela 4")</f>
        <v>Estrela 4</v>
      </c>
      <c r="P1941" s="5">
        <f>IFERROR(__xludf.DUMMYFUNCTION("""COMPUTED_VALUE"""),485.0)</f>
        <v>485</v>
      </c>
      <c r="Q1941" s="5" t="str">
        <f>IFERROR(__xludf.DUMMYFUNCTION("""COMPUTED_VALUE"""),"The Irishman")</f>
        <v>The Irishman</v>
      </c>
      <c r="R1941" s="5" t="str">
        <f>IFERROR(__xludf.DUMMYFUNCTION("""COMPUTED_VALUE"""),"Harvey Keitel")</f>
        <v>Harvey Keitel</v>
      </c>
      <c r="S1941" s="5" t="str">
        <f>IFERROR(__xludf.DUMMYFUNCTION("""COMPUTED_VALUE"""),"Estrela 4")</f>
        <v>Estrela 4</v>
      </c>
    </row>
    <row r="1942">
      <c r="G1942" s="5" t="str">
        <f>IFERROR(__xludf.DUMMYFUNCTION("""COMPUTED_VALUE"""),"486🤙🏼Un prophète🤙🏼Tahar Rahim🤙🏼Estrela 1")</f>
        <v>486🤙🏼Un prophète🤙🏼Tahar Rahim🤙🏼Estrela 1</v>
      </c>
      <c r="H1942" s="5">
        <f>IFERROR(__xludf.DUMMYFUNCTION("SPLiT(G1942, ""🤙🏼"",FALSE,FALSE)"),486.0)</f>
        <v>486</v>
      </c>
      <c r="I1942" s="5" t="str">
        <f>IFERROR(__xludf.DUMMYFUNCTION("""COMPUTED_VALUE"""),"Un prophète")</f>
        <v>Un prophète</v>
      </c>
      <c r="J1942" s="5" t="str">
        <f>IFERROR(__xludf.DUMMYFUNCTION("""COMPUTED_VALUE"""),"Tahar Rahim")</f>
        <v>Tahar Rahim</v>
      </c>
      <c r="K1942" s="5" t="str">
        <f>IFERROR(__xludf.DUMMYFUNCTION("""COMPUTED_VALUE"""),"Estrela 1")</f>
        <v>Estrela 1</v>
      </c>
      <c r="P1942" s="5">
        <f>IFERROR(__xludf.DUMMYFUNCTION("""COMPUTED_VALUE"""),486.0)</f>
        <v>486</v>
      </c>
      <c r="Q1942" s="5" t="str">
        <f>IFERROR(__xludf.DUMMYFUNCTION("""COMPUTED_VALUE"""),"Un prophète")</f>
        <v>Un prophète</v>
      </c>
      <c r="R1942" s="5" t="str">
        <f>IFERROR(__xludf.DUMMYFUNCTION("""COMPUTED_VALUE"""),"Tahar Rahim")</f>
        <v>Tahar Rahim</v>
      </c>
      <c r="S1942" s="5" t="str">
        <f>IFERROR(__xludf.DUMMYFUNCTION("""COMPUTED_VALUE"""),"Estrela 1")</f>
        <v>Estrela 1</v>
      </c>
    </row>
    <row r="1943">
      <c r="G1943" s="5" t="str">
        <f>IFERROR(__xludf.DUMMYFUNCTION("""COMPUTED_VALUE"""),"486🤙🏼Un prophète🤙🏼Niels Arestrup🤙🏼Estrela 2")</f>
        <v>486🤙🏼Un prophète🤙🏼Niels Arestrup🤙🏼Estrela 2</v>
      </c>
      <c r="H1943" s="5">
        <f>IFERROR(__xludf.DUMMYFUNCTION("SPLiT(G1943, ""🤙🏼"",FALSE,FALSE)"),486.0)</f>
        <v>486</v>
      </c>
      <c r="I1943" s="5" t="str">
        <f>IFERROR(__xludf.DUMMYFUNCTION("""COMPUTED_VALUE"""),"Un prophète")</f>
        <v>Un prophète</v>
      </c>
      <c r="J1943" s="5" t="str">
        <f>IFERROR(__xludf.DUMMYFUNCTION("""COMPUTED_VALUE"""),"Niels Arestrup")</f>
        <v>Niels Arestrup</v>
      </c>
      <c r="K1943" s="5" t="str">
        <f>IFERROR(__xludf.DUMMYFUNCTION("""COMPUTED_VALUE"""),"Estrela 2")</f>
        <v>Estrela 2</v>
      </c>
      <c r="P1943" s="5">
        <f>IFERROR(__xludf.DUMMYFUNCTION("""COMPUTED_VALUE"""),486.0)</f>
        <v>486</v>
      </c>
      <c r="Q1943" s="5" t="str">
        <f>IFERROR(__xludf.DUMMYFUNCTION("""COMPUTED_VALUE"""),"Un prophète")</f>
        <v>Un prophète</v>
      </c>
      <c r="R1943" s="5" t="str">
        <f>IFERROR(__xludf.DUMMYFUNCTION("""COMPUTED_VALUE"""),"Niels Arestrup")</f>
        <v>Niels Arestrup</v>
      </c>
      <c r="S1943" s="5" t="str">
        <f>IFERROR(__xludf.DUMMYFUNCTION("""COMPUTED_VALUE"""),"Estrela 2")</f>
        <v>Estrela 2</v>
      </c>
    </row>
    <row r="1944">
      <c r="G1944" s="5" t="str">
        <f>IFERROR(__xludf.DUMMYFUNCTION("""COMPUTED_VALUE"""),"486🤙🏼Un prophète🤙🏼Adel Bencherif🤙🏼Estrela 3")</f>
        <v>486🤙🏼Un prophète🤙🏼Adel Bencherif🤙🏼Estrela 3</v>
      </c>
      <c r="H1944" s="5">
        <f>IFERROR(__xludf.DUMMYFUNCTION("SPLiT(G1944, ""🤙🏼"",FALSE,FALSE)"),486.0)</f>
        <v>486</v>
      </c>
      <c r="I1944" s="5" t="str">
        <f>IFERROR(__xludf.DUMMYFUNCTION("""COMPUTED_VALUE"""),"Un prophète")</f>
        <v>Un prophète</v>
      </c>
      <c r="J1944" s="5" t="str">
        <f>IFERROR(__xludf.DUMMYFUNCTION("""COMPUTED_VALUE"""),"Adel Bencherif")</f>
        <v>Adel Bencherif</v>
      </c>
      <c r="K1944" s="5" t="str">
        <f>IFERROR(__xludf.DUMMYFUNCTION("""COMPUTED_VALUE"""),"Estrela 3")</f>
        <v>Estrela 3</v>
      </c>
      <c r="P1944" s="5">
        <f>IFERROR(__xludf.DUMMYFUNCTION("""COMPUTED_VALUE"""),486.0)</f>
        <v>486</v>
      </c>
      <c r="Q1944" s="5" t="str">
        <f>IFERROR(__xludf.DUMMYFUNCTION("""COMPUTED_VALUE"""),"Un prophète")</f>
        <v>Un prophète</v>
      </c>
      <c r="R1944" s="5" t="str">
        <f>IFERROR(__xludf.DUMMYFUNCTION("""COMPUTED_VALUE"""),"Adel Bencherif")</f>
        <v>Adel Bencherif</v>
      </c>
      <c r="S1944" s="5" t="str">
        <f>IFERROR(__xludf.DUMMYFUNCTION("""COMPUTED_VALUE"""),"Estrela 3")</f>
        <v>Estrela 3</v>
      </c>
    </row>
    <row r="1945">
      <c r="G1945" s="5" t="str">
        <f>IFERROR(__xludf.DUMMYFUNCTION("""COMPUTED_VALUE"""),"486🤙🏼Un prophète🤙🏼Reda Kateb🤙🏼Estrela 4")</f>
        <v>486🤙🏼Un prophète🤙🏼Reda Kateb🤙🏼Estrela 4</v>
      </c>
      <c r="H1945" s="5">
        <f>IFERROR(__xludf.DUMMYFUNCTION("SPLiT(G1945, ""🤙🏼"",FALSE,FALSE)"),486.0)</f>
        <v>486</v>
      </c>
      <c r="I1945" s="5" t="str">
        <f>IFERROR(__xludf.DUMMYFUNCTION("""COMPUTED_VALUE"""),"Un prophète")</f>
        <v>Un prophète</v>
      </c>
      <c r="J1945" s="5" t="str">
        <f>IFERROR(__xludf.DUMMYFUNCTION("""COMPUTED_VALUE"""),"Reda Kateb")</f>
        <v>Reda Kateb</v>
      </c>
      <c r="K1945" s="5" t="str">
        <f>IFERROR(__xludf.DUMMYFUNCTION("""COMPUTED_VALUE"""),"Estrela 4")</f>
        <v>Estrela 4</v>
      </c>
      <c r="P1945" s="5">
        <f>IFERROR(__xludf.DUMMYFUNCTION("""COMPUTED_VALUE"""),486.0)</f>
        <v>486</v>
      </c>
      <c r="Q1945" s="5" t="str">
        <f>IFERROR(__xludf.DUMMYFUNCTION("""COMPUTED_VALUE"""),"Un prophète")</f>
        <v>Un prophète</v>
      </c>
      <c r="R1945" s="5" t="str">
        <f>IFERROR(__xludf.DUMMYFUNCTION("""COMPUTED_VALUE"""),"Reda Kateb")</f>
        <v>Reda Kateb</v>
      </c>
      <c r="S1945" s="5" t="str">
        <f>IFERROR(__xludf.DUMMYFUNCTION("""COMPUTED_VALUE"""),"Estrela 4")</f>
        <v>Estrela 4</v>
      </c>
    </row>
    <row r="1946">
      <c r="G1946" s="5" t="str">
        <f>IFERROR(__xludf.DUMMYFUNCTION("""COMPUTED_VALUE"""),"487🤙🏼Moon🤙🏼Sam Rockwell🤙🏼Estrela 1")</f>
        <v>487🤙🏼Moon🤙🏼Sam Rockwell🤙🏼Estrela 1</v>
      </c>
      <c r="H1946" s="5">
        <f>IFERROR(__xludf.DUMMYFUNCTION("SPLiT(G1946, ""🤙🏼"",FALSE,FALSE)"),487.0)</f>
        <v>487</v>
      </c>
      <c r="I1946" s="5" t="str">
        <f>IFERROR(__xludf.DUMMYFUNCTION("""COMPUTED_VALUE"""),"Moon")</f>
        <v>Moon</v>
      </c>
      <c r="J1946" s="5" t="str">
        <f>IFERROR(__xludf.DUMMYFUNCTION("""COMPUTED_VALUE"""),"Sam Rockwell")</f>
        <v>Sam Rockwell</v>
      </c>
      <c r="K1946" s="5" t="str">
        <f>IFERROR(__xludf.DUMMYFUNCTION("""COMPUTED_VALUE"""),"Estrela 1")</f>
        <v>Estrela 1</v>
      </c>
      <c r="P1946" s="5">
        <f>IFERROR(__xludf.DUMMYFUNCTION("""COMPUTED_VALUE"""),487.0)</f>
        <v>487</v>
      </c>
      <c r="Q1946" s="5" t="str">
        <f>IFERROR(__xludf.DUMMYFUNCTION("""COMPUTED_VALUE"""),"Moon")</f>
        <v>Moon</v>
      </c>
      <c r="R1946" s="5" t="str">
        <f>IFERROR(__xludf.DUMMYFUNCTION("""COMPUTED_VALUE"""),"Sam Rockwell")</f>
        <v>Sam Rockwell</v>
      </c>
      <c r="S1946" s="5" t="str">
        <f>IFERROR(__xludf.DUMMYFUNCTION("""COMPUTED_VALUE"""),"Estrela 1")</f>
        <v>Estrela 1</v>
      </c>
    </row>
    <row r="1947">
      <c r="G1947" s="5" t="str">
        <f>IFERROR(__xludf.DUMMYFUNCTION("""COMPUTED_VALUE"""),"487🤙🏼Moon🤙🏼Kevin Spacey🤙🏼Estrela 2")</f>
        <v>487🤙🏼Moon🤙🏼Kevin Spacey🤙🏼Estrela 2</v>
      </c>
      <c r="H1947" s="5">
        <f>IFERROR(__xludf.DUMMYFUNCTION("SPLiT(G1947, ""🤙🏼"",FALSE,FALSE)"),487.0)</f>
        <v>487</v>
      </c>
      <c r="I1947" s="5" t="str">
        <f>IFERROR(__xludf.DUMMYFUNCTION("""COMPUTED_VALUE"""),"Moon")</f>
        <v>Moon</v>
      </c>
      <c r="J1947" s="5" t="str">
        <f>IFERROR(__xludf.DUMMYFUNCTION("""COMPUTED_VALUE"""),"Kevin Spacey")</f>
        <v>Kevin Spacey</v>
      </c>
      <c r="K1947" s="5" t="str">
        <f>IFERROR(__xludf.DUMMYFUNCTION("""COMPUTED_VALUE"""),"Estrela 2")</f>
        <v>Estrela 2</v>
      </c>
      <c r="P1947" s="5">
        <f>IFERROR(__xludf.DUMMYFUNCTION("""COMPUTED_VALUE"""),487.0)</f>
        <v>487</v>
      </c>
      <c r="Q1947" s="5" t="str">
        <f>IFERROR(__xludf.DUMMYFUNCTION("""COMPUTED_VALUE"""),"Moon")</f>
        <v>Moon</v>
      </c>
      <c r="R1947" s="5" t="str">
        <f>IFERROR(__xludf.DUMMYFUNCTION("""COMPUTED_VALUE"""),"Kevin Spacey")</f>
        <v>Kevin Spacey</v>
      </c>
      <c r="S1947" s="5" t="str">
        <f>IFERROR(__xludf.DUMMYFUNCTION("""COMPUTED_VALUE"""),"Estrela 2")</f>
        <v>Estrela 2</v>
      </c>
    </row>
    <row r="1948">
      <c r="G1948" s="5" t="str">
        <f>IFERROR(__xludf.DUMMYFUNCTION("""COMPUTED_VALUE"""),"487🤙🏼Moon🤙🏼Dominique McElligott🤙🏼Estrela 3")</f>
        <v>487🤙🏼Moon🤙🏼Dominique McElligott🤙🏼Estrela 3</v>
      </c>
      <c r="H1948" s="5">
        <f>IFERROR(__xludf.DUMMYFUNCTION("SPLiT(G1948, ""🤙🏼"",FALSE,FALSE)"),487.0)</f>
        <v>487</v>
      </c>
      <c r="I1948" s="5" t="str">
        <f>IFERROR(__xludf.DUMMYFUNCTION("""COMPUTED_VALUE"""),"Moon")</f>
        <v>Moon</v>
      </c>
      <c r="J1948" s="5" t="str">
        <f>IFERROR(__xludf.DUMMYFUNCTION("""COMPUTED_VALUE"""),"Dominique McElligott")</f>
        <v>Dominique McElligott</v>
      </c>
      <c r="K1948" s="5" t="str">
        <f>IFERROR(__xludf.DUMMYFUNCTION("""COMPUTED_VALUE"""),"Estrela 3")</f>
        <v>Estrela 3</v>
      </c>
      <c r="P1948" s="5">
        <f>IFERROR(__xludf.DUMMYFUNCTION("""COMPUTED_VALUE"""),487.0)</f>
        <v>487</v>
      </c>
      <c r="Q1948" s="5" t="str">
        <f>IFERROR(__xludf.DUMMYFUNCTION("""COMPUTED_VALUE"""),"Moon")</f>
        <v>Moon</v>
      </c>
      <c r="R1948" s="5" t="str">
        <f>IFERROR(__xludf.DUMMYFUNCTION("""COMPUTED_VALUE"""),"Dominique McElligott")</f>
        <v>Dominique McElligott</v>
      </c>
      <c r="S1948" s="5" t="str">
        <f>IFERROR(__xludf.DUMMYFUNCTION("""COMPUTED_VALUE"""),"Estrela 3")</f>
        <v>Estrela 3</v>
      </c>
    </row>
    <row r="1949">
      <c r="G1949" s="5" t="str">
        <f>IFERROR(__xludf.DUMMYFUNCTION("""COMPUTED_VALUE"""),"487🤙🏼Moon🤙🏼Rosie Shaw🤙🏼Estrela 4")</f>
        <v>487🤙🏼Moon🤙🏼Rosie Shaw🤙🏼Estrela 4</v>
      </c>
      <c r="H1949" s="5">
        <f>IFERROR(__xludf.DUMMYFUNCTION("SPLiT(G1949, ""🤙🏼"",FALSE,FALSE)"),487.0)</f>
        <v>487</v>
      </c>
      <c r="I1949" s="5" t="str">
        <f>IFERROR(__xludf.DUMMYFUNCTION("""COMPUTED_VALUE"""),"Moon")</f>
        <v>Moon</v>
      </c>
      <c r="J1949" s="5" t="str">
        <f>IFERROR(__xludf.DUMMYFUNCTION("""COMPUTED_VALUE"""),"Rosie Shaw")</f>
        <v>Rosie Shaw</v>
      </c>
      <c r="K1949" s="5" t="str">
        <f>IFERROR(__xludf.DUMMYFUNCTION("""COMPUTED_VALUE"""),"Estrela 4")</f>
        <v>Estrela 4</v>
      </c>
      <c r="P1949" s="5">
        <f>IFERROR(__xludf.DUMMYFUNCTION("""COMPUTED_VALUE"""),487.0)</f>
        <v>487</v>
      </c>
      <c r="Q1949" s="5" t="str">
        <f>IFERROR(__xludf.DUMMYFUNCTION("""COMPUTED_VALUE"""),"Moon")</f>
        <v>Moon</v>
      </c>
      <c r="R1949" s="5" t="str">
        <f>IFERROR(__xludf.DUMMYFUNCTION("""COMPUTED_VALUE"""),"Rosie Shaw")</f>
        <v>Rosie Shaw</v>
      </c>
      <c r="S1949" s="5" t="str">
        <f>IFERROR(__xludf.DUMMYFUNCTION("""COMPUTED_VALUE"""),"Estrela 4")</f>
        <v>Estrela 4</v>
      </c>
    </row>
    <row r="1950">
      <c r="G1950" s="5" t="str">
        <f>IFERROR(__xludf.DUMMYFUNCTION("""COMPUTED_VALUE"""),"488🤙🏼Låt den rätte komma in🤙🏼Kåre Hedebrant🤙🏼Estrela 1")</f>
        <v>488🤙🏼Låt den rätte komma in🤙🏼Kåre Hedebrant🤙🏼Estrela 1</v>
      </c>
      <c r="H1950" s="5">
        <f>IFERROR(__xludf.DUMMYFUNCTION("SPLiT(G1950, ""🤙🏼"",FALSE,FALSE)"),488.0)</f>
        <v>488</v>
      </c>
      <c r="I1950" s="5" t="str">
        <f>IFERROR(__xludf.DUMMYFUNCTION("""COMPUTED_VALUE"""),"Låt den rätte komma in")</f>
        <v>Låt den rätte komma in</v>
      </c>
      <c r="J1950" s="5" t="str">
        <f>IFERROR(__xludf.DUMMYFUNCTION("""COMPUTED_VALUE"""),"Kåre Hedebrant")</f>
        <v>Kåre Hedebrant</v>
      </c>
      <c r="K1950" s="5" t="str">
        <f>IFERROR(__xludf.DUMMYFUNCTION("""COMPUTED_VALUE"""),"Estrela 1")</f>
        <v>Estrela 1</v>
      </c>
      <c r="P1950" s="5">
        <f>IFERROR(__xludf.DUMMYFUNCTION("""COMPUTED_VALUE"""),488.0)</f>
        <v>488</v>
      </c>
      <c r="Q1950" s="5" t="str">
        <f>IFERROR(__xludf.DUMMYFUNCTION("""COMPUTED_VALUE"""),"Låt den rätte komma in")</f>
        <v>Låt den rätte komma in</v>
      </c>
      <c r="R1950" s="5" t="str">
        <f>IFERROR(__xludf.DUMMYFUNCTION("""COMPUTED_VALUE"""),"Kåre Hedebrant")</f>
        <v>Kåre Hedebrant</v>
      </c>
      <c r="S1950" s="5" t="str">
        <f>IFERROR(__xludf.DUMMYFUNCTION("""COMPUTED_VALUE"""),"Estrela 1")</f>
        <v>Estrela 1</v>
      </c>
    </row>
    <row r="1951">
      <c r="G1951" s="5" t="str">
        <f>IFERROR(__xludf.DUMMYFUNCTION("""COMPUTED_VALUE"""),"488🤙🏼Låt den rätte komma in🤙🏼Lina Leandersson🤙🏼Estrela 2")</f>
        <v>488🤙🏼Låt den rätte komma in🤙🏼Lina Leandersson🤙🏼Estrela 2</v>
      </c>
      <c r="H1951" s="5">
        <f>IFERROR(__xludf.DUMMYFUNCTION("SPLiT(G1951, ""🤙🏼"",FALSE,FALSE)"),488.0)</f>
        <v>488</v>
      </c>
      <c r="I1951" s="5" t="str">
        <f>IFERROR(__xludf.DUMMYFUNCTION("""COMPUTED_VALUE"""),"Låt den rätte komma in")</f>
        <v>Låt den rätte komma in</v>
      </c>
      <c r="J1951" s="5" t="str">
        <f>IFERROR(__xludf.DUMMYFUNCTION("""COMPUTED_VALUE"""),"Lina Leandersson")</f>
        <v>Lina Leandersson</v>
      </c>
      <c r="K1951" s="5" t="str">
        <f>IFERROR(__xludf.DUMMYFUNCTION("""COMPUTED_VALUE"""),"Estrela 2")</f>
        <v>Estrela 2</v>
      </c>
      <c r="P1951" s="5">
        <f>IFERROR(__xludf.DUMMYFUNCTION("""COMPUTED_VALUE"""),488.0)</f>
        <v>488</v>
      </c>
      <c r="Q1951" s="5" t="str">
        <f>IFERROR(__xludf.DUMMYFUNCTION("""COMPUTED_VALUE"""),"Låt den rätte komma in")</f>
        <v>Låt den rätte komma in</v>
      </c>
      <c r="R1951" s="5" t="str">
        <f>IFERROR(__xludf.DUMMYFUNCTION("""COMPUTED_VALUE"""),"Lina Leandersson")</f>
        <v>Lina Leandersson</v>
      </c>
      <c r="S1951" s="5" t="str">
        <f>IFERROR(__xludf.DUMMYFUNCTION("""COMPUTED_VALUE"""),"Estrela 2")</f>
        <v>Estrela 2</v>
      </c>
    </row>
    <row r="1952">
      <c r="G1952" s="5" t="str">
        <f>IFERROR(__xludf.DUMMYFUNCTION("""COMPUTED_VALUE"""),"488🤙🏼Låt den rätte komma in🤙🏼Per Ragnar🤙🏼Estrela 3")</f>
        <v>488🤙🏼Låt den rätte komma in🤙🏼Per Ragnar🤙🏼Estrela 3</v>
      </c>
      <c r="H1952" s="5">
        <f>IFERROR(__xludf.DUMMYFUNCTION("SPLiT(G1952, ""🤙🏼"",FALSE,FALSE)"),488.0)</f>
        <v>488</v>
      </c>
      <c r="I1952" s="5" t="str">
        <f>IFERROR(__xludf.DUMMYFUNCTION("""COMPUTED_VALUE"""),"Låt den rätte komma in")</f>
        <v>Låt den rätte komma in</v>
      </c>
      <c r="J1952" s="5" t="str">
        <f>IFERROR(__xludf.DUMMYFUNCTION("""COMPUTED_VALUE"""),"Per Ragnar")</f>
        <v>Per Ragnar</v>
      </c>
      <c r="K1952" s="5" t="str">
        <f>IFERROR(__xludf.DUMMYFUNCTION("""COMPUTED_VALUE"""),"Estrela 3")</f>
        <v>Estrela 3</v>
      </c>
      <c r="P1952" s="5">
        <f>IFERROR(__xludf.DUMMYFUNCTION("""COMPUTED_VALUE"""),488.0)</f>
        <v>488</v>
      </c>
      <c r="Q1952" s="5" t="str">
        <f>IFERROR(__xludf.DUMMYFUNCTION("""COMPUTED_VALUE"""),"Låt den rätte komma in")</f>
        <v>Låt den rätte komma in</v>
      </c>
      <c r="R1952" s="5" t="str">
        <f>IFERROR(__xludf.DUMMYFUNCTION("""COMPUTED_VALUE"""),"Per Ragnar")</f>
        <v>Per Ragnar</v>
      </c>
      <c r="S1952" s="5" t="str">
        <f>IFERROR(__xludf.DUMMYFUNCTION("""COMPUTED_VALUE"""),"Estrela 3")</f>
        <v>Estrela 3</v>
      </c>
    </row>
    <row r="1953">
      <c r="G1953" s="5" t="str">
        <f>IFERROR(__xludf.DUMMYFUNCTION("""COMPUTED_VALUE"""),"488🤙🏼Låt den rätte komma in🤙🏼Henrik Dahl🤙🏼Estrela 4")</f>
        <v>488🤙🏼Låt den rätte komma in🤙🏼Henrik Dahl🤙🏼Estrela 4</v>
      </c>
      <c r="H1953" s="5">
        <f>IFERROR(__xludf.DUMMYFUNCTION("SPLiT(G1953, ""🤙🏼"",FALSE,FALSE)"),488.0)</f>
        <v>488</v>
      </c>
      <c r="I1953" s="5" t="str">
        <f>IFERROR(__xludf.DUMMYFUNCTION("""COMPUTED_VALUE"""),"Låt den rätte komma in")</f>
        <v>Låt den rätte komma in</v>
      </c>
      <c r="J1953" s="5" t="str">
        <f>IFERROR(__xludf.DUMMYFUNCTION("""COMPUTED_VALUE"""),"Henrik Dahl")</f>
        <v>Henrik Dahl</v>
      </c>
      <c r="K1953" s="5" t="str">
        <f>IFERROR(__xludf.DUMMYFUNCTION("""COMPUTED_VALUE"""),"Estrela 4")</f>
        <v>Estrela 4</v>
      </c>
      <c r="P1953" s="5">
        <f>IFERROR(__xludf.DUMMYFUNCTION("""COMPUTED_VALUE"""),488.0)</f>
        <v>488</v>
      </c>
      <c r="Q1953" s="5" t="str">
        <f>IFERROR(__xludf.DUMMYFUNCTION("""COMPUTED_VALUE"""),"Låt den rätte komma in")</f>
        <v>Låt den rätte komma in</v>
      </c>
      <c r="R1953" s="5" t="str">
        <f>IFERROR(__xludf.DUMMYFUNCTION("""COMPUTED_VALUE"""),"Henrik Dahl")</f>
        <v>Henrik Dahl</v>
      </c>
      <c r="S1953" s="5" t="str">
        <f>IFERROR(__xludf.DUMMYFUNCTION("""COMPUTED_VALUE"""),"Estrela 4")</f>
        <v>Estrela 4</v>
      </c>
    </row>
    <row r="1954">
      <c r="G1954" s="5" t="str">
        <f>IFERROR(__xludf.DUMMYFUNCTION("""COMPUTED_VALUE"""),"489🤙🏼District 9🤙🏼Sharlto Copley🤙🏼Estrela 1")</f>
        <v>489🤙🏼District 9🤙🏼Sharlto Copley🤙🏼Estrela 1</v>
      </c>
      <c r="H1954" s="5">
        <f>IFERROR(__xludf.DUMMYFUNCTION("SPLiT(G1954, ""🤙🏼"",FALSE,FALSE)"),489.0)</f>
        <v>489</v>
      </c>
      <c r="I1954" s="5" t="str">
        <f>IFERROR(__xludf.DUMMYFUNCTION("""COMPUTED_VALUE"""),"District 9")</f>
        <v>District 9</v>
      </c>
      <c r="J1954" s="5" t="str">
        <f>IFERROR(__xludf.DUMMYFUNCTION("""COMPUTED_VALUE"""),"Sharlto Copley")</f>
        <v>Sharlto Copley</v>
      </c>
      <c r="K1954" s="5" t="str">
        <f>IFERROR(__xludf.DUMMYFUNCTION("""COMPUTED_VALUE"""),"Estrela 1")</f>
        <v>Estrela 1</v>
      </c>
      <c r="P1954" s="5">
        <f>IFERROR(__xludf.DUMMYFUNCTION("""COMPUTED_VALUE"""),489.0)</f>
        <v>489</v>
      </c>
      <c r="Q1954" s="5" t="str">
        <f>IFERROR(__xludf.DUMMYFUNCTION("""COMPUTED_VALUE"""),"District 9")</f>
        <v>District 9</v>
      </c>
      <c r="R1954" s="5" t="str">
        <f>IFERROR(__xludf.DUMMYFUNCTION("""COMPUTED_VALUE"""),"Sharlto Copley")</f>
        <v>Sharlto Copley</v>
      </c>
      <c r="S1954" s="5" t="str">
        <f>IFERROR(__xludf.DUMMYFUNCTION("""COMPUTED_VALUE"""),"Estrela 1")</f>
        <v>Estrela 1</v>
      </c>
    </row>
    <row r="1955">
      <c r="G1955" s="5" t="str">
        <f>IFERROR(__xludf.DUMMYFUNCTION("""COMPUTED_VALUE"""),"489🤙🏼District 9🤙🏼David James🤙🏼Estrela 2")</f>
        <v>489🤙🏼District 9🤙🏼David James🤙🏼Estrela 2</v>
      </c>
      <c r="H1955" s="5">
        <f>IFERROR(__xludf.DUMMYFUNCTION("SPLiT(G1955, ""🤙🏼"",FALSE,FALSE)"),489.0)</f>
        <v>489</v>
      </c>
      <c r="I1955" s="5" t="str">
        <f>IFERROR(__xludf.DUMMYFUNCTION("""COMPUTED_VALUE"""),"District 9")</f>
        <v>District 9</v>
      </c>
      <c r="J1955" s="5" t="str">
        <f>IFERROR(__xludf.DUMMYFUNCTION("""COMPUTED_VALUE"""),"David James")</f>
        <v>David James</v>
      </c>
      <c r="K1955" s="5" t="str">
        <f>IFERROR(__xludf.DUMMYFUNCTION("""COMPUTED_VALUE"""),"Estrela 2")</f>
        <v>Estrela 2</v>
      </c>
      <c r="P1955" s="5">
        <f>IFERROR(__xludf.DUMMYFUNCTION("""COMPUTED_VALUE"""),489.0)</f>
        <v>489</v>
      </c>
      <c r="Q1955" s="5" t="str">
        <f>IFERROR(__xludf.DUMMYFUNCTION("""COMPUTED_VALUE"""),"District 9")</f>
        <v>District 9</v>
      </c>
      <c r="R1955" s="5" t="str">
        <f>IFERROR(__xludf.DUMMYFUNCTION("""COMPUTED_VALUE"""),"David James")</f>
        <v>David James</v>
      </c>
      <c r="S1955" s="5" t="str">
        <f>IFERROR(__xludf.DUMMYFUNCTION("""COMPUTED_VALUE"""),"Estrela 2")</f>
        <v>Estrela 2</v>
      </c>
    </row>
    <row r="1956">
      <c r="G1956" s="5" t="str">
        <f>IFERROR(__xludf.DUMMYFUNCTION("""COMPUTED_VALUE"""),"489🤙🏼District 9🤙🏼Jason Cope🤙🏼Estrela 3")</f>
        <v>489🤙🏼District 9🤙🏼Jason Cope🤙🏼Estrela 3</v>
      </c>
      <c r="H1956" s="5">
        <f>IFERROR(__xludf.DUMMYFUNCTION("SPLiT(G1956, ""🤙🏼"",FALSE,FALSE)"),489.0)</f>
        <v>489</v>
      </c>
      <c r="I1956" s="5" t="str">
        <f>IFERROR(__xludf.DUMMYFUNCTION("""COMPUTED_VALUE"""),"District 9")</f>
        <v>District 9</v>
      </c>
      <c r="J1956" s="5" t="str">
        <f>IFERROR(__xludf.DUMMYFUNCTION("""COMPUTED_VALUE"""),"Jason Cope")</f>
        <v>Jason Cope</v>
      </c>
      <c r="K1956" s="5" t="str">
        <f>IFERROR(__xludf.DUMMYFUNCTION("""COMPUTED_VALUE"""),"Estrela 3")</f>
        <v>Estrela 3</v>
      </c>
      <c r="P1956" s="5">
        <f>IFERROR(__xludf.DUMMYFUNCTION("""COMPUTED_VALUE"""),489.0)</f>
        <v>489</v>
      </c>
      <c r="Q1956" s="5" t="str">
        <f>IFERROR(__xludf.DUMMYFUNCTION("""COMPUTED_VALUE"""),"District 9")</f>
        <v>District 9</v>
      </c>
      <c r="R1956" s="5" t="str">
        <f>IFERROR(__xludf.DUMMYFUNCTION("""COMPUTED_VALUE"""),"Jason Cope")</f>
        <v>Jason Cope</v>
      </c>
      <c r="S1956" s="5" t="str">
        <f>IFERROR(__xludf.DUMMYFUNCTION("""COMPUTED_VALUE"""),"Estrela 3")</f>
        <v>Estrela 3</v>
      </c>
    </row>
    <row r="1957">
      <c r="G1957" s="5" t="str">
        <f>IFERROR(__xludf.DUMMYFUNCTION("""COMPUTED_VALUE"""),"489🤙🏼District 9🤙🏼Nathalie Boltt🤙🏼Estrela 4")</f>
        <v>489🤙🏼District 9🤙🏼Nathalie Boltt🤙🏼Estrela 4</v>
      </c>
      <c r="H1957" s="5">
        <f>IFERROR(__xludf.DUMMYFUNCTION("SPLiT(G1957, ""🤙🏼"",FALSE,FALSE)"),489.0)</f>
        <v>489</v>
      </c>
      <c r="I1957" s="5" t="str">
        <f>IFERROR(__xludf.DUMMYFUNCTION("""COMPUTED_VALUE"""),"District 9")</f>
        <v>District 9</v>
      </c>
      <c r="J1957" s="5" t="str">
        <f>IFERROR(__xludf.DUMMYFUNCTION("""COMPUTED_VALUE"""),"Nathalie Boltt")</f>
        <v>Nathalie Boltt</v>
      </c>
      <c r="K1957" s="5" t="str">
        <f>IFERROR(__xludf.DUMMYFUNCTION("""COMPUTED_VALUE"""),"Estrela 4")</f>
        <v>Estrela 4</v>
      </c>
      <c r="P1957" s="5">
        <f>IFERROR(__xludf.DUMMYFUNCTION("""COMPUTED_VALUE"""),489.0)</f>
        <v>489</v>
      </c>
      <c r="Q1957" s="5" t="str">
        <f>IFERROR(__xludf.DUMMYFUNCTION("""COMPUTED_VALUE"""),"District 9")</f>
        <v>District 9</v>
      </c>
      <c r="R1957" s="5" t="str">
        <f>IFERROR(__xludf.DUMMYFUNCTION("""COMPUTED_VALUE"""),"Nathalie Boltt")</f>
        <v>Nathalie Boltt</v>
      </c>
      <c r="S1957" s="5" t="str">
        <f>IFERROR(__xludf.DUMMYFUNCTION("""COMPUTED_VALUE"""),"Estrela 4")</f>
        <v>Estrela 4</v>
      </c>
    </row>
    <row r="1958">
      <c r="G1958" s="5" t="str">
        <f>IFERROR(__xludf.DUMMYFUNCTION("""COMPUTED_VALUE"""),"490🤙🏼The Wrestler🤙🏼Mickey Rourke🤙🏼Estrela 1")</f>
        <v>490🤙🏼The Wrestler🤙🏼Mickey Rourke🤙🏼Estrela 1</v>
      </c>
      <c r="H1958" s="5">
        <f>IFERROR(__xludf.DUMMYFUNCTION("SPLiT(G1958, ""🤙🏼"",FALSE,FALSE)"),490.0)</f>
        <v>490</v>
      </c>
      <c r="I1958" s="5" t="str">
        <f>IFERROR(__xludf.DUMMYFUNCTION("""COMPUTED_VALUE"""),"The Wrestler")</f>
        <v>The Wrestler</v>
      </c>
      <c r="J1958" s="5" t="str">
        <f>IFERROR(__xludf.DUMMYFUNCTION("""COMPUTED_VALUE"""),"Mickey Rourke")</f>
        <v>Mickey Rourke</v>
      </c>
      <c r="K1958" s="5" t="str">
        <f>IFERROR(__xludf.DUMMYFUNCTION("""COMPUTED_VALUE"""),"Estrela 1")</f>
        <v>Estrela 1</v>
      </c>
      <c r="P1958" s="5">
        <f>IFERROR(__xludf.DUMMYFUNCTION("""COMPUTED_VALUE"""),490.0)</f>
        <v>490</v>
      </c>
      <c r="Q1958" s="5" t="str">
        <f>IFERROR(__xludf.DUMMYFUNCTION("""COMPUTED_VALUE"""),"The Wrestler")</f>
        <v>The Wrestler</v>
      </c>
      <c r="R1958" s="5" t="str">
        <f>IFERROR(__xludf.DUMMYFUNCTION("""COMPUTED_VALUE"""),"Mickey Rourke")</f>
        <v>Mickey Rourke</v>
      </c>
      <c r="S1958" s="5" t="str">
        <f>IFERROR(__xludf.DUMMYFUNCTION("""COMPUTED_VALUE"""),"Estrela 1")</f>
        <v>Estrela 1</v>
      </c>
    </row>
    <row r="1959">
      <c r="G1959" s="5" t="str">
        <f>IFERROR(__xludf.DUMMYFUNCTION("""COMPUTED_VALUE"""),"490🤙🏼The Wrestler🤙🏼Marisa Tomei🤙🏼Estrela 2")</f>
        <v>490🤙🏼The Wrestler🤙🏼Marisa Tomei🤙🏼Estrela 2</v>
      </c>
      <c r="H1959" s="5">
        <f>IFERROR(__xludf.DUMMYFUNCTION("SPLiT(G1959, ""🤙🏼"",FALSE,FALSE)"),490.0)</f>
        <v>490</v>
      </c>
      <c r="I1959" s="5" t="str">
        <f>IFERROR(__xludf.DUMMYFUNCTION("""COMPUTED_VALUE"""),"The Wrestler")</f>
        <v>The Wrestler</v>
      </c>
      <c r="J1959" s="5" t="str">
        <f>IFERROR(__xludf.DUMMYFUNCTION("""COMPUTED_VALUE"""),"Marisa Tomei")</f>
        <v>Marisa Tomei</v>
      </c>
      <c r="K1959" s="5" t="str">
        <f>IFERROR(__xludf.DUMMYFUNCTION("""COMPUTED_VALUE"""),"Estrela 2")</f>
        <v>Estrela 2</v>
      </c>
      <c r="P1959" s="5">
        <f>IFERROR(__xludf.DUMMYFUNCTION("""COMPUTED_VALUE"""),490.0)</f>
        <v>490</v>
      </c>
      <c r="Q1959" s="5" t="str">
        <f>IFERROR(__xludf.DUMMYFUNCTION("""COMPUTED_VALUE"""),"The Wrestler")</f>
        <v>The Wrestler</v>
      </c>
      <c r="R1959" s="5" t="str">
        <f>IFERROR(__xludf.DUMMYFUNCTION("""COMPUTED_VALUE"""),"Marisa Tomei")</f>
        <v>Marisa Tomei</v>
      </c>
      <c r="S1959" s="5" t="str">
        <f>IFERROR(__xludf.DUMMYFUNCTION("""COMPUTED_VALUE"""),"Estrela 2")</f>
        <v>Estrela 2</v>
      </c>
    </row>
    <row r="1960">
      <c r="G1960" s="5" t="str">
        <f>IFERROR(__xludf.DUMMYFUNCTION("""COMPUTED_VALUE"""),"490🤙🏼The Wrestler🤙🏼Evan Rachel Wood🤙🏼Estrela 3")</f>
        <v>490🤙🏼The Wrestler🤙🏼Evan Rachel Wood🤙🏼Estrela 3</v>
      </c>
      <c r="H1960" s="5">
        <f>IFERROR(__xludf.DUMMYFUNCTION("SPLiT(G1960, ""🤙🏼"",FALSE,FALSE)"),490.0)</f>
        <v>490</v>
      </c>
      <c r="I1960" s="5" t="str">
        <f>IFERROR(__xludf.DUMMYFUNCTION("""COMPUTED_VALUE"""),"The Wrestler")</f>
        <v>The Wrestler</v>
      </c>
      <c r="J1960" s="5" t="str">
        <f>IFERROR(__xludf.DUMMYFUNCTION("""COMPUTED_VALUE"""),"Evan Rachel Wood")</f>
        <v>Evan Rachel Wood</v>
      </c>
      <c r="K1960" s="5" t="str">
        <f>IFERROR(__xludf.DUMMYFUNCTION("""COMPUTED_VALUE"""),"Estrela 3")</f>
        <v>Estrela 3</v>
      </c>
      <c r="P1960" s="5">
        <f>IFERROR(__xludf.DUMMYFUNCTION("""COMPUTED_VALUE"""),490.0)</f>
        <v>490</v>
      </c>
      <c r="Q1960" s="5" t="str">
        <f>IFERROR(__xludf.DUMMYFUNCTION("""COMPUTED_VALUE"""),"The Wrestler")</f>
        <v>The Wrestler</v>
      </c>
      <c r="R1960" s="5" t="str">
        <f>IFERROR(__xludf.DUMMYFUNCTION("""COMPUTED_VALUE"""),"Evan Rachel Wood")</f>
        <v>Evan Rachel Wood</v>
      </c>
      <c r="S1960" s="5" t="str">
        <f>IFERROR(__xludf.DUMMYFUNCTION("""COMPUTED_VALUE"""),"Estrela 3")</f>
        <v>Estrela 3</v>
      </c>
    </row>
    <row r="1961">
      <c r="G1961" s="5" t="str">
        <f>IFERROR(__xludf.DUMMYFUNCTION("""COMPUTED_VALUE"""),"490🤙🏼The Wrestler🤙🏼Mark Margolis🤙🏼Estrela 4")</f>
        <v>490🤙🏼The Wrestler🤙🏼Mark Margolis🤙🏼Estrela 4</v>
      </c>
      <c r="H1961" s="5">
        <f>IFERROR(__xludf.DUMMYFUNCTION("SPLiT(G1961, ""🤙🏼"",FALSE,FALSE)"),490.0)</f>
        <v>490</v>
      </c>
      <c r="I1961" s="5" t="str">
        <f>IFERROR(__xludf.DUMMYFUNCTION("""COMPUTED_VALUE"""),"The Wrestler")</f>
        <v>The Wrestler</v>
      </c>
      <c r="J1961" s="5" t="str">
        <f>IFERROR(__xludf.DUMMYFUNCTION("""COMPUTED_VALUE"""),"Mark Margolis")</f>
        <v>Mark Margolis</v>
      </c>
      <c r="K1961" s="5" t="str">
        <f>IFERROR(__xludf.DUMMYFUNCTION("""COMPUTED_VALUE"""),"Estrela 4")</f>
        <v>Estrela 4</v>
      </c>
      <c r="P1961" s="5">
        <f>IFERROR(__xludf.DUMMYFUNCTION("""COMPUTED_VALUE"""),490.0)</f>
        <v>490</v>
      </c>
      <c r="Q1961" s="5" t="str">
        <f>IFERROR(__xludf.DUMMYFUNCTION("""COMPUTED_VALUE"""),"The Wrestler")</f>
        <v>The Wrestler</v>
      </c>
      <c r="R1961" s="5" t="str">
        <f>IFERROR(__xludf.DUMMYFUNCTION("""COMPUTED_VALUE"""),"Mark Margolis")</f>
        <v>Mark Margolis</v>
      </c>
      <c r="S1961" s="5" t="str">
        <f>IFERROR(__xludf.DUMMYFUNCTION("""COMPUTED_VALUE"""),"Estrela 4")</f>
        <v>Estrela 4</v>
      </c>
    </row>
    <row r="1962">
      <c r="G1962" s="5" t="str">
        <f>IFERROR(__xludf.DUMMYFUNCTION("""COMPUTED_VALUE"""),"491🤙🏼Jab We Met🤙🏼Shahid Kapoor🤙🏼Estrela 1")</f>
        <v>491🤙🏼Jab We Met🤙🏼Shahid Kapoor🤙🏼Estrela 1</v>
      </c>
      <c r="H1962" s="5">
        <f>IFERROR(__xludf.DUMMYFUNCTION("SPLiT(G1962, ""🤙🏼"",FALSE,FALSE)"),491.0)</f>
        <v>491</v>
      </c>
      <c r="I1962" s="5" t="str">
        <f>IFERROR(__xludf.DUMMYFUNCTION("""COMPUTED_VALUE"""),"Jab We Met")</f>
        <v>Jab We Met</v>
      </c>
      <c r="J1962" s="5" t="str">
        <f>IFERROR(__xludf.DUMMYFUNCTION("""COMPUTED_VALUE"""),"Shahid Kapoor")</f>
        <v>Shahid Kapoor</v>
      </c>
      <c r="K1962" s="5" t="str">
        <f>IFERROR(__xludf.DUMMYFUNCTION("""COMPUTED_VALUE"""),"Estrela 1")</f>
        <v>Estrela 1</v>
      </c>
      <c r="P1962" s="5">
        <f>IFERROR(__xludf.DUMMYFUNCTION("""COMPUTED_VALUE"""),491.0)</f>
        <v>491</v>
      </c>
      <c r="Q1962" s="5" t="str">
        <f>IFERROR(__xludf.DUMMYFUNCTION("""COMPUTED_VALUE"""),"Jab We Met")</f>
        <v>Jab We Met</v>
      </c>
      <c r="R1962" s="5" t="str">
        <f>IFERROR(__xludf.DUMMYFUNCTION("""COMPUTED_VALUE"""),"Shahid Kapoor")</f>
        <v>Shahid Kapoor</v>
      </c>
      <c r="S1962" s="5" t="str">
        <f>IFERROR(__xludf.DUMMYFUNCTION("""COMPUTED_VALUE"""),"Estrela 1")</f>
        <v>Estrela 1</v>
      </c>
    </row>
    <row r="1963">
      <c r="G1963" s="5" t="str">
        <f>IFERROR(__xludf.DUMMYFUNCTION("""COMPUTED_VALUE"""),"491🤙🏼Jab We Met🤙🏼Kareena Kapoor🤙🏼Estrela 2")</f>
        <v>491🤙🏼Jab We Met🤙🏼Kareena Kapoor🤙🏼Estrela 2</v>
      </c>
      <c r="H1963" s="5">
        <f>IFERROR(__xludf.DUMMYFUNCTION("SPLiT(G1963, ""🤙🏼"",FALSE,FALSE)"),491.0)</f>
        <v>491</v>
      </c>
      <c r="I1963" s="5" t="str">
        <f>IFERROR(__xludf.DUMMYFUNCTION("""COMPUTED_VALUE"""),"Jab We Met")</f>
        <v>Jab We Met</v>
      </c>
      <c r="J1963" s="5" t="str">
        <f>IFERROR(__xludf.DUMMYFUNCTION("""COMPUTED_VALUE"""),"Kareena Kapoor")</f>
        <v>Kareena Kapoor</v>
      </c>
      <c r="K1963" s="5" t="str">
        <f>IFERROR(__xludf.DUMMYFUNCTION("""COMPUTED_VALUE"""),"Estrela 2")</f>
        <v>Estrela 2</v>
      </c>
      <c r="P1963" s="5">
        <f>IFERROR(__xludf.DUMMYFUNCTION("""COMPUTED_VALUE"""),491.0)</f>
        <v>491</v>
      </c>
      <c r="Q1963" s="5" t="str">
        <f>IFERROR(__xludf.DUMMYFUNCTION("""COMPUTED_VALUE"""),"Jab We Met")</f>
        <v>Jab We Met</v>
      </c>
      <c r="R1963" s="5" t="str">
        <f>IFERROR(__xludf.DUMMYFUNCTION("""COMPUTED_VALUE"""),"Kareena Kapoor")</f>
        <v>Kareena Kapoor</v>
      </c>
      <c r="S1963" s="5" t="str">
        <f>IFERROR(__xludf.DUMMYFUNCTION("""COMPUTED_VALUE"""),"Estrela 2")</f>
        <v>Estrela 2</v>
      </c>
    </row>
    <row r="1964">
      <c r="G1964" s="5" t="str">
        <f>IFERROR(__xludf.DUMMYFUNCTION("""COMPUTED_VALUE"""),"491🤙🏼Jab We Met🤙🏼Tarun Arora🤙🏼Estrela 3")</f>
        <v>491🤙🏼Jab We Met🤙🏼Tarun Arora🤙🏼Estrela 3</v>
      </c>
      <c r="H1964" s="5">
        <f>IFERROR(__xludf.DUMMYFUNCTION("SPLiT(G1964, ""🤙🏼"",FALSE,FALSE)"),491.0)</f>
        <v>491</v>
      </c>
      <c r="I1964" s="5" t="str">
        <f>IFERROR(__xludf.DUMMYFUNCTION("""COMPUTED_VALUE"""),"Jab We Met")</f>
        <v>Jab We Met</v>
      </c>
      <c r="J1964" s="5" t="str">
        <f>IFERROR(__xludf.DUMMYFUNCTION("""COMPUTED_VALUE"""),"Tarun Arora")</f>
        <v>Tarun Arora</v>
      </c>
      <c r="K1964" s="5" t="str">
        <f>IFERROR(__xludf.DUMMYFUNCTION("""COMPUTED_VALUE"""),"Estrela 3")</f>
        <v>Estrela 3</v>
      </c>
      <c r="P1964" s="5">
        <f>IFERROR(__xludf.DUMMYFUNCTION("""COMPUTED_VALUE"""),491.0)</f>
        <v>491</v>
      </c>
      <c r="Q1964" s="5" t="str">
        <f>IFERROR(__xludf.DUMMYFUNCTION("""COMPUTED_VALUE"""),"Jab We Met")</f>
        <v>Jab We Met</v>
      </c>
      <c r="R1964" s="5" t="str">
        <f>IFERROR(__xludf.DUMMYFUNCTION("""COMPUTED_VALUE"""),"Tarun Arora")</f>
        <v>Tarun Arora</v>
      </c>
      <c r="S1964" s="5" t="str">
        <f>IFERROR(__xludf.DUMMYFUNCTION("""COMPUTED_VALUE"""),"Estrela 3")</f>
        <v>Estrela 3</v>
      </c>
    </row>
    <row r="1965">
      <c r="G1965" s="5" t="str">
        <f>IFERROR(__xludf.DUMMYFUNCTION("""COMPUTED_VALUE"""),"491🤙🏼Jab We Met🤙🏼Dara Singh🤙🏼Estrela 4")</f>
        <v>491🤙🏼Jab We Met🤙🏼Dara Singh🤙🏼Estrela 4</v>
      </c>
      <c r="H1965" s="5">
        <f>IFERROR(__xludf.DUMMYFUNCTION("SPLiT(G1965, ""🤙🏼"",FALSE,FALSE)"),491.0)</f>
        <v>491</v>
      </c>
      <c r="I1965" s="5" t="str">
        <f>IFERROR(__xludf.DUMMYFUNCTION("""COMPUTED_VALUE"""),"Jab We Met")</f>
        <v>Jab We Met</v>
      </c>
      <c r="J1965" s="5" t="str">
        <f>IFERROR(__xludf.DUMMYFUNCTION("""COMPUTED_VALUE"""),"Dara Singh")</f>
        <v>Dara Singh</v>
      </c>
      <c r="K1965" s="5" t="str">
        <f>IFERROR(__xludf.DUMMYFUNCTION("""COMPUTED_VALUE"""),"Estrela 4")</f>
        <v>Estrela 4</v>
      </c>
      <c r="P1965" s="5">
        <f>IFERROR(__xludf.DUMMYFUNCTION("""COMPUTED_VALUE"""),491.0)</f>
        <v>491</v>
      </c>
      <c r="Q1965" s="5" t="str">
        <f>IFERROR(__xludf.DUMMYFUNCTION("""COMPUTED_VALUE"""),"Jab We Met")</f>
        <v>Jab We Met</v>
      </c>
      <c r="R1965" s="5" t="str">
        <f>IFERROR(__xludf.DUMMYFUNCTION("""COMPUTED_VALUE"""),"Dara Singh")</f>
        <v>Dara Singh</v>
      </c>
      <c r="S1965" s="5" t="str">
        <f>IFERROR(__xludf.DUMMYFUNCTION("""COMPUTED_VALUE"""),"Estrela 4")</f>
        <v>Estrela 4</v>
      </c>
    </row>
    <row r="1966">
      <c r="G1966" s="5" t="str">
        <f>IFERROR(__xludf.DUMMYFUNCTION("""COMPUTED_VALUE"""),"492🤙🏼Boyhood🤙🏼Ellar Coltrane🤙🏼Estrela 1")</f>
        <v>492🤙🏼Boyhood🤙🏼Ellar Coltrane🤙🏼Estrela 1</v>
      </c>
      <c r="H1966" s="5">
        <f>IFERROR(__xludf.DUMMYFUNCTION("SPLiT(G1966, ""🤙🏼"",FALSE,FALSE)"),492.0)</f>
        <v>492</v>
      </c>
      <c r="I1966" s="5" t="str">
        <f>IFERROR(__xludf.DUMMYFUNCTION("""COMPUTED_VALUE"""),"Boyhood")</f>
        <v>Boyhood</v>
      </c>
      <c r="J1966" s="5" t="str">
        <f>IFERROR(__xludf.DUMMYFUNCTION("""COMPUTED_VALUE"""),"Ellar Coltrane")</f>
        <v>Ellar Coltrane</v>
      </c>
      <c r="K1966" s="5" t="str">
        <f>IFERROR(__xludf.DUMMYFUNCTION("""COMPUTED_VALUE"""),"Estrela 1")</f>
        <v>Estrela 1</v>
      </c>
      <c r="P1966" s="5">
        <f>IFERROR(__xludf.DUMMYFUNCTION("""COMPUTED_VALUE"""),492.0)</f>
        <v>492</v>
      </c>
      <c r="Q1966" s="5" t="str">
        <f>IFERROR(__xludf.DUMMYFUNCTION("""COMPUTED_VALUE"""),"Boyhood")</f>
        <v>Boyhood</v>
      </c>
      <c r="R1966" s="5" t="str">
        <f>IFERROR(__xludf.DUMMYFUNCTION("""COMPUTED_VALUE"""),"Ellar Coltrane")</f>
        <v>Ellar Coltrane</v>
      </c>
      <c r="S1966" s="5" t="str">
        <f>IFERROR(__xludf.DUMMYFUNCTION("""COMPUTED_VALUE"""),"Estrela 1")</f>
        <v>Estrela 1</v>
      </c>
    </row>
    <row r="1967">
      <c r="G1967" s="5" t="str">
        <f>IFERROR(__xludf.DUMMYFUNCTION("""COMPUTED_VALUE"""),"492🤙🏼Boyhood🤙🏼Patricia Arquette🤙🏼Estrela 2")</f>
        <v>492🤙🏼Boyhood🤙🏼Patricia Arquette🤙🏼Estrela 2</v>
      </c>
      <c r="H1967" s="5">
        <f>IFERROR(__xludf.DUMMYFUNCTION("SPLiT(G1967, ""🤙🏼"",FALSE,FALSE)"),492.0)</f>
        <v>492</v>
      </c>
      <c r="I1967" s="5" t="str">
        <f>IFERROR(__xludf.DUMMYFUNCTION("""COMPUTED_VALUE"""),"Boyhood")</f>
        <v>Boyhood</v>
      </c>
      <c r="J1967" s="5" t="str">
        <f>IFERROR(__xludf.DUMMYFUNCTION("""COMPUTED_VALUE"""),"Patricia Arquette")</f>
        <v>Patricia Arquette</v>
      </c>
      <c r="K1967" s="5" t="str">
        <f>IFERROR(__xludf.DUMMYFUNCTION("""COMPUTED_VALUE"""),"Estrela 2")</f>
        <v>Estrela 2</v>
      </c>
      <c r="P1967" s="5">
        <f>IFERROR(__xludf.DUMMYFUNCTION("""COMPUTED_VALUE"""),492.0)</f>
        <v>492</v>
      </c>
      <c r="Q1967" s="5" t="str">
        <f>IFERROR(__xludf.DUMMYFUNCTION("""COMPUTED_VALUE"""),"Boyhood")</f>
        <v>Boyhood</v>
      </c>
      <c r="R1967" s="5" t="str">
        <f>IFERROR(__xludf.DUMMYFUNCTION("""COMPUTED_VALUE"""),"Patricia Arquette")</f>
        <v>Patricia Arquette</v>
      </c>
      <c r="S1967" s="5" t="str">
        <f>IFERROR(__xludf.DUMMYFUNCTION("""COMPUTED_VALUE"""),"Estrela 2")</f>
        <v>Estrela 2</v>
      </c>
    </row>
    <row r="1968">
      <c r="G1968" s="5" t="str">
        <f>IFERROR(__xludf.DUMMYFUNCTION("""COMPUTED_VALUE"""),"492🤙🏼Boyhood🤙🏼Ethan Hawke🤙🏼Estrela 3")</f>
        <v>492🤙🏼Boyhood🤙🏼Ethan Hawke🤙🏼Estrela 3</v>
      </c>
      <c r="H1968" s="5">
        <f>IFERROR(__xludf.DUMMYFUNCTION("SPLiT(G1968, ""🤙🏼"",FALSE,FALSE)"),492.0)</f>
        <v>492</v>
      </c>
      <c r="I1968" s="5" t="str">
        <f>IFERROR(__xludf.DUMMYFUNCTION("""COMPUTED_VALUE"""),"Boyhood")</f>
        <v>Boyhood</v>
      </c>
      <c r="J1968" s="5" t="str">
        <f>IFERROR(__xludf.DUMMYFUNCTION("""COMPUTED_VALUE"""),"Ethan Hawke")</f>
        <v>Ethan Hawke</v>
      </c>
      <c r="K1968" s="5" t="str">
        <f>IFERROR(__xludf.DUMMYFUNCTION("""COMPUTED_VALUE"""),"Estrela 3")</f>
        <v>Estrela 3</v>
      </c>
      <c r="P1968" s="5">
        <f>IFERROR(__xludf.DUMMYFUNCTION("""COMPUTED_VALUE"""),492.0)</f>
        <v>492</v>
      </c>
      <c r="Q1968" s="5" t="str">
        <f>IFERROR(__xludf.DUMMYFUNCTION("""COMPUTED_VALUE"""),"Boyhood")</f>
        <v>Boyhood</v>
      </c>
      <c r="R1968" s="5" t="str">
        <f>IFERROR(__xludf.DUMMYFUNCTION("""COMPUTED_VALUE"""),"Ethan Hawke")</f>
        <v>Ethan Hawke</v>
      </c>
      <c r="S1968" s="5" t="str">
        <f>IFERROR(__xludf.DUMMYFUNCTION("""COMPUTED_VALUE"""),"Estrela 3")</f>
        <v>Estrela 3</v>
      </c>
    </row>
    <row r="1969">
      <c r="G1969" s="5" t="str">
        <f>IFERROR(__xludf.DUMMYFUNCTION("""COMPUTED_VALUE"""),"492🤙🏼Boyhood🤙🏼Elijah Smith🤙🏼Estrela 4")</f>
        <v>492🤙🏼Boyhood🤙🏼Elijah Smith🤙🏼Estrela 4</v>
      </c>
      <c r="H1969" s="5">
        <f>IFERROR(__xludf.DUMMYFUNCTION("SPLiT(G1969, ""🤙🏼"",FALSE,FALSE)"),492.0)</f>
        <v>492</v>
      </c>
      <c r="I1969" s="5" t="str">
        <f>IFERROR(__xludf.DUMMYFUNCTION("""COMPUTED_VALUE"""),"Boyhood")</f>
        <v>Boyhood</v>
      </c>
      <c r="J1969" s="5" t="str">
        <f>IFERROR(__xludf.DUMMYFUNCTION("""COMPUTED_VALUE"""),"Elijah Smith")</f>
        <v>Elijah Smith</v>
      </c>
      <c r="K1969" s="5" t="str">
        <f>IFERROR(__xludf.DUMMYFUNCTION("""COMPUTED_VALUE"""),"Estrela 4")</f>
        <v>Estrela 4</v>
      </c>
      <c r="P1969" s="5">
        <f>IFERROR(__xludf.DUMMYFUNCTION("""COMPUTED_VALUE"""),492.0)</f>
        <v>492</v>
      </c>
      <c r="Q1969" s="5" t="str">
        <f>IFERROR(__xludf.DUMMYFUNCTION("""COMPUTED_VALUE"""),"Boyhood")</f>
        <v>Boyhood</v>
      </c>
      <c r="R1969" s="5" t="str">
        <f>IFERROR(__xludf.DUMMYFUNCTION("""COMPUTED_VALUE"""),"Elijah Smith")</f>
        <v>Elijah Smith</v>
      </c>
      <c r="S1969" s="5" t="str">
        <f>IFERROR(__xludf.DUMMYFUNCTION("""COMPUTED_VALUE"""),"Estrela 4")</f>
        <v>Estrela 4</v>
      </c>
    </row>
    <row r="1970">
      <c r="G1970" s="5" t="str">
        <f>IFERROR(__xludf.DUMMYFUNCTION("""COMPUTED_VALUE"""),"493🤙🏼4 luni, 3 saptamâni si 2 zile🤙🏼Anamaria Marinca🤙🏼Estrela 1")</f>
        <v>493🤙🏼4 luni, 3 saptamâni si 2 zile🤙🏼Anamaria Marinca🤙🏼Estrela 1</v>
      </c>
      <c r="H1970" s="5">
        <f>IFERROR(__xludf.DUMMYFUNCTION("SPLiT(G1970, ""🤙🏼"",FALSE,FALSE)"),493.0)</f>
        <v>493</v>
      </c>
      <c r="I1970" s="5" t="str">
        <f>IFERROR(__xludf.DUMMYFUNCTION("""COMPUTED_VALUE"""),"4 luni, 3 saptamâni si 2 zile")</f>
        <v>4 luni, 3 saptamâni si 2 zile</v>
      </c>
      <c r="J1970" s="5" t="str">
        <f>IFERROR(__xludf.DUMMYFUNCTION("""COMPUTED_VALUE"""),"Anamaria Marinca")</f>
        <v>Anamaria Marinca</v>
      </c>
      <c r="K1970" s="5" t="str">
        <f>IFERROR(__xludf.DUMMYFUNCTION("""COMPUTED_VALUE"""),"Estrela 1")</f>
        <v>Estrela 1</v>
      </c>
      <c r="P1970" s="5">
        <f>IFERROR(__xludf.DUMMYFUNCTION("""COMPUTED_VALUE"""),493.0)</f>
        <v>493</v>
      </c>
      <c r="Q1970" s="5" t="str">
        <f>IFERROR(__xludf.DUMMYFUNCTION("""COMPUTED_VALUE"""),"4 luni, 3 saptamâni si 2 zile")</f>
        <v>4 luni, 3 saptamâni si 2 zile</v>
      </c>
      <c r="R1970" s="5" t="str">
        <f>IFERROR(__xludf.DUMMYFUNCTION("""COMPUTED_VALUE"""),"Anamaria Marinca")</f>
        <v>Anamaria Marinca</v>
      </c>
      <c r="S1970" s="5" t="str">
        <f>IFERROR(__xludf.DUMMYFUNCTION("""COMPUTED_VALUE"""),"Estrela 1")</f>
        <v>Estrela 1</v>
      </c>
    </row>
    <row r="1971">
      <c r="G1971" s="5" t="str">
        <f>IFERROR(__xludf.DUMMYFUNCTION("""COMPUTED_VALUE"""),"493🤙🏼4 luni, 3 saptamâni si 2 zile🤙🏼Laura Vasiliu🤙🏼Estrela 2")</f>
        <v>493🤙🏼4 luni, 3 saptamâni si 2 zile🤙🏼Laura Vasiliu🤙🏼Estrela 2</v>
      </c>
      <c r="H1971" s="5">
        <f>IFERROR(__xludf.DUMMYFUNCTION("SPLiT(G1971, ""🤙🏼"",FALSE,FALSE)"),493.0)</f>
        <v>493</v>
      </c>
      <c r="I1971" s="5" t="str">
        <f>IFERROR(__xludf.DUMMYFUNCTION("""COMPUTED_VALUE"""),"4 luni, 3 saptamâni si 2 zile")</f>
        <v>4 luni, 3 saptamâni si 2 zile</v>
      </c>
      <c r="J1971" s="5" t="str">
        <f>IFERROR(__xludf.DUMMYFUNCTION("""COMPUTED_VALUE"""),"Laura Vasiliu")</f>
        <v>Laura Vasiliu</v>
      </c>
      <c r="K1971" s="5" t="str">
        <f>IFERROR(__xludf.DUMMYFUNCTION("""COMPUTED_VALUE"""),"Estrela 2")</f>
        <v>Estrela 2</v>
      </c>
      <c r="P1971" s="5">
        <f>IFERROR(__xludf.DUMMYFUNCTION("""COMPUTED_VALUE"""),493.0)</f>
        <v>493</v>
      </c>
      <c r="Q1971" s="5" t="str">
        <f>IFERROR(__xludf.DUMMYFUNCTION("""COMPUTED_VALUE"""),"4 luni, 3 saptamâni si 2 zile")</f>
        <v>4 luni, 3 saptamâni si 2 zile</v>
      </c>
      <c r="R1971" s="5" t="str">
        <f>IFERROR(__xludf.DUMMYFUNCTION("""COMPUTED_VALUE"""),"Laura Vasiliu")</f>
        <v>Laura Vasiliu</v>
      </c>
      <c r="S1971" s="5" t="str">
        <f>IFERROR(__xludf.DUMMYFUNCTION("""COMPUTED_VALUE"""),"Estrela 2")</f>
        <v>Estrela 2</v>
      </c>
    </row>
    <row r="1972">
      <c r="G1972" s="5" t="str">
        <f>IFERROR(__xludf.DUMMYFUNCTION("""COMPUTED_VALUE"""),"493🤙🏼4 luni, 3 saptamâni si 2 zile🤙🏼Vlad Ivanov🤙🏼Estrela 3")</f>
        <v>493🤙🏼4 luni, 3 saptamâni si 2 zile🤙🏼Vlad Ivanov🤙🏼Estrela 3</v>
      </c>
      <c r="H1972" s="5">
        <f>IFERROR(__xludf.DUMMYFUNCTION("SPLiT(G1972, ""🤙🏼"",FALSE,FALSE)"),493.0)</f>
        <v>493</v>
      </c>
      <c r="I1972" s="5" t="str">
        <f>IFERROR(__xludf.DUMMYFUNCTION("""COMPUTED_VALUE"""),"4 luni, 3 saptamâni si 2 zile")</f>
        <v>4 luni, 3 saptamâni si 2 zile</v>
      </c>
      <c r="J1972" s="5" t="str">
        <f>IFERROR(__xludf.DUMMYFUNCTION("""COMPUTED_VALUE"""),"Vlad Ivanov")</f>
        <v>Vlad Ivanov</v>
      </c>
      <c r="K1972" s="5" t="str">
        <f>IFERROR(__xludf.DUMMYFUNCTION("""COMPUTED_VALUE"""),"Estrela 3")</f>
        <v>Estrela 3</v>
      </c>
      <c r="P1972" s="5">
        <f>IFERROR(__xludf.DUMMYFUNCTION("""COMPUTED_VALUE"""),493.0)</f>
        <v>493</v>
      </c>
      <c r="Q1972" s="5" t="str">
        <f>IFERROR(__xludf.DUMMYFUNCTION("""COMPUTED_VALUE"""),"4 luni, 3 saptamâni si 2 zile")</f>
        <v>4 luni, 3 saptamâni si 2 zile</v>
      </c>
      <c r="R1972" s="5" t="str">
        <f>IFERROR(__xludf.DUMMYFUNCTION("""COMPUTED_VALUE"""),"Vlad Ivanov")</f>
        <v>Vlad Ivanov</v>
      </c>
      <c r="S1972" s="5" t="str">
        <f>IFERROR(__xludf.DUMMYFUNCTION("""COMPUTED_VALUE"""),"Estrela 3")</f>
        <v>Estrela 3</v>
      </c>
    </row>
    <row r="1973">
      <c r="G1973" s="5" t="str">
        <f>IFERROR(__xludf.DUMMYFUNCTION("""COMPUTED_VALUE"""),"493🤙🏼4 luni, 3 saptamâni si 2 zile🤙🏼Alexandru Potocean🤙🏼Estrela 4")</f>
        <v>493🤙🏼4 luni, 3 saptamâni si 2 zile🤙🏼Alexandru Potocean🤙🏼Estrela 4</v>
      </c>
      <c r="H1973" s="5">
        <f>IFERROR(__xludf.DUMMYFUNCTION("SPLiT(G1973, ""🤙🏼"",FALSE,FALSE)"),493.0)</f>
        <v>493</v>
      </c>
      <c r="I1973" s="5" t="str">
        <f>IFERROR(__xludf.DUMMYFUNCTION("""COMPUTED_VALUE"""),"4 luni, 3 saptamâni si 2 zile")</f>
        <v>4 luni, 3 saptamâni si 2 zile</v>
      </c>
      <c r="J1973" s="5" t="str">
        <f>IFERROR(__xludf.DUMMYFUNCTION("""COMPUTED_VALUE"""),"Alexandru Potocean")</f>
        <v>Alexandru Potocean</v>
      </c>
      <c r="K1973" s="5" t="str">
        <f>IFERROR(__xludf.DUMMYFUNCTION("""COMPUTED_VALUE"""),"Estrela 4")</f>
        <v>Estrela 4</v>
      </c>
      <c r="P1973" s="5">
        <f>IFERROR(__xludf.DUMMYFUNCTION("""COMPUTED_VALUE"""),493.0)</f>
        <v>493</v>
      </c>
      <c r="Q1973" s="5" t="str">
        <f>IFERROR(__xludf.DUMMYFUNCTION("""COMPUTED_VALUE"""),"4 luni, 3 saptamâni si 2 zile")</f>
        <v>4 luni, 3 saptamâni si 2 zile</v>
      </c>
      <c r="R1973" s="5" t="str">
        <f>IFERROR(__xludf.DUMMYFUNCTION("""COMPUTED_VALUE"""),"Alexandru Potocean")</f>
        <v>Alexandru Potocean</v>
      </c>
      <c r="S1973" s="5" t="str">
        <f>IFERROR(__xludf.DUMMYFUNCTION("""COMPUTED_VALUE"""),"Estrela 4")</f>
        <v>Estrela 4</v>
      </c>
    </row>
    <row r="1974">
      <c r="G1974" s="5" t="str">
        <f>IFERROR(__xludf.DUMMYFUNCTION("""COMPUTED_VALUE"""),"494🤙🏼Star Trek🤙🏼Chris Pine🤙🏼Estrela 1")</f>
        <v>494🤙🏼Star Trek🤙🏼Chris Pine🤙🏼Estrela 1</v>
      </c>
      <c r="H1974" s="5">
        <f>IFERROR(__xludf.DUMMYFUNCTION("SPLiT(G1974, ""🤙🏼"",FALSE,FALSE)"),494.0)</f>
        <v>494</v>
      </c>
      <c r="I1974" s="5" t="str">
        <f>IFERROR(__xludf.DUMMYFUNCTION("""COMPUTED_VALUE"""),"Star Trek")</f>
        <v>Star Trek</v>
      </c>
      <c r="J1974" s="5" t="str">
        <f>IFERROR(__xludf.DUMMYFUNCTION("""COMPUTED_VALUE"""),"Chris Pine")</f>
        <v>Chris Pine</v>
      </c>
      <c r="K1974" s="5" t="str">
        <f>IFERROR(__xludf.DUMMYFUNCTION("""COMPUTED_VALUE"""),"Estrela 1")</f>
        <v>Estrela 1</v>
      </c>
      <c r="P1974" s="5">
        <f>IFERROR(__xludf.DUMMYFUNCTION("""COMPUTED_VALUE"""),494.0)</f>
        <v>494</v>
      </c>
      <c r="Q1974" s="5" t="str">
        <f>IFERROR(__xludf.DUMMYFUNCTION("""COMPUTED_VALUE"""),"Star Trek")</f>
        <v>Star Trek</v>
      </c>
      <c r="R1974" s="5" t="str">
        <f>IFERROR(__xludf.DUMMYFUNCTION("""COMPUTED_VALUE"""),"Chris Pine")</f>
        <v>Chris Pine</v>
      </c>
      <c r="S1974" s="5" t="str">
        <f>IFERROR(__xludf.DUMMYFUNCTION("""COMPUTED_VALUE"""),"Estrela 1")</f>
        <v>Estrela 1</v>
      </c>
    </row>
    <row r="1975">
      <c r="G1975" s="5" t="str">
        <f>IFERROR(__xludf.DUMMYFUNCTION("""COMPUTED_VALUE"""),"494🤙🏼Star Trek🤙🏼Zachary Quinto🤙🏼Estrela 2")</f>
        <v>494🤙🏼Star Trek🤙🏼Zachary Quinto🤙🏼Estrela 2</v>
      </c>
      <c r="H1975" s="5">
        <f>IFERROR(__xludf.DUMMYFUNCTION("SPLiT(G1975, ""🤙🏼"",FALSE,FALSE)"),494.0)</f>
        <v>494</v>
      </c>
      <c r="I1975" s="5" t="str">
        <f>IFERROR(__xludf.DUMMYFUNCTION("""COMPUTED_VALUE"""),"Star Trek")</f>
        <v>Star Trek</v>
      </c>
      <c r="J1975" s="5" t="str">
        <f>IFERROR(__xludf.DUMMYFUNCTION("""COMPUTED_VALUE"""),"Zachary Quinto")</f>
        <v>Zachary Quinto</v>
      </c>
      <c r="K1975" s="5" t="str">
        <f>IFERROR(__xludf.DUMMYFUNCTION("""COMPUTED_VALUE"""),"Estrela 2")</f>
        <v>Estrela 2</v>
      </c>
      <c r="P1975" s="5">
        <f>IFERROR(__xludf.DUMMYFUNCTION("""COMPUTED_VALUE"""),494.0)</f>
        <v>494</v>
      </c>
      <c r="Q1975" s="5" t="str">
        <f>IFERROR(__xludf.DUMMYFUNCTION("""COMPUTED_VALUE"""),"Star Trek")</f>
        <v>Star Trek</v>
      </c>
      <c r="R1975" s="5" t="str">
        <f>IFERROR(__xludf.DUMMYFUNCTION("""COMPUTED_VALUE"""),"Zachary Quinto")</f>
        <v>Zachary Quinto</v>
      </c>
      <c r="S1975" s="5" t="str">
        <f>IFERROR(__xludf.DUMMYFUNCTION("""COMPUTED_VALUE"""),"Estrela 2")</f>
        <v>Estrela 2</v>
      </c>
    </row>
    <row r="1976">
      <c r="G1976" s="5" t="str">
        <f>IFERROR(__xludf.DUMMYFUNCTION("""COMPUTED_VALUE"""),"494🤙🏼Star Trek🤙🏼Simon Pegg🤙🏼Estrela 3")</f>
        <v>494🤙🏼Star Trek🤙🏼Simon Pegg🤙🏼Estrela 3</v>
      </c>
      <c r="H1976" s="5">
        <f>IFERROR(__xludf.DUMMYFUNCTION("SPLiT(G1976, ""🤙🏼"",FALSE,FALSE)"),494.0)</f>
        <v>494</v>
      </c>
      <c r="I1976" s="5" t="str">
        <f>IFERROR(__xludf.DUMMYFUNCTION("""COMPUTED_VALUE"""),"Star Trek")</f>
        <v>Star Trek</v>
      </c>
      <c r="J1976" s="5" t="str">
        <f>IFERROR(__xludf.DUMMYFUNCTION("""COMPUTED_VALUE"""),"Simon Pegg")</f>
        <v>Simon Pegg</v>
      </c>
      <c r="K1976" s="5" t="str">
        <f>IFERROR(__xludf.DUMMYFUNCTION("""COMPUTED_VALUE"""),"Estrela 3")</f>
        <v>Estrela 3</v>
      </c>
      <c r="P1976" s="5">
        <f>IFERROR(__xludf.DUMMYFUNCTION("""COMPUTED_VALUE"""),494.0)</f>
        <v>494</v>
      </c>
      <c r="Q1976" s="5" t="str">
        <f>IFERROR(__xludf.DUMMYFUNCTION("""COMPUTED_VALUE"""),"Star Trek")</f>
        <v>Star Trek</v>
      </c>
      <c r="R1976" s="5" t="str">
        <f>IFERROR(__xludf.DUMMYFUNCTION("""COMPUTED_VALUE"""),"Simon Pegg")</f>
        <v>Simon Pegg</v>
      </c>
      <c r="S1976" s="5" t="str">
        <f>IFERROR(__xludf.DUMMYFUNCTION("""COMPUTED_VALUE"""),"Estrela 3")</f>
        <v>Estrela 3</v>
      </c>
    </row>
    <row r="1977">
      <c r="G1977" s="5" t="str">
        <f>IFERROR(__xludf.DUMMYFUNCTION("""COMPUTED_VALUE"""),"494🤙🏼Star Trek🤙🏼Leonard Nimoy🤙🏼Estrela 4")</f>
        <v>494🤙🏼Star Trek🤙🏼Leonard Nimoy🤙🏼Estrela 4</v>
      </c>
      <c r="H1977" s="5">
        <f>IFERROR(__xludf.DUMMYFUNCTION("SPLiT(G1977, ""🤙🏼"",FALSE,FALSE)"),494.0)</f>
        <v>494</v>
      </c>
      <c r="I1977" s="5" t="str">
        <f>IFERROR(__xludf.DUMMYFUNCTION("""COMPUTED_VALUE"""),"Star Trek")</f>
        <v>Star Trek</v>
      </c>
      <c r="J1977" s="5" t="str">
        <f>IFERROR(__xludf.DUMMYFUNCTION("""COMPUTED_VALUE"""),"Leonard Nimoy")</f>
        <v>Leonard Nimoy</v>
      </c>
      <c r="K1977" s="5" t="str">
        <f>IFERROR(__xludf.DUMMYFUNCTION("""COMPUTED_VALUE"""),"Estrela 4")</f>
        <v>Estrela 4</v>
      </c>
      <c r="P1977" s="5">
        <f>IFERROR(__xludf.DUMMYFUNCTION("""COMPUTED_VALUE"""),494.0)</f>
        <v>494</v>
      </c>
      <c r="Q1977" s="5" t="str">
        <f>IFERROR(__xludf.DUMMYFUNCTION("""COMPUTED_VALUE"""),"Star Trek")</f>
        <v>Star Trek</v>
      </c>
      <c r="R1977" s="5" t="str">
        <f>IFERROR(__xludf.DUMMYFUNCTION("""COMPUTED_VALUE"""),"Leonard Nimoy")</f>
        <v>Leonard Nimoy</v>
      </c>
      <c r="S1977" s="5" t="str">
        <f>IFERROR(__xludf.DUMMYFUNCTION("""COMPUTED_VALUE"""),"Estrela 4")</f>
        <v>Estrela 4</v>
      </c>
    </row>
    <row r="1978">
      <c r="G1978" s="5" t="str">
        <f>IFERROR(__xludf.DUMMYFUNCTION("""COMPUTED_VALUE"""),"495🤙🏼In Bruges🤙🏼Colin Farrell🤙🏼Estrela 1")</f>
        <v>495🤙🏼In Bruges🤙🏼Colin Farrell🤙🏼Estrela 1</v>
      </c>
      <c r="H1978" s="5">
        <f>IFERROR(__xludf.DUMMYFUNCTION("SPLiT(G1978, ""🤙🏼"",FALSE,FALSE)"),495.0)</f>
        <v>495</v>
      </c>
      <c r="I1978" s="5" t="str">
        <f>IFERROR(__xludf.DUMMYFUNCTION("""COMPUTED_VALUE"""),"In Bruges")</f>
        <v>In Bruges</v>
      </c>
      <c r="J1978" s="5" t="str">
        <f>IFERROR(__xludf.DUMMYFUNCTION("""COMPUTED_VALUE"""),"Colin Farrell")</f>
        <v>Colin Farrell</v>
      </c>
      <c r="K1978" s="5" t="str">
        <f>IFERROR(__xludf.DUMMYFUNCTION("""COMPUTED_VALUE"""),"Estrela 1")</f>
        <v>Estrela 1</v>
      </c>
      <c r="P1978" s="5">
        <f>IFERROR(__xludf.DUMMYFUNCTION("""COMPUTED_VALUE"""),495.0)</f>
        <v>495</v>
      </c>
      <c r="Q1978" s="5" t="str">
        <f>IFERROR(__xludf.DUMMYFUNCTION("""COMPUTED_VALUE"""),"In Bruges")</f>
        <v>In Bruges</v>
      </c>
      <c r="R1978" s="5" t="str">
        <f>IFERROR(__xludf.DUMMYFUNCTION("""COMPUTED_VALUE"""),"Colin Farrell")</f>
        <v>Colin Farrell</v>
      </c>
      <c r="S1978" s="5" t="str">
        <f>IFERROR(__xludf.DUMMYFUNCTION("""COMPUTED_VALUE"""),"Estrela 1")</f>
        <v>Estrela 1</v>
      </c>
    </row>
    <row r="1979">
      <c r="G1979" s="5" t="str">
        <f>IFERROR(__xludf.DUMMYFUNCTION("""COMPUTED_VALUE"""),"495🤙🏼In Bruges🤙🏼Brendan Gleeson🤙🏼Estrela 2")</f>
        <v>495🤙🏼In Bruges🤙🏼Brendan Gleeson🤙🏼Estrela 2</v>
      </c>
      <c r="H1979" s="5">
        <f>IFERROR(__xludf.DUMMYFUNCTION("SPLiT(G1979, ""🤙🏼"",FALSE,FALSE)"),495.0)</f>
        <v>495</v>
      </c>
      <c r="I1979" s="5" t="str">
        <f>IFERROR(__xludf.DUMMYFUNCTION("""COMPUTED_VALUE"""),"In Bruges")</f>
        <v>In Bruges</v>
      </c>
      <c r="J1979" s="5" t="str">
        <f>IFERROR(__xludf.DUMMYFUNCTION("""COMPUTED_VALUE"""),"Brendan Gleeson")</f>
        <v>Brendan Gleeson</v>
      </c>
      <c r="K1979" s="5" t="str">
        <f>IFERROR(__xludf.DUMMYFUNCTION("""COMPUTED_VALUE"""),"Estrela 2")</f>
        <v>Estrela 2</v>
      </c>
      <c r="P1979" s="5">
        <f>IFERROR(__xludf.DUMMYFUNCTION("""COMPUTED_VALUE"""),495.0)</f>
        <v>495</v>
      </c>
      <c r="Q1979" s="5" t="str">
        <f>IFERROR(__xludf.DUMMYFUNCTION("""COMPUTED_VALUE"""),"In Bruges")</f>
        <v>In Bruges</v>
      </c>
      <c r="R1979" s="5" t="str">
        <f>IFERROR(__xludf.DUMMYFUNCTION("""COMPUTED_VALUE"""),"Brendan Gleeson")</f>
        <v>Brendan Gleeson</v>
      </c>
      <c r="S1979" s="5" t="str">
        <f>IFERROR(__xludf.DUMMYFUNCTION("""COMPUTED_VALUE"""),"Estrela 2")</f>
        <v>Estrela 2</v>
      </c>
    </row>
    <row r="1980">
      <c r="G1980" s="5" t="str">
        <f>IFERROR(__xludf.DUMMYFUNCTION("""COMPUTED_VALUE"""),"495🤙🏼In Bruges🤙🏼Ciarán Hinds🤙🏼Estrela 3")</f>
        <v>495🤙🏼In Bruges🤙🏼Ciarán Hinds🤙🏼Estrela 3</v>
      </c>
      <c r="H1980" s="5">
        <f>IFERROR(__xludf.DUMMYFUNCTION("SPLiT(G1980, ""🤙🏼"",FALSE,FALSE)"),495.0)</f>
        <v>495</v>
      </c>
      <c r="I1980" s="5" t="str">
        <f>IFERROR(__xludf.DUMMYFUNCTION("""COMPUTED_VALUE"""),"In Bruges")</f>
        <v>In Bruges</v>
      </c>
      <c r="J1980" s="5" t="str">
        <f>IFERROR(__xludf.DUMMYFUNCTION("""COMPUTED_VALUE"""),"Ciarán Hinds")</f>
        <v>Ciarán Hinds</v>
      </c>
      <c r="K1980" s="5" t="str">
        <f>IFERROR(__xludf.DUMMYFUNCTION("""COMPUTED_VALUE"""),"Estrela 3")</f>
        <v>Estrela 3</v>
      </c>
      <c r="P1980" s="5">
        <f>IFERROR(__xludf.DUMMYFUNCTION("""COMPUTED_VALUE"""),495.0)</f>
        <v>495</v>
      </c>
      <c r="Q1980" s="5" t="str">
        <f>IFERROR(__xludf.DUMMYFUNCTION("""COMPUTED_VALUE"""),"In Bruges")</f>
        <v>In Bruges</v>
      </c>
      <c r="R1980" s="5" t="str">
        <f>IFERROR(__xludf.DUMMYFUNCTION("""COMPUTED_VALUE"""),"Ciarán Hinds")</f>
        <v>Ciarán Hinds</v>
      </c>
      <c r="S1980" s="5" t="str">
        <f>IFERROR(__xludf.DUMMYFUNCTION("""COMPUTED_VALUE"""),"Estrela 3")</f>
        <v>Estrela 3</v>
      </c>
    </row>
    <row r="1981">
      <c r="G1981" s="5" t="str">
        <f>IFERROR(__xludf.DUMMYFUNCTION("""COMPUTED_VALUE"""),"495🤙🏼In Bruges🤙🏼Elizabeth Berrington🤙🏼Estrela 4")</f>
        <v>495🤙🏼In Bruges🤙🏼Elizabeth Berrington🤙🏼Estrela 4</v>
      </c>
      <c r="H1981" s="5">
        <f>IFERROR(__xludf.DUMMYFUNCTION("SPLiT(G1981, ""🤙🏼"",FALSE,FALSE)"),495.0)</f>
        <v>495</v>
      </c>
      <c r="I1981" s="5" t="str">
        <f>IFERROR(__xludf.DUMMYFUNCTION("""COMPUTED_VALUE"""),"In Bruges")</f>
        <v>In Bruges</v>
      </c>
      <c r="J1981" s="5" t="str">
        <f>IFERROR(__xludf.DUMMYFUNCTION("""COMPUTED_VALUE"""),"Elizabeth Berrington")</f>
        <v>Elizabeth Berrington</v>
      </c>
      <c r="K1981" s="5" t="str">
        <f>IFERROR(__xludf.DUMMYFUNCTION("""COMPUTED_VALUE"""),"Estrela 4")</f>
        <v>Estrela 4</v>
      </c>
      <c r="P1981" s="5">
        <f>IFERROR(__xludf.DUMMYFUNCTION("""COMPUTED_VALUE"""),495.0)</f>
        <v>495</v>
      </c>
      <c r="Q1981" s="5" t="str">
        <f>IFERROR(__xludf.DUMMYFUNCTION("""COMPUTED_VALUE"""),"In Bruges")</f>
        <v>In Bruges</v>
      </c>
      <c r="R1981" s="5" t="str">
        <f>IFERROR(__xludf.DUMMYFUNCTION("""COMPUTED_VALUE"""),"Elizabeth Berrington")</f>
        <v>Elizabeth Berrington</v>
      </c>
      <c r="S1981" s="5" t="str">
        <f>IFERROR(__xludf.DUMMYFUNCTION("""COMPUTED_VALUE"""),"Estrela 4")</f>
        <v>Estrela 4</v>
      </c>
    </row>
    <row r="1982">
      <c r="G1982" s="5" t="str">
        <f>IFERROR(__xludf.DUMMYFUNCTION("""COMPUTED_VALUE"""),"496🤙🏼The Man from Earth🤙🏼David Lee Smith🤙🏼Estrela 1")</f>
        <v>496🤙🏼The Man from Earth🤙🏼David Lee Smith🤙🏼Estrela 1</v>
      </c>
      <c r="H1982" s="5">
        <f>IFERROR(__xludf.DUMMYFUNCTION("SPLiT(G1982, ""🤙🏼"",FALSE,FALSE)"),496.0)</f>
        <v>496</v>
      </c>
      <c r="I1982" s="5" t="str">
        <f>IFERROR(__xludf.DUMMYFUNCTION("""COMPUTED_VALUE"""),"The Man from Earth")</f>
        <v>The Man from Earth</v>
      </c>
      <c r="J1982" s="5" t="str">
        <f>IFERROR(__xludf.DUMMYFUNCTION("""COMPUTED_VALUE"""),"David Lee Smith")</f>
        <v>David Lee Smith</v>
      </c>
      <c r="K1982" s="5" t="str">
        <f>IFERROR(__xludf.DUMMYFUNCTION("""COMPUTED_VALUE"""),"Estrela 1")</f>
        <v>Estrela 1</v>
      </c>
      <c r="P1982" s="5">
        <f>IFERROR(__xludf.DUMMYFUNCTION("""COMPUTED_VALUE"""),496.0)</f>
        <v>496</v>
      </c>
      <c r="Q1982" s="5" t="str">
        <f>IFERROR(__xludf.DUMMYFUNCTION("""COMPUTED_VALUE"""),"The Man from Earth")</f>
        <v>The Man from Earth</v>
      </c>
      <c r="R1982" s="5" t="str">
        <f>IFERROR(__xludf.DUMMYFUNCTION("""COMPUTED_VALUE"""),"David Lee Smith")</f>
        <v>David Lee Smith</v>
      </c>
      <c r="S1982" s="5" t="str">
        <f>IFERROR(__xludf.DUMMYFUNCTION("""COMPUTED_VALUE"""),"Estrela 1")</f>
        <v>Estrela 1</v>
      </c>
    </row>
    <row r="1983">
      <c r="G1983" s="5" t="str">
        <f>IFERROR(__xludf.DUMMYFUNCTION("""COMPUTED_VALUE"""),"496🤙🏼The Man from Earth🤙🏼Tony Todd🤙🏼Estrela 2")</f>
        <v>496🤙🏼The Man from Earth🤙🏼Tony Todd🤙🏼Estrela 2</v>
      </c>
      <c r="H1983" s="5">
        <f>IFERROR(__xludf.DUMMYFUNCTION("SPLiT(G1983, ""🤙🏼"",FALSE,FALSE)"),496.0)</f>
        <v>496</v>
      </c>
      <c r="I1983" s="5" t="str">
        <f>IFERROR(__xludf.DUMMYFUNCTION("""COMPUTED_VALUE"""),"The Man from Earth")</f>
        <v>The Man from Earth</v>
      </c>
      <c r="J1983" s="5" t="str">
        <f>IFERROR(__xludf.DUMMYFUNCTION("""COMPUTED_VALUE"""),"Tony Todd")</f>
        <v>Tony Todd</v>
      </c>
      <c r="K1983" s="5" t="str">
        <f>IFERROR(__xludf.DUMMYFUNCTION("""COMPUTED_VALUE"""),"Estrela 2")</f>
        <v>Estrela 2</v>
      </c>
      <c r="P1983" s="5">
        <f>IFERROR(__xludf.DUMMYFUNCTION("""COMPUTED_VALUE"""),496.0)</f>
        <v>496</v>
      </c>
      <c r="Q1983" s="5" t="str">
        <f>IFERROR(__xludf.DUMMYFUNCTION("""COMPUTED_VALUE"""),"The Man from Earth")</f>
        <v>The Man from Earth</v>
      </c>
      <c r="R1983" s="5" t="str">
        <f>IFERROR(__xludf.DUMMYFUNCTION("""COMPUTED_VALUE"""),"Tony Todd")</f>
        <v>Tony Todd</v>
      </c>
      <c r="S1983" s="5" t="str">
        <f>IFERROR(__xludf.DUMMYFUNCTION("""COMPUTED_VALUE"""),"Estrela 2")</f>
        <v>Estrela 2</v>
      </c>
    </row>
    <row r="1984">
      <c r="G1984" s="5" t="str">
        <f>IFERROR(__xludf.DUMMYFUNCTION("""COMPUTED_VALUE"""),"496🤙🏼The Man from Earth🤙🏼John Billingsley🤙🏼Estrela 3")</f>
        <v>496🤙🏼The Man from Earth🤙🏼John Billingsley🤙🏼Estrela 3</v>
      </c>
      <c r="H1984" s="5">
        <f>IFERROR(__xludf.DUMMYFUNCTION("SPLiT(G1984, ""🤙🏼"",FALSE,FALSE)"),496.0)</f>
        <v>496</v>
      </c>
      <c r="I1984" s="5" t="str">
        <f>IFERROR(__xludf.DUMMYFUNCTION("""COMPUTED_VALUE"""),"The Man from Earth")</f>
        <v>The Man from Earth</v>
      </c>
      <c r="J1984" s="5" t="str">
        <f>IFERROR(__xludf.DUMMYFUNCTION("""COMPUTED_VALUE"""),"John Billingsley")</f>
        <v>John Billingsley</v>
      </c>
      <c r="K1984" s="5" t="str">
        <f>IFERROR(__xludf.DUMMYFUNCTION("""COMPUTED_VALUE"""),"Estrela 3")</f>
        <v>Estrela 3</v>
      </c>
      <c r="P1984" s="5">
        <f>IFERROR(__xludf.DUMMYFUNCTION("""COMPUTED_VALUE"""),496.0)</f>
        <v>496</v>
      </c>
      <c r="Q1984" s="5" t="str">
        <f>IFERROR(__xludf.DUMMYFUNCTION("""COMPUTED_VALUE"""),"The Man from Earth")</f>
        <v>The Man from Earth</v>
      </c>
      <c r="R1984" s="5" t="str">
        <f>IFERROR(__xludf.DUMMYFUNCTION("""COMPUTED_VALUE"""),"John Billingsley")</f>
        <v>John Billingsley</v>
      </c>
      <c r="S1984" s="5" t="str">
        <f>IFERROR(__xludf.DUMMYFUNCTION("""COMPUTED_VALUE"""),"Estrela 3")</f>
        <v>Estrela 3</v>
      </c>
    </row>
    <row r="1985">
      <c r="G1985" s="5" t="str">
        <f>IFERROR(__xludf.DUMMYFUNCTION("""COMPUTED_VALUE"""),"496🤙🏼The Man from Earth🤙🏼Ellen Crawford🤙🏼Estrela 4")</f>
        <v>496🤙🏼The Man from Earth🤙🏼Ellen Crawford🤙🏼Estrela 4</v>
      </c>
      <c r="H1985" s="5">
        <f>IFERROR(__xludf.DUMMYFUNCTION("SPLiT(G1985, ""🤙🏼"",FALSE,FALSE)"),496.0)</f>
        <v>496</v>
      </c>
      <c r="I1985" s="5" t="str">
        <f>IFERROR(__xludf.DUMMYFUNCTION("""COMPUTED_VALUE"""),"The Man from Earth")</f>
        <v>The Man from Earth</v>
      </c>
      <c r="J1985" s="5" t="str">
        <f>IFERROR(__xludf.DUMMYFUNCTION("""COMPUTED_VALUE"""),"Ellen Crawford")</f>
        <v>Ellen Crawford</v>
      </c>
      <c r="K1985" s="5" t="str">
        <f>IFERROR(__xludf.DUMMYFUNCTION("""COMPUTED_VALUE"""),"Estrela 4")</f>
        <v>Estrela 4</v>
      </c>
      <c r="P1985" s="5">
        <f>IFERROR(__xludf.DUMMYFUNCTION("""COMPUTED_VALUE"""),496.0)</f>
        <v>496</v>
      </c>
      <c r="Q1985" s="5" t="str">
        <f>IFERROR(__xludf.DUMMYFUNCTION("""COMPUTED_VALUE"""),"The Man from Earth")</f>
        <v>The Man from Earth</v>
      </c>
      <c r="R1985" s="5" t="str">
        <f>IFERROR(__xludf.DUMMYFUNCTION("""COMPUTED_VALUE"""),"Ellen Crawford")</f>
        <v>Ellen Crawford</v>
      </c>
      <c r="S1985" s="5" t="str">
        <f>IFERROR(__xludf.DUMMYFUNCTION("""COMPUTED_VALUE"""),"Estrela 4")</f>
        <v>Estrela 4</v>
      </c>
    </row>
    <row r="1986">
      <c r="G1986" s="5" t="str">
        <f>IFERROR(__xludf.DUMMYFUNCTION("""COMPUTED_VALUE"""),"497🤙🏼Letters from Iwo Jima🤙🏼Ken Watanabe🤙🏼Estrela 1")</f>
        <v>497🤙🏼Letters from Iwo Jima🤙🏼Ken Watanabe🤙🏼Estrela 1</v>
      </c>
      <c r="H1986" s="5">
        <f>IFERROR(__xludf.DUMMYFUNCTION("SPLiT(G1986, ""🤙🏼"",FALSE,FALSE)"),497.0)</f>
        <v>497</v>
      </c>
      <c r="I1986" s="5" t="str">
        <f>IFERROR(__xludf.DUMMYFUNCTION("""COMPUTED_VALUE"""),"Letters from Iwo Jima")</f>
        <v>Letters from Iwo Jima</v>
      </c>
      <c r="J1986" s="5" t="str">
        <f>IFERROR(__xludf.DUMMYFUNCTION("""COMPUTED_VALUE"""),"Ken Watanabe")</f>
        <v>Ken Watanabe</v>
      </c>
      <c r="K1986" s="5" t="str">
        <f>IFERROR(__xludf.DUMMYFUNCTION("""COMPUTED_VALUE"""),"Estrela 1")</f>
        <v>Estrela 1</v>
      </c>
      <c r="P1986" s="5">
        <f>IFERROR(__xludf.DUMMYFUNCTION("""COMPUTED_VALUE"""),497.0)</f>
        <v>497</v>
      </c>
      <c r="Q1986" s="5" t="str">
        <f>IFERROR(__xludf.DUMMYFUNCTION("""COMPUTED_VALUE"""),"Letters from Iwo Jima")</f>
        <v>Letters from Iwo Jima</v>
      </c>
      <c r="R1986" s="5" t="str">
        <f>IFERROR(__xludf.DUMMYFUNCTION("""COMPUTED_VALUE"""),"Ken Watanabe")</f>
        <v>Ken Watanabe</v>
      </c>
      <c r="S1986" s="5" t="str">
        <f>IFERROR(__xludf.DUMMYFUNCTION("""COMPUTED_VALUE"""),"Estrela 1")</f>
        <v>Estrela 1</v>
      </c>
    </row>
    <row r="1987">
      <c r="G1987" s="5" t="str">
        <f>IFERROR(__xludf.DUMMYFUNCTION("""COMPUTED_VALUE"""),"497🤙🏼Letters from Iwo Jima🤙🏼Kazunari Ninomiya🤙🏼Estrela 2")</f>
        <v>497🤙🏼Letters from Iwo Jima🤙🏼Kazunari Ninomiya🤙🏼Estrela 2</v>
      </c>
      <c r="H1987" s="5">
        <f>IFERROR(__xludf.DUMMYFUNCTION("SPLiT(G1987, ""🤙🏼"",FALSE,FALSE)"),497.0)</f>
        <v>497</v>
      </c>
      <c r="I1987" s="5" t="str">
        <f>IFERROR(__xludf.DUMMYFUNCTION("""COMPUTED_VALUE"""),"Letters from Iwo Jima")</f>
        <v>Letters from Iwo Jima</v>
      </c>
      <c r="J1987" s="5" t="str">
        <f>IFERROR(__xludf.DUMMYFUNCTION("""COMPUTED_VALUE"""),"Kazunari Ninomiya")</f>
        <v>Kazunari Ninomiya</v>
      </c>
      <c r="K1987" s="5" t="str">
        <f>IFERROR(__xludf.DUMMYFUNCTION("""COMPUTED_VALUE"""),"Estrela 2")</f>
        <v>Estrela 2</v>
      </c>
      <c r="P1987" s="5">
        <f>IFERROR(__xludf.DUMMYFUNCTION("""COMPUTED_VALUE"""),497.0)</f>
        <v>497</v>
      </c>
      <c r="Q1987" s="5" t="str">
        <f>IFERROR(__xludf.DUMMYFUNCTION("""COMPUTED_VALUE"""),"Letters from Iwo Jima")</f>
        <v>Letters from Iwo Jima</v>
      </c>
      <c r="R1987" s="5" t="str">
        <f>IFERROR(__xludf.DUMMYFUNCTION("""COMPUTED_VALUE"""),"Kazunari Ninomiya")</f>
        <v>Kazunari Ninomiya</v>
      </c>
      <c r="S1987" s="5" t="str">
        <f>IFERROR(__xludf.DUMMYFUNCTION("""COMPUTED_VALUE"""),"Estrela 2")</f>
        <v>Estrela 2</v>
      </c>
    </row>
    <row r="1988">
      <c r="G1988" s="5" t="str">
        <f>IFERROR(__xludf.DUMMYFUNCTION("""COMPUTED_VALUE"""),"497🤙🏼Letters from Iwo Jima🤙🏼Tsuyoshi Ihara🤙🏼Estrela 3")</f>
        <v>497🤙🏼Letters from Iwo Jima🤙🏼Tsuyoshi Ihara🤙🏼Estrela 3</v>
      </c>
      <c r="H1988" s="5">
        <f>IFERROR(__xludf.DUMMYFUNCTION("SPLiT(G1988, ""🤙🏼"",FALSE,FALSE)"),497.0)</f>
        <v>497</v>
      </c>
      <c r="I1988" s="5" t="str">
        <f>IFERROR(__xludf.DUMMYFUNCTION("""COMPUTED_VALUE"""),"Letters from Iwo Jima")</f>
        <v>Letters from Iwo Jima</v>
      </c>
      <c r="J1988" s="5" t="str">
        <f>IFERROR(__xludf.DUMMYFUNCTION("""COMPUTED_VALUE"""),"Tsuyoshi Ihara")</f>
        <v>Tsuyoshi Ihara</v>
      </c>
      <c r="K1988" s="5" t="str">
        <f>IFERROR(__xludf.DUMMYFUNCTION("""COMPUTED_VALUE"""),"Estrela 3")</f>
        <v>Estrela 3</v>
      </c>
      <c r="P1988" s="5">
        <f>IFERROR(__xludf.DUMMYFUNCTION("""COMPUTED_VALUE"""),497.0)</f>
        <v>497</v>
      </c>
      <c r="Q1988" s="5" t="str">
        <f>IFERROR(__xludf.DUMMYFUNCTION("""COMPUTED_VALUE"""),"Letters from Iwo Jima")</f>
        <v>Letters from Iwo Jima</v>
      </c>
      <c r="R1988" s="5" t="str">
        <f>IFERROR(__xludf.DUMMYFUNCTION("""COMPUTED_VALUE"""),"Tsuyoshi Ihara")</f>
        <v>Tsuyoshi Ihara</v>
      </c>
      <c r="S1988" s="5" t="str">
        <f>IFERROR(__xludf.DUMMYFUNCTION("""COMPUTED_VALUE"""),"Estrela 3")</f>
        <v>Estrela 3</v>
      </c>
    </row>
    <row r="1989">
      <c r="G1989" s="5" t="str">
        <f>IFERROR(__xludf.DUMMYFUNCTION("""COMPUTED_VALUE"""),"497🤙🏼Letters from Iwo Jima🤙🏼Ryô Kase🤙🏼Estrela 4")</f>
        <v>497🤙🏼Letters from Iwo Jima🤙🏼Ryô Kase🤙🏼Estrela 4</v>
      </c>
      <c r="H1989" s="5">
        <f>IFERROR(__xludf.DUMMYFUNCTION("SPLiT(G1989, ""🤙🏼"",FALSE,FALSE)"),497.0)</f>
        <v>497</v>
      </c>
      <c r="I1989" s="5" t="str">
        <f>IFERROR(__xludf.DUMMYFUNCTION("""COMPUTED_VALUE"""),"Letters from Iwo Jima")</f>
        <v>Letters from Iwo Jima</v>
      </c>
      <c r="J1989" s="5" t="str">
        <f>IFERROR(__xludf.DUMMYFUNCTION("""COMPUTED_VALUE"""),"Ryô Kase")</f>
        <v>Ryô Kase</v>
      </c>
      <c r="K1989" s="5" t="str">
        <f>IFERROR(__xludf.DUMMYFUNCTION("""COMPUTED_VALUE"""),"Estrela 4")</f>
        <v>Estrela 4</v>
      </c>
      <c r="P1989" s="5">
        <f>IFERROR(__xludf.DUMMYFUNCTION("""COMPUTED_VALUE"""),497.0)</f>
        <v>497</v>
      </c>
      <c r="Q1989" s="5" t="str">
        <f>IFERROR(__xludf.DUMMYFUNCTION("""COMPUTED_VALUE"""),"Letters from Iwo Jima")</f>
        <v>Letters from Iwo Jima</v>
      </c>
      <c r="R1989" s="5" t="str">
        <f>IFERROR(__xludf.DUMMYFUNCTION("""COMPUTED_VALUE"""),"Ryô Kase")</f>
        <v>Ryô Kase</v>
      </c>
      <c r="S1989" s="5" t="str">
        <f>IFERROR(__xludf.DUMMYFUNCTION("""COMPUTED_VALUE"""),"Estrela 4")</f>
        <v>Estrela 4</v>
      </c>
    </row>
    <row r="1990">
      <c r="G1990" s="5" t="str">
        <f>IFERROR(__xludf.DUMMYFUNCTION("""COMPUTED_VALUE"""),"498🤙🏼The Fall🤙🏼Lee Pace🤙🏼Estrela 1")</f>
        <v>498🤙🏼The Fall🤙🏼Lee Pace🤙🏼Estrela 1</v>
      </c>
      <c r="H1990" s="5">
        <f>IFERROR(__xludf.DUMMYFUNCTION("SPLiT(G1990, ""🤙🏼"",FALSE,FALSE)"),498.0)</f>
        <v>498</v>
      </c>
      <c r="I1990" s="5" t="str">
        <f>IFERROR(__xludf.DUMMYFUNCTION("""COMPUTED_VALUE"""),"The Fall")</f>
        <v>The Fall</v>
      </c>
      <c r="J1990" s="5" t="str">
        <f>IFERROR(__xludf.DUMMYFUNCTION("""COMPUTED_VALUE"""),"Lee Pace")</f>
        <v>Lee Pace</v>
      </c>
      <c r="K1990" s="5" t="str">
        <f>IFERROR(__xludf.DUMMYFUNCTION("""COMPUTED_VALUE"""),"Estrela 1")</f>
        <v>Estrela 1</v>
      </c>
      <c r="P1990" s="5">
        <f>IFERROR(__xludf.DUMMYFUNCTION("""COMPUTED_VALUE"""),498.0)</f>
        <v>498</v>
      </c>
      <c r="Q1990" s="5" t="str">
        <f>IFERROR(__xludf.DUMMYFUNCTION("""COMPUTED_VALUE"""),"The Fall")</f>
        <v>The Fall</v>
      </c>
      <c r="R1990" s="5" t="str">
        <f>IFERROR(__xludf.DUMMYFUNCTION("""COMPUTED_VALUE"""),"Lee Pace")</f>
        <v>Lee Pace</v>
      </c>
      <c r="S1990" s="5" t="str">
        <f>IFERROR(__xludf.DUMMYFUNCTION("""COMPUTED_VALUE"""),"Estrela 1")</f>
        <v>Estrela 1</v>
      </c>
    </row>
    <row r="1991">
      <c r="G1991" s="5" t="str">
        <f>IFERROR(__xludf.DUMMYFUNCTION("""COMPUTED_VALUE"""),"498🤙🏼The Fall🤙🏼Catinca Untaru🤙🏼Estrela 2")</f>
        <v>498🤙🏼The Fall🤙🏼Catinca Untaru🤙🏼Estrela 2</v>
      </c>
      <c r="H1991" s="5">
        <f>IFERROR(__xludf.DUMMYFUNCTION("SPLiT(G1991, ""🤙🏼"",FALSE,FALSE)"),498.0)</f>
        <v>498</v>
      </c>
      <c r="I1991" s="5" t="str">
        <f>IFERROR(__xludf.DUMMYFUNCTION("""COMPUTED_VALUE"""),"The Fall")</f>
        <v>The Fall</v>
      </c>
      <c r="J1991" s="5" t="str">
        <f>IFERROR(__xludf.DUMMYFUNCTION("""COMPUTED_VALUE"""),"Catinca Untaru")</f>
        <v>Catinca Untaru</v>
      </c>
      <c r="K1991" s="5" t="str">
        <f>IFERROR(__xludf.DUMMYFUNCTION("""COMPUTED_VALUE"""),"Estrela 2")</f>
        <v>Estrela 2</v>
      </c>
      <c r="P1991" s="5">
        <f>IFERROR(__xludf.DUMMYFUNCTION("""COMPUTED_VALUE"""),498.0)</f>
        <v>498</v>
      </c>
      <c r="Q1991" s="5" t="str">
        <f>IFERROR(__xludf.DUMMYFUNCTION("""COMPUTED_VALUE"""),"The Fall")</f>
        <v>The Fall</v>
      </c>
      <c r="R1991" s="5" t="str">
        <f>IFERROR(__xludf.DUMMYFUNCTION("""COMPUTED_VALUE"""),"Catinca Untaru")</f>
        <v>Catinca Untaru</v>
      </c>
      <c r="S1991" s="5" t="str">
        <f>IFERROR(__xludf.DUMMYFUNCTION("""COMPUTED_VALUE"""),"Estrela 2")</f>
        <v>Estrela 2</v>
      </c>
    </row>
    <row r="1992">
      <c r="G1992" s="5" t="str">
        <f>IFERROR(__xludf.DUMMYFUNCTION("""COMPUTED_VALUE"""),"498🤙🏼The Fall🤙🏼Justine Waddell🤙🏼Estrela 3")</f>
        <v>498🤙🏼The Fall🤙🏼Justine Waddell🤙🏼Estrela 3</v>
      </c>
      <c r="H1992" s="5">
        <f>IFERROR(__xludf.DUMMYFUNCTION("SPLiT(G1992, ""🤙🏼"",FALSE,FALSE)"),498.0)</f>
        <v>498</v>
      </c>
      <c r="I1992" s="5" t="str">
        <f>IFERROR(__xludf.DUMMYFUNCTION("""COMPUTED_VALUE"""),"The Fall")</f>
        <v>The Fall</v>
      </c>
      <c r="J1992" s="5" t="str">
        <f>IFERROR(__xludf.DUMMYFUNCTION("""COMPUTED_VALUE"""),"Justine Waddell")</f>
        <v>Justine Waddell</v>
      </c>
      <c r="K1992" s="5" t="str">
        <f>IFERROR(__xludf.DUMMYFUNCTION("""COMPUTED_VALUE"""),"Estrela 3")</f>
        <v>Estrela 3</v>
      </c>
      <c r="P1992" s="5">
        <f>IFERROR(__xludf.DUMMYFUNCTION("""COMPUTED_VALUE"""),498.0)</f>
        <v>498</v>
      </c>
      <c r="Q1992" s="5" t="str">
        <f>IFERROR(__xludf.DUMMYFUNCTION("""COMPUTED_VALUE"""),"The Fall")</f>
        <v>The Fall</v>
      </c>
      <c r="R1992" s="5" t="str">
        <f>IFERROR(__xludf.DUMMYFUNCTION("""COMPUTED_VALUE"""),"Justine Waddell")</f>
        <v>Justine Waddell</v>
      </c>
      <c r="S1992" s="5" t="str">
        <f>IFERROR(__xludf.DUMMYFUNCTION("""COMPUTED_VALUE"""),"Estrela 3")</f>
        <v>Estrela 3</v>
      </c>
    </row>
    <row r="1993">
      <c r="G1993" s="5" t="str">
        <f>IFERROR(__xludf.DUMMYFUNCTION("""COMPUTED_VALUE"""),"498🤙🏼The Fall🤙🏼Kim Uylenbroek🤙🏼Estrela 4")</f>
        <v>498🤙🏼The Fall🤙🏼Kim Uylenbroek🤙🏼Estrela 4</v>
      </c>
      <c r="H1993" s="5">
        <f>IFERROR(__xludf.DUMMYFUNCTION("SPLiT(G1993, ""🤙🏼"",FALSE,FALSE)"),498.0)</f>
        <v>498</v>
      </c>
      <c r="I1993" s="5" t="str">
        <f>IFERROR(__xludf.DUMMYFUNCTION("""COMPUTED_VALUE"""),"The Fall")</f>
        <v>The Fall</v>
      </c>
      <c r="J1993" s="5" t="str">
        <f>IFERROR(__xludf.DUMMYFUNCTION("""COMPUTED_VALUE"""),"Kim Uylenbroek")</f>
        <v>Kim Uylenbroek</v>
      </c>
      <c r="K1993" s="5" t="str">
        <f>IFERROR(__xludf.DUMMYFUNCTION("""COMPUTED_VALUE"""),"Estrela 4")</f>
        <v>Estrela 4</v>
      </c>
      <c r="P1993" s="5">
        <f>IFERROR(__xludf.DUMMYFUNCTION("""COMPUTED_VALUE"""),498.0)</f>
        <v>498</v>
      </c>
      <c r="Q1993" s="5" t="str">
        <f>IFERROR(__xludf.DUMMYFUNCTION("""COMPUTED_VALUE"""),"The Fall")</f>
        <v>The Fall</v>
      </c>
      <c r="R1993" s="5" t="str">
        <f>IFERROR(__xludf.DUMMYFUNCTION("""COMPUTED_VALUE"""),"Kim Uylenbroek")</f>
        <v>Kim Uylenbroek</v>
      </c>
      <c r="S1993" s="5" t="str">
        <f>IFERROR(__xludf.DUMMYFUNCTION("""COMPUTED_VALUE"""),"Estrela 4")</f>
        <v>Estrela 4</v>
      </c>
    </row>
    <row r="1994">
      <c r="G1994" s="5" t="str">
        <f>IFERROR(__xludf.DUMMYFUNCTION("""COMPUTED_VALUE"""),"499🤙🏼Life of Pi🤙🏼Suraj Sharma🤙🏼Estrela 1")</f>
        <v>499🤙🏼Life of Pi🤙🏼Suraj Sharma🤙🏼Estrela 1</v>
      </c>
      <c r="H1994" s="5">
        <f>IFERROR(__xludf.DUMMYFUNCTION("SPLiT(G1994, ""🤙🏼"",FALSE,FALSE)"),499.0)</f>
        <v>499</v>
      </c>
      <c r="I1994" s="5" t="str">
        <f>IFERROR(__xludf.DUMMYFUNCTION("""COMPUTED_VALUE"""),"Life of Pi")</f>
        <v>Life of Pi</v>
      </c>
      <c r="J1994" s="5" t="str">
        <f>IFERROR(__xludf.DUMMYFUNCTION("""COMPUTED_VALUE"""),"Suraj Sharma")</f>
        <v>Suraj Sharma</v>
      </c>
      <c r="K1994" s="5" t="str">
        <f>IFERROR(__xludf.DUMMYFUNCTION("""COMPUTED_VALUE"""),"Estrela 1")</f>
        <v>Estrela 1</v>
      </c>
      <c r="P1994" s="5">
        <f>IFERROR(__xludf.DUMMYFUNCTION("""COMPUTED_VALUE"""),499.0)</f>
        <v>499</v>
      </c>
      <c r="Q1994" s="5" t="str">
        <f>IFERROR(__xludf.DUMMYFUNCTION("""COMPUTED_VALUE"""),"Life of Pi")</f>
        <v>Life of Pi</v>
      </c>
      <c r="R1994" s="5" t="str">
        <f>IFERROR(__xludf.DUMMYFUNCTION("""COMPUTED_VALUE"""),"Suraj Sharma")</f>
        <v>Suraj Sharma</v>
      </c>
      <c r="S1994" s="5" t="str">
        <f>IFERROR(__xludf.DUMMYFUNCTION("""COMPUTED_VALUE"""),"Estrela 1")</f>
        <v>Estrela 1</v>
      </c>
    </row>
    <row r="1995">
      <c r="G1995" s="5" t="str">
        <f>IFERROR(__xludf.DUMMYFUNCTION("""COMPUTED_VALUE"""),"499🤙🏼Life of Pi🤙🏼Irrfan Khan🤙🏼Estrela 2")</f>
        <v>499🤙🏼Life of Pi🤙🏼Irrfan Khan🤙🏼Estrela 2</v>
      </c>
      <c r="H1995" s="5">
        <f>IFERROR(__xludf.DUMMYFUNCTION("SPLiT(G1995, ""🤙🏼"",FALSE,FALSE)"),499.0)</f>
        <v>499</v>
      </c>
      <c r="I1995" s="5" t="str">
        <f>IFERROR(__xludf.DUMMYFUNCTION("""COMPUTED_VALUE"""),"Life of Pi")</f>
        <v>Life of Pi</v>
      </c>
      <c r="J1995" s="5" t="str">
        <f>IFERROR(__xludf.DUMMYFUNCTION("""COMPUTED_VALUE"""),"Irrfan Khan")</f>
        <v>Irrfan Khan</v>
      </c>
      <c r="K1995" s="5" t="str">
        <f>IFERROR(__xludf.DUMMYFUNCTION("""COMPUTED_VALUE"""),"Estrela 2")</f>
        <v>Estrela 2</v>
      </c>
      <c r="P1995" s="5">
        <f>IFERROR(__xludf.DUMMYFUNCTION("""COMPUTED_VALUE"""),499.0)</f>
        <v>499</v>
      </c>
      <c r="Q1995" s="5" t="str">
        <f>IFERROR(__xludf.DUMMYFUNCTION("""COMPUTED_VALUE"""),"Life of Pi")</f>
        <v>Life of Pi</v>
      </c>
      <c r="R1995" s="5" t="str">
        <f>IFERROR(__xludf.DUMMYFUNCTION("""COMPUTED_VALUE"""),"Irrfan Khan")</f>
        <v>Irrfan Khan</v>
      </c>
      <c r="S1995" s="5" t="str">
        <f>IFERROR(__xludf.DUMMYFUNCTION("""COMPUTED_VALUE"""),"Estrela 2")</f>
        <v>Estrela 2</v>
      </c>
    </row>
    <row r="1996">
      <c r="G1996" s="5" t="str">
        <f>IFERROR(__xludf.DUMMYFUNCTION("""COMPUTED_VALUE"""),"499🤙🏼Life of Pi🤙🏼Adil Hussain🤙🏼Estrela 3")</f>
        <v>499🤙🏼Life of Pi🤙🏼Adil Hussain🤙🏼Estrela 3</v>
      </c>
      <c r="H1996" s="5">
        <f>IFERROR(__xludf.DUMMYFUNCTION("SPLiT(G1996, ""🤙🏼"",FALSE,FALSE)"),499.0)</f>
        <v>499</v>
      </c>
      <c r="I1996" s="5" t="str">
        <f>IFERROR(__xludf.DUMMYFUNCTION("""COMPUTED_VALUE"""),"Life of Pi")</f>
        <v>Life of Pi</v>
      </c>
      <c r="J1996" s="5" t="str">
        <f>IFERROR(__xludf.DUMMYFUNCTION("""COMPUTED_VALUE"""),"Adil Hussain")</f>
        <v>Adil Hussain</v>
      </c>
      <c r="K1996" s="5" t="str">
        <f>IFERROR(__xludf.DUMMYFUNCTION("""COMPUTED_VALUE"""),"Estrela 3")</f>
        <v>Estrela 3</v>
      </c>
      <c r="P1996" s="5">
        <f>IFERROR(__xludf.DUMMYFUNCTION("""COMPUTED_VALUE"""),499.0)</f>
        <v>499</v>
      </c>
      <c r="Q1996" s="5" t="str">
        <f>IFERROR(__xludf.DUMMYFUNCTION("""COMPUTED_VALUE"""),"Life of Pi")</f>
        <v>Life of Pi</v>
      </c>
      <c r="R1996" s="5" t="str">
        <f>IFERROR(__xludf.DUMMYFUNCTION("""COMPUTED_VALUE"""),"Adil Hussain")</f>
        <v>Adil Hussain</v>
      </c>
      <c r="S1996" s="5" t="str">
        <f>IFERROR(__xludf.DUMMYFUNCTION("""COMPUTED_VALUE"""),"Estrela 3")</f>
        <v>Estrela 3</v>
      </c>
    </row>
    <row r="1997">
      <c r="G1997" s="5" t="str">
        <f>IFERROR(__xludf.DUMMYFUNCTION("""COMPUTED_VALUE"""),"499🤙🏼Life of Pi🤙🏼Tabu🤙🏼Estrela 4")</f>
        <v>499🤙🏼Life of Pi🤙🏼Tabu🤙🏼Estrela 4</v>
      </c>
      <c r="H1997" s="5">
        <f>IFERROR(__xludf.DUMMYFUNCTION("SPLiT(G1997, ""🤙🏼"",FALSE,FALSE)"),499.0)</f>
        <v>499</v>
      </c>
      <c r="I1997" s="5" t="str">
        <f>IFERROR(__xludf.DUMMYFUNCTION("""COMPUTED_VALUE"""),"Life of Pi")</f>
        <v>Life of Pi</v>
      </c>
      <c r="J1997" s="5" t="str">
        <f>IFERROR(__xludf.DUMMYFUNCTION("""COMPUTED_VALUE"""),"Tabu")</f>
        <v>Tabu</v>
      </c>
      <c r="K1997" s="5" t="str">
        <f>IFERROR(__xludf.DUMMYFUNCTION("""COMPUTED_VALUE"""),"Estrela 4")</f>
        <v>Estrela 4</v>
      </c>
      <c r="P1997" s="5">
        <f>IFERROR(__xludf.DUMMYFUNCTION("""COMPUTED_VALUE"""),499.0)</f>
        <v>499</v>
      </c>
      <c r="Q1997" s="5" t="str">
        <f>IFERROR(__xludf.DUMMYFUNCTION("""COMPUTED_VALUE"""),"Life of Pi")</f>
        <v>Life of Pi</v>
      </c>
      <c r="R1997" s="5" t="str">
        <f>IFERROR(__xludf.DUMMYFUNCTION("""COMPUTED_VALUE"""),"Tabu")</f>
        <v>Tabu</v>
      </c>
      <c r="S1997" s="5" t="str">
        <f>IFERROR(__xludf.DUMMYFUNCTION("""COMPUTED_VALUE"""),"Estrela 4")</f>
        <v>Estrela 4</v>
      </c>
    </row>
    <row r="1998">
      <c r="G1998" s="5" t="str">
        <f>IFERROR(__xludf.DUMMYFUNCTION("""COMPUTED_VALUE"""),"500🤙🏼Fantastic Mr. Fox🤙🏼George Clooney🤙🏼Estrela 1")</f>
        <v>500🤙🏼Fantastic Mr. Fox🤙🏼George Clooney🤙🏼Estrela 1</v>
      </c>
      <c r="H1998" s="5">
        <f>IFERROR(__xludf.DUMMYFUNCTION("SPLiT(G1998, ""🤙🏼"",FALSE,FALSE)"),500.0)</f>
        <v>500</v>
      </c>
      <c r="I1998" s="5" t="str">
        <f>IFERROR(__xludf.DUMMYFUNCTION("""COMPUTED_VALUE"""),"Fantastic Mr. Fox")</f>
        <v>Fantastic Mr. Fox</v>
      </c>
      <c r="J1998" s="5" t="str">
        <f>IFERROR(__xludf.DUMMYFUNCTION("""COMPUTED_VALUE"""),"George Clooney")</f>
        <v>George Clooney</v>
      </c>
      <c r="K1998" s="5" t="str">
        <f>IFERROR(__xludf.DUMMYFUNCTION("""COMPUTED_VALUE"""),"Estrela 1")</f>
        <v>Estrela 1</v>
      </c>
      <c r="P1998" s="5">
        <f>IFERROR(__xludf.DUMMYFUNCTION("""COMPUTED_VALUE"""),500.0)</f>
        <v>500</v>
      </c>
      <c r="Q1998" s="5" t="str">
        <f>IFERROR(__xludf.DUMMYFUNCTION("""COMPUTED_VALUE"""),"Fantastic Mr. Fox")</f>
        <v>Fantastic Mr. Fox</v>
      </c>
      <c r="R1998" s="5" t="str">
        <f>IFERROR(__xludf.DUMMYFUNCTION("""COMPUTED_VALUE"""),"George Clooney")</f>
        <v>George Clooney</v>
      </c>
      <c r="S1998" s="5" t="str">
        <f>IFERROR(__xludf.DUMMYFUNCTION("""COMPUTED_VALUE"""),"Estrela 1")</f>
        <v>Estrela 1</v>
      </c>
    </row>
    <row r="1999">
      <c r="G1999" s="5" t="str">
        <f>IFERROR(__xludf.DUMMYFUNCTION("""COMPUTED_VALUE"""),"500🤙🏼Fantastic Mr. Fox🤙🏼Meryl Streep🤙🏼Estrela 2")</f>
        <v>500🤙🏼Fantastic Mr. Fox🤙🏼Meryl Streep🤙🏼Estrela 2</v>
      </c>
      <c r="H1999" s="5">
        <f>IFERROR(__xludf.DUMMYFUNCTION("SPLiT(G1999, ""🤙🏼"",FALSE,FALSE)"),500.0)</f>
        <v>500</v>
      </c>
      <c r="I1999" s="5" t="str">
        <f>IFERROR(__xludf.DUMMYFUNCTION("""COMPUTED_VALUE"""),"Fantastic Mr. Fox")</f>
        <v>Fantastic Mr. Fox</v>
      </c>
      <c r="J1999" s="5" t="str">
        <f>IFERROR(__xludf.DUMMYFUNCTION("""COMPUTED_VALUE"""),"Meryl Streep")</f>
        <v>Meryl Streep</v>
      </c>
      <c r="K1999" s="5" t="str">
        <f>IFERROR(__xludf.DUMMYFUNCTION("""COMPUTED_VALUE"""),"Estrela 2")</f>
        <v>Estrela 2</v>
      </c>
      <c r="P1999" s="5">
        <f>IFERROR(__xludf.DUMMYFUNCTION("""COMPUTED_VALUE"""),500.0)</f>
        <v>500</v>
      </c>
      <c r="Q1999" s="5" t="str">
        <f>IFERROR(__xludf.DUMMYFUNCTION("""COMPUTED_VALUE"""),"Fantastic Mr. Fox")</f>
        <v>Fantastic Mr. Fox</v>
      </c>
      <c r="R1999" s="5" t="str">
        <f>IFERROR(__xludf.DUMMYFUNCTION("""COMPUTED_VALUE"""),"Meryl Streep")</f>
        <v>Meryl Streep</v>
      </c>
      <c r="S1999" s="5" t="str">
        <f>IFERROR(__xludf.DUMMYFUNCTION("""COMPUTED_VALUE"""),"Estrela 2")</f>
        <v>Estrela 2</v>
      </c>
    </row>
    <row r="2000">
      <c r="G2000" s="5" t="str">
        <f>IFERROR(__xludf.DUMMYFUNCTION("""COMPUTED_VALUE"""),"500🤙🏼Fantastic Mr. Fox🤙🏼Bill Murray🤙🏼Estrela 3")</f>
        <v>500🤙🏼Fantastic Mr. Fox🤙🏼Bill Murray🤙🏼Estrela 3</v>
      </c>
      <c r="H2000" s="5">
        <f>IFERROR(__xludf.DUMMYFUNCTION("SPLiT(G2000, ""🤙🏼"",FALSE,FALSE)"),500.0)</f>
        <v>500</v>
      </c>
      <c r="I2000" s="5" t="str">
        <f>IFERROR(__xludf.DUMMYFUNCTION("""COMPUTED_VALUE"""),"Fantastic Mr. Fox")</f>
        <v>Fantastic Mr. Fox</v>
      </c>
      <c r="J2000" s="5" t="str">
        <f>IFERROR(__xludf.DUMMYFUNCTION("""COMPUTED_VALUE"""),"Bill Murray")</f>
        <v>Bill Murray</v>
      </c>
      <c r="K2000" s="5" t="str">
        <f>IFERROR(__xludf.DUMMYFUNCTION("""COMPUTED_VALUE"""),"Estrela 3")</f>
        <v>Estrela 3</v>
      </c>
      <c r="P2000" s="5">
        <f>IFERROR(__xludf.DUMMYFUNCTION("""COMPUTED_VALUE"""),500.0)</f>
        <v>500</v>
      </c>
      <c r="Q2000" s="5" t="str">
        <f>IFERROR(__xludf.DUMMYFUNCTION("""COMPUTED_VALUE"""),"Fantastic Mr. Fox")</f>
        <v>Fantastic Mr. Fox</v>
      </c>
      <c r="R2000" s="5" t="str">
        <f>IFERROR(__xludf.DUMMYFUNCTION("""COMPUTED_VALUE"""),"Bill Murray")</f>
        <v>Bill Murray</v>
      </c>
      <c r="S2000" s="5" t="str">
        <f>IFERROR(__xludf.DUMMYFUNCTION("""COMPUTED_VALUE"""),"Estrela 3")</f>
        <v>Estrela 3</v>
      </c>
    </row>
    <row r="2001">
      <c r="G2001" s="5" t="str">
        <f>IFERROR(__xludf.DUMMYFUNCTION("""COMPUTED_VALUE"""),"500🤙🏼Fantastic Mr. Fox🤙🏼Jason Schwartzman🤙🏼Estrela 4")</f>
        <v>500🤙🏼Fantastic Mr. Fox🤙🏼Jason Schwartzman🤙🏼Estrela 4</v>
      </c>
      <c r="H2001" s="5">
        <f>IFERROR(__xludf.DUMMYFUNCTION("SPLiT(G2001, ""🤙🏼"",FALSE,FALSE)"),500.0)</f>
        <v>500</v>
      </c>
      <c r="I2001" s="5" t="str">
        <f>IFERROR(__xludf.DUMMYFUNCTION("""COMPUTED_VALUE"""),"Fantastic Mr. Fox")</f>
        <v>Fantastic Mr. Fox</v>
      </c>
      <c r="J2001" s="5" t="str">
        <f>IFERROR(__xludf.DUMMYFUNCTION("""COMPUTED_VALUE"""),"Jason Schwartzman")</f>
        <v>Jason Schwartzman</v>
      </c>
      <c r="K2001" s="5" t="str">
        <f>IFERROR(__xludf.DUMMYFUNCTION("""COMPUTED_VALUE"""),"Estrela 4")</f>
        <v>Estrela 4</v>
      </c>
      <c r="P2001" s="5">
        <f>IFERROR(__xludf.DUMMYFUNCTION("""COMPUTED_VALUE"""),500.0)</f>
        <v>500</v>
      </c>
      <c r="Q2001" s="5" t="str">
        <f>IFERROR(__xludf.DUMMYFUNCTION("""COMPUTED_VALUE"""),"Fantastic Mr. Fox")</f>
        <v>Fantastic Mr. Fox</v>
      </c>
      <c r="R2001" s="5" t="str">
        <f>IFERROR(__xludf.DUMMYFUNCTION("""COMPUTED_VALUE"""),"Jason Schwartzman")</f>
        <v>Jason Schwartzman</v>
      </c>
      <c r="S2001" s="5" t="str">
        <f>IFERROR(__xludf.DUMMYFUNCTION("""COMPUTED_VALUE"""),"Estrela 4")</f>
        <v>Estrela 4</v>
      </c>
    </row>
    <row r="2002">
      <c r="G2002" s="5" t="str">
        <f>IFERROR(__xludf.DUMMYFUNCTION("""COMPUTED_VALUE"""),"501🤙🏼C.R.A.Z.Y.🤙🏼Michel Côté🤙🏼Estrela 1")</f>
        <v>501🤙🏼C.R.A.Z.Y.🤙🏼Michel Côté🤙🏼Estrela 1</v>
      </c>
      <c r="H2002" s="5">
        <f>IFERROR(__xludf.DUMMYFUNCTION("SPLiT(G2002, ""🤙🏼"",FALSE,FALSE)"),501.0)</f>
        <v>501</v>
      </c>
      <c r="I2002" s="5" t="str">
        <f>IFERROR(__xludf.DUMMYFUNCTION("""COMPUTED_VALUE"""),"C.R.A.Z.Y.")</f>
        <v>C.R.A.Z.Y.</v>
      </c>
      <c r="J2002" s="5" t="str">
        <f>IFERROR(__xludf.DUMMYFUNCTION("""COMPUTED_VALUE"""),"Michel Côté")</f>
        <v>Michel Côté</v>
      </c>
      <c r="K2002" s="5" t="str">
        <f>IFERROR(__xludf.DUMMYFUNCTION("""COMPUTED_VALUE"""),"Estrela 1")</f>
        <v>Estrela 1</v>
      </c>
      <c r="P2002" s="5">
        <f>IFERROR(__xludf.DUMMYFUNCTION("""COMPUTED_VALUE"""),501.0)</f>
        <v>501</v>
      </c>
      <c r="Q2002" s="5" t="str">
        <f>IFERROR(__xludf.DUMMYFUNCTION("""COMPUTED_VALUE"""),"C.R.A.Z.Y.")</f>
        <v>C.R.A.Z.Y.</v>
      </c>
      <c r="R2002" s="5" t="str">
        <f>IFERROR(__xludf.DUMMYFUNCTION("""COMPUTED_VALUE"""),"Michel Côté")</f>
        <v>Michel Côté</v>
      </c>
      <c r="S2002" s="5" t="str">
        <f>IFERROR(__xludf.DUMMYFUNCTION("""COMPUTED_VALUE"""),"Estrela 1")</f>
        <v>Estrela 1</v>
      </c>
    </row>
    <row r="2003">
      <c r="G2003" s="5" t="str">
        <f>IFERROR(__xludf.DUMMYFUNCTION("""COMPUTED_VALUE"""),"501🤙🏼C.R.A.Z.Y.🤙🏼Marc-André Grondin🤙🏼Estrela 2")</f>
        <v>501🤙🏼C.R.A.Z.Y.🤙🏼Marc-André Grondin🤙🏼Estrela 2</v>
      </c>
      <c r="H2003" s="5">
        <f>IFERROR(__xludf.DUMMYFUNCTION("SPLiT(G2003, ""🤙🏼"",FALSE,FALSE)"),501.0)</f>
        <v>501</v>
      </c>
      <c r="I2003" s="5" t="str">
        <f>IFERROR(__xludf.DUMMYFUNCTION("""COMPUTED_VALUE"""),"C.R.A.Z.Y.")</f>
        <v>C.R.A.Z.Y.</v>
      </c>
      <c r="J2003" s="5" t="str">
        <f>IFERROR(__xludf.DUMMYFUNCTION("""COMPUTED_VALUE"""),"Marc-André Grondin")</f>
        <v>Marc-André Grondin</v>
      </c>
      <c r="K2003" s="5" t="str">
        <f>IFERROR(__xludf.DUMMYFUNCTION("""COMPUTED_VALUE"""),"Estrela 2")</f>
        <v>Estrela 2</v>
      </c>
      <c r="P2003" s="5">
        <f>IFERROR(__xludf.DUMMYFUNCTION("""COMPUTED_VALUE"""),501.0)</f>
        <v>501</v>
      </c>
      <c r="Q2003" s="5" t="str">
        <f>IFERROR(__xludf.DUMMYFUNCTION("""COMPUTED_VALUE"""),"C.R.A.Z.Y.")</f>
        <v>C.R.A.Z.Y.</v>
      </c>
      <c r="R2003" s="5" t="str">
        <f>IFERROR(__xludf.DUMMYFUNCTION("""COMPUTED_VALUE"""),"Marc-André Grondin")</f>
        <v>Marc-André Grondin</v>
      </c>
      <c r="S2003" s="5" t="str">
        <f>IFERROR(__xludf.DUMMYFUNCTION("""COMPUTED_VALUE"""),"Estrela 2")</f>
        <v>Estrela 2</v>
      </c>
    </row>
    <row r="2004">
      <c r="G2004" s="5" t="str">
        <f>IFERROR(__xludf.DUMMYFUNCTION("""COMPUTED_VALUE"""),"501🤙🏼C.R.A.Z.Y.🤙🏼Danielle Proulx🤙🏼Estrela 3")</f>
        <v>501🤙🏼C.R.A.Z.Y.🤙🏼Danielle Proulx🤙🏼Estrela 3</v>
      </c>
      <c r="H2004" s="5">
        <f>IFERROR(__xludf.DUMMYFUNCTION("SPLiT(G2004, ""🤙🏼"",FALSE,FALSE)"),501.0)</f>
        <v>501</v>
      </c>
      <c r="I2004" s="5" t="str">
        <f>IFERROR(__xludf.DUMMYFUNCTION("""COMPUTED_VALUE"""),"C.R.A.Z.Y.")</f>
        <v>C.R.A.Z.Y.</v>
      </c>
      <c r="J2004" s="5" t="str">
        <f>IFERROR(__xludf.DUMMYFUNCTION("""COMPUTED_VALUE"""),"Danielle Proulx")</f>
        <v>Danielle Proulx</v>
      </c>
      <c r="K2004" s="5" t="str">
        <f>IFERROR(__xludf.DUMMYFUNCTION("""COMPUTED_VALUE"""),"Estrela 3")</f>
        <v>Estrela 3</v>
      </c>
      <c r="P2004" s="5">
        <f>IFERROR(__xludf.DUMMYFUNCTION("""COMPUTED_VALUE"""),501.0)</f>
        <v>501</v>
      </c>
      <c r="Q2004" s="5" t="str">
        <f>IFERROR(__xludf.DUMMYFUNCTION("""COMPUTED_VALUE"""),"C.R.A.Z.Y.")</f>
        <v>C.R.A.Z.Y.</v>
      </c>
      <c r="R2004" s="5" t="str">
        <f>IFERROR(__xludf.DUMMYFUNCTION("""COMPUTED_VALUE"""),"Danielle Proulx")</f>
        <v>Danielle Proulx</v>
      </c>
      <c r="S2004" s="5" t="str">
        <f>IFERROR(__xludf.DUMMYFUNCTION("""COMPUTED_VALUE"""),"Estrela 3")</f>
        <v>Estrela 3</v>
      </c>
    </row>
    <row r="2005">
      <c r="G2005" s="5" t="str">
        <f>IFERROR(__xludf.DUMMYFUNCTION("""COMPUTED_VALUE"""),"501🤙🏼C.R.A.Z.Y.🤙🏼Émile Vallée🤙🏼Estrela 4")</f>
        <v>501🤙🏼C.R.A.Z.Y.🤙🏼Émile Vallée🤙🏼Estrela 4</v>
      </c>
      <c r="H2005" s="5">
        <f>IFERROR(__xludf.DUMMYFUNCTION("SPLiT(G2005, ""🤙🏼"",FALSE,FALSE)"),501.0)</f>
        <v>501</v>
      </c>
      <c r="I2005" s="5" t="str">
        <f>IFERROR(__xludf.DUMMYFUNCTION("""COMPUTED_VALUE"""),"C.R.A.Z.Y.")</f>
        <v>C.R.A.Z.Y.</v>
      </c>
      <c r="J2005" s="5" t="str">
        <f>IFERROR(__xludf.DUMMYFUNCTION("""COMPUTED_VALUE"""),"Émile Vallée")</f>
        <v>Émile Vallée</v>
      </c>
      <c r="K2005" s="5" t="str">
        <f>IFERROR(__xludf.DUMMYFUNCTION("""COMPUTED_VALUE"""),"Estrela 4")</f>
        <v>Estrela 4</v>
      </c>
      <c r="P2005" s="5">
        <f>IFERROR(__xludf.DUMMYFUNCTION("""COMPUTED_VALUE"""),501.0)</f>
        <v>501</v>
      </c>
      <c r="Q2005" s="5" t="str">
        <f>IFERROR(__xludf.DUMMYFUNCTION("""COMPUTED_VALUE"""),"C.R.A.Z.Y.")</f>
        <v>C.R.A.Z.Y.</v>
      </c>
      <c r="R2005" s="5" t="str">
        <f>IFERROR(__xludf.DUMMYFUNCTION("""COMPUTED_VALUE"""),"Émile Vallée")</f>
        <v>Émile Vallée</v>
      </c>
      <c r="S2005" s="5" t="str">
        <f>IFERROR(__xludf.DUMMYFUNCTION("""COMPUTED_VALUE"""),"Estrela 4")</f>
        <v>Estrela 4</v>
      </c>
    </row>
    <row r="2006">
      <c r="G2006" s="5" t="str">
        <f>IFERROR(__xludf.DUMMYFUNCTION("""COMPUTED_VALUE"""),"502🤙🏼Les choristes🤙🏼Gérard Jugnot🤙🏼Estrela 1")</f>
        <v>502🤙🏼Les choristes🤙🏼Gérard Jugnot🤙🏼Estrela 1</v>
      </c>
      <c r="H2006" s="5">
        <f>IFERROR(__xludf.DUMMYFUNCTION("SPLiT(G2006, ""🤙🏼"",FALSE,FALSE)"),502.0)</f>
        <v>502</v>
      </c>
      <c r="I2006" s="5" t="str">
        <f>IFERROR(__xludf.DUMMYFUNCTION("""COMPUTED_VALUE"""),"Les choristes")</f>
        <v>Les choristes</v>
      </c>
      <c r="J2006" s="5" t="str">
        <f>IFERROR(__xludf.DUMMYFUNCTION("""COMPUTED_VALUE"""),"Gérard Jugnot")</f>
        <v>Gérard Jugnot</v>
      </c>
      <c r="K2006" s="5" t="str">
        <f>IFERROR(__xludf.DUMMYFUNCTION("""COMPUTED_VALUE"""),"Estrela 1")</f>
        <v>Estrela 1</v>
      </c>
      <c r="P2006" s="5">
        <f>IFERROR(__xludf.DUMMYFUNCTION("""COMPUTED_VALUE"""),502.0)</f>
        <v>502</v>
      </c>
      <c r="Q2006" s="5" t="str">
        <f>IFERROR(__xludf.DUMMYFUNCTION("""COMPUTED_VALUE"""),"Les choristes")</f>
        <v>Les choristes</v>
      </c>
      <c r="R2006" s="5" t="str">
        <f>IFERROR(__xludf.DUMMYFUNCTION("""COMPUTED_VALUE"""),"Gérard Jugnot")</f>
        <v>Gérard Jugnot</v>
      </c>
      <c r="S2006" s="5" t="str">
        <f>IFERROR(__xludf.DUMMYFUNCTION("""COMPUTED_VALUE"""),"Estrela 1")</f>
        <v>Estrela 1</v>
      </c>
    </row>
    <row r="2007">
      <c r="G2007" s="5" t="str">
        <f>IFERROR(__xludf.DUMMYFUNCTION("""COMPUTED_VALUE"""),"502🤙🏼Les choristes🤙🏼François Berléand🤙🏼Estrela 2")</f>
        <v>502🤙🏼Les choristes🤙🏼François Berléand🤙🏼Estrela 2</v>
      </c>
      <c r="H2007" s="5">
        <f>IFERROR(__xludf.DUMMYFUNCTION("SPLiT(G2007, ""🤙🏼"",FALSE,FALSE)"),502.0)</f>
        <v>502</v>
      </c>
      <c r="I2007" s="5" t="str">
        <f>IFERROR(__xludf.DUMMYFUNCTION("""COMPUTED_VALUE"""),"Les choristes")</f>
        <v>Les choristes</v>
      </c>
      <c r="J2007" s="5" t="str">
        <f>IFERROR(__xludf.DUMMYFUNCTION("""COMPUTED_VALUE"""),"François Berléand")</f>
        <v>François Berléand</v>
      </c>
      <c r="K2007" s="5" t="str">
        <f>IFERROR(__xludf.DUMMYFUNCTION("""COMPUTED_VALUE"""),"Estrela 2")</f>
        <v>Estrela 2</v>
      </c>
      <c r="P2007" s="5">
        <f>IFERROR(__xludf.DUMMYFUNCTION("""COMPUTED_VALUE"""),502.0)</f>
        <v>502</v>
      </c>
      <c r="Q2007" s="5" t="str">
        <f>IFERROR(__xludf.DUMMYFUNCTION("""COMPUTED_VALUE"""),"Les choristes")</f>
        <v>Les choristes</v>
      </c>
      <c r="R2007" s="5" t="str">
        <f>IFERROR(__xludf.DUMMYFUNCTION("""COMPUTED_VALUE"""),"François Berléand")</f>
        <v>François Berléand</v>
      </c>
      <c r="S2007" s="5" t="str">
        <f>IFERROR(__xludf.DUMMYFUNCTION("""COMPUTED_VALUE"""),"Estrela 2")</f>
        <v>Estrela 2</v>
      </c>
    </row>
    <row r="2008">
      <c r="G2008" s="5" t="str">
        <f>IFERROR(__xludf.DUMMYFUNCTION("""COMPUTED_VALUE"""),"502🤙🏼Les choristes🤙🏼Jean-Baptiste Maunier🤙🏼Estrela 3")</f>
        <v>502🤙🏼Les choristes🤙🏼Jean-Baptiste Maunier🤙🏼Estrela 3</v>
      </c>
      <c r="H2008" s="5">
        <f>IFERROR(__xludf.DUMMYFUNCTION("SPLiT(G2008, ""🤙🏼"",FALSE,FALSE)"),502.0)</f>
        <v>502</v>
      </c>
      <c r="I2008" s="5" t="str">
        <f>IFERROR(__xludf.DUMMYFUNCTION("""COMPUTED_VALUE"""),"Les choristes")</f>
        <v>Les choristes</v>
      </c>
      <c r="J2008" s="5" t="str">
        <f>IFERROR(__xludf.DUMMYFUNCTION("""COMPUTED_VALUE"""),"Jean-Baptiste Maunier")</f>
        <v>Jean-Baptiste Maunier</v>
      </c>
      <c r="K2008" s="5" t="str">
        <f>IFERROR(__xludf.DUMMYFUNCTION("""COMPUTED_VALUE"""),"Estrela 3")</f>
        <v>Estrela 3</v>
      </c>
      <c r="P2008" s="5">
        <f>IFERROR(__xludf.DUMMYFUNCTION("""COMPUTED_VALUE"""),502.0)</f>
        <v>502</v>
      </c>
      <c r="Q2008" s="5" t="str">
        <f>IFERROR(__xludf.DUMMYFUNCTION("""COMPUTED_VALUE"""),"Les choristes")</f>
        <v>Les choristes</v>
      </c>
      <c r="R2008" s="5" t="str">
        <f>IFERROR(__xludf.DUMMYFUNCTION("""COMPUTED_VALUE"""),"Jean-Baptiste Maunier")</f>
        <v>Jean-Baptiste Maunier</v>
      </c>
      <c r="S2008" s="5" t="str">
        <f>IFERROR(__xludf.DUMMYFUNCTION("""COMPUTED_VALUE"""),"Estrela 3")</f>
        <v>Estrela 3</v>
      </c>
    </row>
    <row r="2009">
      <c r="G2009" s="5" t="str">
        <f>IFERROR(__xludf.DUMMYFUNCTION("""COMPUTED_VALUE"""),"502🤙🏼Les choristes🤙🏼Kad Merad🤙🏼Estrela 4")</f>
        <v>502🤙🏼Les choristes🤙🏼Kad Merad🤙🏼Estrela 4</v>
      </c>
      <c r="H2009" s="5">
        <f>IFERROR(__xludf.DUMMYFUNCTION("SPLiT(G2009, ""🤙🏼"",FALSE,FALSE)"),502.0)</f>
        <v>502</v>
      </c>
      <c r="I2009" s="5" t="str">
        <f>IFERROR(__xludf.DUMMYFUNCTION("""COMPUTED_VALUE"""),"Les choristes")</f>
        <v>Les choristes</v>
      </c>
      <c r="J2009" s="5" t="str">
        <f>IFERROR(__xludf.DUMMYFUNCTION("""COMPUTED_VALUE"""),"Kad Merad")</f>
        <v>Kad Merad</v>
      </c>
      <c r="K2009" s="5" t="str">
        <f>IFERROR(__xludf.DUMMYFUNCTION("""COMPUTED_VALUE"""),"Estrela 4")</f>
        <v>Estrela 4</v>
      </c>
      <c r="P2009" s="5">
        <f>IFERROR(__xludf.DUMMYFUNCTION("""COMPUTED_VALUE"""),502.0)</f>
        <v>502</v>
      </c>
      <c r="Q2009" s="5" t="str">
        <f>IFERROR(__xludf.DUMMYFUNCTION("""COMPUTED_VALUE"""),"Les choristes")</f>
        <v>Les choristes</v>
      </c>
      <c r="R2009" s="5" t="str">
        <f>IFERROR(__xludf.DUMMYFUNCTION("""COMPUTED_VALUE"""),"Kad Merad")</f>
        <v>Kad Merad</v>
      </c>
      <c r="S2009" s="5" t="str">
        <f>IFERROR(__xludf.DUMMYFUNCTION("""COMPUTED_VALUE"""),"Estrela 4")</f>
        <v>Estrela 4</v>
      </c>
    </row>
    <row r="2010">
      <c r="G2010" s="5" t="str">
        <f>IFERROR(__xludf.DUMMYFUNCTION("""COMPUTED_VALUE"""),"503🤙🏼Iron Man🤙🏼Robert Downey Jr.🤙🏼Estrela 1")</f>
        <v>503🤙🏼Iron Man🤙🏼Robert Downey Jr.🤙🏼Estrela 1</v>
      </c>
      <c r="H2010" s="5">
        <f>IFERROR(__xludf.DUMMYFUNCTION("SPLiT(G2010, ""🤙🏼"",FALSE,FALSE)"),503.0)</f>
        <v>503</v>
      </c>
      <c r="I2010" s="5" t="str">
        <f>IFERROR(__xludf.DUMMYFUNCTION("""COMPUTED_VALUE"""),"Iron Man")</f>
        <v>Iron Man</v>
      </c>
      <c r="J2010" s="5" t="str">
        <f>IFERROR(__xludf.DUMMYFUNCTION("""COMPUTED_VALUE"""),"Robert Downey Jr.")</f>
        <v>Robert Downey Jr.</v>
      </c>
      <c r="K2010" s="5" t="str">
        <f>IFERROR(__xludf.DUMMYFUNCTION("""COMPUTED_VALUE"""),"Estrela 1")</f>
        <v>Estrela 1</v>
      </c>
      <c r="P2010" s="5">
        <f>IFERROR(__xludf.DUMMYFUNCTION("""COMPUTED_VALUE"""),503.0)</f>
        <v>503</v>
      </c>
      <c r="Q2010" s="5" t="str">
        <f>IFERROR(__xludf.DUMMYFUNCTION("""COMPUTED_VALUE"""),"Iron Man")</f>
        <v>Iron Man</v>
      </c>
      <c r="R2010" s="5" t="str">
        <f>IFERROR(__xludf.DUMMYFUNCTION("""COMPUTED_VALUE"""),"Robert Downey Jr.")</f>
        <v>Robert Downey Jr.</v>
      </c>
      <c r="S2010" s="5" t="str">
        <f>IFERROR(__xludf.DUMMYFUNCTION("""COMPUTED_VALUE"""),"Estrela 1")</f>
        <v>Estrela 1</v>
      </c>
    </row>
    <row r="2011">
      <c r="G2011" s="5" t="str">
        <f>IFERROR(__xludf.DUMMYFUNCTION("""COMPUTED_VALUE"""),"503🤙🏼Iron Man🤙🏼Gwyneth Paltrow🤙🏼Estrela 2")</f>
        <v>503🤙🏼Iron Man🤙🏼Gwyneth Paltrow🤙🏼Estrela 2</v>
      </c>
      <c r="H2011" s="5">
        <f>IFERROR(__xludf.DUMMYFUNCTION("SPLiT(G2011, ""🤙🏼"",FALSE,FALSE)"),503.0)</f>
        <v>503</v>
      </c>
      <c r="I2011" s="5" t="str">
        <f>IFERROR(__xludf.DUMMYFUNCTION("""COMPUTED_VALUE"""),"Iron Man")</f>
        <v>Iron Man</v>
      </c>
      <c r="J2011" s="5" t="str">
        <f>IFERROR(__xludf.DUMMYFUNCTION("""COMPUTED_VALUE"""),"Gwyneth Paltrow")</f>
        <v>Gwyneth Paltrow</v>
      </c>
      <c r="K2011" s="5" t="str">
        <f>IFERROR(__xludf.DUMMYFUNCTION("""COMPUTED_VALUE"""),"Estrela 2")</f>
        <v>Estrela 2</v>
      </c>
      <c r="P2011" s="5">
        <f>IFERROR(__xludf.DUMMYFUNCTION("""COMPUTED_VALUE"""),503.0)</f>
        <v>503</v>
      </c>
      <c r="Q2011" s="5" t="str">
        <f>IFERROR(__xludf.DUMMYFUNCTION("""COMPUTED_VALUE"""),"Iron Man")</f>
        <v>Iron Man</v>
      </c>
      <c r="R2011" s="5" t="str">
        <f>IFERROR(__xludf.DUMMYFUNCTION("""COMPUTED_VALUE"""),"Gwyneth Paltrow")</f>
        <v>Gwyneth Paltrow</v>
      </c>
      <c r="S2011" s="5" t="str">
        <f>IFERROR(__xludf.DUMMYFUNCTION("""COMPUTED_VALUE"""),"Estrela 2")</f>
        <v>Estrela 2</v>
      </c>
    </row>
    <row r="2012">
      <c r="G2012" s="5" t="str">
        <f>IFERROR(__xludf.DUMMYFUNCTION("""COMPUTED_VALUE"""),"503🤙🏼Iron Man🤙🏼Terrence Howard🤙🏼Estrela 3")</f>
        <v>503🤙🏼Iron Man🤙🏼Terrence Howard🤙🏼Estrela 3</v>
      </c>
      <c r="H2012" s="5">
        <f>IFERROR(__xludf.DUMMYFUNCTION("SPLiT(G2012, ""🤙🏼"",FALSE,FALSE)"),503.0)</f>
        <v>503</v>
      </c>
      <c r="I2012" s="5" t="str">
        <f>IFERROR(__xludf.DUMMYFUNCTION("""COMPUTED_VALUE"""),"Iron Man")</f>
        <v>Iron Man</v>
      </c>
      <c r="J2012" s="5" t="str">
        <f>IFERROR(__xludf.DUMMYFUNCTION("""COMPUTED_VALUE"""),"Terrence Howard")</f>
        <v>Terrence Howard</v>
      </c>
      <c r="K2012" s="5" t="str">
        <f>IFERROR(__xludf.DUMMYFUNCTION("""COMPUTED_VALUE"""),"Estrela 3")</f>
        <v>Estrela 3</v>
      </c>
      <c r="P2012" s="5">
        <f>IFERROR(__xludf.DUMMYFUNCTION("""COMPUTED_VALUE"""),503.0)</f>
        <v>503</v>
      </c>
      <c r="Q2012" s="5" t="str">
        <f>IFERROR(__xludf.DUMMYFUNCTION("""COMPUTED_VALUE"""),"Iron Man")</f>
        <v>Iron Man</v>
      </c>
      <c r="R2012" s="5" t="str">
        <f>IFERROR(__xludf.DUMMYFUNCTION("""COMPUTED_VALUE"""),"Terrence Howard")</f>
        <v>Terrence Howard</v>
      </c>
      <c r="S2012" s="5" t="str">
        <f>IFERROR(__xludf.DUMMYFUNCTION("""COMPUTED_VALUE"""),"Estrela 3")</f>
        <v>Estrela 3</v>
      </c>
    </row>
    <row r="2013">
      <c r="G2013" s="5" t="str">
        <f>IFERROR(__xludf.DUMMYFUNCTION("""COMPUTED_VALUE"""),"503🤙🏼Iron Man🤙🏼Jeff Bridges🤙🏼Estrela 4")</f>
        <v>503🤙🏼Iron Man🤙🏼Jeff Bridges🤙🏼Estrela 4</v>
      </c>
      <c r="H2013" s="5">
        <f>IFERROR(__xludf.DUMMYFUNCTION("SPLiT(G2013, ""🤙🏼"",FALSE,FALSE)"),503.0)</f>
        <v>503</v>
      </c>
      <c r="I2013" s="5" t="str">
        <f>IFERROR(__xludf.DUMMYFUNCTION("""COMPUTED_VALUE"""),"Iron Man")</f>
        <v>Iron Man</v>
      </c>
      <c r="J2013" s="5" t="str">
        <f>IFERROR(__xludf.DUMMYFUNCTION("""COMPUTED_VALUE"""),"Jeff Bridges")</f>
        <v>Jeff Bridges</v>
      </c>
      <c r="K2013" s="5" t="str">
        <f>IFERROR(__xludf.DUMMYFUNCTION("""COMPUTED_VALUE"""),"Estrela 4")</f>
        <v>Estrela 4</v>
      </c>
      <c r="P2013" s="5">
        <f>IFERROR(__xludf.DUMMYFUNCTION("""COMPUTED_VALUE"""),503.0)</f>
        <v>503</v>
      </c>
      <c r="Q2013" s="5" t="str">
        <f>IFERROR(__xludf.DUMMYFUNCTION("""COMPUTED_VALUE"""),"Iron Man")</f>
        <v>Iron Man</v>
      </c>
      <c r="R2013" s="5" t="str">
        <f>IFERROR(__xludf.DUMMYFUNCTION("""COMPUTED_VALUE"""),"Jeff Bridges")</f>
        <v>Jeff Bridges</v>
      </c>
      <c r="S2013" s="5" t="str">
        <f>IFERROR(__xludf.DUMMYFUNCTION("""COMPUTED_VALUE"""),"Estrela 4")</f>
        <v>Estrela 4</v>
      </c>
    </row>
    <row r="2014">
      <c r="G2014" s="5" t="str">
        <f>IFERROR(__xludf.DUMMYFUNCTION("""COMPUTED_VALUE"""),"504🤙🏼Shaun of the Dead🤙🏼Simon Pegg🤙🏼Estrela 1")</f>
        <v>504🤙🏼Shaun of the Dead🤙🏼Simon Pegg🤙🏼Estrela 1</v>
      </c>
      <c r="H2014" s="5">
        <f>IFERROR(__xludf.DUMMYFUNCTION("SPLiT(G2014, ""🤙🏼"",FALSE,FALSE)"),504.0)</f>
        <v>504</v>
      </c>
      <c r="I2014" s="5" t="str">
        <f>IFERROR(__xludf.DUMMYFUNCTION("""COMPUTED_VALUE"""),"Shaun of the Dead")</f>
        <v>Shaun of the Dead</v>
      </c>
      <c r="J2014" s="5" t="str">
        <f>IFERROR(__xludf.DUMMYFUNCTION("""COMPUTED_VALUE"""),"Simon Pegg")</f>
        <v>Simon Pegg</v>
      </c>
      <c r="K2014" s="5" t="str">
        <f>IFERROR(__xludf.DUMMYFUNCTION("""COMPUTED_VALUE"""),"Estrela 1")</f>
        <v>Estrela 1</v>
      </c>
      <c r="P2014" s="5">
        <f>IFERROR(__xludf.DUMMYFUNCTION("""COMPUTED_VALUE"""),504.0)</f>
        <v>504</v>
      </c>
      <c r="Q2014" s="5" t="str">
        <f>IFERROR(__xludf.DUMMYFUNCTION("""COMPUTED_VALUE"""),"Shaun of the Dead")</f>
        <v>Shaun of the Dead</v>
      </c>
      <c r="R2014" s="5" t="str">
        <f>IFERROR(__xludf.DUMMYFUNCTION("""COMPUTED_VALUE"""),"Simon Pegg")</f>
        <v>Simon Pegg</v>
      </c>
      <c r="S2014" s="5" t="str">
        <f>IFERROR(__xludf.DUMMYFUNCTION("""COMPUTED_VALUE"""),"Estrela 1")</f>
        <v>Estrela 1</v>
      </c>
    </row>
    <row r="2015">
      <c r="G2015" s="5" t="str">
        <f>IFERROR(__xludf.DUMMYFUNCTION("""COMPUTED_VALUE"""),"504🤙🏼Shaun of the Dead🤙🏼Nick Frost🤙🏼Estrela 2")</f>
        <v>504🤙🏼Shaun of the Dead🤙🏼Nick Frost🤙🏼Estrela 2</v>
      </c>
      <c r="H2015" s="5">
        <f>IFERROR(__xludf.DUMMYFUNCTION("SPLiT(G2015, ""🤙🏼"",FALSE,FALSE)"),504.0)</f>
        <v>504</v>
      </c>
      <c r="I2015" s="5" t="str">
        <f>IFERROR(__xludf.DUMMYFUNCTION("""COMPUTED_VALUE"""),"Shaun of the Dead")</f>
        <v>Shaun of the Dead</v>
      </c>
      <c r="J2015" s="5" t="str">
        <f>IFERROR(__xludf.DUMMYFUNCTION("""COMPUTED_VALUE"""),"Nick Frost")</f>
        <v>Nick Frost</v>
      </c>
      <c r="K2015" s="5" t="str">
        <f>IFERROR(__xludf.DUMMYFUNCTION("""COMPUTED_VALUE"""),"Estrela 2")</f>
        <v>Estrela 2</v>
      </c>
      <c r="P2015" s="5">
        <f>IFERROR(__xludf.DUMMYFUNCTION("""COMPUTED_VALUE"""),504.0)</f>
        <v>504</v>
      </c>
      <c r="Q2015" s="5" t="str">
        <f>IFERROR(__xludf.DUMMYFUNCTION("""COMPUTED_VALUE"""),"Shaun of the Dead")</f>
        <v>Shaun of the Dead</v>
      </c>
      <c r="R2015" s="5" t="str">
        <f>IFERROR(__xludf.DUMMYFUNCTION("""COMPUTED_VALUE"""),"Nick Frost")</f>
        <v>Nick Frost</v>
      </c>
      <c r="S2015" s="5" t="str">
        <f>IFERROR(__xludf.DUMMYFUNCTION("""COMPUTED_VALUE"""),"Estrela 2")</f>
        <v>Estrela 2</v>
      </c>
    </row>
    <row r="2016">
      <c r="G2016" s="5" t="str">
        <f>IFERROR(__xludf.DUMMYFUNCTION("""COMPUTED_VALUE"""),"504🤙🏼Shaun of the Dead🤙🏼Kate Ashfield🤙🏼Estrela 3")</f>
        <v>504🤙🏼Shaun of the Dead🤙🏼Kate Ashfield🤙🏼Estrela 3</v>
      </c>
      <c r="H2016" s="5">
        <f>IFERROR(__xludf.DUMMYFUNCTION("SPLiT(G2016, ""🤙🏼"",FALSE,FALSE)"),504.0)</f>
        <v>504</v>
      </c>
      <c r="I2016" s="5" t="str">
        <f>IFERROR(__xludf.DUMMYFUNCTION("""COMPUTED_VALUE"""),"Shaun of the Dead")</f>
        <v>Shaun of the Dead</v>
      </c>
      <c r="J2016" s="5" t="str">
        <f>IFERROR(__xludf.DUMMYFUNCTION("""COMPUTED_VALUE"""),"Kate Ashfield")</f>
        <v>Kate Ashfield</v>
      </c>
      <c r="K2016" s="5" t="str">
        <f>IFERROR(__xludf.DUMMYFUNCTION("""COMPUTED_VALUE"""),"Estrela 3")</f>
        <v>Estrela 3</v>
      </c>
      <c r="P2016" s="5">
        <f>IFERROR(__xludf.DUMMYFUNCTION("""COMPUTED_VALUE"""),504.0)</f>
        <v>504</v>
      </c>
      <c r="Q2016" s="5" t="str">
        <f>IFERROR(__xludf.DUMMYFUNCTION("""COMPUTED_VALUE"""),"Shaun of the Dead")</f>
        <v>Shaun of the Dead</v>
      </c>
      <c r="R2016" s="5" t="str">
        <f>IFERROR(__xludf.DUMMYFUNCTION("""COMPUTED_VALUE"""),"Kate Ashfield")</f>
        <v>Kate Ashfield</v>
      </c>
      <c r="S2016" s="5" t="str">
        <f>IFERROR(__xludf.DUMMYFUNCTION("""COMPUTED_VALUE"""),"Estrela 3")</f>
        <v>Estrela 3</v>
      </c>
    </row>
    <row r="2017">
      <c r="G2017" s="5" t="str">
        <f>IFERROR(__xludf.DUMMYFUNCTION("""COMPUTED_VALUE"""),"504🤙🏼Shaun of the Dead🤙🏼Lucy Davis🤙🏼Estrela 4")</f>
        <v>504🤙🏼Shaun of the Dead🤙🏼Lucy Davis🤙🏼Estrela 4</v>
      </c>
      <c r="H2017" s="5">
        <f>IFERROR(__xludf.DUMMYFUNCTION("SPLiT(G2017, ""🤙🏼"",FALSE,FALSE)"),504.0)</f>
        <v>504</v>
      </c>
      <c r="I2017" s="5" t="str">
        <f>IFERROR(__xludf.DUMMYFUNCTION("""COMPUTED_VALUE"""),"Shaun of the Dead")</f>
        <v>Shaun of the Dead</v>
      </c>
      <c r="J2017" s="5" t="str">
        <f>IFERROR(__xludf.DUMMYFUNCTION("""COMPUTED_VALUE"""),"Lucy Davis")</f>
        <v>Lucy Davis</v>
      </c>
      <c r="K2017" s="5" t="str">
        <f>IFERROR(__xludf.DUMMYFUNCTION("""COMPUTED_VALUE"""),"Estrela 4")</f>
        <v>Estrela 4</v>
      </c>
      <c r="P2017" s="5">
        <f>IFERROR(__xludf.DUMMYFUNCTION("""COMPUTED_VALUE"""),504.0)</f>
        <v>504</v>
      </c>
      <c r="Q2017" s="5" t="str">
        <f>IFERROR(__xludf.DUMMYFUNCTION("""COMPUTED_VALUE"""),"Shaun of the Dead")</f>
        <v>Shaun of the Dead</v>
      </c>
      <c r="R2017" s="5" t="str">
        <f>IFERROR(__xludf.DUMMYFUNCTION("""COMPUTED_VALUE"""),"Lucy Davis")</f>
        <v>Lucy Davis</v>
      </c>
      <c r="S2017" s="5" t="str">
        <f>IFERROR(__xludf.DUMMYFUNCTION("""COMPUTED_VALUE"""),"Estrela 4")</f>
        <v>Estrela 4</v>
      </c>
    </row>
    <row r="2018">
      <c r="G2018" s="5" t="str">
        <f>IFERROR(__xludf.DUMMYFUNCTION("""COMPUTED_VALUE"""),"505🤙🏼Gegen die Wand🤙🏼Birol Ünel🤙🏼Estrela 1")</f>
        <v>505🤙🏼Gegen die Wand🤙🏼Birol Ünel🤙🏼Estrela 1</v>
      </c>
      <c r="H2018" s="5">
        <f>IFERROR(__xludf.DUMMYFUNCTION("SPLiT(G2018, ""🤙🏼"",FALSE,FALSE)"),505.0)</f>
        <v>505</v>
      </c>
      <c r="I2018" s="5" t="str">
        <f>IFERROR(__xludf.DUMMYFUNCTION("""COMPUTED_VALUE"""),"Gegen die Wand")</f>
        <v>Gegen die Wand</v>
      </c>
      <c r="J2018" s="5" t="str">
        <f>IFERROR(__xludf.DUMMYFUNCTION("""COMPUTED_VALUE"""),"Birol Ünel")</f>
        <v>Birol Ünel</v>
      </c>
      <c r="K2018" s="5" t="str">
        <f>IFERROR(__xludf.DUMMYFUNCTION("""COMPUTED_VALUE"""),"Estrela 1")</f>
        <v>Estrela 1</v>
      </c>
      <c r="P2018" s="5">
        <f>IFERROR(__xludf.DUMMYFUNCTION("""COMPUTED_VALUE"""),505.0)</f>
        <v>505</v>
      </c>
      <c r="Q2018" s="5" t="str">
        <f>IFERROR(__xludf.DUMMYFUNCTION("""COMPUTED_VALUE"""),"Gegen die Wand")</f>
        <v>Gegen die Wand</v>
      </c>
      <c r="R2018" s="5" t="str">
        <f>IFERROR(__xludf.DUMMYFUNCTION("""COMPUTED_VALUE"""),"Birol Ünel")</f>
        <v>Birol Ünel</v>
      </c>
      <c r="S2018" s="5" t="str">
        <f>IFERROR(__xludf.DUMMYFUNCTION("""COMPUTED_VALUE"""),"Estrela 1")</f>
        <v>Estrela 1</v>
      </c>
    </row>
    <row r="2019">
      <c r="G2019" s="5" t="str">
        <f>IFERROR(__xludf.DUMMYFUNCTION("""COMPUTED_VALUE"""),"505🤙🏼Gegen die Wand🤙🏼Sibel Kekilli🤙🏼Estrela 2")</f>
        <v>505🤙🏼Gegen die Wand🤙🏼Sibel Kekilli🤙🏼Estrela 2</v>
      </c>
      <c r="H2019" s="5">
        <f>IFERROR(__xludf.DUMMYFUNCTION("SPLiT(G2019, ""🤙🏼"",FALSE,FALSE)"),505.0)</f>
        <v>505</v>
      </c>
      <c r="I2019" s="5" t="str">
        <f>IFERROR(__xludf.DUMMYFUNCTION("""COMPUTED_VALUE"""),"Gegen die Wand")</f>
        <v>Gegen die Wand</v>
      </c>
      <c r="J2019" s="5" t="str">
        <f>IFERROR(__xludf.DUMMYFUNCTION("""COMPUTED_VALUE"""),"Sibel Kekilli")</f>
        <v>Sibel Kekilli</v>
      </c>
      <c r="K2019" s="5" t="str">
        <f>IFERROR(__xludf.DUMMYFUNCTION("""COMPUTED_VALUE"""),"Estrela 2")</f>
        <v>Estrela 2</v>
      </c>
      <c r="P2019" s="5">
        <f>IFERROR(__xludf.DUMMYFUNCTION("""COMPUTED_VALUE"""),505.0)</f>
        <v>505</v>
      </c>
      <c r="Q2019" s="5" t="str">
        <f>IFERROR(__xludf.DUMMYFUNCTION("""COMPUTED_VALUE"""),"Gegen die Wand")</f>
        <v>Gegen die Wand</v>
      </c>
      <c r="R2019" s="5" t="str">
        <f>IFERROR(__xludf.DUMMYFUNCTION("""COMPUTED_VALUE"""),"Sibel Kekilli")</f>
        <v>Sibel Kekilli</v>
      </c>
      <c r="S2019" s="5" t="str">
        <f>IFERROR(__xludf.DUMMYFUNCTION("""COMPUTED_VALUE"""),"Estrela 2")</f>
        <v>Estrela 2</v>
      </c>
    </row>
    <row r="2020">
      <c r="G2020" s="5" t="str">
        <f>IFERROR(__xludf.DUMMYFUNCTION("""COMPUTED_VALUE"""),"505🤙🏼Gegen die Wand🤙🏼Güven Kiraç🤙🏼Estrela 3")</f>
        <v>505🤙🏼Gegen die Wand🤙🏼Güven Kiraç🤙🏼Estrela 3</v>
      </c>
      <c r="H2020" s="5">
        <f>IFERROR(__xludf.DUMMYFUNCTION("SPLiT(G2020, ""🤙🏼"",FALSE,FALSE)"),505.0)</f>
        <v>505</v>
      </c>
      <c r="I2020" s="5" t="str">
        <f>IFERROR(__xludf.DUMMYFUNCTION("""COMPUTED_VALUE"""),"Gegen die Wand")</f>
        <v>Gegen die Wand</v>
      </c>
      <c r="J2020" s="5" t="str">
        <f>IFERROR(__xludf.DUMMYFUNCTION("""COMPUTED_VALUE"""),"Güven Kiraç")</f>
        <v>Güven Kiraç</v>
      </c>
      <c r="K2020" s="5" t="str">
        <f>IFERROR(__xludf.DUMMYFUNCTION("""COMPUTED_VALUE"""),"Estrela 3")</f>
        <v>Estrela 3</v>
      </c>
      <c r="P2020" s="5">
        <f>IFERROR(__xludf.DUMMYFUNCTION("""COMPUTED_VALUE"""),505.0)</f>
        <v>505</v>
      </c>
      <c r="Q2020" s="5" t="str">
        <f>IFERROR(__xludf.DUMMYFUNCTION("""COMPUTED_VALUE"""),"Gegen die Wand")</f>
        <v>Gegen die Wand</v>
      </c>
      <c r="R2020" s="5" t="str">
        <f>IFERROR(__xludf.DUMMYFUNCTION("""COMPUTED_VALUE"""),"Güven Kiraç")</f>
        <v>Güven Kiraç</v>
      </c>
      <c r="S2020" s="5" t="str">
        <f>IFERROR(__xludf.DUMMYFUNCTION("""COMPUTED_VALUE"""),"Estrela 3")</f>
        <v>Estrela 3</v>
      </c>
    </row>
    <row r="2021">
      <c r="G2021" s="5" t="str">
        <f>IFERROR(__xludf.DUMMYFUNCTION("""COMPUTED_VALUE"""),"505🤙🏼Gegen die Wand🤙🏼Zarah Jane McKenzie🤙🏼Estrela 4")</f>
        <v>505🤙🏼Gegen die Wand🤙🏼Zarah Jane McKenzie🤙🏼Estrela 4</v>
      </c>
      <c r="H2021" s="5">
        <f>IFERROR(__xludf.DUMMYFUNCTION("SPLiT(G2021, ""🤙🏼"",FALSE,FALSE)"),505.0)</f>
        <v>505</v>
      </c>
      <c r="I2021" s="5" t="str">
        <f>IFERROR(__xludf.DUMMYFUNCTION("""COMPUTED_VALUE"""),"Gegen die Wand")</f>
        <v>Gegen die Wand</v>
      </c>
      <c r="J2021" s="5" t="str">
        <f>IFERROR(__xludf.DUMMYFUNCTION("""COMPUTED_VALUE"""),"Zarah Jane McKenzie")</f>
        <v>Zarah Jane McKenzie</v>
      </c>
      <c r="K2021" s="5" t="str">
        <f>IFERROR(__xludf.DUMMYFUNCTION("""COMPUTED_VALUE"""),"Estrela 4")</f>
        <v>Estrela 4</v>
      </c>
      <c r="P2021" s="5">
        <f>IFERROR(__xludf.DUMMYFUNCTION("""COMPUTED_VALUE"""),505.0)</f>
        <v>505</v>
      </c>
      <c r="Q2021" s="5" t="str">
        <f>IFERROR(__xludf.DUMMYFUNCTION("""COMPUTED_VALUE"""),"Gegen die Wand")</f>
        <v>Gegen die Wand</v>
      </c>
      <c r="R2021" s="5" t="str">
        <f>IFERROR(__xludf.DUMMYFUNCTION("""COMPUTED_VALUE"""),"Zarah Jane McKenzie")</f>
        <v>Zarah Jane McKenzie</v>
      </c>
      <c r="S2021" s="5" t="str">
        <f>IFERROR(__xludf.DUMMYFUNCTION("""COMPUTED_VALUE"""),"Estrela 4")</f>
        <v>Estrela 4</v>
      </c>
    </row>
    <row r="2022">
      <c r="G2022" s="5" t="str">
        <f>IFERROR(__xludf.DUMMYFUNCTION("""COMPUTED_VALUE"""),"506🤙🏼Mystic River🤙🏼Sean Penn🤙🏼Estrela 1")</f>
        <v>506🤙🏼Mystic River🤙🏼Sean Penn🤙🏼Estrela 1</v>
      </c>
      <c r="H2022" s="5">
        <f>IFERROR(__xludf.DUMMYFUNCTION("SPLiT(G2022, ""🤙🏼"",FALSE,FALSE)"),506.0)</f>
        <v>506</v>
      </c>
      <c r="I2022" s="5" t="str">
        <f>IFERROR(__xludf.DUMMYFUNCTION("""COMPUTED_VALUE"""),"Mystic River")</f>
        <v>Mystic River</v>
      </c>
      <c r="J2022" s="5" t="str">
        <f>IFERROR(__xludf.DUMMYFUNCTION("""COMPUTED_VALUE"""),"Sean Penn")</f>
        <v>Sean Penn</v>
      </c>
      <c r="K2022" s="5" t="str">
        <f>IFERROR(__xludf.DUMMYFUNCTION("""COMPUTED_VALUE"""),"Estrela 1")</f>
        <v>Estrela 1</v>
      </c>
      <c r="P2022" s="5">
        <f>IFERROR(__xludf.DUMMYFUNCTION("""COMPUTED_VALUE"""),506.0)</f>
        <v>506</v>
      </c>
      <c r="Q2022" s="5" t="str">
        <f>IFERROR(__xludf.DUMMYFUNCTION("""COMPUTED_VALUE"""),"Mystic River")</f>
        <v>Mystic River</v>
      </c>
      <c r="R2022" s="5" t="str">
        <f>IFERROR(__xludf.DUMMYFUNCTION("""COMPUTED_VALUE"""),"Sean Penn")</f>
        <v>Sean Penn</v>
      </c>
      <c r="S2022" s="5" t="str">
        <f>IFERROR(__xludf.DUMMYFUNCTION("""COMPUTED_VALUE"""),"Estrela 1")</f>
        <v>Estrela 1</v>
      </c>
    </row>
    <row r="2023">
      <c r="G2023" s="5" t="str">
        <f>IFERROR(__xludf.DUMMYFUNCTION("""COMPUTED_VALUE"""),"506🤙🏼Mystic River🤙🏼Tim Robbins🤙🏼Estrela 2")</f>
        <v>506🤙🏼Mystic River🤙🏼Tim Robbins🤙🏼Estrela 2</v>
      </c>
      <c r="H2023" s="5">
        <f>IFERROR(__xludf.DUMMYFUNCTION("SPLiT(G2023, ""🤙🏼"",FALSE,FALSE)"),506.0)</f>
        <v>506</v>
      </c>
      <c r="I2023" s="5" t="str">
        <f>IFERROR(__xludf.DUMMYFUNCTION("""COMPUTED_VALUE"""),"Mystic River")</f>
        <v>Mystic River</v>
      </c>
      <c r="J2023" s="5" t="str">
        <f>IFERROR(__xludf.DUMMYFUNCTION("""COMPUTED_VALUE"""),"Tim Robbins")</f>
        <v>Tim Robbins</v>
      </c>
      <c r="K2023" s="5" t="str">
        <f>IFERROR(__xludf.DUMMYFUNCTION("""COMPUTED_VALUE"""),"Estrela 2")</f>
        <v>Estrela 2</v>
      </c>
      <c r="P2023" s="5">
        <f>IFERROR(__xludf.DUMMYFUNCTION("""COMPUTED_VALUE"""),506.0)</f>
        <v>506</v>
      </c>
      <c r="Q2023" s="5" t="str">
        <f>IFERROR(__xludf.DUMMYFUNCTION("""COMPUTED_VALUE"""),"Mystic River")</f>
        <v>Mystic River</v>
      </c>
      <c r="R2023" s="5" t="str">
        <f>IFERROR(__xludf.DUMMYFUNCTION("""COMPUTED_VALUE"""),"Tim Robbins")</f>
        <v>Tim Robbins</v>
      </c>
      <c r="S2023" s="5" t="str">
        <f>IFERROR(__xludf.DUMMYFUNCTION("""COMPUTED_VALUE"""),"Estrela 2")</f>
        <v>Estrela 2</v>
      </c>
    </row>
    <row r="2024">
      <c r="G2024" s="5" t="str">
        <f>IFERROR(__xludf.DUMMYFUNCTION("""COMPUTED_VALUE"""),"506🤙🏼Mystic River🤙🏼Kevin Bacon🤙🏼Estrela 3")</f>
        <v>506🤙🏼Mystic River🤙🏼Kevin Bacon🤙🏼Estrela 3</v>
      </c>
      <c r="H2024" s="5">
        <f>IFERROR(__xludf.DUMMYFUNCTION("SPLiT(G2024, ""🤙🏼"",FALSE,FALSE)"),506.0)</f>
        <v>506</v>
      </c>
      <c r="I2024" s="5" t="str">
        <f>IFERROR(__xludf.DUMMYFUNCTION("""COMPUTED_VALUE"""),"Mystic River")</f>
        <v>Mystic River</v>
      </c>
      <c r="J2024" s="5" t="str">
        <f>IFERROR(__xludf.DUMMYFUNCTION("""COMPUTED_VALUE"""),"Kevin Bacon")</f>
        <v>Kevin Bacon</v>
      </c>
      <c r="K2024" s="5" t="str">
        <f>IFERROR(__xludf.DUMMYFUNCTION("""COMPUTED_VALUE"""),"Estrela 3")</f>
        <v>Estrela 3</v>
      </c>
      <c r="P2024" s="5">
        <f>IFERROR(__xludf.DUMMYFUNCTION("""COMPUTED_VALUE"""),506.0)</f>
        <v>506</v>
      </c>
      <c r="Q2024" s="5" t="str">
        <f>IFERROR(__xludf.DUMMYFUNCTION("""COMPUTED_VALUE"""),"Mystic River")</f>
        <v>Mystic River</v>
      </c>
      <c r="R2024" s="5" t="str">
        <f>IFERROR(__xludf.DUMMYFUNCTION("""COMPUTED_VALUE"""),"Kevin Bacon")</f>
        <v>Kevin Bacon</v>
      </c>
      <c r="S2024" s="5" t="str">
        <f>IFERROR(__xludf.DUMMYFUNCTION("""COMPUTED_VALUE"""),"Estrela 3")</f>
        <v>Estrela 3</v>
      </c>
    </row>
    <row r="2025">
      <c r="G2025" s="5" t="str">
        <f>IFERROR(__xludf.DUMMYFUNCTION("""COMPUTED_VALUE"""),"506🤙🏼Mystic River🤙🏼Emmy Rossum🤙🏼Estrela 4")</f>
        <v>506🤙🏼Mystic River🤙🏼Emmy Rossum🤙🏼Estrela 4</v>
      </c>
      <c r="H2025" s="5">
        <f>IFERROR(__xludf.DUMMYFUNCTION("SPLiT(G2025, ""🤙🏼"",FALSE,FALSE)"),506.0)</f>
        <v>506</v>
      </c>
      <c r="I2025" s="5" t="str">
        <f>IFERROR(__xludf.DUMMYFUNCTION("""COMPUTED_VALUE"""),"Mystic River")</f>
        <v>Mystic River</v>
      </c>
      <c r="J2025" s="5" t="str">
        <f>IFERROR(__xludf.DUMMYFUNCTION("""COMPUTED_VALUE"""),"Emmy Rossum")</f>
        <v>Emmy Rossum</v>
      </c>
      <c r="K2025" s="5" t="str">
        <f>IFERROR(__xludf.DUMMYFUNCTION("""COMPUTED_VALUE"""),"Estrela 4")</f>
        <v>Estrela 4</v>
      </c>
      <c r="P2025" s="5">
        <f>IFERROR(__xludf.DUMMYFUNCTION("""COMPUTED_VALUE"""),506.0)</f>
        <v>506</v>
      </c>
      <c r="Q2025" s="5" t="str">
        <f>IFERROR(__xludf.DUMMYFUNCTION("""COMPUTED_VALUE"""),"Mystic River")</f>
        <v>Mystic River</v>
      </c>
      <c r="R2025" s="5" t="str">
        <f>IFERROR(__xludf.DUMMYFUNCTION("""COMPUTED_VALUE"""),"Emmy Rossum")</f>
        <v>Emmy Rossum</v>
      </c>
      <c r="S2025" s="5" t="str">
        <f>IFERROR(__xludf.DUMMYFUNCTION("""COMPUTED_VALUE"""),"Estrela 4")</f>
        <v>Estrela 4</v>
      </c>
    </row>
    <row r="2026">
      <c r="G2026" s="5" t="str">
        <f>IFERROR(__xludf.DUMMYFUNCTION("""COMPUTED_VALUE"""),"507🤙🏼Harry Potter and the Prisoner of Azkaban🤙🏼Daniel Radcliffe🤙🏼Estrela 1")</f>
        <v>507🤙🏼Harry Potter and the Prisoner of Azkaban🤙🏼Daniel Radcliffe🤙🏼Estrela 1</v>
      </c>
      <c r="H2026" s="5">
        <f>IFERROR(__xludf.DUMMYFUNCTION("SPLiT(G2026, ""🤙🏼"",FALSE,FALSE)"),507.0)</f>
        <v>507</v>
      </c>
      <c r="I2026" s="5" t="str">
        <f>IFERROR(__xludf.DUMMYFUNCTION("""COMPUTED_VALUE"""),"Harry Potter and the Prisoner of Azkaban")</f>
        <v>Harry Potter and the Prisoner of Azkaban</v>
      </c>
      <c r="J2026" s="5" t="str">
        <f>IFERROR(__xludf.DUMMYFUNCTION("""COMPUTED_VALUE"""),"Daniel Radcliffe")</f>
        <v>Daniel Radcliffe</v>
      </c>
      <c r="K2026" s="5" t="str">
        <f>IFERROR(__xludf.DUMMYFUNCTION("""COMPUTED_VALUE"""),"Estrela 1")</f>
        <v>Estrela 1</v>
      </c>
      <c r="P2026" s="5">
        <f>IFERROR(__xludf.DUMMYFUNCTION("""COMPUTED_VALUE"""),507.0)</f>
        <v>507</v>
      </c>
      <c r="Q2026" s="5" t="str">
        <f>IFERROR(__xludf.DUMMYFUNCTION("""COMPUTED_VALUE"""),"Harry Potter and the Prisoner of Azkaban")</f>
        <v>Harry Potter and the Prisoner of Azkaban</v>
      </c>
      <c r="R2026" s="5" t="str">
        <f>IFERROR(__xludf.DUMMYFUNCTION("""COMPUTED_VALUE"""),"Daniel Radcliffe")</f>
        <v>Daniel Radcliffe</v>
      </c>
      <c r="S2026" s="5" t="str">
        <f>IFERROR(__xludf.DUMMYFUNCTION("""COMPUTED_VALUE"""),"Estrela 1")</f>
        <v>Estrela 1</v>
      </c>
    </row>
    <row r="2027">
      <c r="G2027" s="5" t="str">
        <f>IFERROR(__xludf.DUMMYFUNCTION("""COMPUTED_VALUE"""),"507🤙🏼Harry Potter and the Prisoner of Azkaban🤙🏼Emma Watson🤙🏼Estrela 2")</f>
        <v>507🤙🏼Harry Potter and the Prisoner of Azkaban🤙🏼Emma Watson🤙🏼Estrela 2</v>
      </c>
      <c r="H2027" s="5">
        <f>IFERROR(__xludf.DUMMYFUNCTION("SPLiT(G2027, ""🤙🏼"",FALSE,FALSE)"),507.0)</f>
        <v>507</v>
      </c>
      <c r="I2027" s="5" t="str">
        <f>IFERROR(__xludf.DUMMYFUNCTION("""COMPUTED_VALUE"""),"Harry Potter and the Prisoner of Azkaban")</f>
        <v>Harry Potter and the Prisoner of Azkaban</v>
      </c>
      <c r="J2027" s="5" t="str">
        <f>IFERROR(__xludf.DUMMYFUNCTION("""COMPUTED_VALUE"""),"Emma Watson")</f>
        <v>Emma Watson</v>
      </c>
      <c r="K2027" s="5" t="str">
        <f>IFERROR(__xludf.DUMMYFUNCTION("""COMPUTED_VALUE"""),"Estrela 2")</f>
        <v>Estrela 2</v>
      </c>
      <c r="P2027" s="5">
        <f>IFERROR(__xludf.DUMMYFUNCTION("""COMPUTED_VALUE"""),507.0)</f>
        <v>507</v>
      </c>
      <c r="Q2027" s="5" t="str">
        <f>IFERROR(__xludf.DUMMYFUNCTION("""COMPUTED_VALUE"""),"Harry Potter and the Prisoner of Azkaban")</f>
        <v>Harry Potter and the Prisoner of Azkaban</v>
      </c>
      <c r="R2027" s="5" t="str">
        <f>IFERROR(__xludf.DUMMYFUNCTION("""COMPUTED_VALUE"""),"Emma Watson")</f>
        <v>Emma Watson</v>
      </c>
      <c r="S2027" s="5" t="str">
        <f>IFERROR(__xludf.DUMMYFUNCTION("""COMPUTED_VALUE"""),"Estrela 2")</f>
        <v>Estrela 2</v>
      </c>
    </row>
    <row r="2028">
      <c r="G2028" s="5" t="str">
        <f>IFERROR(__xludf.DUMMYFUNCTION("""COMPUTED_VALUE"""),"507🤙🏼Harry Potter and the Prisoner of Azkaban🤙🏼Rupert Grint🤙🏼Estrela 3")</f>
        <v>507🤙🏼Harry Potter and the Prisoner of Azkaban🤙🏼Rupert Grint🤙🏼Estrela 3</v>
      </c>
      <c r="H2028" s="5">
        <f>IFERROR(__xludf.DUMMYFUNCTION("SPLiT(G2028, ""🤙🏼"",FALSE,FALSE)"),507.0)</f>
        <v>507</v>
      </c>
      <c r="I2028" s="5" t="str">
        <f>IFERROR(__xludf.DUMMYFUNCTION("""COMPUTED_VALUE"""),"Harry Potter and the Prisoner of Azkaban")</f>
        <v>Harry Potter and the Prisoner of Azkaban</v>
      </c>
      <c r="J2028" s="5" t="str">
        <f>IFERROR(__xludf.DUMMYFUNCTION("""COMPUTED_VALUE"""),"Rupert Grint")</f>
        <v>Rupert Grint</v>
      </c>
      <c r="K2028" s="5" t="str">
        <f>IFERROR(__xludf.DUMMYFUNCTION("""COMPUTED_VALUE"""),"Estrela 3")</f>
        <v>Estrela 3</v>
      </c>
      <c r="P2028" s="5">
        <f>IFERROR(__xludf.DUMMYFUNCTION("""COMPUTED_VALUE"""),507.0)</f>
        <v>507</v>
      </c>
      <c r="Q2028" s="5" t="str">
        <f>IFERROR(__xludf.DUMMYFUNCTION("""COMPUTED_VALUE"""),"Harry Potter and the Prisoner of Azkaban")</f>
        <v>Harry Potter and the Prisoner of Azkaban</v>
      </c>
      <c r="R2028" s="5" t="str">
        <f>IFERROR(__xludf.DUMMYFUNCTION("""COMPUTED_VALUE"""),"Rupert Grint")</f>
        <v>Rupert Grint</v>
      </c>
      <c r="S2028" s="5" t="str">
        <f>IFERROR(__xludf.DUMMYFUNCTION("""COMPUTED_VALUE"""),"Estrela 3")</f>
        <v>Estrela 3</v>
      </c>
    </row>
    <row r="2029">
      <c r="G2029" s="5" t="str">
        <f>IFERROR(__xludf.DUMMYFUNCTION("""COMPUTED_VALUE"""),"507🤙🏼Harry Potter and the Prisoner of Azkaban🤙🏼Richard Griffiths🤙🏼Estrela 4")</f>
        <v>507🤙🏼Harry Potter and the Prisoner of Azkaban🤙🏼Richard Griffiths🤙🏼Estrela 4</v>
      </c>
      <c r="H2029" s="5">
        <f>IFERROR(__xludf.DUMMYFUNCTION("SPLiT(G2029, ""🤙🏼"",FALSE,FALSE)"),507.0)</f>
        <v>507</v>
      </c>
      <c r="I2029" s="5" t="str">
        <f>IFERROR(__xludf.DUMMYFUNCTION("""COMPUTED_VALUE"""),"Harry Potter and the Prisoner of Azkaban")</f>
        <v>Harry Potter and the Prisoner of Azkaban</v>
      </c>
      <c r="J2029" s="5" t="str">
        <f>IFERROR(__xludf.DUMMYFUNCTION("""COMPUTED_VALUE"""),"Richard Griffiths")</f>
        <v>Richard Griffiths</v>
      </c>
      <c r="K2029" s="5" t="str">
        <f>IFERROR(__xludf.DUMMYFUNCTION("""COMPUTED_VALUE"""),"Estrela 4")</f>
        <v>Estrela 4</v>
      </c>
      <c r="P2029" s="5">
        <f>IFERROR(__xludf.DUMMYFUNCTION("""COMPUTED_VALUE"""),507.0)</f>
        <v>507</v>
      </c>
      <c r="Q2029" s="5" t="str">
        <f>IFERROR(__xludf.DUMMYFUNCTION("""COMPUTED_VALUE"""),"Harry Potter and the Prisoner of Azkaban")</f>
        <v>Harry Potter and the Prisoner of Azkaban</v>
      </c>
      <c r="R2029" s="5" t="str">
        <f>IFERROR(__xludf.DUMMYFUNCTION("""COMPUTED_VALUE"""),"Richard Griffiths")</f>
        <v>Richard Griffiths</v>
      </c>
      <c r="S2029" s="5" t="str">
        <f>IFERROR(__xludf.DUMMYFUNCTION("""COMPUTED_VALUE"""),"Estrela 4")</f>
        <v>Estrela 4</v>
      </c>
    </row>
    <row r="2030">
      <c r="G2030" s="5" t="str">
        <f>IFERROR(__xludf.DUMMYFUNCTION("""COMPUTED_VALUE"""),"508🤙🏼Ying xiong🤙🏼Jet Li🤙🏼Estrela 1")</f>
        <v>508🤙🏼Ying xiong🤙🏼Jet Li🤙🏼Estrela 1</v>
      </c>
      <c r="H2030" s="5">
        <f>IFERROR(__xludf.DUMMYFUNCTION("SPLiT(G2030, ""🤙🏼"",FALSE,FALSE)"),508.0)</f>
        <v>508</v>
      </c>
      <c r="I2030" s="5" t="str">
        <f>IFERROR(__xludf.DUMMYFUNCTION("""COMPUTED_VALUE"""),"Ying xiong")</f>
        <v>Ying xiong</v>
      </c>
      <c r="J2030" s="5" t="str">
        <f>IFERROR(__xludf.DUMMYFUNCTION("""COMPUTED_VALUE"""),"Jet Li")</f>
        <v>Jet Li</v>
      </c>
      <c r="K2030" s="5" t="str">
        <f>IFERROR(__xludf.DUMMYFUNCTION("""COMPUTED_VALUE"""),"Estrela 1")</f>
        <v>Estrela 1</v>
      </c>
      <c r="P2030" s="5">
        <f>IFERROR(__xludf.DUMMYFUNCTION("""COMPUTED_VALUE"""),508.0)</f>
        <v>508</v>
      </c>
      <c r="Q2030" s="5" t="str">
        <f>IFERROR(__xludf.DUMMYFUNCTION("""COMPUTED_VALUE"""),"Ying xiong")</f>
        <v>Ying xiong</v>
      </c>
      <c r="R2030" s="5" t="str">
        <f>IFERROR(__xludf.DUMMYFUNCTION("""COMPUTED_VALUE"""),"Jet Li")</f>
        <v>Jet Li</v>
      </c>
      <c r="S2030" s="5" t="str">
        <f>IFERROR(__xludf.DUMMYFUNCTION("""COMPUTED_VALUE"""),"Estrela 1")</f>
        <v>Estrela 1</v>
      </c>
    </row>
    <row r="2031">
      <c r="G2031" s="5" t="str">
        <f>IFERROR(__xludf.DUMMYFUNCTION("""COMPUTED_VALUE"""),"508🤙🏼Ying xiong🤙🏼Tony Chiu-Wai Leung🤙🏼Estrela 2")</f>
        <v>508🤙🏼Ying xiong🤙🏼Tony Chiu-Wai Leung🤙🏼Estrela 2</v>
      </c>
      <c r="H2031" s="5">
        <f>IFERROR(__xludf.DUMMYFUNCTION("SPLiT(G2031, ""🤙🏼"",FALSE,FALSE)"),508.0)</f>
        <v>508</v>
      </c>
      <c r="I2031" s="5" t="str">
        <f>IFERROR(__xludf.DUMMYFUNCTION("""COMPUTED_VALUE"""),"Ying xiong")</f>
        <v>Ying xiong</v>
      </c>
      <c r="J2031" s="5" t="str">
        <f>IFERROR(__xludf.DUMMYFUNCTION("""COMPUTED_VALUE"""),"Tony Chiu-Wai Leung")</f>
        <v>Tony Chiu-Wai Leung</v>
      </c>
      <c r="K2031" s="5" t="str">
        <f>IFERROR(__xludf.DUMMYFUNCTION("""COMPUTED_VALUE"""),"Estrela 2")</f>
        <v>Estrela 2</v>
      </c>
      <c r="P2031" s="5">
        <f>IFERROR(__xludf.DUMMYFUNCTION("""COMPUTED_VALUE"""),508.0)</f>
        <v>508</v>
      </c>
      <c r="Q2031" s="5" t="str">
        <f>IFERROR(__xludf.DUMMYFUNCTION("""COMPUTED_VALUE"""),"Ying xiong")</f>
        <v>Ying xiong</v>
      </c>
      <c r="R2031" s="5" t="str">
        <f>IFERROR(__xludf.DUMMYFUNCTION("""COMPUTED_VALUE"""),"Tony Chiu-Wai Leung")</f>
        <v>Tony Chiu-Wai Leung</v>
      </c>
      <c r="S2031" s="5" t="str">
        <f>IFERROR(__xludf.DUMMYFUNCTION("""COMPUTED_VALUE"""),"Estrela 2")</f>
        <v>Estrela 2</v>
      </c>
    </row>
    <row r="2032">
      <c r="G2032" s="5" t="str">
        <f>IFERROR(__xludf.DUMMYFUNCTION("""COMPUTED_VALUE"""),"508🤙🏼Ying xiong🤙🏼Maggie Cheung🤙🏼Estrela 3")</f>
        <v>508🤙🏼Ying xiong🤙🏼Maggie Cheung🤙🏼Estrela 3</v>
      </c>
      <c r="H2032" s="5">
        <f>IFERROR(__xludf.DUMMYFUNCTION("SPLiT(G2032, ""🤙🏼"",FALSE,FALSE)"),508.0)</f>
        <v>508</v>
      </c>
      <c r="I2032" s="5" t="str">
        <f>IFERROR(__xludf.DUMMYFUNCTION("""COMPUTED_VALUE"""),"Ying xiong")</f>
        <v>Ying xiong</v>
      </c>
      <c r="J2032" s="5" t="str">
        <f>IFERROR(__xludf.DUMMYFUNCTION("""COMPUTED_VALUE"""),"Maggie Cheung")</f>
        <v>Maggie Cheung</v>
      </c>
      <c r="K2032" s="5" t="str">
        <f>IFERROR(__xludf.DUMMYFUNCTION("""COMPUTED_VALUE"""),"Estrela 3")</f>
        <v>Estrela 3</v>
      </c>
      <c r="P2032" s="5">
        <f>IFERROR(__xludf.DUMMYFUNCTION("""COMPUTED_VALUE"""),508.0)</f>
        <v>508</v>
      </c>
      <c r="Q2032" s="5" t="str">
        <f>IFERROR(__xludf.DUMMYFUNCTION("""COMPUTED_VALUE"""),"Ying xiong")</f>
        <v>Ying xiong</v>
      </c>
      <c r="R2032" s="5" t="str">
        <f>IFERROR(__xludf.DUMMYFUNCTION("""COMPUTED_VALUE"""),"Maggie Cheung")</f>
        <v>Maggie Cheung</v>
      </c>
      <c r="S2032" s="5" t="str">
        <f>IFERROR(__xludf.DUMMYFUNCTION("""COMPUTED_VALUE"""),"Estrela 3")</f>
        <v>Estrela 3</v>
      </c>
    </row>
    <row r="2033">
      <c r="G2033" s="5" t="str">
        <f>IFERROR(__xludf.DUMMYFUNCTION("""COMPUTED_VALUE"""),"508🤙🏼Ying xiong🤙🏼Ziyi Zhang🤙🏼Estrela 4")</f>
        <v>508🤙🏼Ying xiong🤙🏼Ziyi Zhang🤙🏼Estrela 4</v>
      </c>
      <c r="H2033" s="5">
        <f>IFERROR(__xludf.DUMMYFUNCTION("SPLiT(G2033, ""🤙🏼"",FALSE,FALSE)"),508.0)</f>
        <v>508</v>
      </c>
      <c r="I2033" s="5" t="str">
        <f>IFERROR(__xludf.DUMMYFUNCTION("""COMPUTED_VALUE"""),"Ying xiong")</f>
        <v>Ying xiong</v>
      </c>
      <c r="J2033" s="5" t="str">
        <f>IFERROR(__xludf.DUMMYFUNCTION("""COMPUTED_VALUE"""),"Ziyi Zhang")</f>
        <v>Ziyi Zhang</v>
      </c>
      <c r="K2033" s="5" t="str">
        <f>IFERROR(__xludf.DUMMYFUNCTION("""COMPUTED_VALUE"""),"Estrela 4")</f>
        <v>Estrela 4</v>
      </c>
      <c r="P2033" s="5">
        <f>IFERROR(__xludf.DUMMYFUNCTION("""COMPUTED_VALUE"""),508.0)</f>
        <v>508</v>
      </c>
      <c r="Q2033" s="5" t="str">
        <f>IFERROR(__xludf.DUMMYFUNCTION("""COMPUTED_VALUE"""),"Ying xiong")</f>
        <v>Ying xiong</v>
      </c>
      <c r="R2033" s="5" t="str">
        <f>IFERROR(__xludf.DUMMYFUNCTION("""COMPUTED_VALUE"""),"Ziyi Zhang")</f>
        <v>Ziyi Zhang</v>
      </c>
      <c r="S2033" s="5" t="str">
        <f>IFERROR(__xludf.DUMMYFUNCTION("""COMPUTED_VALUE"""),"Estrela 4")</f>
        <v>Estrela 4</v>
      </c>
    </row>
    <row r="2034">
      <c r="G2034" s="5" t="str">
        <f>IFERROR(__xludf.DUMMYFUNCTION("""COMPUTED_VALUE"""),"509🤙🏼Hable con ella🤙🏼Rosario Flores🤙🏼Estrela 1")</f>
        <v>509🤙🏼Hable con ella🤙🏼Rosario Flores🤙🏼Estrela 1</v>
      </c>
      <c r="H2034" s="5">
        <f>IFERROR(__xludf.DUMMYFUNCTION("SPLiT(G2034, ""🤙🏼"",FALSE,FALSE)"),509.0)</f>
        <v>509</v>
      </c>
      <c r="I2034" s="5" t="str">
        <f>IFERROR(__xludf.DUMMYFUNCTION("""COMPUTED_VALUE"""),"Hable con ella")</f>
        <v>Hable con ella</v>
      </c>
      <c r="J2034" s="5" t="str">
        <f>IFERROR(__xludf.DUMMYFUNCTION("""COMPUTED_VALUE"""),"Rosario Flores")</f>
        <v>Rosario Flores</v>
      </c>
      <c r="K2034" s="5" t="str">
        <f>IFERROR(__xludf.DUMMYFUNCTION("""COMPUTED_VALUE"""),"Estrela 1")</f>
        <v>Estrela 1</v>
      </c>
      <c r="P2034" s="5">
        <f>IFERROR(__xludf.DUMMYFUNCTION("""COMPUTED_VALUE"""),509.0)</f>
        <v>509</v>
      </c>
      <c r="Q2034" s="5" t="str">
        <f>IFERROR(__xludf.DUMMYFUNCTION("""COMPUTED_VALUE"""),"Hable con ella")</f>
        <v>Hable con ella</v>
      </c>
      <c r="R2034" s="5" t="str">
        <f>IFERROR(__xludf.DUMMYFUNCTION("""COMPUTED_VALUE"""),"Rosario Flores")</f>
        <v>Rosario Flores</v>
      </c>
      <c r="S2034" s="5" t="str">
        <f>IFERROR(__xludf.DUMMYFUNCTION("""COMPUTED_VALUE"""),"Estrela 1")</f>
        <v>Estrela 1</v>
      </c>
    </row>
    <row r="2035">
      <c r="G2035" s="5" t="str">
        <f>IFERROR(__xludf.DUMMYFUNCTION("""COMPUTED_VALUE"""),"509🤙🏼Hable con ella🤙🏼Javier Cámara🤙🏼Estrela 2")</f>
        <v>509🤙🏼Hable con ella🤙🏼Javier Cámara🤙🏼Estrela 2</v>
      </c>
      <c r="H2035" s="5">
        <f>IFERROR(__xludf.DUMMYFUNCTION("SPLiT(G2035, ""🤙🏼"",FALSE,FALSE)"),509.0)</f>
        <v>509</v>
      </c>
      <c r="I2035" s="5" t="str">
        <f>IFERROR(__xludf.DUMMYFUNCTION("""COMPUTED_VALUE"""),"Hable con ella")</f>
        <v>Hable con ella</v>
      </c>
      <c r="J2035" s="5" t="str">
        <f>IFERROR(__xludf.DUMMYFUNCTION("""COMPUTED_VALUE"""),"Javier Cámara")</f>
        <v>Javier Cámara</v>
      </c>
      <c r="K2035" s="5" t="str">
        <f>IFERROR(__xludf.DUMMYFUNCTION("""COMPUTED_VALUE"""),"Estrela 2")</f>
        <v>Estrela 2</v>
      </c>
      <c r="P2035" s="5">
        <f>IFERROR(__xludf.DUMMYFUNCTION("""COMPUTED_VALUE"""),509.0)</f>
        <v>509</v>
      </c>
      <c r="Q2035" s="5" t="str">
        <f>IFERROR(__xludf.DUMMYFUNCTION("""COMPUTED_VALUE"""),"Hable con ella")</f>
        <v>Hable con ella</v>
      </c>
      <c r="R2035" s="5" t="str">
        <f>IFERROR(__xludf.DUMMYFUNCTION("""COMPUTED_VALUE"""),"Javier Cámara")</f>
        <v>Javier Cámara</v>
      </c>
      <c r="S2035" s="5" t="str">
        <f>IFERROR(__xludf.DUMMYFUNCTION("""COMPUTED_VALUE"""),"Estrela 2")</f>
        <v>Estrela 2</v>
      </c>
    </row>
    <row r="2036">
      <c r="G2036" s="5" t="str">
        <f>IFERROR(__xludf.DUMMYFUNCTION("""COMPUTED_VALUE"""),"509🤙🏼Hable con ella🤙🏼Darío Grandinetti🤙🏼Estrela 3")</f>
        <v>509🤙🏼Hable con ella🤙🏼Darío Grandinetti🤙🏼Estrela 3</v>
      </c>
      <c r="H2036" s="5">
        <f>IFERROR(__xludf.DUMMYFUNCTION("SPLiT(G2036, ""🤙🏼"",FALSE,FALSE)"),509.0)</f>
        <v>509</v>
      </c>
      <c r="I2036" s="5" t="str">
        <f>IFERROR(__xludf.DUMMYFUNCTION("""COMPUTED_VALUE"""),"Hable con ella")</f>
        <v>Hable con ella</v>
      </c>
      <c r="J2036" s="5" t="str">
        <f>IFERROR(__xludf.DUMMYFUNCTION("""COMPUTED_VALUE"""),"Darío Grandinetti")</f>
        <v>Darío Grandinetti</v>
      </c>
      <c r="K2036" s="5" t="str">
        <f>IFERROR(__xludf.DUMMYFUNCTION("""COMPUTED_VALUE"""),"Estrela 3")</f>
        <v>Estrela 3</v>
      </c>
      <c r="P2036" s="5">
        <f>IFERROR(__xludf.DUMMYFUNCTION("""COMPUTED_VALUE"""),509.0)</f>
        <v>509</v>
      </c>
      <c r="Q2036" s="5" t="str">
        <f>IFERROR(__xludf.DUMMYFUNCTION("""COMPUTED_VALUE"""),"Hable con ella")</f>
        <v>Hable con ella</v>
      </c>
      <c r="R2036" s="5" t="str">
        <f>IFERROR(__xludf.DUMMYFUNCTION("""COMPUTED_VALUE"""),"Darío Grandinetti")</f>
        <v>Darío Grandinetti</v>
      </c>
      <c r="S2036" s="5" t="str">
        <f>IFERROR(__xludf.DUMMYFUNCTION("""COMPUTED_VALUE"""),"Estrela 3")</f>
        <v>Estrela 3</v>
      </c>
    </row>
    <row r="2037">
      <c r="G2037" s="5" t="str">
        <f>IFERROR(__xludf.DUMMYFUNCTION("""COMPUTED_VALUE"""),"509🤙🏼Hable con ella🤙🏼Leonor Watling🤙🏼Estrela 4")</f>
        <v>509🤙🏼Hable con ella🤙🏼Leonor Watling🤙🏼Estrela 4</v>
      </c>
      <c r="H2037" s="5">
        <f>IFERROR(__xludf.DUMMYFUNCTION("SPLiT(G2037, ""🤙🏼"",FALSE,FALSE)"),509.0)</f>
        <v>509</v>
      </c>
      <c r="I2037" s="5" t="str">
        <f>IFERROR(__xludf.DUMMYFUNCTION("""COMPUTED_VALUE"""),"Hable con ella")</f>
        <v>Hable con ella</v>
      </c>
      <c r="J2037" s="5" t="str">
        <f>IFERROR(__xludf.DUMMYFUNCTION("""COMPUTED_VALUE"""),"Leonor Watling")</f>
        <v>Leonor Watling</v>
      </c>
      <c r="K2037" s="5" t="str">
        <f>IFERROR(__xludf.DUMMYFUNCTION("""COMPUTED_VALUE"""),"Estrela 4")</f>
        <v>Estrela 4</v>
      </c>
      <c r="P2037" s="5">
        <f>IFERROR(__xludf.DUMMYFUNCTION("""COMPUTED_VALUE"""),509.0)</f>
        <v>509</v>
      </c>
      <c r="Q2037" s="5" t="str">
        <f>IFERROR(__xludf.DUMMYFUNCTION("""COMPUTED_VALUE"""),"Hable con ella")</f>
        <v>Hable con ella</v>
      </c>
      <c r="R2037" s="5" t="str">
        <f>IFERROR(__xludf.DUMMYFUNCTION("""COMPUTED_VALUE"""),"Leonor Watling")</f>
        <v>Leonor Watling</v>
      </c>
      <c r="S2037" s="5" t="str">
        <f>IFERROR(__xludf.DUMMYFUNCTION("""COMPUTED_VALUE"""),"Estrela 4")</f>
        <v>Estrela 4</v>
      </c>
    </row>
    <row r="2038">
      <c r="G2038" s="5" t="str">
        <f>IFERROR(__xludf.DUMMYFUNCTION("""COMPUTED_VALUE"""),"510🤙🏼No Man's Land🤙🏼Branko Djuric🤙🏼Estrela 1")</f>
        <v>510🤙🏼No Man's Land🤙🏼Branko Djuric🤙🏼Estrela 1</v>
      </c>
      <c r="H2038" s="5">
        <f>IFERROR(__xludf.DUMMYFUNCTION("SPLiT(G2038, ""🤙🏼"",FALSE,FALSE)"),510.0)</f>
        <v>510</v>
      </c>
      <c r="I2038" s="5" t="str">
        <f>IFERROR(__xludf.DUMMYFUNCTION("""COMPUTED_VALUE"""),"No Man's Land")</f>
        <v>No Man's Land</v>
      </c>
      <c r="J2038" s="5" t="str">
        <f>IFERROR(__xludf.DUMMYFUNCTION("""COMPUTED_VALUE"""),"Branko Djuric")</f>
        <v>Branko Djuric</v>
      </c>
      <c r="K2038" s="5" t="str">
        <f>IFERROR(__xludf.DUMMYFUNCTION("""COMPUTED_VALUE"""),"Estrela 1")</f>
        <v>Estrela 1</v>
      </c>
      <c r="P2038" s="5">
        <f>IFERROR(__xludf.DUMMYFUNCTION("""COMPUTED_VALUE"""),510.0)</f>
        <v>510</v>
      </c>
      <c r="Q2038" s="5" t="str">
        <f>IFERROR(__xludf.DUMMYFUNCTION("""COMPUTED_VALUE"""),"No Man's Land")</f>
        <v>No Man's Land</v>
      </c>
      <c r="R2038" s="5" t="str">
        <f>IFERROR(__xludf.DUMMYFUNCTION("""COMPUTED_VALUE"""),"Branko Djuric")</f>
        <v>Branko Djuric</v>
      </c>
      <c r="S2038" s="5" t="str">
        <f>IFERROR(__xludf.DUMMYFUNCTION("""COMPUTED_VALUE"""),"Estrela 1")</f>
        <v>Estrela 1</v>
      </c>
    </row>
    <row r="2039">
      <c r="G2039" s="5" t="str">
        <f>IFERROR(__xludf.DUMMYFUNCTION("""COMPUTED_VALUE"""),"510🤙🏼No Man's Land🤙🏼Rene Bitorajac🤙🏼Estrela 2")</f>
        <v>510🤙🏼No Man's Land🤙🏼Rene Bitorajac🤙🏼Estrela 2</v>
      </c>
      <c r="H2039" s="5">
        <f>IFERROR(__xludf.DUMMYFUNCTION("SPLiT(G2039, ""🤙🏼"",FALSE,FALSE)"),510.0)</f>
        <v>510</v>
      </c>
      <c r="I2039" s="5" t="str">
        <f>IFERROR(__xludf.DUMMYFUNCTION("""COMPUTED_VALUE"""),"No Man's Land")</f>
        <v>No Man's Land</v>
      </c>
      <c r="J2039" s="5" t="str">
        <f>IFERROR(__xludf.DUMMYFUNCTION("""COMPUTED_VALUE"""),"Rene Bitorajac")</f>
        <v>Rene Bitorajac</v>
      </c>
      <c r="K2039" s="5" t="str">
        <f>IFERROR(__xludf.DUMMYFUNCTION("""COMPUTED_VALUE"""),"Estrela 2")</f>
        <v>Estrela 2</v>
      </c>
      <c r="P2039" s="5">
        <f>IFERROR(__xludf.DUMMYFUNCTION("""COMPUTED_VALUE"""),510.0)</f>
        <v>510</v>
      </c>
      <c r="Q2039" s="5" t="str">
        <f>IFERROR(__xludf.DUMMYFUNCTION("""COMPUTED_VALUE"""),"No Man's Land")</f>
        <v>No Man's Land</v>
      </c>
      <c r="R2039" s="5" t="str">
        <f>IFERROR(__xludf.DUMMYFUNCTION("""COMPUTED_VALUE"""),"Rene Bitorajac")</f>
        <v>Rene Bitorajac</v>
      </c>
      <c r="S2039" s="5" t="str">
        <f>IFERROR(__xludf.DUMMYFUNCTION("""COMPUTED_VALUE"""),"Estrela 2")</f>
        <v>Estrela 2</v>
      </c>
    </row>
    <row r="2040">
      <c r="G2040" s="5" t="str">
        <f>IFERROR(__xludf.DUMMYFUNCTION("""COMPUTED_VALUE"""),"510🤙🏼No Man's Land🤙🏼Filip Sovagovic🤙🏼Estrela 3")</f>
        <v>510🤙🏼No Man's Land🤙🏼Filip Sovagovic🤙🏼Estrela 3</v>
      </c>
      <c r="H2040" s="5">
        <f>IFERROR(__xludf.DUMMYFUNCTION("SPLiT(G2040, ""🤙🏼"",FALSE,FALSE)"),510.0)</f>
        <v>510</v>
      </c>
      <c r="I2040" s="5" t="str">
        <f>IFERROR(__xludf.DUMMYFUNCTION("""COMPUTED_VALUE"""),"No Man's Land")</f>
        <v>No Man's Land</v>
      </c>
      <c r="J2040" s="5" t="str">
        <f>IFERROR(__xludf.DUMMYFUNCTION("""COMPUTED_VALUE"""),"Filip Sovagovic")</f>
        <v>Filip Sovagovic</v>
      </c>
      <c r="K2040" s="5" t="str">
        <f>IFERROR(__xludf.DUMMYFUNCTION("""COMPUTED_VALUE"""),"Estrela 3")</f>
        <v>Estrela 3</v>
      </c>
      <c r="P2040" s="5">
        <f>IFERROR(__xludf.DUMMYFUNCTION("""COMPUTED_VALUE"""),510.0)</f>
        <v>510</v>
      </c>
      <c r="Q2040" s="5" t="str">
        <f>IFERROR(__xludf.DUMMYFUNCTION("""COMPUTED_VALUE"""),"No Man's Land")</f>
        <v>No Man's Land</v>
      </c>
      <c r="R2040" s="5" t="str">
        <f>IFERROR(__xludf.DUMMYFUNCTION("""COMPUTED_VALUE"""),"Filip Sovagovic")</f>
        <v>Filip Sovagovic</v>
      </c>
      <c r="S2040" s="5" t="str">
        <f>IFERROR(__xludf.DUMMYFUNCTION("""COMPUTED_VALUE"""),"Estrela 3")</f>
        <v>Estrela 3</v>
      </c>
    </row>
    <row r="2041">
      <c r="G2041" s="5" t="str">
        <f>IFERROR(__xludf.DUMMYFUNCTION("""COMPUTED_VALUE"""),"510🤙🏼No Man's Land🤙🏼Georges Siatidis🤙🏼Estrela 4")</f>
        <v>510🤙🏼No Man's Land🤙🏼Georges Siatidis🤙🏼Estrela 4</v>
      </c>
      <c r="H2041" s="5">
        <f>IFERROR(__xludf.DUMMYFUNCTION("SPLiT(G2041, ""🤙🏼"",FALSE,FALSE)"),510.0)</f>
        <v>510</v>
      </c>
      <c r="I2041" s="5" t="str">
        <f>IFERROR(__xludf.DUMMYFUNCTION("""COMPUTED_VALUE"""),"No Man's Land")</f>
        <v>No Man's Land</v>
      </c>
      <c r="J2041" s="5" t="str">
        <f>IFERROR(__xludf.DUMMYFUNCTION("""COMPUTED_VALUE"""),"Georges Siatidis")</f>
        <v>Georges Siatidis</v>
      </c>
      <c r="K2041" s="5" t="str">
        <f>IFERROR(__xludf.DUMMYFUNCTION("""COMPUTED_VALUE"""),"Estrela 4")</f>
        <v>Estrela 4</v>
      </c>
      <c r="P2041" s="5">
        <f>IFERROR(__xludf.DUMMYFUNCTION("""COMPUTED_VALUE"""),510.0)</f>
        <v>510</v>
      </c>
      <c r="Q2041" s="5" t="str">
        <f>IFERROR(__xludf.DUMMYFUNCTION("""COMPUTED_VALUE"""),"No Man's Land")</f>
        <v>No Man's Land</v>
      </c>
      <c r="R2041" s="5" t="str">
        <f>IFERROR(__xludf.DUMMYFUNCTION("""COMPUTED_VALUE"""),"Georges Siatidis")</f>
        <v>Georges Siatidis</v>
      </c>
      <c r="S2041" s="5" t="str">
        <f>IFERROR(__xludf.DUMMYFUNCTION("""COMPUTED_VALUE"""),"Estrela 4")</f>
        <v>Estrela 4</v>
      </c>
    </row>
    <row r="2042">
      <c r="G2042" s="5" t="str">
        <f>IFERROR(__xludf.DUMMYFUNCTION("""COMPUTED_VALUE"""),"511🤙🏼Cowboy Bebop: Tengoku no tobira🤙🏼Tensai Okamura🤙🏼Estrela 1")</f>
        <v>511🤙🏼Cowboy Bebop: Tengoku no tobira🤙🏼Tensai Okamura🤙🏼Estrela 1</v>
      </c>
      <c r="H2042" s="5">
        <f>IFERROR(__xludf.DUMMYFUNCTION("SPLiT(G2042, ""🤙🏼"",FALSE,FALSE)"),511.0)</f>
        <v>511</v>
      </c>
      <c r="I2042" s="5" t="str">
        <f>IFERROR(__xludf.DUMMYFUNCTION("""COMPUTED_VALUE"""),"Cowboy Bebop: Tengoku no tobira")</f>
        <v>Cowboy Bebop: Tengoku no tobira</v>
      </c>
      <c r="J2042" s="5" t="str">
        <f>IFERROR(__xludf.DUMMYFUNCTION("""COMPUTED_VALUE"""),"Tensai Okamura")</f>
        <v>Tensai Okamura</v>
      </c>
      <c r="K2042" s="5" t="str">
        <f>IFERROR(__xludf.DUMMYFUNCTION("""COMPUTED_VALUE"""),"Estrela 1")</f>
        <v>Estrela 1</v>
      </c>
      <c r="P2042" s="5">
        <f>IFERROR(__xludf.DUMMYFUNCTION("""COMPUTED_VALUE"""),511.0)</f>
        <v>511</v>
      </c>
      <c r="Q2042" s="5" t="str">
        <f>IFERROR(__xludf.DUMMYFUNCTION("""COMPUTED_VALUE"""),"Cowboy Bebop: Tengoku no tobira")</f>
        <v>Cowboy Bebop: Tengoku no tobira</v>
      </c>
      <c r="R2042" s="5" t="str">
        <f>IFERROR(__xludf.DUMMYFUNCTION("""COMPUTED_VALUE"""),"Tensai Okamura")</f>
        <v>Tensai Okamura</v>
      </c>
      <c r="S2042" s="5" t="str">
        <f>IFERROR(__xludf.DUMMYFUNCTION("""COMPUTED_VALUE"""),"Estrela 1")</f>
        <v>Estrela 1</v>
      </c>
    </row>
    <row r="2043">
      <c r="G2043" s="5" t="str">
        <f>IFERROR(__xludf.DUMMYFUNCTION("""COMPUTED_VALUE"""),"511🤙🏼Cowboy Bebop: Tengoku no tobira🤙🏼Hiroyuki Okiura🤙🏼Estrela 2")</f>
        <v>511🤙🏼Cowboy Bebop: Tengoku no tobira🤙🏼Hiroyuki Okiura🤙🏼Estrela 2</v>
      </c>
      <c r="H2043" s="5">
        <f>IFERROR(__xludf.DUMMYFUNCTION("SPLiT(G2043, ""🤙🏼"",FALSE,FALSE)"),511.0)</f>
        <v>511</v>
      </c>
      <c r="I2043" s="5" t="str">
        <f>IFERROR(__xludf.DUMMYFUNCTION("""COMPUTED_VALUE"""),"Cowboy Bebop: Tengoku no tobira")</f>
        <v>Cowboy Bebop: Tengoku no tobira</v>
      </c>
      <c r="J2043" s="5" t="str">
        <f>IFERROR(__xludf.DUMMYFUNCTION("""COMPUTED_VALUE"""),"Hiroyuki Okiura")</f>
        <v>Hiroyuki Okiura</v>
      </c>
      <c r="K2043" s="5" t="str">
        <f>IFERROR(__xludf.DUMMYFUNCTION("""COMPUTED_VALUE"""),"Estrela 2")</f>
        <v>Estrela 2</v>
      </c>
      <c r="P2043" s="5">
        <f>IFERROR(__xludf.DUMMYFUNCTION("""COMPUTED_VALUE"""),511.0)</f>
        <v>511</v>
      </c>
      <c r="Q2043" s="5" t="str">
        <f>IFERROR(__xludf.DUMMYFUNCTION("""COMPUTED_VALUE"""),"Cowboy Bebop: Tengoku no tobira")</f>
        <v>Cowboy Bebop: Tengoku no tobira</v>
      </c>
      <c r="R2043" s="5" t="str">
        <f>IFERROR(__xludf.DUMMYFUNCTION("""COMPUTED_VALUE"""),"Hiroyuki Okiura")</f>
        <v>Hiroyuki Okiura</v>
      </c>
      <c r="S2043" s="5" t="str">
        <f>IFERROR(__xludf.DUMMYFUNCTION("""COMPUTED_VALUE"""),"Estrela 2")</f>
        <v>Estrela 2</v>
      </c>
    </row>
    <row r="2044">
      <c r="G2044" s="5" t="str">
        <f>IFERROR(__xludf.DUMMYFUNCTION("""COMPUTED_VALUE"""),"511🤙🏼Cowboy Bebop: Tengoku no tobira🤙🏼Yoshiyuki Takei🤙🏼Estrela 3")</f>
        <v>511🤙🏼Cowboy Bebop: Tengoku no tobira🤙🏼Yoshiyuki Takei🤙🏼Estrela 3</v>
      </c>
      <c r="H2044" s="5">
        <f>IFERROR(__xludf.DUMMYFUNCTION("SPLiT(G2044, ""🤙🏼"",FALSE,FALSE)"),511.0)</f>
        <v>511</v>
      </c>
      <c r="I2044" s="5" t="str">
        <f>IFERROR(__xludf.DUMMYFUNCTION("""COMPUTED_VALUE"""),"Cowboy Bebop: Tengoku no tobira")</f>
        <v>Cowboy Bebop: Tengoku no tobira</v>
      </c>
      <c r="J2044" s="5" t="str">
        <f>IFERROR(__xludf.DUMMYFUNCTION("""COMPUTED_VALUE"""),"Yoshiyuki Takei")</f>
        <v>Yoshiyuki Takei</v>
      </c>
      <c r="K2044" s="5" t="str">
        <f>IFERROR(__xludf.DUMMYFUNCTION("""COMPUTED_VALUE"""),"Estrela 3")</f>
        <v>Estrela 3</v>
      </c>
      <c r="P2044" s="5">
        <f>IFERROR(__xludf.DUMMYFUNCTION("""COMPUTED_VALUE"""),511.0)</f>
        <v>511</v>
      </c>
      <c r="Q2044" s="5" t="str">
        <f>IFERROR(__xludf.DUMMYFUNCTION("""COMPUTED_VALUE"""),"Cowboy Bebop: Tengoku no tobira")</f>
        <v>Cowboy Bebop: Tengoku no tobira</v>
      </c>
      <c r="R2044" s="5" t="str">
        <f>IFERROR(__xludf.DUMMYFUNCTION("""COMPUTED_VALUE"""),"Yoshiyuki Takei")</f>
        <v>Yoshiyuki Takei</v>
      </c>
      <c r="S2044" s="5" t="str">
        <f>IFERROR(__xludf.DUMMYFUNCTION("""COMPUTED_VALUE"""),"Estrela 3")</f>
        <v>Estrela 3</v>
      </c>
    </row>
    <row r="2045">
      <c r="G2045" s="5" t="str">
        <f>IFERROR(__xludf.DUMMYFUNCTION("""COMPUTED_VALUE"""),"511🤙🏼Cowboy Bebop: Tengoku no tobira🤙🏼Beau Billingslea🤙🏼Estrela 4")</f>
        <v>511🤙🏼Cowboy Bebop: Tengoku no tobira🤙🏼Beau Billingslea🤙🏼Estrela 4</v>
      </c>
      <c r="H2045" s="5">
        <f>IFERROR(__xludf.DUMMYFUNCTION("SPLiT(G2045, ""🤙🏼"",FALSE,FALSE)"),511.0)</f>
        <v>511</v>
      </c>
      <c r="I2045" s="5" t="str">
        <f>IFERROR(__xludf.DUMMYFUNCTION("""COMPUTED_VALUE"""),"Cowboy Bebop: Tengoku no tobira")</f>
        <v>Cowboy Bebop: Tengoku no tobira</v>
      </c>
      <c r="J2045" s="5" t="str">
        <f>IFERROR(__xludf.DUMMYFUNCTION("""COMPUTED_VALUE"""),"Beau Billingslea")</f>
        <v>Beau Billingslea</v>
      </c>
      <c r="K2045" s="5" t="str">
        <f>IFERROR(__xludf.DUMMYFUNCTION("""COMPUTED_VALUE"""),"Estrela 4")</f>
        <v>Estrela 4</v>
      </c>
      <c r="P2045" s="5">
        <f>IFERROR(__xludf.DUMMYFUNCTION("""COMPUTED_VALUE"""),511.0)</f>
        <v>511</v>
      </c>
      <c r="Q2045" s="5" t="str">
        <f>IFERROR(__xludf.DUMMYFUNCTION("""COMPUTED_VALUE"""),"Cowboy Bebop: Tengoku no tobira")</f>
        <v>Cowboy Bebop: Tengoku no tobira</v>
      </c>
      <c r="R2045" s="5" t="str">
        <f>IFERROR(__xludf.DUMMYFUNCTION("""COMPUTED_VALUE"""),"Beau Billingslea")</f>
        <v>Beau Billingslea</v>
      </c>
      <c r="S2045" s="5" t="str">
        <f>IFERROR(__xludf.DUMMYFUNCTION("""COMPUTED_VALUE"""),"Estrela 4")</f>
        <v>Estrela 4</v>
      </c>
    </row>
    <row r="2046">
      <c r="G2046" s="5" t="str">
        <f>IFERROR(__xludf.DUMMYFUNCTION("""COMPUTED_VALUE"""),"512🤙🏼The Bourne Identity🤙🏼Franka Potente🤙🏼Estrela 1")</f>
        <v>512🤙🏼The Bourne Identity🤙🏼Franka Potente🤙🏼Estrela 1</v>
      </c>
      <c r="H2046" s="5">
        <f>IFERROR(__xludf.DUMMYFUNCTION("SPLiT(G2046, ""🤙🏼"",FALSE,FALSE)"),512.0)</f>
        <v>512</v>
      </c>
      <c r="I2046" s="5" t="str">
        <f>IFERROR(__xludf.DUMMYFUNCTION("""COMPUTED_VALUE"""),"The Bourne Identity")</f>
        <v>The Bourne Identity</v>
      </c>
      <c r="J2046" s="5" t="str">
        <f>IFERROR(__xludf.DUMMYFUNCTION("""COMPUTED_VALUE"""),"Franka Potente")</f>
        <v>Franka Potente</v>
      </c>
      <c r="K2046" s="5" t="str">
        <f>IFERROR(__xludf.DUMMYFUNCTION("""COMPUTED_VALUE"""),"Estrela 1")</f>
        <v>Estrela 1</v>
      </c>
      <c r="P2046" s="5">
        <f>IFERROR(__xludf.DUMMYFUNCTION("""COMPUTED_VALUE"""),512.0)</f>
        <v>512</v>
      </c>
      <c r="Q2046" s="5" t="str">
        <f>IFERROR(__xludf.DUMMYFUNCTION("""COMPUTED_VALUE"""),"The Bourne Identity")</f>
        <v>The Bourne Identity</v>
      </c>
      <c r="R2046" s="5" t="str">
        <f>IFERROR(__xludf.DUMMYFUNCTION("""COMPUTED_VALUE"""),"Franka Potente")</f>
        <v>Franka Potente</v>
      </c>
      <c r="S2046" s="5" t="str">
        <f>IFERROR(__xludf.DUMMYFUNCTION("""COMPUTED_VALUE"""),"Estrela 1")</f>
        <v>Estrela 1</v>
      </c>
    </row>
    <row r="2047">
      <c r="G2047" s="5" t="str">
        <f>IFERROR(__xludf.DUMMYFUNCTION("""COMPUTED_VALUE"""),"512🤙🏼The Bourne Identity🤙🏼Matt Damon🤙🏼Estrela 2")</f>
        <v>512🤙🏼The Bourne Identity🤙🏼Matt Damon🤙🏼Estrela 2</v>
      </c>
      <c r="H2047" s="5">
        <f>IFERROR(__xludf.DUMMYFUNCTION("SPLiT(G2047, ""🤙🏼"",FALSE,FALSE)"),512.0)</f>
        <v>512</v>
      </c>
      <c r="I2047" s="5" t="str">
        <f>IFERROR(__xludf.DUMMYFUNCTION("""COMPUTED_VALUE"""),"The Bourne Identity")</f>
        <v>The Bourne Identity</v>
      </c>
      <c r="J2047" s="5" t="str">
        <f>IFERROR(__xludf.DUMMYFUNCTION("""COMPUTED_VALUE"""),"Matt Damon")</f>
        <v>Matt Damon</v>
      </c>
      <c r="K2047" s="5" t="str">
        <f>IFERROR(__xludf.DUMMYFUNCTION("""COMPUTED_VALUE"""),"Estrela 2")</f>
        <v>Estrela 2</v>
      </c>
      <c r="P2047" s="5">
        <f>IFERROR(__xludf.DUMMYFUNCTION("""COMPUTED_VALUE"""),512.0)</f>
        <v>512</v>
      </c>
      <c r="Q2047" s="5" t="str">
        <f>IFERROR(__xludf.DUMMYFUNCTION("""COMPUTED_VALUE"""),"The Bourne Identity")</f>
        <v>The Bourne Identity</v>
      </c>
      <c r="R2047" s="5" t="str">
        <f>IFERROR(__xludf.DUMMYFUNCTION("""COMPUTED_VALUE"""),"Matt Damon")</f>
        <v>Matt Damon</v>
      </c>
      <c r="S2047" s="5" t="str">
        <f>IFERROR(__xludf.DUMMYFUNCTION("""COMPUTED_VALUE"""),"Estrela 2")</f>
        <v>Estrela 2</v>
      </c>
    </row>
    <row r="2048">
      <c r="G2048" s="5" t="str">
        <f>IFERROR(__xludf.DUMMYFUNCTION("""COMPUTED_VALUE"""),"512🤙🏼The Bourne Identity🤙🏼Chris Cooper🤙🏼Estrela 3")</f>
        <v>512🤙🏼The Bourne Identity🤙🏼Chris Cooper🤙🏼Estrela 3</v>
      </c>
      <c r="H2048" s="5">
        <f>IFERROR(__xludf.DUMMYFUNCTION("SPLiT(G2048, ""🤙🏼"",FALSE,FALSE)"),512.0)</f>
        <v>512</v>
      </c>
      <c r="I2048" s="5" t="str">
        <f>IFERROR(__xludf.DUMMYFUNCTION("""COMPUTED_VALUE"""),"The Bourne Identity")</f>
        <v>The Bourne Identity</v>
      </c>
      <c r="J2048" s="5" t="str">
        <f>IFERROR(__xludf.DUMMYFUNCTION("""COMPUTED_VALUE"""),"Chris Cooper")</f>
        <v>Chris Cooper</v>
      </c>
      <c r="K2048" s="5" t="str">
        <f>IFERROR(__xludf.DUMMYFUNCTION("""COMPUTED_VALUE"""),"Estrela 3")</f>
        <v>Estrela 3</v>
      </c>
      <c r="P2048" s="5">
        <f>IFERROR(__xludf.DUMMYFUNCTION("""COMPUTED_VALUE"""),512.0)</f>
        <v>512</v>
      </c>
      <c r="Q2048" s="5" t="str">
        <f>IFERROR(__xludf.DUMMYFUNCTION("""COMPUTED_VALUE"""),"The Bourne Identity")</f>
        <v>The Bourne Identity</v>
      </c>
      <c r="R2048" s="5" t="str">
        <f>IFERROR(__xludf.DUMMYFUNCTION("""COMPUTED_VALUE"""),"Chris Cooper")</f>
        <v>Chris Cooper</v>
      </c>
      <c r="S2048" s="5" t="str">
        <f>IFERROR(__xludf.DUMMYFUNCTION("""COMPUTED_VALUE"""),"Estrela 3")</f>
        <v>Estrela 3</v>
      </c>
    </row>
    <row r="2049">
      <c r="G2049" s="5" t="str">
        <f>IFERROR(__xludf.DUMMYFUNCTION("""COMPUTED_VALUE"""),"512🤙🏼The Bourne Identity🤙🏼Clive Owen🤙🏼Estrela 4")</f>
        <v>512🤙🏼The Bourne Identity🤙🏼Clive Owen🤙🏼Estrela 4</v>
      </c>
      <c r="H2049" s="5">
        <f>IFERROR(__xludf.DUMMYFUNCTION("SPLiT(G2049, ""🤙🏼"",FALSE,FALSE)"),512.0)</f>
        <v>512</v>
      </c>
      <c r="I2049" s="5" t="str">
        <f>IFERROR(__xludf.DUMMYFUNCTION("""COMPUTED_VALUE"""),"The Bourne Identity")</f>
        <v>The Bourne Identity</v>
      </c>
      <c r="J2049" s="5" t="str">
        <f>IFERROR(__xludf.DUMMYFUNCTION("""COMPUTED_VALUE"""),"Clive Owen")</f>
        <v>Clive Owen</v>
      </c>
      <c r="K2049" s="5" t="str">
        <f>IFERROR(__xludf.DUMMYFUNCTION("""COMPUTED_VALUE"""),"Estrela 4")</f>
        <v>Estrela 4</v>
      </c>
      <c r="P2049" s="5">
        <f>IFERROR(__xludf.DUMMYFUNCTION("""COMPUTED_VALUE"""),512.0)</f>
        <v>512</v>
      </c>
      <c r="Q2049" s="5" t="str">
        <f>IFERROR(__xludf.DUMMYFUNCTION("""COMPUTED_VALUE"""),"The Bourne Identity")</f>
        <v>The Bourne Identity</v>
      </c>
      <c r="R2049" s="5" t="str">
        <f>IFERROR(__xludf.DUMMYFUNCTION("""COMPUTED_VALUE"""),"Clive Owen")</f>
        <v>Clive Owen</v>
      </c>
      <c r="S2049" s="5" t="str">
        <f>IFERROR(__xludf.DUMMYFUNCTION("""COMPUTED_VALUE"""),"Estrela 4")</f>
        <v>Estrela 4</v>
      </c>
    </row>
    <row r="2050">
      <c r="G2050" s="5" t="str">
        <f>IFERROR(__xludf.DUMMYFUNCTION("""COMPUTED_VALUE"""),"513🤙🏼Nueve reinas🤙🏼Ricardo Darín🤙🏼Estrela 1")</f>
        <v>513🤙🏼Nueve reinas🤙🏼Ricardo Darín🤙🏼Estrela 1</v>
      </c>
      <c r="H2050" s="5">
        <f>IFERROR(__xludf.DUMMYFUNCTION("SPLiT(G2050, ""🤙🏼"",FALSE,FALSE)"),513.0)</f>
        <v>513</v>
      </c>
      <c r="I2050" s="5" t="str">
        <f>IFERROR(__xludf.DUMMYFUNCTION("""COMPUTED_VALUE"""),"Nueve reinas")</f>
        <v>Nueve reinas</v>
      </c>
      <c r="J2050" s="5" t="str">
        <f>IFERROR(__xludf.DUMMYFUNCTION("""COMPUTED_VALUE"""),"Ricardo Darín")</f>
        <v>Ricardo Darín</v>
      </c>
      <c r="K2050" s="5" t="str">
        <f>IFERROR(__xludf.DUMMYFUNCTION("""COMPUTED_VALUE"""),"Estrela 1")</f>
        <v>Estrela 1</v>
      </c>
      <c r="P2050" s="5">
        <f>IFERROR(__xludf.DUMMYFUNCTION("""COMPUTED_VALUE"""),513.0)</f>
        <v>513</v>
      </c>
      <c r="Q2050" s="5" t="str">
        <f>IFERROR(__xludf.DUMMYFUNCTION("""COMPUTED_VALUE"""),"Nueve reinas")</f>
        <v>Nueve reinas</v>
      </c>
      <c r="R2050" s="5" t="str">
        <f>IFERROR(__xludf.DUMMYFUNCTION("""COMPUTED_VALUE"""),"Ricardo Darín")</f>
        <v>Ricardo Darín</v>
      </c>
      <c r="S2050" s="5" t="str">
        <f>IFERROR(__xludf.DUMMYFUNCTION("""COMPUTED_VALUE"""),"Estrela 1")</f>
        <v>Estrela 1</v>
      </c>
    </row>
    <row r="2051">
      <c r="G2051" s="5" t="str">
        <f>IFERROR(__xludf.DUMMYFUNCTION("""COMPUTED_VALUE"""),"513🤙🏼Nueve reinas🤙🏼Gastón Pauls🤙🏼Estrela 2")</f>
        <v>513🤙🏼Nueve reinas🤙🏼Gastón Pauls🤙🏼Estrela 2</v>
      </c>
      <c r="H2051" s="5">
        <f>IFERROR(__xludf.DUMMYFUNCTION("SPLiT(G2051, ""🤙🏼"",FALSE,FALSE)"),513.0)</f>
        <v>513</v>
      </c>
      <c r="I2051" s="5" t="str">
        <f>IFERROR(__xludf.DUMMYFUNCTION("""COMPUTED_VALUE"""),"Nueve reinas")</f>
        <v>Nueve reinas</v>
      </c>
      <c r="J2051" s="5" t="str">
        <f>IFERROR(__xludf.DUMMYFUNCTION("""COMPUTED_VALUE"""),"Gastón Pauls")</f>
        <v>Gastón Pauls</v>
      </c>
      <c r="K2051" s="5" t="str">
        <f>IFERROR(__xludf.DUMMYFUNCTION("""COMPUTED_VALUE"""),"Estrela 2")</f>
        <v>Estrela 2</v>
      </c>
      <c r="P2051" s="5">
        <f>IFERROR(__xludf.DUMMYFUNCTION("""COMPUTED_VALUE"""),513.0)</f>
        <v>513</v>
      </c>
      <c r="Q2051" s="5" t="str">
        <f>IFERROR(__xludf.DUMMYFUNCTION("""COMPUTED_VALUE"""),"Nueve reinas")</f>
        <v>Nueve reinas</v>
      </c>
      <c r="R2051" s="5" t="str">
        <f>IFERROR(__xludf.DUMMYFUNCTION("""COMPUTED_VALUE"""),"Gastón Pauls")</f>
        <v>Gastón Pauls</v>
      </c>
      <c r="S2051" s="5" t="str">
        <f>IFERROR(__xludf.DUMMYFUNCTION("""COMPUTED_VALUE"""),"Estrela 2")</f>
        <v>Estrela 2</v>
      </c>
    </row>
    <row r="2052">
      <c r="G2052" s="5" t="str">
        <f>IFERROR(__xludf.DUMMYFUNCTION("""COMPUTED_VALUE"""),"513🤙🏼Nueve reinas🤙🏼Graciela Tenenbaum🤙🏼Estrela 3")</f>
        <v>513🤙🏼Nueve reinas🤙🏼Graciela Tenenbaum🤙🏼Estrela 3</v>
      </c>
      <c r="H2052" s="5">
        <f>IFERROR(__xludf.DUMMYFUNCTION("SPLiT(G2052, ""🤙🏼"",FALSE,FALSE)"),513.0)</f>
        <v>513</v>
      </c>
      <c r="I2052" s="5" t="str">
        <f>IFERROR(__xludf.DUMMYFUNCTION("""COMPUTED_VALUE"""),"Nueve reinas")</f>
        <v>Nueve reinas</v>
      </c>
      <c r="J2052" s="5" t="str">
        <f>IFERROR(__xludf.DUMMYFUNCTION("""COMPUTED_VALUE"""),"Graciela Tenenbaum")</f>
        <v>Graciela Tenenbaum</v>
      </c>
      <c r="K2052" s="5" t="str">
        <f>IFERROR(__xludf.DUMMYFUNCTION("""COMPUTED_VALUE"""),"Estrela 3")</f>
        <v>Estrela 3</v>
      </c>
      <c r="P2052" s="5">
        <f>IFERROR(__xludf.DUMMYFUNCTION("""COMPUTED_VALUE"""),513.0)</f>
        <v>513</v>
      </c>
      <c r="Q2052" s="5" t="str">
        <f>IFERROR(__xludf.DUMMYFUNCTION("""COMPUTED_VALUE"""),"Nueve reinas")</f>
        <v>Nueve reinas</v>
      </c>
      <c r="R2052" s="5" t="str">
        <f>IFERROR(__xludf.DUMMYFUNCTION("""COMPUTED_VALUE"""),"Graciela Tenenbaum")</f>
        <v>Graciela Tenenbaum</v>
      </c>
      <c r="S2052" s="5" t="str">
        <f>IFERROR(__xludf.DUMMYFUNCTION("""COMPUTED_VALUE"""),"Estrela 3")</f>
        <v>Estrela 3</v>
      </c>
    </row>
    <row r="2053">
      <c r="G2053" s="5" t="str">
        <f>IFERROR(__xludf.DUMMYFUNCTION("""COMPUTED_VALUE"""),"513🤙🏼Nueve reinas🤙🏼María Mercedes Villagra🤙🏼Estrela 4")</f>
        <v>513🤙🏼Nueve reinas🤙🏼María Mercedes Villagra🤙🏼Estrela 4</v>
      </c>
      <c r="H2053" s="5">
        <f>IFERROR(__xludf.DUMMYFUNCTION("SPLiT(G2053, ""🤙🏼"",FALSE,FALSE)"),513.0)</f>
        <v>513</v>
      </c>
      <c r="I2053" s="5" t="str">
        <f>IFERROR(__xludf.DUMMYFUNCTION("""COMPUTED_VALUE"""),"Nueve reinas")</f>
        <v>Nueve reinas</v>
      </c>
      <c r="J2053" s="5" t="str">
        <f>IFERROR(__xludf.DUMMYFUNCTION("""COMPUTED_VALUE"""),"María Mercedes Villagra")</f>
        <v>María Mercedes Villagra</v>
      </c>
      <c r="K2053" s="5" t="str">
        <f>IFERROR(__xludf.DUMMYFUNCTION("""COMPUTED_VALUE"""),"Estrela 4")</f>
        <v>Estrela 4</v>
      </c>
      <c r="P2053" s="5">
        <f>IFERROR(__xludf.DUMMYFUNCTION("""COMPUTED_VALUE"""),513.0)</f>
        <v>513</v>
      </c>
      <c r="Q2053" s="5" t="str">
        <f>IFERROR(__xludf.DUMMYFUNCTION("""COMPUTED_VALUE"""),"Nueve reinas")</f>
        <v>Nueve reinas</v>
      </c>
      <c r="R2053" s="5" t="str">
        <f>IFERROR(__xludf.DUMMYFUNCTION("""COMPUTED_VALUE"""),"María Mercedes Villagra")</f>
        <v>María Mercedes Villagra</v>
      </c>
      <c r="S2053" s="5" t="str">
        <f>IFERROR(__xludf.DUMMYFUNCTION("""COMPUTED_VALUE"""),"Estrela 4")</f>
        <v>Estrela 4</v>
      </c>
    </row>
    <row r="2054">
      <c r="G2054" s="5" t="str">
        <f>IFERROR(__xludf.DUMMYFUNCTION("""COMPUTED_VALUE"""),"514🤙🏼Children of Men🤙🏼Julianne Moore🤙🏼Estrela 1")</f>
        <v>514🤙🏼Children of Men🤙🏼Julianne Moore🤙🏼Estrela 1</v>
      </c>
      <c r="H2054" s="5">
        <f>IFERROR(__xludf.DUMMYFUNCTION("SPLiT(G2054, ""🤙🏼"",FALSE,FALSE)"),514.0)</f>
        <v>514</v>
      </c>
      <c r="I2054" s="5" t="str">
        <f>IFERROR(__xludf.DUMMYFUNCTION("""COMPUTED_VALUE"""),"Children of Men")</f>
        <v>Children of Men</v>
      </c>
      <c r="J2054" s="5" t="str">
        <f>IFERROR(__xludf.DUMMYFUNCTION("""COMPUTED_VALUE"""),"Julianne Moore")</f>
        <v>Julianne Moore</v>
      </c>
      <c r="K2054" s="5" t="str">
        <f>IFERROR(__xludf.DUMMYFUNCTION("""COMPUTED_VALUE"""),"Estrela 1")</f>
        <v>Estrela 1</v>
      </c>
      <c r="P2054" s="5">
        <f>IFERROR(__xludf.DUMMYFUNCTION("""COMPUTED_VALUE"""),514.0)</f>
        <v>514</v>
      </c>
      <c r="Q2054" s="5" t="str">
        <f>IFERROR(__xludf.DUMMYFUNCTION("""COMPUTED_VALUE"""),"Children of Men")</f>
        <v>Children of Men</v>
      </c>
      <c r="R2054" s="5" t="str">
        <f>IFERROR(__xludf.DUMMYFUNCTION("""COMPUTED_VALUE"""),"Julianne Moore")</f>
        <v>Julianne Moore</v>
      </c>
      <c r="S2054" s="5" t="str">
        <f>IFERROR(__xludf.DUMMYFUNCTION("""COMPUTED_VALUE"""),"Estrela 1")</f>
        <v>Estrela 1</v>
      </c>
    </row>
    <row r="2055">
      <c r="G2055" s="5" t="str">
        <f>IFERROR(__xludf.DUMMYFUNCTION("""COMPUTED_VALUE"""),"514🤙🏼Children of Men🤙🏼Clive Owen🤙🏼Estrela 2")</f>
        <v>514🤙🏼Children of Men🤙🏼Clive Owen🤙🏼Estrela 2</v>
      </c>
      <c r="H2055" s="5">
        <f>IFERROR(__xludf.DUMMYFUNCTION("SPLiT(G2055, ""🤙🏼"",FALSE,FALSE)"),514.0)</f>
        <v>514</v>
      </c>
      <c r="I2055" s="5" t="str">
        <f>IFERROR(__xludf.DUMMYFUNCTION("""COMPUTED_VALUE"""),"Children of Men")</f>
        <v>Children of Men</v>
      </c>
      <c r="J2055" s="5" t="str">
        <f>IFERROR(__xludf.DUMMYFUNCTION("""COMPUTED_VALUE"""),"Clive Owen")</f>
        <v>Clive Owen</v>
      </c>
      <c r="K2055" s="5" t="str">
        <f>IFERROR(__xludf.DUMMYFUNCTION("""COMPUTED_VALUE"""),"Estrela 2")</f>
        <v>Estrela 2</v>
      </c>
      <c r="P2055" s="5">
        <f>IFERROR(__xludf.DUMMYFUNCTION("""COMPUTED_VALUE"""),514.0)</f>
        <v>514</v>
      </c>
      <c r="Q2055" s="5" t="str">
        <f>IFERROR(__xludf.DUMMYFUNCTION("""COMPUTED_VALUE"""),"Children of Men")</f>
        <v>Children of Men</v>
      </c>
      <c r="R2055" s="5" t="str">
        <f>IFERROR(__xludf.DUMMYFUNCTION("""COMPUTED_VALUE"""),"Clive Owen")</f>
        <v>Clive Owen</v>
      </c>
      <c r="S2055" s="5" t="str">
        <f>IFERROR(__xludf.DUMMYFUNCTION("""COMPUTED_VALUE"""),"Estrela 2")</f>
        <v>Estrela 2</v>
      </c>
    </row>
    <row r="2056">
      <c r="G2056" s="5" t="str">
        <f>IFERROR(__xludf.DUMMYFUNCTION("""COMPUTED_VALUE"""),"514🤙🏼Children of Men🤙🏼Chiwetel Ejiofor🤙🏼Estrela 3")</f>
        <v>514🤙🏼Children of Men🤙🏼Chiwetel Ejiofor🤙🏼Estrela 3</v>
      </c>
      <c r="H2056" s="5">
        <f>IFERROR(__xludf.DUMMYFUNCTION("SPLiT(G2056, ""🤙🏼"",FALSE,FALSE)"),514.0)</f>
        <v>514</v>
      </c>
      <c r="I2056" s="5" t="str">
        <f>IFERROR(__xludf.DUMMYFUNCTION("""COMPUTED_VALUE"""),"Children of Men")</f>
        <v>Children of Men</v>
      </c>
      <c r="J2056" s="5" t="str">
        <f>IFERROR(__xludf.DUMMYFUNCTION("""COMPUTED_VALUE"""),"Chiwetel Ejiofor")</f>
        <v>Chiwetel Ejiofor</v>
      </c>
      <c r="K2056" s="5" t="str">
        <f>IFERROR(__xludf.DUMMYFUNCTION("""COMPUTED_VALUE"""),"Estrela 3")</f>
        <v>Estrela 3</v>
      </c>
      <c r="P2056" s="5">
        <f>IFERROR(__xludf.DUMMYFUNCTION("""COMPUTED_VALUE"""),514.0)</f>
        <v>514</v>
      </c>
      <c r="Q2056" s="5" t="str">
        <f>IFERROR(__xludf.DUMMYFUNCTION("""COMPUTED_VALUE"""),"Children of Men")</f>
        <v>Children of Men</v>
      </c>
      <c r="R2056" s="5" t="str">
        <f>IFERROR(__xludf.DUMMYFUNCTION("""COMPUTED_VALUE"""),"Chiwetel Ejiofor")</f>
        <v>Chiwetel Ejiofor</v>
      </c>
      <c r="S2056" s="5" t="str">
        <f>IFERROR(__xludf.DUMMYFUNCTION("""COMPUTED_VALUE"""),"Estrela 3")</f>
        <v>Estrela 3</v>
      </c>
    </row>
    <row r="2057">
      <c r="G2057" s="5" t="str">
        <f>IFERROR(__xludf.DUMMYFUNCTION("""COMPUTED_VALUE"""),"514🤙🏼Children of Men🤙🏼Michael Caine🤙🏼Estrela 4")</f>
        <v>514🤙🏼Children of Men🤙🏼Michael Caine🤙🏼Estrela 4</v>
      </c>
      <c r="H2057" s="5">
        <f>IFERROR(__xludf.DUMMYFUNCTION("SPLiT(G2057, ""🤙🏼"",FALSE,FALSE)"),514.0)</f>
        <v>514</v>
      </c>
      <c r="I2057" s="5" t="str">
        <f>IFERROR(__xludf.DUMMYFUNCTION("""COMPUTED_VALUE"""),"Children of Men")</f>
        <v>Children of Men</v>
      </c>
      <c r="J2057" s="5" t="str">
        <f>IFERROR(__xludf.DUMMYFUNCTION("""COMPUTED_VALUE"""),"Michael Caine")</f>
        <v>Michael Caine</v>
      </c>
      <c r="K2057" s="5" t="str">
        <f>IFERROR(__xludf.DUMMYFUNCTION("""COMPUTED_VALUE"""),"Estrela 4")</f>
        <v>Estrela 4</v>
      </c>
      <c r="P2057" s="5">
        <f>IFERROR(__xludf.DUMMYFUNCTION("""COMPUTED_VALUE"""),514.0)</f>
        <v>514</v>
      </c>
      <c r="Q2057" s="5" t="str">
        <f>IFERROR(__xludf.DUMMYFUNCTION("""COMPUTED_VALUE"""),"Children of Men")</f>
        <v>Children of Men</v>
      </c>
      <c r="R2057" s="5" t="str">
        <f>IFERROR(__xludf.DUMMYFUNCTION("""COMPUTED_VALUE"""),"Michael Caine")</f>
        <v>Michael Caine</v>
      </c>
      <c r="S2057" s="5" t="str">
        <f>IFERROR(__xludf.DUMMYFUNCTION("""COMPUTED_VALUE"""),"Estrela 4")</f>
        <v>Estrela 4</v>
      </c>
    </row>
    <row r="2058">
      <c r="G2058" s="5" t="str">
        <f>IFERROR(__xludf.DUMMYFUNCTION("""COMPUTED_VALUE"""),"515🤙🏼Almost Famous🤙🏼Billy Crudup🤙🏼Estrela 1")</f>
        <v>515🤙🏼Almost Famous🤙🏼Billy Crudup🤙🏼Estrela 1</v>
      </c>
      <c r="H2058" s="5">
        <f>IFERROR(__xludf.DUMMYFUNCTION("SPLiT(G2058, ""🤙🏼"",FALSE,FALSE)"),515.0)</f>
        <v>515</v>
      </c>
      <c r="I2058" s="5" t="str">
        <f>IFERROR(__xludf.DUMMYFUNCTION("""COMPUTED_VALUE"""),"Almost Famous")</f>
        <v>Almost Famous</v>
      </c>
      <c r="J2058" s="5" t="str">
        <f>IFERROR(__xludf.DUMMYFUNCTION("""COMPUTED_VALUE"""),"Billy Crudup")</f>
        <v>Billy Crudup</v>
      </c>
      <c r="K2058" s="5" t="str">
        <f>IFERROR(__xludf.DUMMYFUNCTION("""COMPUTED_VALUE"""),"Estrela 1")</f>
        <v>Estrela 1</v>
      </c>
      <c r="P2058" s="5">
        <f>IFERROR(__xludf.DUMMYFUNCTION("""COMPUTED_VALUE"""),515.0)</f>
        <v>515</v>
      </c>
      <c r="Q2058" s="5" t="str">
        <f>IFERROR(__xludf.DUMMYFUNCTION("""COMPUTED_VALUE"""),"Almost Famous")</f>
        <v>Almost Famous</v>
      </c>
      <c r="R2058" s="5" t="str">
        <f>IFERROR(__xludf.DUMMYFUNCTION("""COMPUTED_VALUE"""),"Billy Crudup")</f>
        <v>Billy Crudup</v>
      </c>
      <c r="S2058" s="5" t="str">
        <f>IFERROR(__xludf.DUMMYFUNCTION("""COMPUTED_VALUE"""),"Estrela 1")</f>
        <v>Estrela 1</v>
      </c>
    </row>
    <row r="2059">
      <c r="G2059" s="5" t="str">
        <f>IFERROR(__xludf.DUMMYFUNCTION("""COMPUTED_VALUE"""),"515🤙🏼Almost Famous🤙🏼Patrick Fugit🤙🏼Estrela 2")</f>
        <v>515🤙🏼Almost Famous🤙🏼Patrick Fugit🤙🏼Estrela 2</v>
      </c>
      <c r="H2059" s="5">
        <f>IFERROR(__xludf.DUMMYFUNCTION("SPLiT(G2059, ""🤙🏼"",FALSE,FALSE)"),515.0)</f>
        <v>515</v>
      </c>
      <c r="I2059" s="5" t="str">
        <f>IFERROR(__xludf.DUMMYFUNCTION("""COMPUTED_VALUE"""),"Almost Famous")</f>
        <v>Almost Famous</v>
      </c>
      <c r="J2059" s="5" t="str">
        <f>IFERROR(__xludf.DUMMYFUNCTION("""COMPUTED_VALUE"""),"Patrick Fugit")</f>
        <v>Patrick Fugit</v>
      </c>
      <c r="K2059" s="5" t="str">
        <f>IFERROR(__xludf.DUMMYFUNCTION("""COMPUTED_VALUE"""),"Estrela 2")</f>
        <v>Estrela 2</v>
      </c>
      <c r="P2059" s="5">
        <f>IFERROR(__xludf.DUMMYFUNCTION("""COMPUTED_VALUE"""),515.0)</f>
        <v>515</v>
      </c>
      <c r="Q2059" s="5" t="str">
        <f>IFERROR(__xludf.DUMMYFUNCTION("""COMPUTED_VALUE"""),"Almost Famous")</f>
        <v>Almost Famous</v>
      </c>
      <c r="R2059" s="5" t="str">
        <f>IFERROR(__xludf.DUMMYFUNCTION("""COMPUTED_VALUE"""),"Patrick Fugit")</f>
        <v>Patrick Fugit</v>
      </c>
      <c r="S2059" s="5" t="str">
        <f>IFERROR(__xludf.DUMMYFUNCTION("""COMPUTED_VALUE"""),"Estrela 2")</f>
        <v>Estrela 2</v>
      </c>
    </row>
    <row r="2060">
      <c r="G2060" s="5" t="str">
        <f>IFERROR(__xludf.DUMMYFUNCTION("""COMPUTED_VALUE"""),"515🤙🏼Almost Famous🤙🏼Kate Hudson🤙🏼Estrela 3")</f>
        <v>515🤙🏼Almost Famous🤙🏼Kate Hudson🤙🏼Estrela 3</v>
      </c>
      <c r="H2060" s="5">
        <f>IFERROR(__xludf.DUMMYFUNCTION("SPLiT(G2060, ""🤙🏼"",FALSE,FALSE)"),515.0)</f>
        <v>515</v>
      </c>
      <c r="I2060" s="5" t="str">
        <f>IFERROR(__xludf.DUMMYFUNCTION("""COMPUTED_VALUE"""),"Almost Famous")</f>
        <v>Almost Famous</v>
      </c>
      <c r="J2060" s="5" t="str">
        <f>IFERROR(__xludf.DUMMYFUNCTION("""COMPUTED_VALUE"""),"Kate Hudson")</f>
        <v>Kate Hudson</v>
      </c>
      <c r="K2060" s="5" t="str">
        <f>IFERROR(__xludf.DUMMYFUNCTION("""COMPUTED_VALUE"""),"Estrela 3")</f>
        <v>Estrela 3</v>
      </c>
      <c r="P2060" s="5">
        <f>IFERROR(__xludf.DUMMYFUNCTION("""COMPUTED_VALUE"""),515.0)</f>
        <v>515</v>
      </c>
      <c r="Q2060" s="5" t="str">
        <f>IFERROR(__xludf.DUMMYFUNCTION("""COMPUTED_VALUE"""),"Almost Famous")</f>
        <v>Almost Famous</v>
      </c>
      <c r="R2060" s="5" t="str">
        <f>IFERROR(__xludf.DUMMYFUNCTION("""COMPUTED_VALUE"""),"Kate Hudson")</f>
        <v>Kate Hudson</v>
      </c>
      <c r="S2060" s="5" t="str">
        <f>IFERROR(__xludf.DUMMYFUNCTION("""COMPUTED_VALUE"""),"Estrela 3")</f>
        <v>Estrela 3</v>
      </c>
    </row>
    <row r="2061">
      <c r="G2061" s="5" t="str">
        <f>IFERROR(__xludf.DUMMYFUNCTION("""COMPUTED_VALUE"""),"515🤙🏼Almost Famous🤙🏼Frances McDormand🤙🏼Estrela 4")</f>
        <v>515🤙🏼Almost Famous🤙🏼Frances McDormand🤙🏼Estrela 4</v>
      </c>
      <c r="H2061" s="5">
        <f>IFERROR(__xludf.DUMMYFUNCTION("SPLiT(G2061, ""🤙🏼"",FALSE,FALSE)"),515.0)</f>
        <v>515</v>
      </c>
      <c r="I2061" s="5" t="str">
        <f>IFERROR(__xludf.DUMMYFUNCTION("""COMPUTED_VALUE"""),"Almost Famous")</f>
        <v>Almost Famous</v>
      </c>
      <c r="J2061" s="5" t="str">
        <f>IFERROR(__xludf.DUMMYFUNCTION("""COMPUTED_VALUE"""),"Frances McDormand")</f>
        <v>Frances McDormand</v>
      </c>
      <c r="K2061" s="5" t="str">
        <f>IFERROR(__xludf.DUMMYFUNCTION("""COMPUTED_VALUE"""),"Estrela 4")</f>
        <v>Estrela 4</v>
      </c>
      <c r="P2061" s="5">
        <f>IFERROR(__xludf.DUMMYFUNCTION("""COMPUTED_VALUE"""),515.0)</f>
        <v>515</v>
      </c>
      <c r="Q2061" s="5" t="str">
        <f>IFERROR(__xludf.DUMMYFUNCTION("""COMPUTED_VALUE"""),"Almost Famous")</f>
        <v>Almost Famous</v>
      </c>
      <c r="R2061" s="5" t="str">
        <f>IFERROR(__xludf.DUMMYFUNCTION("""COMPUTED_VALUE"""),"Frances McDormand")</f>
        <v>Frances McDormand</v>
      </c>
      <c r="S2061" s="5" t="str">
        <f>IFERROR(__xludf.DUMMYFUNCTION("""COMPUTED_VALUE"""),"Estrela 4")</f>
        <v>Estrela 4</v>
      </c>
    </row>
    <row r="2062">
      <c r="G2062" s="5" t="str">
        <f>IFERROR(__xludf.DUMMYFUNCTION("""COMPUTED_VALUE"""),"516🤙🏼Mulholland Dr.🤙🏼Naomi Watts🤙🏼Estrela 1")</f>
        <v>516🤙🏼Mulholland Dr.🤙🏼Naomi Watts🤙🏼Estrela 1</v>
      </c>
      <c r="H2062" s="5">
        <f>IFERROR(__xludf.DUMMYFUNCTION("SPLiT(G2062, ""🤙🏼"",FALSE,FALSE)"),516.0)</f>
        <v>516</v>
      </c>
      <c r="I2062" s="5" t="str">
        <f>IFERROR(__xludf.DUMMYFUNCTION("""COMPUTED_VALUE"""),"Mulholland Dr.")</f>
        <v>Mulholland Dr.</v>
      </c>
      <c r="J2062" s="5" t="str">
        <f>IFERROR(__xludf.DUMMYFUNCTION("""COMPUTED_VALUE"""),"Naomi Watts")</f>
        <v>Naomi Watts</v>
      </c>
      <c r="K2062" s="5" t="str">
        <f>IFERROR(__xludf.DUMMYFUNCTION("""COMPUTED_VALUE"""),"Estrela 1")</f>
        <v>Estrela 1</v>
      </c>
      <c r="P2062" s="5">
        <f>IFERROR(__xludf.DUMMYFUNCTION("""COMPUTED_VALUE"""),516.0)</f>
        <v>516</v>
      </c>
      <c r="Q2062" s="5" t="str">
        <f>IFERROR(__xludf.DUMMYFUNCTION("""COMPUTED_VALUE"""),"Mulholland Dr.")</f>
        <v>Mulholland Dr.</v>
      </c>
      <c r="R2062" s="5" t="str">
        <f>IFERROR(__xludf.DUMMYFUNCTION("""COMPUTED_VALUE"""),"Naomi Watts")</f>
        <v>Naomi Watts</v>
      </c>
      <c r="S2062" s="5" t="str">
        <f>IFERROR(__xludf.DUMMYFUNCTION("""COMPUTED_VALUE"""),"Estrela 1")</f>
        <v>Estrela 1</v>
      </c>
    </row>
    <row r="2063">
      <c r="G2063" s="5" t="str">
        <f>IFERROR(__xludf.DUMMYFUNCTION("""COMPUTED_VALUE"""),"516🤙🏼Mulholland Dr.🤙🏼Laura Harring🤙🏼Estrela 2")</f>
        <v>516🤙🏼Mulholland Dr.🤙🏼Laura Harring🤙🏼Estrela 2</v>
      </c>
      <c r="H2063" s="5">
        <f>IFERROR(__xludf.DUMMYFUNCTION("SPLiT(G2063, ""🤙🏼"",FALSE,FALSE)"),516.0)</f>
        <v>516</v>
      </c>
      <c r="I2063" s="5" t="str">
        <f>IFERROR(__xludf.DUMMYFUNCTION("""COMPUTED_VALUE"""),"Mulholland Dr.")</f>
        <v>Mulholland Dr.</v>
      </c>
      <c r="J2063" s="5" t="str">
        <f>IFERROR(__xludf.DUMMYFUNCTION("""COMPUTED_VALUE"""),"Laura Harring")</f>
        <v>Laura Harring</v>
      </c>
      <c r="K2063" s="5" t="str">
        <f>IFERROR(__xludf.DUMMYFUNCTION("""COMPUTED_VALUE"""),"Estrela 2")</f>
        <v>Estrela 2</v>
      </c>
      <c r="P2063" s="5">
        <f>IFERROR(__xludf.DUMMYFUNCTION("""COMPUTED_VALUE"""),516.0)</f>
        <v>516</v>
      </c>
      <c r="Q2063" s="5" t="str">
        <f>IFERROR(__xludf.DUMMYFUNCTION("""COMPUTED_VALUE"""),"Mulholland Dr.")</f>
        <v>Mulholland Dr.</v>
      </c>
      <c r="R2063" s="5" t="str">
        <f>IFERROR(__xludf.DUMMYFUNCTION("""COMPUTED_VALUE"""),"Laura Harring")</f>
        <v>Laura Harring</v>
      </c>
      <c r="S2063" s="5" t="str">
        <f>IFERROR(__xludf.DUMMYFUNCTION("""COMPUTED_VALUE"""),"Estrela 2")</f>
        <v>Estrela 2</v>
      </c>
    </row>
    <row r="2064">
      <c r="G2064" s="5" t="str">
        <f>IFERROR(__xludf.DUMMYFUNCTION("""COMPUTED_VALUE"""),"516🤙🏼Mulholland Dr.🤙🏼Justin Theroux🤙🏼Estrela 3")</f>
        <v>516🤙🏼Mulholland Dr.🤙🏼Justin Theroux🤙🏼Estrela 3</v>
      </c>
      <c r="H2064" s="5">
        <f>IFERROR(__xludf.DUMMYFUNCTION("SPLiT(G2064, ""🤙🏼"",FALSE,FALSE)"),516.0)</f>
        <v>516</v>
      </c>
      <c r="I2064" s="5" t="str">
        <f>IFERROR(__xludf.DUMMYFUNCTION("""COMPUTED_VALUE"""),"Mulholland Dr.")</f>
        <v>Mulholland Dr.</v>
      </c>
      <c r="J2064" s="5" t="str">
        <f>IFERROR(__xludf.DUMMYFUNCTION("""COMPUTED_VALUE"""),"Justin Theroux")</f>
        <v>Justin Theroux</v>
      </c>
      <c r="K2064" s="5" t="str">
        <f>IFERROR(__xludf.DUMMYFUNCTION("""COMPUTED_VALUE"""),"Estrela 3")</f>
        <v>Estrela 3</v>
      </c>
      <c r="P2064" s="5">
        <f>IFERROR(__xludf.DUMMYFUNCTION("""COMPUTED_VALUE"""),516.0)</f>
        <v>516</v>
      </c>
      <c r="Q2064" s="5" t="str">
        <f>IFERROR(__xludf.DUMMYFUNCTION("""COMPUTED_VALUE"""),"Mulholland Dr.")</f>
        <v>Mulholland Dr.</v>
      </c>
      <c r="R2064" s="5" t="str">
        <f>IFERROR(__xludf.DUMMYFUNCTION("""COMPUTED_VALUE"""),"Justin Theroux")</f>
        <v>Justin Theroux</v>
      </c>
      <c r="S2064" s="5" t="str">
        <f>IFERROR(__xludf.DUMMYFUNCTION("""COMPUTED_VALUE"""),"Estrela 3")</f>
        <v>Estrela 3</v>
      </c>
    </row>
    <row r="2065">
      <c r="G2065" s="5" t="str">
        <f>IFERROR(__xludf.DUMMYFUNCTION("""COMPUTED_VALUE"""),"516🤙🏼Mulholland Dr.🤙🏼Jeanne Bates🤙🏼Estrela 4")</f>
        <v>516🤙🏼Mulholland Dr.🤙🏼Jeanne Bates🤙🏼Estrela 4</v>
      </c>
      <c r="H2065" s="5">
        <f>IFERROR(__xludf.DUMMYFUNCTION("SPLiT(G2065, ""🤙🏼"",FALSE,FALSE)"),516.0)</f>
        <v>516</v>
      </c>
      <c r="I2065" s="5" t="str">
        <f>IFERROR(__xludf.DUMMYFUNCTION("""COMPUTED_VALUE"""),"Mulholland Dr.")</f>
        <v>Mulholland Dr.</v>
      </c>
      <c r="J2065" s="5" t="str">
        <f>IFERROR(__xludf.DUMMYFUNCTION("""COMPUTED_VALUE"""),"Jeanne Bates")</f>
        <v>Jeanne Bates</v>
      </c>
      <c r="K2065" s="5" t="str">
        <f>IFERROR(__xludf.DUMMYFUNCTION("""COMPUTED_VALUE"""),"Estrela 4")</f>
        <v>Estrela 4</v>
      </c>
      <c r="P2065" s="5">
        <f>IFERROR(__xludf.DUMMYFUNCTION("""COMPUTED_VALUE"""),516.0)</f>
        <v>516</v>
      </c>
      <c r="Q2065" s="5" t="str">
        <f>IFERROR(__xludf.DUMMYFUNCTION("""COMPUTED_VALUE"""),"Mulholland Dr.")</f>
        <v>Mulholland Dr.</v>
      </c>
      <c r="R2065" s="5" t="str">
        <f>IFERROR(__xludf.DUMMYFUNCTION("""COMPUTED_VALUE"""),"Jeanne Bates")</f>
        <v>Jeanne Bates</v>
      </c>
      <c r="S2065" s="5" t="str">
        <f>IFERROR(__xludf.DUMMYFUNCTION("""COMPUTED_VALUE"""),"Estrela 4")</f>
        <v>Estrela 4</v>
      </c>
    </row>
    <row r="2066">
      <c r="G2066" s="5" t="str">
        <f>IFERROR(__xludf.DUMMYFUNCTION("""COMPUTED_VALUE"""),"517🤙🏼Toy Story 2🤙🏼Ash Brannon🤙🏼Estrela 1")</f>
        <v>517🤙🏼Toy Story 2🤙🏼Ash Brannon🤙🏼Estrela 1</v>
      </c>
      <c r="H2066" s="5">
        <f>IFERROR(__xludf.DUMMYFUNCTION("SPLiT(G2066, ""🤙🏼"",FALSE,FALSE)"),517.0)</f>
        <v>517</v>
      </c>
      <c r="I2066" s="5" t="str">
        <f>IFERROR(__xludf.DUMMYFUNCTION("""COMPUTED_VALUE"""),"Toy Story 2")</f>
        <v>Toy Story 2</v>
      </c>
      <c r="J2066" s="5" t="str">
        <f>IFERROR(__xludf.DUMMYFUNCTION("""COMPUTED_VALUE"""),"Ash Brannon")</f>
        <v>Ash Brannon</v>
      </c>
      <c r="K2066" s="5" t="str">
        <f>IFERROR(__xludf.DUMMYFUNCTION("""COMPUTED_VALUE"""),"Estrela 1")</f>
        <v>Estrela 1</v>
      </c>
      <c r="P2066" s="5">
        <f>IFERROR(__xludf.DUMMYFUNCTION("""COMPUTED_VALUE"""),517.0)</f>
        <v>517</v>
      </c>
      <c r="Q2066" s="5" t="str">
        <f>IFERROR(__xludf.DUMMYFUNCTION("""COMPUTED_VALUE"""),"Toy Story 2")</f>
        <v>Toy Story 2</v>
      </c>
      <c r="R2066" s="5" t="str">
        <f>IFERROR(__xludf.DUMMYFUNCTION("""COMPUTED_VALUE"""),"Ash Brannon")</f>
        <v>Ash Brannon</v>
      </c>
      <c r="S2066" s="5" t="str">
        <f>IFERROR(__xludf.DUMMYFUNCTION("""COMPUTED_VALUE"""),"Estrela 1")</f>
        <v>Estrela 1</v>
      </c>
    </row>
    <row r="2067">
      <c r="G2067" s="5" t="str">
        <f>IFERROR(__xludf.DUMMYFUNCTION("""COMPUTED_VALUE"""),"517🤙🏼Toy Story 2🤙🏼Lee Unkrich🤙🏼Estrela 2")</f>
        <v>517🤙🏼Toy Story 2🤙🏼Lee Unkrich🤙🏼Estrela 2</v>
      </c>
      <c r="H2067" s="5">
        <f>IFERROR(__xludf.DUMMYFUNCTION("SPLiT(G2067, ""🤙🏼"",FALSE,FALSE)"),517.0)</f>
        <v>517</v>
      </c>
      <c r="I2067" s="5" t="str">
        <f>IFERROR(__xludf.DUMMYFUNCTION("""COMPUTED_VALUE"""),"Toy Story 2")</f>
        <v>Toy Story 2</v>
      </c>
      <c r="J2067" s="5" t="str">
        <f>IFERROR(__xludf.DUMMYFUNCTION("""COMPUTED_VALUE"""),"Lee Unkrich")</f>
        <v>Lee Unkrich</v>
      </c>
      <c r="K2067" s="5" t="str">
        <f>IFERROR(__xludf.DUMMYFUNCTION("""COMPUTED_VALUE"""),"Estrela 2")</f>
        <v>Estrela 2</v>
      </c>
      <c r="P2067" s="5">
        <f>IFERROR(__xludf.DUMMYFUNCTION("""COMPUTED_VALUE"""),517.0)</f>
        <v>517</v>
      </c>
      <c r="Q2067" s="5" t="str">
        <f>IFERROR(__xludf.DUMMYFUNCTION("""COMPUTED_VALUE"""),"Toy Story 2")</f>
        <v>Toy Story 2</v>
      </c>
      <c r="R2067" s="5" t="str">
        <f>IFERROR(__xludf.DUMMYFUNCTION("""COMPUTED_VALUE"""),"Lee Unkrich")</f>
        <v>Lee Unkrich</v>
      </c>
      <c r="S2067" s="5" t="str">
        <f>IFERROR(__xludf.DUMMYFUNCTION("""COMPUTED_VALUE"""),"Estrela 2")</f>
        <v>Estrela 2</v>
      </c>
    </row>
    <row r="2068">
      <c r="G2068" s="5" t="str">
        <f>IFERROR(__xludf.DUMMYFUNCTION("""COMPUTED_VALUE"""),"517🤙🏼Toy Story 2🤙🏼Tom Hanks🤙🏼Estrela 3")</f>
        <v>517🤙🏼Toy Story 2🤙🏼Tom Hanks🤙🏼Estrela 3</v>
      </c>
      <c r="H2068" s="5">
        <f>IFERROR(__xludf.DUMMYFUNCTION("SPLiT(G2068, ""🤙🏼"",FALSE,FALSE)"),517.0)</f>
        <v>517</v>
      </c>
      <c r="I2068" s="5" t="str">
        <f>IFERROR(__xludf.DUMMYFUNCTION("""COMPUTED_VALUE"""),"Toy Story 2")</f>
        <v>Toy Story 2</v>
      </c>
      <c r="J2068" s="5" t="str">
        <f>IFERROR(__xludf.DUMMYFUNCTION("""COMPUTED_VALUE"""),"Tom Hanks")</f>
        <v>Tom Hanks</v>
      </c>
      <c r="K2068" s="5" t="str">
        <f>IFERROR(__xludf.DUMMYFUNCTION("""COMPUTED_VALUE"""),"Estrela 3")</f>
        <v>Estrela 3</v>
      </c>
      <c r="P2068" s="5">
        <f>IFERROR(__xludf.DUMMYFUNCTION("""COMPUTED_VALUE"""),517.0)</f>
        <v>517</v>
      </c>
      <c r="Q2068" s="5" t="str">
        <f>IFERROR(__xludf.DUMMYFUNCTION("""COMPUTED_VALUE"""),"Toy Story 2")</f>
        <v>Toy Story 2</v>
      </c>
      <c r="R2068" s="5" t="str">
        <f>IFERROR(__xludf.DUMMYFUNCTION("""COMPUTED_VALUE"""),"Tom Hanks")</f>
        <v>Tom Hanks</v>
      </c>
      <c r="S2068" s="5" t="str">
        <f>IFERROR(__xludf.DUMMYFUNCTION("""COMPUTED_VALUE"""),"Estrela 3")</f>
        <v>Estrela 3</v>
      </c>
    </row>
    <row r="2069">
      <c r="G2069" s="5" t="str">
        <f>IFERROR(__xludf.DUMMYFUNCTION("""COMPUTED_VALUE"""),"517🤙🏼Toy Story 2🤙🏼Tim Allen🤙🏼Estrela 4")</f>
        <v>517🤙🏼Toy Story 2🤙🏼Tim Allen🤙🏼Estrela 4</v>
      </c>
      <c r="H2069" s="5">
        <f>IFERROR(__xludf.DUMMYFUNCTION("SPLiT(G2069, ""🤙🏼"",FALSE,FALSE)"),517.0)</f>
        <v>517</v>
      </c>
      <c r="I2069" s="5" t="str">
        <f>IFERROR(__xludf.DUMMYFUNCTION("""COMPUTED_VALUE"""),"Toy Story 2")</f>
        <v>Toy Story 2</v>
      </c>
      <c r="J2069" s="5" t="str">
        <f>IFERROR(__xludf.DUMMYFUNCTION("""COMPUTED_VALUE"""),"Tim Allen")</f>
        <v>Tim Allen</v>
      </c>
      <c r="K2069" s="5" t="str">
        <f>IFERROR(__xludf.DUMMYFUNCTION("""COMPUTED_VALUE"""),"Estrela 4")</f>
        <v>Estrela 4</v>
      </c>
      <c r="P2069" s="5">
        <f>IFERROR(__xludf.DUMMYFUNCTION("""COMPUTED_VALUE"""),517.0)</f>
        <v>517</v>
      </c>
      <c r="Q2069" s="5" t="str">
        <f>IFERROR(__xludf.DUMMYFUNCTION("""COMPUTED_VALUE"""),"Toy Story 2")</f>
        <v>Toy Story 2</v>
      </c>
      <c r="R2069" s="5" t="str">
        <f>IFERROR(__xludf.DUMMYFUNCTION("""COMPUTED_VALUE"""),"Tim Allen")</f>
        <v>Tim Allen</v>
      </c>
      <c r="S2069" s="5" t="str">
        <f>IFERROR(__xludf.DUMMYFUNCTION("""COMPUTED_VALUE"""),"Estrela 4")</f>
        <v>Estrela 4</v>
      </c>
    </row>
    <row r="2070">
      <c r="G2070" s="5" t="str">
        <f>IFERROR(__xludf.DUMMYFUNCTION("""COMPUTED_VALUE"""),"518🤙🏼Boogie Nights🤙🏼Mark Wahlberg🤙🏼Estrela 1")</f>
        <v>518🤙🏼Boogie Nights🤙🏼Mark Wahlberg🤙🏼Estrela 1</v>
      </c>
      <c r="H2070" s="5">
        <f>IFERROR(__xludf.DUMMYFUNCTION("SPLiT(G2070, ""🤙🏼"",FALSE,FALSE)"),518.0)</f>
        <v>518</v>
      </c>
      <c r="I2070" s="5" t="str">
        <f>IFERROR(__xludf.DUMMYFUNCTION("""COMPUTED_VALUE"""),"Boogie Nights")</f>
        <v>Boogie Nights</v>
      </c>
      <c r="J2070" s="5" t="str">
        <f>IFERROR(__xludf.DUMMYFUNCTION("""COMPUTED_VALUE"""),"Mark Wahlberg")</f>
        <v>Mark Wahlberg</v>
      </c>
      <c r="K2070" s="5" t="str">
        <f>IFERROR(__xludf.DUMMYFUNCTION("""COMPUTED_VALUE"""),"Estrela 1")</f>
        <v>Estrela 1</v>
      </c>
      <c r="P2070" s="5">
        <f>IFERROR(__xludf.DUMMYFUNCTION("""COMPUTED_VALUE"""),518.0)</f>
        <v>518</v>
      </c>
      <c r="Q2070" s="5" t="str">
        <f>IFERROR(__xludf.DUMMYFUNCTION("""COMPUTED_VALUE"""),"Boogie Nights")</f>
        <v>Boogie Nights</v>
      </c>
      <c r="R2070" s="5" t="str">
        <f>IFERROR(__xludf.DUMMYFUNCTION("""COMPUTED_VALUE"""),"Mark Wahlberg")</f>
        <v>Mark Wahlberg</v>
      </c>
      <c r="S2070" s="5" t="str">
        <f>IFERROR(__xludf.DUMMYFUNCTION("""COMPUTED_VALUE"""),"Estrela 1")</f>
        <v>Estrela 1</v>
      </c>
    </row>
    <row r="2071">
      <c r="G2071" s="5" t="str">
        <f>IFERROR(__xludf.DUMMYFUNCTION("""COMPUTED_VALUE"""),"518🤙🏼Boogie Nights🤙🏼Julianne Moore🤙🏼Estrela 2")</f>
        <v>518🤙🏼Boogie Nights🤙🏼Julianne Moore🤙🏼Estrela 2</v>
      </c>
      <c r="H2071" s="5">
        <f>IFERROR(__xludf.DUMMYFUNCTION("SPLiT(G2071, ""🤙🏼"",FALSE,FALSE)"),518.0)</f>
        <v>518</v>
      </c>
      <c r="I2071" s="5" t="str">
        <f>IFERROR(__xludf.DUMMYFUNCTION("""COMPUTED_VALUE"""),"Boogie Nights")</f>
        <v>Boogie Nights</v>
      </c>
      <c r="J2071" s="5" t="str">
        <f>IFERROR(__xludf.DUMMYFUNCTION("""COMPUTED_VALUE"""),"Julianne Moore")</f>
        <v>Julianne Moore</v>
      </c>
      <c r="K2071" s="5" t="str">
        <f>IFERROR(__xludf.DUMMYFUNCTION("""COMPUTED_VALUE"""),"Estrela 2")</f>
        <v>Estrela 2</v>
      </c>
      <c r="P2071" s="5">
        <f>IFERROR(__xludf.DUMMYFUNCTION("""COMPUTED_VALUE"""),518.0)</f>
        <v>518</v>
      </c>
      <c r="Q2071" s="5" t="str">
        <f>IFERROR(__xludf.DUMMYFUNCTION("""COMPUTED_VALUE"""),"Boogie Nights")</f>
        <v>Boogie Nights</v>
      </c>
      <c r="R2071" s="5" t="str">
        <f>IFERROR(__xludf.DUMMYFUNCTION("""COMPUTED_VALUE"""),"Julianne Moore")</f>
        <v>Julianne Moore</v>
      </c>
      <c r="S2071" s="5" t="str">
        <f>IFERROR(__xludf.DUMMYFUNCTION("""COMPUTED_VALUE"""),"Estrela 2")</f>
        <v>Estrela 2</v>
      </c>
    </row>
    <row r="2072">
      <c r="G2072" s="5" t="str">
        <f>IFERROR(__xludf.DUMMYFUNCTION("""COMPUTED_VALUE"""),"518🤙🏼Boogie Nights🤙🏼Burt Reynolds🤙🏼Estrela 3")</f>
        <v>518🤙🏼Boogie Nights🤙🏼Burt Reynolds🤙🏼Estrela 3</v>
      </c>
      <c r="H2072" s="5">
        <f>IFERROR(__xludf.DUMMYFUNCTION("SPLiT(G2072, ""🤙🏼"",FALSE,FALSE)"),518.0)</f>
        <v>518</v>
      </c>
      <c r="I2072" s="5" t="str">
        <f>IFERROR(__xludf.DUMMYFUNCTION("""COMPUTED_VALUE"""),"Boogie Nights")</f>
        <v>Boogie Nights</v>
      </c>
      <c r="J2072" s="5" t="str">
        <f>IFERROR(__xludf.DUMMYFUNCTION("""COMPUTED_VALUE"""),"Burt Reynolds")</f>
        <v>Burt Reynolds</v>
      </c>
      <c r="K2072" s="5" t="str">
        <f>IFERROR(__xludf.DUMMYFUNCTION("""COMPUTED_VALUE"""),"Estrela 3")</f>
        <v>Estrela 3</v>
      </c>
      <c r="P2072" s="5">
        <f>IFERROR(__xludf.DUMMYFUNCTION("""COMPUTED_VALUE"""),518.0)</f>
        <v>518</v>
      </c>
      <c r="Q2072" s="5" t="str">
        <f>IFERROR(__xludf.DUMMYFUNCTION("""COMPUTED_VALUE"""),"Boogie Nights")</f>
        <v>Boogie Nights</v>
      </c>
      <c r="R2072" s="5" t="str">
        <f>IFERROR(__xludf.DUMMYFUNCTION("""COMPUTED_VALUE"""),"Burt Reynolds")</f>
        <v>Burt Reynolds</v>
      </c>
      <c r="S2072" s="5" t="str">
        <f>IFERROR(__xludf.DUMMYFUNCTION("""COMPUTED_VALUE"""),"Estrela 3")</f>
        <v>Estrela 3</v>
      </c>
    </row>
    <row r="2073">
      <c r="G2073" s="5" t="str">
        <f>IFERROR(__xludf.DUMMYFUNCTION("""COMPUTED_VALUE"""),"518🤙🏼Boogie Nights🤙🏼Luis Guzmán🤙🏼Estrela 4")</f>
        <v>518🤙🏼Boogie Nights🤙🏼Luis Guzmán🤙🏼Estrela 4</v>
      </c>
      <c r="H2073" s="5">
        <f>IFERROR(__xludf.DUMMYFUNCTION("SPLiT(G2073, ""🤙🏼"",FALSE,FALSE)"),518.0)</f>
        <v>518</v>
      </c>
      <c r="I2073" s="5" t="str">
        <f>IFERROR(__xludf.DUMMYFUNCTION("""COMPUTED_VALUE"""),"Boogie Nights")</f>
        <v>Boogie Nights</v>
      </c>
      <c r="J2073" s="5" t="str">
        <f>IFERROR(__xludf.DUMMYFUNCTION("""COMPUTED_VALUE"""),"Luis Guzmán")</f>
        <v>Luis Guzmán</v>
      </c>
      <c r="K2073" s="5" t="str">
        <f>IFERROR(__xludf.DUMMYFUNCTION("""COMPUTED_VALUE"""),"Estrela 4")</f>
        <v>Estrela 4</v>
      </c>
      <c r="P2073" s="5">
        <f>IFERROR(__xludf.DUMMYFUNCTION("""COMPUTED_VALUE"""),518.0)</f>
        <v>518</v>
      </c>
      <c r="Q2073" s="5" t="str">
        <f>IFERROR(__xludf.DUMMYFUNCTION("""COMPUTED_VALUE"""),"Boogie Nights")</f>
        <v>Boogie Nights</v>
      </c>
      <c r="R2073" s="5" t="str">
        <f>IFERROR(__xludf.DUMMYFUNCTION("""COMPUTED_VALUE"""),"Luis Guzmán")</f>
        <v>Luis Guzmán</v>
      </c>
      <c r="S2073" s="5" t="str">
        <f>IFERROR(__xludf.DUMMYFUNCTION("""COMPUTED_VALUE"""),"Estrela 4")</f>
        <v>Estrela 4</v>
      </c>
    </row>
    <row r="2074">
      <c r="G2074" s="5" t="str">
        <f>IFERROR(__xludf.DUMMYFUNCTION("""COMPUTED_VALUE"""),"519🤙🏼Mimi wo sumaseba🤙🏼Yoko Honna🤙🏼Estrela 1")</f>
        <v>519🤙🏼Mimi wo sumaseba🤙🏼Yoko Honna🤙🏼Estrela 1</v>
      </c>
      <c r="H2074" s="5">
        <f>IFERROR(__xludf.DUMMYFUNCTION("SPLiT(G2074, ""🤙🏼"",FALSE,FALSE)"),519.0)</f>
        <v>519</v>
      </c>
      <c r="I2074" s="5" t="str">
        <f>IFERROR(__xludf.DUMMYFUNCTION("""COMPUTED_VALUE"""),"Mimi wo sumaseba")</f>
        <v>Mimi wo sumaseba</v>
      </c>
      <c r="J2074" s="5" t="str">
        <f>IFERROR(__xludf.DUMMYFUNCTION("""COMPUTED_VALUE"""),"Yoko Honna")</f>
        <v>Yoko Honna</v>
      </c>
      <c r="K2074" s="5" t="str">
        <f>IFERROR(__xludf.DUMMYFUNCTION("""COMPUTED_VALUE"""),"Estrela 1")</f>
        <v>Estrela 1</v>
      </c>
      <c r="P2074" s="5">
        <f>IFERROR(__xludf.DUMMYFUNCTION("""COMPUTED_VALUE"""),519.0)</f>
        <v>519</v>
      </c>
      <c r="Q2074" s="5" t="str">
        <f>IFERROR(__xludf.DUMMYFUNCTION("""COMPUTED_VALUE"""),"Mimi wo sumaseba")</f>
        <v>Mimi wo sumaseba</v>
      </c>
      <c r="R2074" s="5" t="str">
        <f>IFERROR(__xludf.DUMMYFUNCTION("""COMPUTED_VALUE"""),"Yoko Honna")</f>
        <v>Yoko Honna</v>
      </c>
      <c r="S2074" s="5" t="str">
        <f>IFERROR(__xludf.DUMMYFUNCTION("""COMPUTED_VALUE"""),"Estrela 1")</f>
        <v>Estrela 1</v>
      </c>
    </row>
    <row r="2075">
      <c r="G2075" s="5" t="str">
        <f>IFERROR(__xludf.DUMMYFUNCTION("""COMPUTED_VALUE"""),"519🤙🏼Mimi wo sumaseba🤙🏼Issey Takahashi🤙🏼Estrela 2")</f>
        <v>519🤙🏼Mimi wo sumaseba🤙🏼Issey Takahashi🤙🏼Estrela 2</v>
      </c>
      <c r="H2075" s="5">
        <f>IFERROR(__xludf.DUMMYFUNCTION("SPLiT(G2075, ""🤙🏼"",FALSE,FALSE)"),519.0)</f>
        <v>519</v>
      </c>
      <c r="I2075" s="5" t="str">
        <f>IFERROR(__xludf.DUMMYFUNCTION("""COMPUTED_VALUE"""),"Mimi wo sumaseba")</f>
        <v>Mimi wo sumaseba</v>
      </c>
      <c r="J2075" s="5" t="str">
        <f>IFERROR(__xludf.DUMMYFUNCTION("""COMPUTED_VALUE"""),"Issey Takahashi")</f>
        <v>Issey Takahashi</v>
      </c>
      <c r="K2075" s="5" t="str">
        <f>IFERROR(__xludf.DUMMYFUNCTION("""COMPUTED_VALUE"""),"Estrela 2")</f>
        <v>Estrela 2</v>
      </c>
      <c r="P2075" s="5">
        <f>IFERROR(__xludf.DUMMYFUNCTION("""COMPUTED_VALUE"""),519.0)</f>
        <v>519</v>
      </c>
      <c r="Q2075" s="5" t="str">
        <f>IFERROR(__xludf.DUMMYFUNCTION("""COMPUTED_VALUE"""),"Mimi wo sumaseba")</f>
        <v>Mimi wo sumaseba</v>
      </c>
      <c r="R2075" s="5" t="str">
        <f>IFERROR(__xludf.DUMMYFUNCTION("""COMPUTED_VALUE"""),"Issey Takahashi")</f>
        <v>Issey Takahashi</v>
      </c>
      <c r="S2075" s="5" t="str">
        <f>IFERROR(__xludf.DUMMYFUNCTION("""COMPUTED_VALUE"""),"Estrela 2")</f>
        <v>Estrela 2</v>
      </c>
    </row>
    <row r="2076">
      <c r="G2076" s="5" t="str">
        <f>IFERROR(__xludf.DUMMYFUNCTION("""COMPUTED_VALUE"""),"519🤙🏼Mimi wo sumaseba🤙🏼Takashi Tachibana🤙🏼Estrela 3")</f>
        <v>519🤙🏼Mimi wo sumaseba🤙🏼Takashi Tachibana🤙🏼Estrela 3</v>
      </c>
      <c r="H2076" s="5">
        <f>IFERROR(__xludf.DUMMYFUNCTION("SPLiT(G2076, ""🤙🏼"",FALSE,FALSE)"),519.0)</f>
        <v>519</v>
      </c>
      <c r="I2076" s="5" t="str">
        <f>IFERROR(__xludf.DUMMYFUNCTION("""COMPUTED_VALUE"""),"Mimi wo sumaseba")</f>
        <v>Mimi wo sumaseba</v>
      </c>
      <c r="J2076" s="5" t="str">
        <f>IFERROR(__xludf.DUMMYFUNCTION("""COMPUTED_VALUE"""),"Takashi Tachibana")</f>
        <v>Takashi Tachibana</v>
      </c>
      <c r="K2076" s="5" t="str">
        <f>IFERROR(__xludf.DUMMYFUNCTION("""COMPUTED_VALUE"""),"Estrela 3")</f>
        <v>Estrela 3</v>
      </c>
      <c r="P2076" s="5">
        <f>IFERROR(__xludf.DUMMYFUNCTION("""COMPUTED_VALUE"""),519.0)</f>
        <v>519</v>
      </c>
      <c r="Q2076" s="5" t="str">
        <f>IFERROR(__xludf.DUMMYFUNCTION("""COMPUTED_VALUE"""),"Mimi wo sumaseba")</f>
        <v>Mimi wo sumaseba</v>
      </c>
      <c r="R2076" s="5" t="str">
        <f>IFERROR(__xludf.DUMMYFUNCTION("""COMPUTED_VALUE"""),"Takashi Tachibana")</f>
        <v>Takashi Tachibana</v>
      </c>
      <c r="S2076" s="5" t="str">
        <f>IFERROR(__xludf.DUMMYFUNCTION("""COMPUTED_VALUE"""),"Estrela 3")</f>
        <v>Estrela 3</v>
      </c>
    </row>
    <row r="2077">
      <c r="G2077" s="5" t="str">
        <f>IFERROR(__xludf.DUMMYFUNCTION("""COMPUTED_VALUE"""),"519🤙🏼Mimi wo sumaseba🤙🏼Shigeru Muroi🤙🏼Estrela 4")</f>
        <v>519🤙🏼Mimi wo sumaseba🤙🏼Shigeru Muroi🤙🏼Estrela 4</v>
      </c>
      <c r="H2077" s="5">
        <f>IFERROR(__xludf.DUMMYFUNCTION("SPLiT(G2077, ""🤙🏼"",FALSE,FALSE)"),519.0)</f>
        <v>519</v>
      </c>
      <c r="I2077" s="5" t="str">
        <f>IFERROR(__xludf.DUMMYFUNCTION("""COMPUTED_VALUE"""),"Mimi wo sumaseba")</f>
        <v>Mimi wo sumaseba</v>
      </c>
      <c r="J2077" s="5" t="str">
        <f>IFERROR(__xludf.DUMMYFUNCTION("""COMPUTED_VALUE"""),"Shigeru Muroi")</f>
        <v>Shigeru Muroi</v>
      </c>
      <c r="K2077" s="5" t="str">
        <f>IFERROR(__xludf.DUMMYFUNCTION("""COMPUTED_VALUE"""),"Estrela 4")</f>
        <v>Estrela 4</v>
      </c>
      <c r="P2077" s="5">
        <f>IFERROR(__xludf.DUMMYFUNCTION("""COMPUTED_VALUE"""),519.0)</f>
        <v>519</v>
      </c>
      <c r="Q2077" s="5" t="str">
        <f>IFERROR(__xludf.DUMMYFUNCTION("""COMPUTED_VALUE"""),"Mimi wo sumaseba")</f>
        <v>Mimi wo sumaseba</v>
      </c>
      <c r="R2077" s="5" t="str">
        <f>IFERROR(__xludf.DUMMYFUNCTION("""COMPUTED_VALUE"""),"Shigeru Muroi")</f>
        <v>Shigeru Muroi</v>
      </c>
      <c r="S2077" s="5" t="str">
        <f>IFERROR(__xludf.DUMMYFUNCTION("""COMPUTED_VALUE"""),"Estrela 4")</f>
        <v>Estrela 4</v>
      </c>
    </row>
    <row r="2078">
      <c r="G2078" s="5" t="str">
        <f>IFERROR(__xludf.DUMMYFUNCTION("""COMPUTED_VALUE"""),"520🤙🏼Once Were Warriors🤙🏼Rena Owen🤙🏼Estrela 1")</f>
        <v>520🤙🏼Once Were Warriors🤙🏼Rena Owen🤙🏼Estrela 1</v>
      </c>
      <c r="H2078" s="5">
        <f>IFERROR(__xludf.DUMMYFUNCTION("SPLiT(G2078, ""🤙🏼"",FALSE,FALSE)"),520.0)</f>
        <v>520</v>
      </c>
      <c r="I2078" s="5" t="str">
        <f>IFERROR(__xludf.DUMMYFUNCTION("""COMPUTED_VALUE"""),"Once Were Warriors")</f>
        <v>Once Were Warriors</v>
      </c>
      <c r="J2078" s="5" t="str">
        <f>IFERROR(__xludf.DUMMYFUNCTION("""COMPUTED_VALUE"""),"Rena Owen")</f>
        <v>Rena Owen</v>
      </c>
      <c r="K2078" s="5" t="str">
        <f>IFERROR(__xludf.DUMMYFUNCTION("""COMPUTED_VALUE"""),"Estrela 1")</f>
        <v>Estrela 1</v>
      </c>
      <c r="P2078" s="5">
        <f>IFERROR(__xludf.DUMMYFUNCTION("""COMPUTED_VALUE"""),520.0)</f>
        <v>520</v>
      </c>
      <c r="Q2078" s="5" t="str">
        <f>IFERROR(__xludf.DUMMYFUNCTION("""COMPUTED_VALUE"""),"Once Were Warriors")</f>
        <v>Once Were Warriors</v>
      </c>
      <c r="R2078" s="5" t="str">
        <f>IFERROR(__xludf.DUMMYFUNCTION("""COMPUTED_VALUE"""),"Rena Owen")</f>
        <v>Rena Owen</v>
      </c>
      <c r="S2078" s="5" t="str">
        <f>IFERROR(__xludf.DUMMYFUNCTION("""COMPUTED_VALUE"""),"Estrela 1")</f>
        <v>Estrela 1</v>
      </c>
    </row>
    <row r="2079">
      <c r="G2079" s="5" t="str">
        <f>IFERROR(__xludf.DUMMYFUNCTION("""COMPUTED_VALUE"""),"520🤙🏼Once Were Warriors🤙🏼Temuera Morrison🤙🏼Estrela 2")</f>
        <v>520🤙🏼Once Were Warriors🤙🏼Temuera Morrison🤙🏼Estrela 2</v>
      </c>
      <c r="H2079" s="5">
        <f>IFERROR(__xludf.DUMMYFUNCTION("SPLiT(G2079, ""🤙🏼"",FALSE,FALSE)"),520.0)</f>
        <v>520</v>
      </c>
      <c r="I2079" s="5" t="str">
        <f>IFERROR(__xludf.DUMMYFUNCTION("""COMPUTED_VALUE"""),"Once Were Warriors")</f>
        <v>Once Were Warriors</v>
      </c>
      <c r="J2079" s="5" t="str">
        <f>IFERROR(__xludf.DUMMYFUNCTION("""COMPUTED_VALUE"""),"Temuera Morrison")</f>
        <v>Temuera Morrison</v>
      </c>
      <c r="K2079" s="5" t="str">
        <f>IFERROR(__xludf.DUMMYFUNCTION("""COMPUTED_VALUE"""),"Estrela 2")</f>
        <v>Estrela 2</v>
      </c>
      <c r="P2079" s="5">
        <f>IFERROR(__xludf.DUMMYFUNCTION("""COMPUTED_VALUE"""),520.0)</f>
        <v>520</v>
      </c>
      <c r="Q2079" s="5" t="str">
        <f>IFERROR(__xludf.DUMMYFUNCTION("""COMPUTED_VALUE"""),"Once Were Warriors")</f>
        <v>Once Were Warriors</v>
      </c>
      <c r="R2079" s="5" t="str">
        <f>IFERROR(__xludf.DUMMYFUNCTION("""COMPUTED_VALUE"""),"Temuera Morrison")</f>
        <v>Temuera Morrison</v>
      </c>
      <c r="S2079" s="5" t="str">
        <f>IFERROR(__xludf.DUMMYFUNCTION("""COMPUTED_VALUE"""),"Estrela 2")</f>
        <v>Estrela 2</v>
      </c>
    </row>
    <row r="2080">
      <c r="G2080" s="5" t="str">
        <f>IFERROR(__xludf.DUMMYFUNCTION("""COMPUTED_VALUE"""),"520🤙🏼Once Were Warriors🤙🏼Mamaengaroa Kerr-Bell🤙🏼Estrela 3")</f>
        <v>520🤙🏼Once Were Warriors🤙🏼Mamaengaroa Kerr-Bell🤙🏼Estrela 3</v>
      </c>
      <c r="H2080" s="5">
        <f>IFERROR(__xludf.DUMMYFUNCTION("SPLiT(G2080, ""🤙🏼"",FALSE,FALSE)"),520.0)</f>
        <v>520</v>
      </c>
      <c r="I2080" s="5" t="str">
        <f>IFERROR(__xludf.DUMMYFUNCTION("""COMPUTED_VALUE"""),"Once Were Warriors")</f>
        <v>Once Were Warriors</v>
      </c>
      <c r="J2080" s="5" t="str">
        <f>IFERROR(__xludf.DUMMYFUNCTION("""COMPUTED_VALUE"""),"Mamaengaroa Kerr-Bell")</f>
        <v>Mamaengaroa Kerr-Bell</v>
      </c>
      <c r="K2080" s="5" t="str">
        <f>IFERROR(__xludf.DUMMYFUNCTION("""COMPUTED_VALUE"""),"Estrela 3")</f>
        <v>Estrela 3</v>
      </c>
      <c r="P2080" s="5">
        <f>IFERROR(__xludf.DUMMYFUNCTION("""COMPUTED_VALUE"""),520.0)</f>
        <v>520</v>
      </c>
      <c r="Q2080" s="5" t="str">
        <f>IFERROR(__xludf.DUMMYFUNCTION("""COMPUTED_VALUE"""),"Once Were Warriors")</f>
        <v>Once Were Warriors</v>
      </c>
      <c r="R2080" s="5" t="str">
        <f>IFERROR(__xludf.DUMMYFUNCTION("""COMPUTED_VALUE"""),"Mamaengaroa Kerr-Bell")</f>
        <v>Mamaengaroa Kerr-Bell</v>
      </c>
      <c r="S2080" s="5" t="str">
        <f>IFERROR(__xludf.DUMMYFUNCTION("""COMPUTED_VALUE"""),"Estrela 3")</f>
        <v>Estrela 3</v>
      </c>
    </row>
    <row r="2081">
      <c r="G2081" s="5" t="str">
        <f>IFERROR(__xludf.DUMMYFUNCTION("""COMPUTED_VALUE"""),"520🤙🏼Once Were Warriors🤙🏼Julian Arahanga🤙🏼Estrela 4")</f>
        <v>520🤙🏼Once Were Warriors🤙🏼Julian Arahanga🤙🏼Estrela 4</v>
      </c>
      <c r="H2081" s="5">
        <f>IFERROR(__xludf.DUMMYFUNCTION("SPLiT(G2081, ""🤙🏼"",FALSE,FALSE)"),520.0)</f>
        <v>520</v>
      </c>
      <c r="I2081" s="5" t="str">
        <f>IFERROR(__xludf.DUMMYFUNCTION("""COMPUTED_VALUE"""),"Once Were Warriors")</f>
        <v>Once Were Warriors</v>
      </c>
      <c r="J2081" s="5" t="str">
        <f>IFERROR(__xludf.DUMMYFUNCTION("""COMPUTED_VALUE"""),"Julian Arahanga")</f>
        <v>Julian Arahanga</v>
      </c>
      <c r="K2081" s="5" t="str">
        <f>IFERROR(__xludf.DUMMYFUNCTION("""COMPUTED_VALUE"""),"Estrela 4")</f>
        <v>Estrela 4</v>
      </c>
      <c r="P2081" s="5">
        <f>IFERROR(__xludf.DUMMYFUNCTION("""COMPUTED_VALUE"""),520.0)</f>
        <v>520</v>
      </c>
      <c r="Q2081" s="5" t="str">
        <f>IFERROR(__xludf.DUMMYFUNCTION("""COMPUTED_VALUE"""),"Once Were Warriors")</f>
        <v>Once Were Warriors</v>
      </c>
      <c r="R2081" s="5" t="str">
        <f>IFERROR(__xludf.DUMMYFUNCTION("""COMPUTED_VALUE"""),"Julian Arahanga")</f>
        <v>Julian Arahanga</v>
      </c>
      <c r="S2081" s="5" t="str">
        <f>IFERROR(__xludf.DUMMYFUNCTION("""COMPUTED_VALUE"""),"Estrela 4")</f>
        <v>Estrela 4</v>
      </c>
    </row>
    <row r="2082">
      <c r="G2082" s="5" t="str">
        <f>IFERROR(__xludf.DUMMYFUNCTION("""COMPUTED_VALUE"""),"521🤙🏼True Romance🤙🏼Christian Slater🤙🏼Estrela 1")</f>
        <v>521🤙🏼True Romance🤙🏼Christian Slater🤙🏼Estrela 1</v>
      </c>
      <c r="H2082" s="5">
        <f>IFERROR(__xludf.DUMMYFUNCTION("SPLiT(G2082, ""🤙🏼"",FALSE,FALSE)"),521.0)</f>
        <v>521</v>
      </c>
      <c r="I2082" s="5" t="str">
        <f>IFERROR(__xludf.DUMMYFUNCTION("""COMPUTED_VALUE"""),"True Romance")</f>
        <v>True Romance</v>
      </c>
      <c r="J2082" s="5" t="str">
        <f>IFERROR(__xludf.DUMMYFUNCTION("""COMPUTED_VALUE"""),"Christian Slater")</f>
        <v>Christian Slater</v>
      </c>
      <c r="K2082" s="5" t="str">
        <f>IFERROR(__xludf.DUMMYFUNCTION("""COMPUTED_VALUE"""),"Estrela 1")</f>
        <v>Estrela 1</v>
      </c>
      <c r="P2082" s="5">
        <f>IFERROR(__xludf.DUMMYFUNCTION("""COMPUTED_VALUE"""),521.0)</f>
        <v>521</v>
      </c>
      <c r="Q2082" s="5" t="str">
        <f>IFERROR(__xludf.DUMMYFUNCTION("""COMPUTED_VALUE"""),"True Romance")</f>
        <v>True Romance</v>
      </c>
      <c r="R2082" s="5" t="str">
        <f>IFERROR(__xludf.DUMMYFUNCTION("""COMPUTED_VALUE"""),"Christian Slater")</f>
        <v>Christian Slater</v>
      </c>
      <c r="S2082" s="5" t="str">
        <f>IFERROR(__xludf.DUMMYFUNCTION("""COMPUTED_VALUE"""),"Estrela 1")</f>
        <v>Estrela 1</v>
      </c>
    </row>
    <row r="2083">
      <c r="G2083" s="5" t="str">
        <f>IFERROR(__xludf.DUMMYFUNCTION("""COMPUTED_VALUE"""),"521🤙🏼True Romance🤙🏼Patricia Arquette🤙🏼Estrela 2")</f>
        <v>521🤙🏼True Romance🤙🏼Patricia Arquette🤙🏼Estrela 2</v>
      </c>
      <c r="H2083" s="5">
        <f>IFERROR(__xludf.DUMMYFUNCTION("SPLiT(G2083, ""🤙🏼"",FALSE,FALSE)"),521.0)</f>
        <v>521</v>
      </c>
      <c r="I2083" s="5" t="str">
        <f>IFERROR(__xludf.DUMMYFUNCTION("""COMPUTED_VALUE"""),"True Romance")</f>
        <v>True Romance</v>
      </c>
      <c r="J2083" s="5" t="str">
        <f>IFERROR(__xludf.DUMMYFUNCTION("""COMPUTED_VALUE"""),"Patricia Arquette")</f>
        <v>Patricia Arquette</v>
      </c>
      <c r="K2083" s="5" t="str">
        <f>IFERROR(__xludf.DUMMYFUNCTION("""COMPUTED_VALUE"""),"Estrela 2")</f>
        <v>Estrela 2</v>
      </c>
      <c r="P2083" s="5">
        <f>IFERROR(__xludf.DUMMYFUNCTION("""COMPUTED_VALUE"""),521.0)</f>
        <v>521</v>
      </c>
      <c r="Q2083" s="5" t="str">
        <f>IFERROR(__xludf.DUMMYFUNCTION("""COMPUTED_VALUE"""),"True Romance")</f>
        <v>True Romance</v>
      </c>
      <c r="R2083" s="5" t="str">
        <f>IFERROR(__xludf.DUMMYFUNCTION("""COMPUTED_VALUE"""),"Patricia Arquette")</f>
        <v>Patricia Arquette</v>
      </c>
      <c r="S2083" s="5" t="str">
        <f>IFERROR(__xludf.DUMMYFUNCTION("""COMPUTED_VALUE"""),"Estrela 2")</f>
        <v>Estrela 2</v>
      </c>
    </row>
    <row r="2084">
      <c r="G2084" s="5" t="str">
        <f>IFERROR(__xludf.DUMMYFUNCTION("""COMPUTED_VALUE"""),"521🤙🏼True Romance🤙🏼Dennis Hopper🤙🏼Estrela 3")</f>
        <v>521🤙🏼True Romance🤙🏼Dennis Hopper🤙🏼Estrela 3</v>
      </c>
      <c r="H2084" s="5">
        <f>IFERROR(__xludf.DUMMYFUNCTION("SPLiT(G2084, ""🤙🏼"",FALSE,FALSE)"),521.0)</f>
        <v>521</v>
      </c>
      <c r="I2084" s="5" t="str">
        <f>IFERROR(__xludf.DUMMYFUNCTION("""COMPUTED_VALUE"""),"True Romance")</f>
        <v>True Romance</v>
      </c>
      <c r="J2084" s="5" t="str">
        <f>IFERROR(__xludf.DUMMYFUNCTION("""COMPUTED_VALUE"""),"Dennis Hopper")</f>
        <v>Dennis Hopper</v>
      </c>
      <c r="K2084" s="5" t="str">
        <f>IFERROR(__xludf.DUMMYFUNCTION("""COMPUTED_VALUE"""),"Estrela 3")</f>
        <v>Estrela 3</v>
      </c>
      <c r="P2084" s="5">
        <f>IFERROR(__xludf.DUMMYFUNCTION("""COMPUTED_VALUE"""),521.0)</f>
        <v>521</v>
      </c>
      <c r="Q2084" s="5" t="str">
        <f>IFERROR(__xludf.DUMMYFUNCTION("""COMPUTED_VALUE"""),"True Romance")</f>
        <v>True Romance</v>
      </c>
      <c r="R2084" s="5" t="str">
        <f>IFERROR(__xludf.DUMMYFUNCTION("""COMPUTED_VALUE"""),"Dennis Hopper")</f>
        <v>Dennis Hopper</v>
      </c>
      <c r="S2084" s="5" t="str">
        <f>IFERROR(__xludf.DUMMYFUNCTION("""COMPUTED_VALUE"""),"Estrela 3")</f>
        <v>Estrela 3</v>
      </c>
    </row>
    <row r="2085">
      <c r="G2085" s="5" t="str">
        <f>IFERROR(__xludf.DUMMYFUNCTION("""COMPUTED_VALUE"""),"521🤙🏼True Romance🤙🏼Val Kilmer🤙🏼Estrela 4")</f>
        <v>521🤙🏼True Romance🤙🏼Val Kilmer🤙🏼Estrela 4</v>
      </c>
      <c r="H2085" s="5">
        <f>IFERROR(__xludf.DUMMYFUNCTION("SPLiT(G2085, ""🤙🏼"",FALSE,FALSE)"),521.0)</f>
        <v>521</v>
      </c>
      <c r="I2085" s="5" t="str">
        <f>IFERROR(__xludf.DUMMYFUNCTION("""COMPUTED_VALUE"""),"True Romance")</f>
        <v>True Romance</v>
      </c>
      <c r="J2085" s="5" t="str">
        <f>IFERROR(__xludf.DUMMYFUNCTION("""COMPUTED_VALUE"""),"Val Kilmer")</f>
        <v>Val Kilmer</v>
      </c>
      <c r="K2085" s="5" t="str">
        <f>IFERROR(__xludf.DUMMYFUNCTION("""COMPUTED_VALUE"""),"Estrela 4")</f>
        <v>Estrela 4</v>
      </c>
      <c r="P2085" s="5">
        <f>IFERROR(__xludf.DUMMYFUNCTION("""COMPUTED_VALUE"""),521.0)</f>
        <v>521</v>
      </c>
      <c r="Q2085" s="5" t="str">
        <f>IFERROR(__xludf.DUMMYFUNCTION("""COMPUTED_VALUE"""),"True Romance")</f>
        <v>True Romance</v>
      </c>
      <c r="R2085" s="5" t="str">
        <f>IFERROR(__xludf.DUMMYFUNCTION("""COMPUTED_VALUE"""),"Val Kilmer")</f>
        <v>Val Kilmer</v>
      </c>
      <c r="S2085" s="5" t="str">
        <f>IFERROR(__xludf.DUMMYFUNCTION("""COMPUTED_VALUE"""),"Estrela 4")</f>
        <v>Estrela 4</v>
      </c>
    </row>
    <row r="2086">
      <c r="G2086" s="5" t="str">
        <f>IFERROR(__xludf.DUMMYFUNCTION("""COMPUTED_VALUE"""),"522🤙🏼Trois couleurs: Bleu🤙🏼Juliette Binoche🤙🏼Estrela 1")</f>
        <v>522🤙🏼Trois couleurs: Bleu🤙🏼Juliette Binoche🤙🏼Estrela 1</v>
      </c>
      <c r="H2086" s="5">
        <f>IFERROR(__xludf.DUMMYFUNCTION("SPLiT(G2086, ""🤙🏼"",FALSE,FALSE)"),522.0)</f>
        <v>522</v>
      </c>
      <c r="I2086" s="5" t="str">
        <f>IFERROR(__xludf.DUMMYFUNCTION("""COMPUTED_VALUE"""),"Trois couleurs: Bleu")</f>
        <v>Trois couleurs: Bleu</v>
      </c>
      <c r="J2086" s="5" t="str">
        <f>IFERROR(__xludf.DUMMYFUNCTION("""COMPUTED_VALUE"""),"Juliette Binoche")</f>
        <v>Juliette Binoche</v>
      </c>
      <c r="K2086" s="5" t="str">
        <f>IFERROR(__xludf.DUMMYFUNCTION("""COMPUTED_VALUE"""),"Estrela 1")</f>
        <v>Estrela 1</v>
      </c>
      <c r="P2086" s="5">
        <f>IFERROR(__xludf.DUMMYFUNCTION("""COMPUTED_VALUE"""),522.0)</f>
        <v>522</v>
      </c>
      <c r="Q2086" s="5" t="str">
        <f>IFERROR(__xludf.DUMMYFUNCTION("""COMPUTED_VALUE"""),"Trois couleurs: Bleu")</f>
        <v>Trois couleurs: Bleu</v>
      </c>
      <c r="R2086" s="5" t="str">
        <f>IFERROR(__xludf.DUMMYFUNCTION("""COMPUTED_VALUE"""),"Juliette Binoche")</f>
        <v>Juliette Binoche</v>
      </c>
      <c r="S2086" s="5" t="str">
        <f>IFERROR(__xludf.DUMMYFUNCTION("""COMPUTED_VALUE"""),"Estrela 1")</f>
        <v>Estrela 1</v>
      </c>
    </row>
    <row r="2087">
      <c r="G2087" s="5" t="str">
        <f>IFERROR(__xludf.DUMMYFUNCTION("""COMPUTED_VALUE"""),"522🤙🏼Trois couleurs: Bleu🤙🏼Zbigniew Zamachowski🤙🏼Estrela 2")</f>
        <v>522🤙🏼Trois couleurs: Bleu🤙🏼Zbigniew Zamachowski🤙🏼Estrela 2</v>
      </c>
      <c r="H2087" s="5">
        <f>IFERROR(__xludf.DUMMYFUNCTION("SPLiT(G2087, ""🤙🏼"",FALSE,FALSE)"),522.0)</f>
        <v>522</v>
      </c>
      <c r="I2087" s="5" t="str">
        <f>IFERROR(__xludf.DUMMYFUNCTION("""COMPUTED_VALUE"""),"Trois couleurs: Bleu")</f>
        <v>Trois couleurs: Bleu</v>
      </c>
      <c r="J2087" s="5" t="str">
        <f>IFERROR(__xludf.DUMMYFUNCTION("""COMPUTED_VALUE"""),"Zbigniew Zamachowski")</f>
        <v>Zbigniew Zamachowski</v>
      </c>
      <c r="K2087" s="5" t="str">
        <f>IFERROR(__xludf.DUMMYFUNCTION("""COMPUTED_VALUE"""),"Estrela 2")</f>
        <v>Estrela 2</v>
      </c>
      <c r="P2087" s="5">
        <f>IFERROR(__xludf.DUMMYFUNCTION("""COMPUTED_VALUE"""),522.0)</f>
        <v>522</v>
      </c>
      <c r="Q2087" s="5" t="str">
        <f>IFERROR(__xludf.DUMMYFUNCTION("""COMPUTED_VALUE"""),"Trois couleurs: Bleu")</f>
        <v>Trois couleurs: Bleu</v>
      </c>
      <c r="R2087" s="5" t="str">
        <f>IFERROR(__xludf.DUMMYFUNCTION("""COMPUTED_VALUE"""),"Zbigniew Zamachowski")</f>
        <v>Zbigniew Zamachowski</v>
      </c>
      <c r="S2087" s="5" t="str">
        <f>IFERROR(__xludf.DUMMYFUNCTION("""COMPUTED_VALUE"""),"Estrela 2")</f>
        <v>Estrela 2</v>
      </c>
    </row>
    <row r="2088">
      <c r="G2088" s="5" t="str">
        <f>IFERROR(__xludf.DUMMYFUNCTION("""COMPUTED_VALUE"""),"522🤙🏼Trois couleurs: Bleu🤙🏼Julie Delpy🤙🏼Estrela 3")</f>
        <v>522🤙🏼Trois couleurs: Bleu🤙🏼Julie Delpy🤙🏼Estrela 3</v>
      </c>
      <c r="H2088" s="5">
        <f>IFERROR(__xludf.DUMMYFUNCTION("SPLiT(G2088, ""🤙🏼"",FALSE,FALSE)"),522.0)</f>
        <v>522</v>
      </c>
      <c r="I2088" s="5" t="str">
        <f>IFERROR(__xludf.DUMMYFUNCTION("""COMPUTED_VALUE"""),"Trois couleurs: Bleu")</f>
        <v>Trois couleurs: Bleu</v>
      </c>
      <c r="J2088" s="5" t="str">
        <f>IFERROR(__xludf.DUMMYFUNCTION("""COMPUTED_VALUE"""),"Julie Delpy")</f>
        <v>Julie Delpy</v>
      </c>
      <c r="K2088" s="5" t="str">
        <f>IFERROR(__xludf.DUMMYFUNCTION("""COMPUTED_VALUE"""),"Estrela 3")</f>
        <v>Estrela 3</v>
      </c>
      <c r="P2088" s="5">
        <f>IFERROR(__xludf.DUMMYFUNCTION("""COMPUTED_VALUE"""),522.0)</f>
        <v>522</v>
      </c>
      <c r="Q2088" s="5" t="str">
        <f>IFERROR(__xludf.DUMMYFUNCTION("""COMPUTED_VALUE"""),"Trois couleurs: Bleu")</f>
        <v>Trois couleurs: Bleu</v>
      </c>
      <c r="R2088" s="5" t="str">
        <f>IFERROR(__xludf.DUMMYFUNCTION("""COMPUTED_VALUE"""),"Julie Delpy")</f>
        <v>Julie Delpy</v>
      </c>
      <c r="S2088" s="5" t="str">
        <f>IFERROR(__xludf.DUMMYFUNCTION("""COMPUTED_VALUE"""),"Estrela 3")</f>
        <v>Estrela 3</v>
      </c>
    </row>
    <row r="2089">
      <c r="G2089" s="5" t="str">
        <f>IFERROR(__xludf.DUMMYFUNCTION("""COMPUTED_VALUE"""),"522🤙🏼Trois couleurs: Bleu🤙🏼Benoît Régent🤙🏼Estrela 4")</f>
        <v>522🤙🏼Trois couleurs: Bleu🤙🏼Benoît Régent🤙🏼Estrela 4</v>
      </c>
      <c r="H2089" s="5">
        <f>IFERROR(__xludf.DUMMYFUNCTION("SPLiT(G2089, ""🤙🏼"",FALSE,FALSE)"),522.0)</f>
        <v>522</v>
      </c>
      <c r="I2089" s="5" t="str">
        <f>IFERROR(__xludf.DUMMYFUNCTION("""COMPUTED_VALUE"""),"Trois couleurs: Bleu")</f>
        <v>Trois couleurs: Bleu</v>
      </c>
      <c r="J2089" s="5" t="str">
        <f>IFERROR(__xludf.DUMMYFUNCTION("""COMPUTED_VALUE"""),"Benoît Régent")</f>
        <v>Benoît Régent</v>
      </c>
      <c r="K2089" s="5" t="str">
        <f>IFERROR(__xludf.DUMMYFUNCTION("""COMPUTED_VALUE"""),"Estrela 4")</f>
        <v>Estrela 4</v>
      </c>
      <c r="P2089" s="5">
        <f>IFERROR(__xludf.DUMMYFUNCTION("""COMPUTED_VALUE"""),522.0)</f>
        <v>522</v>
      </c>
      <c r="Q2089" s="5" t="str">
        <f>IFERROR(__xludf.DUMMYFUNCTION("""COMPUTED_VALUE"""),"Trois couleurs: Bleu")</f>
        <v>Trois couleurs: Bleu</v>
      </c>
      <c r="R2089" s="5" t="str">
        <f>IFERROR(__xludf.DUMMYFUNCTION("""COMPUTED_VALUE"""),"Benoît Régent")</f>
        <v>Benoît Régent</v>
      </c>
      <c r="S2089" s="5" t="str">
        <f>IFERROR(__xludf.DUMMYFUNCTION("""COMPUTED_VALUE"""),"Estrela 4")</f>
        <v>Estrela 4</v>
      </c>
    </row>
    <row r="2090">
      <c r="G2090" s="5" t="str">
        <f>IFERROR(__xludf.DUMMYFUNCTION("""COMPUTED_VALUE"""),"523🤙🏼Jûbê ninpûchô🤙🏼Kôichi Yamadera🤙🏼Estrela 1")</f>
        <v>523🤙🏼Jûbê ninpûchô🤙🏼Kôichi Yamadera🤙🏼Estrela 1</v>
      </c>
      <c r="H2090" s="5">
        <f>IFERROR(__xludf.DUMMYFUNCTION("SPLiT(G2090, ""🤙🏼"",FALSE,FALSE)"),523.0)</f>
        <v>523</v>
      </c>
      <c r="I2090" s="5" t="str">
        <f>IFERROR(__xludf.DUMMYFUNCTION("""COMPUTED_VALUE"""),"Jûbê ninpûchô")</f>
        <v>Jûbê ninpûchô</v>
      </c>
      <c r="J2090" s="5" t="str">
        <f>IFERROR(__xludf.DUMMYFUNCTION("""COMPUTED_VALUE"""),"Kôichi Yamadera")</f>
        <v>Kôichi Yamadera</v>
      </c>
      <c r="K2090" s="5" t="str">
        <f>IFERROR(__xludf.DUMMYFUNCTION("""COMPUTED_VALUE"""),"Estrela 1")</f>
        <v>Estrela 1</v>
      </c>
      <c r="P2090" s="5">
        <f>IFERROR(__xludf.DUMMYFUNCTION("""COMPUTED_VALUE"""),523.0)</f>
        <v>523</v>
      </c>
      <c r="Q2090" s="5" t="str">
        <f>IFERROR(__xludf.DUMMYFUNCTION("""COMPUTED_VALUE"""),"Jûbê ninpûchô")</f>
        <v>Jûbê ninpûchô</v>
      </c>
      <c r="R2090" s="5" t="str">
        <f>IFERROR(__xludf.DUMMYFUNCTION("""COMPUTED_VALUE"""),"Kôichi Yamadera")</f>
        <v>Kôichi Yamadera</v>
      </c>
      <c r="S2090" s="5" t="str">
        <f>IFERROR(__xludf.DUMMYFUNCTION("""COMPUTED_VALUE"""),"Estrela 1")</f>
        <v>Estrela 1</v>
      </c>
    </row>
    <row r="2091">
      <c r="G2091" s="5" t="str">
        <f>IFERROR(__xludf.DUMMYFUNCTION("""COMPUTED_VALUE"""),"523🤙🏼Jûbê ninpûchô🤙🏼Emi Shinohara🤙🏼Estrela 2")</f>
        <v>523🤙🏼Jûbê ninpûchô🤙🏼Emi Shinohara🤙🏼Estrela 2</v>
      </c>
      <c r="H2091" s="5">
        <f>IFERROR(__xludf.DUMMYFUNCTION("SPLiT(G2091, ""🤙🏼"",FALSE,FALSE)"),523.0)</f>
        <v>523</v>
      </c>
      <c r="I2091" s="5" t="str">
        <f>IFERROR(__xludf.DUMMYFUNCTION("""COMPUTED_VALUE"""),"Jûbê ninpûchô")</f>
        <v>Jûbê ninpûchô</v>
      </c>
      <c r="J2091" s="5" t="str">
        <f>IFERROR(__xludf.DUMMYFUNCTION("""COMPUTED_VALUE"""),"Emi Shinohara")</f>
        <v>Emi Shinohara</v>
      </c>
      <c r="K2091" s="5" t="str">
        <f>IFERROR(__xludf.DUMMYFUNCTION("""COMPUTED_VALUE"""),"Estrela 2")</f>
        <v>Estrela 2</v>
      </c>
      <c r="P2091" s="5">
        <f>IFERROR(__xludf.DUMMYFUNCTION("""COMPUTED_VALUE"""),523.0)</f>
        <v>523</v>
      </c>
      <c r="Q2091" s="5" t="str">
        <f>IFERROR(__xludf.DUMMYFUNCTION("""COMPUTED_VALUE"""),"Jûbê ninpûchô")</f>
        <v>Jûbê ninpûchô</v>
      </c>
      <c r="R2091" s="5" t="str">
        <f>IFERROR(__xludf.DUMMYFUNCTION("""COMPUTED_VALUE"""),"Emi Shinohara")</f>
        <v>Emi Shinohara</v>
      </c>
      <c r="S2091" s="5" t="str">
        <f>IFERROR(__xludf.DUMMYFUNCTION("""COMPUTED_VALUE"""),"Estrela 2")</f>
        <v>Estrela 2</v>
      </c>
    </row>
    <row r="2092">
      <c r="G2092" s="5" t="str">
        <f>IFERROR(__xludf.DUMMYFUNCTION("""COMPUTED_VALUE"""),"523🤙🏼Jûbê ninpûchô🤙🏼Takeshi Aono🤙🏼Estrela 3")</f>
        <v>523🤙🏼Jûbê ninpûchô🤙🏼Takeshi Aono🤙🏼Estrela 3</v>
      </c>
      <c r="H2092" s="5">
        <f>IFERROR(__xludf.DUMMYFUNCTION("SPLiT(G2092, ""🤙🏼"",FALSE,FALSE)"),523.0)</f>
        <v>523</v>
      </c>
      <c r="I2092" s="5" t="str">
        <f>IFERROR(__xludf.DUMMYFUNCTION("""COMPUTED_VALUE"""),"Jûbê ninpûchô")</f>
        <v>Jûbê ninpûchô</v>
      </c>
      <c r="J2092" s="5" t="str">
        <f>IFERROR(__xludf.DUMMYFUNCTION("""COMPUTED_VALUE"""),"Takeshi Aono")</f>
        <v>Takeshi Aono</v>
      </c>
      <c r="K2092" s="5" t="str">
        <f>IFERROR(__xludf.DUMMYFUNCTION("""COMPUTED_VALUE"""),"Estrela 3")</f>
        <v>Estrela 3</v>
      </c>
      <c r="P2092" s="5">
        <f>IFERROR(__xludf.DUMMYFUNCTION("""COMPUTED_VALUE"""),523.0)</f>
        <v>523</v>
      </c>
      <c r="Q2092" s="5" t="str">
        <f>IFERROR(__xludf.DUMMYFUNCTION("""COMPUTED_VALUE"""),"Jûbê ninpûchô")</f>
        <v>Jûbê ninpûchô</v>
      </c>
      <c r="R2092" s="5" t="str">
        <f>IFERROR(__xludf.DUMMYFUNCTION("""COMPUTED_VALUE"""),"Takeshi Aono")</f>
        <v>Takeshi Aono</v>
      </c>
      <c r="S2092" s="5" t="str">
        <f>IFERROR(__xludf.DUMMYFUNCTION("""COMPUTED_VALUE"""),"Estrela 3")</f>
        <v>Estrela 3</v>
      </c>
    </row>
    <row r="2093">
      <c r="G2093" s="5" t="str">
        <f>IFERROR(__xludf.DUMMYFUNCTION("""COMPUTED_VALUE"""),"523🤙🏼Jûbê ninpûchô🤙🏼Osamu Saka🤙🏼Estrela 4")</f>
        <v>523🤙🏼Jûbê ninpûchô🤙🏼Osamu Saka🤙🏼Estrela 4</v>
      </c>
      <c r="H2093" s="5">
        <f>IFERROR(__xludf.DUMMYFUNCTION("SPLiT(G2093, ""🤙🏼"",FALSE,FALSE)"),523.0)</f>
        <v>523</v>
      </c>
      <c r="I2093" s="5" t="str">
        <f>IFERROR(__xludf.DUMMYFUNCTION("""COMPUTED_VALUE"""),"Jûbê ninpûchô")</f>
        <v>Jûbê ninpûchô</v>
      </c>
      <c r="J2093" s="5" t="str">
        <f>IFERROR(__xludf.DUMMYFUNCTION("""COMPUTED_VALUE"""),"Osamu Saka")</f>
        <v>Osamu Saka</v>
      </c>
      <c r="K2093" s="5" t="str">
        <f>IFERROR(__xludf.DUMMYFUNCTION("""COMPUTED_VALUE"""),"Estrela 4")</f>
        <v>Estrela 4</v>
      </c>
      <c r="P2093" s="5">
        <f>IFERROR(__xludf.DUMMYFUNCTION("""COMPUTED_VALUE"""),523.0)</f>
        <v>523</v>
      </c>
      <c r="Q2093" s="5" t="str">
        <f>IFERROR(__xludf.DUMMYFUNCTION("""COMPUTED_VALUE"""),"Jûbê ninpûchô")</f>
        <v>Jûbê ninpûchô</v>
      </c>
      <c r="R2093" s="5" t="str">
        <f>IFERROR(__xludf.DUMMYFUNCTION("""COMPUTED_VALUE"""),"Osamu Saka")</f>
        <v>Osamu Saka</v>
      </c>
      <c r="S2093" s="5" t="str">
        <f>IFERROR(__xludf.DUMMYFUNCTION("""COMPUTED_VALUE"""),"Estrela 4")</f>
        <v>Estrela 4</v>
      </c>
    </row>
    <row r="2094">
      <c r="G2094" s="5" t="str">
        <f>IFERROR(__xludf.DUMMYFUNCTION("""COMPUTED_VALUE"""),"524🤙🏼Carlito's Way🤙🏼Al Pacino🤙🏼Estrela 1")</f>
        <v>524🤙🏼Carlito's Way🤙🏼Al Pacino🤙🏼Estrela 1</v>
      </c>
      <c r="H2094" s="5">
        <f>IFERROR(__xludf.DUMMYFUNCTION("SPLiT(G2094, ""🤙🏼"",FALSE,FALSE)"),524.0)</f>
        <v>524</v>
      </c>
      <c r="I2094" s="5" t="str">
        <f>IFERROR(__xludf.DUMMYFUNCTION("""COMPUTED_VALUE"""),"Carlito's Way")</f>
        <v>Carlito's Way</v>
      </c>
      <c r="J2094" s="5" t="str">
        <f>IFERROR(__xludf.DUMMYFUNCTION("""COMPUTED_VALUE"""),"Al Pacino")</f>
        <v>Al Pacino</v>
      </c>
      <c r="K2094" s="5" t="str">
        <f>IFERROR(__xludf.DUMMYFUNCTION("""COMPUTED_VALUE"""),"Estrela 1")</f>
        <v>Estrela 1</v>
      </c>
      <c r="P2094" s="5">
        <f>IFERROR(__xludf.DUMMYFUNCTION("""COMPUTED_VALUE"""),524.0)</f>
        <v>524</v>
      </c>
      <c r="Q2094" s="5" t="str">
        <f>IFERROR(__xludf.DUMMYFUNCTION("""COMPUTED_VALUE"""),"Carlito's Way")</f>
        <v>Carlito's Way</v>
      </c>
      <c r="R2094" s="5" t="str">
        <f>IFERROR(__xludf.DUMMYFUNCTION("""COMPUTED_VALUE"""),"Al Pacino")</f>
        <v>Al Pacino</v>
      </c>
      <c r="S2094" s="5" t="str">
        <f>IFERROR(__xludf.DUMMYFUNCTION("""COMPUTED_VALUE"""),"Estrela 1")</f>
        <v>Estrela 1</v>
      </c>
    </row>
    <row r="2095">
      <c r="G2095" s="5" t="str">
        <f>IFERROR(__xludf.DUMMYFUNCTION("""COMPUTED_VALUE"""),"524🤙🏼Carlito's Way🤙🏼Sean Penn🤙🏼Estrela 2")</f>
        <v>524🤙🏼Carlito's Way🤙🏼Sean Penn🤙🏼Estrela 2</v>
      </c>
      <c r="H2095" s="5">
        <f>IFERROR(__xludf.DUMMYFUNCTION("SPLiT(G2095, ""🤙🏼"",FALSE,FALSE)"),524.0)</f>
        <v>524</v>
      </c>
      <c r="I2095" s="5" t="str">
        <f>IFERROR(__xludf.DUMMYFUNCTION("""COMPUTED_VALUE"""),"Carlito's Way")</f>
        <v>Carlito's Way</v>
      </c>
      <c r="J2095" s="5" t="str">
        <f>IFERROR(__xludf.DUMMYFUNCTION("""COMPUTED_VALUE"""),"Sean Penn")</f>
        <v>Sean Penn</v>
      </c>
      <c r="K2095" s="5" t="str">
        <f>IFERROR(__xludf.DUMMYFUNCTION("""COMPUTED_VALUE"""),"Estrela 2")</f>
        <v>Estrela 2</v>
      </c>
      <c r="P2095" s="5">
        <f>IFERROR(__xludf.DUMMYFUNCTION("""COMPUTED_VALUE"""),524.0)</f>
        <v>524</v>
      </c>
      <c r="Q2095" s="5" t="str">
        <f>IFERROR(__xludf.DUMMYFUNCTION("""COMPUTED_VALUE"""),"Carlito's Way")</f>
        <v>Carlito's Way</v>
      </c>
      <c r="R2095" s="5" t="str">
        <f>IFERROR(__xludf.DUMMYFUNCTION("""COMPUTED_VALUE"""),"Sean Penn")</f>
        <v>Sean Penn</v>
      </c>
      <c r="S2095" s="5" t="str">
        <f>IFERROR(__xludf.DUMMYFUNCTION("""COMPUTED_VALUE"""),"Estrela 2")</f>
        <v>Estrela 2</v>
      </c>
    </row>
    <row r="2096">
      <c r="G2096" s="5" t="str">
        <f>IFERROR(__xludf.DUMMYFUNCTION("""COMPUTED_VALUE"""),"524🤙🏼Carlito's Way🤙🏼Penelope Ann Miller🤙🏼Estrela 3")</f>
        <v>524🤙🏼Carlito's Way🤙🏼Penelope Ann Miller🤙🏼Estrela 3</v>
      </c>
      <c r="H2096" s="5">
        <f>IFERROR(__xludf.DUMMYFUNCTION("SPLiT(G2096, ""🤙🏼"",FALSE,FALSE)"),524.0)</f>
        <v>524</v>
      </c>
      <c r="I2096" s="5" t="str">
        <f>IFERROR(__xludf.DUMMYFUNCTION("""COMPUTED_VALUE"""),"Carlito's Way")</f>
        <v>Carlito's Way</v>
      </c>
      <c r="J2096" s="5" t="str">
        <f>IFERROR(__xludf.DUMMYFUNCTION("""COMPUTED_VALUE"""),"Penelope Ann Miller")</f>
        <v>Penelope Ann Miller</v>
      </c>
      <c r="K2096" s="5" t="str">
        <f>IFERROR(__xludf.DUMMYFUNCTION("""COMPUTED_VALUE"""),"Estrela 3")</f>
        <v>Estrela 3</v>
      </c>
      <c r="P2096" s="5">
        <f>IFERROR(__xludf.DUMMYFUNCTION("""COMPUTED_VALUE"""),524.0)</f>
        <v>524</v>
      </c>
      <c r="Q2096" s="5" t="str">
        <f>IFERROR(__xludf.DUMMYFUNCTION("""COMPUTED_VALUE"""),"Carlito's Way")</f>
        <v>Carlito's Way</v>
      </c>
      <c r="R2096" s="5" t="str">
        <f>IFERROR(__xludf.DUMMYFUNCTION("""COMPUTED_VALUE"""),"Penelope Ann Miller")</f>
        <v>Penelope Ann Miller</v>
      </c>
      <c r="S2096" s="5" t="str">
        <f>IFERROR(__xludf.DUMMYFUNCTION("""COMPUTED_VALUE"""),"Estrela 3")</f>
        <v>Estrela 3</v>
      </c>
    </row>
    <row r="2097">
      <c r="G2097" s="5" t="str">
        <f>IFERROR(__xludf.DUMMYFUNCTION("""COMPUTED_VALUE"""),"524🤙🏼Carlito's Way🤙🏼John Leguizamo🤙🏼Estrela 4")</f>
        <v>524🤙🏼Carlito's Way🤙🏼John Leguizamo🤙🏼Estrela 4</v>
      </c>
      <c r="H2097" s="5">
        <f>IFERROR(__xludf.DUMMYFUNCTION("SPLiT(G2097, ""🤙🏼"",FALSE,FALSE)"),524.0)</f>
        <v>524</v>
      </c>
      <c r="I2097" s="5" t="str">
        <f>IFERROR(__xludf.DUMMYFUNCTION("""COMPUTED_VALUE"""),"Carlito's Way")</f>
        <v>Carlito's Way</v>
      </c>
      <c r="J2097" s="5" t="str">
        <f>IFERROR(__xludf.DUMMYFUNCTION("""COMPUTED_VALUE"""),"John Leguizamo")</f>
        <v>John Leguizamo</v>
      </c>
      <c r="K2097" s="5" t="str">
        <f>IFERROR(__xludf.DUMMYFUNCTION("""COMPUTED_VALUE"""),"Estrela 4")</f>
        <v>Estrela 4</v>
      </c>
      <c r="P2097" s="5">
        <f>IFERROR(__xludf.DUMMYFUNCTION("""COMPUTED_VALUE"""),524.0)</f>
        <v>524</v>
      </c>
      <c r="Q2097" s="5" t="str">
        <f>IFERROR(__xludf.DUMMYFUNCTION("""COMPUTED_VALUE"""),"Carlito's Way")</f>
        <v>Carlito's Way</v>
      </c>
      <c r="R2097" s="5" t="str">
        <f>IFERROR(__xludf.DUMMYFUNCTION("""COMPUTED_VALUE"""),"John Leguizamo")</f>
        <v>John Leguizamo</v>
      </c>
      <c r="S2097" s="5" t="str">
        <f>IFERROR(__xludf.DUMMYFUNCTION("""COMPUTED_VALUE"""),"Estrela 4")</f>
        <v>Estrela 4</v>
      </c>
    </row>
    <row r="2098">
      <c r="G2098" s="5" t="str">
        <f>IFERROR(__xludf.DUMMYFUNCTION("""COMPUTED_VALUE"""),"525🤙🏼Edward Scissorhands🤙🏼Johnny Depp🤙🏼Estrela 1")</f>
        <v>525🤙🏼Edward Scissorhands🤙🏼Johnny Depp🤙🏼Estrela 1</v>
      </c>
      <c r="H2098" s="5">
        <f>IFERROR(__xludf.DUMMYFUNCTION("SPLiT(G2098, ""🤙🏼"",FALSE,FALSE)"),525.0)</f>
        <v>525</v>
      </c>
      <c r="I2098" s="5" t="str">
        <f>IFERROR(__xludf.DUMMYFUNCTION("""COMPUTED_VALUE"""),"Edward Scissorhands")</f>
        <v>Edward Scissorhands</v>
      </c>
      <c r="J2098" s="5" t="str">
        <f>IFERROR(__xludf.DUMMYFUNCTION("""COMPUTED_VALUE"""),"Johnny Depp")</f>
        <v>Johnny Depp</v>
      </c>
      <c r="K2098" s="5" t="str">
        <f>IFERROR(__xludf.DUMMYFUNCTION("""COMPUTED_VALUE"""),"Estrela 1")</f>
        <v>Estrela 1</v>
      </c>
      <c r="P2098" s="5">
        <f>IFERROR(__xludf.DUMMYFUNCTION("""COMPUTED_VALUE"""),525.0)</f>
        <v>525</v>
      </c>
      <c r="Q2098" s="5" t="str">
        <f>IFERROR(__xludf.DUMMYFUNCTION("""COMPUTED_VALUE"""),"Edward Scissorhands")</f>
        <v>Edward Scissorhands</v>
      </c>
      <c r="R2098" s="5" t="str">
        <f>IFERROR(__xludf.DUMMYFUNCTION("""COMPUTED_VALUE"""),"Johnny Depp")</f>
        <v>Johnny Depp</v>
      </c>
      <c r="S2098" s="5" t="str">
        <f>IFERROR(__xludf.DUMMYFUNCTION("""COMPUTED_VALUE"""),"Estrela 1")</f>
        <v>Estrela 1</v>
      </c>
    </row>
    <row r="2099">
      <c r="G2099" s="5" t="str">
        <f>IFERROR(__xludf.DUMMYFUNCTION("""COMPUTED_VALUE"""),"525🤙🏼Edward Scissorhands🤙🏼Winona Ryder🤙🏼Estrela 2")</f>
        <v>525🤙🏼Edward Scissorhands🤙🏼Winona Ryder🤙🏼Estrela 2</v>
      </c>
      <c r="H2099" s="5">
        <f>IFERROR(__xludf.DUMMYFUNCTION("SPLiT(G2099, ""🤙🏼"",FALSE,FALSE)"),525.0)</f>
        <v>525</v>
      </c>
      <c r="I2099" s="5" t="str">
        <f>IFERROR(__xludf.DUMMYFUNCTION("""COMPUTED_VALUE"""),"Edward Scissorhands")</f>
        <v>Edward Scissorhands</v>
      </c>
      <c r="J2099" s="5" t="str">
        <f>IFERROR(__xludf.DUMMYFUNCTION("""COMPUTED_VALUE"""),"Winona Ryder")</f>
        <v>Winona Ryder</v>
      </c>
      <c r="K2099" s="5" t="str">
        <f>IFERROR(__xludf.DUMMYFUNCTION("""COMPUTED_VALUE"""),"Estrela 2")</f>
        <v>Estrela 2</v>
      </c>
      <c r="P2099" s="5">
        <f>IFERROR(__xludf.DUMMYFUNCTION("""COMPUTED_VALUE"""),525.0)</f>
        <v>525</v>
      </c>
      <c r="Q2099" s="5" t="str">
        <f>IFERROR(__xludf.DUMMYFUNCTION("""COMPUTED_VALUE"""),"Edward Scissorhands")</f>
        <v>Edward Scissorhands</v>
      </c>
      <c r="R2099" s="5" t="str">
        <f>IFERROR(__xludf.DUMMYFUNCTION("""COMPUTED_VALUE"""),"Winona Ryder")</f>
        <v>Winona Ryder</v>
      </c>
      <c r="S2099" s="5" t="str">
        <f>IFERROR(__xludf.DUMMYFUNCTION("""COMPUTED_VALUE"""),"Estrela 2")</f>
        <v>Estrela 2</v>
      </c>
    </row>
    <row r="2100">
      <c r="G2100" s="5" t="str">
        <f>IFERROR(__xludf.DUMMYFUNCTION("""COMPUTED_VALUE"""),"525🤙🏼Edward Scissorhands🤙🏼Dianne Wiest🤙🏼Estrela 3")</f>
        <v>525🤙🏼Edward Scissorhands🤙🏼Dianne Wiest🤙🏼Estrela 3</v>
      </c>
      <c r="H2100" s="5">
        <f>IFERROR(__xludf.DUMMYFUNCTION("SPLiT(G2100, ""🤙🏼"",FALSE,FALSE)"),525.0)</f>
        <v>525</v>
      </c>
      <c r="I2100" s="5" t="str">
        <f>IFERROR(__xludf.DUMMYFUNCTION("""COMPUTED_VALUE"""),"Edward Scissorhands")</f>
        <v>Edward Scissorhands</v>
      </c>
      <c r="J2100" s="5" t="str">
        <f>IFERROR(__xludf.DUMMYFUNCTION("""COMPUTED_VALUE"""),"Dianne Wiest")</f>
        <v>Dianne Wiest</v>
      </c>
      <c r="K2100" s="5" t="str">
        <f>IFERROR(__xludf.DUMMYFUNCTION("""COMPUTED_VALUE"""),"Estrela 3")</f>
        <v>Estrela 3</v>
      </c>
      <c r="P2100" s="5">
        <f>IFERROR(__xludf.DUMMYFUNCTION("""COMPUTED_VALUE"""),525.0)</f>
        <v>525</v>
      </c>
      <c r="Q2100" s="5" t="str">
        <f>IFERROR(__xludf.DUMMYFUNCTION("""COMPUTED_VALUE"""),"Edward Scissorhands")</f>
        <v>Edward Scissorhands</v>
      </c>
      <c r="R2100" s="5" t="str">
        <f>IFERROR(__xludf.DUMMYFUNCTION("""COMPUTED_VALUE"""),"Dianne Wiest")</f>
        <v>Dianne Wiest</v>
      </c>
      <c r="S2100" s="5" t="str">
        <f>IFERROR(__xludf.DUMMYFUNCTION("""COMPUTED_VALUE"""),"Estrela 3")</f>
        <v>Estrela 3</v>
      </c>
    </row>
    <row r="2101">
      <c r="G2101" s="5" t="str">
        <f>IFERROR(__xludf.DUMMYFUNCTION("""COMPUTED_VALUE"""),"525🤙🏼Edward Scissorhands🤙🏼Anthony Michael Hall🤙🏼Estrela 4")</f>
        <v>525🤙🏼Edward Scissorhands🤙🏼Anthony Michael Hall🤙🏼Estrela 4</v>
      </c>
      <c r="H2101" s="5">
        <f>IFERROR(__xludf.DUMMYFUNCTION("SPLiT(G2101, ""🤙🏼"",FALSE,FALSE)"),525.0)</f>
        <v>525</v>
      </c>
      <c r="I2101" s="5" t="str">
        <f>IFERROR(__xludf.DUMMYFUNCTION("""COMPUTED_VALUE"""),"Edward Scissorhands")</f>
        <v>Edward Scissorhands</v>
      </c>
      <c r="J2101" s="5" t="str">
        <f>IFERROR(__xludf.DUMMYFUNCTION("""COMPUTED_VALUE"""),"Anthony Michael Hall")</f>
        <v>Anthony Michael Hall</v>
      </c>
      <c r="K2101" s="5" t="str">
        <f>IFERROR(__xludf.DUMMYFUNCTION("""COMPUTED_VALUE"""),"Estrela 4")</f>
        <v>Estrela 4</v>
      </c>
      <c r="P2101" s="5">
        <f>IFERROR(__xludf.DUMMYFUNCTION("""COMPUTED_VALUE"""),525.0)</f>
        <v>525</v>
      </c>
      <c r="Q2101" s="5" t="str">
        <f>IFERROR(__xludf.DUMMYFUNCTION("""COMPUTED_VALUE"""),"Edward Scissorhands")</f>
        <v>Edward Scissorhands</v>
      </c>
      <c r="R2101" s="5" t="str">
        <f>IFERROR(__xludf.DUMMYFUNCTION("""COMPUTED_VALUE"""),"Anthony Michael Hall")</f>
        <v>Anthony Michael Hall</v>
      </c>
      <c r="S2101" s="5" t="str">
        <f>IFERROR(__xludf.DUMMYFUNCTION("""COMPUTED_VALUE"""),"Estrela 4")</f>
        <v>Estrela 4</v>
      </c>
    </row>
    <row r="2102">
      <c r="G2102" s="5" t="str">
        <f>IFERROR(__xludf.DUMMYFUNCTION("""COMPUTED_VALUE"""),"526🤙🏼My Left Foot: The Story of Christy Brown🤙🏼Daniel Day-Lewis🤙🏼Estrela 1")</f>
        <v>526🤙🏼My Left Foot: The Story of Christy Brown🤙🏼Daniel Day-Lewis🤙🏼Estrela 1</v>
      </c>
      <c r="H2102" s="5">
        <f>IFERROR(__xludf.DUMMYFUNCTION("SPLiT(G2102, ""🤙🏼"",FALSE,FALSE)"),526.0)</f>
        <v>526</v>
      </c>
      <c r="I2102" s="5" t="str">
        <f>IFERROR(__xludf.DUMMYFUNCTION("""COMPUTED_VALUE"""),"My Left Foot: The Story of Christy Brown")</f>
        <v>My Left Foot: The Story of Christy Brown</v>
      </c>
      <c r="J2102" s="5" t="str">
        <f>IFERROR(__xludf.DUMMYFUNCTION("""COMPUTED_VALUE"""),"Daniel Day-Lewis")</f>
        <v>Daniel Day-Lewis</v>
      </c>
      <c r="K2102" s="5" t="str">
        <f>IFERROR(__xludf.DUMMYFUNCTION("""COMPUTED_VALUE"""),"Estrela 1")</f>
        <v>Estrela 1</v>
      </c>
      <c r="P2102" s="5">
        <f>IFERROR(__xludf.DUMMYFUNCTION("""COMPUTED_VALUE"""),526.0)</f>
        <v>526</v>
      </c>
      <c r="Q2102" s="5" t="str">
        <f>IFERROR(__xludf.DUMMYFUNCTION("""COMPUTED_VALUE"""),"My Left Foot: The Story of Christy Brown")</f>
        <v>My Left Foot: The Story of Christy Brown</v>
      </c>
      <c r="R2102" s="5" t="str">
        <f>IFERROR(__xludf.DUMMYFUNCTION("""COMPUTED_VALUE"""),"Daniel Day-Lewis")</f>
        <v>Daniel Day-Lewis</v>
      </c>
      <c r="S2102" s="5" t="str">
        <f>IFERROR(__xludf.DUMMYFUNCTION("""COMPUTED_VALUE"""),"Estrela 1")</f>
        <v>Estrela 1</v>
      </c>
    </row>
    <row r="2103">
      <c r="G2103" s="5" t="str">
        <f>IFERROR(__xludf.DUMMYFUNCTION("""COMPUTED_VALUE"""),"526🤙🏼My Left Foot: The Story of Christy Brown🤙🏼Brenda Fricker🤙🏼Estrela 2")</f>
        <v>526🤙🏼My Left Foot: The Story of Christy Brown🤙🏼Brenda Fricker🤙🏼Estrela 2</v>
      </c>
      <c r="H2103" s="5">
        <f>IFERROR(__xludf.DUMMYFUNCTION("SPLiT(G2103, ""🤙🏼"",FALSE,FALSE)"),526.0)</f>
        <v>526</v>
      </c>
      <c r="I2103" s="5" t="str">
        <f>IFERROR(__xludf.DUMMYFUNCTION("""COMPUTED_VALUE"""),"My Left Foot: The Story of Christy Brown")</f>
        <v>My Left Foot: The Story of Christy Brown</v>
      </c>
      <c r="J2103" s="5" t="str">
        <f>IFERROR(__xludf.DUMMYFUNCTION("""COMPUTED_VALUE"""),"Brenda Fricker")</f>
        <v>Brenda Fricker</v>
      </c>
      <c r="K2103" s="5" t="str">
        <f>IFERROR(__xludf.DUMMYFUNCTION("""COMPUTED_VALUE"""),"Estrela 2")</f>
        <v>Estrela 2</v>
      </c>
      <c r="P2103" s="5">
        <f>IFERROR(__xludf.DUMMYFUNCTION("""COMPUTED_VALUE"""),526.0)</f>
        <v>526</v>
      </c>
      <c r="Q2103" s="5" t="str">
        <f>IFERROR(__xludf.DUMMYFUNCTION("""COMPUTED_VALUE"""),"My Left Foot: The Story of Christy Brown")</f>
        <v>My Left Foot: The Story of Christy Brown</v>
      </c>
      <c r="R2103" s="5" t="str">
        <f>IFERROR(__xludf.DUMMYFUNCTION("""COMPUTED_VALUE"""),"Brenda Fricker")</f>
        <v>Brenda Fricker</v>
      </c>
      <c r="S2103" s="5" t="str">
        <f>IFERROR(__xludf.DUMMYFUNCTION("""COMPUTED_VALUE"""),"Estrela 2")</f>
        <v>Estrela 2</v>
      </c>
    </row>
    <row r="2104">
      <c r="G2104" s="5" t="str">
        <f>IFERROR(__xludf.DUMMYFUNCTION("""COMPUTED_VALUE"""),"526🤙🏼My Left Foot: The Story of Christy Brown🤙🏼Alison Whelan🤙🏼Estrela 3")</f>
        <v>526🤙🏼My Left Foot: The Story of Christy Brown🤙🏼Alison Whelan🤙🏼Estrela 3</v>
      </c>
      <c r="H2104" s="5">
        <f>IFERROR(__xludf.DUMMYFUNCTION("SPLiT(G2104, ""🤙🏼"",FALSE,FALSE)"),526.0)</f>
        <v>526</v>
      </c>
      <c r="I2104" s="5" t="str">
        <f>IFERROR(__xludf.DUMMYFUNCTION("""COMPUTED_VALUE"""),"My Left Foot: The Story of Christy Brown")</f>
        <v>My Left Foot: The Story of Christy Brown</v>
      </c>
      <c r="J2104" s="5" t="str">
        <f>IFERROR(__xludf.DUMMYFUNCTION("""COMPUTED_VALUE"""),"Alison Whelan")</f>
        <v>Alison Whelan</v>
      </c>
      <c r="K2104" s="5" t="str">
        <f>IFERROR(__xludf.DUMMYFUNCTION("""COMPUTED_VALUE"""),"Estrela 3")</f>
        <v>Estrela 3</v>
      </c>
      <c r="P2104" s="5">
        <f>IFERROR(__xludf.DUMMYFUNCTION("""COMPUTED_VALUE"""),526.0)</f>
        <v>526</v>
      </c>
      <c r="Q2104" s="5" t="str">
        <f>IFERROR(__xludf.DUMMYFUNCTION("""COMPUTED_VALUE"""),"My Left Foot: The Story of Christy Brown")</f>
        <v>My Left Foot: The Story of Christy Brown</v>
      </c>
      <c r="R2104" s="5" t="str">
        <f>IFERROR(__xludf.DUMMYFUNCTION("""COMPUTED_VALUE"""),"Alison Whelan")</f>
        <v>Alison Whelan</v>
      </c>
      <c r="S2104" s="5" t="str">
        <f>IFERROR(__xludf.DUMMYFUNCTION("""COMPUTED_VALUE"""),"Estrela 3")</f>
        <v>Estrela 3</v>
      </c>
    </row>
    <row r="2105">
      <c r="G2105" s="5" t="str">
        <f>IFERROR(__xludf.DUMMYFUNCTION("""COMPUTED_VALUE"""),"526🤙🏼My Left Foot: The Story of Christy Brown🤙🏼Kirsten Sheridan🤙🏼Estrela 4")</f>
        <v>526🤙🏼My Left Foot: The Story of Christy Brown🤙🏼Kirsten Sheridan🤙🏼Estrela 4</v>
      </c>
      <c r="H2105" s="5">
        <f>IFERROR(__xludf.DUMMYFUNCTION("SPLiT(G2105, ""🤙🏼"",FALSE,FALSE)"),526.0)</f>
        <v>526</v>
      </c>
      <c r="I2105" s="5" t="str">
        <f>IFERROR(__xludf.DUMMYFUNCTION("""COMPUTED_VALUE"""),"My Left Foot: The Story of Christy Brown")</f>
        <v>My Left Foot: The Story of Christy Brown</v>
      </c>
      <c r="J2105" s="5" t="str">
        <f>IFERROR(__xludf.DUMMYFUNCTION("""COMPUTED_VALUE"""),"Kirsten Sheridan")</f>
        <v>Kirsten Sheridan</v>
      </c>
      <c r="K2105" s="5" t="str">
        <f>IFERROR(__xludf.DUMMYFUNCTION("""COMPUTED_VALUE"""),"Estrela 4")</f>
        <v>Estrela 4</v>
      </c>
      <c r="P2105" s="5">
        <f>IFERROR(__xludf.DUMMYFUNCTION("""COMPUTED_VALUE"""),526.0)</f>
        <v>526</v>
      </c>
      <c r="Q2105" s="5" t="str">
        <f>IFERROR(__xludf.DUMMYFUNCTION("""COMPUTED_VALUE"""),"My Left Foot: The Story of Christy Brown")</f>
        <v>My Left Foot: The Story of Christy Brown</v>
      </c>
      <c r="R2105" s="5" t="str">
        <f>IFERROR(__xludf.DUMMYFUNCTION("""COMPUTED_VALUE"""),"Kirsten Sheridan")</f>
        <v>Kirsten Sheridan</v>
      </c>
      <c r="S2105" s="5" t="str">
        <f>IFERROR(__xludf.DUMMYFUNCTION("""COMPUTED_VALUE"""),"Estrela 4")</f>
        <v>Estrela 4</v>
      </c>
    </row>
    <row r="2106">
      <c r="G2106" s="5" t="str">
        <f>IFERROR(__xludf.DUMMYFUNCTION("""COMPUTED_VALUE"""),"527🤙🏼Crimes and Misdemeanors🤙🏼Martin Landau🤙🏼Estrela 1")</f>
        <v>527🤙🏼Crimes and Misdemeanors🤙🏼Martin Landau🤙🏼Estrela 1</v>
      </c>
      <c r="H2106" s="5">
        <f>IFERROR(__xludf.DUMMYFUNCTION("SPLiT(G2106, ""🤙🏼"",FALSE,FALSE)"),527.0)</f>
        <v>527</v>
      </c>
      <c r="I2106" s="5" t="str">
        <f>IFERROR(__xludf.DUMMYFUNCTION("""COMPUTED_VALUE"""),"Crimes and Misdemeanors")</f>
        <v>Crimes and Misdemeanors</v>
      </c>
      <c r="J2106" s="5" t="str">
        <f>IFERROR(__xludf.DUMMYFUNCTION("""COMPUTED_VALUE"""),"Martin Landau")</f>
        <v>Martin Landau</v>
      </c>
      <c r="K2106" s="5" t="str">
        <f>IFERROR(__xludf.DUMMYFUNCTION("""COMPUTED_VALUE"""),"Estrela 1")</f>
        <v>Estrela 1</v>
      </c>
      <c r="P2106" s="5">
        <f>IFERROR(__xludf.DUMMYFUNCTION("""COMPUTED_VALUE"""),527.0)</f>
        <v>527</v>
      </c>
      <c r="Q2106" s="5" t="str">
        <f>IFERROR(__xludf.DUMMYFUNCTION("""COMPUTED_VALUE"""),"Crimes and Misdemeanors")</f>
        <v>Crimes and Misdemeanors</v>
      </c>
      <c r="R2106" s="5" t="str">
        <f>IFERROR(__xludf.DUMMYFUNCTION("""COMPUTED_VALUE"""),"Martin Landau")</f>
        <v>Martin Landau</v>
      </c>
      <c r="S2106" s="5" t="str">
        <f>IFERROR(__xludf.DUMMYFUNCTION("""COMPUTED_VALUE"""),"Estrela 1")</f>
        <v>Estrela 1</v>
      </c>
    </row>
    <row r="2107">
      <c r="G2107" s="5" t="str">
        <f>IFERROR(__xludf.DUMMYFUNCTION("""COMPUTED_VALUE"""),"527🤙🏼Crimes and Misdemeanors🤙🏼Woody Allen🤙🏼Estrela 2")</f>
        <v>527🤙🏼Crimes and Misdemeanors🤙🏼Woody Allen🤙🏼Estrela 2</v>
      </c>
      <c r="H2107" s="5">
        <f>IFERROR(__xludf.DUMMYFUNCTION("SPLiT(G2107, ""🤙🏼"",FALSE,FALSE)"),527.0)</f>
        <v>527</v>
      </c>
      <c r="I2107" s="5" t="str">
        <f>IFERROR(__xludf.DUMMYFUNCTION("""COMPUTED_VALUE"""),"Crimes and Misdemeanors")</f>
        <v>Crimes and Misdemeanors</v>
      </c>
      <c r="J2107" s="5" t="str">
        <f>IFERROR(__xludf.DUMMYFUNCTION("""COMPUTED_VALUE"""),"Woody Allen")</f>
        <v>Woody Allen</v>
      </c>
      <c r="K2107" s="5" t="str">
        <f>IFERROR(__xludf.DUMMYFUNCTION("""COMPUTED_VALUE"""),"Estrela 2")</f>
        <v>Estrela 2</v>
      </c>
      <c r="P2107" s="5">
        <f>IFERROR(__xludf.DUMMYFUNCTION("""COMPUTED_VALUE"""),527.0)</f>
        <v>527</v>
      </c>
      <c r="Q2107" s="5" t="str">
        <f>IFERROR(__xludf.DUMMYFUNCTION("""COMPUTED_VALUE"""),"Crimes and Misdemeanors")</f>
        <v>Crimes and Misdemeanors</v>
      </c>
      <c r="R2107" s="5" t="str">
        <f>IFERROR(__xludf.DUMMYFUNCTION("""COMPUTED_VALUE"""),"Woody Allen")</f>
        <v>Woody Allen</v>
      </c>
      <c r="S2107" s="5" t="str">
        <f>IFERROR(__xludf.DUMMYFUNCTION("""COMPUTED_VALUE"""),"Estrela 2")</f>
        <v>Estrela 2</v>
      </c>
    </row>
    <row r="2108">
      <c r="G2108" s="5" t="str">
        <f>IFERROR(__xludf.DUMMYFUNCTION("""COMPUTED_VALUE"""),"527🤙🏼Crimes and Misdemeanors🤙🏼Bill Bernstein🤙🏼Estrela 3")</f>
        <v>527🤙🏼Crimes and Misdemeanors🤙🏼Bill Bernstein🤙🏼Estrela 3</v>
      </c>
      <c r="H2108" s="5">
        <f>IFERROR(__xludf.DUMMYFUNCTION("SPLiT(G2108, ""🤙🏼"",FALSE,FALSE)"),527.0)</f>
        <v>527</v>
      </c>
      <c r="I2108" s="5" t="str">
        <f>IFERROR(__xludf.DUMMYFUNCTION("""COMPUTED_VALUE"""),"Crimes and Misdemeanors")</f>
        <v>Crimes and Misdemeanors</v>
      </c>
      <c r="J2108" s="5" t="str">
        <f>IFERROR(__xludf.DUMMYFUNCTION("""COMPUTED_VALUE"""),"Bill Bernstein")</f>
        <v>Bill Bernstein</v>
      </c>
      <c r="K2108" s="5" t="str">
        <f>IFERROR(__xludf.DUMMYFUNCTION("""COMPUTED_VALUE"""),"Estrela 3")</f>
        <v>Estrela 3</v>
      </c>
      <c r="P2108" s="5">
        <f>IFERROR(__xludf.DUMMYFUNCTION("""COMPUTED_VALUE"""),527.0)</f>
        <v>527</v>
      </c>
      <c r="Q2108" s="5" t="str">
        <f>IFERROR(__xludf.DUMMYFUNCTION("""COMPUTED_VALUE"""),"Crimes and Misdemeanors")</f>
        <v>Crimes and Misdemeanors</v>
      </c>
      <c r="R2108" s="5" t="str">
        <f>IFERROR(__xludf.DUMMYFUNCTION("""COMPUTED_VALUE"""),"Bill Bernstein")</f>
        <v>Bill Bernstein</v>
      </c>
      <c r="S2108" s="5" t="str">
        <f>IFERROR(__xludf.DUMMYFUNCTION("""COMPUTED_VALUE"""),"Estrela 3")</f>
        <v>Estrela 3</v>
      </c>
    </row>
    <row r="2109">
      <c r="G2109" s="5" t="str">
        <f>IFERROR(__xludf.DUMMYFUNCTION("""COMPUTED_VALUE"""),"527🤙🏼Crimes and Misdemeanors🤙🏼Claire Bloom🤙🏼Estrela 4")</f>
        <v>527🤙🏼Crimes and Misdemeanors🤙🏼Claire Bloom🤙🏼Estrela 4</v>
      </c>
      <c r="H2109" s="5">
        <f>IFERROR(__xludf.DUMMYFUNCTION("SPLiT(G2109, ""🤙🏼"",FALSE,FALSE)"),527.0)</f>
        <v>527</v>
      </c>
      <c r="I2109" s="5" t="str">
        <f>IFERROR(__xludf.DUMMYFUNCTION("""COMPUTED_VALUE"""),"Crimes and Misdemeanors")</f>
        <v>Crimes and Misdemeanors</v>
      </c>
      <c r="J2109" s="5" t="str">
        <f>IFERROR(__xludf.DUMMYFUNCTION("""COMPUTED_VALUE"""),"Claire Bloom")</f>
        <v>Claire Bloom</v>
      </c>
      <c r="K2109" s="5" t="str">
        <f>IFERROR(__xludf.DUMMYFUNCTION("""COMPUTED_VALUE"""),"Estrela 4")</f>
        <v>Estrela 4</v>
      </c>
      <c r="P2109" s="5">
        <f>IFERROR(__xludf.DUMMYFUNCTION("""COMPUTED_VALUE"""),527.0)</f>
        <v>527</v>
      </c>
      <c r="Q2109" s="5" t="str">
        <f>IFERROR(__xludf.DUMMYFUNCTION("""COMPUTED_VALUE"""),"Crimes and Misdemeanors")</f>
        <v>Crimes and Misdemeanors</v>
      </c>
      <c r="R2109" s="5" t="str">
        <f>IFERROR(__xludf.DUMMYFUNCTION("""COMPUTED_VALUE"""),"Claire Bloom")</f>
        <v>Claire Bloom</v>
      </c>
      <c r="S2109" s="5" t="str">
        <f>IFERROR(__xludf.DUMMYFUNCTION("""COMPUTED_VALUE"""),"Estrela 4")</f>
        <v>Estrela 4</v>
      </c>
    </row>
    <row r="2110">
      <c r="G2110" s="5" t="str">
        <f>IFERROR(__xludf.DUMMYFUNCTION("""COMPUTED_VALUE"""),"528🤙🏼The Untouchables🤙🏼Kevin Costner🤙🏼Estrela 1")</f>
        <v>528🤙🏼The Untouchables🤙🏼Kevin Costner🤙🏼Estrela 1</v>
      </c>
      <c r="H2110" s="5">
        <f>IFERROR(__xludf.DUMMYFUNCTION("SPLiT(G2110, ""🤙🏼"",FALSE,FALSE)"),528.0)</f>
        <v>528</v>
      </c>
      <c r="I2110" s="5" t="str">
        <f>IFERROR(__xludf.DUMMYFUNCTION("""COMPUTED_VALUE"""),"The Untouchables")</f>
        <v>The Untouchables</v>
      </c>
      <c r="J2110" s="5" t="str">
        <f>IFERROR(__xludf.DUMMYFUNCTION("""COMPUTED_VALUE"""),"Kevin Costner")</f>
        <v>Kevin Costner</v>
      </c>
      <c r="K2110" s="5" t="str">
        <f>IFERROR(__xludf.DUMMYFUNCTION("""COMPUTED_VALUE"""),"Estrela 1")</f>
        <v>Estrela 1</v>
      </c>
      <c r="P2110" s="5">
        <f>IFERROR(__xludf.DUMMYFUNCTION("""COMPUTED_VALUE"""),528.0)</f>
        <v>528</v>
      </c>
      <c r="Q2110" s="5" t="str">
        <f>IFERROR(__xludf.DUMMYFUNCTION("""COMPUTED_VALUE"""),"The Untouchables")</f>
        <v>The Untouchables</v>
      </c>
      <c r="R2110" s="5" t="str">
        <f>IFERROR(__xludf.DUMMYFUNCTION("""COMPUTED_VALUE"""),"Kevin Costner")</f>
        <v>Kevin Costner</v>
      </c>
      <c r="S2110" s="5" t="str">
        <f>IFERROR(__xludf.DUMMYFUNCTION("""COMPUTED_VALUE"""),"Estrela 1")</f>
        <v>Estrela 1</v>
      </c>
    </row>
    <row r="2111">
      <c r="G2111" s="5" t="str">
        <f>IFERROR(__xludf.DUMMYFUNCTION("""COMPUTED_VALUE"""),"528🤙🏼The Untouchables🤙🏼Sean Connery🤙🏼Estrela 2")</f>
        <v>528🤙🏼The Untouchables🤙🏼Sean Connery🤙🏼Estrela 2</v>
      </c>
      <c r="H2111" s="5">
        <f>IFERROR(__xludf.DUMMYFUNCTION("SPLiT(G2111, ""🤙🏼"",FALSE,FALSE)"),528.0)</f>
        <v>528</v>
      </c>
      <c r="I2111" s="5" t="str">
        <f>IFERROR(__xludf.DUMMYFUNCTION("""COMPUTED_VALUE"""),"The Untouchables")</f>
        <v>The Untouchables</v>
      </c>
      <c r="J2111" s="5" t="str">
        <f>IFERROR(__xludf.DUMMYFUNCTION("""COMPUTED_VALUE"""),"Sean Connery")</f>
        <v>Sean Connery</v>
      </c>
      <c r="K2111" s="5" t="str">
        <f>IFERROR(__xludf.DUMMYFUNCTION("""COMPUTED_VALUE"""),"Estrela 2")</f>
        <v>Estrela 2</v>
      </c>
      <c r="P2111" s="5">
        <f>IFERROR(__xludf.DUMMYFUNCTION("""COMPUTED_VALUE"""),528.0)</f>
        <v>528</v>
      </c>
      <c r="Q2111" s="5" t="str">
        <f>IFERROR(__xludf.DUMMYFUNCTION("""COMPUTED_VALUE"""),"The Untouchables")</f>
        <v>The Untouchables</v>
      </c>
      <c r="R2111" s="5" t="str">
        <f>IFERROR(__xludf.DUMMYFUNCTION("""COMPUTED_VALUE"""),"Sean Connery")</f>
        <v>Sean Connery</v>
      </c>
      <c r="S2111" s="5" t="str">
        <f>IFERROR(__xludf.DUMMYFUNCTION("""COMPUTED_VALUE"""),"Estrela 2")</f>
        <v>Estrela 2</v>
      </c>
    </row>
    <row r="2112">
      <c r="G2112" s="5" t="str">
        <f>IFERROR(__xludf.DUMMYFUNCTION("""COMPUTED_VALUE"""),"528🤙🏼The Untouchables🤙🏼Robert De Niro🤙🏼Estrela 3")</f>
        <v>528🤙🏼The Untouchables🤙🏼Robert De Niro🤙🏼Estrela 3</v>
      </c>
      <c r="H2112" s="5">
        <f>IFERROR(__xludf.DUMMYFUNCTION("SPLiT(G2112, ""🤙🏼"",FALSE,FALSE)"),528.0)</f>
        <v>528</v>
      </c>
      <c r="I2112" s="5" t="str">
        <f>IFERROR(__xludf.DUMMYFUNCTION("""COMPUTED_VALUE"""),"The Untouchables")</f>
        <v>The Untouchables</v>
      </c>
      <c r="J2112" s="5" t="str">
        <f>IFERROR(__xludf.DUMMYFUNCTION("""COMPUTED_VALUE"""),"Robert De Niro")</f>
        <v>Robert De Niro</v>
      </c>
      <c r="K2112" s="5" t="str">
        <f>IFERROR(__xludf.DUMMYFUNCTION("""COMPUTED_VALUE"""),"Estrela 3")</f>
        <v>Estrela 3</v>
      </c>
      <c r="P2112" s="5">
        <f>IFERROR(__xludf.DUMMYFUNCTION("""COMPUTED_VALUE"""),528.0)</f>
        <v>528</v>
      </c>
      <c r="Q2112" s="5" t="str">
        <f>IFERROR(__xludf.DUMMYFUNCTION("""COMPUTED_VALUE"""),"The Untouchables")</f>
        <v>The Untouchables</v>
      </c>
      <c r="R2112" s="5" t="str">
        <f>IFERROR(__xludf.DUMMYFUNCTION("""COMPUTED_VALUE"""),"Robert De Niro")</f>
        <v>Robert De Niro</v>
      </c>
      <c r="S2112" s="5" t="str">
        <f>IFERROR(__xludf.DUMMYFUNCTION("""COMPUTED_VALUE"""),"Estrela 3")</f>
        <v>Estrela 3</v>
      </c>
    </row>
    <row r="2113">
      <c r="G2113" s="5" t="str">
        <f>IFERROR(__xludf.DUMMYFUNCTION("""COMPUTED_VALUE"""),"528🤙🏼The Untouchables🤙🏼Charles Martin Smith🤙🏼Estrela 4")</f>
        <v>528🤙🏼The Untouchables🤙🏼Charles Martin Smith🤙🏼Estrela 4</v>
      </c>
      <c r="H2113" s="5">
        <f>IFERROR(__xludf.DUMMYFUNCTION("SPLiT(G2113, ""🤙🏼"",FALSE,FALSE)"),528.0)</f>
        <v>528</v>
      </c>
      <c r="I2113" s="5" t="str">
        <f>IFERROR(__xludf.DUMMYFUNCTION("""COMPUTED_VALUE"""),"The Untouchables")</f>
        <v>The Untouchables</v>
      </c>
      <c r="J2113" s="5" t="str">
        <f>IFERROR(__xludf.DUMMYFUNCTION("""COMPUTED_VALUE"""),"Charles Martin Smith")</f>
        <v>Charles Martin Smith</v>
      </c>
      <c r="K2113" s="5" t="str">
        <f>IFERROR(__xludf.DUMMYFUNCTION("""COMPUTED_VALUE"""),"Estrela 4")</f>
        <v>Estrela 4</v>
      </c>
      <c r="P2113" s="5">
        <f>IFERROR(__xludf.DUMMYFUNCTION("""COMPUTED_VALUE"""),528.0)</f>
        <v>528</v>
      </c>
      <c r="Q2113" s="5" t="str">
        <f>IFERROR(__xludf.DUMMYFUNCTION("""COMPUTED_VALUE"""),"The Untouchables")</f>
        <v>The Untouchables</v>
      </c>
      <c r="R2113" s="5" t="str">
        <f>IFERROR(__xludf.DUMMYFUNCTION("""COMPUTED_VALUE"""),"Charles Martin Smith")</f>
        <v>Charles Martin Smith</v>
      </c>
      <c r="S2113" s="5" t="str">
        <f>IFERROR(__xludf.DUMMYFUNCTION("""COMPUTED_VALUE"""),"Estrela 4")</f>
        <v>Estrela 4</v>
      </c>
    </row>
    <row r="2114">
      <c r="G2114" s="5" t="str">
        <f>IFERROR(__xludf.DUMMYFUNCTION("""COMPUTED_VALUE"""),"529🤙🏼Hannah and Her Sisters🤙🏼Mia Farrow🤙🏼Estrela 1")</f>
        <v>529🤙🏼Hannah and Her Sisters🤙🏼Mia Farrow🤙🏼Estrela 1</v>
      </c>
      <c r="H2114" s="5">
        <f>IFERROR(__xludf.DUMMYFUNCTION("SPLiT(G2114, ""🤙🏼"",FALSE,FALSE)"),529.0)</f>
        <v>529</v>
      </c>
      <c r="I2114" s="5" t="str">
        <f>IFERROR(__xludf.DUMMYFUNCTION("""COMPUTED_VALUE"""),"Hannah and Her Sisters")</f>
        <v>Hannah and Her Sisters</v>
      </c>
      <c r="J2114" s="5" t="str">
        <f>IFERROR(__xludf.DUMMYFUNCTION("""COMPUTED_VALUE"""),"Mia Farrow")</f>
        <v>Mia Farrow</v>
      </c>
      <c r="K2114" s="5" t="str">
        <f>IFERROR(__xludf.DUMMYFUNCTION("""COMPUTED_VALUE"""),"Estrela 1")</f>
        <v>Estrela 1</v>
      </c>
      <c r="P2114" s="5">
        <f>IFERROR(__xludf.DUMMYFUNCTION("""COMPUTED_VALUE"""),529.0)</f>
        <v>529</v>
      </c>
      <c r="Q2114" s="5" t="str">
        <f>IFERROR(__xludf.DUMMYFUNCTION("""COMPUTED_VALUE"""),"Hannah and Her Sisters")</f>
        <v>Hannah and Her Sisters</v>
      </c>
      <c r="R2114" s="5" t="str">
        <f>IFERROR(__xludf.DUMMYFUNCTION("""COMPUTED_VALUE"""),"Mia Farrow")</f>
        <v>Mia Farrow</v>
      </c>
      <c r="S2114" s="5" t="str">
        <f>IFERROR(__xludf.DUMMYFUNCTION("""COMPUTED_VALUE"""),"Estrela 1")</f>
        <v>Estrela 1</v>
      </c>
    </row>
    <row r="2115">
      <c r="G2115" s="5" t="str">
        <f>IFERROR(__xludf.DUMMYFUNCTION("""COMPUTED_VALUE"""),"529🤙🏼Hannah and Her Sisters🤙🏼Dianne Wiest🤙🏼Estrela 2")</f>
        <v>529🤙🏼Hannah and Her Sisters🤙🏼Dianne Wiest🤙🏼Estrela 2</v>
      </c>
      <c r="H2115" s="5">
        <f>IFERROR(__xludf.DUMMYFUNCTION("SPLiT(G2115, ""🤙🏼"",FALSE,FALSE)"),529.0)</f>
        <v>529</v>
      </c>
      <c r="I2115" s="5" t="str">
        <f>IFERROR(__xludf.DUMMYFUNCTION("""COMPUTED_VALUE"""),"Hannah and Her Sisters")</f>
        <v>Hannah and Her Sisters</v>
      </c>
      <c r="J2115" s="5" t="str">
        <f>IFERROR(__xludf.DUMMYFUNCTION("""COMPUTED_VALUE"""),"Dianne Wiest")</f>
        <v>Dianne Wiest</v>
      </c>
      <c r="K2115" s="5" t="str">
        <f>IFERROR(__xludf.DUMMYFUNCTION("""COMPUTED_VALUE"""),"Estrela 2")</f>
        <v>Estrela 2</v>
      </c>
      <c r="P2115" s="5">
        <f>IFERROR(__xludf.DUMMYFUNCTION("""COMPUTED_VALUE"""),529.0)</f>
        <v>529</v>
      </c>
      <c r="Q2115" s="5" t="str">
        <f>IFERROR(__xludf.DUMMYFUNCTION("""COMPUTED_VALUE"""),"Hannah and Her Sisters")</f>
        <v>Hannah and Her Sisters</v>
      </c>
      <c r="R2115" s="5" t="str">
        <f>IFERROR(__xludf.DUMMYFUNCTION("""COMPUTED_VALUE"""),"Dianne Wiest")</f>
        <v>Dianne Wiest</v>
      </c>
      <c r="S2115" s="5" t="str">
        <f>IFERROR(__xludf.DUMMYFUNCTION("""COMPUTED_VALUE"""),"Estrela 2")</f>
        <v>Estrela 2</v>
      </c>
    </row>
    <row r="2116">
      <c r="G2116" s="5" t="str">
        <f>IFERROR(__xludf.DUMMYFUNCTION("""COMPUTED_VALUE"""),"529🤙🏼Hannah and Her Sisters🤙🏼Michael Caine🤙🏼Estrela 3")</f>
        <v>529🤙🏼Hannah and Her Sisters🤙🏼Michael Caine🤙🏼Estrela 3</v>
      </c>
      <c r="H2116" s="5">
        <f>IFERROR(__xludf.DUMMYFUNCTION("SPLiT(G2116, ""🤙🏼"",FALSE,FALSE)"),529.0)</f>
        <v>529</v>
      </c>
      <c r="I2116" s="5" t="str">
        <f>IFERROR(__xludf.DUMMYFUNCTION("""COMPUTED_VALUE"""),"Hannah and Her Sisters")</f>
        <v>Hannah and Her Sisters</v>
      </c>
      <c r="J2116" s="5" t="str">
        <f>IFERROR(__xludf.DUMMYFUNCTION("""COMPUTED_VALUE"""),"Michael Caine")</f>
        <v>Michael Caine</v>
      </c>
      <c r="K2116" s="5" t="str">
        <f>IFERROR(__xludf.DUMMYFUNCTION("""COMPUTED_VALUE"""),"Estrela 3")</f>
        <v>Estrela 3</v>
      </c>
      <c r="P2116" s="5">
        <f>IFERROR(__xludf.DUMMYFUNCTION("""COMPUTED_VALUE"""),529.0)</f>
        <v>529</v>
      </c>
      <c r="Q2116" s="5" t="str">
        <f>IFERROR(__xludf.DUMMYFUNCTION("""COMPUTED_VALUE"""),"Hannah and Her Sisters")</f>
        <v>Hannah and Her Sisters</v>
      </c>
      <c r="R2116" s="5" t="str">
        <f>IFERROR(__xludf.DUMMYFUNCTION("""COMPUTED_VALUE"""),"Michael Caine")</f>
        <v>Michael Caine</v>
      </c>
      <c r="S2116" s="5" t="str">
        <f>IFERROR(__xludf.DUMMYFUNCTION("""COMPUTED_VALUE"""),"Estrela 3")</f>
        <v>Estrela 3</v>
      </c>
    </row>
    <row r="2117">
      <c r="G2117" s="5" t="str">
        <f>IFERROR(__xludf.DUMMYFUNCTION("""COMPUTED_VALUE"""),"529🤙🏼Hannah and Her Sisters🤙🏼Barbara Hershey🤙🏼Estrela 4")</f>
        <v>529🤙🏼Hannah and Her Sisters🤙🏼Barbara Hershey🤙🏼Estrela 4</v>
      </c>
      <c r="H2117" s="5">
        <f>IFERROR(__xludf.DUMMYFUNCTION("SPLiT(G2117, ""🤙🏼"",FALSE,FALSE)"),529.0)</f>
        <v>529</v>
      </c>
      <c r="I2117" s="5" t="str">
        <f>IFERROR(__xludf.DUMMYFUNCTION("""COMPUTED_VALUE"""),"Hannah and Her Sisters")</f>
        <v>Hannah and Her Sisters</v>
      </c>
      <c r="J2117" s="5" t="str">
        <f>IFERROR(__xludf.DUMMYFUNCTION("""COMPUTED_VALUE"""),"Barbara Hershey")</f>
        <v>Barbara Hershey</v>
      </c>
      <c r="K2117" s="5" t="str">
        <f>IFERROR(__xludf.DUMMYFUNCTION("""COMPUTED_VALUE"""),"Estrela 4")</f>
        <v>Estrela 4</v>
      </c>
      <c r="P2117" s="5">
        <f>IFERROR(__xludf.DUMMYFUNCTION("""COMPUTED_VALUE"""),529.0)</f>
        <v>529</v>
      </c>
      <c r="Q2117" s="5" t="str">
        <f>IFERROR(__xludf.DUMMYFUNCTION("""COMPUTED_VALUE"""),"Hannah and Her Sisters")</f>
        <v>Hannah and Her Sisters</v>
      </c>
      <c r="R2117" s="5" t="str">
        <f>IFERROR(__xludf.DUMMYFUNCTION("""COMPUTED_VALUE"""),"Barbara Hershey")</f>
        <v>Barbara Hershey</v>
      </c>
      <c r="S2117" s="5" t="str">
        <f>IFERROR(__xludf.DUMMYFUNCTION("""COMPUTED_VALUE"""),"Estrela 4")</f>
        <v>Estrela 4</v>
      </c>
    </row>
    <row r="2118">
      <c r="G2118" s="5" t="str">
        <f>IFERROR(__xludf.DUMMYFUNCTION("""COMPUTED_VALUE"""),"530🤙🏼Brazil🤙🏼Jonathan Pryce🤙🏼Estrela 1")</f>
        <v>530🤙🏼Brazil🤙🏼Jonathan Pryce🤙🏼Estrela 1</v>
      </c>
      <c r="H2118" s="5">
        <f>IFERROR(__xludf.DUMMYFUNCTION("SPLiT(G2118, ""🤙🏼"",FALSE,FALSE)"),530.0)</f>
        <v>530</v>
      </c>
      <c r="I2118" s="5" t="str">
        <f>IFERROR(__xludf.DUMMYFUNCTION("""COMPUTED_VALUE"""),"Brazil")</f>
        <v>Brazil</v>
      </c>
      <c r="J2118" s="5" t="str">
        <f>IFERROR(__xludf.DUMMYFUNCTION("""COMPUTED_VALUE"""),"Jonathan Pryce")</f>
        <v>Jonathan Pryce</v>
      </c>
      <c r="K2118" s="5" t="str">
        <f>IFERROR(__xludf.DUMMYFUNCTION("""COMPUTED_VALUE"""),"Estrela 1")</f>
        <v>Estrela 1</v>
      </c>
      <c r="P2118" s="5">
        <f>IFERROR(__xludf.DUMMYFUNCTION("""COMPUTED_VALUE"""),530.0)</f>
        <v>530</v>
      </c>
      <c r="Q2118" s="5" t="str">
        <f>IFERROR(__xludf.DUMMYFUNCTION("""COMPUTED_VALUE"""),"Brazil")</f>
        <v>Brazil</v>
      </c>
      <c r="R2118" s="5" t="str">
        <f>IFERROR(__xludf.DUMMYFUNCTION("""COMPUTED_VALUE"""),"Jonathan Pryce")</f>
        <v>Jonathan Pryce</v>
      </c>
      <c r="S2118" s="5" t="str">
        <f>IFERROR(__xludf.DUMMYFUNCTION("""COMPUTED_VALUE"""),"Estrela 1")</f>
        <v>Estrela 1</v>
      </c>
    </row>
    <row r="2119">
      <c r="G2119" s="5" t="str">
        <f>IFERROR(__xludf.DUMMYFUNCTION("""COMPUTED_VALUE"""),"530🤙🏼Brazil🤙🏼Kim Greist🤙🏼Estrela 2")</f>
        <v>530🤙🏼Brazil🤙🏼Kim Greist🤙🏼Estrela 2</v>
      </c>
      <c r="H2119" s="5">
        <f>IFERROR(__xludf.DUMMYFUNCTION("SPLiT(G2119, ""🤙🏼"",FALSE,FALSE)"),530.0)</f>
        <v>530</v>
      </c>
      <c r="I2119" s="5" t="str">
        <f>IFERROR(__xludf.DUMMYFUNCTION("""COMPUTED_VALUE"""),"Brazil")</f>
        <v>Brazil</v>
      </c>
      <c r="J2119" s="5" t="str">
        <f>IFERROR(__xludf.DUMMYFUNCTION("""COMPUTED_VALUE"""),"Kim Greist")</f>
        <v>Kim Greist</v>
      </c>
      <c r="K2119" s="5" t="str">
        <f>IFERROR(__xludf.DUMMYFUNCTION("""COMPUTED_VALUE"""),"Estrela 2")</f>
        <v>Estrela 2</v>
      </c>
      <c r="P2119" s="5">
        <f>IFERROR(__xludf.DUMMYFUNCTION("""COMPUTED_VALUE"""),530.0)</f>
        <v>530</v>
      </c>
      <c r="Q2119" s="5" t="str">
        <f>IFERROR(__xludf.DUMMYFUNCTION("""COMPUTED_VALUE"""),"Brazil")</f>
        <v>Brazil</v>
      </c>
      <c r="R2119" s="5" t="str">
        <f>IFERROR(__xludf.DUMMYFUNCTION("""COMPUTED_VALUE"""),"Kim Greist")</f>
        <v>Kim Greist</v>
      </c>
      <c r="S2119" s="5" t="str">
        <f>IFERROR(__xludf.DUMMYFUNCTION("""COMPUTED_VALUE"""),"Estrela 2")</f>
        <v>Estrela 2</v>
      </c>
    </row>
    <row r="2120">
      <c r="G2120" s="5" t="str">
        <f>IFERROR(__xludf.DUMMYFUNCTION("""COMPUTED_VALUE"""),"530🤙🏼Brazil🤙🏼Robert De Niro🤙🏼Estrela 3")</f>
        <v>530🤙🏼Brazil🤙🏼Robert De Niro🤙🏼Estrela 3</v>
      </c>
      <c r="H2120" s="5">
        <f>IFERROR(__xludf.DUMMYFUNCTION("SPLiT(G2120, ""🤙🏼"",FALSE,FALSE)"),530.0)</f>
        <v>530</v>
      </c>
      <c r="I2120" s="5" t="str">
        <f>IFERROR(__xludf.DUMMYFUNCTION("""COMPUTED_VALUE"""),"Brazil")</f>
        <v>Brazil</v>
      </c>
      <c r="J2120" s="5" t="str">
        <f>IFERROR(__xludf.DUMMYFUNCTION("""COMPUTED_VALUE"""),"Robert De Niro")</f>
        <v>Robert De Niro</v>
      </c>
      <c r="K2120" s="5" t="str">
        <f>IFERROR(__xludf.DUMMYFUNCTION("""COMPUTED_VALUE"""),"Estrela 3")</f>
        <v>Estrela 3</v>
      </c>
      <c r="P2120" s="5">
        <f>IFERROR(__xludf.DUMMYFUNCTION("""COMPUTED_VALUE"""),530.0)</f>
        <v>530</v>
      </c>
      <c r="Q2120" s="5" t="str">
        <f>IFERROR(__xludf.DUMMYFUNCTION("""COMPUTED_VALUE"""),"Brazil")</f>
        <v>Brazil</v>
      </c>
      <c r="R2120" s="5" t="str">
        <f>IFERROR(__xludf.DUMMYFUNCTION("""COMPUTED_VALUE"""),"Robert De Niro")</f>
        <v>Robert De Niro</v>
      </c>
      <c r="S2120" s="5" t="str">
        <f>IFERROR(__xludf.DUMMYFUNCTION("""COMPUTED_VALUE"""),"Estrela 3")</f>
        <v>Estrela 3</v>
      </c>
    </row>
    <row r="2121">
      <c r="G2121" s="5" t="str">
        <f>IFERROR(__xludf.DUMMYFUNCTION("""COMPUTED_VALUE"""),"530🤙🏼Brazil🤙🏼Katherine Helmond🤙🏼Estrela 4")</f>
        <v>530🤙🏼Brazil🤙🏼Katherine Helmond🤙🏼Estrela 4</v>
      </c>
      <c r="H2121" s="5">
        <f>IFERROR(__xludf.DUMMYFUNCTION("SPLiT(G2121, ""🤙🏼"",FALSE,FALSE)"),530.0)</f>
        <v>530</v>
      </c>
      <c r="I2121" s="5" t="str">
        <f>IFERROR(__xludf.DUMMYFUNCTION("""COMPUTED_VALUE"""),"Brazil")</f>
        <v>Brazil</v>
      </c>
      <c r="J2121" s="5" t="str">
        <f>IFERROR(__xludf.DUMMYFUNCTION("""COMPUTED_VALUE"""),"Katherine Helmond")</f>
        <v>Katherine Helmond</v>
      </c>
      <c r="K2121" s="5" t="str">
        <f>IFERROR(__xludf.DUMMYFUNCTION("""COMPUTED_VALUE"""),"Estrela 4")</f>
        <v>Estrela 4</v>
      </c>
      <c r="P2121" s="5">
        <f>IFERROR(__xludf.DUMMYFUNCTION("""COMPUTED_VALUE"""),530.0)</f>
        <v>530</v>
      </c>
      <c r="Q2121" s="5" t="str">
        <f>IFERROR(__xludf.DUMMYFUNCTION("""COMPUTED_VALUE"""),"Brazil")</f>
        <v>Brazil</v>
      </c>
      <c r="R2121" s="5" t="str">
        <f>IFERROR(__xludf.DUMMYFUNCTION("""COMPUTED_VALUE"""),"Katherine Helmond")</f>
        <v>Katherine Helmond</v>
      </c>
      <c r="S2121" s="5" t="str">
        <f>IFERROR(__xludf.DUMMYFUNCTION("""COMPUTED_VALUE"""),"Estrela 4")</f>
        <v>Estrela 4</v>
      </c>
    </row>
    <row r="2122">
      <c r="G2122" s="5" t="str">
        <f>IFERROR(__xludf.DUMMYFUNCTION("""COMPUTED_VALUE"""),"531🤙🏼This Is Spinal Tap🤙🏼Rob Reiner🤙🏼Estrela 1")</f>
        <v>531🤙🏼This Is Spinal Tap🤙🏼Rob Reiner🤙🏼Estrela 1</v>
      </c>
      <c r="H2122" s="5">
        <f>IFERROR(__xludf.DUMMYFUNCTION("SPLiT(G2122, ""🤙🏼"",FALSE,FALSE)"),531.0)</f>
        <v>531</v>
      </c>
      <c r="I2122" s="5" t="str">
        <f>IFERROR(__xludf.DUMMYFUNCTION("""COMPUTED_VALUE"""),"This Is Spinal Tap")</f>
        <v>This Is Spinal Tap</v>
      </c>
      <c r="J2122" s="5" t="str">
        <f>IFERROR(__xludf.DUMMYFUNCTION("""COMPUTED_VALUE"""),"Rob Reiner")</f>
        <v>Rob Reiner</v>
      </c>
      <c r="K2122" s="5" t="str">
        <f>IFERROR(__xludf.DUMMYFUNCTION("""COMPUTED_VALUE"""),"Estrela 1")</f>
        <v>Estrela 1</v>
      </c>
      <c r="P2122" s="5">
        <f>IFERROR(__xludf.DUMMYFUNCTION("""COMPUTED_VALUE"""),531.0)</f>
        <v>531</v>
      </c>
      <c r="Q2122" s="5" t="str">
        <f>IFERROR(__xludf.DUMMYFUNCTION("""COMPUTED_VALUE"""),"This Is Spinal Tap")</f>
        <v>This Is Spinal Tap</v>
      </c>
      <c r="R2122" s="5" t="str">
        <f>IFERROR(__xludf.DUMMYFUNCTION("""COMPUTED_VALUE"""),"Rob Reiner")</f>
        <v>Rob Reiner</v>
      </c>
      <c r="S2122" s="5" t="str">
        <f>IFERROR(__xludf.DUMMYFUNCTION("""COMPUTED_VALUE"""),"Estrela 1")</f>
        <v>Estrela 1</v>
      </c>
    </row>
    <row r="2123">
      <c r="G2123" s="5" t="str">
        <f>IFERROR(__xludf.DUMMYFUNCTION("""COMPUTED_VALUE"""),"531🤙🏼This Is Spinal Tap🤙🏼Michael McKean🤙🏼Estrela 2")</f>
        <v>531🤙🏼This Is Spinal Tap🤙🏼Michael McKean🤙🏼Estrela 2</v>
      </c>
      <c r="H2123" s="5">
        <f>IFERROR(__xludf.DUMMYFUNCTION("SPLiT(G2123, ""🤙🏼"",FALSE,FALSE)"),531.0)</f>
        <v>531</v>
      </c>
      <c r="I2123" s="5" t="str">
        <f>IFERROR(__xludf.DUMMYFUNCTION("""COMPUTED_VALUE"""),"This Is Spinal Tap")</f>
        <v>This Is Spinal Tap</v>
      </c>
      <c r="J2123" s="5" t="str">
        <f>IFERROR(__xludf.DUMMYFUNCTION("""COMPUTED_VALUE"""),"Michael McKean")</f>
        <v>Michael McKean</v>
      </c>
      <c r="K2123" s="5" t="str">
        <f>IFERROR(__xludf.DUMMYFUNCTION("""COMPUTED_VALUE"""),"Estrela 2")</f>
        <v>Estrela 2</v>
      </c>
      <c r="P2123" s="5">
        <f>IFERROR(__xludf.DUMMYFUNCTION("""COMPUTED_VALUE"""),531.0)</f>
        <v>531</v>
      </c>
      <c r="Q2123" s="5" t="str">
        <f>IFERROR(__xludf.DUMMYFUNCTION("""COMPUTED_VALUE"""),"This Is Spinal Tap")</f>
        <v>This Is Spinal Tap</v>
      </c>
      <c r="R2123" s="5" t="str">
        <f>IFERROR(__xludf.DUMMYFUNCTION("""COMPUTED_VALUE"""),"Michael McKean")</f>
        <v>Michael McKean</v>
      </c>
      <c r="S2123" s="5" t="str">
        <f>IFERROR(__xludf.DUMMYFUNCTION("""COMPUTED_VALUE"""),"Estrela 2")</f>
        <v>Estrela 2</v>
      </c>
    </row>
    <row r="2124">
      <c r="G2124" s="5" t="str">
        <f>IFERROR(__xludf.DUMMYFUNCTION("""COMPUTED_VALUE"""),"531🤙🏼This Is Spinal Tap🤙🏼Christopher Guest🤙🏼Estrela 3")</f>
        <v>531🤙🏼This Is Spinal Tap🤙🏼Christopher Guest🤙🏼Estrela 3</v>
      </c>
      <c r="H2124" s="5">
        <f>IFERROR(__xludf.DUMMYFUNCTION("SPLiT(G2124, ""🤙🏼"",FALSE,FALSE)"),531.0)</f>
        <v>531</v>
      </c>
      <c r="I2124" s="5" t="str">
        <f>IFERROR(__xludf.DUMMYFUNCTION("""COMPUTED_VALUE"""),"This Is Spinal Tap")</f>
        <v>This Is Spinal Tap</v>
      </c>
      <c r="J2124" s="5" t="str">
        <f>IFERROR(__xludf.DUMMYFUNCTION("""COMPUTED_VALUE"""),"Christopher Guest")</f>
        <v>Christopher Guest</v>
      </c>
      <c r="K2124" s="5" t="str">
        <f>IFERROR(__xludf.DUMMYFUNCTION("""COMPUTED_VALUE"""),"Estrela 3")</f>
        <v>Estrela 3</v>
      </c>
      <c r="P2124" s="5">
        <f>IFERROR(__xludf.DUMMYFUNCTION("""COMPUTED_VALUE"""),531.0)</f>
        <v>531</v>
      </c>
      <c r="Q2124" s="5" t="str">
        <f>IFERROR(__xludf.DUMMYFUNCTION("""COMPUTED_VALUE"""),"This Is Spinal Tap")</f>
        <v>This Is Spinal Tap</v>
      </c>
      <c r="R2124" s="5" t="str">
        <f>IFERROR(__xludf.DUMMYFUNCTION("""COMPUTED_VALUE"""),"Christopher Guest")</f>
        <v>Christopher Guest</v>
      </c>
      <c r="S2124" s="5" t="str">
        <f>IFERROR(__xludf.DUMMYFUNCTION("""COMPUTED_VALUE"""),"Estrela 3")</f>
        <v>Estrela 3</v>
      </c>
    </row>
    <row r="2125">
      <c r="G2125" s="5" t="str">
        <f>IFERROR(__xludf.DUMMYFUNCTION("""COMPUTED_VALUE"""),"531🤙🏼This Is Spinal Tap🤙🏼Kimberly Stringer🤙🏼Estrela 4")</f>
        <v>531🤙🏼This Is Spinal Tap🤙🏼Kimberly Stringer🤙🏼Estrela 4</v>
      </c>
      <c r="H2125" s="5">
        <f>IFERROR(__xludf.DUMMYFUNCTION("SPLiT(G2125, ""🤙🏼"",FALSE,FALSE)"),531.0)</f>
        <v>531</v>
      </c>
      <c r="I2125" s="5" t="str">
        <f>IFERROR(__xludf.DUMMYFUNCTION("""COMPUTED_VALUE"""),"This Is Spinal Tap")</f>
        <v>This Is Spinal Tap</v>
      </c>
      <c r="J2125" s="5" t="str">
        <f>IFERROR(__xludf.DUMMYFUNCTION("""COMPUTED_VALUE"""),"Kimberly Stringer")</f>
        <v>Kimberly Stringer</v>
      </c>
      <c r="K2125" s="5" t="str">
        <f>IFERROR(__xludf.DUMMYFUNCTION("""COMPUTED_VALUE"""),"Estrela 4")</f>
        <v>Estrela 4</v>
      </c>
      <c r="P2125" s="5">
        <f>IFERROR(__xludf.DUMMYFUNCTION("""COMPUTED_VALUE"""),531.0)</f>
        <v>531</v>
      </c>
      <c r="Q2125" s="5" t="str">
        <f>IFERROR(__xludf.DUMMYFUNCTION("""COMPUTED_VALUE"""),"This Is Spinal Tap")</f>
        <v>This Is Spinal Tap</v>
      </c>
      <c r="R2125" s="5" t="str">
        <f>IFERROR(__xludf.DUMMYFUNCTION("""COMPUTED_VALUE"""),"Kimberly Stringer")</f>
        <v>Kimberly Stringer</v>
      </c>
      <c r="S2125" s="5" t="str">
        <f>IFERROR(__xludf.DUMMYFUNCTION("""COMPUTED_VALUE"""),"Estrela 4")</f>
        <v>Estrela 4</v>
      </c>
    </row>
    <row r="2126">
      <c r="G2126" s="5" t="str">
        <f>IFERROR(__xludf.DUMMYFUNCTION("""COMPUTED_VALUE"""),"532🤙🏼A Christmas Story🤙🏼Peter Billingsley🤙🏼Estrela 1")</f>
        <v>532🤙🏼A Christmas Story🤙🏼Peter Billingsley🤙🏼Estrela 1</v>
      </c>
      <c r="H2126" s="5">
        <f>IFERROR(__xludf.DUMMYFUNCTION("SPLiT(G2126, ""🤙🏼"",FALSE,FALSE)"),532.0)</f>
        <v>532</v>
      </c>
      <c r="I2126" s="5" t="str">
        <f>IFERROR(__xludf.DUMMYFUNCTION("""COMPUTED_VALUE"""),"A Christmas Story")</f>
        <v>A Christmas Story</v>
      </c>
      <c r="J2126" s="5" t="str">
        <f>IFERROR(__xludf.DUMMYFUNCTION("""COMPUTED_VALUE"""),"Peter Billingsley")</f>
        <v>Peter Billingsley</v>
      </c>
      <c r="K2126" s="5" t="str">
        <f>IFERROR(__xludf.DUMMYFUNCTION("""COMPUTED_VALUE"""),"Estrela 1")</f>
        <v>Estrela 1</v>
      </c>
      <c r="P2126" s="5">
        <f>IFERROR(__xludf.DUMMYFUNCTION("""COMPUTED_VALUE"""),532.0)</f>
        <v>532</v>
      </c>
      <c r="Q2126" s="5" t="str">
        <f>IFERROR(__xludf.DUMMYFUNCTION("""COMPUTED_VALUE"""),"A Christmas Story")</f>
        <v>A Christmas Story</v>
      </c>
      <c r="R2126" s="5" t="str">
        <f>IFERROR(__xludf.DUMMYFUNCTION("""COMPUTED_VALUE"""),"Peter Billingsley")</f>
        <v>Peter Billingsley</v>
      </c>
      <c r="S2126" s="5" t="str">
        <f>IFERROR(__xludf.DUMMYFUNCTION("""COMPUTED_VALUE"""),"Estrela 1")</f>
        <v>Estrela 1</v>
      </c>
    </row>
    <row r="2127">
      <c r="G2127" s="5" t="str">
        <f>IFERROR(__xludf.DUMMYFUNCTION("""COMPUTED_VALUE"""),"532🤙🏼A Christmas Story🤙🏼Melinda Dillon🤙🏼Estrela 2")</f>
        <v>532🤙🏼A Christmas Story🤙🏼Melinda Dillon🤙🏼Estrela 2</v>
      </c>
      <c r="H2127" s="5">
        <f>IFERROR(__xludf.DUMMYFUNCTION("SPLiT(G2127, ""🤙🏼"",FALSE,FALSE)"),532.0)</f>
        <v>532</v>
      </c>
      <c r="I2127" s="5" t="str">
        <f>IFERROR(__xludf.DUMMYFUNCTION("""COMPUTED_VALUE"""),"A Christmas Story")</f>
        <v>A Christmas Story</v>
      </c>
      <c r="J2127" s="5" t="str">
        <f>IFERROR(__xludf.DUMMYFUNCTION("""COMPUTED_VALUE"""),"Melinda Dillon")</f>
        <v>Melinda Dillon</v>
      </c>
      <c r="K2127" s="5" t="str">
        <f>IFERROR(__xludf.DUMMYFUNCTION("""COMPUTED_VALUE"""),"Estrela 2")</f>
        <v>Estrela 2</v>
      </c>
      <c r="P2127" s="5">
        <f>IFERROR(__xludf.DUMMYFUNCTION("""COMPUTED_VALUE"""),532.0)</f>
        <v>532</v>
      </c>
      <c r="Q2127" s="5" t="str">
        <f>IFERROR(__xludf.DUMMYFUNCTION("""COMPUTED_VALUE"""),"A Christmas Story")</f>
        <v>A Christmas Story</v>
      </c>
      <c r="R2127" s="5" t="str">
        <f>IFERROR(__xludf.DUMMYFUNCTION("""COMPUTED_VALUE"""),"Melinda Dillon")</f>
        <v>Melinda Dillon</v>
      </c>
      <c r="S2127" s="5" t="str">
        <f>IFERROR(__xludf.DUMMYFUNCTION("""COMPUTED_VALUE"""),"Estrela 2")</f>
        <v>Estrela 2</v>
      </c>
    </row>
    <row r="2128">
      <c r="G2128" s="5" t="str">
        <f>IFERROR(__xludf.DUMMYFUNCTION("""COMPUTED_VALUE"""),"532🤙🏼A Christmas Story🤙🏼Darren McGavin🤙🏼Estrela 3")</f>
        <v>532🤙🏼A Christmas Story🤙🏼Darren McGavin🤙🏼Estrela 3</v>
      </c>
      <c r="H2128" s="5">
        <f>IFERROR(__xludf.DUMMYFUNCTION("SPLiT(G2128, ""🤙🏼"",FALSE,FALSE)"),532.0)</f>
        <v>532</v>
      </c>
      <c r="I2128" s="5" t="str">
        <f>IFERROR(__xludf.DUMMYFUNCTION("""COMPUTED_VALUE"""),"A Christmas Story")</f>
        <v>A Christmas Story</v>
      </c>
      <c r="J2128" s="5" t="str">
        <f>IFERROR(__xludf.DUMMYFUNCTION("""COMPUTED_VALUE"""),"Darren McGavin")</f>
        <v>Darren McGavin</v>
      </c>
      <c r="K2128" s="5" t="str">
        <f>IFERROR(__xludf.DUMMYFUNCTION("""COMPUTED_VALUE"""),"Estrela 3")</f>
        <v>Estrela 3</v>
      </c>
      <c r="P2128" s="5">
        <f>IFERROR(__xludf.DUMMYFUNCTION("""COMPUTED_VALUE"""),532.0)</f>
        <v>532</v>
      </c>
      <c r="Q2128" s="5" t="str">
        <f>IFERROR(__xludf.DUMMYFUNCTION("""COMPUTED_VALUE"""),"A Christmas Story")</f>
        <v>A Christmas Story</v>
      </c>
      <c r="R2128" s="5" t="str">
        <f>IFERROR(__xludf.DUMMYFUNCTION("""COMPUTED_VALUE"""),"Darren McGavin")</f>
        <v>Darren McGavin</v>
      </c>
      <c r="S2128" s="5" t="str">
        <f>IFERROR(__xludf.DUMMYFUNCTION("""COMPUTED_VALUE"""),"Estrela 3")</f>
        <v>Estrela 3</v>
      </c>
    </row>
    <row r="2129">
      <c r="G2129" s="5" t="str">
        <f>IFERROR(__xludf.DUMMYFUNCTION("""COMPUTED_VALUE"""),"532🤙🏼A Christmas Story🤙🏼Scott Schwartz🤙🏼Estrela 4")</f>
        <v>532🤙🏼A Christmas Story🤙🏼Scott Schwartz🤙🏼Estrela 4</v>
      </c>
      <c r="H2129" s="5">
        <f>IFERROR(__xludf.DUMMYFUNCTION("SPLiT(G2129, ""🤙🏼"",FALSE,FALSE)"),532.0)</f>
        <v>532</v>
      </c>
      <c r="I2129" s="5" t="str">
        <f>IFERROR(__xludf.DUMMYFUNCTION("""COMPUTED_VALUE"""),"A Christmas Story")</f>
        <v>A Christmas Story</v>
      </c>
      <c r="J2129" s="5" t="str">
        <f>IFERROR(__xludf.DUMMYFUNCTION("""COMPUTED_VALUE"""),"Scott Schwartz")</f>
        <v>Scott Schwartz</v>
      </c>
      <c r="K2129" s="5" t="str">
        <f>IFERROR(__xludf.DUMMYFUNCTION("""COMPUTED_VALUE"""),"Estrela 4")</f>
        <v>Estrela 4</v>
      </c>
      <c r="P2129" s="5">
        <f>IFERROR(__xludf.DUMMYFUNCTION("""COMPUTED_VALUE"""),532.0)</f>
        <v>532</v>
      </c>
      <c r="Q2129" s="5" t="str">
        <f>IFERROR(__xludf.DUMMYFUNCTION("""COMPUTED_VALUE"""),"A Christmas Story")</f>
        <v>A Christmas Story</v>
      </c>
      <c r="R2129" s="5" t="str">
        <f>IFERROR(__xludf.DUMMYFUNCTION("""COMPUTED_VALUE"""),"Scott Schwartz")</f>
        <v>Scott Schwartz</v>
      </c>
      <c r="S2129" s="5" t="str">
        <f>IFERROR(__xludf.DUMMYFUNCTION("""COMPUTED_VALUE"""),"Estrela 4")</f>
        <v>Estrela 4</v>
      </c>
    </row>
    <row r="2130">
      <c r="G2130" s="5" t="str">
        <f>IFERROR(__xludf.DUMMYFUNCTION("""COMPUTED_VALUE"""),"533🤙🏼The Blues Brothers🤙🏼John Belushi🤙🏼Estrela 1")</f>
        <v>533🤙🏼The Blues Brothers🤙🏼John Belushi🤙🏼Estrela 1</v>
      </c>
      <c r="H2130" s="5">
        <f>IFERROR(__xludf.DUMMYFUNCTION("SPLiT(G2130, ""🤙🏼"",FALSE,FALSE)"),533.0)</f>
        <v>533</v>
      </c>
      <c r="I2130" s="5" t="str">
        <f>IFERROR(__xludf.DUMMYFUNCTION("""COMPUTED_VALUE"""),"The Blues Brothers")</f>
        <v>The Blues Brothers</v>
      </c>
      <c r="J2130" s="5" t="str">
        <f>IFERROR(__xludf.DUMMYFUNCTION("""COMPUTED_VALUE"""),"John Belushi")</f>
        <v>John Belushi</v>
      </c>
      <c r="K2130" s="5" t="str">
        <f>IFERROR(__xludf.DUMMYFUNCTION("""COMPUTED_VALUE"""),"Estrela 1")</f>
        <v>Estrela 1</v>
      </c>
      <c r="P2130" s="5">
        <f>IFERROR(__xludf.DUMMYFUNCTION("""COMPUTED_VALUE"""),533.0)</f>
        <v>533</v>
      </c>
      <c r="Q2130" s="5" t="str">
        <f>IFERROR(__xludf.DUMMYFUNCTION("""COMPUTED_VALUE"""),"The Blues Brothers")</f>
        <v>The Blues Brothers</v>
      </c>
      <c r="R2130" s="5" t="str">
        <f>IFERROR(__xludf.DUMMYFUNCTION("""COMPUTED_VALUE"""),"John Belushi")</f>
        <v>John Belushi</v>
      </c>
      <c r="S2130" s="5" t="str">
        <f>IFERROR(__xludf.DUMMYFUNCTION("""COMPUTED_VALUE"""),"Estrela 1")</f>
        <v>Estrela 1</v>
      </c>
    </row>
    <row r="2131">
      <c r="G2131" s="5" t="str">
        <f>IFERROR(__xludf.DUMMYFUNCTION("""COMPUTED_VALUE"""),"533🤙🏼The Blues Brothers🤙🏼Dan Aykroyd🤙🏼Estrela 2")</f>
        <v>533🤙🏼The Blues Brothers🤙🏼Dan Aykroyd🤙🏼Estrela 2</v>
      </c>
      <c r="H2131" s="5">
        <f>IFERROR(__xludf.DUMMYFUNCTION("SPLiT(G2131, ""🤙🏼"",FALSE,FALSE)"),533.0)</f>
        <v>533</v>
      </c>
      <c r="I2131" s="5" t="str">
        <f>IFERROR(__xludf.DUMMYFUNCTION("""COMPUTED_VALUE"""),"The Blues Brothers")</f>
        <v>The Blues Brothers</v>
      </c>
      <c r="J2131" s="5" t="str">
        <f>IFERROR(__xludf.DUMMYFUNCTION("""COMPUTED_VALUE"""),"Dan Aykroyd")</f>
        <v>Dan Aykroyd</v>
      </c>
      <c r="K2131" s="5" t="str">
        <f>IFERROR(__xludf.DUMMYFUNCTION("""COMPUTED_VALUE"""),"Estrela 2")</f>
        <v>Estrela 2</v>
      </c>
      <c r="P2131" s="5">
        <f>IFERROR(__xludf.DUMMYFUNCTION("""COMPUTED_VALUE"""),533.0)</f>
        <v>533</v>
      </c>
      <c r="Q2131" s="5" t="str">
        <f>IFERROR(__xludf.DUMMYFUNCTION("""COMPUTED_VALUE"""),"The Blues Brothers")</f>
        <v>The Blues Brothers</v>
      </c>
      <c r="R2131" s="5" t="str">
        <f>IFERROR(__xludf.DUMMYFUNCTION("""COMPUTED_VALUE"""),"Dan Aykroyd")</f>
        <v>Dan Aykroyd</v>
      </c>
      <c r="S2131" s="5" t="str">
        <f>IFERROR(__xludf.DUMMYFUNCTION("""COMPUTED_VALUE"""),"Estrela 2")</f>
        <v>Estrela 2</v>
      </c>
    </row>
    <row r="2132">
      <c r="G2132" s="5" t="str">
        <f>IFERROR(__xludf.DUMMYFUNCTION("""COMPUTED_VALUE"""),"533🤙🏼The Blues Brothers🤙🏼Cab Calloway🤙🏼Estrela 3")</f>
        <v>533🤙🏼The Blues Brothers🤙🏼Cab Calloway🤙🏼Estrela 3</v>
      </c>
      <c r="H2132" s="5">
        <f>IFERROR(__xludf.DUMMYFUNCTION("SPLiT(G2132, ""🤙🏼"",FALSE,FALSE)"),533.0)</f>
        <v>533</v>
      </c>
      <c r="I2132" s="5" t="str">
        <f>IFERROR(__xludf.DUMMYFUNCTION("""COMPUTED_VALUE"""),"The Blues Brothers")</f>
        <v>The Blues Brothers</v>
      </c>
      <c r="J2132" s="5" t="str">
        <f>IFERROR(__xludf.DUMMYFUNCTION("""COMPUTED_VALUE"""),"Cab Calloway")</f>
        <v>Cab Calloway</v>
      </c>
      <c r="K2132" s="5" t="str">
        <f>IFERROR(__xludf.DUMMYFUNCTION("""COMPUTED_VALUE"""),"Estrela 3")</f>
        <v>Estrela 3</v>
      </c>
      <c r="P2132" s="5">
        <f>IFERROR(__xludf.DUMMYFUNCTION("""COMPUTED_VALUE"""),533.0)</f>
        <v>533</v>
      </c>
      <c r="Q2132" s="5" t="str">
        <f>IFERROR(__xludf.DUMMYFUNCTION("""COMPUTED_VALUE"""),"The Blues Brothers")</f>
        <v>The Blues Brothers</v>
      </c>
      <c r="R2132" s="5" t="str">
        <f>IFERROR(__xludf.DUMMYFUNCTION("""COMPUTED_VALUE"""),"Cab Calloway")</f>
        <v>Cab Calloway</v>
      </c>
      <c r="S2132" s="5" t="str">
        <f>IFERROR(__xludf.DUMMYFUNCTION("""COMPUTED_VALUE"""),"Estrela 3")</f>
        <v>Estrela 3</v>
      </c>
    </row>
    <row r="2133">
      <c r="G2133" s="5" t="str">
        <f>IFERROR(__xludf.DUMMYFUNCTION("""COMPUTED_VALUE"""),"533🤙🏼The Blues Brothers🤙🏼John Candy🤙🏼Estrela 4")</f>
        <v>533🤙🏼The Blues Brothers🤙🏼John Candy🤙🏼Estrela 4</v>
      </c>
      <c r="H2133" s="5">
        <f>IFERROR(__xludf.DUMMYFUNCTION("SPLiT(G2133, ""🤙🏼"",FALSE,FALSE)"),533.0)</f>
        <v>533</v>
      </c>
      <c r="I2133" s="5" t="str">
        <f>IFERROR(__xludf.DUMMYFUNCTION("""COMPUTED_VALUE"""),"The Blues Brothers")</f>
        <v>The Blues Brothers</v>
      </c>
      <c r="J2133" s="5" t="str">
        <f>IFERROR(__xludf.DUMMYFUNCTION("""COMPUTED_VALUE"""),"John Candy")</f>
        <v>John Candy</v>
      </c>
      <c r="K2133" s="5" t="str">
        <f>IFERROR(__xludf.DUMMYFUNCTION("""COMPUTED_VALUE"""),"Estrela 4")</f>
        <v>Estrela 4</v>
      </c>
      <c r="P2133" s="5">
        <f>IFERROR(__xludf.DUMMYFUNCTION("""COMPUTED_VALUE"""),533.0)</f>
        <v>533</v>
      </c>
      <c r="Q2133" s="5" t="str">
        <f>IFERROR(__xludf.DUMMYFUNCTION("""COMPUTED_VALUE"""),"The Blues Brothers")</f>
        <v>The Blues Brothers</v>
      </c>
      <c r="R2133" s="5" t="str">
        <f>IFERROR(__xludf.DUMMYFUNCTION("""COMPUTED_VALUE"""),"John Candy")</f>
        <v>John Candy</v>
      </c>
      <c r="S2133" s="5" t="str">
        <f>IFERROR(__xludf.DUMMYFUNCTION("""COMPUTED_VALUE"""),"Estrela 4")</f>
        <v>Estrela 4</v>
      </c>
    </row>
    <row r="2134">
      <c r="G2134" s="5" t="str">
        <f>IFERROR(__xludf.DUMMYFUNCTION("""COMPUTED_VALUE"""),"534🤙🏼Manhattan🤙🏼Woody Allen🤙🏼Estrela 1")</f>
        <v>534🤙🏼Manhattan🤙🏼Woody Allen🤙🏼Estrela 1</v>
      </c>
      <c r="H2134" s="5">
        <f>IFERROR(__xludf.DUMMYFUNCTION("SPLiT(G2134, ""🤙🏼"",FALSE,FALSE)"),534.0)</f>
        <v>534</v>
      </c>
      <c r="I2134" s="5" t="str">
        <f>IFERROR(__xludf.DUMMYFUNCTION("""COMPUTED_VALUE"""),"Manhattan")</f>
        <v>Manhattan</v>
      </c>
      <c r="J2134" s="5" t="str">
        <f>IFERROR(__xludf.DUMMYFUNCTION("""COMPUTED_VALUE"""),"Woody Allen")</f>
        <v>Woody Allen</v>
      </c>
      <c r="K2134" s="5" t="str">
        <f>IFERROR(__xludf.DUMMYFUNCTION("""COMPUTED_VALUE"""),"Estrela 1")</f>
        <v>Estrela 1</v>
      </c>
      <c r="P2134" s="5">
        <f>IFERROR(__xludf.DUMMYFUNCTION("""COMPUTED_VALUE"""),534.0)</f>
        <v>534</v>
      </c>
      <c r="Q2134" s="5" t="str">
        <f>IFERROR(__xludf.DUMMYFUNCTION("""COMPUTED_VALUE"""),"Manhattan")</f>
        <v>Manhattan</v>
      </c>
      <c r="R2134" s="5" t="str">
        <f>IFERROR(__xludf.DUMMYFUNCTION("""COMPUTED_VALUE"""),"Woody Allen")</f>
        <v>Woody Allen</v>
      </c>
      <c r="S2134" s="5" t="str">
        <f>IFERROR(__xludf.DUMMYFUNCTION("""COMPUTED_VALUE"""),"Estrela 1")</f>
        <v>Estrela 1</v>
      </c>
    </row>
    <row r="2135">
      <c r="G2135" s="5" t="str">
        <f>IFERROR(__xludf.DUMMYFUNCTION("""COMPUTED_VALUE"""),"534🤙🏼Manhattan🤙🏼Diane Keaton🤙🏼Estrela 2")</f>
        <v>534🤙🏼Manhattan🤙🏼Diane Keaton🤙🏼Estrela 2</v>
      </c>
      <c r="H2135" s="5">
        <f>IFERROR(__xludf.DUMMYFUNCTION("SPLiT(G2135, ""🤙🏼"",FALSE,FALSE)"),534.0)</f>
        <v>534</v>
      </c>
      <c r="I2135" s="5" t="str">
        <f>IFERROR(__xludf.DUMMYFUNCTION("""COMPUTED_VALUE"""),"Manhattan")</f>
        <v>Manhattan</v>
      </c>
      <c r="J2135" s="5" t="str">
        <f>IFERROR(__xludf.DUMMYFUNCTION("""COMPUTED_VALUE"""),"Diane Keaton")</f>
        <v>Diane Keaton</v>
      </c>
      <c r="K2135" s="5" t="str">
        <f>IFERROR(__xludf.DUMMYFUNCTION("""COMPUTED_VALUE"""),"Estrela 2")</f>
        <v>Estrela 2</v>
      </c>
      <c r="P2135" s="5">
        <f>IFERROR(__xludf.DUMMYFUNCTION("""COMPUTED_VALUE"""),534.0)</f>
        <v>534</v>
      </c>
      <c r="Q2135" s="5" t="str">
        <f>IFERROR(__xludf.DUMMYFUNCTION("""COMPUTED_VALUE"""),"Manhattan")</f>
        <v>Manhattan</v>
      </c>
      <c r="R2135" s="5" t="str">
        <f>IFERROR(__xludf.DUMMYFUNCTION("""COMPUTED_VALUE"""),"Diane Keaton")</f>
        <v>Diane Keaton</v>
      </c>
      <c r="S2135" s="5" t="str">
        <f>IFERROR(__xludf.DUMMYFUNCTION("""COMPUTED_VALUE"""),"Estrela 2")</f>
        <v>Estrela 2</v>
      </c>
    </row>
    <row r="2136">
      <c r="G2136" s="5" t="str">
        <f>IFERROR(__xludf.DUMMYFUNCTION("""COMPUTED_VALUE"""),"534🤙🏼Manhattan🤙🏼Mariel Hemingway🤙🏼Estrela 3")</f>
        <v>534🤙🏼Manhattan🤙🏼Mariel Hemingway🤙🏼Estrela 3</v>
      </c>
      <c r="H2136" s="5">
        <f>IFERROR(__xludf.DUMMYFUNCTION("SPLiT(G2136, ""🤙🏼"",FALSE,FALSE)"),534.0)</f>
        <v>534</v>
      </c>
      <c r="I2136" s="5" t="str">
        <f>IFERROR(__xludf.DUMMYFUNCTION("""COMPUTED_VALUE"""),"Manhattan")</f>
        <v>Manhattan</v>
      </c>
      <c r="J2136" s="5" t="str">
        <f>IFERROR(__xludf.DUMMYFUNCTION("""COMPUTED_VALUE"""),"Mariel Hemingway")</f>
        <v>Mariel Hemingway</v>
      </c>
      <c r="K2136" s="5" t="str">
        <f>IFERROR(__xludf.DUMMYFUNCTION("""COMPUTED_VALUE"""),"Estrela 3")</f>
        <v>Estrela 3</v>
      </c>
      <c r="P2136" s="5">
        <f>IFERROR(__xludf.DUMMYFUNCTION("""COMPUTED_VALUE"""),534.0)</f>
        <v>534</v>
      </c>
      <c r="Q2136" s="5" t="str">
        <f>IFERROR(__xludf.DUMMYFUNCTION("""COMPUTED_VALUE"""),"Manhattan")</f>
        <v>Manhattan</v>
      </c>
      <c r="R2136" s="5" t="str">
        <f>IFERROR(__xludf.DUMMYFUNCTION("""COMPUTED_VALUE"""),"Mariel Hemingway")</f>
        <v>Mariel Hemingway</v>
      </c>
      <c r="S2136" s="5" t="str">
        <f>IFERROR(__xludf.DUMMYFUNCTION("""COMPUTED_VALUE"""),"Estrela 3")</f>
        <v>Estrela 3</v>
      </c>
    </row>
    <row r="2137">
      <c r="G2137" s="5" t="str">
        <f>IFERROR(__xludf.DUMMYFUNCTION("""COMPUTED_VALUE"""),"534🤙🏼Manhattan🤙🏼Michael Murphy🤙🏼Estrela 4")</f>
        <v>534🤙🏼Manhattan🤙🏼Michael Murphy🤙🏼Estrela 4</v>
      </c>
      <c r="H2137" s="5">
        <f>IFERROR(__xludf.DUMMYFUNCTION("SPLiT(G2137, ""🤙🏼"",FALSE,FALSE)"),534.0)</f>
        <v>534</v>
      </c>
      <c r="I2137" s="5" t="str">
        <f>IFERROR(__xludf.DUMMYFUNCTION("""COMPUTED_VALUE"""),"Manhattan")</f>
        <v>Manhattan</v>
      </c>
      <c r="J2137" s="5" t="str">
        <f>IFERROR(__xludf.DUMMYFUNCTION("""COMPUTED_VALUE"""),"Michael Murphy")</f>
        <v>Michael Murphy</v>
      </c>
      <c r="K2137" s="5" t="str">
        <f>IFERROR(__xludf.DUMMYFUNCTION("""COMPUTED_VALUE"""),"Estrela 4")</f>
        <v>Estrela 4</v>
      </c>
      <c r="P2137" s="5">
        <f>IFERROR(__xludf.DUMMYFUNCTION("""COMPUTED_VALUE"""),534.0)</f>
        <v>534</v>
      </c>
      <c r="Q2137" s="5" t="str">
        <f>IFERROR(__xludf.DUMMYFUNCTION("""COMPUTED_VALUE"""),"Manhattan")</f>
        <v>Manhattan</v>
      </c>
      <c r="R2137" s="5" t="str">
        <f>IFERROR(__xludf.DUMMYFUNCTION("""COMPUTED_VALUE"""),"Michael Murphy")</f>
        <v>Michael Murphy</v>
      </c>
      <c r="S2137" s="5" t="str">
        <f>IFERROR(__xludf.DUMMYFUNCTION("""COMPUTED_VALUE"""),"Estrela 4")</f>
        <v>Estrela 4</v>
      </c>
    </row>
    <row r="2138">
      <c r="G2138" s="5" t="str">
        <f>IFERROR(__xludf.DUMMYFUNCTION("""COMPUTED_VALUE"""),"535🤙🏼All That Jazz🤙🏼Roy Scheider🤙🏼Estrela 1")</f>
        <v>535🤙🏼All That Jazz🤙🏼Roy Scheider🤙🏼Estrela 1</v>
      </c>
      <c r="H2138" s="5">
        <f>IFERROR(__xludf.DUMMYFUNCTION("SPLiT(G2138, ""🤙🏼"",FALSE,FALSE)"),535.0)</f>
        <v>535</v>
      </c>
      <c r="I2138" s="5" t="str">
        <f>IFERROR(__xludf.DUMMYFUNCTION("""COMPUTED_VALUE"""),"All That Jazz")</f>
        <v>All That Jazz</v>
      </c>
      <c r="J2138" s="5" t="str">
        <f>IFERROR(__xludf.DUMMYFUNCTION("""COMPUTED_VALUE"""),"Roy Scheider")</f>
        <v>Roy Scheider</v>
      </c>
      <c r="K2138" s="5" t="str">
        <f>IFERROR(__xludf.DUMMYFUNCTION("""COMPUTED_VALUE"""),"Estrela 1")</f>
        <v>Estrela 1</v>
      </c>
      <c r="P2138" s="5">
        <f>IFERROR(__xludf.DUMMYFUNCTION("""COMPUTED_VALUE"""),535.0)</f>
        <v>535</v>
      </c>
      <c r="Q2138" s="5" t="str">
        <f>IFERROR(__xludf.DUMMYFUNCTION("""COMPUTED_VALUE"""),"All That Jazz")</f>
        <v>All That Jazz</v>
      </c>
      <c r="R2138" s="5" t="str">
        <f>IFERROR(__xludf.DUMMYFUNCTION("""COMPUTED_VALUE"""),"Roy Scheider")</f>
        <v>Roy Scheider</v>
      </c>
      <c r="S2138" s="5" t="str">
        <f>IFERROR(__xludf.DUMMYFUNCTION("""COMPUTED_VALUE"""),"Estrela 1")</f>
        <v>Estrela 1</v>
      </c>
    </row>
    <row r="2139">
      <c r="G2139" s="5" t="str">
        <f>IFERROR(__xludf.DUMMYFUNCTION("""COMPUTED_VALUE"""),"535🤙🏼All That Jazz🤙🏼Jessica Lange🤙🏼Estrela 2")</f>
        <v>535🤙🏼All That Jazz🤙🏼Jessica Lange🤙🏼Estrela 2</v>
      </c>
      <c r="H2139" s="5">
        <f>IFERROR(__xludf.DUMMYFUNCTION("SPLiT(G2139, ""🤙🏼"",FALSE,FALSE)"),535.0)</f>
        <v>535</v>
      </c>
      <c r="I2139" s="5" t="str">
        <f>IFERROR(__xludf.DUMMYFUNCTION("""COMPUTED_VALUE"""),"All That Jazz")</f>
        <v>All That Jazz</v>
      </c>
      <c r="J2139" s="5" t="str">
        <f>IFERROR(__xludf.DUMMYFUNCTION("""COMPUTED_VALUE"""),"Jessica Lange")</f>
        <v>Jessica Lange</v>
      </c>
      <c r="K2139" s="5" t="str">
        <f>IFERROR(__xludf.DUMMYFUNCTION("""COMPUTED_VALUE"""),"Estrela 2")</f>
        <v>Estrela 2</v>
      </c>
      <c r="P2139" s="5">
        <f>IFERROR(__xludf.DUMMYFUNCTION("""COMPUTED_VALUE"""),535.0)</f>
        <v>535</v>
      </c>
      <c r="Q2139" s="5" t="str">
        <f>IFERROR(__xludf.DUMMYFUNCTION("""COMPUTED_VALUE"""),"All That Jazz")</f>
        <v>All That Jazz</v>
      </c>
      <c r="R2139" s="5" t="str">
        <f>IFERROR(__xludf.DUMMYFUNCTION("""COMPUTED_VALUE"""),"Jessica Lange")</f>
        <v>Jessica Lange</v>
      </c>
      <c r="S2139" s="5" t="str">
        <f>IFERROR(__xludf.DUMMYFUNCTION("""COMPUTED_VALUE"""),"Estrela 2")</f>
        <v>Estrela 2</v>
      </c>
    </row>
    <row r="2140">
      <c r="G2140" s="5" t="str">
        <f>IFERROR(__xludf.DUMMYFUNCTION("""COMPUTED_VALUE"""),"535🤙🏼All That Jazz🤙🏼Ann Reinking🤙🏼Estrela 3")</f>
        <v>535🤙🏼All That Jazz🤙🏼Ann Reinking🤙🏼Estrela 3</v>
      </c>
      <c r="H2140" s="5">
        <f>IFERROR(__xludf.DUMMYFUNCTION("SPLiT(G2140, ""🤙🏼"",FALSE,FALSE)"),535.0)</f>
        <v>535</v>
      </c>
      <c r="I2140" s="5" t="str">
        <f>IFERROR(__xludf.DUMMYFUNCTION("""COMPUTED_VALUE"""),"All That Jazz")</f>
        <v>All That Jazz</v>
      </c>
      <c r="J2140" s="5" t="str">
        <f>IFERROR(__xludf.DUMMYFUNCTION("""COMPUTED_VALUE"""),"Ann Reinking")</f>
        <v>Ann Reinking</v>
      </c>
      <c r="K2140" s="5" t="str">
        <f>IFERROR(__xludf.DUMMYFUNCTION("""COMPUTED_VALUE"""),"Estrela 3")</f>
        <v>Estrela 3</v>
      </c>
      <c r="P2140" s="5">
        <f>IFERROR(__xludf.DUMMYFUNCTION("""COMPUTED_VALUE"""),535.0)</f>
        <v>535</v>
      </c>
      <c r="Q2140" s="5" t="str">
        <f>IFERROR(__xludf.DUMMYFUNCTION("""COMPUTED_VALUE"""),"All That Jazz")</f>
        <v>All That Jazz</v>
      </c>
      <c r="R2140" s="5" t="str">
        <f>IFERROR(__xludf.DUMMYFUNCTION("""COMPUTED_VALUE"""),"Ann Reinking")</f>
        <v>Ann Reinking</v>
      </c>
      <c r="S2140" s="5" t="str">
        <f>IFERROR(__xludf.DUMMYFUNCTION("""COMPUTED_VALUE"""),"Estrela 3")</f>
        <v>Estrela 3</v>
      </c>
    </row>
    <row r="2141">
      <c r="G2141" s="5" t="str">
        <f>IFERROR(__xludf.DUMMYFUNCTION("""COMPUTED_VALUE"""),"535🤙🏼All That Jazz🤙🏼Leland Palmer🤙🏼Estrela 4")</f>
        <v>535🤙🏼All That Jazz🤙🏼Leland Palmer🤙🏼Estrela 4</v>
      </c>
      <c r="H2141" s="5">
        <f>IFERROR(__xludf.DUMMYFUNCTION("SPLiT(G2141, ""🤙🏼"",FALSE,FALSE)"),535.0)</f>
        <v>535</v>
      </c>
      <c r="I2141" s="5" t="str">
        <f>IFERROR(__xludf.DUMMYFUNCTION("""COMPUTED_VALUE"""),"All That Jazz")</f>
        <v>All That Jazz</v>
      </c>
      <c r="J2141" s="5" t="str">
        <f>IFERROR(__xludf.DUMMYFUNCTION("""COMPUTED_VALUE"""),"Leland Palmer")</f>
        <v>Leland Palmer</v>
      </c>
      <c r="K2141" s="5" t="str">
        <f>IFERROR(__xludf.DUMMYFUNCTION("""COMPUTED_VALUE"""),"Estrela 4")</f>
        <v>Estrela 4</v>
      </c>
      <c r="P2141" s="5">
        <f>IFERROR(__xludf.DUMMYFUNCTION("""COMPUTED_VALUE"""),535.0)</f>
        <v>535</v>
      </c>
      <c r="Q2141" s="5" t="str">
        <f>IFERROR(__xludf.DUMMYFUNCTION("""COMPUTED_VALUE"""),"All That Jazz")</f>
        <v>All That Jazz</v>
      </c>
      <c r="R2141" s="5" t="str">
        <f>IFERROR(__xludf.DUMMYFUNCTION("""COMPUTED_VALUE"""),"Leland Palmer")</f>
        <v>Leland Palmer</v>
      </c>
      <c r="S2141" s="5" t="str">
        <f>IFERROR(__xludf.DUMMYFUNCTION("""COMPUTED_VALUE"""),"Estrela 4")</f>
        <v>Estrela 4</v>
      </c>
    </row>
    <row r="2142">
      <c r="G2142" s="5" t="str">
        <f>IFERROR(__xludf.DUMMYFUNCTION("""COMPUTED_VALUE"""),"536🤙🏼Dawn of the Dead🤙🏼David Emge🤙🏼Estrela 1")</f>
        <v>536🤙🏼Dawn of the Dead🤙🏼David Emge🤙🏼Estrela 1</v>
      </c>
      <c r="H2142" s="5">
        <f>IFERROR(__xludf.DUMMYFUNCTION("SPLiT(G2142, ""🤙🏼"",FALSE,FALSE)"),536.0)</f>
        <v>536</v>
      </c>
      <c r="I2142" s="5" t="str">
        <f>IFERROR(__xludf.DUMMYFUNCTION("""COMPUTED_VALUE"""),"Dawn of the Dead")</f>
        <v>Dawn of the Dead</v>
      </c>
      <c r="J2142" s="5" t="str">
        <f>IFERROR(__xludf.DUMMYFUNCTION("""COMPUTED_VALUE"""),"David Emge")</f>
        <v>David Emge</v>
      </c>
      <c r="K2142" s="5" t="str">
        <f>IFERROR(__xludf.DUMMYFUNCTION("""COMPUTED_VALUE"""),"Estrela 1")</f>
        <v>Estrela 1</v>
      </c>
      <c r="P2142" s="5">
        <f>IFERROR(__xludf.DUMMYFUNCTION("""COMPUTED_VALUE"""),536.0)</f>
        <v>536</v>
      </c>
      <c r="Q2142" s="5" t="str">
        <f>IFERROR(__xludf.DUMMYFUNCTION("""COMPUTED_VALUE"""),"Dawn of the Dead")</f>
        <v>Dawn of the Dead</v>
      </c>
      <c r="R2142" s="5" t="str">
        <f>IFERROR(__xludf.DUMMYFUNCTION("""COMPUTED_VALUE"""),"David Emge")</f>
        <v>David Emge</v>
      </c>
      <c r="S2142" s="5" t="str">
        <f>IFERROR(__xludf.DUMMYFUNCTION("""COMPUTED_VALUE"""),"Estrela 1")</f>
        <v>Estrela 1</v>
      </c>
    </row>
    <row r="2143">
      <c r="G2143" s="5" t="str">
        <f>IFERROR(__xludf.DUMMYFUNCTION("""COMPUTED_VALUE"""),"536🤙🏼Dawn of the Dead🤙🏼Ken Foree🤙🏼Estrela 2")</f>
        <v>536🤙🏼Dawn of the Dead🤙🏼Ken Foree🤙🏼Estrela 2</v>
      </c>
      <c r="H2143" s="5">
        <f>IFERROR(__xludf.DUMMYFUNCTION("SPLiT(G2143, ""🤙🏼"",FALSE,FALSE)"),536.0)</f>
        <v>536</v>
      </c>
      <c r="I2143" s="5" t="str">
        <f>IFERROR(__xludf.DUMMYFUNCTION("""COMPUTED_VALUE"""),"Dawn of the Dead")</f>
        <v>Dawn of the Dead</v>
      </c>
      <c r="J2143" s="5" t="str">
        <f>IFERROR(__xludf.DUMMYFUNCTION("""COMPUTED_VALUE"""),"Ken Foree")</f>
        <v>Ken Foree</v>
      </c>
      <c r="K2143" s="5" t="str">
        <f>IFERROR(__xludf.DUMMYFUNCTION("""COMPUTED_VALUE"""),"Estrela 2")</f>
        <v>Estrela 2</v>
      </c>
      <c r="P2143" s="5">
        <f>IFERROR(__xludf.DUMMYFUNCTION("""COMPUTED_VALUE"""),536.0)</f>
        <v>536</v>
      </c>
      <c r="Q2143" s="5" t="str">
        <f>IFERROR(__xludf.DUMMYFUNCTION("""COMPUTED_VALUE"""),"Dawn of the Dead")</f>
        <v>Dawn of the Dead</v>
      </c>
      <c r="R2143" s="5" t="str">
        <f>IFERROR(__xludf.DUMMYFUNCTION("""COMPUTED_VALUE"""),"Ken Foree")</f>
        <v>Ken Foree</v>
      </c>
      <c r="S2143" s="5" t="str">
        <f>IFERROR(__xludf.DUMMYFUNCTION("""COMPUTED_VALUE"""),"Estrela 2")</f>
        <v>Estrela 2</v>
      </c>
    </row>
    <row r="2144">
      <c r="G2144" s="5" t="str">
        <f>IFERROR(__xludf.DUMMYFUNCTION("""COMPUTED_VALUE"""),"536🤙🏼Dawn of the Dead🤙🏼Scott H. Reiniger🤙🏼Estrela 3")</f>
        <v>536🤙🏼Dawn of the Dead🤙🏼Scott H. Reiniger🤙🏼Estrela 3</v>
      </c>
      <c r="H2144" s="5">
        <f>IFERROR(__xludf.DUMMYFUNCTION("SPLiT(G2144, ""🤙🏼"",FALSE,FALSE)"),536.0)</f>
        <v>536</v>
      </c>
      <c r="I2144" s="5" t="str">
        <f>IFERROR(__xludf.DUMMYFUNCTION("""COMPUTED_VALUE"""),"Dawn of the Dead")</f>
        <v>Dawn of the Dead</v>
      </c>
      <c r="J2144" s="5" t="str">
        <f>IFERROR(__xludf.DUMMYFUNCTION("""COMPUTED_VALUE"""),"Scott H. Reiniger")</f>
        <v>Scott H. Reiniger</v>
      </c>
      <c r="K2144" s="5" t="str">
        <f>IFERROR(__xludf.DUMMYFUNCTION("""COMPUTED_VALUE"""),"Estrela 3")</f>
        <v>Estrela 3</v>
      </c>
      <c r="P2144" s="5">
        <f>IFERROR(__xludf.DUMMYFUNCTION("""COMPUTED_VALUE"""),536.0)</f>
        <v>536</v>
      </c>
      <c r="Q2144" s="5" t="str">
        <f>IFERROR(__xludf.DUMMYFUNCTION("""COMPUTED_VALUE"""),"Dawn of the Dead")</f>
        <v>Dawn of the Dead</v>
      </c>
      <c r="R2144" s="5" t="str">
        <f>IFERROR(__xludf.DUMMYFUNCTION("""COMPUTED_VALUE"""),"Scott H. Reiniger")</f>
        <v>Scott H. Reiniger</v>
      </c>
      <c r="S2144" s="5" t="str">
        <f>IFERROR(__xludf.DUMMYFUNCTION("""COMPUTED_VALUE"""),"Estrela 3")</f>
        <v>Estrela 3</v>
      </c>
    </row>
    <row r="2145">
      <c r="G2145" s="5" t="str">
        <f>IFERROR(__xludf.DUMMYFUNCTION("""COMPUTED_VALUE"""),"536🤙🏼Dawn of the Dead🤙🏼Gaylen Ross🤙🏼Estrela 4")</f>
        <v>536🤙🏼Dawn of the Dead🤙🏼Gaylen Ross🤙🏼Estrela 4</v>
      </c>
      <c r="H2145" s="5">
        <f>IFERROR(__xludf.DUMMYFUNCTION("SPLiT(G2145, ""🤙🏼"",FALSE,FALSE)"),536.0)</f>
        <v>536</v>
      </c>
      <c r="I2145" s="5" t="str">
        <f>IFERROR(__xludf.DUMMYFUNCTION("""COMPUTED_VALUE"""),"Dawn of the Dead")</f>
        <v>Dawn of the Dead</v>
      </c>
      <c r="J2145" s="5" t="str">
        <f>IFERROR(__xludf.DUMMYFUNCTION("""COMPUTED_VALUE"""),"Gaylen Ross")</f>
        <v>Gaylen Ross</v>
      </c>
      <c r="K2145" s="5" t="str">
        <f>IFERROR(__xludf.DUMMYFUNCTION("""COMPUTED_VALUE"""),"Estrela 4")</f>
        <v>Estrela 4</v>
      </c>
      <c r="P2145" s="5">
        <f>IFERROR(__xludf.DUMMYFUNCTION("""COMPUTED_VALUE"""),536.0)</f>
        <v>536</v>
      </c>
      <c r="Q2145" s="5" t="str">
        <f>IFERROR(__xludf.DUMMYFUNCTION("""COMPUTED_VALUE"""),"Dawn of the Dead")</f>
        <v>Dawn of the Dead</v>
      </c>
      <c r="R2145" s="5" t="str">
        <f>IFERROR(__xludf.DUMMYFUNCTION("""COMPUTED_VALUE"""),"Gaylen Ross")</f>
        <v>Gaylen Ross</v>
      </c>
      <c r="S2145" s="5" t="str">
        <f>IFERROR(__xludf.DUMMYFUNCTION("""COMPUTED_VALUE"""),"Estrela 4")</f>
        <v>Estrela 4</v>
      </c>
    </row>
    <row r="2146">
      <c r="G2146" s="5" t="str">
        <f>IFERROR(__xludf.DUMMYFUNCTION("""COMPUTED_VALUE"""),"537🤙🏼All the President's Men🤙🏼Dustin Hoffman🤙🏼Estrela 1")</f>
        <v>537🤙🏼All the President's Men🤙🏼Dustin Hoffman🤙🏼Estrela 1</v>
      </c>
      <c r="H2146" s="5">
        <f>IFERROR(__xludf.DUMMYFUNCTION("SPLiT(G2146, ""🤙🏼"",FALSE,FALSE)"),537.0)</f>
        <v>537</v>
      </c>
      <c r="I2146" s="5" t="str">
        <f>IFERROR(__xludf.DUMMYFUNCTION("""COMPUTED_VALUE"""),"All the President's Men")</f>
        <v>All the President's Men</v>
      </c>
      <c r="J2146" s="5" t="str">
        <f>IFERROR(__xludf.DUMMYFUNCTION("""COMPUTED_VALUE"""),"Dustin Hoffman")</f>
        <v>Dustin Hoffman</v>
      </c>
      <c r="K2146" s="5" t="str">
        <f>IFERROR(__xludf.DUMMYFUNCTION("""COMPUTED_VALUE"""),"Estrela 1")</f>
        <v>Estrela 1</v>
      </c>
      <c r="P2146" s="5">
        <f>IFERROR(__xludf.DUMMYFUNCTION("""COMPUTED_VALUE"""),537.0)</f>
        <v>537</v>
      </c>
      <c r="Q2146" s="5" t="str">
        <f>IFERROR(__xludf.DUMMYFUNCTION("""COMPUTED_VALUE"""),"All the President's Men")</f>
        <v>All the President's Men</v>
      </c>
      <c r="R2146" s="5" t="str">
        <f>IFERROR(__xludf.DUMMYFUNCTION("""COMPUTED_VALUE"""),"Dustin Hoffman")</f>
        <v>Dustin Hoffman</v>
      </c>
      <c r="S2146" s="5" t="str">
        <f>IFERROR(__xludf.DUMMYFUNCTION("""COMPUTED_VALUE"""),"Estrela 1")</f>
        <v>Estrela 1</v>
      </c>
    </row>
    <row r="2147">
      <c r="G2147" s="5" t="str">
        <f>IFERROR(__xludf.DUMMYFUNCTION("""COMPUTED_VALUE"""),"537🤙🏼All the President's Men🤙🏼Robert Redford🤙🏼Estrela 2")</f>
        <v>537🤙🏼All the President's Men🤙🏼Robert Redford🤙🏼Estrela 2</v>
      </c>
      <c r="H2147" s="5">
        <f>IFERROR(__xludf.DUMMYFUNCTION("SPLiT(G2147, ""🤙🏼"",FALSE,FALSE)"),537.0)</f>
        <v>537</v>
      </c>
      <c r="I2147" s="5" t="str">
        <f>IFERROR(__xludf.DUMMYFUNCTION("""COMPUTED_VALUE"""),"All the President's Men")</f>
        <v>All the President's Men</v>
      </c>
      <c r="J2147" s="5" t="str">
        <f>IFERROR(__xludf.DUMMYFUNCTION("""COMPUTED_VALUE"""),"Robert Redford")</f>
        <v>Robert Redford</v>
      </c>
      <c r="K2147" s="5" t="str">
        <f>IFERROR(__xludf.DUMMYFUNCTION("""COMPUTED_VALUE"""),"Estrela 2")</f>
        <v>Estrela 2</v>
      </c>
      <c r="P2147" s="5">
        <f>IFERROR(__xludf.DUMMYFUNCTION("""COMPUTED_VALUE"""),537.0)</f>
        <v>537</v>
      </c>
      <c r="Q2147" s="5" t="str">
        <f>IFERROR(__xludf.DUMMYFUNCTION("""COMPUTED_VALUE"""),"All the President's Men")</f>
        <v>All the President's Men</v>
      </c>
      <c r="R2147" s="5" t="str">
        <f>IFERROR(__xludf.DUMMYFUNCTION("""COMPUTED_VALUE"""),"Robert Redford")</f>
        <v>Robert Redford</v>
      </c>
      <c r="S2147" s="5" t="str">
        <f>IFERROR(__xludf.DUMMYFUNCTION("""COMPUTED_VALUE"""),"Estrela 2")</f>
        <v>Estrela 2</v>
      </c>
    </row>
    <row r="2148">
      <c r="G2148" s="5" t="str">
        <f>IFERROR(__xludf.DUMMYFUNCTION("""COMPUTED_VALUE"""),"537🤙🏼All the President's Men🤙🏼Jack Warden🤙🏼Estrela 3")</f>
        <v>537🤙🏼All the President's Men🤙🏼Jack Warden🤙🏼Estrela 3</v>
      </c>
      <c r="H2148" s="5">
        <f>IFERROR(__xludf.DUMMYFUNCTION("SPLiT(G2148, ""🤙🏼"",FALSE,FALSE)"),537.0)</f>
        <v>537</v>
      </c>
      <c r="I2148" s="5" t="str">
        <f>IFERROR(__xludf.DUMMYFUNCTION("""COMPUTED_VALUE"""),"All the President's Men")</f>
        <v>All the President's Men</v>
      </c>
      <c r="J2148" s="5" t="str">
        <f>IFERROR(__xludf.DUMMYFUNCTION("""COMPUTED_VALUE"""),"Jack Warden")</f>
        <v>Jack Warden</v>
      </c>
      <c r="K2148" s="5" t="str">
        <f>IFERROR(__xludf.DUMMYFUNCTION("""COMPUTED_VALUE"""),"Estrela 3")</f>
        <v>Estrela 3</v>
      </c>
      <c r="P2148" s="5">
        <f>IFERROR(__xludf.DUMMYFUNCTION("""COMPUTED_VALUE"""),537.0)</f>
        <v>537</v>
      </c>
      <c r="Q2148" s="5" t="str">
        <f>IFERROR(__xludf.DUMMYFUNCTION("""COMPUTED_VALUE"""),"All the President's Men")</f>
        <v>All the President's Men</v>
      </c>
      <c r="R2148" s="5" t="str">
        <f>IFERROR(__xludf.DUMMYFUNCTION("""COMPUTED_VALUE"""),"Jack Warden")</f>
        <v>Jack Warden</v>
      </c>
      <c r="S2148" s="5" t="str">
        <f>IFERROR(__xludf.DUMMYFUNCTION("""COMPUTED_VALUE"""),"Estrela 3")</f>
        <v>Estrela 3</v>
      </c>
    </row>
    <row r="2149">
      <c r="G2149" s="5" t="str">
        <f>IFERROR(__xludf.DUMMYFUNCTION("""COMPUTED_VALUE"""),"537🤙🏼All the President's Men🤙🏼Martin Balsam🤙🏼Estrela 4")</f>
        <v>537🤙🏼All the President's Men🤙🏼Martin Balsam🤙🏼Estrela 4</v>
      </c>
      <c r="H2149" s="5">
        <f>IFERROR(__xludf.DUMMYFUNCTION("SPLiT(G2149, ""🤙🏼"",FALSE,FALSE)"),537.0)</f>
        <v>537</v>
      </c>
      <c r="I2149" s="5" t="str">
        <f>IFERROR(__xludf.DUMMYFUNCTION("""COMPUTED_VALUE"""),"All the President's Men")</f>
        <v>All the President's Men</v>
      </c>
      <c r="J2149" s="5" t="str">
        <f>IFERROR(__xludf.DUMMYFUNCTION("""COMPUTED_VALUE"""),"Martin Balsam")</f>
        <v>Martin Balsam</v>
      </c>
      <c r="K2149" s="5" t="str">
        <f>IFERROR(__xludf.DUMMYFUNCTION("""COMPUTED_VALUE"""),"Estrela 4")</f>
        <v>Estrela 4</v>
      </c>
      <c r="P2149" s="5">
        <f>IFERROR(__xludf.DUMMYFUNCTION("""COMPUTED_VALUE"""),537.0)</f>
        <v>537</v>
      </c>
      <c r="Q2149" s="5" t="str">
        <f>IFERROR(__xludf.DUMMYFUNCTION("""COMPUTED_VALUE"""),"All the President's Men")</f>
        <v>All the President's Men</v>
      </c>
      <c r="R2149" s="5" t="str">
        <f>IFERROR(__xludf.DUMMYFUNCTION("""COMPUTED_VALUE"""),"Martin Balsam")</f>
        <v>Martin Balsam</v>
      </c>
      <c r="S2149" s="5" t="str">
        <f>IFERROR(__xludf.DUMMYFUNCTION("""COMPUTED_VALUE"""),"Estrela 4")</f>
        <v>Estrela 4</v>
      </c>
    </row>
    <row r="2150">
      <c r="G2150" s="5" t="str">
        <f>IFERROR(__xludf.DUMMYFUNCTION("""COMPUTED_VALUE"""),"538🤙🏼La montaña sagrada🤙🏼Alejandro Jodorowsky🤙🏼Estrela 1")</f>
        <v>538🤙🏼La montaña sagrada🤙🏼Alejandro Jodorowsky🤙🏼Estrela 1</v>
      </c>
      <c r="H2150" s="5">
        <f>IFERROR(__xludf.DUMMYFUNCTION("SPLiT(G2150, ""🤙🏼"",FALSE,FALSE)"),538.0)</f>
        <v>538</v>
      </c>
      <c r="I2150" s="5" t="str">
        <f>IFERROR(__xludf.DUMMYFUNCTION("""COMPUTED_VALUE"""),"La montaña sagrada")</f>
        <v>La montaña sagrada</v>
      </c>
      <c r="J2150" s="5" t="str">
        <f>IFERROR(__xludf.DUMMYFUNCTION("""COMPUTED_VALUE"""),"Alejandro Jodorowsky")</f>
        <v>Alejandro Jodorowsky</v>
      </c>
      <c r="K2150" s="5" t="str">
        <f>IFERROR(__xludf.DUMMYFUNCTION("""COMPUTED_VALUE"""),"Estrela 1")</f>
        <v>Estrela 1</v>
      </c>
      <c r="P2150" s="5">
        <f>IFERROR(__xludf.DUMMYFUNCTION("""COMPUTED_VALUE"""),538.0)</f>
        <v>538</v>
      </c>
      <c r="Q2150" s="5" t="str">
        <f>IFERROR(__xludf.DUMMYFUNCTION("""COMPUTED_VALUE"""),"La montaña sagrada")</f>
        <v>La montaña sagrada</v>
      </c>
      <c r="R2150" s="5" t="str">
        <f>IFERROR(__xludf.DUMMYFUNCTION("""COMPUTED_VALUE"""),"Alejandro Jodorowsky")</f>
        <v>Alejandro Jodorowsky</v>
      </c>
      <c r="S2150" s="5" t="str">
        <f>IFERROR(__xludf.DUMMYFUNCTION("""COMPUTED_VALUE"""),"Estrela 1")</f>
        <v>Estrela 1</v>
      </c>
    </row>
    <row r="2151">
      <c r="G2151" s="5" t="str">
        <f>IFERROR(__xludf.DUMMYFUNCTION("""COMPUTED_VALUE"""),"538🤙🏼La montaña sagrada🤙🏼Horacio Salinas🤙🏼Estrela 2")</f>
        <v>538🤙🏼La montaña sagrada🤙🏼Horacio Salinas🤙🏼Estrela 2</v>
      </c>
      <c r="H2151" s="5">
        <f>IFERROR(__xludf.DUMMYFUNCTION("SPLiT(G2151, ""🤙🏼"",FALSE,FALSE)"),538.0)</f>
        <v>538</v>
      </c>
      <c r="I2151" s="5" t="str">
        <f>IFERROR(__xludf.DUMMYFUNCTION("""COMPUTED_VALUE"""),"La montaña sagrada")</f>
        <v>La montaña sagrada</v>
      </c>
      <c r="J2151" s="5" t="str">
        <f>IFERROR(__xludf.DUMMYFUNCTION("""COMPUTED_VALUE"""),"Horacio Salinas")</f>
        <v>Horacio Salinas</v>
      </c>
      <c r="K2151" s="5" t="str">
        <f>IFERROR(__xludf.DUMMYFUNCTION("""COMPUTED_VALUE"""),"Estrela 2")</f>
        <v>Estrela 2</v>
      </c>
      <c r="P2151" s="5">
        <f>IFERROR(__xludf.DUMMYFUNCTION("""COMPUTED_VALUE"""),538.0)</f>
        <v>538</v>
      </c>
      <c r="Q2151" s="5" t="str">
        <f>IFERROR(__xludf.DUMMYFUNCTION("""COMPUTED_VALUE"""),"La montaña sagrada")</f>
        <v>La montaña sagrada</v>
      </c>
      <c r="R2151" s="5" t="str">
        <f>IFERROR(__xludf.DUMMYFUNCTION("""COMPUTED_VALUE"""),"Horacio Salinas")</f>
        <v>Horacio Salinas</v>
      </c>
      <c r="S2151" s="5" t="str">
        <f>IFERROR(__xludf.DUMMYFUNCTION("""COMPUTED_VALUE"""),"Estrela 2")</f>
        <v>Estrela 2</v>
      </c>
    </row>
    <row r="2152">
      <c r="G2152" s="5" t="str">
        <f>IFERROR(__xludf.DUMMYFUNCTION("""COMPUTED_VALUE"""),"538🤙🏼La montaña sagrada🤙🏼Zamira Saunders🤙🏼Estrela 3")</f>
        <v>538🤙🏼La montaña sagrada🤙🏼Zamira Saunders🤙🏼Estrela 3</v>
      </c>
      <c r="H2152" s="5">
        <f>IFERROR(__xludf.DUMMYFUNCTION("SPLiT(G2152, ""🤙🏼"",FALSE,FALSE)"),538.0)</f>
        <v>538</v>
      </c>
      <c r="I2152" s="5" t="str">
        <f>IFERROR(__xludf.DUMMYFUNCTION("""COMPUTED_VALUE"""),"La montaña sagrada")</f>
        <v>La montaña sagrada</v>
      </c>
      <c r="J2152" s="5" t="str">
        <f>IFERROR(__xludf.DUMMYFUNCTION("""COMPUTED_VALUE"""),"Zamira Saunders")</f>
        <v>Zamira Saunders</v>
      </c>
      <c r="K2152" s="5" t="str">
        <f>IFERROR(__xludf.DUMMYFUNCTION("""COMPUTED_VALUE"""),"Estrela 3")</f>
        <v>Estrela 3</v>
      </c>
      <c r="P2152" s="5">
        <f>IFERROR(__xludf.DUMMYFUNCTION("""COMPUTED_VALUE"""),538.0)</f>
        <v>538</v>
      </c>
      <c r="Q2152" s="5" t="str">
        <f>IFERROR(__xludf.DUMMYFUNCTION("""COMPUTED_VALUE"""),"La montaña sagrada")</f>
        <v>La montaña sagrada</v>
      </c>
      <c r="R2152" s="5" t="str">
        <f>IFERROR(__xludf.DUMMYFUNCTION("""COMPUTED_VALUE"""),"Zamira Saunders")</f>
        <v>Zamira Saunders</v>
      </c>
      <c r="S2152" s="5" t="str">
        <f>IFERROR(__xludf.DUMMYFUNCTION("""COMPUTED_VALUE"""),"Estrela 3")</f>
        <v>Estrela 3</v>
      </c>
    </row>
    <row r="2153">
      <c r="G2153" s="5" t="str">
        <f>IFERROR(__xludf.DUMMYFUNCTION("""COMPUTED_VALUE"""),"538🤙🏼La montaña sagrada🤙🏼Juan Ferrara🤙🏼Estrela 4")</f>
        <v>538🤙🏼La montaña sagrada🤙🏼Juan Ferrara🤙🏼Estrela 4</v>
      </c>
      <c r="H2153" s="5">
        <f>IFERROR(__xludf.DUMMYFUNCTION("SPLiT(G2153, ""🤙🏼"",FALSE,FALSE)"),538.0)</f>
        <v>538</v>
      </c>
      <c r="I2153" s="5" t="str">
        <f>IFERROR(__xludf.DUMMYFUNCTION("""COMPUTED_VALUE"""),"La montaña sagrada")</f>
        <v>La montaña sagrada</v>
      </c>
      <c r="J2153" s="5" t="str">
        <f>IFERROR(__xludf.DUMMYFUNCTION("""COMPUTED_VALUE"""),"Juan Ferrara")</f>
        <v>Juan Ferrara</v>
      </c>
      <c r="K2153" s="5" t="str">
        <f>IFERROR(__xludf.DUMMYFUNCTION("""COMPUTED_VALUE"""),"Estrela 4")</f>
        <v>Estrela 4</v>
      </c>
      <c r="P2153" s="5">
        <f>IFERROR(__xludf.DUMMYFUNCTION("""COMPUTED_VALUE"""),538.0)</f>
        <v>538</v>
      </c>
      <c r="Q2153" s="5" t="str">
        <f>IFERROR(__xludf.DUMMYFUNCTION("""COMPUTED_VALUE"""),"La montaña sagrada")</f>
        <v>La montaña sagrada</v>
      </c>
      <c r="R2153" s="5" t="str">
        <f>IFERROR(__xludf.DUMMYFUNCTION("""COMPUTED_VALUE"""),"Juan Ferrara")</f>
        <v>Juan Ferrara</v>
      </c>
      <c r="S2153" s="5" t="str">
        <f>IFERROR(__xludf.DUMMYFUNCTION("""COMPUTED_VALUE"""),"Estrela 4")</f>
        <v>Estrela 4</v>
      </c>
    </row>
    <row r="2154">
      <c r="G2154" s="5" t="str">
        <f>IFERROR(__xludf.DUMMYFUNCTION("""COMPUTED_VALUE"""),"539🤙🏼Amarcord🤙🏼Magali Noël🤙🏼Estrela 1")</f>
        <v>539🤙🏼Amarcord🤙🏼Magali Noël🤙🏼Estrela 1</v>
      </c>
      <c r="H2154" s="5">
        <f>IFERROR(__xludf.DUMMYFUNCTION("SPLiT(G2154, ""🤙🏼"",FALSE,FALSE)"),539.0)</f>
        <v>539</v>
      </c>
      <c r="I2154" s="5" t="str">
        <f>IFERROR(__xludf.DUMMYFUNCTION("""COMPUTED_VALUE"""),"Amarcord")</f>
        <v>Amarcord</v>
      </c>
      <c r="J2154" s="5" t="str">
        <f>IFERROR(__xludf.DUMMYFUNCTION("""COMPUTED_VALUE"""),"Magali Noël")</f>
        <v>Magali Noël</v>
      </c>
      <c r="K2154" s="5" t="str">
        <f>IFERROR(__xludf.DUMMYFUNCTION("""COMPUTED_VALUE"""),"Estrela 1")</f>
        <v>Estrela 1</v>
      </c>
      <c r="P2154" s="5">
        <f>IFERROR(__xludf.DUMMYFUNCTION("""COMPUTED_VALUE"""),539.0)</f>
        <v>539</v>
      </c>
      <c r="Q2154" s="5" t="str">
        <f>IFERROR(__xludf.DUMMYFUNCTION("""COMPUTED_VALUE"""),"Amarcord")</f>
        <v>Amarcord</v>
      </c>
      <c r="R2154" s="5" t="str">
        <f>IFERROR(__xludf.DUMMYFUNCTION("""COMPUTED_VALUE"""),"Magali Noël")</f>
        <v>Magali Noël</v>
      </c>
      <c r="S2154" s="5" t="str">
        <f>IFERROR(__xludf.DUMMYFUNCTION("""COMPUTED_VALUE"""),"Estrela 1")</f>
        <v>Estrela 1</v>
      </c>
    </row>
    <row r="2155">
      <c r="G2155" s="5" t="str">
        <f>IFERROR(__xludf.DUMMYFUNCTION("""COMPUTED_VALUE"""),"539🤙🏼Amarcord🤙🏼Bruno Zanin🤙🏼Estrela 2")</f>
        <v>539🤙🏼Amarcord🤙🏼Bruno Zanin🤙🏼Estrela 2</v>
      </c>
      <c r="H2155" s="5">
        <f>IFERROR(__xludf.DUMMYFUNCTION("SPLiT(G2155, ""🤙🏼"",FALSE,FALSE)"),539.0)</f>
        <v>539</v>
      </c>
      <c r="I2155" s="5" t="str">
        <f>IFERROR(__xludf.DUMMYFUNCTION("""COMPUTED_VALUE"""),"Amarcord")</f>
        <v>Amarcord</v>
      </c>
      <c r="J2155" s="5" t="str">
        <f>IFERROR(__xludf.DUMMYFUNCTION("""COMPUTED_VALUE"""),"Bruno Zanin")</f>
        <v>Bruno Zanin</v>
      </c>
      <c r="K2155" s="5" t="str">
        <f>IFERROR(__xludf.DUMMYFUNCTION("""COMPUTED_VALUE"""),"Estrela 2")</f>
        <v>Estrela 2</v>
      </c>
      <c r="P2155" s="5">
        <f>IFERROR(__xludf.DUMMYFUNCTION("""COMPUTED_VALUE"""),539.0)</f>
        <v>539</v>
      </c>
      <c r="Q2155" s="5" t="str">
        <f>IFERROR(__xludf.DUMMYFUNCTION("""COMPUTED_VALUE"""),"Amarcord")</f>
        <v>Amarcord</v>
      </c>
      <c r="R2155" s="5" t="str">
        <f>IFERROR(__xludf.DUMMYFUNCTION("""COMPUTED_VALUE"""),"Bruno Zanin")</f>
        <v>Bruno Zanin</v>
      </c>
      <c r="S2155" s="5" t="str">
        <f>IFERROR(__xludf.DUMMYFUNCTION("""COMPUTED_VALUE"""),"Estrela 2")</f>
        <v>Estrela 2</v>
      </c>
    </row>
    <row r="2156">
      <c r="G2156" s="5" t="str">
        <f>IFERROR(__xludf.DUMMYFUNCTION("""COMPUTED_VALUE"""),"539🤙🏼Amarcord🤙🏼Pupella Maggio🤙🏼Estrela 3")</f>
        <v>539🤙🏼Amarcord🤙🏼Pupella Maggio🤙🏼Estrela 3</v>
      </c>
      <c r="H2156" s="5">
        <f>IFERROR(__xludf.DUMMYFUNCTION("SPLiT(G2156, ""🤙🏼"",FALSE,FALSE)"),539.0)</f>
        <v>539</v>
      </c>
      <c r="I2156" s="5" t="str">
        <f>IFERROR(__xludf.DUMMYFUNCTION("""COMPUTED_VALUE"""),"Amarcord")</f>
        <v>Amarcord</v>
      </c>
      <c r="J2156" s="5" t="str">
        <f>IFERROR(__xludf.DUMMYFUNCTION("""COMPUTED_VALUE"""),"Pupella Maggio")</f>
        <v>Pupella Maggio</v>
      </c>
      <c r="K2156" s="5" t="str">
        <f>IFERROR(__xludf.DUMMYFUNCTION("""COMPUTED_VALUE"""),"Estrela 3")</f>
        <v>Estrela 3</v>
      </c>
      <c r="P2156" s="5">
        <f>IFERROR(__xludf.DUMMYFUNCTION("""COMPUTED_VALUE"""),539.0)</f>
        <v>539</v>
      </c>
      <c r="Q2156" s="5" t="str">
        <f>IFERROR(__xludf.DUMMYFUNCTION("""COMPUTED_VALUE"""),"Amarcord")</f>
        <v>Amarcord</v>
      </c>
      <c r="R2156" s="5" t="str">
        <f>IFERROR(__xludf.DUMMYFUNCTION("""COMPUTED_VALUE"""),"Pupella Maggio")</f>
        <v>Pupella Maggio</v>
      </c>
      <c r="S2156" s="5" t="str">
        <f>IFERROR(__xludf.DUMMYFUNCTION("""COMPUTED_VALUE"""),"Estrela 3")</f>
        <v>Estrela 3</v>
      </c>
    </row>
    <row r="2157">
      <c r="G2157" s="5" t="str">
        <f>IFERROR(__xludf.DUMMYFUNCTION("""COMPUTED_VALUE"""),"539🤙🏼Amarcord🤙🏼Armando Brancia🤙🏼Estrela 4")</f>
        <v>539🤙🏼Amarcord🤙🏼Armando Brancia🤙🏼Estrela 4</v>
      </c>
      <c r="H2157" s="5">
        <f>IFERROR(__xludf.DUMMYFUNCTION("SPLiT(G2157, ""🤙🏼"",FALSE,FALSE)"),539.0)</f>
        <v>539</v>
      </c>
      <c r="I2157" s="5" t="str">
        <f>IFERROR(__xludf.DUMMYFUNCTION("""COMPUTED_VALUE"""),"Amarcord")</f>
        <v>Amarcord</v>
      </c>
      <c r="J2157" s="5" t="str">
        <f>IFERROR(__xludf.DUMMYFUNCTION("""COMPUTED_VALUE"""),"Armando Brancia")</f>
        <v>Armando Brancia</v>
      </c>
      <c r="K2157" s="5" t="str">
        <f>IFERROR(__xludf.DUMMYFUNCTION("""COMPUTED_VALUE"""),"Estrela 4")</f>
        <v>Estrela 4</v>
      </c>
      <c r="P2157" s="5">
        <f>IFERROR(__xludf.DUMMYFUNCTION("""COMPUTED_VALUE"""),539.0)</f>
        <v>539</v>
      </c>
      <c r="Q2157" s="5" t="str">
        <f>IFERROR(__xludf.DUMMYFUNCTION("""COMPUTED_VALUE"""),"Amarcord")</f>
        <v>Amarcord</v>
      </c>
      <c r="R2157" s="5" t="str">
        <f>IFERROR(__xludf.DUMMYFUNCTION("""COMPUTED_VALUE"""),"Armando Brancia")</f>
        <v>Armando Brancia</v>
      </c>
      <c r="S2157" s="5" t="str">
        <f>IFERROR(__xludf.DUMMYFUNCTION("""COMPUTED_VALUE"""),"Estrela 4")</f>
        <v>Estrela 4</v>
      </c>
    </row>
    <row r="2158">
      <c r="G2158" s="5" t="str">
        <f>IFERROR(__xludf.DUMMYFUNCTION("""COMPUTED_VALUE"""),"540🤙🏼Le charme discret de la bourgeoisie🤙🏼Fernando Rey🤙🏼Estrela 1")</f>
        <v>540🤙🏼Le charme discret de la bourgeoisie🤙🏼Fernando Rey🤙🏼Estrela 1</v>
      </c>
      <c r="H2158" s="5">
        <f>IFERROR(__xludf.DUMMYFUNCTION("SPLiT(G2158, ""🤙🏼"",FALSE,FALSE)"),540.0)</f>
        <v>540</v>
      </c>
      <c r="I2158" s="5" t="str">
        <f>IFERROR(__xludf.DUMMYFUNCTION("""COMPUTED_VALUE"""),"Le charme discret de la bourgeoisie")</f>
        <v>Le charme discret de la bourgeoisie</v>
      </c>
      <c r="J2158" s="5" t="str">
        <f>IFERROR(__xludf.DUMMYFUNCTION("""COMPUTED_VALUE"""),"Fernando Rey")</f>
        <v>Fernando Rey</v>
      </c>
      <c r="K2158" s="5" t="str">
        <f>IFERROR(__xludf.DUMMYFUNCTION("""COMPUTED_VALUE"""),"Estrela 1")</f>
        <v>Estrela 1</v>
      </c>
      <c r="P2158" s="5">
        <f>IFERROR(__xludf.DUMMYFUNCTION("""COMPUTED_VALUE"""),540.0)</f>
        <v>540</v>
      </c>
      <c r="Q2158" s="5" t="str">
        <f>IFERROR(__xludf.DUMMYFUNCTION("""COMPUTED_VALUE"""),"Le charme discret de la bourgeoisie")</f>
        <v>Le charme discret de la bourgeoisie</v>
      </c>
      <c r="R2158" s="5" t="str">
        <f>IFERROR(__xludf.DUMMYFUNCTION("""COMPUTED_VALUE"""),"Fernando Rey")</f>
        <v>Fernando Rey</v>
      </c>
      <c r="S2158" s="5" t="str">
        <f>IFERROR(__xludf.DUMMYFUNCTION("""COMPUTED_VALUE"""),"Estrela 1")</f>
        <v>Estrela 1</v>
      </c>
    </row>
    <row r="2159">
      <c r="G2159" s="5" t="str">
        <f>IFERROR(__xludf.DUMMYFUNCTION("""COMPUTED_VALUE"""),"540🤙🏼Le charme discret de la bourgeoisie🤙🏼Delphine Seyrig🤙🏼Estrela 2")</f>
        <v>540🤙🏼Le charme discret de la bourgeoisie🤙🏼Delphine Seyrig🤙🏼Estrela 2</v>
      </c>
      <c r="H2159" s="5">
        <f>IFERROR(__xludf.DUMMYFUNCTION("SPLiT(G2159, ""🤙🏼"",FALSE,FALSE)"),540.0)</f>
        <v>540</v>
      </c>
      <c r="I2159" s="5" t="str">
        <f>IFERROR(__xludf.DUMMYFUNCTION("""COMPUTED_VALUE"""),"Le charme discret de la bourgeoisie")</f>
        <v>Le charme discret de la bourgeoisie</v>
      </c>
      <c r="J2159" s="5" t="str">
        <f>IFERROR(__xludf.DUMMYFUNCTION("""COMPUTED_VALUE"""),"Delphine Seyrig")</f>
        <v>Delphine Seyrig</v>
      </c>
      <c r="K2159" s="5" t="str">
        <f>IFERROR(__xludf.DUMMYFUNCTION("""COMPUTED_VALUE"""),"Estrela 2")</f>
        <v>Estrela 2</v>
      </c>
      <c r="P2159" s="5">
        <f>IFERROR(__xludf.DUMMYFUNCTION("""COMPUTED_VALUE"""),540.0)</f>
        <v>540</v>
      </c>
      <c r="Q2159" s="5" t="str">
        <f>IFERROR(__xludf.DUMMYFUNCTION("""COMPUTED_VALUE"""),"Le charme discret de la bourgeoisie")</f>
        <v>Le charme discret de la bourgeoisie</v>
      </c>
      <c r="R2159" s="5" t="str">
        <f>IFERROR(__xludf.DUMMYFUNCTION("""COMPUTED_VALUE"""),"Delphine Seyrig")</f>
        <v>Delphine Seyrig</v>
      </c>
      <c r="S2159" s="5" t="str">
        <f>IFERROR(__xludf.DUMMYFUNCTION("""COMPUTED_VALUE"""),"Estrela 2")</f>
        <v>Estrela 2</v>
      </c>
    </row>
    <row r="2160">
      <c r="G2160" s="5" t="str">
        <f>IFERROR(__xludf.DUMMYFUNCTION("""COMPUTED_VALUE"""),"540🤙🏼Le charme discret de la bourgeoisie🤙🏼Paul Frankeur🤙🏼Estrela 3")</f>
        <v>540🤙🏼Le charme discret de la bourgeoisie🤙🏼Paul Frankeur🤙🏼Estrela 3</v>
      </c>
      <c r="H2160" s="5">
        <f>IFERROR(__xludf.DUMMYFUNCTION("SPLiT(G2160, ""🤙🏼"",FALSE,FALSE)"),540.0)</f>
        <v>540</v>
      </c>
      <c r="I2160" s="5" t="str">
        <f>IFERROR(__xludf.DUMMYFUNCTION("""COMPUTED_VALUE"""),"Le charme discret de la bourgeoisie")</f>
        <v>Le charme discret de la bourgeoisie</v>
      </c>
      <c r="J2160" s="5" t="str">
        <f>IFERROR(__xludf.DUMMYFUNCTION("""COMPUTED_VALUE"""),"Paul Frankeur")</f>
        <v>Paul Frankeur</v>
      </c>
      <c r="K2160" s="5" t="str">
        <f>IFERROR(__xludf.DUMMYFUNCTION("""COMPUTED_VALUE"""),"Estrela 3")</f>
        <v>Estrela 3</v>
      </c>
      <c r="P2160" s="5">
        <f>IFERROR(__xludf.DUMMYFUNCTION("""COMPUTED_VALUE"""),540.0)</f>
        <v>540</v>
      </c>
      <c r="Q2160" s="5" t="str">
        <f>IFERROR(__xludf.DUMMYFUNCTION("""COMPUTED_VALUE"""),"Le charme discret de la bourgeoisie")</f>
        <v>Le charme discret de la bourgeoisie</v>
      </c>
      <c r="R2160" s="5" t="str">
        <f>IFERROR(__xludf.DUMMYFUNCTION("""COMPUTED_VALUE"""),"Paul Frankeur")</f>
        <v>Paul Frankeur</v>
      </c>
      <c r="S2160" s="5" t="str">
        <f>IFERROR(__xludf.DUMMYFUNCTION("""COMPUTED_VALUE"""),"Estrela 3")</f>
        <v>Estrela 3</v>
      </c>
    </row>
    <row r="2161">
      <c r="G2161" s="5" t="str">
        <f>IFERROR(__xludf.DUMMYFUNCTION("""COMPUTED_VALUE"""),"540🤙🏼Le charme discret de la bourgeoisie🤙🏼Bulle Ogier🤙🏼Estrela 4")</f>
        <v>540🤙🏼Le charme discret de la bourgeoisie🤙🏼Bulle Ogier🤙🏼Estrela 4</v>
      </c>
      <c r="H2161" s="5">
        <f>IFERROR(__xludf.DUMMYFUNCTION("SPLiT(G2161, ""🤙🏼"",FALSE,FALSE)"),540.0)</f>
        <v>540</v>
      </c>
      <c r="I2161" s="5" t="str">
        <f>IFERROR(__xludf.DUMMYFUNCTION("""COMPUTED_VALUE"""),"Le charme discret de la bourgeoisie")</f>
        <v>Le charme discret de la bourgeoisie</v>
      </c>
      <c r="J2161" s="5" t="str">
        <f>IFERROR(__xludf.DUMMYFUNCTION("""COMPUTED_VALUE"""),"Bulle Ogier")</f>
        <v>Bulle Ogier</v>
      </c>
      <c r="K2161" s="5" t="str">
        <f>IFERROR(__xludf.DUMMYFUNCTION("""COMPUTED_VALUE"""),"Estrela 4")</f>
        <v>Estrela 4</v>
      </c>
      <c r="P2161" s="5">
        <f>IFERROR(__xludf.DUMMYFUNCTION("""COMPUTED_VALUE"""),540.0)</f>
        <v>540</v>
      </c>
      <c r="Q2161" s="5" t="str">
        <f>IFERROR(__xludf.DUMMYFUNCTION("""COMPUTED_VALUE"""),"Le charme discret de la bourgeoisie")</f>
        <v>Le charme discret de la bourgeoisie</v>
      </c>
      <c r="R2161" s="5" t="str">
        <f>IFERROR(__xludf.DUMMYFUNCTION("""COMPUTED_VALUE"""),"Bulle Ogier")</f>
        <v>Bulle Ogier</v>
      </c>
      <c r="S2161" s="5" t="str">
        <f>IFERROR(__xludf.DUMMYFUNCTION("""COMPUTED_VALUE"""),"Estrela 4")</f>
        <v>Estrela 4</v>
      </c>
    </row>
    <row r="2162">
      <c r="G2162" s="5" t="str">
        <f>IFERROR(__xludf.DUMMYFUNCTION("""COMPUTED_VALUE"""),"541🤙🏼Aguirre, der Zorn Gottes🤙🏼Klaus Kinski🤙🏼Estrela 1")</f>
        <v>541🤙🏼Aguirre, der Zorn Gottes🤙🏼Klaus Kinski🤙🏼Estrela 1</v>
      </c>
      <c r="H2162" s="5">
        <f>IFERROR(__xludf.DUMMYFUNCTION("SPLiT(G2162, ""🤙🏼"",FALSE,FALSE)"),541.0)</f>
        <v>541</v>
      </c>
      <c r="I2162" s="5" t="str">
        <f>IFERROR(__xludf.DUMMYFUNCTION("""COMPUTED_VALUE"""),"Aguirre, der Zorn Gottes")</f>
        <v>Aguirre, der Zorn Gottes</v>
      </c>
      <c r="J2162" s="5" t="str">
        <f>IFERROR(__xludf.DUMMYFUNCTION("""COMPUTED_VALUE"""),"Klaus Kinski")</f>
        <v>Klaus Kinski</v>
      </c>
      <c r="K2162" s="5" t="str">
        <f>IFERROR(__xludf.DUMMYFUNCTION("""COMPUTED_VALUE"""),"Estrela 1")</f>
        <v>Estrela 1</v>
      </c>
      <c r="P2162" s="5">
        <f>IFERROR(__xludf.DUMMYFUNCTION("""COMPUTED_VALUE"""),541.0)</f>
        <v>541</v>
      </c>
      <c r="Q2162" s="5" t="str">
        <f>IFERROR(__xludf.DUMMYFUNCTION("""COMPUTED_VALUE"""),"Aguirre, der Zorn Gottes")</f>
        <v>Aguirre, der Zorn Gottes</v>
      </c>
      <c r="R2162" s="5" t="str">
        <f>IFERROR(__xludf.DUMMYFUNCTION("""COMPUTED_VALUE"""),"Klaus Kinski")</f>
        <v>Klaus Kinski</v>
      </c>
      <c r="S2162" s="5" t="str">
        <f>IFERROR(__xludf.DUMMYFUNCTION("""COMPUTED_VALUE"""),"Estrela 1")</f>
        <v>Estrela 1</v>
      </c>
    </row>
    <row r="2163">
      <c r="G2163" s="5" t="str">
        <f>IFERROR(__xludf.DUMMYFUNCTION("""COMPUTED_VALUE"""),"541🤙🏼Aguirre, der Zorn Gottes🤙🏼Ruy Guerra🤙🏼Estrela 2")</f>
        <v>541🤙🏼Aguirre, der Zorn Gottes🤙🏼Ruy Guerra🤙🏼Estrela 2</v>
      </c>
      <c r="H2163" s="5">
        <f>IFERROR(__xludf.DUMMYFUNCTION("SPLiT(G2163, ""🤙🏼"",FALSE,FALSE)"),541.0)</f>
        <v>541</v>
      </c>
      <c r="I2163" s="5" t="str">
        <f>IFERROR(__xludf.DUMMYFUNCTION("""COMPUTED_VALUE"""),"Aguirre, der Zorn Gottes")</f>
        <v>Aguirre, der Zorn Gottes</v>
      </c>
      <c r="J2163" s="5" t="str">
        <f>IFERROR(__xludf.DUMMYFUNCTION("""COMPUTED_VALUE"""),"Ruy Guerra")</f>
        <v>Ruy Guerra</v>
      </c>
      <c r="K2163" s="5" t="str">
        <f>IFERROR(__xludf.DUMMYFUNCTION("""COMPUTED_VALUE"""),"Estrela 2")</f>
        <v>Estrela 2</v>
      </c>
      <c r="P2163" s="5">
        <f>IFERROR(__xludf.DUMMYFUNCTION("""COMPUTED_VALUE"""),541.0)</f>
        <v>541</v>
      </c>
      <c r="Q2163" s="5" t="str">
        <f>IFERROR(__xludf.DUMMYFUNCTION("""COMPUTED_VALUE"""),"Aguirre, der Zorn Gottes")</f>
        <v>Aguirre, der Zorn Gottes</v>
      </c>
      <c r="R2163" s="5" t="str">
        <f>IFERROR(__xludf.DUMMYFUNCTION("""COMPUTED_VALUE"""),"Ruy Guerra")</f>
        <v>Ruy Guerra</v>
      </c>
      <c r="S2163" s="5" t="str">
        <f>IFERROR(__xludf.DUMMYFUNCTION("""COMPUTED_VALUE"""),"Estrela 2")</f>
        <v>Estrela 2</v>
      </c>
    </row>
    <row r="2164">
      <c r="G2164" s="5" t="str">
        <f>IFERROR(__xludf.DUMMYFUNCTION("""COMPUTED_VALUE"""),"541🤙🏼Aguirre, der Zorn Gottes🤙🏼Helena Rojo🤙🏼Estrela 3")</f>
        <v>541🤙🏼Aguirre, der Zorn Gottes🤙🏼Helena Rojo🤙🏼Estrela 3</v>
      </c>
      <c r="H2164" s="5">
        <f>IFERROR(__xludf.DUMMYFUNCTION("SPLiT(G2164, ""🤙🏼"",FALSE,FALSE)"),541.0)</f>
        <v>541</v>
      </c>
      <c r="I2164" s="5" t="str">
        <f>IFERROR(__xludf.DUMMYFUNCTION("""COMPUTED_VALUE"""),"Aguirre, der Zorn Gottes")</f>
        <v>Aguirre, der Zorn Gottes</v>
      </c>
      <c r="J2164" s="5" t="str">
        <f>IFERROR(__xludf.DUMMYFUNCTION("""COMPUTED_VALUE"""),"Helena Rojo")</f>
        <v>Helena Rojo</v>
      </c>
      <c r="K2164" s="5" t="str">
        <f>IFERROR(__xludf.DUMMYFUNCTION("""COMPUTED_VALUE"""),"Estrela 3")</f>
        <v>Estrela 3</v>
      </c>
      <c r="P2164" s="5">
        <f>IFERROR(__xludf.DUMMYFUNCTION("""COMPUTED_VALUE"""),541.0)</f>
        <v>541</v>
      </c>
      <c r="Q2164" s="5" t="str">
        <f>IFERROR(__xludf.DUMMYFUNCTION("""COMPUTED_VALUE"""),"Aguirre, der Zorn Gottes")</f>
        <v>Aguirre, der Zorn Gottes</v>
      </c>
      <c r="R2164" s="5" t="str">
        <f>IFERROR(__xludf.DUMMYFUNCTION("""COMPUTED_VALUE"""),"Helena Rojo")</f>
        <v>Helena Rojo</v>
      </c>
      <c r="S2164" s="5" t="str">
        <f>IFERROR(__xludf.DUMMYFUNCTION("""COMPUTED_VALUE"""),"Estrela 3")</f>
        <v>Estrela 3</v>
      </c>
    </row>
    <row r="2165">
      <c r="G2165" s="5" t="str">
        <f>IFERROR(__xludf.DUMMYFUNCTION("""COMPUTED_VALUE"""),"541🤙🏼Aguirre, der Zorn Gottes🤙🏼Del Negro🤙🏼Estrela 4")</f>
        <v>541🤙🏼Aguirre, der Zorn Gottes🤙🏼Del Negro🤙🏼Estrela 4</v>
      </c>
      <c r="H2165" s="5">
        <f>IFERROR(__xludf.DUMMYFUNCTION("SPLiT(G2165, ""🤙🏼"",FALSE,FALSE)"),541.0)</f>
        <v>541</v>
      </c>
      <c r="I2165" s="5" t="str">
        <f>IFERROR(__xludf.DUMMYFUNCTION("""COMPUTED_VALUE"""),"Aguirre, der Zorn Gottes")</f>
        <v>Aguirre, der Zorn Gottes</v>
      </c>
      <c r="J2165" s="5" t="str">
        <f>IFERROR(__xludf.DUMMYFUNCTION("""COMPUTED_VALUE"""),"Del Negro")</f>
        <v>Del Negro</v>
      </c>
      <c r="K2165" s="5" t="str">
        <f>IFERROR(__xludf.DUMMYFUNCTION("""COMPUTED_VALUE"""),"Estrela 4")</f>
        <v>Estrela 4</v>
      </c>
      <c r="P2165" s="5">
        <f>IFERROR(__xludf.DUMMYFUNCTION("""COMPUTED_VALUE"""),541.0)</f>
        <v>541</v>
      </c>
      <c r="Q2165" s="5" t="str">
        <f>IFERROR(__xludf.DUMMYFUNCTION("""COMPUTED_VALUE"""),"Aguirre, der Zorn Gottes")</f>
        <v>Aguirre, der Zorn Gottes</v>
      </c>
      <c r="R2165" s="5" t="str">
        <f>IFERROR(__xludf.DUMMYFUNCTION("""COMPUTED_VALUE"""),"Del Negro")</f>
        <v>Del Negro</v>
      </c>
      <c r="S2165" s="5" t="str">
        <f>IFERROR(__xludf.DUMMYFUNCTION("""COMPUTED_VALUE"""),"Estrela 4")</f>
        <v>Estrela 4</v>
      </c>
    </row>
    <row r="2166">
      <c r="G2166" s="5" t="str">
        <f>IFERROR(__xludf.DUMMYFUNCTION("""COMPUTED_VALUE"""),"542🤙🏼Harold and Maude🤙🏼Ruth Gordon🤙🏼Estrela 1")</f>
        <v>542🤙🏼Harold and Maude🤙🏼Ruth Gordon🤙🏼Estrela 1</v>
      </c>
      <c r="H2166" s="5">
        <f>IFERROR(__xludf.DUMMYFUNCTION("SPLiT(G2166, ""🤙🏼"",FALSE,FALSE)"),542.0)</f>
        <v>542</v>
      </c>
      <c r="I2166" s="5" t="str">
        <f>IFERROR(__xludf.DUMMYFUNCTION("""COMPUTED_VALUE"""),"Harold and Maude")</f>
        <v>Harold and Maude</v>
      </c>
      <c r="J2166" s="5" t="str">
        <f>IFERROR(__xludf.DUMMYFUNCTION("""COMPUTED_VALUE"""),"Ruth Gordon")</f>
        <v>Ruth Gordon</v>
      </c>
      <c r="K2166" s="5" t="str">
        <f>IFERROR(__xludf.DUMMYFUNCTION("""COMPUTED_VALUE"""),"Estrela 1")</f>
        <v>Estrela 1</v>
      </c>
      <c r="P2166" s="5">
        <f>IFERROR(__xludf.DUMMYFUNCTION("""COMPUTED_VALUE"""),542.0)</f>
        <v>542</v>
      </c>
      <c r="Q2166" s="5" t="str">
        <f>IFERROR(__xludf.DUMMYFUNCTION("""COMPUTED_VALUE"""),"Harold and Maude")</f>
        <v>Harold and Maude</v>
      </c>
      <c r="R2166" s="5" t="str">
        <f>IFERROR(__xludf.DUMMYFUNCTION("""COMPUTED_VALUE"""),"Ruth Gordon")</f>
        <v>Ruth Gordon</v>
      </c>
      <c r="S2166" s="5" t="str">
        <f>IFERROR(__xludf.DUMMYFUNCTION("""COMPUTED_VALUE"""),"Estrela 1")</f>
        <v>Estrela 1</v>
      </c>
    </row>
    <row r="2167">
      <c r="G2167" s="5" t="str">
        <f>IFERROR(__xludf.DUMMYFUNCTION("""COMPUTED_VALUE"""),"542🤙🏼Harold and Maude🤙🏼Bud Cort🤙🏼Estrela 2")</f>
        <v>542🤙🏼Harold and Maude🤙🏼Bud Cort🤙🏼Estrela 2</v>
      </c>
      <c r="H2167" s="5">
        <f>IFERROR(__xludf.DUMMYFUNCTION("SPLiT(G2167, ""🤙🏼"",FALSE,FALSE)"),542.0)</f>
        <v>542</v>
      </c>
      <c r="I2167" s="5" t="str">
        <f>IFERROR(__xludf.DUMMYFUNCTION("""COMPUTED_VALUE"""),"Harold and Maude")</f>
        <v>Harold and Maude</v>
      </c>
      <c r="J2167" s="5" t="str">
        <f>IFERROR(__xludf.DUMMYFUNCTION("""COMPUTED_VALUE"""),"Bud Cort")</f>
        <v>Bud Cort</v>
      </c>
      <c r="K2167" s="5" t="str">
        <f>IFERROR(__xludf.DUMMYFUNCTION("""COMPUTED_VALUE"""),"Estrela 2")</f>
        <v>Estrela 2</v>
      </c>
      <c r="P2167" s="5">
        <f>IFERROR(__xludf.DUMMYFUNCTION("""COMPUTED_VALUE"""),542.0)</f>
        <v>542</v>
      </c>
      <c r="Q2167" s="5" t="str">
        <f>IFERROR(__xludf.DUMMYFUNCTION("""COMPUTED_VALUE"""),"Harold and Maude")</f>
        <v>Harold and Maude</v>
      </c>
      <c r="R2167" s="5" t="str">
        <f>IFERROR(__xludf.DUMMYFUNCTION("""COMPUTED_VALUE"""),"Bud Cort")</f>
        <v>Bud Cort</v>
      </c>
      <c r="S2167" s="5" t="str">
        <f>IFERROR(__xludf.DUMMYFUNCTION("""COMPUTED_VALUE"""),"Estrela 2")</f>
        <v>Estrela 2</v>
      </c>
    </row>
    <row r="2168">
      <c r="G2168" s="5" t="str">
        <f>IFERROR(__xludf.DUMMYFUNCTION("""COMPUTED_VALUE"""),"542🤙🏼Harold and Maude🤙🏼Vivian Pickles🤙🏼Estrela 3")</f>
        <v>542🤙🏼Harold and Maude🤙🏼Vivian Pickles🤙🏼Estrela 3</v>
      </c>
      <c r="H2168" s="5">
        <f>IFERROR(__xludf.DUMMYFUNCTION("SPLiT(G2168, ""🤙🏼"",FALSE,FALSE)"),542.0)</f>
        <v>542</v>
      </c>
      <c r="I2168" s="5" t="str">
        <f>IFERROR(__xludf.DUMMYFUNCTION("""COMPUTED_VALUE"""),"Harold and Maude")</f>
        <v>Harold and Maude</v>
      </c>
      <c r="J2168" s="5" t="str">
        <f>IFERROR(__xludf.DUMMYFUNCTION("""COMPUTED_VALUE"""),"Vivian Pickles")</f>
        <v>Vivian Pickles</v>
      </c>
      <c r="K2168" s="5" t="str">
        <f>IFERROR(__xludf.DUMMYFUNCTION("""COMPUTED_VALUE"""),"Estrela 3")</f>
        <v>Estrela 3</v>
      </c>
      <c r="P2168" s="5">
        <f>IFERROR(__xludf.DUMMYFUNCTION("""COMPUTED_VALUE"""),542.0)</f>
        <v>542</v>
      </c>
      <c r="Q2168" s="5" t="str">
        <f>IFERROR(__xludf.DUMMYFUNCTION("""COMPUTED_VALUE"""),"Harold and Maude")</f>
        <v>Harold and Maude</v>
      </c>
      <c r="R2168" s="5" t="str">
        <f>IFERROR(__xludf.DUMMYFUNCTION("""COMPUTED_VALUE"""),"Vivian Pickles")</f>
        <v>Vivian Pickles</v>
      </c>
      <c r="S2168" s="5" t="str">
        <f>IFERROR(__xludf.DUMMYFUNCTION("""COMPUTED_VALUE"""),"Estrela 3")</f>
        <v>Estrela 3</v>
      </c>
    </row>
    <row r="2169">
      <c r="G2169" s="5" t="str">
        <f>IFERROR(__xludf.DUMMYFUNCTION("""COMPUTED_VALUE"""),"542🤙🏼Harold and Maude🤙🏼Cyril Cusack🤙🏼Estrela 4")</f>
        <v>542🤙🏼Harold and Maude🤙🏼Cyril Cusack🤙🏼Estrela 4</v>
      </c>
      <c r="H2169" s="5">
        <f>IFERROR(__xludf.DUMMYFUNCTION("SPLiT(G2169, ""🤙🏼"",FALSE,FALSE)"),542.0)</f>
        <v>542</v>
      </c>
      <c r="I2169" s="5" t="str">
        <f>IFERROR(__xludf.DUMMYFUNCTION("""COMPUTED_VALUE"""),"Harold and Maude")</f>
        <v>Harold and Maude</v>
      </c>
      <c r="J2169" s="5" t="str">
        <f>IFERROR(__xludf.DUMMYFUNCTION("""COMPUTED_VALUE"""),"Cyril Cusack")</f>
        <v>Cyril Cusack</v>
      </c>
      <c r="K2169" s="5" t="str">
        <f>IFERROR(__xludf.DUMMYFUNCTION("""COMPUTED_VALUE"""),"Estrela 4")</f>
        <v>Estrela 4</v>
      </c>
      <c r="P2169" s="5">
        <f>IFERROR(__xludf.DUMMYFUNCTION("""COMPUTED_VALUE"""),542.0)</f>
        <v>542</v>
      </c>
      <c r="Q2169" s="5" t="str">
        <f>IFERROR(__xludf.DUMMYFUNCTION("""COMPUTED_VALUE"""),"Harold and Maude")</f>
        <v>Harold and Maude</v>
      </c>
      <c r="R2169" s="5" t="str">
        <f>IFERROR(__xludf.DUMMYFUNCTION("""COMPUTED_VALUE"""),"Cyril Cusack")</f>
        <v>Cyril Cusack</v>
      </c>
      <c r="S2169" s="5" t="str">
        <f>IFERROR(__xludf.DUMMYFUNCTION("""COMPUTED_VALUE"""),"Estrela 4")</f>
        <v>Estrela 4</v>
      </c>
    </row>
    <row r="2170">
      <c r="G2170" s="5" t="str">
        <f>IFERROR(__xludf.DUMMYFUNCTION("""COMPUTED_VALUE"""),"543🤙🏼Patton🤙🏼George C. Scott🤙🏼Estrela 1")</f>
        <v>543🤙🏼Patton🤙🏼George C. Scott🤙🏼Estrela 1</v>
      </c>
      <c r="H2170" s="5">
        <f>IFERROR(__xludf.DUMMYFUNCTION("SPLiT(G2170, ""🤙🏼"",FALSE,FALSE)"),543.0)</f>
        <v>543</v>
      </c>
      <c r="I2170" s="5" t="str">
        <f>IFERROR(__xludf.DUMMYFUNCTION("""COMPUTED_VALUE"""),"Patton")</f>
        <v>Patton</v>
      </c>
      <c r="J2170" s="5" t="str">
        <f>IFERROR(__xludf.DUMMYFUNCTION("""COMPUTED_VALUE"""),"George C. Scott")</f>
        <v>George C. Scott</v>
      </c>
      <c r="K2170" s="5" t="str">
        <f>IFERROR(__xludf.DUMMYFUNCTION("""COMPUTED_VALUE"""),"Estrela 1")</f>
        <v>Estrela 1</v>
      </c>
      <c r="P2170" s="5">
        <f>IFERROR(__xludf.DUMMYFUNCTION("""COMPUTED_VALUE"""),543.0)</f>
        <v>543</v>
      </c>
      <c r="Q2170" s="5" t="str">
        <f>IFERROR(__xludf.DUMMYFUNCTION("""COMPUTED_VALUE"""),"Patton")</f>
        <v>Patton</v>
      </c>
      <c r="R2170" s="5" t="str">
        <f>IFERROR(__xludf.DUMMYFUNCTION("""COMPUTED_VALUE"""),"George C. Scott")</f>
        <v>George C. Scott</v>
      </c>
      <c r="S2170" s="5" t="str">
        <f>IFERROR(__xludf.DUMMYFUNCTION("""COMPUTED_VALUE"""),"Estrela 1")</f>
        <v>Estrela 1</v>
      </c>
    </row>
    <row r="2171">
      <c r="G2171" s="5" t="str">
        <f>IFERROR(__xludf.DUMMYFUNCTION("""COMPUTED_VALUE"""),"543🤙🏼Patton🤙🏼Karl Malden🤙🏼Estrela 2")</f>
        <v>543🤙🏼Patton🤙🏼Karl Malden🤙🏼Estrela 2</v>
      </c>
      <c r="H2171" s="5">
        <f>IFERROR(__xludf.DUMMYFUNCTION("SPLiT(G2171, ""🤙🏼"",FALSE,FALSE)"),543.0)</f>
        <v>543</v>
      </c>
      <c r="I2171" s="5" t="str">
        <f>IFERROR(__xludf.DUMMYFUNCTION("""COMPUTED_VALUE"""),"Patton")</f>
        <v>Patton</v>
      </c>
      <c r="J2171" s="5" t="str">
        <f>IFERROR(__xludf.DUMMYFUNCTION("""COMPUTED_VALUE"""),"Karl Malden")</f>
        <v>Karl Malden</v>
      </c>
      <c r="K2171" s="5" t="str">
        <f>IFERROR(__xludf.DUMMYFUNCTION("""COMPUTED_VALUE"""),"Estrela 2")</f>
        <v>Estrela 2</v>
      </c>
      <c r="P2171" s="5">
        <f>IFERROR(__xludf.DUMMYFUNCTION("""COMPUTED_VALUE"""),543.0)</f>
        <v>543</v>
      </c>
      <c r="Q2171" s="5" t="str">
        <f>IFERROR(__xludf.DUMMYFUNCTION("""COMPUTED_VALUE"""),"Patton")</f>
        <v>Patton</v>
      </c>
      <c r="R2171" s="5" t="str">
        <f>IFERROR(__xludf.DUMMYFUNCTION("""COMPUTED_VALUE"""),"Karl Malden")</f>
        <v>Karl Malden</v>
      </c>
      <c r="S2171" s="5" t="str">
        <f>IFERROR(__xludf.DUMMYFUNCTION("""COMPUTED_VALUE"""),"Estrela 2")</f>
        <v>Estrela 2</v>
      </c>
    </row>
    <row r="2172">
      <c r="G2172" s="5" t="str">
        <f>IFERROR(__xludf.DUMMYFUNCTION("""COMPUTED_VALUE"""),"543🤙🏼Patton🤙🏼Stephen Young🤙🏼Estrela 3")</f>
        <v>543🤙🏼Patton🤙🏼Stephen Young🤙🏼Estrela 3</v>
      </c>
      <c r="H2172" s="5">
        <f>IFERROR(__xludf.DUMMYFUNCTION("SPLiT(G2172, ""🤙🏼"",FALSE,FALSE)"),543.0)</f>
        <v>543</v>
      </c>
      <c r="I2172" s="5" t="str">
        <f>IFERROR(__xludf.DUMMYFUNCTION("""COMPUTED_VALUE"""),"Patton")</f>
        <v>Patton</v>
      </c>
      <c r="J2172" s="5" t="str">
        <f>IFERROR(__xludf.DUMMYFUNCTION("""COMPUTED_VALUE"""),"Stephen Young")</f>
        <v>Stephen Young</v>
      </c>
      <c r="K2172" s="5" t="str">
        <f>IFERROR(__xludf.DUMMYFUNCTION("""COMPUTED_VALUE"""),"Estrela 3")</f>
        <v>Estrela 3</v>
      </c>
      <c r="P2172" s="5">
        <f>IFERROR(__xludf.DUMMYFUNCTION("""COMPUTED_VALUE"""),543.0)</f>
        <v>543</v>
      </c>
      <c r="Q2172" s="5" t="str">
        <f>IFERROR(__xludf.DUMMYFUNCTION("""COMPUTED_VALUE"""),"Patton")</f>
        <v>Patton</v>
      </c>
      <c r="R2172" s="5" t="str">
        <f>IFERROR(__xludf.DUMMYFUNCTION("""COMPUTED_VALUE"""),"Stephen Young")</f>
        <v>Stephen Young</v>
      </c>
      <c r="S2172" s="5" t="str">
        <f>IFERROR(__xludf.DUMMYFUNCTION("""COMPUTED_VALUE"""),"Estrela 3")</f>
        <v>Estrela 3</v>
      </c>
    </row>
    <row r="2173">
      <c r="G2173" s="5" t="str">
        <f>IFERROR(__xludf.DUMMYFUNCTION("""COMPUTED_VALUE"""),"543🤙🏼Patton🤙🏼Michael Strong🤙🏼Estrela 4")</f>
        <v>543🤙🏼Patton🤙🏼Michael Strong🤙🏼Estrela 4</v>
      </c>
      <c r="H2173" s="5">
        <f>IFERROR(__xludf.DUMMYFUNCTION("SPLiT(G2173, ""🤙🏼"",FALSE,FALSE)"),543.0)</f>
        <v>543</v>
      </c>
      <c r="I2173" s="5" t="str">
        <f>IFERROR(__xludf.DUMMYFUNCTION("""COMPUTED_VALUE"""),"Patton")</f>
        <v>Patton</v>
      </c>
      <c r="J2173" s="5" t="str">
        <f>IFERROR(__xludf.DUMMYFUNCTION("""COMPUTED_VALUE"""),"Michael Strong")</f>
        <v>Michael Strong</v>
      </c>
      <c r="K2173" s="5" t="str">
        <f>IFERROR(__xludf.DUMMYFUNCTION("""COMPUTED_VALUE"""),"Estrela 4")</f>
        <v>Estrela 4</v>
      </c>
      <c r="P2173" s="5">
        <f>IFERROR(__xludf.DUMMYFUNCTION("""COMPUTED_VALUE"""),543.0)</f>
        <v>543</v>
      </c>
      <c r="Q2173" s="5" t="str">
        <f>IFERROR(__xludf.DUMMYFUNCTION("""COMPUTED_VALUE"""),"Patton")</f>
        <v>Patton</v>
      </c>
      <c r="R2173" s="5" t="str">
        <f>IFERROR(__xludf.DUMMYFUNCTION("""COMPUTED_VALUE"""),"Michael Strong")</f>
        <v>Michael Strong</v>
      </c>
      <c r="S2173" s="5" t="str">
        <f>IFERROR(__xludf.DUMMYFUNCTION("""COMPUTED_VALUE"""),"Estrela 4")</f>
        <v>Estrela 4</v>
      </c>
    </row>
    <row r="2174">
      <c r="G2174" s="5" t="str">
        <f>IFERROR(__xludf.DUMMYFUNCTION("""COMPUTED_VALUE"""),"544🤙🏼The Wild Bunch🤙🏼William Holden🤙🏼Estrela 1")</f>
        <v>544🤙🏼The Wild Bunch🤙🏼William Holden🤙🏼Estrela 1</v>
      </c>
      <c r="H2174" s="5">
        <f>IFERROR(__xludf.DUMMYFUNCTION("SPLiT(G2174, ""🤙🏼"",FALSE,FALSE)"),544.0)</f>
        <v>544</v>
      </c>
      <c r="I2174" s="5" t="str">
        <f>IFERROR(__xludf.DUMMYFUNCTION("""COMPUTED_VALUE"""),"The Wild Bunch")</f>
        <v>The Wild Bunch</v>
      </c>
      <c r="J2174" s="5" t="str">
        <f>IFERROR(__xludf.DUMMYFUNCTION("""COMPUTED_VALUE"""),"William Holden")</f>
        <v>William Holden</v>
      </c>
      <c r="K2174" s="5" t="str">
        <f>IFERROR(__xludf.DUMMYFUNCTION("""COMPUTED_VALUE"""),"Estrela 1")</f>
        <v>Estrela 1</v>
      </c>
      <c r="P2174" s="5">
        <f>IFERROR(__xludf.DUMMYFUNCTION("""COMPUTED_VALUE"""),544.0)</f>
        <v>544</v>
      </c>
      <c r="Q2174" s="5" t="str">
        <f>IFERROR(__xludf.DUMMYFUNCTION("""COMPUTED_VALUE"""),"The Wild Bunch")</f>
        <v>The Wild Bunch</v>
      </c>
      <c r="R2174" s="5" t="str">
        <f>IFERROR(__xludf.DUMMYFUNCTION("""COMPUTED_VALUE"""),"William Holden")</f>
        <v>William Holden</v>
      </c>
      <c r="S2174" s="5" t="str">
        <f>IFERROR(__xludf.DUMMYFUNCTION("""COMPUTED_VALUE"""),"Estrela 1")</f>
        <v>Estrela 1</v>
      </c>
    </row>
    <row r="2175">
      <c r="G2175" s="5" t="str">
        <f>IFERROR(__xludf.DUMMYFUNCTION("""COMPUTED_VALUE"""),"544🤙🏼The Wild Bunch🤙🏼Ernest Borgnine🤙🏼Estrela 2")</f>
        <v>544🤙🏼The Wild Bunch🤙🏼Ernest Borgnine🤙🏼Estrela 2</v>
      </c>
      <c r="H2175" s="5">
        <f>IFERROR(__xludf.DUMMYFUNCTION("SPLiT(G2175, ""🤙🏼"",FALSE,FALSE)"),544.0)</f>
        <v>544</v>
      </c>
      <c r="I2175" s="5" t="str">
        <f>IFERROR(__xludf.DUMMYFUNCTION("""COMPUTED_VALUE"""),"The Wild Bunch")</f>
        <v>The Wild Bunch</v>
      </c>
      <c r="J2175" s="5" t="str">
        <f>IFERROR(__xludf.DUMMYFUNCTION("""COMPUTED_VALUE"""),"Ernest Borgnine")</f>
        <v>Ernest Borgnine</v>
      </c>
      <c r="K2175" s="5" t="str">
        <f>IFERROR(__xludf.DUMMYFUNCTION("""COMPUTED_VALUE"""),"Estrela 2")</f>
        <v>Estrela 2</v>
      </c>
      <c r="P2175" s="5">
        <f>IFERROR(__xludf.DUMMYFUNCTION("""COMPUTED_VALUE"""),544.0)</f>
        <v>544</v>
      </c>
      <c r="Q2175" s="5" t="str">
        <f>IFERROR(__xludf.DUMMYFUNCTION("""COMPUTED_VALUE"""),"The Wild Bunch")</f>
        <v>The Wild Bunch</v>
      </c>
      <c r="R2175" s="5" t="str">
        <f>IFERROR(__xludf.DUMMYFUNCTION("""COMPUTED_VALUE"""),"Ernest Borgnine")</f>
        <v>Ernest Borgnine</v>
      </c>
      <c r="S2175" s="5" t="str">
        <f>IFERROR(__xludf.DUMMYFUNCTION("""COMPUTED_VALUE"""),"Estrela 2")</f>
        <v>Estrela 2</v>
      </c>
    </row>
    <row r="2176">
      <c r="G2176" s="5" t="str">
        <f>IFERROR(__xludf.DUMMYFUNCTION("""COMPUTED_VALUE"""),"544🤙🏼The Wild Bunch🤙🏼Robert Ryan🤙🏼Estrela 3")</f>
        <v>544🤙🏼The Wild Bunch🤙🏼Robert Ryan🤙🏼Estrela 3</v>
      </c>
      <c r="H2176" s="5">
        <f>IFERROR(__xludf.DUMMYFUNCTION("SPLiT(G2176, ""🤙🏼"",FALSE,FALSE)"),544.0)</f>
        <v>544</v>
      </c>
      <c r="I2176" s="5" t="str">
        <f>IFERROR(__xludf.DUMMYFUNCTION("""COMPUTED_VALUE"""),"The Wild Bunch")</f>
        <v>The Wild Bunch</v>
      </c>
      <c r="J2176" s="5" t="str">
        <f>IFERROR(__xludf.DUMMYFUNCTION("""COMPUTED_VALUE"""),"Robert Ryan")</f>
        <v>Robert Ryan</v>
      </c>
      <c r="K2176" s="5" t="str">
        <f>IFERROR(__xludf.DUMMYFUNCTION("""COMPUTED_VALUE"""),"Estrela 3")</f>
        <v>Estrela 3</v>
      </c>
      <c r="P2176" s="5">
        <f>IFERROR(__xludf.DUMMYFUNCTION("""COMPUTED_VALUE"""),544.0)</f>
        <v>544</v>
      </c>
      <c r="Q2176" s="5" t="str">
        <f>IFERROR(__xludf.DUMMYFUNCTION("""COMPUTED_VALUE"""),"The Wild Bunch")</f>
        <v>The Wild Bunch</v>
      </c>
      <c r="R2176" s="5" t="str">
        <f>IFERROR(__xludf.DUMMYFUNCTION("""COMPUTED_VALUE"""),"Robert Ryan")</f>
        <v>Robert Ryan</v>
      </c>
      <c r="S2176" s="5" t="str">
        <f>IFERROR(__xludf.DUMMYFUNCTION("""COMPUTED_VALUE"""),"Estrela 3")</f>
        <v>Estrela 3</v>
      </c>
    </row>
    <row r="2177">
      <c r="G2177" s="5" t="str">
        <f>IFERROR(__xludf.DUMMYFUNCTION("""COMPUTED_VALUE"""),"544🤙🏼The Wild Bunch🤙🏼Edmond O'Brien🤙🏼Estrela 4")</f>
        <v>544🤙🏼The Wild Bunch🤙🏼Edmond O'Brien🤙🏼Estrela 4</v>
      </c>
      <c r="H2177" s="5">
        <f>IFERROR(__xludf.DUMMYFUNCTION("SPLiT(G2177, ""🤙🏼"",FALSE,FALSE)"),544.0)</f>
        <v>544</v>
      </c>
      <c r="I2177" s="5" t="str">
        <f>IFERROR(__xludf.DUMMYFUNCTION("""COMPUTED_VALUE"""),"The Wild Bunch")</f>
        <v>The Wild Bunch</v>
      </c>
      <c r="J2177" s="5" t="str">
        <f>IFERROR(__xludf.DUMMYFUNCTION("""COMPUTED_VALUE"""),"Edmond O'Brien")</f>
        <v>Edmond O'Brien</v>
      </c>
      <c r="K2177" s="5" t="str">
        <f>IFERROR(__xludf.DUMMYFUNCTION("""COMPUTED_VALUE"""),"Estrela 4")</f>
        <v>Estrela 4</v>
      </c>
      <c r="P2177" s="5">
        <f>IFERROR(__xludf.DUMMYFUNCTION("""COMPUTED_VALUE"""),544.0)</f>
        <v>544</v>
      </c>
      <c r="Q2177" s="5" t="str">
        <f>IFERROR(__xludf.DUMMYFUNCTION("""COMPUTED_VALUE"""),"The Wild Bunch")</f>
        <v>The Wild Bunch</v>
      </c>
      <c r="R2177" s="5" t="str">
        <f>IFERROR(__xludf.DUMMYFUNCTION("""COMPUTED_VALUE"""),"Edmond O'Brien")</f>
        <v>Edmond O'Brien</v>
      </c>
      <c r="S2177" s="5" t="str">
        <f>IFERROR(__xludf.DUMMYFUNCTION("""COMPUTED_VALUE"""),"Estrela 4")</f>
        <v>Estrela 4</v>
      </c>
    </row>
    <row r="2178">
      <c r="G2178" s="5" t="str">
        <f>IFERROR(__xludf.DUMMYFUNCTION("""COMPUTED_VALUE"""),"545🤙🏼Night of the Living Dead🤙🏼Duane Jones🤙🏼Estrela 1")</f>
        <v>545🤙🏼Night of the Living Dead🤙🏼Duane Jones🤙🏼Estrela 1</v>
      </c>
      <c r="H2178" s="5">
        <f>IFERROR(__xludf.DUMMYFUNCTION("SPLiT(G2178, ""🤙🏼"",FALSE,FALSE)"),545.0)</f>
        <v>545</v>
      </c>
      <c r="I2178" s="5" t="str">
        <f>IFERROR(__xludf.DUMMYFUNCTION("""COMPUTED_VALUE"""),"Night of the Living Dead")</f>
        <v>Night of the Living Dead</v>
      </c>
      <c r="J2178" s="5" t="str">
        <f>IFERROR(__xludf.DUMMYFUNCTION("""COMPUTED_VALUE"""),"Duane Jones")</f>
        <v>Duane Jones</v>
      </c>
      <c r="K2178" s="5" t="str">
        <f>IFERROR(__xludf.DUMMYFUNCTION("""COMPUTED_VALUE"""),"Estrela 1")</f>
        <v>Estrela 1</v>
      </c>
      <c r="P2178" s="5">
        <f>IFERROR(__xludf.DUMMYFUNCTION("""COMPUTED_VALUE"""),545.0)</f>
        <v>545</v>
      </c>
      <c r="Q2178" s="5" t="str">
        <f>IFERROR(__xludf.DUMMYFUNCTION("""COMPUTED_VALUE"""),"Night of the Living Dead")</f>
        <v>Night of the Living Dead</v>
      </c>
      <c r="R2178" s="5" t="str">
        <f>IFERROR(__xludf.DUMMYFUNCTION("""COMPUTED_VALUE"""),"Duane Jones")</f>
        <v>Duane Jones</v>
      </c>
      <c r="S2178" s="5" t="str">
        <f>IFERROR(__xludf.DUMMYFUNCTION("""COMPUTED_VALUE"""),"Estrela 1")</f>
        <v>Estrela 1</v>
      </c>
    </row>
    <row r="2179">
      <c r="G2179" s="5" t="str">
        <f>IFERROR(__xludf.DUMMYFUNCTION("""COMPUTED_VALUE"""),"545🤙🏼Night of the Living Dead🤙🏼Judith O'Dea🤙🏼Estrela 2")</f>
        <v>545🤙🏼Night of the Living Dead🤙🏼Judith O'Dea🤙🏼Estrela 2</v>
      </c>
      <c r="H2179" s="5">
        <f>IFERROR(__xludf.DUMMYFUNCTION("SPLiT(G2179, ""🤙🏼"",FALSE,FALSE)"),545.0)</f>
        <v>545</v>
      </c>
      <c r="I2179" s="5" t="str">
        <f>IFERROR(__xludf.DUMMYFUNCTION("""COMPUTED_VALUE"""),"Night of the Living Dead")</f>
        <v>Night of the Living Dead</v>
      </c>
      <c r="J2179" s="5" t="str">
        <f>IFERROR(__xludf.DUMMYFUNCTION("""COMPUTED_VALUE"""),"Judith O'Dea")</f>
        <v>Judith O'Dea</v>
      </c>
      <c r="K2179" s="5" t="str">
        <f>IFERROR(__xludf.DUMMYFUNCTION("""COMPUTED_VALUE"""),"Estrela 2")</f>
        <v>Estrela 2</v>
      </c>
      <c r="P2179" s="5">
        <f>IFERROR(__xludf.DUMMYFUNCTION("""COMPUTED_VALUE"""),545.0)</f>
        <v>545</v>
      </c>
      <c r="Q2179" s="5" t="str">
        <f>IFERROR(__xludf.DUMMYFUNCTION("""COMPUTED_VALUE"""),"Night of the Living Dead")</f>
        <v>Night of the Living Dead</v>
      </c>
      <c r="R2179" s="5" t="str">
        <f>IFERROR(__xludf.DUMMYFUNCTION("""COMPUTED_VALUE"""),"Judith O'Dea")</f>
        <v>Judith O'Dea</v>
      </c>
      <c r="S2179" s="5" t="str">
        <f>IFERROR(__xludf.DUMMYFUNCTION("""COMPUTED_VALUE"""),"Estrela 2")</f>
        <v>Estrela 2</v>
      </c>
    </row>
    <row r="2180">
      <c r="G2180" s="5" t="str">
        <f>IFERROR(__xludf.DUMMYFUNCTION("""COMPUTED_VALUE"""),"545🤙🏼Night of the Living Dead🤙🏼Karl Hardman🤙🏼Estrela 3")</f>
        <v>545🤙🏼Night of the Living Dead🤙🏼Karl Hardman🤙🏼Estrela 3</v>
      </c>
      <c r="H2180" s="5">
        <f>IFERROR(__xludf.DUMMYFUNCTION("SPLiT(G2180, ""🤙🏼"",FALSE,FALSE)"),545.0)</f>
        <v>545</v>
      </c>
      <c r="I2180" s="5" t="str">
        <f>IFERROR(__xludf.DUMMYFUNCTION("""COMPUTED_VALUE"""),"Night of the Living Dead")</f>
        <v>Night of the Living Dead</v>
      </c>
      <c r="J2180" s="5" t="str">
        <f>IFERROR(__xludf.DUMMYFUNCTION("""COMPUTED_VALUE"""),"Karl Hardman")</f>
        <v>Karl Hardman</v>
      </c>
      <c r="K2180" s="5" t="str">
        <f>IFERROR(__xludf.DUMMYFUNCTION("""COMPUTED_VALUE"""),"Estrela 3")</f>
        <v>Estrela 3</v>
      </c>
      <c r="P2180" s="5">
        <f>IFERROR(__xludf.DUMMYFUNCTION("""COMPUTED_VALUE"""),545.0)</f>
        <v>545</v>
      </c>
      <c r="Q2180" s="5" t="str">
        <f>IFERROR(__xludf.DUMMYFUNCTION("""COMPUTED_VALUE"""),"Night of the Living Dead")</f>
        <v>Night of the Living Dead</v>
      </c>
      <c r="R2180" s="5" t="str">
        <f>IFERROR(__xludf.DUMMYFUNCTION("""COMPUTED_VALUE"""),"Karl Hardman")</f>
        <v>Karl Hardman</v>
      </c>
      <c r="S2180" s="5" t="str">
        <f>IFERROR(__xludf.DUMMYFUNCTION("""COMPUTED_VALUE"""),"Estrela 3")</f>
        <v>Estrela 3</v>
      </c>
    </row>
    <row r="2181">
      <c r="G2181" s="5" t="str">
        <f>IFERROR(__xludf.DUMMYFUNCTION("""COMPUTED_VALUE"""),"545🤙🏼Night of the Living Dead🤙🏼Marilyn Eastman🤙🏼Estrela 4")</f>
        <v>545🤙🏼Night of the Living Dead🤙🏼Marilyn Eastman🤙🏼Estrela 4</v>
      </c>
      <c r="H2181" s="5">
        <f>IFERROR(__xludf.DUMMYFUNCTION("SPLiT(G2181, ""🤙🏼"",FALSE,FALSE)"),545.0)</f>
        <v>545</v>
      </c>
      <c r="I2181" s="5" t="str">
        <f>IFERROR(__xludf.DUMMYFUNCTION("""COMPUTED_VALUE"""),"Night of the Living Dead")</f>
        <v>Night of the Living Dead</v>
      </c>
      <c r="J2181" s="5" t="str">
        <f>IFERROR(__xludf.DUMMYFUNCTION("""COMPUTED_VALUE"""),"Marilyn Eastman")</f>
        <v>Marilyn Eastman</v>
      </c>
      <c r="K2181" s="5" t="str">
        <f>IFERROR(__xludf.DUMMYFUNCTION("""COMPUTED_VALUE"""),"Estrela 4")</f>
        <v>Estrela 4</v>
      </c>
      <c r="P2181" s="5">
        <f>IFERROR(__xludf.DUMMYFUNCTION("""COMPUTED_VALUE"""),545.0)</f>
        <v>545</v>
      </c>
      <c r="Q2181" s="5" t="str">
        <f>IFERROR(__xludf.DUMMYFUNCTION("""COMPUTED_VALUE"""),"Night of the Living Dead")</f>
        <v>Night of the Living Dead</v>
      </c>
      <c r="R2181" s="5" t="str">
        <f>IFERROR(__xludf.DUMMYFUNCTION("""COMPUTED_VALUE"""),"Marilyn Eastman")</f>
        <v>Marilyn Eastman</v>
      </c>
      <c r="S2181" s="5" t="str">
        <f>IFERROR(__xludf.DUMMYFUNCTION("""COMPUTED_VALUE"""),"Estrela 4")</f>
        <v>Estrela 4</v>
      </c>
    </row>
    <row r="2182">
      <c r="G2182" s="5" t="str">
        <f>IFERROR(__xludf.DUMMYFUNCTION("""COMPUTED_VALUE"""),"546🤙🏼The Lion in Winter🤙🏼Peter O'Toole🤙🏼Estrela 1")</f>
        <v>546🤙🏼The Lion in Winter🤙🏼Peter O'Toole🤙🏼Estrela 1</v>
      </c>
      <c r="H2182" s="5">
        <f>IFERROR(__xludf.DUMMYFUNCTION("SPLiT(G2182, ""🤙🏼"",FALSE,FALSE)"),546.0)</f>
        <v>546</v>
      </c>
      <c r="I2182" s="5" t="str">
        <f>IFERROR(__xludf.DUMMYFUNCTION("""COMPUTED_VALUE"""),"The Lion in Winter")</f>
        <v>The Lion in Winter</v>
      </c>
      <c r="J2182" s="5" t="str">
        <f>IFERROR(__xludf.DUMMYFUNCTION("""COMPUTED_VALUE"""),"Peter O'Toole")</f>
        <v>Peter O'Toole</v>
      </c>
      <c r="K2182" s="5" t="str">
        <f>IFERROR(__xludf.DUMMYFUNCTION("""COMPUTED_VALUE"""),"Estrela 1")</f>
        <v>Estrela 1</v>
      </c>
      <c r="P2182" s="5">
        <f>IFERROR(__xludf.DUMMYFUNCTION("""COMPUTED_VALUE"""),546.0)</f>
        <v>546</v>
      </c>
      <c r="Q2182" s="5" t="str">
        <f>IFERROR(__xludf.DUMMYFUNCTION("""COMPUTED_VALUE"""),"The Lion in Winter")</f>
        <v>The Lion in Winter</v>
      </c>
      <c r="R2182" s="5" t="str">
        <f>IFERROR(__xludf.DUMMYFUNCTION("""COMPUTED_VALUE"""),"Peter O'Toole")</f>
        <v>Peter O'Toole</v>
      </c>
      <c r="S2182" s="5" t="str">
        <f>IFERROR(__xludf.DUMMYFUNCTION("""COMPUTED_VALUE"""),"Estrela 1")</f>
        <v>Estrela 1</v>
      </c>
    </row>
    <row r="2183">
      <c r="G2183" s="5" t="str">
        <f>IFERROR(__xludf.DUMMYFUNCTION("""COMPUTED_VALUE"""),"546🤙🏼The Lion in Winter🤙🏼Katharine Hepburn🤙🏼Estrela 2")</f>
        <v>546🤙🏼The Lion in Winter🤙🏼Katharine Hepburn🤙🏼Estrela 2</v>
      </c>
      <c r="H2183" s="5">
        <f>IFERROR(__xludf.DUMMYFUNCTION("SPLiT(G2183, ""🤙🏼"",FALSE,FALSE)"),546.0)</f>
        <v>546</v>
      </c>
      <c r="I2183" s="5" t="str">
        <f>IFERROR(__xludf.DUMMYFUNCTION("""COMPUTED_VALUE"""),"The Lion in Winter")</f>
        <v>The Lion in Winter</v>
      </c>
      <c r="J2183" s="5" t="str">
        <f>IFERROR(__xludf.DUMMYFUNCTION("""COMPUTED_VALUE"""),"Katharine Hepburn")</f>
        <v>Katharine Hepburn</v>
      </c>
      <c r="K2183" s="5" t="str">
        <f>IFERROR(__xludf.DUMMYFUNCTION("""COMPUTED_VALUE"""),"Estrela 2")</f>
        <v>Estrela 2</v>
      </c>
      <c r="P2183" s="5">
        <f>IFERROR(__xludf.DUMMYFUNCTION("""COMPUTED_VALUE"""),546.0)</f>
        <v>546</v>
      </c>
      <c r="Q2183" s="5" t="str">
        <f>IFERROR(__xludf.DUMMYFUNCTION("""COMPUTED_VALUE"""),"The Lion in Winter")</f>
        <v>The Lion in Winter</v>
      </c>
      <c r="R2183" s="5" t="str">
        <f>IFERROR(__xludf.DUMMYFUNCTION("""COMPUTED_VALUE"""),"Katharine Hepburn")</f>
        <v>Katharine Hepburn</v>
      </c>
      <c r="S2183" s="5" t="str">
        <f>IFERROR(__xludf.DUMMYFUNCTION("""COMPUTED_VALUE"""),"Estrela 2")</f>
        <v>Estrela 2</v>
      </c>
    </row>
    <row r="2184">
      <c r="G2184" s="5" t="str">
        <f>IFERROR(__xludf.DUMMYFUNCTION("""COMPUTED_VALUE"""),"546🤙🏼The Lion in Winter🤙🏼Anthony Hopkins🤙🏼Estrela 3")</f>
        <v>546🤙🏼The Lion in Winter🤙🏼Anthony Hopkins🤙🏼Estrela 3</v>
      </c>
      <c r="H2184" s="5">
        <f>IFERROR(__xludf.DUMMYFUNCTION("SPLiT(G2184, ""🤙🏼"",FALSE,FALSE)"),546.0)</f>
        <v>546</v>
      </c>
      <c r="I2184" s="5" t="str">
        <f>IFERROR(__xludf.DUMMYFUNCTION("""COMPUTED_VALUE"""),"The Lion in Winter")</f>
        <v>The Lion in Winter</v>
      </c>
      <c r="J2184" s="5" t="str">
        <f>IFERROR(__xludf.DUMMYFUNCTION("""COMPUTED_VALUE"""),"Anthony Hopkins")</f>
        <v>Anthony Hopkins</v>
      </c>
      <c r="K2184" s="5" t="str">
        <f>IFERROR(__xludf.DUMMYFUNCTION("""COMPUTED_VALUE"""),"Estrela 3")</f>
        <v>Estrela 3</v>
      </c>
      <c r="P2184" s="5">
        <f>IFERROR(__xludf.DUMMYFUNCTION("""COMPUTED_VALUE"""),546.0)</f>
        <v>546</v>
      </c>
      <c r="Q2184" s="5" t="str">
        <f>IFERROR(__xludf.DUMMYFUNCTION("""COMPUTED_VALUE"""),"The Lion in Winter")</f>
        <v>The Lion in Winter</v>
      </c>
      <c r="R2184" s="5" t="str">
        <f>IFERROR(__xludf.DUMMYFUNCTION("""COMPUTED_VALUE"""),"Anthony Hopkins")</f>
        <v>Anthony Hopkins</v>
      </c>
      <c r="S2184" s="5" t="str">
        <f>IFERROR(__xludf.DUMMYFUNCTION("""COMPUTED_VALUE"""),"Estrela 3")</f>
        <v>Estrela 3</v>
      </c>
    </row>
    <row r="2185">
      <c r="G2185" s="5" t="str">
        <f>IFERROR(__xludf.DUMMYFUNCTION("""COMPUTED_VALUE"""),"546🤙🏼The Lion in Winter🤙🏼John Castle🤙🏼Estrela 4")</f>
        <v>546🤙🏼The Lion in Winter🤙🏼John Castle🤙🏼Estrela 4</v>
      </c>
      <c r="H2185" s="5">
        <f>IFERROR(__xludf.DUMMYFUNCTION("SPLiT(G2185, ""🤙🏼"",FALSE,FALSE)"),546.0)</f>
        <v>546</v>
      </c>
      <c r="I2185" s="5" t="str">
        <f>IFERROR(__xludf.DUMMYFUNCTION("""COMPUTED_VALUE"""),"The Lion in Winter")</f>
        <v>The Lion in Winter</v>
      </c>
      <c r="J2185" s="5" t="str">
        <f>IFERROR(__xludf.DUMMYFUNCTION("""COMPUTED_VALUE"""),"John Castle")</f>
        <v>John Castle</v>
      </c>
      <c r="K2185" s="5" t="str">
        <f>IFERROR(__xludf.DUMMYFUNCTION("""COMPUTED_VALUE"""),"Estrela 4")</f>
        <v>Estrela 4</v>
      </c>
      <c r="P2185" s="5">
        <f>IFERROR(__xludf.DUMMYFUNCTION("""COMPUTED_VALUE"""),546.0)</f>
        <v>546</v>
      </c>
      <c r="Q2185" s="5" t="str">
        <f>IFERROR(__xludf.DUMMYFUNCTION("""COMPUTED_VALUE"""),"The Lion in Winter")</f>
        <v>The Lion in Winter</v>
      </c>
      <c r="R2185" s="5" t="str">
        <f>IFERROR(__xludf.DUMMYFUNCTION("""COMPUTED_VALUE"""),"John Castle")</f>
        <v>John Castle</v>
      </c>
      <c r="S2185" s="5" t="str">
        <f>IFERROR(__xludf.DUMMYFUNCTION("""COMPUTED_VALUE"""),"Estrela 4")</f>
        <v>Estrela 4</v>
      </c>
    </row>
    <row r="2186">
      <c r="G2186" s="5" t="str">
        <f>IFERROR(__xludf.DUMMYFUNCTION("""COMPUTED_VALUE"""),"547🤙🏼In the Heat of the Night🤙🏼Sidney Poitier🤙🏼Estrela 1")</f>
        <v>547🤙🏼In the Heat of the Night🤙🏼Sidney Poitier🤙🏼Estrela 1</v>
      </c>
      <c r="H2186" s="5">
        <f>IFERROR(__xludf.DUMMYFUNCTION("SPLiT(G2186, ""🤙🏼"",FALSE,FALSE)"),547.0)</f>
        <v>547</v>
      </c>
      <c r="I2186" s="5" t="str">
        <f>IFERROR(__xludf.DUMMYFUNCTION("""COMPUTED_VALUE"""),"In the Heat of the Night")</f>
        <v>In the Heat of the Night</v>
      </c>
      <c r="J2186" s="5" t="str">
        <f>IFERROR(__xludf.DUMMYFUNCTION("""COMPUTED_VALUE"""),"Sidney Poitier")</f>
        <v>Sidney Poitier</v>
      </c>
      <c r="K2186" s="5" t="str">
        <f>IFERROR(__xludf.DUMMYFUNCTION("""COMPUTED_VALUE"""),"Estrela 1")</f>
        <v>Estrela 1</v>
      </c>
      <c r="P2186" s="5">
        <f>IFERROR(__xludf.DUMMYFUNCTION("""COMPUTED_VALUE"""),547.0)</f>
        <v>547</v>
      </c>
      <c r="Q2186" s="5" t="str">
        <f>IFERROR(__xludf.DUMMYFUNCTION("""COMPUTED_VALUE"""),"In the Heat of the Night")</f>
        <v>In the Heat of the Night</v>
      </c>
      <c r="R2186" s="5" t="str">
        <f>IFERROR(__xludf.DUMMYFUNCTION("""COMPUTED_VALUE"""),"Sidney Poitier")</f>
        <v>Sidney Poitier</v>
      </c>
      <c r="S2186" s="5" t="str">
        <f>IFERROR(__xludf.DUMMYFUNCTION("""COMPUTED_VALUE"""),"Estrela 1")</f>
        <v>Estrela 1</v>
      </c>
    </row>
    <row r="2187">
      <c r="G2187" s="5" t="str">
        <f>IFERROR(__xludf.DUMMYFUNCTION("""COMPUTED_VALUE"""),"547🤙🏼In the Heat of the Night🤙🏼Rod Steiger🤙🏼Estrela 2")</f>
        <v>547🤙🏼In the Heat of the Night🤙🏼Rod Steiger🤙🏼Estrela 2</v>
      </c>
      <c r="H2187" s="5">
        <f>IFERROR(__xludf.DUMMYFUNCTION("SPLiT(G2187, ""🤙🏼"",FALSE,FALSE)"),547.0)</f>
        <v>547</v>
      </c>
      <c r="I2187" s="5" t="str">
        <f>IFERROR(__xludf.DUMMYFUNCTION("""COMPUTED_VALUE"""),"In the Heat of the Night")</f>
        <v>In the Heat of the Night</v>
      </c>
      <c r="J2187" s="5" t="str">
        <f>IFERROR(__xludf.DUMMYFUNCTION("""COMPUTED_VALUE"""),"Rod Steiger")</f>
        <v>Rod Steiger</v>
      </c>
      <c r="K2187" s="5" t="str">
        <f>IFERROR(__xludf.DUMMYFUNCTION("""COMPUTED_VALUE"""),"Estrela 2")</f>
        <v>Estrela 2</v>
      </c>
      <c r="P2187" s="5">
        <f>IFERROR(__xludf.DUMMYFUNCTION("""COMPUTED_VALUE"""),547.0)</f>
        <v>547</v>
      </c>
      <c r="Q2187" s="5" t="str">
        <f>IFERROR(__xludf.DUMMYFUNCTION("""COMPUTED_VALUE"""),"In the Heat of the Night")</f>
        <v>In the Heat of the Night</v>
      </c>
      <c r="R2187" s="5" t="str">
        <f>IFERROR(__xludf.DUMMYFUNCTION("""COMPUTED_VALUE"""),"Rod Steiger")</f>
        <v>Rod Steiger</v>
      </c>
      <c r="S2187" s="5" t="str">
        <f>IFERROR(__xludf.DUMMYFUNCTION("""COMPUTED_VALUE"""),"Estrela 2")</f>
        <v>Estrela 2</v>
      </c>
    </row>
    <row r="2188">
      <c r="G2188" s="5" t="str">
        <f>IFERROR(__xludf.DUMMYFUNCTION("""COMPUTED_VALUE"""),"547🤙🏼In the Heat of the Night🤙🏼Warren Oates🤙🏼Estrela 3")</f>
        <v>547🤙🏼In the Heat of the Night🤙🏼Warren Oates🤙🏼Estrela 3</v>
      </c>
      <c r="H2188" s="5">
        <f>IFERROR(__xludf.DUMMYFUNCTION("SPLiT(G2188, ""🤙🏼"",FALSE,FALSE)"),547.0)</f>
        <v>547</v>
      </c>
      <c r="I2188" s="5" t="str">
        <f>IFERROR(__xludf.DUMMYFUNCTION("""COMPUTED_VALUE"""),"In the Heat of the Night")</f>
        <v>In the Heat of the Night</v>
      </c>
      <c r="J2188" s="5" t="str">
        <f>IFERROR(__xludf.DUMMYFUNCTION("""COMPUTED_VALUE"""),"Warren Oates")</f>
        <v>Warren Oates</v>
      </c>
      <c r="K2188" s="5" t="str">
        <f>IFERROR(__xludf.DUMMYFUNCTION("""COMPUTED_VALUE"""),"Estrela 3")</f>
        <v>Estrela 3</v>
      </c>
      <c r="P2188" s="5">
        <f>IFERROR(__xludf.DUMMYFUNCTION("""COMPUTED_VALUE"""),547.0)</f>
        <v>547</v>
      </c>
      <c r="Q2188" s="5" t="str">
        <f>IFERROR(__xludf.DUMMYFUNCTION("""COMPUTED_VALUE"""),"In the Heat of the Night")</f>
        <v>In the Heat of the Night</v>
      </c>
      <c r="R2188" s="5" t="str">
        <f>IFERROR(__xludf.DUMMYFUNCTION("""COMPUTED_VALUE"""),"Warren Oates")</f>
        <v>Warren Oates</v>
      </c>
      <c r="S2188" s="5" t="str">
        <f>IFERROR(__xludf.DUMMYFUNCTION("""COMPUTED_VALUE"""),"Estrela 3")</f>
        <v>Estrela 3</v>
      </c>
    </row>
    <row r="2189">
      <c r="G2189" s="5" t="str">
        <f>IFERROR(__xludf.DUMMYFUNCTION("""COMPUTED_VALUE"""),"547🤙🏼In the Heat of the Night🤙🏼Lee Grant🤙🏼Estrela 4")</f>
        <v>547🤙🏼In the Heat of the Night🤙🏼Lee Grant🤙🏼Estrela 4</v>
      </c>
      <c r="H2189" s="5">
        <f>IFERROR(__xludf.DUMMYFUNCTION("SPLiT(G2189, ""🤙🏼"",FALSE,FALSE)"),547.0)</f>
        <v>547</v>
      </c>
      <c r="I2189" s="5" t="str">
        <f>IFERROR(__xludf.DUMMYFUNCTION("""COMPUTED_VALUE"""),"In the Heat of the Night")</f>
        <v>In the Heat of the Night</v>
      </c>
      <c r="J2189" s="5" t="str">
        <f>IFERROR(__xludf.DUMMYFUNCTION("""COMPUTED_VALUE"""),"Lee Grant")</f>
        <v>Lee Grant</v>
      </c>
      <c r="K2189" s="5" t="str">
        <f>IFERROR(__xludf.DUMMYFUNCTION("""COMPUTED_VALUE"""),"Estrela 4")</f>
        <v>Estrela 4</v>
      </c>
      <c r="P2189" s="5">
        <f>IFERROR(__xludf.DUMMYFUNCTION("""COMPUTED_VALUE"""),547.0)</f>
        <v>547</v>
      </c>
      <c r="Q2189" s="5" t="str">
        <f>IFERROR(__xludf.DUMMYFUNCTION("""COMPUTED_VALUE"""),"In the Heat of the Night")</f>
        <v>In the Heat of the Night</v>
      </c>
      <c r="R2189" s="5" t="str">
        <f>IFERROR(__xludf.DUMMYFUNCTION("""COMPUTED_VALUE"""),"Lee Grant")</f>
        <v>Lee Grant</v>
      </c>
      <c r="S2189" s="5" t="str">
        <f>IFERROR(__xludf.DUMMYFUNCTION("""COMPUTED_VALUE"""),"Estrela 4")</f>
        <v>Estrela 4</v>
      </c>
    </row>
    <row r="2190">
      <c r="G2190" s="5" t="str">
        <f>IFERROR(__xludf.DUMMYFUNCTION("""COMPUTED_VALUE"""),"548🤙🏼Charade🤙🏼Cary Grant🤙🏼Estrela 1")</f>
        <v>548🤙🏼Charade🤙🏼Cary Grant🤙🏼Estrela 1</v>
      </c>
      <c r="H2190" s="5">
        <f>IFERROR(__xludf.DUMMYFUNCTION("SPLiT(G2190, ""🤙🏼"",FALSE,FALSE)"),548.0)</f>
        <v>548</v>
      </c>
      <c r="I2190" s="5" t="str">
        <f>IFERROR(__xludf.DUMMYFUNCTION("""COMPUTED_VALUE"""),"Charade")</f>
        <v>Charade</v>
      </c>
      <c r="J2190" s="5" t="str">
        <f>IFERROR(__xludf.DUMMYFUNCTION("""COMPUTED_VALUE"""),"Cary Grant")</f>
        <v>Cary Grant</v>
      </c>
      <c r="K2190" s="5" t="str">
        <f>IFERROR(__xludf.DUMMYFUNCTION("""COMPUTED_VALUE"""),"Estrela 1")</f>
        <v>Estrela 1</v>
      </c>
      <c r="P2190" s="5">
        <f>IFERROR(__xludf.DUMMYFUNCTION("""COMPUTED_VALUE"""),548.0)</f>
        <v>548</v>
      </c>
      <c r="Q2190" s="5" t="str">
        <f>IFERROR(__xludf.DUMMYFUNCTION("""COMPUTED_VALUE"""),"Charade")</f>
        <v>Charade</v>
      </c>
      <c r="R2190" s="5" t="str">
        <f>IFERROR(__xludf.DUMMYFUNCTION("""COMPUTED_VALUE"""),"Cary Grant")</f>
        <v>Cary Grant</v>
      </c>
      <c r="S2190" s="5" t="str">
        <f>IFERROR(__xludf.DUMMYFUNCTION("""COMPUTED_VALUE"""),"Estrela 1")</f>
        <v>Estrela 1</v>
      </c>
    </row>
    <row r="2191">
      <c r="G2191" s="5" t="str">
        <f>IFERROR(__xludf.DUMMYFUNCTION("""COMPUTED_VALUE"""),"548🤙🏼Charade🤙🏼Audrey Hepburn🤙🏼Estrela 2")</f>
        <v>548🤙🏼Charade🤙🏼Audrey Hepburn🤙🏼Estrela 2</v>
      </c>
      <c r="H2191" s="5">
        <f>IFERROR(__xludf.DUMMYFUNCTION("SPLiT(G2191, ""🤙🏼"",FALSE,FALSE)"),548.0)</f>
        <v>548</v>
      </c>
      <c r="I2191" s="5" t="str">
        <f>IFERROR(__xludf.DUMMYFUNCTION("""COMPUTED_VALUE"""),"Charade")</f>
        <v>Charade</v>
      </c>
      <c r="J2191" s="5" t="str">
        <f>IFERROR(__xludf.DUMMYFUNCTION("""COMPUTED_VALUE"""),"Audrey Hepburn")</f>
        <v>Audrey Hepburn</v>
      </c>
      <c r="K2191" s="5" t="str">
        <f>IFERROR(__xludf.DUMMYFUNCTION("""COMPUTED_VALUE"""),"Estrela 2")</f>
        <v>Estrela 2</v>
      </c>
      <c r="P2191" s="5">
        <f>IFERROR(__xludf.DUMMYFUNCTION("""COMPUTED_VALUE"""),548.0)</f>
        <v>548</v>
      </c>
      <c r="Q2191" s="5" t="str">
        <f>IFERROR(__xludf.DUMMYFUNCTION("""COMPUTED_VALUE"""),"Charade")</f>
        <v>Charade</v>
      </c>
      <c r="R2191" s="5" t="str">
        <f>IFERROR(__xludf.DUMMYFUNCTION("""COMPUTED_VALUE"""),"Audrey Hepburn")</f>
        <v>Audrey Hepburn</v>
      </c>
      <c r="S2191" s="5" t="str">
        <f>IFERROR(__xludf.DUMMYFUNCTION("""COMPUTED_VALUE"""),"Estrela 2")</f>
        <v>Estrela 2</v>
      </c>
    </row>
    <row r="2192">
      <c r="G2192" s="5" t="str">
        <f>IFERROR(__xludf.DUMMYFUNCTION("""COMPUTED_VALUE"""),"548🤙🏼Charade🤙🏼Walter Matthau🤙🏼Estrela 3")</f>
        <v>548🤙🏼Charade🤙🏼Walter Matthau🤙🏼Estrela 3</v>
      </c>
      <c r="H2192" s="5">
        <f>IFERROR(__xludf.DUMMYFUNCTION("SPLiT(G2192, ""🤙🏼"",FALSE,FALSE)"),548.0)</f>
        <v>548</v>
      </c>
      <c r="I2192" s="5" t="str">
        <f>IFERROR(__xludf.DUMMYFUNCTION("""COMPUTED_VALUE"""),"Charade")</f>
        <v>Charade</v>
      </c>
      <c r="J2192" s="5" t="str">
        <f>IFERROR(__xludf.DUMMYFUNCTION("""COMPUTED_VALUE"""),"Walter Matthau")</f>
        <v>Walter Matthau</v>
      </c>
      <c r="K2192" s="5" t="str">
        <f>IFERROR(__xludf.DUMMYFUNCTION("""COMPUTED_VALUE"""),"Estrela 3")</f>
        <v>Estrela 3</v>
      </c>
      <c r="P2192" s="5">
        <f>IFERROR(__xludf.DUMMYFUNCTION("""COMPUTED_VALUE"""),548.0)</f>
        <v>548</v>
      </c>
      <c r="Q2192" s="5" t="str">
        <f>IFERROR(__xludf.DUMMYFUNCTION("""COMPUTED_VALUE"""),"Charade")</f>
        <v>Charade</v>
      </c>
      <c r="R2192" s="5" t="str">
        <f>IFERROR(__xludf.DUMMYFUNCTION("""COMPUTED_VALUE"""),"Walter Matthau")</f>
        <v>Walter Matthau</v>
      </c>
      <c r="S2192" s="5" t="str">
        <f>IFERROR(__xludf.DUMMYFUNCTION("""COMPUTED_VALUE"""),"Estrela 3")</f>
        <v>Estrela 3</v>
      </c>
    </row>
    <row r="2193">
      <c r="G2193" s="5" t="str">
        <f>IFERROR(__xludf.DUMMYFUNCTION("""COMPUTED_VALUE"""),"548🤙🏼Charade🤙🏼James Coburn🤙🏼Estrela 4")</f>
        <v>548🤙🏼Charade🤙🏼James Coburn🤙🏼Estrela 4</v>
      </c>
      <c r="H2193" s="5">
        <f>IFERROR(__xludf.DUMMYFUNCTION("SPLiT(G2193, ""🤙🏼"",FALSE,FALSE)"),548.0)</f>
        <v>548</v>
      </c>
      <c r="I2193" s="5" t="str">
        <f>IFERROR(__xludf.DUMMYFUNCTION("""COMPUTED_VALUE"""),"Charade")</f>
        <v>Charade</v>
      </c>
      <c r="J2193" s="5" t="str">
        <f>IFERROR(__xludf.DUMMYFUNCTION("""COMPUTED_VALUE"""),"James Coburn")</f>
        <v>James Coburn</v>
      </c>
      <c r="K2193" s="5" t="str">
        <f>IFERROR(__xludf.DUMMYFUNCTION("""COMPUTED_VALUE"""),"Estrela 4")</f>
        <v>Estrela 4</v>
      </c>
      <c r="P2193" s="5">
        <f>IFERROR(__xludf.DUMMYFUNCTION("""COMPUTED_VALUE"""),548.0)</f>
        <v>548</v>
      </c>
      <c r="Q2193" s="5" t="str">
        <f>IFERROR(__xludf.DUMMYFUNCTION("""COMPUTED_VALUE"""),"Charade")</f>
        <v>Charade</v>
      </c>
      <c r="R2193" s="5" t="str">
        <f>IFERROR(__xludf.DUMMYFUNCTION("""COMPUTED_VALUE"""),"James Coburn")</f>
        <v>James Coburn</v>
      </c>
      <c r="S2193" s="5" t="str">
        <f>IFERROR(__xludf.DUMMYFUNCTION("""COMPUTED_VALUE"""),"Estrela 4")</f>
        <v>Estrela 4</v>
      </c>
    </row>
    <row r="2194">
      <c r="G2194" s="5" t="str">
        <f>IFERROR(__xludf.DUMMYFUNCTION("""COMPUTED_VALUE"""),"549🤙🏼The Manchurian Candidate🤙🏼Frank Sinatra🤙🏼Estrela 1")</f>
        <v>549🤙🏼The Manchurian Candidate🤙🏼Frank Sinatra🤙🏼Estrela 1</v>
      </c>
      <c r="H2194" s="5">
        <f>IFERROR(__xludf.DUMMYFUNCTION("SPLiT(G2194, ""🤙🏼"",FALSE,FALSE)"),549.0)</f>
        <v>549</v>
      </c>
      <c r="I2194" s="5" t="str">
        <f>IFERROR(__xludf.DUMMYFUNCTION("""COMPUTED_VALUE"""),"The Manchurian Candidate")</f>
        <v>The Manchurian Candidate</v>
      </c>
      <c r="J2194" s="5" t="str">
        <f>IFERROR(__xludf.DUMMYFUNCTION("""COMPUTED_VALUE"""),"Frank Sinatra")</f>
        <v>Frank Sinatra</v>
      </c>
      <c r="K2194" s="5" t="str">
        <f>IFERROR(__xludf.DUMMYFUNCTION("""COMPUTED_VALUE"""),"Estrela 1")</f>
        <v>Estrela 1</v>
      </c>
      <c r="P2194" s="5">
        <f>IFERROR(__xludf.DUMMYFUNCTION("""COMPUTED_VALUE"""),549.0)</f>
        <v>549</v>
      </c>
      <c r="Q2194" s="5" t="str">
        <f>IFERROR(__xludf.DUMMYFUNCTION("""COMPUTED_VALUE"""),"The Manchurian Candidate")</f>
        <v>The Manchurian Candidate</v>
      </c>
      <c r="R2194" s="5" t="str">
        <f>IFERROR(__xludf.DUMMYFUNCTION("""COMPUTED_VALUE"""),"Frank Sinatra")</f>
        <v>Frank Sinatra</v>
      </c>
      <c r="S2194" s="5" t="str">
        <f>IFERROR(__xludf.DUMMYFUNCTION("""COMPUTED_VALUE"""),"Estrela 1")</f>
        <v>Estrela 1</v>
      </c>
    </row>
    <row r="2195">
      <c r="G2195" s="5" t="str">
        <f>IFERROR(__xludf.DUMMYFUNCTION("""COMPUTED_VALUE"""),"549🤙🏼The Manchurian Candidate🤙🏼Laurence Harvey🤙🏼Estrela 2")</f>
        <v>549🤙🏼The Manchurian Candidate🤙🏼Laurence Harvey🤙🏼Estrela 2</v>
      </c>
      <c r="H2195" s="5">
        <f>IFERROR(__xludf.DUMMYFUNCTION("SPLiT(G2195, ""🤙🏼"",FALSE,FALSE)"),549.0)</f>
        <v>549</v>
      </c>
      <c r="I2195" s="5" t="str">
        <f>IFERROR(__xludf.DUMMYFUNCTION("""COMPUTED_VALUE"""),"The Manchurian Candidate")</f>
        <v>The Manchurian Candidate</v>
      </c>
      <c r="J2195" s="5" t="str">
        <f>IFERROR(__xludf.DUMMYFUNCTION("""COMPUTED_VALUE"""),"Laurence Harvey")</f>
        <v>Laurence Harvey</v>
      </c>
      <c r="K2195" s="5" t="str">
        <f>IFERROR(__xludf.DUMMYFUNCTION("""COMPUTED_VALUE"""),"Estrela 2")</f>
        <v>Estrela 2</v>
      </c>
      <c r="P2195" s="5">
        <f>IFERROR(__xludf.DUMMYFUNCTION("""COMPUTED_VALUE"""),549.0)</f>
        <v>549</v>
      </c>
      <c r="Q2195" s="5" t="str">
        <f>IFERROR(__xludf.DUMMYFUNCTION("""COMPUTED_VALUE"""),"The Manchurian Candidate")</f>
        <v>The Manchurian Candidate</v>
      </c>
      <c r="R2195" s="5" t="str">
        <f>IFERROR(__xludf.DUMMYFUNCTION("""COMPUTED_VALUE"""),"Laurence Harvey")</f>
        <v>Laurence Harvey</v>
      </c>
      <c r="S2195" s="5" t="str">
        <f>IFERROR(__xludf.DUMMYFUNCTION("""COMPUTED_VALUE"""),"Estrela 2")</f>
        <v>Estrela 2</v>
      </c>
    </row>
    <row r="2196">
      <c r="G2196" s="5" t="str">
        <f>IFERROR(__xludf.DUMMYFUNCTION("""COMPUTED_VALUE"""),"549🤙🏼The Manchurian Candidate🤙🏼Janet Leigh🤙🏼Estrela 3")</f>
        <v>549🤙🏼The Manchurian Candidate🤙🏼Janet Leigh🤙🏼Estrela 3</v>
      </c>
      <c r="H2196" s="5">
        <f>IFERROR(__xludf.DUMMYFUNCTION("SPLiT(G2196, ""🤙🏼"",FALSE,FALSE)"),549.0)</f>
        <v>549</v>
      </c>
      <c r="I2196" s="5" t="str">
        <f>IFERROR(__xludf.DUMMYFUNCTION("""COMPUTED_VALUE"""),"The Manchurian Candidate")</f>
        <v>The Manchurian Candidate</v>
      </c>
      <c r="J2196" s="5" t="str">
        <f>IFERROR(__xludf.DUMMYFUNCTION("""COMPUTED_VALUE"""),"Janet Leigh")</f>
        <v>Janet Leigh</v>
      </c>
      <c r="K2196" s="5" t="str">
        <f>IFERROR(__xludf.DUMMYFUNCTION("""COMPUTED_VALUE"""),"Estrela 3")</f>
        <v>Estrela 3</v>
      </c>
      <c r="P2196" s="5">
        <f>IFERROR(__xludf.DUMMYFUNCTION("""COMPUTED_VALUE"""),549.0)</f>
        <v>549</v>
      </c>
      <c r="Q2196" s="5" t="str">
        <f>IFERROR(__xludf.DUMMYFUNCTION("""COMPUTED_VALUE"""),"The Manchurian Candidate")</f>
        <v>The Manchurian Candidate</v>
      </c>
      <c r="R2196" s="5" t="str">
        <f>IFERROR(__xludf.DUMMYFUNCTION("""COMPUTED_VALUE"""),"Janet Leigh")</f>
        <v>Janet Leigh</v>
      </c>
      <c r="S2196" s="5" t="str">
        <f>IFERROR(__xludf.DUMMYFUNCTION("""COMPUTED_VALUE"""),"Estrela 3")</f>
        <v>Estrela 3</v>
      </c>
    </row>
    <row r="2197">
      <c r="G2197" s="5" t="str">
        <f>IFERROR(__xludf.DUMMYFUNCTION("""COMPUTED_VALUE"""),"549🤙🏼The Manchurian Candidate🤙🏼Angela Lansbury🤙🏼Estrela 4")</f>
        <v>549🤙🏼The Manchurian Candidate🤙🏼Angela Lansbury🤙🏼Estrela 4</v>
      </c>
      <c r="H2197" s="5">
        <f>IFERROR(__xludf.DUMMYFUNCTION("SPLiT(G2197, ""🤙🏼"",FALSE,FALSE)"),549.0)</f>
        <v>549</v>
      </c>
      <c r="I2197" s="5" t="str">
        <f>IFERROR(__xludf.DUMMYFUNCTION("""COMPUTED_VALUE"""),"The Manchurian Candidate")</f>
        <v>The Manchurian Candidate</v>
      </c>
      <c r="J2197" s="5" t="str">
        <f>IFERROR(__xludf.DUMMYFUNCTION("""COMPUTED_VALUE"""),"Angela Lansbury")</f>
        <v>Angela Lansbury</v>
      </c>
      <c r="K2197" s="5" t="str">
        <f>IFERROR(__xludf.DUMMYFUNCTION("""COMPUTED_VALUE"""),"Estrela 4")</f>
        <v>Estrela 4</v>
      </c>
      <c r="P2197" s="5">
        <f>IFERROR(__xludf.DUMMYFUNCTION("""COMPUTED_VALUE"""),549.0)</f>
        <v>549</v>
      </c>
      <c r="Q2197" s="5" t="str">
        <f>IFERROR(__xludf.DUMMYFUNCTION("""COMPUTED_VALUE"""),"The Manchurian Candidate")</f>
        <v>The Manchurian Candidate</v>
      </c>
      <c r="R2197" s="5" t="str">
        <f>IFERROR(__xludf.DUMMYFUNCTION("""COMPUTED_VALUE"""),"Angela Lansbury")</f>
        <v>Angela Lansbury</v>
      </c>
      <c r="S2197" s="5" t="str">
        <f>IFERROR(__xludf.DUMMYFUNCTION("""COMPUTED_VALUE"""),"Estrela 4")</f>
        <v>Estrela 4</v>
      </c>
    </row>
    <row r="2198">
      <c r="G2198" s="5" t="str">
        <f>IFERROR(__xludf.DUMMYFUNCTION("""COMPUTED_VALUE"""),"550🤙🏼Spartacus🤙🏼Kirk Douglas🤙🏼Estrela 1")</f>
        <v>550🤙🏼Spartacus🤙🏼Kirk Douglas🤙🏼Estrela 1</v>
      </c>
      <c r="H2198" s="5">
        <f>IFERROR(__xludf.DUMMYFUNCTION("SPLiT(G2198, ""🤙🏼"",FALSE,FALSE)"),550.0)</f>
        <v>550</v>
      </c>
      <c r="I2198" s="5" t="str">
        <f>IFERROR(__xludf.DUMMYFUNCTION("""COMPUTED_VALUE"""),"Spartacus")</f>
        <v>Spartacus</v>
      </c>
      <c r="J2198" s="5" t="str">
        <f>IFERROR(__xludf.DUMMYFUNCTION("""COMPUTED_VALUE"""),"Kirk Douglas")</f>
        <v>Kirk Douglas</v>
      </c>
      <c r="K2198" s="5" t="str">
        <f>IFERROR(__xludf.DUMMYFUNCTION("""COMPUTED_VALUE"""),"Estrela 1")</f>
        <v>Estrela 1</v>
      </c>
      <c r="P2198" s="5">
        <f>IFERROR(__xludf.DUMMYFUNCTION("""COMPUTED_VALUE"""),550.0)</f>
        <v>550</v>
      </c>
      <c r="Q2198" s="5" t="str">
        <f>IFERROR(__xludf.DUMMYFUNCTION("""COMPUTED_VALUE"""),"Spartacus")</f>
        <v>Spartacus</v>
      </c>
      <c r="R2198" s="5" t="str">
        <f>IFERROR(__xludf.DUMMYFUNCTION("""COMPUTED_VALUE"""),"Kirk Douglas")</f>
        <v>Kirk Douglas</v>
      </c>
      <c r="S2198" s="5" t="str">
        <f>IFERROR(__xludf.DUMMYFUNCTION("""COMPUTED_VALUE"""),"Estrela 1")</f>
        <v>Estrela 1</v>
      </c>
    </row>
    <row r="2199">
      <c r="G2199" s="5" t="str">
        <f>IFERROR(__xludf.DUMMYFUNCTION("""COMPUTED_VALUE"""),"550🤙🏼Spartacus🤙🏼Laurence Olivier🤙🏼Estrela 2")</f>
        <v>550🤙🏼Spartacus🤙🏼Laurence Olivier🤙🏼Estrela 2</v>
      </c>
      <c r="H2199" s="5">
        <f>IFERROR(__xludf.DUMMYFUNCTION("SPLiT(G2199, ""🤙🏼"",FALSE,FALSE)"),550.0)</f>
        <v>550</v>
      </c>
      <c r="I2199" s="5" t="str">
        <f>IFERROR(__xludf.DUMMYFUNCTION("""COMPUTED_VALUE"""),"Spartacus")</f>
        <v>Spartacus</v>
      </c>
      <c r="J2199" s="5" t="str">
        <f>IFERROR(__xludf.DUMMYFUNCTION("""COMPUTED_VALUE"""),"Laurence Olivier")</f>
        <v>Laurence Olivier</v>
      </c>
      <c r="K2199" s="5" t="str">
        <f>IFERROR(__xludf.DUMMYFUNCTION("""COMPUTED_VALUE"""),"Estrela 2")</f>
        <v>Estrela 2</v>
      </c>
      <c r="P2199" s="5">
        <f>IFERROR(__xludf.DUMMYFUNCTION("""COMPUTED_VALUE"""),550.0)</f>
        <v>550</v>
      </c>
      <c r="Q2199" s="5" t="str">
        <f>IFERROR(__xludf.DUMMYFUNCTION("""COMPUTED_VALUE"""),"Spartacus")</f>
        <v>Spartacus</v>
      </c>
      <c r="R2199" s="5" t="str">
        <f>IFERROR(__xludf.DUMMYFUNCTION("""COMPUTED_VALUE"""),"Laurence Olivier")</f>
        <v>Laurence Olivier</v>
      </c>
      <c r="S2199" s="5" t="str">
        <f>IFERROR(__xludf.DUMMYFUNCTION("""COMPUTED_VALUE"""),"Estrela 2")</f>
        <v>Estrela 2</v>
      </c>
    </row>
    <row r="2200">
      <c r="G2200" s="5" t="str">
        <f>IFERROR(__xludf.DUMMYFUNCTION("""COMPUTED_VALUE"""),"550🤙🏼Spartacus🤙🏼Jean Simmons🤙🏼Estrela 3")</f>
        <v>550🤙🏼Spartacus🤙🏼Jean Simmons🤙🏼Estrela 3</v>
      </c>
      <c r="H2200" s="5">
        <f>IFERROR(__xludf.DUMMYFUNCTION("SPLiT(G2200, ""🤙🏼"",FALSE,FALSE)"),550.0)</f>
        <v>550</v>
      </c>
      <c r="I2200" s="5" t="str">
        <f>IFERROR(__xludf.DUMMYFUNCTION("""COMPUTED_VALUE"""),"Spartacus")</f>
        <v>Spartacus</v>
      </c>
      <c r="J2200" s="5" t="str">
        <f>IFERROR(__xludf.DUMMYFUNCTION("""COMPUTED_VALUE"""),"Jean Simmons")</f>
        <v>Jean Simmons</v>
      </c>
      <c r="K2200" s="5" t="str">
        <f>IFERROR(__xludf.DUMMYFUNCTION("""COMPUTED_VALUE"""),"Estrela 3")</f>
        <v>Estrela 3</v>
      </c>
      <c r="P2200" s="5">
        <f>IFERROR(__xludf.DUMMYFUNCTION("""COMPUTED_VALUE"""),550.0)</f>
        <v>550</v>
      </c>
      <c r="Q2200" s="5" t="str">
        <f>IFERROR(__xludf.DUMMYFUNCTION("""COMPUTED_VALUE"""),"Spartacus")</f>
        <v>Spartacus</v>
      </c>
      <c r="R2200" s="5" t="str">
        <f>IFERROR(__xludf.DUMMYFUNCTION("""COMPUTED_VALUE"""),"Jean Simmons")</f>
        <v>Jean Simmons</v>
      </c>
      <c r="S2200" s="5" t="str">
        <f>IFERROR(__xludf.DUMMYFUNCTION("""COMPUTED_VALUE"""),"Estrela 3")</f>
        <v>Estrela 3</v>
      </c>
    </row>
    <row r="2201">
      <c r="G2201" s="5" t="str">
        <f>IFERROR(__xludf.DUMMYFUNCTION("""COMPUTED_VALUE"""),"550🤙🏼Spartacus🤙🏼Charles Laughton🤙🏼Estrela 4")</f>
        <v>550🤙🏼Spartacus🤙🏼Charles Laughton🤙🏼Estrela 4</v>
      </c>
      <c r="H2201" s="5">
        <f>IFERROR(__xludf.DUMMYFUNCTION("SPLiT(G2201, ""🤙🏼"",FALSE,FALSE)"),550.0)</f>
        <v>550</v>
      </c>
      <c r="I2201" s="5" t="str">
        <f>IFERROR(__xludf.DUMMYFUNCTION("""COMPUTED_VALUE"""),"Spartacus")</f>
        <v>Spartacus</v>
      </c>
      <c r="J2201" s="5" t="str">
        <f>IFERROR(__xludf.DUMMYFUNCTION("""COMPUTED_VALUE"""),"Charles Laughton")</f>
        <v>Charles Laughton</v>
      </c>
      <c r="K2201" s="5" t="str">
        <f>IFERROR(__xludf.DUMMYFUNCTION("""COMPUTED_VALUE"""),"Estrela 4")</f>
        <v>Estrela 4</v>
      </c>
      <c r="P2201" s="5">
        <f>IFERROR(__xludf.DUMMYFUNCTION("""COMPUTED_VALUE"""),550.0)</f>
        <v>550</v>
      </c>
      <c r="Q2201" s="5" t="str">
        <f>IFERROR(__xludf.DUMMYFUNCTION("""COMPUTED_VALUE"""),"Spartacus")</f>
        <v>Spartacus</v>
      </c>
      <c r="R2201" s="5" t="str">
        <f>IFERROR(__xludf.DUMMYFUNCTION("""COMPUTED_VALUE"""),"Charles Laughton")</f>
        <v>Charles Laughton</v>
      </c>
      <c r="S2201" s="5" t="str">
        <f>IFERROR(__xludf.DUMMYFUNCTION("""COMPUTED_VALUE"""),"Estrela 4")</f>
        <v>Estrela 4</v>
      </c>
    </row>
    <row r="2202">
      <c r="G2202" s="5" t="str">
        <f>IFERROR(__xludf.DUMMYFUNCTION("""COMPUTED_VALUE"""),"551🤙🏼L'avventura🤙🏼Gabriele Ferzetti🤙🏼Estrela 1")</f>
        <v>551🤙🏼L'avventura🤙🏼Gabriele Ferzetti🤙🏼Estrela 1</v>
      </c>
      <c r="H2202" s="5">
        <f>IFERROR(__xludf.DUMMYFUNCTION("SPLiT(G2202, ""🤙🏼"",FALSE,FALSE)"),551.0)</f>
        <v>551</v>
      </c>
      <c r="I2202" s="5" t="str">
        <f>IFERROR(__xludf.DUMMYFUNCTION("""COMPUTED_VALUE"""),"L'avventura")</f>
        <v>L'avventura</v>
      </c>
      <c r="J2202" s="5" t="str">
        <f>IFERROR(__xludf.DUMMYFUNCTION("""COMPUTED_VALUE"""),"Gabriele Ferzetti")</f>
        <v>Gabriele Ferzetti</v>
      </c>
      <c r="K2202" s="5" t="str">
        <f>IFERROR(__xludf.DUMMYFUNCTION("""COMPUTED_VALUE"""),"Estrela 1")</f>
        <v>Estrela 1</v>
      </c>
      <c r="P2202" s="5">
        <f>IFERROR(__xludf.DUMMYFUNCTION("""COMPUTED_VALUE"""),551.0)</f>
        <v>551</v>
      </c>
      <c r="Q2202" s="5" t="str">
        <f>IFERROR(__xludf.DUMMYFUNCTION("""COMPUTED_VALUE"""),"L'avventura")</f>
        <v>L'avventura</v>
      </c>
      <c r="R2202" s="5" t="str">
        <f>IFERROR(__xludf.DUMMYFUNCTION("""COMPUTED_VALUE"""),"Gabriele Ferzetti")</f>
        <v>Gabriele Ferzetti</v>
      </c>
      <c r="S2202" s="5" t="str">
        <f>IFERROR(__xludf.DUMMYFUNCTION("""COMPUTED_VALUE"""),"Estrela 1")</f>
        <v>Estrela 1</v>
      </c>
    </row>
    <row r="2203">
      <c r="G2203" s="5" t="str">
        <f>IFERROR(__xludf.DUMMYFUNCTION("""COMPUTED_VALUE"""),"551🤙🏼L'avventura🤙🏼Monica Vitti🤙🏼Estrela 2")</f>
        <v>551🤙🏼L'avventura🤙🏼Monica Vitti🤙🏼Estrela 2</v>
      </c>
      <c r="H2203" s="5">
        <f>IFERROR(__xludf.DUMMYFUNCTION("SPLiT(G2203, ""🤙🏼"",FALSE,FALSE)"),551.0)</f>
        <v>551</v>
      </c>
      <c r="I2203" s="5" t="str">
        <f>IFERROR(__xludf.DUMMYFUNCTION("""COMPUTED_VALUE"""),"L'avventura")</f>
        <v>L'avventura</v>
      </c>
      <c r="J2203" s="5" t="str">
        <f>IFERROR(__xludf.DUMMYFUNCTION("""COMPUTED_VALUE"""),"Monica Vitti")</f>
        <v>Monica Vitti</v>
      </c>
      <c r="K2203" s="5" t="str">
        <f>IFERROR(__xludf.DUMMYFUNCTION("""COMPUTED_VALUE"""),"Estrela 2")</f>
        <v>Estrela 2</v>
      </c>
      <c r="P2203" s="5">
        <f>IFERROR(__xludf.DUMMYFUNCTION("""COMPUTED_VALUE"""),551.0)</f>
        <v>551</v>
      </c>
      <c r="Q2203" s="5" t="str">
        <f>IFERROR(__xludf.DUMMYFUNCTION("""COMPUTED_VALUE"""),"L'avventura")</f>
        <v>L'avventura</v>
      </c>
      <c r="R2203" s="5" t="str">
        <f>IFERROR(__xludf.DUMMYFUNCTION("""COMPUTED_VALUE"""),"Monica Vitti")</f>
        <v>Monica Vitti</v>
      </c>
      <c r="S2203" s="5" t="str">
        <f>IFERROR(__xludf.DUMMYFUNCTION("""COMPUTED_VALUE"""),"Estrela 2")</f>
        <v>Estrela 2</v>
      </c>
    </row>
    <row r="2204">
      <c r="G2204" s="5" t="str">
        <f>IFERROR(__xludf.DUMMYFUNCTION("""COMPUTED_VALUE"""),"551🤙🏼L'avventura🤙🏼Lea Massari🤙🏼Estrela 3")</f>
        <v>551🤙🏼L'avventura🤙🏼Lea Massari🤙🏼Estrela 3</v>
      </c>
      <c r="H2204" s="5">
        <f>IFERROR(__xludf.DUMMYFUNCTION("SPLiT(G2204, ""🤙🏼"",FALSE,FALSE)"),551.0)</f>
        <v>551</v>
      </c>
      <c r="I2204" s="5" t="str">
        <f>IFERROR(__xludf.DUMMYFUNCTION("""COMPUTED_VALUE"""),"L'avventura")</f>
        <v>L'avventura</v>
      </c>
      <c r="J2204" s="5" t="str">
        <f>IFERROR(__xludf.DUMMYFUNCTION("""COMPUTED_VALUE"""),"Lea Massari")</f>
        <v>Lea Massari</v>
      </c>
      <c r="K2204" s="5" t="str">
        <f>IFERROR(__xludf.DUMMYFUNCTION("""COMPUTED_VALUE"""),"Estrela 3")</f>
        <v>Estrela 3</v>
      </c>
      <c r="P2204" s="5">
        <f>IFERROR(__xludf.DUMMYFUNCTION("""COMPUTED_VALUE"""),551.0)</f>
        <v>551</v>
      </c>
      <c r="Q2204" s="5" t="str">
        <f>IFERROR(__xludf.DUMMYFUNCTION("""COMPUTED_VALUE"""),"L'avventura")</f>
        <v>L'avventura</v>
      </c>
      <c r="R2204" s="5" t="str">
        <f>IFERROR(__xludf.DUMMYFUNCTION("""COMPUTED_VALUE"""),"Lea Massari")</f>
        <v>Lea Massari</v>
      </c>
      <c r="S2204" s="5" t="str">
        <f>IFERROR(__xludf.DUMMYFUNCTION("""COMPUTED_VALUE"""),"Estrela 3")</f>
        <v>Estrela 3</v>
      </c>
    </row>
    <row r="2205">
      <c r="G2205" s="5" t="str">
        <f>IFERROR(__xludf.DUMMYFUNCTION("""COMPUTED_VALUE"""),"551🤙🏼L'avventura🤙🏼Dominique Blanchar🤙🏼Estrela 4")</f>
        <v>551🤙🏼L'avventura🤙🏼Dominique Blanchar🤙🏼Estrela 4</v>
      </c>
      <c r="H2205" s="5">
        <f>IFERROR(__xludf.DUMMYFUNCTION("SPLiT(G2205, ""🤙🏼"",FALSE,FALSE)"),551.0)</f>
        <v>551</v>
      </c>
      <c r="I2205" s="5" t="str">
        <f>IFERROR(__xludf.DUMMYFUNCTION("""COMPUTED_VALUE"""),"L'avventura")</f>
        <v>L'avventura</v>
      </c>
      <c r="J2205" s="5" t="str">
        <f>IFERROR(__xludf.DUMMYFUNCTION("""COMPUTED_VALUE"""),"Dominique Blanchar")</f>
        <v>Dominique Blanchar</v>
      </c>
      <c r="K2205" s="5" t="str">
        <f>IFERROR(__xludf.DUMMYFUNCTION("""COMPUTED_VALUE"""),"Estrela 4")</f>
        <v>Estrela 4</v>
      </c>
      <c r="P2205" s="5">
        <f>IFERROR(__xludf.DUMMYFUNCTION("""COMPUTED_VALUE"""),551.0)</f>
        <v>551</v>
      </c>
      <c r="Q2205" s="5" t="str">
        <f>IFERROR(__xludf.DUMMYFUNCTION("""COMPUTED_VALUE"""),"L'avventura")</f>
        <v>L'avventura</v>
      </c>
      <c r="R2205" s="5" t="str">
        <f>IFERROR(__xludf.DUMMYFUNCTION("""COMPUTED_VALUE"""),"Dominique Blanchar")</f>
        <v>Dominique Blanchar</v>
      </c>
      <c r="S2205" s="5" t="str">
        <f>IFERROR(__xludf.DUMMYFUNCTION("""COMPUTED_VALUE"""),"Estrela 4")</f>
        <v>Estrela 4</v>
      </c>
    </row>
    <row r="2206">
      <c r="G2206" s="5" t="str">
        <f>IFERROR(__xludf.DUMMYFUNCTION("""COMPUTED_VALUE"""),"552🤙🏼Hiroshima mon amour🤙🏼Emmanuelle Riva🤙🏼Estrela 1")</f>
        <v>552🤙🏼Hiroshima mon amour🤙🏼Emmanuelle Riva🤙🏼Estrela 1</v>
      </c>
      <c r="H2206" s="5">
        <f>IFERROR(__xludf.DUMMYFUNCTION("SPLiT(G2206, ""🤙🏼"",FALSE,FALSE)"),552.0)</f>
        <v>552</v>
      </c>
      <c r="I2206" s="5" t="str">
        <f>IFERROR(__xludf.DUMMYFUNCTION("""COMPUTED_VALUE"""),"Hiroshima mon amour")</f>
        <v>Hiroshima mon amour</v>
      </c>
      <c r="J2206" s="5" t="str">
        <f>IFERROR(__xludf.DUMMYFUNCTION("""COMPUTED_VALUE"""),"Emmanuelle Riva")</f>
        <v>Emmanuelle Riva</v>
      </c>
      <c r="K2206" s="5" t="str">
        <f>IFERROR(__xludf.DUMMYFUNCTION("""COMPUTED_VALUE"""),"Estrela 1")</f>
        <v>Estrela 1</v>
      </c>
      <c r="P2206" s="5">
        <f>IFERROR(__xludf.DUMMYFUNCTION("""COMPUTED_VALUE"""),552.0)</f>
        <v>552</v>
      </c>
      <c r="Q2206" s="5" t="str">
        <f>IFERROR(__xludf.DUMMYFUNCTION("""COMPUTED_VALUE"""),"Hiroshima mon amour")</f>
        <v>Hiroshima mon amour</v>
      </c>
      <c r="R2206" s="5" t="str">
        <f>IFERROR(__xludf.DUMMYFUNCTION("""COMPUTED_VALUE"""),"Emmanuelle Riva")</f>
        <v>Emmanuelle Riva</v>
      </c>
      <c r="S2206" s="5" t="str">
        <f>IFERROR(__xludf.DUMMYFUNCTION("""COMPUTED_VALUE"""),"Estrela 1")</f>
        <v>Estrela 1</v>
      </c>
    </row>
    <row r="2207">
      <c r="G2207" s="5" t="str">
        <f>IFERROR(__xludf.DUMMYFUNCTION("""COMPUTED_VALUE"""),"552🤙🏼Hiroshima mon amour🤙🏼Eiji Okada🤙🏼Estrela 2")</f>
        <v>552🤙🏼Hiroshima mon amour🤙🏼Eiji Okada🤙🏼Estrela 2</v>
      </c>
      <c r="H2207" s="5">
        <f>IFERROR(__xludf.DUMMYFUNCTION("SPLiT(G2207, ""🤙🏼"",FALSE,FALSE)"),552.0)</f>
        <v>552</v>
      </c>
      <c r="I2207" s="5" t="str">
        <f>IFERROR(__xludf.DUMMYFUNCTION("""COMPUTED_VALUE"""),"Hiroshima mon amour")</f>
        <v>Hiroshima mon amour</v>
      </c>
      <c r="J2207" s="5" t="str">
        <f>IFERROR(__xludf.DUMMYFUNCTION("""COMPUTED_VALUE"""),"Eiji Okada")</f>
        <v>Eiji Okada</v>
      </c>
      <c r="K2207" s="5" t="str">
        <f>IFERROR(__xludf.DUMMYFUNCTION("""COMPUTED_VALUE"""),"Estrela 2")</f>
        <v>Estrela 2</v>
      </c>
      <c r="P2207" s="5">
        <f>IFERROR(__xludf.DUMMYFUNCTION("""COMPUTED_VALUE"""),552.0)</f>
        <v>552</v>
      </c>
      <c r="Q2207" s="5" t="str">
        <f>IFERROR(__xludf.DUMMYFUNCTION("""COMPUTED_VALUE"""),"Hiroshima mon amour")</f>
        <v>Hiroshima mon amour</v>
      </c>
      <c r="R2207" s="5" t="str">
        <f>IFERROR(__xludf.DUMMYFUNCTION("""COMPUTED_VALUE"""),"Eiji Okada")</f>
        <v>Eiji Okada</v>
      </c>
      <c r="S2207" s="5" t="str">
        <f>IFERROR(__xludf.DUMMYFUNCTION("""COMPUTED_VALUE"""),"Estrela 2")</f>
        <v>Estrela 2</v>
      </c>
    </row>
    <row r="2208">
      <c r="G2208" s="5" t="str">
        <f>IFERROR(__xludf.DUMMYFUNCTION("""COMPUTED_VALUE"""),"552🤙🏼Hiroshima mon amour🤙🏼Stella Dassas🤙🏼Estrela 3")</f>
        <v>552🤙🏼Hiroshima mon amour🤙🏼Stella Dassas🤙🏼Estrela 3</v>
      </c>
      <c r="H2208" s="5">
        <f>IFERROR(__xludf.DUMMYFUNCTION("SPLiT(G2208, ""🤙🏼"",FALSE,FALSE)"),552.0)</f>
        <v>552</v>
      </c>
      <c r="I2208" s="5" t="str">
        <f>IFERROR(__xludf.DUMMYFUNCTION("""COMPUTED_VALUE"""),"Hiroshima mon amour")</f>
        <v>Hiroshima mon amour</v>
      </c>
      <c r="J2208" s="5" t="str">
        <f>IFERROR(__xludf.DUMMYFUNCTION("""COMPUTED_VALUE"""),"Stella Dassas")</f>
        <v>Stella Dassas</v>
      </c>
      <c r="K2208" s="5" t="str">
        <f>IFERROR(__xludf.DUMMYFUNCTION("""COMPUTED_VALUE"""),"Estrela 3")</f>
        <v>Estrela 3</v>
      </c>
      <c r="P2208" s="5">
        <f>IFERROR(__xludf.DUMMYFUNCTION("""COMPUTED_VALUE"""),552.0)</f>
        <v>552</v>
      </c>
      <c r="Q2208" s="5" t="str">
        <f>IFERROR(__xludf.DUMMYFUNCTION("""COMPUTED_VALUE"""),"Hiroshima mon amour")</f>
        <v>Hiroshima mon amour</v>
      </c>
      <c r="R2208" s="5" t="str">
        <f>IFERROR(__xludf.DUMMYFUNCTION("""COMPUTED_VALUE"""),"Stella Dassas")</f>
        <v>Stella Dassas</v>
      </c>
      <c r="S2208" s="5" t="str">
        <f>IFERROR(__xludf.DUMMYFUNCTION("""COMPUTED_VALUE"""),"Estrela 3")</f>
        <v>Estrela 3</v>
      </c>
    </row>
    <row r="2209">
      <c r="G2209" s="5" t="str">
        <f>IFERROR(__xludf.DUMMYFUNCTION("""COMPUTED_VALUE"""),"552🤙🏼Hiroshima mon amour🤙🏼Pierre Barbaud🤙🏼Estrela 4")</f>
        <v>552🤙🏼Hiroshima mon amour🤙🏼Pierre Barbaud🤙🏼Estrela 4</v>
      </c>
      <c r="H2209" s="5">
        <f>IFERROR(__xludf.DUMMYFUNCTION("SPLiT(G2209, ""🤙🏼"",FALSE,FALSE)"),552.0)</f>
        <v>552</v>
      </c>
      <c r="I2209" s="5" t="str">
        <f>IFERROR(__xludf.DUMMYFUNCTION("""COMPUTED_VALUE"""),"Hiroshima mon amour")</f>
        <v>Hiroshima mon amour</v>
      </c>
      <c r="J2209" s="5" t="str">
        <f>IFERROR(__xludf.DUMMYFUNCTION("""COMPUTED_VALUE"""),"Pierre Barbaud")</f>
        <v>Pierre Barbaud</v>
      </c>
      <c r="K2209" s="5" t="str">
        <f>IFERROR(__xludf.DUMMYFUNCTION("""COMPUTED_VALUE"""),"Estrela 4")</f>
        <v>Estrela 4</v>
      </c>
      <c r="P2209" s="5">
        <f>IFERROR(__xludf.DUMMYFUNCTION("""COMPUTED_VALUE"""),552.0)</f>
        <v>552</v>
      </c>
      <c r="Q2209" s="5" t="str">
        <f>IFERROR(__xludf.DUMMYFUNCTION("""COMPUTED_VALUE"""),"Hiroshima mon amour")</f>
        <v>Hiroshima mon amour</v>
      </c>
      <c r="R2209" s="5" t="str">
        <f>IFERROR(__xludf.DUMMYFUNCTION("""COMPUTED_VALUE"""),"Pierre Barbaud")</f>
        <v>Pierre Barbaud</v>
      </c>
      <c r="S2209" s="5" t="str">
        <f>IFERROR(__xludf.DUMMYFUNCTION("""COMPUTED_VALUE"""),"Estrela 4")</f>
        <v>Estrela 4</v>
      </c>
    </row>
    <row r="2210">
      <c r="G2210" s="5" t="str">
        <f>IFERROR(__xludf.DUMMYFUNCTION("""COMPUTED_VALUE"""),"553🤙🏼The Ten Commandments🤙🏼Charlton Heston🤙🏼Estrela 1")</f>
        <v>553🤙🏼The Ten Commandments🤙🏼Charlton Heston🤙🏼Estrela 1</v>
      </c>
      <c r="H2210" s="5">
        <f>IFERROR(__xludf.DUMMYFUNCTION("SPLiT(G2210, ""🤙🏼"",FALSE,FALSE)"),553.0)</f>
        <v>553</v>
      </c>
      <c r="I2210" s="5" t="str">
        <f>IFERROR(__xludf.DUMMYFUNCTION("""COMPUTED_VALUE"""),"The Ten Commandments")</f>
        <v>The Ten Commandments</v>
      </c>
      <c r="J2210" s="5" t="str">
        <f>IFERROR(__xludf.DUMMYFUNCTION("""COMPUTED_VALUE"""),"Charlton Heston")</f>
        <v>Charlton Heston</v>
      </c>
      <c r="K2210" s="5" t="str">
        <f>IFERROR(__xludf.DUMMYFUNCTION("""COMPUTED_VALUE"""),"Estrela 1")</f>
        <v>Estrela 1</v>
      </c>
      <c r="P2210" s="5">
        <f>IFERROR(__xludf.DUMMYFUNCTION("""COMPUTED_VALUE"""),553.0)</f>
        <v>553</v>
      </c>
      <c r="Q2210" s="5" t="str">
        <f>IFERROR(__xludf.DUMMYFUNCTION("""COMPUTED_VALUE"""),"The Ten Commandments")</f>
        <v>The Ten Commandments</v>
      </c>
      <c r="R2210" s="5" t="str">
        <f>IFERROR(__xludf.DUMMYFUNCTION("""COMPUTED_VALUE"""),"Charlton Heston")</f>
        <v>Charlton Heston</v>
      </c>
      <c r="S2210" s="5" t="str">
        <f>IFERROR(__xludf.DUMMYFUNCTION("""COMPUTED_VALUE"""),"Estrela 1")</f>
        <v>Estrela 1</v>
      </c>
    </row>
    <row r="2211">
      <c r="G2211" s="5" t="str">
        <f>IFERROR(__xludf.DUMMYFUNCTION("""COMPUTED_VALUE"""),"553🤙🏼The Ten Commandments🤙🏼Yul Brynner🤙🏼Estrela 2")</f>
        <v>553🤙🏼The Ten Commandments🤙🏼Yul Brynner🤙🏼Estrela 2</v>
      </c>
      <c r="H2211" s="5">
        <f>IFERROR(__xludf.DUMMYFUNCTION("SPLiT(G2211, ""🤙🏼"",FALSE,FALSE)"),553.0)</f>
        <v>553</v>
      </c>
      <c r="I2211" s="5" t="str">
        <f>IFERROR(__xludf.DUMMYFUNCTION("""COMPUTED_VALUE"""),"The Ten Commandments")</f>
        <v>The Ten Commandments</v>
      </c>
      <c r="J2211" s="5" t="str">
        <f>IFERROR(__xludf.DUMMYFUNCTION("""COMPUTED_VALUE"""),"Yul Brynner")</f>
        <v>Yul Brynner</v>
      </c>
      <c r="K2211" s="5" t="str">
        <f>IFERROR(__xludf.DUMMYFUNCTION("""COMPUTED_VALUE"""),"Estrela 2")</f>
        <v>Estrela 2</v>
      </c>
      <c r="P2211" s="5">
        <f>IFERROR(__xludf.DUMMYFUNCTION("""COMPUTED_VALUE"""),553.0)</f>
        <v>553</v>
      </c>
      <c r="Q2211" s="5" t="str">
        <f>IFERROR(__xludf.DUMMYFUNCTION("""COMPUTED_VALUE"""),"The Ten Commandments")</f>
        <v>The Ten Commandments</v>
      </c>
      <c r="R2211" s="5" t="str">
        <f>IFERROR(__xludf.DUMMYFUNCTION("""COMPUTED_VALUE"""),"Yul Brynner")</f>
        <v>Yul Brynner</v>
      </c>
      <c r="S2211" s="5" t="str">
        <f>IFERROR(__xludf.DUMMYFUNCTION("""COMPUTED_VALUE"""),"Estrela 2")</f>
        <v>Estrela 2</v>
      </c>
    </row>
    <row r="2212">
      <c r="G2212" s="5" t="str">
        <f>IFERROR(__xludf.DUMMYFUNCTION("""COMPUTED_VALUE"""),"553🤙🏼The Ten Commandments🤙🏼Anne Baxter🤙🏼Estrela 3")</f>
        <v>553🤙🏼The Ten Commandments🤙🏼Anne Baxter🤙🏼Estrela 3</v>
      </c>
      <c r="H2212" s="5">
        <f>IFERROR(__xludf.DUMMYFUNCTION("SPLiT(G2212, ""🤙🏼"",FALSE,FALSE)"),553.0)</f>
        <v>553</v>
      </c>
      <c r="I2212" s="5" t="str">
        <f>IFERROR(__xludf.DUMMYFUNCTION("""COMPUTED_VALUE"""),"The Ten Commandments")</f>
        <v>The Ten Commandments</v>
      </c>
      <c r="J2212" s="5" t="str">
        <f>IFERROR(__xludf.DUMMYFUNCTION("""COMPUTED_VALUE"""),"Anne Baxter")</f>
        <v>Anne Baxter</v>
      </c>
      <c r="K2212" s="5" t="str">
        <f>IFERROR(__xludf.DUMMYFUNCTION("""COMPUTED_VALUE"""),"Estrela 3")</f>
        <v>Estrela 3</v>
      </c>
      <c r="P2212" s="5">
        <f>IFERROR(__xludf.DUMMYFUNCTION("""COMPUTED_VALUE"""),553.0)</f>
        <v>553</v>
      </c>
      <c r="Q2212" s="5" t="str">
        <f>IFERROR(__xludf.DUMMYFUNCTION("""COMPUTED_VALUE"""),"The Ten Commandments")</f>
        <v>The Ten Commandments</v>
      </c>
      <c r="R2212" s="5" t="str">
        <f>IFERROR(__xludf.DUMMYFUNCTION("""COMPUTED_VALUE"""),"Anne Baxter")</f>
        <v>Anne Baxter</v>
      </c>
      <c r="S2212" s="5" t="str">
        <f>IFERROR(__xludf.DUMMYFUNCTION("""COMPUTED_VALUE"""),"Estrela 3")</f>
        <v>Estrela 3</v>
      </c>
    </row>
    <row r="2213">
      <c r="G2213" s="5" t="str">
        <f>IFERROR(__xludf.DUMMYFUNCTION("""COMPUTED_VALUE"""),"553🤙🏼The Ten Commandments🤙🏼Edward G. Robinson🤙🏼Estrela 4")</f>
        <v>553🤙🏼The Ten Commandments🤙🏼Edward G. Robinson🤙🏼Estrela 4</v>
      </c>
      <c r="H2213" s="5">
        <f>IFERROR(__xludf.DUMMYFUNCTION("SPLiT(G2213, ""🤙🏼"",FALSE,FALSE)"),553.0)</f>
        <v>553</v>
      </c>
      <c r="I2213" s="5" t="str">
        <f>IFERROR(__xludf.DUMMYFUNCTION("""COMPUTED_VALUE"""),"The Ten Commandments")</f>
        <v>The Ten Commandments</v>
      </c>
      <c r="J2213" s="5" t="str">
        <f>IFERROR(__xludf.DUMMYFUNCTION("""COMPUTED_VALUE"""),"Edward G. Robinson")</f>
        <v>Edward G. Robinson</v>
      </c>
      <c r="K2213" s="5" t="str">
        <f>IFERROR(__xludf.DUMMYFUNCTION("""COMPUTED_VALUE"""),"Estrela 4")</f>
        <v>Estrela 4</v>
      </c>
      <c r="P2213" s="5">
        <f>IFERROR(__xludf.DUMMYFUNCTION("""COMPUTED_VALUE"""),553.0)</f>
        <v>553</v>
      </c>
      <c r="Q2213" s="5" t="str">
        <f>IFERROR(__xludf.DUMMYFUNCTION("""COMPUTED_VALUE"""),"The Ten Commandments")</f>
        <v>The Ten Commandments</v>
      </c>
      <c r="R2213" s="5" t="str">
        <f>IFERROR(__xludf.DUMMYFUNCTION("""COMPUTED_VALUE"""),"Edward G. Robinson")</f>
        <v>Edward G. Robinson</v>
      </c>
      <c r="S2213" s="5" t="str">
        <f>IFERROR(__xludf.DUMMYFUNCTION("""COMPUTED_VALUE"""),"Estrela 4")</f>
        <v>Estrela 4</v>
      </c>
    </row>
    <row r="2214">
      <c r="G2214" s="5" t="str">
        <f>IFERROR(__xludf.DUMMYFUNCTION("""COMPUTED_VALUE"""),"554🤙🏼The Searchers🤙🏼John Wayne🤙🏼Estrela 1")</f>
        <v>554🤙🏼The Searchers🤙🏼John Wayne🤙🏼Estrela 1</v>
      </c>
      <c r="H2214" s="5">
        <f>IFERROR(__xludf.DUMMYFUNCTION("SPLiT(G2214, ""🤙🏼"",FALSE,FALSE)"),554.0)</f>
        <v>554</v>
      </c>
      <c r="I2214" s="5" t="str">
        <f>IFERROR(__xludf.DUMMYFUNCTION("""COMPUTED_VALUE"""),"The Searchers")</f>
        <v>The Searchers</v>
      </c>
      <c r="J2214" s="5" t="str">
        <f>IFERROR(__xludf.DUMMYFUNCTION("""COMPUTED_VALUE"""),"John Wayne")</f>
        <v>John Wayne</v>
      </c>
      <c r="K2214" s="5" t="str">
        <f>IFERROR(__xludf.DUMMYFUNCTION("""COMPUTED_VALUE"""),"Estrela 1")</f>
        <v>Estrela 1</v>
      </c>
      <c r="P2214" s="5">
        <f>IFERROR(__xludf.DUMMYFUNCTION("""COMPUTED_VALUE"""),554.0)</f>
        <v>554</v>
      </c>
      <c r="Q2214" s="5" t="str">
        <f>IFERROR(__xludf.DUMMYFUNCTION("""COMPUTED_VALUE"""),"The Searchers")</f>
        <v>The Searchers</v>
      </c>
      <c r="R2214" s="5" t="str">
        <f>IFERROR(__xludf.DUMMYFUNCTION("""COMPUTED_VALUE"""),"John Wayne")</f>
        <v>John Wayne</v>
      </c>
      <c r="S2214" s="5" t="str">
        <f>IFERROR(__xludf.DUMMYFUNCTION("""COMPUTED_VALUE"""),"Estrela 1")</f>
        <v>Estrela 1</v>
      </c>
    </row>
    <row r="2215">
      <c r="G2215" s="5" t="str">
        <f>IFERROR(__xludf.DUMMYFUNCTION("""COMPUTED_VALUE"""),"554🤙🏼The Searchers🤙🏼Jeffrey Hunter🤙🏼Estrela 2")</f>
        <v>554🤙🏼The Searchers🤙🏼Jeffrey Hunter🤙🏼Estrela 2</v>
      </c>
      <c r="H2215" s="5">
        <f>IFERROR(__xludf.DUMMYFUNCTION("SPLiT(G2215, ""🤙🏼"",FALSE,FALSE)"),554.0)</f>
        <v>554</v>
      </c>
      <c r="I2215" s="5" t="str">
        <f>IFERROR(__xludf.DUMMYFUNCTION("""COMPUTED_VALUE"""),"The Searchers")</f>
        <v>The Searchers</v>
      </c>
      <c r="J2215" s="5" t="str">
        <f>IFERROR(__xludf.DUMMYFUNCTION("""COMPUTED_VALUE"""),"Jeffrey Hunter")</f>
        <v>Jeffrey Hunter</v>
      </c>
      <c r="K2215" s="5" t="str">
        <f>IFERROR(__xludf.DUMMYFUNCTION("""COMPUTED_VALUE"""),"Estrela 2")</f>
        <v>Estrela 2</v>
      </c>
      <c r="P2215" s="5">
        <f>IFERROR(__xludf.DUMMYFUNCTION("""COMPUTED_VALUE"""),554.0)</f>
        <v>554</v>
      </c>
      <c r="Q2215" s="5" t="str">
        <f>IFERROR(__xludf.DUMMYFUNCTION("""COMPUTED_VALUE"""),"The Searchers")</f>
        <v>The Searchers</v>
      </c>
      <c r="R2215" s="5" t="str">
        <f>IFERROR(__xludf.DUMMYFUNCTION("""COMPUTED_VALUE"""),"Jeffrey Hunter")</f>
        <v>Jeffrey Hunter</v>
      </c>
      <c r="S2215" s="5" t="str">
        <f>IFERROR(__xludf.DUMMYFUNCTION("""COMPUTED_VALUE"""),"Estrela 2")</f>
        <v>Estrela 2</v>
      </c>
    </row>
    <row r="2216">
      <c r="G2216" s="5" t="str">
        <f>IFERROR(__xludf.DUMMYFUNCTION("""COMPUTED_VALUE"""),"554🤙🏼The Searchers🤙🏼Vera Miles🤙🏼Estrela 3")</f>
        <v>554🤙🏼The Searchers🤙🏼Vera Miles🤙🏼Estrela 3</v>
      </c>
      <c r="H2216" s="5">
        <f>IFERROR(__xludf.DUMMYFUNCTION("SPLiT(G2216, ""🤙🏼"",FALSE,FALSE)"),554.0)</f>
        <v>554</v>
      </c>
      <c r="I2216" s="5" t="str">
        <f>IFERROR(__xludf.DUMMYFUNCTION("""COMPUTED_VALUE"""),"The Searchers")</f>
        <v>The Searchers</v>
      </c>
      <c r="J2216" s="5" t="str">
        <f>IFERROR(__xludf.DUMMYFUNCTION("""COMPUTED_VALUE"""),"Vera Miles")</f>
        <v>Vera Miles</v>
      </c>
      <c r="K2216" s="5" t="str">
        <f>IFERROR(__xludf.DUMMYFUNCTION("""COMPUTED_VALUE"""),"Estrela 3")</f>
        <v>Estrela 3</v>
      </c>
      <c r="P2216" s="5">
        <f>IFERROR(__xludf.DUMMYFUNCTION("""COMPUTED_VALUE"""),554.0)</f>
        <v>554</v>
      </c>
      <c r="Q2216" s="5" t="str">
        <f>IFERROR(__xludf.DUMMYFUNCTION("""COMPUTED_VALUE"""),"The Searchers")</f>
        <v>The Searchers</v>
      </c>
      <c r="R2216" s="5" t="str">
        <f>IFERROR(__xludf.DUMMYFUNCTION("""COMPUTED_VALUE"""),"Vera Miles")</f>
        <v>Vera Miles</v>
      </c>
      <c r="S2216" s="5" t="str">
        <f>IFERROR(__xludf.DUMMYFUNCTION("""COMPUTED_VALUE"""),"Estrela 3")</f>
        <v>Estrela 3</v>
      </c>
    </row>
    <row r="2217">
      <c r="G2217" s="5" t="str">
        <f>IFERROR(__xludf.DUMMYFUNCTION("""COMPUTED_VALUE"""),"554🤙🏼The Searchers🤙🏼Ward Bond🤙🏼Estrela 4")</f>
        <v>554🤙🏼The Searchers🤙🏼Ward Bond🤙🏼Estrela 4</v>
      </c>
      <c r="H2217" s="5">
        <f>IFERROR(__xludf.DUMMYFUNCTION("SPLiT(G2217, ""🤙🏼"",FALSE,FALSE)"),554.0)</f>
        <v>554</v>
      </c>
      <c r="I2217" s="5" t="str">
        <f>IFERROR(__xludf.DUMMYFUNCTION("""COMPUTED_VALUE"""),"The Searchers")</f>
        <v>The Searchers</v>
      </c>
      <c r="J2217" s="5" t="str">
        <f>IFERROR(__xludf.DUMMYFUNCTION("""COMPUTED_VALUE"""),"Ward Bond")</f>
        <v>Ward Bond</v>
      </c>
      <c r="K2217" s="5" t="str">
        <f>IFERROR(__xludf.DUMMYFUNCTION("""COMPUTED_VALUE"""),"Estrela 4")</f>
        <v>Estrela 4</v>
      </c>
      <c r="P2217" s="5">
        <f>IFERROR(__xludf.DUMMYFUNCTION("""COMPUTED_VALUE"""),554.0)</f>
        <v>554</v>
      </c>
      <c r="Q2217" s="5" t="str">
        <f>IFERROR(__xludf.DUMMYFUNCTION("""COMPUTED_VALUE"""),"The Searchers")</f>
        <v>The Searchers</v>
      </c>
      <c r="R2217" s="5" t="str">
        <f>IFERROR(__xludf.DUMMYFUNCTION("""COMPUTED_VALUE"""),"Ward Bond")</f>
        <v>Ward Bond</v>
      </c>
      <c r="S2217" s="5" t="str">
        <f>IFERROR(__xludf.DUMMYFUNCTION("""COMPUTED_VALUE"""),"Estrela 4")</f>
        <v>Estrela 4</v>
      </c>
    </row>
    <row r="2218">
      <c r="G2218" s="5" t="str">
        <f>IFERROR(__xludf.DUMMYFUNCTION("""COMPUTED_VALUE"""),"555🤙🏼East of Eden🤙🏼James Dean🤙🏼Estrela 1")</f>
        <v>555🤙🏼East of Eden🤙🏼James Dean🤙🏼Estrela 1</v>
      </c>
      <c r="H2218" s="5">
        <f>IFERROR(__xludf.DUMMYFUNCTION("SPLiT(G2218, ""🤙🏼"",FALSE,FALSE)"),555.0)</f>
        <v>555</v>
      </c>
      <c r="I2218" s="5" t="str">
        <f>IFERROR(__xludf.DUMMYFUNCTION("""COMPUTED_VALUE"""),"East of Eden")</f>
        <v>East of Eden</v>
      </c>
      <c r="J2218" s="5" t="str">
        <f>IFERROR(__xludf.DUMMYFUNCTION("""COMPUTED_VALUE"""),"James Dean")</f>
        <v>James Dean</v>
      </c>
      <c r="K2218" s="5" t="str">
        <f>IFERROR(__xludf.DUMMYFUNCTION("""COMPUTED_VALUE"""),"Estrela 1")</f>
        <v>Estrela 1</v>
      </c>
      <c r="P2218" s="5">
        <f>IFERROR(__xludf.DUMMYFUNCTION("""COMPUTED_VALUE"""),555.0)</f>
        <v>555</v>
      </c>
      <c r="Q2218" s="5" t="str">
        <f>IFERROR(__xludf.DUMMYFUNCTION("""COMPUTED_VALUE"""),"East of Eden")</f>
        <v>East of Eden</v>
      </c>
      <c r="R2218" s="5" t="str">
        <f>IFERROR(__xludf.DUMMYFUNCTION("""COMPUTED_VALUE"""),"James Dean")</f>
        <v>James Dean</v>
      </c>
      <c r="S2218" s="5" t="str">
        <f>IFERROR(__xludf.DUMMYFUNCTION("""COMPUTED_VALUE"""),"Estrela 1")</f>
        <v>Estrela 1</v>
      </c>
    </row>
    <row r="2219">
      <c r="G2219" s="5" t="str">
        <f>IFERROR(__xludf.DUMMYFUNCTION("""COMPUTED_VALUE"""),"555🤙🏼East of Eden🤙🏼Raymond Massey🤙🏼Estrela 2")</f>
        <v>555🤙🏼East of Eden🤙🏼Raymond Massey🤙🏼Estrela 2</v>
      </c>
      <c r="H2219" s="5">
        <f>IFERROR(__xludf.DUMMYFUNCTION("SPLiT(G2219, ""🤙🏼"",FALSE,FALSE)"),555.0)</f>
        <v>555</v>
      </c>
      <c r="I2219" s="5" t="str">
        <f>IFERROR(__xludf.DUMMYFUNCTION("""COMPUTED_VALUE"""),"East of Eden")</f>
        <v>East of Eden</v>
      </c>
      <c r="J2219" s="5" t="str">
        <f>IFERROR(__xludf.DUMMYFUNCTION("""COMPUTED_VALUE"""),"Raymond Massey")</f>
        <v>Raymond Massey</v>
      </c>
      <c r="K2219" s="5" t="str">
        <f>IFERROR(__xludf.DUMMYFUNCTION("""COMPUTED_VALUE"""),"Estrela 2")</f>
        <v>Estrela 2</v>
      </c>
      <c r="P2219" s="5">
        <f>IFERROR(__xludf.DUMMYFUNCTION("""COMPUTED_VALUE"""),555.0)</f>
        <v>555</v>
      </c>
      <c r="Q2219" s="5" t="str">
        <f>IFERROR(__xludf.DUMMYFUNCTION("""COMPUTED_VALUE"""),"East of Eden")</f>
        <v>East of Eden</v>
      </c>
      <c r="R2219" s="5" t="str">
        <f>IFERROR(__xludf.DUMMYFUNCTION("""COMPUTED_VALUE"""),"Raymond Massey")</f>
        <v>Raymond Massey</v>
      </c>
      <c r="S2219" s="5" t="str">
        <f>IFERROR(__xludf.DUMMYFUNCTION("""COMPUTED_VALUE"""),"Estrela 2")</f>
        <v>Estrela 2</v>
      </c>
    </row>
    <row r="2220">
      <c r="G2220" s="5" t="str">
        <f>IFERROR(__xludf.DUMMYFUNCTION("""COMPUTED_VALUE"""),"555🤙🏼East of Eden🤙🏼Julie Harris🤙🏼Estrela 3")</f>
        <v>555🤙🏼East of Eden🤙🏼Julie Harris🤙🏼Estrela 3</v>
      </c>
      <c r="H2220" s="5">
        <f>IFERROR(__xludf.DUMMYFUNCTION("SPLiT(G2220, ""🤙🏼"",FALSE,FALSE)"),555.0)</f>
        <v>555</v>
      </c>
      <c r="I2220" s="5" t="str">
        <f>IFERROR(__xludf.DUMMYFUNCTION("""COMPUTED_VALUE"""),"East of Eden")</f>
        <v>East of Eden</v>
      </c>
      <c r="J2220" s="5" t="str">
        <f>IFERROR(__xludf.DUMMYFUNCTION("""COMPUTED_VALUE"""),"Julie Harris")</f>
        <v>Julie Harris</v>
      </c>
      <c r="K2220" s="5" t="str">
        <f>IFERROR(__xludf.DUMMYFUNCTION("""COMPUTED_VALUE"""),"Estrela 3")</f>
        <v>Estrela 3</v>
      </c>
      <c r="P2220" s="5">
        <f>IFERROR(__xludf.DUMMYFUNCTION("""COMPUTED_VALUE"""),555.0)</f>
        <v>555</v>
      </c>
      <c r="Q2220" s="5" t="str">
        <f>IFERROR(__xludf.DUMMYFUNCTION("""COMPUTED_VALUE"""),"East of Eden")</f>
        <v>East of Eden</v>
      </c>
      <c r="R2220" s="5" t="str">
        <f>IFERROR(__xludf.DUMMYFUNCTION("""COMPUTED_VALUE"""),"Julie Harris")</f>
        <v>Julie Harris</v>
      </c>
      <c r="S2220" s="5" t="str">
        <f>IFERROR(__xludf.DUMMYFUNCTION("""COMPUTED_VALUE"""),"Estrela 3")</f>
        <v>Estrela 3</v>
      </c>
    </row>
    <row r="2221">
      <c r="G2221" s="5" t="str">
        <f>IFERROR(__xludf.DUMMYFUNCTION("""COMPUTED_VALUE"""),"555🤙🏼East of Eden🤙🏼Burl Ives🤙🏼Estrela 4")</f>
        <v>555🤙🏼East of Eden🤙🏼Burl Ives🤙🏼Estrela 4</v>
      </c>
      <c r="H2221" s="5">
        <f>IFERROR(__xludf.DUMMYFUNCTION("SPLiT(G2221, ""🤙🏼"",FALSE,FALSE)"),555.0)</f>
        <v>555</v>
      </c>
      <c r="I2221" s="5" t="str">
        <f>IFERROR(__xludf.DUMMYFUNCTION("""COMPUTED_VALUE"""),"East of Eden")</f>
        <v>East of Eden</v>
      </c>
      <c r="J2221" s="5" t="str">
        <f>IFERROR(__xludf.DUMMYFUNCTION("""COMPUTED_VALUE"""),"Burl Ives")</f>
        <v>Burl Ives</v>
      </c>
      <c r="K2221" s="5" t="str">
        <f>IFERROR(__xludf.DUMMYFUNCTION("""COMPUTED_VALUE"""),"Estrela 4")</f>
        <v>Estrela 4</v>
      </c>
      <c r="P2221" s="5">
        <f>IFERROR(__xludf.DUMMYFUNCTION("""COMPUTED_VALUE"""),555.0)</f>
        <v>555</v>
      </c>
      <c r="Q2221" s="5" t="str">
        <f>IFERROR(__xludf.DUMMYFUNCTION("""COMPUTED_VALUE"""),"East of Eden")</f>
        <v>East of Eden</v>
      </c>
      <c r="R2221" s="5" t="str">
        <f>IFERROR(__xludf.DUMMYFUNCTION("""COMPUTED_VALUE"""),"Burl Ives")</f>
        <v>Burl Ives</v>
      </c>
      <c r="S2221" s="5" t="str">
        <f>IFERROR(__xludf.DUMMYFUNCTION("""COMPUTED_VALUE"""),"Estrela 4")</f>
        <v>Estrela 4</v>
      </c>
    </row>
    <row r="2222">
      <c r="G2222" s="5" t="str">
        <f>IFERROR(__xludf.DUMMYFUNCTION("""COMPUTED_VALUE"""),"556🤙🏼High Noon🤙🏼Gary Cooper🤙🏼Estrela 1")</f>
        <v>556🤙🏼High Noon🤙🏼Gary Cooper🤙🏼Estrela 1</v>
      </c>
      <c r="H2222" s="5">
        <f>IFERROR(__xludf.DUMMYFUNCTION("SPLiT(G2222, ""🤙🏼"",FALSE,FALSE)"),556.0)</f>
        <v>556</v>
      </c>
      <c r="I2222" s="5" t="str">
        <f>IFERROR(__xludf.DUMMYFUNCTION("""COMPUTED_VALUE"""),"High Noon")</f>
        <v>High Noon</v>
      </c>
      <c r="J2222" s="5" t="str">
        <f>IFERROR(__xludf.DUMMYFUNCTION("""COMPUTED_VALUE"""),"Gary Cooper")</f>
        <v>Gary Cooper</v>
      </c>
      <c r="K2222" s="5" t="str">
        <f>IFERROR(__xludf.DUMMYFUNCTION("""COMPUTED_VALUE"""),"Estrela 1")</f>
        <v>Estrela 1</v>
      </c>
      <c r="P2222" s="5">
        <f>IFERROR(__xludf.DUMMYFUNCTION("""COMPUTED_VALUE"""),556.0)</f>
        <v>556</v>
      </c>
      <c r="Q2222" s="5" t="str">
        <f>IFERROR(__xludf.DUMMYFUNCTION("""COMPUTED_VALUE"""),"High Noon")</f>
        <v>High Noon</v>
      </c>
      <c r="R2222" s="5" t="str">
        <f>IFERROR(__xludf.DUMMYFUNCTION("""COMPUTED_VALUE"""),"Gary Cooper")</f>
        <v>Gary Cooper</v>
      </c>
      <c r="S2222" s="5" t="str">
        <f>IFERROR(__xludf.DUMMYFUNCTION("""COMPUTED_VALUE"""),"Estrela 1")</f>
        <v>Estrela 1</v>
      </c>
    </row>
    <row r="2223">
      <c r="G2223" s="5" t="str">
        <f>IFERROR(__xludf.DUMMYFUNCTION("""COMPUTED_VALUE"""),"556🤙🏼High Noon🤙🏼Grace Kelly🤙🏼Estrela 2")</f>
        <v>556🤙🏼High Noon🤙🏼Grace Kelly🤙🏼Estrela 2</v>
      </c>
      <c r="H2223" s="5">
        <f>IFERROR(__xludf.DUMMYFUNCTION("SPLiT(G2223, ""🤙🏼"",FALSE,FALSE)"),556.0)</f>
        <v>556</v>
      </c>
      <c r="I2223" s="5" t="str">
        <f>IFERROR(__xludf.DUMMYFUNCTION("""COMPUTED_VALUE"""),"High Noon")</f>
        <v>High Noon</v>
      </c>
      <c r="J2223" s="5" t="str">
        <f>IFERROR(__xludf.DUMMYFUNCTION("""COMPUTED_VALUE"""),"Grace Kelly")</f>
        <v>Grace Kelly</v>
      </c>
      <c r="K2223" s="5" t="str">
        <f>IFERROR(__xludf.DUMMYFUNCTION("""COMPUTED_VALUE"""),"Estrela 2")</f>
        <v>Estrela 2</v>
      </c>
      <c r="P2223" s="5">
        <f>IFERROR(__xludf.DUMMYFUNCTION("""COMPUTED_VALUE"""),556.0)</f>
        <v>556</v>
      </c>
      <c r="Q2223" s="5" t="str">
        <f>IFERROR(__xludf.DUMMYFUNCTION("""COMPUTED_VALUE"""),"High Noon")</f>
        <v>High Noon</v>
      </c>
      <c r="R2223" s="5" t="str">
        <f>IFERROR(__xludf.DUMMYFUNCTION("""COMPUTED_VALUE"""),"Grace Kelly")</f>
        <v>Grace Kelly</v>
      </c>
      <c r="S2223" s="5" t="str">
        <f>IFERROR(__xludf.DUMMYFUNCTION("""COMPUTED_VALUE"""),"Estrela 2")</f>
        <v>Estrela 2</v>
      </c>
    </row>
    <row r="2224">
      <c r="G2224" s="5" t="str">
        <f>IFERROR(__xludf.DUMMYFUNCTION("""COMPUTED_VALUE"""),"556🤙🏼High Noon🤙🏼Thomas Mitchell🤙🏼Estrela 3")</f>
        <v>556🤙🏼High Noon🤙🏼Thomas Mitchell🤙🏼Estrela 3</v>
      </c>
      <c r="H2224" s="5">
        <f>IFERROR(__xludf.DUMMYFUNCTION("SPLiT(G2224, ""🤙🏼"",FALSE,FALSE)"),556.0)</f>
        <v>556</v>
      </c>
      <c r="I2224" s="5" t="str">
        <f>IFERROR(__xludf.DUMMYFUNCTION("""COMPUTED_VALUE"""),"High Noon")</f>
        <v>High Noon</v>
      </c>
      <c r="J2224" s="5" t="str">
        <f>IFERROR(__xludf.DUMMYFUNCTION("""COMPUTED_VALUE"""),"Thomas Mitchell")</f>
        <v>Thomas Mitchell</v>
      </c>
      <c r="K2224" s="5" t="str">
        <f>IFERROR(__xludf.DUMMYFUNCTION("""COMPUTED_VALUE"""),"Estrela 3")</f>
        <v>Estrela 3</v>
      </c>
      <c r="P2224" s="5">
        <f>IFERROR(__xludf.DUMMYFUNCTION("""COMPUTED_VALUE"""),556.0)</f>
        <v>556</v>
      </c>
      <c r="Q2224" s="5" t="str">
        <f>IFERROR(__xludf.DUMMYFUNCTION("""COMPUTED_VALUE"""),"High Noon")</f>
        <v>High Noon</v>
      </c>
      <c r="R2224" s="5" t="str">
        <f>IFERROR(__xludf.DUMMYFUNCTION("""COMPUTED_VALUE"""),"Thomas Mitchell")</f>
        <v>Thomas Mitchell</v>
      </c>
      <c r="S2224" s="5" t="str">
        <f>IFERROR(__xludf.DUMMYFUNCTION("""COMPUTED_VALUE"""),"Estrela 3")</f>
        <v>Estrela 3</v>
      </c>
    </row>
    <row r="2225">
      <c r="G2225" s="5" t="str">
        <f>IFERROR(__xludf.DUMMYFUNCTION("""COMPUTED_VALUE"""),"556🤙🏼High Noon🤙🏼Lloyd Bridges🤙🏼Estrela 4")</f>
        <v>556🤙🏼High Noon🤙🏼Lloyd Bridges🤙🏼Estrela 4</v>
      </c>
      <c r="H2225" s="5">
        <f>IFERROR(__xludf.DUMMYFUNCTION("SPLiT(G2225, ""🤙🏼"",FALSE,FALSE)"),556.0)</f>
        <v>556</v>
      </c>
      <c r="I2225" s="5" t="str">
        <f>IFERROR(__xludf.DUMMYFUNCTION("""COMPUTED_VALUE"""),"High Noon")</f>
        <v>High Noon</v>
      </c>
      <c r="J2225" s="5" t="str">
        <f>IFERROR(__xludf.DUMMYFUNCTION("""COMPUTED_VALUE"""),"Lloyd Bridges")</f>
        <v>Lloyd Bridges</v>
      </c>
      <c r="K2225" s="5" t="str">
        <f>IFERROR(__xludf.DUMMYFUNCTION("""COMPUTED_VALUE"""),"Estrela 4")</f>
        <v>Estrela 4</v>
      </c>
      <c r="P2225" s="5">
        <f>IFERROR(__xludf.DUMMYFUNCTION("""COMPUTED_VALUE"""),556.0)</f>
        <v>556</v>
      </c>
      <c r="Q2225" s="5" t="str">
        <f>IFERROR(__xludf.DUMMYFUNCTION("""COMPUTED_VALUE"""),"High Noon")</f>
        <v>High Noon</v>
      </c>
      <c r="R2225" s="5" t="str">
        <f>IFERROR(__xludf.DUMMYFUNCTION("""COMPUTED_VALUE"""),"Lloyd Bridges")</f>
        <v>Lloyd Bridges</v>
      </c>
      <c r="S2225" s="5" t="str">
        <f>IFERROR(__xludf.DUMMYFUNCTION("""COMPUTED_VALUE"""),"Estrela 4")</f>
        <v>Estrela 4</v>
      </c>
    </row>
    <row r="2226">
      <c r="G2226" s="5" t="str">
        <f>IFERROR(__xludf.DUMMYFUNCTION("""COMPUTED_VALUE"""),"557🤙🏼Strangers on a Train🤙🏼Farley Granger🤙🏼Estrela 1")</f>
        <v>557🤙🏼Strangers on a Train🤙🏼Farley Granger🤙🏼Estrela 1</v>
      </c>
      <c r="H2226" s="5">
        <f>IFERROR(__xludf.DUMMYFUNCTION("SPLiT(G2226, ""🤙🏼"",FALSE,FALSE)"),557.0)</f>
        <v>557</v>
      </c>
      <c r="I2226" s="5" t="str">
        <f>IFERROR(__xludf.DUMMYFUNCTION("""COMPUTED_VALUE"""),"Strangers on a Train")</f>
        <v>Strangers on a Train</v>
      </c>
      <c r="J2226" s="5" t="str">
        <f>IFERROR(__xludf.DUMMYFUNCTION("""COMPUTED_VALUE"""),"Farley Granger")</f>
        <v>Farley Granger</v>
      </c>
      <c r="K2226" s="5" t="str">
        <f>IFERROR(__xludf.DUMMYFUNCTION("""COMPUTED_VALUE"""),"Estrela 1")</f>
        <v>Estrela 1</v>
      </c>
      <c r="P2226" s="5">
        <f>IFERROR(__xludf.DUMMYFUNCTION("""COMPUTED_VALUE"""),557.0)</f>
        <v>557</v>
      </c>
      <c r="Q2226" s="5" t="str">
        <f>IFERROR(__xludf.DUMMYFUNCTION("""COMPUTED_VALUE"""),"Strangers on a Train")</f>
        <v>Strangers on a Train</v>
      </c>
      <c r="R2226" s="5" t="str">
        <f>IFERROR(__xludf.DUMMYFUNCTION("""COMPUTED_VALUE"""),"Farley Granger")</f>
        <v>Farley Granger</v>
      </c>
      <c r="S2226" s="5" t="str">
        <f>IFERROR(__xludf.DUMMYFUNCTION("""COMPUTED_VALUE"""),"Estrela 1")</f>
        <v>Estrela 1</v>
      </c>
    </row>
    <row r="2227">
      <c r="G2227" s="5" t="str">
        <f>IFERROR(__xludf.DUMMYFUNCTION("""COMPUTED_VALUE"""),"557🤙🏼Strangers on a Train🤙🏼Robert Walker🤙🏼Estrela 2")</f>
        <v>557🤙🏼Strangers on a Train🤙🏼Robert Walker🤙🏼Estrela 2</v>
      </c>
      <c r="H2227" s="5">
        <f>IFERROR(__xludf.DUMMYFUNCTION("SPLiT(G2227, ""🤙🏼"",FALSE,FALSE)"),557.0)</f>
        <v>557</v>
      </c>
      <c r="I2227" s="5" t="str">
        <f>IFERROR(__xludf.DUMMYFUNCTION("""COMPUTED_VALUE"""),"Strangers on a Train")</f>
        <v>Strangers on a Train</v>
      </c>
      <c r="J2227" s="5" t="str">
        <f>IFERROR(__xludf.DUMMYFUNCTION("""COMPUTED_VALUE"""),"Robert Walker")</f>
        <v>Robert Walker</v>
      </c>
      <c r="K2227" s="5" t="str">
        <f>IFERROR(__xludf.DUMMYFUNCTION("""COMPUTED_VALUE"""),"Estrela 2")</f>
        <v>Estrela 2</v>
      </c>
      <c r="P2227" s="5">
        <f>IFERROR(__xludf.DUMMYFUNCTION("""COMPUTED_VALUE"""),557.0)</f>
        <v>557</v>
      </c>
      <c r="Q2227" s="5" t="str">
        <f>IFERROR(__xludf.DUMMYFUNCTION("""COMPUTED_VALUE"""),"Strangers on a Train")</f>
        <v>Strangers on a Train</v>
      </c>
      <c r="R2227" s="5" t="str">
        <f>IFERROR(__xludf.DUMMYFUNCTION("""COMPUTED_VALUE"""),"Robert Walker")</f>
        <v>Robert Walker</v>
      </c>
      <c r="S2227" s="5" t="str">
        <f>IFERROR(__xludf.DUMMYFUNCTION("""COMPUTED_VALUE"""),"Estrela 2")</f>
        <v>Estrela 2</v>
      </c>
    </row>
    <row r="2228">
      <c r="G2228" s="5" t="str">
        <f>IFERROR(__xludf.DUMMYFUNCTION("""COMPUTED_VALUE"""),"557🤙🏼Strangers on a Train🤙🏼Ruth Roman🤙🏼Estrela 3")</f>
        <v>557🤙🏼Strangers on a Train🤙🏼Ruth Roman🤙🏼Estrela 3</v>
      </c>
      <c r="H2228" s="5">
        <f>IFERROR(__xludf.DUMMYFUNCTION("SPLiT(G2228, ""🤙🏼"",FALSE,FALSE)"),557.0)</f>
        <v>557</v>
      </c>
      <c r="I2228" s="5" t="str">
        <f>IFERROR(__xludf.DUMMYFUNCTION("""COMPUTED_VALUE"""),"Strangers on a Train")</f>
        <v>Strangers on a Train</v>
      </c>
      <c r="J2228" s="5" t="str">
        <f>IFERROR(__xludf.DUMMYFUNCTION("""COMPUTED_VALUE"""),"Ruth Roman")</f>
        <v>Ruth Roman</v>
      </c>
      <c r="K2228" s="5" t="str">
        <f>IFERROR(__xludf.DUMMYFUNCTION("""COMPUTED_VALUE"""),"Estrela 3")</f>
        <v>Estrela 3</v>
      </c>
      <c r="P2228" s="5">
        <f>IFERROR(__xludf.DUMMYFUNCTION("""COMPUTED_VALUE"""),557.0)</f>
        <v>557</v>
      </c>
      <c r="Q2228" s="5" t="str">
        <f>IFERROR(__xludf.DUMMYFUNCTION("""COMPUTED_VALUE"""),"Strangers on a Train")</f>
        <v>Strangers on a Train</v>
      </c>
      <c r="R2228" s="5" t="str">
        <f>IFERROR(__xludf.DUMMYFUNCTION("""COMPUTED_VALUE"""),"Ruth Roman")</f>
        <v>Ruth Roman</v>
      </c>
      <c r="S2228" s="5" t="str">
        <f>IFERROR(__xludf.DUMMYFUNCTION("""COMPUTED_VALUE"""),"Estrela 3")</f>
        <v>Estrela 3</v>
      </c>
    </row>
    <row r="2229">
      <c r="G2229" s="5" t="str">
        <f>IFERROR(__xludf.DUMMYFUNCTION("""COMPUTED_VALUE"""),"557🤙🏼Strangers on a Train🤙🏼Leo G. Carroll🤙🏼Estrela 4")</f>
        <v>557🤙🏼Strangers on a Train🤙🏼Leo G. Carroll🤙🏼Estrela 4</v>
      </c>
      <c r="H2229" s="5">
        <f>IFERROR(__xludf.DUMMYFUNCTION("SPLiT(G2229, ""🤙🏼"",FALSE,FALSE)"),557.0)</f>
        <v>557</v>
      </c>
      <c r="I2229" s="5" t="str">
        <f>IFERROR(__xludf.DUMMYFUNCTION("""COMPUTED_VALUE"""),"Strangers on a Train")</f>
        <v>Strangers on a Train</v>
      </c>
      <c r="J2229" s="5" t="str">
        <f>IFERROR(__xludf.DUMMYFUNCTION("""COMPUTED_VALUE"""),"Leo G. Carroll")</f>
        <v>Leo G. Carroll</v>
      </c>
      <c r="K2229" s="5" t="str">
        <f>IFERROR(__xludf.DUMMYFUNCTION("""COMPUTED_VALUE"""),"Estrela 4")</f>
        <v>Estrela 4</v>
      </c>
      <c r="P2229" s="5">
        <f>IFERROR(__xludf.DUMMYFUNCTION("""COMPUTED_VALUE"""),557.0)</f>
        <v>557</v>
      </c>
      <c r="Q2229" s="5" t="str">
        <f>IFERROR(__xludf.DUMMYFUNCTION("""COMPUTED_VALUE"""),"Strangers on a Train")</f>
        <v>Strangers on a Train</v>
      </c>
      <c r="R2229" s="5" t="str">
        <f>IFERROR(__xludf.DUMMYFUNCTION("""COMPUTED_VALUE"""),"Leo G. Carroll")</f>
        <v>Leo G. Carroll</v>
      </c>
      <c r="S2229" s="5" t="str">
        <f>IFERROR(__xludf.DUMMYFUNCTION("""COMPUTED_VALUE"""),"Estrela 4")</f>
        <v>Estrela 4</v>
      </c>
    </row>
    <row r="2230">
      <c r="G2230" s="5" t="str">
        <f>IFERROR(__xludf.DUMMYFUNCTION("""COMPUTED_VALUE"""),"558🤙🏼Harvey🤙🏼James Stewart🤙🏼Estrela 1")</f>
        <v>558🤙🏼Harvey🤙🏼James Stewart🤙🏼Estrela 1</v>
      </c>
      <c r="H2230" s="5">
        <f>IFERROR(__xludf.DUMMYFUNCTION("SPLiT(G2230, ""🤙🏼"",FALSE,FALSE)"),558.0)</f>
        <v>558</v>
      </c>
      <c r="I2230" s="5" t="str">
        <f>IFERROR(__xludf.DUMMYFUNCTION("""COMPUTED_VALUE"""),"Harvey")</f>
        <v>Harvey</v>
      </c>
      <c r="J2230" s="5" t="str">
        <f>IFERROR(__xludf.DUMMYFUNCTION("""COMPUTED_VALUE"""),"James Stewart")</f>
        <v>James Stewart</v>
      </c>
      <c r="K2230" s="5" t="str">
        <f>IFERROR(__xludf.DUMMYFUNCTION("""COMPUTED_VALUE"""),"Estrela 1")</f>
        <v>Estrela 1</v>
      </c>
      <c r="P2230" s="5">
        <f>IFERROR(__xludf.DUMMYFUNCTION("""COMPUTED_VALUE"""),558.0)</f>
        <v>558</v>
      </c>
      <c r="Q2230" s="5" t="str">
        <f>IFERROR(__xludf.DUMMYFUNCTION("""COMPUTED_VALUE"""),"Harvey")</f>
        <v>Harvey</v>
      </c>
      <c r="R2230" s="5" t="str">
        <f>IFERROR(__xludf.DUMMYFUNCTION("""COMPUTED_VALUE"""),"James Stewart")</f>
        <v>James Stewart</v>
      </c>
      <c r="S2230" s="5" t="str">
        <f>IFERROR(__xludf.DUMMYFUNCTION("""COMPUTED_VALUE"""),"Estrela 1")</f>
        <v>Estrela 1</v>
      </c>
    </row>
    <row r="2231">
      <c r="G2231" s="5" t="str">
        <f>IFERROR(__xludf.DUMMYFUNCTION("""COMPUTED_VALUE"""),"558🤙🏼Harvey🤙🏼Wallace Ford🤙🏼Estrela 2")</f>
        <v>558🤙🏼Harvey🤙🏼Wallace Ford🤙🏼Estrela 2</v>
      </c>
      <c r="H2231" s="5">
        <f>IFERROR(__xludf.DUMMYFUNCTION("SPLiT(G2231, ""🤙🏼"",FALSE,FALSE)"),558.0)</f>
        <v>558</v>
      </c>
      <c r="I2231" s="5" t="str">
        <f>IFERROR(__xludf.DUMMYFUNCTION("""COMPUTED_VALUE"""),"Harvey")</f>
        <v>Harvey</v>
      </c>
      <c r="J2231" s="5" t="str">
        <f>IFERROR(__xludf.DUMMYFUNCTION("""COMPUTED_VALUE"""),"Wallace Ford")</f>
        <v>Wallace Ford</v>
      </c>
      <c r="K2231" s="5" t="str">
        <f>IFERROR(__xludf.DUMMYFUNCTION("""COMPUTED_VALUE"""),"Estrela 2")</f>
        <v>Estrela 2</v>
      </c>
      <c r="P2231" s="5">
        <f>IFERROR(__xludf.DUMMYFUNCTION("""COMPUTED_VALUE"""),558.0)</f>
        <v>558</v>
      </c>
      <c r="Q2231" s="5" t="str">
        <f>IFERROR(__xludf.DUMMYFUNCTION("""COMPUTED_VALUE"""),"Harvey")</f>
        <v>Harvey</v>
      </c>
      <c r="R2231" s="5" t="str">
        <f>IFERROR(__xludf.DUMMYFUNCTION("""COMPUTED_VALUE"""),"Wallace Ford")</f>
        <v>Wallace Ford</v>
      </c>
      <c r="S2231" s="5" t="str">
        <f>IFERROR(__xludf.DUMMYFUNCTION("""COMPUTED_VALUE"""),"Estrela 2")</f>
        <v>Estrela 2</v>
      </c>
    </row>
    <row r="2232">
      <c r="G2232" s="5" t="str">
        <f>IFERROR(__xludf.DUMMYFUNCTION("""COMPUTED_VALUE"""),"558🤙🏼Harvey🤙🏼William H. Lynn🤙🏼Estrela 3")</f>
        <v>558🤙🏼Harvey🤙🏼William H. Lynn🤙🏼Estrela 3</v>
      </c>
      <c r="H2232" s="5">
        <f>IFERROR(__xludf.DUMMYFUNCTION("SPLiT(G2232, ""🤙🏼"",FALSE,FALSE)"),558.0)</f>
        <v>558</v>
      </c>
      <c r="I2232" s="5" t="str">
        <f>IFERROR(__xludf.DUMMYFUNCTION("""COMPUTED_VALUE"""),"Harvey")</f>
        <v>Harvey</v>
      </c>
      <c r="J2232" s="5" t="str">
        <f>IFERROR(__xludf.DUMMYFUNCTION("""COMPUTED_VALUE"""),"William H. Lynn")</f>
        <v>William H. Lynn</v>
      </c>
      <c r="K2232" s="5" t="str">
        <f>IFERROR(__xludf.DUMMYFUNCTION("""COMPUTED_VALUE"""),"Estrela 3")</f>
        <v>Estrela 3</v>
      </c>
      <c r="P2232" s="5">
        <f>IFERROR(__xludf.DUMMYFUNCTION("""COMPUTED_VALUE"""),558.0)</f>
        <v>558</v>
      </c>
      <c r="Q2232" s="5" t="str">
        <f>IFERROR(__xludf.DUMMYFUNCTION("""COMPUTED_VALUE"""),"Harvey")</f>
        <v>Harvey</v>
      </c>
      <c r="R2232" s="5" t="str">
        <f>IFERROR(__xludf.DUMMYFUNCTION("""COMPUTED_VALUE"""),"William H. Lynn")</f>
        <v>William H. Lynn</v>
      </c>
      <c r="S2232" s="5" t="str">
        <f>IFERROR(__xludf.DUMMYFUNCTION("""COMPUTED_VALUE"""),"Estrela 3")</f>
        <v>Estrela 3</v>
      </c>
    </row>
    <row r="2233">
      <c r="G2233" s="5" t="str">
        <f>IFERROR(__xludf.DUMMYFUNCTION("""COMPUTED_VALUE"""),"558🤙🏼Harvey🤙🏼Victoria Horne🤙🏼Estrela 4")</f>
        <v>558🤙🏼Harvey🤙🏼Victoria Horne🤙🏼Estrela 4</v>
      </c>
      <c r="H2233" s="5">
        <f>IFERROR(__xludf.DUMMYFUNCTION("SPLiT(G2233, ""🤙🏼"",FALSE,FALSE)"),558.0)</f>
        <v>558</v>
      </c>
      <c r="I2233" s="5" t="str">
        <f>IFERROR(__xludf.DUMMYFUNCTION("""COMPUTED_VALUE"""),"Harvey")</f>
        <v>Harvey</v>
      </c>
      <c r="J2233" s="5" t="str">
        <f>IFERROR(__xludf.DUMMYFUNCTION("""COMPUTED_VALUE"""),"Victoria Horne")</f>
        <v>Victoria Horne</v>
      </c>
      <c r="K2233" s="5" t="str">
        <f>IFERROR(__xludf.DUMMYFUNCTION("""COMPUTED_VALUE"""),"Estrela 4")</f>
        <v>Estrela 4</v>
      </c>
      <c r="P2233" s="5">
        <f>IFERROR(__xludf.DUMMYFUNCTION("""COMPUTED_VALUE"""),558.0)</f>
        <v>558</v>
      </c>
      <c r="Q2233" s="5" t="str">
        <f>IFERROR(__xludf.DUMMYFUNCTION("""COMPUTED_VALUE"""),"Harvey")</f>
        <v>Harvey</v>
      </c>
      <c r="R2233" s="5" t="str">
        <f>IFERROR(__xludf.DUMMYFUNCTION("""COMPUTED_VALUE"""),"Victoria Horne")</f>
        <v>Victoria Horne</v>
      </c>
      <c r="S2233" s="5" t="str">
        <f>IFERROR(__xludf.DUMMYFUNCTION("""COMPUTED_VALUE"""),"Estrela 4")</f>
        <v>Estrela 4</v>
      </c>
    </row>
    <row r="2234">
      <c r="G2234" s="5" t="str">
        <f>IFERROR(__xludf.DUMMYFUNCTION("""COMPUTED_VALUE"""),"559🤙🏼Miracle on 34th Street🤙🏼Edmund Gwenn🤙🏼Estrela 1")</f>
        <v>559🤙🏼Miracle on 34th Street🤙🏼Edmund Gwenn🤙🏼Estrela 1</v>
      </c>
      <c r="H2234" s="5">
        <f>IFERROR(__xludf.DUMMYFUNCTION("SPLiT(G2234, ""🤙🏼"",FALSE,FALSE)"),559.0)</f>
        <v>559</v>
      </c>
      <c r="I2234" s="5" t="str">
        <f>IFERROR(__xludf.DUMMYFUNCTION("""COMPUTED_VALUE"""),"Miracle on 34th Street")</f>
        <v>Miracle on 34th Street</v>
      </c>
      <c r="J2234" s="5" t="str">
        <f>IFERROR(__xludf.DUMMYFUNCTION("""COMPUTED_VALUE"""),"Edmund Gwenn")</f>
        <v>Edmund Gwenn</v>
      </c>
      <c r="K2234" s="5" t="str">
        <f>IFERROR(__xludf.DUMMYFUNCTION("""COMPUTED_VALUE"""),"Estrela 1")</f>
        <v>Estrela 1</v>
      </c>
      <c r="P2234" s="5">
        <f>IFERROR(__xludf.DUMMYFUNCTION("""COMPUTED_VALUE"""),559.0)</f>
        <v>559</v>
      </c>
      <c r="Q2234" s="5" t="str">
        <f>IFERROR(__xludf.DUMMYFUNCTION("""COMPUTED_VALUE"""),"Miracle on 34th Street")</f>
        <v>Miracle on 34th Street</v>
      </c>
      <c r="R2234" s="5" t="str">
        <f>IFERROR(__xludf.DUMMYFUNCTION("""COMPUTED_VALUE"""),"Edmund Gwenn")</f>
        <v>Edmund Gwenn</v>
      </c>
      <c r="S2234" s="5" t="str">
        <f>IFERROR(__xludf.DUMMYFUNCTION("""COMPUTED_VALUE"""),"Estrela 1")</f>
        <v>Estrela 1</v>
      </c>
    </row>
    <row r="2235">
      <c r="G2235" s="5" t="str">
        <f>IFERROR(__xludf.DUMMYFUNCTION("""COMPUTED_VALUE"""),"559🤙🏼Miracle on 34th Street🤙🏼Maureen O'Hara🤙🏼Estrela 2")</f>
        <v>559🤙🏼Miracle on 34th Street🤙🏼Maureen O'Hara🤙🏼Estrela 2</v>
      </c>
      <c r="H2235" s="5">
        <f>IFERROR(__xludf.DUMMYFUNCTION("SPLiT(G2235, ""🤙🏼"",FALSE,FALSE)"),559.0)</f>
        <v>559</v>
      </c>
      <c r="I2235" s="5" t="str">
        <f>IFERROR(__xludf.DUMMYFUNCTION("""COMPUTED_VALUE"""),"Miracle on 34th Street")</f>
        <v>Miracle on 34th Street</v>
      </c>
      <c r="J2235" s="5" t="str">
        <f>IFERROR(__xludf.DUMMYFUNCTION("""COMPUTED_VALUE"""),"Maureen O'Hara")</f>
        <v>Maureen O'Hara</v>
      </c>
      <c r="K2235" s="5" t="str">
        <f>IFERROR(__xludf.DUMMYFUNCTION("""COMPUTED_VALUE"""),"Estrela 2")</f>
        <v>Estrela 2</v>
      </c>
      <c r="P2235" s="5">
        <f>IFERROR(__xludf.DUMMYFUNCTION("""COMPUTED_VALUE"""),559.0)</f>
        <v>559</v>
      </c>
      <c r="Q2235" s="5" t="str">
        <f>IFERROR(__xludf.DUMMYFUNCTION("""COMPUTED_VALUE"""),"Miracle on 34th Street")</f>
        <v>Miracle on 34th Street</v>
      </c>
      <c r="R2235" s="5" t="str">
        <f>IFERROR(__xludf.DUMMYFUNCTION("""COMPUTED_VALUE"""),"Maureen O'Hara")</f>
        <v>Maureen O'Hara</v>
      </c>
      <c r="S2235" s="5" t="str">
        <f>IFERROR(__xludf.DUMMYFUNCTION("""COMPUTED_VALUE"""),"Estrela 2")</f>
        <v>Estrela 2</v>
      </c>
    </row>
    <row r="2236">
      <c r="G2236" s="5" t="str">
        <f>IFERROR(__xludf.DUMMYFUNCTION("""COMPUTED_VALUE"""),"559🤙🏼Miracle on 34th Street🤙🏼John Payne🤙🏼Estrela 3")</f>
        <v>559🤙🏼Miracle on 34th Street🤙🏼John Payne🤙🏼Estrela 3</v>
      </c>
      <c r="H2236" s="5">
        <f>IFERROR(__xludf.DUMMYFUNCTION("SPLiT(G2236, ""🤙🏼"",FALSE,FALSE)"),559.0)</f>
        <v>559</v>
      </c>
      <c r="I2236" s="5" t="str">
        <f>IFERROR(__xludf.DUMMYFUNCTION("""COMPUTED_VALUE"""),"Miracle on 34th Street")</f>
        <v>Miracle on 34th Street</v>
      </c>
      <c r="J2236" s="5" t="str">
        <f>IFERROR(__xludf.DUMMYFUNCTION("""COMPUTED_VALUE"""),"John Payne")</f>
        <v>John Payne</v>
      </c>
      <c r="K2236" s="5" t="str">
        <f>IFERROR(__xludf.DUMMYFUNCTION("""COMPUTED_VALUE"""),"Estrela 3")</f>
        <v>Estrela 3</v>
      </c>
      <c r="P2236" s="5">
        <f>IFERROR(__xludf.DUMMYFUNCTION("""COMPUTED_VALUE"""),559.0)</f>
        <v>559</v>
      </c>
      <c r="Q2236" s="5" t="str">
        <f>IFERROR(__xludf.DUMMYFUNCTION("""COMPUTED_VALUE"""),"Miracle on 34th Street")</f>
        <v>Miracle on 34th Street</v>
      </c>
      <c r="R2236" s="5" t="str">
        <f>IFERROR(__xludf.DUMMYFUNCTION("""COMPUTED_VALUE"""),"John Payne")</f>
        <v>John Payne</v>
      </c>
      <c r="S2236" s="5" t="str">
        <f>IFERROR(__xludf.DUMMYFUNCTION("""COMPUTED_VALUE"""),"Estrela 3")</f>
        <v>Estrela 3</v>
      </c>
    </row>
    <row r="2237">
      <c r="G2237" s="5" t="str">
        <f>IFERROR(__xludf.DUMMYFUNCTION("""COMPUTED_VALUE"""),"559🤙🏼Miracle on 34th Street🤙🏼Gene Lockhart🤙🏼Estrela 4")</f>
        <v>559🤙🏼Miracle on 34th Street🤙🏼Gene Lockhart🤙🏼Estrela 4</v>
      </c>
      <c r="H2237" s="5">
        <f>IFERROR(__xludf.DUMMYFUNCTION("SPLiT(G2237, ""🤙🏼"",FALSE,FALSE)"),559.0)</f>
        <v>559</v>
      </c>
      <c r="I2237" s="5" t="str">
        <f>IFERROR(__xludf.DUMMYFUNCTION("""COMPUTED_VALUE"""),"Miracle on 34th Street")</f>
        <v>Miracle on 34th Street</v>
      </c>
      <c r="J2237" s="5" t="str">
        <f>IFERROR(__xludf.DUMMYFUNCTION("""COMPUTED_VALUE"""),"Gene Lockhart")</f>
        <v>Gene Lockhart</v>
      </c>
      <c r="K2237" s="5" t="str">
        <f>IFERROR(__xludf.DUMMYFUNCTION("""COMPUTED_VALUE"""),"Estrela 4")</f>
        <v>Estrela 4</v>
      </c>
      <c r="P2237" s="5">
        <f>IFERROR(__xludf.DUMMYFUNCTION("""COMPUTED_VALUE"""),559.0)</f>
        <v>559</v>
      </c>
      <c r="Q2237" s="5" t="str">
        <f>IFERROR(__xludf.DUMMYFUNCTION("""COMPUTED_VALUE"""),"Miracle on 34th Street")</f>
        <v>Miracle on 34th Street</v>
      </c>
      <c r="R2237" s="5" t="str">
        <f>IFERROR(__xludf.DUMMYFUNCTION("""COMPUTED_VALUE"""),"Gene Lockhart")</f>
        <v>Gene Lockhart</v>
      </c>
      <c r="S2237" s="5" t="str">
        <f>IFERROR(__xludf.DUMMYFUNCTION("""COMPUTED_VALUE"""),"Estrela 4")</f>
        <v>Estrela 4</v>
      </c>
    </row>
    <row r="2238">
      <c r="G2238" s="5" t="str">
        <f>IFERROR(__xludf.DUMMYFUNCTION("""COMPUTED_VALUE"""),"560🤙🏼Notorious🤙🏼Cary Grant🤙🏼Estrela 1")</f>
        <v>560🤙🏼Notorious🤙🏼Cary Grant🤙🏼Estrela 1</v>
      </c>
      <c r="H2238" s="5">
        <f>IFERROR(__xludf.DUMMYFUNCTION("SPLiT(G2238, ""🤙🏼"",FALSE,FALSE)"),560.0)</f>
        <v>560</v>
      </c>
      <c r="I2238" s="5" t="str">
        <f>IFERROR(__xludf.DUMMYFUNCTION("""COMPUTED_VALUE"""),"Notorious")</f>
        <v>Notorious</v>
      </c>
      <c r="J2238" s="5" t="str">
        <f>IFERROR(__xludf.DUMMYFUNCTION("""COMPUTED_VALUE"""),"Cary Grant")</f>
        <v>Cary Grant</v>
      </c>
      <c r="K2238" s="5" t="str">
        <f>IFERROR(__xludf.DUMMYFUNCTION("""COMPUTED_VALUE"""),"Estrela 1")</f>
        <v>Estrela 1</v>
      </c>
      <c r="P2238" s="5">
        <f>IFERROR(__xludf.DUMMYFUNCTION("""COMPUTED_VALUE"""),560.0)</f>
        <v>560</v>
      </c>
      <c r="Q2238" s="5" t="str">
        <f>IFERROR(__xludf.DUMMYFUNCTION("""COMPUTED_VALUE"""),"Notorious")</f>
        <v>Notorious</v>
      </c>
      <c r="R2238" s="5" t="str">
        <f>IFERROR(__xludf.DUMMYFUNCTION("""COMPUTED_VALUE"""),"Cary Grant")</f>
        <v>Cary Grant</v>
      </c>
      <c r="S2238" s="5" t="str">
        <f>IFERROR(__xludf.DUMMYFUNCTION("""COMPUTED_VALUE"""),"Estrela 1")</f>
        <v>Estrela 1</v>
      </c>
    </row>
    <row r="2239">
      <c r="G2239" s="5" t="str">
        <f>IFERROR(__xludf.DUMMYFUNCTION("""COMPUTED_VALUE"""),"560🤙🏼Notorious🤙🏼Ingrid Bergman🤙🏼Estrela 2")</f>
        <v>560🤙🏼Notorious🤙🏼Ingrid Bergman🤙🏼Estrela 2</v>
      </c>
      <c r="H2239" s="5">
        <f>IFERROR(__xludf.DUMMYFUNCTION("SPLiT(G2239, ""🤙🏼"",FALSE,FALSE)"),560.0)</f>
        <v>560</v>
      </c>
      <c r="I2239" s="5" t="str">
        <f>IFERROR(__xludf.DUMMYFUNCTION("""COMPUTED_VALUE"""),"Notorious")</f>
        <v>Notorious</v>
      </c>
      <c r="J2239" s="5" t="str">
        <f>IFERROR(__xludf.DUMMYFUNCTION("""COMPUTED_VALUE"""),"Ingrid Bergman")</f>
        <v>Ingrid Bergman</v>
      </c>
      <c r="K2239" s="5" t="str">
        <f>IFERROR(__xludf.DUMMYFUNCTION("""COMPUTED_VALUE"""),"Estrela 2")</f>
        <v>Estrela 2</v>
      </c>
      <c r="P2239" s="5">
        <f>IFERROR(__xludf.DUMMYFUNCTION("""COMPUTED_VALUE"""),560.0)</f>
        <v>560</v>
      </c>
      <c r="Q2239" s="5" t="str">
        <f>IFERROR(__xludf.DUMMYFUNCTION("""COMPUTED_VALUE"""),"Notorious")</f>
        <v>Notorious</v>
      </c>
      <c r="R2239" s="5" t="str">
        <f>IFERROR(__xludf.DUMMYFUNCTION("""COMPUTED_VALUE"""),"Ingrid Bergman")</f>
        <v>Ingrid Bergman</v>
      </c>
      <c r="S2239" s="5" t="str">
        <f>IFERROR(__xludf.DUMMYFUNCTION("""COMPUTED_VALUE"""),"Estrela 2")</f>
        <v>Estrela 2</v>
      </c>
    </row>
    <row r="2240">
      <c r="G2240" s="5" t="str">
        <f>IFERROR(__xludf.DUMMYFUNCTION("""COMPUTED_VALUE"""),"560🤙🏼Notorious🤙🏼Claude Rains🤙🏼Estrela 3")</f>
        <v>560🤙🏼Notorious🤙🏼Claude Rains🤙🏼Estrela 3</v>
      </c>
      <c r="H2240" s="5">
        <f>IFERROR(__xludf.DUMMYFUNCTION("SPLiT(G2240, ""🤙🏼"",FALSE,FALSE)"),560.0)</f>
        <v>560</v>
      </c>
      <c r="I2240" s="5" t="str">
        <f>IFERROR(__xludf.DUMMYFUNCTION("""COMPUTED_VALUE"""),"Notorious")</f>
        <v>Notorious</v>
      </c>
      <c r="J2240" s="5" t="str">
        <f>IFERROR(__xludf.DUMMYFUNCTION("""COMPUTED_VALUE"""),"Claude Rains")</f>
        <v>Claude Rains</v>
      </c>
      <c r="K2240" s="5" t="str">
        <f>IFERROR(__xludf.DUMMYFUNCTION("""COMPUTED_VALUE"""),"Estrela 3")</f>
        <v>Estrela 3</v>
      </c>
      <c r="P2240" s="5">
        <f>IFERROR(__xludf.DUMMYFUNCTION("""COMPUTED_VALUE"""),560.0)</f>
        <v>560</v>
      </c>
      <c r="Q2240" s="5" t="str">
        <f>IFERROR(__xludf.DUMMYFUNCTION("""COMPUTED_VALUE"""),"Notorious")</f>
        <v>Notorious</v>
      </c>
      <c r="R2240" s="5" t="str">
        <f>IFERROR(__xludf.DUMMYFUNCTION("""COMPUTED_VALUE"""),"Claude Rains")</f>
        <v>Claude Rains</v>
      </c>
      <c r="S2240" s="5" t="str">
        <f>IFERROR(__xludf.DUMMYFUNCTION("""COMPUTED_VALUE"""),"Estrela 3")</f>
        <v>Estrela 3</v>
      </c>
    </row>
    <row r="2241">
      <c r="G2241" s="5" t="str">
        <f>IFERROR(__xludf.DUMMYFUNCTION("""COMPUTED_VALUE"""),"560🤙🏼Notorious🤙🏼Louis Calhern🤙🏼Estrela 4")</f>
        <v>560🤙🏼Notorious🤙🏼Louis Calhern🤙🏼Estrela 4</v>
      </c>
      <c r="H2241" s="5">
        <f>IFERROR(__xludf.DUMMYFUNCTION("SPLiT(G2241, ""🤙🏼"",FALSE,FALSE)"),560.0)</f>
        <v>560</v>
      </c>
      <c r="I2241" s="5" t="str">
        <f>IFERROR(__xludf.DUMMYFUNCTION("""COMPUTED_VALUE"""),"Notorious")</f>
        <v>Notorious</v>
      </c>
      <c r="J2241" s="5" t="str">
        <f>IFERROR(__xludf.DUMMYFUNCTION("""COMPUTED_VALUE"""),"Louis Calhern")</f>
        <v>Louis Calhern</v>
      </c>
      <c r="K2241" s="5" t="str">
        <f>IFERROR(__xludf.DUMMYFUNCTION("""COMPUTED_VALUE"""),"Estrela 4")</f>
        <v>Estrela 4</v>
      </c>
      <c r="P2241" s="5">
        <f>IFERROR(__xludf.DUMMYFUNCTION("""COMPUTED_VALUE"""),560.0)</f>
        <v>560</v>
      </c>
      <c r="Q2241" s="5" t="str">
        <f>IFERROR(__xludf.DUMMYFUNCTION("""COMPUTED_VALUE"""),"Notorious")</f>
        <v>Notorious</v>
      </c>
      <c r="R2241" s="5" t="str">
        <f>IFERROR(__xludf.DUMMYFUNCTION("""COMPUTED_VALUE"""),"Louis Calhern")</f>
        <v>Louis Calhern</v>
      </c>
      <c r="S2241" s="5" t="str">
        <f>IFERROR(__xludf.DUMMYFUNCTION("""COMPUTED_VALUE"""),"Estrela 4")</f>
        <v>Estrela 4</v>
      </c>
    </row>
    <row r="2242">
      <c r="G2242" s="5" t="str">
        <f>IFERROR(__xludf.DUMMYFUNCTION("""COMPUTED_VALUE"""),"561🤙🏼The Big Sleep🤙🏼Humphrey Bogart🤙🏼Estrela 1")</f>
        <v>561🤙🏼The Big Sleep🤙🏼Humphrey Bogart🤙🏼Estrela 1</v>
      </c>
      <c r="H2242" s="5">
        <f>IFERROR(__xludf.DUMMYFUNCTION("SPLiT(G2242, ""🤙🏼"",FALSE,FALSE)"),561.0)</f>
        <v>561</v>
      </c>
      <c r="I2242" s="5" t="str">
        <f>IFERROR(__xludf.DUMMYFUNCTION("""COMPUTED_VALUE"""),"The Big Sleep")</f>
        <v>The Big Sleep</v>
      </c>
      <c r="J2242" s="5" t="str">
        <f>IFERROR(__xludf.DUMMYFUNCTION("""COMPUTED_VALUE"""),"Humphrey Bogart")</f>
        <v>Humphrey Bogart</v>
      </c>
      <c r="K2242" s="5" t="str">
        <f>IFERROR(__xludf.DUMMYFUNCTION("""COMPUTED_VALUE"""),"Estrela 1")</f>
        <v>Estrela 1</v>
      </c>
      <c r="P2242" s="5">
        <f>IFERROR(__xludf.DUMMYFUNCTION("""COMPUTED_VALUE"""),561.0)</f>
        <v>561</v>
      </c>
      <c r="Q2242" s="5" t="str">
        <f>IFERROR(__xludf.DUMMYFUNCTION("""COMPUTED_VALUE"""),"The Big Sleep")</f>
        <v>The Big Sleep</v>
      </c>
      <c r="R2242" s="5" t="str">
        <f>IFERROR(__xludf.DUMMYFUNCTION("""COMPUTED_VALUE"""),"Humphrey Bogart")</f>
        <v>Humphrey Bogart</v>
      </c>
      <c r="S2242" s="5" t="str">
        <f>IFERROR(__xludf.DUMMYFUNCTION("""COMPUTED_VALUE"""),"Estrela 1")</f>
        <v>Estrela 1</v>
      </c>
    </row>
    <row r="2243">
      <c r="G2243" s="5" t="str">
        <f>IFERROR(__xludf.DUMMYFUNCTION("""COMPUTED_VALUE"""),"561🤙🏼The Big Sleep🤙🏼Lauren Bacall🤙🏼Estrela 2")</f>
        <v>561🤙🏼The Big Sleep🤙🏼Lauren Bacall🤙🏼Estrela 2</v>
      </c>
      <c r="H2243" s="5">
        <f>IFERROR(__xludf.DUMMYFUNCTION("SPLiT(G2243, ""🤙🏼"",FALSE,FALSE)"),561.0)</f>
        <v>561</v>
      </c>
      <c r="I2243" s="5" t="str">
        <f>IFERROR(__xludf.DUMMYFUNCTION("""COMPUTED_VALUE"""),"The Big Sleep")</f>
        <v>The Big Sleep</v>
      </c>
      <c r="J2243" s="5" t="str">
        <f>IFERROR(__xludf.DUMMYFUNCTION("""COMPUTED_VALUE"""),"Lauren Bacall")</f>
        <v>Lauren Bacall</v>
      </c>
      <c r="K2243" s="5" t="str">
        <f>IFERROR(__xludf.DUMMYFUNCTION("""COMPUTED_VALUE"""),"Estrela 2")</f>
        <v>Estrela 2</v>
      </c>
      <c r="P2243" s="5">
        <f>IFERROR(__xludf.DUMMYFUNCTION("""COMPUTED_VALUE"""),561.0)</f>
        <v>561</v>
      </c>
      <c r="Q2243" s="5" t="str">
        <f>IFERROR(__xludf.DUMMYFUNCTION("""COMPUTED_VALUE"""),"The Big Sleep")</f>
        <v>The Big Sleep</v>
      </c>
      <c r="R2243" s="5" t="str">
        <f>IFERROR(__xludf.DUMMYFUNCTION("""COMPUTED_VALUE"""),"Lauren Bacall")</f>
        <v>Lauren Bacall</v>
      </c>
      <c r="S2243" s="5" t="str">
        <f>IFERROR(__xludf.DUMMYFUNCTION("""COMPUTED_VALUE"""),"Estrela 2")</f>
        <v>Estrela 2</v>
      </c>
    </row>
    <row r="2244">
      <c r="G2244" s="5" t="str">
        <f>IFERROR(__xludf.DUMMYFUNCTION("""COMPUTED_VALUE"""),"561🤙🏼The Big Sleep🤙🏼John Ridgely🤙🏼Estrela 3")</f>
        <v>561🤙🏼The Big Sleep🤙🏼John Ridgely🤙🏼Estrela 3</v>
      </c>
      <c r="H2244" s="5">
        <f>IFERROR(__xludf.DUMMYFUNCTION("SPLiT(G2244, ""🤙🏼"",FALSE,FALSE)"),561.0)</f>
        <v>561</v>
      </c>
      <c r="I2244" s="5" t="str">
        <f>IFERROR(__xludf.DUMMYFUNCTION("""COMPUTED_VALUE"""),"The Big Sleep")</f>
        <v>The Big Sleep</v>
      </c>
      <c r="J2244" s="5" t="str">
        <f>IFERROR(__xludf.DUMMYFUNCTION("""COMPUTED_VALUE"""),"John Ridgely")</f>
        <v>John Ridgely</v>
      </c>
      <c r="K2244" s="5" t="str">
        <f>IFERROR(__xludf.DUMMYFUNCTION("""COMPUTED_VALUE"""),"Estrela 3")</f>
        <v>Estrela 3</v>
      </c>
      <c r="P2244" s="5">
        <f>IFERROR(__xludf.DUMMYFUNCTION("""COMPUTED_VALUE"""),561.0)</f>
        <v>561</v>
      </c>
      <c r="Q2244" s="5" t="str">
        <f>IFERROR(__xludf.DUMMYFUNCTION("""COMPUTED_VALUE"""),"The Big Sleep")</f>
        <v>The Big Sleep</v>
      </c>
      <c r="R2244" s="5" t="str">
        <f>IFERROR(__xludf.DUMMYFUNCTION("""COMPUTED_VALUE"""),"John Ridgely")</f>
        <v>John Ridgely</v>
      </c>
      <c r="S2244" s="5" t="str">
        <f>IFERROR(__xludf.DUMMYFUNCTION("""COMPUTED_VALUE"""),"Estrela 3")</f>
        <v>Estrela 3</v>
      </c>
    </row>
    <row r="2245">
      <c r="G2245" s="5" t="str">
        <f>IFERROR(__xludf.DUMMYFUNCTION("""COMPUTED_VALUE"""),"561🤙🏼The Big Sleep🤙🏼Martha Vickers🤙🏼Estrela 4")</f>
        <v>561🤙🏼The Big Sleep🤙🏼Martha Vickers🤙🏼Estrela 4</v>
      </c>
      <c r="H2245" s="5">
        <f>IFERROR(__xludf.DUMMYFUNCTION("SPLiT(G2245, ""🤙🏼"",FALSE,FALSE)"),561.0)</f>
        <v>561</v>
      </c>
      <c r="I2245" s="5" t="str">
        <f>IFERROR(__xludf.DUMMYFUNCTION("""COMPUTED_VALUE"""),"The Big Sleep")</f>
        <v>The Big Sleep</v>
      </c>
      <c r="J2245" s="5" t="str">
        <f>IFERROR(__xludf.DUMMYFUNCTION("""COMPUTED_VALUE"""),"Martha Vickers")</f>
        <v>Martha Vickers</v>
      </c>
      <c r="K2245" s="5" t="str">
        <f>IFERROR(__xludf.DUMMYFUNCTION("""COMPUTED_VALUE"""),"Estrela 4")</f>
        <v>Estrela 4</v>
      </c>
      <c r="P2245" s="5">
        <f>IFERROR(__xludf.DUMMYFUNCTION("""COMPUTED_VALUE"""),561.0)</f>
        <v>561</v>
      </c>
      <c r="Q2245" s="5" t="str">
        <f>IFERROR(__xludf.DUMMYFUNCTION("""COMPUTED_VALUE"""),"The Big Sleep")</f>
        <v>The Big Sleep</v>
      </c>
      <c r="R2245" s="5" t="str">
        <f>IFERROR(__xludf.DUMMYFUNCTION("""COMPUTED_VALUE"""),"Martha Vickers")</f>
        <v>Martha Vickers</v>
      </c>
      <c r="S2245" s="5" t="str">
        <f>IFERROR(__xludf.DUMMYFUNCTION("""COMPUTED_VALUE"""),"Estrela 4")</f>
        <v>Estrela 4</v>
      </c>
    </row>
    <row r="2246">
      <c r="G2246" s="5" t="str">
        <f>IFERROR(__xludf.DUMMYFUNCTION("""COMPUTED_VALUE"""),"562🤙🏼The Lost Weekend🤙🏼Ray Milland🤙🏼Estrela 1")</f>
        <v>562🤙🏼The Lost Weekend🤙🏼Ray Milland🤙🏼Estrela 1</v>
      </c>
      <c r="H2246" s="5">
        <f>IFERROR(__xludf.DUMMYFUNCTION("SPLiT(G2246, ""🤙🏼"",FALSE,FALSE)"),562.0)</f>
        <v>562</v>
      </c>
      <c r="I2246" s="5" t="str">
        <f>IFERROR(__xludf.DUMMYFUNCTION("""COMPUTED_VALUE"""),"The Lost Weekend")</f>
        <v>The Lost Weekend</v>
      </c>
      <c r="J2246" s="5" t="str">
        <f>IFERROR(__xludf.DUMMYFUNCTION("""COMPUTED_VALUE"""),"Ray Milland")</f>
        <v>Ray Milland</v>
      </c>
      <c r="K2246" s="5" t="str">
        <f>IFERROR(__xludf.DUMMYFUNCTION("""COMPUTED_VALUE"""),"Estrela 1")</f>
        <v>Estrela 1</v>
      </c>
      <c r="P2246" s="5">
        <f>IFERROR(__xludf.DUMMYFUNCTION("""COMPUTED_VALUE"""),562.0)</f>
        <v>562</v>
      </c>
      <c r="Q2246" s="5" t="str">
        <f>IFERROR(__xludf.DUMMYFUNCTION("""COMPUTED_VALUE"""),"The Lost Weekend")</f>
        <v>The Lost Weekend</v>
      </c>
      <c r="R2246" s="5" t="str">
        <f>IFERROR(__xludf.DUMMYFUNCTION("""COMPUTED_VALUE"""),"Ray Milland")</f>
        <v>Ray Milland</v>
      </c>
      <c r="S2246" s="5" t="str">
        <f>IFERROR(__xludf.DUMMYFUNCTION("""COMPUTED_VALUE"""),"Estrela 1")</f>
        <v>Estrela 1</v>
      </c>
    </row>
    <row r="2247">
      <c r="G2247" s="5" t="str">
        <f>IFERROR(__xludf.DUMMYFUNCTION("""COMPUTED_VALUE"""),"562🤙🏼The Lost Weekend🤙🏼Jane Wyman🤙🏼Estrela 2")</f>
        <v>562🤙🏼The Lost Weekend🤙🏼Jane Wyman🤙🏼Estrela 2</v>
      </c>
      <c r="H2247" s="5">
        <f>IFERROR(__xludf.DUMMYFUNCTION("SPLiT(G2247, ""🤙🏼"",FALSE,FALSE)"),562.0)</f>
        <v>562</v>
      </c>
      <c r="I2247" s="5" t="str">
        <f>IFERROR(__xludf.DUMMYFUNCTION("""COMPUTED_VALUE"""),"The Lost Weekend")</f>
        <v>The Lost Weekend</v>
      </c>
      <c r="J2247" s="5" t="str">
        <f>IFERROR(__xludf.DUMMYFUNCTION("""COMPUTED_VALUE"""),"Jane Wyman")</f>
        <v>Jane Wyman</v>
      </c>
      <c r="K2247" s="5" t="str">
        <f>IFERROR(__xludf.DUMMYFUNCTION("""COMPUTED_VALUE"""),"Estrela 2")</f>
        <v>Estrela 2</v>
      </c>
      <c r="P2247" s="5">
        <f>IFERROR(__xludf.DUMMYFUNCTION("""COMPUTED_VALUE"""),562.0)</f>
        <v>562</v>
      </c>
      <c r="Q2247" s="5" t="str">
        <f>IFERROR(__xludf.DUMMYFUNCTION("""COMPUTED_VALUE"""),"The Lost Weekend")</f>
        <v>The Lost Weekend</v>
      </c>
      <c r="R2247" s="5" t="str">
        <f>IFERROR(__xludf.DUMMYFUNCTION("""COMPUTED_VALUE"""),"Jane Wyman")</f>
        <v>Jane Wyman</v>
      </c>
      <c r="S2247" s="5" t="str">
        <f>IFERROR(__xludf.DUMMYFUNCTION("""COMPUTED_VALUE"""),"Estrela 2")</f>
        <v>Estrela 2</v>
      </c>
    </row>
    <row r="2248">
      <c r="G2248" s="5" t="str">
        <f>IFERROR(__xludf.DUMMYFUNCTION("""COMPUTED_VALUE"""),"562🤙🏼The Lost Weekend🤙🏼Phillip Terry🤙🏼Estrela 3")</f>
        <v>562🤙🏼The Lost Weekend🤙🏼Phillip Terry🤙🏼Estrela 3</v>
      </c>
      <c r="H2248" s="5">
        <f>IFERROR(__xludf.DUMMYFUNCTION("SPLiT(G2248, ""🤙🏼"",FALSE,FALSE)"),562.0)</f>
        <v>562</v>
      </c>
      <c r="I2248" s="5" t="str">
        <f>IFERROR(__xludf.DUMMYFUNCTION("""COMPUTED_VALUE"""),"The Lost Weekend")</f>
        <v>The Lost Weekend</v>
      </c>
      <c r="J2248" s="5" t="str">
        <f>IFERROR(__xludf.DUMMYFUNCTION("""COMPUTED_VALUE"""),"Phillip Terry")</f>
        <v>Phillip Terry</v>
      </c>
      <c r="K2248" s="5" t="str">
        <f>IFERROR(__xludf.DUMMYFUNCTION("""COMPUTED_VALUE"""),"Estrela 3")</f>
        <v>Estrela 3</v>
      </c>
      <c r="P2248" s="5">
        <f>IFERROR(__xludf.DUMMYFUNCTION("""COMPUTED_VALUE"""),562.0)</f>
        <v>562</v>
      </c>
      <c r="Q2248" s="5" t="str">
        <f>IFERROR(__xludf.DUMMYFUNCTION("""COMPUTED_VALUE"""),"The Lost Weekend")</f>
        <v>The Lost Weekend</v>
      </c>
      <c r="R2248" s="5" t="str">
        <f>IFERROR(__xludf.DUMMYFUNCTION("""COMPUTED_VALUE"""),"Phillip Terry")</f>
        <v>Phillip Terry</v>
      </c>
      <c r="S2248" s="5" t="str">
        <f>IFERROR(__xludf.DUMMYFUNCTION("""COMPUTED_VALUE"""),"Estrela 3")</f>
        <v>Estrela 3</v>
      </c>
    </row>
    <row r="2249">
      <c r="G2249" s="5" t="str">
        <f>IFERROR(__xludf.DUMMYFUNCTION("""COMPUTED_VALUE"""),"562🤙🏼The Lost Weekend🤙🏼Howard Da Silva🤙🏼Estrela 4")</f>
        <v>562🤙🏼The Lost Weekend🤙🏼Howard Da Silva🤙🏼Estrela 4</v>
      </c>
      <c r="H2249" s="5">
        <f>IFERROR(__xludf.DUMMYFUNCTION("SPLiT(G2249, ""🤙🏼"",FALSE,FALSE)"),562.0)</f>
        <v>562</v>
      </c>
      <c r="I2249" s="5" t="str">
        <f>IFERROR(__xludf.DUMMYFUNCTION("""COMPUTED_VALUE"""),"The Lost Weekend")</f>
        <v>The Lost Weekend</v>
      </c>
      <c r="J2249" s="5" t="str">
        <f>IFERROR(__xludf.DUMMYFUNCTION("""COMPUTED_VALUE"""),"Howard Da Silva")</f>
        <v>Howard Da Silva</v>
      </c>
      <c r="K2249" s="5" t="str">
        <f>IFERROR(__xludf.DUMMYFUNCTION("""COMPUTED_VALUE"""),"Estrela 4")</f>
        <v>Estrela 4</v>
      </c>
      <c r="P2249" s="5">
        <f>IFERROR(__xludf.DUMMYFUNCTION("""COMPUTED_VALUE"""),562.0)</f>
        <v>562</v>
      </c>
      <c r="Q2249" s="5" t="str">
        <f>IFERROR(__xludf.DUMMYFUNCTION("""COMPUTED_VALUE"""),"The Lost Weekend")</f>
        <v>The Lost Weekend</v>
      </c>
      <c r="R2249" s="5" t="str">
        <f>IFERROR(__xludf.DUMMYFUNCTION("""COMPUTED_VALUE"""),"Howard Da Silva")</f>
        <v>Howard Da Silva</v>
      </c>
      <c r="S2249" s="5" t="str">
        <f>IFERROR(__xludf.DUMMYFUNCTION("""COMPUTED_VALUE"""),"Estrela 4")</f>
        <v>Estrela 4</v>
      </c>
    </row>
    <row r="2250">
      <c r="G2250" s="5" t="str">
        <f>IFERROR(__xludf.DUMMYFUNCTION("""COMPUTED_VALUE"""),"563🤙🏼The Philadelphia Story🤙🏼Cary Grant🤙🏼Estrela 1")</f>
        <v>563🤙🏼The Philadelphia Story🤙🏼Cary Grant🤙🏼Estrela 1</v>
      </c>
      <c r="H2250" s="5">
        <f>IFERROR(__xludf.DUMMYFUNCTION("SPLiT(G2250, ""🤙🏼"",FALSE,FALSE)"),563.0)</f>
        <v>563</v>
      </c>
      <c r="I2250" s="5" t="str">
        <f>IFERROR(__xludf.DUMMYFUNCTION("""COMPUTED_VALUE"""),"The Philadelphia Story")</f>
        <v>The Philadelphia Story</v>
      </c>
      <c r="J2250" s="5" t="str">
        <f>IFERROR(__xludf.DUMMYFUNCTION("""COMPUTED_VALUE"""),"Cary Grant")</f>
        <v>Cary Grant</v>
      </c>
      <c r="K2250" s="5" t="str">
        <f>IFERROR(__xludf.DUMMYFUNCTION("""COMPUTED_VALUE"""),"Estrela 1")</f>
        <v>Estrela 1</v>
      </c>
      <c r="P2250" s="5">
        <f>IFERROR(__xludf.DUMMYFUNCTION("""COMPUTED_VALUE"""),563.0)</f>
        <v>563</v>
      </c>
      <c r="Q2250" s="5" t="str">
        <f>IFERROR(__xludf.DUMMYFUNCTION("""COMPUTED_VALUE"""),"The Philadelphia Story")</f>
        <v>The Philadelphia Story</v>
      </c>
      <c r="R2250" s="5" t="str">
        <f>IFERROR(__xludf.DUMMYFUNCTION("""COMPUTED_VALUE"""),"Cary Grant")</f>
        <v>Cary Grant</v>
      </c>
      <c r="S2250" s="5" t="str">
        <f>IFERROR(__xludf.DUMMYFUNCTION("""COMPUTED_VALUE"""),"Estrela 1")</f>
        <v>Estrela 1</v>
      </c>
    </row>
    <row r="2251">
      <c r="G2251" s="5" t="str">
        <f>IFERROR(__xludf.DUMMYFUNCTION("""COMPUTED_VALUE"""),"563🤙🏼The Philadelphia Story🤙🏼Katharine Hepburn🤙🏼Estrela 2")</f>
        <v>563🤙🏼The Philadelphia Story🤙🏼Katharine Hepburn🤙🏼Estrela 2</v>
      </c>
      <c r="H2251" s="5">
        <f>IFERROR(__xludf.DUMMYFUNCTION("SPLiT(G2251, ""🤙🏼"",FALSE,FALSE)"),563.0)</f>
        <v>563</v>
      </c>
      <c r="I2251" s="5" t="str">
        <f>IFERROR(__xludf.DUMMYFUNCTION("""COMPUTED_VALUE"""),"The Philadelphia Story")</f>
        <v>The Philadelphia Story</v>
      </c>
      <c r="J2251" s="5" t="str">
        <f>IFERROR(__xludf.DUMMYFUNCTION("""COMPUTED_VALUE"""),"Katharine Hepburn")</f>
        <v>Katharine Hepburn</v>
      </c>
      <c r="K2251" s="5" t="str">
        <f>IFERROR(__xludf.DUMMYFUNCTION("""COMPUTED_VALUE"""),"Estrela 2")</f>
        <v>Estrela 2</v>
      </c>
      <c r="P2251" s="5">
        <f>IFERROR(__xludf.DUMMYFUNCTION("""COMPUTED_VALUE"""),563.0)</f>
        <v>563</v>
      </c>
      <c r="Q2251" s="5" t="str">
        <f>IFERROR(__xludf.DUMMYFUNCTION("""COMPUTED_VALUE"""),"The Philadelphia Story")</f>
        <v>The Philadelphia Story</v>
      </c>
      <c r="R2251" s="5" t="str">
        <f>IFERROR(__xludf.DUMMYFUNCTION("""COMPUTED_VALUE"""),"Katharine Hepburn")</f>
        <v>Katharine Hepburn</v>
      </c>
      <c r="S2251" s="5" t="str">
        <f>IFERROR(__xludf.DUMMYFUNCTION("""COMPUTED_VALUE"""),"Estrela 2")</f>
        <v>Estrela 2</v>
      </c>
    </row>
    <row r="2252">
      <c r="G2252" s="5" t="str">
        <f>IFERROR(__xludf.DUMMYFUNCTION("""COMPUTED_VALUE"""),"563🤙🏼The Philadelphia Story🤙🏼James Stewart🤙🏼Estrela 3")</f>
        <v>563🤙🏼The Philadelphia Story🤙🏼James Stewart🤙🏼Estrela 3</v>
      </c>
      <c r="H2252" s="5">
        <f>IFERROR(__xludf.DUMMYFUNCTION("SPLiT(G2252, ""🤙🏼"",FALSE,FALSE)"),563.0)</f>
        <v>563</v>
      </c>
      <c r="I2252" s="5" t="str">
        <f>IFERROR(__xludf.DUMMYFUNCTION("""COMPUTED_VALUE"""),"The Philadelphia Story")</f>
        <v>The Philadelphia Story</v>
      </c>
      <c r="J2252" s="5" t="str">
        <f>IFERROR(__xludf.DUMMYFUNCTION("""COMPUTED_VALUE"""),"James Stewart")</f>
        <v>James Stewart</v>
      </c>
      <c r="K2252" s="5" t="str">
        <f>IFERROR(__xludf.DUMMYFUNCTION("""COMPUTED_VALUE"""),"Estrela 3")</f>
        <v>Estrela 3</v>
      </c>
      <c r="P2252" s="5">
        <f>IFERROR(__xludf.DUMMYFUNCTION("""COMPUTED_VALUE"""),563.0)</f>
        <v>563</v>
      </c>
      <c r="Q2252" s="5" t="str">
        <f>IFERROR(__xludf.DUMMYFUNCTION("""COMPUTED_VALUE"""),"The Philadelphia Story")</f>
        <v>The Philadelphia Story</v>
      </c>
      <c r="R2252" s="5" t="str">
        <f>IFERROR(__xludf.DUMMYFUNCTION("""COMPUTED_VALUE"""),"James Stewart")</f>
        <v>James Stewart</v>
      </c>
      <c r="S2252" s="5" t="str">
        <f>IFERROR(__xludf.DUMMYFUNCTION("""COMPUTED_VALUE"""),"Estrela 3")</f>
        <v>Estrela 3</v>
      </c>
    </row>
    <row r="2253">
      <c r="G2253" s="5" t="str">
        <f>IFERROR(__xludf.DUMMYFUNCTION("""COMPUTED_VALUE"""),"563🤙🏼The Philadelphia Story🤙🏼Ruth Hussey🤙🏼Estrela 4")</f>
        <v>563🤙🏼The Philadelphia Story🤙🏼Ruth Hussey🤙🏼Estrela 4</v>
      </c>
      <c r="H2253" s="5">
        <f>IFERROR(__xludf.DUMMYFUNCTION("SPLiT(G2253, ""🤙🏼"",FALSE,FALSE)"),563.0)</f>
        <v>563</v>
      </c>
      <c r="I2253" s="5" t="str">
        <f>IFERROR(__xludf.DUMMYFUNCTION("""COMPUTED_VALUE"""),"The Philadelphia Story")</f>
        <v>The Philadelphia Story</v>
      </c>
      <c r="J2253" s="5" t="str">
        <f>IFERROR(__xludf.DUMMYFUNCTION("""COMPUTED_VALUE"""),"Ruth Hussey")</f>
        <v>Ruth Hussey</v>
      </c>
      <c r="K2253" s="5" t="str">
        <f>IFERROR(__xludf.DUMMYFUNCTION("""COMPUTED_VALUE"""),"Estrela 4")</f>
        <v>Estrela 4</v>
      </c>
      <c r="P2253" s="5">
        <f>IFERROR(__xludf.DUMMYFUNCTION("""COMPUTED_VALUE"""),563.0)</f>
        <v>563</v>
      </c>
      <c r="Q2253" s="5" t="str">
        <f>IFERROR(__xludf.DUMMYFUNCTION("""COMPUTED_VALUE"""),"The Philadelphia Story")</f>
        <v>The Philadelphia Story</v>
      </c>
      <c r="R2253" s="5" t="str">
        <f>IFERROR(__xludf.DUMMYFUNCTION("""COMPUTED_VALUE"""),"Ruth Hussey")</f>
        <v>Ruth Hussey</v>
      </c>
      <c r="S2253" s="5" t="str">
        <f>IFERROR(__xludf.DUMMYFUNCTION("""COMPUTED_VALUE"""),"Estrela 4")</f>
        <v>Estrela 4</v>
      </c>
    </row>
    <row r="2254">
      <c r="G2254" s="5" t="str">
        <f>IFERROR(__xludf.DUMMYFUNCTION("""COMPUTED_VALUE"""),"564🤙🏼His Girl Friday🤙🏼Cary Grant🤙🏼Estrela 1")</f>
        <v>564🤙🏼His Girl Friday🤙🏼Cary Grant🤙🏼Estrela 1</v>
      </c>
      <c r="H2254" s="5">
        <f>IFERROR(__xludf.DUMMYFUNCTION("SPLiT(G2254, ""🤙🏼"",FALSE,FALSE)"),564.0)</f>
        <v>564</v>
      </c>
      <c r="I2254" s="5" t="str">
        <f>IFERROR(__xludf.DUMMYFUNCTION("""COMPUTED_VALUE"""),"His Girl Friday")</f>
        <v>His Girl Friday</v>
      </c>
      <c r="J2254" s="5" t="str">
        <f>IFERROR(__xludf.DUMMYFUNCTION("""COMPUTED_VALUE"""),"Cary Grant")</f>
        <v>Cary Grant</v>
      </c>
      <c r="K2254" s="5" t="str">
        <f>IFERROR(__xludf.DUMMYFUNCTION("""COMPUTED_VALUE"""),"Estrela 1")</f>
        <v>Estrela 1</v>
      </c>
      <c r="P2254" s="5">
        <f>IFERROR(__xludf.DUMMYFUNCTION("""COMPUTED_VALUE"""),564.0)</f>
        <v>564</v>
      </c>
      <c r="Q2254" s="5" t="str">
        <f>IFERROR(__xludf.DUMMYFUNCTION("""COMPUTED_VALUE"""),"His Girl Friday")</f>
        <v>His Girl Friday</v>
      </c>
      <c r="R2254" s="5" t="str">
        <f>IFERROR(__xludf.DUMMYFUNCTION("""COMPUTED_VALUE"""),"Cary Grant")</f>
        <v>Cary Grant</v>
      </c>
      <c r="S2254" s="5" t="str">
        <f>IFERROR(__xludf.DUMMYFUNCTION("""COMPUTED_VALUE"""),"Estrela 1")</f>
        <v>Estrela 1</v>
      </c>
    </row>
    <row r="2255">
      <c r="G2255" s="5" t="str">
        <f>IFERROR(__xludf.DUMMYFUNCTION("""COMPUTED_VALUE"""),"564🤙🏼His Girl Friday🤙🏼Rosalind Russell🤙🏼Estrela 2")</f>
        <v>564🤙🏼His Girl Friday🤙🏼Rosalind Russell🤙🏼Estrela 2</v>
      </c>
      <c r="H2255" s="5">
        <f>IFERROR(__xludf.DUMMYFUNCTION("SPLiT(G2255, ""🤙🏼"",FALSE,FALSE)"),564.0)</f>
        <v>564</v>
      </c>
      <c r="I2255" s="5" t="str">
        <f>IFERROR(__xludf.DUMMYFUNCTION("""COMPUTED_VALUE"""),"His Girl Friday")</f>
        <v>His Girl Friday</v>
      </c>
      <c r="J2255" s="5" t="str">
        <f>IFERROR(__xludf.DUMMYFUNCTION("""COMPUTED_VALUE"""),"Rosalind Russell")</f>
        <v>Rosalind Russell</v>
      </c>
      <c r="K2255" s="5" t="str">
        <f>IFERROR(__xludf.DUMMYFUNCTION("""COMPUTED_VALUE"""),"Estrela 2")</f>
        <v>Estrela 2</v>
      </c>
      <c r="P2255" s="5">
        <f>IFERROR(__xludf.DUMMYFUNCTION("""COMPUTED_VALUE"""),564.0)</f>
        <v>564</v>
      </c>
      <c r="Q2255" s="5" t="str">
        <f>IFERROR(__xludf.DUMMYFUNCTION("""COMPUTED_VALUE"""),"His Girl Friday")</f>
        <v>His Girl Friday</v>
      </c>
      <c r="R2255" s="5" t="str">
        <f>IFERROR(__xludf.DUMMYFUNCTION("""COMPUTED_VALUE"""),"Rosalind Russell")</f>
        <v>Rosalind Russell</v>
      </c>
      <c r="S2255" s="5" t="str">
        <f>IFERROR(__xludf.DUMMYFUNCTION("""COMPUTED_VALUE"""),"Estrela 2")</f>
        <v>Estrela 2</v>
      </c>
    </row>
    <row r="2256">
      <c r="G2256" s="5" t="str">
        <f>IFERROR(__xludf.DUMMYFUNCTION("""COMPUTED_VALUE"""),"564🤙🏼His Girl Friday🤙🏼Ralph Bellamy🤙🏼Estrela 3")</f>
        <v>564🤙🏼His Girl Friday🤙🏼Ralph Bellamy🤙🏼Estrela 3</v>
      </c>
      <c r="H2256" s="5">
        <f>IFERROR(__xludf.DUMMYFUNCTION("SPLiT(G2256, ""🤙🏼"",FALSE,FALSE)"),564.0)</f>
        <v>564</v>
      </c>
      <c r="I2256" s="5" t="str">
        <f>IFERROR(__xludf.DUMMYFUNCTION("""COMPUTED_VALUE"""),"His Girl Friday")</f>
        <v>His Girl Friday</v>
      </c>
      <c r="J2256" s="5" t="str">
        <f>IFERROR(__xludf.DUMMYFUNCTION("""COMPUTED_VALUE"""),"Ralph Bellamy")</f>
        <v>Ralph Bellamy</v>
      </c>
      <c r="K2256" s="5" t="str">
        <f>IFERROR(__xludf.DUMMYFUNCTION("""COMPUTED_VALUE"""),"Estrela 3")</f>
        <v>Estrela 3</v>
      </c>
      <c r="P2256" s="5">
        <f>IFERROR(__xludf.DUMMYFUNCTION("""COMPUTED_VALUE"""),564.0)</f>
        <v>564</v>
      </c>
      <c r="Q2256" s="5" t="str">
        <f>IFERROR(__xludf.DUMMYFUNCTION("""COMPUTED_VALUE"""),"His Girl Friday")</f>
        <v>His Girl Friday</v>
      </c>
      <c r="R2256" s="5" t="str">
        <f>IFERROR(__xludf.DUMMYFUNCTION("""COMPUTED_VALUE"""),"Ralph Bellamy")</f>
        <v>Ralph Bellamy</v>
      </c>
      <c r="S2256" s="5" t="str">
        <f>IFERROR(__xludf.DUMMYFUNCTION("""COMPUTED_VALUE"""),"Estrela 3")</f>
        <v>Estrela 3</v>
      </c>
    </row>
    <row r="2257">
      <c r="G2257" s="5" t="str">
        <f>IFERROR(__xludf.DUMMYFUNCTION("""COMPUTED_VALUE"""),"564🤙🏼His Girl Friday🤙🏼Gene Lockhart🤙🏼Estrela 4")</f>
        <v>564🤙🏼His Girl Friday🤙🏼Gene Lockhart🤙🏼Estrela 4</v>
      </c>
      <c r="H2257" s="5">
        <f>IFERROR(__xludf.DUMMYFUNCTION("SPLiT(G2257, ""🤙🏼"",FALSE,FALSE)"),564.0)</f>
        <v>564</v>
      </c>
      <c r="I2257" s="5" t="str">
        <f>IFERROR(__xludf.DUMMYFUNCTION("""COMPUTED_VALUE"""),"His Girl Friday")</f>
        <v>His Girl Friday</v>
      </c>
      <c r="J2257" s="5" t="str">
        <f>IFERROR(__xludf.DUMMYFUNCTION("""COMPUTED_VALUE"""),"Gene Lockhart")</f>
        <v>Gene Lockhart</v>
      </c>
      <c r="K2257" s="5" t="str">
        <f>IFERROR(__xludf.DUMMYFUNCTION("""COMPUTED_VALUE"""),"Estrela 4")</f>
        <v>Estrela 4</v>
      </c>
      <c r="P2257" s="5">
        <f>IFERROR(__xludf.DUMMYFUNCTION("""COMPUTED_VALUE"""),564.0)</f>
        <v>564</v>
      </c>
      <c r="Q2257" s="5" t="str">
        <f>IFERROR(__xludf.DUMMYFUNCTION("""COMPUTED_VALUE"""),"His Girl Friday")</f>
        <v>His Girl Friday</v>
      </c>
      <c r="R2257" s="5" t="str">
        <f>IFERROR(__xludf.DUMMYFUNCTION("""COMPUTED_VALUE"""),"Gene Lockhart")</f>
        <v>Gene Lockhart</v>
      </c>
      <c r="S2257" s="5" t="str">
        <f>IFERROR(__xludf.DUMMYFUNCTION("""COMPUTED_VALUE"""),"Estrela 4")</f>
        <v>Estrela 4</v>
      </c>
    </row>
    <row r="2258">
      <c r="G2258" s="5" t="str">
        <f>IFERROR(__xludf.DUMMYFUNCTION("""COMPUTED_VALUE"""),"565🤙🏼The Adventures of Robin Hood🤙🏼William Keighley🤙🏼Estrela 1")</f>
        <v>565🤙🏼The Adventures of Robin Hood🤙🏼William Keighley🤙🏼Estrela 1</v>
      </c>
      <c r="H2258" s="5">
        <f>IFERROR(__xludf.DUMMYFUNCTION("SPLiT(G2258, ""🤙🏼"",FALSE,FALSE)"),565.0)</f>
        <v>565</v>
      </c>
      <c r="I2258" s="5" t="str">
        <f>IFERROR(__xludf.DUMMYFUNCTION("""COMPUTED_VALUE"""),"The Adventures of Robin Hood")</f>
        <v>The Adventures of Robin Hood</v>
      </c>
      <c r="J2258" s="5" t="str">
        <f>IFERROR(__xludf.DUMMYFUNCTION("""COMPUTED_VALUE"""),"William Keighley")</f>
        <v>William Keighley</v>
      </c>
      <c r="K2258" s="5" t="str">
        <f>IFERROR(__xludf.DUMMYFUNCTION("""COMPUTED_VALUE"""),"Estrela 1")</f>
        <v>Estrela 1</v>
      </c>
      <c r="P2258" s="5">
        <f>IFERROR(__xludf.DUMMYFUNCTION("""COMPUTED_VALUE"""),565.0)</f>
        <v>565</v>
      </c>
      <c r="Q2258" s="5" t="str">
        <f>IFERROR(__xludf.DUMMYFUNCTION("""COMPUTED_VALUE"""),"The Adventures of Robin Hood")</f>
        <v>The Adventures of Robin Hood</v>
      </c>
      <c r="R2258" s="5" t="str">
        <f>IFERROR(__xludf.DUMMYFUNCTION("""COMPUTED_VALUE"""),"William Keighley")</f>
        <v>William Keighley</v>
      </c>
      <c r="S2258" s="5" t="str">
        <f>IFERROR(__xludf.DUMMYFUNCTION("""COMPUTED_VALUE"""),"Estrela 1")</f>
        <v>Estrela 1</v>
      </c>
    </row>
    <row r="2259">
      <c r="G2259" s="5" t="str">
        <f>IFERROR(__xludf.DUMMYFUNCTION("""COMPUTED_VALUE"""),"565🤙🏼The Adventures of Robin Hood🤙🏼Errol Flynn🤙🏼Estrela 2")</f>
        <v>565🤙🏼The Adventures of Robin Hood🤙🏼Errol Flynn🤙🏼Estrela 2</v>
      </c>
      <c r="H2259" s="5">
        <f>IFERROR(__xludf.DUMMYFUNCTION("SPLiT(G2259, ""🤙🏼"",FALSE,FALSE)"),565.0)</f>
        <v>565</v>
      </c>
      <c r="I2259" s="5" t="str">
        <f>IFERROR(__xludf.DUMMYFUNCTION("""COMPUTED_VALUE"""),"The Adventures of Robin Hood")</f>
        <v>The Adventures of Robin Hood</v>
      </c>
      <c r="J2259" s="5" t="str">
        <f>IFERROR(__xludf.DUMMYFUNCTION("""COMPUTED_VALUE"""),"Errol Flynn")</f>
        <v>Errol Flynn</v>
      </c>
      <c r="K2259" s="5" t="str">
        <f>IFERROR(__xludf.DUMMYFUNCTION("""COMPUTED_VALUE"""),"Estrela 2")</f>
        <v>Estrela 2</v>
      </c>
      <c r="P2259" s="5">
        <f>IFERROR(__xludf.DUMMYFUNCTION("""COMPUTED_VALUE"""),565.0)</f>
        <v>565</v>
      </c>
      <c r="Q2259" s="5" t="str">
        <f>IFERROR(__xludf.DUMMYFUNCTION("""COMPUTED_VALUE"""),"The Adventures of Robin Hood")</f>
        <v>The Adventures of Robin Hood</v>
      </c>
      <c r="R2259" s="5" t="str">
        <f>IFERROR(__xludf.DUMMYFUNCTION("""COMPUTED_VALUE"""),"Errol Flynn")</f>
        <v>Errol Flynn</v>
      </c>
      <c r="S2259" s="5" t="str">
        <f>IFERROR(__xludf.DUMMYFUNCTION("""COMPUTED_VALUE"""),"Estrela 2")</f>
        <v>Estrela 2</v>
      </c>
    </row>
    <row r="2260">
      <c r="G2260" s="5" t="str">
        <f>IFERROR(__xludf.DUMMYFUNCTION("""COMPUTED_VALUE"""),"565🤙🏼The Adventures of Robin Hood🤙🏼Olivia de Havilland🤙🏼Estrela 3")</f>
        <v>565🤙🏼The Adventures of Robin Hood🤙🏼Olivia de Havilland🤙🏼Estrela 3</v>
      </c>
      <c r="H2260" s="5">
        <f>IFERROR(__xludf.DUMMYFUNCTION("SPLiT(G2260, ""🤙🏼"",FALSE,FALSE)"),565.0)</f>
        <v>565</v>
      </c>
      <c r="I2260" s="5" t="str">
        <f>IFERROR(__xludf.DUMMYFUNCTION("""COMPUTED_VALUE"""),"The Adventures of Robin Hood")</f>
        <v>The Adventures of Robin Hood</v>
      </c>
      <c r="J2260" s="5" t="str">
        <f>IFERROR(__xludf.DUMMYFUNCTION("""COMPUTED_VALUE"""),"Olivia de Havilland")</f>
        <v>Olivia de Havilland</v>
      </c>
      <c r="K2260" s="5" t="str">
        <f>IFERROR(__xludf.DUMMYFUNCTION("""COMPUTED_VALUE"""),"Estrela 3")</f>
        <v>Estrela 3</v>
      </c>
      <c r="P2260" s="5">
        <f>IFERROR(__xludf.DUMMYFUNCTION("""COMPUTED_VALUE"""),565.0)</f>
        <v>565</v>
      </c>
      <c r="Q2260" s="5" t="str">
        <f>IFERROR(__xludf.DUMMYFUNCTION("""COMPUTED_VALUE"""),"The Adventures of Robin Hood")</f>
        <v>The Adventures of Robin Hood</v>
      </c>
      <c r="R2260" s="5" t="str">
        <f>IFERROR(__xludf.DUMMYFUNCTION("""COMPUTED_VALUE"""),"Olivia de Havilland")</f>
        <v>Olivia de Havilland</v>
      </c>
      <c r="S2260" s="5" t="str">
        <f>IFERROR(__xludf.DUMMYFUNCTION("""COMPUTED_VALUE"""),"Estrela 3")</f>
        <v>Estrela 3</v>
      </c>
    </row>
    <row r="2261">
      <c r="G2261" s="5" t="str">
        <f>IFERROR(__xludf.DUMMYFUNCTION("""COMPUTED_VALUE"""),"565🤙🏼The Adventures of Robin Hood🤙🏼Basil Rathbone🤙🏼Estrela 4")</f>
        <v>565🤙🏼The Adventures of Robin Hood🤙🏼Basil Rathbone🤙🏼Estrela 4</v>
      </c>
      <c r="H2261" s="5">
        <f>IFERROR(__xludf.DUMMYFUNCTION("SPLiT(G2261, ""🤙🏼"",FALSE,FALSE)"),565.0)</f>
        <v>565</v>
      </c>
      <c r="I2261" s="5" t="str">
        <f>IFERROR(__xludf.DUMMYFUNCTION("""COMPUTED_VALUE"""),"The Adventures of Robin Hood")</f>
        <v>The Adventures of Robin Hood</v>
      </c>
      <c r="J2261" s="5" t="str">
        <f>IFERROR(__xludf.DUMMYFUNCTION("""COMPUTED_VALUE"""),"Basil Rathbone")</f>
        <v>Basil Rathbone</v>
      </c>
      <c r="K2261" s="5" t="str">
        <f>IFERROR(__xludf.DUMMYFUNCTION("""COMPUTED_VALUE"""),"Estrela 4")</f>
        <v>Estrela 4</v>
      </c>
      <c r="P2261" s="5">
        <f>IFERROR(__xludf.DUMMYFUNCTION("""COMPUTED_VALUE"""),565.0)</f>
        <v>565</v>
      </c>
      <c r="Q2261" s="5" t="str">
        <f>IFERROR(__xludf.DUMMYFUNCTION("""COMPUTED_VALUE"""),"The Adventures of Robin Hood")</f>
        <v>The Adventures of Robin Hood</v>
      </c>
      <c r="R2261" s="5" t="str">
        <f>IFERROR(__xludf.DUMMYFUNCTION("""COMPUTED_VALUE"""),"Basil Rathbone")</f>
        <v>Basil Rathbone</v>
      </c>
      <c r="S2261" s="5" t="str">
        <f>IFERROR(__xludf.DUMMYFUNCTION("""COMPUTED_VALUE"""),"Estrela 4")</f>
        <v>Estrela 4</v>
      </c>
    </row>
    <row r="2262">
      <c r="G2262" s="5" t="str">
        <f>IFERROR(__xludf.DUMMYFUNCTION("""COMPUTED_VALUE"""),"566🤙🏼A Night at the Opera🤙🏼Edmund Goulding🤙🏼Estrela 1")</f>
        <v>566🤙🏼A Night at the Opera🤙🏼Edmund Goulding🤙🏼Estrela 1</v>
      </c>
      <c r="H2262" s="5">
        <f>IFERROR(__xludf.DUMMYFUNCTION("SPLiT(G2262, ""🤙🏼"",FALSE,FALSE)"),566.0)</f>
        <v>566</v>
      </c>
      <c r="I2262" s="5" t="str">
        <f>IFERROR(__xludf.DUMMYFUNCTION("""COMPUTED_VALUE"""),"A Night at the Opera")</f>
        <v>A Night at the Opera</v>
      </c>
      <c r="J2262" s="5" t="str">
        <f>IFERROR(__xludf.DUMMYFUNCTION("""COMPUTED_VALUE"""),"Edmund Goulding")</f>
        <v>Edmund Goulding</v>
      </c>
      <c r="K2262" s="5" t="str">
        <f>IFERROR(__xludf.DUMMYFUNCTION("""COMPUTED_VALUE"""),"Estrela 1")</f>
        <v>Estrela 1</v>
      </c>
      <c r="P2262" s="5">
        <f>IFERROR(__xludf.DUMMYFUNCTION("""COMPUTED_VALUE"""),566.0)</f>
        <v>566</v>
      </c>
      <c r="Q2262" s="5" t="str">
        <f>IFERROR(__xludf.DUMMYFUNCTION("""COMPUTED_VALUE"""),"A Night at the Opera")</f>
        <v>A Night at the Opera</v>
      </c>
      <c r="R2262" s="5" t="str">
        <f>IFERROR(__xludf.DUMMYFUNCTION("""COMPUTED_VALUE"""),"Edmund Goulding")</f>
        <v>Edmund Goulding</v>
      </c>
      <c r="S2262" s="5" t="str">
        <f>IFERROR(__xludf.DUMMYFUNCTION("""COMPUTED_VALUE"""),"Estrela 1")</f>
        <v>Estrela 1</v>
      </c>
    </row>
    <row r="2263">
      <c r="G2263" s="5" t="str">
        <f>IFERROR(__xludf.DUMMYFUNCTION("""COMPUTED_VALUE"""),"566🤙🏼A Night at the Opera🤙🏼Groucho Marx🤙🏼Estrela 2")</f>
        <v>566🤙🏼A Night at the Opera🤙🏼Groucho Marx🤙🏼Estrela 2</v>
      </c>
      <c r="H2263" s="5">
        <f>IFERROR(__xludf.DUMMYFUNCTION("SPLiT(G2263, ""🤙🏼"",FALSE,FALSE)"),566.0)</f>
        <v>566</v>
      </c>
      <c r="I2263" s="5" t="str">
        <f>IFERROR(__xludf.DUMMYFUNCTION("""COMPUTED_VALUE"""),"A Night at the Opera")</f>
        <v>A Night at the Opera</v>
      </c>
      <c r="J2263" s="5" t="str">
        <f>IFERROR(__xludf.DUMMYFUNCTION("""COMPUTED_VALUE"""),"Groucho Marx")</f>
        <v>Groucho Marx</v>
      </c>
      <c r="K2263" s="5" t="str">
        <f>IFERROR(__xludf.DUMMYFUNCTION("""COMPUTED_VALUE"""),"Estrela 2")</f>
        <v>Estrela 2</v>
      </c>
      <c r="P2263" s="5">
        <f>IFERROR(__xludf.DUMMYFUNCTION("""COMPUTED_VALUE"""),566.0)</f>
        <v>566</v>
      </c>
      <c r="Q2263" s="5" t="str">
        <f>IFERROR(__xludf.DUMMYFUNCTION("""COMPUTED_VALUE"""),"A Night at the Opera")</f>
        <v>A Night at the Opera</v>
      </c>
      <c r="R2263" s="5" t="str">
        <f>IFERROR(__xludf.DUMMYFUNCTION("""COMPUTED_VALUE"""),"Groucho Marx")</f>
        <v>Groucho Marx</v>
      </c>
      <c r="S2263" s="5" t="str">
        <f>IFERROR(__xludf.DUMMYFUNCTION("""COMPUTED_VALUE"""),"Estrela 2")</f>
        <v>Estrela 2</v>
      </c>
    </row>
    <row r="2264">
      <c r="G2264" s="5" t="str">
        <f>IFERROR(__xludf.DUMMYFUNCTION("""COMPUTED_VALUE"""),"566🤙🏼A Night at the Opera🤙🏼Chico Marx🤙🏼Estrela 3")</f>
        <v>566🤙🏼A Night at the Opera🤙🏼Chico Marx🤙🏼Estrela 3</v>
      </c>
      <c r="H2264" s="5">
        <f>IFERROR(__xludf.DUMMYFUNCTION("SPLiT(G2264, ""🤙🏼"",FALSE,FALSE)"),566.0)</f>
        <v>566</v>
      </c>
      <c r="I2264" s="5" t="str">
        <f>IFERROR(__xludf.DUMMYFUNCTION("""COMPUTED_VALUE"""),"A Night at the Opera")</f>
        <v>A Night at the Opera</v>
      </c>
      <c r="J2264" s="5" t="str">
        <f>IFERROR(__xludf.DUMMYFUNCTION("""COMPUTED_VALUE"""),"Chico Marx")</f>
        <v>Chico Marx</v>
      </c>
      <c r="K2264" s="5" t="str">
        <f>IFERROR(__xludf.DUMMYFUNCTION("""COMPUTED_VALUE"""),"Estrela 3")</f>
        <v>Estrela 3</v>
      </c>
      <c r="P2264" s="5">
        <f>IFERROR(__xludf.DUMMYFUNCTION("""COMPUTED_VALUE"""),566.0)</f>
        <v>566</v>
      </c>
      <c r="Q2264" s="5" t="str">
        <f>IFERROR(__xludf.DUMMYFUNCTION("""COMPUTED_VALUE"""),"A Night at the Opera")</f>
        <v>A Night at the Opera</v>
      </c>
      <c r="R2264" s="5" t="str">
        <f>IFERROR(__xludf.DUMMYFUNCTION("""COMPUTED_VALUE"""),"Chico Marx")</f>
        <v>Chico Marx</v>
      </c>
      <c r="S2264" s="5" t="str">
        <f>IFERROR(__xludf.DUMMYFUNCTION("""COMPUTED_VALUE"""),"Estrela 3")</f>
        <v>Estrela 3</v>
      </c>
    </row>
    <row r="2265">
      <c r="G2265" s="5" t="str">
        <f>IFERROR(__xludf.DUMMYFUNCTION("""COMPUTED_VALUE"""),"566🤙🏼A Night at the Opera🤙🏼Harpo Marx🤙🏼Estrela 4")</f>
        <v>566🤙🏼A Night at the Opera🤙🏼Harpo Marx🤙🏼Estrela 4</v>
      </c>
      <c r="H2265" s="5">
        <f>IFERROR(__xludf.DUMMYFUNCTION("SPLiT(G2265, ""🤙🏼"",FALSE,FALSE)"),566.0)</f>
        <v>566</v>
      </c>
      <c r="I2265" s="5" t="str">
        <f>IFERROR(__xludf.DUMMYFUNCTION("""COMPUTED_VALUE"""),"A Night at the Opera")</f>
        <v>A Night at the Opera</v>
      </c>
      <c r="J2265" s="5" t="str">
        <f>IFERROR(__xludf.DUMMYFUNCTION("""COMPUTED_VALUE"""),"Harpo Marx")</f>
        <v>Harpo Marx</v>
      </c>
      <c r="K2265" s="5" t="str">
        <f>IFERROR(__xludf.DUMMYFUNCTION("""COMPUTED_VALUE"""),"Estrela 4")</f>
        <v>Estrela 4</v>
      </c>
      <c r="P2265" s="5">
        <f>IFERROR(__xludf.DUMMYFUNCTION("""COMPUTED_VALUE"""),566.0)</f>
        <v>566</v>
      </c>
      <c r="Q2265" s="5" t="str">
        <f>IFERROR(__xludf.DUMMYFUNCTION("""COMPUTED_VALUE"""),"A Night at the Opera")</f>
        <v>A Night at the Opera</v>
      </c>
      <c r="R2265" s="5" t="str">
        <f>IFERROR(__xludf.DUMMYFUNCTION("""COMPUTED_VALUE"""),"Harpo Marx")</f>
        <v>Harpo Marx</v>
      </c>
      <c r="S2265" s="5" t="str">
        <f>IFERROR(__xludf.DUMMYFUNCTION("""COMPUTED_VALUE"""),"Estrela 4")</f>
        <v>Estrela 4</v>
      </c>
    </row>
    <row r="2266">
      <c r="G2266" s="5" t="str">
        <f>IFERROR(__xludf.DUMMYFUNCTION("""COMPUTED_VALUE"""),"567🤙🏼King Kong🤙🏼Ernest B. Schoedsack🤙🏼Estrela 1")</f>
        <v>567🤙🏼King Kong🤙🏼Ernest B. Schoedsack🤙🏼Estrela 1</v>
      </c>
      <c r="H2266" s="5">
        <f>IFERROR(__xludf.DUMMYFUNCTION("SPLiT(G2266, ""🤙🏼"",FALSE,FALSE)"),567.0)</f>
        <v>567</v>
      </c>
      <c r="I2266" s="5" t="str">
        <f>IFERROR(__xludf.DUMMYFUNCTION("""COMPUTED_VALUE"""),"King Kong")</f>
        <v>King Kong</v>
      </c>
      <c r="J2266" s="5" t="str">
        <f>IFERROR(__xludf.DUMMYFUNCTION("""COMPUTED_VALUE"""),"Ernest B. Schoedsack")</f>
        <v>Ernest B. Schoedsack</v>
      </c>
      <c r="K2266" s="5" t="str">
        <f>IFERROR(__xludf.DUMMYFUNCTION("""COMPUTED_VALUE"""),"Estrela 1")</f>
        <v>Estrela 1</v>
      </c>
      <c r="P2266" s="5">
        <f>IFERROR(__xludf.DUMMYFUNCTION("""COMPUTED_VALUE"""),567.0)</f>
        <v>567</v>
      </c>
      <c r="Q2266" s="5" t="str">
        <f>IFERROR(__xludf.DUMMYFUNCTION("""COMPUTED_VALUE"""),"King Kong")</f>
        <v>King Kong</v>
      </c>
      <c r="R2266" s="5" t="str">
        <f>IFERROR(__xludf.DUMMYFUNCTION("""COMPUTED_VALUE"""),"Ernest B. Schoedsack")</f>
        <v>Ernest B. Schoedsack</v>
      </c>
      <c r="S2266" s="5" t="str">
        <f>IFERROR(__xludf.DUMMYFUNCTION("""COMPUTED_VALUE"""),"Estrela 1")</f>
        <v>Estrela 1</v>
      </c>
    </row>
    <row r="2267">
      <c r="G2267" s="5" t="str">
        <f>IFERROR(__xludf.DUMMYFUNCTION("""COMPUTED_VALUE"""),"567🤙🏼King Kong🤙🏼Fay Wray🤙🏼Estrela 2")</f>
        <v>567🤙🏼King Kong🤙🏼Fay Wray🤙🏼Estrela 2</v>
      </c>
      <c r="H2267" s="5">
        <f>IFERROR(__xludf.DUMMYFUNCTION("SPLiT(G2267, ""🤙🏼"",FALSE,FALSE)"),567.0)</f>
        <v>567</v>
      </c>
      <c r="I2267" s="5" t="str">
        <f>IFERROR(__xludf.DUMMYFUNCTION("""COMPUTED_VALUE"""),"King Kong")</f>
        <v>King Kong</v>
      </c>
      <c r="J2267" s="5" t="str">
        <f>IFERROR(__xludf.DUMMYFUNCTION("""COMPUTED_VALUE"""),"Fay Wray")</f>
        <v>Fay Wray</v>
      </c>
      <c r="K2267" s="5" t="str">
        <f>IFERROR(__xludf.DUMMYFUNCTION("""COMPUTED_VALUE"""),"Estrela 2")</f>
        <v>Estrela 2</v>
      </c>
      <c r="P2267" s="5">
        <f>IFERROR(__xludf.DUMMYFUNCTION("""COMPUTED_VALUE"""),567.0)</f>
        <v>567</v>
      </c>
      <c r="Q2267" s="5" t="str">
        <f>IFERROR(__xludf.DUMMYFUNCTION("""COMPUTED_VALUE"""),"King Kong")</f>
        <v>King Kong</v>
      </c>
      <c r="R2267" s="5" t="str">
        <f>IFERROR(__xludf.DUMMYFUNCTION("""COMPUTED_VALUE"""),"Fay Wray")</f>
        <v>Fay Wray</v>
      </c>
      <c r="S2267" s="5" t="str">
        <f>IFERROR(__xludf.DUMMYFUNCTION("""COMPUTED_VALUE"""),"Estrela 2")</f>
        <v>Estrela 2</v>
      </c>
    </row>
    <row r="2268">
      <c r="G2268" s="5" t="str">
        <f>IFERROR(__xludf.DUMMYFUNCTION("""COMPUTED_VALUE"""),"567🤙🏼King Kong🤙🏼Robert Armstrong🤙🏼Estrela 3")</f>
        <v>567🤙🏼King Kong🤙🏼Robert Armstrong🤙🏼Estrela 3</v>
      </c>
      <c r="H2268" s="5">
        <f>IFERROR(__xludf.DUMMYFUNCTION("SPLiT(G2268, ""🤙🏼"",FALSE,FALSE)"),567.0)</f>
        <v>567</v>
      </c>
      <c r="I2268" s="5" t="str">
        <f>IFERROR(__xludf.DUMMYFUNCTION("""COMPUTED_VALUE"""),"King Kong")</f>
        <v>King Kong</v>
      </c>
      <c r="J2268" s="5" t="str">
        <f>IFERROR(__xludf.DUMMYFUNCTION("""COMPUTED_VALUE"""),"Robert Armstrong")</f>
        <v>Robert Armstrong</v>
      </c>
      <c r="K2268" s="5" t="str">
        <f>IFERROR(__xludf.DUMMYFUNCTION("""COMPUTED_VALUE"""),"Estrela 3")</f>
        <v>Estrela 3</v>
      </c>
      <c r="P2268" s="5">
        <f>IFERROR(__xludf.DUMMYFUNCTION("""COMPUTED_VALUE"""),567.0)</f>
        <v>567</v>
      </c>
      <c r="Q2268" s="5" t="str">
        <f>IFERROR(__xludf.DUMMYFUNCTION("""COMPUTED_VALUE"""),"King Kong")</f>
        <v>King Kong</v>
      </c>
      <c r="R2268" s="5" t="str">
        <f>IFERROR(__xludf.DUMMYFUNCTION("""COMPUTED_VALUE"""),"Robert Armstrong")</f>
        <v>Robert Armstrong</v>
      </c>
      <c r="S2268" s="5" t="str">
        <f>IFERROR(__xludf.DUMMYFUNCTION("""COMPUTED_VALUE"""),"Estrela 3")</f>
        <v>Estrela 3</v>
      </c>
    </row>
    <row r="2269">
      <c r="G2269" s="5" t="str">
        <f>IFERROR(__xludf.DUMMYFUNCTION("""COMPUTED_VALUE"""),"567🤙🏼King Kong🤙🏼Bruce Cabot🤙🏼Estrela 4")</f>
        <v>567🤙🏼King Kong🤙🏼Bruce Cabot🤙🏼Estrela 4</v>
      </c>
      <c r="H2269" s="5">
        <f>IFERROR(__xludf.DUMMYFUNCTION("SPLiT(G2269, ""🤙🏼"",FALSE,FALSE)"),567.0)</f>
        <v>567</v>
      </c>
      <c r="I2269" s="5" t="str">
        <f>IFERROR(__xludf.DUMMYFUNCTION("""COMPUTED_VALUE"""),"King Kong")</f>
        <v>King Kong</v>
      </c>
      <c r="J2269" s="5" t="str">
        <f>IFERROR(__xludf.DUMMYFUNCTION("""COMPUTED_VALUE"""),"Bruce Cabot")</f>
        <v>Bruce Cabot</v>
      </c>
      <c r="K2269" s="5" t="str">
        <f>IFERROR(__xludf.DUMMYFUNCTION("""COMPUTED_VALUE"""),"Estrela 4")</f>
        <v>Estrela 4</v>
      </c>
      <c r="P2269" s="5">
        <f>IFERROR(__xludf.DUMMYFUNCTION("""COMPUTED_VALUE"""),567.0)</f>
        <v>567</v>
      </c>
      <c r="Q2269" s="5" t="str">
        <f>IFERROR(__xludf.DUMMYFUNCTION("""COMPUTED_VALUE"""),"King Kong")</f>
        <v>King Kong</v>
      </c>
      <c r="R2269" s="5" t="str">
        <f>IFERROR(__xludf.DUMMYFUNCTION("""COMPUTED_VALUE"""),"Bruce Cabot")</f>
        <v>Bruce Cabot</v>
      </c>
      <c r="S2269" s="5" t="str">
        <f>IFERROR(__xludf.DUMMYFUNCTION("""COMPUTED_VALUE"""),"Estrela 4")</f>
        <v>Estrela 4</v>
      </c>
    </row>
    <row r="2270">
      <c r="G2270" s="5" t="str">
        <f>IFERROR(__xludf.DUMMYFUNCTION("""COMPUTED_VALUE"""),"568🤙🏼Freaks🤙🏼Wallace Ford🤙🏼Estrela 1")</f>
        <v>568🤙🏼Freaks🤙🏼Wallace Ford🤙🏼Estrela 1</v>
      </c>
      <c r="H2270" s="5">
        <f>IFERROR(__xludf.DUMMYFUNCTION("SPLiT(G2270, ""🤙🏼"",FALSE,FALSE)"),568.0)</f>
        <v>568</v>
      </c>
      <c r="I2270" s="5" t="str">
        <f>IFERROR(__xludf.DUMMYFUNCTION("""COMPUTED_VALUE"""),"Freaks")</f>
        <v>Freaks</v>
      </c>
      <c r="J2270" s="5" t="str">
        <f>IFERROR(__xludf.DUMMYFUNCTION("""COMPUTED_VALUE"""),"Wallace Ford")</f>
        <v>Wallace Ford</v>
      </c>
      <c r="K2270" s="5" t="str">
        <f>IFERROR(__xludf.DUMMYFUNCTION("""COMPUTED_VALUE"""),"Estrela 1")</f>
        <v>Estrela 1</v>
      </c>
      <c r="P2270" s="5">
        <f>IFERROR(__xludf.DUMMYFUNCTION("""COMPUTED_VALUE"""),568.0)</f>
        <v>568</v>
      </c>
      <c r="Q2270" s="5" t="str">
        <f>IFERROR(__xludf.DUMMYFUNCTION("""COMPUTED_VALUE"""),"Freaks")</f>
        <v>Freaks</v>
      </c>
      <c r="R2270" s="5" t="str">
        <f>IFERROR(__xludf.DUMMYFUNCTION("""COMPUTED_VALUE"""),"Wallace Ford")</f>
        <v>Wallace Ford</v>
      </c>
      <c r="S2270" s="5" t="str">
        <f>IFERROR(__xludf.DUMMYFUNCTION("""COMPUTED_VALUE"""),"Estrela 1")</f>
        <v>Estrela 1</v>
      </c>
    </row>
    <row r="2271">
      <c r="G2271" s="5" t="str">
        <f>IFERROR(__xludf.DUMMYFUNCTION("""COMPUTED_VALUE"""),"568🤙🏼Freaks🤙🏼Leila Hyams🤙🏼Estrela 2")</f>
        <v>568🤙🏼Freaks🤙🏼Leila Hyams🤙🏼Estrela 2</v>
      </c>
      <c r="H2271" s="5">
        <f>IFERROR(__xludf.DUMMYFUNCTION("SPLiT(G2271, ""🤙🏼"",FALSE,FALSE)"),568.0)</f>
        <v>568</v>
      </c>
      <c r="I2271" s="5" t="str">
        <f>IFERROR(__xludf.DUMMYFUNCTION("""COMPUTED_VALUE"""),"Freaks")</f>
        <v>Freaks</v>
      </c>
      <c r="J2271" s="5" t="str">
        <f>IFERROR(__xludf.DUMMYFUNCTION("""COMPUTED_VALUE"""),"Leila Hyams")</f>
        <v>Leila Hyams</v>
      </c>
      <c r="K2271" s="5" t="str">
        <f>IFERROR(__xludf.DUMMYFUNCTION("""COMPUTED_VALUE"""),"Estrela 2")</f>
        <v>Estrela 2</v>
      </c>
      <c r="P2271" s="5">
        <f>IFERROR(__xludf.DUMMYFUNCTION("""COMPUTED_VALUE"""),568.0)</f>
        <v>568</v>
      </c>
      <c r="Q2271" s="5" t="str">
        <f>IFERROR(__xludf.DUMMYFUNCTION("""COMPUTED_VALUE"""),"Freaks")</f>
        <v>Freaks</v>
      </c>
      <c r="R2271" s="5" t="str">
        <f>IFERROR(__xludf.DUMMYFUNCTION("""COMPUTED_VALUE"""),"Leila Hyams")</f>
        <v>Leila Hyams</v>
      </c>
      <c r="S2271" s="5" t="str">
        <f>IFERROR(__xludf.DUMMYFUNCTION("""COMPUTED_VALUE"""),"Estrela 2")</f>
        <v>Estrela 2</v>
      </c>
    </row>
    <row r="2272">
      <c r="G2272" s="5" t="str">
        <f>IFERROR(__xludf.DUMMYFUNCTION("""COMPUTED_VALUE"""),"568🤙🏼Freaks🤙🏼Olga Baclanova🤙🏼Estrela 3")</f>
        <v>568🤙🏼Freaks🤙🏼Olga Baclanova🤙🏼Estrela 3</v>
      </c>
      <c r="H2272" s="5">
        <f>IFERROR(__xludf.DUMMYFUNCTION("SPLiT(G2272, ""🤙🏼"",FALSE,FALSE)"),568.0)</f>
        <v>568</v>
      </c>
      <c r="I2272" s="5" t="str">
        <f>IFERROR(__xludf.DUMMYFUNCTION("""COMPUTED_VALUE"""),"Freaks")</f>
        <v>Freaks</v>
      </c>
      <c r="J2272" s="5" t="str">
        <f>IFERROR(__xludf.DUMMYFUNCTION("""COMPUTED_VALUE"""),"Olga Baclanova")</f>
        <v>Olga Baclanova</v>
      </c>
      <c r="K2272" s="5" t="str">
        <f>IFERROR(__xludf.DUMMYFUNCTION("""COMPUTED_VALUE"""),"Estrela 3")</f>
        <v>Estrela 3</v>
      </c>
      <c r="P2272" s="5">
        <f>IFERROR(__xludf.DUMMYFUNCTION("""COMPUTED_VALUE"""),568.0)</f>
        <v>568</v>
      </c>
      <c r="Q2272" s="5" t="str">
        <f>IFERROR(__xludf.DUMMYFUNCTION("""COMPUTED_VALUE"""),"Freaks")</f>
        <v>Freaks</v>
      </c>
      <c r="R2272" s="5" t="str">
        <f>IFERROR(__xludf.DUMMYFUNCTION("""COMPUTED_VALUE"""),"Olga Baclanova")</f>
        <v>Olga Baclanova</v>
      </c>
      <c r="S2272" s="5" t="str">
        <f>IFERROR(__xludf.DUMMYFUNCTION("""COMPUTED_VALUE"""),"Estrela 3")</f>
        <v>Estrela 3</v>
      </c>
    </row>
    <row r="2273">
      <c r="G2273" s="5" t="str">
        <f>IFERROR(__xludf.DUMMYFUNCTION("""COMPUTED_VALUE"""),"568🤙🏼Freaks🤙🏼Roscoe Ates🤙🏼Estrela 4")</f>
        <v>568🤙🏼Freaks🤙🏼Roscoe Ates🤙🏼Estrela 4</v>
      </c>
      <c r="H2273" s="5">
        <f>IFERROR(__xludf.DUMMYFUNCTION("SPLiT(G2273, ""🤙🏼"",FALSE,FALSE)"),568.0)</f>
        <v>568</v>
      </c>
      <c r="I2273" s="5" t="str">
        <f>IFERROR(__xludf.DUMMYFUNCTION("""COMPUTED_VALUE"""),"Freaks")</f>
        <v>Freaks</v>
      </c>
      <c r="J2273" s="5" t="str">
        <f>IFERROR(__xludf.DUMMYFUNCTION("""COMPUTED_VALUE"""),"Roscoe Ates")</f>
        <v>Roscoe Ates</v>
      </c>
      <c r="K2273" s="5" t="str">
        <f>IFERROR(__xludf.DUMMYFUNCTION("""COMPUTED_VALUE"""),"Estrela 4")</f>
        <v>Estrela 4</v>
      </c>
      <c r="P2273" s="5">
        <f>IFERROR(__xludf.DUMMYFUNCTION("""COMPUTED_VALUE"""),568.0)</f>
        <v>568</v>
      </c>
      <c r="Q2273" s="5" t="str">
        <f>IFERROR(__xludf.DUMMYFUNCTION("""COMPUTED_VALUE"""),"Freaks")</f>
        <v>Freaks</v>
      </c>
      <c r="R2273" s="5" t="str">
        <f>IFERROR(__xludf.DUMMYFUNCTION("""COMPUTED_VALUE"""),"Roscoe Ates")</f>
        <v>Roscoe Ates</v>
      </c>
      <c r="S2273" s="5" t="str">
        <f>IFERROR(__xludf.DUMMYFUNCTION("""COMPUTED_VALUE"""),"Estrela 4")</f>
        <v>Estrela 4</v>
      </c>
    </row>
    <row r="2274">
      <c r="G2274" s="5" t="str">
        <f>IFERROR(__xludf.DUMMYFUNCTION("""COMPUTED_VALUE"""),"569🤙🏼Nosferatu🤙🏼Max Schreck🤙🏼Estrela 1")</f>
        <v>569🤙🏼Nosferatu🤙🏼Max Schreck🤙🏼Estrela 1</v>
      </c>
      <c r="H2274" s="5">
        <f>IFERROR(__xludf.DUMMYFUNCTION("SPLiT(G2274, ""🤙🏼"",FALSE,FALSE)"),569.0)</f>
        <v>569</v>
      </c>
      <c r="I2274" s="5" t="str">
        <f>IFERROR(__xludf.DUMMYFUNCTION("""COMPUTED_VALUE"""),"Nosferatu")</f>
        <v>Nosferatu</v>
      </c>
      <c r="J2274" s="5" t="str">
        <f>IFERROR(__xludf.DUMMYFUNCTION("""COMPUTED_VALUE"""),"Max Schreck")</f>
        <v>Max Schreck</v>
      </c>
      <c r="K2274" s="5" t="str">
        <f>IFERROR(__xludf.DUMMYFUNCTION("""COMPUTED_VALUE"""),"Estrela 1")</f>
        <v>Estrela 1</v>
      </c>
      <c r="P2274" s="5">
        <f>IFERROR(__xludf.DUMMYFUNCTION("""COMPUTED_VALUE"""),569.0)</f>
        <v>569</v>
      </c>
      <c r="Q2274" s="5" t="str">
        <f>IFERROR(__xludf.DUMMYFUNCTION("""COMPUTED_VALUE"""),"Nosferatu")</f>
        <v>Nosferatu</v>
      </c>
      <c r="R2274" s="5" t="str">
        <f>IFERROR(__xludf.DUMMYFUNCTION("""COMPUTED_VALUE"""),"Max Schreck")</f>
        <v>Max Schreck</v>
      </c>
      <c r="S2274" s="5" t="str">
        <f>IFERROR(__xludf.DUMMYFUNCTION("""COMPUTED_VALUE"""),"Estrela 1")</f>
        <v>Estrela 1</v>
      </c>
    </row>
    <row r="2275">
      <c r="G2275" s="5" t="str">
        <f>IFERROR(__xludf.DUMMYFUNCTION("""COMPUTED_VALUE"""),"569🤙🏼Nosferatu🤙🏼Alexander Granach🤙🏼Estrela 2")</f>
        <v>569🤙🏼Nosferatu🤙🏼Alexander Granach🤙🏼Estrela 2</v>
      </c>
      <c r="H2275" s="5">
        <f>IFERROR(__xludf.DUMMYFUNCTION("SPLiT(G2275, ""🤙🏼"",FALSE,FALSE)"),569.0)</f>
        <v>569</v>
      </c>
      <c r="I2275" s="5" t="str">
        <f>IFERROR(__xludf.DUMMYFUNCTION("""COMPUTED_VALUE"""),"Nosferatu")</f>
        <v>Nosferatu</v>
      </c>
      <c r="J2275" s="5" t="str">
        <f>IFERROR(__xludf.DUMMYFUNCTION("""COMPUTED_VALUE"""),"Alexander Granach")</f>
        <v>Alexander Granach</v>
      </c>
      <c r="K2275" s="5" t="str">
        <f>IFERROR(__xludf.DUMMYFUNCTION("""COMPUTED_VALUE"""),"Estrela 2")</f>
        <v>Estrela 2</v>
      </c>
      <c r="P2275" s="5">
        <f>IFERROR(__xludf.DUMMYFUNCTION("""COMPUTED_VALUE"""),569.0)</f>
        <v>569</v>
      </c>
      <c r="Q2275" s="5" t="str">
        <f>IFERROR(__xludf.DUMMYFUNCTION("""COMPUTED_VALUE"""),"Nosferatu")</f>
        <v>Nosferatu</v>
      </c>
      <c r="R2275" s="5" t="str">
        <f>IFERROR(__xludf.DUMMYFUNCTION("""COMPUTED_VALUE"""),"Alexander Granach")</f>
        <v>Alexander Granach</v>
      </c>
      <c r="S2275" s="5" t="str">
        <f>IFERROR(__xludf.DUMMYFUNCTION("""COMPUTED_VALUE"""),"Estrela 2")</f>
        <v>Estrela 2</v>
      </c>
    </row>
    <row r="2276">
      <c r="G2276" s="5" t="str">
        <f>IFERROR(__xludf.DUMMYFUNCTION("""COMPUTED_VALUE"""),"569🤙🏼Nosferatu🤙🏼Gustav von Wangenheim🤙🏼Estrela 3")</f>
        <v>569🤙🏼Nosferatu🤙🏼Gustav von Wangenheim🤙🏼Estrela 3</v>
      </c>
      <c r="H2276" s="5">
        <f>IFERROR(__xludf.DUMMYFUNCTION("SPLiT(G2276, ""🤙🏼"",FALSE,FALSE)"),569.0)</f>
        <v>569</v>
      </c>
      <c r="I2276" s="5" t="str">
        <f>IFERROR(__xludf.DUMMYFUNCTION("""COMPUTED_VALUE"""),"Nosferatu")</f>
        <v>Nosferatu</v>
      </c>
      <c r="J2276" s="5" t="str">
        <f>IFERROR(__xludf.DUMMYFUNCTION("""COMPUTED_VALUE"""),"Gustav von Wangenheim")</f>
        <v>Gustav von Wangenheim</v>
      </c>
      <c r="K2276" s="5" t="str">
        <f>IFERROR(__xludf.DUMMYFUNCTION("""COMPUTED_VALUE"""),"Estrela 3")</f>
        <v>Estrela 3</v>
      </c>
      <c r="P2276" s="5">
        <f>IFERROR(__xludf.DUMMYFUNCTION("""COMPUTED_VALUE"""),569.0)</f>
        <v>569</v>
      </c>
      <c r="Q2276" s="5" t="str">
        <f>IFERROR(__xludf.DUMMYFUNCTION("""COMPUTED_VALUE"""),"Nosferatu")</f>
        <v>Nosferatu</v>
      </c>
      <c r="R2276" s="5" t="str">
        <f>IFERROR(__xludf.DUMMYFUNCTION("""COMPUTED_VALUE"""),"Gustav von Wangenheim")</f>
        <v>Gustav von Wangenheim</v>
      </c>
      <c r="S2276" s="5" t="str">
        <f>IFERROR(__xludf.DUMMYFUNCTION("""COMPUTED_VALUE"""),"Estrela 3")</f>
        <v>Estrela 3</v>
      </c>
    </row>
    <row r="2277">
      <c r="G2277" s="5" t="str">
        <f>IFERROR(__xludf.DUMMYFUNCTION("""COMPUTED_VALUE"""),"569🤙🏼Nosferatu🤙🏼Greta Schröder🤙🏼Estrela 4")</f>
        <v>569🤙🏼Nosferatu🤙🏼Greta Schröder🤙🏼Estrela 4</v>
      </c>
      <c r="H2277" s="5">
        <f>IFERROR(__xludf.DUMMYFUNCTION("SPLiT(G2277, ""🤙🏼"",FALSE,FALSE)"),569.0)</f>
        <v>569</v>
      </c>
      <c r="I2277" s="5" t="str">
        <f>IFERROR(__xludf.DUMMYFUNCTION("""COMPUTED_VALUE"""),"Nosferatu")</f>
        <v>Nosferatu</v>
      </c>
      <c r="J2277" s="5" t="str">
        <f>IFERROR(__xludf.DUMMYFUNCTION("""COMPUTED_VALUE"""),"Greta Schröder")</f>
        <v>Greta Schröder</v>
      </c>
      <c r="K2277" s="5" t="str">
        <f>IFERROR(__xludf.DUMMYFUNCTION("""COMPUTED_VALUE"""),"Estrela 4")</f>
        <v>Estrela 4</v>
      </c>
      <c r="P2277" s="5">
        <f>IFERROR(__xludf.DUMMYFUNCTION("""COMPUTED_VALUE"""),569.0)</f>
        <v>569</v>
      </c>
      <c r="Q2277" s="5" t="str">
        <f>IFERROR(__xludf.DUMMYFUNCTION("""COMPUTED_VALUE"""),"Nosferatu")</f>
        <v>Nosferatu</v>
      </c>
      <c r="R2277" s="5" t="str">
        <f>IFERROR(__xludf.DUMMYFUNCTION("""COMPUTED_VALUE"""),"Greta Schröder")</f>
        <v>Greta Schröder</v>
      </c>
      <c r="S2277" s="5" t="str">
        <f>IFERROR(__xludf.DUMMYFUNCTION("""COMPUTED_VALUE"""),"Estrela 4")</f>
        <v>Estrela 4</v>
      </c>
    </row>
    <row r="2278">
      <c r="G2278" s="5" t="str">
        <f>IFERROR(__xludf.DUMMYFUNCTION("""COMPUTED_VALUE"""),"570🤙🏼The Gentlemen🤙🏼Matthew McConaughey🤙🏼Estrela 1")</f>
        <v>570🤙🏼The Gentlemen🤙🏼Matthew McConaughey🤙🏼Estrela 1</v>
      </c>
      <c r="H2278" s="5">
        <f>IFERROR(__xludf.DUMMYFUNCTION("SPLiT(G2278, ""🤙🏼"",FALSE,FALSE)"),570.0)</f>
        <v>570</v>
      </c>
      <c r="I2278" s="5" t="str">
        <f>IFERROR(__xludf.DUMMYFUNCTION("""COMPUTED_VALUE"""),"The Gentlemen")</f>
        <v>The Gentlemen</v>
      </c>
      <c r="J2278" s="5" t="str">
        <f>IFERROR(__xludf.DUMMYFUNCTION("""COMPUTED_VALUE"""),"Matthew McConaughey")</f>
        <v>Matthew McConaughey</v>
      </c>
      <c r="K2278" s="5" t="str">
        <f>IFERROR(__xludf.DUMMYFUNCTION("""COMPUTED_VALUE"""),"Estrela 1")</f>
        <v>Estrela 1</v>
      </c>
      <c r="P2278" s="5">
        <f>IFERROR(__xludf.DUMMYFUNCTION("""COMPUTED_VALUE"""),570.0)</f>
        <v>570</v>
      </c>
      <c r="Q2278" s="5" t="str">
        <f>IFERROR(__xludf.DUMMYFUNCTION("""COMPUTED_VALUE"""),"The Gentlemen")</f>
        <v>The Gentlemen</v>
      </c>
      <c r="R2278" s="5" t="str">
        <f>IFERROR(__xludf.DUMMYFUNCTION("""COMPUTED_VALUE"""),"Matthew McConaughey")</f>
        <v>Matthew McConaughey</v>
      </c>
      <c r="S2278" s="5" t="str">
        <f>IFERROR(__xludf.DUMMYFUNCTION("""COMPUTED_VALUE"""),"Estrela 1")</f>
        <v>Estrela 1</v>
      </c>
    </row>
    <row r="2279">
      <c r="G2279" s="5" t="str">
        <f>IFERROR(__xludf.DUMMYFUNCTION("""COMPUTED_VALUE"""),"570🤙🏼The Gentlemen🤙🏼Charlie Hunnam🤙🏼Estrela 2")</f>
        <v>570🤙🏼The Gentlemen🤙🏼Charlie Hunnam🤙🏼Estrela 2</v>
      </c>
      <c r="H2279" s="5">
        <f>IFERROR(__xludf.DUMMYFUNCTION("SPLiT(G2279, ""🤙🏼"",FALSE,FALSE)"),570.0)</f>
        <v>570</v>
      </c>
      <c r="I2279" s="5" t="str">
        <f>IFERROR(__xludf.DUMMYFUNCTION("""COMPUTED_VALUE"""),"The Gentlemen")</f>
        <v>The Gentlemen</v>
      </c>
      <c r="J2279" s="5" t="str">
        <f>IFERROR(__xludf.DUMMYFUNCTION("""COMPUTED_VALUE"""),"Charlie Hunnam")</f>
        <v>Charlie Hunnam</v>
      </c>
      <c r="K2279" s="5" t="str">
        <f>IFERROR(__xludf.DUMMYFUNCTION("""COMPUTED_VALUE"""),"Estrela 2")</f>
        <v>Estrela 2</v>
      </c>
      <c r="P2279" s="5">
        <f>IFERROR(__xludf.DUMMYFUNCTION("""COMPUTED_VALUE"""),570.0)</f>
        <v>570</v>
      </c>
      <c r="Q2279" s="5" t="str">
        <f>IFERROR(__xludf.DUMMYFUNCTION("""COMPUTED_VALUE"""),"The Gentlemen")</f>
        <v>The Gentlemen</v>
      </c>
      <c r="R2279" s="5" t="str">
        <f>IFERROR(__xludf.DUMMYFUNCTION("""COMPUTED_VALUE"""),"Charlie Hunnam")</f>
        <v>Charlie Hunnam</v>
      </c>
      <c r="S2279" s="5" t="str">
        <f>IFERROR(__xludf.DUMMYFUNCTION("""COMPUTED_VALUE"""),"Estrela 2")</f>
        <v>Estrela 2</v>
      </c>
    </row>
    <row r="2280">
      <c r="G2280" s="5" t="str">
        <f>IFERROR(__xludf.DUMMYFUNCTION("""COMPUTED_VALUE"""),"570🤙🏼The Gentlemen🤙🏼Michelle Dockery🤙🏼Estrela 3")</f>
        <v>570🤙🏼The Gentlemen🤙🏼Michelle Dockery🤙🏼Estrela 3</v>
      </c>
      <c r="H2280" s="5">
        <f>IFERROR(__xludf.DUMMYFUNCTION("SPLiT(G2280, ""🤙🏼"",FALSE,FALSE)"),570.0)</f>
        <v>570</v>
      </c>
      <c r="I2280" s="5" t="str">
        <f>IFERROR(__xludf.DUMMYFUNCTION("""COMPUTED_VALUE"""),"The Gentlemen")</f>
        <v>The Gentlemen</v>
      </c>
      <c r="J2280" s="5" t="str">
        <f>IFERROR(__xludf.DUMMYFUNCTION("""COMPUTED_VALUE"""),"Michelle Dockery")</f>
        <v>Michelle Dockery</v>
      </c>
      <c r="K2280" s="5" t="str">
        <f>IFERROR(__xludf.DUMMYFUNCTION("""COMPUTED_VALUE"""),"Estrela 3")</f>
        <v>Estrela 3</v>
      </c>
      <c r="P2280" s="5">
        <f>IFERROR(__xludf.DUMMYFUNCTION("""COMPUTED_VALUE"""),570.0)</f>
        <v>570</v>
      </c>
      <c r="Q2280" s="5" t="str">
        <f>IFERROR(__xludf.DUMMYFUNCTION("""COMPUTED_VALUE"""),"The Gentlemen")</f>
        <v>The Gentlemen</v>
      </c>
      <c r="R2280" s="5" t="str">
        <f>IFERROR(__xludf.DUMMYFUNCTION("""COMPUTED_VALUE"""),"Michelle Dockery")</f>
        <v>Michelle Dockery</v>
      </c>
      <c r="S2280" s="5" t="str">
        <f>IFERROR(__xludf.DUMMYFUNCTION("""COMPUTED_VALUE"""),"Estrela 3")</f>
        <v>Estrela 3</v>
      </c>
    </row>
    <row r="2281">
      <c r="G2281" s="5" t="str">
        <f>IFERROR(__xludf.DUMMYFUNCTION("""COMPUTED_VALUE"""),"570🤙🏼The Gentlemen🤙🏼Jeremy Strong🤙🏼Estrela 4")</f>
        <v>570🤙🏼The Gentlemen🤙🏼Jeremy Strong🤙🏼Estrela 4</v>
      </c>
      <c r="H2281" s="5">
        <f>IFERROR(__xludf.DUMMYFUNCTION("SPLiT(G2281, ""🤙🏼"",FALSE,FALSE)"),570.0)</f>
        <v>570</v>
      </c>
      <c r="I2281" s="5" t="str">
        <f>IFERROR(__xludf.DUMMYFUNCTION("""COMPUTED_VALUE"""),"The Gentlemen")</f>
        <v>The Gentlemen</v>
      </c>
      <c r="J2281" s="5" t="str">
        <f>IFERROR(__xludf.DUMMYFUNCTION("""COMPUTED_VALUE"""),"Jeremy Strong")</f>
        <v>Jeremy Strong</v>
      </c>
      <c r="K2281" s="5" t="str">
        <f>IFERROR(__xludf.DUMMYFUNCTION("""COMPUTED_VALUE"""),"Estrela 4")</f>
        <v>Estrela 4</v>
      </c>
      <c r="P2281" s="5">
        <f>IFERROR(__xludf.DUMMYFUNCTION("""COMPUTED_VALUE"""),570.0)</f>
        <v>570</v>
      </c>
      <c r="Q2281" s="5" t="str">
        <f>IFERROR(__xludf.DUMMYFUNCTION("""COMPUTED_VALUE"""),"The Gentlemen")</f>
        <v>The Gentlemen</v>
      </c>
      <c r="R2281" s="5" t="str">
        <f>IFERROR(__xludf.DUMMYFUNCTION("""COMPUTED_VALUE"""),"Jeremy Strong")</f>
        <v>Jeremy Strong</v>
      </c>
      <c r="S2281" s="5" t="str">
        <f>IFERROR(__xludf.DUMMYFUNCTION("""COMPUTED_VALUE"""),"Estrela 4")</f>
        <v>Estrela 4</v>
      </c>
    </row>
    <row r="2282">
      <c r="G2282" s="5" t="str">
        <f>IFERROR(__xludf.DUMMYFUNCTION("""COMPUTED_VALUE"""),"571🤙🏼Raazi🤙🏼Alia Bhatt🤙🏼Estrela 1")</f>
        <v>571🤙🏼Raazi🤙🏼Alia Bhatt🤙🏼Estrela 1</v>
      </c>
      <c r="H2282" s="5">
        <f>IFERROR(__xludf.DUMMYFUNCTION("SPLiT(G2282, ""🤙🏼"",FALSE,FALSE)"),571.0)</f>
        <v>571</v>
      </c>
      <c r="I2282" s="5" t="str">
        <f>IFERROR(__xludf.DUMMYFUNCTION("""COMPUTED_VALUE"""),"Raazi")</f>
        <v>Raazi</v>
      </c>
      <c r="J2282" s="5" t="str">
        <f>IFERROR(__xludf.DUMMYFUNCTION("""COMPUTED_VALUE"""),"Alia Bhatt")</f>
        <v>Alia Bhatt</v>
      </c>
      <c r="K2282" s="5" t="str">
        <f>IFERROR(__xludf.DUMMYFUNCTION("""COMPUTED_VALUE"""),"Estrela 1")</f>
        <v>Estrela 1</v>
      </c>
      <c r="P2282" s="5">
        <f>IFERROR(__xludf.DUMMYFUNCTION("""COMPUTED_VALUE"""),571.0)</f>
        <v>571</v>
      </c>
      <c r="Q2282" s="5" t="str">
        <f>IFERROR(__xludf.DUMMYFUNCTION("""COMPUTED_VALUE"""),"Raazi")</f>
        <v>Raazi</v>
      </c>
      <c r="R2282" s="5" t="str">
        <f>IFERROR(__xludf.DUMMYFUNCTION("""COMPUTED_VALUE"""),"Alia Bhatt")</f>
        <v>Alia Bhatt</v>
      </c>
      <c r="S2282" s="5" t="str">
        <f>IFERROR(__xludf.DUMMYFUNCTION("""COMPUTED_VALUE"""),"Estrela 1")</f>
        <v>Estrela 1</v>
      </c>
    </row>
    <row r="2283">
      <c r="G2283" s="5" t="str">
        <f>IFERROR(__xludf.DUMMYFUNCTION("""COMPUTED_VALUE"""),"571🤙🏼Raazi🤙🏼Vicky Kaushal🤙🏼Estrela 2")</f>
        <v>571🤙🏼Raazi🤙🏼Vicky Kaushal🤙🏼Estrela 2</v>
      </c>
      <c r="H2283" s="5">
        <f>IFERROR(__xludf.DUMMYFUNCTION("SPLiT(G2283, ""🤙🏼"",FALSE,FALSE)"),571.0)</f>
        <v>571</v>
      </c>
      <c r="I2283" s="5" t="str">
        <f>IFERROR(__xludf.DUMMYFUNCTION("""COMPUTED_VALUE"""),"Raazi")</f>
        <v>Raazi</v>
      </c>
      <c r="J2283" s="5" t="str">
        <f>IFERROR(__xludf.DUMMYFUNCTION("""COMPUTED_VALUE"""),"Vicky Kaushal")</f>
        <v>Vicky Kaushal</v>
      </c>
      <c r="K2283" s="5" t="str">
        <f>IFERROR(__xludf.DUMMYFUNCTION("""COMPUTED_VALUE"""),"Estrela 2")</f>
        <v>Estrela 2</v>
      </c>
      <c r="P2283" s="5">
        <f>IFERROR(__xludf.DUMMYFUNCTION("""COMPUTED_VALUE"""),571.0)</f>
        <v>571</v>
      </c>
      <c r="Q2283" s="5" t="str">
        <f>IFERROR(__xludf.DUMMYFUNCTION("""COMPUTED_VALUE"""),"Raazi")</f>
        <v>Raazi</v>
      </c>
      <c r="R2283" s="5" t="str">
        <f>IFERROR(__xludf.DUMMYFUNCTION("""COMPUTED_VALUE"""),"Vicky Kaushal")</f>
        <v>Vicky Kaushal</v>
      </c>
      <c r="S2283" s="5" t="str">
        <f>IFERROR(__xludf.DUMMYFUNCTION("""COMPUTED_VALUE"""),"Estrela 2")</f>
        <v>Estrela 2</v>
      </c>
    </row>
    <row r="2284">
      <c r="G2284" s="5" t="str">
        <f>IFERROR(__xludf.DUMMYFUNCTION("""COMPUTED_VALUE"""),"571🤙🏼Raazi🤙🏼Rajit Kapoor🤙🏼Estrela 3")</f>
        <v>571🤙🏼Raazi🤙🏼Rajit Kapoor🤙🏼Estrela 3</v>
      </c>
      <c r="H2284" s="5">
        <f>IFERROR(__xludf.DUMMYFUNCTION("SPLiT(G2284, ""🤙🏼"",FALSE,FALSE)"),571.0)</f>
        <v>571</v>
      </c>
      <c r="I2284" s="5" t="str">
        <f>IFERROR(__xludf.DUMMYFUNCTION("""COMPUTED_VALUE"""),"Raazi")</f>
        <v>Raazi</v>
      </c>
      <c r="J2284" s="5" t="str">
        <f>IFERROR(__xludf.DUMMYFUNCTION("""COMPUTED_VALUE"""),"Rajit Kapoor")</f>
        <v>Rajit Kapoor</v>
      </c>
      <c r="K2284" s="5" t="str">
        <f>IFERROR(__xludf.DUMMYFUNCTION("""COMPUTED_VALUE"""),"Estrela 3")</f>
        <v>Estrela 3</v>
      </c>
      <c r="P2284" s="5">
        <f>IFERROR(__xludf.DUMMYFUNCTION("""COMPUTED_VALUE"""),571.0)</f>
        <v>571</v>
      </c>
      <c r="Q2284" s="5" t="str">
        <f>IFERROR(__xludf.DUMMYFUNCTION("""COMPUTED_VALUE"""),"Raazi")</f>
        <v>Raazi</v>
      </c>
      <c r="R2284" s="5" t="str">
        <f>IFERROR(__xludf.DUMMYFUNCTION("""COMPUTED_VALUE"""),"Rajit Kapoor")</f>
        <v>Rajit Kapoor</v>
      </c>
      <c r="S2284" s="5" t="str">
        <f>IFERROR(__xludf.DUMMYFUNCTION("""COMPUTED_VALUE"""),"Estrela 3")</f>
        <v>Estrela 3</v>
      </c>
    </row>
    <row r="2285">
      <c r="G2285" s="5" t="str">
        <f>IFERROR(__xludf.DUMMYFUNCTION("""COMPUTED_VALUE"""),"571🤙🏼Raazi🤙🏼Shishir Sharma🤙🏼Estrela 4")</f>
        <v>571🤙🏼Raazi🤙🏼Shishir Sharma🤙🏼Estrela 4</v>
      </c>
      <c r="H2285" s="5">
        <f>IFERROR(__xludf.DUMMYFUNCTION("SPLiT(G2285, ""🤙🏼"",FALSE,FALSE)"),571.0)</f>
        <v>571</v>
      </c>
      <c r="I2285" s="5" t="str">
        <f>IFERROR(__xludf.DUMMYFUNCTION("""COMPUTED_VALUE"""),"Raazi")</f>
        <v>Raazi</v>
      </c>
      <c r="J2285" s="5" t="str">
        <f>IFERROR(__xludf.DUMMYFUNCTION("""COMPUTED_VALUE"""),"Shishir Sharma")</f>
        <v>Shishir Sharma</v>
      </c>
      <c r="K2285" s="5" t="str">
        <f>IFERROR(__xludf.DUMMYFUNCTION("""COMPUTED_VALUE"""),"Estrela 4")</f>
        <v>Estrela 4</v>
      </c>
      <c r="P2285" s="5">
        <f>IFERROR(__xludf.DUMMYFUNCTION("""COMPUTED_VALUE"""),571.0)</f>
        <v>571</v>
      </c>
      <c r="Q2285" s="5" t="str">
        <f>IFERROR(__xludf.DUMMYFUNCTION("""COMPUTED_VALUE"""),"Raazi")</f>
        <v>Raazi</v>
      </c>
      <c r="R2285" s="5" t="str">
        <f>IFERROR(__xludf.DUMMYFUNCTION("""COMPUTED_VALUE"""),"Shishir Sharma")</f>
        <v>Shishir Sharma</v>
      </c>
      <c r="S2285" s="5" t="str">
        <f>IFERROR(__xludf.DUMMYFUNCTION("""COMPUTED_VALUE"""),"Estrela 4")</f>
        <v>Estrela 4</v>
      </c>
    </row>
    <row r="2286">
      <c r="G2286" s="5" t="str">
        <f>IFERROR(__xludf.DUMMYFUNCTION("""COMPUTED_VALUE"""),"572🤙🏼Sound of Metal🤙🏼Riz Ahmed🤙🏼Estrela 1")</f>
        <v>572🤙🏼Sound of Metal🤙🏼Riz Ahmed🤙🏼Estrela 1</v>
      </c>
      <c r="H2286" s="5">
        <f>IFERROR(__xludf.DUMMYFUNCTION("SPLiT(G2286, ""🤙🏼"",FALSE,FALSE)"),572.0)</f>
        <v>572</v>
      </c>
      <c r="I2286" s="5" t="str">
        <f>IFERROR(__xludf.DUMMYFUNCTION("""COMPUTED_VALUE"""),"Sound of Metal")</f>
        <v>Sound of Metal</v>
      </c>
      <c r="J2286" s="5" t="str">
        <f>IFERROR(__xludf.DUMMYFUNCTION("""COMPUTED_VALUE"""),"Riz Ahmed")</f>
        <v>Riz Ahmed</v>
      </c>
      <c r="K2286" s="5" t="str">
        <f>IFERROR(__xludf.DUMMYFUNCTION("""COMPUTED_VALUE"""),"Estrela 1")</f>
        <v>Estrela 1</v>
      </c>
      <c r="P2286" s="5">
        <f>IFERROR(__xludf.DUMMYFUNCTION("""COMPUTED_VALUE"""),572.0)</f>
        <v>572</v>
      </c>
      <c r="Q2286" s="5" t="str">
        <f>IFERROR(__xludf.DUMMYFUNCTION("""COMPUTED_VALUE"""),"Sound of Metal")</f>
        <v>Sound of Metal</v>
      </c>
      <c r="R2286" s="5" t="str">
        <f>IFERROR(__xludf.DUMMYFUNCTION("""COMPUTED_VALUE"""),"Riz Ahmed")</f>
        <v>Riz Ahmed</v>
      </c>
      <c r="S2286" s="5" t="str">
        <f>IFERROR(__xludf.DUMMYFUNCTION("""COMPUTED_VALUE"""),"Estrela 1")</f>
        <v>Estrela 1</v>
      </c>
    </row>
    <row r="2287">
      <c r="G2287" s="5" t="str">
        <f>IFERROR(__xludf.DUMMYFUNCTION("""COMPUTED_VALUE"""),"572🤙🏼Sound of Metal🤙🏼Olivia Cooke🤙🏼Estrela 2")</f>
        <v>572🤙🏼Sound of Metal🤙🏼Olivia Cooke🤙🏼Estrela 2</v>
      </c>
      <c r="H2287" s="5">
        <f>IFERROR(__xludf.DUMMYFUNCTION("SPLiT(G2287, ""🤙🏼"",FALSE,FALSE)"),572.0)</f>
        <v>572</v>
      </c>
      <c r="I2287" s="5" t="str">
        <f>IFERROR(__xludf.DUMMYFUNCTION("""COMPUTED_VALUE"""),"Sound of Metal")</f>
        <v>Sound of Metal</v>
      </c>
      <c r="J2287" s="5" t="str">
        <f>IFERROR(__xludf.DUMMYFUNCTION("""COMPUTED_VALUE"""),"Olivia Cooke")</f>
        <v>Olivia Cooke</v>
      </c>
      <c r="K2287" s="5" t="str">
        <f>IFERROR(__xludf.DUMMYFUNCTION("""COMPUTED_VALUE"""),"Estrela 2")</f>
        <v>Estrela 2</v>
      </c>
      <c r="P2287" s="5">
        <f>IFERROR(__xludf.DUMMYFUNCTION("""COMPUTED_VALUE"""),572.0)</f>
        <v>572</v>
      </c>
      <c r="Q2287" s="5" t="str">
        <f>IFERROR(__xludf.DUMMYFUNCTION("""COMPUTED_VALUE"""),"Sound of Metal")</f>
        <v>Sound of Metal</v>
      </c>
      <c r="R2287" s="5" t="str">
        <f>IFERROR(__xludf.DUMMYFUNCTION("""COMPUTED_VALUE"""),"Olivia Cooke")</f>
        <v>Olivia Cooke</v>
      </c>
      <c r="S2287" s="5" t="str">
        <f>IFERROR(__xludf.DUMMYFUNCTION("""COMPUTED_VALUE"""),"Estrela 2")</f>
        <v>Estrela 2</v>
      </c>
    </row>
    <row r="2288">
      <c r="G2288" s="5" t="str">
        <f>IFERROR(__xludf.DUMMYFUNCTION("""COMPUTED_VALUE"""),"572🤙🏼Sound of Metal🤙🏼Paul Raci🤙🏼Estrela 3")</f>
        <v>572🤙🏼Sound of Metal🤙🏼Paul Raci🤙🏼Estrela 3</v>
      </c>
      <c r="H2288" s="5">
        <f>IFERROR(__xludf.DUMMYFUNCTION("SPLiT(G2288, ""🤙🏼"",FALSE,FALSE)"),572.0)</f>
        <v>572</v>
      </c>
      <c r="I2288" s="5" t="str">
        <f>IFERROR(__xludf.DUMMYFUNCTION("""COMPUTED_VALUE"""),"Sound of Metal")</f>
        <v>Sound of Metal</v>
      </c>
      <c r="J2288" s="5" t="str">
        <f>IFERROR(__xludf.DUMMYFUNCTION("""COMPUTED_VALUE"""),"Paul Raci")</f>
        <v>Paul Raci</v>
      </c>
      <c r="K2288" s="5" t="str">
        <f>IFERROR(__xludf.DUMMYFUNCTION("""COMPUTED_VALUE"""),"Estrela 3")</f>
        <v>Estrela 3</v>
      </c>
      <c r="P2288" s="5">
        <f>IFERROR(__xludf.DUMMYFUNCTION("""COMPUTED_VALUE"""),572.0)</f>
        <v>572</v>
      </c>
      <c r="Q2288" s="5" t="str">
        <f>IFERROR(__xludf.DUMMYFUNCTION("""COMPUTED_VALUE"""),"Sound of Metal")</f>
        <v>Sound of Metal</v>
      </c>
      <c r="R2288" s="5" t="str">
        <f>IFERROR(__xludf.DUMMYFUNCTION("""COMPUTED_VALUE"""),"Paul Raci")</f>
        <v>Paul Raci</v>
      </c>
      <c r="S2288" s="5" t="str">
        <f>IFERROR(__xludf.DUMMYFUNCTION("""COMPUTED_VALUE"""),"Estrela 3")</f>
        <v>Estrela 3</v>
      </c>
    </row>
    <row r="2289">
      <c r="G2289" s="5" t="str">
        <f>IFERROR(__xludf.DUMMYFUNCTION("""COMPUTED_VALUE"""),"572🤙🏼Sound of Metal🤙🏼Lauren Ridloff🤙🏼Estrela 4")</f>
        <v>572🤙🏼Sound of Metal🤙🏼Lauren Ridloff🤙🏼Estrela 4</v>
      </c>
      <c r="H2289" s="5">
        <f>IFERROR(__xludf.DUMMYFUNCTION("SPLiT(G2289, ""🤙🏼"",FALSE,FALSE)"),572.0)</f>
        <v>572</v>
      </c>
      <c r="I2289" s="5" t="str">
        <f>IFERROR(__xludf.DUMMYFUNCTION("""COMPUTED_VALUE"""),"Sound of Metal")</f>
        <v>Sound of Metal</v>
      </c>
      <c r="J2289" s="5" t="str">
        <f>IFERROR(__xludf.DUMMYFUNCTION("""COMPUTED_VALUE"""),"Lauren Ridloff")</f>
        <v>Lauren Ridloff</v>
      </c>
      <c r="K2289" s="5" t="str">
        <f>IFERROR(__xludf.DUMMYFUNCTION("""COMPUTED_VALUE"""),"Estrela 4")</f>
        <v>Estrela 4</v>
      </c>
      <c r="P2289" s="5">
        <f>IFERROR(__xludf.DUMMYFUNCTION("""COMPUTED_VALUE"""),572.0)</f>
        <v>572</v>
      </c>
      <c r="Q2289" s="5" t="str">
        <f>IFERROR(__xludf.DUMMYFUNCTION("""COMPUTED_VALUE"""),"Sound of Metal")</f>
        <v>Sound of Metal</v>
      </c>
      <c r="R2289" s="5" t="str">
        <f>IFERROR(__xludf.DUMMYFUNCTION("""COMPUTED_VALUE"""),"Lauren Ridloff")</f>
        <v>Lauren Ridloff</v>
      </c>
      <c r="S2289" s="5" t="str">
        <f>IFERROR(__xludf.DUMMYFUNCTION("""COMPUTED_VALUE"""),"Estrela 4")</f>
        <v>Estrela 4</v>
      </c>
    </row>
    <row r="2290">
      <c r="G2290" s="5" t="str">
        <f>IFERROR(__xludf.DUMMYFUNCTION("""COMPUTED_VALUE"""),"573🤙🏼Forushande🤙🏼Shahab Hosseini🤙🏼Estrela 1")</f>
        <v>573🤙🏼Forushande🤙🏼Shahab Hosseini🤙🏼Estrela 1</v>
      </c>
      <c r="H2290" s="5">
        <f>IFERROR(__xludf.DUMMYFUNCTION("SPLiT(G2290, ""🤙🏼"",FALSE,FALSE)"),573.0)</f>
        <v>573</v>
      </c>
      <c r="I2290" s="5" t="str">
        <f>IFERROR(__xludf.DUMMYFUNCTION("""COMPUTED_VALUE"""),"Forushande")</f>
        <v>Forushande</v>
      </c>
      <c r="J2290" s="5" t="str">
        <f>IFERROR(__xludf.DUMMYFUNCTION("""COMPUTED_VALUE"""),"Shahab Hosseini")</f>
        <v>Shahab Hosseini</v>
      </c>
      <c r="K2290" s="5" t="str">
        <f>IFERROR(__xludf.DUMMYFUNCTION("""COMPUTED_VALUE"""),"Estrela 1")</f>
        <v>Estrela 1</v>
      </c>
      <c r="P2290" s="5">
        <f>IFERROR(__xludf.DUMMYFUNCTION("""COMPUTED_VALUE"""),573.0)</f>
        <v>573</v>
      </c>
      <c r="Q2290" s="5" t="str">
        <f>IFERROR(__xludf.DUMMYFUNCTION("""COMPUTED_VALUE"""),"Forushande")</f>
        <v>Forushande</v>
      </c>
      <c r="R2290" s="5" t="str">
        <f>IFERROR(__xludf.DUMMYFUNCTION("""COMPUTED_VALUE"""),"Shahab Hosseini")</f>
        <v>Shahab Hosseini</v>
      </c>
      <c r="S2290" s="5" t="str">
        <f>IFERROR(__xludf.DUMMYFUNCTION("""COMPUTED_VALUE"""),"Estrela 1")</f>
        <v>Estrela 1</v>
      </c>
    </row>
    <row r="2291">
      <c r="G2291" s="5" t="str">
        <f>IFERROR(__xludf.DUMMYFUNCTION("""COMPUTED_VALUE"""),"573🤙🏼Forushande🤙🏼Taraneh Alidoosti🤙🏼Estrela 2")</f>
        <v>573🤙🏼Forushande🤙🏼Taraneh Alidoosti🤙🏼Estrela 2</v>
      </c>
      <c r="H2291" s="5">
        <f>IFERROR(__xludf.DUMMYFUNCTION("SPLiT(G2291, ""🤙🏼"",FALSE,FALSE)"),573.0)</f>
        <v>573</v>
      </c>
      <c r="I2291" s="5" t="str">
        <f>IFERROR(__xludf.DUMMYFUNCTION("""COMPUTED_VALUE"""),"Forushande")</f>
        <v>Forushande</v>
      </c>
      <c r="J2291" s="5" t="str">
        <f>IFERROR(__xludf.DUMMYFUNCTION("""COMPUTED_VALUE"""),"Taraneh Alidoosti")</f>
        <v>Taraneh Alidoosti</v>
      </c>
      <c r="K2291" s="5" t="str">
        <f>IFERROR(__xludf.DUMMYFUNCTION("""COMPUTED_VALUE"""),"Estrela 2")</f>
        <v>Estrela 2</v>
      </c>
      <c r="P2291" s="5">
        <f>IFERROR(__xludf.DUMMYFUNCTION("""COMPUTED_VALUE"""),573.0)</f>
        <v>573</v>
      </c>
      <c r="Q2291" s="5" t="str">
        <f>IFERROR(__xludf.DUMMYFUNCTION("""COMPUTED_VALUE"""),"Forushande")</f>
        <v>Forushande</v>
      </c>
      <c r="R2291" s="5" t="str">
        <f>IFERROR(__xludf.DUMMYFUNCTION("""COMPUTED_VALUE"""),"Taraneh Alidoosti")</f>
        <v>Taraneh Alidoosti</v>
      </c>
      <c r="S2291" s="5" t="str">
        <f>IFERROR(__xludf.DUMMYFUNCTION("""COMPUTED_VALUE"""),"Estrela 2")</f>
        <v>Estrela 2</v>
      </c>
    </row>
    <row r="2292">
      <c r="G2292" s="5" t="str">
        <f>IFERROR(__xludf.DUMMYFUNCTION("""COMPUTED_VALUE"""),"573🤙🏼Forushande🤙🏼Babak Karimi🤙🏼Estrela 3")</f>
        <v>573🤙🏼Forushande🤙🏼Babak Karimi🤙🏼Estrela 3</v>
      </c>
      <c r="H2292" s="5">
        <f>IFERROR(__xludf.DUMMYFUNCTION("SPLiT(G2292, ""🤙🏼"",FALSE,FALSE)"),573.0)</f>
        <v>573</v>
      </c>
      <c r="I2292" s="5" t="str">
        <f>IFERROR(__xludf.DUMMYFUNCTION("""COMPUTED_VALUE"""),"Forushande")</f>
        <v>Forushande</v>
      </c>
      <c r="J2292" s="5" t="str">
        <f>IFERROR(__xludf.DUMMYFUNCTION("""COMPUTED_VALUE"""),"Babak Karimi")</f>
        <v>Babak Karimi</v>
      </c>
      <c r="K2292" s="5" t="str">
        <f>IFERROR(__xludf.DUMMYFUNCTION("""COMPUTED_VALUE"""),"Estrela 3")</f>
        <v>Estrela 3</v>
      </c>
      <c r="P2292" s="5">
        <f>IFERROR(__xludf.DUMMYFUNCTION("""COMPUTED_VALUE"""),573.0)</f>
        <v>573</v>
      </c>
      <c r="Q2292" s="5" t="str">
        <f>IFERROR(__xludf.DUMMYFUNCTION("""COMPUTED_VALUE"""),"Forushande")</f>
        <v>Forushande</v>
      </c>
      <c r="R2292" s="5" t="str">
        <f>IFERROR(__xludf.DUMMYFUNCTION("""COMPUTED_VALUE"""),"Babak Karimi")</f>
        <v>Babak Karimi</v>
      </c>
      <c r="S2292" s="5" t="str">
        <f>IFERROR(__xludf.DUMMYFUNCTION("""COMPUTED_VALUE"""),"Estrela 3")</f>
        <v>Estrela 3</v>
      </c>
    </row>
    <row r="2293">
      <c r="G2293" s="5" t="str">
        <f>IFERROR(__xludf.DUMMYFUNCTION("""COMPUTED_VALUE"""),"573🤙🏼Forushande🤙🏼Mina Sadati🤙🏼Estrela 4")</f>
        <v>573🤙🏼Forushande🤙🏼Mina Sadati🤙🏼Estrela 4</v>
      </c>
      <c r="H2293" s="5">
        <f>IFERROR(__xludf.DUMMYFUNCTION("SPLiT(G2293, ""🤙🏼"",FALSE,FALSE)"),573.0)</f>
        <v>573</v>
      </c>
      <c r="I2293" s="5" t="str">
        <f>IFERROR(__xludf.DUMMYFUNCTION("""COMPUTED_VALUE"""),"Forushande")</f>
        <v>Forushande</v>
      </c>
      <c r="J2293" s="5" t="str">
        <f>IFERROR(__xludf.DUMMYFUNCTION("""COMPUTED_VALUE"""),"Mina Sadati")</f>
        <v>Mina Sadati</v>
      </c>
      <c r="K2293" s="5" t="str">
        <f>IFERROR(__xludf.DUMMYFUNCTION("""COMPUTED_VALUE"""),"Estrela 4")</f>
        <v>Estrela 4</v>
      </c>
      <c r="P2293" s="5">
        <f>IFERROR(__xludf.DUMMYFUNCTION("""COMPUTED_VALUE"""),573.0)</f>
        <v>573</v>
      </c>
      <c r="Q2293" s="5" t="str">
        <f>IFERROR(__xludf.DUMMYFUNCTION("""COMPUTED_VALUE"""),"Forushande")</f>
        <v>Forushande</v>
      </c>
      <c r="R2293" s="5" t="str">
        <f>IFERROR(__xludf.DUMMYFUNCTION("""COMPUTED_VALUE"""),"Mina Sadati")</f>
        <v>Mina Sadati</v>
      </c>
      <c r="S2293" s="5" t="str">
        <f>IFERROR(__xludf.DUMMYFUNCTION("""COMPUTED_VALUE"""),"Estrela 4")</f>
        <v>Estrela 4</v>
      </c>
    </row>
    <row r="2294">
      <c r="G2294" s="5" t="str">
        <f>IFERROR(__xludf.DUMMYFUNCTION("""COMPUTED_VALUE"""),"574🤙🏼Dunkirk🤙🏼Fionn Whitehead🤙🏼Estrela 1")</f>
        <v>574🤙🏼Dunkirk🤙🏼Fionn Whitehead🤙🏼Estrela 1</v>
      </c>
      <c r="H2294" s="5">
        <f>IFERROR(__xludf.DUMMYFUNCTION("SPLiT(G2294, ""🤙🏼"",FALSE,FALSE)"),574.0)</f>
        <v>574</v>
      </c>
      <c r="I2294" s="5" t="str">
        <f>IFERROR(__xludf.DUMMYFUNCTION("""COMPUTED_VALUE"""),"Dunkirk")</f>
        <v>Dunkirk</v>
      </c>
      <c r="J2294" s="5" t="str">
        <f>IFERROR(__xludf.DUMMYFUNCTION("""COMPUTED_VALUE"""),"Fionn Whitehead")</f>
        <v>Fionn Whitehead</v>
      </c>
      <c r="K2294" s="5" t="str">
        <f>IFERROR(__xludf.DUMMYFUNCTION("""COMPUTED_VALUE"""),"Estrela 1")</f>
        <v>Estrela 1</v>
      </c>
      <c r="P2294" s="5">
        <f>IFERROR(__xludf.DUMMYFUNCTION("""COMPUTED_VALUE"""),574.0)</f>
        <v>574</v>
      </c>
      <c r="Q2294" s="5" t="str">
        <f>IFERROR(__xludf.DUMMYFUNCTION("""COMPUTED_VALUE"""),"Dunkirk")</f>
        <v>Dunkirk</v>
      </c>
      <c r="R2294" s="5" t="str">
        <f>IFERROR(__xludf.DUMMYFUNCTION("""COMPUTED_VALUE"""),"Fionn Whitehead")</f>
        <v>Fionn Whitehead</v>
      </c>
      <c r="S2294" s="5" t="str">
        <f>IFERROR(__xludf.DUMMYFUNCTION("""COMPUTED_VALUE"""),"Estrela 1")</f>
        <v>Estrela 1</v>
      </c>
    </row>
    <row r="2295">
      <c r="G2295" s="5" t="str">
        <f>IFERROR(__xludf.DUMMYFUNCTION("""COMPUTED_VALUE"""),"574🤙🏼Dunkirk🤙🏼Barry Keoghan🤙🏼Estrela 2")</f>
        <v>574🤙🏼Dunkirk🤙🏼Barry Keoghan🤙🏼Estrela 2</v>
      </c>
      <c r="H2295" s="5">
        <f>IFERROR(__xludf.DUMMYFUNCTION("SPLiT(G2295, ""🤙🏼"",FALSE,FALSE)"),574.0)</f>
        <v>574</v>
      </c>
      <c r="I2295" s="5" t="str">
        <f>IFERROR(__xludf.DUMMYFUNCTION("""COMPUTED_VALUE"""),"Dunkirk")</f>
        <v>Dunkirk</v>
      </c>
      <c r="J2295" s="5" t="str">
        <f>IFERROR(__xludf.DUMMYFUNCTION("""COMPUTED_VALUE"""),"Barry Keoghan")</f>
        <v>Barry Keoghan</v>
      </c>
      <c r="K2295" s="5" t="str">
        <f>IFERROR(__xludf.DUMMYFUNCTION("""COMPUTED_VALUE"""),"Estrela 2")</f>
        <v>Estrela 2</v>
      </c>
      <c r="P2295" s="5">
        <f>IFERROR(__xludf.DUMMYFUNCTION("""COMPUTED_VALUE"""),574.0)</f>
        <v>574</v>
      </c>
      <c r="Q2295" s="5" t="str">
        <f>IFERROR(__xludf.DUMMYFUNCTION("""COMPUTED_VALUE"""),"Dunkirk")</f>
        <v>Dunkirk</v>
      </c>
      <c r="R2295" s="5" t="str">
        <f>IFERROR(__xludf.DUMMYFUNCTION("""COMPUTED_VALUE"""),"Barry Keoghan")</f>
        <v>Barry Keoghan</v>
      </c>
      <c r="S2295" s="5" t="str">
        <f>IFERROR(__xludf.DUMMYFUNCTION("""COMPUTED_VALUE"""),"Estrela 2")</f>
        <v>Estrela 2</v>
      </c>
    </row>
    <row r="2296">
      <c r="G2296" s="5" t="str">
        <f>IFERROR(__xludf.DUMMYFUNCTION("""COMPUTED_VALUE"""),"574🤙🏼Dunkirk🤙🏼Mark Rylance🤙🏼Estrela 3")</f>
        <v>574🤙🏼Dunkirk🤙🏼Mark Rylance🤙🏼Estrela 3</v>
      </c>
      <c r="H2296" s="5">
        <f>IFERROR(__xludf.DUMMYFUNCTION("SPLiT(G2296, ""🤙🏼"",FALSE,FALSE)"),574.0)</f>
        <v>574</v>
      </c>
      <c r="I2296" s="5" t="str">
        <f>IFERROR(__xludf.DUMMYFUNCTION("""COMPUTED_VALUE"""),"Dunkirk")</f>
        <v>Dunkirk</v>
      </c>
      <c r="J2296" s="5" t="str">
        <f>IFERROR(__xludf.DUMMYFUNCTION("""COMPUTED_VALUE"""),"Mark Rylance")</f>
        <v>Mark Rylance</v>
      </c>
      <c r="K2296" s="5" t="str">
        <f>IFERROR(__xludf.DUMMYFUNCTION("""COMPUTED_VALUE"""),"Estrela 3")</f>
        <v>Estrela 3</v>
      </c>
      <c r="P2296" s="5">
        <f>IFERROR(__xludf.DUMMYFUNCTION("""COMPUTED_VALUE"""),574.0)</f>
        <v>574</v>
      </c>
      <c r="Q2296" s="5" t="str">
        <f>IFERROR(__xludf.DUMMYFUNCTION("""COMPUTED_VALUE"""),"Dunkirk")</f>
        <v>Dunkirk</v>
      </c>
      <c r="R2296" s="5" t="str">
        <f>IFERROR(__xludf.DUMMYFUNCTION("""COMPUTED_VALUE"""),"Mark Rylance")</f>
        <v>Mark Rylance</v>
      </c>
      <c r="S2296" s="5" t="str">
        <f>IFERROR(__xludf.DUMMYFUNCTION("""COMPUTED_VALUE"""),"Estrela 3")</f>
        <v>Estrela 3</v>
      </c>
    </row>
    <row r="2297">
      <c r="G2297" s="5" t="str">
        <f>IFERROR(__xludf.DUMMYFUNCTION("""COMPUTED_VALUE"""),"574🤙🏼Dunkirk🤙🏼Tom Hardy🤙🏼Estrela 4")</f>
        <v>574🤙🏼Dunkirk🤙🏼Tom Hardy🤙🏼Estrela 4</v>
      </c>
      <c r="H2297" s="5">
        <f>IFERROR(__xludf.DUMMYFUNCTION("SPLiT(G2297, ""🤙🏼"",FALSE,FALSE)"),574.0)</f>
        <v>574</v>
      </c>
      <c r="I2297" s="5" t="str">
        <f>IFERROR(__xludf.DUMMYFUNCTION("""COMPUTED_VALUE"""),"Dunkirk")</f>
        <v>Dunkirk</v>
      </c>
      <c r="J2297" s="5" t="str">
        <f>IFERROR(__xludf.DUMMYFUNCTION("""COMPUTED_VALUE"""),"Tom Hardy")</f>
        <v>Tom Hardy</v>
      </c>
      <c r="K2297" s="5" t="str">
        <f>IFERROR(__xludf.DUMMYFUNCTION("""COMPUTED_VALUE"""),"Estrela 4")</f>
        <v>Estrela 4</v>
      </c>
      <c r="P2297" s="5">
        <f>IFERROR(__xludf.DUMMYFUNCTION("""COMPUTED_VALUE"""),574.0)</f>
        <v>574</v>
      </c>
      <c r="Q2297" s="5" t="str">
        <f>IFERROR(__xludf.DUMMYFUNCTION("""COMPUTED_VALUE"""),"Dunkirk")</f>
        <v>Dunkirk</v>
      </c>
      <c r="R2297" s="5" t="str">
        <f>IFERROR(__xludf.DUMMYFUNCTION("""COMPUTED_VALUE"""),"Tom Hardy")</f>
        <v>Tom Hardy</v>
      </c>
      <c r="S2297" s="5" t="str">
        <f>IFERROR(__xludf.DUMMYFUNCTION("""COMPUTED_VALUE"""),"Estrela 4")</f>
        <v>Estrela 4</v>
      </c>
    </row>
    <row r="2298">
      <c r="G2298" s="5" t="str">
        <f>IFERROR(__xludf.DUMMYFUNCTION("""COMPUTED_VALUE"""),"575🤙🏼Perfetti sconosciuti🤙🏼Giuseppe Battiston🤙🏼Estrela 1")</f>
        <v>575🤙🏼Perfetti sconosciuti🤙🏼Giuseppe Battiston🤙🏼Estrela 1</v>
      </c>
      <c r="H2298" s="5">
        <f>IFERROR(__xludf.DUMMYFUNCTION("SPLiT(G2298, ""🤙🏼"",FALSE,FALSE)"),575.0)</f>
        <v>575</v>
      </c>
      <c r="I2298" s="5" t="str">
        <f>IFERROR(__xludf.DUMMYFUNCTION("""COMPUTED_VALUE"""),"Perfetti sconosciuti")</f>
        <v>Perfetti sconosciuti</v>
      </c>
      <c r="J2298" s="5" t="str">
        <f>IFERROR(__xludf.DUMMYFUNCTION("""COMPUTED_VALUE"""),"Giuseppe Battiston")</f>
        <v>Giuseppe Battiston</v>
      </c>
      <c r="K2298" s="5" t="str">
        <f>IFERROR(__xludf.DUMMYFUNCTION("""COMPUTED_VALUE"""),"Estrela 1")</f>
        <v>Estrela 1</v>
      </c>
      <c r="P2298" s="5">
        <f>IFERROR(__xludf.DUMMYFUNCTION("""COMPUTED_VALUE"""),575.0)</f>
        <v>575</v>
      </c>
      <c r="Q2298" s="5" t="str">
        <f>IFERROR(__xludf.DUMMYFUNCTION("""COMPUTED_VALUE"""),"Perfetti sconosciuti")</f>
        <v>Perfetti sconosciuti</v>
      </c>
      <c r="R2298" s="5" t="str">
        <f>IFERROR(__xludf.DUMMYFUNCTION("""COMPUTED_VALUE"""),"Giuseppe Battiston")</f>
        <v>Giuseppe Battiston</v>
      </c>
      <c r="S2298" s="5" t="str">
        <f>IFERROR(__xludf.DUMMYFUNCTION("""COMPUTED_VALUE"""),"Estrela 1")</f>
        <v>Estrela 1</v>
      </c>
    </row>
    <row r="2299">
      <c r="G2299" s="5" t="str">
        <f>IFERROR(__xludf.DUMMYFUNCTION("""COMPUTED_VALUE"""),"575🤙🏼Perfetti sconosciuti🤙🏼Anna Foglietta🤙🏼Estrela 2")</f>
        <v>575🤙🏼Perfetti sconosciuti🤙🏼Anna Foglietta🤙🏼Estrela 2</v>
      </c>
      <c r="H2299" s="5">
        <f>IFERROR(__xludf.DUMMYFUNCTION("SPLiT(G2299, ""🤙🏼"",FALSE,FALSE)"),575.0)</f>
        <v>575</v>
      </c>
      <c r="I2299" s="5" t="str">
        <f>IFERROR(__xludf.DUMMYFUNCTION("""COMPUTED_VALUE"""),"Perfetti sconosciuti")</f>
        <v>Perfetti sconosciuti</v>
      </c>
      <c r="J2299" s="5" t="str">
        <f>IFERROR(__xludf.DUMMYFUNCTION("""COMPUTED_VALUE"""),"Anna Foglietta")</f>
        <v>Anna Foglietta</v>
      </c>
      <c r="K2299" s="5" t="str">
        <f>IFERROR(__xludf.DUMMYFUNCTION("""COMPUTED_VALUE"""),"Estrela 2")</f>
        <v>Estrela 2</v>
      </c>
      <c r="P2299" s="5">
        <f>IFERROR(__xludf.DUMMYFUNCTION("""COMPUTED_VALUE"""),575.0)</f>
        <v>575</v>
      </c>
      <c r="Q2299" s="5" t="str">
        <f>IFERROR(__xludf.DUMMYFUNCTION("""COMPUTED_VALUE"""),"Perfetti sconosciuti")</f>
        <v>Perfetti sconosciuti</v>
      </c>
      <c r="R2299" s="5" t="str">
        <f>IFERROR(__xludf.DUMMYFUNCTION("""COMPUTED_VALUE"""),"Anna Foglietta")</f>
        <v>Anna Foglietta</v>
      </c>
      <c r="S2299" s="5" t="str">
        <f>IFERROR(__xludf.DUMMYFUNCTION("""COMPUTED_VALUE"""),"Estrela 2")</f>
        <v>Estrela 2</v>
      </c>
    </row>
    <row r="2300">
      <c r="G2300" s="5" t="str">
        <f>IFERROR(__xludf.DUMMYFUNCTION("""COMPUTED_VALUE"""),"575🤙🏼Perfetti sconosciuti🤙🏼Marco Giallini🤙🏼Estrela 3")</f>
        <v>575🤙🏼Perfetti sconosciuti🤙🏼Marco Giallini🤙🏼Estrela 3</v>
      </c>
      <c r="H2300" s="5">
        <f>IFERROR(__xludf.DUMMYFUNCTION("SPLiT(G2300, ""🤙🏼"",FALSE,FALSE)"),575.0)</f>
        <v>575</v>
      </c>
      <c r="I2300" s="5" t="str">
        <f>IFERROR(__xludf.DUMMYFUNCTION("""COMPUTED_VALUE"""),"Perfetti sconosciuti")</f>
        <v>Perfetti sconosciuti</v>
      </c>
      <c r="J2300" s="5" t="str">
        <f>IFERROR(__xludf.DUMMYFUNCTION("""COMPUTED_VALUE"""),"Marco Giallini")</f>
        <v>Marco Giallini</v>
      </c>
      <c r="K2300" s="5" t="str">
        <f>IFERROR(__xludf.DUMMYFUNCTION("""COMPUTED_VALUE"""),"Estrela 3")</f>
        <v>Estrela 3</v>
      </c>
      <c r="P2300" s="5">
        <f>IFERROR(__xludf.DUMMYFUNCTION("""COMPUTED_VALUE"""),575.0)</f>
        <v>575</v>
      </c>
      <c r="Q2300" s="5" t="str">
        <f>IFERROR(__xludf.DUMMYFUNCTION("""COMPUTED_VALUE"""),"Perfetti sconosciuti")</f>
        <v>Perfetti sconosciuti</v>
      </c>
      <c r="R2300" s="5" t="str">
        <f>IFERROR(__xludf.DUMMYFUNCTION("""COMPUTED_VALUE"""),"Marco Giallini")</f>
        <v>Marco Giallini</v>
      </c>
      <c r="S2300" s="5" t="str">
        <f>IFERROR(__xludf.DUMMYFUNCTION("""COMPUTED_VALUE"""),"Estrela 3")</f>
        <v>Estrela 3</v>
      </c>
    </row>
    <row r="2301">
      <c r="G2301" s="5" t="str">
        <f>IFERROR(__xludf.DUMMYFUNCTION("""COMPUTED_VALUE"""),"575🤙🏼Perfetti sconosciuti🤙🏼Edoardo Leo🤙🏼Estrela 4")</f>
        <v>575🤙🏼Perfetti sconosciuti🤙🏼Edoardo Leo🤙🏼Estrela 4</v>
      </c>
      <c r="H2301" s="5">
        <f>IFERROR(__xludf.DUMMYFUNCTION("SPLiT(G2301, ""🤙🏼"",FALSE,FALSE)"),575.0)</f>
        <v>575</v>
      </c>
      <c r="I2301" s="5" t="str">
        <f>IFERROR(__xludf.DUMMYFUNCTION("""COMPUTED_VALUE"""),"Perfetti sconosciuti")</f>
        <v>Perfetti sconosciuti</v>
      </c>
      <c r="J2301" s="5" t="str">
        <f>IFERROR(__xludf.DUMMYFUNCTION("""COMPUTED_VALUE"""),"Edoardo Leo")</f>
        <v>Edoardo Leo</v>
      </c>
      <c r="K2301" s="5" t="str">
        <f>IFERROR(__xludf.DUMMYFUNCTION("""COMPUTED_VALUE"""),"Estrela 4")</f>
        <v>Estrela 4</v>
      </c>
      <c r="P2301" s="5">
        <f>IFERROR(__xludf.DUMMYFUNCTION("""COMPUTED_VALUE"""),575.0)</f>
        <v>575</v>
      </c>
      <c r="Q2301" s="5" t="str">
        <f>IFERROR(__xludf.DUMMYFUNCTION("""COMPUTED_VALUE"""),"Perfetti sconosciuti")</f>
        <v>Perfetti sconosciuti</v>
      </c>
      <c r="R2301" s="5" t="str">
        <f>IFERROR(__xludf.DUMMYFUNCTION("""COMPUTED_VALUE"""),"Edoardo Leo")</f>
        <v>Edoardo Leo</v>
      </c>
      <c r="S2301" s="5" t="str">
        <f>IFERROR(__xludf.DUMMYFUNCTION("""COMPUTED_VALUE"""),"Estrela 4")</f>
        <v>Estrela 4</v>
      </c>
    </row>
    <row r="2302">
      <c r="G2302" s="5" t="str">
        <f>IFERROR(__xludf.DUMMYFUNCTION("""COMPUTED_VALUE"""),"576🤙🏼Hidden Figures🤙🏼Taraji P. Henson🤙🏼Estrela 1")</f>
        <v>576🤙🏼Hidden Figures🤙🏼Taraji P. Henson🤙🏼Estrela 1</v>
      </c>
      <c r="H2302" s="5">
        <f>IFERROR(__xludf.DUMMYFUNCTION("SPLiT(G2302, ""🤙🏼"",FALSE,FALSE)"),576.0)</f>
        <v>576</v>
      </c>
      <c r="I2302" s="5" t="str">
        <f>IFERROR(__xludf.DUMMYFUNCTION("""COMPUTED_VALUE"""),"Hidden Figures")</f>
        <v>Hidden Figures</v>
      </c>
      <c r="J2302" s="5" t="str">
        <f>IFERROR(__xludf.DUMMYFUNCTION("""COMPUTED_VALUE"""),"Taraji P. Henson")</f>
        <v>Taraji P. Henson</v>
      </c>
      <c r="K2302" s="5" t="str">
        <f>IFERROR(__xludf.DUMMYFUNCTION("""COMPUTED_VALUE"""),"Estrela 1")</f>
        <v>Estrela 1</v>
      </c>
      <c r="P2302" s="5">
        <f>IFERROR(__xludf.DUMMYFUNCTION("""COMPUTED_VALUE"""),576.0)</f>
        <v>576</v>
      </c>
      <c r="Q2302" s="5" t="str">
        <f>IFERROR(__xludf.DUMMYFUNCTION("""COMPUTED_VALUE"""),"Hidden Figures")</f>
        <v>Hidden Figures</v>
      </c>
      <c r="R2302" s="5" t="str">
        <f>IFERROR(__xludf.DUMMYFUNCTION("""COMPUTED_VALUE"""),"Taraji P. Henson")</f>
        <v>Taraji P. Henson</v>
      </c>
      <c r="S2302" s="5" t="str">
        <f>IFERROR(__xludf.DUMMYFUNCTION("""COMPUTED_VALUE"""),"Estrela 1")</f>
        <v>Estrela 1</v>
      </c>
    </row>
    <row r="2303">
      <c r="G2303" s="5" t="str">
        <f>IFERROR(__xludf.DUMMYFUNCTION("""COMPUTED_VALUE"""),"576🤙🏼Hidden Figures🤙🏼Octavia Spencer🤙🏼Estrela 2")</f>
        <v>576🤙🏼Hidden Figures🤙🏼Octavia Spencer🤙🏼Estrela 2</v>
      </c>
      <c r="H2303" s="5">
        <f>IFERROR(__xludf.DUMMYFUNCTION("SPLiT(G2303, ""🤙🏼"",FALSE,FALSE)"),576.0)</f>
        <v>576</v>
      </c>
      <c r="I2303" s="5" t="str">
        <f>IFERROR(__xludf.DUMMYFUNCTION("""COMPUTED_VALUE"""),"Hidden Figures")</f>
        <v>Hidden Figures</v>
      </c>
      <c r="J2303" s="5" t="str">
        <f>IFERROR(__xludf.DUMMYFUNCTION("""COMPUTED_VALUE"""),"Octavia Spencer")</f>
        <v>Octavia Spencer</v>
      </c>
      <c r="K2303" s="5" t="str">
        <f>IFERROR(__xludf.DUMMYFUNCTION("""COMPUTED_VALUE"""),"Estrela 2")</f>
        <v>Estrela 2</v>
      </c>
      <c r="P2303" s="5">
        <f>IFERROR(__xludf.DUMMYFUNCTION("""COMPUTED_VALUE"""),576.0)</f>
        <v>576</v>
      </c>
      <c r="Q2303" s="5" t="str">
        <f>IFERROR(__xludf.DUMMYFUNCTION("""COMPUTED_VALUE"""),"Hidden Figures")</f>
        <v>Hidden Figures</v>
      </c>
      <c r="R2303" s="5" t="str">
        <f>IFERROR(__xludf.DUMMYFUNCTION("""COMPUTED_VALUE"""),"Octavia Spencer")</f>
        <v>Octavia Spencer</v>
      </c>
      <c r="S2303" s="5" t="str">
        <f>IFERROR(__xludf.DUMMYFUNCTION("""COMPUTED_VALUE"""),"Estrela 2")</f>
        <v>Estrela 2</v>
      </c>
    </row>
    <row r="2304">
      <c r="G2304" s="5" t="str">
        <f>IFERROR(__xludf.DUMMYFUNCTION("""COMPUTED_VALUE"""),"576🤙🏼Hidden Figures🤙🏼Janelle Monáe🤙🏼Estrela 3")</f>
        <v>576🤙🏼Hidden Figures🤙🏼Janelle Monáe🤙🏼Estrela 3</v>
      </c>
      <c r="H2304" s="5">
        <f>IFERROR(__xludf.DUMMYFUNCTION("SPLiT(G2304, ""🤙🏼"",FALSE,FALSE)"),576.0)</f>
        <v>576</v>
      </c>
      <c r="I2304" s="5" t="str">
        <f>IFERROR(__xludf.DUMMYFUNCTION("""COMPUTED_VALUE"""),"Hidden Figures")</f>
        <v>Hidden Figures</v>
      </c>
      <c r="J2304" s="5" t="str">
        <f>IFERROR(__xludf.DUMMYFUNCTION("""COMPUTED_VALUE"""),"Janelle Monáe")</f>
        <v>Janelle Monáe</v>
      </c>
      <c r="K2304" s="5" t="str">
        <f>IFERROR(__xludf.DUMMYFUNCTION("""COMPUTED_VALUE"""),"Estrela 3")</f>
        <v>Estrela 3</v>
      </c>
      <c r="P2304" s="5">
        <f>IFERROR(__xludf.DUMMYFUNCTION("""COMPUTED_VALUE"""),576.0)</f>
        <v>576</v>
      </c>
      <c r="Q2304" s="5" t="str">
        <f>IFERROR(__xludf.DUMMYFUNCTION("""COMPUTED_VALUE"""),"Hidden Figures")</f>
        <v>Hidden Figures</v>
      </c>
      <c r="R2304" s="5" t="str">
        <f>IFERROR(__xludf.DUMMYFUNCTION("""COMPUTED_VALUE"""),"Janelle Monáe")</f>
        <v>Janelle Monáe</v>
      </c>
      <c r="S2304" s="5" t="str">
        <f>IFERROR(__xludf.DUMMYFUNCTION("""COMPUTED_VALUE"""),"Estrela 3")</f>
        <v>Estrela 3</v>
      </c>
    </row>
    <row r="2305">
      <c r="G2305" s="5" t="str">
        <f>IFERROR(__xludf.DUMMYFUNCTION("""COMPUTED_VALUE"""),"576🤙🏼Hidden Figures🤙🏼Kevin Costner🤙🏼Estrela 4")</f>
        <v>576🤙🏼Hidden Figures🤙🏼Kevin Costner🤙🏼Estrela 4</v>
      </c>
      <c r="H2305" s="5">
        <f>IFERROR(__xludf.DUMMYFUNCTION("SPLiT(G2305, ""🤙🏼"",FALSE,FALSE)"),576.0)</f>
        <v>576</v>
      </c>
      <c r="I2305" s="5" t="str">
        <f>IFERROR(__xludf.DUMMYFUNCTION("""COMPUTED_VALUE"""),"Hidden Figures")</f>
        <v>Hidden Figures</v>
      </c>
      <c r="J2305" s="5" t="str">
        <f>IFERROR(__xludf.DUMMYFUNCTION("""COMPUTED_VALUE"""),"Kevin Costner")</f>
        <v>Kevin Costner</v>
      </c>
      <c r="K2305" s="5" t="str">
        <f>IFERROR(__xludf.DUMMYFUNCTION("""COMPUTED_VALUE"""),"Estrela 4")</f>
        <v>Estrela 4</v>
      </c>
      <c r="P2305" s="5">
        <f>IFERROR(__xludf.DUMMYFUNCTION("""COMPUTED_VALUE"""),576.0)</f>
        <v>576</v>
      </c>
      <c r="Q2305" s="5" t="str">
        <f>IFERROR(__xludf.DUMMYFUNCTION("""COMPUTED_VALUE"""),"Hidden Figures")</f>
        <v>Hidden Figures</v>
      </c>
      <c r="R2305" s="5" t="str">
        <f>IFERROR(__xludf.DUMMYFUNCTION("""COMPUTED_VALUE"""),"Kevin Costner")</f>
        <v>Kevin Costner</v>
      </c>
      <c r="S2305" s="5" t="str">
        <f>IFERROR(__xludf.DUMMYFUNCTION("""COMPUTED_VALUE"""),"Estrela 4")</f>
        <v>Estrela 4</v>
      </c>
    </row>
    <row r="2306">
      <c r="G2306" s="5" t="str">
        <f>IFERROR(__xludf.DUMMYFUNCTION("""COMPUTED_VALUE"""),"577🤙🏼Paddington 2🤙🏼Ben Whishaw🤙🏼Estrela 1")</f>
        <v>577🤙🏼Paddington 2🤙🏼Ben Whishaw🤙🏼Estrela 1</v>
      </c>
      <c r="H2306" s="5">
        <f>IFERROR(__xludf.DUMMYFUNCTION("SPLiT(G2306, ""🤙🏼"",FALSE,FALSE)"),577.0)</f>
        <v>577</v>
      </c>
      <c r="I2306" s="5" t="str">
        <f>IFERROR(__xludf.DUMMYFUNCTION("""COMPUTED_VALUE"""),"Paddington 2")</f>
        <v>Paddington 2</v>
      </c>
      <c r="J2306" s="5" t="str">
        <f>IFERROR(__xludf.DUMMYFUNCTION("""COMPUTED_VALUE"""),"Ben Whishaw")</f>
        <v>Ben Whishaw</v>
      </c>
      <c r="K2306" s="5" t="str">
        <f>IFERROR(__xludf.DUMMYFUNCTION("""COMPUTED_VALUE"""),"Estrela 1")</f>
        <v>Estrela 1</v>
      </c>
      <c r="P2306" s="5">
        <f>IFERROR(__xludf.DUMMYFUNCTION("""COMPUTED_VALUE"""),577.0)</f>
        <v>577</v>
      </c>
      <c r="Q2306" s="5" t="str">
        <f>IFERROR(__xludf.DUMMYFUNCTION("""COMPUTED_VALUE"""),"Paddington 2")</f>
        <v>Paddington 2</v>
      </c>
      <c r="R2306" s="5" t="str">
        <f>IFERROR(__xludf.DUMMYFUNCTION("""COMPUTED_VALUE"""),"Ben Whishaw")</f>
        <v>Ben Whishaw</v>
      </c>
      <c r="S2306" s="5" t="str">
        <f>IFERROR(__xludf.DUMMYFUNCTION("""COMPUTED_VALUE"""),"Estrela 1")</f>
        <v>Estrela 1</v>
      </c>
    </row>
    <row r="2307">
      <c r="G2307" s="5" t="str">
        <f>IFERROR(__xludf.DUMMYFUNCTION("""COMPUTED_VALUE"""),"577🤙🏼Paddington 2🤙🏼Hugh Grant🤙🏼Estrela 2")</f>
        <v>577🤙🏼Paddington 2🤙🏼Hugh Grant🤙🏼Estrela 2</v>
      </c>
      <c r="H2307" s="5">
        <f>IFERROR(__xludf.DUMMYFUNCTION("SPLiT(G2307, ""🤙🏼"",FALSE,FALSE)"),577.0)</f>
        <v>577</v>
      </c>
      <c r="I2307" s="5" t="str">
        <f>IFERROR(__xludf.DUMMYFUNCTION("""COMPUTED_VALUE"""),"Paddington 2")</f>
        <v>Paddington 2</v>
      </c>
      <c r="J2307" s="5" t="str">
        <f>IFERROR(__xludf.DUMMYFUNCTION("""COMPUTED_VALUE"""),"Hugh Grant")</f>
        <v>Hugh Grant</v>
      </c>
      <c r="K2307" s="5" t="str">
        <f>IFERROR(__xludf.DUMMYFUNCTION("""COMPUTED_VALUE"""),"Estrela 2")</f>
        <v>Estrela 2</v>
      </c>
      <c r="P2307" s="5">
        <f>IFERROR(__xludf.DUMMYFUNCTION("""COMPUTED_VALUE"""),577.0)</f>
        <v>577</v>
      </c>
      <c r="Q2307" s="5" t="str">
        <f>IFERROR(__xludf.DUMMYFUNCTION("""COMPUTED_VALUE"""),"Paddington 2")</f>
        <v>Paddington 2</v>
      </c>
      <c r="R2307" s="5" t="str">
        <f>IFERROR(__xludf.DUMMYFUNCTION("""COMPUTED_VALUE"""),"Hugh Grant")</f>
        <v>Hugh Grant</v>
      </c>
      <c r="S2307" s="5" t="str">
        <f>IFERROR(__xludf.DUMMYFUNCTION("""COMPUTED_VALUE"""),"Estrela 2")</f>
        <v>Estrela 2</v>
      </c>
    </row>
    <row r="2308">
      <c r="G2308" s="5" t="str">
        <f>IFERROR(__xludf.DUMMYFUNCTION("""COMPUTED_VALUE"""),"577🤙🏼Paddington 2🤙🏼Hugh Bonneville🤙🏼Estrela 3")</f>
        <v>577🤙🏼Paddington 2🤙🏼Hugh Bonneville🤙🏼Estrela 3</v>
      </c>
      <c r="H2308" s="5">
        <f>IFERROR(__xludf.DUMMYFUNCTION("SPLiT(G2308, ""🤙🏼"",FALSE,FALSE)"),577.0)</f>
        <v>577</v>
      </c>
      <c r="I2308" s="5" t="str">
        <f>IFERROR(__xludf.DUMMYFUNCTION("""COMPUTED_VALUE"""),"Paddington 2")</f>
        <v>Paddington 2</v>
      </c>
      <c r="J2308" s="5" t="str">
        <f>IFERROR(__xludf.DUMMYFUNCTION("""COMPUTED_VALUE"""),"Hugh Bonneville")</f>
        <v>Hugh Bonneville</v>
      </c>
      <c r="K2308" s="5" t="str">
        <f>IFERROR(__xludf.DUMMYFUNCTION("""COMPUTED_VALUE"""),"Estrela 3")</f>
        <v>Estrela 3</v>
      </c>
      <c r="P2308" s="5">
        <f>IFERROR(__xludf.DUMMYFUNCTION("""COMPUTED_VALUE"""),577.0)</f>
        <v>577</v>
      </c>
      <c r="Q2308" s="5" t="str">
        <f>IFERROR(__xludf.DUMMYFUNCTION("""COMPUTED_VALUE"""),"Paddington 2")</f>
        <v>Paddington 2</v>
      </c>
      <c r="R2308" s="5" t="str">
        <f>IFERROR(__xludf.DUMMYFUNCTION("""COMPUTED_VALUE"""),"Hugh Bonneville")</f>
        <v>Hugh Bonneville</v>
      </c>
      <c r="S2308" s="5" t="str">
        <f>IFERROR(__xludf.DUMMYFUNCTION("""COMPUTED_VALUE"""),"Estrela 3")</f>
        <v>Estrela 3</v>
      </c>
    </row>
    <row r="2309">
      <c r="G2309" s="5" t="str">
        <f>IFERROR(__xludf.DUMMYFUNCTION("""COMPUTED_VALUE"""),"577🤙🏼Paddington 2🤙🏼Sally Hawkins🤙🏼Estrela 4")</f>
        <v>577🤙🏼Paddington 2🤙🏼Sally Hawkins🤙🏼Estrela 4</v>
      </c>
      <c r="H2309" s="5">
        <f>IFERROR(__xludf.DUMMYFUNCTION("SPLiT(G2309, ""🤙🏼"",FALSE,FALSE)"),577.0)</f>
        <v>577</v>
      </c>
      <c r="I2309" s="5" t="str">
        <f>IFERROR(__xludf.DUMMYFUNCTION("""COMPUTED_VALUE"""),"Paddington 2")</f>
        <v>Paddington 2</v>
      </c>
      <c r="J2309" s="5" t="str">
        <f>IFERROR(__xludf.DUMMYFUNCTION("""COMPUTED_VALUE"""),"Sally Hawkins")</f>
        <v>Sally Hawkins</v>
      </c>
      <c r="K2309" s="5" t="str">
        <f>IFERROR(__xludf.DUMMYFUNCTION("""COMPUTED_VALUE"""),"Estrela 4")</f>
        <v>Estrela 4</v>
      </c>
      <c r="P2309" s="5">
        <f>IFERROR(__xludf.DUMMYFUNCTION("""COMPUTED_VALUE"""),577.0)</f>
        <v>577</v>
      </c>
      <c r="Q2309" s="5" t="str">
        <f>IFERROR(__xludf.DUMMYFUNCTION("""COMPUTED_VALUE"""),"Paddington 2")</f>
        <v>Paddington 2</v>
      </c>
      <c r="R2309" s="5" t="str">
        <f>IFERROR(__xludf.DUMMYFUNCTION("""COMPUTED_VALUE"""),"Sally Hawkins")</f>
        <v>Sally Hawkins</v>
      </c>
      <c r="S2309" s="5" t="str">
        <f>IFERROR(__xludf.DUMMYFUNCTION("""COMPUTED_VALUE"""),"Estrela 4")</f>
        <v>Estrela 4</v>
      </c>
    </row>
    <row r="2310">
      <c r="G2310" s="5" t="str">
        <f>IFERROR(__xludf.DUMMYFUNCTION("""COMPUTED_VALUE"""),"578🤙🏼Udta Punjab🤙🏼Shahid Kapoor🤙🏼Estrela 1")</f>
        <v>578🤙🏼Udta Punjab🤙🏼Shahid Kapoor🤙🏼Estrela 1</v>
      </c>
      <c r="H2310" s="5">
        <f>IFERROR(__xludf.DUMMYFUNCTION("SPLiT(G2310, ""🤙🏼"",FALSE,FALSE)"),578.0)</f>
        <v>578</v>
      </c>
      <c r="I2310" s="5" t="str">
        <f>IFERROR(__xludf.DUMMYFUNCTION("""COMPUTED_VALUE"""),"Udta Punjab")</f>
        <v>Udta Punjab</v>
      </c>
      <c r="J2310" s="5" t="str">
        <f>IFERROR(__xludf.DUMMYFUNCTION("""COMPUTED_VALUE"""),"Shahid Kapoor")</f>
        <v>Shahid Kapoor</v>
      </c>
      <c r="K2310" s="5" t="str">
        <f>IFERROR(__xludf.DUMMYFUNCTION("""COMPUTED_VALUE"""),"Estrela 1")</f>
        <v>Estrela 1</v>
      </c>
      <c r="P2310" s="5">
        <f>IFERROR(__xludf.DUMMYFUNCTION("""COMPUTED_VALUE"""),578.0)</f>
        <v>578</v>
      </c>
      <c r="Q2310" s="5" t="str">
        <f>IFERROR(__xludf.DUMMYFUNCTION("""COMPUTED_VALUE"""),"Udta Punjab")</f>
        <v>Udta Punjab</v>
      </c>
      <c r="R2310" s="5" t="str">
        <f>IFERROR(__xludf.DUMMYFUNCTION("""COMPUTED_VALUE"""),"Shahid Kapoor")</f>
        <v>Shahid Kapoor</v>
      </c>
      <c r="S2310" s="5" t="str">
        <f>IFERROR(__xludf.DUMMYFUNCTION("""COMPUTED_VALUE"""),"Estrela 1")</f>
        <v>Estrela 1</v>
      </c>
    </row>
    <row r="2311">
      <c r="G2311" s="5" t="str">
        <f>IFERROR(__xludf.DUMMYFUNCTION("""COMPUTED_VALUE"""),"578🤙🏼Udta Punjab🤙🏼Alia Bhatt🤙🏼Estrela 2")</f>
        <v>578🤙🏼Udta Punjab🤙🏼Alia Bhatt🤙🏼Estrela 2</v>
      </c>
      <c r="H2311" s="5">
        <f>IFERROR(__xludf.DUMMYFUNCTION("SPLiT(G2311, ""🤙🏼"",FALSE,FALSE)"),578.0)</f>
        <v>578</v>
      </c>
      <c r="I2311" s="5" t="str">
        <f>IFERROR(__xludf.DUMMYFUNCTION("""COMPUTED_VALUE"""),"Udta Punjab")</f>
        <v>Udta Punjab</v>
      </c>
      <c r="J2311" s="5" t="str">
        <f>IFERROR(__xludf.DUMMYFUNCTION("""COMPUTED_VALUE"""),"Alia Bhatt")</f>
        <v>Alia Bhatt</v>
      </c>
      <c r="K2311" s="5" t="str">
        <f>IFERROR(__xludf.DUMMYFUNCTION("""COMPUTED_VALUE"""),"Estrela 2")</f>
        <v>Estrela 2</v>
      </c>
      <c r="P2311" s="5">
        <f>IFERROR(__xludf.DUMMYFUNCTION("""COMPUTED_VALUE"""),578.0)</f>
        <v>578</v>
      </c>
      <c r="Q2311" s="5" t="str">
        <f>IFERROR(__xludf.DUMMYFUNCTION("""COMPUTED_VALUE"""),"Udta Punjab")</f>
        <v>Udta Punjab</v>
      </c>
      <c r="R2311" s="5" t="str">
        <f>IFERROR(__xludf.DUMMYFUNCTION("""COMPUTED_VALUE"""),"Alia Bhatt")</f>
        <v>Alia Bhatt</v>
      </c>
      <c r="S2311" s="5" t="str">
        <f>IFERROR(__xludf.DUMMYFUNCTION("""COMPUTED_VALUE"""),"Estrela 2")</f>
        <v>Estrela 2</v>
      </c>
    </row>
    <row r="2312">
      <c r="G2312" s="5" t="str">
        <f>IFERROR(__xludf.DUMMYFUNCTION("""COMPUTED_VALUE"""),"578🤙🏼Udta Punjab🤙🏼Kareena Kapoor🤙🏼Estrela 3")</f>
        <v>578🤙🏼Udta Punjab🤙🏼Kareena Kapoor🤙🏼Estrela 3</v>
      </c>
      <c r="H2312" s="5">
        <f>IFERROR(__xludf.DUMMYFUNCTION("SPLiT(G2312, ""🤙🏼"",FALSE,FALSE)"),578.0)</f>
        <v>578</v>
      </c>
      <c r="I2312" s="5" t="str">
        <f>IFERROR(__xludf.DUMMYFUNCTION("""COMPUTED_VALUE"""),"Udta Punjab")</f>
        <v>Udta Punjab</v>
      </c>
      <c r="J2312" s="5" t="str">
        <f>IFERROR(__xludf.DUMMYFUNCTION("""COMPUTED_VALUE"""),"Kareena Kapoor")</f>
        <v>Kareena Kapoor</v>
      </c>
      <c r="K2312" s="5" t="str">
        <f>IFERROR(__xludf.DUMMYFUNCTION("""COMPUTED_VALUE"""),"Estrela 3")</f>
        <v>Estrela 3</v>
      </c>
      <c r="P2312" s="5">
        <f>IFERROR(__xludf.DUMMYFUNCTION("""COMPUTED_VALUE"""),578.0)</f>
        <v>578</v>
      </c>
      <c r="Q2312" s="5" t="str">
        <f>IFERROR(__xludf.DUMMYFUNCTION("""COMPUTED_VALUE"""),"Udta Punjab")</f>
        <v>Udta Punjab</v>
      </c>
      <c r="R2312" s="5" t="str">
        <f>IFERROR(__xludf.DUMMYFUNCTION("""COMPUTED_VALUE"""),"Kareena Kapoor")</f>
        <v>Kareena Kapoor</v>
      </c>
      <c r="S2312" s="5" t="str">
        <f>IFERROR(__xludf.DUMMYFUNCTION("""COMPUTED_VALUE"""),"Estrela 3")</f>
        <v>Estrela 3</v>
      </c>
    </row>
    <row r="2313">
      <c r="G2313" s="5" t="str">
        <f>IFERROR(__xludf.DUMMYFUNCTION("""COMPUTED_VALUE"""),"578🤙🏼Udta Punjab🤙🏼Diljit Dosanjh🤙🏼Estrela 4")</f>
        <v>578🤙🏼Udta Punjab🤙🏼Diljit Dosanjh🤙🏼Estrela 4</v>
      </c>
      <c r="H2313" s="5">
        <f>IFERROR(__xludf.DUMMYFUNCTION("SPLiT(G2313, ""🤙🏼"",FALSE,FALSE)"),578.0)</f>
        <v>578</v>
      </c>
      <c r="I2313" s="5" t="str">
        <f>IFERROR(__xludf.DUMMYFUNCTION("""COMPUTED_VALUE"""),"Udta Punjab")</f>
        <v>Udta Punjab</v>
      </c>
      <c r="J2313" s="5" t="str">
        <f>IFERROR(__xludf.DUMMYFUNCTION("""COMPUTED_VALUE"""),"Diljit Dosanjh")</f>
        <v>Diljit Dosanjh</v>
      </c>
      <c r="K2313" s="5" t="str">
        <f>IFERROR(__xludf.DUMMYFUNCTION("""COMPUTED_VALUE"""),"Estrela 4")</f>
        <v>Estrela 4</v>
      </c>
      <c r="P2313" s="5">
        <f>IFERROR(__xludf.DUMMYFUNCTION("""COMPUTED_VALUE"""),578.0)</f>
        <v>578</v>
      </c>
      <c r="Q2313" s="5" t="str">
        <f>IFERROR(__xludf.DUMMYFUNCTION("""COMPUTED_VALUE"""),"Udta Punjab")</f>
        <v>Udta Punjab</v>
      </c>
      <c r="R2313" s="5" t="str">
        <f>IFERROR(__xludf.DUMMYFUNCTION("""COMPUTED_VALUE"""),"Diljit Dosanjh")</f>
        <v>Diljit Dosanjh</v>
      </c>
      <c r="S2313" s="5" t="str">
        <f>IFERROR(__xludf.DUMMYFUNCTION("""COMPUTED_VALUE"""),"Estrela 4")</f>
        <v>Estrela 4</v>
      </c>
    </row>
    <row r="2314">
      <c r="G2314" s="5" t="str">
        <f>IFERROR(__xludf.DUMMYFUNCTION("""COMPUTED_VALUE"""),"579🤙🏼Kubo and the Two Strings🤙🏼Charlize Theron🤙🏼Estrela 1")</f>
        <v>579🤙🏼Kubo and the Two Strings🤙🏼Charlize Theron🤙🏼Estrela 1</v>
      </c>
      <c r="H2314" s="5">
        <f>IFERROR(__xludf.DUMMYFUNCTION("SPLiT(G2314, ""🤙🏼"",FALSE,FALSE)"),579.0)</f>
        <v>579</v>
      </c>
      <c r="I2314" s="5" t="str">
        <f>IFERROR(__xludf.DUMMYFUNCTION("""COMPUTED_VALUE"""),"Kubo and the Two Strings")</f>
        <v>Kubo and the Two Strings</v>
      </c>
      <c r="J2314" s="5" t="str">
        <f>IFERROR(__xludf.DUMMYFUNCTION("""COMPUTED_VALUE"""),"Charlize Theron")</f>
        <v>Charlize Theron</v>
      </c>
      <c r="K2314" s="5" t="str">
        <f>IFERROR(__xludf.DUMMYFUNCTION("""COMPUTED_VALUE"""),"Estrela 1")</f>
        <v>Estrela 1</v>
      </c>
      <c r="P2314" s="5">
        <f>IFERROR(__xludf.DUMMYFUNCTION("""COMPUTED_VALUE"""),579.0)</f>
        <v>579</v>
      </c>
      <c r="Q2314" s="5" t="str">
        <f>IFERROR(__xludf.DUMMYFUNCTION("""COMPUTED_VALUE"""),"Kubo and the Two Strings")</f>
        <v>Kubo and the Two Strings</v>
      </c>
      <c r="R2314" s="5" t="str">
        <f>IFERROR(__xludf.DUMMYFUNCTION("""COMPUTED_VALUE"""),"Charlize Theron")</f>
        <v>Charlize Theron</v>
      </c>
      <c r="S2314" s="5" t="str">
        <f>IFERROR(__xludf.DUMMYFUNCTION("""COMPUTED_VALUE"""),"Estrela 1")</f>
        <v>Estrela 1</v>
      </c>
    </row>
    <row r="2315">
      <c r="G2315" s="5" t="str">
        <f>IFERROR(__xludf.DUMMYFUNCTION("""COMPUTED_VALUE"""),"579🤙🏼Kubo and the Two Strings🤙🏼Art Parkinson🤙🏼Estrela 2")</f>
        <v>579🤙🏼Kubo and the Two Strings🤙🏼Art Parkinson🤙🏼Estrela 2</v>
      </c>
      <c r="H2315" s="5">
        <f>IFERROR(__xludf.DUMMYFUNCTION("SPLiT(G2315, ""🤙🏼"",FALSE,FALSE)"),579.0)</f>
        <v>579</v>
      </c>
      <c r="I2315" s="5" t="str">
        <f>IFERROR(__xludf.DUMMYFUNCTION("""COMPUTED_VALUE"""),"Kubo and the Two Strings")</f>
        <v>Kubo and the Two Strings</v>
      </c>
      <c r="J2315" s="5" t="str">
        <f>IFERROR(__xludf.DUMMYFUNCTION("""COMPUTED_VALUE"""),"Art Parkinson")</f>
        <v>Art Parkinson</v>
      </c>
      <c r="K2315" s="5" t="str">
        <f>IFERROR(__xludf.DUMMYFUNCTION("""COMPUTED_VALUE"""),"Estrela 2")</f>
        <v>Estrela 2</v>
      </c>
      <c r="P2315" s="5">
        <f>IFERROR(__xludf.DUMMYFUNCTION("""COMPUTED_VALUE"""),579.0)</f>
        <v>579</v>
      </c>
      <c r="Q2315" s="5" t="str">
        <f>IFERROR(__xludf.DUMMYFUNCTION("""COMPUTED_VALUE"""),"Kubo and the Two Strings")</f>
        <v>Kubo and the Two Strings</v>
      </c>
      <c r="R2315" s="5" t="str">
        <f>IFERROR(__xludf.DUMMYFUNCTION("""COMPUTED_VALUE"""),"Art Parkinson")</f>
        <v>Art Parkinson</v>
      </c>
      <c r="S2315" s="5" t="str">
        <f>IFERROR(__xludf.DUMMYFUNCTION("""COMPUTED_VALUE"""),"Estrela 2")</f>
        <v>Estrela 2</v>
      </c>
    </row>
    <row r="2316">
      <c r="G2316" s="5" t="str">
        <f>IFERROR(__xludf.DUMMYFUNCTION("""COMPUTED_VALUE"""),"579🤙🏼Kubo and the Two Strings🤙🏼Matthew McConaughey🤙🏼Estrela 3")</f>
        <v>579🤙🏼Kubo and the Two Strings🤙🏼Matthew McConaughey🤙🏼Estrela 3</v>
      </c>
      <c r="H2316" s="5">
        <f>IFERROR(__xludf.DUMMYFUNCTION("SPLiT(G2316, ""🤙🏼"",FALSE,FALSE)"),579.0)</f>
        <v>579</v>
      </c>
      <c r="I2316" s="5" t="str">
        <f>IFERROR(__xludf.DUMMYFUNCTION("""COMPUTED_VALUE"""),"Kubo and the Two Strings")</f>
        <v>Kubo and the Two Strings</v>
      </c>
      <c r="J2316" s="5" t="str">
        <f>IFERROR(__xludf.DUMMYFUNCTION("""COMPUTED_VALUE"""),"Matthew McConaughey")</f>
        <v>Matthew McConaughey</v>
      </c>
      <c r="K2316" s="5" t="str">
        <f>IFERROR(__xludf.DUMMYFUNCTION("""COMPUTED_VALUE"""),"Estrela 3")</f>
        <v>Estrela 3</v>
      </c>
      <c r="P2316" s="5">
        <f>IFERROR(__xludf.DUMMYFUNCTION("""COMPUTED_VALUE"""),579.0)</f>
        <v>579</v>
      </c>
      <c r="Q2316" s="5" t="str">
        <f>IFERROR(__xludf.DUMMYFUNCTION("""COMPUTED_VALUE"""),"Kubo and the Two Strings")</f>
        <v>Kubo and the Two Strings</v>
      </c>
      <c r="R2316" s="5" t="str">
        <f>IFERROR(__xludf.DUMMYFUNCTION("""COMPUTED_VALUE"""),"Matthew McConaughey")</f>
        <v>Matthew McConaughey</v>
      </c>
      <c r="S2316" s="5" t="str">
        <f>IFERROR(__xludf.DUMMYFUNCTION("""COMPUTED_VALUE"""),"Estrela 3")</f>
        <v>Estrela 3</v>
      </c>
    </row>
    <row r="2317">
      <c r="G2317" s="5" t="str">
        <f>IFERROR(__xludf.DUMMYFUNCTION("""COMPUTED_VALUE"""),"579🤙🏼Kubo and the Two Strings🤙🏼Ralph Fiennes🤙🏼Estrela 4")</f>
        <v>579🤙🏼Kubo and the Two Strings🤙🏼Ralph Fiennes🤙🏼Estrela 4</v>
      </c>
      <c r="H2317" s="5">
        <f>IFERROR(__xludf.DUMMYFUNCTION("SPLiT(G2317, ""🤙🏼"",FALSE,FALSE)"),579.0)</f>
        <v>579</v>
      </c>
      <c r="I2317" s="5" t="str">
        <f>IFERROR(__xludf.DUMMYFUNCTION("""COMPUTED_VALUE"""),"Kubo and the Two Strings")</f>
        <v>Kubo and the Two Strings</v>
      </c>
      <c r="J2317" s="5" t="str">
        <f>IFERROR(__xludf.DUMMYFUNCTION("""COMPUTED_VALUE"""),"Ralph Fiennes")</f>
        <v>Ralph Fiennes</v>
      </c>
      <c r="K2317" s="5" t="str">
        <f>IFERROR(__xludf.DUMMYFUNCTION("""COMPUTED_VALUE"""),"Estrela 4")</f>
        <v>Estrela 4</v>
      </c>
      <c r="P2317" s="5">
        <f>IFERROR(__xludf.DUMMYFUNCTION("""COMPUTED_VALUE"""),579.0)</f>
        <v>579</v>
      </c>
      <c r="Q2317" s="5" t="str">
        <f>IFERROR(__xludf.DUMMYFUNCTION("""COMPUTED_VALUE"""),"Kubo and the Two Strings")</f>
        <v>Kubo and the Two Strings</v>
      </c>
      <c r="R2317" s="5" t="str">
        <f>IFERROR(__xludf.DUMMYFUNCTION("""COMPUTED_VALUE"""),"Ralph Fiennes")</f>
        <v>Ralph Fiennes</v>
      </c>
      <c r="S2317" s="5" t="str">
        <f>IFERROR(__xludf.DUMMYFUNCTION("""COMPUTED_VALUE"""),"Estrela 4")</f>
        <v>Estrela 4</v>
      </c>
    </row>
    <row r="2318">
      <c r="G2318" s="5" t="str">
        <f>IFERROR(__xludf.DUMMYFUNCTION("""COMPUTED_VALUE"""),"580🤙🏼M.S. Dhoni: The Untold Story🤙🏼Sushant Singh Rajput🤙🏼Estrela 1")</f>
        <v>580🤙🏼M.S. Dhoni: The Untold Story🤙🏼Sushant Singh Rajput🤙🏼Estrela 1</v>
      </c>
      <c r="H2318" s="5">
        <f>IFERROR(__xludf.DUMMYFUNCTION("SPLiT(G2318, ""🤙🏼"",FALSE,FALSE)"),580.0)</f>
        <v>580</v>
      </c>
      <c r="I2318" s="5" t="str">
        <f>IFERROR(__xludf.DUMMYFUNCTION("""COMPUTED_VALUE"""),"M.S. Dhoni: The Untold Story")</f>
        <v>M.S. Dhoni: The Untold Story</v>
      </c>
      <c r="J2318" s="5" t="str">
        <f>IFERROR(__xludf.DUMMYFUNCTION("""COMPUTED_VALUE"""),"Sushant Singh Rajput")</f>
        <v>Sushant Singh Rajput</v>
      </c>
      <c r="K2318" s="5" t="str">
        <f>IFERROR(__xludf.DUMMYFUNCTION("""COMPUTED_VALUE"""),"Estrela 1")</f>
        <v>Estrela 1</v>
      </c>
      <c r="P2318" s="5">
        <f>IFERROR(__xludf.DUMMYFUNCTION("""COMPUTED_VALUE"""),580.0)</f>
        <v>580</v>
      </c>
      <c r="Q2318" s="5" t="str">
        <f>IFERROR(__xludf.DUMMYFUNCTION("""COMPUTED_VALUE"""),"M.S. Dhoni: The Untold Story")</f>
        <v>M.S. Dhoni: The Untold Story</v>
      </c>
      <c r="R2318" s="5" t="str">
        <f>IFERROR(__xludf.DUMMYFUNCTION("""COMPUTED_VALUE"""),"Sushant Singh Rajput")</f>
        <v>Sushant Singh Rajput</v>
      </c>
      <c r="S2318" s="5" t="str">
        <f>IFERROR(__xludf.DUMMYFUNCTION("""COMPUTED_VALUE"""),"Estrela 1")</f>
        <v>Estrela 1</v>
      </c>
    </row>
    <row r="2319">
      <c r="G2319" s="5" t="str">
        <f>IFERROR(__xludf.DUMMYFUNCTION("""COMPUTED_VALUE"""),"580🤙🏼M.S. Dhoni: The Untold Story🤙🏼Kiara Advani🤙🏼Estrela 2")</f>
        <v>580🤙🏼M.S. Dhoni: The Untold Story🤙🏼Kiara Advani🤙🏼Estrela 2</v>
      </c>
      <c r="H2319" s="5">
        <f>IFERROR(__xludf.DUMMYFUNCTION("SPLiT(G2319, ""🤙🏼"",FALSE,FALSE)"),580.0)</f>
        <v>580</v>
      </c>
      <c r="I2319" s="5" t="str">
        <f>IFERROR(__xludf.DUMMYFUNCTION("""COMPUTED_VALUE"""),"M.S. Dhoni: The Untold Story")</f>
        <v>M.S. Dhoni: The Untold Story</v>
      </c>
      <c r="J2319" s="5" t="str">
        <f>IFERROR(__xludf.DUMMYFUNCTION("""COMPUTED_VALUE"""),"Kiara Advani")</f>
        <v>Kiara Advani</v>
      </c>
      <c r="K2319" s="5" t="str">
        <f>IFERROR(__xludf.DUMMYFUNCTION("""COMPUTED_VALUE"""),"Estrela 2")</f>
        <v>Estrela 2</v>
      </c>
      <c r="P2319" s="5">
        <f>IFERROR(__xludf.DUMMYFUNCTION("""COMPUTED_VALUE"""),580.0)</f>
        <v>580</v>
      </c>
      <c r="Q2319" s="5" t="str">
        <f>IFERROR(__xludf.DUMMYFUNCTION("""COMPUTED_VALUE"""),"M.S. Dhoni: The Untold Story")</f>
        <v>M.S. Dhoni: The Untold Story</v>
      </c>
      <c r="R2319" s="5" t="str">
        <f>IFERROR(__xludf.DUMMYFUNCTION("""COMPUTED_VALUE"""),"Kiara Advani")</f>
        <v>Kiara Advani</v>
      </c>
      <c r="S2319" s="5" t="str">
        <f>IFERROR(__xludf.DUMMYFUNCTION("""COMPUTED_VALUE"""),"Estrela 2")</f>
        <v>Estrela 2</v>
      </c>
    </row>
    <row r="2320">
      <c r="G2320" s="5" t="str">
        <f>IFERROR(__xludf.DUMMYFUNCTION("""COMPUTED_VALUE"""),"580🤙🏼M.S. Dhoni: The Untold Story🤙🏼Anupam Kher🤙🏼Estrela 3")</f>
        <v>580🤙🏼M.S. Dhoni: The Untold Story🤙🏼Anupam Kher🤙🏼Estrela 3</v>
      </c>
      <c r="H2320" s="5">
        <f>IFERROR(__xludf.DUMMYFUNCTION("SPLiT(G2320, ""🤙🏼"",FALSE,FALSE)"),580.0)</f>
        <v>580</v>
      </c>
      <c r="I2320" s="5" t="str">
        <f>IFERROR(__xludf.DUMMYFUNCTION("""COMPUTED_VALUE"""),"M.S. Dhoni: The Untold Story")</f>
        <v>M.S. Dhoni: The Untold Story</v>
      </c>
      <c r="J2320" s="5" t="str">
        <f>IFERROR(__xludf.DUMMYFUNCTION("""COMPUTED_VALUE"""),"Anupam Kher")</f>
        <v>Anupam Kher</v>
      </c>
      <c r="K2320" s="5" t="str">
        <f>IFERROR(__xludf.DUMMYFUNCTION("""COMPUTED_VALUE"""),"Estrela 3")</f>
        <v>Estrela 3</v>
      </c>
      <c r="P2320" s="5">
        <f>IFERROR(__xludf.DUMMYFUNCTION("""COMPUTED_VALUE"""),580.0)</f>
        <v>580</v>
      </c>
      <c r="Q2320" s="5" t="str">
        <f>IFERROR(__xludf.DUMMYFUNCTION("""COMPUTED_VALUE"""),"M.S. Dhoni: The Untold Story")</f>
        <v>M.S. Dhoni: The Untold Story</v>
      </c>
      <c r="R2320" s="5" t="str">
        <f>IFERROR(__xludf.DUMMYFUNCTION("""COMPUTED_VALUE"""),"Anupam Kher")</f>
        <v>Anupam Kher</v>
      </c>
      <c r="S2320" s="5" t="str">
        <f>IFERROR(__xludf.DUMMYFUNCTION("""COMPUTED_VALUE"""),"Estrela 3")</f>
        <v>Estrela 3</v>
      </c>
    </row>
    <row r="2321">
      <c r="G2321" s="5" t="str">
        <f>IFERROR(__xludf.DUMMYFUNCTION("""COMPUTED_VALUE"""),"580🤙🏼M.S. Dhoni: The Untold Story🤙🏼Disha Patani🤙🏼Estrela 4")</f>
        <v>580🤙🏼M.S. Dhoni: The Untold Story🤙🏼Disha Patani🤙🏼Estrela 4</v>
      </c>
      <c r="H2321" s="5">
        <f>IFERROR(__xludf.DUMMYFUNCTION("SPLiT(G2321, ""🤙🏼"",FALSE,FALSE)"),580.0)</f>
        <v>580</v>
      </c>
      <c r="I2321" s="5" t="str">
        <f>IFERROR(__xludf.DUMMYFUNCTION("""COMPUTED_VALUE"""),"M.S. Dhoni: The Untold Story")</f>
        <v>M.S. Dhoni: The Untold Story</v>
      </c>
      <c r="J2321" s="5" t="str">
        <f>IFERROR(__xludf.DUMMYFUNCTION("""COMPUTED_VALUE"""),"Disha Patani")</f>
        <v>Disha Patani</v>
      </c>
      <c r="K2321" s="5" t="str">
        <f>IFERROR(__xludf.DUMMYFUNCTION("""COMPUTED_VALUE"""),"Estrela 4")</f>
        <v>Estrela 4</v>
      </c>
      <c r="P2321" s="5">
        <f>IFERROR(__xludf.DUMMYFUNCTION("""COMPUTED_VALUE"""),580.0)</f>
        <v>580</v>
      </c>
      <c r="Q2321" s="5" t="str">
        <f>IFERROR(__xludf.DUMMYFUNCTION("""COMPUTED_VALUE"""),"M.S. Dhoni: The Untold Story")</f>
        <v>M.S. Dhoni: The Untold Story</v>
      </c>
      <c r="R2321" s="5" t="str">
        <f>IFERROR(__xludf.DUMMYFUNCTION("""COMPUTED_VALUE"""),"Disha Patani")</f>
        <v>Disha Patani</v>
      </c>
      <c r="S2321" s="5" t="str">
        <f>IFERROR(__xludf.DUMMYFUNCTION("""COMPUTED_VALUE"""),"Estrela 4")</f>
        <v>Estrela 4</v>
      </c>
    </row>
    <row r="2322">
      <c r="G2322" s="5" t="str">
        <f>IFERROR(__xludf.DUMMYFUNCTION("""COMPUTED_VALUE"""),"581🤙🏼Manchester by the Sea🤙🏼Casey Affleck🤙🏼Estrela 1")</f>
        <v>581🤙🏼Manchester by the Sea🤙🏼Casey Affleck🤙🏼Estrela 1</v>
      </c>
      <c r="H2322" s="5">
        <f>IFERROR(__xludf.DUMMYFUNCTION("SPLiT(G2322, ""🤙🏼"",FALSE,FALSE)"),581.0)</f>
        <v>581</v>
      </c>
      <c r="I2322" s="5" t="str">
        <f>IFERROR(__xludf.DUMMYFUNCTION("""COMPUTED_VALUE"""),"Manchester by the Sea")</f>
        <v>Manchester by the Sea</v>
      </c>
      <c r="J2322" s="5" t="str">
        <f>IFERROR(__xludf.DUMMYFUNCTION("""COMPUTED_VALUE"""),"Casey Affleck")</f>
        <v>Casey Affleck</v>
      </c>
      <c r="K2322" s="5" t="str">
        <f>IFERROR(__xludf.DUMMYFUNCTION("""COMPUTED_VALUE"""),"Estrela 1")</f>
        <v>Estrela 1</v>
      </c>
      <c r="P2322" s="5">
        <f>IFERROR(__xludf.DUMMYFUNCTION("""COMPUTED_VALUE"""),581.0)</f>
        <v>581</v>
      </c>
      <c r="Q2322" s="5" t="str">
        <f>IFERROR(__xludf.DUMMYFUNCTION("""COMPUTED_VALUE"""),"Manchester by the Sea")</f>
        <v>Manchester by the Sea</v>
      </c>
      <c r="R2322" s="5" t="str">
        <f>IFERROR(__xludf.DUMMYFUNCTION("""COMPUTED_VALUE"""),"Casey Affleck")</f>
        <v>Casey Affleck</v>
      </c>
      <c r="S2322" s="5" t="str">
        <f>IFERROR(__xludf.DUMMYFUNCTION("""COMPUTED_VALUE"""),"Estrela 1")</f>
        <v>Estrela 1</v>
      </c>
    </row>
    <row r="2323">
      <c r="G2323" s="5" t="str">
        <f>IFERROR(__xludf.DUMMYFUNCTION("""COMPUTED_VALUE"""),"581🤙🏼Manchester by the Sea🤙🏼Michelle Williams🤙🏼Estrela 2")</f>
        <v>581🤙🏼Manchester by the Sea🤙🏼Michelle Williams🤙🏼Estrela 2</v>
      </c>
      <c r="H2323" s="5">
        <f>IFERROR(__xludf.DUMMYFUNCTION("SPLiT(G2323, ""🤙🏼"",FALSE,FALSE)"),581.0)</f>
        <v>581</v>
      </c>
      <c r="I2323" s="5" t="str">
        <f>IFERROR(__xludf.DUMMYFUNCTION("""COMPUTED_VALUE"""),"Manchester by the Sea")</f>
        <v>Manchester by the Sea</v>
      </c>
      <c r="J2323" s="5" t="str">
        <f>IFERROR(__xludf.DUMMYFUNCTION("""COMPUTED_VALUE"""),"Michelle Williams")</f>
        <v>Michelle Williams</v>
      </c>
      <c r="K2323" s="5" t="str">
        <f>IFERROR(__xludf.DUMMYFUNCTION("""COMPUTED_VALUE"""),"Estrela 2")</f>
        <v>Estrela 2</v>
      </c>
      <c r="P2323" s="5">
        <f>IFERROR(__xludf.DUMMYFUNCTION("""COMPUTED_VALUE"""),581.0)</f>
        <v>581</v>
      </c>
      <c r="Q2323" s="5" t="str">
        <f>IFERROR(__xludf.DUMMYFUNCTION("""COMPUTED_VALUE"""),"Manchester by the Sea")</f>
        <v>Manchester by the Sea</v>
      </c>
      <c r="R2323" s="5" t="str">
        <f>IFERROR(__xludf.DUMMYFUNCTION("""COMPUTED_VALUE"""),"Michelle Williams")</f>
        <v>Michelle Williams</v>
      </c>
      <c r="S2323" s="5" t="str">
        <f>IFERROR(__xludf.DUMMYFUNCTION("""COMPUTED_VALUE"""),"Estrela 2")</f>
        <v>Estrela 2</v>
      </c>
    </row>
    <row r="2324">
      <c r="G2324" s="5" t="str">
        <f>IFERROR(__xludf.DUMMYFUNCTION("""COMPUTED_VALUE"""),"581🤙🏼Manchester by the Sea🤙🏼Kyle Chandler🤙🏼Estrela 3")</f>
        <v>581🤙🏼Manchester by the Sea🤙🏼Kyle Chandler🤙🏼Estrela 3</v>
      </c>
      <c r="H2324" s="5">
        <f>IFERROR(__xludf.DUMMYFUNCTION("SPLiT(G2324, ""🤙🏼"",FALSE,FALSE)"),581.0)</f>
        <v>581</v>
      </c>
      <c r="I2324" s="5" t="str">
        <f>IFERROR(__xludf.DUMMYFUNCTION("""COMPUTED_VALUE"""),"Manchester by the Sea")</f>
        <v>Manchester by the Sea</v>
      </c>
      <c r="J2324" s="5" t="str">
        <f>IFERROR(__xludf.DUMMYFUNCTION("""COMPUTED_VALUE"""),"Kyle Chandler")</f>
        <v>Kyle Chandler</v>
      </c>
      <c r="K2324" s="5" t="str">
        <f>IFERROR(__xludf.DUMMYFUNCTION("""COMPUTED_VALUE"""),"Estrela 3")</f>
        <v>Estrela 3</v>
      </c>
      <c r="P2324" s="5">
        <f>IFERROR(__xludf.DUMMYFUNCTION("""COMPUTED_VALUE"""),581.0)</f>
        <v>581</v>
      </c>
      <c r="Q2324" s="5" t="str">
        <f>IFERROR(__xludf.DUMMYFUNCTION("""COMPUTED_VALUE"""),"Manchester by the Sea")</f>
        <v>Manchester by the Sea</v>
      </c>
      <c r="R2324" s="5" t="str">
        <f>IFERROR(__xludf.DUMMYFUNCTION("""COMPUTED_VALUE"""),"Kyle Chandler")</f>
        <v>Kyle Chandler</v>
      </c>
      <c r="S2324" s="5" t="str">
        <f>IFERROR(__xludf.DUMMYFUNCTION("""COMPUTED_VALUE"""),"Estrela 3")</f>
        <v>Estrela 3</v>
      </c>
    </row>
    <row r="2325">
      <c r="G2325" s="5" t="str">
        <f>IFERROR(__xludf.DUMMYFUNCTION("""COMPUTED_VALUE"""),"581🤙🏼Manchester by the Sea🤙🏼Lucas Hedges🤙🏼Estrela 4")</f>
        <v>581🤙🏼Manchester by the Sea🤙🏼Lucas Hedges🤙🏼Estrela 4</v>
      </c>
      <c r="H2325" s="5">
        <f>IFERROR(__xludf.DUMMYFUNCTION("SPLiT(G2325, ""🤙🏼"",FALSE,FALSE)"),581.0)</f>
        <v>581</v>
      </c>
      <c r="I2325" s="5" t="str">
        <f>IFERROR(__xludf.DUMMYFUNCTION("""COMPUTED_VALUE"""),"Manchester by the Sea")</f>
        <v>Manchester by the Sea</v>
      </c>
      <c r="J2325" s="5" t="str">
        <f>IFERROR(__xludf.DUMMYFUNCTION("""COMPUTED_VALUE"""),"Lucas Hedges")</f>
        <v>Lucas Hedges</v>
      </c>
      <c r="K2325" s="5" t="str">
        <f>IFERROR(__xludf.DUMMYFUNCTION("""COMPUTED_VALUE"""),"Estrela 4")</f>
        <v>Estrela 4</v>
      </c>
      <c r="P2325" s="5">
        <f>IFERROR(__xludf.DUMMYFUNCTION("""COMPUTED_VALUE"""),581.0)</f>
        <v>581</v>
      </c>
      <c r="Q2325" s="5" t="str">
        <f>IFERROR(__xludf.DUMMYFUNCTION("""COMPUTED_VALUE"""),"Manchester by the Sea")</f>
        <v>Manchester by the Sea</v>
      </c>
      <c r="R2325" s="5" t="str">
        <f>IFERROR(__xludf.DUMMYFUNCTION("""COMPUTED_VALUE"""),"Lucas Hedges")</f>
        <v>Lucas Hedges</v>
      </c>
      <c r="S2325" s="5" t="str">
        <f>IFERROR(__xludf.DUMMYFUNCTION("""COMPUTED_VALUE"""),"Estrela 4")</f>
        <v>Estrela 4</v>
      </c>
    </row>
    <row r="2326">
      <c r="G2326" s="5" t="str">
        <f>IFERROR(__xludf.DUMMYFUNCTION("""COMPUTED_VALUE"""),"582🤙🏼Under sandet🤙🏼Roland Møller🤙🏼Estrela 1")</f>
        <v>582🤙🏼Under sandet🤙🏼Roland Møller🤙🏼Estrela 1</v>
      </c>
      <c r="H2326" s="5">
        <f>IFERROR(__xludf.DUMMYFUNCTION("SPLiT(G2326, ""🤙🏼"",FALSE,FALSE)"),582.0)</f>
        <v>582</v>
      </c>
      <c r="I2326" s="5" t="str">
        <f>IFERROR(__xludf.DUMMYFUNCTION("""COMPUTED_VALUE"""),"Under sandet")</f>
        <v>Under sandet</v>
      </c>
      <c r="J2326" s="5" t="str">
        <f>IFERROR(__xludf.DUMMYFUNCTION("""COMPUTED_VALUE"""),"Roland Møller")</f>
        <v>Roland Møller</v>
      </c>
      <c r="K2326" s="5" t="str">
        <f>IFERROR(__xludf.DUMMYFUNCTION("""COMPUTED_VALUE"""),"Estrela 1")</f>
        <v>Estrela 1</v>
      </c>
      <c r="P2326" s="5">
        <f>IFERROR(__xludf.DUMMYFUNCTION("""COMPUTED_VALUE"""),582.0)</f>
        <v>582</v>
      </c>
      <c r="Q2326" s="5" t="str">
        <f>IFERROR(__xludf.DUMMYFUNCTION("""COMPUTED_VALUE"""),"Under sandet")</f>
        <v>Under sandet</v>
      </c>
      <c r="R2326" s="5" t="str">
        <f>IFERROR(__xludf.DUMMYFUNCTION("""COMPUTED_VALUE"""),"Roland Møller")</f>
        <v>Roland Møller</v>
      </c>
      <c r="S2326" s="5" t="str">
        <f>IFERROR(__xludf.DUMMYFUNCTION("""COMPUTED_VALUE"""),"Estrela 1")</f>
        <v>Estrela 1</v>
      </c>
    </row>
    <row r="2327">
      <c r="G2327" s="5" t="str">
        <f>IFERROR(__xludf.DUMMYFUNCTION("""COMPUTED_VALUE"""),"582🤙🏼Under sandet🤙🏼Louis Hofmann🤙🏼Estrela 2")</f>
        <v>582🤙🏼Under sandet🤙🏼Louis Hofmann🤙🏼Estrela 2</v>
      </c>
      <c r="H2327" s="5">
        <f>IFERROR(__xludf.DUMMYFUNCTION("SPLiT(G2327, ""🤙🏼"",FALSE,FALSE)"),582.0)</f>
        <v>582</v>
      </c>
      <c r="I2327" s="5" t="str">
        <f>IFERROR(__xludf.DUMMYFUNCTION("""COMPUTED_VALUE"""),"Under sandet")</f>
        <v>Under sandet</v>
      </c>
      <c r="J2327" s="5" t="str">
        <f>IFERROR(__xludf.DUMMYFUNCTION("""COMPUTED_VALUE"""),"Louis Hofmann")</f>
        <v>Louis Hofmann</v>
      </c>
      <c r="K2327" s="5" t="str">
        <f>IFERROR(__xludf.DUMMYFUNCTION("""COMPUTED_VALUE"""),"Estrela 2")</f>
        <v>Estrela 2</v>
      </c>
      <c r="P2327" s="5">
        <f>IFERROR(__xludf.DUMMYFUNCTION("""COMPUTED_VALUE"""),582.0)</f>
        <v>582</v>
      </c>
      <c r="Q2327" s="5" t="str">
        <f>IFERROR(__xludf.DUMMYFUNCTION("""COMPUTED_VALUE"""),"Under sandet")</f>
        <v>Under sandet</v>
      </c>
      <c r="R2327" s="5" t="str">
        <f>IFERROR(__xludf.DUMMYFUNCTION("""COMPUTED_VALUE"""),"Louis Hofmann")</f>
        <v>Louis Hofmann</v>
      </c>
      <c r="S2327" s="5" t="str">
        <f>IFERROR(__xludf.DUMMYFUNCTION("""COMPUTED_VALUE"""),"Estrela 2")</f>
        <v>Estrela 2</v>
      </c>
    </row>
    <row r="2328">
      <c r="G2328" s="5" t="str">
        <f>IFERROR(__xludf.DUMMYFUNCTION("""COMPUTED_VALUE"""),"582🤙🏼Under sandet🤙🏼Joel Basman🤙🏼Estrela 3")</f>
        <v>582🤙🏼Under sandet🤙🏼Joel Basman🤙🏼Estrela 3</v>
      </c>
      <c r="H2328" s="5">
        <f>IFERROR(__xludf.DUMMYFUNCTION("SPLiT(G2328, ""🤙🏼"",FALSE,FALSE)"),582.0)</f>
        <v>582</v>
      </c>
      <c r="I2328" s="5" t="str">
        <f>IFERROR(__xludf.DUMMYFUNCTION("""COMPUTED_VALUE"""),"Under sandet")</f>
        <v>Under sandet</v>
      </c>
      <c r="J2328" s="5" t="str">
        <f>IFERROR(__xludf.DUMMYFUNCTION("""COMPUTED_VALUE"""),"Joel Basman")</f>
        <v>Joel Basman</v>
      </c>
      <c r="K2328" s="5" t="str">
        <f>IFERROR(__xludf.DUMMYFUNCTION("""COMPUTED_VALUE"""),"Estrela 3")</f>
        <v>Estrela 3</v>
      </c>
      <c r="P2328" s="5">
        <f>IFERROR(__xludf.DUMMYFUNCTION("""COMPUTED_VALUE"""),582.0)</f>
        <v>582</v>
      </c>
      <c r="Q2328" s="5" t="str">
        <f>IFERROR(__xludf.DUMMYFUNCTION("""COMPUTED_VALUE"""),"Under sandet")</f>
        <v>Under sandet</v>
      </c>
      <c r="R2328" s="5" t="str">
        <f>IFERROR(__xludf.DUMMYFUNCTION("""COMPUTED_VALUE"""),"Joel Basman")</f>
        <v>Joel Basman</v>
      </c>
      <c r="S2328" s="5" t="str">
        <f>IFERROR(__xludf.DUMMYFUNCTION("""COMPUTED_VALUE"""),"Estrela 3")</f>
        <v>Estrela 3</v>
      </c>
    </row>
    <row r="2329">
      <c r="G2329" s="5" t="str">
        <f>IFERROR(__xludf.DUMMYFUNCTION("""COMPUTED_VALUE"""),"582🤙🏼Under sandet🤙🏼Mikkel Boe Følsgaard🤙🏼Estrela 4")</f>
        <v>582🤙🏼Under sandet🤙🏼Mikkel Boe Følsgaard🤙🏼Estrela 4</v>
      </c>
      <c r="H2329" s="5">
        <f>IFERROR(__xludf.DUMMYFUNCTION("SPLiT(G2329, ""🤙🏼"",FALSE,FALSE)"),582.0)</f>
        <v>582</v>
      </c>
      <c r="I2329" s="5" t="str">
        <f>IFERROR(__xludf.DUMMYFUNCTION("""COMPUTED_VALUE"""),"Under sandet")</f>
        <v>Under sandet</v>
      </c>
      <c r="J2329" s="5" t="str">
        <f>IFERROR(__xludf.DUMMYFUNCTION("""COMPUTED_VALUE"""),"Mikkel Boe Følsgaard")</f>
        <v>Mikkel Boe Følsgaard</v>
      </c>
      <c r="K2329" s="5" t="str">
        <f>IFERROR(__xludf.DUMMYFUNCTION("""COMPUTED_VALUE"""),"Estrela 4")</f>
        <v>Estrela 4</v>
      </c>
      <c r="P2329" s="5">
        <f>IFERROR(__xludf.DUMMYFUNCTION("""COMPUTED_VALUE"""),582.0)</f>
        <v>582</v>
      </c>
      <c r="Q2329" s="5" t="str">
        <f>IFERROR(__xludf.DUMMYFUNCTION("""COMPUTED_VALUE"""),"Under sandet")</f>
        <v>Under sandet</v>
      </c>
      <c r="R2329" s="5" t="str">
        <f>IFERROR(__xludf.DUMMYFUNCTION("""COMPUTED_VALUE"""),"Mikkel Boe Følsgaard")</f>
        <v>Mikkel Boe Følsgaard</v>
      </c>
      <c r="S2329" s="5" t="str">
        <f>IFERROR(__xludf.DUMMYFUNCTION("""COMPUTED_VALUE"""),"Estrela 4")</f>
        <v>Estrela 4</v>
      </c>
    </row>
    <row r="2330">
      <c r="G2330" s="5" t="str">
        <f>IFERROR(__xludf.DUMMYFUNCTION("""COMPUTED_VALUE"""),"583🤙🏼Rogue One🤙🏼Felicity Jones🤙🏼Estrela 1")</f>
        <v>583🤙🏼Rogue One🤙🏼Felicity Jones🤙🏼Estrela 1</v>
      </c>
      <c r="H2330" s="5">
        <f>IFERROR(__xludf.DUMMYFUNCTION("SPLiT(G2330, ""🤙🏼"",FALSE,FALSE)"),583.0)</f>
        <v>583</v>
      </c>
      <c r="I2330" s="5" t="str">
        <f>IFERROR(__xludf.DUMMYFUNCTION("""COMPUTED_VALUE"""),"Rogue One")</f>
        <v>Rogue One</v>
      </c>
      <c r="J2330" s="5" t="str">
        <f>IFERROR(__xludf.DUMMYFUNCTION("""COMPUTED_VALUE"""),"Felicity Jones")</f>
        <v>Felicity Jones</v>
      </c>
      <c r="K2330" s="5" t="str">
        <f>IFERROR(__xludf.DUMMYFUNCTION("""COMPUTED_VALUE"""),"Estrela 1")</f>
        <v>Estrela 1</v>
      </c>
      <c r="P2330" s="5">
        <f>IFERROR(__xludf.DUMMYFUNCTION("""COMPUTED_VALUE"""),583.0)</f>
        <v>583</v>
      </c>
      <c r="Q2330" s="5" t="str">
        <f>IFERROR(__xludf.DUMMYFUNCTION("""COMPUTED_VALUE"""),"Rogue One")</f>
        <v>Rogue One</v>
      </c>
      <c r="R2330" s="5" t="str">
        <f>IFERROR(__xludf.DUMMYFUNCTION("""COMPUTED_VALUE"""),"Felicity Jones")</f>
        <v>Felicity Jones</v>
      </c>
      <c r="S2330" s="5" t="str">
        <f>IFERROR(__xludf.DUMMYFUNCTION("""COMPUTED_VALUE"""),"Estrela 1")</f>
        <v>Estrela 1</v>
      </c>
    </row>
    <row r="2331">
      <c r="G2331" s="5" t="str">
        <f>IFERROR(__xludf.DUMMYFUNCTION("""COMPUTED_VALUE"""),"583🤙🏼Rogue One🤙🏼Diego Luna🤙🏼Estrela 2")</f>
        <v>583🤙🏼Rogue One🤙🏼Diego Luna🤙🏼Estrela 2</v>
      </c>
      <c r="H2331" s="5">
        <f>IFERROR(__xludf.DUMMYFUNCTION("SPLiT(G2331, ""🤙🏼"",FALSE,FALSE)"),583.0)</f>
        <v>583</v>
      </c>
      <c r="I2331" s="5" t="str">
        <f>IFERROR(__xludf.DUMMYFUNCTION("""COMPUTED_VALUE"""),"Rogue One")</f>
        <v>Rogue One</v>
      </c>
      <c r="J2331" s="5" t="str">
        <f>IFERROR(__xludf.DUMMYFUNCTION("""COMPUTED_VALUE"""),"Diego Luna")</f>
        <v>Diego Luna</v>
      </c>
      <c r="K2331" s="5" t="str">
        <f>IFERROR(__xludf.DUMMYFUNCTION("""COMPUTED_VALUE"""),"Estrela 2")</f>
        <v>Estrela 2</v>
      </c>
      <c r="P2331" s="5">
        <f>IFERROR(__xludf.DUMMYFUNCTION("""COMPUTED_VALUE"""),583.0)</f>
        <v>583</v>
      </c>
      <c r="Q2331" s="5" t="str">
        <f>IFERROR(__xludf.DUMMYFUNCTION("""COMPUTED_VALUE"""),"Rogue One")</f>
        <v>Rogue One</v>
      </c>
      <c r="R2331" s="5" t="str">
        <f>IFERROR(__xludf.DUMMYFUNCTION("""COMPUTED_VALUE"""),"Diego Luna")</f>
        <v>Diego Luna</v>
      </c>
      <c r="S2331" s="5" t="str">
        <f>IFERROR(__xludf.DUMMYFUNCTION("""COMPUTED_VALUE"""),"Estrela 2")</f>
        <v>Estrela 2</v>
      </c>
    </row>
    <row r="2332">
      <c r="G2332" s="5" t="str">
        <f>IFERROR(__xludf.DUMMYFUNCTION("""COMPUTED_VALUE"""),"583🤙🏼Rogue One🤙🏼Alan Tudyk🤙🏼Estrela 3")</f>
        <v>583🤙🏼Rogue One🤙🏼Alan Tudyk🤙🏼Estrela 3</v>
      </c>
      <c r="H2332" s="5">
        <f>IFERROR(__xludf.DUMMYFUNCTION("SPLiT(G2332, ""🤙🏼"",FALSE,FALSE)"),583.0)</f>
        <v>583</v>
      </c>
      <c r="I2332" s="5" t="str">
        <f>IFERROR(__xludf.DUMMYFUNCTION("""COMPUTED_VALUE"""),"Rogue One")</f>
        <v>Rogue One</v>
      </c>
      <c r="J2332" s="5" t="str">
        <f>IFERROR(__xludf.DUMMYFUNCTION("""COMPUTED_VALUE"""),"Alan Tudyk")</f>
        <v>Alan Tudyk</v>
      </c>
      <c r="K2332" s="5" t="str">
        <f>IFERROR(__xludf.DUMMYFUNCTION("""COMPUTED_VALUE"""),"Estrela 3")</f>
        <v>Estrela 3</v>
      </c>
      <c r="P2332" s="5">
        <f>IFERROR(__xludf.DUMMYFUNCTION("""COMPUTED_VALUE"""),583.0)</f>
        <v>583</v>
      </c>
      <c r="Q2332" s="5" t="str">
        <f>IFERROR(__xludf.DUMMYFUNCTION("""COMPUTED_VALUE"""),"Rogue One")</f>
        <v>Rogue One</v>
      </c>
      <c r="R2332" s="5" t="str">
        <f>IFERROR(__xludf.DUMMYFUNCTION("""COMPUTED_VALUE"""),"Alan Tudyk")</f>
        <v>Alan Tudyk</v>
      </c>
      <c r="S2332" s="5" t="str">
        <f>IFERROR(__xludf.DUMMYFUNCTION("""COMPUTED_VALUE"""),"Estrela 3")</f>
        <v>Estrela 3</v>
      </c>
    </row>
    <row r="2333">
      <c r="G2333" s="5" t="str">
        <f>IFERROR(__xludf.DUMMYFUNCTION("""COMPUTED_VALUE"""),"583🤙🏼Rogue One🤙🏼Donnie Yen🤙🏼Estrela 4")</f>
        <v>583🤙🏼Rogue One🤙🏼Donnie Yen🤙🏼Estrela 4</v>
      </c>
      <c r="H2333" s="5">
        <f>IFERROR(__xludf.DUMMYFUNCTION("SPLiT(G2333, ""🤙🏼"",FALSE,FALSE)"),583.0)</f>
        <v>583</v>
      </c>
      <c r="I2333" s="5" t="str">
        <f>IFERROR(__xludf.DUMMYFUNCTION("""COMPUTED_VALUE"""),"Rogue One")</f>
        <v>Rogue One</v>
      </c>
      <c r="J2333" s="5" t="str">
        <f>IFERROR(__xludf.DUMMYFUNCTION("""COMPUTED_VALUE"""),"Donnie Yen")</f>
        <v>Donnie Yen</v>
      </c>
      <c r="K2333" s="5" t="str">
        <f>IFERROR(__xludf.DUMMYFUNCTION("""COMPUTED_VALUE"""),"Estrela 4")</f>
        <v>Estrela 4</v>
      </c>
      <c r="P2333" s="5">
        <f>IFERROR(__xludf.DUMMYFUNCTION("""COMPUTED_VALUE"""),583.0)</f>
        <v>583</v>
      </c>
      <c r="Q2333" s="5" t="str">
        <f>IFERROR(__xludf.DUMMYFUNCTION("""COMPUTED_VALUE"""),"Rogue One")</f>
        <v>Rogue One</v>
      </c>
      <c r="R2333" s="5" t="str">
        <f>IFERROR(__xludf.DUMMYFUNCTION("""COMPUTED_VALUE"""),"Donnie Yen")</f>
        <v>Donnie Yen</v>
      </c>
      <c r="S2333" s="5" t="str">
        <f>IFERROR(__xludf.DUMMYFUNCTION("""COMPUTED_VALUE"""),"Estrela 4")</f>
        <v>Estrela 4</v>
      </c>
    </row>
    <row r="2334">
      <c r="G2334" s="5" t="str">
        <f>IFERROR(__xludf.DUMMYFUNCTION("""COMPUTED_VALUE"""),"584🤙🏼Captain America: Civil War🤙🏼Joe Russo🤙🏼Estrela 1")</f>
        <v>584🤙🏼Captain America: Civil War🤙🏼Joe Russo🤙🏼Estrela 1</v>
      </c>
      <c r="H2334" s="5">
        <f>IFERROR(__xludf.DUMMYFUNCTION("SPLiT(G2334, ""🤙🏼"",FALSE,FALSE)"),584.0)</f>
        <v>584</v>
      </c>
      <c r="I2334" s="5" t="str">
        <f>IFERROR(__xludf.DUMMYFUNCTION("""COMPUTED_VALUE"""),"Captain America: Civil War")</f>
        <v>Captain America: Civil War</v>
      </c>
      <c r="J2334" s="5" t="str">
        <f>IFERROR(__xludf.DUMMYFUNCTION("""COMPUTED_VALUE"""),"Joe Russo")</f>
        <v>Joe Russo</v>
      </c>
      <c r="K2334" s="5" t="str">
        <f>IFERROR(__xludf.DUMMYFUNCTION("""COMPUTED_VALUE"""),"Estrela 1")</f>
        <v>Estrela 1</v>
      </c>
      <c r="P2334" s="5">
        <f>IFERROR(__xludf.DUMMYFUNCTION("""COMPUTED_VALUE"""),584.0)</f>
        <v>584</v>
      </c>
      <c r="Q2334" s="5" t="str">
        <f>IFERROR(__xludf.DUMMYFUNCTION("""COMPUTED_VALUE"""),"Captain America: Civil War")</f>
        <v>Captain America: Civil War</v>
      </c>
      <c r="R2334" s="5" t="str">
        <f>IFERROR(__xludf.DUMMYFUNCTION("""COMPUTED_VALUE"""),"Joe Russo")</f>
        <v>Joe Russo</v>
      </c>
      <c r="S2334" s="5" t="str">
        <f>IFERROR(__xludf.DUMMYFUNCTION("""COMPUTED_VALUE"""),"Estrela 1")</f>
        <v>Estrela 1</v>
      </c>
    </row>
    <row r="2335">
      <c r="G2335" s="5" t="str">
        <f>IFERROR(__xludf.DUMMYFUNCTION("""COMPUTED_VALUE"""),"584🤙🏼Captain America: Civil War🤙🏼Chris Evans🤙🏼Estrela 2")</f>
        <v>584🤙🏼Captain America: Civil War🤙🏼Chris Evans🤙🏼Estrela 2</v>
      </c>
      <c r="H2335" s="5">
        <f>IFERROR(__xludf.DUMMYFUNCTION("SPLiT(G2335, ""🤙🏼"",FALSE,FALSE)"),584.0)</f>
        <v>584</v>
      </c>
      <c r="I2335" s="5" t="str">
        <f>IFERROR(__xludf.DUMMYFUNCTION("""COMPUTED_VALUE"""),"Captain America: Civil War")</f>
        <v>Captain America: Civil War</v>
      </c>
      <c r="J2335" s="5" t="str">
        <f>IFERROR(__xludf.DUMMYFUNCTION("""COMPUTED_VALUE"""),"Chris Evans")</f>
        <v>Chris Evans</v>
      </c>
      <c r="K2335" s="5" t="str">
        <f>IFERROR(__xludf.DUMMYFUNCTION("""COMPUTED_VALUE"""),"Estrela 2")</f>
        <v>Estrela 2</v>
      </c>
      <c r="P2335" s="5">
        <f>IFERROR(__xludf.DUMMYFUNCTION("""COMPUTED_VALUE"""),584.0)</f>
        <v>584</v>
      </c>
      <c r="Q2335" s="5" t="str">
        <f>IFERROR(__xludf.DUMMYFUNCTION("""COMPUTED_VALUE"""),"Captain America: Civil War")</f>
        <v>Captain America: Civil War</v>
      </c>
      <c r="R2335" s="5" t="str">
        <f>IFERROR(__xludf.DUMMYFUNCTION("""COMPUTED_VALUE"""),"Chris Evans")</f>
        <v>Chris Evans</v>
      </c>
      <c r="S2335" s="5" t="str">
        <f>IFERROR(__xludf.DUMMYFUNCTION("""COMPUTED_VALUE"""),"Estrela 2")</f>
        <v>Estrela 2</v>
      </c>
    </row>
    <row r="2336">
      <c r="G2336" s="5" t="str">
        <f>IFERROR(__xludf.DUMMYFUNCTION("""COMPUTED_VALUE"""),"584🤙🏼Captain America: Civil War🤙🏼Robert Downey Jr.🤙🏼Estrela 3")</f>
        <v>584🤙🏼Captain America: Civil War🤙🏼Robert Downey Jr.🤙🏼Estrela 3</v>
      </c>
      <c r="H2336" s="5">
        <f>IFERROR(__xludf.DUMMYFUNCTION("SPLiT(G2336, ""🤙🏼"",FALSE,FALSE)"),584.0)</f>
        <v>584</v>
      </c>
      <c r="I2336" s="5" t="str">
        <f>IFERROR(__xludf.DUMMYFUNCTION("""COMPUTED_VALUE"""),"Captain America: Civil War")</f>
        <v>Captain America: Civil War</v>
      </c>
      <c r="J2336" s="5" t="str">
        <f>IFERROR(__xludf.DUMMYFUNCTION("""COMPUTED_VALUE"""),"Robert Downey Jr.")</f>
        <v>Robert Downey Jr.</v>
      </c>
      <c r="K2336" s="5" t="str">
        <f>IFERROR(__xludf.DUMMYFUNCTION("""COMPUTED_VALUE"""),"Estrela 3")</f>
        <v>Estrela 3</v>
      </c>
      <c r="P2336" s="5">
        <f>IFERROR(__xludf.DUMMYFUNCTION("""COMPUTED_VALUE"""),584.0)</f>
        <v>584</v>
      </c>
      <c r="Q2336" s="5" t="str">
        <f>IFERROR(__xludf.DUMMYFUNCTION("""COMPUTED_VALUE"""),"Captain America: Civil War")</f>
        <v>Captain America: Civil War</v>
      </c>
      <c r="R2336" s="5" t="str">
        <f>IFERROR(__xludf.DUMMYFUNCTION("""COMPUTED_VALUE"""),"Robert Downey Jr.")</f>
        <v>Robert Downey Jr.</v>
      </c>
      <c r="S2336" s="5" t="str">
        <f>IFERROR(__xludf.DUMMYFUNCTION("""COMPUTED_VALUE"""),"Estrela 3")</f>
        <v>Estrela 3</v>
      </c>
    </row>
    <row r="2337">
      <c r="G2337" s="5" t="str">
        <f>IFERROR(__xludf.DUMMYFUNCTION("""COMPUTED_VALUE"""),"584🤙🏼Captain America: Civil War🤙🏼Scarlett Johansson🤙🏼Estrela 4")</f>
        <v>584🤙🏼Captain America: Civil War🤙🏼Scarlett Johansson🤙🏼Estrela 4</v>
      </c>
      <c r="H2337" s="5">
        <f>IFERROR(__xludf.DUMMYFUNCTION("SPLiT(G2337, ""🤙🏼"",FALSE,FALSE)"),584.0)</f>
        <v>584</v>
      </c>
      <c r="I2337" s="5" t="str">
        <f>IFERROR(__xludf.DUMMYFUNCTION("""COMPUTED_VALUE"""),"Captain America: Civil War")</f>
        <v>Captain America: Civil War</v>
      </c>
      <c r="J2337" s="5" t="str">
        <f>IFERROR(__xludf.DUMMYFUNCTION("""COMPUTED_VALUE"""),"Scarlett Johansson")</f>
        <v>Scarlett Johansson</v>
      </c>
      <c r="K2337" s="5" t="str">
        <f>IFERROR(__xludf.DUMMYFUNCTION("""COMPUTED_VALUE"""),"Estrela 4")</f>
        <v>Estrela 4</v>
      </c>
      <c r="P2337" s="5">
        <f>IFERROR(__xludf.DUMMYFUNCTION("""COMPUTED_VALUE"""),584.0)</f>
        <v>584</v>
      </c>
      <c r="Q2337" s="5" t="str">
        <f>IFERROR(__xludf.DUMMYFUNCTION("""COMPUTED_VALUE"""),"Captain America: Civil War")</f>
        <v>Captain America: Civil War</v>
      </c>
      <c r="R2337" s="5" t="str">
        <f>IFERROR(__xludf.DUMMYFUNCTION("""COMPUTED_VALUE"""),"Scarlett Johansson")</f>
        <v>Scarlett Johansson</v>
      </c>
      <c r="S2337" s="5" t="str">
        <f>IFERROR(__xludf.DUMMYFUNCTION("""COMPUTED_VALUE"""),"Estrela 4")</f>
        <v>Estrela 4</v>
      </c>
    </row>
    <row r="2338">
      <c r="G2338" s="5" t="str">
        <f>IFERROR(__xludf.DUMMYFUNCTION("""COMPUTED_VALUE"""),"585🤙🏼The Hateful Eight🤙🏼Samuel L. Jackson🤙🏼Estrela 1")</f>
        <v>585🤙🏼The Hateful Eight🤙🏼Samuel L. Jackson🤙🏼Estrela 1</v>
      </c>
      <c r="H2338" s="5">
        <f>IFERROR(__xludf.DUMMYFUNCTION("SPLiT(G2338, ""🤙🏼"",FALSE,FALSE)"),585.0)</f>
        <v>585</v>
      </c>
      <c r="I2338" s="5" t="str">
        <f>IFERROR(__xludf.DUMMYFUNCTION("""COMPUTED_VALUE"""),"The Hateful Eight")</f>
        <v>The Hateful Eight</v>
      </c>
      <c r="J2338" s="5" t="str">
        <f>IFERROR(__xludf.DUMMYFUNCTION("""COMPUTED_VALUE"""),"Samuel L. Jackson")</f>
        <v>Samuel L. Jackson</v>
      </c>
      <c r="K2338" s="5" t="str">
        <f>IFERROR(__xludf.DUMMYFUNCTION("""COMPUTED_VALUE"""),"Estrela 1")</f>
        <v>Estrela 1</v>
      </c>
      <c r="P2338" s="5">
        <f>IFERROR(__xludf.DUMMYFUNCTION("""COMPUTED_VALUE"""),585.0)</f>
        <v>585</v>
      </c>
      <c r="Q2338" s="5" t="str">
        <f>IFERROR(__xludf.DUMMYFUNCTION("""COMPUTED_VALUE"""),"The Hateful Eight")</f>
        <v>The Hateful Eight</v>
      </c>
      <c r="R2338" s="5" t="str">
        <f>IFERROR(__xludf.DUMMYFUNCTION("""COMPUTED_VALUE"""),"Samuel L. Jackson")</f>
        <v>Samuel L. Jackson</v>
      </c>
      <c r="S2338" s="5" t="str">
        <f>IFERROR(__xludf.DUMMYFUNCTION("""COMPUTED_VALUE"""),"Estrela 1")</f>
        <v>Estrela 1</v>
      </c>
    </row>
    <row r="2339">
      <c r="G2339" s="5" t="str">
        <f>IFERROR(__xludf.DUMMYFUNCTION("""COMPUTED_VALUE"""),"585🤙🏼The Hateful Eight🤙🏼Kurt Russell🤙🏼Estrela 2")</f>
        <v>585🤙🏼The Hateful Eight🤙🏼Kurt Russell🤙🏼Estrela 2</v>
      </c>
      <c r="H2339" s="5">
        <f>IFERROR(__xludf.DUMMYFUNCTION("SPLiT(G2339, ""🤙🏼"",FALSE,FALSE)"),585.0)</f>
        <v>585</v>
      </c>
      <c r="I2339" s="5" t="str">
        <f>IFERROR(__xludf.DUMMYFUNCTION("""COMPUTED_VALUE"""),"The Hateful Eight")</f>
        <v>The Hateful Eight</v>
      </c>
      <c r="J2339" s="5" t="str">
        <f>IFERROR(__xludf.DUMMYFUNCTION("""COMPUTED_VALUE"""),"Kurt Russell")</f>
        <v>Kurt Russell</v>
      </c>
      <c r="K2339" s="5" t="str">
        <f>IFERROR(__xludf.DUMMYFUNCTION("""COMPUTED_VALUE"""),"Estrela 2")</f>
        <v>Estrela 2</v>
      </c>
      <c r="P2339" s="5">
        <f>IFERROR(__xludf.DUMMYFUNCTION("""COMPUTED_VALUE"""),585.0)</f>
        <v>585</v>
      </c>
      <c r="Q2339" s="5" t="str">
        <f>IFERROR(__xludf.DUMMYFUNCTION("""COMPUTED_VALUE"""),"The Hateful Eight")</f>
        <v>The Hateful Eight</v>
      </c>
      <c r="R2339" s="5" t="str">
        <f>IFERROR(__xludf.DUMMYFUNCTION("""COMPUTED_VALUE"""),"Kurt Russell")</f>
        <v>Kurt Russell</v>
      </c>
      <c r="S2339" s="5" t="str">
        <f>IFERROR(__xludf.DUMMYFUNCTION("""COMPUTED_VALUE"""),"Estrela 2")</f>
        <v>Estrela 2</v>
      </c>
    </row>
    <row r="2340">
      <c r="G2340" s="5" t="str">
        <f>IFERROR(__xludf.DUMMYFUNCTION("""COMPUTED_VALUE"""),"585🤙🏼The Hateful Eight🤙🏼Jennifer Jason Leigh🤙🏼Estrela 3")</f>
        <v>585🤙🏼The Hateful Eight🤙🏼Jennifer Jason Leigh🤙🏼Estrela 3</v>
      </c>
      <c r="H2340" s="5">
        <f>IFERROR(__xludf.DUMMYFUNCTION("SPLiT(G2340, ""🤙🏼"",FALSE,FALSE)"),585.0)</f>
        <v>585</v>
      </c>
      <c r="I2340" s="5" t="str">
        <f>IFERROR(__xludf.DUMMYFUNCTION("""COMPUTED_VALUE"""),"The Hateful Eight")</f>
        <v>The Hateful Eight</v>
      </c>
      <c r="J2340" s="5" t="str">
        <f>IFERROR(__xludf.DUMMYFUNCTION("""COMPUTED_VALUE"""),"Jennifer Jason Leigh")</f>
        <v>Jennifer Jason Leigh</v>
      </c>
      <c r="K2340" s="5" t="str">
        <f>IFERROR(__xludf.DUMMYFUNCTION("""COMPUTED_VALUE"""),"Estrela 3")</f>
        <v>Estrela 3</v>
      </c>
      <c r="P2340" s="5">
        <f>IFERROR(__xludf.DUMMYFUNCTION("""COMPUTED_VALUE"""),585.0)</f>
        <v>585</v>
      </c>
      <c r="Q2340" s="5" t="str">
        <f>IFERROR(__xludf.DUMMYFUNCTION("""COMPUTED_VALUE"""),"The Hateful Eight")</f>
        <v>The Hateful Eight</v>
      </c>
      <c r="R2340" s="5" t="str">
        <f>IFERROR(__xludf.DUMMYFUNCTION("""COMPUTED_VALUE"""),"Jennifer Jason Leigh")</f>
        <v>Jennifer Jason Leigh</v>
      </c>
      <c r="S2340" s="5" t="str">
        <f>IFERROR(__xludf.DUMMYFUNCTION("""COMPUTED_VALUE"""),"Estrela 3")</f>
        <v>Estrela 3</v>
      </c>
    </row>
    <row r="2341">
      <c r="G2341" s="5" t="str">
        <f>IFERROR(__xludf.DUMMYFUNCTION("""COMPUTED_VALUE"""),"585🤙🏼The Hateful Eight🤙🏼Walton Goggins🤙🏼Estrela 4")</f>
        <v>585🤙🏼The Hateful Eight🤙🏼Walton Goggins🤙🏼Estrela 4</v>
      </c>
      <c r="H2341" s="5">
        <f>IFERROR(__xludf.DUMMYFUNCTION("SPLiT(G2341, ""🤙🏼"",FALSE,FALSE)"),585.0)</f>
        <v>585</v>
      </c>
      <c r="I2341" s="5" t="str">
        <f>IFERROR(__xludf.DUMMYFUNCTION("""COMPUTED_VALUE"""),"The Hateful Eight")</f>
        <v>The Hateful Eight</v>
      </c>
      <c r="J2341" s="5" t="str">
        <f>IFERROR(__xludf.DUMMYFUNCTION("""COMPUTED_VALUE"""),"Walton Goggins")</f>
        <v>Walton Goggins</v>
      </c>
      <c r="K2341" s="5" t="str">
        <f>IFERROR(__xludf.DUMMYFUNCTION("""COMPUTED_VALUE"""),"Estrela 4")</f>
        <v>Estrela 4</v>
      </c>
      <c r="P2341" s="5">
        <f>IFERROR(__xludf.DUMMYFUNCTION("""COMPUTED_VALUE"""),585.0)</f>
        <v>585</v>
      </c>
      <c r="Q2341" s="5" t="str">
        <f>IFERROR(__xludf.DUMMYFUNCTION("""COMPUTED_VALUE"""),"The Hateful Eight")</f>
        <v>The Hateful Eight</v>
      </c>
      <c r="R2341" s="5" t="str">
        <f>IFERROR(__xludf.DUMMYFUNCTION("""COMPUTED_VALUE"""),"Walton Goggins")</f>
        <v>Walton Goggins</v>
      </c>
      <c r="S2341" s="5" t="str">
        <f>IFERROR(__xludf.DUMMYFUNCTION("""COMPUTED_VALUE"""),"Estrela 4")</f>
        <v>Estrela 4</v>
      </c>
    </row>
    <row r="2342">
      <c r="G2342" s="5" t="str">
        <f>IFERROR(__xludf.DUMMYFUNCTION("""COMPUTED_VALUE"""),"586🤙🏼Little Women🤙🏼Saoirse Ronan🤙🏼Estrela 1")</f>
        <v>586🤙🏼Little Women🤙🏼Saoirse Ronan🤙🏼Estrela 1</v>
      </c>
      <c r="H2342" s="5">
        <f>IFERROR(__xludf.DUMMYFUNCTION("SPLiT(G2342, ""🤙🏼"",FALSE,FALSE)"),586.0)</f>
        <v>586</v>
      </c>
      <c r="I2342" s="5" t="str">
        <f>IFERROR(__xludf.DUMMYFUNCTION("""COMPUTED_VALUE"""),"Little Women")</f>
        <v>Little Women</v>
      </c>
      <c r="J2342" s="5" t="str">
        <f>IFERROR(__xludf.DUMMYFUNCTION("""COMPUTED_VALUE"""),"Saoirse Ronan")</f>
        <v>Saoirse Ronan</v>
      </c>
      <c r="K2342" s="5" t="str">
        <f>IFERROR(__xludf.DUMMYFUNCTION("""COMPUTED_VALUE"""),"Estrela 1")</f>
        <v>Estrela 1</v>
      </c>
      <c r="P2342" s="5">
        <f>IFERROR(__xludf.DUMMYFUNCTION("""COMPUTED_VALUE"""),586.0)</f>
        <v>586</v>
      </c>
      <c r="Q2342" s="5" t="str">
        <f>IFERROR(__xludf.DUMMYFUNCTION("""COMPUTED_VALUE"""),"Little Women")</f>
        <v>Little Women</v>
      </c>
      <c r="R2342" s="5" t="str">
        <f>IFERROR(__xludf.DUMMYFUNCTION("""COMPUTED_VALUE"""),"Saoirse Ronan")</f>
        <v>Saoirse Ronan</v>
      </c>
      <c r="S2342" s="5" t="str">
        <f>IFERROR(__xludf.DUMMYFUNCTION("""COMPUTED_VALUE"""),"Estrela 1")</f>
        <v>Estrela 1</v>
      </c>
    </row>
    <row r="2343">
      <c r="G2343" s="5" t="str">
        <f>IFERROR(__xludf.DUMMYFUNCTION("""COMPUTED_VALUE"""),"586🤙🏼Little Women🤙🏼Emma Watson🤙🏼Estrela 2")</f>
        <v>586🤙🏼Little Women🤙🏼Emma Watson🤙🏼Estrela 2</v>
      </c>
      <c r="H2343" s="5">
        <f>IFERROR(__xludf.DUMMYFUNCTION("SPLiT(G2343, ""🤙🏼"",FALSE,FALSE)"),586.0)</f>
        <v>586</v>
      </c>
      <c r="I2343" s="5" t="str">
        <f>IFERROR(__xludf.DUMMYFUNCTION("""COMPUTED_VALUE"""),"Little Women")</f>
        <v>Little Women</v>
      </c>
      <c r="J2343" s="5" t="str">
        <f>IFERROR(__xludf.DUMMYFUNCTION("""COMPUTED_VALUE"""),"Emma Watson")</f>
        <v>Emma Watson</v>
      </c>
      <c r="K2343" s="5" t="str">
        <f>IFERROR(__xludf.DUMMYFUNCTION("""COMPUTED_VALUE"""),"Estrela 2")</f>
        <v>Estrela 2</v>
      </c>
      <c r="P2343" s="5">
        <f>IFERROR(__xludf.DUMMYFUNCTION("""COMPUTED_VALUE"""),586.0)</f>
        <v>586</v>
      </c>
      <c r="Q2343" s="5" t="str">
        <f>IFERROR(__xludf.DUMMYFUNCTION("""COMPUTED_VALUE"""),"Little Women")</f>
        <v>Little Women</v>
      </c>
      <c r="R2343" s="5" t="str">
        <f>IFERROR(__xludf.DUMMYFUNCTION("""COMPUTED_VALUE"""),"Emma Watson")</f>
        <v>Emma Watson</v>
      </c>
      <c r="S2343" s="5" t="str">
        <f>IFERROR(__xludf.DUMMYFUNCTION("""COMPUTED_VALUE"""),"Estrela 2")</f>
        <v>Estrela 2</v>
      </c>
    </row>
    <row r="2344">
      <c r="G2344" s="5" t="str">
        <f>IFERROR(__xludf.DUMMYFUNCTION("""COMPUTED_VALUE"""),"586🤙🏼Little Women🤙🏼Florence Pugh🤙🏼Estrela 3")</f>
        <v>586🤙🏼Little Women🤙🏼Florence Pugh🤙🏼Estrela 3</v>
      </c>
      <c r="H2344" s="5">
        <f>IFERROR(__xludf.DUMMYFUNCTION("SPLiT(G2344, ""🤙🏼"",FALSE,FALSE)"),586.0)</f>
        <v>586</v>
      </c>
      <c r="I2344" s="5" t="str">
        <f>IFERROR(__xludf.DUMMYFUNCTION("""COMPUTED_VALUE"""),"Little Women")</f>
        <v>Little Women</v>
      </c>
      <c r="J2344" s="5" t="str">
        <f>IFERROR(__xludf.DUMMYFUNCTION("""COMPUTED_VALUE"""),"Florence Pugh")</f>
        <v>Florence Pugh</v>
      </c>
      <c r="K2344" s="5" t="str">
        <f>IFERROR(__xludf.DUMMYFUNCTION("""COMPUTED_VALUE"""),"Estrela 3")</f>
        <v>Estrela 3</v>
      </c>
      <c r="P2344" s="5">
        <f>IFERROR(__xludf.DUMMYFUNCTION("""COMPUTED_VALUE"""),586.0)</f>
        <v>586</v>
      </c>
      <c r="Q2344" s="5" t="str">
        <f>IFERROR(__xludf.DUMMYFUNCTION("""COMPUTED_VALUE"""),"Little Women")</f>
        <v>Little Women</v>
      </c>
      <c r="R2344" s="5" t="str">
        <f>IFERROR(__xludf.DUMMYFUNCTION("""COMPUTED_VALUE"""),"Florence Pugh")</f>
        <v>Florence Pugh</v>
      </c>
      <c r="S2344" s="5" t="str">
        <f>IFERROR(__xludf.DUMMYFUNCTION("""COMPUTED_VALUE"""),"Estrela 3")</f>
        <v>Estrela 3</v>
      </c>
    </row>
    <row r="2345">
      <c r="G2345" s="5" t="str">
        <f>IFERROR(__xludf.DUMMYFUNCTION("""COMPUTED_VALUE"""),"586🤙🏼Little Women🤙🏼Eliza Scanlen🤙🏼Estrela 4")</f>
        <v>586🤙🏼Little Women🤙🏼Eliza Scanlen🤙🏼Estrela 4</v>
      </c>
      <c r="H2345" s="5">
        <f>IFERROR(__xludf.DUMMYFUNCTION("SPLiT(G2345, ""🤙🏼"",FALSE,FALSE)"),586.0)</f>
        <v>586</v>
      </c>
      <c r="I2345" s="5" t="str">
        <f>IFERROR(__xludf.DUMMYFUNCTION("""COMPUTED_VALUE"""),"Little Women")</f>
        <v>Little Women</v>
      </c>
      <c r="J2345" s="5" t="str">
        <f>IFERROR(__xludf.DUMMYFUNCTION("""COMPUTED_VALUE"""),"Eliza Scanlen")</f>
        <v>Eliza Scanlen</v>
      </c>
      <c r="K2345" s="5" t="str">
        <f>IFERROR(__xludf.DUMMYFUNCTION("""COMPUTED_VALUE"""),"Estrela 4")</f>
        <v>Estrela 4</v>
      </c>
      <c r="P2345" s="5">
        <f>IFERROR(__xludf.DUMMYFUNCTION("""COMPUTED_VALUE"""),586.0)</f>
        <v>586</v>
      </c>
      <c r="Q2345" s="5" t="str">
        <f>IFERROR(__xludf.DUMMYFUNCTION("""COMPUTED_VALUE"""),"Little Women")</f>
        <v>Little Women</v>
      </c>
      <c r="R2345" s="5" t="str">
        <f>IFERROR(__xludf.DUMMYFUNCTION("""COMPUTED_VALUE"""),"Eliza Scanlen")</f>
        <v>Eliza Scanlen</v>
      </c>
      <c r="S2345" s="5" t="str">
        <f>IFERROR(__xludf.DUMMYFUNCTION("""COMPUTED_VALUE"""),"Estrela 4")</f>
        <v>Estrela 4</v>
      </c>
    </row>
    <row r="2346">
      <c r="G2346" s="5" t="str">
        <f>IFERROR(__xludf.DUMMYFUNCTION("""COMPUTED_VALUE"""),"587🤙🏼Loving Vincent🤙🏼Hugh Welchman🤙🏼Estrela 1")</f>
        <v>587🤙🏼Loving Vincent🤙🏼Hugh Welchman🤙🏼Estrela 1</v>
      </c>
      <c r="H2346" s="5">
        <f>IFERROR(__xludf.DUMMYFUNCTION("SPLiT(G2346, ""🤙🏼"",FALSE,FALSE)"),587.0)</f>
        <v>587</v>
      </c>
      <c r="I2346" s="5" t="str">
        <f>IFERROR(__xludf.DUMMYFUNCTION("""COMPUTED_VALUE"""),"Loving Vincent")</f>
        <v>Loving Vincent</v>
      </c>
      <c r="J2346" s="5" t="str">
        <f>IFERROR(__xludf.DUMMYFUNCTION("""COMPUTED_VALUE"""),"Hugh Welchman")</f>
        <v>Hugh Welchman</v>
      </c>
      <c r="K2346" s="5" t="str">
        <f>IFERROR(__xludf.DUMMYFUNCTION("""COMPUTED_VALUE"""),"Estrela 1")</f>
        <v>Estrela 1</v>
      </c>
      <c r="P2346" s="5">
        <f>IFERROR(__xludf.DUMMYFUNCTION("""COMPUTED_VALUE"""),587.0)</f>
        <v>587</v>
      </c>
      <c r="Q2346" s="5" t="str">
        <f>IFERROR(__xludf.DUMMYFUNCTION("""COMPUTED_VALUE"""),"Loving Vincent")</f>
        <v>Loving Vincent</v>
      </c>
      <c r="R2346" s="5" t="str">
        <f>IFERROR(__xludf.DUMMYFUNCTION("""COMPUTED_VALUE"""),"Hugh Welchman")</f>
        <v>Hugh Welchman</v>
      </c>
      <c r="S2346" s="5" t="str">
        <f>IFERROR(__xludf.DUMMYFUNCTION("""COMPUTED_VALUE"""),"Estrela 1")</f>
        <v>Estrela 1</v>
      </c>
    </row>
    <row r="2347">
      <c r="G2347" s="5" t="str">
        <f>IFERROR(__xludf.DUMMYFUNCTION("""COMPUTED_VALUE"""),"587🤙🏼Loving Vincent🤙🏼Douglas Booth🤙🏼Estrela 2")</f>
        <v>587🤙🏼Loving Vincent🤙🏼Douglas Booth🤙🏼Estrela 2</v>
      </c>
      <c r="H2347" s="5">
        <f>IFERROR(__xludf.DUMMYFUNCTION("SPLiT(G2347, ""🤙🏼"",FALSE,FALSE)"),587.0)</f>
        <v>587</v>
      </c>
      <c r="I2347" s="5" t="str">
        <f>IFERROR(__xludf.DUMMYFUNCTION("""COMPUTED_VALUE"""),"Loving Vincent")</f>
        <v>Loving Vincent</v>
      </c>
      <c r="J2347" s="5" t="str">
        <f>IFERROR(__xludf.DUMMYFUNCTION("""COMPUTED_VALUE"""),"Douglas Booth")</f>
        <v>Douglas Booth</v>
      </c>
      <c r="K2347" s="5" t="str">
        <f>IFERROR(__xludf.DUMMYFUNCTION("""COMPUTED_VALUE"""),"Estrela 2")</f>
        <v>Estrela 2</v>
      </c>
      <c r="P2347" s="5">
        <f>IFERROR(__xludf.DUMMYFUNCTION("""COMPUTED_VALUE"""),587.0)</f>
        <v>587</v>
      </c>
      <c r="Q2347" s="5" t="str">
        <f>IFERROR(__xludf.DUMMYFUNCTION("""COMPUTED_VALUE"""),"Loving Vincent")</f>
        <v>Loving Vincent</v>
      </c>
      <c r="R2347" s="5" t="str">
        <f>IFERROR(__xludf.DUMMYFUNCTION("""COMPUTED_VALUE"""),"Douglas Booth")</f>
        <v>Douglas Booth</v>
      </c>
      <c r="S2347" s="5" t="str">
        <f>IFERROR(__xludf.DUMMYFUNCTION("""COMPUTED_VALUE"""),"Estrela 2")</f>
        <v>Estrela 2</v>
      </c>
    </row>
    <row r="2348">
      <c r="G2348" s="5" t="str">
        <f>IFERROR(__xludf.DUMMYFUNCTION("""COMPUTED_VALUE"""),"587🤙🏼Loving Vincent🤙🏼Jerome Flynn🤙🏼Estrela 3")</f>
        <v>587🤙🏼Loving Vincent🤙🏼Jerome Flynn🤙🏼Estrela 3</v>
      </c>
      <c r="H2348" s="5">
        <f>IFERROR(__xludf.DUMMYFUNCTION("SPLiT(G2348, ""🤙🏼"",FALSE,FALSE)"),587.0)</f>
        <v>587</v>
      </c>
      <c r="I2348" s="5" t="str">
        <f>IFERROR(__xludf.DUMMYFUNCTION("""COMPUTED_VALUE"""),"Loving Vincent")</f>
        <v>Loving Vincent</v>
      </c>
      <c r="J2348" s="5" t="str">
        <f>IFERROR(__xludf.DUMMYFUNCTION("""COMPUTED_VALUE"""),"Jerome Flynn")</f>
        <v>Jerome Flynn</v>
      </c>
      <c r="K2348" s="5" t="str">
        <f>IFERROR(__xludf.DUMMYFUNCTION("""COMPUTED_VALUE"""),"Estrela 3")</f>
        <v>Estrela 3</v>
      </c>
      <c r="P2348" s="5">
        <f>IFERROR(__xludf.DUMMYFUNCTION("""COMPUTED_VALUE"""),587.0)</f>
        <v>587</v>
      </c>
      <c r="Q2348" s="5" t="str">
        <f>IFERROR(__xludf.DUMMYFUNCTION("""COMPUTED_VALUE"""),"Loving Vincent")</f>
        <v>Loving Vincent</v>
      </c>
      <c r="R2348" s="5" t="str">
        <f>IFERROR(__xludf.DUMMYFUNCTION("""COMPUTED_VALUE"""),"Jerome Flynn")</f>
        <v>Jerome Flynn</v>
      </c>
      <c r="S2348" s="5" t="str">
        <f>IFERROR(__xludf.DUMMYFUNCTION("""COMPUTED_VALUE"""),"Estrela 3")</f>
        <v>Estrela 3</v>
      </c>
    </row>
    <row r="2349">
      <c r="G2349" s="5" t="str">
        <f>IFERROR(__xludf.DUMMYFUNCTION("""COMPUTED_VALUE"""),"587🤙🏼Loving Vincent🤙🏼Robert Gulaczyk🤙🏼Estrela 4")</f>
        <v>587🤙🏼Loving Vincent🤙🏼Robert Gulaczyk🤙🏼Estrela 4</v>
      </c>
      <c r="H2349" s="5">
        <f>IFERROR(__xludf.DUMMYFUNCTION("SPLiT(G2349, ""🤙🏼"",FALSE,FALSE)"),587.0)</f>
        <v>587</v>
      </c>
      <c r="I2349" s="5" t="str">
        <f>IFERROR(__xludf.DUMMYFUNCTION("""COMPUTED_VALUE"""),"Loving Vincent")</f>
        <v>Loving Vincent</v>
      </c>
      <c r="J2349" s="5" t="str">
        <f>IFERROR(__xludf.DUMMYFUNCTION("""COMPUTED_VALUE"""),"Robert Gulaczyk")</f>
        <v>Robert Gulaczyk</v>
      </c>
      <c r="K2349" s="5" t="str">
        <f>IFERROR(__xludf.DUMMYFUNCTION("""COMPUTED_VALUE"""),"Estrela 4")</f>
        <v>Estrela 4</v>
      </c>
      <c r="P2349" s="5">
        <f>IFERROR(__xludf.DUMMYFUNCTION("""COMPUTED_VALUE"""),587.0)</f>
        <v>587</v>
      </c>
      <c r="Q2349" s="5" t="str">
        <f>IFERROR(__xludf.DUMMYFUNCTION("""COMPUTED_VALUE"""),"Loving Vincent")</f>
        <v>Loving Vincent</v>
      </c>
      <c r="R2349" s="5" t="str">
        <f>IFERROR(__xludf.DUMMYFUNCTION("""COMPUTED_VALUE"""),"Robert Gulaczyk")</f>
        <v>Robert Gulaczyk</v>
      </c>
      <c r="S2349" s="5" t="str">
        <f>IFERROR(__xludf.DUMMYFUNCTION("""COMPUTED_VALUE"""),"Estrela 4")</f>
        <v>Estrela 4</v>
      </c>
    </row>
    <row r="2350">
      <c r="G2350" s="5" t="str">
        <f>IFERROR(__xludf.DUMMYFUNCTION("""COMPUTED_VALUE"""),"588🤙🏼Pride🤙🏼Bill Nighy🤙🏼Estrela 1")</f>
        <v>588🤙🏼Pride🤙🏼Bill Nighy🤙🏼Estrela 1</v>
      </c>
      <c r="H2350" s="5">
        <f>IFERROR(__xludf.DUMMYFUNCTION("SPLiT(G2350, ""🤙🏼"",FALSE,FALSE)"),588.0)</f>
        <v>588</v>
      </c>
      <c r="I2350" s="5" t="str">
        <f>IFERROR(__xludf.DUMMYFUNCTION("""COMPUTED_VALUE"""),"Pride")</f>
        <v>Pride</v>
      </c>
      <c r="J2350" s="5" t="str">
        <f>IFERROR(__xludf.DUMMYFUNCTION("""COMPUTED_VALUE"""),"Bill Nighy")</f>
        <v>Bill Nighy</v>
      </c>
      <c r="K2350" s="5" t="str">
        <f>IFERROR(__xludf.DUMMYFUNCTION("""COMPUTED_VALUE"""),"Estrela 1")</f>
        <v>Estrela 1</v>
      </c>
      <c r="P2350" s="5">
        <f>IFERROR(__xludf.DUMMYFUNCTION("""COMPUTED_VALUE"""),588.0)</f>
        <v>588</v>
      </c>
      <c r="Q2350" s="5" t="str">
        <f>IFERROR(__xludf.DUMMYFUNCTION("""COMPUTED_VALUE"""),"Pride")</f>
        <v>Pride</v>
      </c>
      <c r="R2350" s="5" t="str">
        <f>IFERROR(__xludf.DUMMYFUNCTION("""COMPUTED_VALUE"""),"Bill Nighy")</f>
        <v>Bill Nighy</v>
      </c>
      <c r="S2350" s="5" t="str">
        <f>IFERROR(__xludf.DUMMYFUNCTION("""COMPUTED_VALUE"""),"Estrela 1")</f>
        <v>Estrela 1</v>
      </c>
    </row>
    <row r="2351">
      <c r="G2351" s="5" t="str">
        <f>IFERROR(__xludf.DUMMYFUNCTION("""COMPUTED_VALUE"""),"588🤙🏼Pride🤙🏼Imelda Staunton🤙🏼Estrela 2")</f>
        <v>588🤙🏼Pride🤙🏼Imelda Staunton🤙🏼Estrela 2</v>
      </c>
      <c r="H2351" s="5">
        <f>IFERROR(__xludf.DUMMYFUNCTION("SPLiT(G2351, ""🤙🏼"",FALSE,FALSE)"),588.0)</f>
        <v>588</v>
      </c>
      <c r="I2351" s="5" t="str">
        <f>IFERROR(__xludf.DUMMYFUNCTION("""COMPUTED_VALUE"""),"Pride")</f>
        <v>Pride</v>
      </c>
      <c r="J2351" s="5" t="str">
        <f>IFERROR(__xludf.DUMMYFUNCTION("""COMPUTED_VALUE"""),"Imelda Staunton")</f>
        <v>Imelda Staunton</v>
      </c>
      <c r="K2351" s="5" t="str">
        <f>IFERROR(__xludf.DUMMYFUNCTION("""COMPUTED_VALUE"""),"Estrela 2")</f>
        <v>Estrela 2</v>
      </c>
      <c r="P2351" s="5">
        <f>IFERROR(__xludf.DUMMYFUNCTION("""COMPUTED_VALUE"""),588.0)</f>
        <v>588</v>
      </c>
      <c r="Q2351" s="5" t="str">
        <f>IFERROR(__xludf.DUMMYFUNCTION("""COMPUTED_VALUE"""),"Pride")</f>
        <v>Pride</v>
      </c>
      <c r="R2351" s="5" t="str">
        <f>IFERROR(__xludf.DUMMYFUNCTION("""COMPUTED_VALUE"""),"Imelda Staunton")</f>
        <v>Imelda Staunton</v>
      </c>
      <c r="S2351" s="5" t="str">
        <f>IFERROR(__xludf.DUMMYFUNCTION("""COMPUTED_VALUE"""),"Estrela 2")</f>
        <v>Estrela 2</v>
      </c>
    </row>
    <row r="2352">
      <c r="G2352" s="5" t="str">
        <f>IFERROR(__xludf.DUMMYFUNCTION("""COMPUTED_VALUE"""),"588🤙🏼Pride🤙🏼Dominic West🤙🏼Estrela 3")</f>
        <v>588🤙🏼Pride🤙🏼Dominic West🤙🏼Estrela 3</v>
      </c>
      <c r="H2352" s="5">
        <f>IFERROR(__xludf.DUMMYFUNCTION("SPLiT(G2352, ""🤙🏼"",FALSE,FALSE)"),588.0)</f>
        <v>588</v>
      </c>
      <c r="I2352" s="5" t="str">
        <f>IFERROR(__xludf.DUMMYFUNCTION("""COMPUTED_VALUE"""),"Pride")</f>
        <v>Pride</v>
      </c>
      <c r="J2352" s="5" t="str">
        <f>IFERROR(__xludf.DUMMYFUNCTION("""COMPUTED_VALUE"""),"Dominic West")</f>
        <v>Dominic West</v>
      </c>
      <c r="K2352" s="5" t="str">
        <f>IFERROR(__xludf.DUMMYFUNCTION("""COMPUTED_VALUE"""),"Estrela 3")</f>
        <v>Estrela 3</v>
      </c>
      <c r="P2352" s="5">
        <f>IFERROR(__xludf.DUMMYFUNCTION("""COMPUTED_VALUE"""),588.0)</f>
        <v>588</v>
      </c>
      <c r="Q2352" s="5" t="str">
        <f>IFERROR(__xludf.DUMMYFUNCTION("""COMPUTED_VALUE"""),"Pride")</f>
        <v>Pride</v>
      </c>
      <c r="R2352" s="5" t="str">
        <f>IFERROR(__xludf.DUMMYFUNCTION("""COMPUTED_VALUE"""),"Dominic West")</f>
        <v>Dominic West</v>
      </c>
      <c r="S2352" s="5" t="str">
        <f>IFERROR(__xludf.DUMMYFUNCTION("""COMPUTED_VALUE"""),"Estrela 3")</f>
        <v>Estrela 3</v>
      </c>
    </row>
    <row r="2353">
      <c r="G2353" s="5" t="str">
        <f>IFERROR(__xludf.DUMMYFUNCTION("""COMPUTED_VALUE"""),"588🤙🏼Pride🤙🏼Paddy Considine🤙🏼Estrela 4")</f>
        <v>588🤙🏼Pride🤙🏼Paddy Considine🤙🏼Estrela 4</v>
      </c>
      <c r="H2353" s="5">
        <f>IFERROR(__xludf.DUMMYFUNCTION("SPLiT(G2353, ""🤙🏼"",FALSE,FALSE)"),588.0)</f>
        <v>588</v>
      </c>
      <c r="I2353" s="5" t="str">
        <f>IFERROR(__xludf.DUMMYFUNCTION("""COMPUTED_VALUE"""),"Pride")</f>
        <v>Pride</v>
      </c>
      <c r="J2353" s="5" t="str">
        <f>IFERROR(__xludf.DUMMYFUNCTION("""COMPUTED_VALUE"""),"Paddy Considine")</f>
        <v>Paddy Considine</v>
      </c>
      <c r="K2353" s="5" t="str">
        <f>IFERROR(__xludf.DUMMYFUNCTION("""COMPUTED_VALUE"""),"Estrela 4")</f>
        <v>Estrela 4</v>
      </c>
      <c r="P2353" s="5">
        <f>IFERROR(__xludf.DUMMYFUNCTION("""COMPUTED_VALUE"""),588.0)</f>
        <v>588</v>
      </c>
      <c r="Q2353" s="5" t="str">
        <f>IFERROR(__xludf.DUMMYFUNCTION("""COMPUTED_VALUE"""),"Pride")</f>
        <v>Pride</v>
      </c>
      <c r="R2353" s="5" t="str">
        <f>IFERROR(__xludf.DUMMYFUNCTION("""COMPUTED_VALUE"""),"Paddy Considine")</f>
        <v>Paddy Considine</v>
      </c>
      <c r="S2353" s="5" t="str">
        <f>IFERROR(__xludf.DUMMYFUNCTION("""COMPUTED_VALUE"""),"Estrela 4")</f>
        <v>Estrela 4</v>
      </c>
    </row>
    <row r="2354">
      <c r="G2354" s="5" t="str">
        <f>IFERROR(__xludf.DUMMYFUNCTION("""COMPUTED_VALUE"""),"589🤙🏼Le passé🤙🏼Bérénice Bejo🤙🏼Estrela 1")</f>
        <v>589🤙🏼Le passé🤙🏼Bérénice Bejo🤙🏼Estrela 1</v>
      </c>
      <c r="H2354" s="5">
        <f>IFERROR(__xludf.DUMMYFUNCTION("SPLiT(G2354, ""🤙🏼"",FALSE,FALSE)"),589.0)</f>
        <v>589</v>
      </c>
      <c r="I2354" s="5" t="str">
        <f>IFERROR(__xludf.DUMMYFUNCTION("""COMPUTED_VALUE"""),"Le passé")</f>
        <v>Le passé</v>
      </c>
      <c r="J2354" s="5" t="str">
        <f>IFERROR(__xludf.DUMMYFUNCTION("""COMPUTED_VALUE"""),"Bérénice Bejo")</f>
        <v>Bérénice Bejo</v>
      </c>
      <c r="K2354" s="5" t="str">
        <f>IFERROR(__xludf.DUMMYFUNCTION("""COMPUTED_VALUE"""),"Estrela 1")</f>
        <v>Estrela 1</v>
      </c>
      <c r="P2354" s="5">
        <f>IFERROR(__xludf.DUMMYFUNCTION("""COMPUTED_VALUE"""),589.0)</f>
        <v>589</v>
      </c>
      <c r="Q2354" s="5" t="str">
        <f>IFERROR(__xludf.DUMMYFUNCTION("""COMPUTED_VALUE"""),"Le passé")</f>
        <v>Le passé</v>
      </c>
      <c r="R2354" s="5" t="str">
        <f>IFERROR(__xludf.DUMMYFUNCTION("""COMPUTED_VALUE"""),"Bérénice Bejo")</f>
        <v>Bérénice Bejo</v>
      </c>
      <c r="S2354" s="5" t="str">
        <f>IFERROR(__xludf.DUMMYFUNCTION("""COMPUTED_VALUE"""),"Estrela 1")</f>
        <v>Estrela 1</v>
      </c>
    </row>
    <row r="2355">
      <c r="G2355" s="5" t="str">
        <f>IFERROR(__xludf.DUMMYFUNCTION("""COMPUTED_VALUE"""),"589🤙🏼Le passé🤙🏼Tahar Rahim🤙🏼Estrela 2")</f>
        <v>589🤙🏼Le passé🤙🏼Tahar Rahim🤙🏼Estrela 2</v>
      </c>
      <c r="H2355" s="5">
        <f>IFERROR(__xludf.DUMMYFUNCTION("SPLiT(G2355, ""🤙🏼"",FALSE,FALSE)"),589.0)</f>
        <v>589</v>
      </c>
      <c r="I2355" s="5" t="str">
        <f>IFERROR(__xludf.DUMMYFUNCTION("""COMPUTED_VALUE"""),"Le passé")</f>
        <v>Le passé</v>
      </c>
      <c r="J2355" s="5" t="str">
        <f>IFERROR(__xludf.DUMMYFUNCTION("""COMPUTED_VALUE"""),"Tahar Rahim")</f>
        <v>Tahar Rahim</v>
      </c>
      <c r="K2355" s="5" t="str">
        <f>IFERROR(__xludf.DUMMYFUNCTION("""COMPUTED_VALUE"""),"Estrela 2")</f>
        <v>Estrela 2</v>
      </c>
      <c r="P2355" s="5">
        <f>IFERROR(__xludf.DUMMYFUNCTION("""COMPUTED_VALUE"""),589.0)</f>
        <v>589</v>
      </c>
      <c r="Q2355" s="5" t="str">
        <f>IFERROR(__xludf.DUMMYFUNCTION("""COMPUTED_VALUE"""),"Le passé")</f>
        <v>Le passé</v>
      </c>
      <c r="R2355" s="5" t="str">
        <f>IFERROR(__xludf.DUMMYFUNCTION("""COMPUTED_VALUE"""),"Tahar Rahim")</f>
        <v>Tahar Rahim</v>
      </c>
      <c r="S2355" s="5" t="str">
        <f>IFERROR(__xludf.DUMMYFUNCTION("""COMPUTED_VALUE"""),"Estrela 2")</f>
        <v>Estrela 2</v>
      </c>
    </row>
    <row r="2356">
      <c r="G2356" s="5" t="str">
        <f>IFERROR(__xludf.DUMMYFUNCTION("""COMPUTED_VALUE"""),"589🤙🏼Le passé🤙🏼Ali Mosaffa🤙🏼Estrela 3")</f>
        <v>589🤙🏼Le passé🤙🏼Ali Mosaffa🤙🏼Estrela 3</v>
      </c>
      <c r="H2356" s="5">
        <f>IFERROR(__xludf.DUMMYFUNCTION("SPLiT(G2356, ""🤙🏼"",FALSE,FALSE)"),589.0)</f>
        <v>589</v>
      </c>
      <c r="I2356" s="5" t="str">
        <f>IFERROR(__xludf.DUMMYFUNCTION("""COMPUTED_VALUE"""),"Le passé")</f>
        <v>Le passé</v>
      </c>
      <c r="J2356" s="5" t="str">
        <f>IFERROR(__xludf.DUMMYFUNCTION("""COMPUTED_VALUE"""),"Ali Mosaffa")</f>
        <v>Ali Mosaffa</v>
      </c>
      <c r="K2356" s="5" t="str">
        <f>IFERROR(__xludf.DUMMYFUNCTION("""COMPUTED_VALUE"""),"Estrela 3")</f>
        <v>Estrela 3</v>
      </c>
      <c r="P2356" s="5">
        <f>IFERROR(__xludf.DUMMYFUNCTION("""COMPUTED_VALUE"""),589.0)</f>
        <v>589</v>
      </c>
      <c r="Q2356" s="5" t="str">
        <f>IFERROR(__xludf.DUMMYFUNCTION("""COMPUTED_VALUE"""),"Le passé")</f>
        <v>Le passé</v>
      </c>
      <c r="R2356" s="5" t="str">
        <f>IFERROR(__xludf.DUMMYFUNCTION("""COMPUTED_VALUE"""),"Ali Mosaffa")</f>
        <v>Ali Mosaffa</v>
      </c>
      <c r="S2356" s="5" t="str">
        <f>IFERROR(__xludf.DUMMYFUNCTION("""COMPUTED_VALUE"""),"Estrela 3")</f>
        <v>Estrela 3</v>
      </c>
    </row>
    <row r="2357">
      <c r="G2357" s="5" t="str">
        <f>IFERROR(__xludf.DUMMYFUNCTION("""COMPUTED_VALUE"""),"589🤙🏼Le passé🤙🏼Pauline Burlet🤙🏼Estrela 4")</f>
        <v>589🤙🏼Le passé🤙🏼Pauline Burlet🤙🏼Estrela 4</v>
      </c>
      <c r="H2357" s="5">
        <f>IFERROR(__xludf.DUMMYFUNCTION("SPLiT(G2357, ""🤙🏼"",FALSE,FALSE)"),589.0)</f>
        <v>589</v>
      </c>
      <c r="I2357" s="5" t="str">
        <f>IFERROR(__xludf.DUMMYFUNCTION("""COMPUTED_VALUE"""),"Le passé")</f>
        <v>Le passé</v>
      </c>
      <c r="J2357" s="5" t="str">
        <f>IFERROR(__xludf.DUMMYFUNCTION("""COMPUTED_VALUE"""),"Pauline Burlet")</f>
        <v>Pauline Burlet</v>
      </c>
      <c r="K2357" s="5" t="str">
        <f>IFERROR(__xludf.DUMMYFUNCTION("""COMPUTED_VALUE"""),"Estrela 4")</f>
        <v>Estrela 4</v>
      </c>
      <c r="P2357" s="5">
        <f>IFERROR(__xludf.DUMMYFUNCTION("""COMPUTED_VALUE"""),589.0)</f>
        <v>589</v>
      </c>
      <c r="Q2357" s="5" t="str">
        <f>IFERROR(__xludf.DUMMYFUNCTION("""COMPUTED_VALUE"""),"Le passé")</f>
        <v>Le passé</v>
      </c>
      <c r="R2357" s="5" t="str">
        <f>IFERROR(__xludf.DUMMYFUNCTION("""COMPUTED_VALUE"""),"Pauline Burlet")</f>
        <v>Pauline Burlet</v>
      </c>
      <c r="S2357" s="5" t="str">
        <f>IFERROR(__xludf.DUMMYFUNCTION("""COMPUTED_VALUE"""),"Estrela 4")</f>
        <v>Estrela 4</v>
      </c>
    </row>
    <row r="2358">
      <c r="G2358" s="5" t="str">
        <f>IFERROR(__xludf.DUMMYFUNCTION("""COMPUTED_VALUE"""),"590🤙🏼La grande bellezza🤙🏼Toni Servillo🤙🏼Estrela 1")</f>
        <v>590🤙🏼La grande bellezza🤙🏼Toni Servillo🤙🏼Estrela 1</v>
      </c>
      <c r="H2358" s="5">
        <f>IFERROR(__xludf.DUMMYFUNCTION("SPLiT(G2358, ""🤙🏼"",FALSE,FALSE)"),590.0)</f>
        <v>590</v>
      </c>
      <c r="I2358" s="5" t="str">
        <f>IFERROR(__xludf.DUMMYFUNCTION("""COMPUTED_VALUE"""),"La grande bellezza")</f>
        <v>La grande bellezza</v>
      </c>
      <c r="J2358" s="5" t="str">
        <f>IFERROR(__xludf.DUMMYFUNCTION("""COMPUTED_VALUE"""),"Toni Servillo")</f>
        <v>Toni Servillo</v>
      </c>
      <c r="K2358" s="5" t="str">
        <f>IFERROR(__xludf.DUMMYFUNCTION("""COMPUTED_VALUE"""),"Estrela 1")</f>
        <v>Estrela 1</v>
      </c>
      <c r="P2358" s="5">
        <f>IFERROR(__xludf.DUMMYFUNCTION("""COMPUTED_VALUE"""),590.0)</f>
        <v>590</v>
      </c>
      <c r="Q2358" s="5" t="str">
        <f>IFERROR(__xludf.DUMMYFUNCTION("""COMPUTED_VALUE"""),"La grande bellezza")</f>
        <v>La grande bellezza</v>
      </c>
      <c r="R2358" s="5" t="str">
        <f>IFERROR(__xludf.DUMMYFUNCTION("""COMPUTED_VALUE"""),"Toni Servillo")</f>
        <v>Toni Servillo</v>
      </c>
      <c r="S2358" s="5" t="str">
        <f>IFERROR(__xludf.DUMMYFUNCTION("""COMPUTED_VALUE"""),"Estrela 1")</f>
        <v>Estrela 1</v>
      </c>
    </row>
    <row r="2359">
      <c r="G2359" s="5" t="str">
        <f>IFERROR(__xludf.DUMMYFUNCTION("""COMPUTED_VALUE"""),"590🤙🏼La grande bellezza🤙🏼Carlo Verdone🤙🏼Estrela 2")</f>
        <v>590🤙🏼La grande bellezza🤙🏼Carlo Verdone🤙🏼Estrela 2</v>
      </c>
      <c r="H2359" s="5">
        <f>IFERROR(__xludf.DUMMYFUNCTION("SPLiT(G2359, ""🤙🏼"",FALSE,FALSE)"),590.0)</f>
        <v>590</v>
      </c>
      <c r="I2359" s="5" t="str">
        <f>IFERROR(__xludf.DUMMYFUNCTION("""COMPUTED_VALUE"""),"La grande bellezza")</f>
        <v>La grande bellezza</v>
      </c>
      <c r="J2359" s="5" t="str">
        <f>IFERROR(__xludf.DUMMYFUNCTION("""COMPUTED_VALUE"""),"Carlo Verdone")</f>
        <v>Carlo Verdone</v>
      </c>
      <c r="K2359" s="5" t="str">
        <f>IFERROR(__xludf.DUMMYFUNCTION("""COMPUTED_VALUE"""),"Estrela 2")</f>
        <v>Estrela 2</v>
      </c>
      <c r="P2359" s="5">
        <f>IFERROR(__xludf.DUMMYFUNCTION("""COMPUTED_VALUE"""),590.0)</f>
        <v>590</v>
      </c>
      <c r="Q2359" s="5" t="str">
        <f>IFERROR(__xludf.DUMMYFUNCTION("""COMPUTED_VALUE"""),"La grande bellezza")</f>
        <v>La grande bellezza</v>
      </c>
      <c r="R2359" s="5" t="str">
        <f>IFERROR(__xludf.DUMMYFUNCTION("""COMPUTED_VALUE"""),"Carlo Verdone")</f>
        <v>Carlo Verdone</v>
      </c>
      <c r="S2359" s="5" t="str">
        <f>IFERROR(__xludf.DUMMYFUNCTION("""COMPUTED_VALUE"""),"Estrela 2")</f>
        <v>Estrela 2</v>
      </c>
    </row>
    <row r="2360">
      <c r="G2360" s="5" t="str">
        <f>IFERROR(__xludf.DUMMYFUNCTION("""COMPUTED_VALUE"""),"590🤙🏼La grande bellezza🤙🏼Sabrina Ferilli🤙🏼Estrela 3")</f>
        <v>590🤙🏼La grande bellezza🤙🏼Sabrina Ferilli🤙🏼Estrela 3</v>
      </c>
      <c r="H2360" s="5">
        <f>IFERROR(__xludf.DUMMYFUNCTION("SPLiT(G2360, ""🤙🏼"",FALSE,FALSE)"),590.0)</f>
        <v>590</v>
      </c>
      <c r="I2360" s="5" t="str">
        <f>IFERROR(__xludf.DUMMYFUNCTION("""COMPUTED_VALUE"""),"La grande bellezza")</f>
        <v>La grande bellezza</v>
      </c>
      <c r="J2360" s="5" t="str">
        <f>IFERROR(__xludf.DUMMYFUNCTION("""COMPUTED_VALUE"""),"Sabrina Ferilli")</f>
        <v>Sabrina Ferilli</v>
      </c>
      <c r="K2360" s="5" t="str">
        <f>IFERROR(__xludf.DUMMYFUNCTION("""COMPUTED_VALUE"""),"Estrela 3")</f>
        <v>Estrela 3</v>
      </c>
      <c r="P2360" s="5">
        <f>IFERROR(__xludf.DUMMYFUNCTION("""COMPUTED_VALUE"""),590.0)</f>
        <v>590</v>
      </c>
      <c r="Q2360" s="5" t="str">
        <f>IFERROR(__xludf.DUMMYFUNCTION("""COMPUTED_VALUE"""),"La grande bellezza")</f>
        <v>La grande bellezza</v>
      </c>
      <c r="R2360" s="5" t="str">
        <f>IFERROR(__xludf.DUMMYFUNCTION("""COMPUTED_VALUE"""),"Sabrina Ferilli")</f>
        <v>Sabrina Ferilli</v>
      </c>
      <c r="S2360" s="5" t="str">
        <f>IFERROR(__xludf.DUMMYFUNCTION("""COMPUTED_VALUE"""),"Estrela 3")</f>
        <v>Estrela 3</v>
      </c>
    </row>
    <row r="2361">
      <c r="G2361" s="5" t="str">
        <f>IFERROR(__xludf.DUMMYFUNCTION("""COMPUTED_VALUE"""),"590🤙🏼La grande bellezza🤙🏼Carlo Buccirosso🤙🏼Estrela 4")</f>
        <v>590🤙🏼La grande bellezza🤙🏼Carlo Buccirosso🤙🏼Estrela 4</v>
      </c>
      <c r="H2361" s="5">
        <f>IFERROR(__xludf.DUMMYFUNCTION("SPLiT(G2361, ""🤙🏼"",FALSE,FALSE)"),590.0)</f>
        <v>590</v>
      </c>
      <c r="I2361" s="5" t="str">
        <f>IFERROR(__xludf.DUMMYFUNCTION("""COMPUTED_VALUE"""),"La grande bellezza")</f>
        <v>La grande bellezza</v>
      </c>
      <c r="J2361" s="5" t="str">
        <f>IFERROR(__xludf.DUMMYFUNCTION("""COMPUTED_VALUE"""),"Carlo Buccirosso")</f>
        <v>Carlo Buccirosso</v>
      </c>
      <c r="K2361" s="5" t="str">
        <f>IFERROR(__xludf.DUMMYFUNCTION("""COMPUTED_VALUE"""),"Estrela 4")</f>
        <v>Estrela 4</v>
      </c>
      <c r="P2361" s="5">
        <f>IFERROR(__xludf.DUMMYFUNCTION("""COMPUTED_VALUE"""),590.0)</f>
        <v>590</v>
      </c>
      <c r="Q2361" s="5" t="str">
        <f>IFERROR(__xludf.DUMMYFUNCTION("""COMPUTED_VALUE"""),"La grande bellezza")</f>
        <v>La grande bellezza</v>
      </c>
      <c r="R2361" s="5" t="str">
        <f>IFERROR(__xludf.DUMMYFUNCTION("""COMPUTED_VALUE"""),"Carlo Buccirosso")</f>
        <v>Carlo Buccirosso</v>
      </c>
      <c r="S2361" s="5" t="str">
        <f>IFERROR(__xludf.DUMMYFUNCTION("""COMPUTED_VALUE"""),"Estrela 4")</f>
        <v>Estrela 4</v>
      </c>
    </row>
    <row r="2362">
      <c r="G2362" s="5" t="str">
        <f>IFERROR(__xludf.DUMMYFUNCTION("""COMPUTED_VALUE"""),"591🤙🏼The Lunchbox🤙🏼Irrfan Khan🤙🏼Estrela 1")</f>
        <v>591🤙🏼The Lunchbox🤙🏼Irrfan Khan🤙🏼Estrela 1</v>
      </c>
      <c r="H2362" s="5">
        <f>IFERROR(__xludf.DUMMYFUNCTION("SPLiT(G2362, ""🤙🏼"",FALSE,FALSE)"),591.0)</f>
        <v>591</v>
      </c>
      <c r="I2362" s="5" t="str">
        <f>IFERROR(__xludf.DUMMYFUNCTION("""COMPUTED_VALUE"""),"The Lunchbox")</f>
        <v>The Lunchbox</v>
      </c>
      <c r="J2362" s="5" t="str">
        <f>IFERROR(__xludf.DUMMYFUNCTION("""COMPUTED_VALUE"""),"Irrfan Khan")</f>
        <v>Irrfan Khan</v>
      </c>
      <c r="K2362" s="5" t="str">
        <f>IFERROR(__xludf.DUMMYFUNCTION("""COMPUTED_VALUE"""),"Estrela 1")</f>
        <v>Estrela 1</v>
      </c>
      <c r="P2362" s="5">
        <f>IFERROR(__xludf.DUMMYFUNCTION("""COMPUTED_VALUE"""),591.0)</f>
        <v>591</v>
      </c>
      <c r="Q2362" s="5" t="str">
        <f>IFERROR(__xludf.DUMMYFUNCTION("""COMPUTED_VALUE"""),"The Lunchbox")</f>
        <v>The Lunchbox</v>
      </c>
      <c r="R2362" s="5" t="str">
        <f>IFERROR(__xludf.DUMMYFUNCTION("""COMPUTED_VALUE"""),"Irrfan Khan")</f>
        <v>Irrfan Khan</v>
      </c>
      <c r="S2362" s="5" t="str">
        <f>IFERROR(__xludf.DUMMYFUNCTION("""COMPUTED_VALUE"""),"Estrela 1")</f>
        <v>Estrela 1</v>
      </c>
    </row>
    <row r="2363">
      <c r="G2363" s="5" t="str">
        <f>IFERROR(__xludf.DUMMYFUNCTION("""COMPUTED_VALUE"""),"591🤙🏼The Lunchbox🤙🏼Nimrat Kaur🤙🏼Estrela 2")</f>
        <v>591🤙🏼The Lunchbox🤙🏼Nimrat Kaur🤙🏼Estrela 2</v>
      </c>
      <c r="H2363" s="5">
        <f>IFERROR(__xludf.DUMMYFUNCTION("SPLiT(G2363, ""🤙🏼"",FALSE,FALSE)"),591.0)</f>
        <v>591</v>
      </c>
      <c r="I2363" s="5" t="str">
        <f>IFERROR(__xludf.DUMMYFUNCTION("""COMPUTED_VALUE"""),"The Lunchbox")</f>
        <v>The Lunchbox</v>
      </c>
      <c r="J2363" s="5" t="str">
        <f>IFERROR(__xludf.DUMMYFUNCTION("""COMPUTED_VALUE"""),"Nimrat Kaur")</f>
        <v>Nimrat Kaur</v>
      </c>
      <c r="K2363" s="5" t="str">
        <f>IFERROR(__xludf.DUMMYFUNCTION("""COMPUTED_VALUE"""),"Estrela 2")</f>
        <v>Estrela 2</v>
      </c>
      <c r="P2363" s="5">
        <f>IFERROR(__xludf.DUMMYFUNCTION("""COMPUTED_VALUE"""),591.0)</f>
        <v>591</v>
      </c>
      <c r="Q2363" s="5" t="str">
        <f>IFERROR(__xludf.DUMMYFUNCTION("""COMPUTED_VALUE"""),"The Lunchbox")</f>
        <v>The Lunchbox</v>
      </c>
      <c r="R2363" s="5" t="str">
        <f>IFERROR(__xludf.DUMMYFUNCTION("""COMPUTED_VALUE"""),"Nimrat Kaur")</f>
        <v>Nimrat Kaur</v>
      </c>
      <c r="S2363" s="5" t="str">
        <f>IFERROR(__xludf.DUMMYFUNCTION("""COMPUTED_VALUE"""),"Estrela 2")</f>
        <v>Estrela 2</v>
      </c>
    </row>
    <row r="2364">
      <c r="G2364" s="5" t="str">
        <f>IFERROR(__xludf.DUMMYFUNCTION("""COMPUTED_VALUE"""),"591🤙🏼The Lunchbox🤙🏼Nawazuddin Siddiqui🤙🏼Estrela 3")</f>
        <v>591🤙🏼The Lunchbox🤙🏼Nawazuddin Siddiqui🤙🏼Estrela 3</v>
      </c>
      <c r="H2364" s="5">
        <f>IFERROR(__xludf.DUMMYFUNCTION("SPLiT(G2364, ""🤙🏼"",FALSE,FALSE)"),591.0)</f>
        <v>591</v>
      </c>
      <c r="I2364" s="5" t="str">
        <f>IFERROR(__xludf.DUMMYFUNCTION("""COMPUTED_VALUE"""),"The Lunchbox")</f>
        <v>The Lunchbox</v>
      </c>
      <c r="J2364" s="5" t="str">
        <f>IFERROR(__xludf.DUMMYFUNCTION("""COMPUTED_VALUE"""),"Nawazuddin Siddiqui")</f>
        <v>Nawazuddin Siddiqui</v>
      </c>
      <c r="K2364" s="5" t="str">
        <f>IFERROR(__xludf.DUMMYFUNCTION("""COMPUTED_VALUE"""),"Estrela 3")</f>
        <v>Estrela 3</v>
      </c>
      <c r="P2364" s="5">
        <f>IFERROR(__xludf.DUMMYFUNCTION("""COMPUTED_VALUE"""),591.0)</f>
        <v>591</v>
      </c>
      <c r="Q2364" s="5" t="str">
        <f>IFERROR(__xludf.DUMMYFUNCTION("""COMPUTED_VALUE"""),"The Lunchbox")</f>
        <v>The Lunchbox</v>
      </c>
      <c r="R2364" s="5" t="str">
        <f>IFERROR(__xludf.DUMMYFUNCTION("""COMPUTED_VALUE"""),"Nawazuddin Siddiqui")</f>
        <v>Nawazuddin Siddiqui</v>
      </c>
      <c r="S2364" s="5" t="str">
        <f>IFERROR(__xludf.DUMMYFUNCTION("""COMPUTED_VALUE"""),"Estrela 3")</f>
        <v>Estrela 3</v>
      </c>
    </row>
    <row r="2365">
      <c r="G2365" s="5" t="str">
        <f>IFERROR(__xludf.DUMMYFUNCTION("""COMPUTED_VALUE"""),"591🤙🏼The Lunchbox🤙🏼Lillete Dubey🤙🏼Estrela 4")</f>
        <v>591🤙🏼The Lunchbox🤙🏼Lillete Dubey🤙🏼Estrela 4</v>
      </c>
      <c r="H2365" s="5">
        <f>IFERROR(__xludf.DUMMYFUNCTION("SPLiT(G2365, ""🤙🏼"",FALSE,FALSE)"),591.0)</f>
        <v>591</v>
      </c>
      <c r="I2365" s="5" t="str">
        <f>IFERROR(__xludf.DUMMYFUNCTION("""COMPUTED_VALUE"""),"The Lunchbox")</f>
        <v>The Lunchbox</v>
      </c>
      <c r="J2365" s="5" t="str">
        <f>IFERROR(__xludf.DUMMYFUNCTION("""COMPUTED_VALUE"""),"Lillete Dubey")</f>
        <v>Lillete Dubey</v>
      </c>
      <c r="K2365" s="5" t="str">
        <f>IFERROR(__xludf.DUMMYFUNCTION("""COMPUTED_VALUE"""),"Estrela 4")</f>
        <v>Estrela 4</v>
      </c>
      <c r="P2365" s="5">
        <f>IFERROR(__xludf.DUMMYFUNCTION("""COMPUTED_VALUE"""),591.0)</f>
        <v>591</v>
      </c>
      <c r="Q2365" s="5" t="str">
        <f>IFERROR(__xludf.DUMMYFUNCTION("""COMPUTED_VALUE"""),"The Lunchbox")</f>
        <v>The Lunchbox</v>
      </c>
      <c r="R2365" s="5" t="str">
        <f>IFERROR(__xludf.DUMMYFUNCTION("""COMPUTED_VALUE"""),"Lillete Dubey")</f>
        <v>Lillete Dubey</v>
      </c>
      <c r="S2365" s="5" t="str">
        <f>IFERROR(__xludf.DUMMYFUNCTION("""COMPUTED_VALUE"""),"Estrela 4")</f>
        <v>Estrela 4</v>
      </c>
    </row>
    <row r="2366">
      <c r="G2366" s="5" t="str">
        <f>IFERROR(__xludf.DUMMYFUNCTION("""COMPUTED_VALUE"""),"592🤙🏼Vicky Donor🤙🏼Ayushmann Khurrana🤙🏼Estrela 1")</f>
        <v>592🤙🏼Vicky Donor🤙🏼Ayushmann Khurrana🤙🏼Estrela 1</v>
      </c>
      <c r="H2366" s="5">
        <f>IFERROR(__xludf.DUMMYFUNCTION("SPLiT(G2366, ""🤙🏼"",FALSE,FALSE)"),592.0)</f>
        <v>592</v>
      </c>
      <c r="I2366" s="5" t="str">
        <f>IFERROR(__xludf.DUMMYFUNCTION("""COMPUTED_VALUE"""),"Vicky Donor")</f>
        <v>Vicky Donor</v>
      </c>
      <c r="J2366" s="5" t="str">
        <f>IFERROR(__xludf.DUMMYFUNCTION("""COMPUTED_VALUE"""),"Ayushmann Khurrana")</f>
        <v>Ayushmann Khurrana</v>
      </c>
      <c r="K2366" s="5" t="str">
        <f>IFERROR(__xludf.DUMMYFUNCTION("""COMPUTED_VALUE"""),"Estrela 1")</f>
        <v>Estrela 1</v>
      </c>
      <c r="P2366" s="5">
        <f>IFERROR(__xludf.DUMMYFUNCTION("""COMPUTED_VALUE"""),592.0)</f>
        <v>592</v>
      </c>
      <c r="Q2366" s="5" t="str">
        <f>IFERROR(__xludf.DUMMYFUNCTION("""COMPUTED_VALUE"""),"Vicky Donor")</f>
        <v>Vicky Donor</v>
      </c>
      <c r="R2366" s="5" t="str">
        <f>IFERROR(__xludf.DUMMYFUNCTION("""COMPUTED_VALUE"""),"Ayushmann Khurrana")</f>
        <v>Ayushmann Khurrana</v>
      </c>
      <c r="S2366" s="5" t="str">
        <f>IFERROR(__xludf.DUMMYFUNCTION("""COMPUTED_VALUE"""),"Estrela 1")</f>
        <v>Estrela 1</v>
      </c>
    </row>
    <row r="2367">
      <c r="G2367" s="5" t="str">
        <f>IFERROR(__xludf.DUMMYFUNCTION("""COMPUTED_VALUE"""),"592🤙🏼Vicky Donor🤙🏼Yami Gautam🤙🏼Estrela 2")</f>
        <v>592🤙🏼Vicky Donor🤙🏼Yami Gautam🤙🏼Estrela 2</v>
      </c>
      <c r="H2367" s="5">
        <f>IFERROR(__xludf.DUMMYFUNCTION("SPLiT(G2367, ""🤙🏼"",FALSE,FALSE)"),592.0)</f>
        <v>592</v>
      </c>
      <c r="I2367" s="5" t="str">
        <f>IFERROR(__xludf.DUMMYFUNCTION("""COMPUTED_VALUE"""),"Vicky Donor")</f>
        <v>Vicky Donor</v>
      </c>
      <c r="J2367" s="5" t="str">
        <f>IFERROR(__xludf.DUMMYFUNCTION("""COMPUTED_VALUE"""),"Yami Gautam")</f>
        <v>Yami Gautam</v>
      </c>
      <c r="K2367" s="5" t="str">
        <f>IFERROR(__xludf.DUMMYFUNCTION("""COMPUTED_VALUE"""),"Estrela 2")</f>
        <v>Estrela 2</v>
      </c>
      <c r="P2367" s="5">
        <f>IFERROR(__xludf.DUMMYFUNCTION("""COMPUTED_VALUE"""),592.0)</f>
        <v>592</v>
      </c>
      <c r="Q2367" s="5" t="str">
        <f>IFERROR(__xludf.DUMMYFUNCTION("""COMPUTED_VALUE"""),"Vicky Donor")</f>
        <v>Vicky Donor</v>
      </c>
      <c r="R2367" s="5" t="str">
        <f>IFERROR(__xludf.DUMMYFUNCTION("""COMPUTED_VALUE"""),"Yami Gautam")</f>
        <v>Yami Gautam</v>
      </c>
      <c r="S2367" s="5" t="str">
        <f>IFERROR(__xludf.DUMMYFUNCTION("""COMPUTED_VALUE"""),"Estrela 2")</f>
        <v>Estrela 2</v>
      </c>
    </row>
    <row r="2368">
      <c r="G2368" s="5" t="str">
        <f>IFERROR(__xludf.DUMMYFUNCTION("""COMPUTED_VALUE"""),"592🤙🏼Vicky Donor🤙🏼Annu Kapoor🤙🏼Estrela 3")</f>
        <v>592🤙🏼Vicky Donor🤙🏼Annu Kapoor🤙🏼Estrela 3</v>
      </c>
      <c r="H2368" s="5">
        <f>IFERROR(__xludf.DUMMYFUNCTION("SPLiT(G2368, ""🤙🏼"",FALSE,FALSE)"),592.0)</f>
        <v>592</v>
      </c>
      <c r="I2368" s="5" t="str">
        <f>IFERROR(__xludf.DUMMYFUNCTION("""COMPUTED_VALUE"""),"Vicky Donor")</f>
        <v>Vicky Donor</v>
      </c>
      <c r="J2368" s="5" t="str">
        <f>IFERROR(__xludf.DUMMYFUNCTION("""COMPUTED_VALUE"""),"Annu Kapoor")</f>
        <v>Annu Kapoor</v>
      </c>
      <c r="K2368" s="5" t="str">
        <f>IFERROR(__xludf.DUMMYFUNCTION("""COMPUTED_VALUE"""),"Estrela 3")</f>
        <v>Estrela 3</v>
      </c>
      <c r="P2368" s="5">
        <f>IFERROR(__xludf.DUMMYFUNCTION("""COMPUTED_VALUE"""),592.0)</f>
        <v>592</v>
      </c>
      <c r="Q2368" s="5" t="str">
        <f>IFERROR(__xludf.DUMMYFUNCTION("""COMPUTED_VALUE"""),"Vicky Donor")</f>
        <v>Vicky Donor</v>
      </c>
      <c r="R2368" s="5" t="str">
        <f>IFERROR(__xludf.DUMMYFUNCTION("""COMPUTED_VALUE"""),"Annu Kapoor")</f>
        <v>Annu Kapoor</v>
      </c>
      <c r="S2368" s="5" t="str">
        <f>IFERROR(__xludf.DUMMYFUNCTION("""COMPUTED_VALUE"""),"Estrela 3")</f>
        <v>Estrela 3</v>
      </c>
    </row>
    <row r="2369">
      <c r="G2369" s="5" t="str">
        <f>IFERROR(__xludf.DUMMYFUNCTION("""COMPUTED_VALUE"""),"592🤙🏼Vicky Donor🤙🏼Dolly Ahluwalia🤙🏼Estrela 4")</f>
        <v>592🤙🏼Vicky Donor🤙🏼Dolly Ahluwalia🤙🏼Estrela 4</v>
      </c>
      <c r="H2369" s="5">
        <f>IFERROR(__xludf.DUMMYFUNCTION("SPLiT(G2369, ""🤙🏼"",FALSE,FALSE)"),592.0)</f>
        <v>592</v>
      </c>
      <c r="I2369" s="5" t="str">
        <f>IFERROR(__xludf.DUMMYFUNCTION("""COMPUTED_VALUE"""),"Vicky Donor")</f>
        <v>Vicky Donor</v>
      </c>
      <c r="J2369" s="5" t="str">
        <f>IFERROR(__xludf.DUMMYFUNCTION("""COMPUTED_VALUE"""),"Dolly Ahluwalia")</f>
        <v>Dolly Ahluwalia</v>
      </c>
      <c r="K2369" s="5" t="str">
        <f>IFERROR(__xludf.DUMMYFUNCTION("""COMPUTED_VALUE"""),"Estrela 4")</f>
        <v>Estrela 4</v>
      </c>
      <c r="P2369" s="5">
        <f>IFERROR(__xludf.DUMMYFUNCTION("""COMPUTED_VALUE"""),592.0)</f>
        <v>592</v>
      </c>
      <c r="Q2369" s="5" t="str">
        <f>IFERROR(__xludf.DUMMYFUNCTION("""COMPUTED_VALUE"""),"Vicky Donor")</f>
        <v>Vicky Donor</v>
      </c>
      <c r="R2369" s="5" t="str">
        <f>IFERROR(__xludf.DUMMYFUNCTION("""COMPUTED_VALUE"""),"Dolly Ahluwalia")</f>
        <v>Dolly Ahluwalia</v>
      </c>
      <c r="S2369" s="5" t="str">
        <f>IFERROR(__xludf.DUMMYFUNCTION("""COMPUTED_VALUE"""),"Estrela 4")</f>
        <v>Estrela 4</v>
      </c>
    </row>
    <row r="2370">
      <c r="G2370" s="5" t="str">
        <f>IFERROR(__xludf.DUMMYFUNCTION("""COMPUTED_VALUE"""),"593🤙🏼Big Hero 6🤙🏼Chris Williams🤙🏼Estrela 1")</f>
        <v>593🤙🏼Big Hero 6🤙🏼Chris Williams🤙🏼Estrela 1</v>
      </c>
      <c r="H2370" s="5">
        <f>IFERROR(__xludf.DUMMYFUNCTION("SPLiT(G2370, ""🤙🏼"",FALSE,FALSE)"),593.0)</f>
        <v>593</v>
      </c>
      <c r="I2370" s="5" t="str">
        <f>IFERROR(__xludf.DUMMYFUNCTION("""COMPUTED_VALUE"""),"Big Hero 6")</f>
        <v>Big Hero 6</v>
      </c>
      <c r="J2370" s="5" t="str">
        <f>IFERROR(__xludf.DUMMYFUNCTION("""COMPUTED_VALUE"""),"Chris Williams")</f>
        <v>Chris Williams</v>
      </c>
      <c r="K2370" s="5" t="str">
        <f>IFERROR(__xludf.DUMMYFUNCTION("""COMPUTED_VALUE"""),"Estrela 1")</f>
        <v>Estrela 1</v>
      </c>
      <c r="P2370" s="5">
        <f>IFERROR(__xludf.DUMMYFUNCTION("""COMPUTED_VALUE"""),593.0)</f>
        <v>593</v>
      </c>
      <c r="Q2370" s="5" t="str">
        <f>IFERROR(__xludf.DUMMYFUNCTION("""COMPUTED_VALUE"""),"Big Hero 6")</f>
        <v>Big Hero 6</v>
      </c>
      <c r="R2370" s="5" t="str">
        <f>IFERROR(__xludf.DUMMYFUNCTION("""COMPUTED_VALUE"""),"Chris Williams")</f>
        <v>Chris Williams</v>
      </c>
      <c r="S2370" s="5" t="str">
        <f>IFERROR(__xludf.DUMMYFUNCTION("""COMPUTED_VALUE"""),"Estrela 1")</f>
        <v>Estrela 1</v>
      </c>
    </row>
    <row r="2371">
      <c r="G2371" s="5" t="str">
        <f>IFERROR(__xludf.DUMMYFUNCTION("""COMPUTED_VALUE"""),"593🤙🏼Big Hero 6🤙🏼Ryan Potter🤙🏼Estrela 2")</f>
        <v>593🤙🏼Big Hero 6🤙🏼Ryan Potter🤙🏼Estrela 2</v>
      </c>
      <c r="H2371" s="5">
        <f>IFERROR(__xludf.DUMMYFUNCTION("SPLiT(G2371, ""🤙🏼"",FALSE,FALSE)"),593.0)</f>
        <v>593</v>
      </c>
      <c r="I2371" s="5" t="str">
        <f>IFERROR(__xludf.DUMMYFUNCTION("""COMPUTED_VALUE"""),"Big Hero 6")</f>
        <v>Big Hero 6</v>
      </c>
      <c r="J2371" s="5" t="str">
        <f>IFERROR(__xludf.DUMMYFUNCTION("""COMPUTED_VALUE"""),"Ryan Potter")</f>
        <v>Ryan Potter</v>
      </c>
      <c r="K2371" s="5" t="str">
        <f>IFERROR(__xludf.DUMMYFUNCTION("""COMPUTED_VALUE"""),"Estrela 2")</f>
        <v>Estrela 2</v>
      </c>
      <c r="P2371" s="5">
        <f>IFERROR(__xludf.DUMMYFUNCTION("""COMPUTED_VALUE"""),593.0)</f>
        <v>593</v>
      </c>
      <c r="Q2371" s="5" t="str">
        <f>IFERROR(__xludf.DUMMYFUNCTION("""COMPUTED_VALUE"""),"Big Hero 6")</f>
        <v>Big Hero 6</v>
      </c>
      <c r="R2371" s="5" t="str">
        <f>IFERROR(__xludf.DUMMYFUNCTION("""COMPUTED_VALUE"""),"Ryan Potter")</f>
        <v>Ryan Potter</v>
      </c>
      <c r="S2371" s="5" t="str">
        <f>IFERROR(__xludf.DUMMYFUNCTION("""COMPUTED_VALUE"""),"Estrela 2")</f>
        <v>Estrela 2</v>
      </c>
    </row>
    <row r="2372">
      <c r="G2372" s="5" t="str">
        <f>IFERROR(__xludf.DUMMYFUNCTION("""COMPUTED_VALUE"""),"593🤙🏼Big Hero 6🤙🏼Scott Adsit🤙🏼Estrela 3")</f>
        <v>593🤙🏼Big Hero 6🤙🏼Scott Adsit🤙🏼Estrela 3</v>
      </c>
      <c r="H2372" s="5">
        <f>IFERROR(__xludf.DUMMYFUNCTION("SPLiT(G2372, ""🤙🏼"",FALSE,FALSE)"),593.0)</f>
        <v>593</v>
      </c>
      <c r="I2372" s="5" t="str">
        <f>IFERROR(__xludf.DUMMYFUNCTION("""COMPUTED_VALUE"""),"Big Hero 6")</f>
        <v>Big Hero 6</v>
      </c>
      <c r="J2372" s="5" t="str">
        <f>IFERROR(__xludf.DUMMYFUNCTION("""COMPUTED_VALUE"""),"Scott Adsit")</f>
        <v>Scott Adsit</v>
      </c>
      <c r="K2372" s="5" t="str">
        <f>IFERROR(__xludf.DUMMYFUNCTION("""COMPUTED_VALUE"""),"Estrela 3")</f>
        <v>Estrela 3</v>
      </c>
      <c r="P2372" s="5">
        <f>IFERROR(__xludf.DUMMYFUNCTION("""COMPUTED_VALUE"""),593.0)</f>
        <v>593</v>
      </c>
      <c r="Q2372" s="5" t="str">
        <f>IFERROR(__xludf.DUMMYFUNCTION("""COMPUTED_VALUE"""),"Big Hero 6")</f>
        <v>Big Hero 6</v>
      </c>
      <c r="R2372" s="5" t="str">
        <f>IFERROR(__xludf.DUMMYFUNCTION("""COMPUTED_VALUE"""),"Scott Adsit")</f>
        <v>Scott Adsit</v>
      </c>
      <c r="S2372" s="5" t="str">
        <f>IFERROR(__xludf.DUMMYFUNCTION("""COMPUTED_VALUE"""),"Estrela 3")</f>
        <v>Estrela 3</v>
      </c>
    </row>
    <row r="2373">
      <c r="G2373" s="5" t="str">
        <f>IFERROR(__xludf.DUMMYFUNCTION("""COMPUTED_VALUE"""),"593🤙🏼Big Hero 6🤙🏼Jamie Chung🤙🏼Estrela 4")</f>
        <v>593🤙🏼Big Hero 6🤙🏼Jamie Chung🤙🏼Estrela 4</v>
      </c>
      <c r="H2373" s="5">
        <f>IFERROR(__xludf.DUMMYFUNCTION("SPLiT(G2373, ""🤙🏼"",FALSE,FALSE)"),593.0)</f>
        <v>593</v>
      </c>
      <c r="I2373" s="5" t="str">
        <f>IFERROR(__xludf.DUMMYFUNCTION("""COMPUTED_VALUE"""),"Big Hero 6")</f>
        <v>Big Hero 6</v>
      </c>
      <c r="J2373" s="5" t="str">
        <f>IFERROR(__xludf.DUMMYFUNCTION("""COMPUTED_VALUE"""),"Jamie Chung")</f>
        <v>Jamie Chung</v>
      </c>
      <c r="K2373" s="5" t="str">
        <f>IFERROR(__xludf.DUMMYFUNCTION("""COMPUTED_VALUE"""),"Estrela 4")</f>
        <v>Estrela 4</v>
      </c>
      <c r="P2373" s="5">
        <f>IFERROR(__xludf.DUMMYFUNCTION("""COMPUTED_VALUE"""),593.0)</f>
        <v>593</v>
      </c>
      <c r="Q2373" s="5" t="str">
        <f>IFERROR(__xludf.DUMMYFUNCTION("""COMPUTED_VALUE"""),"Big Hero 6")</f>
        <v>Big Hero 6</v>
      </c>
      <c r="R2373" s="5" t="str">
        <f>IFERROR(__xludf.DUMMYFUNCTION("""COMPUTED_VALUE"""),"Jamie Chung")</f>
        <v>Jamie Chung</v>
      </c>
      <c r="S2373" s="5" t="str">
        <f>IFERROR(__xludf.DUMMYFUNCTION("""COMPUTED_VALUE"""),"Estrela 4")</f>
        <v>Estrela 4</v>
      </c>
    </row>
    <row r="2374">
      <c r="G2374" s="5" t="str">
        <f>IFERROR(__xludf.DUMMYFUNCTION("""COMPUTED_VALUE"""),"594🤙🏼About Time🤙🏼Domhnall Gleeson🤙🏼Estrela 1")</f>
        <v>594🤙🏼About Time🤙🏼Domhnall Gleeson🤙🏼Estrela 1</v>
      </c>
      <c r="H2374" s="5">
        <f>IFERROR(__xludf.DUMMYFUNCTION("SPLiT(G2374, ""🤙🏼"",FALSE,FALSE)"),594.0)</f>
        <v>594</v>
      </c>
      <c r="I2374" s="5" t="str">
        <f>IFERROR(__xludf.DUMMYFUNCTION("""COMPUTED_VALUE"""),"About Time")</f>
        <v>About Time</v>
      </c>
      <c r="J2374" s="5" t="str">
        <f>IFERROR(__xludf.DUMMYFUNCTION("""COMPUTED_VALUE"""),"Domhnall Gleeson")</f>
        <v>Domhnall Gleeson</v>
      </c>
      <c r="K2374" s="5" t="str">
        <f>IFERROR(__xludf.DUMMYFUNCTION("""COMPUTED_VALUE"""),"Estrela 1")</f>
        <v>Estrela 1</v>
      </c>
      <c r="P2374" s="5">
        <f>IFERROR(__xludf.DUMMYFUNCTION("""COMPUTED_VALUE"""),594.0)</f>
        <v>594</v>
      </c>
      <c r="Q2374" s="5" t="str">
        <f>IFERROR(__xludf.DUMMYFUNCTION("""COMPUTED_VALUE"""),"About Time")</f>
        <v>About Time</v>
      </c>
      <c r="R2374" s="5" t="str">
        <f>IFERROR(__xludf.DUMMYFUNCTION("""COMPUTED_VALUE"""),"Domhnall Gleeson")</f>
        <v>Domhnall Gleeson</v>
      </c>
      <c r="S2374" s="5" t="str">
        <f>IFERROR(__xludf.DUMMYFUNCTION("""COMPUTED_VALUE"""),"Estrela 1")</f>
        <v>Estrela 1</v>
      </c>
    </row>
    <row r="2375">
      <c r="G2375" s="5" t="str">
        <f>IFERROR(__xludf.DUMMYFUNCTION("""COMPUTED_VALUE"""),"594🤙🏼About Time🤙🏼Rachel McAdams🤙🏼Estrela 2")</f>
        <v>594🤙🏼About Time🤙🏼Rachel McAdams🤙🏼Estrela 2</v>
      </c>
      <c r="H2375" s="5">
        <f>IFERROR(__xludf.DUMMYFUNCTION("SPLiT(G2375, ""🤙🏼"",FALSE,FALSE)"),594.0)</f>
        <v>594</v>
      </c>
      <c r="I2375" s="5" t="str">
        <f>IFERROR(__xludf.DUMMYFUNCTION("""COMPUTED_VALUE"""),"About Time")</f>
        <v>About Time</v>
      </c>
      <c r="J2375" s="5" t="str">
        <f>IFERROR(__xludf.DUMMYFUNCTION("""COMPUTED_VALUE"""),"Rachel McAdams")</f>
        <v>Rachel McAdams</v>
      </c>
      <c r="K2375" s="5" t="str">
        <f>IFERROR(__xludf.DUMMYFUNCTION("""COMPUTED_VALUE"""),"Estrela 2")</f>
        <v>Estrela 2</v>
      </c>
      <c r="P2375" s="5">
        <f>IFERROR(__xludf.DUMMYFUNCTION("""COMPUTED_VALUE"""),594.0)</f>
        <v>594</v>
      </c>
      <c r="Q2375" s="5" t="str">
        <f>IFERROR(__xludf.DUMMYFUNCTION("""COMPUTED_VALUE"""),"About Time")</f>
        <v>About Time</v>
      </c>
      <c r="R2375" s="5" t="str">
        <f>IFERROR(__xludf.DUMMYFUNCTION("""COMPUTED_VALUE"""),"Rachel McAdams")</f>
        <v>Rachel McAdams</v>
      </c>
      <c r="S2375" s="5" t="str">
        <f>IFERROR(__xludf.DUMMYFUNCTION("""COMPUTED_VALUE"""),"Estrela 2")</f>
        <v>Estrela 2</v>
      </c>
    </row>
    <row r="2376">
      <c r="G2376" s="5" t="str">
        <f>IFERROR(__xludf.DUMMYFUNCTION("""COMPUTED_VALUE"""),"594🤙🏼About Time🤙🏼Bill Nighy🤙🏼Estrela 3")</f>
        <v>594🤙🏼About Time🤙🏼Bill Nighy🤙🏼Estrela 3</v>
      </c>
      <c r="H2376" s="5">
        <f>IFERROR(__xludf.DUMMYFUNCTION("SPLiT(G2376, ""🤙🏼"",FALSE,FALSE)"),594.0)</f>
        <v>594</v>
      </c>
      <c r="I2376" s="5" t="str">
        <f>IFERROR(__xludf.DUMMYFUNCTION("""COMPUTED_VALUE"""),"About Time")</f>
        <v>About Time</v>
      </c>
      <c r="J2376" s="5" t="str">
        <f>IFERROR(__xludf.DUMMYFUNCTION("""COMPUTED_VALUE"""),"Bill Nighy")</f>
        <v>Bill Nighy</v>
      </c>
      <c r="K2376" s="5" t="str">
        <f>IFERROR(__xludf.DUMMYFUNCTION("""COMPUTED_VALUE"""),"Estrela 3")</f>
        <v>Estrela 3</v>
      </c>
      <c r="P2376" s="5">
        <f>IFERROR(__xludf.DUMMYFUNCTION("""COMPUTED_VALUE"""),594.0)</f>
        <v>594</v>
      </c>
      <c r="Q2376" s="5" t="str">
        <f>IFERROR(__xludf.DUMMYFUNCTION("""COMPUTED_VALUE"""),"About Time")</f>
        <v>About Time</v>
      </c>
      <c r="R2376" s="5" t="str">
        <f>IFERROR(__xludf.DUMMYFUNCTION("""COMPUTED_VALUE"""),"Bill Nighy")</f>
        <v>Bill Nighy</v>
      </c>
      <c r="S2376" s="5" t="str">
        <f>IFERROR(__xludf.DUMMYFUNCTION("""COMPUTED_VALUE"""),"Estrela 3")</f>
        <v>Estrela 3</v>
      </c>
    </row>
    <row r="2377">
      <c r="G2377" s="5" t="str">
        <f>IFERROR(__xludf.DUMMYFUNCTION("""COMPUTED_VALUE"""),"594🤙🏼About Time🤙🏼Lydia Wilson🤙🏼Estrela 4")</f>
        <v>594🤙🏼About Time🤙🏼Lydia Wilson🤙🏼Estrela 4</v>
      </c>
      <c r="H2377" s="5">
        <f>IFERROR(__xludf.DUMMYFUNCTION("SPLiT(G2377, ""🤙🏼"",FALSE,FALSE)"),594.0)</f>
        <v>594</v>
      </c>
      <c r="I2377" s="5" t="str">
        <f>IFERROR(__xludf.DUMMYFUNCTION("""COMPUTED_VALUE"""),"About Time")</f>
        <v>About Time</v>
      </c>
      <c r="J2377" s="5" t="str">
        <f>IFERROR(__xludf.DUMMYFUNCTION("""COMPUTED_VALUE"""),"Lydia Wilson")</f>
        <v>Lydia Wilson</v>
      </c>
      <c r="K2377" s="5" t="str">
        <f>IFERROR(__xludf.DUMMYFUNCTION("""COMPUTED_VALUE"""),"Estrela 4")</f>
        <v>Estrela 4</v>
      </c>
      <c r="P2377" s="5">
        <f>IFERROR(__xludf.DUMMYFUNCTION("""COMPUTED_VALUE"""),594.0)</f>
        <v>594</v>
      </c>
      <c r="Q2377" s="5" t="str">
        <f>IFERROR(__xludf.DUMMYFUNCTION("""COMPUTED_VALUE"""),"About Time")</f>
        <v>About Time</v>
      </c>
      <c r="R2377" s="5" t="str">
        <f>IFERROR(__xludf.DUMMYFUNCTION("""COMPUTED_VALUE"""),"Lydia Wilson")</f>
        <v>Lydia Wilson</v>
      </c>
      <c r="S2377" s="5" t="str">
        <f>IFERROR(__xludf.DUMMYFUNCTION("""COMPUTED_VALUE"""),"Estrela 4")</f>
        <v>Estrela 4</v>
      </c>
    </row>
    <row r="2378">
      <c r="G2378" s="5" t="str">
        <f>IFERROR(__xludf.DUMMYFUNCTION("""COMPUTED_VALUE"""),"595🤙🏼English Vinglish🤙🏼Sridevi🤙🏼Estrela 1")</f>
        <v>595🤙🏼English Vinglish🤙🏼Sridevi🤙🏼Estrela 1</v>
      </c>
      <c r="H2378" s="5">
        <f>IFERROR(__xludf.DUMMYFUNCTION("SPLiT(G2378, ""🤙🏼"",FALSE,FALSE)"),595.0)</f>
        <v>595</v>
      </c>
      <c r="I2378" s="5" t="str">
        <f>IFERROR(__xludf.DUMMYFUNCTION("""COMPUTED_VALUE"""),"English Vinglish")</f>
        <v>English Vinglish</v>
      </c>
      <c r="J2378" s="5" t="str">
        <f>IFERROR(__xludf.DUMMYFUNCTION("""COMPUTED_VALUE"""),"Sridevi")</f>
        <v>Sridevi</v>
      </c>
      <c r="K2378" s="5" t="str">
        <f>IFERROR(__xludf.DUMMYFUNCTION("""COMPUTED_VALUE"""),"Estrela 1")</f>
        <v>Estrela 1</v>
      </c>
      <c r="P2378" s="5">
        <f>IFERROR(__xludf.DUMMYFUNCTION("""COMPUTED_VALUE"""),595.0)</f>
        <v>595</v>
      </c>
      <c r="Q2378" s="5" t="str">
        <f>IFERROR(__xludf.DUMMYFUNCTION("""COMPUTED_VALUE"""),"English Vinglish")</f>
        <v>English Vinglish</v>
      </c>
      <c r="R2378" s="5" t="str">
        <f>IFERROR(__xludf.DUMMYFUNCTION("""COMPUTED_VALUE"""),"Sridevi")</f>
        <v>Sridevi</v>
      </c>
      <c r="S2378" s="5" t="str">
        <f>IFERROR(__xludf.DUMMYFUNCTION("""COMPUTED_VALUE"""),"Estrela 1")</f>
        <v>Estrela 1</v>
      </c>
    </row>
    <row r="2379">
      <c r="G2379" s="5" t="str">
        <f>IFERROR(__xludf.DUMMYFUNCTION("""COMPUTED_VALUE"""),"595🤙🏼English Vinglish🤙🏼Adil Hussain🤙🏼Estrela 2")</f>
        <v>595🤙🏼English Vinglish🤙🏼Adil Hussain🤙🏼Estrela 2</v>
      </c>
      <c r="H2379" s="5">
        <f>IFERROR(__xludf.DUMMYFUNCTION("SPLiT(G2379, ""🤙🏼"",FALSE,FALSE)"),595.0)</f>
        <v>595</v>
      </c>
      <c r="I2379" s="5" t="str">
        <f>IFERROR(__xludf.DUMMYFUNCTION("""COMPUTED_VALUE"""),"English Vinglish")</f>
        <v>English Vinglish</v>
      </c>
      <c r="J2379" s="5" t="str">
        <f>IFERROR(__xludf.DUMMYFUNCTION("""COMPUTED_VALUE"""),"Adil Hussain")</f>
        <v>Adil Hussain</v>
      </c>
      <c r="K2379" s="5" t="str">
        <f>IFERROR(__xludf.DUMMYFUNCTION("""COMPUTED_VALUE"""),"Estrela 2")</f>
        <v>Estrela 2</v>
      </c>
      <c r="P2379" s="5">
        <f>IFERROR(__xludf.DUMMYFUNCTION("""COMPUTED_VALUE"""),595.0)</f>
        <v>595</v>
      </c>
      <c r="Q2379" s="5" t="str">
        <f>IFERROR(__xludf.DUMMYFUNCTION("""COMPUTED_VALUE"""),"English Vinglish")</f>
        <v>English Vinglish</v>
      </c>
      <c r="R2379" s="5" t="str">
        <f>IFERROR(__xludf.DUMMYFUNCTION("""COMPUTED_VALUE"""),"Adil Hussain")</f>
        <v>Adil Hussain</v>
      </c>
      <c r="S2379" s="5" t="str">
        <f>IFERROR(__xludf.DUMMYFUNCTION("""COMPUTED_VALUE"""),"Estrela 2")</f>
        <v>Estrela 2</v>
      </c>
    </row>
    <row r="2380">
      <c r="G2380" s="5" t="str">
        <f>IFERROR(__xludf.DUMMYFUNCTION("""COMPUTED_VALUE"""),"595🤙🏼English Vinglish🤙🏼Mehdi Nebbou🤙🏼Estrela 3")</f>
        <v>595🤙🏼English Vinglish🤙🏼Mehdi Nebbou🤙🏼Estrela 3</v>
      </c>
      <c r="H2380" s="5">
        <f>IFERROR(__xludf.DUMMYFUNCTION("SPLiT(G2380, ""🤙🏼"",FALSE,FALSE)"),595.0)</f>
        <v>595</v>
      </c>
      <c r="I2380" s="5" t="str">
        <f>IFERROR(__xludf.DUMMYFUNCTION("""COMPUTED_VALUE"""),"English Vinglish")</f>
        <v>English Vinglish</v>
      </c>
      <c r="J2380" s="5" t="str">
        <f>IFERROR(__xludf.DUMMYFUNCTION("""COMPUTED_VALUE"""),"Mehdi Nebbou")</f>
        <v>Mehdi Nebbou</v>
      </c>
      <c r="K2380" s="5" t="str">
        <f>IFERROR(__xludf.DUMMYFUNCTION("""COMPUTED_VALUE"""),"Estrela 3")</f>
        <v>Estrela 3</v>
      </c>
      <c r="P2380" s="5">
        <f>IFERROR(__xludf.DUMMYFUNCTION("""COMPUTED_VALUE"""),595.0)</f>
        <v>595</v>
      </c>
      <c r="Q2380" s="5" t="str">
        <f>IFERROR(__xludf.DUMMYFUNCTION("""COMPUTED_VALUE"""),"English Vinglish")</f>
        <v>English Vinglish</v>
      </c>
      <c r="R2380" s="5" t="str">
        <f>IFERROR(__xludf.DUMMYFUNCTION("""COMPUTED_VALUE"""),"Mehdi Nebbou")</f>
        <v>Mehdi Nebbou</v>
      </c>
      <c r="S2380" s="5" t="str">
        <f>IFERROR(__xludf.DUMMYFUNCTION("""COMPUTED_VALUE"""),"Estrela 3")</f>
        <v>Estrela 3</v>
      </c>
    </row>
    <row r="2381">
      <c r="G2381" s="5" t="str">
        <f>IFERROR(__xludf.DUMMYFUNCTION("""COMPUTED_VALUE"""),"595🤙🏼English Vinglish🤙🏼Priya Anand🤙🏼Estrela 4")</f>
        <v>595🤙🏼English Vinglish🤙🏼Priya Anand🤙🏼Estrela 4</v>
      </c>
      <c r="H2381" s="5">
        <f>IFERROR(__xludf.DUMMYFUNCTION("SPLiT(G2381, ""🤙🏼"",FALSE,FALSE)"),595.0)</f>
        <v>595</v>
      </c>
      <c r="I2381" s="5" t="str">
        <f>IFERROR(__xludf.DUMMYFUNCTION("""COMPUTED_VALUE"""),"English Vinglish")</f>
        <v>English Vinglish</v>
      </c>
      <c r="J2381" s="5" t="str">
        <f>IFERROR(__xludf.DUMMYFUNCTION("""COMPUTED_VALUE"""),"Priya Anand")</f>
        <v>Priya Anand</v>
      </c>
      <c r="K2381" s="5" t="str">
        <f>IFERROR(__xludf.DUMMYFUNCTION("""COMPUTED_VALUE"""),"Estrela 4")</f>
        <v>Estrela 4</v>
      </c>
      <c r="P2381" s="5">
        <f>IFERROR(__xludf.DUMMYFUNCTION("""COMPUTED_VALUE"""),595.0)</f>
        <v>595</v>
      </c>
      <c r="Q2381" s="5" t="str">
        <f>IFERROR(__xludf.DUMMYFUNCTION("""COMPUTED_VALUE"""),"English Vinglish")</f>
        <v>English Vinglish</v>
      </c>
      <c r="R2381" s="5" t="str">
        <f>IFERROR(__xludf.DUMMYFUNCTION("""COMPUTED_VALUE"""),"Priya Anand")</f>
        <v>Priya Anand</v>
      </c>
      <c r="S2381" s="5" t="str">
        <f>IFERROR(__xludf.DUMMYFUNCTION("""COMPUTED_VALUE"""),"Estrela 4")</f>
        <v>Estrela 4</v>
      </c>
    </row>
    <row r="2382">
      <c r="G2382" s="5" t="str">
        <f>IFERROR(__xludf.DUMMYFUNCTION("""COMPUTED_VALUE"""),"596🤙🏼Kaze tachinu🤙🏼Hideaki Anno🤙🏼Estrela 1")</f>
        <v>596🤙🏼Kaze tachinu🤙🏼Hideaki Anno🤙🏼Estrela 1</v>
      </c>
      <c r="H2382" s="5">
        <f>IFERROR(__xludf.DUMMYFUNCTION("SPLiT(G2382, ""🤙🏼"",FALSE,FALSE)"),596.0)</f>
        <v>596</v>
      </c>
      <c r="I2382" s="5" t="str">
        <f>IFERROR(__xludf.DUMMYFUNCTION("""COMPUTED_VALUE"""),"Kaze tachinu")</f>
        <v>Kaze tachinu</v>
      </c>
      <c r="J2382" s="5" t="str">
        <f>IFERROR(__xludf.DUMMYFUNCTION("""COMPUTED_VALUE"""),"Hideaki Anno")</f>
        <v>Hideaki Anno</v>
      </c>
      <c r="K2382" s="5" t="str">
        <f>IFERROR(__xludf.DUMMYFUNCTION("""COMPUTED_VALUE"""),"Estrela 1")</f>
        <v>Estrela 1</v>
      </c>
      <c r="P2382" s="5">
        <f>IFERROR(__xludf.DUMMYFUNCTION("""COMPUTED_VALUE"""),596.0)</f>
        <v>596</v>
      </c>
      <c r="Q2382" s="5" t="str">
        <f>IFERROR(__xludf.DUMMYFUNCTION("""COMPUTED_VALUE"""),"Kaze tachinu")</f>
        <v>Kaze tachinu</v>
      </c>
      <c r="R2382" s="5" t="str">
        <f>IFERROR(__xludf.DUMMYFUNCTION("""COMPUTED_VALUE"""),"Hideaki Anno")</f>
        <v>Hideaki Anno</v>
      </c>
      <c r="S2382" s="5" t="str">
        <f>IFERROR(__xludf.DUMMYFUNCTION("""COMPUTED_VALUE"""),"Estrela 1")</f>
        <v>Estrela 1</v>
      </c>
    </row>
    <row r="2383">
      <c r="G2383" s="5" t="str">
        <f>IFERROR(__xludf.DUMMYFUNCTION("""COMPUTED_VALUE"""),"596🤙🏼Kaze tachinu🤙🏼Hidetoshi Nishijima🤙🏼Estrela 2")</f>
        <v>596🤙🏼Kaze tachinu🤙🏼Hidetoshi Nishijima🤙🏼Estrela 2</v>
      </c>
      <c r="H2383" s="5">
        <f>IFERROR(__xludf.DUMMYFUNCTION("SPLiT(G2383, ""🤙🏼"",FALSE,FALSE)"),596.0)</f>
        <v>596</v>
      </c>
      <c r="I2383" s="5" t="str">
        <f>IFERROR(__xludf.DUMMYFUNCTION("""COMPUTED_VALUE"""),"Kaze tachinu")</f>
        <v>Kaze tachinu</v>
      </c>
      <c r="J2383" s="5" t="str">
        <f>IFERROR(__xludf.DUMMYFUNCTION("""COMPUTED_VALUE"""),"Hidetoshi Nishijima")</f>
        <v>Hidetoshi Nishijima</v>
      </c>
      <c r="K2383" s="5" t="str">
        <f>IFERROR(__xludf.DUMMYFUNCTION("""COMPUTED_VALUE"""),"Estrela 2")</f>
        <v>Estrela 2</v>
      </c>
      <c r="P2383" s="5">
        <f>IFERROR(__xludf.DUMMYFUNCTION("""COMPUTED_VALUE"""),596.0)</f>
        <v>596</v>
      </c>
      <c r="Q2383" s="5" t="str">
        <f>IFERROR(__xludf.DUMMYFUNCTION("""COMPUTED_VALUE"""),"Kaze tachinu")</f>
        <v>Kaze tachinu</v>
      </c>
      <c r="R2383" s="5" t="str">
        <f>IFERROR(__xludf.DUMMYFUNCTION("""COMPUTED_VALUE"""),"Hidetoshi Nishijima")</f>
        <v>Hidetoshi Nishijima</v>
      </c>
      <c r="S2383" s="5" t="str">
        <f>IFERROR(__xludf.DUMMYFUNCTION("""COMPUTED_VALUE"""),"Estrela 2")</f>
        <v>Estrela 2</v>
      </c>
    </row>
    <row r="2384">
      <c r="G2384" s="5" t="str">
        <f>IFERROR(__xludf.DUMMYFUNCTION("""COMPUTED_VALUE"""),"596🤙🏼Kaze tachinu🤙🏼Miori Takimoto🤙🏼Estrela 3")</f>
        <v>596🤙🏼Kaze tachinu🤙🏼Miori Takimoto🤙🏼Estrela 3</v>
      </c>
      <c r="H2384" s="5">
        <f>IFERROR(__xludf.DUMMYFUNCTION("SPLiT(G2384, ""🤙🏼"",FALSE,FALSE)"),596.0)</f>
        <v>596</v>
      </c>
      <c r="I2384" s="5" t="str">
        <f>IFERROR(__xludf.DUMMYFUNCTION("""COMPUTED_VALUE"""),"Kaze tachinu")</f>
        <v>Kaze tachinu</v>
      </c>
      <c r="J2384" s="5" t="str">
        <f>IFERROR(__xludf.DUMMYFUNCTION("""COMPUTED_VALUE"""),"Miori Takimoto")</f>
        <v>Miori Takimoto</v>
      </c>
      <c r="K2384" s="5" t="str">
        <f>IFERROR(__xludf.DUMMYFUNCTION("""COMPUTED_VALUE"""),"Estrela 3")</f>
        <v>Estrela 3</v>
      </c>
      <c r="P2384" s="5">
        <f>IFERROR(__xludf.DUMMYFUNCTION("""COMPUTED_VALUE"""),596.0)</f>
        <v>596</v>
      </c>
      <c r="Q2384" s="5" t="str">
        <f>IFERROR(__xludf.DUMMYFUNCTION("""COMPUTED_VALUE"""),"Kaze tachinu")</f>
        <v>Kaze tachinu</v>
      </c>
      <c r="R2384" s="5" t="str">
        <f>IFERROR(__xludf.DUMMYFUNCTION("""COMPUTED_VALUE"""),"Miori Takimoto")</f>
        <v>Miori Takimoto</v>
      </c>
      <c r="S2384" s="5" t="str">
        <f>IFERROR(__xludf.DUMMYFUNCTION("""COMPUTED_VALUE"""),"Estrela 3")</f>
        <v>Estrela 3</v>
      </c>
    </row>
    <row r="2385">
      <c r="G2385" s="5" t="str">
        <f>IFERROR(__xludf.DUMMYFUNCTION("""COMPUTED_VALUE"""),"596🤙🏼Kaze tachinu🤙🏼Masahiko Nishimura🤙🏼Estrela 4")</f>
        <v>596🤙🏼Kaze tachinu🤙🏼Masahiko Nishimura🤙🏼Estrela 4</v>
      </c>
      <c r="H2385" s="5">
        <f>IFERROR(__xludf.DUMMYFUNCTION("SPLiT(G2385, ""🤙🏼"",FALSE,FALSE)"),596.0)</f>
        <v>596</v>
      </c>
      <c r="I2385" s="5" t="str">
        <f>IFERROR(__xludf.DUMMYFUNCTION("""COMPUTED_VALUE"""),"Kaze tachinu")</f>
        <v>Kaze tachinu</v>
      </c>
      <c r="J2385" s="5" t="str">
        <f>IFERROR(__xludf.DUMMYFUNCTION("""COMPUTED_VALUE"""),"Masahiko Nishimura")</f>
        <v>Masahiko Nishimura</v>
      </c>
      <c r="K2385" s="5" t="str">
        <f>IFERROR(__xludf.DUMMYFUNCTION("""COMPUTED_VALUE"""),"Estrela 4")</f>
        <v>Estrela 4</v>
      </c>
      <c r="P2385" s="5">
        <f>IFERROR(__xludf.DUMMYFUNCTION("""COMPUTED_VALUE"""),596.0)</f>
        <v>596</v>
      </c>
      <c r="Q2385" s="5" t="str">
        <f>IFERROR(__xludf.DUMMYFUNCTION("""COMPUTED_VALUE"""),"Kaze tachinu")</f>
        <v>Kaze tachinu</v>
      </c>
      <c r="R2385" s="5" t="str">
        <f>IFERROR(__xludf.DUMMYFUNCTION("""COMPUTED_VALUE"""),"Masahiko Nishimura")</f>
        <v>Masahiko Nishimura</v>
      </c>
      <c r="S2385" s="5" t="str">
        <f>IFERROR(__xludf.DUMMYFUNCTION("""COMPUTED_VALUE"""),"Estrela 4")</f>
        <v>Estrela 4</v>
      </c>
    </row>
    <row r="2386">
      <c r="G2386" s="5" t="str">
        <f>IFERROR(__xludf.DUMMYFUNCTION("""COMPUTED_VALUE"""),"597🤙🏼Toy Story 4🤙🏼Tom Hanks🤙🏼Estrela 1")</f>
        <v>597🤙🏼Toy Story 4🤙🏼Tom Hanks🤙🏼Estrela 1</v>
      </c>
      <c r="H2386" s="5">
        <f>IFERROR(__xludf.DUMMYFUNCTION("SPLiT(G2386, ""🤙🏼"",FALSE,FALSE)"),597.0)</f>
        <v>597</v>
      </c>
      <c r="I2386" s="5" t="str">
        <f>IFERROR(__xludf.DUMMYFUNCTION("""COMPUTED_VALUE"""),"Toy Story 4")</f>
        <v>Toy Story 4</v>
      </c>
      <c r="J2386" s="5" t="str">
        <f>IFERROR(__xludf.DUMMYFUNCTION("""COMPUTED_VALUE"""),"Tom Hanks")</f>
        <v>Tom Hanks</v>
      </c>
      <c r="K2386" s="5" t="str">
        <f>IFERROR(__xludf.DUMMYFUNCTION("""COMPUTED_VALUE"""),"Estrela 1")</f>
        <v>Estrela 1</v>
      </c>
      <c r="P2386" s="5">
        <f>IFERROR(__xludf.DUMMYFUNCTION("""COMPUTED_VALUE"""),597.0)</f>
        <v>597</v>
      </c>
      <c r="Q2386" s="5" t="str">
        <f>IFERROR(__xludf.DUMMYFUNCTION("""COMPUTED_VALUE"""),"Toy Story 4")</f>
        <v>Toy Story 4</v>
      </c>
      <c r="R2386" s="5" t="str">
        <f>IFERROR(__xludf.DUMMYFUNCTION("""COMPUTED_VALUE"""),"Tom Hanks")</f>
        <v>Tom Hanks</v>
      </c>
      <c r="S2386" s="5" t="str">
        <f>IFERROR(__xludf.DUMMYFUNCTION("""COMPUTED_VALUE"""),"Estrela 1")</f>
        <v>Estrela 1</v>
      </c>
    </row>
    <row r="2387">
      <c r="G2387" s="5" t="str">
        <f>IFERROR(__xludf.DUMMYFUNCTION("""COMPUTED_VALUE"""),"597🤙🏼Toy Story 4🤙🏼Tim Allen🤙🏼Estrela 2")</f>
        <v>597🤙🏼Toy Story 4🤙🏼Tim Allen🤙🏼Estrela 2</v>
      </c>
      <c r="H2387" s="5">
        <f>IFERROR(__xludf.DUMMYFUNCTION("SPLiT(G2387, ""🤙🏼"",FALSE,FALSE)"),597.0)</f>
        <v>597</v>
      </c>
      <c r="I2387" s="5" t="str">
        <f>IFERROR(__xludf.DUMMYFUNCTION("""COMPUTED_VALUE"""),"Toy Story 4")</f>
        <v>Toy Story 4</v>
      </c>
      <c r="J2387" s="5" t="str">
        <f>IFERROR(__xludf.DUMMYFUNCTION("""COMPUTED_VALUE"""),"Tim Allen")</f>
        <v>Tim Allen</v>
      </c>
      <c r="K2387" s="5" t="str">
        <f>IFERROR(__xludf.DUMMYFUNCTION("""COMPUTED_VALUE"""),"Estrela 2")</f>
        <v>Estrela 2</v>
      </c>
      <c r="P2387" s="5">
        <f>IFERROR(__xludf.DUMMYFUNCTION("""COMPUTED_VALUE"""),597.0)</f>
        <v>597</v>
      </c>
      <c r="Q2387" s="5" t="str">
        <f>IFERROR(__xludf.DUMMYFUNCTION("""COMPUTED_VALUE"""),"Toy Story 4")</f>
        <v>Toy Story 4</v>
      </c>
      <c r="R2387" s="5" t="str">
        <f>IFERROR(__xludf.DUMMYFUNCTION("""COMPUTED_VALUE"""),"Tim Allen")</f>
        <v>Tim Allen</v>
      </c>
      <c r="S2387" s="5" t="str">
        <f>IFERROR(__xludf.DUMMYFUNCTION("""COMPUTED_VALUE"""),"Estrela 2")</f>
        <v>Estrela 2</v>
      </c>
    </row>
    <row r="2388">
      <c r="G2388" s="5" t="str">
        <f>IFERROR(__xludf.DUMMYFUNCTION("""COMPUTED_VALUE"""),"597🤙🏼Toy Story 4🤙🏼Annie Potts🤙🏼Estrela 3")</f>
        <v>597🤙🏼Toy Story 4🤙🏼Annie Potts🤙🏼Estrela 3</v>
      </c>
      <c r="H2388" s="5">
        <f>IFERROR(__xludf.DUMMYFUNCTION("SPLiT(G2388, ""🤙🏼"",FALSE,FALSE)"),597.0)</f>
        <v>597</v>
      </c>
      <c r="I2388" s="5" t="str">
        <f>IFERROR(__xludf.DUMMYFUNCTION("""COMPUTED_VALUE"""),"Toy Story 4")</f>
        <v>Toy Story 4</v>
      </c>
      <c r="J2388" s="5" t="str">
        <f>IFERROR(__xludf.DUMMYFUNCTION("""COMPUTED_VALUE"""),"Annie Potts")</f>
        <v>Annie Potts</v>
      </c>
      <c r="K2388" s="5" t="str">
        <f>IFERROR(__xludf.DUMMYFUNCTION("""COMPUTED_VALUE"""),"Estrela 3")</f>
        <v>Estrela 3</v>
      </c>
      <c r="P2388" s="5">
        <f>IFERROR(__xludf.DUMMYFUNCTION("""COMPUTED_VALUE"""),597.0)</f>
        <v>597</v>
      </c>
      <c r="Q2388" s="5" t="str">
        <f>IFERROR(__xludf.DUMMYFUNCTION("""COMPUTED_VALUE"""),"Toy Story 4")</f>
        <v>Toy Story 4</v>
      </c>
      <c r="R2388" s="5" t="str">
        <f>IFERROR(__xludf.DUMMYFUNCTION("""COMPUTED_VALUE"""),"Annie Potts")</f>
        <v>Annie Potts</v>
      </c>
      <c r="S2388" s="5" t="str">
        <f>IFERROR(__xludf.DUMMYFUNCTION("""COMPUTED_VALUE"""),"Estrela 3")</f>
        <v>Estrela 3</v>
      </c>
    </row>
    <row r="2389">
      <c r="G2389" s="5" t="str">
        <f>IFERROR(__xludf.DUMMYFUNCTION("""COMPUTED_VALUE"""),"597🤙🏼Toy Story 4🤙🏼Tony Hale🤙🏼Estrela 4")</f>
        <v>597🤙🏼Toy Story 4🤙🏼Tony Hale🤙🏼Estrela 4</v>
      </c>
      <c r="H2389" s="5">
        <f>IFERROR(__xludf.DUMMYFUNCTION("SPLiT(G2389, ""🤙🏼"",FALSE,FALSE)"),597.0)</f>
        <v>597</v>
      </c>
      <c r="I2389" s="5" t="str">
        <f>IFERROR(__xludf.DUMMYFUNCTION("""COMPUTED_VALUE"""),"Toy Story 4")</f>
        <v>Toy Story 4</v>
      </c>
      <c r="J2389" s="5" t="str">
        <f>IFERROR(__xludf.DUMMYFUNCTION("""COMPUTED_VALUE"""),"Tony Hale")</f>
        <v>Tony Hale</v>
      </c>
      <c r="K2389" s="5" t="str">
        <f>IFERROR(__xludf.DUMMYFUNCTION("""COMPUTED_VALUE"""),"Estrela 4")</f>
        <v>Estrela 4</v>
      </c>
      <c r="P2389" s="5">
        <f>IFERROR(__xludf.DUMMYFUNCTION("""COMPUTED_VALUE"""),597.0)</f>
        <v>597</v>
      </c>
      <c r="Q2389" s="5" t="str">
        <f>IFERROR(__xludf.DUMMYFUNCTION("""COMPUTED_VALUE"""),"Toy Story 4")</f>
        <v>Toy Story 4</v>
      </c>
      <c r="R2389" s="5" t="str">
        <f>IFERROR(__xludf.DUMMYFUNCTION("""COMPUTED_VALUE"""),"Tony Hale")</f>
        <v>Tony Hale</v>
      </c>
      <c r="S2389" s="5" t="str">
        <f>IFERROR(__xludf.DUMMYFUNCTION("""COMPUTED_VALUE"""),"Estrela 4")</f>
        <v>Estrela 4</v>
      </c>
    </row>
    <row r="2390">
      <c r="G2390" s="5" t="str">
        <f>IFERROR(__xludf.DUMMYFUNCTION("""COMPUTED_VALUE"""),"598🤙🏼La migliore offerta🤙🏼Geoffrey Rush🤙🏼Estrela 1")</f>
        <v>598🤙🏼La migliore offerta🤙🏼Geoffrey Rush🤙🏼Estrela 1</v>
      </c>
      <c r="H2390" s="5">
        <f>IFERROR(__xludf.DUMMYFUNCTION("SPLiT(G2390, ""🤙🏼"",FALSE,FALSE)"),598.0)</f>
        <v>598</v>
      </c>
      <c r="I2390" s="5" t="str">
        <f>IFERROR(__xludf.DUMMYFUNCTION("""COMPUTED_VALUE"""),"La migliore offerta")</f>
        <v>La migliore offerta</v>
      </c>
      <c r="J2390" s="5" t="str">
        <f>IFERROR(__xludf.DUMMYFUNCTION("""COMPUTED_VALUE"""),"Geoffrey Rush")</f>
        <v>Geoffrey Rush</v>
      </c>
      <c r="K2390" s="5" t="str">
        <f>IFERROR(__xludf.DUMMYFUNCTION("""COMPUTED_VALUE"""),"Estrela 1")</f>
        <v>Estrela 1</v>
      </c>
      <c r="P2390" s="5">
        <f>IFERROR(__xludf.DUMMYFUNCTION("""COMPUTED_VALUE"""),598.0)</f>
        <v>598</v>
      </c>
      <c r="Q2390" s="5" t="str">
        <f>IFERROR(__xludf.DUMMYFUNCTION("""COMPUTED_VALUE"""),"La migliore offerta")</f>
        <v>La migliore offerta</v>
      </c>
      <c r="R2390" s="5" t="str">
        <f>IFERROR(__xludf.DUMMYFUNCTION("""COMPUTED_VALUE"""),"Geoffrey Rush")</f>
        <v>Geoffrey Rush</v>
      </c>
      <c r="S2390" s="5" t="str">
        <f>IFERROR(__xludf.DUMMYFUNCTION("""COMPUTED_VALUE"""),"Estrela 1")</f>
        <v>Estrela 1</v>
      </c>
    </row>
    <row r="2391">
      <c r="G2391" s="5" t="str">
        <f>IFERROR(__xludf.DUMMYFUNCTION("""COMPUTED_VALUE"""),"598🤙🏼La migliore offerta🤙🏼Jim Sturgess🤙🏼Estrela 2")</f>
        <v>598🤙🏼La migliore offerta🤙🏼Jim Sturgess🤙🏼Estrela 2</v>
      </c>
      <c r="H2391" s="5">
        <f>IFERROR(__xludf.DUMMYFUNCTION("SPLiT(G2391, ""🤙🏼"",FALSE,FALSE)"),598.0)</f>
        <v>598</v>
      </c>
      <c r="I2391" s="5" t="str">
        <f>IFERROR(__xludf.DUMMYFUNCTION("""COMPUTED_VALUE"""),"La migliore offerta")</f>
        <v>La migliore offerta</v>
      </c>
      <c r="J2391" s="5" t="str">
        <f>IFERROR(__xludf.DUMMYFUNCTION("""COMPUTED_VALUE"""),"Jim Sturgess")</f>
        <v>Jim Sturgess</v>
      </c>
      <c r="K2391" s="5" t="str">
        <f>IFERROR(__xludf.DUMMYFUNCTION("""COMPUTED_VALUE"""),"Estrela 2")</f>
        <v>Estrela 2</v>
      </c>
      <c r="P2391" s="5">
        <f>IFERROR(__xludf.DUMMYFUNCTION("""COMPUTED_VALUE"""),598.0)</f>
        <v>598</v>
      </c>
      <c r="Q2391" s="5" t="str">
        <f>IFERROR(__xludf.DUMMYFUNCTION("""COMPUTED_VALUE"""),"La migliore offerta")</f>
        <v>La migliore offerta</v>
      </c>
      <c r="R2391" s="5" t="str">
        <f>IFERROR(__xludf.DUMMYFUNCTION("""COMPUTED_VALUE"""),"Jim Sturgess")</f>
        <v>Jim Sturgess</v>
      </c>
      <c r="S2391" s="5" t="str">
        <f>IFERROR(__xludf.DUMMYFUNCTION("""COMPUTED_VALUE"""),"Estrela 2")</f>
        <v>Estrela 2</v>
      </c>
    </row>
    <row r="2392">
      <c r="G2392" s="5" t="str">
        <f>IFERROR(__xludf.DUMMYFUNCTION("""COMPUTED_VALUE"""),"598🤙🏼La migliore offerta🤙🏼Sylvia Hoeks🤙🏼Estrela 3")</f>
        <v>598🤙🏼La migliore offerta🤙🏼Sylvia Hoeks🤙🏼Estrela 3</v>
      </c>
      <c r="H2392" s="5">
        <f>IFERROR(__xludf.DUMMYFUNCTION("SPLiT(G2392, ""🤙🏼"",FALSE,FALSE)"),598.0)</f>
        <v>598</v>
      </c>
      <c r="I2392" s="5" t="str">
        <f>IFERROR(__xludf.DUMMYFUNCTION("""COMPUTED_VALUE"""),"La migliore offerta")</f>
        <v>La migliore offerta</v>
      </c>
      <c r="J2392" s="5" t="str">
        <f>IFERROR(__xludf.DUMMYFUNCTION("""COMPUTED_VALUE"""),"Sylvia Hoeks")</f>
        <v>Sylvia Hoeks</v>
      </c>
      <c r="K2392" s="5" t="str">
        <f>IFERROR(__xludf.DUMMYFUNCTION("""COMPUTED_VALUE"""),"Estrela 3")</f>
        <v>Estrela 3</v>
      </c>
      <c r="P2392" s="5">
        <f>IFERROR(__xludf.DUMMYFUNCTION("""COMPUTED_VALUE"""),598.0)</f>
        <v>598</v>
      </c>
      <c r="Q2392" s="5" t="str">
        <f>IFERROR(__xludf.DUMMYFUNCTION("""COMPUTED_VALUE"""),"La migliore offerta")</f>
        <v>La migliore offerta</v>
      </c>
      <c r="R2392" s="5" t="str">
        <f>IFERROR(__xludf.DUMMYFUNCTION("""COMPUTED_VALUE"""),"Sylvia Hoeks")</f>
        <v>Sylvia Hoeks</v>
      </c>
      <c r="S2392" s="5" t="str">
        <f>IFERROR(__xludf.DUMMYFUNCTION("""COMPUTED_VALUE"""),"Estrela 3")</f>
        <v>Estrela 3</v>
      </c>
    </row>
    <row r="2393">
      <c r="G2393" s="5" t="str">
        <f>IFERROR(__xludf.DUMMYFUNCTION("""COMPUTED_VALUE"""),"598🤙🏼La migliore offerta🤙🏼Donald Sutherland🤙🏼Estrela 4")</f>
        <v>598🤙🏼La migliore offerta🤙🏼Donald Sutherland🤙🏼Estrela 4</v>
      </c>
      <c r="H2393" s="5">
        <f>IFERROR(__xludf.DUMMYFUNCTION("SPLiT(G2393, ""🤙🏼"",FALSE,FALSE)"),598.0)</f>
        <v>598</v>
      </c>
      <c r="I2393" s="5" t="str">
        <f>IFERROR(__xludf.DUMMYFUNCTION("""COMPUTED_VALUE"""),"La migliore offerta")</f>
        <v>La migliore offerta</v>
      </c>
      <c r="J2393" s="5" t="str">
        <f>IFERROR(__xludf.DUMMYFUNCTION("""COMPUTED_VALUE"""),"Donald Sutherland")</f>
        <v>Donald Sutherland</v>
      </c>
      <c r="K2393" s="5" t="str">
        <f>IFERROR(__xludf.DUMMYFUNCTION("""COMPUTED_VALUE"""),"Estrela 4")</f>
        <v>Estrela 4</v>
      </c>
      <c r="P2393" s="5">
        <f>IFERROR(__xludf.DUMMYFUNCTION("""COMPUTED_VALUE"""),598.0)</f>
        <v>598</v>
      </c>
      <c r="Q2393" s="5" t="str">
        <f>IFERROR(__xludf.DUMMYFUNCTION("""COMPUTED_VALUE"""),"La migliore offerta")</f>
        <v>La migliore offerta</v>
      </c>
      <c r="R2393" s="5" t="str">
        <f>IFERROR(__xludf.DUMMYFUNCTION("""COMPUTED_VALUE"""),"Donald Sutherland")</f>
        <v>Donald Sutherland</v>
      </c>
      <c r="S2393" s="5" t="str">
        <f>IFERROR(__xludf.DUMMYFUNCTION("""COMPUTED_VALUE"""),"Estrela 4")</f>
        <v>Estrela 4</v>
      </c>
    </row>
    <row r="2394">
      <c r="G2394" s="5" t="str">
        <f>IFERROR(__xludf.DUMMYFUNCTION("""COMPUTED_VALUE"""),"599🤙🏼Moonrise Kingdom🤙🏼Jared Gilman🤙🏼Estrela 1")</f>
        <v>599🤙🏼Moonrise Kingdom🤙🏼Jared Gilman🤙🏼Estrela 1</v>
      </c>
      <c r="H2394" s="5">
        <f>IFERROR(__xludf.DUMMYFUNCTION("SPLiT(G2394, ""🤙🏼"",FALSE,FALSE)"),599.0)</f>
        <v>599</v>
      </c>
      <c r="I2394" s="5" t="str">
        <f>IFERROR(__xludf.DUMMYFUNCTION("""COMPUTED_VALUE"""),"Moonrise Kingdom")</f>
        <v>Moonrise Kingdom</v>
      </c>
      <c r="J2394" s="5" t="str">
        <f>IFERROR(__xludf.DUMMYFUNCTION("""COMPUTED_VALUE"""),"Jared Gilman")</f>
        <v>Jared Gilman</v>
      </c>
      <c r="K2394" s="5" t="str">
        <f>IFERROR(__xludf.DUMMYFUNCTION("""COMPUTED_VALUE"""),"Estrela 1")</f>
        <v>Estrela 1</v>
      </c>
      <c r="P2394" s="5">
        <f>IFERROR(__xludf.DUMMYFUNCTION("""COMPUTED_VALUE"""),599.0)</f>
        <v>599</v>
      </c>
      <c r="Q2394" s="5" t="str">
        <f>IFERROR(__xludf.DUMMYFUNCTION("""COMPUTED_VALUE"""),"Moonrise Kingdom")</f>
        <v>Moonrise Kingdom</v>
      </c>
      <c r="R2394" s="5" t="str">
        <f>IFERROR(__xludf.DUMMYFUNCTION("""COMPUTED_VALUE"""),"Jared Gilman")</f>
        <v>Jared Gilman</v>
      </c>
      <c r="S2394" s="5" t="str">
        <f>IFERROR(__xludf.DUMMYFUNCTION("""COMPUTED_VALUE"""),"Estrela 1")</f>
        <v>Estrela 1</v>
      </c>
    </row>
    <row r="2395">
      <c r="G2395" s="5" t="str">
        <f>IFERROR(__xludf.DUMMYFUNCTION("""COMPUTED_VALUE"""),"599🤙🏼Moonrise Kingdom🤙🏼Kara Hayward🤙🏼Estrela 2")</f>
        <v>599🤙🏼Moonrise Kingdom🤙🏼Kara Hayward🤙🏼Estrela 2</v>
      </c>
      <c r="H2395" s="5">
        <f>IFERROR(__xludf.DUMMYFUNCTION("SPLiT(G2395, ""🤙🏼"",FALSE,FALSE)"),599.0)</f>
        <v>599</v>
      </c>
      <c r="I2395" s="5" t="str">
        <f>IFERROR(__xludf.DUMMYFUNCTION("""COMPUTED_VALUE"""),"Moonrise Kingdom")</f>
        <v>Moonrise Kingdom</v>
      </c>
      <c r="J2395" s="5" t="str">
        <f>IFERROR(__xludf.DUMMYFUNCTION("""COMPUTED_VALUE"""),"Kara Hayward")</f>
        <v>Kara Hayward</v>
      </c>
      <c r="K2395" s="5" t="str">
        <f>IFERROR(__xludf.DUMMYFUNCTION("""COMPUTED_VALUE"""),"Estrela 2")</f>
        <v>Estrela 2</v>
      </c>
      <c r="P2395" s="5">
        <f>IFERROR(__xludf.DUMMYFUNCTION("""COMPUTED_VALUE"""),599.0)</f>
        <v>599</v>
      </c>
      <c r="Q2395" s="5" t="str">
        <f>IFERROR(__xludf.DUMMYFUNCTION("""COMPUTED_VALUE"""),"Moonrise Kingdom")</f>
        <v>Moonrise Kingdom</v>
      </c>
      <c r="R2395" s="5" t="str">
        <f>IFERROR(__xludf.DUMMYFUNCTION("""COMPUTED_VALUE"""),"Kara Hayward")</f>
        <v>Kara Hayward</v>
      </c>
      <c r="S2395" s="5" t="str">
        <f>IFERROR(__xludf.DUMMYFUNCTION("""COMPUTED_VALUE"""),"Estrela 2")</f>
        <v>Estrela 2</v>
      </c>
    </row>
    <row r="2396">
      <c r="G2396" s="5" t="str">
        <f>IFERROR(__xludf.DUMMYFUNCTION("""COMPUTED_VALUE"""),"599🤙🏼Moonrise Kingdom🤙🏼Bruce Willis🤙🏼Estrela 3")</f>
        <v>599🤙🏼Moonrise Kingdom🤙🏼Bruce Willis🤙🏼Estrela 3</v>
      </c>
      <c r="H2396" s="5">
        <f>IFERROR(__xludf.DUMMYFUNCTION("SPLiT(G2396, ""🤙🏼"",FALSE,FALSE)"),599.0)</f>
        <v>599</v>
      </c>
      <c r="I2396" s="5" t="str">
        <f>IFERROR(__xludf.DUMMYFUNCTION("""COMPUTED_VALUE"""),"Moonrise Kingdom")</f>
        <v>Moonrise Kingdom</v>
      </c>
      <c r="J2396" s="5" t="str">
        <f>IFERROR(__xludf.DUMMYFUNCTION("""COMPUTED_VALUE"""),"Bruce Willis")</f>
        <v>Bruce Willis</v>
      </c>
      <c r="K2396" s="5" t="str">
        <f>IFERROR(__xludf.DUMMYFUNCTION("""COMPUTED_VALUE"""),"Estrela 3")</f>
        <v>Estrela 3</v>
      </c>
      <c r="P2396" s="5">
        <f>IFERROR(__xludf.DUMMYFUNCTION("""COMPUTED_VALUE"""),599.0)</f>
        <v>599</v>
      </c>
      <c r="Q2396" s="5" t="str">
        <f>IFERROR(__xludf.DUMMYFUNCTION("""COMPUTED_VALUE"""),"Moonrise Kingdom")</f>
        <v>Moonrise Kingdom</v>
      </c>
      <c r="R2396" s="5" t="str">
        <f>IFERROR(__xludf.DUMMYFUNCTION("""COMPUTED_VALUE"""),"Bruce Willis")</f>
        <v>Bruce Willis</v>
      </c>
      <c r="S2396" s="5" t="str">
        <f>IFERROR(__xludf.DUMMYFUNCTION("""COMPUTED_VALUE"""),"Estrela 3")</f>
        <v>Estrela 3</v>
      </c>
    </row>
    <row r="2397">
      <c r="G2397" s="5" t="str">
        <f>IFERROR(__xludf.DUMMYFUNCTION("""COMPUTED_VALUE"""),"599🤙🏼Moonrise Kingdom🤙🏼Bill Murray🤙🏼Estrela 4")</f>
        <v>599🤙🏼Moonrise Kingdom🤙🏼Bill Murray🤙🏼Estrela 4</v>
      </c>
      <c r="H2397" s="5">
        <f>IFERROR(__xludf.DUMMYFUNCTION("SPLiT(G2397, ""🤙🏼"",FALSE,FALSE)"),599.0)</f>
        <v>599</v>
      </c>
      <c r="I2397" s="5" t="str">
        <f>IFERROR(__xludf.DUMMYFUNCTION("""COMPUTED_VALUE"""),"Moonrise Kingdom")</f>
        <v>Moonrise Kingdom</v>
      </c>
      <c r="J2397" s="5" t="str">
        <f>IFERROR(__xludf.DUMMYFUNCTION("""COMPUTED_VALUE"""),"Bill Murray")</f>
        <v>Bill Murray</v>
      </c>
      <c r="K2397" s="5" t="str">
        <f>IFERROR(__xludf.DUMMYFUNCTION("""COMPUTED_VALUE"""),"Estrela 4")</f>
        <v>Estrela 4</v>
      </c>
      <c r="P2397" s="5">
        <f>IFERROR(__xludf.DUMMYFUNCTION("""COMPUTED_VALUE"""),599.0)</f>
        <v>599</v>
      </c>
      <c r="Q2397" s="5" t="str">
        <f>IFERROR(__xludf.DUMMYFUNCTION("""COMPUTED_VALUE"""),"Moonrise Kingdom")</f>
        <v>Moonrise Kingdom</v>
      </c>
      <c r="R2397" s="5" t="str">
        <f>IFERROR(__xludf.DUMMYFUNCTION("""COMPUTED_VALUE"""),"Bill Murray")</f>
        <v>Bill Murray</v>
      </c>
      <c r="S2397" s="5" t="str">
        <f>IFERROR(__xludf.DUMMYFUNCTION("""COMPUTED_VALUE"""),"Estrela 4")</f>
        <v>Estrela 4</v>
      </c>
    </row>
    <row r="2398">
      <c r="G2398" s="5" t="str">
        <f>IFERROR(__xludf.DUMMYFUNCTION("""COMPUTED_VALUE"""),"600🤙🏼How to Train Your Dragon 2🤙🏼Jay Baruchel🤙🏼Estrela 1")</f>
        <v>600🤙🏼How to Train Your Dragon 2🤙🏼Jay Baruchel🤙🏼Estrela 1</v>
      </c>
      <c r="H2398" s="5">
        <f>IFERROR(__xludf.DUMMYFUNCTION("SPLiT(G2398, ""🤙🏼"",FALSE,FALSE)"),600.0)</f>
        <v>600</v>
      </c>
      <c r="I2398" s="5" t="str">
        <f>IFERROR(__xludf.DUMMYFUNCTION("""COMPUTED_VALUE"""),"How to Train Your Dragon 2")</f>
        <v>How to Train Your Dragon 2</v>
      </c>
      <c r="J2398" s="5" t="str">
        <f>IFERROR(__xludf.DUMMYFUNCTION("""COMPUTED_VALUE"""),"Jay Baruchel")</f>
        <v>Jay Baruchel</v>
      </c>
      <c r="K2398" s="5" t="str">
        <f>IFERROR(__xludf.DUMMYFUNCTION("""COMPUTED_VALUE"""),"Estrela 1")</f>
        <v>Estrela 1</v>
      </c>
      <c r="P2398" s="5">
        <f>IFERROR(__xludf.DUMMYFUNCTION("""COMPUTED_VALUE"""),600.0)</f>
        <v>600</v>
      </c>
      <c r="Q2398" s="5" t="str">
        <f>IFERROR(__xludf.DUMMYFUNCTION("""COMPUTED_VALUE"""),"How to Train Your Dragon 2")</f>
        <v>How to Train Your Dragon 2</v>
      </c>
      <c r="R2398" s="5" t="str">
        <f>IFERROR(__xludf.DUMMYFUNCTION("""COMPUTED_VALUE"""),"Jay Baruchel")</f>
        <v>Jay Baruchel</v>
      </c>
      <c r="S2398" s="5" t="str">
        <f>IFERROR(__xludf.DUMMYFUNCTION("""COMPUTED_VALUE"""),"Estrela 1")</f>
        <v>Estrela 1</v>
      </c>
    </row>
    <row r="2399">
      <c r="G2399" s="5" t="str">
        <f>IFERROR(__xludf.DUMMYFUNCTION("""COMPUTED_VALUE"""),"600🤙🏼How to Train Your Dragon 2🤙🏼Cate Blanchett🤙🏼Estrela 2")</f>
        <v>600🤙🏼How to Train Your Dragon 2🤙🏼Cate Blanchett🤙🏼Estrela 2</v>
      </c>
      <c r="H2399" s="5">
        <f>IFERROR(__xludf.DUMMYFUNCTION("SPLiT(G2399, ""🤙🏼"",FALSE,FALSE)"),600.0)</f>
        <v>600</v>
      </c>
      <c r="I2399" s="5" t="str">
        <f>IFERROR(__xludf.DUMMYFUNCTION("""COMPUTED_VALUE"""),"How to Train Your Dragon 2")</f>
        <v>How to Train Your Dragon 2</v>
      </c>
      <c r="J2399" s="5" t="str">
        <f>IFERROR(__xludf.DUMMYFUNCTION("""COMPUTED_VALUE"""),"Cate Blanchett")</f>
        <v>Cate Blanchett</v>
      </c>
      <c r="K2399" s="5" t="str">
        <f>IFERROR(__xludf.DUMMYFUNCTION("""COMPUTED_VALUE"""),"Estrela 2")</f>
        <v>Estrela 2</v>
      </c>
      <c r="P2399" s="5">
        <f>IFERROR(__xludf.DUMMYFUNCTION("""COMPUTED_VALUE"""),600.0)</f>
        <v>600</v>
      </c>
      <c r="Q2399" s="5" t="str">
        <f>IFERROR(__xludf.DUMMYFUNCTION("""COMPUTED_VALUE"""),"How to Train Your Dragon 2")</f>
        <v>How to Train Your Dragon 2</v>
      </c>
      <c r="R2399" s="5" t="str">
        <f>IFERROR(__xludf.DUMMYFUNCTION("""COMPUTED_VALUE"""),"Cate Blanchett")</f>
        <v>Cate Blanchett</v>
      </c>
      <c r="S2399" s="5" t="str">
        <f>IFERROR(__xludf.DUMMYFUNCTION("""COMPUTED_VALUE"""),"Estrela 2")</f>
        <v>Estrela 2</v>
      </c>
    </row>
    <row r="2400">
      <c r="G2400" s="5" t="str">
        <f>IFERROR(__xludf.DUMMYFUNCTION("""COMPUTED_VALUE"""),"600🤙🏼How to Train Your Dragon 2🤙🏼Gerard Butler🤙🏼Estrela 3")</f>
        <v>600🤙🏼How to Train Your Dragon 2🤙🏼Gerard Butler🤙🏼Estrela 3</v>
      </c>
      <c r="H2400" s="5">
        <f>IFERROR(__xludf.DUMMYFUNCTION("SPLiT(G2400, ""🤙🏼"",FALSE,FALSE)"),600.0)</f>
        <v>600</v>
      </c>
      <c r="I2400" s="5" t="str">
        <f>IFERROR(__xludf.DUMMYFUNCTION("""COMPUTED_VALUE"""),"How to Train Your Dragon 2")</f>
        <v>How to Train Your Dragon 2</v>
      </c>
      <c r="J2400" s="5" t="str">
        <f>IFERROR(__xludf.DUMMYFUNCTION("""COMPUTED_VALUE"""),"Gerard Butler")</f>
        <v>Gerard Butler</v>
      </c>
      <c r="K2400" s="5" t="str">
        <f>IFERROR(__xludf.DUMMYFUNCTION("""COMPUTED_VALUE"""),"Estrela 3")</f>
        <v>Estrela 3</v>
      </c>
      <c r="P2400" s="5">
        <f>IFERROR(__xludf.DUMMYFUNCTION("""COMPUTED_VALUE"""),600.0)</f>
        <v>600</v>
      </c>
      <c r="Q2400" s="5" t="str">
        <f>IFERROR(__xludf.DUMMYFUNCTION("""COMPUTED_VALUE"""),"How to Train Your Dragon 2")</f>
        <v>How to Train Your Dragon 2</v>
      </c>
      <c r="R2400" s="5" t="str">
        <f>IFERROR(__xludf.DUMMYFUNCTION("""COMPUTED_VALUE"""),"Gerard Butler")</f>
        <v>Gerard Butler</v>
      </c>
      <c r="S2400" s="5" t="str">
        <f>IFERROR(__xludf.DUMMYFUNCTION("""COMPUTED_VALUE"""),"Estrela 3")</f>
        <v>Estrela 3</v>
      </c>
    </row>
    <row r="2401">
      <c r="G2401" s="5" t="str">
        <f>IFERROR(__xludf.DUMMYFUNCTION("""COMPUTED_VALUE"""),"600🤙🏼How to Train Your Dragon 2🤙🏼Craig Ferguson🤙🏼Estrela 4")</f>
        <v>600🤙🏼How to Train Your Dragon 2🤙🏼Craig Ferguson🤙🏼Estrela 4</v>
      </c>
      <c r="H2401" s="5">
        <f>IFERROR(__xludf.DUMMYFUNCTION("SPLiT(G2401, ""🤙🏼"",FALSE,FALSE)"),600.0)</f>
        <v>600</v>
      </c>
      <c r="I2401" s="5" t="str">
        <f>IFERROR(__xludf.DUMMYFUNCTION("""COMPUTED_VALUE"""),"How to Train Your Dragon 2")</f>
        <v>How to Train Your Dragon 2</v>
      </c>
      <c r="J2401" s="5" t="str">
        <f>IFERROR(__xludf.DUMMYFUNCTION("""COMPUTED_VALUE"""),"Craig Ferguson")</f>
        <v>Craig Ferguson</v>
      </c>
      <c r="K2401" s="5" t="str">
        <f>IFERROR(__xludf.DUMMYFUNCTION("""COMPUTED_VALUE"""),"Estrela 4")</f>
        <v>Estrela 4</v>
      </c>
      <c r="P2401" s="5">
        <f>IFERROR(__xludf.DUMMYFUNCTION("""COMPUTED_VALUE"""),600.0)</f>
        <v>600</v>
      </c>
      <c r="Q2401" s="5" t="str">
        <f>IFERROR(__xludf.DUMMYFUNCTION("""COMPUTED_VALUE"""),"How to Train Your Dragon 2")</f>
        <v>How to Train Your Dragon 2</v>
      </c>
      <c r="R2401" s="5" t="str">
        <f>IFERROR(__xludf.DUMMYFUNCTION("""COMPUTED_VALUE"""),"Craig Ferguson")</f>
        <v>Craig Ferguson</v>
      </c>
      <c r="S2401" s="5" t="str">
        <f>IFERROR(__xludf.DUMMYFUNCTION("""COMPUTED_VALUE"""),"Estrela 4")</f>
        <v>Estrela 4</v>
      </c>
    </row>
    <row r="2402">
      <c r="G2402" s="5" t="str">
        <f>IFERROR(__xludf.DUMMYFUNCTION("""COMPUTED_VALUE"""),"601🤙🏼The Big Short🤙🏼Christian Bale🤙🏼Estrela 1")</f>
        <v>601🤙🏼The Big Short🤙🏼Christian Bale🤙🏼Estrela 1</v>
      </c>
      <c r="H2402" s="5">
        <f>IFERROR(__xludf.DUMMYFUNCTION("SPLiT(G2402, ""🤙🏼"",FALSE,FALSE)"),601.0)</f>
        <v>601</v>
      </c>
      <c r="I2402" s="5" t="str">
        <f>IFERROR(__xludf.DUMMYFUNCTION("""COMPUTED_VALUE"""),"The Big Short")</f>
        <v>The Big Short</v>
      </c>
      <c r="J2402" s="5" t="str">
        <f>IFERROR(__xludf.DUMMYFUNCTION("""COMPUTED_VALUE"""),"Christian Bale")</f>
        <v>Christian Bale</v>
      </c>
      <c r="K2402" s="5" t="str">
        <f>IFERROR(__xludf.DUMMYFUNCTION("""COMPUTED_VALUE"""),"Estrela 1")</f>
        <v>Estrela 1</v>
      </c>
      <c r="P2402" s="5">
        <f>IFERROR(__xludf.DUMMYFUNCTION("""COMPUTED_VALUE"""),601.0)</f>
        <v>601</v>
      </c>
      <c r="Q2402" s="5" t="str">
        <f>IFERROR(__xludf.DUMMYFUNCTION("""COMPUTED_VALUE"""),"The Big Short")</f>
        <v>The Big Short</v>
      </c>
      <c r="R2402" s="5" t="str">
        <f>IFERROR(__xludf.DUMMYFUNCTION("""COMPUTED_VALUE"""),"Christian Bale")</f>
        <v>Christian Bale</v>
      </c>
      <c r="S2402" s="5" t="str">
        <f>IFERROR(__xludf.DUMMYFUNCTION("""COMPUTED_VALUE"""),"Estrela 1")</f>
        <v>Estrela 1</v>
      </c>
    </row>
    <row r="2403">
      <c r="G2403" s="5" t="str">
        <f>IFERROR(__xludf.DUMMYFUNCTION("""COMPUTED_VALUE"""),"601🤙🏼The Big Short🤙🏼Steve Carell🤙🏼Estrela 2")</f>
        <v>601🤙🏼The Big Short🤙🏼Steve Carell🤙🏼Estrela 2</v>
      </c>
      <c r="H2403" s="5">
        <f>IFERROR(__xludf.DUMMYFUNCTION("SPLiT(G2403, ""🤙🏼"",FALSE,FALSE)"),601.0)</f>
        <v>601</v>
      </c>
      <c r="I2403" s="5" t="str">
        <f>IFERROR(__xludf.DUMMYFUNCTION("""COMPUTED_VALUE"""),"The Big Short")</f>
        <v>The Big Short</v>
      </c>
      <c r="J2403" s="5" t="str">
        <f>IFERROR(__xludf.DUMMYFUNCTION("""COMPUTED_VALUE"""),"Steve Carell")</f>
        <v>Steve Carell</v>
      </c>
      <c r="K2403" s="5" t="str">
        <f>IFERROR(__xludf.DUMMYFUNCTION("""COMPUTED_VALUE"""),"Estrela 2")</f>
        <v>Estrela 2</v>
      </c>
      <c r="P2403" s="5">
        <f>IFERROR(__xludf.DUMMYFUNCTION("""COMPUTED_VALUE"""),601.0)</f>
        <v>601</v>
      </c>
      <c r="Q2403" s="5" t="str">
        <f>IFERROR(__xludf.DUMMYFUNCTION("""COMPUTED_VALUE"""),"The Big Short")</f>
        <v>The Big Short</v>
      </c>
      <c r="R2403" s="5" t="str">
        <f>IFERROR(__xludf.DUMMYFUNCTION("""COMPUTED_VALUE"""),"Steve Carell")</f>
        <v>Steve Carell</v>
      </c>
      <c r="S2403" s="5" t="str">
        <f>IFERROR(__xludf.DUMMYFUNCTION("""COMPUTED_VALUE"""),"Estrela 2")</f>
        <v>Estrela 2</v>
      </c>
    </row>
    <row r="2404">
      <c r="G2404" s="5" t="str">
        <f>IFERROR(__xludf.DUMMYFUNCTION("""COMPUTED_VALUE"""),"601🤙🏼The Big Short🤙🏼Ryan Gosling🤙🏼Estrela 3")</f>
        <v>601🤙🏼The Big Short🤙🏼Ryan Gosling🤙🏼Estrela 3</v>
      </c>
      <c r="H2404" s="5">
        <f>IFERROR(__xludf.DUMMYFUNCTION("SPLiT(G2404, ""🤙🏼"",FALSE,FALSE)"),601.0)</f>
        <v>601</v>
      </c>
      <c r="I2404" s="5" t="str">
        <f>IFERROR(__xludf.DUMMYFUNCTION("""COMPUTED_VALUE"""),"The Big Short")</f>
        <v>The Big Short</v>
      </c>
      <c r="J2404" s="5" t="str">
        <f>IFERROR(__xludf.DUMMYFUNCTION("""COMPUTED_VALUE"""),"Ryan Gosling")</f>
        <v>Ryan Gosling</v>
      </c>
      <c r="K2404" s="5" t="str">
        <f>IFERROR(__xludf.DUMMYFUNCTION("""COMPUTED_VALUE"""),"Estrela 3")</f>
        <v>Estrela 3</v>
      </c>
      <c r="P2404" s="5">
        <f>IFERROR(__xludf.DUMMYFUNCTION("""COMPUTED_VALUE"""),601.0)</f>
        <v>601</v>
      </c>
      <c r="Q2404" s="5" t="str">
        <f>IFERROR(__xludf.DUMMYFUNCTION("""COMPUTED_VALUE"""),"The Big Short")</f>
        <v>The Big Short</v>
      </c>
      <c r="R2404" s="5" t="str">
        <f>IFERROR(__xludf.DUMMYFUNCTION("""COMPUTED_VALUE"""),"Ryan Gosling")</f>
        <v>Ryan Gosling</v>
      </c>
      <c r="S2404" s="5" t="str">
        <f>IFERROR(__xludf.DUMMYFUNCTION("""COMPUTED_VALUE"""),"Estrela 3")</f>
        <v>Estrela 3</v>
      </c>
    </row>
    <row r="2405">
      <c r="G2405" s="5" t="str">
        <f>IFERROR(__xludf.DUMMYFUNCTION("""COMPUTED_VALUE"""),"601🤙🏼The Big Short🤙🏼Brad Pitt🤙🏼Estrela 4")</f>
        <v>601🤙🏼The Big Short🤙🏼Brad Pitt🤙🏼Estrela 4</v>
      </c>
      <c r="H2405" s="5">
        <f>IFERROR(__xludf.DUMMYFUNCTION("SPLiT(G2405, ""🤙🏼"",FALSE,FALSE)"),601.0)</f>
        <v>601</v>
      </c>
      <c r="I2405" s="5" t="str">
        <f>IFERROR(__xludf.DUMMYFUNCTION("""COMPUTED_VALUE"""),"The Big Short")</f>
        <v>The Big Short</v>
      </c>
      <c r="J2405" s="5" t="str">
        <f>IFERROR(__xludf.DUMMYFUNCTION("""COMPUTED_VALUE"""),"Brad Pitt")</f>
        <v>Brad Pitt</v>
      </c>
      <c r="K2405" s="5" t="str">
        <f>IFERROR(__xludf.DUMMYFUNCTION("""COMPUTED_VALUE"""),"Estrela 4")</f>
        <v>Estrela 4</v>
      </c>
      <c r="P2405" s="5">
        <f>IFERROR(__xludf.DUMMYFUNCTION("""COMPUTED_VALUE"""),601.0)</f>
        <v>601</v>
      </c>
      <c r="Q2405" s="5" t="str">
        <f>IFERROR(__xludf.DUMMYFUNCTION("""COMPUTED_VALUE"""),"The Big Short")</f>
        <v>The Big Short</v>
      </c>
      <c r="R2405" s="5" t="str">
        <f>IFERROR(__xludf.DUMMYFUNCTION("""COMPUTED_VALUE"""),"Brad Pitt")</f>
        <v>Brad Pitt</v>
      </c>
      <c r="S2405" s="5" t="str">
        <f>IFERROR(__xludf.DUMMYFUNCTION("""COMPUTED_VALUE"""),"Estrela 4")</f>
        <v>Estrela 4</v>
      </c>
    </row>
    <row r="2406">
      <c r="G2406" s="5" t="str">
        <f>IFERROR(__xludf.DUMMYFUNCTION("""COMPUTED_VALUE"""),"602🤙🏼Kokuhaku🤙🏼Takako Matsu🤙🏼Estrela 1")</f>
        <v>602🤙🏼Kokuhaku🤙🏼Takako Matsu🤙🏼Estrela 1</v>
      </c>
      <c r="H2406" s="5">
        <f>IFERROR(__xludf.DUMMYFUNCTION("SPLiT(G2406, ""🤙🏼"",FALSE,FALSE)"),602.0)</f>
        <v>602</v>
      </c>
      <c r="I2406" s="5" t="str">
        <f>IFERROR(__xludf.DUMMYFUNCTION("""COMPUTED_VALUE"""),"Kokuhaku")</f>
        <v>Kokuhaku</v>
      </c>
      <c r="J2406" s="5" t="str">
        <f>IFERROR(__xludf.DUMMYFUNCTION("""COMPUTED_VALUE"""),"Takako Matsu")</f>
        <v>Takako Matsu</v>
      </c>
      <c r="K2406" s="5" t="str">
        <f>IFERROR(__xludf.DUMMYFUNCTION("""COMPUTED_VALUE"""),"Estrela 1")</f>
        <v>Estrela 1</v>
      </c>
      <c r="P2406" s="5">
        <f>IFERROR(__xludf.DUMMYFUNCTION("""COMPUTED_VALUE"""),602.0)</f>
        <v>602</v>
      </c>
      <c r="Q2406" s="5" t="str">
        <f>IFERROR(__xludf.DUMMYFUNCTION("""COMPUTED_VALUE"""),"Kokuhaku")</f>
        <v>Kokuhaku</v>
      </c>
      <c r="R2406" s="5" t="str">
        <f>IFERROR(__xludf.DUMMYFUNCTION("""COMPUTED_VALUE"""),"Takako Matsu")</f>
        <v>Takako Matsu</v>
      </c>
      <c r="S2406" s="5" t="str">
        <f>IFERROR(__xludf.DUMMYFUNCTION("""COMPUTED_VALUE"""),"Estrela 1")</f>
        <v>Estrela 1</v>
      </c>
    </row>
    <row r="2407">
      <c r="G2407" s="5" t="str">
        <f>IFERROR(__xludf.DUMMYFUNCTION("""COMPUTED_VALUE"""),"602🤙🏼Kokuhaku🤙🏼Yoshino Kimura🤙🏼Estrela 2")</f>
        <v>602🤙🏼Kokuhaku🤙🏼Yoshino Kimura🤙🏼Estrela 2</v>
      </c>
      <c r="H2407" s="5">
        <f>IFERROR(__xludf.DUMMYFUNCTION("SPLiT(G2407, ""🤙🏼"",FALSE,FALSE)"),602.0)</f>
        <v>602</v>
      </c>
      <c r="I2407" s="5" t="str">
        <f>IFERROR(__xludf.DUMMYFUNCTION("""COMPUTED_VALUE"""),"Kokuhaku")</f>
        <v>Kokuhaku</v>
      </c>
      <c r="J2407" s="5" t="str">
        <f>IFERROR(__xludf.DUMMYFUNCTION("""COMPUTED_VALUE"""),"Yoshino Kimura")</f>
        <v>Yoshino Kimura</v>
      </c>
      <c r="K2407" s="5" t="str">
        <f>IFERROR(__xludf.DUMMYFUNCTION("""COMPUTED_VALUE"""),"Estrela 2")</f>
        <v>Estrela 2</v>
      </c>
      <c r="P2407" s="5">
        <f>IFERROR(__xludf.DUMMYFUNCTION("""COMPUTED_VALUE"""),602.0)</f>
        <v>602</v>
      </c>
      <c r="Q2407" s="5" t="str">
        <f>IFERROR(__xludf.DUMMYFUNCTION("""COMPUTED_VALUE"""),"Kokuhaku")</f>
        <v>Kokuhaku</v>
      </c>
      <c r="R2407" s="5" t="str">
        <f>IFERROR(__xludf.DUMMYFUNCTION("""COMPUTED_VALUE"""),"Yoshino Kimura")</f>
        <v>Yoshino Kimura</v>
      </c>
      <c r="S2407" s="5" t="str">
        <f>IFERROR(__xludf.DUMMYFUNCTION("""COMPUTED_VALUE"""),"Estrela 2")</f>
        <v>Estrela 2</v>
      </c>
    </row>
    <row r="2408">
      <c r="G2408" s="5" t="str">
        <f>IFERROR(__xludf.DUMMYFUNCTION("""COMPUTED_VALUE"""),"602🤙🏼Kokuhaku🤙🏼Masaki Okada🤙🏼Estrela 3")</f>
        <v>602🤙🏼Kokuhaku🤙🏼Masaki Okada🤙🏼Estrela 3</v>
      </c>
      <c r="H2408" s="5">
        <f>IFERROR(__xludf.DUMMYFUNCTION("SPLiT(G2408, ""🤙🏼"",FALSE,FALSE)"),602.0)</f>
        <v>602</v>
      </c>
      <c r="I2408" s="5" t="str">
        <f>IFERROR(__xludf.DUMMYFUNCTION("""COMPUTED_VALUE"""),"Kokuhaku")</f>
        <v>Kokuhaku</v>
      </c>
      <c r="J2408" s="5" t="str">
        <f>IFERROR(__xludf.DUMMYFUNCTION("""COMPUTED_VALUE"""),"Masaki Okada")</f>
        <v>Masaki Okada</v>
      </c>
      <c r="K2408" s="5" t="str">
        <f>IFERROR(__xludf.DUMMYFUNCTION("""COMPUTED_VALUE"""),"Estrela 3")</f>
        <v>Estrela 3</v>
      </c>
      <c r="P2408" s="5">
        <f>IFERROR(__xludf.DUMMYFUNCTION("""COMPUTED_VALUE"""),602.0)</f>
        <v>602</v>
      </c>
      <c r="Q2408" s="5" t="str">
        <f>IFERROR(__xludf.DUMMYFUNCTION("""COMPUTED_VALUE"""),"Kokuhaku")</f>
        <v>Kokuhaku</v>
      </c>
      <c r="R2408" s="5" t="str">
        <f>IFERROR(__xludf.DUMMYFUNCTION("""COMPUTED_VALUE"""),"Masaki Okada")</f>
        <v>Masaki Okada</v>
      </c>
      <c r="S2408" s="5" t="str">
        <f>IFERROR(__xludf.DUMMYFUNCTION("""COMPUTED_VALUE"""),"Estrela 3")</f>
        <v>Estrela 3</v>
      </c>
    </row>
    <row r="2409">
      <c r="G2409" s="5" t="str">
        <f>IFERROR(__xludf.DUMMYFUNCTION("""COMPUTED_VALUE"""),"602🤙🏼Kokuhaku🤙🏼Yukito Nishii🤙🏼Estrela 4")</f>
        <v>602🤙🏼Kokuhaku🤙🏼Yukito Nishii🤙🏼Estrela 4</v>
      </c>
      <c r="H2409" s="5">
        <f>IFERROR(__xludf.DUMMYFUNCTION("SPLiT(G2409, ""🤙🏼"",FALSE,FALSE)"),602.0)</f>
        <v>602</v>
      </c>
      <c r="I2409" s="5" t="str">
        <f>IFERROR(__xludf.DUMMYFUNCTION("""COMPUTED_VALUE"""),"Kokuhaku")</f>
        <v>Kokuhaku</v>
      </c>
      <c r="J2409" s="5" t="str">
        <f>IFERROR(__xludf.DUMMYFUNCTION("""COMPUTED_VALUE"""),"Yukito Nishii")</f>
        <v>Yukito Nishii</v>
      </c>
      <c r="K2409" s="5" t="str">
        <f>IFERROR(__xludf.DUMMYFUNCTION("""COMPUTED_VALUE"""),"Estrela 4")</f>
        <v>Estrela 4</v>
      </c>
      <c r="P2409" s="5">
        <f>IFERROR(__xludf.DUMMYFUNCTION("""COMPUTED_VALUE"""),602.0)</f>
        <v>602</v>
      </c>
      <c r="Q2409" s="5" t="str">
        <f>IFERROR(__xludf.DUMMYFUNCTION("""COMPUTED_VALUE"""),"Kokuhaku")</f>
        <v>Kokuhaku</v>
      </c>
      <c r="R2409" s="5" t="str">
        <f>IFERROR(__xludf.DUMMYFUNCTION("""COMPUTED_VALUE"""),"Yukito Nishii")</f>
        <v>Yukito Nishii</v>
      </c>
      <c r="S2409" s="5" t="str">
        <f>IFERROR(__xludf.DUMMYFUNCTION("""COMPUTED_VALUE"""),"Estrela 4")</f>
        <v>Estrela 4</v>
      </c>
    </row>
    <row r="2410">
      <c r="G2410" s="5" t="str">
        <f>IFERROR(__xludf.DUMMYFUNCTION("""COMPUTED_VALUE"""),"603🤙🏼Ang-ma-reul bo-at-da🤙🏼Lee Byung-Hun🤙🏼Estrela 1")</f>
        <v>603🤙🏼Ang-ma-reul bo-at-da🤙🏼Lee Byung-Hun🤙🏼Estrela 1</v>
      </c>
      <c r="H2410" s="5">
        <f>IFERROR(__xludf.DUMMYFUNCTION("SPLiT(G2410, ""🤙🏼"",FALSE,FALSE)"),603.0)</f>
        <v>603</v>
      </c>
      <c r="I2410" s="5" t="str">
        <f>IFERROR(__xludf.DUMMYFUNCTION("""COMPUTED_VALUE"""),"Ang-ma-reul bo-at-da")</f>
        <v>Ang-ma-reul bo-at-da</v>
      </c>
      <c r="J2410" s="5" t="str">
        <f>IFERROR(__xludf.DUMMYFUNCTION("""COMPUTED_VALUE"""),"Lee Byung-Hun")</f>
        <v>Lee Byung-Hun</v>
      </c>
      <c r="K2410" s="5" t="str">
        <f>IFERROR(__xludf.DUMMYFUNCTION("""COMPUTED_VALUE"""),"Estrela 1")</f>
        <v>Estrela 1</v>
      </c>
      <c r="P2410" s="5">
        <f>IFERROR(__xludf.DUMMYFUNCTION("""COMPUTED_VALUE"""),603.0)</f>
        <v>603</v>
      </c>
      <c r="Q2410" s="5" t="str">
        <f>IFERROR(__xludf.DUMMYFUNCTION("""COMPUTED_VALUE"""),"Ang-ma-reul bo-at-da")</f>
        <v>Ang-ma-reul bo-at-da</v>
      </c>
      <c r="R2410" s="5" t="str">
        <f>IFERROR(__xludf.DUMMYFUNCTION("""COMPUTED_VALUE"""),"Lee Byung-Hun")</f>
        <v>Lee Byung-Hun</v>
      </c>
      <c r="S2410" s="5" t="str">
        <f>IFERROR(__xludf.DUMMYFUNCTION("""COMPUTED_VALUE"""),"Estrela 1")</f>
        <v>Estrela 1</v>
      </c>
    </row>
    <row r="2411">
      <c r="G2411" s="5" t="str">
        <f>IFERROR(__xludf.DUMMYFUNCTION("""COMPUTED_VALUE"""),"603🤙🏼Ang-ma-reul bo-at-da🤙🏼Choi Min-sik🤙🏼Estrela 2")</f>
        <v>603🤙🏼Ang-ma-reul bo-at-da🤙🏼Choi Min-sik🤙🏼Estrela 2</v>
      </c>
      <c r="H2411" s="5">
        <f>IFERROR(__xludf.DUMMYFUNCTION("SPLiT(G2411, ""🤙🏼"",FALSE,FALSE)"),603.0)</f>
        <v>603</v>
      </c>
      <c r="I2411" s="5" t="str">
        <f>IFERROR(__xludf.DUMMYFUNCTION("""COMPUTED_VALUE"""),"Ang-ma-reul bo-at-da")</f>
        <v>Ang-ma-reul bo-at-da</v>
      </c>
      <c r="J2411" s="5" t="str">
        <f>IFERROR(__xludf.DUMMYFUNCTION("""COMPUTED_VALUE"""),"Choi Min-sik")</f>
        <v>Choi Min-sik</v>
      </c>
      <c r="K2411" s="5" t="str">
        <f>IFERROR(__xludf.DUMMYFUNCTION("""COMPUTED_VALUE"""),"Estrela 2")</f>
        <v>Estrela 2</v>
      </c>
      <c r="P2411" s="5">
        <f>IFERROR(__xludf.DUMMYFUNCTION("""COMPUTED_VALUE"""),603.0)</f>
        <v>603</v>
      </c>
      <c r="Q2411" s="5" t="str">
        <f>IFERROR(__xludf.DUMMYFUNCTION("""COMPUTED_VALUE"""),"Ang-ma-reul bo-at-da")</f>
        <v>Ang-ma-reul bo-at-da</v>
      </c>
      <c r="R2411" s="5" t="str">
        <f>IFERROR(__xludf.DUMMYFUNCTION("""COMPUTED_VALUE"""),"Choi Min-sik")</f>
        <v>Choi Min-sik</v>
      </c>
      <c r="S2411" s="5" t="str">
        <f>IFERROR(__xludf.DUMMYFUNCTION("""COMPUTED_VALUE"""),"Estrela 2")</f>
        <v>Estrela 2</v>
      </c>
    </row>
    <row r="2412">
      <c r="G2412" s="5" t="str">
        <f>IFERROR(__xludf.DUMMYFUNCTION("""COMPUTED_VALUE"""),"603🤙🏼Ang-ma-reul bo-at-da🤙🏼Jeon Gook-Hwan🤙🏼Estrela 3")</f>
        <v>603🤙🏼Ang-ma-reul bo-at-da🤙🏼Jeon Gook-Hwan🤙🏼Estrela 3</v>
      </c>
      <c r="H2412" s="5">
        <f>IFERROR(__xludf.DUMMYFUNCTION("SPLiT(G2412, ""🤙🏼"",FALSE,FALSE)"),603.0)</f>
        <v>603</v>
      </c>
      <c r="I2412" s="5" t="str">
        <f>IFERROR(__xludf.DUMMYFUNCTION("""COMPUTED_VALUE"""),"Ang-ma-reul bo-at-da")</f>
        <v>Ang-ma-reul bo-at-da</v>
      </c>
      <c r="J2412" s="5" t="str">
        <f>IFERROR(__xludf.DUMMYFUNCTION("""COMPUTED_VALUE"""),"Jeon Gook-Hwan")</f>
        <v>Jeon Gook-Hwan</v>
      </c>
      <c r="K2412" s="5" t="str">
        <f>IFERROR(__xludf.DUMMYFUNCTION("""COMPUTED_VALUE"""),"Estrela 3")</f>
        <v>Estrela 3</v>
      </c>
      <c r="P2412" s="5">
        <f>IFERROR(__xludf.DUMMYFUNCTION("""COMPUTED_VALUE"""),603.0)</f>
        <v>603</v>
      </c>
      <c r="Q2412" s="5" t="str">
        <f>IFERROR(__xludf.DUMMYFUNCTION("""COMPUTED_VALUE"""),"Ang-ma-reul bo-at-da")</f>
        <v>Ang-ma-reul bo-at-da</v>
      </c>
      <c r="R2412" s="5" t="str">
        <f>IFERROR(__xludf.DUMMYFUNCTION("""COMPUTED_VALUE"""),"Jeon Gook-Hwan")</f>
        <v>Jeon Gook-Hwan</v>
      </c>
      <c r="S2412" s="5" t="str">
        <f>IFERROR(__xludf.DUMMYFUNCTION("""COMPUTED_VALUE"""),"Estrela 3")</f>
        <v>Estrela 3</v>
      </c>
    </row>
    <row r="2413">
      <c r="G2413" s="5" t="str">
        <f>IFERROR(__xludf.DUMMYFUNCTION("""COMPUTED_VALUE"""),"603🤙🏼Ang-ma-reul bo-at-da🤙🏼Ho-jin Chun🤙🏼Estrela 4")</f>
        <v>603🤙🏼Ang-ma-reul bo-at-da🤙🏼Ho-jin Chun🤙🏼Estrela 4</v>
      </c>
      <c r="H2413" s="5">
        <f>IFERROR(__xludf.DUMMYFUNCTION("SPLiT(G2413, ""🤙🏼"",FALSE,FALSE)"),603.0)</f>
        <v>603</v>
      </c>
      <c r="I2413" s="5" t="str">
        <f>IFERROR(__xludf.DUMMYFUNCTION("""COMPUTED_VALUE"""),"Ang-ma-reul bo-at-da")</f>
        <v>Ang-ma-reul bo-at-da</v>
      </c>
      <c r="J2413" s="5" t="str">
        <f>IFERROR(__xludf.DUMMYFUNCTION("""COMPUTED_VALUE"""),"Ho-jin Chun")</f>
        <v>Ho-jin Chun</v>
      </c>
      <c r="K2413" s="5" t="str">
        <f>IFERROR(__xludf.DUMMYFUNCTION("""COMPUTED_VALUE"""),"Estrela 4")</f>
        <v>Estrela 4</v>
      </c>
      <c r="P2413" s="5">
        <f>IFERROR(__xludf.DUMMYFUNCTION("""COMPUTED_VALUE"""),603.0)</f>
        <v>603</v>
      </c>
      <c r="Q2413" s="5" t="str">
        <f>IFERROR(__xludf.DUMMYFUNCTION("""COMPUTED_VALUE"""),"Ang-ma-reul bo-at-da")</f>
        <v>Ang-ma-reul bo-at-da</v>
      </c>
      <c r="R2413" s="5" t="str">
        <f>IFERROR(__xludf.DUMMYFUNCTION("""COMPUTED_VALUE"""),"Ho-jin Chun")</f>
        <v>Ho-jin Chun</v>
      </c>
      <c r="S2413" s="5" t="str">
        <f>IFERROR(__xludf.DUMMYFUNCTION("""COMPUTED_VALUE"""),"Estrela 4")</f>
        <v>Estrela 4</v>
      </c>
    </row>
    <row r="2414">
      <c r="G2414" s="5" t="str">
        <f>IFERROR(__xludf.DUMMYFUNCTION("""COMPUTED_VALUE"""),"604🤙🏼The Girl with the Dragon Tattoo🤙🏼Daniel Craig🤙🏼Estrela 1")</f>
        <v>604🤙🏼The Girl with the Dragon Tattoo🤙🏼Daniel Craig🤙🏼Estrela 1</v>
      </c>
      <c r="H2414" s="5">
        <f>IFERROR(__xludf.DUMMYFUNCTION("SPLiT(G2414, ""🤙🏼"",FALSE,FALSE)"),604.0)</f>
        <v>604</v>
      </c>
      <c r="I2414" s="5" t="str">
        <f>IFERROR(__xludf.DUMMYFUNCTION("""COMPUTED_VALUE"""),"The Girl with the Dragon Tattoo")</f>
        <v>The Girl with the Dragon Tattoo</v>
      </c>
      <c r="J2414" s="5" t="str">
        <f>IFERROR(__xludf.DUMMYFUNCTION("""COMPUTED_VALUE"""),"Daniel Craig")</f>
        <v>Daniel Craig</v>
      </c>
      <c r="K2414" s="5" t="str">
        <f>IFERROR(__xludf.DUMMYFUNCTION("""COMPUTED_VALUE"""),"Estrela 1")</f>
        <v>Estrela 1</v>
      </c>
      <c r="P2414" s="5">
        <f>IFERROR(__xludf.DUMMYFUNCTION("""COMPUTED_VALUE"""),604.0)</f>
        <v>604</v>
      </c>
      <c r="Q2414" s="5" t="str">
        <f>IFERROR(__xludf.DUMMYFUNCTION("""COMPUTED_VALUE"""),"The Girl with the Dragon Tattoo")</f>
        <v>The Girl with the Dragon Tattoo</v>
      </c>
      <c r="R2414" s="5" t="str">
        <f>IFERROR(__xludf.DUMMYFUNCTION("""COMPUTED_VALUE"""),"Daniel Craig")</f>
        <v>Daniel Craig</v>
      </c>
      <c r="S2414" s="5" t="str">
        <f>IFERROR(__xludf.DUMMYFUNCTION("""COMPUTED_VALUE"""),"Estrela 1")</f>
        <v>Estrela 1</v>
      </c>
    </row>
    <row r="2415">
      <c r="G2415" s="5" t="str">
        <f>IFERROR(__xludf.DUMMYFUNCTION("""COMPUTED_VALUE"""),"604🤙🏼The Girl with the Dragon Tattoo🤙🏼Rooney Mara🤙🏼Estrela 2")</f>
        <v>604🤙🏼The Girl with the Dragon Tattoo🤙🏼Rooney Mara🤙🏼Estrela 2</v>
      </c>
      <c r="H2415" s="5">
        <f>IFERROR(__xludf.DUMMYFUNCTION("SPLiT(G2415, ""🤙🏼"",FALSE,FALSE)"),604.0)</f>
        <v>604</v>
      </c>
      <c r="I2415" s="5" t="str">
        <f>IFERROR(__xludf.DUMMYFUNCTION("""COMPUTED_VALUE"""),"The Girl with the Dragon Tattoo")</f>
        <v>The Girl with the Dragon Tattoo</v>
      </c>
      <c r="J2415" s="5" t="str">
        <f>IFERROR(__xludf.DUMMYFUNCTION("""COMPUTED_VALUE"""),"Rooney Mara")</f>
        <v>Rooney Mara</v>
      </c>
      <c r="K2415" s="5" t="str">
        <f>IFERROR(__xludf.DUMMYFUNCTION("""COMPUTED_VALUE"""),"Estrela 2")</f>
        <v>Estrela 2</v>
      </c>
      <c r="P2415" s="5">
        <f>IFERROR(__xludf.DUMMYFUNCTION("""COMPUTED_VALUE"""),604.0)</f>
        <v>604</v>
      </c>
      <c r="Q2415" s="5" t="str">
        <f>IFERROR(__xludf.DUMMYFUNCTION("""COMPUTED_VALUE"""),"The Girl with the Dragon Tattoo")</f>
        <v>The Girl with the Dragon Tattoo</v>
      </c>
      <c r="R2415" s="5" t="str">
        <f>IFERROR(__xludf.DUMMYFUNCTION("""COMPUTED_VALUE"""),"Rooney Mara")</f>
        <v>Rooney Mara</v>
      </c>
      <c r="S2415" s="5" t="str">
        <f>IFERROR(__xludf.DUMMYFUNCTION("""COMPUTED_VALUE"""),"Estrela 2")</f>
        <v>Estrela 2</v>
      </c>
    </row>
    <row r="2416">
      <c r="G2416" s="5" t="str">
        <f>IFERROR(__xludf.DUMMYFUNCTION("""COMPUTED_VALUE"""),"604🤙🏼The Girl with the Dragon Tattoo🤙🏼Christopher Plummer🤙🏼Estrela 3")</f>
        <v>604🤙🏼The Girl with the Dragon Tattoo🤙🏼Christopher Plummer🤙🏼Estrela 3</v>
      </c>
      <c r="H2416" s="5">
        <f>IFERROR(__xludf.DUMMYFUNCTION("SPLiT(G2416, ""🤙🏼"",FALSE,FALSE)"),604.0)</f>
        <v>604</v>
      </c>
      <c r="I2416" s="5" t="str">
        <f>IFERROR(__xludf.DUMMYFUNCTION("""COMPUTED_VALUE"""),"The Girl with the Dragon Tattoo")</f>
        <v>The Girl with the Dragon Tattoo</v>
      </c>
      <c r="J2416" s="5" t="str">
        <f>IFERROR(__xludf.DUMMYFUNCTION("""COMPUTED_VALUE"""),"Christopher Plummer")</f>
        <v>Christopher Plummer</v>
      </c>
      <c r="K2416" s="5" t="str">
        <f>IFERROR(__xludf.DUMMYFUNCTION("""COMPUTED_VALUE"""),"Estrela 3")</f>
        <v>Estrela 3</v>
      </c>
      <c r="P2416" s="5">
        <f>IFERROR(__xludf.DUMMYFUNCTION("""COMPUTED_VALUE"""),604.0)</f>
        <v>604</v>
      </c>
      <c r="Q2416" s="5" t="str">
        <f>IFERROR(__xludf.DUMMYFUNCTION("""COMPUTED_VALUE"""),"The Girl with the Dragon Tattoo")</f>
        <v>The Girl with the Dragon Tattoo</v>
      </c>
      <c r="R2416" s="5" t="str">
        <f>IFERROR(__xludf.DUMMYFUNCTION("""COMPUTED_VALUE"""),"Christopher Plummer")</f>
        <v>Christopher Plummer</v>
      </c>
      <c r="S2416" s="5" t="str">
        <f>IFERROR(__xludf.DUMMYFUNCTION("""COMPUTED_VALUE"""),"Estrela 3")</f>
        <v>Estrela 3</v>
      </c>
    </row>
    <row r="2417">
      <c r="G2417" s="5" t="str">
        <f>IFERROR(__xludf.DUMMYFUNCTION("""COMPUTED_VALUE"""),"604🤙🏼The Girl with the Dragon Tattoo🤙🏼Stellan Skarsgård🤙🏼Estrela 4")</f>
        <v>604🤙🏼The Girl with the Dragon Tattoo🤙🏼Stellan Skarsgård🤙🏼Estrela 4</v>
      </c>
      <c r="H2417" s="5">
        <f>IFERROR(__xludf.DUMMYFUNCTION("SPLiT(G2417, ""🤙🏼"",FALSE,FALSE)"),604.0)</f>
        <v>604</v>
      </c>
      <c r="I2417" s="5" t="str">
        <f>IFERROR(__xludf.DUMMYFUNCTION("""COMPUTED_VALUE"""),"The Girl with the Dragon Tattoo")</f>
        <v>The Girl with the Dragon Tattoo</v>
      </c>
      <c r="J2417" s="5" t="str">
        <f>IFERROR(__xludf.DUMMYFUNCTION("""COMPUTED_VALUE"""),"Stellan Skarsgård")</f>
        <v>Stellan Skarsgård</v>
      </c>
      <c r="K2417" s="5" t="str">
        <f>IFERROR(__xludf.DUMMYFUNCTION("""COMPUTED_VALUE"""),"Estrela 4")</f>
        <v>Estrela 4</v>
      </c>
      <c r="P2417" s="5">
        <f>IFERROR(__xludf.DUMMYFUNCTION("""COMPUTED_VALUE"""),604.0)</f>
        <v>604</v>
      </c>
      <c r="Q2417" s="5" t="str">
        <f>IFERROR(__xludf.DUMMYFUNCTION("""COMPUTED_VALUE"""),"The Girl with the Dragon Tattoo")</f>
        <v>The Girl with the Dragon Tattoo</v>
      </c>
      <c r="R2417" s="5" t="str">
        <f>IFERROR(__xludf.DUMMYFUNCTION("""COMPUTED_VALUE"""),"Stellan Skarsgård")</f>
        <v>Stellan Skarsgård</v>
      </c>
      <c r="S2417" s="5" t="str">
        <f>IFERROR(__xludf.DUMMYFUNCTION("""COMPUTED_VALUE"""),"Estrela 4")</f>
        <v>Estrela 4</v>
      </c>
    </row>
    <row r="2418">
      <c r="G2418" s="5" t="str">
        <f>IFERROR(__xludf.DUMMYFUNCTION("""COMPUTED_VALUE"""),"605🤙🏼Captain Phillips🤙🏼Tom Hanks🤙🏼Estrela 1")</f>
        <v>605🤙🏼Captain Phillips🤙🏼Tom Hanks🤙🏼Estrela 1</v>
      </c>
      <c r="H2418" s="5">
        <f>IFERROR(__xludf.DUMMYFUNCTION("SPLiT(G2418, ""🤙🏼"",FALSE,FALSE)"),605.0)</f>
        <v>605</v>
      </c>
      <c r="I2418" s="5" t="str">
        <f>IFERROR(__xludf.DUMMYFUNCTION("""COMPUTED_VALUE"""),"Captain Phillips")</f>
        <v>Captain Phillips</v>
      </c>
      <c r="J2418" s="5" t="str">
        <f>IFERROR(__xludf.DUMMYFUNCTION("""COMPUTED_VALUE"""),"Tom Hanks")</f>
        <v>Tom Hanks</v>
      </c>
      <c r="K2418" s="5" t="str">
        <f>IFERROR(__xludf.DUMMYFUNCTION("""COMPUTED_VALUE"""),"Estrela 1")</f>
        <v>Estrela 1</v>
      </c>
      <c r="P2418" s="5">
        <f>IFERROR(__xludf.DUMMYFUNCTION("""COMPUTED_VALUE"""),605.0)</f>
        <v>605</v>
      </c>
      <c r="Q2418" s="5" t="str">
        <f>IFERROR(__xludf.DUMMYFUNCTION("""COMPUTED_VALUE"""),"Captain Phillips")</f>
        <v>Captain Phillips</v>
      </c>
      <c r="R2418" s="5" t="str">
        <f>IFERROR(__xludf.DUMMYFUNCTION("""COMPUTED_VALUE"""),"Tom Hanks")</f>
        <v>Tom Hanks</v>
      </c>
      <c r="S2418" s="5" t="str">
        <f>IFERROR(__xludf.DUMMYFUNCTION("""COMPUTED_VALUE"""),"Estrela 1")</f>
        <v>Estrela 1</v>
      </c>
    </row>
    <row r="2419">
      <c r="G2419" s="5" t="str">
        <f>IFERROR(__xludf.DUMMYFUNCTION("""COMPUTED_VALUE"""),"605🤙🏼Captain Phillips🤙🏼Barkhad Abdi🤙🏼Estrela 2")</f>
        <v>605🤙🏼Captain Phillips🤙🏼Barkhad Abdi🤙🏼Estrela 2</v>
      </c>
      <c r="H2419" s="5">
        <f>IFERROR(__xludf.DUMMYFUNCTION("SPLiT(G2419, ""🤙🏼"",FALSE,FALSE)"),605.0)</f>
        <v>605</v>
      </c>
      <c r="I2419" s="5" t="str">
        <f>IFERROR(__xludf.DUMMYFUNCTION("""COMPUTED_VALUE"""),"Captain Phillips")</f>
        <v>Captain Phillips</v>
      </c>
      <c r="J2419" s="5" t="str">
        <f>IFERROR(__xludf.DUMMYFUNCTION("""COMPUTED_VALUE"""),"Barkhad Abdi")</f>
        <v>Barkhad Abdi</v>
      </c>
      <c r="K2419" s="5" t="str">
        <f>IFERROR(__xludf.DUMMYFUNCTION("""COMPUTED_VALUE"""),"Estrela 2")</f>
        <v>Estrela 2</v>
      </c>
      <c r="P2419" s="5">
        <f>IFERROR(__xludf.DUMMYFUNCTION("""COMPUTED_VALUE"""),605.0)</f>
        <v>605</v>
      </c>
      <c r="Q2419" s="5" t="str">
        <f>IFERROR(__xludf.DUMMYFUNCTION("""COMPUTED_VALUE"""),"Captain Phillips")</f>
        <v>Captain Phillips</v>
      </c>
      <c r="R2419" s="5" t="str">
        <f>IFERROR(__xludf.DUMMYFUNCTION("""COMPUTED_VALUE"""),"Barkhad Abdi")</f>
        <v>Barkhad Abdi</v>
      </c>
      <c r="S2419" s="5" t="str">
        <f>IFERROR(__xludf.DUMMYFUNCTION("""COMPUTED_VALUE"""),"Estrela 2")</f>
        <v>Estrela 2</v>
      </c>
    </row>
    <row r="2420">
      <c r="G2420" s="5" t="str">
        <f>IFERROR(__xludf.DUMMYFUNCTION("""COMPUTED_VALUE"""),"605🤙🏼Captain Phillips🤙🏼Barkhad Abdirahman🤙🏼Estrela 3")</f>
        <v>605🤙🏼Captain Phillips🤙🏼Barkhad Abdirahman🤙🏼Estrela 3</v>
      </c>
      <c r="H2420" s="5">
        <f>IFERROR(__xludf.DUMMYFUNCTION("SPLiT(G2420, ""🤙🏼"",FALSE,FALSE)"),605.0)</f>
        <v>605</v>
      </c>
      <c r="I2420" s="5" t="str">
        <f>IFERROR(__xludf.DUMMYFUNCTION("""COMPUTED_VALUE"""),"Captain Phillips")</f>
        <v>Captain Phillips</v>
      </c>
      <c r="J2420" s="5" t="str">
        <f>IFERROR(__xludf.DUMMYFUNCTION("""COMPUTED_VALUE"""),"Barkhad Abdirahman")</f>
        <v>Barkhad Abdirahman</v>
      </c>
      <c r="K2420" s="5" t="str">
        <f>IFERROR(__xludf.DUMMYFUNCTION("""COMPUTED_VALUE"""),"Estrela 3")</f>
        <v>Estrela 3</v>
      </c>
      <c r="P2420" s="5">
        <f>IFERROR(__xludf.DUMMYFUNCTION("""COMPUTED_VALUE"""),605.0)</f>
        <v>605</v>
      </c>
      <c r="Q2420" s="5" t="str">
        <f>IFERROR(__xludf.DUMMYFUNCTION("""COMPUTED_VALUE"""),"Captain Phillips")</f>
        <v>Captain Phillips</v>
      </c>
      <c r="R2420" s="5" t="str">
        <f>IFERROR(__xludf.DUMMYFUNCTION("""COMPUTED_VALUE"""),"Barkhad Abdirahman")</f>
        <v>Barkhad Abdirahman</v>
      </c>
      <c r="S2420" s="5" t="str">
        <f>IFERROR(__xludf.DUMMYFUNCTION("""COMPUTED_VALUE"""),"Estrela 3")</f>
        <v>Estrela 3</v>
      </c>
    </row>
    <row r="2421">
      <c r="G2421" s="5" t="str">
        <f>IFERROR(__xludf.DUMMYFUNCTION("""COMPUTED_VALUE"""),"605🤙🏼Captain Phillips🤙🏼Catherine Keener🤙🏼Estrela 4")</f>
        <v>605🤙🏼Captain Phillips🤙🏼Catherine Keener🤙🏼Estrela 4</v>
      </c>
      <c r="H2421" s="5">
        <f>IFERROR(__xludf.DUMMYFUNCTION("SPLiT(G2421, ""🤙🏼"",FALSE,FALSE)"),605.0)</f>
        <v>605</v>
      </c>
      <c r="I2421" s="5" t="str">
        <f>IFERROR(__xludf.DUMMYFUNCTION("""COMPUTED_VALUE"""),"Captain Phillips")</f>
        <v>Captain Phillips</v>
      </c>
      <c r="J2421" s="5" t="str">
        <f>IFERROR(__xludf.DUMMYFUNCTION("""COMPUTED_VALUE"""),"Catherine Keener")</f>
        <v>Catherine Keener</v>
      </c>
      <c r="K2421" s="5" t="str">
        <f>IFERROR(__xludf.DUMMYFUNCTION("""COMPUTED_VALUE"""),"Estrela 4")</f>
        <v>Estrela 4</v>
      </c>
      <c r="P2421" s="5">
        <f>IFERROR(__xludf.DUMMYFUNCTION("""COMPUTED_VALUE"""),605.0)</f>
        <v>605</v>
      </c>
      <c r="Q2421" s="5" t="str">
        <f>IFERROR(__xludf.DUMMYFUNCTION("""COMPUTED_VALUE"""),"Captain Phillips")</f>
        <v>Captain Phillips</v>
      </c>
      <c r="R2421" s="5" t="str">
        <f>IFERROR(__xludf.DUMMYFUNCTION("""COMPUTED_VALUE"""),"Catherine Keener")</f>
        <v>Catherine Keener</v>
      </c>
      <c r="S2421" s="5" t="str">
        <f>IFERROR(__xludf.DUMMYFUNCTION("""COMPUTED_VALUE"""),"Estrela 4")</f>
        <v>Estrela 4</v>
      </c>
    </row>
    <row r="2422">
      <c r="G2422" s="5" t="str">
        <f>IFERROR(__xludf.DUMMYFUNCTION("""COMPUTED_VALUE"""),"606🤙🏼Ajeossi🤙🏼Won Bin🤙🏼Estrela 1")</f>
        <v>606🤙🏼Ajeossi🤙🏼Won Bin🤙🏼Estrela 1</v>
      </c>
      <c r="H2422" s="5">
        <f>IFERROR(__xludf.DUMMYFUNCTION("SPLiT(G2422, ""🤙🏼"",FALSE,FALSE)"),606.0)</f>
        <v>606</v>
      </c>
      <c r="I2422" s="5" t="str">
        <f>IFERROR(__xludf.DUMMYFUNCTION("""COMPUTED_VALUE"""),"Ajeossi")</f>
        <v>Ajeossi</v>
      </c>
      <c r="J2422" s="5" t="str">
        <f>IFERROR(__xludf.DUMMYFUNCTION("""COMPUTED_VALUE"""),"Won Bin")</f>
        <v>Won Bin</v>
      </c>
      <c r="K2422" s="5" t="str">
        <f>IFERROR(__xludf.DUMMYFUNCTION("""COMPUTED_VALUE"""),"Estrela 1")</f>
        <v>Estrela 1</v>
      </c>
      <c r="P2422" s="5">
        <f>IFERROR(__xludf.DUMMYFUNCTION("""COMPUTED_VALUE"""),606.0)</f>
        <v>606</v>
      </c>
      <c r="Q2422" s="5" t="str">
        <f>IFERROR(__xludf.DUMMYFUNCTION("""COMPUTED_VALUE"""),"Ajeossi")</f>
        <v>Ajeossi</v>
      </c>
      <c r="R2422" s="5" t="str">
        <f>IFERROR(__xludf.DUMMYFUNCTION("""COMPUTED_VALUE"""),"Won Bin")</f>
        <v>Won Bin</v>
      </c>
      <c r="S2422" s="5" t="str">
        <f>IFERROR(__xludf.DUMMYFUNCTION("""COMPUTED_VALUE"""),"Estrela 1")</f>
        <v>Estrela 1</v>
      </c>
    </row>
    <row r="2423">
      <c r="G2423" s="5" t="str">
        <f>IFERROR(__xludf.DUMMYFUNCTION("""COMPUTED_VALUE"""),"606🤙🏼Ajeossi🤙🏼Sae-ron Kim🤙🏼Estrela 2")</f>
        <v>606🤙🏼Ajeossi🤙🏼Sae-ron Kim🤙🏼Estrela 2</v>
      </c>
      <c r="H2423" s="5">
        <f>IFERROR(__xludf.DUMMYFUNCTION("SPLiT(G2423, ""🤙🏼"",FALSE,FALSE)"),606.0)</f>
        <v>606</v>
      </c>
      <c r="I2423" s="5" t="str">
        <f>IFERROR(__xludf.DUMMYFUNCTION("""COMPUTED_VALUE"""),"Ajeossi")</f>
        <v>Ajeossi</v>
      </c>
      <c r="J2423" s="5" t="str">
        <f>IFERROR(__xludf.DUMMYFUNCTION("""COMPUTED_VALUE"""),"Sae-ron Kim")</f>
        <v>Sae-ron Kim</v>
      </c>
      <c r="K2423" s="5" t="str">
        <f>IFERROR(__xludf.DUMMYFUNCTION("""COMPUTED_VALUE"""),"Estrela 2")</f>
        <v>Estrela 2</v>
      </c>
      <c r="P2423" s="5">
        <f>IFERROR(__xludf.DUMMYFUNCTION("""COMPUTED_VALUE"""),606.0)</f>
        <v>606</v>
      </c>
      <c r="Q2423" s="5" t="str">
        <f>IFERROR(__xludf.DUMMYFUNCTION("""COMPUTED_VALUE"""),"Ajeossi")</f>
        <v>Ajeossi</v>
      </c>
      <c r="R2423" s="5" t="str">
        <f>IFERROR(__xludf.DUMMYFUNCTION("""COMPUTED_VALUE"""),"Sae-ron Kim")</f>
        <v>Sae-ron Kim</v>
      </c>
      <c r="S2423" s="5" t="str">
        <f>IFERROR(__xludf.DUMMYFUNCTION("""COMPUTED_VALUE"""),"Estrela 2")</f>
        <v>Estrela 2</v>
      </c>
    </row>
    <row r="2424">
      <c r="G2424" s="5" t="str">
        <f>IFERROR(__xludf.DUMMYFUNCTION("""COMPUTED_VALUE"""),"606🤙🏼Ajeossi🤙🏼Tae-hoon Kim🤙🏼Estrela 3")</f>
        <v>606🤙🏼Ajeossi🤙🏼Tae-hoon Kim🤙🏼Estrela 3</v>
      </c>
      <c r="H2424" s="5">
        <f>IFERROR(__xludf.DUMMYFUNCTION("SPLiT(G2424, ""🤙🏼"",FALSE,FALSE)"),606.0)</f>
        <v>606</v>
      </c>
      <c r="I2424" s="5" t="str">
        <f>IFERROR(__xludf.DUMMYFUNCTION("""COMPUTED_VALUE"""),"Ajeossi")</f>
        <v>Ajeossi</v>
      </c>
      <c r="J2424" s="5" t="str">
        <f>IFERROR(__xludf.DUMMYFUNCTION("""COMPUTED_VALUE"""),"Tae-hoon Kim")</f>
        <v>Tae-hoon Kim</v>
      </c>
      <c r="K2424" s="5" t="str">
        <f>IFERROR(__xludf.DUMMYFUNCTION("""COMPUTED_VALUE"""),"Estrela 3")</f>
        <v>Estrela 3</v>
      </c>
      <c r="P2424" s="5">
        <f>IFERROR(__xludf.DUMMYFUNCTION("""COMPUTED_VALUE"""),606.0)</f>
        <v>606</v>
      </c>
      <c r="Q2424" s="5" t="str">
        <f>IFERROR(__xludf.DUMMYFUNCTION("""COMPUTED_VALUE"""),"Ajeossi")</f>
        <v>Ajeossi</v>
      </c>
      <c r="R2424" s="5" t="str">
        <f>IFERROR(__xludf.DUMMYFUNCTION("""COMPUTED_VALUE"""),"Tae-hoon Kim")</f>
        <v>Tae-hoon Kim</v>
      </c>
      <c r="S2424" s="5" t="str">
        <f>IFERROR(__xludf.DUMMYFUNCTION("""COMPUTED_VALUE"""),"Estrela 3")</f>
        <v>Estrela 3</v>
      </c>
    </row>
    <row r="2425">
      <c r="G2425" s="5" t="str">
        <f>IFERROR(__xludf.DUMMYFUNCTION("""COMPUTED_VALUE"""),"606🤙🏼Ajeossi🤙🏼Hee-won Kim🤙🏼Estrela 4")</f>
        <v>606🤙🏼Ajeossi🤙🏼Hee-won Kim🤙🏼Estrela 4</v>
      </c>
      <c r="H2425" s="5">
        <f>IFERROR(__xludf.DUMMYFUNCTION("SPLiT(G2425, ""🤙🏼"",FALSE,FALSE)"),606.0)</f>
        <v>606</v>
      </c>
      <c r="I2425" s="5" t="str">
        <f>IFERROR(__xludf.DUMMYFUNCTION("""COMPUTED_VALUE"""),"Ajeossi")</f>
        <v>Ajeossi</v>
      </c>
      <c r="J2425" s="5" t="str">
        <f>IFERROR(__xludf.DUMMYFUNCTION("""COMPUTED_VALUE"""),"Hee-won Kim")</f>
        <v>Hee-won Kim</v>
      </c>
      <c r="K2425" s="5" t="str">
        <f>IFERROR(__xludf.DUMMYFUNCTION("""COMPUTED_VALUE"""),"Estrela 4")</f>
        <v>Estrela 4</v>
      </c>
      <c r="P2425" s="5">
        <f>IFERROR(__xludf.DUMMYFUNCTION("""COMPUTED_VALUE"""),606.0)</f>
        <v>606</v>
      </c>
      <c r="Q2425" s="5" t="str">
        <f>IFERROR(__xludf.DUMMYFUNCTION("""COMPUTED_VALUE"""),"Ajeossi")</f>
        <v>Ajeossi</v>
      </c>
      <c r="R2425" s="5" t="str">
        <f>IFERROR(__xludf.DUMMYFUNCTION("""COMPUTED_VALUE"""),"Hee-won Kim")</f>
        <v>Hee-won Kim</v>
      </c>
      <c r="S2425" s="5" t="str">
        <f>IFERROR(__xludf.DUMMYFUNCTION("""COMPUTED_VALUE"""),"Estrela 4")</f>
        <v>Estrela 4</v>
      </c>
    </row>
    <row r="2426">
      <c r="G2426" s="5" t="str">
        <f>IFERROR(__xludf.DUMMYFUNCTION("""COMPUTED_VALUE"""),"607🤙🏼Straight Outta Compton🤙🏼O'Shea Jackson Jr.🤙🏼Estrela 1")</f>
        <v>607🤙🏼Straight Outta Compton🤙🏼O'Shea Jackson Jr.🤙🏼Estrela 1</v>
      </c>
      <c r="H2426" s="5">
        <f>IFERROR(__xludf.DUMMYFUNCTION("SPLiT(G2426, ""🤙🏼"",FALSE,FALSE)"),607.0)</f>
        <v>607</v>
      </c>
      <c r="I2426" s="5" t="str">
        <f>IFERROR(__xludf.DUMMYFUNCTION("""COMPUTED_VALUE"""),"Straight Outta Compton")</f>
        <v>Straight Outta Compton</v>
      </c>
      <c r="J2426" s="5" t="str">
        <f>IFERROR(__xludf.DUMMYFUNCTION("""COMPUTED_VALUE"""),"O'Shea Jackson Jr.")</f>
        <v>O'Shea Jackson Jr.</v>
      </c>
      <c r="K2426" s="5" t="str">
        <f>IFERROR(__xludf.DUMMYFUNCTION("""COMPUTED_VALUE"""),"Estrela 1")</f>
        <v>Estrela 1</v>
      </c>
      <c r="P2426" s="5">
        <f>IFERROR(__xludf.DUMMYFUNCTION("""COMPUTED_VALUE"""),607.0)</f>
        <v>607</v>
      </c>
      <c r="Q2426" s="5" t="str">
        <f>IFERROR(__xludf.DUMMYFUNCTION("""COMPUTED_VALUE"""),"Straight Outta Compton")</f>
        <v>Straight Outta Compton</v>
      </c>
      <c r="R2426" s="5" t="str">
        <f>IFERROR(__xludf.DUMMYFUNCTION("""COMPUTED_VALUE"""),"O'Shea Jackson Jr.")</f>
        <v>O'Shea Jackson Jr.</v>
      </c>
      <c r="S2426" s="5" t="str">
        <f>IFERROR(__xludf.DUMMYFUNCTION("""COMPUTED_VALUE"""),"Estrela 1")</f>
        <v>Estrela 1</v>
      </c>
    </row>
    <row r="2427">
      <c r="G2427" s="5" t="str">
        <f>IFERROR(__xludf.DUMMYFUNCTION("""COMPUTED_VALUE"""),"607🤙🏼Straight Outta Compton🤙🏼Corey Hawkins🤙🏼Estrela 2")</f>
        <v>607🤙🏼Straight Outta Compton🤙🏼Corey Hawkins🤙🏼Estrela 2</v>
      </c>
      <c r="H2427" s="5">
        <f>IFERROR(__xludf.DUMMYFUNCTION("SPLiT(G2427, ""🤙🏼"",FALSE,FALSE)"),607.0)</f>
        <v>607</v>
      </c>
      <c r="I2427" s="5" t="str">
        <f>IFERROR(__xludf.DUMMYFUNCTION("""COMPUTED_VALUE"""),"Straight Outta Compton")</f>
        <v>Straight Outta Compton</v>
      </c>
      <c r="J2427" s="5" t="str">
        <f>IFERROR(__xludf.DUMMYFUNCTION("""COMPUTED_VALUE"""),"Corey Hawkins")</f>
        <v>Corey Hawkins</v>
      </c>
      <c r="K2427" s="5" t="str">
        <f>IFERROR(__xludf.DUMMYFUNCTION("""COMPUTED_VALUE"""),"Estrela 2")</f>
        <v>Estrela 2</v>
      </c>
      <c r="P2427" s="5">
        <f>IFERROR(__xludf.DUMMYFUNCTION("""COMPUTED_VALUE"""),607.0)</f>
        <v>607</v>
      </c>
      <c r="Q2427" s="5" t="str">
        <f>IFERROR(__xludf.DUMMYFUNCTION("""COMPUTED_VALUE"""),"Straight Outta Compton")</f>
        <v>Straight Outta Compton</v>
      </c>
      <c r="R2427" s="5" t="str">
        <f>IFERROR(__xludf.DUMMYFUNCTION("""COMPUTED_VALUE"""),"Corey Hawkins")</f>
        <v>Corey Hawkins</v>
      </c>
      <c r="S2427" s="5" t="str">
        <f>IFERROR(__xludf.DUMMYFUNCTION("""COMPUTED_VALUE"""),"Estrela 2")</f>
        <v>Estrela 2</v>
      </c>
    </row>
    <row r="2428">
      <c r="G2428" s="5" t="str">
        <f>IFERROR(__xludf.DUMMYFUNCTION("""COMPUTED_VALUE"""),"607🤙🏼Straight Outta Compton🤙🏼Jason Mitchell🤙🏼Estrela 3")</f>
        <v>607🤙🏼Straight Outta Compton🤙🏼Jason Mitchell🤙🏼Estrela 3</v>
      </c>
      <c r="H2428" s="5">
        <f>IFERROR(__xludf.DUMMYFUNCTION("SPLiT(G2428, ""🤙🏼"",FALSE,FALSE)"),607.0)</f>
        <v>607</v>
      </c>
      <c r="I2428" s="5" t="str">
        <f>IFERROR(__xludf.DUMMYFUNCTION("""COMPUTED_VALUE"""),"Straight Outta Compton")</f>
        <v>Straight Outta Compton</v>
      </c>
      <c r="J2428" s="5" t="str">
        <f>IFERROR(__xludf.DUMMYFUNCTION("""COMPUTED_VALUE"""),"Jason Mitchell")</f>
        <v>Jason Mitchell</v>
      </c>
      <c r="K2428" s="5" t="str">
        <f>IFERROR(__xludf.DUMMYFUNCTION("""COMPUTED_VALUE"""),"Estrela 3")</f>
        <v>Estrela 3</v>
      </c>
      <c r="P2428" s="5">
        <f>IFERROR(__xludf.DUMMYFUNCTION("""COMPUTED_VALUE"""),607.0)</f>
        <v>607</v>
      </c>
      <c r="Q2428" s="5" t="str">
        <f>IFERROR(__xludf.DUMMYFUNCTION("""COMPUTED_VALUE"""),"Straight Outta Compton")</f>
        <v>Straight Outta Compton</v>
      </c>
      <c r="R2428" s="5" t="str">
        <f>IFERROR(__xludf.DUMMYFUNCTION("""COMPUTED_VALUE"""),"Jason Mitchell")</f>
        <v>Jason Mitchell</v>
      </c>
      <c r="S2428" s="5" t="str">
        <f>IFERROR(__xludf.DUMMYFUNCTION("""COMPUTED_VALUE"""),"Estrela 3")</f>
        <v>Estrela 3</v>
      </c>
    </row>
    <row r="2429">
      <c r="G2429" s="5" t="str">
        <f>IFERROR(__xludf.DUMMYFUNCTION("""COMPUTED_VALUE"""),"607🤙🏼Straight Outta Compton🤙🏼Neil Brown Jr.🤙🏼Estrela 4")</f>
        <v>607🤙🏼Straight Outta Compton🤙🏼Neil Brown Jr.🤙🏼Estrela 4</v>
      </c>
      <c r="H2429" s="5">
        <f>IFERROR(__xludf.DUMMYFUNCTION("SPLiT(G2429, ""🤙🏼"",FALSE,FALSE)"),607.0)</f>
        <v>607</v>
      </c>
      <c r="I2429" s="5" t="str">
        <f>IFERROR(__xludf.DUMMYFUNCTION("""COMPUTED_VALUE"""),"Straight Outta Compton")</f>
        <v>Straight Outta Compton</v>
      </c>
      <c r="J2429" s="5" t="str">
        <f>IFERROR(__xludf.DUMMYFUNCTION("""COMPUTED_VALUE"""),"Neil Brown Jr.")</f>
        <v>Neil Brown Jr.</v>
      </c>
      <c r="K2429" s="5" t="str">
        <f>IFERROR(__xludf.DUMMYFUNCTION("""COMPUTED_VALUE"""),"Estrela 4")</f>
        <v>Estrela 4</v>
      </c>
      <c r="P2429" s="5">
        <f>IFERROR(__xludf.DUMMYFUNCTION("""COMPUTED_VALUE"""),607.0)</f>
        <v>607</v>
      </c>
      <c r="Q2429" s="5" t="str">
        <f>IFERROR(__xludf.DUMMYFUNCTION("""COMPUTED_VALUE"""),"Straight Outta Compton")</f>
        <v>Straight Outta Compton</v>
      </c>
      <c r="R2429" s="5" t="str">
        <f>IFERROR(__xludf.DUMMYFUNCTION("""COMPUTED_VALUE"""),"Neil Brown Jr.")</f>
        <v>Neil Brown Jr.</v>
      </c>
      <c r="S2429" s="5" t="str">
        <f>IFERROR(__xludf.DUMMYFUNCTION("""COMPUTED_VALUE"""),"Estrela 4")</f>
        <v>Estrela 4</v>
      </c>
    </row>
    <row r="2430">
      <c r="G2430" s="5" t="str">
        <f>IFERROR(__xludf.DUMMYFUNCTION("""COMPUTED_VALUE"""),"608🤙🏼Madeo🤙🏼Hye-ja Kim🤙🏼Estrela 1")</f>
        <v>608🤙🏼Madeo🤙🏼Hye-ja Kim🤙🏼Estrela 1</v>
      </c>
      <c r="H2430" s="5">
        <f>IFERROR(__xludf.DUMMYFUNCTION("SPLiT(G2430, ""🤙🏼"",FALSE,FALSE)"),608.0)</f>
        <v>608</v>
      </c>
      <c r="I2430" s="5" t="str">
        <f>IFERROR(__xludf.DUMMYFUNCTION("""COMPUTED_VALUE"""),"Madeo")</f>
        <v>Madeo</v>
      </c>
      <c r="J2430" s="5" t="str">
        <f>IFERROR(__xludf.DUMMYFUNCTION("""COMPUTED_VALUE"""),"Hye-ja Kim")</f>
        <v>Hye-ja Kim</v>
      </c>
      <c r="K2430" s="5" t="str">
        <f>IFERROR(__xludf.DUMMYFUNCTION("""COMPUTED_VALUE"""),"Estrela 1")</f>
        <v>Estrela 1</v>
      </c>
      <c r="P2430" s="5">
        <f>IFERROR(__xludf.DUMMYFUNCTION("""COMPUTED_VALUE"""),608.0)</f>
        <v>608</v>
      </c>
      <c r="Q2430" s="5" t="str">
        <f>IFERROR(__xludf.DUMMYFUNCTION("""COMPUTED_VALUE"""),"Madeo")</f>
        <v>Madeo</v>
      </c>
      <c r="R2430" s="5" t="str">
        <f>IFERROR(__xludf.DUMMYFUNCTION("""COMPUTED_VALUE"""),"Hye-ja Kim")</f>
        <v>Hye-ja Kim</v>
      </c>
      <c r="S2430" s="5" t="str">
        <f>IFERROR(__xludf.DUMMYFUNCTION("""COMPUTED_VALUE"""),"Estrela 1")</f>
        <v>Estrela 1</v>
      </c>
    </row>
    <row r="2431">
      <c r="G2431" s="5" t="str">
        <f>IFERROR(__xludf.DUMMYFUNCTION("""COMPUTED_VALUE"""),"608🤙🏼Madeo🤙🏼Won Bin🤙🏼Estrela 2")</f>
        <v>608🤙🏼Madeo🤙🏼Won Bin🤙🏼Estrela 2</v>
      </c>
      <c r="H2431" s="5">
        <f>IFERROR(__xludf.DUMMYFUNCTION("SPLiT(G2431, ""🤙🏼"",FALSE,FALSE)"),608.0)</f>
        <v>608</v>
      </c>
      <c r="I2431" s="5" t="str">
        <f>IFERROR(__xludf.DUMMYFUNCTION("""COMPUTED_VALUE"""),"Madeo")</f>
        <v>Madeo</v>
      </c>
      <c r="J2431" s="5" t="str">
        <f>IFERROR(__xludf.DUMMYFUNCTION("""COMPUTED_VALUE"""),"Won Bin")</f>
        <v>Won Bin</v>
      </c>
      <c r="K2431" s="5" t="str">
        <f>IFERROR(__xludf.DUMMYFUNCTION("""COMPUTED_VALUE"""),"Estrela 2")</f>
        <v>Estrela 2</v>
      </c>
      <c r="P2431" s="5">
        <f>IFERROR(__xludf.DUMMYFUNCTION("""COMPUTED_VALUE"""),608.0)</f>
        <v>608</v>
      </c>
      <c r="Q2431" s="5" t="str">
        <f>IFERROR(__xludf.DUMMYFUNCTION("""COMPUTED_VALUE"""),"Madeo")</f>
        <v>Madeo</v>
      </c>
      <c r="R2431" s="5" t="str">
        <f>IFERROR(__xludf.DUMMYFUNCTION("""COMPUTED_VALUE"""),"Won Bin")</f>
        <v>Won Bin</v>
      </c>
      <c r="S2431" s="5" t="str">
        <f>IFERROR(__xludf.DUMMYFUNCTION("""COMPUTED_VALUE"""),"Estrela 2")</f>
        <v>Estrela 2</v>
      </c>
    </row>
    <row r="2432">
      <c r="G2432" s="5" t="str">
        <f>IFERROR(__xludf.DUMMYFUNCTION("""COMPUTED_VALUE"""),"608🤙🏼Madeo🤙🏼Jin Goo🤙🏼Estrela 3")</f>
        <v>608🤙🏼Madeo🤙🏼Jin Goo🤙🏼Estrela 3</v>
      </c>
      <c r="H2432" s="5">
        <f>IFERROR(__xludf.DUMMYFUNCTION("SPLiT(G2432, ""🤙🏼"",FALSE,FALSE)"),608.0)</f>
        <v>608</v>
      </c>
      <c r="I2432" s="5" t="str">
        <f>IFERROR(__xludf.DUMMYFUNCTION("""COMPUTED_VALUE"""),"Madeo")</f>
        <v>Madeo</v>
      </c>
      <c r="J2432" s="5" t="str">
        <f>IFERROR(__xludf.DUMMYFUNCTION("""COMPUTED_VALUE"""),"Jin Goo")</f>
        <v>Jin Goo</v>
      </c>
      <c r="K2432" s="5" t="str">
        <f>IFERROR(__xludf.DUMMYFUNCTION("""COMPUTED_VALUE"""),"Estrela 3")</f>
        <v>Estrela 3</v>
      </c>
      <c r="P2432" s="5">
        <f>IFERROR(__xludf.DUMMYFUNCTION("""COMPUTED_VALUE"""),608.0)</f>
        <v>608</v>
      </c>
      <c r="Q2432" s="5" t="str">
        <f>IFERROR(__xludf.DUMMYFUNCTION("""COMPUTED_VALUE"""),"Madeo")</f>
        <v>Madeo</v>
      </c>
      <c r="R2432" s="5" t="str">
        <f>IFERROR(__xludf.DUMMYFUNCTION("""COMPUTED_VALUE"""),"Jin Goo")</f>
        <v>Jin Goo</v>
      </c>
      <c r="S2432" s="5" t="str">
        <f>IFERROR(__xludf.DUMMYFUNCTION("""COMPUTED_VALUE"""),"Estrela 3")</f>
        <v>Estrela 3</v>
      </c>
    </row>
    <row r="2433">
      <c r="G2433" s="5" t="str">
        <f>IFERROR(__xludf.DUMMYFUNCTION("""COMPUTED_VALUE"""),"608🤙🏼Madeo🤙🏼Je-mun Yun🤙🏼Estrela 4")</f>
        <v>608🤙🏼Madeo🤙🏼Je-mun Yun🤙🏼Estrela 4</v>
      </c>
      <c r="H2433" s="5">
        <f>IFERROR(__xludf.DUMMYFUNCTION("SPLiT(G2433, ""🤙🏼"",FALSE,FALSE)"),608.0)</f>
        <v>608</v>
      </c>
      <c r="I2433" s="5" t="str">
        <f>IFERROR(__xludf.DUMMYFUNCTION("""COMPUTED_VALUE"""),"Madeo")</f>
        <v>Madeo</v>
      </c>
      <c r="J2433" s="5" t="str">
        <f>IFERROR(__xludf.DUMMYFUNCTION("""COMPUTED_VALUE"""),"Je-mun Yun")</f>
        <v>Je-mun Yun</v>
      </c>
      <c r="K2433" s="5" t="str">
        <f>IFERROR(__xludf.DUMMYFUNCTION("""COMPUTED_VALUE"""),"Estrela 4")</f>
        <v>Estrela 4</v>
      </c>
      <c r="P2433" s="5">
        <f>IFERROR(__xludf.DUMMYFUNCTION("""COMPUTED_VALUE"""),608.0)</f>
        <v>608</v>
      </c>
      <c r="Q2433" s="5" t="str">
        <f>IFERROR(__xludf.DUMMYFUNCTION("""COMPUTED_VALUE"""),"Madeo")</f>
        <v>Madeo</v>
      </c>
      <c r="R2433" s="5" t="str">
        <f>IFERROR(__xludf.DUMMYFUNCTION("""COMPUTED_VALUE"""),"Je-mun Yun")</f>
        <v>Je-mun Yun</v>
      </c>
      <c r="S2433" s="5" t="str">
        <f>IFERROR(__xludf.DUMMYFUNCTION("""COMPUTED_VALUE"""),"Estrela 4")</f>
        <v>Estrela 4</v>
      </c>
    </row>
    <row r="2434">
      <c r="G2434" s="5" t="str">
        <f>IFERROR(__xludf.DUMMYFUNCTION("""COMPUTED_VALUE"""),"609🤙🏼Chugyeokja🤙🏼Kim Yoon-seok🤙🏼Estrela 1")</f>
        <v>609🤙🏼Chugyeokja🤙🏼Kim Yoon-seok🤙🏼Estrela 1</v>
      </c>
      <c r="H2434" s="5">
        <f>IFERROR(__xludf.DUMMYFUNCTION("SPLiT(G2434, ""🤙🏼"",FALSE,FALSE)"),609.0)</f>
        <v>609</v>
      </c>
      <c r="I2434" s="5" t="str">
        <f>IFERROR(__xludf.DUMMYFUNCTION("""COMPUTED_VALUE"""),"Chugyeokja")</f>
        <v>Chugyeokja</v>
      </c>
      <c r="J2434" s="5" t="str">
        <f>IFERROR(__xludf.DUMMYFUNCTION("""COMPUTED_VALUE"""),"Kim Yoon-seok")</f>
        <v>Kim Yoon-seok</v>
      </c>
      <c r="K2434" s="5" t="str">
        <f>IFERROR(__xludf.DUMMYFUNCTION("""COMPUTED_VALUE"""),"Estrela 1")</f>
        <v>Estrela 1</v>
      </c>
      <c r="P2434" s="5">
        <f>IFERROR(__xludf.DUMMYFUNCTION("""COMPUTED_VALUE"""),609.0)</f>
        <v>609</v>
      </c>
      <c r="Q2434" s="5" t="str">
        <f>IFERROR(__xludf.DUMMYFUNCTION("""COMPUTED_VALUE"""),"Chugyeokja")</f>
        <v>Chugyeokja</v>
      </c>
      <c r="R2434" s="5" t="str">
        <f>IFERROR(__xludf.DUMMYFUNCTION("""COMPUTED_VALUE"""),"Kim Yoon-seok")</f>
        <v>Kim Yoon-seok</v>
      </c>
      <c r="S2434" s="5" t="str">
        <f>IFERROR(__xludf.DUMMYFUNCTION("""COMPUTED_VALUE"""),"Estrela 1")</f>
        <v>Estrela 1</v>
      </c>
    </row>
    <row r="2435">
      <c r="G2435" s="5" t="str">
        <f>IFERROR(__xludf.DUMMYFUNCTION("""COMPUTED_VALUE"""),"609🤙🏼Chugyeokja🤙🏼Jung-woo Ha🤙🏼Estrela 2")</f>
        <v>609🤙🏼Chugyeokja🤙🏼Jung-woo Ha🤙🏼Estrela 2</v>
      </c>
      <c r="H2435" s="5">
        <f>IFERROR(__xludf.DUMMYFUNCTION("SPLiT(G2435, ""🤙🏼"",FALSE,FALSE)"),609.0)</f>
        <v>609</v>
      </c>
      <c r="I2435" s="5" t="str">
        <f>IFERROR(__xludf.DUMMYFUNCTION("""COMPUTED_VALUE"""),"Chugyeokja")</f>
        <v>Chugyeokja</v>
      </c>
      <c r="J2435" s="5" t="str">
        <f>IFERROR(__xludf.DUMMYFUNCTION("""COMPUTED_VALUE"""),"Jung-woo Ha")</f>
        <v>Jung-woo Ha</v>
      </c>
      <c r="K2435" s="5" t="str">
        <f>IFERROR(__xludf.DUMMYFUNCTION("""COMPUTED_VALUE"""),"Estrela 2")</f>
        <v>Estrela 2</v>
      </c>
      <c r="P2435" s="5">
        <f>IFERROR(__xludf.DUMMYFUNCTION("""COMPUTED_VALUE"""),609.0)</f>
        <v>609</v>
      </c>
      <c r="Q2435" s="5" t="str">
        <f>IFERROR(__xludf.DUMMYFUNCTION("""COMPUTED_VALUE"""),"Chugyeokja")</f>
        <v>Chugyeokja</v>
      </c>
      <c r="R2435" s="5" t="str">
        <f>IFERROR(__xludf.DUMMYFUNCTION("""COMPUTED_VALUE"""),"Jung-woo Ha")</f>
        <v>Jung-woo Ha</v>
      </c>
      <c r="S2435" s="5" t="str">
        <f>IFERROR(__xludf.DUMMYFUNCTION("""COMPUTED_VALUE"""),"Estrela 2")</f>
        <v>Estrela 2</v>
      </c>
    </row>
    <row r="2436">
      <c r="G2436" s="5" t="str">
        <f>IFERROR(__xludf.DUMMYFUNCTION("""COMPUTED_VALUE"""),"609🤙🏼Chugyeokja🤙🏼Yeong-hie Seo🤙🏼Estrela 3")</f>
        <v>609🤙🏼Chugyeokja🤙🏼Yeong-hie Seo🤙🏼Estrela 3</v>
      </c>
      <c r="H2436" s="5">
        <f>IFERROR(__xludf.DUMMYFUNCTION("SPLiT(G2436, ""🤙🏼"",FALSE,FALSE)"),609.0)</f>
        <v>609</v>
      </c>
      <c r="I2436" s="5" t="str">
        <f>IFERROR(__xludf.DUMMYFUNCTION("""COMPUTED_VALUE"""),"Chugyeokja")</f>
        <v>Chugyeokja</v>
      </c>
      <c r="J2436" s="5" t="str">
        <f>IFERROR(__xludf.DUMMYFUNCTION("""COMPUTED_VALUE"""),"Yeong-hie Seo")</f>
        <v>Yeong-hie Seo</v>
      </c>
      <c r="K2436" s="5" t="str">
        <f>IFERROR(__xludf.DUMMYFUNCTION("""COMPUTED_VALUE"""),"Estrela 3")</f>
        <v>Estrela 3</v>
      </c>
      <c r="P2436" s="5">
        <f>IFERROR(__xludf.DUMMYFUNCTION("""COMPUTED_VALUE"""),609.0)</f>
        <v>609</v>
      </c>
      <c r="Q2436" s="5" t="str">
        <f>IFERROR(__xludf.DUMMYFUNCTION("""COMPUTED_VALUE"""),"Chugyeokja")</f>
        <v>Chugyeokja</v>
      </c>
      <c r="R2436" s="5" t="str">
        <f>IFERROR(__xludf.DUMMYFUNCTION("""COMPUTED_VALUE"""),"Yeong-hie Seo")</f>
        <v>Yeong-hie Seo</v>
      </c>
      <c r="S2436" s="5" t="str">
        <f>IFERROR(__xludf.DUMMYFUNCTION("""COMPUTED_VALUE"""),"Estrela 3")</f>
        <v>Estrela 3</v>
      </c>
    </row>
    <row r="2437">
      <c r="G2437" s="5" t="str">
        <f>IFERROR(__xludf.DUMMYFUNCTION("""COMPUTED_VALUE"""),"609🤙🏼Chugyeokja🤙🏼Yoo-Jeong Kim🤙🏼Estrela 4")</f>
        <v>609🤙🏼Chugyeokja🤙🏼Yoo-Jeong Kim🤙🏼Estrela 4</v>
      </c>
      <c r="H2437" s="5">
        <f>IFERROR(__xludf.DUMMYFUNCTION("SPLiT(G2437, ""🤙🏼"",FALSE,FALSE)"),609.0)</f>
        <v>609</v>
      </c>
      <c r="I2437" s="5" t="str">
        <f>IFERROR(__xludf.DUMMYFUNCTION("""COMPUTED_VALUE"""),"Chugyeokja")</f>
        <v>Chugyeokja</v>
      </c>
      <c r="J2437" s="5" t="str">
        <f>IFERROR(__xludf.DUMMYFUNCTION("""COMPUTED_VALUE"""),"Yoo-Jeong Kim")</f>
        <v>Yoo-Jeong Kim</v>
      </c>
      <c r="K2437" s="5" t="str">
        <f>IFERROR(__xludf.DUMMYFUNCTION("""COMPUTED_VALUE"""),"Estrela 4")</f>
        <v>Estrela 4</v>
      </c>
      <c r="P2437" s="5">
        <f>IFERROR(__xludf.DUMMYFUNCTION("""COMPUTED_VALUE"""),609.0)</f>
        <v>609</v>
      </c>
      <c r="Q2437" s="5" t="str">
        <f>IFERROR(__xludf.DUMMYFUNCTION("""COMPUTED_VALUE"""),"Chugyeokja")</f>
        <v>Chugyeokja</v>
      </c>
      <c r="R2437" s="5" t="str">
        <f>IFERROR(__xludf.DUMMYFUNCTION("""COMPUTED_VALUE"""),"Yoo-Jeong Kim")</f>
        <v>Yoo-Jeong Kim</v>
      </c>
      <c r="S2437" s="5" t="str">
        <f>IFERROR(__xludf.DUMMYFUNCTION("""COMPUTED_VALUE"""),"Estrela 4")</f>
        <v>Estrela 4</v>
      </c>
    </row>
    <row r="2438">
      <c r="G2438" s="5" t="str">
        <f>IFERROR(__xludf.DUMMYFUNCTION("""COMPUTED_VALUE"""),"610🤙🏼The Hobbit: The Desolation of Smaug🤙🏼Ian McKellen🤙🏼Estrela 1")</f>
        <v>610🤙🏼The Hobbit: The Desolation of Smaug🤙🏼Ian McKellen🤙🏼Estrela 1</v>
      </c>
      <c r="H2438" s="5">
        <f>IFERROR(__xludf.DUMMYFUNCTION("SPLiT(G2438, ""🤙🏼"",FALSE,FALSE)"),610.0)</f>
        <v>610</v>
      </c>
      <c r="I2438" s="5" t="str">
        <f>IFERROR(__xludf.DUMMYFUNCTION("""COMPUTED_VALUE"""),"The Hobbit: The Desolation of Smaug")</f>
        <v>The Hobbit: The Desolation of Smaug</v>
      </c>
      <c r="J2438" s="5" t="str">
        <f>IFERROR(__xludf.DUMMYFUNCTION("""COMPUTED_VALUE"""),"Ian McKellen")</f>
        <v>Ian McKellen</v>
      </c>
      <c r="K2438" s="5" t="str">
        <f>IFERROR(__xludf.DUMMYFUNCTION("""COMPUTED_VALUE"""),"Estrela 1")</f>
        <v>Estrela 1</v>
      </c>
      <c r="P2438" s="5">
        <f>IFERROR(__xludf.DUMMYFUNCTION("""COMPUTED_VALUE"""),610.0)</f>
        <v>610</v>
      </c>
      <c r="Q2438" s="5" t="str">
        <f>IFERROR(__xludf.DUMMYFUNCTION("""COMPUTED_VALUE"""),"The Hobbit: The Desolation of Smaug")</f>
        <v>The Hobbit: The Desolation of Smaug</v>
      </c>
      <c r="R2438" s="5" t="str">
        <f>IFERROR(__xludf.DUMMYFUNCTION("""COMPUTED_VALUE"""),"Ian McKellen")</f>
        <v>Ian McKellen</v>
      </c>
      <c r="S2438" s="5" t="str">
        <f>IFERROR(__xludf.DUMMYFUNCTION("""COMPUTED_VALUE"""),"Estrela 1")</f>
        <v>Estrela 1</v>
      </c>
    </row>
    <row r="2439">
      <c r="G2439" s="5" t="str">
        <f>IFERROR(__xludf.DUMMYFUNCTION("""COMPUTED_VALUE"""),"610🤙🏼The Hobbit: The Desolation of Smaug🤙🏼Martin Freeman🤙🏼Estrela 2")</f>
        <v>610🤙🏼The Hobbit: The Desolation of Smaug🤙🏼Martin Freeman🤙🏼Estrela 2</v>
      </c>
      <c r="H2439" s="5">
        <f>IFERROR(__xludf.DUMMYFUNCTION("SPLiT(G2439, ""🤙🏼"",FALSE,FALSE)"),610.0)</f>
        <v>610</v>
      </c>
      <c r="I2439" s="5" t="str">
        <f>IFERROR(__xludf.DUMMYFUNCTION("""COMPUTED_VALUE"""),"The Hobbit: The Desolation of Smaug")</f>
        <v>The Hobbit: The Desolation of Smaug</v>
      </c>
      <c r="J2439" s="5" t="str">
        <f>IFERROR(__xludf.DUMMYFUNCTION("""COMPUTED_VALUE"""),"Martin Freeman")</f>
        <v>Martin Freeman</v>
      </c>
      <c r="K2439" s="5" t="str">
        <f>IFERROR(__xludf.DUMMYFUNCTION("""COMPUTED_VALUE"""),"Estrela 2")</f>
        <v>Estrela 2</v>
      </c>
      <c r="P2439" s="5">
        <f>IFERROR(__xludf.DUMMYFUNCTION("""COMPUTED_VALUE"""),610.0)</f>
        <v>610</v>
      </c>
      <c r="Q2439" s="5" t="str">
        <f>IFERROR(__xludf.DUMMYFUNCTION("""COMPUTED_VALUE"""),"The Hobbit: The Desolation of Smaug")</f>
        <v>The Hobbit: The Desolation of Smaug</v>
      </c>
      <c r="R2439" s="5" t="str">
        <f>IFERROR(__xludf.DUMMYFUNCTION("""COMPUTED_VALUE"""),"Martin Freeman")</f>
        <v>Martin Freeman</v>
      </c>
      <c r="S2439" s="5" t="str">
        <f>IFERROR(__xludf.DUMMYFUNCTION("""COMPUTED_VALUE"""),"Estrela 2")</f>
        <v>Estrela 2</v>
      </c>
    </row>
    <row r="2440">
      <c r="G2440" s="5" t="str">
        <f>IFERROR(__xludf.DUMMYFUNCTION("""COMPUTED_VALUE"""),"610🤙🏼The Hobbit: The Desolation of Smaug🤙🏼Richard Armitage🤙🏼Estrela 3")</f>
        <v>610🤙🏼The Hobbit: The Desolation of Smaug🤙🏼Richard Armitage🤙🏼Estrela 3</v>
      </c>
      <c r="H2440" s="5">
        <f>IFERROR(__xludf.DUMMYFUNCTION("SPLiT(G2440, ""🤙🏼"",FALSE,FALSE)"),610.0)</f>
        <v>610</v>
      </c>
      <c r="I2440" s="5" t="str">
        <f>IFERROR(__xludf.DUMMYFUNCTION("""COMPUTED_VALUE"""),"The Hobbit: The Desolation of Smaug")</f>
        <v>The Hobbit: The Desolation of Smaug</v>
      </c>
      <c r="J2440" s="5" t="str">
        <f>IFERROR(__xludf.DUMMYFUNCTION("""COMPUTED_VALUE"""),"Richard Armitage")</f>
        <v>Richard Armitage</v>
      </c>
      <c r="K2440" s="5" t="str">
        <f>IFERROR(__xludf.DUMMYFUNCTION("""COMPUTED_VALUE"""),"Estrela 3")</f>
        <v>Estrela 3</v>
      </c>
      <c r="P2440" s="5">
        <f>IFERROR(__xludf.DUMMYFUNCTION("""COMPUTED_VALUE"""),610.0)</f>
        <v>610</v>
      </c>
      <c r="Q2440" s="5" t="str">
        <f>IFERROR(__xludf.DUMMYFUNCTION("""COMPUTED_VALUE"""),"The Hobbit: The Desolation of Smaug")</f>
        <v>The Hobbit: The Desolation of Smaug</v>
      </c>
      <c r="R2440" s="5" t="str">
        <f>IFERROR(__xludf.DUMMYFUNCTION("""COMPUTED_VALUE"""),"Richard Armitage")</f>
        <v>Richard Armitage</v>
      </c>
      <c r="S2440" s="5" t="str">
        <f>IFERROR(__xludf.DUMMYFUNCTION("""COMPUTED_VALUE"""),"Estrela 3")</f>
        <v>Estrela 3</v>
      </c>
    </row>
    <row r="2441">
      <c r="G2441" s="5" t="str">
        <f>IFERROR(__xludf.DUMMYFUNCTION("""COMPUTED_VALUE"""),"610🤙🏼The Hobbit: The Desolation of Smaug🤙🏼Ken Stott🤙🏼Estrela 4")</f>
        <v>610🤙🏼The Hobbit: The Desolation of Smaug🤙🏼Ken Stott🤙🏼Estrela 4</v>
      </c>
      <c r="H2441" s="5">
        <f>IFERROR(__xludf.DUMMYFUNCTION("SPLiT(G2441, ""🤙🏼"",FALSE,FALSE)"),610.0)</f>
        <v>610</v>
      </c>
      <c r="I2441" s="5" t="str">
        <f>IFERROR(__xludf.DUMMYFUNCTION("""COMPUTED_VALUE"""),"The Hobbit: The Desolation of Smaug")</f>
        <v>The Hobbit: The Desolation of Smaug</v>
      </c>
      <c r="J2441" s="5" t="str">
        <f>IFERROR(__xludf.DUMMYFUNCTION("""COMPUTED_VALUE"""),"Ken Stott")</f>
        <v>Ken Stott</v>
      </c>
      <c r="K2441" s="5" t="str">
        <f>IFERROR(__xludf.DUMMYFUNCTION("""COMPUTED_VALUE"""),"Estrela 4")</f>
        <v>Estrela 4</v>
      </c>
      <c r="P2441" s="5">
        <f>IFERROR(__xludf.DUMMYFUNCTION("""COMPUTED_VALUE"""),610.0)</f>
        <v>610</v>
      </c>
      <c r="Q2441" s="5" t="str">
        <f>IFERROR(__xludf.DUMMYFUNCTION("""COMPUTED_VALUE"""),"The Hobbit: The Desolation of Smaug")</f>
        <v>The Hobbit: The Desolation of Smaug</v>
      </c>
      <c r="R2441" s="5" t="str">
        <f>IFERROR(__xludf.DUMMYFUNCTION("""COMPUTED_VALUE"""),"Ken Stott")</f>
        <v>Ken Stott</v>
      </c>
      <c r="S2441" s="5" t="str">
        <f>IFERROR(__xludf.DUMMYFUNCTION("""COMPUTED_VALUE"""),"Estrela 4")</f>
        <v>Estrela 4</v>
      </c>
    </row>
    <row r="2442">
      <c r="G2442" s="5" t="str">
        <f>IFERROR(__xludf.DUMMYFUNCTION("""COMPUTED_VALUE"""),"611🤙🏼Das weiße Band - Eine deutsche Kindergeschichte🤙🏼Christian Friedel🤙🏼Estrela 1")</f>
        <v>611🤙🏼Das weiße Band - Eine deutsche Kindergeschichte🤙🏼Christian Friedel🤙🏼Estrela 1</v>
      </c>
      <c r="H2442" s="5">
        <f>IFERROR(__xludf.DUMMYFUNCTION("SPLiT(G2442, ""🤙🏼"",FALSE,FALSE)"),611.0)</f>
        <v>611</v>
      </c>
      <c r="I2442" s="5" t="str">
        <f>IFERROR(__xludf.DUMMYFUNCTION("""COMPUTED_VALUE"""),"Das weiße Band - Eine deutsche Kindergeschichte")</f>
        <v>Das weiße Band - Eine deutsche Kindergeschichte</v>
      </c>
      <c r="J2442" s="5" t="str">
        <f>IFERROR(__xludf.DUMMYFUNCTION("""COMPUTED_VALUE"""),"Christian Friedel")</f>
        <v>Christian Friedel</v>
      </c>
      <c r="K2442" s="5" t="str">
        <f>IFERROR(__xludf.DUMMYFUNCTION("""COMPUTED_VALUE"""),"Estrela 1")</f>
        <v>Estrela 1</v>
      </c>
      <c r="P2442" s="5">
        <f>IFERROR(__xludf.DUMMYFUNCTION("""COMPUTED_VALUE"""),611.0)</f>
        <v>611</v>
      </c>
      <c r="Q2442" s="5" t="str">
        <f>IFERROR(__xludf.DUMMYFUNCTION("""COMPUTED_VALUE"""),"Das weiße Band - Eine deutsche Kindergeschichte")</f>
        <v>Das weiße Band - Eine deutsche Kindergeschichte</v>
      </c>
      <c r="R2442" s="5" t="str">
        <f>IFERROR(__xludf.DUMMYFUNCTION("""COMPUTED_VALUE"""),"Christian Friedel")</f>
        <v>Christian Friedel</v>
      </c>
      <c r="S2442" s="5" t="str">
        <f>IFERROR(__xludf.DUMMYFUNCTION("""COMPUTED_VALUE"""),"Estrela 1")</f>
        <v>Estrela 1</v>
      </c>
    </row>
    <row r="2443">
      <c r="G2443" s="5" t="str">
        <f>IFERROR(__xludf.DUMMYFUNCTION("""COMPUTED_VALUE"""),"611🤙🏼Das weiße Band - Eine deutsche Kindergeschichte🤙🏼Ernst Jacobi🤙🏼Estrela 2")</f>
        <v>611🤙🏼Das weiße Band - Eine deutsche Kindergeschichte🤙🏼Ernst Jacobi🤙🏼Estrela 2</v>
      </c>
      <c r="H2443" s="5">
        <f>IFERROR(__xludf.DUMMYFUNCTION("SPLiT(G2443, ""🤙🏼"",FALSE,FALSE)"),611.0)</f>
        <v>611</v>
      </c>
      <c r="I2443" s="5" t="str">
        <f>IFERROR(__xludf.DUMMYFUNCTION("""COMPUTED_VALUE"""),"Das weiße Band - Eine deutsche Kindergeschichte")</f>
        <v>Das weiße Band - Eine deutsche Kindergeschichte</v>
      </c>
      <c r="J2443" s="5" t="str">
        <f>IFERROR(__xludf.DUMMYFUNCTION("""COMPUTED_VALUE"""),"Ernst Jacobi")</f>
        <v>Ernst Jacobi</v>
      </c>
      <c r="K2443" s="5" t="str">
        <f>IFERROR(__xludf.DUMMYFUNCTION("""COMPUTED_VALUE"""),"Estrela 2")</f>
        <v>Estrela 2</v>
      </c>
      <c r="P2443" s="5">
        <f>IFERROR(__xludf.DUMMYFUNCTION("""COMPUTED_VALUE"""),611.0)</f>
        <v>611</v>
      </c>
      <c r="Q2443" s="5" t="str">
        <f>IFERROR(__xludf.DUMMYFUNCTION("""COMPUTED_VALUE"""),"Das weiße Band - Eine deutsche Kindergeschichte")</f>
        <v>Das weiße Band - Eine deutsche Kindergeschichte</v>
      </c>
      <c r="R2443" s="5" t="str">
        <f>IFERROR(__xludf.DUMMYFUNCTION("""COMPUTED_VALUE"""),"Ernst Jacobi")</f>
        <v>Ernst Jacobi</v>
      </c>
      <c r="S2443" s="5" t="str">
        <f>IFERROR(__xludf.DUMMYFUNCTION("""COMPUTED_VALUE"""),"Estrela 2")</f>
        <v>Estrela 2</v>
      </c>
    </row>
    <row r="2444">
      <c r="G2444" s="5" t="str">
        <f>IFERROR(__xludf.DUMMYFUNCTION("""COMPUTED_VALUE"""),"611🤙🏼Das weiße Band - Eine deutsche Kindergeschichte🤙🏼Leonie Benesch🤙🏼Estrela 3")</f>
        <v>611🤙🏼Das weiße Band - Eine deutsche Kindergeschichte🤙🏼Leonie Benesch🤙🏼Estrela 3</v>
      </c>
      <c r="H2444" s="5">
        <f>IFERROR(__xludf.DUMMYFUNCTION("SPLiT(G2444, ""🤙🏼"",FALSE,FALSE)"),611.0)</f>
        <v>611</v>
      </c>
      <c r="I2444" s="5" t="str">
        <f>IFERROR(__xludf.DUMMYFUNCTION("""COMPUTED_VALUE"""),"Das weiße Band - Eine deutsche Kindergeschichte")</f>
        <v>Das weiße Band - Eine deutsche Kindergeschichte</v>
      </c>
      <c r="J2444" s="5" t="str">
        <f>IFERROR(__xludf.DUMMYFUNCTION("""COMPUTED_VALUE"""),"Leonie Benesch")</f>
        <v>Leonie Benesch</v>
      </c>
      <c r="K2444" s="5" t="str">
        <f>IFERROR(__xludf.DUMMYFUNCTION("""COMPUTED_VALUE"""),"Estrela 3")</f>
        <v>Estrela 3</v>
      </c>
      <c r="P2444" s="5">
        <f>IFERROR(__xludf.DUMMYFUNCTION("""COMPUTED_VALUE"""),611.0)</f>
        <v>611</v>
      </c>
      <c r="Q2444" s="5" t="str">
        <f>IFERROR(__xludf.DUMMYFUNCTION("""COMPUTED_VALUE"""),"Das weiße Band - Eine deutsche Kindergeschichte")</f>
        <v>Das weiße Band - Eine deutsche Kindergeschichte</v>
      </c>
      <c r="R2444" s="5" t="str">
        <f>IFERROR(__xludf.DUMMYFUNCTION("""COMPUTED_VALUE"""),"Leonie Benesch")</f>
        <v>Leonie Benesch</v>
      </c>
      <c r="S2444" s="5" t="str">
        <f>IFERROR(__xludf.DUMMYFUNCTION("""COMPUTED_VALUE"""),"Estrela 3")</f>
        <v>Estrela 3</v>
      </c>
    </row>
    <row r="2445">
      <c r="G2445" s="5" t="str">
        <f>IFERROR(__xludf.DUMMYFUNCTION("""COMPUTED_VALUE"""),"611🤙🏼Das weiße Band - Eine deutsche Kindergeschichte🤙🏼Ulrich Tukur🤙🏼Estrela 4")</f>
        <v>611🤙🏼Das weiße Band - Eine deutsche Kindergeschichte🤙🏼Ulrich Tukur🤙🏼Estrela 4</v>
      </c>
      <c r="H2445" s="5">
        <f>IFERROR(__xludf.DUMMYFUNCTION("SPLiT(G2445, ""🤙🏼"",FALSE,FALSE)"),611.0)</f>
        <v>611</v>
      </c>
      <c r="I2445" s="5" t="str">
        <f>IFERROR(__xludf.DUMMYFUNCTION("""COMPUTED_VALUE"""),"Das weiße Band - Eine deutsche Kindergeschichte")</f>
        <v>Das weiße Band - Eine deutsche Kindergeschichte</v>
      </c>
      <c r="J2445" s="5" t="str">
        <f>IFERROR(__xludf.DUMMYFUNCTION("""COMPUTED_VALUE"""),"Ulrich Tukur")</f>
        <v>Ulrich Tukur</v>
      </c>
      <c r="K2445" s="5" t="str">
        <f>IFERROR(__xludf.DUMMYFUNCTION("""COMPUTED_VALUE"""),"Estrela 4")</f>
        <v>Estrela 4</v>
      </c>
      <c r="P2445" s="5">
        <f>IFERROR(__xludf.DUMMYFUNCTION("""COMPUTED_VALUE"""),611.0)</f>
        <v>611</v>
      </c>
      <c r="Q2445" s="5" t="str">
        <f>IFERROR(__xludf.DUMMYFUNCTION("""COMPUTED_VALUE"""),"Das weiße Band - Eine deutsche Kindergeschichte")</f>
        <v>Das weiße Band - Eine deutsche Kindergeschichte</v>
      </c>
      <c r="R2445" s="5" t="str">
        <f>IFERROR(__xludf.DUMMYFUNCTION("""COMPUTED_VALUE"""),"Ulrich Tukur")</f>
        <v>Ulrich Tukur</v>
      </c>
      <c r="S2445" s="5" t="str">
        <f>IFERROR(__xludf.DUMMYFUNCTION("""COMPUTED_VALUE"""),"Estrela 4")</f>
        <v>Estrela 4</v>
      </c>
    </row>
    <row r="2446">
      <c r="G2446" s="5" t="str">
        <f>IFERROR(__xludf.DUMMYFUNCTION("""COMPUTED_VALUE"""),"612🤙🏼Män som hatar kvinnor🤙🏼Michael Nyqvist🤙🏼Estrela 1")</f>
        <v>612🤙🏼Män som hatar kvinnor🤙🏼Michael Nyqvist🤙🏼Estrela 1</v>
      </c>
      <c r="H2446" s="5">
        <f>IFERROR(__xludf.DUMMYFUNCTION("SPLiT(G2446, ""🤙🏼"",FALSE,FALSE)"),612.0)</f>
        <v>612</v>
      </c>
      <c r="I2446" s="5" t="str">
        <f>IFERROR(__xludf.DUMMYFUNCTION("""COMPUTED_VALUE"""),"Män som hatar kvinnor")</f>
        <v>Män som hatar kvinnor</v>
      </c>
      <c r="J2446" s="5" t="str">
        <f>IFERROR(__xludf.DUMMYFUNCTION("""COMPUTED_VALUE"""),"Michael Nyqvist")</f>
        <v>Michael Nyqvist</v>
      </c>
      <c r="K2446" s="5" t="str">
        <f>IFERROR(__xludf.DUMMYFUNCTION("""COMPUTED_VALUE"""),"Estrela 1")</f>
        <v>Estrela 1</v>
      </c>
      <c r="P2446" s="5">
        <f>IFERROR(__xludf.DUMMYFUNCTION("""COMPUTED_VALUE"""),612.0)</f>
        <v>612</v>
      </c>
      <c r="Q2446" s="5" t="str">
        <f>IFERROR(__xludf.DUMMYFUNCTION("""COMPUTED_VALUE"""),"Män som hatar kvinnor")</f>
        <v>Män som hatar kvinnor</v>
      </c>
      <c r="R2446" s="5" t="str">
        <f>IFERROR(__xludf.DUMMYFUNCTION("""COMPUTED_VALUE"""),"Michael Nyqvist")</f>
        <v>Michael Nyqvist</v>
      </c>
      <c r="S2446" s="5" t="str">
        <f>IFERROR(__xludf.DUMMYFUNCTION("""COMPUTED_VALUE"""),"Estrela 1")</f>
        <v>Estrela 1</v>
      </c>
    </row>
    <row r="2447">
      <c r="G2447" s="5" t="str">
        <f>IFERROR(__xludf.DUMMYFUNCTION("""COMPUTED_VALUE"""),"612🤙🏼Män som hatar kvinnor🤙🏼Noomi Rapace🤙🏼Estrela 2")</f>
        <v>612🤙🏼Män som hatar kvinnor🤙🏼Noomi Rapace🤙🏼Estrela 2</v>
      </c>
      <c r="H2447" s="5">
        <f>IFERROR(__xludf.DUMMYFUNCTION("SPLiT(G2447, ""🤙🏼"",FALSE,FALSE)"),612.0)</f>
        <v>612</v>
      </c>
      <c r="I2447" s="5" t="str">
        <f>IFERROR(__xludf.DUMMYFUNCTION("""COMPUTED_VALUE"""),"Män som hatar kvinnor")</f>
        <v>Män som hatar kvinnor</v>
      </c>
      <c r="J2447" s="5" t="str">
        <f>IFERROR(__xludf.DUMMYFUNCTION("""COMPUTED_VALUE"""),"Noomi Rapace")</f>
        <v>Noomi Rapace</v>
      </c>
      <c r="K2447" s="5" t="str">
        <f>IFERROR(__xludf.DUMMYFUNCTION("""COMPUTED_VALUE"""),"Estrela 2")</f>
        <v>Estrela 2</v>
      </c>
      <c r="P2447" s="5">
        <f>IFERROR(__xludf.DUMMYFUNCTION("""COMPUTED_VALUE"""),612.0)</f>
        <v>612</v>
      </c>
      <c r="Q2447" s="5" t="str">
        <f>IFERROR(__xludf.DUMMYFUNCTION("""COMPUTED_VALUE"""),"Män som hatar kvinnor")</f>
        <v>Män som hatar kvinnor</v>
      </c>
      <c r="R2447" s="5" t="str">
        <f>IFERROR(__xludf.DUMMYFUNCTION("""COMPUTED_VALUE"""),"Noomi Rapace")</f>
        <v>Noomi Rapace</v>
      </c>
      <c r="S2447" s="5" t="str">
        <f>IFERROR(__xludf.DUMMYFUNCTION("""COMPUTED_VALUE"""),"Estrela 2")</f>
        <v>Estrela 2</v>
      </c>
    </row>
    <row r="2448">
      <c r="G2448" s="5" t="str">
        <f>IFERROR(__xludf.DUMMYFUNCTION("""COMPUTED_VALUE"""),"612🤙🏼Män som hatar kvinnor🤙🏼Ewa Fröling🤙🏼Estrela 3")</f>
        <v>612🤙🏼Män som hatar kvinnor🤙🏼Ewa Fröling🤙🏼Estrela 3</v>
      </c>
      <c r="H2448" s="5">
        <f>IFERROR(__xludf.DUMMYFUNCTION("SPLiT(G2448, ""🤙🏼"",FALSE,FALSE)"),612.0)</f>
        <v>612</v>
      </c>
      <c r="I2448" s="5" t="str">
        <f>IFERROR(__xludf.DUMMYFUNCTION("""COMPUTED_VALUE"""),"Män som hatar kvinnor")</f>
        <v>Män som hatar kvinnor</v>
      </c>
      <c r="J2448" s="5" t="str">
        <f>IFERROR(__xludf.DUMMYFUNCTION("""COMPUTED_VALUE"""),"Ewa Fröling")</f>
        <v>Ewa Fröling</v>
      </c>
      <c r="K2448" s="5" t="str">
        <f>IFERROR(__xludf.DUMMYFUNCTION("""COMPUTED_VALUE"""),"Estrela 3")</f>
        <v>Estrela 3</v>
      </c>
      <c r="P2448" s="5">
        <f>IFERROR(__xludf.DUMMYFUNCTION("""COMPUTED_VALUE"""),612.0)</f>
        <v>612</v>
      </c>
      <c r="Q2448" s="5" t="str">
        <f>IFERROR(__xludf.DUMMYFUNCTION("""COMPUTED_VALUE"""),"Män som hatar kvinnor")</f>
        <v>Män som hatar kvinnor</v>
      </c>
      <c r="R2448" s="5" t="str">
        <f>IFERROR(__xludf.DUMMYFUNCTION("""COMPUTED_VALUE"""),"Ewa Fröling")</f>
        <v>Ewa Fröling</v>
      </c>
      <c r="S2448" s="5" t="str">
        <f>IFERROR(__xludf.DUMMYFUNCTION("""COMPUTED_VALUE"""),"Estrela 3")</f>
        <v>Estrela 3</v>
      </c>
    </row>
    <row r="2449">
      <c r="G2449" s="5" t="str">
        <f>IFERROR(__xludf.DUMMYFUNCTION("""COMPUTED_VALUE"""),"612🤙🏼Män som hatar kvinnor🤙🏼Lena Endre🤙🏼Estrela 4")</f>
        <v>612🤙🏼Män som hatar kvinnor🤙🏼Lena Endre🤙🏼Estrela 4</v>
      </c>
      <c r="H2449" s="5">
        <f>IFERROR(__xludf.DUMMYFUNCTION("SPLiT(G2449, ""🤙🏼"",FALSE,FALSE)"),612.0)</f>
        <v>612</v>
      </c>
      <c r="I2449" s="5" t="str">
        <f>IFERROR(__xludf.DUMMYFUNCTION("""COMPUTED_VALUE"""),"Män som hatar kvinnor")</f>
        <v>Män som hatar kvinnor</v>
      </c>
      <c r="J2449" s="5" t="str">
        <f>IFERROR(__xludf.DUMMYFUNCTION("""COMPUTED_VALUE"""),"Lena Endre")</f>
        <v>Lena Endre</v>
      </c>
      <c r="K2449" s="5" t="str">
        <f>IFERROR(__xludf.DUMMYFUNCTION("""COMPUTED_VALUE"""),"Estrela 4")</f>
        <v>Estrela 4</v>
      </c>
      <c r="P2449" s="5">
        <f>IFERROR(__xludf.DUMMYFUNCTION("""COMPUTED_VALUE"""),612.0)</f>
        <v>612</v>
      </c>
      <c r="Q2449" s="5" t="str">
        <f>IFERROR(__xludf.DUMMYFUNCTION("""COMPUTED_VALUE"""),"Män som hatar kvinnor")</f>
        <v>Män som hatar kvinnor</v>
      </c>
      <c r="R2449" s="5" t="str">
        <f>IFERROR(__xludf.DUMMYFUNCTION("""COMPUTED_VALUE"""),"Lena Endre")</f>
        <v>Lena Endre</v>
      </c>
      <c r="S2449" s="5" t="str">
        <f>IFERROR(__xludf.DUMMYFUNCTION("""COMPUTED_VALUE"""),"Estrela 4")</f>
        <v>Estrela 4</v>
      </c>
    </row>
    <row r="2450">
      <c r="G2450" s="5" t="str">
        <f>IFERROR(__xludf.DUMMYFUNCTION("""COMPUTED_VALUE"""),"613🤙🏼The Trial of the Chicago 7🤙🏼Eddie Redmayne🤙🏼Estrela 1")</f>
        <v>613🤙🏼The Trial of the Chicago 7🤙🏼Eddie Redmayne🤙🏼Estrela 1</v>
      </c>
      <c r="H2450" s="5">
        <f>IFERROR(__xludf.DUMMYFUNCTION("SPLiT(G2450, ""🤙🏼"",FALSE,FALSE)"),613.0)</f>
        <v>613</v>
      </c>
      <c r="I2450" s="5" t="str">
        <f>IFERROR(__xludf.DUMMYFUNCTION("""COMPUTED_VALUE"""),"The Trial of the Chicago 7")</f>
        <v>The Trial of the Chicago 7</v>
      </c>
      <c r="J2450" s="5" t="str">
        <f>IFERROR(__xludf.DUMMYFUNCTION("""COMPUTED_VALUE"""),"Eddie Redmayne")</f>
        <v>Eddie Redmayne</v>
      </c>
      <c r="K2450" s="5" t="str">
        <f>IFERROR(__xludf.DUMMYFUNCTION("""COMPUTED_VALUE"""),"Estrela 1")</f>
        <v>Estrela 1</v>
      </c>
      <c r="P2450" s="5">
        <f>IFERROR(__xludf.DUMMYFUNCTION("""COMPUTED_VALUE"""),613.0)</f>
        <v>613</v>
      </c>
      <c r="Q2450" s="5" t="str">
        <f>IFERROR(__xludf.DUMMYFUNCTION("""COMPUTED_VALUE"""),"The Trial of the Chicago 7")</f>
        <v>The Trial of the Chicago 7</v>
      </c>
      <c r="R2450" s="5" t="str">
        <f>IFERROR(__xludf.DUMMYFUNCTION("""COMPUTED_VALUE"""),"Eddie Redmayne")</f>
        <v>Eddie Redmayne</v>
      </c>
      <c r="S2450" s="5" t="str">
        <f>IFERROR(__xludf.DUMMYFUNCTION("""COMPUTED_VALUE"""),"Estrela 1")</f>
        <v>Estrela 1</v>
      </c>
    </row>
    <row r="2451">
      <c r="G2451" s="5" t="str">
        <f>IFERROR(__xludf.DUMMYFUNCTION("""COMPUTED_VALUE"""),"613🤙🏼The Trial of the Chicago 7🤙🏼Alex Sharp🤙🏼Estrela 2")</f>
        <v>613🤙🏼The Trial of the Chicago 7🤙🏼Alex Sharp🤙🏼Estrela 2</v>
      </c>
      <c r="H2451" s="5">
        <f>IFERROR(__xludf.DUMMYFUNCTION("SPLiT(G2451, ""🤙🏼"",FALSE,FALSE)"),613.0)</f>
        <v>613</v>
      </c>
      <c r="I2451" s="5" t="str">
        <f>IFERROR(__xludf.DUMMYFUNCTION("""COMPUTED_VALUE"""),"The Trial of the Chicago 7")</f>
        <v>The Trial of the Chicago 7</v>
      </c>
      <c r="J2451" s="5" t="str">
        <f>IFERROR(__xludf.DUMMYFUNCTION("""COMPUTED_VALUE"""),"Alex Sharp")</f>
        <v>Alex Sharp</v>
      </c>
      <c r="K2451" s="5" t="str">
        <f>IFERROR(__xludf.DUMMYFUNCTION("""COMPUTED_VALUE"""),"Estrela 2")</f>
        <v>Estrela 2</v>
      </c>
      <c r="P2451" s="5">
        <f>IFERROR(__xludf.DUMMYFUNCTION("""COMPUTED_VALUE"""),613.0)</f>
        <v>613</v>
      </c>
      <c r="Q2451" s="5" t="str">
        <f>IFERROR(__xludf.DUMMYFUNCTION("""COMPUTED_VALUE"""),"The Trial of the Chicago 7")</f>
        <v>The Trial of the Chicago 7</v>
      </c>
      <c r="R2451" s="5" t="str">
        <f>IFERROR(__xludf.DUMMYFUNCTION("""COMPUTED_VALUE"""),"Alex Sharp")</f>
        <v>Alex Sharp</v>
      </c>
      <c r="S2451" s="5" t="str">
        <f>IFERROR(__xludf.DUMMYFUNCTION("""COMPUTED_VALUE"""),"Estrela 2")</f>
        <v>Estrela 2</v>
      </c>
    </row>
    <row r="2452">
      <c r="G2452" s="5" t="str">
        <f>IFERROR(__xludf.DUMMYFUNCTION("""COMPUTED_VALUE"""),"613🤙🏼The Trial of the Chicago 7🤙🏼Sacha Baron Cohen🤙🏼Estrela 3")</f>
        <v>613🤙🏼The Trial of the Chicago 7🤙🏼Sacha Baron Cohen🤙🏼Estrela 3</v>
      </c>
      <c r="H2452" s="5">
        <f>IFERROR(__xludf.DUMMYFUNCTION("SPLiT(G2452, ""🤙🏼"",FALSE,FALSE)"),613.0)</f>
        <v>613</v>
      </c>
      <c r="I2452" s="5" t="str">
        <f>IFERROR(__xludf.DUMMYFUNCTION("""COMPUTED_VALUE"""),"The Trial of the Chicago 7")</f>
        <v>The Trial of the Chicago 7</v>
      </c>
      <c r="J2452" s="5" t="str">
        <f>IFERROR(__xludf.DUMMYFUNCTION("""COMPUTED_VALUE"""),"Sacha Baron Cohen")</f>
        <v>Sacha Baron Cohen</v>
      </c>
      <c r="K2452" s="5" t="str">
        <f>IFERROR(__xludf.DUMMYFUNCTION("""COMPUTED_VALUE"""),"Estrela 3")</f>
        <v>Estrela 3</v>
      </c>
      <c r="P2452" s="5">
        <f>IFERROR(__xludf.DUMMYFUNCTION("""COMPUTED_VALUE"""),613.0)</f>
        <v>613</v>
      </c>
      <c r="Q2452" s="5" t="str">
        <f>IFERROR(__xludf.DUMMYFUNCTION("""COMPUTED_VALUE"""),"The Trial of the Chicago 7")</f>
        <v>The Trial of the Chicago 7</v>
      </c>
      <c r="R2452" s="5" t="str">
        <f>IFERROR(__xludf.DUMMYFUNCTION("""COMPUTED_VALUE"""),"Sacha Baron Cohen")</f>
        <v>Sacha Baron Cohen</v>
      </c>
      <c r="S2452" s="5" t="str">
        <f>IFERROR(__xludf.DUMMYFUNCTION("""COMPUTED_VALUE"""),"Estrela 3")</f>
        <v>Estrela 3</v>
      </c>
    </row>
    <row r="2453">
      <c r="G2453" s="5" t="str">
        <f>IFERROR(__xludf.DUMMYFUNCTION("""COMPUTED_VALUE"""),"613🤙🏼The Trial of the Chicago 7🤙🏼Jeremy Strong🤙🏼Estrela 4")</f>
        <v>613🤙🏼The Trial of the Chicago 7🤙🏼Jeremy Strong🤙🏼Estrela 4</v>
      </c>
      <c r="H2453" s="5">
        <f>IFERROR(__xludf.DUMMYFUNCTION("SPLiT(G2453, ""🤙🏼"",FALSE,FALSE)"),613.0)</f>
        <v>613</v>
      </c>
      <c r="I2453" s="5" t="str">
        <f>IFERROR(__xludf.DUMMYFUNCTION("""COMPUTED_VALUE"""),"The Trial of the Chicago 7")</f>
        <v>The Trial of the Chicago 7</v>
      </c>
      <c r="J2453" s="5" t="str">
        <f>IFERROR(__xludf.DUMMYFUNCTION("""COMPUTED_VALUE"""),"Jeremy Strong")</f>
        <v>Jeremy Strong</v>
      </c>
      <c r="K2453" s="5" t="str">
        <f>IFERROR(__xludf.DUMMYFUNCTION("""COMPUTED_VALUE"""),"Estrela 4")</f>
        <v>Estrela 4</v>
      </c>
      <c r="P2453" s="5">
        <f>IFERROR(__xludf.DUMMYFUNCTION("""COMPUTED_VALUE"""),613.0)</f>
        <v>613</v>
      </c>
      <c r="Q2453" s="5" t="str">
        <f>IFERROR(__xludf.DUMMYFUNCTION("""COMPUTED_VALUE"""),"The Trial of the Chicago 7")</f>
        <v>The Trial of the Chicago 7</v>
      </c>
      <c r="R2453" s="5" t="str">
        <f>IFERROR(__xludf.DUMMYFUNCTION("""COMPUTED_VALUE"""),"Jeremy Strong")</f>
        <v>Jeremy Strong</v>
      </c>
      <c r="S2453" s="5" t="str">
        <f>IFERROR(__xludf.DUMMYFUNCTION("""COMPUTED_VALUE"""),"Estrela 4")</f>
        <v>Estrela 4</v>
      </c>
    </row>
    <row r="2454">
      <c r="G2454" s="5" t="str">
        <f>IFERROR(__xludf.DUMMYFUNCTION("""COMPUTED_VALUE"""),"614🤙🏼Druk🤙🏼Mads Mikkelsen🤙🏼Estrela 1")</f>
        <v>614🤙🏼Druk🤙🏼Mads Mikkelsen🤙🏼Estrela 1</v>
      </c>
      <c r="H2454" s="5">
        <f>IFERROR(__xludf.DUMMYFUNCTION("SPLiT(G2454, ""🤙🏼"",FALSE,FALSE)"),614.0)</f>
        <v>614</v>
      </c>
      <c r="I2454" s="5" t="str">
        <f>IFERROR(__xludf.DUMMYFUNCTION("""COMPUTED_VALUE"""),"Druk")</f>
        <v>Druk</v>
      </c>
      <c r="J2454" s="5" t="str">
        <f>IFERROR(__xludf.DUMMYFUNCTION("""COMPUTED_VALUE"""),"Mads Mikkelsen")</f>
        <v>Mads Mikkelsen</v>
      </c>
      <c r="K2454" s="5" t="str">
        <f>IFERROR(__xludf.DUMMYFUNCTION("""COMPUTED_VALUE"""),"Estrela 1")</f>
        <v>Estrela 1</v>
      </c>
      <c r="P2454" s="5">
        <f>IFERROR(__xludf.DUMMYFUNCTION("""COMPUTED_VALUE"""),614.0)</f>
        <v>614</v>
      </c>
      <c r="Q2454" s="5" t="str">
        <f>IFERROR(__xludf.DUMMYFUNCTION("""COMPUTED_VALUE"""),"Druk")</f>
        <v>Druk</v>
      </c>
      <c r="R2454" s="5" t="str">
        <f>IFERROR(__xludf.DUMMYFUNCTION("""COMPUTED_VALUE"""),"Mads Mikkelsen")</f>
        <v>Mads Mikkelsen</v>
      </c>
      <c r="S2454" s="5" t="str">
        <f>IFERROR(__xludf.DUMMYFUNCTION("""COMPUTED_VALUE"""),"Estrela 1")</f>
        <v>Estrela 1</v>
      </c>
    </row>
    <row r="2455">
      <c r="G2455" s="5" t="str">
        <f>IFERROR(__xludf.DUMMYFUNCTION("""COMPUTED_VALUE"""),"614🤙🏼Druk🤙🏼Thomas Bo Larsen🤙🏼Estrela 2")</f>
        <v>614🤙🏼Druk🤙🏼Thomas Bo Larsen🤙🏼Estrela 2</v>
      </c>
      <c r="H2455" s="5">
        <f>IFERROR(__xludf.DUMMYFUNCTION("SPLiT(G2455, ""🤙🏼"",FALSE,FALSE)"),614.0)</f>
        <v>614</v>
      </c>
      <c r="I2455" s="5" t="str">
        <f>IFERROR(__xludf.DUMMYFUNCTION("""COMPUTED_VALUE"""),"Druk")</f>
        <v>Druk</v>
      </c>
      <c r="J2455" s="5" t="str">
        <f>IFERROR(__xludf.DUMMYFUNCTION("""COMPUTED_VALUE"""),"Thomas Bo Larsen")</f>
        <v>Thomas Bo Larsen</v>
      </c>
      <c r="K2455" s="5" t="str">
        <f>IFERROR(__xludf.DUMMYFUNCTION("""COMPUTED_VALUE"""),"Estrela 2")</f>
        <v>Estrela 2</v>
      </c>
      <c r="P2455" s="5">
        <f>IFERROR(__xludf.DUMMYFUNCTION("""COMPUTED_VALUE"""),614.0)</f>
        <v>614</v>
      </c>
      <c r="Q2455" s="5" t="str">
        <f>IFERROR(__xludf.DUMMYFUNCTION("""COMPUTED_VALUE"""),"Druk")</f>
        <v>Druk</v>
      </c>
      <c r="R2455" s="5" t="str">
        <f>IFERROR(__xludf.DUMMYFUNCTION("""COMPUTED_VALUE"""),"Thomas Bo Larsen")</f>
        <v>Thomas Bo Larsen</v>
      </c>
      <c r="S2455" s="5" t="str">
        <f>IFERROR(__xludf.DUMMYFUNCTION("""COMPUTED_VALUE"""),"Estrela 2")</f>
        <v>Estrela 2</v>
      </c>
    </row>
    <row r="2456">
      <c r="G2456" s="5" t="str">
        <f>IFERROR(__xludf.DUMMYFUNCTION("""COMPUTED_VALUE"""),"614🤙🏼Druk🤙🏼Magnus Millang🤙🏼Estrela 3")</f>
        <v>614🤙🏼Druk🤙🏼Magnus Millang🤙🏼Estrela 3</v>
      </c>
      <c r="H2456" s="5">
        <f>IFERROR(__xludf.DUMMYFUNCTION("SPLiT(G2456, ""🤙🏼"",FALSE,FALSE)"),614.0)</f>
        <v>614</v>
      </c>
      <c r="I2456" s="5" t="str">
        <f>IFERROR(__xludf.DUMMYFUNCTION("""COMPUTED_VALUE"""),"Druk")</f>
        <v>Druk</v>
      </c>
      <c r="J2456" s="5" t="str">
        <f>IFERROR(__xludf.DUMMYFUNCTION("""COMPUTED_VALUE"""),"Magnus Millang")</f>
        <v>Magnus Millang</v>
      </c>
      <c r="K2456" s="5" t="str">
        <f>IFERROR(__xludf.DUMMYFUNCTION("""COMPUTED_VALUE"""),"Estrela 3")</f>
        <v>Estrela 3</v>
      </c>
      <c r="P2456" s="5">
        <f>IFERROR(__xludf.DUMMYFUNCTION("""COMPUTED_VALUE"""),614.0)</f>
        <v>614</v>
      </c>
      <c r="Q2456" s="5" t="str">
        <f>IFERROR(__xludf.DUMMYFUNCTION("""COMPUTED_VALUE"""),"Druk")</f>
        <v>Druk</v>
      </c>
      <c r="R2456" s="5" t="str">
        <f>IFERROR(__xludf.DUMMYFUNCTION("""COMPUTED_VALUE"""),"Magnus Millang")</f>
        <v>Magnus Millang</v>
      </c>
      <c r="S2456" s="5" t="str">
        <f>IFERROR(__xludf.DUMMYFUNCTION("""COMPUTED_VALUE"""),"Estrela 3")</f>
        <v>Estrela 3</v>
      </c>
    </row>
    <row r="2457">
      <c r="G2457" s="5" t="str">
        <f>IFERROR(__xludf.DUMMYFUNCTION("""COMPUTED_VALUE"""),"614🤙🏼Druk🤙🏼Lars Ranthe🤙🏼Estrela 4")</f>
        <v>614🤙🏼Druk🤙🏼Lars Ranthe🤙🏼Estrela 4</v>
      </c>
      <c r="H2457" s="5">
        <f>IFERROR(__xludf.DUMMYFUNCTION("SPLiT(G2457, ""🤙🏼"",FALSE,FALSE)"),614.0)</f>
        <v>614</v>
      </c>
      <c r="I2457" s="5" t="str">
        <f>IFERROR(__xludf.DUMMYFUNCTION("""COMPUTED_VALUE"""),"Druk")</f>
        <v>Druk</v>
      </c>
      <c r="J2457" s="5" t="str">
        <f>IFERROR(__xludf.DUMMYFUNCTION("""COMPUTED_VALUE"""),"Lars Ranthe")</f>
        <v>Lars Ranthe</v>
      </c>
      <c r="K2457" s="5" t="str">
        <f>IFERROR(__xludf.DUMMYFUNCTION("""COMPUTED_VALUE"""),"Estrela 4")</f>
        <v>Estrela 4</v>
      </c>
      <c r="P2457" s="5">
        <f>IFERROR(__xludf.DUMMYFUNCTION("""COMPUTED_VALUE"""),614.0)</f>
        <v>614</v>
      </c>
      <c r="Q2457" s="5" t="str">
        <f>IFERROR(__xludf.DUMMYFUNCTION("""COMPUTED_VALUE"""),"Druk")</f>
        <v>Druk</v>
      </c>
      <c r="R2457" s="5" t="str">
        <f>IFERROR(__xludf.DUMMYFUNCTION("""COMPUTED_VALUE"""),"Lars Ranthe")</f>
        <v>Lars Ranthe</v>
      </c>
      <c r="S2457" s="5" t="str">
        <f>IFERROR(__xludf.DUMMYFUNCTION("""COMPUTED_VALUE"""),"Estrela 4")</f>
        <v>Estrela 4</v>
      </c>
    </row>
    <row r="2458">
      <c r="G2458" s="5" t="str">
        <f>IFERROR(__xludf.DUMMYFUNCTION("""COMPUTED_VALUE"""),"615🤙🏼The Fighter🤙🏼Mark Wahlberg🤙🏼Estrela 1")</f>
        <v>615🤙🏼The Fighter🤙🏼Mark Wahlberg🤙🏼Estrela 1</v>
      </c>
      <c r="H2458" s="5">
        <f>IFERROR(__xludf.DUMMYFUNCTION("SPLiT(G2458, ""🤙🏼"",FALSE,FALSE)"),615.0)</f>
        <v>615</v>
      </c>
      <c r="I2458" s="5" t="str">
        <f>IFERROR(__xludf.DUMMYFUNCTION("""COMPUTED_VALUE"""),"The Fighter")</f>
        <v>The Fighter</v>
      </c>
      <c r="J2458" s="5" t="str">
        <f>IFERROR(__xludf.DUMMYFUNCTION("""COMPUTED_VALUE"""),"Mark Wahlberg")</f>
        <v>Mark Wahlberg</v>
      </c>
      <c r="K2458" s="5" t="str">
        <f>IFERROR(__xludf.DUMMYFUNCTION("""COMPUTED_VALUE"""),"Estrela 1")</f>
        <v>Estrela 1</v>
      </c>
      <c r="P2458" s="5">
        <f>IFERROR(__xludf.DUMMYFUNCTION("""COMPUTED_VALUE"""),615.0)</f>
        <v>615</v>
      </c>
      <c r="Q2458" s="5" t="str">
        <f>IFERROR(__xludf.DUMMYFUNCTION("""COMPUTED_VALUE"""),"The Fighter")</f>
        <v>The Fighter</v>
      </c>
      <c r="R2458" s="5" t="str">
        <f>IFERROR(__xludf.DUMMYFUNCTION("""COMPUTED_VALUE"""),"Mark Wahlberg")</f>
        <v>Mark Wahlberg</v>
      </c>
      <c r="S2458" s="5" t="str">
        <f>IFERROR(__xludf.DUMMYFUNCTION("""COMPUTED_VALUE"""),"Estrela 1")</f>
        <v>Estrela 1</v>
      </c>
    </row>
    <row r="2459">
      <c r="G2459" s="5" t="str">
        <f>IFERROR(__xludf.DUMMYFUNCTION("""COMPUTED_VALUE"""),"615🤙🏼The Fighter🤙🏼Christian Bale🤙🏼Estrela 2")</f>
        <v>615🤙🏼The Fighter🤙🏼Christian Bale🤙🏼Estrela 2</v>
      </c>
      <c r="H2459" s="5">
        <f>IFERROR(__xludf.DUMMYFUNCTION("SPLiT(G2459, ""🤙🏼"",FALSE,FALSE)"),615.0)</f>
        <v>615</v>
      </c>
      <c r="I2459" s="5" t="str">
        <f>IFERROR(__xludf.DUMMYFUNCTION("""COMPUTED_VALUE"""),"The Fighter")</f>
        <v>The Fighter</v>
      </c>
      <c r="J2459" s="5" t="str">
        <f>IFERROR(__xludf.DUMMYFUNCTION("""COMPUTED_VALUE"""),"Christian Bale")</f>
        <v>Christian Bale</v>
      </c>
      <c r="K2459" s="5" t="str">
        <f>IFERROR(__xludf.DUMMYFUNCTION("""COMPUTED_VALUE"""),"Estrela 2")</f>
        <v>Estrela 2</v>
      </c>
      <c r="P2459" s="5">
        <f>IFERROR(__xludf.DUMMYFUNCTION("""COMPUTED_VALUE"""),615.0)</f>
        <v>615</v>
      </c>
      <c r="Q2459" s="5" t="str">
        <f>IFERROR(__xludf.DUMMYFUNCTION("""COMPUTED_VALUE"""),"The Fighter")</f>
        <v>The Fighter</v>
      </c>
      <c r="R2459" s="5" t="str">
        <f>IFERROR(__xludf.DUMMYFUNCTION("""COMPUTED_VALUE"""),"Christian Bale")</f>
        <v>Christian Bale</v>
      </c>
      <c r="S2459" s="5" t="str">
        <f>IFERROR(__xludf.DUMMYFUNCTION("""COMPUTED_VALUE"""),"Estrela 2")</f>
        <v>Estrela 2</v>
      </c>
    </row>
    <row r="2460">
      <c r="G2460" s="5" t="str">
        <f>IFERROR(__xludf.DUMMYFUNCTION("""COMPUTED_VALUE"""),"615🤙🏼The Fighter🤙🏼Amy Adams🤙🏼Estrela 3")</f>
        <v>615🤙🏼The Fighter🤙🏼Amy Adams🤙🏼Estrela 3</v>
      </c>
      <c r="H2460" s="5">
        <f>IFERROR(__xludf.DUMMYFUNCTION("SPLiT(G2460, ""🤙🏼"",FALSE,FALSE)"),615.0)</f>
        <v>615</v>
      </c>
      <c r="I2460" s="5" t="str">
        <f>IFERROR(__xludf.DUMMYFUNCTION("""COMPUTED_VALUE"""),"The Fighter")</f>
        <v>The Fighter</v>
      </c>
      <c r="J2460" s="5" t="str">
        <f>IFERROR(__xludf.DUMMYFUNCTION("""COMPUTED_VALUE"""),"Amy Adams")</f>
        <v>Amy Adams</v>
      </c>
      <c r="K2460" s="5" t="str">
        <f>IFERROR(__xludf.DUMMYFUNCTION("""COMPUTED_VALUE"""),"Estrela 3")</f>
        <v>Estrela 3</v>
      </c>
      <c r="P2460" s="5">
        <f>IFERROR(__xludf.DUMMYFUNCTION("""COMPUTED_VALUE"""),615.0)</f>
        <v>615</v>
      </c>
      <c r="Q2460" s="5" t="str">
        <f>IFERROR(__xludf.DUMMYFUNCTION("""COMPUTED_VALUE"""),"The Fighter")</f>
        <v>The Fighter</v>
      </c>
      <c r="R2460" s="5" t="str">
        <f>IFERROR(__xludf.DUMMYFUNCTION("""COMPUTED_VALUE"""),"Amy Adams")</f>
        <v>Amy Adams</v>
      </c>
      <c r="S2460" s="5" t="str">
        <f>IFERROR(__xludf.DUMMYFUNCTION("""COMPUTED_VALUE"""),"Estrela 3")</f>
        <v>Estrela 3</v>
      </c>
    </row>
    <row r="2461">
      <c r="G2461" s="5" t="str">
        <f>IFERROR(__xludf.DUMMYFUNCTION("""COMPUTED_VALUE"""),"615🤙🏼The Fighter🤙🏼Melissa Leo🤙🏼Estrela 4")</f>
        <v>615🤙🏼The Fighter🤙🏼Melissa Leo🤙🏼Estrela 4</v>
      </c>
      <c r="H2461" s="5">
        <f>IFERROR(__xludf.DUMMYFUNCTION("SPLiT(G2461, ""🤙🏼"",FALSE,FALSE)"),615.0)</f>
        <v>615</v>
      </c>
      <c r="I2461" s="5" t="str">
        <f>IFERROR(__xludf.DUMMYFUNCTION("""COMPUTED_VALUE"""),"The Fighter")</f>
        <v>The Fighter</v>
      </c>
      <c r="J2461" s="5" t="str">
        <f>IFERROR(__xludf.DUMMYFUNCTION("""COMPUTED_VALUE"""),"Melissa Leo")</f>
        <v>Melissa Leo</v>
      </c>
      <c r="K2461" s="5" t="str">
        <f>IFERROR(__xludf.DUMMYFUNCTION("""COMPUTED_VALUE"""),"Estrela 4")</f>
        <v>Estrela 4</v>
      </c>
      <c r="P2461" s="5">
        <f>IFERROR(__xludf.DUMMYFUNCTION("""COMPUTED_VALUE"""),615.0)</f>
        <v>615</v>
      </c>
      <c r="Q2461" s="5" t="str">
        <f>IFERROR(__xludf.DUMMYFUNCTION("""COMPUTED_VALUE"""),"The Fighter")</f>
        <v>The Fighter</v>
      </c>
      <c r="R2461" s="5" t="str">
        <f>IFERROR(__xludf.DUMMYFUNCTION("""COMPUTED_VALUE"""),"Melissa Leo")</f>
        <v>Melissa Leo</v>
      </c>
      <c r="S2461" s="5" t="str">
        <f>IFERROR(__xludf.DUMMYFUNCTION("""COMPUTED_VALUE"""),"Estrela 4")</f>
        <v>Estrela 4</v>
      </c>
    </row>
    <row r="2462">
      <c r="G2462" s="5" t="str">
        <f>IFERROR(__xludf.DUMMYFUNCTION("""COMPUTED_VALUE"""),"616🤙🏼Taken🤙🏼Liam Neeson🤙🏼Estrela 1")</f>
        <v>616🤙🏼Taken🤙🏼Liam Neeson🤙🏼Estrela 1</v>
      </c>
      <c r="H2462" s="5">
        <f>IFERROR(__xludf.DUMMYFUNCTION("SPLiT(G2462, ""🤙🏼"",FALSE,FALSE)"),616.0)</f>
        <v>616</v>
      </c>
      <c r="I2462" s="5" t="str">
        <f>IFERROR(__xludf.DUMMYFUNCTION("""COMPUTED_VALUE"""),"Taken")</f>
        <v>Taken</v>
      </c>
      <c r="J2462" s="5" t="str">
        <f>IFERROR(__xludf.DUMMYFUNCTION("""COMPUTED_VALUE"""),"Liam Neeson")</f>
        <v>Liam Neeson</v>
      </c>
      <c r="K2462" s="5" t="str">
        <f>IFERROR(__xludf.DUMMYFUNCTION("""COMPUTED_VALUE"""),"Estrela 1")</f>
        <v>Estrela 1</v>
      </c>
      <c r="P2462" s="5">
        <f>IFERROR(__xludf.DUMMYFUNCTION("""COMPUTED_VALUE"""),616.0)</f>
        <v>616</v>
      </c>
      <c r="Q2462" s="5" t="str">
        <f>IFERROR(__xludf.DUMMYFUNCTION("""COMPUTED_VALUE"""),"Taken")</f>
        <v>Taken</v>
      </c>
      <c r="R2462" s="5" t="str">
        <f>IFERROR(__xludf.DUMMYFUNCTION("""COMPUTED_VALUE"""),"Liam Neeson")</f>
        <v>Liam Neeson</v>
      </c>
      <c r="S2462" s="5" t="str">
        <f>IFERROR(__xludf.DUMMYFUNCTION("""COMPUTED_VALUE"""),"Estrela 1")</f>
        <v>Estrela 1</v>
      </c>
    </row>
    <row r="2463">
      <c r="G2463" s="5" t="str">
        <f>IFERROR(__xludf.DUMMYFUNCTION("""COMPUTED_VALUE"""),"616🤙🏼Taken🤙🏼Maggie Grace🤙🏼Estrela 2")</f>
        <v>616🤙🏼Taken🤙🏼Maggie Grace🤙🏼Estrela 2</v>
      </c>
      <c r="H2463" s="5">
        <f>IFERROR(__xludf.DUMMYFUNCTION("SPLiT(G2463, ""🤙🏼"",FALSE,FALSE)"),616.0)</f>
        <v>616</v>
      </c>
      <c r="I2463" s="5" t="str">
        <f>IFERROR(__xludf.DUMMYFUNCTION("""COMPUTED_VALUE"""),"Taken")</f>
        <v>Taken</v>
      </c>
      <c r="J2463" s="5" t="str">
        <f>IFERROR(__xludf.DUMMYFUNCTION("""COMPUTED_VALUE"""),"Maggie Grace")</f>
        <v>Maggie Grace</v>
      </c>
      <c r="K2463" s="5" t="str">
        <f>IFERROR(__xludf.DUMMYFUNCTION("""COMPUTED_VALUE"""),"Estrela 2")</f>
        <v>Estrela 2</v>
      </c>
      <c r="P2463" s="5">
        <f>IFERROR(__xludf.DUMMYFUNCTION("""COMPUTED_VALUE"""),616.0)</f>
        <v>616</v>
      </c>
      <c r="Q2463" s="5" t="str">
        <f>IFERROR(__xludf.DUMMYFUNCTION("""COMPUTED_VALUE"""),"Taken")</f>
        <v>Taken</v>
      </c>
      <c r="R2463" s="5" t="str">
        <f>IFERROR(__xludf.DUMMYFUNCTION("""COMPUTED_VALUE"""),"Maggie Grace")</f>
        <v>Maggie Grace</v>
      </c>
      <c r="S2463" s="5" t="str">
        <f>IFERROR(__xludf.DUMMYFUNCTION("""COMPUTED_VALUE"""),"Estrela 2")</f>
        <v>Estrela 2</v>
      </c>
    </row>
    <row r="2464">
      <c r="G2464" s="5" t="str">
        <f>IFERROR(__xludf.DUMMYFUNCTION("""COMPUTED_VALUE"""),"616🤙🏼Taken🤙🏼Famke Janssen🤙🏼Estrela 3")</f>
        <v>616🤙🏼Taken🤙🏼Famke Janssen🤙🏼Estrela 3</v>
      </c>
      <c r="H2464" s="5">
        <f>IFERROR(__xludf.DUMMYFUNCTION("SPLiT(G2464, ""🤙🏼"",FALSE,FALSE)"),616.0)</f>
        <v>616</v>
      </c>
      <c r="I2464" s="5" t="str">
        <f>IFERROR(__xludf.DUMMYFUNCTION("""COMPUTED_VALUE"""),"Taken")</f>
        <v>Taken</v>
      </c>
      <c r="J2464" s="5" t="str">
        <f>IFERROR(__xludf.DUMMYFUNCTION("""COMPUTED_VALUE"""),"Famke Janssen")</f>
        <v>Famke Janssen</v>
      </c>
      <c r="K2464" s="5" t="str">
        <f>IFERROR(__xludf.DUMMYFUNCTION("""COMPUTED_VALUE"""),"Estrela 3")</f>
        <v>Estrela 3</v>
      </c>
      <c r="P2464" s="5">
        <f>IFERROR(__xludf.DUMMYFUNCTION("""COMPUTED_VALUE"""),616.0)</f>
        <v>616</v>
      </c>
      <c r="Q2464" s="5" t="str">
        <f>IFERROR(__xludf.DUMMYFUNCTION("""COMPUTED_VALUE"""),"Taken")</f>
        <v>Taken</v>
      </c>
      <c r="R2464" s="5" t="str">
        <f>IFERROR(__xludf.DUMMYFUNCTION("""COMPUTED_VALUE"""),"Famke Janssen")</f>
        <v>Famke Janssen</v>
      </c>
      <c r="S2464" s="5" t="str">
        <f>IFERROR(__xludf.DUMMYFUNCTION("""COMPUTED_VALUE"""),"Estrela 3")</f>
        <v>Estrela 3</v>
      </c>
    </row>
    <row r="2465">
      <c r="G2465" s="5" t="str">
        <f>IFERROR(__xludf.DUMMYFUNCTION("""COMPUTED_VALUE"""),"616🤙🏼Taken🤙🏼Leland Orser🤙🏼Estrela 4")</f>
        <v>616🤙🏼Taken🤙🏼Leland Orser🤙🏼Estrela 4</v>
      </c>
      <c r="H2465" s="5">
        <f>IFERROR(__xludf.DUMMYFUNCTION("SPLiT(G2465, ""🤙🏼"",FALSE,FALSE)"),616.0)</f>
        <v>616</v>
      </c>
      <c r="I2465" s="5" t="str">
        <f>IFERROR(__xludf.DUMMYFUNCTION("""COMPUTED_VALUE"""),"Taken")</f>
        <v>Taken</v>
      </c>
      <c r="J2465" s="5" t="str">
        <f>IFERROR(__xludf.DUMMYFUNCTION("""COMPUTED_VALUE"""),"Leland Orser")</f>
        <v>Leland Orser</v>
      </c>
      <c r="K2465" s="5" t="str">
        <f>IFERROR(__xludf.DUMMYFUNCTION("""COMPUTED_VALUE"""),"Estrela 4")</f>
        <v>Estrela 4</v>
      </c>
      <c r="P2465" s="5">
        <f>IFERROR(__xludf.DUMMYFUNCTION("""COMPUTED_VALUE"""),616.0)</f>
        <v>616</v>
      </c>
      <c r="Q2465" s="5" t="str">
        <f>IFERROR(__xludf.DUMMYFUNCTION("""COMPUTED_VALUE"""),"Taken")</f>
        <v>Taken</v>
      </c>
      <c r="R2465" s="5" t="str">
        <f>IFERROR(__xludf.DUMMYFUNCTION("""COMPUTED_VALUE"""),"Leland Orser")</f>
        <v>Leland Orser</v>
      </c>
      <c r="S2465" s="5" t="str">
        <f>IFERROR(__xludf.DUMMYFUNCTION("""COMPUTED_VALUE"""),"Estrela 4")</f>
        <v>Estrela 4</v>
      </c>
    </row>
    <row r="2466">
      <c r="G2466" s="5" t="str">
        <f>IFERROR(__xludf.DUMMYFUNCTION("""COMPUTED_VALUE"""),"617🤙🏼The Boy in the Striped Pyjamas🤙🏼Asa Butterfield🤙🏼Estrela 1")</f>
        <v>617🤙🏼The Boy in the Striped Pyjamas🤙🏼Asa Butterfield🤙🏼Estrela 1</v>
      </c>
      <c r="H2466" s="5">
        <f>IFERROR(__xludf.DUMMYFUNCTION("SPLiT(G2466, ""🤙🏼"",FALSE,FALSE)"),617.0)</f>
        <v>617</v>
      </c>
      <c r="I2466" s="5" t="str">
        <f>IFERROR(__xludf.DUMMYFUNCTION("""COMPUTED_VALUE"""),"The Boy in the Striped Pyjamas")</f>
        <v>The Boy in the Striped Pyjamas</v>
      </c>
      <c r="J2466" s="5" t="str">
        <f>IFERROR(__xludf.DUMMYFUNCTION("""COMPUTED_VALUE"""),"Asa Butterfield")</f>
        <v>Asa Butterfield</v>
      </c>
      <c r="K2466" s="5" t="str">
        <f>IFERROR(__xludf.DUMMYFUNCTION("""COMPUTED_VALUE"""),"Estrela 1")</f>
        <v>Estrela 1</v>
      </c>
      <c r="P2466" s="5">
        <f>IFERROR(__xludf.DUMMYFUNCTION("""COMPUTED_VALUE"""),617.0)</f>
        <v>617</v>
      </c>
      <c r="Q2466" s="5" t="str">
        <f>IFERROR(__xludf.DUMMYFUNCTION("""COMPUTED_VALUE"""),"The Boy in the Striped Pyjamas")</f>
        <v>The Boy in the Striped Pyjamas</v>
      </c>
      <c r="R2466" s="5" t="str">
        <f>IFERROR(__xludf.DUMMYFUNCTION("""COMPUTED_VALUE"""),"Asa Butterfield")</f>
        <v>Asa Butterfield</v>
      </c>
      <c r="S2466" s="5" t="str">
        <f>IFERROR(__xludf.DUMMYFUNCTION("""COMPUTED_VALUE"""),"Estrela 1")</f>
        <v>Estrela 1</v>
      </c>
    </row>
    <row r="2467">
      <c r="G2467" s="5" t="str">
        <f>IFERROR(__xludf.DUMMYFUNCTION("""COMPUTED_VALUE"""),"617🤙🏼The Boy in the Striped Pyjamas🤙🏼David Thewlis🤙🏼Estrela 2")</f>
        <v>617🤙🏼The Boy in the Striped Pyjamas🤙🏼David Thewlis🤙🏼Estrela 2</v>
      </c>
      <c r="H2467" s="5">
        <f>IFERROR(__xludf.DUMMYFUNCTION("SPLiT(G2467, ""🤙🏼"",FALSE,FALSE)"),617.0)</f>
        <v>617</v>
      </c>
      <c r="I2467" s="5" t="str">
        <f>IFERROR(__xludf.DUMMYFUNCTION("""COMPUTED_VALUE"""),"The Boy in the Striped Pyjamas")</f>
        <v>The Boy in the Striped Pyjamas</v>
      </c>
      <c r="J2467" s="5" t="str">
        <f>IFERROR(__xludf.DUMMYFUNCTION("""COMPUTED_VALUE"""),"David Thewlis")</f>
        <v>David Thewlis</v>
      </c>
      <c r="K2467" s="5" t="str">
        <f>IFERROR(__xludf.DUMMYFUNCTION("""COMPUTED_VALUE"""),"Estrela 2")</f>
        <v>Estrela 2</v>
      </c>
      <c r="P2467" s="5">
        <f>IFERROR(__xludf.DUMMYFUNCTION("""COMPUTED_VALUE"""),617.0)</f>
        <v>617</v>
      </c>
      <c r="Q2467" s="5" t="str">
        <f>IFERROR(__xludf.DUMMYFUNCTION("""COMPUTED_VALUE"""),"The Boy in the Striped Pyjamas")</f>
        <v>The Boy in the Striped Pyjamas</v>
      </c>
      <c r="R2467" s="5" t="str">
        <f>IFERROR(__xludf.DUMMYFUNCTION("""COMPUTED_VALUE"""),"David Thewlis")</f>
        <v>David Thewlis</v>
      </c>
      <c r="S2467" s="5" t="str">
        <f>IFERROR(__xludf.DUMMYFUNCTION("""COMPUTED_VALUE"""),"Estrela 2")</f>
        <v>Estrela 2</v>
      </c>
    </row>
    <row r="2468">
      <c r="G2468" s="5" t="str">
        <f>IFERROR(__xludf.DUMMYFUNCTION("""COMPUTED_VALUE"""),"617🤙🏼The Boy in the Striped Pyjamas🤙🏼Rupert Friend🤙🏼Estrela 3")</f>
        <v>617🤙🏼The Boy in the Striped Pyjamas🤙🏼Rupert Friend🤙🏼Estrela 3</v>
      </c>
      <c r="H2468" s="5">
        <f>IFERROR(__xludf.DUMMYFUNCTION("SPLiT(G2468, ""🤙🏼"",FALSE,FALSE)"),617.0)</f>
        <v>617</v>
      </c>
      <c r="I2468" s="5" t="str">
        <f>IFERROR(__xludf.DUMMYFUNCTION("""COMPUTED_VALUE"""),"The Boy in the Striped Pyjamas")</f>
        <v>The Boy in the Striped Pyjamas</v>
      </c>
      <c r="J2468" s="5" t="str">
        <f>IFERROR(__xludf.DUMMYFUNCTION("""COMPUTED_VALUE"""),"Rupert Friend")</f>
        <v>Rupert Friend</v>
      </c>
      <c r="K2468" s="5" t="str">
        <f>IFERROR(__xludf.DUMMYFUNCTION("""COMPUTED_VALUE"""),"Estrela 3")</f>
        <v>Estrela 3</v>
      </c>
      <c r="P2468" s="5">
        <f>IFERROR(__xludf.DUMMYFUNCTION("""COMPUTED_VALUE"""),617.0)</f>
        <v>617</v>
      </c>
      <c r="Q2468" s="5" t="str">
        <f>IFERROR(__xludf.DUMMYFUNCTION("""COMPUTED_VALUE"""),"The Boy in the Striped Pyjamas")</f>
        <v>The Boy in the Striped Pyjamas</v>
      </c>
      <c r="R2468" s="5" t="str">
        <f>IFERROR(__xludf.DUMMYFUNCTION("""COMPUTED_VALUE"""),"Rupert Friend")</f>
        <v>Rupert Friend</v>
      </c>
      <c r="S2468" s="5" t="str">
        <f>IFERROR(__xludf.DUMMYFUNCTION("""COMPUTED_VALUE"""),"Estrela 3")</f>
        <v>Estrela 3</v>
      </c>
    </row>
    <row r="2469">
      <c r="G2469" s="5" t="str">
        <f>IFERROR(__xludf.DUMMYFUNCTION("""COMPUTED_VALUE"""),"617🤙🏼The Boy in the Striped Pyjamas🤙🏼Zac Mattoon O'Brien🤙🏼Estrela 4")</f>
        <v>617🤙🏼The Boy in the Striped Pyjamas🤙🏼Zac Mattoon O'Brien🤙🏼Estrela 4</v>
      </c>
      <c r="H2469" s="5">
        <f>IFERROR(__xludf.DUMMYFUNCTION("SPLiT(G2469, ""🤙🏼"",FALSE,FALSE)"),617.0)</f>
        <v>617</v>
      </c>
      <c r="I2469" s="5" t="str">
        <f>IFERROR(__xludf.DUMMYFUNCTION("""COMPUTED_VALUE"""),"The Boy in the Striped Pyjamas")</f>
        <v>The Boy in the Striped Pyjamas</v>
      </c>
      <c r="J2469" s="5" t="str">
        <f>IFERROR(__xludf.DUMMYFUNCTION("""COMPUTED_VALUE"""),"Zac Mattoon O'Brien")</f>
        <v>Zac Mattoon O'Brien</v>
      </c>
      <c r="K2469" s="5" t="str">
        <f>IFERROR(__xludf.DUMMYFUNCTION("""COMPUTED_VALUE"""),"Estrela 4")</f>
        <v>Estrela 4</v>
      </c>
      <c r="P2469" s="5">
        <f>IFERROR(__xludf.DUMMYFUNCTION("""COMPUTED_VALUE"""),617.0)</f>
        <v>617</v>
      </c>
      <c r="Q2469" s="5" t="str">
        <f>IFERROR(__xludf.DUMMYFUNCTION("""COMPUTED_VALUE"""),"The Boy in the Striped Pyjamas")</f>
        <v>The Boy in the Striped Pyjamas</v>
      </c>
      <c r="R2469" s="5" t="str">
        <f>IFERROR(__xludf.DUMMYFUNCTION("""COMPUTED_VALUE"""),"Zac Mattoon O'Brien")</f>
        <v>Zac Mattoon O'Brien</v>
      </c>
      <c r="S2469" s="5" t="str">
        <f>IFERROR(__xludf.DUMMYFUNCTION("""COMPUTED_VALUE"""),"Estrela 4")</f>
        <v>Estrela 4</v>
      </c>
    </row>
    <row r="2470">
      <c r="G2470" s="5" t="str">
        <f>IFERROR(__xludf.DUMMYFUNCTION("""COMPUTED_VALUE"""),"618🤙🏼Once🤙🏼Glen Hansard🤙🏼Estrela 1")</f>
        <v>618🤙🏼Once🤙🏼Glen Hansard🤙🏼Estrela 1</v>
      </c>
      <c r="H2470" s="5">
        <f>IFERROR(__xludf.DUMMYFUNCTION("SPLiT(G2470, ""🤙🏼"",FALSE,FALSE)"),618.0)</f>
        <v>618</v>
      </c>
      <c r="I2470" s="5" t="str">
        <f>IFERROR(__xludf.DUMMYFUNCTION("""COMPUTED_VALUE"""),"Once")</f>
        <v>Once</v>
      </c>
      <c r="J2470" s="5" t="str">
        <f>IFERROR(__xludf.DUMMYFUNCTION("""COMPUTED_VALUE"""),"Glen Hansard")</f>
        <v>Glen Hansard</v>
      </c>
      <c r="K2470" s="5" t="str">
        <f>IFERROR(__xludf.DUMMYFUNCTION("""COMPUTED_VALUE"""),"Estrela 1")</f>
        <v>Estrela 1</v>
      </c>
      <c r="P2470" s="5">
        <f>IFERROR(__xludf.DUMMYFUNCTION("""COMPUTED_VALUE"""),618.0)</f>
        <v>618</v>
      </c>
      <c r="Q2470" s="5" t="str">
        <f>IFERROR(__xludf.DUMMYFUNCTION("""COMPUTED_VALUE"""),"Once")</f>
        <v>Once</v>
      </c>
      <c r="R2470" s="5" t="str">
        <f>IFERROR(__xludf.DUMMYFUNCTION("""COMPUTED_VALUE"""),"Glen Hansard")</f>
        <v>Glen Hansard</v>
      </c>
      <c r="S2470" s="5" t="str">
        <f>IFERROR(__xludf.DUMMYFUNCTION("""COMPUTED_VALUE"""),"Estrela 1")</f>
        <v>Estrela 1</v>
      </c>
    </row>
    <row r="2471">
      <c r="G2471" s="5" t="str">
        <f>IFERROR(__xludf.DUMMYFUNCTION("""COMPUTED_VALUE"""),"618🤙🏼Once🤙🏼Markéta Irglová🤙🏼Estrela 2")</f>
        <v>618🤙🏼Once🤙🏼Markéta Irglová🤙🏼Estrela 2</v>
      </c>
      <c r="H2471" s="5">
        <f>IFERROR(__xludf.DUMMYFUNCTION("SPLiT(G2471, ""🤙🏼"",FALSE,FALSE)"),618.0)</f>
        <v>618</v>
      </c>
      <c r="I2471" s="5" t="str">
        <f>IFERROR(__xludf.DUMMYFUNCTION("""COMPUTED_VALUE"""),"Once")</f>
        <v>Once</v>
      </c>
      <c r="J2471" s="5" t="str">
        <f>IFERROR(__xludf.DUMMYFUNCTION("""COMPUTED_VALUE"""),"Markéta Irglová")</f>
        <v>Markéta Irglová</v>
      </c>
      <c r="K2471" s="5" t="str">
        <f>IFERROR(__xludf.DUMMYFUNCTION("""COMPUTED_VALUE"""),"Estrela 2")</f>
        <v>Estrela 2</v>
      </c>
      <c r="P2471" s="5">
        <f>IFERROR(__xludf.DUMMYFUNCTION("""COMPUTED_VALUE"""),618.0)</f>
        <v>618</v>
      </c>
      <c r="Q2471" s="5" t="str">
        <f>IFERROR(__xludf.DUMMYFUNCTION("""COMPUTED_VALUE"""),"Once")</f>
        <v>Once</v>
      </c>
      <c r="R2471" s="5" t="str">
        <f>IFERROR(__xludf.DUMMYFUNCTION("""COMPUTED_VALUE"""),"Markéta Irglová")</f>
        <v>Markéta Irglová</v>
      </c>
      <c r="S2471" s="5" t="str">
        <f>IFERROR(__xludf.DUMMYFUNCTION("""COMPUTED_VALUE"""),"Estrela 2")</f>
        <v>Estrela 2</v>
      </c>
    </row>
    <row r="2472">
      <c r="G2472" s="5" t="str">
        <f>IFERROR(__xludf.DUMMYFUNCTION("""COMPUTED_VALUE"""),"618🤙🏼Once🤙🏼Hugh Walsh🤙🏼Estrela 3")</f>
        <v>618🤙🏼Once🤙🏼Hugh Walsh🤙🏼Estrela 3</v>
      </c>
      <c r="H2472" s="5">
        <f>IFERROR(__xludf.DUMMYFUNCTION("SPLiT(G2472, ""🤙🏼"",FALSE,FALSE)"),618.0)</f>
        <v>618</v>
      </c>
      <c r="I2472" s="5" t="str">
        <f>IFERROR(__xludf.DUMMYFUNCTION("""COMPUTED_VALUE"""),"Once")</f>
        <v>Once</v>
      </c>
      <c r="J2472" s="5" t="str">
        <f>IFERROR(__xludf.DUMMYFUNCTION("""COMPUTED_VALUE"""),"Hugh Walsh")</f>
        <v>Hugh Walsh</v>
      </c>
      <c r="K2472" s="5" t="str">
        <f>IFERROR(__xludf.DUMMYFUNCTION("""COMPUTED_VALUE"""),"Estrela 3")</f>
        <v>Estrela 3</v>
      </c>
      <c r="P2472" s="5">
        <f>IFERROR(__xludf.DUMMYFUNCTION("""COMPUTED_VALUE"""),618.0)</f>
        <v>618</v>
      </c>
      <c r="Q2472" s="5" t="str">
        <f>IFERROR(__xludf.DUMMYFUNCTION("""COMPUTED_VALUE"""),"Once")</f>
        <v>Once</v>
      </c>
      <c r="R2472" s="5" t="str">
        <f>IFERROR(__xludf.DUMMYFUNCTION("""COMPUTED_VALUE"""),"Hugh Walsh")</f>
        <v>Hugh Walsh</v>
      </c>
      <c r="S2472" s="5" t="str">
        <f>IFERROR(__xludf.DUMMYFUNCTION("""COMPUTED_VALUE"""),"Estrela 3")</f>
        <v>Estrela 3</v>
      </c>
    </row>
    <row r="2473">
      <c r="G2473" s="5" t="str">
        <f>IFERROR(__xludf.DUMMYFUNCTION("""COMPUTED_VALUE"""),"618🤙🏼Once🤙🏼Gerard Hendrick🤙🏼Estrela 4")</f>
        <v>618🤙🏼Once🤙🏼Gerard Hendrick🤙🏼Estrela 4</v>
      </c>
      <c r="H2473" s="5">
        <f>IFERROR(__xludf.DUMMYFUNCTION("SPLiT(G2473, ""🤙🏼"",FALSE,FALSE)"),618.0)</f>
        <v>618</v>
      </c>
      <c r="I2473" s="5" t="str">
        <f>IFERROR(__xludf.DUMMYFUNCTION("""COMPUTED_VALUE"""),"Once")</f>
        <v>Once</v>
      </c>
      <c r="J2473" s="5" t="str">
        <f>IFERROR(__xludf.DUMMYFUNCTION("""COMPUTED_VALUE"""),"Gerard Hendrick")</f>
        <v>Gerard Hendrick</v>
      </c>
      <c r="K2473" s="5" t="str">
        <f>IFERROR(__xludf.DUMMYFUNCTION("""COMPUTED_VALUE"""),"Estrela 4")</f>
        <v>Estrela 4</v>
      </c>
      <c r="P2473" s="5">
        <f>IFERROR(__xludf.DUMMYFUNCTION("""COMPUTED_VALUE"""),618.0)</f>
        <v>618</v>
      </c>
      <c r="Q2473" s="5" t="str">
        <f>IFERROR(__xludf.DUMMYFUNCTION("""COMPUTED_VALUE"""),"Once")</f>
        <v>Once</v>
      </c>
      <c r="R2473" s="5" t="str">
        <f>IFERROR(__xludf.DUMMYFUNCTION("""COMPUTED_VALUE"""),"Gerard Hendrick")</f>
        <v>Gerard Hendrick</v>
      </c>
      <c r="S2473" s="5" t="str">
        <f>IFERROR(__xludf.DUMMYFUNCTION("""COMPUTED_VALUE"""),"Estrela 4")</f>
        <v>Estrela 4</v>
      </c>
    </row>
    <row r="2474">
      <c r="G2474" s="5" t="str">
        <f>IFERROR(__xludf.DUMMYFUNCTION("""COMPUTED_VALUE"""),"619🤙🏼The Hobbit: An Unexpected Journey🤙🏼Martin Freeman🤙🏼Estrela 1")</f>
        <v>619🤙🏼The Hobbit: An Unexpected Journey🤙🏼Martin Freeman🤙🏼Estrela 1</v>
      </c>
      <c r="H2474" s="5">
        <f>IFERROR(__xludf.DUMMYFUNCTION("SPLiT(G2474, ""🤙🏼"",FALSE,FALSE)"),619.0)</f>
        <v>619</v>
      </c>
      <c r="I2474" s="5" t="str">
        <f>IFERROR(__xludf.DUMMYFUNCTION("""COMPUTED_VALUE"""),"The Hobbit: An Unexpected Journey")</f>
        <v>The Hobbit: An Unexpected Journey</v>
      </c>
      <c r="J2474" s="5" t="str">
        <f>IFERROR(__xludf.DUMMYFUNCTION("""COMPUTED_VALUE"""),"Martin Freeman")</f>
        <v>Martin Freeman</v>
      </c>
      <c r="K2474" s="5" t="str">
        <f>IFERROR(__xludf.DUMMYFUNCTION("""COMPUTED_VALUE"""),"Estrela 1")</f>
        <v>Estrela 1</v>
      </c>
      <c r="P2474" s="5">
        <f>IFERROR(__xludf.DUMMYFUNCTION("""COMPUTED_VALUE"""),619.0)</f>
        <v>619</v>
      </c>
      <c r="Q2474" s="5" t="str">
        <f>IFERROR(__xludf.DUMMYFUNCTION("""COMPUTED_VALUE"""),"The Hobbit: An Unexpected Journey")</f>
        <v>The Hobbit: An Unexpected Journey</v>
      </c>
      <c r="R2474" s="5" t="str">
        <f>IFERROR(__xludf.DUMMYFUNCTION("""COMPUTED_VALUE"""),"Martin Freeman")</f>
        <v>Martin Freeman</v>
      </c>
      <c r="S2474" s="5" t="str">
        <f>IFERROR(__xludf.DUMMYFUNCTION("""COMPUTED_VALUE"""),"Estrela 1")</f>
        <v>Estrela 1</v>
      </c>
    </row>
    <row r="2475">
      <c r="G2475" s="5" t="str">
        <f>IFERROR(__xludf.DUMMYFUNCTION("""COMPUTED_VALUE"""),"619🤙🏼The Hobbit: An Unexpected Journey🤙🏼Ian McKellen🤙🏼Estrela 2")</f>
        <v>619🤙🏼The Hobbit: An Unexpected Journey🤙🏼Ian McKellen🤙🏼Estrela 2</v>
      </c>
      <c r="H2475" s="5">
        <f>IFERROR(__xludf.DUMMYFUNCTION("SPLiT(G2475, ""🤙🏼"",FALSE,FALSE)"),619.0)</f>
        <v>619</v>
      </c>
      <c r="I2475" s="5" t="str">
        <f>IFERROR(__xludf.DUMMYFUNCTION("""COMPUTED_VALUE"""),"The Hobbit: An Unexpected Journey")</f>
        <v>The Hobbit: An Unexpected Journey</v>
      </c>
      <c r="J2475" s="5" t="str">
        <f>IFERROR(__xludf.DUMMYFUNCTION("""COMPUTED_VALUE"""),"Ian McKellen")</f>
        <v>Ian McKellen</v>
      </c>
      <c r="K2475" s="5" t="str">
        <f>IFERROR(__xludf.DUMMYFUNCTION("""COMPUTED_VALUE"""),"Estrela 2")</f>
        <v>Estrela 2</v>
      </c>
      <c r="P2475" s="5">
        <f>IFERROR(__xludf.DUMMYFUNCTION("""COMPUTED_VALUE"""),619.0)</f>
        <v>619</v>
      </c>
      <c r="Q2475" s="5" t="str">
        <f>IFERROR(__xludf.DUMMYFUNCTION("""COMPUTED_VALUE"""),"The Hobbit: An Unexpected Journey")</f>
        <v>The Hobbit: An Unexpected Journey</v>
      </c>
      <c r="R2475" s="5" t="str">
        <f>IFERROR(__xludf.DUMMYFUNCTION("""COMPUTED_VALUE"""),"Ian McKellen")</f>
        <v>Ian McKellen</v>
      </c>
      <c r="S2475" s="5" t="str">
        <f>IFERROR(__xludf.DUMMYFUNCTION("""COMPUTED_VALUE"""),"Estrela 2")</f>
        <v>Estrela 2</v>
      </c>
    </row>
    <row r="2476">
      <c r="G2476" s="5" t="str">
        <f>IFERROR(__xludf.DUMMYFUNCTION("""COMPUTED_VALUE"""),"619🤙🏼The Hobbit: An Unexpected Journey🤙🏼Richard Armitage🤙🏼Estrela 3")</f>
        <v>619🤙🏼The Hobbit: An Unexpected Journey🤙🏼Richard Armitage🤙🏼Estrela 3</v>
      </c>
      <c r="H2476" s="5">
        <f>IFERROR(__xludf.DUMMYFUNCTION("SPLiT(G2476, ""🤙🏼"",FALSE,FALSE)"),619.0)</f>
        <v>619</v>
      </c>
      <c r="I2476" s="5" t="str">
        <f>IFERROR(__xludf.DUMMYFUNCTION("""COMPUTED_VALUE"""),"The Hobbit: An Unexpected Journey")</f>
        <v>The Hobbit: An Unexpected Journey</v>
      </c>
      <c r="J2476" s="5" t="str">
        <f>IFERROR(__xludf.DUMMYFUNCTION("""COMPUTED_VALUE"""),"Richard Armitage")</f>
        <v>Richard Armitage</v>
      </c>
      <c r="K2476" s="5" t="str">
        <f>IFERROR(__xludf.DUMMYFUNCTION("""COMPUTED_VALUE"""),"Estrela 3")</f>
        <v>Estrela 3</v>
      </c>
      <c r="P2476" s="5">
        <f>IFERROR(__xludf.DUMMYFUNCTION("""COMPUTED_VALUE"""),619.0)</f>
        <v>619</v>
      </c>
      <c r="Q2476" s="5" t="str">
        <f>IFERROR(__xludf.DUMMYFUNCTION("""COMPUTED_VALUE"""),"The Hobbit: An Unexpected Journey")</f>
        <v>The Hobbit: An Unexpected Journey</v>
      </c>
      <c r="R2476" s="5" t="str">
        <f>IFERROR(__xludf.DUMMYFUNCTION("""COMPUTED_VALUE"""),"Richard Armitage")</f>
        <v>Richard Armitage</v>
      </c>
      <c r="S2476" s="5" t="str">
        <f>IFERROR(__xludf.DUMMYFUNCTION("""COMPUTED_VALUE"""),"Estrela 3")</f>
        <v>Estrela 3</v>
      </c>
    </row>
    <row r="2477">
      <c r="G2477" s="5" t="str">
        <f>IFERROR(__xludf.DUMMYFUNCTION("""COMPUTED_VALUE"""),"619🤙🏼The Hobbit: An Unexpected Journey🤙🏼Andy Serkis🤙🏼Estrela 4")</f>
        <v>619🤙🏼The Hobbit: An Unexpected Journey🤙🏼Andy Serkis🤙🏼Estrela 4</v>
      </c>
      <c r="H2477" s="5">
        <f>IFERROR(__xludf.DUMMYFUNCTION("SPLiT(G2477, ""🤙🏼"",FALSE,FALSE)"),619.0)</f>
        <v>619</v>
      </c>
      <c r="I2477" s="5" t="str">
        <f>IFERROR(__xludf.DUMMYFUNCTION("""COMPUTED_VALUE"""),"The Hobbit: An Unexpected Journey")</f>
        <v>The Hobbit: An Unexpected Journey</v>
      </c>
      <c r="J2477" s="5" t="str">
        <f>IFERROR(__xludf.DUMMYFUNCTION("""COMPUTED_VALUE"""),"Andy Serkis")</f>
        <v>Andy Serkis</v>
      </c>
      <c r="K2477" s="5" t="str">
        <f>IFERROR(__xludf.DUMMYFUNCTION("""COMPUTED_VALUE"""),"Estrela 4")</f>
        <v>Estrela 4</v>
      </c>
      <c r="P2477" s="5">
        <f>IFERROR(__xludf.DUMMYFUNCTION("""COMPUTED_VALUE"""),619.0)</f>
        <v>619</v>
      </c>
      <c r="Q2477" s="5" t="str">
        <f>IFERROR(__xludf.DUMMYFUNCTION("""COMPUTED_VALUE"""),"The Hobbit: An Unexpected Journey")</f>
        <v>The Hobbit: An Unexpected Journey</v>
      </c>
      <c r="R2477" s="5" t="str">
        <f>IFERROR(__xludf.DUMMYFUNCTION("""COMPUTED_VALUE"""),"Andy Serkis")</f>
        <v>Andy Serkis</v>
      </c>
      <c r="S2477" s="5" t="str">
        <f>IFERROR(__xludf.DUMMYFUNCTION("""COMPUTED_VALUE"""),"Estrela 4")</f>
        <v>Estrela 4</v>
      </c>
    </row>
    <row r="2478">
      <c r="G2478" s="5" t="str">
        <f>IFERROR(__xludf.DUMMYFUNCTION("""COMPUTED_VALUE"""),"620🤙🏼Auf der anderen Seite🤙🏼Baki Davrak🤙🏼Estrela 1")</f>
        <v>620🤙🏼Auf der anderen Seite🤙🏼Baki Davrak🤙🏼Estrela 1</v>
      </c>
      <c r="H2478" s="5">
        <f>IFERROR(__xludf.DUMMYFUNCTION("SPLiT(G2478, ""🤙🏼"",FALSE,FALSE)"),620.0)</f>
        <v>620</v>
      </c>
      <c r="I2478" s="5" t="str">
        <f>IFERROR(__xludf.DUMMYFUNCTION("""COMPUTED_VALUE"""),"Auf der anderen Seite")</f>
        <v>Auf der anderen Seite</v>
      </c>
      <c r="J2478" s="5" t="str">
        <f>IFERROR(__xludf.DUMMYFUNCTION("""COMPUTED_VALUE"""),"Baki Davrak")</f>
        <v>Baki Davrak</v>
      </c>
      <c r="K2478" s="5" t="str">
        <f>IFERROR(__xludf.DUMMYFUNCTION("""COMPUTED_VALUE"""),"Estrela 1")</f>
        <v>Estrela 1</v>
      </c>
      <c r="P2478" s="5">
        <f>IFERROR(__xludf.DUMMYFUNCTION("""COMPUTED_VALUE"""),620.0)</f>
        <v>620</v>
      </c>
      <c r="Q2478" s="5" t="str">
        <f>IFERROR(__xludf.DUMMYFUNCTION("""COMPUTED_VALUE"""),"Auf der anderen Seite")</f>
        <v>Auf der anderen Seite</v>
      </c>
      <c r="R2478" s="5" t="str">
        <f>IFERROR(__xludf.DUMMYFUNCTION("""COMPUTED_VALUE"""),"Baki Davrak")</f>
        <v>Baki Davrak</v>
      </c>
      <c r="S2478" s="5" t="str">
        <f>IFERROR(__xludf.DUMMYFUNCTION("""COMPUTED_VALUE"""),"Estrela 1")</f>
        <v>Estrela 1</v>
      </c>
    </row>
    <row r="2479">
      <c r="G2479" s="5" t="str">
        <f>IFERROR(__xludf.DUMMYFUNCTION("""COMPUTED_VALUE"""),"620🤙🏼Auf der anderen Seite🤙🏼Nurgül Yesilçay🤙🏼Estrela 2")</f>
        <v>620🤙🏼Auf der anderen Seite🤙🏼Nurgül Yesilçay🤙🏼Estrela 2</v>
      </c>
      <c r="H2479" s="5">
        <f>IFERROR(__xludf.DUMMYFUNCTION("SPLiT(G2479, ""🤙🏼"",FALSE,FALSE)"),620.0)</f>
        <v>620</v>
      </c>
      <c r="I2479" s="5" t="str">
        <f>IFERROR(__xludf.DUMMYFUNCTION("""COMPUTED_VALUE"""),"Auf der anderen Seite")</f>
        <v>Auf der anderen Seite</v>
      </c>
      <c r="J2479" s="5" t="str">
        <f>IFERROR(__xludf.DUMMYFUNCTION("""COMPUTED_VALUE"""),"Nurgül Yesilçay")</f>
        <v>Nurgül Yesilçay</v>
      </c>
      <c r="K2479" s="5" t="str">
        <f>IFERROR(__xludf.DUMMYFUNCTION("""COMPUTED_VALUE"""),"Estrela 2")</f>
        <v>Estrela 2</v>
      </c>
      <c r="P2479" s="5">
        <f>IFERROR(__xludf.DUMMYFUNCTION("""COMPUTED_VALUE"""),620.0)</f>
        <v>620</v>
      </c>
      <c r="Q2479" s="5" t="str">
        <f>IFERROR(__xludf.DUMMYFUNCTION("""COMPUTED_VALUE"""),"Auf der anderen Seite")</f>
        <v>Auf der anderen Seite</v>
      </c>
      <c r="R2479" s="5" t="str">
        <f>IFERROR(__xludf.DUMMYFUNCTION("""COMPUTED_VALUE"""),"Nurgül Yesilçay")</f>
        <v>Nurgül Yesilçay</v>
      </c>
      <c r="S2479" s="5" t="str">
        <f>IFERROR(__xludf.DUMMYFUNCTION("""COMPUTED_VALUE"""),"Estrela 2")</f>
        <v>Estrela 2</v>
      </c>
    </row>
    <row r="2480">
      <c r="G2480" s="5" t="str">
        <f>IFERROR(__xludf.DUMMYFUNCTION("""COMPUTED_VALUE"""),"620🤙🏼Auf der anderen Seite🤙🏼Tuncel Kurtiz🤙🏼Estrela 3")</f>
        <v>620🤙🏼Auf der anderen Seite🤙🏼Tuncel Kurtiz🤙🏼Estrela 3</v>
      </c>
      <c r="H2480" s="5">
        <f>IFERROR(__xludf.DUMMYFUNCTION("SPLiT(G2480, ""🤙🏼"",FALSE,FALSE)"),620.0)</f>
        <v>620</v>
      </c>
      <c r="I2480" s="5" t="str">
        <f>IFERROR(__xludf.DUMMYFUNCTION("""COMPUTED_VALUE"""),"Auf der anderen Seite")</f>
        <v>Auf der anderen Seite</v>
      </c>
      <c r="J2480" s="5" t="str">
        <f>IFERROR(__xludf.DUMMYFUNCTION("""COMPUTED_VALUE"""),"Tuncel Kurtiz")</f>
        <v>Tuncel Kurtiz</v>
      </c>
      <c r="K2480" s="5" t="str">
        <f>IFERROR(__xludf.DUMMYFUNCTION("""COMPUTED_VALUE"""),"Estrela 3")</f>
        <v>Estrela 3</v>
      </c>
      <c r="P2480" s="5">
        <f>IFERROR(__xludf.DUMMYFUNCTION("""COMPUTED_VALUE"""),620.0)</f>
        <v>620</v>
      </c>
      <c r="Q2480" s="5" t="str">
        <f>IFERROR(__xludf.DUMMYFUNCTION("""COMPUTED_VALUE"""),"Auf der anderen Seite")</f>
        <v>Auf der anderen Seite</v>
      </c>
      <c r="R2480" s="5" t="str">
        <f>IFERROR(__xludf.DUMMYFUNCTION("""COMPUTED_VALUE"""),"Tuncel Kurtiz")</f>
        <v>Tuncel Kurtiz</v>
      </c>
      <c r="S2480" s="5" t="str">
        <f>IFERROR(__xludf.DUMMYFUNCTION("""COMPUTED_VALUE"""),"Estrela 3")</f>
        <v>Estrela 3</v>
      </c>
    </row>
    <row r="2481">
      <c r="G2481" s="5" t="str">
        <f>IFERROR(__xludf.DUMMYFUNCTION("""COMPUTED_VALUE"""),"620🤙🏼Auf der anderen Seite🤙🏼Nursel Köse🤙🏼Estrela 4")</f>
        <v>620🤙🏼Auf der anderen Seite🤙🏼Nursel Köse🤙🏼Estrela 4</v>
      </c>
      <c r="H2481" s="5">
        <f>IFERROR(__xludf.DUMMYFUNCTION("SPLiT(G2481, ""🤙🏼"",FALSE,FALSE)"),620.0)</f>
        <v>620</v>
      </c>
      <c r="I2481" s="5" t="str">
        <f>IFERROR(__xludf.DUMMYFUNCTION("""COMPUTED_VALUE"""),"Auf der anderen Seite")</f>
        <v>Auf der anderen Seite</v>
      </c>
      <c r="J2481" s="5" t="str">
        <f>IFERROR(__xludf.DUMMYFUNCTION("""COMPUTED_VALUE"""),"Nursel Köse")</f>
        <v>Nursel Köse</v>
      </c>
      <c r="K2481" s="5" t="str">
        <f>IFERROR(__xludf.DUMMYFUNCTION("""COMPUTED_VALUE"""),"Estrela 4")</f>
        <v>Estrela 4</v>
      </c>
      <c r="P2481" s="5">
        <f>IFERROR(__xludf.DUMMYFUNCTION("""COMPUTED_VALUE"""),620.0)</f>
        <v>620</v>
      </c>
      <c r="Q2481" s="5" t="str">
        <f>IFERROR(__xludf.DUMMYFUNCTION("""COMPUTED_VALUE"""),"Auf der anderen Seite")</f>
        <v>Auf der anderen Seite</v>
      </c>
      <c r="R2481" s="5" t="str">
        <f>IFERROR(__xludf.DUMMYFUNCTION("""COMPUTED_VALUE"""),"Nursel Köse")</f>
        <v>Nursel Köse</v>
      </c>
      <c r="S2481" s="5" t="str">
        <f>IFERROR(__xludf.DUMMYFUNCTION("""COMPUTED_VALUE"""),"Estrela 4")</f>
        <v>Estrela 4</v>
      </c>
    </row>
    <row r="2482">
      <c r="G2482" s="5" t="str">
        <f>IFERROR(__xludf.DUMMYFUNCTION("""COMPUTED_VALUE"""),"621🤙🏼Atonement🤙🏼Keira Knightley🤙🏼Estrela 1")</f>
        <v>621🤙🏼Atonement🤙🏼Keira Knightley🤙🏼Estrela 1</v>
      </c>
      <c r="H2482" s="5">
        <f>IFERROR(__xludf.DUMMYFUNCTION("SPLiT(G2482, ""🤙🏼"",FALSE,FALSE)"),621.0)</f>
        <v>621</v>
      </c>
      <c r="I2482" s="5" t="str">
        <f>IFERROR(__xludf.DUMMYFUNCTION("""COMPUTED_VALUE"""),"Atonement")</f>
        <v>Atonement</v>
      </c>
      <c r="J2482" s="5" t="str">
        <f>IFERROR(__xludf.DUMMYFUNCTION("""COMPUTED_VALUE"""),"Keira Knightley")</f>
        <v>Keira Knightley</v>
      </c>
      <c r="K2482" s="5" t="str">
        <f>IFERROR(__xludf.DUMMYFUNCTION("""COMPUTED_VALUE"""),"Estrela 1")</f>
        <v>Estrela 1</v>
      </c>
      <c r="P2482" s="5">
        <f>IFERROR(__xludf.DUMMYFUNCTION("""COMPUTED_VALUE"""),621.0)</f>
        <v>621</v>
      </c>
      <c r="Q2482" s="5" t="str">
        <f>IFERROR(__xludf.DUMMYFUNCTION("""COMPUTED_VALUE"""),"Atonement")</f>
        <v>Atonement</v>
      </c>
      <c r="R2482" s="5" t="str">
        <f>IFERROR(__xludf.DUMMYFUNCTION("""COMPUTED_VALUE"""),"Keira Knightley")</f>
        <v>Keira Knightley</v>
      </c>
      <c r="S2482" s="5" t="str">
        <f>IFERROR(__xludf.DUMMYFUNCTION("""COMPUTED_VALUE"""),"Estrela 1")</f>
        <v>Estrela 1</v>
      </c>
    </row>
    <row r="2483">
      <c r="G2483" s="5" t="str">
        <f>IFERROR(__xludf.DUMMYFUNCTION("""COMPUTED_VALUE"""),"621🤙🏼Atonement🤙🏼James McAvoy🤙🏼Estrela 2")</f>
        <v>621🤙🏼Atonement🤙🏼James McAvoy🤙🏼Estrela 2</v>
      </c>
      <c r="H2483" s="5">
        <f>IFERROR(__xludf.DUMMYFUNCTION("SPLiT(G2483, ""🤙🏼"",FALSE,FALSE)"),621.0)</f>
        <v>621</v>
      </c>
      <c r="I2483" s="5" t="str">
        <f>IFERROR(__xludf.DUMMYFUNCTION("""COMPUTED_VALUE"""),"Atonement")</f>
        <v>Atonement</v>
      </c>
      <c r="J2483" s="5" t="str">
        <f>IFERROR(__xludf.DUMMYFUNCTION("""COMPUTED_VALUE"""),"James McAvoy")</f>
        <v>James McAvoy</v>
      </c>
      <c r="K2483" s="5" t="str">
        <f>IFERROR(__xludf.DUMMYFUNCTION("""COMPUTED_VALUE"""),"Estrela 2")</f>
        <v>Estrela 2</v>
      </c>
      <c r="P2483" s="5">
        <f>IFERROR(__xludf.DUMMYFUNCTION("""COMPUTED_VALUE"""),621.0)</f>
        <v>621</v>
      </c>
      <c r="Q2483" s="5" t="str">
        <f>IFERROR(__xludf.DUMMYFUNCTION("""COMPUTED_VALUE"""),"Atonement")</f>
        <v>Atonement</v>
      </c>
      <c r="R2483" s="5" t="str">
        <f>IFERROR(__xludf.DUMMYFUNCTION("""COMPUTED_VALUE"""),"James McAvoy")</f>
        <v>James McAvoy</v>
      </c>
      <c r="S2483" s="5" t="str">
        <f>IFERROR(__xludf.DUMMYFUNCTION("""COMPUTED_VALUE"""),"Estrela 2")</f>
        <v>Estrela 2</v>
      </c>
    </row>
    <row r="2484">
      <c r="G2484" s="5" t="str">
        <f>IFERROR(__xludf.DUMMYFUNCTION("""COMPUTED_VALUE"""),"621🤙🏼Atonement🤙🏼Brenda Blethyn🤙🏼Estrela 3")</f>
        <v>621🤙🏼Atonement🤙🏼Brenda Blethyn🤙🏼Estrela 3</v>
      </c>
      <c r="H2484" s="5">
        <f>IFERROR(__xludf.DUMMYFUNCTION("SPLiT(G2484, ""🤙🏼"",FALSE,FALSE)"),621.0)</f>
        <v>621</v>
      </c>
      <c r="I2484" s="5" t="str">
        <f>IFERROR(__xludf.DUMMYFUNCTION("""COMPUTED_VALUE"""),"Atonement")</f>
        <v>Atonement</v>
      </c>
      <c r="J2484" s="5" t="str">
        <f>IFERROR(__xludf.DUMMYFUNCTION("""COMPUTED_VALUE"""),"Brenda Blethyn")</f>
        <v>Brenda Blethyn</v>
      </c>
      <c r="K2484" s="5" t="str">
        <f>IFERROR(__xludf.DUMMYFUNCTION("""COMPUTED_VALUE"""),"Estrela 3")</f>
        <v>Estrela 3</v>
      </c>
      <c r="P2484" s="5">
        <f>IFERROR(__xludf.DUMMYFUNCTION("""COMPUTED_VALUE"""),621.0)</f>
        <v>621</v>
      </c>
      <c r="Q2484" s="5" t="str">
        <f>IFERROR(__xludf.DUMMYFUNCTION("""COMPUTED_VALUE"""),"Atonement")</f>
        <v>Atonement</v>
      </c>
      <c r="R2484" s="5" t="str">
        <f>IFERROR(__xludf.DUMMYFUNCTION("""COMPUTED_VALUE"""),"Brenda Blethyn")</f>
        <v>Brenda Blethyn</v>
      </c>
      <c r="S2484" s="5" t="str">
        <f>IFERROR(__xludf.DUMMYFUNCTION("""COMPUTED_VALUE"""),"Estrela 3")</f>
        <v>Estrela 3</v>
      </c>
    </row>
    <row r="2485">
      <c r="G2485" s="5" t="str">
        <f>IFERROR(__xludf.DUMMYFUNCTION("""COMPUTED_VALUE"""),"621🤙🏼Atonement🤙🏼Saoirse Ronan🤙🏼Estrela 4")</f>
        <v>621🤙🏼Atonement🤙🏼Saoirse Ronan🤙🏼Estrela 4</v>
      </c>
      <c r="H2485" s="5">
        <f>IFERROR(__xludf.DUMMYFUNCTION("SPLiT(G2485, ""🤙🏼"",FALSE,FALSE)"),621.0)</f>
        <v>621</v>
      </c>
      <c r="I2485" s="5" t="str">
        <f>IFERROR(__xludf.DUMMYFUNCTION("""COMPUTED_VALUE"""),"Atonement")</f>
        <v>Atonement</v>
      </c>
      <c r="J2485" s="5" t="str">
        <f>IFERROR(__xludf.DUMMYFUNCTION("""COMPUTED_VALUE"""),"Saoirse Ronan")</f>
        <v>Saoirse Ronan</v>
      </c>
      <c r="K2485" s="5" t="str">
        <f>IFERROR(__xludf.DUMMYFUNCTION("""COMPUTED_VALUE"""),"Estrela 4")</f>
        <v>Estrela 4</v>
      </c>
      <c r="P2485" s="5">
        <f>IFERROR(__xludf.DUMMYFUNCTION("""COMPUTED_VALUE"""),621.0)</f>
        <v>621</v>
      </c>
      <c r="Q2485" s="5" t="str">
        <f>IFERROR(__xludf.DUMMYFUNCTION("""COMPUTED_VALUE"""),"Atonement")</f>
        <v>Atonement</v>
      </c>
      <c r="R2485" s="5" t="str">
        <f>IFERROR(__xludf.DUMMYFUNCTION("""COMPUTED_VALUE"""),"Saoirse Ronan")</f>
        <v>Saoirse Ronan</v>
      </c>
      <c r="S2485" s="5" t="str">
        <f>IFERROR(__xludf.DUMMYFUNCTION("""COMPUTED_VALUE"""),"Estrela 4")</f>
        <v>Estrela 4</v>
      </c>
    </row>
    <row r="2486">
      <c r="G2486" s="5" t="str">
        <f>IFERROR(__xludf.DUMMYFUNCTION("""COMPUTED_VALUE"""),"622🤙🏼Drive🤙🏼Ryan Gosling🤙🏼Estrela 1")</f>
        <v>622🤙🏼Drive🤙🏼Ryan Gosling🤙🏼Estrela 1</v>
      </c>
      <c r="H2486" s="5">
        <f>IFERROR(__xludf.DUMMYFUNCTION("SPLiT(G2486, ""🤙🏼"",FALSE,FALSE)"),622.0)</f>
        <v>622</v>
      </c>
      <c r="I2486" s="5" t="str">
        <f>IFERROR(__xludf.DUMMYFUNCTION("""COMPUTED_VALUE"""),"Drive")</f>
        <v>Drive</v>
      </c>
      <c r="J2486" s="5" t="str">
        <f>IFERROR(__xludf.DUMMYFUNCTION("""COMPUTED_VALUE"""),"Ryan Gosling")</f>
        <v>Ryan Gosling</v>
      </c>
      <c r="K2486" s="5" t="str">
        <f>IFERROR(__xludf.DUMMYFUNCTION("""COMPUTED_VALUE"""),"Estrela 1")</f>
        <v>Estrela 1</v>
      </c>
      <c r="P2486" s="5">
        <f>IFERROR(__xludf.DUMMYFUNCTION("""COMPUTED_VALUE"""),622.0)</f>
        <v>622</v>
      </c>
      <c r="Q2486" s="5" t="str">
        <f>IFERROR(__xludf.DUMMYFUNCTION("""COMPUTED_VALUE"""),"Drive")</f>
        <v>Drive</v>
      </c>
      <c r="R2486" s="5" t="str">
        <f>IFERROR(__xludf.DUMMYFUNCTION("""COMPUTED_VALUE"""),"Ryan Gosling")</f>
        <v>Ryan Gosling</v>
      </c>
      <c r="S2486" s="5" t="str">
        <f>IFERROR(__xludf.DUMMYFUNCTION("""COMPUTED_VALUE"""),"Estrela 1")</f>
        <v>Estrela 1</v>
      </c>
    </row>
    <row r="2487">
      <c r="G2487" s="5" t="str">
        <f>IFERROR(__xludf.DUMMYFUNCTION("""COMPUTED_VALUE"""),"622🤙🏼Drive🤙🏼Carey Mulligan🤙🏼Estrela 2")</f>
        <v>622🤙🏼Drive🤙🏼Carey Mulligan🤙🏼Estrela 2</v>
      </c>
      <c r="H2487" s="5">
        <f>IFERROR(__xludf.DUMMYFUNCTION("SPLiT(G2487, ""🤙🏼"",FALSE,FALSE)"),622.0)</f>
        <v>622</v>
      </c>
      <c r="I2487" s="5" t="str">
        <f>IFERROR(__xludf.DUMMYFUNCTION("""COMPUTED_VALUE"""),"Drive")</f>
        <v>Drive</v>
      </c>
      <c r="J2487" s="5" t="str">
        <f>IFERROR(__xludf.DUMMYFUNCTION("""COMPUTED_VALUE"""),"Carey Mulligan")</f>
        <v>Carey Mulligan</v>
      </c>
      <c r="K2487" s="5" t="str">
        <f>IFERROR(__xludf.DUMMYFUNCTION("""COMPUTED_VALUE"""),"Estrela 2")</f>
        <v>Estrela 2</v>
      </c>
      <c r="P2487" s="5">
        <f>IFERROR(__xludf.DUMMYFUNCTION("""COMPUTED_VALUE"""),622.0)</f>
        <v>622</v>
      </c>
      <c r="Q2487" s="5" t="str">
        <f>IFERROR(__xludf.DUMMYFUNCTION("""COMPUTED_VALUE"""),"Drive")</f>
        <v>Drive</v>
      </c>
      <c r="R2487" s="5" t="str">
        <f>IFERROR(__xludf.DUMMYFUNCTION("""COMPUTED_VALUE"""),"Carey Mulligan")</f>
        <v>Carey Mulligan</v>
      </c>
      <c r="S2487" s="5" t="str">
        <f>IFERROR(__xludf.DUMMYFUNCTION("""COMPUTED_VALUE"""),"Estrela 2")</f>
        <v>Estrela 2</v>
      </c>
    </row>
    <row r="2488">
      <c r="G2488" s="5" t="str">
        <f>IFERROR(__xludf.DUMMYFUNCTION("""COMPUTED_VALUE"""),"622🤙🏼Drive🤙🏼Bryan Cranston🤙🏼Estrela 3")</f>
        <v>622🤙🏼Drive🤙🏼Bryan Cranston🤙🏼Estrela 3</v>
      </c>
      <c r="H2488" s="5">
        <f>IFERROR(__xludf.DUMMYFUNCTION("SPLiT(G2488, ""🤙🏼"",FALSE,FALSE)"),622.0)</f>
        <v>622</v>
      </c>
      <c r="I2488" s="5" t="str">
        <f>IFERROR(__xludf.DUMMYFUNCTION("""COMPUTED_VALUE"""),"Drive")</f>
        <v>Drive</v>
      </c>
      <c r="J2488" s="5" t="str">
        <f>IFERROR(__xludf.DUMMYFUNCTION("""COMPUTED_VALUE"""),"Bryan Cranston")</f>
        <v>Bryan Cranston</v>
      </c>
      <c r="K2488" s="5" t="str">
        <f>IFERROR(__xludf.DUMMYFUNCTION("""COMPUTED_VALUE"""),"Estrela 3")</f>
        <v>Estrela 3</v>
      </c>
      <c r="P2488" s="5">
        <f>IFERROR(__xludf.DUMMYFUNCTION("""COMPUTED_VALUE"""),622.0)</f>
        <v>622</v>
      </c>
      <c r="Q2488" s="5" t="str">
        <f>IFERROR(__xludf.DUMMYFUNCTION("""COMPUTED_VALUE"""),"Drive")</f>
        <v>Drive</v>
      </c>
      <c r="R2488" s="5" t="str">
        <f>IFERROR(__xludf.DUMMYFUNCTION("""COMPUTED_VALUE"""),"Bryan Cranston")</f>
        <v>Bryan Cranston</v>
      </c>
      <c r="S2488" s="5" t="str">
        <f>IFERROR(__xludf.DUMMYFUNCTION("""COMPUTED_VALUE"""),"Estrela 3")</f>
        <v>Estrela 3</v>
      </c>
    </row>
    <row r="2489">
      <c r="G2489" s="5" t="str">
        <f>IFERROR(__xludf.DUMMYFUNCTION("""COMPUTED_VALUE"""),"622🤙🏼Drive🤙🏼Albert Brooks🤙🏼Estrela 4")</f>
        <v>622🤙🏼Drive🤙🏼Albert Brooks🤙🏼Estrela 4</v>
      </c>
      <c r="H2489" s="5">
        <f>IFERROR(__xludf.DUMMYFUNCTION("SPLiT(G2489, ""🤙🏼"",FALSE,FALSE)"),622.0)</f>
        <v>622</v>
      </c>
      <c r="I2489" s="5" t="str">
        <f>IFERROR(__xludf.DUMMYFUNCTION("""COMPUTED_VALUE"""),"Drive")</f>
        <v>Drive</v>
      </c>
      <c r="J2489" s="5" t="str">
        <f>IFERROR(__xludf.DUMMYFUNCTION("""COMPUTED_VALUE"""),"Albert Brooks")</f>
        <v>Albert Brooks</v>
      </c>
      <c r="K2489" s="5" t="str">
        <f>IFERROR(__xludf.DUMMYFUNCTION("""COMPUTED_VALUE"""),"Estrela 4")</f>
        <v>Estrela 4</v>
      </c>
      <c r="P2489" s="5">
        <f>IFERROR(__xludf.DUMMYFUNCTION("""COMPUTED_VALUE"""),622.0)</f>
        <v>622</v>
      </c>
      <c r="Q2489" s="5" t="str">
        <f>IFERROR(__xludf.DUMMYFUNCTION("""COMPUTED_VALUE"""),"Drive")</f>
        <v>Drive</v>
      </c>
      <c r="R2489" s="5" t="str">
        <f>IFERROR(__xludf.DUMMYFUNCTION("""COMPUTED_VALUE"""),"Albert Brooks")</f>
        <v>Albert Brooks</v>
      </c>
      <c r="S2489" s="5" t="str">
        <f>IFERROR(__xludf.DUMMYFUNCTION("""COMPUTED_VALUE"""),"Estrela 4")</f>
        <v>Estrela 4</v>
      </c>
    </row>
    <row r="2490">
      <c r="G2490" s="5" t="str">
        <f>IFERROR(__xludf.DUMMYFUNCTION("""COMPUTED_VALUE"""),"623🤙🏼American Gangster🤙🏼Denzel Washington🤙🏼Estrela 1")</f>
        <v>623🤙🏼American Gangster🤙🏼Denzel Washington🤙🏼Estrela 1</v>
      </c>
      <c r="H2490" s="5">
        <f>IFERROR(__xludf.DUMMYFUNCTION("SPLiT(G2490, ""🤙🏼"",FALSE,FALSE)"),623.0)</f>
        <v>623</v>
      </c>
      <c r="I2490" s="5" t="str">
        <f>IFERROR(__xludf.DUMMYFUNCTION("""COMPUTED_VALUE"""),"American Gangster")</f>
        <v>American Gangster</v>
      </c>
      <c r="J2490" s="5" t="str">
        <f>IFERROR(__xludf.DUMMYFUNCTION("""COMPUTED_VALUE"""),"Denzel Washington")</f>
        <v>Denzel Washington</v>
      </c>
      <c r="K2490" s="5" t="str">
        <f>IFERROR(__xludf.DUMMYFUNCTION("""COMPUTED_VALUE"""),"Estrela 1")</f>
        <v>Estrela 1</v>
      </c>
      <c r="P2490" s="5">
        <f>IFERROR(__xludf.DUMMYFUNCTION("""COMPUTED_VALUE"""),623.0)</f>
        <v>623</v>
      </c>
      <c r="Q2490" s="5" t="str">
        <f>IFERROR(__xludf.DUMMYFUNCTION("""COMPUTED_VALUE"""),"American Gangster")</f>
        <v>American Gangster</v>
      </c>
      <c r="R2490" s="5" t="str">
        <f>IFERROR(__xludf.DUMMYFUNCTION("""COMPUTED_VALUE"""),"Denzel Washington")</f>
        <v>Denzel Washington</v>
      </c>
      <c r="S2490" s="5" t="str">
        <f>IFERROR(__xludf.DUMMYFUNCTION("""COMPUTED_VALUE"""),"Estrela 1")</f>
        <v>Estrela 1</v>
      </c>
    </row>
    <row r="2491">
      <c r="G2491" s="5" t="str">
        <f>IFERROR(__xludf.DUMMYFUNCTION("""COMPUTED_VALUE"""),"623🤙🏼American Gangster🤙🏼Russell Crowe🤙🏼Estrela 2")</f>
        <v>623🤙🏼American Gangster🤙🏼Russell Crowe🤙🏼Estrela 2</v>
      </c>
      <c r="H2491" s="5">
        <f>IFERROR(__xludf.DUMMYFUNCTION("SPLiT(G2491, ""🤙🏼"",FALSE,FALSE)"),623.0)</f>
        <v>623</v>
      </c>
      <c r="I2491" s="5" t="str">
        <f>IFERROR(__xludf.DUMMYFUNCTION("""COMPUTED_VALUE"""),"American Gangster")</f>
        <v>American Gangster</v>
      </c>
      <c r="J2491" s="5" t="str">
        <f>IFERROR(__xludf.DUMMYFUNCTION("""COMPUTED_VALUE"""),"Russell Crowe")</f>
        <v>Russell Crowe</v>
      </c>
      <c r="K2491" s="5" t="str">
        <f>IFERROR(__xludf.DUMMYFUNCTION("""COMPUTED_VALUE"""),"Estrela 2")</f>
        <v>Estrela 2</v>
      </c>
      <c r="P2491" s="5">
        <f>IFERROR(__xludf.DUMMYFUNCTION("""COMPUTED_VALUE"""),623.0)</f>
        <v>623</v>
      </c>
      <c r="Q2491" s="5" t="str">
        <f>IFERROR(__xludf.DUMMYFUNCTION("""COMPUTED_VALUE"""),"American Gangster")</f>
        <v>American Gangster</v>
      </c>
      <c r="R2491" s="5" t="str">
        <f>IFERROR(__xludf.DUMMYFUNCTION("""COMPUTED_VALUE"""),"Russell Crowe")</f>
        <v>Russell Crowe</v>
      </c>
      <c r="S2491" s="5" t="str">
        <f>IFERROR(__xludf.DUMMYFUNCTION("""COMPUTED_VALUE"""),"Estrela 2")</f>
        <v>Estrela 2</v>
      </c>
    </row>
    <row r="2492">
      <c r="G2492" s="5" t="str">
        <f>IFERROR(__xludf.DUMMYFUNCTION("""COMPUTED_VALUE"""),"623🤙🏼American Gangster🤙🏼Chiwetel Ejiofor🤙🏼Estrela 3")</f>
        <v>623🤙🏼American Gangster🤙🏼Chiwetel Ejiofor🤙🏼Estrela 3</v>
      </c>
      <c r="H2492" s="5">
        <f>IFERROR(__xludf.DUMMYFUNCTION("SPLiT(G2492, ""🤙🏼"",FALSE,FALSE)"),623.0)</f>
        <v>623</v>
      </c>
      <c r="I2492" s="5" t="str">
        <f>IFERROR(__xludf.DUMMYFUNCTION("""COMPUTED_VALUE"""),"American Gangster")</f>
        <v>American Gangster</v>
      </c>
      <c r="J2492" s="5" t="str">
        <f>IFERROR(__xludf.DUMMYFUNCTION("""COMPUTED_VALUE"""),"Chiwetel Ejiofor")</f>
        <v>Chiwetel Ejiofor</v>
      </c>
      <c r="K2492" s="5" t="str">
        <f>IFERROR(__xludf.DUMMYFUNCTION("""COMPUTED_VALUE"""),"Estrela 3")</f>
        <v>Estrela 3</v>
      </c>
      <c r="P2492" s="5">
        <f>IFERROR(__xludf.DUMMYFUNCTION("""COMPUTED_VALUE"""),623.0)</f>
        <v>623</v>
      </c>
      <c r="Q2492" s="5" t="str">
        <f>IFERROR(__xludf.DUMMYFUNCTION("""COMPUTED_VALUE"""),"American Gangster")</f>
        <v>American Gangster</v>
      </c>
      <c r="R2492" s="5" t="str">
        <f>IFERROR(__xludf.DUMMYFUNCTION("""COMPUTED_VALUE"""),"Chiwetel Ejiofor")</f>
        <v>Chiwetel Ejiofor</v>
      </c>
      <c r="S2492" s="5" t="str">
        <f>IFERROR(__xludf.DUMMYFUNCTION("""COMPUTED_VALUE"""),"Estrela 3")</f>
        <v>Estrela 3</v>
      </c>
    </row>
    <row r="2493">
      <c r="G2493" s="5" t="str">
        <f>IFERROR(__xludf.DUMMYFUNCTION("""COMPUTED_VALUE"""),"623🤙🏼American Gangster🤙🏼Josh Brolin🤙🏼Estrela 4")</f>
        <v>623🤙🏼American Gangster🤙🏼Josh Brolin🤙🏼Estrela 4</v>
      </c>
      <c r="H2493" s="5">
        <f>IFERROR(__xludf.DUMMYFUNCTION("SPLiT(G2493, ""🤙🏼"",FALSE,FALSE)"),623.0)</f>
        <v>623</v>
      </c>
      <c r="I2493" s="5" t="str">
        <f>IFERROR(__xludf.DUMMYFUNCTION("""COMPUTED_VALUE"""),"American Gangster")</f>
        <v>American Gangster</v>
      </c>
      <c r="J2493" s="5" t="str">
        <f>IFERROR(__xludf.DUMMYFUNCTION("""COMPUTED_VALUE"""),"Josh Brolin")</f>
        <v>Josh Brolin</v>
      </c>
      <c r="K2493" s="5" t="str">
        <f>IFERROR(__xludf.DUMMYFUNCTION("""COMPUTED_VALUE"""),"Estrela 4")</f>
        <v>Estrela 4</v>
      </c>
      <c r="P2493" s="5">
        <f>IFERROR(__xludf.DUMMYFUNCTION("""COMPUTED_VALUE"""),623.0)</f>
        <v>623</v>
      </c>
      <c r="Q2493" s="5" t="str">
        <f>IFERROR(__xludf.DUMMYFUNCTION("""COMPUTED_VALUE"""),"American Gangster")</f>
        <v>American Gangster</v>
      </c>
      <c r="R2493" s="5" t="str">
        <f>IFERROR(__xludf.DUMMYFUNCTION("""COMPUTED_VALUE"""),"Josh Brolin")</f>
        <v>Josh Brolin</v>
      </c>
      <c r="S2493" s="5" t="str">
        <f>IFERROR(__xludf.DUMMYFUNCTION("""COMPUTED_VALUE"""),"Estrela 4")</f>
        <v>Estrela 4</v>
      </c>
    </row>
    <row r="2494">
      <c r="G2494" s="5" t="str">
        <f>IFERROR(__xludf.DUMMYFUNCTION("""COMPUTED_VALUE"""),"624🤙🏼Avatar🤙🏼Sam Worthington🤙🏼Estrela 1")</f>
        <v>624🤙🏼Avatar🤙🏼Sam Worthington🤙🏼Estrela 1</v>
      </c>
      <c r="H2494" s="5">
        <f>IFERROR(__xludf.DUMMYFUNCTION("SPLiT(G2494, ""🤙🏼"",FALSE,FALSE)"),624.0)</f>
        <v>624</v>
      </c>
      <c r="I2494" s="5" t="str">
        <f>IFERROR(__xludf.DUMMYFUNCTION("""COMPUTED_VALUE"""),"Avatar")</f>
        <v>Avatar</v>
      </c>
      <c r="J2494" s="5" t="str">
        <f>IFERROR(__xludf.DUMMYFUNCTION("""COMPUTED_VALUE"""),"Sam Worthington")</f>
        <v>Sam Worthington</v>
      </c>
      <c r="K2494" s="5" t="str">
        <f>IFERROR(__xludf.DUMMYFUNCTION("""COMPUTED_VALUE"""),"Estrela 1")</f>
        <v>Estrela 1</v>
      </c>
      <c r="P2494" s="5">
        <f>IFERROR(__xludf.DUMMYFUNCTION("""COMPUTED_VALUE"""),624.0)</f>
        <v>624</v>
      </c>
      <c r="Q2494" s="5" t="str">
        <f>IFERROR(__xludf.DUMMYFUNCTION("""COMPUTED_VALUE"""),"Avatar")</f>
        <v>Avatar</v>
      </c>
      <c r="R2494" s="5" t="str">
        <f>IFERROR(__xludf.DUMMYFUNCTION("""COMPUTED_VALUE"""),"Sam Worthington")</f>
        <v>Sam Worthington</v>
      </c>
      <c r="S2494" s="5" t="str">
        <f>IFERROR(__xludf.DUMMYFUNCTION("""COMPUTED_VALUE"""),"Estrela 1")</f>
        <v>Estrela 1</v>
      </c>
    </row>
    <row r="2495">
      <c r="G2495" s="5" t="str">
        <f>IFERROR(__xludf.DUMMYFUNCTION("""COMPUTED_VALUE"""),"624🤙🏼Avatar🤙🏼Zoe Saldana🤙🏼Estrela 2")</f>
        <v>624🤙🏼Avatar🤙🏼Zoe Saldana🤙🏼Estrela 2</v>
      </c>
      <c r="H2495" s="5">
        <f>IFERROR(__xludf.DUMMYFUNCTION("SPLiT(G2495, ""🤙🏼"",FALSE,FALSE)"),624.0)</f>
        <v>624</v>
      </c>
      <c r="I2495" s="5" t="str">
        <f>IFERROR(__xludf.DUMMYFUNCTION("""COMPUTED_VALUE"""),"Avatar")</f>
        <v>Avatar</v>
      </c>
      <c r="J2495" s="5" t="str">
        <f>IFERROR(__xludf.DUMMYFUNCTION("""COMPUTED_VALUE"""),"Zoe Saldana")</f>
        <v>Zoe Saldana</v>
      </c>
      <c r="K2495" s="5" t="str">
        <f>IFERROR(__xludf.DUMMYFUNCTION("""COMPUTED_VALUE"""),"Estrela 2")</f>
        <v>Estrela 2</v>
      </c>
      <c r="P2495" s="5">
        <f>IFERROR(__xludf.DUMMYFUNCTION("""COMPUTED_VALUE"""),624.0)</f>
        <v>624</v>
      </c>
      <c r="Q2495" s="5" t="str">
        <f>IFERROR(__xludf.DUMMYFUNCTION("""COMPUTED_VALUE"""),"Avatar")</f>
        <v>Avatar</v>
      </c>
      <c r="R2495" s="5" t="str">
        <f>IFERROR(__xludf.DUMMYFUNCTION("""COMPUTED_VALUE"""),"Zoe Saldana")</f>
        <v>Zoe Saldana</v>
      </c>
      <c r="S2495" s="5" t="str">
        <f>IFERROR(__xludf.DUMMYFUNCTION("""COMPUTED_VALUE"""),"Estrela 2")</f>
        <v>Estrela 2</v>
      </c>
    </row>
    <row r="2496">
      <c r="G2496" s="5" t="str">
        <f>IFERROR(__xludf.DUMMYFUNCTION("""COMPUTED_VALUE"""),"624🤙🏼Avatar🤙🏼Sigourney Weaver🤙🏼Estrela 3")</f>
        <v>624🤙🏼Avatar🤙🏼Sigourney Weaver🤙🏼Estrela 3</v>
      </c>
      <c r="H2496" s="5">
        <f>IFERROR(__xludf.DUMMYFUNCTION("SPLiT(G2496, ""🤙🏼"",FALSE,FALSE)"),624.0)</f>
        <v>624</v>
      </c>
      <c r="I2496" s="5" t="str">
        <f>IFERROR(__xludf.DUMMYFUNCTION("""COMPUTED_VALUE"""),"Avatar")</f>
        <v>Avatar</v>
      </c>
      <c r="J2496" s="5" t="str">
        <f>IFERROR(__xludf.DUMMYFUNCTION("""COMPUTED_VALUE"""),"Sigourney Weaver")</f>
        <v>Sigourney Weaver</v>
      </c>
      <c r="K2496" s="5" t="str">
        <f>IFERROR(__xludf.DUMMYFUNCTION("""COMPUTED_VALUE"""),"Estrela 3")</f>
        <v>Estrela 3</v>
      </c>
      <c r="P2496" s="5">
        <f>IFERROR(__xludf.DUMMYFUNCTION("""COMPUTED_VALUE"""),624.0)</f>
        <v>624</v>
      </c>
      <c r="Q2496" s="5" t="str">
        <f>IFERROR(__xludf.DUMMYFUNCTION("""COMPUTED_VALUE"""),"Avatar")</f>
        <v>Avatar</v>
      </c>
      <c r="R2496" s="5" t="str">
        <f>IFERROR(__xludf.DUMMYFUNCTION("""COMPUTED_VALUE"""),"Sigourney Weaver")</f>
        <v>Sigourney Weaver</v>
      </c>
      <c r="S2496" s="5" t="str">
        <f>IFERROR(__xludf.DUMMYFUNCTION("""COMPUTED_VALUE"""),"Estrela 3")</f>
        <v>Estrela 3</v>
      </c>
    </row>
    <row r="2497">
      <c r="G2497" s="5" t="str">
        <f>IFERROR(__xludf.DUMMYFUNCTION("""COMPUTED_VALUE"""),"624🤙🏼Avatar🤙🏼Michelle Rodriguez🤙🏼Estrela 4")</f>
        <v>624🤙🏼Avatar🤙🏼Michelle Rodriguez🤙🏼Estrela 4</v>
      </c>
      <c r="H2497" s="5">
        <f>IFERROR(__xludf.DUMMYFUNCTION("SPLiT(G2497, ""🤙🏼"",FALSE,FALSE)"),624.0)</f>
        <v>624</v>
      </c>
      <c r="I2497" s="5" t="str">
        <f>IFERROR(__xludf.DUMMYFUNCTION("""COMPUTED_VALUE"""),"Avatar")</f>
        <v>Avatar</v>
      </c>
      <c r="J2497" s="5" t="str">
        <f>IFERROR(__xludf.DUMMYFUNCTION("""COMPUTED_VALUE"""),"Michelle Rodriguez")</f>
        <v>Michelle Rodriguez</v>
      </c>
      <c r="K2497" s="5" t="str">
        <f>IFERROR(__xludf.DUMMYFUNCTION("""COMPUTED_VALUE"""),"Estrela 4")</f>
        <v>Estrela 4</v>
      </c>
      <c r="P2497" s="5">
        <f>IFERROR(__xludf.DUMMYFUNCTION("""COMPUTED_VALUE"""),624.0)</f>
        <v>624</v>
      </c>
      <c r="Q2497" s="5" t="str">
        <f>IFERROR(__xludf.DUMMYFUNCTION("""COMPUTED_VALUE"""),"Avatar")</f>
        <v>Avatar</v>
      </c>
      <c r="R2497" s="5" t="str">
        <f>IFERROR(__xludf.DUMMYFUNCTION("""COMPUTED_VALUE"""),"Michelle Rodriguez")</f>
        <v>Michelle Rodriguez</v>
      </c>
      <c r="S2497" s="5" t="str">
        <f>IFERROR(__xludf.DUMMYFUNCTION("""COMPUTED_VALUE"""),"Estrela 4")</f>
        <v>Estrela 4</v>
      </c>
    </row>
    <row r="2498">
      <c r="G2498" s="5" t="str">
        <f>IFERROR(__xludf.DUMMYFUNCTION("""COMPUTED_VALUE"""),"625🤙🏼Mr. Nobody🤙🏼Jared Leto🤙🏼Estrela 1")</f>
        <v>625🤙🏼Mr. Nobody🤙🏼Jared Leto🤙🏼Estrela 1</v>
      </c>
      <c r="H2498" s="5">
        <f>IFERROR(__xludf.DUMMYFUNCTION("SPLiT(G2498, ""🤙🏼"",FALSE,FALSE)"),625.0)</f>
        <v>625</v>
      </c>
      <c r="I2498" s="5" t="str">
        <f>IFERROR(__xludf.DUMMYFUNCTION("""COMPUTED_VALUE"""),"Mr. Nobody")</f>
        <v>Mr. Nobody</v>
      </c>
      <c r="J2498" s="5" t="str">
        <f>IFERROR(__xludf.DUMMYFUNCTION("""COMPUTED_VALUE"""),"Jared Leto")</f>
        <v>Jared Leto</v>
      </c>
      <c r="K2498" s="5" t="str">
        <f>IFERROR(__xludf.DUMMYFUNCTION("""COMPUTED_VALUE"""),"Estrela 1")</f>
        <v>Estrela 1</v>
      </c>
      <c r="P2498" s="5">
        <f>IFERROR(__xludf.DUMMYFUNCTION("""COMPUTED_VALUE"""),625.0)</f>
        <v>625</v>
      </c>
      <c r="Q2498" s="5" t="str">
        <f>IFERROR(__xludf.DUMMYFUNCTION("""COMPUTED_VALUE"""),"Mr. Nobody")</f>
        <v>Mr. Nobody</v>
      </c>
      <c r="R2498" s="5" t="str">
        <f>IFERROR(__xludf.DUMMYFUNCTION("""COMPUTED_VALUE"""),"Jared Leto")</f>
        <v>Jared Leto</v>
      </c>
      <c r="S2498" s="5" t="str">
        <f>IFERROR(__xludf.DUMMYFUNCTION("""COMPUTED_VALUE"""),"Estrela 1")</f>
        <v>Estrela 1</v>
      </c>
    </row>
    <row r="2499">
      <c r="G2499" s="5" t="str">
        <f>IFERROR(__xludf.DUMMYFUNCTION("""COMPUTED_VALUE"""),"625🤙🏼Mr. Nobody🤙🏼Sarah Polley🤙🏼Estrela 2")</f>
        <v>625🤙🏼Mr. Nobody🤙🏼Sarah Polley🤙🏼Estrela 2</v>
      </c>
      <c r="H2499" s="5">
        <f>IFERROR(__xludf.DUMMYFUNCTION("SPLiT(G2499, ""🤙🏼"",FALSE,FALSE)"),625.0)</f>
        <v>625</v>
      </c>
      <c r="I2499" s="5" t="str">
        <f>IFERROR(__xludf.DUMMYFUNCTION("""COMPUTED_VALUE"""),"Mr. Nobody")</f>
        <v>Mr. Nobody</v>
      </c>
      <c r="J2499" s="5" t="str">
        <f>IFERROR(__xludf.DUMMYFUNCTION("""COMPUTED_VALUE"""),"Sarah Polley")</f>
        <v>Sarah Polley</v>
      </c>
      <c r="K2499" s="5" t="str">
        <f>IFERROR(__xludf.DUMMYFUNCTION("""COMPUTED_VALUE"""),"Estrela 2")</f>
        <v>Estrela 2</v>
      </c>
      <c r="P2499" s="5">
        <f>IFERROR(__xludf.DUMMYFUNCTION("""COMPUTED_VALUE"""),625.0)</f>
        <v>625</v>
      </c>
      <c r="Q2499" s="5" t="str">
        <f>IFERROR(__xludf.DUMMYFUNCTION("""COMPUTED_VALUE"""),"Mr. Nobody")</f>
        <v>Mr. Nobody</v>
      </c>
      <c r="R2499" s="5" t="str">
        <f>IFERROR(__xludf.DUMMYFUNCTION("""COMPUTED_VALUE"""),"Sarah Polley")</f>
        <v>Sarah Polley</v>
      </c>
      <c r="S2499" s="5" t="str">
        <f>IFERROR(__xludf.DUMMYFUNCTION("""COMPUTED_VALUE"""),"Estrela 2")</f>
        <v>Estrela 2</v>
      </c>
    </row>
    <row r="2500">
      <c r="G2500" s="5" t="str">
        <f>IFERROR(__xludf.DUMMYFUNCTION("""COMPUTED_VALUE"""),"625🤙🏼Mr. Nobody🤙🏼Diane Kruger🤙🏼Estrela 3")</f>
        <v>625🤙🏼Mr. Nobody🤙🏼Diane Kruger🤙🏼Estrela 3</v>
      </c>
      <c r="H2500" s="5">
        <f>IFERROR(__xludf.DUMMYFUNCTION("SPLiT(G2500, ""🤙🏼"",FALSE,FALSE)"),625.0)</f>
        <v>625</v>
      </c>
      <c r="I2500" s="5" t="str">
        <f>IFERROR(__xludf.DUMMYFUNCTION("""COMPUTED_VALUE"""),"Mr. Nobody")</f>
        <v>Mr. Nobody</v>
      </c>
      <c r="J2500" s="5" t="str">
        <f>IFERROR(__xludf.DUMMYFUNCTION("""COMPUTED_VALUE"""),"Diane Kruger")</f>
        <v>Diane Kruger</v>
      </c>
      <c r="K2500" s="5" t="str">
        <f>IFERROR(__xludf.DUMMYFUNCTION("""COMPUTED_VALUE"""),"Estrela 3")</f>
        <v>Estrela 3</v>
      </c>
      <c r="P2500" s="5">
        <f>IFERROR(__xludf.DUMMYFUNCTION("""COMPUTED_VALUE"""),625.0)</f>
        <v>625</v>
      </c>
      <c r="Q2500" s="5" t="str">
        <f>IFERROR(__xludf.DUMMYFUNCTION("""COMPUTED_VALUE"""),"Mr. Nobody")</f>
        <v>Mr. Nobody</v>
      </c>
      <c r="R2500" s="5" t="str">
        <f>IFERROR(__xludf.DUMMYFUNCTION("""COMPUTED_VALUE"""),"Diane Kruger")</f>
        <v>Diane Kruger</v>
      </c>
      <c r="S2500" s="5" t="str">
        <f>IFERROR(__xludf.DUMMYFUNCTION("""COMPUTED_VALUE"""),"Estrela 3")</f>
        <v>Estrela 3</v>
      </c>
    </row>
    <row r="2501">
      <c r="G2501" s="5" t="str">
        <f>IFERROR(__xludf.DUMMYFUNCTION("""COMPUTED_VALUE"""),"625🤙🏼Mr. Nobody🤙🏼Linh Dan Pham🤙🏼Estrela 4")</f>
        <v>625🤙🏼Mr. Nobody🤙🏼Linh Dan Pham🤙🏼Estrela 4</v>
      </c>
      <c r="H2501" s="5">
        <f>IFERROR(__xludf.DUMMYFUNCTION("SPLiT(G2501, ""🤙🏼"",FALSE,FALSE)"),625.0)</f>
        <v>625</v>
      </c>
      <c r="I2501" s="5" t="str">
        <f>IFERROR(__xludf.DUMMYFUNCTION("""COMPUTED_VALUE"""),"Mr. Nobody")</f>
        <v>Mr. Nobody</v>
      </c>
      <c r="J2501" s="5" t="str">
        <f>IFERROR(__xludf.DUMMYFUNCTION("""COMPUTED_VALUE"""),"Linh Dan Pham")</f>
        <v>Linh Dan Pham</v>
      </c>
      <c r="K2501" s="5" t="str">
        <f>IFERROR(__xludf.DUMMYFUNCTION("""COMPUTED_VALUE"""),"Estrela 4")</f>
        <v>Estrela 4</v>
      </c>
      <c r="P2501" s="5">
        <f>IFERROR(__xludf.DUMMYFUNCTION("""COMPUTED_VALUE"""),625.0)</f>
        <v>625</v>
      </c>
      <c r="Q2501" s="5" t="str">
        <f>IFERROR(__xludf.DUMMYFUNCTION("""COMPUTED_VALUE"""),"Mr. Nobody")</f>
        <v>Mr. Nobody</v>
      </c>
      <c r="R2501" s="5" t="str">
        <f>IFERROR(__xludf.DUMMYFUNCTION("""COMPUTED_VALUE"""),"Linh Dan Pham")</f>
        <v>Linh Dan Pham</v>
      </c>
      <c r="S2501" s="5" t="str">
        <f>IFERROR(__xludf.DUMMYFUNCTION("""COMPUTED_VALUE"""),"Estrela 4")</f>
        <v>Estrela 4</v>
      </c>
    </row>
    <row r="2502">
      <c r="G2502" s="5" t="str">
        <f>IFERROR(__xludf.DUMMYFUNCTION("""COMPUTED_VALUE"""),"626🤙🏼Apocalypto🤙🏼Gerardo Taracena🤙🏼Estrela 1")</f>
        <v>626🤙🏼Apocalypto🤙🏼Gerardo Taracena🤙🏼Estrela 1</v>
      </c>
      <c r="H2502" s="5">
        <f>IFERROR(__xludf.DUMMYFUNCTION("SPLiT(G2502, ""🤙🏼"",FALSE,FALSE)"),626.0)</f>
        <v>626</v>
      </c>
      <c r="I2502" s="5" t="str">
        <f>IFERROR(__xludf.DUMMYFUNCTION("""COMPUTED_VALUE"""),"Apocalypto")</f>
        <v>Apocalypto</v>
      </c>
      <c r="J2502" s="5" t="str">
        <f>IFERROR(__xludf.DUMMYFUNCTION("""COMPUTED_VALUE"""),"Gerardo Taracena")</f>
        <v>Gerardo Taracena</v>
      </c>
      <c r="K2502" s="5" t="str">
        <f>IFERROR(__xludf.DUMMYFUNCTION("""COMPUTED_VALUE"""),"Estrela 1")</f>
        <v>Estrela 1</v>
      </c>
      <c r="P2502" s="5">
        <f>IFERROR(__xludf.DUMMYFUNCTION("""COMPUTED_VALUE"""),626.0)</f>
        <v>626</v>
      </c>
      <c r="Q2502" s="5" t="str">
        <f>IFERROR(__xludf.DUMMYFUNCTION("""COMPUTED_VALUE"""),"Apocalypto")</f>
        <v>Apocalypto</v>
      </c>
      <c r="R2502" s="5" t="str">
        <f>IFERROR(__xludf.DUMMYFUNCTION("""COMPUTED_VALUE"""),"Gerardo Taracena")</f>
        <v>Gerardo Taracena</v>
      </c>
      <c r="S2502" s="5" t="str">
        <f>IFERROR(__xludf.DUMMYFUNCTION("""COMPUTED_VALUE"""),"Estrela 1")</f>
        <v>Estrela 1</v>
      </c>
    </row>
    <row r="2503">
      <c r="G2503" s="5" t="str">
        <f>IFERROR(__xludf.DUMMYFUNCTION("""COMPUTED_VALUE"""),"626🤙🏼Apocalypto🤙🏼Raoul Max Trujillo🤙🏼Estrela 2")</f>
        <v>626🤙🏼Apocalypto🤙🏼Raoul Max Trujillo🤙🏼Estrela 2</v>
      </c>
      <c r="H2503" s="5">
        <f>IFERROR(__xludf.DUMMYFUNCTION("SPLiT(G2503, ""🤙🏼"",FALSE,FALSE)"),626.0)</f>
        <v>626</v>
      </c>
      <c r="I2503" s="5" t="str">
        <f>IFERROR(__xludf.DUMMYFUNCTION("""COMPUTED_VALUE"""),"Apocalypto")</f>
        <v>Apocalypto</v>
      </c>
      <c r="J2503" s="5" t="str">
        <f>IFERROR(__xludf.DUMMYFUNCTION("""COMPUTED_VALUE"""),"Raoul Max Trujillo")</f>
        <v>Raoul Max Trujillo</v>
      </c>
      <c r="K2503" s="5" t="str">
        <f>IFERROR(__xludf.DUMMYFUNCTION("""COMPUTED_VALUE"""),"Estrela 2")</f>
        <v>Estrela 2</v>
      </c>
      <c r="P2503" s="5">
        <f>IFERROR(__xludf.DUMMYFUNCTION("""COMPUTED_VALUE"""),626.0)</f>
        <v>626</v>
      </c>
      <c r="Q2503" s="5" t="str">
        <f>IFERROR(__xludf.DUMMYFUNCTION("""COMPUTED_VALUE"""),"Apocalypto")</f>
        <v>Apocalypto</v>
      </c>
      <c r="R2503" s="5" t="str">
        <f>IFERROR(__xludf.DUMMYFUNCTION("""COMPUTED_VALUE"""),"Raoul Max Trujillo")</f>
        <v>Raoul Max Trujillo</v>
      </c>
      <c r="S2503" s="5" t="str">
        <f>IFERROR(__xludf.DUMMYFUNCTION("""COMPUTED_VALUE"""),"Estrela 2")</f>
        <v>Estrela 2</v>
      </c>
    </row>
    <row r="2504">
      <c r="G2504" s="5" t="str">
        <f>IFERROR(__xludf.DUMMYFUNCTION("""COMPUTED_VALUE"""),"626🤙🏼Apocalypto🤙🏼Dalia Hernández🤙🏼Estrela 3")</f>
        <v>626🤙🏼Apocalypto🤙🏼Dalia Hernández🤙🏼Estrela 3</v>
      </c>
      <c r="H2504" s="5">
        <f>IFERROR(__xludf.DUMMYFUNCTION("SPLiT(G2504, ""🤙🏼"",FALSE,FALSE)"),626.0)</f>
        <v>626</v>
      </c>
      <c r="I2504" s="5" t="str">
        <f>IFERROR(__xludf.DUMMYFUNCTION("""COMPUTED_VALUE"""),"Apocalypto")</f>
        <v>Apocalypto</v>
      </c>
      <c r="J2504" s="5" t="str">
        <f>IFERROR(__xludf.DUMMYFUNCTION("""COMPUTED_VALUE"""),"Dalia Hernández")</f>
        <v>Dalia Hernández</v>
      </c>
      <c r="K2504" s="5" t="str">
        <f>IFERROR(__xludf.DUMMYFUNCTION("""COMPUTED_VALUE"""),"Estrela 3")</f>
        <v>Estrela 3</v>
      </c>
      <c r="P2504" s="5">
        <f>IFERROR(__xludf.DUMMYFUNCTION("""COMPUTED_VALUE"""),626.0)</f>
        <v>626</v>
      </c>
      <c r="Q2504" s="5" t="str">
        <f>IFERROR(__xludf.DUMMYFUNCTION("""COMPUTED_VALUE"""),"Apocalypto")</f>
        <v>Apocalypto</v>
      </c>
      <c r="R2504" s="5" t="str">
        <f>IFERROR(__xludf.DUMMYFUNCTION("""COMPUTED_VALUE"""),"Dalia Hernández")</f>
        <v>Dalia Hernández</v>
      </c>
      <c r="S2504" s="5" t="str">
        <f>IFERROR(__xludf.DUMMYFUNCTION("""COMPUTED_VALUE"""),"Estrela 3")</f>
        <v>Estrela 3</v>
      </c>
    </row>
    <row r="2505">
      <c r="G2505" s="5" t="str">
        <f>IFERROR(__xludf.DUMMYFUNCTION("""COMPUTED_VALUE"""),"626🤙🏼Apocalypto🤙🏼Rudy Youngblood🤙🏼Estrela 4")</f>
        <v>626🤙🏼Apocalypto🤙🏼Rudy Youngblood🤙🏼Estrela 4</v>
      </c>
      <c r="H2505" s="5">
        <f>IFERROR(__xludf.DUMMYFUNCTION("SPLiT(G2505, ""🤙🏼"",FALSE,FALSE)"),626.0)</f>
        <v>626</v>
      </c>
      <c r="I2505" s="5" t="str">
        <f>IFERROR(__xludf.DUMMYFUNCTION("""COMPUTED_VALUE"""),"Apocalypto")</f>
        <v>Apocalypto</v>
      </c>
      <c r="J2505" s="5" t="str">
        <f>IFERROR(__xludf.DUMMYFUNCTION("""COMPUTED_VALUE"""),"Rudy Youngblood")</f>
        <v>Rudy Youngblood</v>
      </c>
      <c r="K2505" s="5" t="str">
        <f>IFERROR(__xludf.DUMMYFUNCTION("""COMPUTED_VALUE"""),"Estrela 4")</f>
        <v>Estrela 4</v>
      </c>
      <c r="P2505" s="5">
        <f>IFERROR(__xludf.DUMMYFUNCTION("""COMPUTED_VALUE"""),626.0)</f>
        <v>626</v>
      </c>
      <c r="Q2505" s="5" t="str">
        <f>IFERROR(__xludf.DUMMYFUNCTION("""COMPUTED_VALUE"""),"Apocalypto")</f>
        <v>Apocalypto</v>
      </c>
      <c r="R2505" s="5" t="str">
        <f>IFERROR(__xludf.DUMMYFUNCTION("""COMPUTED_VALUE"""),"Rudy Youngblood")</f>
        <v>Rudy Youngblood</v>
      </c>
      <c r="S2505" s="5" t="str">
        <f>IFERROR(__xludf.DUMMYFUNCTION("""COMPUTED_VALUE"""),"Estrela 4")</f>
        <v>Estrela 4</v>
      </c>
    </row>
    <row r="2506">
      <c r="G2506" s="5" t="str">
        <f>IFERROR(__xludf.DUMMYFUNCTION("""COMPUTED_VALUE"""),"627🤙🏼Little Miss Sunshine🤙🏼Valerie Faris🤙🏼Estrela 1")</f>
        <v>627🤙🏼Little Miss Sunshine🤙🏼Valerie Faris🤙🏼Estrela 1</v>
      </c>
      <c r="H2506" s="5">
        <f>IFERROR(__xludf.DUMMYFUNCTION("SPLiT(G2506, ""🤙🏼"",FALSE,FALSE)"),627.0)</f>
        <v>627</v>
      </c>
      <c r="I2506" s="5" t="str">
        <f>IFERROR(__xludf.DUMMYFUNCTION("""COMPUTED_VALUE"""),"Little Miss Sunshine")</f>
        <v>Little Miss Sunshine</v>
      </c>
      <c r="J2506" s="5" t="str">
        <f>IFERROR(__xludf.DUMMYFUNCTION("""COMPUTED_VALUE"""),"Valerie Faris")</f>
        <v>Valerie Faris</v>
      </c>
      <c r="K2506" s="5" t="str">
        <f>IFERROR(__xludf.DUMMYFUNCTION("""COMPUTED_VALUE"""),"Estrela 1")</f>
        <v>Estrela 1</v>
      </c>
      <c r="P2506" s="5">
        <f>IFERROR(__xludf.DUMMYFUNCTION("""COMPUTED_VALUE"""),627.0)</f>
        <v>627</v>
      </c>
      <c r="Q2506" s="5" t="str">
        <f>IFERROR(__xludf.DUMMYFUNCTION("""COMPUTED_VALUE"""),"Little Miss Sunshine")</f>
        <v>Little Miss Sunshine</v>
      </c>
      <c r="R2506" s="5" t="str">
        <f>IFERROR(__xludf.DUMMYFUNCTION("""COMPUTED_VALUE"""),"Valerie Faris")</f>
        <v>Valerie Faris</v>
      </c>
      <c r="S2506" s="5" t="str">
        <f>IFERROR(__xludf.DUMMYFUNCTION("""COMPUTED_VALUE"""),"Estrela 1")</f>
        <v>Estrela 1</v>
      </c>
    </row>
    <row r="2507">
      <c r="G2507" s="5" t="str">
        <f>IFERROR(__xludf.DUMMYFUNCTION("""COMPUTED_VALUE"""),"627🤙🏼Little Miss Sunshine🤙🏼Steve Carell🤙🏼Estrela 2")</f>
        <v>627🤙🏼Little Miss Sunshine🤙🏼Steve Carell🤙🏼Estrela 2</v>
      </c>
      <c r="H2507" s="5">
        <f>IFERROR(__xludf.DUMMYFUNCTION("SPLiT(G2507, ""🤙🏼"",FALSE,FALSE)"),627.0)</f>
        <v>627</v>
      </c>
      <c r="I2507" s="5" t="str">
        <f>IFERROR(__xludf.DUMMYFUNCTION("""COMPUTED_VALUE"""),"Little Miss Sunshine")</f>
        <v>Little Miss Sunshine</v>
      </c>
      <c r="J2507" s="5" t="str">
        <f>IFERROR(__xludf.DUMMYFUNCTION("""COMPUTED_VALUE"""),"Steve Carell")</f>
        <v>Steve Carell</v>
      </c>
      <c r="K2507" s="5" t="str">
        <f>IFERROR(__xludf.DUMMYFUNCTION("""COMPUTED_VALUE"""),"Estrela 2")</f>
        <v>Estrela 2</v>
      </c>
      <c r="P2507" s="5">
        <f>IFERROR(__xludf.DUMMYFUNCTION("""COMPUTED_VALUE"""),627.0)</f>
        <v>627</v>
      </c>
      <c r="Q2507" s="5" t="str">
        <f>IFERROR(__xludf.DUMMYFUNCTION("""COMPUTED_VALUE"""),"Little Miss Sunshine")</f>
        <v>Little Miss Sunshine</v>
      </c>
      <c r="R2507" s="5" t="str">
        <f>IFERROR(__xludf.DUMMYFUNCTION("""COMPUTED_VALUE"""),"Steve Carell")</f>
        <v>Steve Carell</v>
      </c>
      <c r="S2507" s="5" t="str">
        <f>IFERROR(__xludf.DUMMYFUNCTION("""COMPUTED_VALUE"""),"Estrela 2")</f>
        <v>Estrela 2</v>
      </c>
    </row>
    <row r="2508">
      <c r="G2508" s="5" t="str">
        <f>IFERROR(__xludf.DUMMYFUNCTION("""COMPUTED_VALUE"""),"627🤙🏼Little Miss Sunshine🤙🏼Toni Collette🤙🏼Estrela 3")</f>
        <v>627🤙🏼Little Miss Sunshine🤙🏼Toni Collette🤙🏼Estrela 3</v>
      </c>
      <c r="H2508" s="5">
        <f>IFERROR(__xludf.DUMMYFUNCTION("SPLiT(G2508, ""🤙🏼"",FALSE,FALSE)"),627.0)</f>
        <v>627</v>
      </c>
      <c r="I2508" s="5" t="str">
        <f>IFERROR(__xludf.DUMMYFUNCTION("""COMPUTED_VALUE"""),"Little Miss Sunshine")</f>
        <v>Little Miss Sunshine</v>
      </c>
      <c r="J2508" s="5" t="str">
        <f>IFERROR(__xludf.DUMMYFUNCTION("""COMPUTED_VALUE"""),"Toni Collette")</f>
        <v>Toni Collette</v>
      </c>
      <c r="K2508" s="5" t="str">
        <f>IFERROR(__xludf.DUMMYFUNCTION("""COMPUTED_VALUE"""),"Estrela 3")</f>
        <v>Estrela 3</v>
      </c>
      <c r="P2508" s="5">
        <f>IFERROR(__xludf.DUMMYFUNCTION("""COMPUTED_VALUE"""),627.0)</f>
        <v>627</v>
      </c>
      <c r="Q2508" s="5" t="str">
        <f>IFERROR(__xludf.DUMMYFUNCTION("""COMPUTED_VALUE"""),"Little Miss Sunshine")</f>
        <v>Little Miss Sunshine</v>
      </c>
      <c r="R2508" s="5" t="str">
        <f>IFERROR(__xludf.DUMMYFUNCTION("""COMPUTED_VALUE"""),"Toni Collette")</f>
        <v>Toni Collette</v>
      </c>
      <c r="S2508" s="5" t="str">
        <f>IFERROR(__xludf.DUMMYFUNCTION("""COMPUTED_VALUE"""),"Estrela 3")</f>
        <v>Estrela 3</v>
      </c>
    </row>
    <row r="2509">
      <c r="G2509" s="5" t="str">
        <f>IFERROR(__xludf.DUMMYFUNCTION("""COMPUTED_VALUE"""),"627🤙🏼Little Miss Sunshine🤙🏼Greg Kinnear🤙🏼Estrela 4")</f>
        <v>627🤙🏼Little Miss Sunshine🤙🏼Greg Kinnear🤙🏼Estrela 4</v>
      </c>
      <c r="H2509" s="5">
        <f>IFERROR(__xludf.DUMMYFUNCTION("SPLiT(G2509, ""🤙🏼"",FALSE,FALSE)"),627.0)</f>
        <v>627</v>
      </c>
      <c r="I2509" s="5" t="str">
        <f>IFERROR(__xludf.DUMMYFUNCTION("""COMPUTED_VALUE"""),"Little Miss Sunshine")</f>
        <v>Little Miss Sunshine</v>
      </c>
      <c r="J2509" s="5" t="str">
        <f>IFERROR(__xludf.DUMMYFUNCTION("""COMPUTED_VALUE"""),"Greg Kinnear")</f>
        <v>Greg Kinnear</v>
      </c>
      <c r="K2509" s="5" t="str">
        <f>IFERROR(__xludf.DUMMYFUNCTION("""COMPUTED_VALUE"""),"Estrela 4")</f>
        <v>Estrela 4</v>
      </c>
      <c r="P2509" s="5">
        <f>IFERROR(__xludf.DUMMYFUNCTION("""COMPUTED_VALUE"""),627.0)</f>
        <v>627</v>
      </c>
      <c r="Q2509" s="5" t="str">
        <f>IFERROR(__xludf.DUMMYFUNCTION("""COMPUTED_VALUE"""),"Little Miss Sunshine")</f>
        <v>Little Miss Sunshine</v>
      </c>
      <c r="R2509" s="5" t="str">
        <f>IFERROR(__xludf.DUMMYFUNCTION("""COMPUTED_VALUE"""),"Greg Kinnear")</f>
        <v>Greg Kinnear</v>
      </c>
      <c r="S2509" s="5" t="str">
        <f>IFERROR(__xludf.DUMMYFUNCTION("""COMPUTED_VALUE"""),"Estrela 4")</f>
        <v>Estrela 4</v>
      </c>
    </row>
    <row r="2510">
      <c r="G2510" s="5" t="str">
        <f>IFERROR(__xludf.DUMMYFUNCTION("""COMPUTED_VALUE"""),"628🤙🏼Hot Fuzz🤙🏼Simon Pegg🤙🏼Estrela 1")</f>
        <v>628🤙🏼Hot Fuzz🤙🏼Simon Pegg🤙🏼Estrela 1</v>
      </c>
      <c r="H2510" s="5">
        <f>IFERROR(__xludf.DUMMYFUNCTION("SPLiT(G2510, ""🤙🏼"",FALSE,FALSE)"),628.0)</f>
        <v>628</v>
      </c>
      <c r="I2510" s="5" t="str">
        <f>IFERROR(__xludf.DUMMYFUNCTION("""COMPUTED_VALUE"""),"Hot Fuzz")</f>
        <v>Hot Fuzz</v>
      </c>
      <c r="J2510" s="5" t="str">
        <f>IFERROR(__xludf.DUMMYFUNCTION("""COMPUTED_VALUE"""),"Simon Pegg")</f>
        <v>Simon Pegg</v>
      </c>
      <c r="K2510" s="5" t="str">
        <f>IFERROR(__xludf.DUMMYFUNCTION("""COMPUTED_VALUE"""),"Estrela 1")</f>
        <v>Estrela 1</v>
      </c>
      <c r="P2510" s="5">
        <f>IFERROR(__xludf.DUMMYFUNCTION("""COMPUTED_VALUE"""),628.0)</f>
        <v>628</v>
      </c>
      <c r="Q2510" s="5" t="str">
        <f>IFERROR(__xludf.DUMMYFUNCTION("""COMPUTED_VALUE"""),"Hot Fuzz")</f>
        <v>Hot Fuzz</v>
      </c>
      <c r="R2510" s="5" t="str">
        <f>IFERROR(__xludf.DUMMYFUNCTION("""COMPUTED_VALUE"""),"Simon Pegg")</f>
        <v>Simon Pegg</v>
      </c>
      <c r="S2510" s="5" t="str">
        <f>IFERROR(__xludf.DUMMYFUNCTION("""COMPUTED_VALUE"""),"Estrela 1")</f>
        <v>Estrela 1</v>
      </c>
    </row>
    <row r="2511">
      <c r="G2511" s="5" t="str">
        <f>IFERROR(__xludf.DUMMYFUNCTION("""COMPUTED_VALUE"""),"628🤙🏼Hot Fuzz🤙🏼Nick Frost🤙🏼Estrela 2")</f>
        <v>628🤙🏼Hot Fuzz🤙🏼Nick Frost🤙🏼Estrela 2</v>
      </c>
      <c r="H2511" s="5">
        <f>IFERROR(__xludf.DUMMYFUNCTION("SPLiT(G2511, ""🤙🏼"",FALSE,FALSE)"),628.0)</f>
        <v>628</v>
      </c>
      <c r="I2511" s="5" t="str">
        <f>IFERROR(__xludf.DUMMYFUNCTION("""COMPUTED_VALUE"""),"Hot Fuzz")</f>
        <v>Hot Fuzz</v>
      </c>
      <c r="J2511" s="5" t="str">
        <f>IFERROR(__xludf.DUMMYFUNCTION("""COMPUTED_VALUE"""),"Nick Frost")</f>
        <v>Nick Frost</v>
      </c>
      <c r="K2511" s="5" t="str">
        <f>IFERROR(__xludf.DUMMYFUNCTION("""COMPUTED_VALUE"""),"Estrela 2")</f>
        <v>Estrela 2</v>
      </c>
      <c r="P2511" s="5">
        <f>IFERROR(__xludf.DUMMYFUNCTION("""COMPUTED_VALUE"""),628.0)</f>
        <v>628</v>
      </c>
      <c r="Q2511" s="5" t="str">
        <f>IFERROR(__xludf.DUMMYFUNCTION("""COMPUTED_VALUE"""),"Hot Fuzz")</f>
        <v>Hot Fuzz</v>
      </c>
      <c r="R2511" s="5" t="str">
        <f>IFERROR(__xludf.DUMMYFUNCTION("""COMPUTED_VALUE"""),"Nick Frost")</f>
        <v>Nick Frost</v>
      </c>
      <c r="S2511" s="5" t="str">
        <f>IFERROR(__xludf.DUMMYFUNCTION("""COMPUTED_VALUE"""),"Estrela 2")</f>
        <v>Estrela 2</v>
      </c>
    </row>
    <row r="2512">
      <c r="G2512" s="5" t="str">
        <f>IFERROR(__xludf.DUMMYFUNCTION("""COMPUTED_VALUE"""),"628🤙🏼Hot Fuzz🤙🏼Martin Freeman🤙🏼Estrela 3")</f>
        <v>628🤙🏼Hot Fuzz🤙🏼Martin Freeman🤙🏼Estrela 3</v>
      </c>
      <c r="H2512" s="5">
        <f>IFERROR(__xludf.DUMMYFUNCTION("SPLiT(G2512, ""🤙🏼"",FALSE,FALSE)"),628.0)</f>
        <v>628</v>
      </c>
      <c r="I2512" s="5" t="str">
        <f>IFERROR(__xludf.DUMMYFUNCTION("""COMPUTED_VALUE"""),"Hot Fuzz")</f>
        <v>Hot Fuzz</v>
      </c>
      <c r="J2512" s="5" t="str">
        <f>IFERROR(__xludf.DUMMYFUNCTION("""COMPUTED_VALUE"""),"Martin Freeman")</f>
        <v>Martin Freeman</v>
      </c>
      <c r="K2512" s="5" t="str">
        <f>IFERROR(__xludf.DUMMYFUNCTION("""COMPUTED_VALUE"""),"Estrela 3")</f>
        <v>Estrela 3</v>
      </c>
      <c r="P2512" s="5">
        <f>IFERROR(__xludf.DUMMYFUNCTION("""COMPUTED_VALUE"""),628.0)</f>
        <v>628</v>
      </c>
      <c r="Q2512" s="5" t="str">
        <f>IFERROR(__xludf.DUMMYFUNCTION("""COMPUTED_VALUE"""),"Hot Fuzz")</f>
        <v>Hot Fuzz</v>
      </c>
      <c r="R2512" s="5" t="str">
        <f>IFERROR(__xludf.DUMMYFUNCTION("""COMPUTED_VALUE"""),"Martin Freeman")</f>
        <v>Martin Freeman</v>
      </c>
      <c r="S2512" s="5" t="str">
        <f>IFERROR(__xludf.DUMMYFUNCTION("""COMPUTED_VALUE"""),"Estrela 3")</f>
        <v>Estrela 3</v>
      </c>
    </row>
    <row r="2513">
      <c r="G2513" s="5" t="str">
        <f>IFERROR(__xludf.DUMMYFUNCTION("""COMPUTED_VALUE"""),"628🤙🏼Hot Fuzz🤙🏼Bill Nighy🤙🏼Estrela 4")</f>
        <v>628🤙🏼Hot Fuzz🤙🏼Bill Nighy🤙🏼Estrela 4</v>
      </c>
      <c r="H2513" s="5">
        <f>IFERROR(__xludf.DUMMYFUNCTION("SPLiT(G2513, ""🤙🏼"",FALSE,FALSE)"),628.0)</f>
        <v>628</v>
      </c>
      <c r="I2513" s="5" t="str">
        <f>IFERROR(__xludf.DUMMYFUNCTION("""COMPUTED_VALUE"""),"Hot Fuzz")</f>
        <v>Hot Fuzz</v>
      </c>
      <c r="J2513" s="5" t="str">
        <f>IFERROR(__xludf.DUMMYFUNCTION("""COMPUTED_VALUE"""),"Bill Nighy")</f>
        <v>Bill Nighy</v>
      </c>
      <c r="K2513" s="5" t="str">
        <f>IFERROR(__xludf.DUMMYFUNCTION("""COMPUTED_VALUE"""),"Estrela 4")</f>
        <v>Estrela 4</v>
      </c>
      <c r="P2513" s="5">
        <f>IFERROR(__xludf.DUMMYFUNCTION("""COMPUTED_VALUE"""),628.0)</f>
        <v>628</v>
      </c>
      <c r="Q2513" s="5" t="str">
        <f>IFERROR(__xludf.DUMMYFUNCTION("""COMPUTED_VALUE"""),"Hot Fuzz")</f>
        <v>Hot Fuzz</v>
      </c>
      <c r="R2513" s="5" t="str">
        <f>IFERROR(__xludf.DUMMYFUNCTION("""COMPUTED_VALUE"""),"Bill Nighy")</f>
        <v>Bill Nighy</v>
      </c>
      <c r="S2513" s="5" t="str">
        <f>IFERROR(__xludf.DUMMYFUNCTION("""COMPUTED_VALUE"""),"Estrela 4")</f>
        <v>Estrela 4</v>
      </c>
    </row>
    <row r="2514">
      <c r="G2514" s="5" t="str">
        <f>IFERROR(__xludf.DUMMYFUNCTION("""COMPUTED_VALUE"""),"629🤙🏼The Curious Case of Benjamin Button🤙🏼Brad Pitt🤙🏼Estrela 1")</f>
        <v>629🤙🏼The Curious Case of Benjamin Button🤙🏼Brad Pitt🤙🏼Estrela 1</v>
      </c>
      <c r="H2514" s="5">
        <f>IFERROR(__xludf.DUMMYFUNCTION("SPLiT(G2514, ""🤙🏼"",FALSE,FALSE)"),629.0)</f>
        <v>629</v>
      </c>
      <c r="I2514" s="5" t="str">
        <f>IFERROR(__xludf.DUMMYFUNCTION("""COMPUTED_VALUE"""),"The Curious Case of Benjamin Button")</f>
        <v>The Curious Case of Benjamin Button</v>
      </c>
      <c r="J2514" s="5" t="str">
        <f>IFERROR(__xludf.DUMMYFUNCTION("""COMPUTED_VALUE"""),"Brad Pitt")</f>
        <v>Brad Pitt</v>
      </c>
      <c r="K2514" s="5" t="str">
        <f>IFERROR(__xludf.DUMMYFUNCTION("""COMPUTED_VALUE"""),"Estrela 1")</f>
        <v>Estrela 1</v>
      </c>
      <c r="P2514" s="5">
        <f>IFERROR(__xludf.DUMMYFUNCTION("""COMPUTED_VALUE"""),629.0)</f>
        <v>629</v>
      </c>
      <c r="Q2514" s="5" t="str">
        <f>IFERROR(__xludf.DUMMYFUNCTION("""COMPUTED_VALUE"""),"The Curious Case of Benjamin Button")</f>
        <v>The Curious Case of Benjamin Button</v>
      </c>
      <c r="R2514" s="5" t="str">
        <f>IFERROR(__xludf.DUMMYFUNCTION("""COMPUTED_VALUE"""),"Brad Pitt")</f>
        <v>Brad Pitt</v>
      </c>
      <c r="S2514" s="5" t="str">
        <f>IFERROR(__xludf.DUMMYFUNCTION("""COMPUTED_VALUE"""),"Estrela 1")</f>
        <v>Estrela 1</v>
      </c>
    </row>
    <row r="2515">
      <c r="G2515" s="5" t="str">
        <f>IFERROR(__xludf.DUMMYFUNCTION("""COMPUTED_VALUE"""),"629🤙🏼The Curious Case of Benjamin Button🤙🏼Cate Blanchett🤙🏼Estrela 2")</f>
        <v>629🤙🏼The Curious Case of Benjamin Button🤙🏼Cate Blanchett🤙🏼Estrela 2</v>
      </c>
      <c r="H2515" s="5">
        <f>IFERROR(__xludf.DUMMYFUNCTION("SPLiT(G2515, ""🤙🏼"",FALSE,FALSE)"),629.0)</f>
        <v>629</v>
      </c>
      <c r="I2515" s="5" t="str">
        <f>IFERROR(__xludf.DUMMYFUNCTION("""COMPUTED_VALUE"""),"The Curious Case of Benjamin Button")</f>
        <v>The Curious Case of Benjamin Button</v>
      </c>
      <c r="J2515" s="5" t="str">
        <f>IFERROR(__xludf.DUMMYFUNCTION("""COMPUTED_VALUE"""),"Cate Blanchett")</f>
        <v>Cate Blanchett</v>
      </c>
      <c r="K2515" s="5" t="str">
        <f>IFERROR(__xludf.DUMMYFUNCTION("""COMPUTED_VALUE"""),"Estrela 2")</f>
        <v>Estrela 2</v>
      </c>
      <c r="P2515" s="5">
        <f>IFERROR(__xludf.DUMMYFUNCTION("""COMPUTED_VALUE"""),629.0)</f>
        <v>629</v>
      </c>
      <c r="Q2515" s="5" t="str">
        <f>IFERROR(__xludf.DUMMYFUNCTION("""COMPUTED_VALUE"""),"The Curious Case of Benjamin Button")</f>
        <v>The Curious Case of Benjamin Button</v>
      </c>
      <c r="R2515" s="5" t="str">
        <f>IFERROR(__xludf.DUMMYFUNCTION("""COMPUTED_VALUE"""),"Cate Blanchett")</f>
        <v>Cate Blanchett</v>
      </c>
      <c r="S2515" s="5" t="str">
        <f>IFERROR(__xludf.DUMMYFUNCTION("""COMPUTED_VALUE"""),"Estrela 2")</f>
        <v>Estrela 2</v>
      </c>
    </row>
    <row r="2516">
      <c r="G2516" s="5" t="str">
        <f>IFERROR(__xludf.DUMMYFUNCTION("""COMPUTED_VALUE"""),"629🤙🏼The Curious Case of Benjamin Button🤙🏼Tilda Swinton🤙🏼Estrela 3")</f>
        <v>629🤙🏼The Curious Case of Benjamin Button🤙🏼Tilda Swinton🤙🏼Estrela 3</v>
      </c>
      <c r="H2516" s="5">
        <f>IFERROR(__xludf.DUMMYFUNCTION("SPLiT(G2516, ""🤙🏼"",FALSE,FALSE)"),629.0)</f>
        <v>629</v>
      </c>
      <c r="I2516" s="5" t="str">
        <f>IFERROR(__xludf.DUMMYFUNCTION("""COMPUTED_VALUE"""),"The Curious Case of Benjamin Button")</f>
        <v>The Curious Case of Benjamin Button</v>
      </c>
      <c r="J2516" s="5" t="str">
        <f>IFERROR(__xludf.DUMMYFUNCTION("""COMPUTED_VALUE"""),"Tilda Swinton")</f>
        <v>Tilda Swinton</v>
      </c>
      <c r="K2516" s="5" t="str">
        <f>IFERROR(__xludf.DUMMYFUNCTION("""COMPUTED_VALUE"""),"Estrela 3")</f>
        <v>Estrela 3</v>
      </c>
      <c r="P2516" s="5">
        <f>IFERROR(__xludf.DUMMYFUNCTION("""COMPUTED_VALUE"""),629.0)</f>
        <v>629</v>
      </c>
      <c r="Q2516" s="5" t="str">
        <f>IFERROR(__xludf.DUMMYFUNCTION("""COMPUTED_VALUE"""),"The Curious Case of Benjamin Button")</f>
        <v>The Curious Case of Benjamin Button</v>
      </c>
      <c r="R2516" s="5" t="str">
        <f>IFERROR(__xludf.DUMMYFUNCTION("""COMPUTED_VALUE"""),"Tilda Swinton")</f>
        <v>Tilda Swinton</v>
      </c>
      <c r="S2516" s="5" t="str">
        <f>IFERROR(__xludf.DUMMYFUNCTION("""COMPUTED_VALUE"""),"Estrela 3")</f>
        <v>Estrela 3</v>
      </c>
    </row>
    <row r="2517">
      <c r="G2517" s="5" t="str">
        <f>IFERROR(__xludf.DUMMYFUNCTION("""COMPUTED_VALUE"""),"629🤙🏼The Curious Case of Benjamin Button🤙🏼Julia Ormond🤙🏼Estrela 4")</f>
        <v>629🤙🏼The Curious Case of Benjamin Button🤙🏼Julia Ormond🤙🏼Estrela 4</v>
      </c>
      <c r="H2517" s="5">
        <f>IFERROR(__xludf.DUMMYFUNCTION("SPLiT(G2517, ""🤙🏼"",FALSE,FALSE)"),629.0)</f>
        <v>629</v>
      </c>
      <c r="I2517" s="5" t="str">
        <f>IFERROR(__xludf.DUMMYFUNCTION("""COMPUTED_VALUE"""),"The Curious Case of Benjamin Button")</f>
        <v>The Curious Case of Benjamin Button</v>
      </c>
      <c r="J2517" s="5" t="str">
        <f>IFERROR(__xludf.DUMMYFUNCTION("""COMPUTED_VALUE"""),"Julia Ormond")</f>
        <v>Julia Ormond</v>
      </c>
      <c r="K2517" s="5" t="str">
        <f>IFERROR(__xludf.DUMMYFUNCTION("""COMPUTED_VALUE"""),"Estrela 4")</f>
        <v>Estrela 4</v>
      </c>
      <c r="P2517" s="5">
        <f>IFERROR(__xludf.DUMMYFUNCTION("""COMPUTED_VALUE"""),629.0)</f>
        <v>629</v>
      </c>
      <c r="Q2517" s="5" t="str">
        <f>IFERROR(__xludf.DUMMYFUNCTION("""COMPUTED_VALUE"""),"The Curious Case of Benjamin Button")</f>
        <v>The Curious Case of Benjamin Button</v>
      </c>
      <c r="R2517" s="5" t="str">
        <f>IFERROR(__xludf.DUMMYFUNCTION("""COMPUTED_VALUE"""),"Julia Ormond")</f>
        <v>Julia Ormond</v>
      </c>
      <c r="S2517" s="5" t="str">
        <f>IFERROR(__xludf.DUMMYFUNCTION("""COMPUTED_VALUE"""),"Estrela 4")</f>
        <v>Estrela 4</v>
      </c>
    </row>
    <row r="2518">
      <c r="G2518" s="5" t="str">
        <f>IFERROR(__xludf.DUMMYFUNCTION("""COMPUTED_VALUE"""),"630🤙🏼Veer-Zaara🤙🏼Shah Rukh Khan🤙🏼Estrela 1")</f>
        <v>630🤙🏼Veer-Zaara🤙🏼Shah Rukh Khan🤙🏼Estrela 1</v>
      </c>
      <c r="H2518" s="5">
        <f>IFERROR(__xludf.DUMMYFUNCTION("SPLiT(G2518, ""🤙🏼"",FALSE,FALSE)"),630.0)</f>
        <v>630</v>
      </c>
      <c r="I2518" s="5" t="str">
        <f>IFERROR(__xludf.DUMMYFUNCTION("""COMPUTED_VALUE"""),"Veer-Zaara")</f>
        <v>Veer-Zaara</v>
      </c>
      <c r="J2518" s="5" t="str">
        <f>IFERROR(__xludf.DUMMYFUNCTION("""COMPUTED_VALUE"""),"Shah Rukh Khan")</f>
        <v>Shah Rukh Khan</v>
      </c>
      <c r="K2518" s="5" t="str">
        <f>IFERROR(__xludf.DUMMYFUNCTION("""COMPUTED_VALUE"""),"Estrela 1")</f>
        <v>Estrela 1</v>
      </c>
      <c r="P2518" s="5">
        <f>IFERROR(__xludf.DUMMYFUNCTION("""COMPUTED_VALUE"""),630.0)</f>
        <v>630</v>
      </c>
      <c r="Q2518" s="5" t="str">
        <f>IFERROR(__xludf.DUMMYFUNCTION("""COMPUTED_VALUE"""),"Veer-Zaara")</f>
        <v>Veer-Zaara</v>
      </c>
      <c r="R2518" s="5" t="str">
        <f>IFERROR(__xludf.DUMMYFUNCTION("""COMPUTED_VALUE"""),"Shah Rukh Khan")</f>
        <v>Shah Rukh Khan</v>
      </c>
      <c r="S2518" s="5" t="str">
        <f>IFERROR(__xludf.DUMMYFUNCTION("""COMPUTED_VALUE"""),"Estrela 1")</f>
        <v>Estrela 1</v>
      </c>
    </row>
    <row r="2519">
      <c r="G2519" s="5" t="str">
        <f>IFERROR(__xludf.DUMMYFUNCTION("""COMPUTED_VALUE"""),"630🤙🏼Veer-Zaara🤙🏼Preity Zinta🤙🏼Estrela 2")</f>
        <v>630🤙🏼Veer-Zaara🤙🏼Preity Zinta🤙🏼Estrela 2</v>
      </c>
      <c r="H2519" s="5">
        <f>IFERROR(__xludf.DUMMYFUNCTION("SPLiT(G2519, ""🤙🏼"",FALSE,FALSE)"),630.0)</f>
        <v>630</v>
      </c>
      <c r="I2519" s="5" t="str">
        <f>IFERROR(__xludf.DUMMYFUNCTION("""COMPUTED_VALUE"""),"Veer-Zaara")</f>
        <v>Veer-Zaara</v>
      </c>
      <c r="J2519" s="5" t="str">
        <f>IFERROR(__xludf.DUMMYFUNCTION("""COMPUTED_VALUE"""),"Preity Zinta")</f>
        <v>Preity Zinta</v>
      </c>
      <c r="K2519" s="5" t="str">
        <f>IFERROR(__xludf.DUMMYFUNCTION("""COMPUTED_VALUE"""),"Estrela 2")</f>
        <v>Estrela 2</v>
      </c>
      <c r="P2519" s="5">
        <f>IFERROR(__xludf.DUMMYFUNCTION("""COMPUTED_VALUE"""),630.0)</f>
        <v>630</v>
      </c>
      <c r="Q2519" s="5" t="str">
        <f>IFERROR(__xludf.DUMMYFUNCTION("""COMPUTED_VALUE"""),"Veer-Zaara")</f>
        <v>Veer-Zaara</v>
      </c>
      <c r="R2519" s="5" t="str">
        <f>IFERROR(__xludf.DUMMYFUNCTION("""COMPUTED_VALUE"""),"Preity Zinta")</f>
        <v>Preity Zinta</v>
      </c>
      <c r="S2519" s="5" t="str">
        <f>IFERROR(__xludf.DUMMYFUNCTION("""COMPUTED_VALUE"""),"Estrela 2")</f>
        <v>Estrela 2</v>
      </c>
    </row>
    <row r="2520">
      <c r="G2520" s="5" t="str">
        <f>IFERROR(__xludf.DUMMYFUNCTION("""COMPUTED_VALUE"""),"630🤙🏼Veer-Zaara🤙🏼Rani Mukerji🤙🏼Estrela 3")</f>
        <v>630🤙🏼Veer-Zaara🤙🏼Rani Mukerji🤙🏼Estrela 3</v>
      </c>
      <c r="H2520" s="5">
        <f>IFERROR(__xludf.DUMMYFUNCTION("SPLiT(G2520, ""🤙🏼"",FALSE,FALSE)"),630.0)</f>
        <v>630</v>
      </c>
      <c r="I2520" s="5" t="str">
        <f>IFERROR(__xludf.DUMMYFUNCTION("""COMPUTED_VALUE"""),"Veer-Zaara")</f>
        <v>Veer-Zaara</v>
      </c>
      <c r="J2520" s="5" t="str">
        <f>IFERROR(__xludf.DUMMYFUNCTION("""COMPUTED_VALUE"""),"Rani Mukerji")</f>
        <v>Rani Mukerji</v>
      </c>
      <c r="K2520" s="5" t="str">
        <f>IFERROR(__xludf.DUMMYFUNCTION("""COMPUTED_VALUE"""),"Estrela 3")</f>
        <v>Estrela 3</v>
      </c>
      <c r="P2520" s="5">
        <f>IFERROR(__xludf.DUMMYFUNCTION("""COMPUTED_VALUE"""),630.0)</f>
        <v>630</v>
      </c>
      <c r="Q2520" s="5" t="str">
        <f>IFERROR(__xludf.DUMMYFUNCTION("""COMPUTED_VALUE"""),"Veer-Zaara")</f>
        <v>Veer-Zaara</v>
      </c>
      <c r="R2520" s="5" t="str">
        <f>IFERROR(__xludf.DUMMYFUNCTION("""COMPUTED_VALUE"""),"Rani Mukerji")</f>
        <v>Rani Mukerji</v>
      </c>
      <c r="S2520" s="5" t="str">
        <f>IFERROR(__xludf.DUMMYFUNCTION("""COMPUTED_VALUE"""),"Estrela 3")</f>
        <v>Estrela 3</v>
      </c>
    </row>
    <row r="2521">
      <c r="G2521" s="5" t="str">
        <f>IFERROR(__xludf.DUMMYFUNCTION("""COMPUTED_VALUE"""),"630🤙🏼Veer-Zaara🤙🏼Kirron Kher🤙🏼Estrela 4")</f>
        <v>630🤙🏼Veer-Zaara🤙🏼Kirron Kher🤙🏼Estrela 4</v>
      </c>
      <c r="H2521" s="5">
        <f>IFERROR(__xludf.DUMMYFUNCTION("SPLiT(G2521, ""🤙🏼"",FALSE,FALSE)"),630.0)</f>
        <v>630</v>
      </c>
      <c r="I2521" s="5" t="str">
        <f>IFERROR(__xludf.DUMMYFUNCTION("""COMPUTED_VALUE"""),"Veer-Zaara")</f>
        <v>Veer-Zaara</v>
      </c>
      <c r="J2521" s="5" t="str">
        <f>IFERROR(__xludf.DUMMYFUNCTION("""COMPUTED_VALUE"""),"Kirron Kher")</f>
        <v>Kirron Kher</v>
      </c>
      <c r="K2521" s="5" t="str">
        <f>IFERROR(__xludf.DUMMYFUNCTION("""COMPUTED_VALUE"""),"Estrela 4")</f>
        <v>Estrela 4</v>
      </c>
      <c r="P2521" s="5">
        <f>IFERROR(__xludf.DUMMYFUNCTION("""COMPUTED_VALUE"""),630.0)</f>
        <v>630</v>
      </c>
      <c r="Q2521" s="5" t="str">
        <f>IFERROR(__xludf.DUMMYFUNCTION("""COMPUTED_VALUE"""),"Veer-Zaara")</f>
        <v>Veer-Zaara</v>
      </c>
      <c r="R2521" s="5" t="str">
        <f>IFERROR(__xludf.DUMMYFUNCTION("""COMPUTED_VALUE"""),"Kirron Kher")</f>
        <v>Kirron Kher</v>
      </c>
      <c r="S2521" s="5" t="str">
        <f>IFERROR(__xludf.DUMMYFUNCTION("""COMPUTED_VALUE"""),"Estrela 4")</f>
        <v>Estrela 4</v>
      </c>
    </row>
    <row r="2522">
      <c r="G2522" s="5" t="str">
        <f>IFERROR(__xludf.DUMMYFUNCTION("""COMPUTED_VALUE"""),"631🤙🏼Adams æbler🤙🏼Ulrich Thomsen🤙🏼Estrela 1")</f>
        <v>631🤙🏼Adams æbler🤙🏼Ulrich Thomsen🤙🏼Estrela 1</v>
      </c>
      <c r="H2522" s="5">
        <f>IFERROR(__xludf.DUMMYFUNCTION("SPLiT(G2522, ""🤙🏼"",FALSE,FALSE)"),631.0)</f>
        <v>631</v>
      </c>
      <c r="I2522" s="5" t="str">
        <f>IFERROR(__xludf.DUMMYFUNCTION("""COMPUTED_VALUE"""),"Adams æbler")</f>
        <v>Adams æbler</v>
      </c>
      <c r="J2522" s="5" t="str">
        <f>IFERROR(__xludf.DUMMYFUNCTION("""COMPUTED_VALUE"""),"Ulrich Thomsen")</f>
        <v>Ulrich Thomsen</v>
      </c>
      <c r="K2522" s="5" t="str">
        <f>IFERROR(__xludf.DUMMYFUNCTION("""COMPUTED_VALUE"""),"Estrela 1")</f>
        <v>Estrela 1</v>
      </c>
      <c r="P2522" s="5">
        <f>IFERROR(__xludf.DUMMYFUNCTION("""COMPUTED_VALUE"""),631.0)</f>
        <v>631</v>
      </c>
      <c r="Q2522" s="5" t="str">
        <f>IFERROR(__xludf.DUMMYFUNCTION("""COMPUTED_VALUE"""),"Adams æbler")</f>
        <v>Adams æbler</v>
      </c>
      <c r="R2522" s="5" t="str">
        <f>IFERROR(__xludf.DUMMYFUNCTION("""COMPUTED_VALUE"""),"Ulrich Thomsen")</f>
        <v>Ulrich Thomsen</v>
      </c>
      <c r="S2522" s="5" t="str">
        <f>IFERROR(__xludf.DUMMYFUNCTION("""COMPUTED_VALUE"""),"Estrela 1")</f>
        <v>Estrela 1</v>
      </c>
    </row>
    <row r="2523">
      <c r="G2523" s="5" t="str">
        <f>IFERROR(__xludf.DUMMYFUNCTION("""COMPUTED_VALUE"""),"631🤙🏼Adams æbler🤙🏼Mads Mikkelsen🤙🏼Estrela 2")</f>
        <v>631🤙🏼Adams æbler🤙🏼Mads Mikkelsen🤙🏼Estrela 2</v>
      </c>
      <c r="H2523" s="5">
        <f>IFERROR(__xludf.DUMMYFUNCTION("SPLiT(G2523, ""🤙🏼"",FALSE,FALSE)"),631.0)</f>
        <v>631</v>
      </c>
      <c r="I2523" s="5" t="str">
        <f>IFERROR(__xludf.DUMMYFUNCTION("""COMPUTED_VALUE"""),"Adams æbler")</f>
        <v>Adams æbler</v>
      </c>
      <c r="J2523" s="5" t="str">
        <f>IFERROR(__xludf.DUMMYFUNCTION("""COMPUTED_VALUE"""),"Mads Mikkelsen")</f>
        <v>Mads Mikkelsen</v>
      </c>
      <c r="K2523" s="5" t="str">
        <f>IFERROR(__xludf.DUMMYFUNCTION("""COMPUTED_VALUE"""),"Estrela 2")</f>
        <v>Estrela 2</v>
      </c>
      <c r="P2523" s="5">
        <f>IFERROR(__xludf.DUMMYFUNCTION("""COMPUTED_VALUE"""),631.0)</f>
        <v>631</v>
      </c>
      <c r="Q2523" s="5" t="str">
        <f>IFERROR(__xludf.DUMMYFUNCTION("""COMPUTED_VALUE"""),"Adams æbler")</f>
        <v>Adams æbler</v>
      </c>
      <c r="R2523" s="5" t="str">
        <f>IFERROR(__xludf.DUMMYFUNCTION("""COMPUTED_VALUE"""),"Mads Mikkelsen")</f>
        <v>Mads Mikkelsen</v>
      </c>
      <c r="S2523" s="5" t="str">
        <f>IFERROR(__xludf.DUMMYFUNCTION("""COMPUTED_VALUE"""),"Estrela 2")</f>
        <v>Estrela 2</v>
      </c>
    </row>
    <row r="2524">
      <c r="G2524" s="5" t="str">
        <f>IFERROR(__xludf.DUMMYFUNCTION("""COMPUTED_VALUE"""),"631🤙🏼Adams æbler🤙🏼Nicolas Bro🤙🏼Estrela 3")</f>
        <v>631🤙🏼Adams æbler🤙🏼Nicolas Bro🤙🏼Estrela 3</v>
      </c>
      <c r="H2524" s="5">
        <f>IFERROR(__xludf.DUMMYFUNCTION("SPLiT(G2524, ""🤙🏼"",FALSE,FALSE)"),631.0)</f>
        <v>631</v>
      </c>
      <c r="I2524" s="5" t="str">
        <f>IFERROR(__xludf.DUMMYFUNCTION("""COMPUTED_VALUE"""),"Adams æbler")</f>
        <v>Adams æbler</v>
      </c>
      <c r="J2524" s="5" t="str">
        <f>IFERROR(__xludf.DUMMYFUNCTION("""COMPUTED_VALUE"""),"Nicolas Bro")</f>
        <v>Nicolas Bro</v>
      </c>
      <c r="K2524" s="5" t="str">
        <f>IFERROR(__xludf.DUMMYFUNCTION("""COMPUTED_VALUE"""),"Estrela 3")</f>
        <v>Estrela 3</v>
      </c>
      <c r="P2524" s="5">
        <f>IFERROR(__xludf.DUMMYFUNCTION("""COMPUTED_VALUE"""),631.0)</f>
        <v>631</v>
      </c>
      <c r="Q2524" s="5" t="str">
        <f>IFERROR(__xludf.DUMMYFUNCTION("""COMPUTED_VALUE"""),"Adams æbler")</f>
        <v>Adams æbler</v>
      </c>
      <c r="R2524" s="5" t="str">
        <f>IFERROR(__xludf.DUMMYFUNCTION("""COMPUTED_VALUE"""),"Nicolas Bro")</f>
        <v>Nicolas Bro</v>
      </c>
      <c r="S2524" s="5" t="str">
        <f>IFERROR(__xludf.DUMMYFUNCTION("""COMPUTED_VALUE"""),"Estrela 3")</f>
        <v>Estrela 3</v>
      </c>
    </row>
    <row r="2525">
      <c r="G2525" s="5" t="str">
        <f>IFERROR(__xludf.DUMMYFUNCTION("""COMPUTED_VALUE"""),"631🤙🏼Adams æbler🤙🏼Paprika Steen🤙🏼Estrela 4")</f>
        <v>631🤙🏼Adams æbler🤙🏼Paprika Steen🤙🏼Estrela 4</v>
      </c>
      <c r="H2525" s="5">
        <f>IFERROR(__xludf.DUMMYFUNCTION("SPLiT(G2525, ""🤙🏼"",FALSE,FALSE)"),631.0)</f>
        <v>631</v>
      </c>
      <c r="I2525" s="5" t="str">
        <f>IFERROR(__xludf.DUMMYFUNCTION("""COMPUTED_VALUE"""),"Adams æbler")</f>
        <v>Adams æbler</v>
      </c>
      <c r="J2525" s="5" t="str">
        <f>IFERROR(__xludf.DUMMYFUNCTION("""COMPUTED_VALUE"""),"Paprika Steen")</f>
        <v>Paprika Steen</v>
      </c>
      <c r="K2525" s="5" t="str">
        <f>IFERROR(__xludf.DUMMYFUNCTION("""COMPUTED_VALUE"""),"Estrela 4")</f>
        <v>Estrela 4</v>
      </c>
      <c r="P2525" s="5">
        <f>IFERROR(__xludf.DUMMYFUNCTION("""COMPUTED_VALUE"""),631.0)</f>
        <v>631</v>
      </c>
      <c r="Q2525" s="5" t="str">
        <f>IFERROR(__xludf.DUMMYFUNCTION("""COMPUTED_VALUE"""),"Adams æbler")</f>
        <v>Adams æbler</v>
      </c>
      <c r="R2525" s="5" t="str">
        <f>IFERROR(__xludf.DUMMYFUNCTION("""COMPUTED_VALUE"""),"Paprika Steen")</f>
        <v>Paprika Steen</v>
      </c>
      <c r="S2525" s="5" t="str">
        <f>IFERROR(__xludf.DUMMYFUNCTION("""COMPUTED_VALUE"""),"Estrela 4")</f>
        <v>Estrela 4</v>
      </c>
    </row>
    <row r="2526">
      <c r="G2526" s="5" t="str">
        <f>IFERROR(__xludf.DUMMYFUNCTION("""COMPUTED_VALUE"""),"632🤙🏼Pride &amp; Prejudice🤙🏼Keira Knightley🤙🏼Estrela 1")</f>
        <v>632🤙🏼Pride &amp; Prejudice🤙🏼Keira Knightley🤙🏼Estrela 1</v>
      </c>
      <c r="H2526" s="5">
        <f>IFERROR(__xludf.DUMMYFUNCTION("SPLiT(G2526, ""🤙🏼"",FALSE,FALSE)"),632.0)</f>
        <v>632</v>
      </c>
      <c r="I2526" s="5" t="str">
        <f>IFERROR(__xludf.DUMMYFUNCTION("""COMPUTED_VALUE"""),"Pride &amp; Prejudice")</f>
        <v>Pride &amp; Prejudice</v>
      </c>
      <c r="J2526" s="5" t="str">
        <f>IFERROR(__xludf.DUMMYFUNCTION("""COMPUTED_VALUE"""),"Keira Knightley")</f>
        <v>Keira Knightley</v>
      </c>
      <c r="K2526" s="5" t="str">
        <f>IFERROR(__xludf.DUMMYFUNCTION("""COMPUTED_VALUE"""),"Estrela 1")</f>
        <v>Estrela 1</v>
      </c>
      <c r="P2526" s="5">
        <f>IFERROR(__xludf.DUMMYFUNCTION("""COMPUTED_VALUE"""),632.0)</f>
        <v>632</v>
      </c>
      <c r="Q2526" s="5" t="str">
        <f>IFERROR(__xludf.DUMMYFUNCTION("""COMPUTED_VALUE"""),"Pride &amp; Prejudice")</f>
        <v>Pride &amp; Prejudice</v>
      </c>
      <c r="R2526" s="5" t="str">
        <f>IFERROR(__xludf.DUMMYFUNCTION("""COMPUTED_VALUE"""),"Keira Knightley")</f>
        <v>Keira Knightley</v>
      </c>
      <c r="S2526" s="5" t="str">
        <f>IFERROR(__xludf.DUMMYFUNCTION("""COMPUTED_VALUE"""),"Estrela 1")</f>
        <v>Estrela 1</v>
      </c>
    </row>
    <row r="2527">
      <c r="G2527" s="5" t="str">
        <f>IFERROR(__xludf.DUMMYFUNCTION("""COMPUTED_VALUE"""),"632🤙🏼Pride &amp; Prejudice🤙🏼Matthew Macfadyen🤙🏼Estrela 2")</f>
        <v>632🤙🏼Pride &amp; Prejudice🤙🏼Matthew Macfadyen🤙🏼Estrela 2</v>
      </c>
      <c r="H2527" s="5">
        <f>IFERROR(__xludf.DUMMYFUNCTION("SPLiT(G2527, ""🤙🏼"",FALSE,FALSE)"),632.0)</f>
        <v>632</v>
      </c>
      <c r="I2527" s="5" t="str">
        <f>IFERROR(__xludf.DUMMYFUNCTION("""COMPUTED_VALUE"""),"Pride &amp; Prejudice")</f>
        <v>Pride &amp; Prejudice</v>
      </c>
      <c r="J2527" s="5" t="str">
        <f>IFERROR(__xludf.DUMMYFUNCTION("""COMPUTED_VALUE"""),"Matthew Macfadyen")</f>
        <v>Matthew Macfadyen</v>
      </c>
      <c r="K2527" s="5" t="str">
        <f>IFERROR(__xludf.DUMMYFUNCTION("""COMPUTED_VALUE"""),"Estrela 2")</f>
        <v>Estrela 2</v>
      </c>
      <c r="P2527" s="5">
        <f>IFERROR(__xludf.DUMMYFUNCTION("""COMPUTED_VALUE"""),632.0)</f>
        <v>632</v>
      </c>
      <c r="Q2527" s="5" t="str">
        <f>IFERROR(__xludf.DUMMYFUNCTION("""COMPUTED_VALUE"""),"Pride &amp; Prejudice")</f>
        <v>Pride &amp; Prejudice</v>
      </c>
      <c r="R2527" s="5" t="str">
        <f>IFERROR(__xludf.DUMMYFUNCTION("""COMPUTED_VALUE"""),"Matthew Macfadyen")</f>
        <v>Matthew Macfadyen</v>
      </c>
      <c r="S2527" s="5" t="str">
        <f>IFERROR(__xludf.DUMMYFUNCTION("""COMPUTED_VALUE"""),"Estrela 2")</f>
        <v>Estrela 2</v>
      </c>
    </row>
    <row r="2528">
      <c r="G2528" s="5" t="str">
        <f>IFERROR(__xludf.DUMMYFUNCTION("""COMPUTED_VALUE"""),"632🤙🏼Pride &amp; Prejudice🤙🏼Brenda Blethyn🤙🏼Estrela 3")</f>
        <v>632🤙🏼Pride &amp; Prejudice🤙🏼Brenda Blethyn🤙🏼Estrela 3</v>
      </c>
      <c r="H2528" s="5">
        <f>IFERROR(__xludf.DUMMYFUNCTION("SPLiT(G2528, ""🤙🏼"",FALSE,FALSE)"),632.0)</f>
        <v>632</v>
      </c>
      <c r="I2528" s="5" t="str">
        <f>IFERROR(__xludf.DUMMYFUNCTION("""COMPUTED_VALUE"""),"Pride &amp; Prejudice")</f>
        <v>Pride &amp; Prejudice</v>
      </c>
      <c r="J2528" s="5" t="str">
        <f>IFERROR(__xludf.DUMMYFUNCTION("""COMPUTED_VALUE"""),"Brenda Blethyn")</f>
        <v>Brenda Blethyn</v>
      </c>
      <c r="K2528" s="5" t="str">
        <f>IFERROR(__xludf.DUMMYFUNCTION("""COMPUTED_VALUE"""),"Estrela 3")</f>
        <v>Estrela 3</v>
      </c>
      <c r="P2528" s="5">
        <f>IFERROR(__xludf.DUMMYFUNCTION("""COMPUTED_VALUE"""),632.0)</f>
        <v>632</v>
      </c>
      <c r="Q2528" s="5" t="str">
        <f>IFERROR(__xludf.DUMMYFUNCTION("""COMPUTED_VALUE"""),"Pride &amp; Prejudice")</f>
        <v>Pride &amp; Prejudice</v>
      </c>
      <c r="R2528" s="5" t="str">
        <f>IFERROR(__xludf.DUMMYFUNCTION("""COMPUTED_VALUE"""),"Brenda Blethyn")</f>
        <v>Brenda Blethyn</v>
      </c>
      <c r="S2528" s="5" t="str">
        <f>IFERROR(__xludf.DUMMYFUNCTION("""COMPUTED_VALUE"""),"Estrela 3")</f>
        <v>Estrela 3</v>
      </c>
    </row>
    <row r="2529">
      <c r="G2529" s="5" t="str">
        <f>IFERROR(__xludf.DUMMYFUNCTION("""COMPUTED_VALUE"""),"632🤙🏼Pride &amp; Prejudice🤙🏼Donald Sutherland🤙🏼Estrela 4")</f>
        <v>632🤙🏼Pride &amp; Prejudice🤙🏼Donald Sutherland🤙🏼Estrela 4</v>
      </c>
      <c r="H2529" s="5">
        <f>IFERROR(__xludf.DUMMYFUNCTION("SPLiT(G2529, ""🤙🏼"",FALSE,FALSE)"),632.0)</f>
        <v>632</v>
      </c>
      <c r="I2529" s="5" t="str">
        <f>IFERROR(__xludf.DUMMYFUNCTION("""COMPUTED_VALUE"""),"Pride &amp; Prejudice")</f>
        <v>Pride &amp; Prejudice</v>
      </c>
      <c r="J2529" s="5" t="str">
        <f>IFERROR(__xludf.DUMMYFUNCTION("""COMPUTED_VALUE"""),"Donald Sutherland")</f>
        <v>Donald Sutherland</v>
      </c>
      <c r="K2529" s="5" t="str">
        <f>IFERROR(__xludf.DUMMYFUNCTION("""COMPUTED_VALUE"""),"Estrela 4")</f>
        <v>Estrela 4</v>
      </c>
      <c r="P2529" s="5">
        <f>IFERROR(__xludf.DUMMYFUNCTION("""COMPUTED_VALUE"""),632.0)</f>
        <v>632</v>
      </c>
      <c r="Q2529" s="5" t="str">
        <f>IFERROR(__xludf.DUMMYFUNCTION("""COMPUTED_VALUE"""),"Pride &amp; Prejudice")</f>
        <v>Pride &amp; Prejudice</v>
      </c>
      <c r="R2529" s="5" t="str">
        <f>IFERROR(__xludf.DUMMYFUNCTION("""COMPUTED_VALUE"""),"Donald Sutherland")</f>
        <v>Donald Sutherland</v>
      </c>
      <c r="S2529" s="5" t="str">
        <f>IFERROR(__xludf.DUMMYFUNCTION("""COMPUTED_VALUE"""),"Estrela 4")</f>
        <v>Estrela 4</v>
      </c>
    </row>
    <row r="2530">
      <c r="G2530" s="5" t="str">
        <f>IFERROR(__xludf.DUMMYFUNCTION("""COMPUTED_VALUE"""),"633🤙🏼The World's Fastest Indian🤙🏼Anthony Hopkins🤙🏼Estrela 1")</f>
        <v>633🤙🏼The World's Fastest Indian🤙🏼Anthony Hopkins🤙🏼Estrela 1</v>
      </c>
      <c r="H2530" s="5">
        <f>IFERROR(__xludf.DUMMYFUNCTION("SPLiT(G2530, ""🤙🏼"",FALSE,FALSE)"),633.0)</f>
        <v>633</v>
      </c>
      <c r="I2530" s="5" t="str">
        <f>IFERROR(__xludf.DUMMYFUNCTION("""COMPUTED_VALUE"""),"The World's Fastest Indian")</f>
        <v>The World's Fastest Indian</v>
      </c>
      <c r="J2530" s="5" t="str">
        <f>IFERROR(__xludf.DUMMYFUNCTION("""COMPUTED_VALUE"""),"Anthony Hopkins")</f>
        <v>Anthony Hopkins</v>
      </c>
      <c r="K2530" s="5" t="str">
        <f>IFERROR(__xludf.DUMMYFUNCTION("""COMPUTED_VALUE"""),"Estrela 1")</f>
        <v>Estrela 1</v>
      </c>
      <c r="P2530" s="5">
        <f>IFERROR(__xludf.DUMMYFUNCTION("""COMPUTED_VALUE"""),633.0)</f>
        <v>633</v>
      </c>
      <c r="Q2530" s="5" t="str">
        <f>IFERROR(__xludf.DUMMYFUNCTION("""COMPUTED_VALUE"""),"The World's Fastest Indian")</f>
        <v>The World's Fastest Indian</v>
      </c>
      <c r="R2530" s="5" t="str">
        <f>IFERROR(__xludf.DUMMYFUNCTION("""COMPUTED_VALUE"""),"Anthony Hopkins")</f>
        <v>Anthony Hopkins</v>
      </c>
      <c r="S2530" s="5" t="str">
        <f>IFERROR(__xludf.DUMMYFUNCTION("""COMPUTED_VALUE"""),"Estrela 1")</f>
        <v>Estrela 1</v>
      </c>
    </row>
    <row r="2531">
      <c r="G2531" s="5" t="str">
        <f>IFERROR(__xludf.DUMMYFUNCTION("""COMPUTED_VALUE"""),"633🤙🏼The World's Fastest Indian🤙🏼Diane Ladd🤙🏼Estrela 2")</f>
        <v>633🤙🏼The World's Fastest Indian🤙🏼Diane Ladd🤙🏼Estrela 2</v>
      </c>
      <c r="H2531" s="5">
        <f>IFERROR(__xludf.DUMMYFUNCTION("SPLiT(G2531, ""🤙🏼"",FALSE,FALSE)"),633.0)</f>
        <v>633</v>
      </c>
      <c r="I2531" s="5" t="str">
        <f>IFERROR(__xludf.DUMMYFUNCTION("""COMPUTED_VALUE"""),"The World's Fastest Indian")</f>
        <v>The World's Fastest Indian</v>
      </c>
      <c r="J2531" s="5" t="str">
        <f>IFERROR(__xludf.DUMMYFUNCTION("""COMPUTED_VALUE"""),"Diane Ladd")</f>
        <v>Diane Ladd</v>
      </c>
      <c r="K2531" s="5" t="str">
        <f>IFERROR(__xludf.DUMMYFUNCTION("""COMPUTED_VALUE"""),"Estrela 2")</f>
        <v>Estrela 2</v>
      </c>
      <c r="P2531" s="5">
        <f>IFERROR(__xludf.DUMMYFUNCTION("""COMPUTED_VALUE"""),633.0)</f>
        <v>633</v>
      </c>
      <c r="Q2531" s="5" t="str">
        <f>IFERROR(__xludf.DUMMYFUNCTION("""COMPUTED_VALUE"""),"The World's Fastest Indian")</f>
        <v>The World's Fastest Indian</v>
      </c>
      <c r="R2531" s="5" t="str">
        <f>IFERROR(__xludf.DUMMYFUNCTION("""COMPUTED_VALUE"""),"Diane Ladd")</f>
        <v>Diane Ladd</v>
      </c>
      <c r="S2531" s="5" t="str">
        <f>IFERROR(__xludf.DUMMYFUNCTION("""COMPUTED_VALUE"""),"Estrela 2")</f>
        <v>Estrela 2</v>
      </c>
    </row>
    <row r="2532">
      <c r="G2532" s="5" t="str">
        <f>IFERROR(__xludf.DUMMYFUNCTION("""COMPUTED_VALUE"""),"633🤙🏼The World's Fastest Indian🤙🏼Iain Rea🤙🏼Estrela 3")</f>
        <v>633🤙🏼The World's Fastest Indian🤙🏼Iain Rea🤙🏼Estrela 3</v>
      </c>
      <c r="H2532" s="5">
        <f>IFERROR(__xludf.DUMMYFUNCTION("SPLiT(G2532, ""🤙🏼"",FALSE,FALSE)"),633.0)</f>
        <v>633</v>
      </c>
      <c r="I2532" s="5" t="str">
        <f>IFERROR(__xludf.DUMMYFUNCTION("""COMPUTED_VALUE"""),"The World's Fastest Indian")</f>
        <v>The World's Fastest Indian</v>
      </c>
      <c r="J2532" s="5" t="str">
        <f>IFERROR(__xludf.DUMMYFUNCTION("""COMPUTED_VALUE"""),"Iain Rea")</f>
        <v>Iain Rea</v>
      </c>
      <c r="K2532" s="5" t="str">
        <f>IFERROR(__xludf.DUMMYFUNCTION("""COMPUTED_VALUE"""),"Estrela 3")</f>
        <v>Estrela 3</v>
      </c>
      <c r="P2532" s="5">
        <f>IFERROR(__xludf.DUMMYFUNCTION("""COMPUTED_VALUE"""),633.0)</f>
        <v>633</v>
      </c>
      <c r="Q2532" s="5" t="str">
        <f>IFERROR(__xludf.DUMMYFUNCTION("""COMPUTED_VALUE"""),"The World's Fastest Indian")</f>
        <v>The World's Fastest Indian</v>
      </c>
      <c r="R2532" s="5" t="str">
        <f>IFERROR(__xludf.DUMMYFUNCTION("""COMPUTED_VALUE"""),"Iain Rea")</f>
        <v>Iain Rea</v>
      </c>
      <c r="S2532" s="5" t="str">
        <f>IFERROR(__xludf.DUMMYFUNCTION("""COMPUTED_VALUE"""),"Estrela 3")</f>
        <v>Estrela 3</v>
      </c>
    </row>
    <row r="2533">
      <c r="G2533" s="5" t="str">
        <f>IFERROR(__xludf.DUMMYFUNCTION("""COMPUTED_VALUE"""),"633🤙🏼The World's Fastest Indian🤙🏼Tessa Mitchell🤙🏼Estrela 4")</f>
        <v>633🤙🏼The World's Fastest Indian🤙🏼Tessa Mitchell🤙🏼Estrela 4</v>
      </c>
      <c r="H2533" s="5">
        <f>IFERROR(__xludf.DUMMYFUNCTION("SPLiT(G2533, ""🤙🏼"",FALSE,FALSE)"),633.0)</f>
        <v>633</v>
      </c>
      <c r="I2533" s="5" t="str">
        <f>IFERROR(__xludf.DUMMYFUNCTION("""COMPUTED_VALUE"""),"The World's Fastest Indian")</f>
        <v>The World's Fastest Indian</v>
      </c>
      <c r="J2533" s="5" t="str">
        <f>IFERROR(__xludf.DUMMYFUNCTION("""COMPUTED_VALUE"""),"Tessa Mitchell")</f>
        <v>Tessa Mitchell</v>
      </c>
      <c r="K2533" s="5" t="str">
        <f>IFERROR(__xludf.DUMMYFUNCTION("""COMPUTED_VALUE"""),"Estrela 4")</f>
        <v>Estrela 4</v>
      </c>
      <c r="P2533" s="5">
        <f>IFERROR(__xludf.DUMMYFUNCTION("""COMPUTED_VALUE"""),633.0)</f>
        <v>633</v>
      </c>
      <c r="Q2533" s="5" t="str">
        <f>IFERROR(__xludf.DUMMYFUNCTION("""COMPUTED_VALUE"""),"The World's Fastest Indian")</f>
        <v>The World's Fastest Indian</v>
      </c>
      <c r="R2533" s="5" t="str">
        <f>IFERROR(__xludf.DUMMYFUNCTION("""COMPUTED_VALUE"""),"Tessa Mitchell")</f>
        <v>Tessa Mitchell</v>
      </c>
      <c r="S2533" s="5" t="str">
        <f>IFERROR(__xludf.DUMMYFUNCTION("""COMPUTED_VALUE"""),"Estrela 4")</f>
        <v>Estrela 4</v>
      </c>
    </row>
    <row r="2534">
      <c r="G2534" s="5" t="str">
        <f>IFERROR(__xludf.DUMMYFUNCTION("""COMPUTED_VALUE"""),"634🤙🏼Tôkyô goddofâzâzu🤙🏼Shôgo Furuya🤙🏼Estrela 1")</f>
        <v>634🤙🏼Tôkyô goddofâzâzu🤙🏼Shôgo Furuya🤙🏼Estrela 1</v>
      </c>
      <c r="H2534" s="5">
        <f>IFERROR(__xludf.DUMMYFUNCTION("SPLiT(G2534, ""🤙🏼"",FALSE,FALSE)"),634.0)</f>
        <v>634</v>
      </c>
      <c r="I2534" s="5" t="str">
        <f>IFERROR(__xludf.DUMMYFUNCTION("""COMPUTED_VALUE"""),"Tôkyô goddofâzâzu")</f>
        <v>Tôkyô goddofâzâzu</v>
      </c>
      <c r="J2534" s="5" t="str">
        <f>IFERROR(__xludf.DUMMYFUNCTION("""COMPUTED_VALUE"""),"Shôgo Furuya")</f>
        <v>Shôgo Furuya</v>
      </c>
      <c r="K2534" s="5" t="str">
        <f>IFERROR(__xludf.DUMMYFUNCTION("""COMPUTED_VALUE"""),"Estrela 1")</f>
        <v>Estrela 1</v>
      </c>
      <c r="P2534" s="5">
        <f>IFERROR(__xludf.DUMMYFUNCTION("""COMPUTED_VALUE"""),634.0)</f>
        <v>634</v>
      </c>
      <c r="Q2534" s="5" t="str">
        <f>IFERROR(__xludf.DUMMYFUNCTION("""COMPUTED_VALUE"""),"Tôkyô goddofâzâzu")</f>
        <v>Tôkyô goddofâzâzu</v>
      </c>
      <c r="R2534" s="5" t="str">
        <f>IFERROR(__xludf.DUMMYFUNCTION("""COMPUTED_VALUE"""),"Shôgo Furuya")</f>
        <v>Shôgo Furuya</v>
      </c>
      <c r="S2534" s="5" t="str">
        <f>IFERROR(__xludf.DUMMYFUNCTION("""COMPUTED_VALUE"""),"Estrela 1")</f>
        <v>Estrela 1</v>
      </c>
    </row>
    <row r="2535">
      <c r="G2535" s="5" t="str">
        <f>IFERROR(__xludf.DUMMYFUNCTION("""COMPUTED_VALUE"""),"634🤙🏼Tôkyô goddofâzâzu🤙🏼Tôru Emori🤙🏼Estrela 2")</f>
        <v>634🤙🏼Tôkyô goddofâzâzu🤙🏼Tôru Emori🤙🏼Estrela 2</v>
      </c>
      <c r="H2535" s="5">
        <f>IFERROR(__xludf.DUMMYFUNCTION("SPLiT(G2535, ""🤙🏼"",FALSE,FALSE)"),634.0)</f>
        <v>634</v>
      </c>
      <c r="I2535" s="5" t="str">
        <f>IFERROR(__xludf.DUMMYFUNCTION("""COMPUTED_VALUE"""),"Tôkyô goddofâzâzu")</f>
        <v>Tôkyô goddofâzâzu</v>
      </c>
      <c r="J2535" s="5" t="str">
        <f>IFERROR(__xludf.DUMMYFUNCTION("""COMPUTED_VALUE"""),"Tôru Emori")</f>
        <v>Tôru Emori</v>
      </c>
      <c r="K2535" s="5" t="str">
        <f>IFERROR(__xludf.DUMMYFUNCTION("""COMPUTED_VALUE"""),"Estrela 2")</f>
        <v>Estrela 2</v>
      </c>
      <c r="P2535" s="5">
        <f>IFERROR(__xludf.DUMMYFUNCTION("""COMPUTED_VALUE"""),634.0)</f>
        <v>634</v>
      </c>
      <c r="Q2535" s="5" t="str">
        <f>IFERROR(__xludf.DUMMYFUNCTION("""COMPUTED_VALUE"""),"Tôkyô goddofâzâzu")</f>
        <v>Tôkyô goddofâzâzu</v>
      </c>
      <c r="R2535" s="5" t="str">
        <f>IFERROR(__xludf.DUMMYFUNCTION("""COMPUTED_VALUE"""),"Tôru Emori")</f>
        <v>Tôru Emori</v>
      </c>
      <c r="S2535" s="5" t="str">
        <f>IFERROR(__xludf.DUMMYFUNCTION("""COMPUTED_VALUE"""),"Estrela 2")</f>
        <v>Estrela 2</v>
      </c>
    </row>
    <row r="2536">
      <c r="G2536" s="5" t="str">
        <f>IFERROR(__xludf.DUMMYFUNCTION("""COMPUTED_VALUE"""),"634🤙🏼Tôkyô goddofâzâzu🤙🏼Yoshiaki Umegaki🤙🏼Estrela 3")</f>
        <v>634🤙🏼Tôkyô goddofâzâzu🤙🏼Yoshiaki Umegaki🤙🏼Estrela 3</v>
      </c>
      <c r="H2536" s="5">
        <f>IFERROR(__xludf.DUMMYFUNCTION("SPLiT(G2536, ""🤙🏼"",FALSE,FALSE)"),634.0)</f>
        <v>634</v>
      </c>
      <c r="I2536" s="5" t="str">
        <f>IFERROR(__xludf.DUMMYFUNCTION("""COMPUTED_VALUE"""),"Tôkyô goddofâzâzu")</f>
        <v>Tôkyô goddofâzâzu</v>
      </c>
      <c r="J2536" s="5" t="str">
        <f>IFERROR(__xludf.DUMMYFUNCTION("""COMPUTED_VALUE"""),"Yoshiaki Umegaki")</f>
        <v>Yoshiaki Umegaki</v>
      </c>
      <c r="K2536" s="5" t="str">
        <f>IFERROR(__xludf.DUMMYFUNCTION("""COMPUTED_VALUE"""),"Estrela 3")</f>
        <v>Estrela 3</v>
      </c>
      <c r="P2536" s="5">
        <f>IFERROR(__xludf.DUMMYFUNCTION("""COMPUTED_VALUE"""),634.0)</f>
        <v>634</v>
      </c>
      <c r="Q2536" s="5" t="str">
        <f>IFERROR(__xludf.DUMMYFUNCTION("""COMPUTED_VALUE"""),"Tôkyô goddofâzâzu")</f>
        <v>Tôkyô goddofâzâzu</v>
      </c>
      <c r="R2536" s="5" t="str">
        <f>IFERROR(__xludf.DUMMYFUNCTION("""COMPUTED_VALUE"""),"Yoshiaki Umegaki")</f>
        <v>Yoshiaki Umegaki</v>
      </c>
      <c r="S2536" s="5" t="str">
        <f>IFERROR(__xludf.DUMMYFUNCTION("""COMPUTED_VALUE"""),"Estrela 3")</f>
        <v>Estrela 3</v>
      </c>
    </row>
    <row r="2537">
      <c r="G2537" s="5" t="str">
        <f>IFERROR(__xludf.DUMMYFUNCTION("""COMPUTED_VALUE"""),"634🤙🏼Tôkyô goddofâzâzu🤙🏼Aya Okamoto🤙🏼Estrela 4")</f>
        <v>634🤙🏼Tôkyô goddofâzâzu🤙🏼Aya Okamoto🤙🏼Estrela 4</v>
      </c>
      <c r="H2537" s="5">
        <f>IFERROR(__xludf.DUMMYFUNCTION("SPLiT(G2537, ""🤙🏼"",FALSE,FALSE)"),634.0)</f>
        <v>634</v>
      </c>
      <c r="I2537" s="5" t="str">
        <f>IFERROR(__xludf.DUMMYFUNCTION("""COMPUTED_VALUE"""),"Tôkyô goddofâzâzu")</f>
        <v>Tôkyô goddofâzâzu</v>
      </c>
      <c r="J2537" s="5" t="str">
        <f>IFERROR(__xludf.DUMMYFUNCTION("""COMPUTED_VALUE"""),"Aya Okamoto")</f>
        <v>Aya Okamoto</v>
      </c>
      <c r="K2537" s="5" t="str">
        <f>IFERROR(__xludf.DUMMYFUNCTION("""COMPUTED_VALUE"""),"Estrela 4")</f>
        <v>Estrela 4</v>
      </c>
      <c r="P2537" s="5">
        <f>IFERROR(__xludf.DUMMYFUNCTION("""COMPUTED_VALUE"""),634.0)</f>
        <v>634</v>
      </c>
      <c r="Q2537" s="5" t="str">
        <f>IFERROR(__xludf.DUMMYFUNCTION("""COMPUTED_VALUE"""),"Tôkyô goddofâzâzu")</f>
        <v>Tôkyô goddofâzâzu</v>
      </c>
      <c r="R2537" s="5" t="str">
        <f>IFERROR(__xludf.DUMMYFUNCTION("""COMPUTED_VALUE"""),"Aya Okamoto")</f>
        <v>Aya Okamoto</v>
      </c>
      <c r="S2537" s="5" t="str">
        <f>IFERROR(__xludf.DUMMYFUNCTION("""COMPUTED_VALUE"""),"Estrela 4")</f>
        <v>Estrela 4</v>
      </c>
    </row>
    <row r="2538">
      <c r="G2538" s="5" t="str">
        <f>IFERROR(__xludf.DUMMYFUNCTION("""COMPUTED_VALUE"""),"635🤙🏼Serenity🤙🏼Nathan Fillion🤙🏼Estrela 1")</f>
        <v>635🤙🏼Serenity🤙🏼Nathan Fillion🤙🏼Estrela 1</v>
      </c>
      <c r="H2538" s="5">
        <f>IFERROR(__xludf.DUMMYFUNCTION("SPLiT(G2538, ""🤙🏼"",FALSE,FALSE)"),635.0)</f>
        <v>635</v>
      </c>
      <c r="I2538" s="5" t="str">
        <f>IFERROR(__xludf.DUMMYFUNCTION("""COMPUTED_VALUE"""),"Serenity")</f>
        <v>Serenity</v>
      </c>
      <c r="J2538" s="5" t="str">
        <f>IFERROR(__xludf.DUMMYFUNCTION("""COMPUTED_VALUE"""),"Nathan Fillion")</f>
        <v>Nathan Fillion</v>
      </c>
      <c r="K2538" s="5" t="str">
        <f>IFERROR(__xludf.DUMMYFUNCTION("""COMPUTED_VALUE"""),"Estrela 1")</f>
        <v>Estrela 1</v>
      </c>
      <c r="P2538" s="5">
        <f>IFERROR(__xludf.DUMMYFUNCTION("""COMPUTED_VALUE"""),635.0)</f>
        <v>635</v>
      </c>
      <c r="Q2538" s="5" t="str">
        <f>IFERROR(__xludf.DUMMYFUNCTION("""COMPUTED_VALUE"""),"Serenity")</f>
        <v>Serenity</v>
      </c>
      <c r="R2538" s="5" t="str">
        <f>IFERROR(__xludf.DUMMYFUNCTION("""COMPUTED_VALUE"""),"Nathan Fillion")</f>
        <v>Nathan Fillion</v>
      </c>
      <c r="S2538" s="5" t="str">
        <f>IFERROR(__xludf.DUMMYFUNCTION("""COMPUTED_VALUE"""),"Estrela 1")</f>
        <v>Estrela 1</v>
      </c>
    </row>
    <row r="2539">
      <c r="G2539" s="5" t="str">
        <f>IFERROR(__xludf.DUMMYFUNCTION("""COMPUTED_VALUE"""),"635🤙🏼Serenity🤙🏼Gina Torres🤙🏼Estrela 2")</f>
        <v>635🤙🏼Serenity🤙🏼Gina Torres🤙🏼Estrela 2</v>
      </c>
      <c r="H2539" s="5">
        <f>IFERROR(__xludf.DUMMYFUNCTION("SPLiT(G2539, ""🤙🏼"",FALSE,FALSE)"),635.0)</f>
        <v>635</v>
      </c>
      <c r="I2539" s="5" t="str">
        <f>IFERROR(__xludf.DUMMYFUNCTION("""COMPUTED_VALUE"""),"Serenity")</f>
        <v>Serenity</v>
      </c>
      <c r="J2539" s="5" t="str">
        <f>IFERROR(__xludf.DUMMYFUNCTION("""COMPUTED_VALUE"""),"Gina Torres")</f>
        <v>Gina Torres</v>
      </c>
      <c r="K2539" s="5" t="str">
        <f>IFERROR(__xludf.DUMMYFUNCTION("""COMPUTED_VALUE"""),"Estrela 2")</f>
        <v>Estrela 2</v>
      </c>
      <c r="P2539" s="5">
        <f>IFERROR(__xludf.DUMMYFUNCTION("""COMPUTED_VALUE"""),635.0)</f>
        <v>635</v>
      </c>
      <c r="Q2539" s="5" t="str">
        <f>IFERROR(__xludf.DUMMYFUNCTION("""COMPUTED_VALUE"""),"Serenity")</f>
        <v>Serenity</v>
      </c>
      <c r="R2539" s="5" t="str">
        <f>IFERROR(__xludf.DUMMYFUNCTION("""COMPUTED_VALUE"""),"Gina Torres")</f>
        <v>Gina Torres</v>
      </c>
      <c r="S2539" s="5" t="str">
        <f>IFERROR(__xludf.DUMMYFUNCTION("""COMPUTED_VALUE"""),"Estrela 2")</f>
        <v>Estrela 2</v>
      </c>
    </row>
    <row r="2540">
      <c r="G2540" s="5" t="str">
        <f>IFERROR(__xludf.DUMMYFUNCTION("""COMPUTED_VALUE"""),"635🤙🏼Serenity🤙🏼Chiwetel Ejiofor🤙🏼Estrela 3")</f>
        <v>635🤙🏼Serenity🤙🏼Chiwetel Ejiofor🤙🏼Estrela 3</v>
      </c>
      <c r="H2540" s="5">
        <f>IFERROR(__xludf.DUMMYFUNCTION("SPLiT(G2540, ""🤙🏼"",FALSE,FALSE)"),635.0)</f>
        <v>635</v>
      </c>
      <c r="I2540" s="5" t="str">
        <f>IFERROR(__xludf.DUMMYFUNCTION("""COMPUTED_VALUE"""),"Serenity")</f>
        <v>Serenity</v>
      </c>
      <c r="J2540" s="5" t="str">
        <f>IFERROR(__xludf.DUMMYFUNCTION("""COMPUTED_VALUE"""),"Chiwetel Ejiofor")</f>
        <v>Chiwetel Ejiofor</v>
      </c>
      <c r="K2540" s="5" t="str">
        <f>IFERROR(__xludf.DUMMYFUNCTION("""COMPUTED_VALUE"""),"Estrela 3")</f>
        <v>Estrela 3</v>
      </c>
      <c r="P2540" s="5">
        <f>IFERROR(__xludf.DUMMYFUNCTION("""COMPUTED_VALUE"""),635.0)</f>
        <v>635</v>
      </c>
      <c r="Q2540" s="5" t="str">
        <f>IFERROR(__xludf.DUMMYFUNCTION("""COMPUTED_VALUE"""),"Serenity")</f>
        <v>Serenity</v>
      </c>
      <c r="R2540" s="5" t="str">
        <f>IFERROR(__xludf.DUMMYFUNCTION("""COMPUTED_VALUE"""),"Chiwetel Ejiofor")</f>
        <v>Chiwetel Ejiofor</v>
      </c>
      <c r="S2540" s="5" t="str">
        <f>IFERROR(__xludf.DUMMYFUNCTION("""COMPUTED_VALUE"""),"Estrela 3")</f>
        <v>Estrela 3</v>
      </c>
    </row>
    <row r="2541">
      <c r="G2541" s="5" t="str">
        <f>IFERROR(__xludf.DUMMYFUNCTION("""COMPUTED_VALUE"""),"635🤙🏼Serenity🤙🏼Alan Tudyk🤙🏼Estrela 4")</f>
        <v>635🤙🏼Serenity🤙🏼Alan Tudyk🤙🏼Estrela 4</v>
      </c>
      <c r="H2541" s="5">
        <f>IFERROR(__xludf.DUMMYFUNCTION("SPLiT(G2541, ""🤙🏼"",FALSE,FALSE)"),635.0)</f>
        <v>635</v>
      </c>
      <c r="I2541" s="5" t="str">
        <f>IFERROR(__xludf.DUMMYFUNCTION("""COMPUTED_VALUE"""),"Serenity")</f>
        <v>Serenity</v>
      </c>
      <c r="J2541" s="5" t="str">
        <f>IFERROR(__xludf.DUMMYFUNCTION("""COMPUTED_VALUE"""),"Alan Tudyk")</f>
        <v>Alan Tudyk</v>
      </c>
      <c r="K2541" s="5" t="str">
        <f>IFERROR(__xludf.DUMMYFUNCTION("""COMPUTED_VALUE"""),"Estrela 4")</f>
        <v>Estrela 4</v>
      </c>
      <c r="P2541" s="5">
        <f>IFERROR(__xludf.DUMMYFUNCTION("""COMPUTED_VALUE"""),635.0)</f>
        <v>635</v>
      </c>
      <c r="Q2541" s="5" t="str">
        <f>IFERROR(__xludf.DUMMYFUNCTION("""COMPUTED_VALUE"""),"Serenity")</f>
        <v>Serenity</v>
      </c>
      <c r="R2541" s="5" t="str">
        <f>IFERROR(__xludf.DUMMYFUNCTION("""COMPUTED_VALUE"""),"Alan Tudyk")</f>
        <v>Alan Tudyk</v>
      </c>
      <c r="S2541" s="5" t="str">
        <f>IFERROR(__xludf.DUMMYFUNCTION("""COMPUTED_VALUE"""),"Estrela 4")</f>
        <v>Estrela 4</v>
      </c>
    </row>
    <row r="2542">
      <c r="G2542" s="5" t="str">
        <f>IFERROR(__xludf.DUMMYFUNCTION("""COMPUTED_VALUE"""),"636🤙🏼Walk the Line🤙🏼Joaquin Phoenix🤙🏼Estrela 1")</f>
        <v>636🤙🏼Walk the Line🤙🏼Joaquin Phoenix🤙🏼Estrela 1</v>
      </c>
      <c r="H2542" s="5">
        <f>IFERROR(__xludf.DUMMYFUNCTION("SPLiT(G2542, ""🤙🏼"",FALSE,FALSE)"),636.0)</f>
        <v>636</v>
      </c>
      <c r="I2542" s="5" t="str">
        <f>IFERROR(__xludf.DUMMYFUNCTION("""COMPUTED_VALUE"""),"Walk the Line")</f>
        <v>Walk the Line</v>
      </c>
      <c r="J2542" s="5" t="str">
        <f>IFERROR(__xludf.DUMMYFUNCTION("""COMPUTED_VALUE"""),"Joaquin Phoenix")</f>
        <v>Joaquin Phoenix</v>
      </c>
      <c r="K2542" s="5" t="str">
        <f>IFERROR(__xludf.DUMMYFUNCTION("""COMPUTED_VALUE"""),"Estrela 1")</f>
        <v>Estrela 1</v>
      </c>
      <c r="P2542" s="5">
        <f>IFERROR(__xludf.DUMMYFUNCTION("""COMPUTED_VALUE"""),636.0)</f>
        <v>636</v>
      </c>
      <c r="Q2542" s="5" t="str">
        <f>IFERROR(__xludf.DUMMYFUNCTION("""COMPUTED_VALUE"""),"Walk the Line")</f>
        <v>Walk the Line</v>
      </c>
      <c r="R2542" s="5" t="str">
        <f>IFERROR(__xludf.DUMMYFUNCTION("""COMPUTED_VALUE"""),"Joaquin Phoenix")</f>
        <v>Joaquin Phoenix</v>
      </c>
      <c r="S2542" s="5" t="str">
        <f>IFERROR(__xludf.DUMMYFUNCTION("""COMPUTED_VALUE"""),"Estrela 1")</f>
        <v>Estrela 1</v>
      </c>
    </row>
    <row r="2543">
      <c r="G2543" s="5" t="str">
        <f>IFERROR(__xludf.DUMMYFUNCTION("""COMPUTED_VALUE"""),"636🤙🏼Walk the Line🤙🏼Reese Witherspoon🤙🏼Estrela 2")</f>
        <v>636🤙🏼Walk the Line🤙🏼Reese Witherspoon🤙🏼Estrela 2</v>
      </c>
      <c r="H2543" s="5">
        <f>IFERROR(__xludf.DUMMYFUNCTION("SPLiT(G2543, ""🤙🏼"",FALSE,FALSE)"),636.0)</f>
        <v>636</v>
      </c>
      <c r="I2543" s="5" t="str">
        <f>IFERROR(__xludf.DUMMYFUNCTION("""COMPUTED_VALUE"""),"Walk the Line")</f>
        <v>Walk the Line</v>
      </c>
      <c r="J2543" s="5" t="str">
        <f>IFERROR(__xludf.DUMMYFUNCTION("""COMPUTED_VALUE"""),"Reese Witherspoon")</f>
        <v>Reese Witherspoon</v>
      </c>
      <c r="K2543" s="5" t="str">
        <f>IFERROR(__xludf.DUMMYFUNCTION("""COMPUTED_VALUE"""),"Estrela 2")</f>
        <v>Estrela 2</v>
      </c>
      <c r="P2543" s="5">
        <f>IFERROR(__xludf.DUMMYFUNCTION("""COMPUTED_VALUE"""),636.0)</f>
        <v>636</v>
      </c>
      <c r="Q2543" s="5" t="str">
        <f>IFERROR(__xludf.DUMMYFUNCTION("""COMPUTED_VALUE"""),"Walk the Line")</f>
        <v>Walk the Line</v>
      </c>
      <c r="R2543" s="5" t="str">
        <f>IFERROR(__xludf.DUMMYFUNCTION("""COMPUTED_VALUE"""),"Reese Witherspoon")</f>
        <v>Reese Witherspoon</v>
      </c>
      <c r="S2543" s="5" t="str">
        <f>IFERROR(__xludf.DUMMYFUNCTION("""COMPUTED_VALUE"""),"Estrela 2")</f>
        <v>Estrela 2</v>
      </c>
    </row>
    <row r="2544">
      <c r="G2544" s="5" t="str">
        <f>IFERROR(__xludf.DUMMYFUNCTION("""COMPUTED_VALUE"""),"636🤙🏼Walk the Line🤙🏼Ginnifer Goodwin🤙🏼Estrela 3")</f>
        <v>636🤙🏼Walk the Line🤙🏼Ginnifer Goodwin🤙🏼Estrela 3</v>
      </c>
      <c r="H2544" s="5">
        <f>IFERROR(__xludf.DUMMYFUNCTION("SPLiT(G2544, ""🤙🏼"",FALSE,FALSE)"),636.0)</f>
        <v>636</v>
      </c>
      <c r="I2544" s="5" t="str">
        <f>IFERROR(__xludf.DUMMYFUNCTION("""COMPUTED_VALUE"""),"Walk the Line")</f>
        <v>Walk the Line</v>
      </c>
      <c r="J2544" s="5" t="str">
        <f>IFERROR(__xludf.DUMMYFUNCTION("""COMPUTED_VALUE"""),"Ginnifer Goodwin")</f>
        <v>Ginnifer Goodwin</v>
      </c>
      <c r="K2544" s="5" t="str">
        <f>IFERROR(__xludf.DUMMYFUNCTION("""COMPUTED_VALUE"""),"Estrela 3")</f>
        <v>Estrela 3</v>
      </c>
      <c r="P2544" s="5">
        <f>IFERROR(__xludf.DUMMYFUNCTION("""COMPUTED_VALUE"""),636.0)</f>
        <v>636</v>
      </c>
      <c r="Q2544" s="5" t="str">
        <f>IFERROR(__xludf.DUMMYFUNCTION("""COMPUTED_VALUE"""),"Walk the Line")</f>
        <v>Walk the Line</v>
      </c>
      <c r="R2544" s="5" t="str">
        <f>IFERROR(__xludf.DUMMYFUNCTION("""COMPUTED_VALUE"""),"Ginnifer Goodwin")</f>
        <v>Ginnifer Goodwin</v>
      </c>
      <c r="S2544" s="5" t="str">
        <f>IFERROR(__xludf.DUMMYFUNCTION("""COMPUTED_VALUE"""),"Estrela 3")</f>
        <v>Estrela 3</v>
      </c>
    </row>
    <row r="2545">
      <c r="G2545" s="5" t="str">
        <f>IFERROR(__xludf.DUMMYFUNCTION("""COMPUTED_VALUE"""),"636🤙🏼Walk the Line🤙🏼Robert Patrick🤙🏼Estrela 4")</f>
        <v>636🤙🏼Walk the Line🤙🏼Robert Patrick🤙🏼Estrela 4</v>
      </c>
      <c r="H2545" s="5">
        <f>IFERROR(__xludf.DUMMYFUNCTION("SPLiT(G2545, ""🤙🏼"",FALSE,FALSE)"),636.0)</f>
        <v>636</v>
      </c>
      <c r="I2545" s="5" t="str">
        <f>IFERROR(__xludf.DUMMYFUNCTION("""COMPUTED_VALUE"""),"Walk the Line")</f>
        <v>Walk the Line</v>
      </c>
      <c r="J2545" s="5" t="str">
        <f>IFERROR(__xludf.DUMMYFUNCTION("""COMPUTED_VALUE"""),"Robert Patrick")</f>
        <v>Robert Patrick</v>
      </c>
      <c r="K2545" s="5" t="str">
        <f>IFERROR(__xludf.DUMMYFUNCTION("""COMPUTED_VALUE"""),"Estrela 4")</f>
        <v>Estrela 4</v>
      </c>
      <c r="P2545" s="5">
        <f>IFERROR(__xludf.DUMMYFUNCTION("""COMPUTED_VALUE"""),636.0)</f>
        <v>636</v>
      </c>
      <c r="Q2545" s="5" t="str">
        <f>IFERROR(__xludf.DUMMYFUNCTION("""COMPUTED_VALUE"""),"Walk the Line")</f>
        <v>Walk the Line</v>
      </c>
      <c r="R2545" s="5" t="str">
        <f>IFERROR(__xludf.DUMMYFUNCTION("""COMPUTED_VALUE"""),"Robert Patrick")</f>
        <v>Robert Patrick</v>
      </c>
      <c r="S2545" s="5" t="str">
        <f>IFERROR(__xludf.DUMMYFUNCTION("""COMPUTED_VALUE"""),"Estrela 4")</f>
        <v>Estrela 4</v>
      </c>
    </row>
    <row r="2546">
      <c r="G2546" s="5" t="str">
        <f>IFERROR(__xludf.DUMMYFUNCTION("""COMPUTED_VALUE"""),"637🤙🏼Ondskan🤙🏼Andreas Wilson🤙🏼Estrela 1")</f>
        <v>637🤙🏼Ondskan🤙🏼Andreas Wilson🤙🏼Estrela 1</v>
      </c>
      <c r="H2546" s="5">
        <f>IFERROR(__xludf.DUMMYFUNCTION("SPLiT(G2546, ""🤙🏼"",FALSE,FALSE)"),637.0)</f>
        <v>637</v>
      </c>
      <c r="I2546" s="5" t="str">
        <f>IFERROR(__xludf.DUMMYFUNCTION("""COMPUTED_VALUE"""),"Ondskan")</f>
        <v>Ondskan</v>
      </c>
      <c r="J2546" s="5" t="str">
        <f>IFERROR(__xludf.DUMMYFUNCTION("""COMPUTED_VALUE"""),"Andreas Wilson")</f>
        <v>Andreas Wilson</v>
      </c>
      <c r="K2546" s="5" t="str">
        <f>IFERROR(__xludf.DUMMYFUNCTION("""COMPUTED_VALUE"""),"Estrela 1")</f>
        <v>Estrela 1</v>
      </c>
      <c r="P2546" s="5">
        <f>IFERROR(__xludf.DUMMYFUNCTION("""COMPUTED_VALUE"""),637.0)</f>
        <v>637</v>
      </c>
      <c r="Q2546" s="5" t="str">
        <f>IFERROR(__xludf.DUMMYFUNCTION("""COMPUTED_VALUE"""),"Ondskan")</f>
        <v>Ondskan</v>
      </c>
      <c r="R2546" s="5" t="str">
        <f>IFERROR(__xludf.DUMMYFUNCTION("""COMPUTED_VALUE"""),"Andreas Wilson")</f>
        <v>Andreas Wilson</v>
      </c>
      <c r="S2546" s="5" t="str">
        <f>IFERROR(__xludf.DUMMYFUNCTION("""COMPUTED_VALUE"""),"Estrela 1")</f>
        <v>Estrela 1</v>
      </c>
    </row>
    <row r="2547">
      <c r="G2547" s="5" t="str">
        <f>IFERROR(__xludf.DUMMYFUNCTION("""COMPUTED_VALUE"""),"637🤙🏼Ondskan🤙🏼Henrik Lundström🤙🏼Estrela 2")</f>
        <v>637🤙🏼Ondskan🤙🏼Henrik Lundström🤙🏼Estrela 2</v>
      </c>
      <c r="H2547" s="5">
        <f>IFERROR(__xludf.DUMMYFUNCTION("SPLiT(G2547, ""🤙🏼"",FALSE,FALSE)"),637.0)</f>
        <v>637</v>
      </c>
      <c r="I2547" s="5" t="str">
        <f>IFERROR(__xludf.DUMMYFUNCTION("""COMPUTED_VALUE"""),"Ondskan")</f>
        <v>Ondskan</v>
      </c>
      <c r="J2547" s="5" t="str">
        <f>IFERROR(__xludf.DUMMYFUNCTION("""COMPUTED_VALUE"""),"Henrik Lundström")</f>
        <v>Henrik Lundström</v>
      </c>
      <c r="K2547" s="5" t="str">
        <f>IFERROR(__xludf.DUMMYFUNCTION("""COMPUTED_VALUE"""),"Estrela 2")</f>
        <v>Estrela 2</v>
      </c>
      <c r="P2547" s="5">
        <f>IFERROR(__xludf.DUMMYFUNCTION("""COMPUTED_VALUE"""),637.0)</f>
        <v>637</v>
      </c>
      <c r="Q2547" s="5" t="str">
        <f>IFERROR(__xludf.DUMMYFUNCTION("""COMPUTED_VALUE"""),"Ondskan")</f>
        <v>Ondskan</v>
      </c>
      <c r="R2547" s="5" t="str">
        <f>IFERROR(__xludf.DUMMYFUNCTION("""COMPUTED_VALUE"""),"Henrik Lundström")</f>
        <v>Henrik Lundström</v>
      </c>
      <c r="S2547" s="5" t="str">
        <f>IFERROR(__xludf.DUMMYFUNCTION("""COMPUTED_VALUE"""),"Estrela 2")</f>
        <v>Estrela 2</v>
      </c>
    </row>
    <row r="2548">
      <c r="G2548" s="5" t="str">
        <f>IFERROR(__xludf.DUMMYFUNCTION("""COMPUTED_VALUE"""),"637🤙🏼Ondskan🤙🏼Gustaf Skarsgård🤙🏼Estrela 3")</f>
        <v>637🤙🏼Ondskan🤙🏼Gustaf Skarsgård🤙🏼Estrela 3</v>
      </c>
      <c r="H2548" s="5">
        <f>IFERROR(__xludf.DUMMYFUNCTION("SPLiT(G2548, ""🤙🏼"",FALSE,FALSE)"),637.0)</f>
        <v>637</v>
      </c>
      <c r="I2548" s="5" t="str">
        <f>IFERROR(__xludf.DUMMYFUNCTION("""COMPUTED_VALUE"""),"Ondskan")</f>
        <v>Ondskan</v>
      </c>
      <c r="J2548" s="5" t="str">
        <f>IFERROR(__xludf.DUMMYFUNCTION("""COMPUTED_VALUE"""),"Gustaf Skarsgård")</f>
        <v>Gustaf Skarsgård</v>
      </c>
      <c r="K2548" s="5" t="str">
        <f>IFERROR(__xludf.DUMMYFUNCTION("""COMPUTED_VALUE"""),"Estrela 3")</f>
        <v>Estrela 3</v>
      </c>
      <c r="P2548" s="5">
        <f>IFERROR(__xludf.DUMMYFUNCTION("""COMPUTED_VALUE"""),637.0)</f>
        <v>637</v>
      </c>
      <c r="Q2548" s="5" t="str">
        <f>IFERROR(__xludf.DUMMYFUNCTION("""COMPUTED_VALUE"""),"Ondskan")</f>
        <v>Ondskan</v>
      </c>
      <c r="R2548" s="5" t="str">
        <f>IFERROR(__xludf.DUMMYFUNCTION("""COMPUTED_VALUE"""),"Gustaf Skarsgård")</f>
        <v>Gustaf Skarsgård</v>
      </c>
      <c r="S2548" s="5" t="str">
        <f>IFERROR(__xludf.DUMMYFUNCTION("""COMPUTED_VALUE"""),"Estrela 3")</f>
        <v>Estrela 3</v>
      </c>
    </row>
    <row r="2549">
      <c r="G2549" s="5" t="str">
        <f>IFERROR(__xludf.DUMMYFUNCTION("""COMPUTED_VALUE"""),"637🤙🏼Ondskan🤙🏼Linda Zilliacus🤙🏼Estrela 4")</f>
        <v>637🤙🏼Ondskan🤙🏼Linda Zilliacus🤙🏼Estrela 4</v>
      </c>
      <c r="H2549" s="5">
        <f>IFERROR(__xludf.DUMMYFUNCTION("SPLiT(G2549, ""🤙🏼"",FALSE,FALSE)"),637.0)</f>
        <v>637</v>
      </c>
      <c r="I2549" s="5" t="str">
        <f>IFERROR(__xludf.DUMMYFUNCTION("""COMPUTED_VALUE"""),"Ondskan")</f>
        <v>Ondskan</v>
      </c>
      <c r="J2549" s="5" t="str">
        <f>IFERROR(__xludf.DUMMYFUNCTION("""COMPUTED_VALUE"""),"Linda Zilliacus")</f>
        <v>Linda Zilliacus</v>
      </c>
      <c r="K2549" s="5" t="str">
        <f>IFERROR(__xludf.DUMMYFUNCTION("""COMPUTED_VALUE"""),"Estrela 4")</f>
        <v>Estrela 4</v>
      </c>
      <c r="P2549" s="5">
        <f>IFERROR(__xludf.DUMMYFUNCTION("""COMPUTED_VALUE"""),637.0)</f>
        <v>637</v>
      </c>
      <c r="Q2549" s="5" t="str">
        <f>IFERROR(__xludf.DUMMYFUNCTION("""COMPUTED_VALUE"""),"Ondskan")</f>
        <v>Ondskan</v>
      </c>
      <c r="R2549" s="5" t="str">
        <f>IFERROR(__xludf.DUMMYFUNCTION("""COMPUTED_VALUE"""),"Linda Zilliacus")</f>
        <v>Linda Zilliacus</v>
      </c>
      <c r="S2549" s="5" t="str">
        <f>IFERROR(__xludf.DUMMYFUNCTION("""COMPUTED_VALUE"""),"Estrela 4")</f>
        <v>Estrela 4</v>
      </c>
    </row>
    <row r="2550">
      <c r="G2550" s="5" t="str">
        <f>IFERROR(__xludf.DUMMYFUNCTION("""COMPUTED_VALUE"""),"638🤙🏼The Notebook🤙🏼Gena Rowlands🤙🏼Estrela 1")</f>
        <v>638🤙🏼The Notebook🤙🏼Gena Rowlands🤙🏼Estrela 1</v>
      </c>
      <c r="H2550" s="5">
        <f>IFERROR(__xludf.DUMMYFUNCTION("SPLiT(G2550, ""🤙🏼"",FALSE,FALSE)"),638.0)</f>
        <v>638</v>
      </c>
      <c r="I2550" s="5" t="str">
        <f>IFERROR(__xludf.DUMMYFUNCTION("""COMPUTED_VALUE"""),"The Notebook")</f>
        <v>The Notebook</v>
      </c>
      <c r="J2550" s="5" t="str">
        <f>IFERROR(__xludf.DUMMYFUNCTION("""COMPUTED_VALUE"""),"Gena Rowlands")</f>
        <v>Gena Rowlands</v>
      </c>
      <c r="K2550" s="5" t="str">
        <f>IFERROR(__xludf.DUMMYFUNCTION("""COMPUTED_VALUE"""),"Estrela 1")</f>
        <v>Estrela 1</v>
      </c>
      <c r="P2550" s="5">
        <f>IFERROR(__xludf.DUMMYFUNCTION("""COMPUTED_VALUE"""),638.0)</f>
        <v>638</v>
      </c>
      <c r="Q2550" s="5" t="str">
        <f>IFERROR(__xludf.DUMMYFUNCTION("""COMPUTED_VALUE"""),"The Notebook")</f>
        <v>The Notebook</v>
      </c>
      <c r="R2550" s="5" t="str">
        <f>IFERROR(__xludf.DUMMYFUNCTION("""COMPUTED_VALUE"""),"Gena Rowlands")</f>
        <v>Gena Rowlands</v>
      </c>
      <c r="S2550" s="5" t="str">
        <f>IFERROR(__xludf.DUMMYFUNCTION("""COMPUTED_VALUE"""),"Estrela 1")</f>
        <v>Estrela 1</v>
      </c>
    </row>
    <row r="2551">
      <c r="G2551" s="5" t="str">
        <f>IFERROR(__xludf.DUMMYFUNCTION("""COMPUTED_VALUE"""),"638🤙🏼The Notebook🤙🏼James Garner🤙🏼Estrela 2")</f>
        <v>638🤙🏼The Notebook🤙🏼James Garner🤙🏼Estrela 2</v>
      </c>
      <c r="H2551" s="5">
        <f>IFERROR(__xludf.DUMMYFUNCTION("SPLiT(G2551, ""🤙🏼"",FALSE,FALSE)"),638.0)</f>
        <v>638</v>
      </c>
      <c r="I2551" s="5" t="str">
        <f>IFERROR(__xludf.DUMMYFUNCTION("""COMPUTED_VALUE"""),"The Notebook")</f>
        <v>The Notebook</v>
      </c>
      <c r="J2551" s="5" t="str">
        <f>IFERROR(__xludf.DUMMYFUNCTION("""COMPUTED_VALUE"""),"James Garner")</f>
        <v>James Garner</v>
      </c>
      <c r="K2551" s="5" t="str">
        <f>IFERROR(__xludf.DUMMYFUNCTION("""COMPUTED_VALUE"""),"Estrela 2")</f>
        <v>Estrela 2</v>
      </c>
      <c r="P2551" s="5">
        <f>IFERROR(__xludf.DUMMYFUNCTION("""COMPUTED_VALUE"""),638.0)</f>
        <v>638</v>
      </c>
      <c r="Q2551" s="5" t="str">
        <f>IFERROR(__xludf.DUMMYFUNCTION("""COMPUTED_VALUE"""),"The Notebook")</f>
        <v>The Notebook</v>
      </c>
      <c r="R2551" s="5" t="str">
        <f>IFERROR(__xludf.DUMMYFUNCTION("""COMPUTED_VALUE"""),"James Garner")</f>
        <v>James Garner</v>
      </c>
      <c r="S2551" s="5" t="str">
        <f>IFERROR(__xludf.DUMMYFUNCTION("""COMPUTED_VALUE"""),"Estrela 2")</f>
        <v>Estrela 2</v>
      </c>
    </row>
    <row r="2552">
      <c r="G2552" s="5" t="str">
        <f>IFERROR(__xludf.DUMMYFUNCTION("""COMPUTED_VALUE"""),"638🤙🏼The Notebook🤙🏼Rachel McAdams🤙🏼Estrela 3")</f>
        <v>638🤙🏼The Notebook🤙🏼Rachel McAdams🤙🏼Estrela 3</v>
      </c>
      <c r="H2552" s="5">
        <f>IFERROR(__xludf.DUMMYFUNCTION("SPLiT(G2552, ""🤙🏼"",FALSE,FALSE)"),638.0)</f>
        <v>638</v>
      </c>
      <c r="I2552" s="5" t="str">
        <f>IFERROR(__xludf.DUMMYFUNCTION("""COMPUTED_VALUE"""),"The Notebook")</f>
        <v>The Notebook</v>
      </c>
      <c r="J2552" s="5" t="str">
        <f>IFERROR(__xludf.DUMMYFUNCTION("""COMPUTED_VALUE"""),"Rachel McAdams")</f>
        <v>Rachel McAdams</v>
      </c>
      <c r="K2552" s="5" t="str">
        <f>IFERROR(__xludf.DUMMYFUNCTION("""COMPUTED_VALUE"""),"Estrela 3")</f>
        <v>Estrela 3</v>
      </c>
      <c r="P2552" s="5">
        <f>IFERROR(__xludf.DUMMYFUNCTION("""COMPUTED_VALUE"""),638.0)</f>
        <v>638</v>
      </c>
      <c r="Q2552" s="5" t="str">
        <f>IFERROR(__xludf.DUMMYFUNCTION("""COMPUTED_VALUE"""),"The Notebook")</f>
        <v>The Notebook</v>
      </c>
      <c r="R2552" s="5" t="str">
        <f>IFERROR(__xludf.DUMMYFUNCTION("""COMPUTED_VALUE"""),"Rachel McAdams")</f>
        <v>Rachel McAdams</v>
      </c>
      <c r="S2552" s="5" t="str">
        <f>IFERROR(__xludf.DUMMYFUNCTION("""COMPUTED_VALUE"""),"Estrela 3")</f>
        <v>Estrela 3</v>
      </c>
    </row>
    <row r="2553">
      <c r="G2553" s="5" t="str">
        <f>IFERROR(__xludf.DUMMYFUNCTION("""COMPUTED_VALUE"""),"638🤙🏼The Notebook🤙🏼Ryan Gosling🤙🏼Estrela 4")</f>
        <v>638🤙🏼The Notebook🤙🏼Ryan Gosling🤙🏼Estrela 4</v>
      </c>
      <c r="H2553" s="5">
        <f>IFERROR(__xludf.DUMMYFUNCTION("SPLiT(G2553, ""🤙🏼"",FALSE,FALSE)"),638.0)</f>
        <v>638</v>
      </c>
      <c r="I2553" s="5" t="str">
        <f>IFERROR(__xludf.DUMMYFUNCTION("""COMPUTED_VALUE"""),"The Notebook")</f>
        <v>The Notebook</v>
      </c>
      <c r="J2553" s="5" t="str">
        <f>IFERROR(__xludf.DUMMYFUNCTION("""COMPUTED_VALUE"""),"Ryan Gosling")</f>
        <v>Ryan Gosling</v>
      </c>
      <c r="K2553" s="5" t="str">
        <f>IFERROR(__xludf.DUMMYFUNCTION("""COMPUTED_VALUE"""),"Estrela 4")</f>
        <v>Estrela 4</v>
      </c>
      <c r="P2553" s="5">
        <f>IFERROR(__xludf.DUMMYFUNCTION("""COMPUTED_VALUE"""),638.0)</f>
        <v>638</v>
      </c>
      <c r="Q2553" s="5" t="str">
        <f>IFERROR(__xludf.DUMMYFUNCTION("""COMPUTED_VALUE"""),"The Notebook")</f>
        <v>The Notebook</v>
      </c>
      <c r="R2553" s="5" t="str">
        <f>IFERROR(__xludf.DUMMYFUNCTION("""COMPUTED_VALUE"""),"Ryan Gosling")</f>
        <v>Ryan Gosling</v>
      </c>
      <c r="S2553" s="5" t="str">
        <f>IFERROR(__xludf.DUMMYFUNCTION("""COMPUTED_VALUE"""),"Estrela 4")</f>
        <v>Estrela 4</v>
      </c>
    </row>
    <row r="2554">
      <c r="G2554" s="5" t="str">
        <f>IFERROR(__xludf.DUMMYFUNCTION("""COMPUTED_VALUE"""),"639🤙🏼Diarios de motocicleta🤙🏼Gael García Bernal🤙🏼Estrela 1")</f>
        <v>639🤙🏼Diarios de motocicleta🤙🏼Gael García Bernal🤙🏼Estrela 1</v>
      </c>
      <c r="H2554" s="5">
        <f>IFERROR(__xludf.DUMMYFUNCTION("SPLiT(G2554, ""🤙🏼"",FALSE,FALSE)"),639.0)</f>
        <v>639</v>
      </c>
      <c r="I2554" s="5" t="str">
        <f>IFERROR(__xludf.DUMMYFUNCTION("""COMPUTED_VALUE"""),"Diarios de motocicleta")</f>
        <v>Diarios de motocicleta</v>
      </c>
      <c r="J2554" s="5" t="str">
        <f>IFERROR(__xludf.DUMMYFUNCTION("""COMPUTED_VALUE"""),"Gael García Bernal")</f>
        <v>Gael García Bernal</v>
      </c>
      <c r="K2554" s="5" t="str">
        <f>IFERROR(__xludf.DUMMYFUNCTION("""COMPUTED_VALUE"""),"Estrela 1")</f>
        <v>Estrela 1</v>
      </c>
      <c r="P2554" s="5">
        <f>IFERROR(__xludf.DUMMYFUNCTION("""COMPUTED_VALUE"""),639.0)</f>
        <v>639</v>
      </c>
      <c r="Q2554" s="5" t="str">
        <f>IFERROR(__xludf.DUMMYFUNCTION("""COMPUTED_VALUE"""),"Diarios de motocicleta")</f>
        <v>Diarios de motocicleta</v>
      </c>
      <c r="R2554" s="5" t="str">
        <f>IFERROR(__xludf.DUMMYFUNCTION("""COMPUTED_VALUE"""),"Gael García Bernal")</f>
        <v>Gael García Bernal</v>
      </c>
      <c r="S2554" s="5" t="str">
        <f>IFERROR(__xludf.DUMMYFUNCTION("""COMPUTED_VALUE"""),"Estrela 1")</f>
        <v>Estrela 1</v>
      </c>
    </row>
    <row r="2555">
      <c r="G2555" s="5" t="str">
        <f>IFERROR(__xludf.DUMMYFUNCTION("""COMPUTED_VALUE"""),"639🤙🏼Diarios de motocicleta🤙🏼Rodrigo De la Serna🤙🏼Estrela 2")</f>
        <v>639🤙🏼Diarios de motocicleta🤙🏼Rodrigo De la Serna🤙🏼Estrela 2</v>
      </c>
      <c r="H2555" s="5">
        <f>IFERROR(__xludf.DUMMYFUNCTION("SPLiT(G2555, ""🤙🏼"",FALSE,FALSE)"),639.0)</f>
        <v>639</v>
      </c>
      <c r="I2555" s="5" t="str">
        <f>IFERROR(__xludf.DUMMYFUNCTION("""COMPUTED_VALUE"""),"Diarios de motocicleta")</f>
        <v>Diarios de motocicleta</v>
      </c>
      <c r="J2555" s="5" t="str">
        <f>IFERROR(__xludf.DUMMYFUNCTION("""COMPUTED_VALUE"""),"Rodrigo De la Serna")</f>
        <v>Rodrigo De la Serna</v>
      </c>
      <c r="K2555" s="5" t="str">
        <f>IFERROR(__xludf.DUMMYFUNCTION("""COMPUTED_VALUE"""),"Estrela 2")</f>
        <v>Estrela 2</v>
      </c>
      <c r="P2555" s="5">
        <f>IFERROR(__xludf.DUMMYFUNCTION("""COMPUTED_VALUE"""),639.0)</f>
        <v>639</v>
      </c>
      <c r="Q2555" s="5" t="str">
        <f>IFERROR(__xludf.DUMMYFUNCTION("""COMPUTED_VALUE"""),"Diarios de motocicleta")</f>
        <v>Diarios de motocicleta</v>
      </c>
      <c r="R2555" s="5" t="str">
        <f>IFERROR(__xludf.DUMMYFUNCTION("""COMPUTED_VALUE"""),"Rodrigo De la Serna")</f>
        <v>Rodrigo De la Serna</v>
      </c>
      <c r="S2555" s="5" t="str">
        <f>IFERROR(__xludf.DUMMYFUNCTION("""COMPUTED_VALUE"""),"Estrela 2")</f>
        <v>Estrela 2</v>
      </c>
    </row>
    <row r="2556">
      <c r="G2556" s="5" t="str">
        <f>IFERROR(__xludf.DUMMYFUNCTION("""COMPUTED_VALUE"""),"639🤙🏼Diarios de motocicleta🤙🏼Mía Maestro🤙🏼Estrela 3")</f>
        <v>639🤙🏼Diarios de motocicleta🤙🏼Mía Maestro🤙🏼Estrela 3</v>
      </c>
      <c r="H2556" s="5">
        <f>IFERROR(__xludf.DUMMYFUNCTION("SPLiT(G2556, ""🤙🏼"",FALSE,FALSE)"),639.0)</f>
        <v>639</v>
      </c>
      <c r="I2556" s="5" t="str">
        <f>IFERROR(__xludf.DUMMYFUNCTION("""COMPUTED_VALUE"""),"Diarios de motocicleta")</f>
        <v>Diarios de motocicleta</v>
      </c>
      <c r="J2556" s="5" t="str">
        <f>IFERROR(__xludf.DUMMYFUNCTION("""COMPUTED_VALUE"""),"Mía Maestro")</f>
        <v>Mía Maestro</v>
      </c>
      <c r="K2556" s="5" t="str">
        <f>IFERROR(__xludf.DUMMYFUNCTION("""COMPUTED_VALUE"""),"Estrela 3")</f>
        <v>Estrela 3</v>
      </c>
      <c r="P2556" s="5">
        <f>IFERROR(__xludf.DUMMYFUNCTION("""COMPUTED_VALUE"""),639.0)</f>
        <v>639</v>
      </c>
      <c r="Q2556" s="5" t="str">
        <f>IFERROR(__xludf.DUMMYFUNCTION("""COMPUTED_VALUE"""),"Diarios de motocicleta")</f>
        <v>Diarios de motocicleta</v>
      </c>
      <c r="R2556" s="5" t="str">
        <f>IFERROR(__xludf.DUMMYFUNCTION("""COMPUTED_VALUE"""),"Mía Maestro")</f>
        <v>Mía Maestro</v>
      </c>
      <c r="S2556" s="5" t="str">
        <f>IFERROR(__xludf.DUMMYFUNCTION("""COMPUTED_VALUE"""),"Estrela 3")</f>
        <v>Estrela 3</v>
      </c>
    </row>
    <row r="2557">
      <c r="G2557" s="5" t="str">
        <f>IFERROR(__xludf.DUMMYFUNCTION("""COMPUTED_VALUE"""),"639🤙🏼Diarios de motocicleta🤙🏼Mercedes Morán🤙🏼Estrela 4")</f>
        <v>639🤙🏼Diarios de motocicleta🤙🏼Mercedes Morán🤙🏼Estrela 4</v>
      </c>
      <c r="H2557" s="5">
        <f>IFERROR(__xludf.DUMMYFUNCTION("SPLiT(G2557, ""🤙🏼"",FALSE,FALSE)"),639.0)</f>
        <v>639</v>
      </c>
      <c r="I2557" s="5" t="str">
        <f>IFERROR(__xludf.DUMMYFUNCTION("""COMPUTED_VALUE"""),"Diarios de motocicleta")</f>
        <v>Diarios de motocicleta</v>
      </c>
      <c r="J2557" s="5" t="str">
        <f>IFERROR(__xludf.DUMMYFUNCTION("""COMPUTED_VALUE"""),"Mercedes Morán")</f>
        <v>Mercedes Morán</v>
      </c>
      <c r="K2557" s="5" t="str">
        <f>IFERROR(__xludf.DUMMYFUNCTION("""COMPUTED_VALUE"""),"Estrela 4")</f>
        <v>Estrela 4</v>
      </c>
      <c r="P2557" s="5">
        <f>IFERROR(__xludf.DUMMYFUNCTION("""COMPUTED_VALUE"""),639.0)</f>
        <v>639</v>
      </c>
      <c r="Q2557" s="5" t="str">
        <f>IFERROR(__xludf.DUMMYFUNCTION("""COMPUTED_VALUE"""),"Diarios de motocicleta")</f>
        <v>Diarios de motocicleta</v>
      </c>
      <c r="R2557" s="5" t="str">
        <f>IFERROR(__xludf.DUMMYFUNCTION("""COMPUTED_VALUE"""),"Mercedes Morán")</f>
        <v>Mercedes Morán</v>
      </c>
      <c r="S2557" s="5" t="str">
        <f>IFERROR(__xludf.DUMMYFUNCTION("""COMPUTED_VALUE"""),"Estrela 4")</f>
        <v>Estrela 4</v>
      </c>
    </row>
    <row r="2558">
      <c r="G2558" s="5" t="str">
        <f>IFERROR(__xludf.DUMMYFUNCTION("""COMPUTED_VALUE"""),"640🤙🏼Lilja 4-ever🤙🏼Oksana Akinshina🤙🏼Estrela 1")</f>
        <v>640🤙🏼Lilja 4-ever🤙🏼Oksana Akinshina🤙🏼Estrela 1</v>
      </c>
      <c r="H2558" s="5">
        <f>IFERROR(__xludf.DUMMYFUNCTION("SPLiT(G2558, ""🤙🏼"",FALSE,FALSE)"),640.0)</f>
        <v>640</v>
      </c>
      <c r="I2558" s="5" t="str">
        <f>IFERROR(__xludf.DUMMYFUNCTION("""COMPUTED_VALUE"""),"Lilja 4-ever")</f>
        <v>Lilja 4-ever</v>
      </c>
      <c r="J2558" s="5" t="str">
        <f>IFERROR(__xludf.DUMMYFUNCTION("""COMPUTED_VALUE"""),"Oksana Akinshina")</f>
        <v>Oksana Akinshina</v>
      </c>
      <c r="K2558" s="5" t="str">
        <f>IFERROR(__xludf.DUMMYFUNCTION("""COMPUTED_VALUE"""),"Estrela 1")</f>
        <v>Estrela 1</v>
      </c>
      <c r="P2558" s="5">
        <f>IFERROR(__xludf.DUMMYFUNCTION("""COMPUTED_VALUE"""),640.0)</f>
        <v>640</v>
      </c>
      <c r="Q2558" s="5" t="str">
        <f>IFERROR(__xludf.DUMMYFUNCTION("""COMPUTED_VALUE"""),"Lilja 4-ever")</f>
        <v>Lilja 4-ever</v>
      </c>
      <c r="R2558" s="5" t="str">
        <f>IFERROR(__xludf.DUMMYFUNCTION("""COMPUTED_VALUE"""),"Oksana Akinshina")</f>
        <v>Oksana Akinshina</v>
      </c>
      <c r="S2558" s="5" t="str">
        <f>IFERROR(__xludf.DUMMYFUNCTION("""COMPUTED_VALUE"""),"Estrela 1")</f>
        <v>Estrela 1</v>
      </c>
    </row>
    <row r="2559">
      <c r="G2559" s="5" t="str">
        <f>IFERROR(__xludf.DUMMYFUNCTION("""COMPUTED_VALUE"""),"640🤙🏼Lilja 4-ever🤙🏼Artyom Bogucharskiy🤙🏼Estrela 2")</f>
        <v>640🤙🏼Lilja 4-ever🤙🏼Artyom Bogucharskiy🤙🏼Estrela 2</v>
      </c>
      <c r="H2559" s="5">
        <f>IFERROR(__xludf.DUMMYFUNCTION("SPLiT(G2559, ""🤙🏼"",FALSE,FALSE)"),640.0)</f>
        <v>640</v>
      </c>
      <c r="I2559" s="5" t="str">
        <f>IFERROR(__xludf.DUMMYFUNCTION("""COMPUTED_VALUE"""),"Lilja 4-ever")</f>
        <v>Lilja 4-ever</v>
      </c>
      <c r="J2559" s="5" t="str">
        <f>IFERROR(__xludf.DUMMYFUNCTION("""COMPUTED_VALUE"""),"Artyom Bogucharskiy")</f>
        <v>Artyom Bogucharskiy</v>
      </c>
      <c r="K2559" s="5" t="str">
        <f>IFERROR(__xludf.DUMMYFUNCTION("""COMPUTED_VALUE"""),"Estrela 2")</f>
        <v>Estrela 2</v>
      </c>
      <c r="P2559" s="5">
        <f>IFERROR(__xludf.DUMMYFUNCTION("""COMPUTED_VALUE"""),640.0)</f>
        <v>640</v>
      </c>
      <c r="Q2559" s="5" t="str">
        <f>IFERROR(__xludf.DUMMYFUNCTION("""COMPUTED_VALUE"""),"Lilja 4-ever")</f>
        <v>Lilja 4-ever</v>
      </c>
      <c r="R2559" s="5" t="str">
        <f>IFERROR(__xludf.DUMMYFUNCTION("""COMPUTED_VALUE"""),"Artyom Bogucharskiy")</f>
        <v>Artyom Bogucharskiy</v>
      </c>
      <c r="S2559" s="5" t="str">
        <f>IFERROR(__xludf.DUMMYFUNCTION("""COMPUTED_VALUE"""),"Estrela 2")</f>
        <v>Estrela 2</v>
      </c>
    </row>
    <row r="2560">
      <c r="G2560" s="5" t="str">
        <f>IFERROR(__xludf.DUMMYFUNCTION("""COMPUTED_VALUE"""),"640🤙🏼Lilja 4-ever🤙🏼Pavel Ponomaryov🤙🏼Estrela 3")</f>
        <v>640🤙🏼Lilja 4-ever🤙🏼Pavel Ponomaryov🤙🏼Estrela 3</v>
      </c>
      <c r="H2560" s="5">
        <f>IFERROR(__xludf.DUMMYFUNCTION("SPLiT(G2560, ""🤙🏼"",FALSE,FALSE)"),640.0)</f>
        <v>640</v>
      </c>
      <c r="I2560" s="5" t="str">
        <f>IFERROR(__xludf.DUMMYFUNCTION("""COMPUTED_VALUE"""),"Lilja 4-ever")</f>
        <v>Lilja 4-ever</v>
      </c>
      <c r="J2560" s="5" t="str">
        <f>IFERROR(__xludf.DUMMYFUNCTION("""COMPUTED_VALUE"""),"Pavel Ponomaryov")</f>
        <v>Pavel Ponomaryov</v>
      </c>
      <c r="K2560" s="5" t="str">
        <f>IFERROR(__xludf.DUMMYFUNCTION("""COMPUTED_VALUE"""),"Estrela 3")</f>
        <v>Estrela 3</v>
      </c>
      <c r="P2560" s="5">
        <f>IFERROR(__xludf.DUMMYFUNCTION("""COMPUTED_VALUE"""),640.0)</f>
        <v>640</v>
      </c>
      <c r="Q2560" s="5" t="str">
        <f>IFERROR(__xludf.DUMMYFUNCTION("""COMPUTED_VALUE"""),"Lilja 4-ever")</f>
        <v>Lilja 4-ever</v>
      </c>
      <c r="R2560" s="5" t="str">
        <f>IFERROR(__xludf.DUMMYFUNCTION("""COMPUTED_VALUE"""),"Pavel Ponomaryov")</f>
        <v>Pavel Ponomaryov</v>
      </c>
      <c r="S2560" s="5" t="str">
        <f>IFERROR(__xludf.DUMMYFUNCTION("""COMPUTED_VALUE"""),"Estrela 3")</f>
        <v>Estrela 3</v>
      </c>
    </row>
    <row r="2561">
      <c r="G2561" s="5" t="str">
        <f>IFERROR(__xludf.DUMMYFUNCTION("""COMPUTED_VALUE"""),"640🤙🏼Lilja 4-ever🤙🏼Lyubov Agapova🤙🏼Estrela 4")</f>
        <v>640🤙🏼Lilja 4-ever🤙🏼Lyubov Agapova🤙🏼Estrela 4</v>
      </c>
      <c r="H2561" s="5">
        <f>IFERROR(__xludf.DUMMYFUNCTION("SPLiT(G2561, ""🤙🏼"",FALSE,FALSE)"),640.0)</f>
        <v>640</v>
      </c>
      <c r="I2561" s="5" t="str">
        <f>IFERROR(__xludf.DUMMYFUNCTION("""COMPUTED_VALUE"""),"Lilja 4-ever")</f>
        <v>Lilja 4-ever</v>
      </c>
      <c r="J2561" s="5" t="str">
        <f>IFERROR(__xludf.DUMMYFUNCTION("""COMPUTED_VALUE"""),"Lyubov Agapova")</f>
        <v>Lyubov Agapova</v>
      </c>
      <c r="K2561" s="5" t="str">
        <f>IFERROR(__xludf.DUMMYFUNCTION("""COMPUTED_VALUE"""),"Estrela 4")</f>
        <v>Estrela 4</v>
      </c>
      <c r="P2561" s="5">
        <f>IFERROR(__xludf.DUMMYFUNCTION("""COMPUTED_VALUE"""),640.0)</f>
        <v>640</v>
      </c>
      <c r="Q2561" s="5" t="str">
        <f>IFERROR(__xludf.DUMMYFUNCTION("""COMPUTED_VALUE"""),"Lilja 4-ever")</f>
        <v>Lilja 4-ever</v>
      </c>
      <c r="R2561" s="5" t="str">
        <f>IFERROR(__xludf.DUMMYFUNCTION("""COMPUTED_VALUE"""),"Lyubov Agapova")</f>
        <v>Lyubov Agapova</v>
      </c>
      <c r="S2561" s="5" t="str">
        <f>IFERROR(__xludf.DUMMYFUNCTION("""COMPUTED_VALUE"""),"Estrela 4")</f>
        <v>Estrela 4</v>
      </c>
    </row>
    <row r="2562">
      <c r="G2562" s="5" t="str">
        <f>IFERROR(__xludf.DUMMYFUNCTION("""COMPUTED_VALUE"""),"641🤙🏼Les triplettes de Belleville🤙🏼Michèle Caucheteux🤙🏼Estrela 1")</f>
        <v>641🤙🏼Les triplettes de Belleville🤙🏼Michèle Caucheteux🤙🏼Estrela 1</v>
      </c>
      <c r="H2562" s="5">
        <f>IFERROR(__xludf.DUMMYFUNCTION("SPLiT(G2562, ""🤙🏼"",FALSE,FALSE)"),641.0)</f>
        <v>641</v>
      </c>
      <c r="I2562" s="5" t="str">
        <f>IFERROR(__xludf.DUMMYFUNCTION("""COMPUTED_VALUE"""),"Les triplettes de Belleville")</f>
        <v>Les triplettes de Belleville</v>
      </c>
      <c r="J2562" s="5" t="str">
        <f>IFERROR(__xludf.DUMMYFUNCTION("""COMPUTED_VALUE"""),"Michèle Caucheteux")</f>
        <v>Michèle Caucheteux</v>
      </c>
      <c r="K2562" s="5" t="str">
        <f>IFERROR(__xludf.DUMMYFUNCTION("""COMPUTED_VALUE"""),"Estrela 1")</f>
        <v>Estrela 1</v>
      </c>
      <c r="P2562" s="5">
        <f>IFERROR(__xludf.DUMMYFUNCTION("""COMPUTED_VALUE"""),641.0)</f>
        <v>641</v>
      </c>
      <c r="Q2562" s="5" t="str">
        <f>IFERROR(__xludf.DUMMYFUNCTION("""COMPUTED_VALUE"""),"Les triplettes de Belleville")</f>
        <v>Les triplettes de Belleville</v>
      </c>
      <c r="R2562" s="5" t="str">
        <f>IFERROR(__xludf.DUMMYFUNCTION("""COMPUTED_VALUE"""),"Michèle Caucheteux")</f>
        <v>Michèle Caucheteux</v>
      </c>
      <c r="S2562" s="5" t="str">
        <f>IFERROR(__xludf.DUMMYFUNCTION("""COMPUTED_VALUE"""),"Estrela 1")</f>
        <v>Estrela 1</v>
      </c>
    </row>
    <row r="2563">
      <c r="G2563" s="5" t="str">
        <f>IFERROR(__xludf.DUMMYFUNCTION("""COMPUTED_VALUE"""),"641🤙🏼Les triplettes de Belleville🤙🏼Jean-Claude Donda🤙🏼Estrela 2")</f>
        <v>641🤙🏼Les triplettes de Belleville🤙🏼Jean-Claude Donda🤙🏼Estrela 2</v>
      </c>
      <c r="H2563" s="5">
        <f>IFERROR(__xludf.DUMMYFUNCTION("SPLiT(G2563, ""🤙🏼"",FALSE,FALSE)"),641.0)</f>
        <v>641</v>
      </c>
      <c r="I2563" s="5" t="str">
        <f>IFERROR(__xludf.DUMMYFUNCTION("""COMPUTED_VALUE"""),"Les triplettes de Belleville")</f>
        <v>Les triplettes de Belleville</v>
      </c>
      <c r="J2563" s="5" t="str">
        <f>IFERROR(__xludf.DUMMYFUNCTION("""COMPUTED_VALUE"""),"Jean-Claude Donda")</f>
        <v>Jean-Claude Donda</v>
      </c>
      <c r="K2563" s="5" t="str">
        <f>IFERROR(__xludf.DUMMYFUNCTION("""COMPUTED_VALUE"""),"Estrela 2")</f>
        <v>Estrela 2</v>
      </c>
      <c r="P2563" s="5">
        <f>IFERROR(__xludf.DUMMYFUNCTION("""COMPUTED_VALUE"""),641.0)</f>
        <v>641</v>
      </c>
      <c r="Q2563" s="5" t="str">
        <f>IFERROR(__xludf.DUMMYFUNCTION("""COMPUTED_VALUE"""),"Les triplettes de Belleville")</f>
        <v>Les triplettes de Belleville</v>
      </c>
      <c r="R2563" s="5" t="str">
        <f>IFERROR(__xludf.DUMMYFUNCTION("""COMPUTED_VALUE"""),"Jean-Claude Donda")</f>
        <v>Jean-Claude Donda</v>
      </c>
      <c r="S2563" s="5" t="str">
        <f>IFERROR(__xludf.DUMMYFUNCTION("""COMPUTED_VALUE"""),"Estrela 2")</f>
        <v>Estrela 2</v>
      </c>
    </row>
    <row r="2564">
      <c r="G2564" s="5" t="str">
        <f>IFERROR(__xludf.DUMMYFUNCTION("""COMPUTED_VALUE"""),"641🤙🏼Les triplettes de Belleville🤙🏼Michel Robin🤙🏼Estrela 3")</f>
        <v>641🤙🏼Les triplettes de Belleville🤙🏼Michel Robin🤙🏼Estrela 3</v>
      </c>
      <c r="H2564" s="5">
        <f>IFERROR(__xludf.DUMMYFUNCTION("SPLiT(G2564, ""🤙🏼"",FALSE,FALSE)"),641.0)</f>
        <v>641</v>
      </c>
      <c r="I2564" s="5" t="str">
        <f>IFERROR(__xludf.DUMMYFUNCTION("""COMPUTED_VALUE"""),"Les triplettes de Belleville")</f>
        <v>Les triplettes de Belleville</v>
      </c>
      <c r="J2564" s="5" t="str">
        <f>IFERROR(__xludf.DUMMYFUNCTION("""COMPUTED_VALUE"""),"Michel Robin")</f>
        <v>Michel Robin</v>
      </c>
      <c r="K2564" s="5" t="str">
        <f>IFERROR(__xludf.DUMMYFUNCTION("""COMPUTED_VALUE"""),"Estrela 3")</f>
        <v>Estrela 3</v>
      </c>
      <c r="P2564" s="5">
        <f>IFERROR(__xludf.DUMMYFUNCTION("""COMPUTED_VALUE"""),641.0)</f>
        <v>641</v>
      </c>
      <c r="Q2564" s="5" t="str">
        <f>IFERROR(__xludf.DUMMYFUNCTION("""COMPUTED_VALUE"""),"Les triplettes de Belleville")</f>
        <v>Les triplettes de Belleville</v>
      </c>
      <c r="R2564" s="5" t="str">
        <f>IFERROR(__xludf.DUMMYFUNCTION("""COMPUTED_VALUE"""),"Michel Robin")</f>
        <v>Michel Robin</v>
      </c>
      <c r="S2564" s="5" t="str">
        <f>IFERROR(__xludf.DUMMYFUNCTION("""COMPUTED_VALUE"""),"Estrela 3")</f>
        <v>Estrela 3</v>
      </c>
    </row>
    <row r="2565">
      <c r="G2565" s="5" t="str">
        <f>IFERROR(__xludf.DUMMYFUNCTION("""COMPUTED_VALUE"""),"641🤙🏼Les triplettes de Belleville🤙🏼Monica Viegas🤙🏼Estrela 4")</f>
        <v>641🤙🏼Les triplettes de Belleville🤙🏼Monica Viegas🤙🏼Estrela 4</v>
      </c>
      <c r="H2565" s="5">
        <f>IFERROR(__xludf.DUMMYFUNCTION("SPLiT(G2565, ""🤙🏼"",FALSE,FALSE)"),641.0)</f>
        <v>641</v>
      </c>
      <c r="I2565" s="5" t="str">
        <f>IFERROR(__xludf.DUMMYFUNCTION("""COMPUTED_VALUE"""),"Les triplettes de Belleville")</f>
        <v>Les triplettes de Belleville</v>
      </c>
      <c r="J2565" s="5" t="str">
        <f>IFERROR(__xludf.DUMMYFUNCTION("""COMPUTED_VALUE"""),"Monica Viegas")</f>
        <v>Monica Viegas</v>
      </c>
      <c r="K2565" s="5" t="str">
        <f>IFERROR(__xludf.DUMMYFUNCTION("""COMPUTED_VALUE"""),"Estrela 4")</f>
        <v>Estrela 4</v>
      </c>
      <c r="P2565" s="5">
        <f>IFERROR(__xludf.DUMMYFUNCTION("""COMPUTED_VALUE"""),641.0)</f>
        <v>641</v>
      </c>
      <c r="Q2565" s="5" t="str">
        <f>IFERROR(__xludf.DUMMYFUNCTION("""COMPUTED_VALUE"""),"Les triplettes de Belleville")</f>
        <v>Les triplettes de Belleville</v>
      </c>
      <c r="R2565" s="5" t="str">
        <f>IFERROR(__xludf.DUMMYFUNCTION("""COMPUTED_VALUE"""),"Monica Viegas")</f>
        <v>Monica Viegas</v>
      </c>
      <c r="S2565" s="5" t="str">
        <f>IFERROR(__xludf.DUMMYFUNCTION("""COMPUTED_VALUE"""),"Estrela 4")</f>
        <v>Estrela 4</v>
      </c>
    </row>
    <row r="2566">
      <c r="G2566" s="5" t="str">
        <f>IFERROR(__xludf.DUMMYFUNCTION("""COMPUTED_VALUE"""),"642🤙🏼Gongdong gyeongbi guyeok JSA🤙🏼Lee Yeong-ae🤙🏼Estrela 1")</f>
        <v>642🤙🏼Gongdong gyeongbi guyeok JSA🤙🏼Lee Yeong-ae🤙🏼Estrela 1</v>
      </c>
      <c r="H2566" s="5">
        <f>IFERROR(__xludf.DUMMYFUNCTION("SPLiT(G2566, ""🤙🏼"",FALSE,FALSE)"),642.0)</f>
        <v>642</v>
      </c>
      <c r="I2566" s="5" t="str">
        <f>IFERROR(__xludf.DUMMYFUNCTION("""COMPUTED_VALUE"""),"Gongdong gyeongbi guyeok JSA")</f>
        <v>Gongdong gyeongbi guyeok JSA</v>
      </c>
      <c r="J2566" s="5" t="str">
        <f>IFERROR(__xludf.DUMMYFUNCTION("""COMPUTED_VALUE"""),"Lee Yeong-ae")</f>
        <v>Lee Yeong-ae</v>
      </c>
      <c r="K2566" s="5" t="str">
        <f>IFERROR(__xludf.DUMMYFUNCTION("""COMPUTED_VALUE"""),"Estrela 1")</f>
        <v>Estrela 1</v>
      </c>
      <c r="P2566" s="5">
        <f>IFERROR(__xludf.DUMMYFUNCTION("""COMPUTED_VALUE"""),642.0)</f>
        <v>642</v>
      </c>
      <c r="Q2566" s="5" t="str">
        <f>IFERROR(__xludf.DUMMYFUNCTION("""COMPUTED_VALUE"""),"Gongdong gyeongbi guyeok JSA")</f>
        <v>Gongdong gyeongbi guyeok JSA</v>
      </c>
      <c r="R2566" s="5" t="str">
        <f>IFERROR(__xludf.DUMMYFUNCTION("""COMPUTED_VALUE"""),"Lee Yeong-ae")</f>
        <v>Lee Yeong-ae</v>
      </c>
      <c r="S2566" s="5" t="str">
        <f>IFERROR(__xludf.DUMMYFUNCTION("""COMPUTED_VALUE"""),"Estrela 1")</f>
        <v>Estrela 1</v>
      </c>
    </row>
    <row r="2567">
      <c r="G2567" s="5" t="str">
        <f>IFERROR(__xludf.DUMMYFUNCTION("""COMPUTED_VALUE"""),"642🤙🏼Gongdong gyeongbi guyeok JSA🤙🏼Lee Byung-Hun🤙🏼Estrela 2")</f>
        <v>642🤙🏼Gongdong gyeongbi guyeok JSA🤙🏼Lee Byung-Hun🤙🏼Estrela 2</v>
      </c>
      <c r="H2567" s="5">
        <f>IFERROR(__xludf.DUMMYFUNCTION("SPLiT(G2567, ""🤙🏼"",FALSE,FALSE)"),642.0)</f>
        <v>642</v>
      </c>
      <c r="I2567" s="5" t="str">
        <f>IFERROR(__xludf.DUMMYFUNCTION("""COMPUTED_VALUE"""),"Gongdong gyeongbi guyeok JSA")</f>
        <v>Gongdong gyeongbi guyeok JSA</v>
      </c>
      <c r="J2567" s="5" t="str">
        <f>IFERROR(__xludf.DUMMYFUNCTION("""COMPUTED_VALUE"""),"Lee Byung-Hun")</f>
        <v>Lee Byung-Hun</v>
      </c>
      <c r="K2567" s="5" t="str">
        <f>IFERROR(__xludf.DUMMYFUNCTION("""COMPUTED_VALUE"""),"Estrela 2")</f>
        <v>Estrela 2</v>
      </c>
      <c r="P2567" s="5">
        <f>IFERROR(__xludf.DUMMYFUNCTION("""COMPUTED_VALUE"""),642.0)</f>
        <v>642</v>
      </c>
      <c r="Q2567" s="5" t="str">
        <f>IFERROR(__xludf.DUMMYFUNCTION("""COMPUTED_VALUE"""),"Gongdong gyeongbi guyeok JSA")</f>
        <v>Gongdong gyeongbi guyeok JSA</v>
      </c>
      <c r="R2567" s="5" t="str">
        <f>IFERROR(__xludf.DUMMYFUNCTION("""COMPUTED_VALUE"""),"Lee Byung-Hun")</f>
        <v>Lee Byung-Hun</v>
      </c>
      <c r="S2567" s="5" t="str">
        <f>IFERROR(__xludf.DUMMYFUNCTION("""COMPUTED_VALUE"""),"Estrela 2")</f>
        <v>Estrela 2</v>
      </c>
    </row>
    <row r="2568">
      <c r="G2568" s="5" t="str">
        <f>IFERROR(__xludf.DUMMYFUNCTION("""COMPUTED_VALUE"""),"642🤙🏼Gongdong gyeongbi guyeok JSA🤙🏼Kang-ho Song🤙🏼Estrela 3")</f>
        <v>642🤙🏼Gongdong gyeongbi guyeok JSA🤙🏼Kang-ho Song🤙🏼Estrela 3</v>
      </c>
      <c r="H2568" s="5">
        <f>IFERROR(__xludf.DUMMYFUNCTION("SPLiT(G2568, ""🤙🏼"",FALSE,FALSE)"),642.0)</f>
        <v>642</v>
      </c>
      <c r="I2568" s="5" t="str">
        <f>IFERROR(__xludf.DUMMYFUNCTION("""COMPUTED_VALUE"""),"Gongdong gyeongbi guyeok JSA")</f>
        <v>Gongdong gyeongbi guyeok JSA</v>
      </c>
      <c r="J2568" s="5" t="str">
        <f>IFERROR(__xludf.DUMMYFUNCTION("""COMPUTED_VALUE"""),"Kang-ho Song")</f>
        <v>Kang-ho Song</v>
      </c>
      <c r="K2568" s="5" t="str">
        <f>IFERROR(__xludf.DUMMYFUNCTION("""COMPUTED_VALUE"""),"Estrela 3")</f>
        <v>Estrela 3</v>
      </c>
      <c r="P2568" s="5">
        <f>IFERROR(__xludf.DUMMYFUNCTION("""COMPUTED_VALUE"""),642.0)</f>
        <v>642</v>
      </c>
      <c r="Q2568" s="5" t="str">
        <f>IFERROR(__xludf.DUMMYFUNCTION("""COMPUTED_VALUE"""),"Gongdong gyeongbi guyeok JSA")</f>
        <v>Gongdong gyeongbi guyeok JSA</v>
      </c>
      <c r="R2568" s="5" t="str">
        <f>IFERROR(__xludf.DUMMYFUNCTION("""COMPUTED_VALUE"""),"Kang-ho Song")</f>
        <v>Kang-ho Song</v>
      </c>
      <c r="S2568" s="5" t="str">
        <f>IFERROR(__xludf.DUMMYFUNCTION("""COMPUTED_VALUE"""),"Estrela 3")</f>
        <v>Estrela 3</v>
      </c>
    </row>
    <row r="2569">
      <c r="G2569" s="5" t="str">
        <f>IFERROR(__xludf.DUMMYFUNCTION("""COMPUTED_VALUE"""),"642🤙🏼Gongdong gyeongbi guyeok JSA🤙🏼Kim Tae-Woo🤙🏼Estrela 4")</f>
        <v>642🤙🏼Gongdong gyeongbi guyeok JSA🤙🏼Kim Tae-Woo🤙🏼Estrela 4</v>
      </c>
      <c r="H2569" s="5">
        <f>IFERROR(__xludf.DUMMYFUNCTION("SPLiT(G2569, ""🤙🏼"",FALSE,FALSE)"),642.0)</f>
        <v>642</v>
      </c>
      <c r="I2569" s="5" t="str">
        <f>IFERROR(__xludf.DUMMYFUNCTION("""COMPUTED_VALUE"""),"Gongdong gyeongbi guyeok JSA")</f>
        <v>Gongdong gyeongbi guyeok JSA</v>
      </c>
      <c r="J2569" s="5" t="str">
        <f>IFERROR(__xludf.DUMMYFUNCTION("""COMPUTED_VALUE"""),"Kim Tae-Woo")</f>
        <v>Kim Tae-Woo</v>
      </c>
      <c r="K2569" s="5" t="str">
        <f>IFERROR(__xludf.DUMMYFUNCTION("""COMPUTED_VALUE"""),"Estrela 4")</f>
        <v>Estrela 4</v>
      </c>
      <c r="P2569" s="5">
        <f>IFERROR(__xludf.DUMMYFUNCTION("""COMPUTED_VALUE"""),642.0)</f>
        <v>642</v>
      </c>
      <c r="Q2569" s="5" t="str">
        <f>IFERROR(__xludf.DUMMYFUNCTION("""COMPUTED_VALUE"""),"Gongdong gyeongbi guyeok JSA")</f>
        <v>Gongdong gyeongbi guyeok JSA</v>
      </c>
      <c r="R2569" s="5" t="str">
        <f>IFERROR(__xludf.DUMMYFUNCTION("""COMPUTED_VALUE"""),"Kim Tae-Woo")</f>
        <v>Kim Tae-Woo</v>
      </c>
      <c r="S2569" s="5" t="str">
        <f>IFERROR(__xludf.DUMMYFUNCTION("""COMPUTED_VALUE"""),"Estrela 4")</f>
        <v>Estrela 4</v>
      </c>
    </row>
    <row r="2570">
      <c r="G2570" s="5" t="str">
        <f>IFERROR(__xludf.DUMMYFUNCTION("""COMPUTED_VALUE"""),"643🤙🏼The Count of Monte Cristo🤙🏼Jim Caviezel🤙🏼Estrela 1")</f>
        <v>643🤙🏼The Count of Monte Cristo🤙🏼Jim Caviezel🤙🏼Estrela 1</v>
      </c>
      <c r="H2570" s="5">
        <f>IFERROR(__xludf.DUMMYFUNCTION("SPLiT(G2570, ""🤙🏼"",FALSE,FALSE)"),643.0)</f>
        <v>643</v>
      </c>
      <c r="I2570" s="5" t="str">
        <f>IFERROR(__xludf.DUMMYFUNCTION("""COMPUTED_VALUE"""),"The Count of Monte Cristo")</f>
        <v>The Count of Monte Cristo</v>
      </c>
      <c r="J2570" s="5" t="str">
        <f>IFERROR(__xludf.DUMMYFUNCTION("""COMPUTED_VALUE"""),"Jim Caviezel")</f>
        <v>Jim Caviezel</v>
      </c>
      <c r="K2570" s="5" t="str">
        <f>IFERROR(__xludf.DUMMYFUNCTION("""COMPUTED_VALUE"""),"Estrela 1")</f>
        <v>Estrela 1</v>
      </c>
      <c r="P2570" s="5">
        <f>IFERROR(__xludf.DUMMYFUNCTION("""COMPUTED_VALUE"""),643.0)</f>
        <v>643</v>
      </c>
      <c r="Q2570" s="5" t="str">
        <f>IFERROR(__xludf.DUMMYFUNCTION("""COMPUTED_VALUE"""),"The Count of Monte Cristo")</f>
        <v>The Count of Monte Cristo</v>
      </c>
      <c r="R2570" s="5" t="str">
        <f>IFERROR(__xludf.DUMMYFUNCTION("""COMPUTED_VALUE"""),"Jim Caviezel")</f>
        <v>Jim Caviezel</v>
      </c>
      <c r="S2570" s="5" t="str">
        <f>IFERROR(__xludf.DUMMYFUNCTION("""COMPUTED_VALUE"""),"Estrela 1")</f>
        <v>Estrela 1</v>
      </c>
    </row>
    <row r="2571">
      <c r="G2571" s="5" t="str">
        <f>IFERROR(__xludf.DUMMYFUNCTION("""COMPUTED_VALUE"""),"643🤙🏼The Count of Monte Cristo🤙🏼Guy Pearce🤙🏼Estrela 2")</f>
        <v>643🤙🏼The Count of Monte Cristo🤙🏼Guy Pearce🤙🏼Estrela 2</v>
      </c>
      <c r="H2571" s="5">
        <f>IFERROR(__xludf.DUMMYFUNCTION("SPLiT(G2571, ""🤙🏼"",FALSE,FALSE)"),643.0)</f>
        <v>643</v>
      </c>
      <c r="I2571" s="5" t="str">
        <f>IFERROR(__xludf.DUMMYFUNCTION("""COMPUTED_VALUE"""),"The Count of Monte Cristo")</f>
        <v>The Count of Monte Cristo</v>
      </c>
      <c r="J2571" s="5" t="str">
        <f>IFERROR(__xludf.DUMMYFUNCTION("""COMPUTED_VALUE"""),"Guy Pearce")</f>
        <v>Guy Pearce</v>
      </c>
      <c r="K2571" s="5" t="str">
        <f>IFERROR(__xludf.DUMMYFUNCTION("""COMPUTED_VALUE"""),"Estrela 2")</f>
        <v>Estrela 2</v>
      </c>
      <c r="P2571" s="5">
        <f>IFERROR(__xludf.DUMMYFUNCTION("""COMPUTED_VALUE"""),643.0)</f>
        <v>643</v>
      </c>
      <c r="Q2571" s="5" t="str">
        <f>IFERROR(__xludf.DUMMYFUNCTION("""COMPUTED_VALUE"""),"The Count of Monte Cristo")</f>
        <v>The Count of Monte Cristo</v>
      </c>
      <c r="R2571" s="5" t="str">
        <f>IFERROR(__xludf.DUMMYFUNCTION("""COMPUTED_VALUE"""),"Guy Pearce")</f>
        <v>Guy Pearce</v>
      </c>
      <c r="S2571" s="5" t="str">
        <f>IFERROR(__xludf.DUMMYFUNCTION("""COMPUTED_VALUE"""),"Estrela 2")</f>
        <v>Estrela 2</v>
      </c>
    </row>
    <row r="2572">
      <c r="G2572" s="5" t="str">
        <f>IFERROR(__xludf.DUMMYFUNCTION("""COMPUTED_VALUE"""),"643🤙🏼The Count of Monte Cristo🤙🏼Christopher Adamson🤙🏼Estrela 3")</f>
        <v>643🤙🏼The Count of Monte Cristo🤙🏼Christopher Adamson🤙🏼Estrela 3</v>
      </c>
      <c r="H2572" s="5">
        <f>IFERROR(__xludf.DUMMYFUNCTION("SPLiT(G2572, ""🤙🏼"",FALSE,FALSE)"),643.0)</f>
        <v>643</v>
      </c>
      <c r="I2572" s="5" t="str">
        <f>IFERROR(__xludf.DUMMYFUNCTION("""COMPUTED_VALUE"""),"The Count of Monte Cristo")</f>
        <v>The Count of Monte Cristo</v>
      </c>
      <c r="J2572" s="5" t="str">
        <f>IFERROR(__xludf.DUMMYFUNCTION("""COMPUTED_VALUE"""),"Christopher Adamson")</f>
        <v>Christopher Adamson</v>
      </c>
      <c r="K2572" s="5" t="str">
        <f>IFERROR(__xludf.DUMMYFUNCTION("""COMPUTED_VALUE"""),"Estrela 3")</f>
        <v>Estrela 3</v>
      </c>
      <c r="P2572" s="5">
        <f>IFERROR(__xludf.DUMMYFUNCTION("""COMPUTED_VALUE"""),643.0)</f>
        <v>643</v>
      </c>
      <c r="Q2572" s="5" t="str">
        <f>IFERROR(__xludf.DUMMYFUNCTION("""COMPUTED_VALUE"""),"The Count of Monte Cristo")</f>
        <v>The Count of Monte Cristo</v>
      </c>
      <c r="R2572" s="5" t="str">
        <f>IFERROR(__xludf.DUMMYFUNCTION("""COMPUTED_VALUE"""),"Christopher Adamson")</f>
        <v>Christopher Adamson</v>
      </c>
      <c r="S2572" s="5" t="str">
        <f>IFERROR(__xludf.DUMMYFUNCTION("""COMPUTED_VALUE"""),"Estrela 3")</f>
        <v>Estrela 3</v>
      </c>
    </row>
    <row r="2573">
      <c r="G2573" s="5" t="str">
        <f>IFERROR(__xludf.DUMMYFUNCTION("""COMPUTED_VALUE"""),"643🤙🏼The Count of Monte Cristo🤙🏼JB Blanc🤙🏼Estrela 4")</f>
        <v>643🤙🏼The Count of Monte Cristo🤙🏼JB Blanc🤙🏼Estrela 4</v>
      </c>
      <c r="H2573" s="5">
        <f>IFERROR(__xludf.DUMMYFUNCTION("SPLiT(G2573, ""🤙🏼"",FALSE,FALSE)"),643.0)</f>
        <v>643</v>
      </c>
      <c r="I2573" s="5" t="str">
        <f>IFERROR(__xludf.DUMMYFUNCTION("""COMPUTED_VALUE"""),"The Count of Monte Cristo")</f>
        <v>The Count of Monte Cristo</v>
      </c>
      <c r="J2573" s="5" t="str">
        <f>IFERROR(__xludf.DUMMYFUNCTION("""COMPUTED_VALUE"""),"JB Blanc")</f>
        <v>JB Blanc</v>
      </c>
      <c r="K2573" s="5" t="str">
        <f>IFERROR(__xludf.DUMMYFUNCTION("""COMPUTED_VALUE"""),"Estrela 4")</f>
        <v>Estrela 4</v>
      </c>
      <c r="P2573" s="5">
        <f>IFERROR(__xludf.DUMMYFUNCTION("""COMPUTED_VALUE"""),643.0)</f>
        <v>643</v>
      </c>
      <c r="Q2573" s="5" t="str">
        <f>IFERROR(__xludf.DUMMYFUNCTION("""COMPUTED_VALUE"""),"The Count of Monte Cristo")</f>
        <v>The Count of Monte Cristo</v>
      </c>
      <c r="R2573" s="5" t="str">
        <f>IFERROR(__xludf.DUMMYFUNCTION("""COMPUTED_VALUE"""),"JB Blanc")</f>
        <v>JB Blanc</v>
      </c>
      <c r="S2573" s="5" t="str">
        <f>IFERROR(__xludf.DUMMYFUNCTION("""COMPUTED_VALUE"""),"Estrela 4")</f>
        <v>Estrela 4</v>
      </c>
    </row>
    <row r="2574">
      <c r="G2574" s="5" t="str">
        <f>IFERROR(__xludf.DUMMYFUNCTION("""COMPUTED_VALUE"""),"644🤙🏼Waking Life🤙🏼Ethan Hawke🤙🏼Estrela 1")</f>
        <v>644🤙🏼Waking Life🤙🏼Ethan Hawke🤙🏼Estrela 1</v>
      </c>
      <c r="H2574" s="5">
        <f>IFERROR(__xludf.DUMMYFUNCTION("SPLiT(G2574, ""🤙🏼"",FALSE,FALSE)"),644.0)</f>
        <v>644</v>
      </c>
      <c r="I2574" s="5" t="str">
        <f>IFERROR(__xludf.DUMMYFUNCTION("""COMPUTED_VALUE"""),"Waking Life")</f>
        <v>Waking Life</v>
      </c>
      <c r="J2574" s="5" t="str">
        <f>IFERROR(__xludf.DUMMYFUNCTION("""COMPUTED_VALUE"""),"Ethan Hawke")</f>
        <v>Ethan Hawke</v>
      </c>
      <c r="K2574" s="5" t="str">
        <f>IFERROR(__xludf.DUMMYFUNCTION("""COMPUTED_VALUE"""),"Estrela 1")</f>
        <v>Estrela 1</v>
      </c>
      <c r="P2574" s="5">
        <f>IFERROR(__xludf.DUMMYFUNCTION("""COMPUTED_VALUE"""),644.0)</f>
        <v>644</v>
      </c>
      <c r="Q2574" s="5" t="str">
        <f>IFERROR(__xludf.DUMMYFUNCTION("""COMPUTED_VALUE"""),"Waking Life")</f>
        <v>Waking Life</v>
      </c>
      <c r="R2574" s="5" t="str">
        <f>IFERROR(__xludf.DUMMYFUNCTION("""COMPUTED_VALUE"""),"Ethan Hawke")</f>
        <v>Ethan Hawke</v>
      </c>
      <c r="S2574" s="5" t="str">
        <f>IFERROR(__xludf.DUMMYFUNCTION("""COMPUTED_VALUE"""),"Estrela 1")</f>
        <v>Estrela 1</v>
      </c>
    </row>
    <row r="2575">
      <c r="G2575" s="5" t="str">
        <f>IFERROR(__xludf.DUMMYFUNCTION("""COMPUTED_VALUE"""),"644🤙🏼Waking Life🤙🏼Trevor Jack Brooks🤙🏼Estrela 2")</f>
        <v>644🤙🏼Waking Life🤙🏼Trevor Jack Brooks🤙🏼Estrela 2</v>
      </c>
      <c r="H2575" s="5">
        <f>IFERROR(__xludf.DUMMYFUNCTION("SPLiT(G2575, ""🤙🏼"",FALSE,FALSE)"),644.0)</f>
        <v>644</v>
      </c>
      <c r="I2575" s="5" t="str">
        <f>IFERROR(__xludf.DUMMYFUNCTION("""COMPUTED_VALUE"""),"Waking Life")</f>
        <v>Waking Life</v>
      </c>
      <c r="J2575" s="5" t="str">
        <f>IFERROR(__xludf.DUMMYFUNCTION("""COMPUTED_VALUE"""),"Trevor Jack Brooks")</f>
        <v>Trevor Jack Brooks</v>
      </c>
      <c r="K2575" s="5" t="str">
        <f>IFERROR(__xludf.DUMMYFUNCTION("""COMPUTED_VALUE"""),"Estrela 2")</f>
        <v>Estrela 2</v>
      </c>
      <c r="P2575" s="5">
        <f>IFERROR(__xludf.DUMMYFUNCTION("""COMPUTED_VALUE"""),644.0)</f>
        <v>644</v>
      </c>
      <c r="Q2575" s="5" t="str">
        <f>IFERROR(__xludf.DUMMYFUNCTION("""COMPUTED_VALUE"""),"Waking Life")</f>
        <v>Waking Life</v>
      </c>
      <c r="R2575" s="5" t="str">
        <f>IFERROR(__xludf.DUMMYFUNCTION("""COMPUTED_VALUE"""),"Trevor Jack Brooks")</f>
        <v>Trevor Jack Brooks</v>
      </c>
      <c r="S2575" s="5" t="str">
        <f>IFERROR(__xludf.DUMMYFUNCTION("""COMPUTED_VALUE"""),"Estrela 2")</f>
        <v>Estrela 2</v>
      </c>
    </row>
    <row r="2576">
      <c r="G2576" s="5" t="str">
        <f>IFERROR(__xludf.DUMMYFUNCTION("""COMPUTED_VALUE"""),"644🤙🏼Waking Life🤙🏼Lorelei Linklater🤙🏼Estrela 3")</f>
        <v>644🤙🏼Waking Life🤙🏼Lorelei Linklater🤙🏼Estrela 3</v>
      </c>
      <c r="H2576" s="5">
        <f>IFERROR(__xludf.DUMMYFUNCTION("SPLiT(G2576, ""🤙🏼"",FALSE,FALSE)"),644.0)</f>
        <v>644</v>
      </c>
      <c r="I2576" s="5" t="str">
        <f>IFERROR(__xludf.DUMMYFUNCTION("""COMPUTED_VALUE"""),"Waking Life")</f>
        <v>Waking Life</v>
      </c>
      <c r="J2576" s="5" t="str">
        <f>IFERROR(__xludf.DUMMYFUNCTION("""COMPUTED_VALUE"""),"Lorelei Linklater")</f>
        <v>Lorelei Linklater</v>
      </c>
      <c r="K2576" s="5" t="str">
        <f>IFERROR(__xludf.DUMMYFUNCTION("""COMPUTED_VALUE"""),"Estrela 3")</f>
        <v>Estrela 3</v>
      </c>
      <c r="P2576" s="5">
        <f>IFERROR(__xludf.DUMMYFUNCTION("""COMPUTED_VALUE"""),644.0)</f>
        <v>644</v>
      </c>
      <c r="Q2576" s="5" t="str">
        <f>IFERROR(__xludf.DUMMYFUNCTION("""COMPUTED_VALUE"""),"Waking Life")</f>
        <v>Waking Life</v>
      </c>
      <c r="R2576" s="5" t="str">
        <f>IFERROR(__xludf.DUMMYFUNCTION("""COMPUTED_VALUE"""),"Lorelei Linklater")</f>
        <v>Lorelei Linklater</v>
      </c>
      <c r="S2576" s="5" t="str">
        <f>IFERROR(__xludf.DUMMYFUNCTION("""COMPUTED_VALUE"""),"Estrela 3")</f>
        <v>Estrela 3</v>
      </c>
    </row>
    <row r="2577">
      <c r="G2577" s="5" t="str">
        <f>IFERROR(__xludf.DUMMYFUNCTION("""COMPUTED_VALUE"""),"644🤙🏼Waking Life🤙🏼Wiley Wiggins🤙🏼Estrela 4")</f>
        <v>644🤙🏼Waking Life🤙🏼Wiley Wiggins🤙🏼Estrela 4</v>
      </c>
      <c r="H2577" s="5">
        <f>IFERROR(__xludf.DUMMYFUNCTION("SPLiT(G2577, ""🤙🏼"",FALSE,FALSE)"),644.0)</f>
        <v>644</v>
      </c>
      <c r="I2577" s="5" t="str">
        <f>IFERROR(__xludf.DUMMYFUNCTION("""COMPUTED_VALUE"""),"Waking Life")</f>
        <v>Waking Life</v>
      </c>
      <c r="J2577" s="5" t="str">
        <f>IFERROR(__xludf.DUMMYFUNCTION("""COMPUTED_VALUE"""),"Wiley Wiggins")</f>
        <v>Wiley Wiggins</v>
      </c>
      <c r="K2577" s="5" t="str">
        <f>IFERROR(__xludf.DUMMYFUNCTION("""COMPUTED_VALUE"""),"Estrela 4")</f>
        <v>Estrela 4</v>
      </c>
      <c r="P2577" s="5">
        <f>IFERROR(__xludf.DUMMYFUNCTION("""COMPUTED_VALUE"""),644.0)</f>
        <v>644</v>
      </c>
      <c r="Q2577" s="5" t="str">
        <f>IFERROR(__xludf.DUMMYFUNCTION("""COMPUTED_VALUE"""),"Waking Life")</f>
        <v>Waking Life</v>
      </c>
      <c r="R2577" s="5" t="str">
        <f>IFERROR(__xludf.DUMMYFUNCTION("""COMPUTED_VALUE"""),"Wiley Wiggins")</f>
        <v>Wiley Wiggins</v>
      </c>
      <c r="S2577" s="5" t="str">
        <f>IFERROR(__xludf.DUMMYFUNCTION("""COMPUTED_VALUE"""),"Estrela 4")</f>
        <v>Estrela 4</v>
      </c>
    </row>
    <row r="2578">
      <c r="G2578" s="5" t="str">
        <f>IFERROR(__xludf.DUMMYFUNCTION("""COMPUTED_VALUE"""),"645🤙🏼Remember the Titans🤙🏼Denzel Washington🤙🏼Estrela 1")</f>
        <v>645🤙🏼Remember the Titans🤙🏼Denzel Washington🤙🏼Estrela 1</v>
      </c>
      <c r="H2578" s="5">
        <f>IFERROR(__xludf.DUMMYFUNCTION("SPLiT(G2578, ""🤙🏼"",FALSE,FALSE)"),645.0)</f>
        <v>645</v>
      </c>
      <c r="I2578" s="5" t="str">
        <f>IFERROR(__xludf.DUMMYFUNCTION("""COMPUTED_VALUE"""),"Remember the Titans")</f>
        <v>Remember the Titans</v>
      </c>
      <c r="J2578" s="5" t="str">
        <f>IFERROR(__xludf.DUMMYFUNCTION("""COMPUTED_VALUE"""),"Denzel Washington")</f>
        <v>Denzel Washington</v>
      </c>
      <c r="K2578" s="5" t="str">
        <f>IFERROR(__xludf.DUMMYFUNCTION("""COMPUTED_VALUE"""),"Estrela 1")</f>
        <v>Estrela 1</v>
      </c>
      <c r="P2578" s="5">
        <f>IFERROR(__xludf.DUMMYFUNCTION("""COMPUTED_VALUE"""),645.0)</f>
        <v>645</v>
      </c>
      <c r="Q2578" s="5" t="str">
        <f>IFERROR(__xludf.DUMMYFUNCTION("""COMPUTED_VALUE"""),"Remember the Titans")</f>
        <v>Remember the Titans</v>
      </c>
      <c r="R2578" s="5" t="str">
        <f>IFERROR(__xludf.DUMMYFUNCTION("""COMPUTED_VALUE"""),"Denzel Washington")</f>
        <v>Denzel Washington</v>
      </c>
      <c r="S2578" s="5" t="str">
        <f>IFERROR(__xludf.DUMMYFUNCTION("""COMPUTED_VALUE"""),"Estrela 1")</f>
        <v>Estrela 1</v>
      </c>
    </row>
    <row r="2579">
      <c r="G2579" s="5" t="str">
        <f>IFERROR(__xludf.DUMMYFUNCTION("""COMPUTED_VALUE"""),"645🤙🏼Remember the Titans🤙🏼Will Patton🤙🏼Estrela 2")</f>
        <v>645🤙🏼Remember the Titans🤙🏼Will Patton🤙🏼Estrela 2</v>
      </c>
      <c r="H2579" s="5">
        <f>IFERROR(__xludf.DUMMYFUNCTION("SPLiT(G2579, ""🤙🏼"",FALSE,FALSE)"),645.0)</f>
        <v>645</v>
      </c>
      <c r="I2579" s="5" t="str">
        <f>IFERROR(__xludf.DUMMYFUNCTION("""COMPUTED_VALUE"""),"Remember the Titans")</f>
        <v>Remember the Titans</v>
      </c>
      <c r="J2579" s="5" t="str">
        <f>IFERROR(__xludf.DUMMYFUNCTION("""COMPUTED_VALUE"""),"Will Patton")</f>
        <v>Will Patton</v>
      </c>
      <c r="K2579" s="5" t="str">
        <f>IFERROR(__xludf.DUMMYFUNCTION("""COMPUTED_VALUE"""),"Estrela 2")</f>
        <v>Estrela 2</v>
      </c>
      <c r="P2579" s="5">
        <f>IFERROR(__xludf.DUMMYFUNCTION("""COMPUTED_VALUE"""),645.0)</f>
        <v>645</v>
      </c>
      <c r="Q2579" s="5" t="str">
        <f>IFERROR(__xludf.DUMMYFUNCTION("""COMPUTED_VALUE"""),"Remember the Titans")</f>
        <v>Remember the Titans</v>
      </c>
      <c r="R2579" s="5" t="str">
        <f>IFERROR(__xludf.DUMMYFUNCTION("""COMPUTED_VALUE"""),"Will Patton")</f>
        <v>Will Patton</v>
      </c>
      <c r="S2579" s="5" t="str">
        <f>IFERROR(__xludf.DUMMYFUNCTION("""COMPUTED_VALUE"""),"Estrela 2")</f>
        <v>Estrela 2</v>
      </c>
    </row>
    <row r="2580">
      <c r="G2580" s="5" t="str">
        <f>IFERROR(__xludf.DUMMYFUNCTION("""COMPUTED_VALUE"""),"645🤙🏼Remember the Titans🤙🏼Wood Harris🤙🏼Estrela 3")</f>
        <v>645🤙🏼Remember the Titans🤙🏼Wood Harris🤙🏼Estrela 3</v>
      </c>
      <c r="H2580" s="5">
        <f>IFERROR(__xludf.DUMMYFUNCTION("SPLiT(G2580, ""🤙🏼"",FALSE,FALSE)"),645.0)</f>
        <v>645</v>
      </c>
      <c r="I2580" s="5" t="str">
        <f>IFERROR(__xludf.DUMMYFUNCTION("""COMPUTED_VALUE"""),"Remember the Titans")</f>
        <v>Remember the Titans</v>
      </c>
      <c r="J2580" s="5" t="str">
        <f>IFERROR(__xludf.DUMMYFUNCTION("""COMPUTED_VALUE"""),"Wood Harris")</f>
        <v>Wood Harris</v>
      </c>
      <c r="K2580" s="5" t="str">
        <f>IFERROR(__xludf.DUMMYFUNCTION("""COMPUTED_VALUE"""),"Estrela 3")</f>
        <v>Estrela 3</v>
      </c>
      <c r="P2580" s="5">
        <f>IFERROR(__xludf.DUMMYFUNCTION("""COMPUTED_VALUE"""),645.0)</f>
        <v>645</v>
      </c>
      <c r="Q2580" s="5" t="str">
        <f>IFERROR(__xludf.DUMMYFUNCTION("""COMPUTED_VALUE"""),"Remember the Titans")</f>
        <v>Remember the Titans</v>
      </c>
      <c r="R2580" s="5" t="str">
        <f>IFERROR(__xludf.DUMMYFUNCTION("""COMPUTED_VALUE"""),"Wood Harris")</f>
        <v>Wood Harris</v>
      </c>
      <c r="S2580" s="5" t="str">
        <f>IFERROR(__xludf.DUMMYFUNCTION("""COMPUTED_VALUE"""),"Estrela 3")</f>
        <v>Estrela 3</v>
      </c>
    </row>
    <row r="2581">
      <c r="G2581" s="5" t="str">
        <f>IFERROR(__xludf.DUMMYFUNCTION("""COMPUTED_VALUE"""),"645🤙🏼Remember the Titans🤙🏼Ryan Hurst🤙🏼Estrela 4")</f>
        <v>645🤙🏼Remember the Titans🤙🏼Ryan Hurst🤙🏼Estrela 4</v>
      </c>
      <c r="H2581" s="5">
        <f>IFERROR(__xludf.DUMMYFUNCTION("SPLiT(G2581, ""🤙🏼"",FALSE,FALSE)"),645.0)</f>
        <v>645</v>
      </c>
      <c r="I2581" s="5" t="str">
        <f>IFERROR(__xludf.DUMMYFUNCTION("""COMPUTED_VALUE"""),"Remember the Titans")</f>
        <v>Remember the Titans</v>
      </c>
      <c r="J2581" s="5" t="str">
        <f>IFERROR(__xludf.DUMMYFUNCTION("""COMPUTED_VALUE"""),"Ryan Hurst")</f>
        <v>Ryan Hurst</v>
      </c>
      <c r="K2581" s="5" t="str">
        <f>IFERROR(__xludf.DUMMYFUNCTION("""COMPUTED_VALUE"""),"Estrela 4")</f>
        <v>Estrela 4</v>
      </c>
      <c r="P2581" s="5">
        <f>IFERROR(__xludf.DUMMYFUNCTION("""COMPUTED_VALUE"""),645.0)</f>
        <v>645</v>
      </c>
      <c r="Q2581" s="5" t="str">
        <f>IFERROR(__xludf.DUMMYFUNCTION("""COMPUTED_VALUE"""),"Remember the Titans")</f>
        <v>Remember the Titans</v>
      </c>
      <c r="R2581" s="5" t="str">
        <f>IFERROR(__xludf.DUMMYFUNCTION("""COMPUTED_VALUE"""),"Ryan Hurst")</f>
        <v>Ryan Hurst</v>
      </c>
      <c r="S2581" s="5" t="str">
        <f>IFERROR(__xludf.DUMMYFUNCTION("""COMPUTED_VALUE"""),"Estrela 4")</f>
        <v>Estrela 4</v>
      </c>
    </row>
    <row r="2582">
      <c r="G2582" s="5" t="str">
        <f>IFERROR(__xludf.DUMMYFUNCTION("""COMPUTED_VALUE"""),"646🤙🏼Wo hu cang long🤙🏼Yun-Fat Chow🤙🏼Estrela 1")</f>
        <v>646🤙🏼Wo hu cang long🤙🏼Yun-Fat Chow🤙🏼Estrela 1</v>
      </c>
      <c r="H2582" s="5">
        <f>IFERROR(__xludf.DUMMYFUNCTION("SPLiT(G2582, ""🤙🏼"",FALSE,FALSE)"),646.0)</f>
        <v>646</v>
      </c>
      <c r="I2582" s="5" t="str">
        <f>IFERROR(__xludf.DUMMYFUNCTION("""COMPUTED_VALUE"""),"Wo hu cang long")</f>
        <v>Wo hu cang long</v>
      </c>
      <c r="J2582" s="5" t="str">
        <f>IFERROR(__xludf.DUMMYFUNCTION("""COMPUTED_VALUE"""),"Yun-Fat Chow")</f>
        <v>Yun-Fat Chow</v>
      </c>
      <c r="K2582" s="5" t="str">
        <f>IFERROR(__xludf.DUMMYFUNCTION("""COMPUTED_VALUE"""),"Estrela 1")</f>
        <v>Estrela 1</v>
      </c>
      <c r="P2582" s="5">
        <f>IFERROR(__xludf.DUMMYFUNCTION("""COMPUTED_VALUE"""),646.0)</f>
        <v>646</v>
      </c>
      <c r="Q2582" s="5" t="str">
        <f>IFERROR(__xludf.DUMMYFUNCTION("""COMPUTED_VALUE"""),"Wo hu cang long")</f>
        <v>Wo hu cang long</v>
      </c>
      <c r="R2582" s="5" t="str">
        <f>IFERROR(__xludf.DUMMYFUNCTION("""COMPUTED_VALUE"""),"Yun-Fat Chow")</f>
        <v>Yun-Fat Chow</v>
      </c>
      <c r="S2582" s="5" t="str">
        <f>IFERROR(__xludf.DUMMYFUNCTION("""COMPUTED_VALUE"""),"Estrela 1")</f>
        <v>Estrela 1</v>
      </c>
    </row>
    <row r="2583">
      <c r="G2583" s="5" t="str">
        <f>IFERROR(__xludf.DUMMYFUNCTION("""COMPUTED_VALUE"""),"646🤙🏼Wo hu cang long🤙🏼Michelle Yeoh🤙🏼Estrela 2")</f>
        <v>646🤙🏼Wo hu cang long🤙🏼Michelle Yeoh🤙🏼Estrela 2</v>
      </c>
      <c r="H2583" s="5">
        <f>IFERROR(__xludf.DUMMYFUNCTION("SPLiT(G2583, ""🤙🏼"",FALSE,FALSE)"),646.0)</f>
        <v>646</v>
      </c>
      <c r="I2583" s="5" t="str">
        <f>IFERROR(__xludf.DUMMYFUNCTION("""COMPUTED_VALUE"""),"Wo hu cang long")</f>
        <v>Wo hu cang long</v>
      </c>
      <c r="J2583" s="5" t="str">
        <f>IFERROR(__xludf.DUMMYFUNCTION("""COMPUTED_VALUE"""),"Michelle Yeoh")</f>
        <v>Michelle Yeoh</v>
      </c>
      <c r="K2583" s="5" t="str">
        <f>IFERROR(__xludf.DUMMYFUNCTION("""COMPUTED_VALUE"""),"Estrela 2")</f>
        <v>Estrela 2</v>
      </c>
      <c r="P2583" s="5">
        <f>IFERROR(__xludf.DUMMYFUNCTION("""COMPUTED_VALUE"""),646.0)</f>
        <v>646</v>
      </c>
      <c r="Q2583" s="5" t="str">
        <f>IFERROR(__xludf.DUMMYFUNCTION("""COMPUTED_VALUE"""),"Wo hu cang long")</f>
        <v>Wo hu cang long</v>
      </c>
      <c r="R2583" s="5" t="str">
        <f>IFERROR(__xludf.DUMMYFUNCTION("""COMPUTED_VALUE"""),"Michelle Yeoh")</f>
        <v>Michelle Yeoh</v>
      </c>
      <c r="S2583" s="5" t="str">
        <f>IFERROR(__xludf.DUMMYFUNCTION("""COMPUTED_VALUE"""),"Estrela 2")</f>
        <v>Estrela 2</v>
      </c>
    </row>
    <row r="2584">
      <c r="G2584" s="5" t="str">
        <f>IFERROR(__xludf.DUMMYFUNCTION("""COMPUTED_VALUE"""),"646🤙🏼Wo hu cang long🤙🏼Ziyi Zhang🤙🏼Estrela 3")</f>
        <v>646🤙🏼Wo hu cang long🤙🏼Ziyi Zhang🤙🏼Estrela 3</v>
      </c>
      <c r="H2584" s="5">
        <f>IFERROR(__xludf.DUMMYFUNCTION("SPLiT(G2584, ""🤙🏼"",FALSE,FALSE)"),646.0)</f>
        <v>646</v>
      </c>
      <c r="I2584" s="5" t="str">
        <f>IFERROR(__xludf.DUMMYFUNCTION("""COMPUTED_VALUE"""),"Wo hu cang long")</f>
        <v>Wo hu cang long</v>
      </c>
      <c r="J2584" s="5" t="str">
        <f>IFERROR(__xludf.DUMMYFUNCTION("""COMPUTED_VALUE"""),"Ziyi Zhang")</f>
        <v>Ziyi Zhang</v>
      </c>
      <c r="K2584" s="5" t="str">
        <f>IFERROR(__xludf.DUMMYFUNCTION("""COMPUTED_VALUE"""),"Estrela 3")</f>
        <v>Estrela 3</v>
      </c>
      <c r="P2584" s="5">
        <f>IFERROR(__xludf.DUMMYFUNCTION("""COMPUTED_VALUE"""),646.0)</f>
        <v>646</v>
      </c>
      <c r="Q2584" s="5" t="str">
        <f>IFERROR(__xludf.DUMMYFUNCTION("""COMPUTED_VALUE"""),"Wo hu cang long")</f>
        <v>Wo hu cang long</v>
      </c>
      <c r="R2584" s="5" t="str">
        <f>IFERROR(__xludf.DUMMYFUNCTION("""COMPUTED_VALUE"""),"Ziyi Zhang")</f>
        <v>Ziyi Zhang</v>
      </c>
      <c r="S2584" s="5" t="str">
        <f>IFERROR(__xludf.DUMMYFUNCTION("""COMPUTED_VALUE"""),"Estrela 3")</f>
        <v>Estrela 3</v>
      </c>
    </row>
    <row r="2585">
      <c r="G2585" s="5" t="str">
        <f>IFERROR(__xludf.DUMMYFUNCTION("""COMPUTED_VALUE"""),"646🤙🏼Wo hu cang long🤙🏼Chen Chang🤙🏼Estrela 4")</f>
        <v>646🤙🏼Wo hu cang long🤙🏼Chen Chang🤙🏼Estrela 4</v>
      </c>
      <c r="H2585" s="5">
        <f>IFERROR(__xludf.DUMMYFUNCTION("SPLiT(G2585, ""🤙🏼"",FALSE,FALSE)"),646.0)</f>
        <v>646</v>
      </c>
      <c r="I2585" s="5" t="str">
        <f>IFERROR(__xludf.DUMMYFUNCTION("""COMPUTED_VALUE"""),"Wo hu cang long")</f>
        <v>Wo hu cang long</v>
      </c>
      <c r="J2585" s="5" t="str">
        <f>IFERROR(__xludf.DUMMYFUNCTION("""COMPUTED_VALUE"""),"Chen Chang")</f>
        <v>Chen Chang</v>
      </c>
      <c r="K2585" s="5" t="str">
        <f>IFERROR(__xludf.DUMMYFUNCTION("""COMPUTED_VALUE"""),"Estrela 4")</f>
        <v>Estrela 4</v>
      </c>
      <c r="P2585" s="5">
        <f>IFERROR(__xludf.DUMMYFUNCTION("""COMPUTED_VALUE"""),646.0)</f>
        <v>646</v>
      </c>
      <c r="Q2585" s="5" t="str">
        <f>IFERROR(__xludf.DUMMYFUNCTION("""COMPUTED_VALUE"""),"Wo hu cang long")</f>
        <v>Wo hu cang long</v>
      </c>
      <c r="R2585" s="5" t="str">
        <f>IFERROR(__xludf.DUMMYFUNCTION("""COMPUTED_VALUE"""),"Chen Chang")</f>
        <v>Chen Chang</v>
      </c>
      <c r="S2585" s="5" t="str">
        <f>IFERROR(__xludf.DUMMYFUNCTION("""COMPUTED_VALUE"""),"Estrela 4")</f>
        <v>Estrela 4</v>
      </c>
    </row>
    <row r="2586">
      <c r="G2586" s="5" t="str">
        <f>IFERROR(__xludf.DUMMYFUNCTION("""COMPUTED_VALUE"""),"647🤙🏼Todo sobre mi madre🤙🏼Cecilia Roth🤙🏼Estrela 1")</f>
        <v>647🤙🏼Todo sobre mi madre🤙🏼Cecilia Roth🤙🏼Estrela 1</v>
      </c>
      <c r="H2586" s="5">
        <f>IFERROR(__xludf.DUMMYFUNCTION("SPLiT(G2586, ""🤙🏼"",FALSE,FALSE)"),647.0)</f>
        <v>647</v>
      </c>
      <c r="I2586" s="5" t="str">
        <f>IFERROR(__xludf.DUMMYFUNCTION("""COMPUTED_VALUE"""),"Todo sobre mi madre")</f>
        <v>Todo sobre mi madre</v>
      </c>
      <c r="J2586" s="5" t="str">
        <f>IFERROR(__xludf.DUMMYFUNCTION("""COMPUTED_VALUE"""),"Cecilia Roth")</f>
        <v>Cecilia Roth</v>
      </c>
      <c r="K2586" s="5" t="str">
        <f>IFERROR(__xludf.DUMMYFUNCTION("""COMPUTED_VALUE"""),"Estrela 1")</f>
        <v>Estrela 1</v>
      </c>
      <c r="P2586" s="5">
        <f>IFERROR(__xludf.DUMMYFUNCTION("""COMPUTED_VALUE"""),647.0)</f>
        <v>647</v>
      </c>
      <c r="Q2586" s="5" t="str">
        <f>IFERROR(__xludf.DUMMYFUNCTION("""COMPUTED_VALUE"""),"Todo sobre mi madre")</f>
        <v>Todo sobre mi madre</v>
      </c>
      <c r="R2586" s="5" t="str">
        <f>IFERROR(__xludf.DUMMYFUNCTION("""COMPUTED_VALUE"""),"Cecilia Roth")</f>
        <v>Cecilia Roth</v>
      </c>
      <c r="S2586" s="5" t="str">
        <f>IFERROR(__xludf.DUMMYFUNCTION("""COMPUTED_VALUE"""),"Estrela 1")</f>
        <v>Estrela 1</v>
      </c>
    </row>
    <row r="2587">
      <c r="G2587" s="5" t="str">
        <f>IFERROR(__xludf.DUMMYFUNCTION("""COMPUTED_VALUE"""),"647🤙🏼Todo sobre mi madre🤙🏼Marisa Paredes🤙🏼Estrela 2")</f>
        <v>647🤙🏼Todo sobre mi madre🤙🏼Marisa Paredes🤙🏼Estrela 2</v>
      </c>
      <c r="H2587" s="5">
        <f>IFERROR(__xludf.DUMMYFUNCTION("SPLiT(G2587, ""🤙🏼"",FALSE,FALSE)"),647.0)</f>
        <v>647</v>
      </c>
      <c r="I2587" s="5" t="str">
        <f>IFERROR(__xludf.DUMMYFUNCTION("""COMPUTED_VALUE"""),"Todo sobre mi madre")</f>
        <v>Todo sobre mi madre</v>
      </c>
      <c r="J2587" s="5" t="str">
        <f>IFERROR(__xludf.DUMMYFUNCTION("""COMPUTED_VALUE"""),"Marisa Paredes")</f>
        <v>Marisa Paredes</v>
      </c>
      <c r="K2587" s="5" t="str">
        <f>IFERROR(__xludf.DUMMYFUNCTION("""COMPUTED_VALUE"""),"Estrela 2")</f>
        <v>Estrela 2</v>
      </c>
      <c r="P2587" s="5">
        <f>IFERROR(__xludf.DUMMYFUNCTION("""COMPUTED_VALUE"""),647.0)</f>
        <v>647</v>
      </c>
      <c r="Q2587" s="5" t="str">
        <f>IFERROR(__xludf.DUMMYFUNCTION("""COMPUTED_VALUE"""),"Todo sobre mi madre")</f>
        <v>Todo sobre mi madre</v>
      </c>
      <c r="R2587" s="5" t="str">
        <f>IFERROR(__xludf.DUMMYFUNCTION("""COMPUTED_VALUE"""),"Marisa Paredes")</f>
        <v>Marisa Paredes</v>
      </c>
      <c r="S2587" s="5" t="str">
        <f>IFERROR(__xludf.DUMMYFUNCTION("""COMPUTED_VALUE"""),"Estrela 2")</f>
        <v>Estrela 2</v>
      </c>
    </row>
    <row r="2588">
      <c r="G2588" s="5" t="str">
        <f>IFERROR(__xludf.DUMMYFUNCTION("""COMPUTED_VALUE"""),"647🤙🏼Todo sobre mi madre🤙🏼Candela Peña🤙🏼Estrela 3")</f>
        <v>647🤙🏼Todo sobre mi madre🤙🏼Candela Peña🤙🏼Estrela 3</v>
      </c>
      <c r="H2588" s="5">
        <f>IFERROR(__xludf.DUMMYFUNCTION("SPLiT(G2588, ""🤙🏼"",FALSE,FALSE)"),647.0)</f>
        <v>647</v>
      </c>
      <c r="I2588" s="5" t="str">
        <f>IFERROR(__xludf.DUMMYFUNCTION("""COMPUTED_VALUE"""),"Todo sobre mi madre")</f>
        <v>Todo sobre mi madre</v>
      </c>
      <c r="J2588" s="5" t="str">
        <f>IFERROR(__xludf.DUMMYFUNCTION("""COMPUTED_VALUE"""),"Candela Peña")</f>
        <v>Candela Peña</v>
      </c>
      <c r="K2588" s="5" t="str">
        <f>IFERROR(__xludf.DUMMYFUNCTION("""COMPUTED_VALUE"""),"Estrela 3")</f>
        <v>Estrela 3</v>
      </c>
      <c r="P2588" s="5">
        <f>IFERROR(__xludf.DUMMYFUNCTION("""COMPUTED_VALUE"""),647.0)</f>
        <v>647</v>
      </c>
      <c r="Q2588" s="5" t="str">
        <f>IFERROR(__xludf.DUMMYFUNCTION("""COMPUTED_VALUE"""),"Todo sobre mi madre")</f>
        <v>Todo sobre mi madre</v>
      </c>
      <c r="R2588" s="5" t="str">
        <f>IFERROR(__xludf.DUMMYFUNCTION("""COMPUTED_VALUE"""),"Candela Peña")</f>
        <v>Candela Peña</v>
      </c>
      <c r="S2588" s="5" t="str">
        <f>IFERROR(__xludf.DUMMYFUNCTION("""COMPUTED_VALUE"""),"Estrela 3")</f>
        <v>Estrela 3</v>
      </c>
    </row>
    <row r="2589">
      <c r="G2589" s="5" t="str">
        <f>IFERROR(__xludf.DUMMYFUNCTION("""COMPUTED_VALUE"""),"647🤙🏼Todo sobre mi madre🤙🏼Antonia San Juan🤙🏼Estrela 4")</f>
        <v>647🤙🏼Todo sobre mi madre🤙🏼Antonia San Juan🤙🏼Estrela 4</v>
      </c>
      <c r="H2589" s="5">
        <f>IFERROR(__xludf.DUMMYFUNCTION("SPLiT(G2589, ""🤙🏼"",FALSE,FALSE)"),647.0)</f>
        <v>647</v>
      </c>
      <c r="I2589" s="5" t="str">
        <f>IFERROR(__xludf.DUMMYFUNCTION("""COMPUTED_VALUE"""),"Todo sobre mi madre")</f>
        <v>Todo sobre mi madre</v>
      </c>
      <c r="J2589" s="5" t="str">
        <f>IFERROR(__xludf.DUMMYFUNCTION("""COMPUTED_VALUE"""),"Antonia San Juan")</f>
        <v>Antonia San Juan</v>
      </c>
      <c r="K2589" s="5" t="str">
        <f>IFERROR(__xludf.DUMMYFUNCTION("""COMPUTED_VALUE"""),"Estrela 4")</f>
        <v>Estrela 4</v>
      </c>
      <c r="P2589" s="5">
        <f>IFERROR(__xludf.DUMMYFUNCTION("""COMPUTED_VALUE"""),647.0)</f>
        <v>647</v>
      </c>
      <c r="Q2589" s="5" t="str">
        <f>IFERROR(__xludf.DUMMYFUNCTION("""COMPUTED_VALUE"""),"Todo sobre mi madre")</f>
        <v>Todo sobre mi madre</v>
      </c>
      <c r="R2589" s="5" t="str">
        <f>IFERROR(__xludf.DUMMYFUNCTION("""COMPUTED_VALUE"""),"Antonia San Juan")</f>
        <v>Antonia San Juan</v>
      </c>
      <c r="S2589" s="5" t="str">
        <f>IFERROR(__xludf.DUMMYFUNCTION("""COMPUTED_VALUE"""),"Estrela 4")</f>
        <v>Estrela 4</v>
      </c>
    </row>
    <row r="2590">
      <c r="G2590" s="5" t="str">
        <f>IFERROR(__xludf.DUMMYFUNCTION("""COMPUTED_VALUE"""),"648🤙🏼Cast Away🤙🏼Tom Hanks🤙🏼Estrela 1")</f>
        <v>648🤙🏼Cast Away🤙🏼Tom Hanks🤙🏼Estrela 1</v>
      </c>
      <c r="H2590" s="5">
        <f>IFERROR(__xludf.DUMMYFUNCTION("SPLiT(G2590, ""🤙🏼"",FALSE,FALSE)"),648.0)</f>
        <v>648</v>
      </c>
      <c r="I2590" s="5" t="str">
        <f>IFERROR(__xludf.DUMMYFUNCTION("""COMPUTED_VALUE"""),"Cast Away")</f>
        <v>Cast Away</v>
      </c>
      <c r="J2590" s="5" t="str">
        <f>IFERROR(__xludf.DUMMYFUNCTION("""COMPUTED_VALUE"""),"Tom Hanks")</f>
        <v>Tom Hanks</v>
      </c>
      <c r="K2590" s="5" t="str">
        <f>IFERROR(__xludf.DUMMYFUNCTION("""COMPUTED_VALUE"""),"Estrela 1")</f>
        <v>Estrela 1</v>
      </c>
      <c r="P2590" s="5">
        <f>IFERROR(__xludf.DUMMYFUNCTION("""COMPUTED_VALUE"""),648.0)</f>
        <v>648</v>
      </c>
      <c r="Q2590" s="5" t="str">
        <f>IFERROR(__xludf.DUMMYFUNCTION("""COMPUTED_VALUE"""),"Cast Away")</f>
        <v>Cast Away</v>
      </c>
      <c r="R2590" s="5" t="str">
        <f>IFERROR(__xludf.DUMMYFUNCTION("""COMPUTED_VALUE"""),"Tom Hanks")</f>
        <v>Tom Hanks</v>
      </c>
      <c r="S2590" s="5" t="str">
        <f>IFERROR(__xludf.DUMMYFUNCTION("""COMPUTED_VALUE"""),"Estrela 1")</f>
        <v>Estrela 1</v>
      </c>
    </row>
    <row r="2591">
      <c r="G2591" s="5" t="str">
        <f>IFERROR(__xludf.DUMMYFUNCTION("""COMPUTED_VALUE"""),"648🤙🏼Cast Away🤙🏼Helen Hunt🤙🏼Estrela 2")</f>
        <v>648🤙🏼Cast Away🤙🏼Helen Hunt🤙🏼Estrela 2</v>
      </c>
      <c r="H2591" s="5">
        <f>IFERROR(__xludf.DUMMYFUNCTION("SPLiT(G2591, ""🤙🏼"",FALSE,FALSE)"),648.0)</f>
        <v>648</v>
      </c>
      <c r="I2591" s="5" t="str">
        <f>IFERROR(__xludf.DUMMYFUNCTION("""COMPUTED_VALUE"""),"Cast Away")</f>
        <v>Cast Away</v>
      </c>
      <c r="J2591" s="5" t="str">
        <f>IFERROR(__xludf.DUMMYFUNCTION("""COMPUTED_VALUE"""),"Helen Hunt")</f>
        <v>Helen Hunt</v>
      </c>
      <c r="K2591" s="5" t="str">
        <f>IFERROR(__xludf.DUMMYFUNCTION("""COMPUTED_VALUE"""),"Estrela 2")</f>
        <v>Estrela 2</v>
      </c>
      <c r="P2591" s="5">
        <f>IFERROR(__xludf.DUMMYFUNCTION("""COMPUTED_VALUE"""),648.0)</f>
        <v>648</v>
      </c>
      <c r="Q2591" s="5" t="str">
        <f>IFERROR(__xludf.DUMMYFUNCTION("""COMPUTED_VALUE"""),"Cast Away")</f>
        <v>Cast Away</v>
      </c>
      <c r="R2591" s="5" t="str">
        <f>IFERROR(__xludf.DUMMYFUNCTION("""COMPUTED_VALUE"""),"Helen Hunt")</f>
        <v>Helen Hunt</v>
      </c>
      <c r="S2591" s="5" t="str">
        <f>IFERROR(__xludf.DUMMYFUNCTION("""COMPUTED_VALUE"""),"Estrela 2")</f>
        <v>Estrela 2</v>
      </c>
    </row>
    <row r="2592">
      <c r="G2592" s="5" t="str">
        <f>IFERROR(__xludf.DUMMYFUNCTION("""COMPUTED_VALUE"""),"648🤙🏼Cast Away🤙🏼Paul Sanchez🤙🏼Estrela 3")</f>
        <v>648🤙🏼Cast Away🤙🏼Paul Sanchez🤙🏼Estrela 3</v>
      </c>
      <c r="H2592" s="5">
        <f>IFERROR(__xludf.DUMMYFUNCTION("SPLiT(G2592, ""🤙🏼"",FALSE,FALSE)"),648.0)</f>
        <v>648</v>
      </c>
      <c r="I2592" s="5" t="str">
        <f>IFERROR(__xludf.DUMMYFUNCTION("""COMPUTED_VALUE"""),"Cast Away")</f>
        <v>Cast Away</v>
      </c>
      <c r="J2592" s="5" t="str">
        <f>IFERROR(__xludf.DUMMYFUNCTION("""COMPUTED_VALUE"""),"Paul Sanchez")</f>
        <v>Paul Sanchez</v>
      </c>
      <c r="K2592" s="5" t="str">
        <f>IFERROR(__xludf.DUMMYFUNCTION("""COMPUTED_VALUE"""),"Estrela 3")</f>
        <v>Estrela 3</v>
      </c>
      <c r="P2592" s="5">
        <f>IFERROR(__xludf.DUMMYFUNCTION("""COMPUTED_VALUE"""),648.0)</f>
        <v>648</v>
      </c>
      <c r="Q2592" s="5" t="str">
        <f>IFERROR(__xludf.DUMMYFUNCTION("""COMPUTED_VALUE"""),"Cast Away")</f>
        <v>Cast Away</v>
      </c>
      <c r="R2592" s="5" t="str">
        <f>IFERROR(__xludf.DUMMYFUNCTION("""COMPUTED_VALUE"""),"Paul Sanchez")</f>
        <v>Paul Sanchez</v>
      </c>
      <c r="S2592" s="5" t="str">
        <f>IFERROR(__xludf.DUMMYFUNCTION("""COMPUTED_VALUE"""),"Estrela 3")</f>
        <v>Estrela 3</v>
      </c>
    </row>
    <row r="2593">
      <c r="G2593" s="5" t="str">
        <f>IFERROR(__xludf.DUMMYFUNCTION("""COMPUTED_VALUE"""),"648🤙🏼Cast Away🤙🏼Lari White🤙🏼Estrela 4")</f>
        <v>648🤙🏼Cast Away🤙🏼Lari White🤙🏼Estrela 4</v>
      </c>
      <c r="H2593" s="5">
        <f>IFERROR(__xludf.DUMMYFUNCTION("SPLiT(G2593, ""🤙🏼"",FALSE,FALSE)"),648.0)</f>
        <v>648</v>
      </c>
      <c r="I2593" s="5" t="str">
        <f>IFERROR(__xludf.DUMMYFUNCTION("""COMPUTED_VALUE"""),"Cast Away")</f>
        <v>Cast Away</v>
      </c>
      <c r="J2593" s="5" t="str">
        <f>IFERROR(__xludf.DUMMYFUNCTION("""COMPUTED_VALUE"""),"Lari White")</f>
        <v>Lari White</v>
      </c>
      <c r="K2593" s="5" t="str">
        <f>IFERROR(__xludf.DUMMYFUNCTION("""COMPUTED_VALUE"""),"Estrela 4")</f>
        <v>Estrela 4</v>
      </c>
      <c r="P2593" s="5">
        <f>IFERROR(__xludf.DUMMYFUNCTION("""COMPUTED_VALUE"""),648.0)</f>
        <v>648</v>
      </c>
      <c r="Q2593" s="5" t="str">
        <f>IFERROR(__xludf.DUMMYFUNCTION("""COMPUTED_VALUE"""),"Cast Away")</f>
        <v>Cast Away</v>
      </c>
      <c r="R2593" s="5" t="str">
        <f>IFERROR(__xludf.DUMMYFUNCTION("""COMPUTED_VALUE"""),"Lari White")</f>
        <v>Lari White</v>
      </c>
      <c r="S2593" s="5" t="str">
        <f>IFERROR(__xludf.DUMMYFUNCTION("""COMPUTED_VALUE"""),"Estrela 4")</f>
        <v>Estrela 4</v>
      </c>
    </row>
    <row r="2594">
      <c r="G2594" s="5" t="str">
        <f>IFERROR(__xludf.DUMMYFUNCTION("""COMPUTED_VALUE"""),"649🤙🏼The Boondock Saints🤙🏼Willem Dafoe🤙🏼Estrela 1")</f>
        <v>649🤙🏼The Boondock Saints🤙🏼Willem Dafoe🤙🏼Estrela 1</v>
      </c>
      <c r="H2594" s="5">
        <f>IFERROR(__xludf.DUMMYFUNCTION("SPLiT(G2594, ""🤙🏼"",FALSE,FALSE)"),649.0)</f>
        <v>649</v>
      </c>
      <c r="I2594" s="5" t="str">
        <f>IFERROR(__xludf.DUMMYFUNCTION("""COMPUTED_VALUE"""),"The Boondock Saints")</f>
        <v>The Boondock Saints</v>
      </c>
      <c r="J2594" s="5" t="str">
        <f>IFERROR(__xludf.DUMMYFUNCTION("""COMPUTED_VALUE"""),"Willem Dafoe")</f>
        <v>Willem Dafoe</v>
      </c>
      <c r="K2594" s="5" t="str">
        <f>IFERROR(__xludf.DUMMYFUNCTION("""COMPUTED_VALUE"""),"Estrela 1")</f>
        <v>Estrela 1</v>
      </c>
      <c r="P2594" s="5">
        <f>IFERROR(__xludf.DUMMYFUNCTION("""COMPUTED_VALUE"""),649.0)</f>
        <v>649</v>
      </c>
      <c r="Q2594" s="5" t="str">
        <f>IFERROR(__xludf.DUMMYFUNCTION("""COMPUTED_VALUE"""),"The Boondock Saints")</f>
        <v>The Boondock Saints</v>
      </c>
      <c r="R2594" s="5" t="str">
        <f>IFERROR(__xludf.DUMMYFUNCTION("""COMPUTED_VALUE"""),"Willem Dafoe")</f>
        <v>Willem Dafoe</v>
      </c>
      <c r="S2594" s="5" t="str">
        <f>IFERROR(__xludf.DUMMYFUNCTION("""COMPUTED_VALUE"""),"Estrela 1")</f>
        <v>Estrela 1</v>
      </c>
    </row>
    <row r="2595">
      <c r="G2595" s="5" t="str">
        <f>IFERROR(__xludf.DUMMYFUNCTION("""COMPUTED_VALUE"""),"649🤙🏼The Boondock Saints🤙🏼Sean Patrick Flanery🤙🏼Estrela 2")</f>
        <v>649🤙🏼The Boondock Saints🤙🏼Sean Patrick Flanery🤙🏼Estrela 2</v>
      </c>
      <c r="H2595" s="5">
        <f>IFERROR(__xludf.DUMMYFUNCTION("SPLiT(G2595, ""🤙🏼"",FALSE,FALSE)"),649.0)</f>
        <v>649</v>
      </c>
      <c r="I2595" s="5" t="str">
        <f>IFERROR(__xludf.DUMMYFUNCTION("""COMPUTED_VALUE"""),"The Boondock Saints")</f>
        <v>The Boondock Saints</v>
      </c>
      <c r="J2595" s="5" t="str">
        <f>IFERROR(__xludf.DUMMYFUNCTION("""COMPUTED_VALUE"""),"Sean Patrick Flanery")</f>
        <v>Sean Patrick Flanery</v>
      </c>
      <c r="K2595" s="5" t="str">
        <f>IFERROR(__xludf.DUMMYFUNCTION("""COMPUTED_VALUE"""),"Estrela 2")</f>
        <v>Estrela 2</v>
      </c>
      <c r="P2595" s="5">
        <f>IFERROR(__xludf.DUMMYFUNCTION("""COMPUTED_VALUE"""),649.0)</f>
        <v>649</v>
      </c>
      <c r="Q2595" s="5" t="str">
        <f>IFERROR(__xludf.DUMMYFUNCTION("""COMPUTED_VALUE"""),"The Boondock Saints")</f>
        <v>The Boondock Saints</v>
      </c>
      <c r="R2595" s="5" t="str">
        <f>IFERROR(__xludf.DUMMYFUNCTION("""COMPUTED_VALUE"""),"Sean Patrick Flanery")</f>
        <v>Sean Patrick Flanery</v>
      </c>
      <c r="S2595" s="5" t="str">
        <f>IFERROR(__xludf.DUMMYFUNCTION("""COMPUTED_VALUE"""),"Estrela 2")</f>
        <v>Estrela 2</v>
      </c>
    </row>
    <row r="2596">
      <c r="G2596" s="5" t="str">
        <f>IFERROR(__xludf.DUMMYFUNCTION("""COMPUTED_VALUE"""),"649🤙🏼The Boondock Saints🤙🏼Norman Reedus🤙🏼Estrela 3")</f>
        <v>649🤙🏼The Boondock Saints🤙🏼Norman Reedus🤙🏼Estrela 3</v>
      </c>
      <c r="H2596" s="5">
        <f>IFERROR(__xludf.DUMMYFUNCTION("SPLiT(G2596, ""🤙🏼"",FALSE,FALSE)"),649.0)</f>
        <v>649</v>
      </c>
      <c r="I2596" s="5" t="str">
        <f>IFERROR(__xludf.DUMMYFUNCTION("""COMPUTED_VALUE"""),"The Boondock Saints")</f>
        <v>The Boondock Saints</v>
      </c>
      <c r="J2596" s="5" t="str">
        <f>IFERROR(__xludf.DUMMYFUNCTION("""COMPUTED_VALUE"""),"Norman Reedus")</f>
        <v>Norman Reedus</v>
      </c>
      <c r="K2596" s="5" t="str">
        <f>IFERROR(__xludf.DUMMYFUNCTION("""COMPUTED_VALUE"""),"Estrela 3")</f>
        <v>Estrela 3</v>
      </c>
      <c r="P2596" s="5">
        <f>IFERROR(__xludf.DUMMYFUNCTION("""COMPUTED_VALUE"""),649.0)</f>
        <v>649</v>
      </c>
      <c r="Q2596" s="5" t="str">
        <f>IFERROR(__xludf.DUMMYFUNCTION("""COMPUTED_VALUE"""),"The Boondock Saints")</f>
        <v>The Boondock Saints</v>
      </c>
      <c r="R2596" s="5" t="str">
        <f>IFERROR(__xludf.DUMMYFUNCTION("""COMPUTED_VALUE"""),"Norman Reedus")</f>
        <v>Norman Reedus</v>
      </c>
      <c r="S2596" s="5" t="str">
        <f>IFERROR(__xludf.DUMMYFUNCTION("""COMPUTED_VALUE"""),"Estrela 3")</f>
        <v>Estrela 3</v>
      </c>
    </row>
    <row r="2597">
      <c r="G2597" s="5" t="str">
        <f>IFERROR(__xludf.DUMMYFUNCTION("""COMPUTED_VALUE"""),"649🤙🏼The Boondock Saints🤙🏼David Della Rocco🤙🏼Estrela 4")</f>
        <v>649🤙🏼The Boondock Saints🤙🏼David Della Rocco🤙🏼Estrela 4</v>
      </c>
      <c r="H2597" s="5">
        <f>IFERROR(__xludf.DUMMYFUNCTION("SPLiT(G2597, ""🤙🏼"",FALSE,FALSE)"),649.0)</f>
        <v>649</v>
      </c>
      <c r="I2597" s="5" t="str">
        <f>IFERROR(__xludf.DUMMYFUNCTION("""COMPUTED_VALUE"""),"The Boondock Saints")</f>
        <v>The Boondock Saints</v>
      </c>
      <c r="J2597" s="5" t="str">
        <f>IFERROR(__xludf.DUMMYFUNCTION("""COMPUTED_VALUE"""),"David Della Rocco")</f>
        <v>David Della Rocco</v>
      </c>
      <c r="K2597" s="5" t="str">
        <f>IFERROR(__xludf.DUMMYFUNCTION("""COMPUTED_VALUE"""),"Estrela 4")</f>
        <v>Estrela 4</v>
      </c>
      <c r="P2597" s="5">
        <f>IFERROR(__xludf.DUMMYFUNCTION("""COMPUTED_VALUE"""),649.0)</f>
        <v>649</v>
      </c>
      <c r="Q2597" s="5" t="str">
        <f>IFERROR(__xludf.DUMMYFUNCTION("""COMPUTED_VALUE"""),"The Boondock Saints")</f>
        <v>The Boondock Saints</v>
      </c>
      <c r="R2597" s="5" t="str">
        <f>IFERROR(__xludf.DUMMYFUNCTION("""COMPUTED_VALUE"""),"David Della Rocco")</f>
        <v>David Della Rocco</v>
      </c>
      <c r="S2597" s="5" t="str">
        <f>IFERROR(__xludf.DUMMYFUNCTION("""COMPUTED_VALUE"""),"Estrela 4")</f>
        <v>Estrela 4</v>
      </c>
    </row>
    <row r="2598">
      <c r="G2598" s="5" t="str">
        <f>IFERROR(__xludf.DUMMYFUNCTION("""COMPUTED_VALUE"""),"650🤙🏼The Insider🤙🏼Russell Crowe🤙🏼Estrela 1")</f>
        <v>650🤙🏼The Insider🤙🏼Russell Crowe🤙🏼Estrela 1</v>
      </c>
      <c r="H2598" s="5">
        <f>IFERROR(__xludf.DUMMYFUNCTION("SPLiT(G2598, ""🤙🏼"",FALSE,FALSE)"),650.0)</f>
        <v>650</v>
      </c>
      <c r="I2598" s="5" t="str">
        <f>IFERROR(__xludf.DUMMYFUNCTION("""COMPUTED_VALUE"""),"The Insider")</f>
        <v>The Insider</v>
      </c>
      <c r="J2598" s="5" t="str">
        <f>IFERROR(__xludf.DUMMYFUNCTION("""COMPUTED_VALUE"""),"Russell Crowe")</f>
        <v>Russell Crowe</v>
      </c>
      <c r="K2598" s="5" t="str">
        <f>IFERROR(__xludf.DUMMYFUNCTION("""COMPUTED_VALUE"""),"Estrela 1")</f>
        <v>Estrela 1</v>
      </c>
      <c r="P2598" s="5">
        <f>IFERROR(__xludf.DUMMYFUNCTION("""COMPUTED_VALUE"""),650.0)</f>
        <v>650</v>
      </c>
      <c r="Q2598" s="5" t="str">
        <f>IFERROR(__xludf.DUMMYFUNCTION("""COMPUTED_VALUE"""),"The Insider")</f>
        <v>The Insider</v>
      </c>
      <c r="R2598" s="5" t="str">
        <f>IFERROR(__xludf.DUMMYFUNCTION("""COMPUTED_VALUE"""),"Russell Crowe")</f>
        <v>Russell Crowe</v>
      </c>
      <c r="S2598" s="5" t="str">
        <f>IFERROR(__xludf.DUMMYFUNCTION("""COMPUTED_VALUE"""),"Estrela 1")</f>
        <v>Estrela 1</v>
      </c>
    </row>
    <row r="2599">
      <c r="G2599" s="5" t="str">
        <f>IFERROR(__xludf.DUMMYFUNCTION("""COMPUTED_VALUE"""),"650🤙🏼The Insider🤙🏼Al Pacino🤙🏼Estrela 2")</f>
        <v>650🤙🏼The Insider🤙🏼Al Pacino🤙🏼Estrela 2</v>
      </c>
      <c r="H2599" s="5">
        <f>IFERROR(__xludf.DUMMYFUNCTION("SPLiT(G2599, ""🤙🏼"",FALSE,FALSE)"),650.0)</f>
        <v>650</v>
      </c>
      <c r="I2599" s="5" t="str">
        <f>IFERROR(__xludf.DUMMYFUNCTION("""COMPUTED_VALUE"""),"The Insider")</f>
        <v>The Insider</v>
      </c>
      <c r="J2599" s="5" t="str">
        <f>IFERROR(__xludf.DUMMYFUNCTION("""COMPUTED_VALUE"""),"Al Pacino")</f>
        <v>Al Pacino</v>
      </c>
      <c r="K2599" s="5" t="str">
        <f>IFERROR(__xludf.DUMMYFUNCTION("""COMPUTED_VALUE"""),"Estrela 2")</f>
        <v>Estrela 2</v>
      </c>
      <c r="P2599" s="5">
        <f>IFERROR(__xludf.DUMMYFUNCTION("""COMPUTED_VALUE"""),650.0)</f>
        <v>650</v>
      </c>
      <c r="Q2599" s="5" t="str">
        <f>IFERROR(__xludf.DUMMYFUNCTION("""COMPUTED_VALUE"""),"The Insider")</f>
        <v>The Insider</v>
      </c>
      <c r="R2599" s="5" t="str">
        <f>IFERROR(__xludf.DUMMYFUNCTION("""COMPUTED_VALUE"""),"Al Pacino")</f>
        <v>Al Pacino</v>
      </c>
      <c r="S2599" s="5" t="str">
        <f>IFERROR(__xludf.DUMMYFUNCTION("""COMPUTED_VALUE"""),"Estrela 2")</f>
        <v>Estrela 2</v>
      </c>
    </row>
    <row r="2600">
      <c r="G2600" s="5" t="str">
        <f>IFERROR(__xludf.DUMMYFUNCTION("""COMPUTED_VALUE"""),"650🤙🏼The Insider🤙🏼Christopher Plummer🤙🏼Estrela 3")</f>
        <v>650🤙🏼The Insider🤙🏼Christopher Plummer🤙🏼Estrela 3</v>
      </c>
      <c r="H2600" s="5">
        <f>IFERROR(__xludf.DUMMYFUNCTION("SPLiT(G2600, ""🤙🏼"",FALSE,FALSE)"),650.0)</f>
        <v>650</v>
      </c>
      <c r="I2600" s="5" t="str">
        <f>IFERROR(__xludf.DUMMYFUNCTION("""COMPUTED_VALUE"""),"The Insider")</f>
        <v>The Insider</v>
      </c>
      <c r="J2600" s="5" t="str">
        <f>IFERROR(__xludf.DUMMYFUNCTION("""COMPUTED_VALUE"""),"Christopher Plummer")</f>
        <v>Christopher Plummer</v>
      </c>
      <c r="K2600" s="5" t="str">
        <f>IFERROR(__xludf.DUMMYFUNCTION("""COMPUTED_VALUE"""),"Estrela 3")</f>
        <v>Estrela 3</v>
      </c>
      <c r="P2600" s="5">
        <f>IFERROR(__xludf.DUMMYFUNCTION("""COMPUTED_VALUE"""),650.0)</f>
        <v>650</v>
      </c>
      <c r="Q2600" s="5" t="str">
        <f>IFERROR(__xludf.DUMMYFUNCTION("""COMPUTED_VALUE"""),"The Insider")</f>
        <v>The Insider</v>
      </c>
      <c r="R2600" s="5" t="str">
        <f>IFERROR(__xludf.DUMMYFUNCTION("""COMPUTED_VALUE"""),"Christopher Plummer")</f>
        <v>Christopher Plummer</v>
      </c>
      <c r="S2600" s="5" t="str">
        <f>IFERROR(__xludf.DUMMYFUNCTION("""COMPUTED_VALUE"""),"Estrela 3")</f>
        <v>Estrela 3</v>
      </c>
    </row>
    <row r="2601">
      <c r="G2601" s="5" t="str">
        <f>IFERROR(__xludf.DUMMYFUNCTION("""COMPUTED_VALUE"""),"650🤙🏼The Insider🤙🏼Diane Venora🤙🏼Estrela 4")</f>
        <v>650🤙🏼The Insider🤙🏼Diane Venora🤙🏼Estrela 4</v>
      </c>
      <c r="H2601" s="5">
        <f>IFERROR(__xludf.DUMMYFUNCTION("SPLiT(G2601, ""🤙🏼"",FALSE,FALSE)"),650.0)</f>
        <v>650</v>
      </c>
      <c r="I2601" s="5" t="str">
        <f>IFERROR(__xludf.DUMMYFUNCTION("""COMPUTED_VALUE"""),"The Insider")</f>
        <v>The Insider</v>
      </c>
      <c r="J2601" s="5" t="str">
        <f>IFERROR(__xludf.DUMMYFUNCTION("""COMPUTED_VALUE"""),"Diane Venora")</f>
        <v>Diane Venora</v>
      </c>
      <c r="K2601" s="5" t="str">
        <f>IFERROR(__xludf.DUMMYFUNCTION("""COMPUTED_VALUE"""),"Estrela 4")</f>
        <v>Estrela 4</v>
      </c>
      <c r="P2601" s="5">
        <f>IFERROR(__xludf.DUMMYFUNCTION("""COMPUTED_VALUE"""),650.0)</f>
        <v>650</v>
      </c>
      <c r="Q2601" s="5" t="str">
        <f>IFERROR(__xludf.DUMMYFUNCTION("""COMPUTED_VALUE"""),"The Insider")</f>
        <v>The Insider</v>
      </c>
      <c r="R2601" s="5" t="str">
        <f>IFERROR(__xludf.DUMMYFUNCTION("""COMPUTED_VALUE"""),"Diane Venora")</f>
        <v>Diane Venora</v>
      </c>
      <c r="S2601" s="5" t="str">
        <f>IFERROR(__xludf.DUMMYFUNCTION("""COMPUTED_VALUE"""),"Estrela 4")</f>
        <v>Estrela 4</v>
      </c>
    </row>
    <row r="2602">
      <c r="G2602" s="5" t="str">
        <f>IFERROR(__xludf.DUMMYFUNCTION("""COMPUTED_VALUE"""),"651🤙🏼October Sky🤙🏼Jake Gyllenhaal🤙🏼Estrela 1")</f>
        <v>651🤙🏼October Sky🤙🏼Jake Gyllenhaal🤙🏼Estrela 1</v>
      </c>
      <c r="H2602" s="5">
        <f>IFERROR(__xludf.DUMMYFUNCTION("SPLiT(G2602, ""🤙🏼"",FALSE,FALSE)"),651.0)</f>
        <v>651</v>
      </c>
      <c r="I2602" s="5" t="str">
        <f>IFERROR(__xludf.DUMMYFUNCTION("""COMPUTED_VALUE"""),"October Sky")</f>
        <v>October Sky</v>
      </c>
      <c r="J2602" s="5" t="str">
        <f>IFERROR(__xludf.DUMMYFUNCTION("""COMPUTED_VALUE"""),"Jake Gyllenhaal")</f>
        <v>Jake Gyllenhaal</v>
      </c>
      <c r="K2602" s="5" t="str">
        <f>IFERROR(__xludf.DUMMYFUNCTION("""COMPUTED_VALUE"""),"Estrela 1")</f>
        <v>Estrela 1</v>
      </c>
      <c r="P2602" s="5">
        <f>IFERROR(__xludf.DUMMYFUNCTION("""COMPUTED_VALUE"""),651.0)</f>
        <v>651</v>
      </c>
      <c r="Q2602" s="5" t="str">
        <f>IFERROR(__xludf.DUMMYFUNCTION("""COMPUTED_VALUE"""),"October Sky")</f>
        <v>October Sky</v>
      </c>
      <c r="R2602" s="5" t="str">
        <f>IFERROR(__xludf.DUMMYFUNCTION("""COMPUTED_VALUE"""),"Jake Gyllenhaal")</f>
        <v>Jake Gyllenhaal</v>
      </c>
      <c r="S2602" s="5" t="str">
        <f>IFERROR(__xludf.DUMMYFUNCTION("""COMPUTED_VALUE"""),"Estrela 1")</f>
        <v>Estrela 1</v>
      </c>
    </row>
    <row r="2603">
      <c r="G2603" s="5" t="str">
        <f>IFERROR(__xludf.DUMMYFUNCTION("""COMPUTED_VALUE"""),"651🤙🏼October Sky🤙🏼Chris Cooper🤙🏼Estrela 2")</f>
        <v>651🤙🏼October Sky🤙🏼Chris Cooper🤙🏼Estrela 2</v>
      </c>
      <c r="H2603" s="5">
        <f>IFERROR(__xludf.DUMMYFUNCTION("SPLiT(G2603, ""🤙🏼"",FALSE,FALSE)"),651.0)</f>
        <v>651</v>
      </c>
      <c r="I2603" s="5" t="str">
        <f>IFERROR(__xludf.DUMMYFUNCTION("""COMPUTED_VALUE"""),"October Sky")</f>
        <v>October Sky</v>
      </c>
      <c r="J2603" s="5" t="str">
        <f>IFERROR(__xludf.DUMMYFUNCTION("""COMPUTED_VALUE"""),"Chris Cooper")</f>
        <v>Chris Cooper</v>
      </c>
      <c r="K2603" s="5" t="str">
        <f>IFERROR(__xludf.DUMMYFUNCTION("""COMPUTED_VALUE"""),"Estrela 2")</f>
        <v>Estrela 2</v>
      </c>
      <c r="P2603" s="5">
        <f>IFERROR(__xludf.DUMMYFUNCTION("""COMPUTED_VALUE"""),651.0)</f>
        <v>651</v>
      </c>
      <c r="Q2603" s="5" t="str">
        <f>IFERROR(__xludf.DUMMYFUNCTION("""COMPUTED_VALUE"""),"October Sky")</f>
        <v>October Sky</v>
      </c>
      <c r="R2603" s="5" t="str">
        <f>IFERROR(__xludf.DUMMYFUNCTION("""COMPUTED_VALUE"""),"Chris Cooper")</f>
        <v>Chris Cooper</v>
      </c>
      <c r="S2603" s="5" t="str">
        <f>IFERROR(__xludf.DUMMYFUNCTION("""COMPUTED_VALUE"""),"Estrela 2")</f>
        <v>Estrela 2</v>
      </c>
    </row>
    <row r="2604">
      <c r="G2604" s="5" t="str">
        <f>IFERROR(__xludf.DUMMYFUNCTION("""COMPUTED_VALUE"""),"651🤙🏼October Sky🤙🏼Laura Dern🤙🏼Estrela 3")</f>
        <v>651🤙🏼October Sky🤙🏼Laura Dern🤙🏼Estrela 3</v>
      </c>
      <c r="H2604" s="5">
        <f>IFERROR(__xludf.DUMMYFUNCTION("SPLiT(G2604, ""🤙🏼"",FALSE,FALSE)"),651.0)</f>
        <v>651</v>
      </c>
      <c r="I2604" s="5" t="str">
        <f>IFERROR(__xludf.DUMMYFUNCTION("""COMPUTED_VALUE"""),"October Sky")</f>
        <v>October Sky</v>
      </c>
      <c r="J2604" s="5" t="str">
        <f>IFERROR(__xludf.DUMMYFUNCTION("""COMPUTED_VALUE"""),"Laura Dern")</f>
        <v>Laura Dern</v>
      </c>
      <c r="K2604" s="5" t="str">
        <f>IFERROR(__xludf.DUMMYFUNCTION("""COMPUTED_VALUE"""),"Estrela 3")</f>
        <v>Estrela 3</v>
      </c>
      <c r="P2604" s="5">
        <f>IFERROR(__xludf.DUMMYFUNCTION("""COMPUTED_VALUE"""),651.0)</f>
        <v>651</v>
      </c>
      <c r="Q2604" s="5" t="str">
        <f>IFERROR(__xludf.DUMMYFUNCTION("""COMPUTED_VALUE"""),"October Sky")</f>
        <v>October Sky</v>
      </c>
      <c r="R2604" s="5" t="str">
        <f>IFERROR(__xludf.DUMMYFUNCTION("""COMPUTED_VALUE"""),"Laura Dern")</f>
        <v>Laura Dern</v>
      </c>
      <c r="S2604" s="5" t="str">
        <f>IFERROR(__xludf.DUMMYFUNCTION("""COMPUTED_VALUE"""),"Estrela 3")</f>
        <v>Estrela 3</v>
      </c>
    </row>
    <row r="2605">
      <c r="G2605" s="5" t="str">
        <f>IFERROR(__xludf.DUMMYFUNCTION("""COMPUTED_VALUE"""),"651🤙🏼October Sky🤙🏼Chris Owen🤙🏼Estrela 4")</f>
        <v>651🤙🏼October Sky🤙🏼Chris Owen🤙🏼Estrela 4</v>
      </c>
      <c r="H2605" s="5">
        <f>IFERROR(__xludf.DUMMYFUNCTION("SPLiT(G2605, ""🤙🏼"",FALSE,FALSE)"),651.0)</f>
        <v>651</v>
      </c>
      <c r="I2605" s="5" t="str">
        <f>IFERROR(__xludf.DUMMYFUNCTION("""COMPUTED_VALUE"""),"October Sky")</f>
        <v>October Sky</v>
      </c>
      <c r="J2605" s="5" t="str">
        <f>IFERROR(__xludf.DUMMYFUNCTION("""COMPUTED_VALUE"""),"Chris Owen")</f>
        <v>Chris Owen</v>
      </c>
      <c r="K2605" s="5" t="str">
        <f>IFERROR(__xludf.DUMMYFUNCTION("""COMPUTED_VALUE"""),"Estrela 4")</f>
        <v>Estrela 4</v>
      </c>
      <c r="P2605" s="5">
        <f>IFERROR(__xludf.DUMMYFUNCTION("""COMPUTED_VALUE"""),651.0)</f>
        <v>651</v>
      </c>
      <c r="Q2605" s="5" t="str">
        <f>IFERROR(__xludf.DUMMYFUNCTION("""COMPUTED_VALUE"""),"October Sky")</f>
        <v>October Sky</v>
      </c>
      <c r="R2605" s="5" t="str">
        <f>IFERROR(__xludf.DUMMYFUNCTION("""COMPUTED_VALUE"""),"Chris Owen")</f>
        <v>Chris Owen</v>
      </c>
      <c r="S2605" s="5" t="str">
        <f>IFERROR(__xludf.DUMMYFUNCTION("""COMPUTED_VALUE"""),"Estrela 4")</f>
        <v>Estrela 4</v>
      </c>
    </row>
    <row r="2606">
      <c r="G2606" s="5" t="str">
        <f>IFERROR(__xludf.DUMMYFUNCTION("""COMPUTED_VALUE"""),"652🤙🏼Shrek🤙🏼Vicky Jenson🤙🏼Estrela 1")</f>
        <v>652🤙🏼Shrek🤙🏼Vicky Jenson🤙🏼Estrela 1</v>
      </c>
      <c r="H2606" s="5">
        <f>IFERROR(__xludf.DUMMYFUNCTION("SPLiT(G2606, ""🤙🏼"",FALSE,FALSE)"),652.0)</f>
        <v>652</v>
      </c>
      <c r="I2606" s="5" t="str">
        <f>IFERROR(__xludf.DUMMYFUNCTION("""COMPUTED_VALUE"""),"Shrek")</f>
        <v>Shrek</v>
      </c>
      <c r="J2606" s="5" t="str">
        <f>IFERROR(__xludf.DUMMYFUNCTION("""COMPUTED_VALUE"""),"Vicky Jenson")</f>
        <v>Vicky Jenson</v>
      </c>
      <c r="K2606" s="5" t="str">
        <f>IFERROR(__xludf.DUMMYFUNCTION("""COMPUTED_VALUE"""),"Estrela 1")</f>
        <v>Estrela 1</v>
      </c>
      <c r="P2606" s="5">
        <f>IFERROR(__xludf.DUMMYFUNCTION("""COMPUTED_VALUE"""),652.0)</f>
        <v>652</v>
      </c>
      <c r="Q2606" s="5" t="str">
        <f>IFERROR(__xludf.DUMMYFUNCTION("""COMPUTED_VALUE"""),"Shrek")</f>
        <v>Shrek</v>
      </c>
      <c r="R2606" s="5" t="str">
        <f>IFERROR(__xludf.DUMMYFUNCTION("""COMPUTED_VALUE"""),"Vicky Jenson")</f>
        <v>Vicky Jenson</v>
      </c>
      <c r="S2606" s="5" t="str">
        <f>IFERROR(__xludf.DUMMYFUNCTION("""COMPUTED_VALUE"""),"Estrela 1")</f>
        <v>Estrela 1</v>
      </c>
    </row>
    <row r="2607">
      <c r="G2607" s="5" t="str">
        <f>IFERROR(__xludf.DUMMYFUNCTION("""COMPUTED_VALUE"""),"652🤙🏼Shrek🤙🏼Mike Myers🤙🏼Estrela 2")</f>
        <v>652🤙🏼Shrek🤙🏼Mike Myers🤙🏼Estrela 2</v>
      </c>
      <c r="H2607" s="5">
        <f>IFERROR(__xludf.DUMMYFUNCTION("SPLiT(G2607, ""🤙🏼"",FALSE,FALSE)"),652.0)</f>
        <v>652</v>
      </c>
      <c r="I2607" s="5" t="str">
        <f>IFERROR(__xludf.DUMMYFUNCTION("""COMPUTED_VALUE"""),"Shrek")</f>
        <v>Shrek</v>
      </c>
      <c r="J2607" s="5" t="str">
        <f>IFERROR(__xludf.DUMMYFUNCTION("""COMPUTED_VALUE"""),"Mike Myers")</f>
        <v>Mike Myers</v>
      </c>
      <c r="K2607" s="5" t="str">
        <f>IFERROR(__xludf.DUMMYFUNCTION("""COMPUTED_VALUE"""),"Estrela 2")</f>
        <v>Estrela 2</v>
      </c>
      <c r="P2607" s="5">
        <f>IFERROR(__xludf.DUMMYFUNCTION("""COMPUTED_VALUE"""),652.0)</f>
        <v>652</v>
      </c>
      <c r="Q2607" s="5" t="str">
        <f>IFERROR(__xludf.DUMMYFUNCTION("""COMPUTED_VALUE"""),"Shrek")</f>
        <v>Shrek</v>
      </c>
      <c r="R2607" s="5" t="str">
        <f>IFERROR(__xludf.DUMMYFUNCTION("""COMPUTED_VALUE"""),"Mike Myers")</f>
        <v>Mike Myers</v>
      </c>
      <c r="S2607" s="5" t="str">
        <f>IFERROR(__xludf.DUMMYFUNCTION("""COMPUTED_VALUE"""),"Estrela 2")</f>
        <v>Estrela 2</v>
      </c>
    </row>
    <row r="2608">
      <c r="G2608" s="5" t="str">
        <f>IFERROR(__xludf.DUMMYFUNCTION("""COMPUTED_VALUE"""),"652🤙🏼Shrek🤙🏼Eddie Murphy🤙🏼Estrela 3")</f>
        <v>652🤙🏼Shrek🤙🏼Eddie Murphy🤙🏼Estrela 3</v>
      </c>
      <c r="H2608" s="5">
        <f>IFERROR(__xludf.DUMMYFUNCTION("SPLiT(G2608, ""🤙🏼"",FALSE,FALSE)"),652.0)</f>
        <v>652</v>
      </c>
      <c r="I2608" s="5" t="str">
        <f>IFERROR(__xludf.DUMMYFUNCTION("""COMPUTED_VALUE"""),"Shrek")</f>
        <v>Shrek</v>
      </c>
      <c r="J2608" s="5" t="str">
        <f>IFERROR(__xludf.DUMMYFUNCTION("""COMPUTED_VALUE"""),"Eddie Murphy")</f>
        <v>Eddie Murphy</v>
      </c>
      <c r="K2608" s="5" t="str">
        <f>IFERROR(__xludf.DUMMYFUNCTION("""COMPUTED_VALUE"""),"Estrela 3")</f>
        <v>Estrela 3</v>
      </c>
      <c r="P2608" s="5">
        <f>IFERROR(__xludf.DUMMYFUNCTION("""COMPUTED_VALUE"""),652.0)</f>
        <v>652</v>
      </c>
      <c r="Q2608" s="5" t="str">
        <f>IFERROR(__xludf.DUMMYFUNCTION("""COMPUTED_VALUE"""),"Shrek")</f>
        <v>Shrek</v>
      </c>
      <c r="R2608" s="5" t="str">
        <f>IFERROR(__xludf.DUMMYFUNCTION("""COMPUTED_VALUE"""),"Eddie Murphy")</f>
        <v>Eddie Murphy</v>
      </c>
      <c r="S2608" s="5" t="str">
        <f>IFERROR(__xludf.DUMMYFUNCTION("""COMPUTED_VALUE"""),"Estrela 3")</f>
        <v>Estrela 3</v>
      </c>
    </row>
    <row r="2609">
      <c r="G2609" s="5" t="str">
        <f>IFERROR(__xludf.DUMMYFUNCTION("""COMPUTED_VALUE"""),"652🤙🏼Shrek🤙🏼Cameron Diaz🤙🏼Estrela 4")</f>
        <v>652🤙🏼Shrek🤙🏼Cameron Diaz🤙🏼Estrela 4</v>
      </c>
      <c r="H2609" s="5">
        <f>IFERROR(__xludf.DUMMYFUNCTION("SPLiT(G2609, ""🤙🏼"",FALSE,FALSE)"),652.0)</f>
        <v>652</v>
      </c>
      <c r="I2609" s="5" t="str">
        <f>IFERROR(__xludf.DUMMYFUNCTION("""COMPUTED_VALUE"""),"Shrek")</f>
        <v>Shrek</v>
      </c>
      <c r="J2609" s="5" t="str">
        <f>IFERROR(__xludf.DUMMYFUNCTION("""COMPUTED_VALUE"""),"Cameron Diaz")</f>
        <v>Cameron Diaz</v>
      </c>
      <c r="K2609" s="5" t="str">
        <f>IFERROR(__xludf.DUMMYFUNCTION("""COMPUTED_VALUE"""),"Estrela 4")</f>
        <v>Estrela 4</v>
      </c>
      <c r="P2609" s="5">
        <f>IFERROR(__xludf.DUMMYFUNCTION("""COMPUTED_VALUE"""),652.0)</f>
        <v>652</v>
      </c>
      <c r="Q2609" s="5" t="str">
        <f>IFERROR(__xludf.DUMMYFUNCTION("""COMPUTED_VALUE"""),"Shrek")</f>
        <v>Shrek</v>
      </c>
      <c r="R2609" s="5" t="str">
        <f>IFERROR(__xludf.DUMMYFUNCTION("""COMPUTED_VALUE"""),"Cameron Diaz")</f>
        <v>Cameron Diaz</v>
      </c>
      <c r="S2609" s="5" t="str">
        <f>IFERROR(__xludf.DUMMYFUNCTION("""COMPUTED_VALUE"""),"Estrela 4")</f>
        <v>Estrela 4</v>
      </c>
    </row>
    <row r="2610">
      <c r="G2610" s="5" t="str">
        <f>IFERROR(__xludf.DUMMYFUNCTION("""COMPUTED_VALUE"""),"653🤙🏼Titanic🤙🏼Leonardo DiCaprio🤙🏼Estrela 1")</f>
        <v>653🤙🏼Titanic🤙🏼Leonardo DiCaprio🤙🏼Estrela 1</v>
      </c>
      <c r="H2610" s="5">
        <f>IFERROR(__xludf.DUMMYFUNCTION("SPLiT(G2610, ""🤙🏼"",FALSE,FALSE)"),653.0)</f>
        <v>653</v>
      </c>
      <c r="I2610" s="5" t="str">
        <f>IFERROR(__xludf.DUMMYFUNCTION("""COMPUTED_VALUE"""),"Titanic")</f>
        <v>Titanic</v>
      </c>
      <c r="J2610" s="5" t="str">
        <f>IFERROR(__xludf.DUMMYFUNCTION("""COMPUTED_VALUE"""),"Leonardo DiCaprio")</f>
        <v>Leonardo DiCaprio</v>
      </c>
      <c r="K2610" s="5" t="str">
        <f>IFERROR(__xludf.DUMMYFUNCTION("""COMPUTED_VALUE"""),"Estrela 1")</f>
        <v>Estrela 1</v>
      </c>
      <c r="P2610" s="5">
        <f>IFERROR(__xludf.DUMMYFUNCTION("""COMPUTED_VALUE"""),653.0)</f>
        <v>653</v>
      </c>
      <c r="Q2610" s="5" t="str">
        <f>IFERROR(__xludf.DUMMYFUNCTION("""COMPUTED_VALUE"""),"Titanic")</f>
        <v>Titanic</v>
      </c>
      <c r="R2610" s="5" t="str">
        <f>IFERROR(__xludf.DUMMYFUNCTION("""COMPUTED_VALUE"""),"Leonardo DiCaprio")</f>
        <v>Leonardo DiCaprio</v>
      </c>
      <c r="S2610" s="5" t="str">
        <f>IFERROR(__xludf.DUMMYFUNCTION("""COMPUTED_VALUE"""),"Estrela 1")</f>
        <v>Estrela 1</v>
      </c>
    </row>
    <row r="2611">
      <c r="G2611" s="5" t="str">
        <f>IFERROR(__xludf.DUMMYFUNCTION("""COMPUTED_VALUE"""),"653🤙🏼Titanic🤙🏼Kate Winslet🤙🏼Estrela 2")</f>
        <v>653🤙🏼Titanic🤙🏼Kate Winslet🤙🏼Estrela 2</v>
      </c>
      <c r="H2611" s="5">
        <f>IFERROR(__xludf.DUMMYFUNCTION("SPLiT(G2611, ""🤙🏼"",FALSE,FALSE)"),653.0)</f>
        <v>653</v>
      </c>
      <c r="I2611" s="5" t="str">
        <f>IFERROR(__xludf.DUMMYFUNCTION("""COMPUTED_VALUE"""),"Titanic")</f>
        <v>Titanic</v>
      </c>
      <c r="J2611" s="5" t="str">
        <f>IFERROR(__xludf.DUMMYFUNCTION("""COMPUTED_VALUE"""),"Kate Winslet")</f>
        <v>Kate Winslet</v>
      </c>
      <c r="K2611" s="5" t="str">
        <f>IFERROR(__xludf.DUMMYFUNCTION("""COMPUTED_VALUE"""),"Estrela 2")</f>
        <v>Estrela 2</v>
      </c>
      <c r="P2611" s="5">
        <f>IFERROR(__xludf.DUMMYFUNCTION("""COMPUTED_VALUE"""),653.0)</f>
        <v>653</v>
      </c>
      <c r="Q2611" s="5" t="str">
        <f>IFERROR(__xludf.DUMMYFUNCTION("""COMPUTED_VALUE"""),"Titanic")</f>
        <v>Titanic</v>
      </c>
      <c r="R2611" s="5" t="str">
        <f>IFERROR(__xludf.DUMMYFUNCTION("""COMPUTED_VALUE"""),"Kate Winslet")</f>
        <v>Kate Winslet</v>
      </c>
      <c r="S2611" s="5" t="str">
        <f>IFERROR(__xludf.DUMMYFUNCTION("""COMPUTED_VALUE"""),"Estrela 2")</f>
        <v>Estrela 2</v>
      </c>
    </row>
    <row r="2612">
      <c r="G2612" s="5" t="str">
        <f>IFERROR(__xludf.DUMMYFUNCTION("""COMPUTED_VALUE"""),"653🤙🏼Titanic🤙🏼Billy Zane🤙🏼Estrela 3")</f>
        <v>653🤙🏼Titanic🤙🏼Billy Zane🤙🏼Estrela 3</v>
      </c>
      <c r="H2612" s="5">
        <f>IFERROR(__xludf.DUMMYFUNCTION("SPLiT(G2612, ""🤙🏼"",FALSE,FALSE)"),653.0)</f>
        <v>653</v>
      </c>
      <c r="I2612" s="5" t="str">
        <f>IFERROR(__xludf.DUMMYFUNCTION("""COMPUTED_VALUE"""),"Titanic")</f>
        <v>Titanic</v>
      </c>
      <c r="J2612" s="5" t="str">
        <f>IFERROR(__xludf.DUMMYFUNCTION("""COMPUTED_VALUE"""),"Billy Zane")</f>
        <v>Billy Zane</v>
      </c>
      <c r="K2612" s="5" t="str">
        <f>IFERROR(__xludf.DUMMYFUNCTION("""COMPUTED_VALUE"""),"Estrela 3")</f>
        <v>Estrela 3</v>
      </c>
      <c r="P2612" s="5">
        <f>IFERROR(__xludf.DUMMYFUNCTION("""COMPUTED_VALUE"""),653.0)</f>
        <v>653</v>
      </c>
      <c r="Q2612" s="5" t="str">
        <f>IFERROR(__xludf.DUMMYFUNCTION("""COMPUTED_VALUE"""),"Titanic")</f>
        <v>Titanic</v>
      </c>
      <c r="R2612" s="5" t="str">
        <f>IFERROR(__xludf.DUMMYFUNCTION("""COMPUTED_VALUE"""),"Billy Zane")</f>
        <v>Billy Zane</v>
      </c>
      <c r="S2612" s="5" t="str">
        <f>IFERROR(__xludf.DUMMYFUNCTION("""COMPUTED_VALUE"""),"Estrela 3")</f>
        <v>Estrela 3</v>
      </c>
    </row>
    <row r="2613">
      <c r="G2613" s="5" t="str">
        <f>IFERROR(__xludf.DUMMYFUNCTION("""COMPUTED_VALUE"""),"653🤙🏼Titanic🤙🏼Kathy Bates🤙🏼Estrela 4")</f>
        <v>653🤙🏼Titanic🤙🏼Kathy Bates🤙🏼Estrela 4</v>
      </c>
      <c r="H2613" s="5">
        <f>IFERROR(__xludf.DUMMYFUNCTION("SPLiT(G2613, ""🤙🏼"",FALSE,FALSE)"),653.0)</f>
        <v>653</v>
      </c>
      <c r="I2613" s="5" t="str">
        <f>IFERROR(__xludf.DUMMYFUNCTION("""COMPUTED_VALUE"""),"Titanic")</f>
        <v>Titanic</v>
      </c>
      <c r="J2613" s="5" t="str">
        <f>IFERROR(__xludf.DUMMYFUNCTION("""COMPUTED_VALUE"""),"Kathy Bates")</f>
        <v>Kathy Bates</v>
      </c>
      <c r="K2613" s="5" t="str">
        <f>IFERROR(__xludf.DUMMYFUNCTION("""COMPUTED_VALUE"""),"Estrela 4")</f>
        <v>Estrela 4</v>
      </c>
      <c r="P2613" s="5">
        <f>IFERROR(__xludf.DUMMYFUNCTION("""COMPUTED_VALUE"""),653.0)</f>
        <v>653</v>
      </c>
      <c r="Q2613" s="5" t="str">
        <f>IFERROR(__xludf.DUMMYFUNCTION("""COMPUTED_VALUE"""),"Titanic")</f>
        <v>Titanic</v>
      </c>
      <c r="R2613" s="5" t="str">
        <f>IFERROR(__xludf.DUMMYFUNCTION("""COMPUTED_VALUE"""),"Kathy Bates")</f>
        <v>Kathy Bates</v>
      </c>
      <c r="S2613" s="5" t="str">
        <f>IFERROR(__xludf.DUMMYFUNCTION("""COMPUTED_VALUE"""),"Estrela 4")</f>
        <v>Estrela 4</v>
      </c>
    </row>
    <row r="2614">
      <c r="G2614" s="5" t="str">
        <f>IFERROR(__xludf.DUMMYFUNCTION("""COMPUTED_VALUE"""),"654🤙🏼Hana-bi🤙🏼Takeshi Kitano🤙🏼Estrela 1")</f>
        <v>654🤙🏼Hana-bi🤙🏼Takeshi Kitano🤙🏼Estrela 1</v>
      </c>
      <c r="H2614" s="5">
        <f>IFERROR(__xludf.DUMMYFUNCTION("SPLiT(G2614, ""🤙🏼"",FALSE,FALSE)"),654.0)</f>
        <v>654</v>
      </c>
      <c r="I2614" s="5" t="str">
        <f>IFERROR(__xludf.DUMMYFUNCTION("""COMPUTED_VALUE"""),"Hana-bi")</f>
        <v>Hana-bi</v>
      </c>
      <c r="J2614" s="5" t="str">
        <f>IFERROR(__xludf.DUMMYFUNCTION("""COMPUTED_VALUE"""),"Takeshi Kitano")</f>
        <v>Takeshi Kitano</v>
      </c>
      <c r="K2614" s="5" t="str">
        <f>IFERROR(__xludf.DUMMYFUNCTION("""COMPUTED_VALUE"""),"Estrela 1")</f>
        <v>Estrela 1</v>
      </c>
      <c r="P2614" s="5">
        <f>IFERROR(__xludf.DUMMYFUNCTION("""COMPUTED_VALUE"""),654.0)</f>
        <v>654</v>
      </c>
      <c r="Q2614" s="5" t="str">
        <f>IFERROR(__xludf.DUMMYFUNCTION("""COMPUTED_VALUE"""),"Hana-bi")</f>
        <v>Hana-bi</v>
      </c>
      <c r="R2614" s="5" t="str">
        <f>IFERROR(__xludf.DUMMYFUNCTION("""COMPUTED_VALUE"""),"Takeshi Kitano")</f>
        <v>Takeshi Kitano</v>
      </c>
      <c r="S2614" s="5" t="str">
        <f>IFERROR(__xludf.DUMMYFUNCTION("""COMPUTED_VALUE"""),"Estrela 1")</f>
        <v>Estrela 1</v>
      </c>
    </row>
    <row r="2615">
      <c r="G2615" s="5" t="str">
        <f>IFERROR(__xludf.DUMMYFUNCTION("""COMPUTED_VALUE"""),"654🤙🏼Hana-bi🤙🏼Kayoko Kishimoto🤙🏼Estrela 2")</f>
        <v>654🤙🏼Hana-bi🤙🏼Kayoko Kishimoto🤙🏼Estrela 2</v>
      </c>
      <c r="H2615" s="5">
        <f>IFERROR(__xludf.DUMMYFUNCTION("SPLiT(G2615, ""🤙🏼"",FALSE,FALSE)"),654.0)</f>
        <v>654</v>
      </c>
      <c r="I2615" s="5" t="str">
        <f>IFERROR(__xludf.DUMMYFUNCTION("""COMPUTED_VALUE"""),"Hana-bi")</f>
        <v>Hana-bi</v>
      </c>
      <c r="J2615" s="5" t="str">
        <f>IFERROR(__xludf.DUMMYFUNCTION("""COMPUTED_VALUE"""),"Kayoko Kishimoto")</f>
        <v>Kayoko Kishimoto</v>
      </c>
      <c r="K2615" s="5" t="str">
        <f>IFERROR(__xludf.DUMMYFUNCTION("""COMPUTED_VALUE"""),"Estrela 2")</f>
        <v>Estrela 2</v>
      </c>
      <c r="P2615" s="5">
        <f>IFERROR(__xludf.DUMMYFUNCTION("""COMPUTED_VALUE"""),654.0)</f>
        <v>654</v>
      </c>
      <c r="Q2615" s="5" t="str">
        <f>IFERROR(__xludf.DUMMYFUNCTION("""COMPUTED_VALUE"""),"Hana-bi")</f>
        <v>Hana-bi</v>
      </c>
      <c r="R2615" s="5" t="str">
        <f>IFERROR(__xludf.DUMMYFUNCTION("""COMPUTED_VALUE"""),"Kayoko Kishimoto")</f>
        <v>Kayoko Kishimoto</v>
      </c>
      <c r="S2615" s="5" t="str">
        <f>IFERROR(__xludf.DUMMYFUNCTION("""COMPUTED_VALUE"""),"Estrela 2")</f>
        <v>Estrela 2</v>
      </c>
    </row>
    <row r="2616">
      <c r="G2616" s="5" t="str">
        <f>IFERROR(__xludf.DUMMYFUNCTION("""COMPUTED_VALUE"""),"654🤙🏼Hana-bi🤙🏼Ren Osugi🤙🏼Estrela 3")</f>
        <v>654🤙🏼Hana-bi🤙🏼Ren Osugi🤙🏼Estrela 3</v>
      </c>
      <c r="H2616" s="5">
        <f>IFERROR(__xludf.DUMMYFUNCTION("SPLiT(G2616, ""🤙🏼"",FALSE,FALSE)"),654.0)</f>
        <v>654</v>
      </c>
      <c r="I2616" s="5" t="str">
        <f>IFERROR(__xludf.DUMMYFUNCTION("""COMPUTED_VALUE"""),"Hana-bi")</f>
        <v>Hana-bi</v>
      </c>
      <c r="J2616" s="5" t="str">
        <f>IFERROR(__xludf.DUMMYFUNCTION("""COMPUTED_VALUE"""),"Ren Osugi")</f>
        <v>Ren Osugi</v>
      </c>
      <c r="K2616" s="5" t="str">
        <f>IFERROR(__xludf.DUMMYFUNCTION("""COMPUTED_VALUE"""),"Estrela 3")</f>
        <v>Estrela 3</v>
      </c>
      <c r="P2616" s="5">
        <f>IFERROR(__xludf.DUMMYFUNCTION("""COMPUTED_VALUE"""),654.0)</f>
        <v>654</v>
      </c>
      <c r="Q2616" s="5" t="str">
        <f>IFERROR(__xludf.DUMMYFUNCTION("""COMPUTED_VALUE"""),"Hana-bi")</f>
        <v>Hana-bi</v>
      </c>
      <c r="R2616" s="5" t="str">
        <f>IFERROR(__xludf.DUMMYFUNCTION("""COMPUTED_VALUE"""),"Ren Osugi")</f>
        <v>Ren Osugi</v>
      </c>
      <c r="S2616" s="5" t="str">
        <f>IFERROR(__xludf.DUMMYFUNCTION("""COMPUTED_VALUE"""),"Estrela 3")</f>
        <v>Estrela 3</v>
      </c>
    </row>
    <row r="2617">
      <c r="G2617" s="5" t="str">
        <f>IFERROR(__xludf.DUMMYFUNCTION("""COMPUTED_VALUE"""),"654🤙🏼Hana-bi🤙🏼Susumu Terajima🤙🏼Estrela 4")</f>
        <v>654🤙🏼Hana-bi🤙🏼Susumu Terajima🤙🏼Estrela 4</v>
      </c>
      <c r="H2617" s="5">
        <f>IFERROR(__xludf.DUMMYFUNCTION("SPLiT(G2617, ""🤙🏼"",FALSE,FALSE)"),654.0)</f>
        <v>654</v>
      </c>
      <c r="I2617" s="5" t="str">
        <f>IFERROR(__xludf.DUMMYFUNCTION("""COMPUTED_VALUE"""),"Hana-bi")</f>
        <v>Hana-bi</v>
      </c>
      <c r="J2617" s="5" t="str">
        <f>IFERROR(__xludf.DUMMYFUNCTION("""COMPUTED_VALUE"""),"Susumu Terajima")</f>
        <v>Susumu Terajima</v>
      </c>
      <c r="K2617" s="5" t="str">
        <f>IFERROR(__xludf.DUMMYFUNCTION("""COMPUTED_VALUE"""),"Estrela 4")</f>
        <v>Estrela 4</v>
      </c>
      <c r="P2617" s="5">
        <f>IFERROR(__xludf.DUMMYFUNCTION("""COMPUTED_VALUE"""),654.0)</f>
        <v>654</v>
      </c>
      <c r="Q2617" s="5" t="str">
        <f>IFERROR(__xludf.DUMMYFUNCTION("""COMPUTED_VALUE"""),"Hana-bi")</f>
        <v>Hana-bi</v>
      </c>
      <c r="R2617" s="5" t="str">
        <f>IFERROR(__xludf.DUMMYFUNCTION("""COMPUTED_VALUE"""),"Susumu Terajima")</f>
        <v>Susumu Terajima</v>
      </c>
      <c r="S2617" s="5" t="str">
        <f>IFERROR(__xludf.DUMMYFUNCTION("""COMPUTED_VALUE"""),"Estrela 4")</f>
        <v>Estrela 4</v>
      </c>
    </row>
    <row r="2618">
      <c r="G2618" s="5" t="str">
        <f>IFERROR(__xludf.DUMMYFUNCTION("""COMPUTED_VALUE"""),"655🤙🏼Gattaca🤙🏼Ethan Hawke🤙🏼Estrela 1")</f>
        <v>655🤙🏼Gattaca🤙🏼Ethan Hawke🤙🏼Estrela 1</v>
      </c>
      <c r="H2618" s="5">
        <f>IFERROR(__xludf.DUMMYFUNCTION("SPLiT(G2618, ""🤙🏼"",FALSE,FALSE)"),655.0)</f>
        <v>655</v>
      </c>
      <c r="I2618" s="5" t="str">
        <f>IFERROR(__xludf.DUMMYFUNCTION("""COMPUTED_VALUE"""),"Gattaca")</f>
        <v>Gattaca</v>
      </c>
      <c r="J2618" s="5" t="str">
        <f>IFERROR(__xludf.DUMMYFUNCTION("""COMPUTED_VALUE"""),"Ethan Hawke")</f>
        <v>Ethan Hawke</v>
      </c>
      <c r="K2618" s="5" t="str">
        <f>IFERROR(__xludf.DUMMYFUNCTION("""COMPUTED_VALUE"""),"Estrela 1")</f>
        <v>Estrela 1</v>
      </c>
      <c r="P2618" s="5">
        <f>IFERROR(__xludf.DUMMYFUNCTION("""COMPUTED_VALUE"""),655.0)</f>
        <v>655</v>
      </c>
      <c r="Q2618" s="5" t="str">
        <f>IFERROR(__xludf.DUMMYFUNCTION("""COMPUTED_VALUE"""),"Gattaca")</f>
        <v>Gattaca</v>
      </c>
      <c r="R2618" s="5" t="str">
        <f>IFERROR(__xludf.DUMMYFUNCTION("""COMPUTED_VALUE"""),"Ethan Hawke")</f>
        <v>Ethan Hawke</v>
      </c>
      <c r="S2618" s="5" t="str">
        <f>IFERROR(__xludf.DUMMYFUNCTION("""COMPUTED_VALUE"""),"Estrela 1")</f>
        <v>Estrela 1</v>
      </c>
    </row>
    <row r="2619">
      <c r="G2619" s="5" t="str">
        <f>IFERROR(__xludf.DUMMYFUNCTION("""COMPUTED_VALUE"""),"655🤙🏼Gattaca🤙🏼Uma Thurman🤙🏼Estrela 2")</f>
        <v>655🤙🏼Gattaca🤙🏼Uma Thurman🤙🏼Estrela 2</v>
      </c>
      <c r="H2619" s="5">
        <f>IFERROR(__xludf.DUMMYFUNCTION("SPLiT(G2619, ""🤙🏼"",FALSE,FALSE)"),655.0)</f>
        <v>655</v>
      </c>
      <c r="I2619" s="5" t="str">
        <f>IFERROR(__xludf.DUMMYFUNCTION("""COMPUTED_VALUE"""),"Gattaca")</f>
        <v>Gattaca</v>
      </c>
      <c r="J2619" s="5" t="str">
        <f>IFERROR(__xludf.DUMMYFUNCTION("""COMPUTED_VALUE"""),"Uma Thurman")</f>
        <v>Uma Thurman</v>
      </c>
      <c r="K2619" s="5" t="str">
        <f>IFERROR(__xludf.DUMMYFUNCTION("""COMPUTED_VALUE"""),"Estrela 2")</f>
        <v>Estrela 2</v>
      </c>
      <c r="P2619" s="5">
        <f>IFERROR(__xludf.DUMMYFUNCTION("""COMPUTED_VALUE"""),655.0)</f>
        <v>655</v>
      </c>
      <c r="Q2619" s="5" t="str">
        <f>IFERROR(__xludf.DUMMYFUNCTION("""COMPUTED_VALUE"""),"Gattaca")</f>
        <v>Gattaca</v>
      </c>
      <c r="R2619" s="5" t="str">
        <f>IFERROR(__xludf.DUMMYFUNCTION("""COMPUTED_VALUE"""),"Uma Thurman")</f>
        <v>Uma Thurman</v>
      </c>
      <c r="S2619" s="5" t="str">
        <f>IFERROR(__xludf.DUMMYFUNCTION("""COMPUTED_VALUE"""),"Estrela 2")</f>
        <v>Estrela 2</v>
      </c>
    </row>
    <row r="2620">
      <c r="G2620" s="5" t="str">
        <f>IFERROR(__xludf.DUMMYFUNCTION("""COMPUTED_VALUE"""),"655🤙🏼Gattaca🤙🏼Jude Law🤙🏼Estrela 3")</f>
        <v>655🤙🏼Gattaca🤙🏼Jude Law🤙🏼Estrela 3</v>
      </c>
      <c r="H2620" s="5">
        <f>IFERROR(__xludf.DUMMYFUNCTION("SPLiT(G2620, ""🤙🏼"",FALSE,FALSE)"),655.0)</f>
        <v>655</v>
      </c>
      <c r="I2620" s="5" t="str">
        <f>IFERROR(__xludf.DUMMYFUNCTION("""COMPUTED_VALUE"""),"Gattaca")</f>
        <v>Gattaca</v>
      </c>
      <c r="J2620" s="5" t="str">
        <f>IFERROR(__xludf.DUMMYFUNCTION("""COMPUTED_VALUE"""),"Jude Law")</f>
        <v>Jude Law</v>
      </c>
      <c r="K2620" s="5" t="str">
        <f>IFERROR(__xludf.DUMMYFUNCTION("""COMPUTED_VALUE"""),"Estrela 3")</f>
        <v>Estrela 3</v>
      </c>
      <c r="P2620" s="5">
        <f>IFERROR(__xludf.DUMMYFUNCTION("""COMPUTED_VALUE"""),655.0)</f>
        <v>655</v>
      </c>
      <c r="Q2620" s="5" t="str">
        <f>IFERROR(__xludf.DUMMYFUNCTION("""COMPUTED_VALUE"""),"Gattaca")</f>
        <v>Gattaca</v>
      </c>
      <c r="R2620" s="5" t="str">
        <f>IFERROR(__xludf.DUMMYFUNCTION("""COMPUTED_VALUE"""),"Jude Law")</f>
        <v>Jude Law</v>
      </c>
      <c r="S2620" s="5" t="str">
        <f>IFERROR(__xludf.DUMMYFUNCTION("""COMPUTED_VALUE"""),"Estrela 3")</f>
        <v>Estrela 3</v>
      </c>
    </row>
    <row r="2621">
      <c r="G2621" s="5" t="str">
        <f>IFERROR(__xludf.DUMMYFUNCTION("""COMPUTED_VALUE"""),"655🤙🏼Gattaca🤙🏼Gore Vidal🤙🏼Estrela 4")</f>
        <v>655🤙🏼Gattaca🤙🏼Gore Vidal🤙🏼Estrela 4</v>
      </c>
      <c r="H2621" s="5">
        <f>IFERROR(__xludf.DUMMYFUNCTION("SPLiT(G2621, ""🤙🏼"",FALSE,FALSE)"),655.0)</f>
        <v>655</v>
      </c>
      <c r="I2621" s="5" t="str">
        <f>IFERROR(__xludf.DUMMYFUNCTION("""COMPUTED_VALUE"""),"Gattaca")</f>
        <v>Gattaca</v>
      </c>
      <c r="J2621" s="5" t="str">
        <f>IFERROR(__xludf.DUMMYFUNCTION("""COMPUTED_VALUE"""),"Gore Vidal")</f>
        <v>Gore Vidal</v>
      </c>
      <c r="K2621" s="5" t="str">
        <f>IFERROR(__xludf.DUMMYFUNCTION("""COMPUTED_VALUE"""),"Estrela 4")</f>
        <v>Estrela 4</v>
      </c>
      <c r="P2621" s="5">
        <f>IFERROR(__xludf.DUMMYFUNCTION("""COMPUTED_VALUE"""),655.0)</f>
        <v>655</v>
      </c>
      <c r="Q2621" s="5" t="str">
        <f>IFERROR(__xludf.DUMMYFUNCTION("""COMPUTED_VALUE"""),"Gattaca")</f>
        <v>Gattaca</v>
      </c>
      <c r="R2621" s="5" t="str">
        <f>IFERROR(__xludf.DUMMYFUNCTION("""COMPUTED_VALUE"""),"Gore Vidal")</f>
        <v>Gore Vidal</v>
      </c>
      <c r="S2621" s="5" t="str">
        <f>IFERROR(__xludf.DUMMYFUNCTION("""COMPUTED_VALUE"""),"Estrela 4")</f>
        <v>Estrela 4</v>
      </c>
    </row>
    <row r="2622">
      <c r="G2622" s="5" t="str">
        <f>IFERROR(__xludf.DUMMYFUNCTION("""COMPUTED_VALUE"""),"656🤙🏼The Game🤙🏼Michael Douglas🤙🏼Estrela 1")</f>
        <v>656🤙🏼The Game🤙🏼Michael Douglas🤙🏼Estrela 1</v>
      </c>
      <c r="H2622" s="5">
        <f>IFERROR(__xludf.DUMMYFUNCTION("SPLiT(G2622, ""🤙🏼"",FALSE,FALSE)"),656.0)</f>
        <v>656</v>
      </c>
      <c r="I2622" s="5" t="str">
        <f>IFERROR(__xludf.DUMMYFUNCTION("""COMPUTED_VALUE"""),"The Game")</f>
        <v>The Game</v>
      </c>
      <c r="J2622" s="5" t="str">
        <f>IFERROR(__xludf.DUMMYFUNCTION("""COMPUTED_VALUE"""),"Michael Douglas")</f>
        <v>Michael Douglas</v>
      </c>
      <c r="K2622" s="5" t="str">
        <f>IFERROR(__xludf.DUMMYFUNCTION("""COMPUTED_VALUE"""),"Estrela 1")</f>
        <v>Estrela 1</v>
      </c>
      <c r="P2622" s="5">
        <f>IFERROR(__xludf.DUMMYFUNCTION("""COMPUTED_VALUE"""),656.0)</f>
        <v>656</v>
      </c>
      <c r="Q2622" s="5" t="str">
        <f>IFERROR(__xludf.DUMMYFUNCTION("""COMPUTED_VALUE"""),"The Game")</f>
        <v>The Game</v>
      </c>
      <c r="R2622" s="5" t="str">
        <f>IFERROR(__xludf.DUMMYFUNCTION("""COMPUTED_VALUE"""),"Michael Douglas")</f>
        <v>Michael Douglas</v>
      </c>
      <c r="S2622" s="5" t="str">
        <f>IFERROR(__xludf.DUMMYFUNCTION("""COMPUTED_VALUE"""),"Estrela 1")</f>
        <v>Estrela 1</v>
      </c>
    </row>
    <row r="2623">
      <c r="G2623" s="5" t="str">
        <f>IFERROR(__xludf.DUMMYFUNCTION("""COMPUTED_VALUE"""),"656🤙🏼The Game🤙🏼Deborah Kara Unger🤙🏼Estrela 2")</f>
        <v>656🤙🏼The Game🤙🏼Deborah Kara Unger🤙🏼Estrela 2</v>
      </c>
      <c r="H2623" s="5">
        <f>IFERROR(__xludf.DUMMYFUNCTION("SPLiT(G2623, ""🤙🏼"",FALSE,FALSE)"),656.0)</f>
        <v>656</v>
      </c>
      <c r="I2623" s="5" t="str">
        <f>IFERROR(__xludf.DUMMYFUNCTION("""COMPUTED_VALUE"""),"The Game")</f>
        <v>The Game</v>
      </c>
      <c r="J2623" s="5" t="str">
        <f>IFERROR(__xludf.DUMMYFUNCTION("""COMPUTED_VALUE"""),"Deborah Kara Unger")</f>
        <v>Deborah Kara Unger</v>
      </c>
      <c r="K2623" s="5" t="str">
        <f>IFERROR(__xludf.DUMMYFUNCTION("""COMPUTED_VALUE"""),"Estrela 2")</f>
        <v>Estrela 2</v>
      </c>
      <c r="P2623" s="5">
        <f>IFERROR(__xludf.DUMMYFUNCTION("""COMPUTED_VALUE"""),656.0)</f>
        <v>656</v>
      </c>
      <c r="Q2623" s="5" t="str">
        <f>IFERROR(__xludf.DUMMYFUNCTION("""COMPUTED_VALUE"""),"The Game")</f>
        <v>The Game</v>
      </c>
      <c r="R2623" s="5" t="str">
        <f>IFERROR(__xludf.DUMMYFUNCTION("""COMPUTED_VALUE"""),"Deborah Kara Unger")</f>
        <v>Deborah Kara Unger</v>
      </c>
      <c r="S2623" s="5" t="str">
        <f>IFERROR(__xludf.DUMMYFUNCTION("""COMPUTED_VALUE"""),"Estrela 2")</f>
        <v>Estrela 2</v>
      </c>
    </row>
    <row r="2624">
      <c r="G2624" s="5" t="str">
        <f>IFERROR(__xludf.DUMMYFUNCTION("""COMPUTED_VALUE"""),"656🤙🏼The Game🤙🏼Sean Penn🤙🏼Estrela 3")</f>
        <v>656🤙🏼The Game🤙🏼Sean Penn🤙🏼Estrela 3</v>
      </c>
      <c r="H2624" s="5">
        <f>IFERROR(__xludf.DUMMYFUNCTION("SPLiT(G2624, ""🤙🏼"",FALSE,FALSE)"),656.0)</f>
        <v>656</v>
      </c>
      <c r="I2624" s="5" t="str">
        <f>IFERROR(__xludf.DUMMYFUNCTION("""COMPUTED_VALUE"""),"The Game")</f>
        <v>The Game</v>
      </c>
      <c r="J2624" s="5" t="str">
        <f>IFERROR(__xludf.DUMMYFUNCTION("""COMPUTED_VALUE"""),"Sean Penn")</f>
        <v>Sean Penn</v>
      </c>
      <c r="K2624" s="5" t="str">
        <f>IFERROR(__xludf.DUMMYFUNCTION("""COMPUTED_VALUE"""),"Estrela 3")</f>
        <v>Estrela 3</v>
      </c>
      <c r="P2624" s="5">
        <f>IFERROR(__xludf.DUMMYFUNCTION("""COMPUTED_VALUE"""),656.0)</f>
        <v>656</v>
      </c>
      <c r="Q2624" s="5" t="str">
        <f>IFERROR(__xludf.DUMMYFUNCTION("""COMPUTED_VALUE"""),"The Game")</f>
        <v>The Game</v>
      </c>
      <c r="R2624" s="5" t="str">
        <f>IFERROR(__xludf.DUMMYFUNCTION("""COMPUTED_VALUE"""),"Sean Penn")</f>
        <v>Sean Penn</v>
      </c>
      <c r="S2624" s="5" t="str">
        <f>IFERROR(__xludf.DUMMYFUNCTION("""COMPUTED_VALUE"""),"Estrela 3")</f>
        <v>Estrela 3</v>
      </c>
    </row>
    <row r="2625">
      <c r="G2625" s="5" t="str">
        <f>IFERROR(__xludf.DUMMYFUNCTION("""COMPUTED_VALUE"""),"656🤙🏼The Game🤙🏼James Rebhorn🤙🏼Estrela 4")</f>
        <v>656🤙🏼The Game🤙🏼James Rebhorn🤙🏼Estrela 4</v>
      </c>
      <c r="H2625" s="5">
        <f>IFERROR(__xludf.DUMMYFUNCTION("SPLiT(G2625, ""🤙🏼"",FALSE,FALSE)"),656.0)</f>
        <v>656</v>
      </c>
      <c r="I2625" s="5" t="str">
        <f>IFERROR(__xludf.DUMMYFUNCTION("""COMPUTED_VALUE"""),"The Game")</f>
        <v>The Game</v>
      </c>
      <c r="J2625" s="5" t="str">
        <f>IFERROR(__xludf.DUMMYFUNCTION("""COMPUTED_VALUE"""),"James Rebhorn")</f>
        <v>James Rebhorn</v>
      </c>
      <c r="K2625" s="5" t="str">
        <f>IFERROR(__xludf.DUMMYFUNCTION("""COMPUTED_VALUE"""),"Estrela 4")</f>
        <v>Estrela 4</v>
      </c>
      <c r="P2625" s="5">
        <f>IFERROR(__xludf.DUMMYFUNCTION("""COMPUTED_VALUE"""),656.0)</f>
        <v>656</v>
      </c>
      <c r="Q2625" s="5" t="str">
        <f>IFERROR(__xludf.DUMMYFUNCTION("""COMPUTED_VALUE"""),"The Game")</f>
        <v>The Game</v>
      </c>
      <c r="R2625" s="5" t="str">
        <f>IFERROR(__xludf.DUMMYFUNCTION("""COMPUTED_VALUE"""),"James Rebhorn")</f>
        <v>James Rebhorn</v>
      </c>
      <c r="S2625" s="5" t="str">
        <f>IFERROR(__xludf.DUMMYFUNCTION("""COMPUTED_VALUE"""),"Estrela 4")</f>
        <v>Estrela 4</v>
      </c>
    </row>
    <row r="2626">
      <c r="G2626" s="5" t="str">
        <f>IFERROR(__xludf.DUMMYFUNCTION("""COMPUTED_VALUE"""),"657🤙🏼Breaking the Waves🤙🏼Emily Watson🤙🏼Estrela 1")</f>
        <v>657🤙🏼Breaking the Waves🤙🏼Emily Watson🤙🏼Estrela 1</v>
      </c>
      <c r="H2626" s="5">
        <f>IFERROR(__xludf.DUMMYFUNCTION("SPLiT(G2626, ""🤙🏼"",FALSE,FALSE)"),657.0)</f>
        <v>657</v>
      </c>
      <c r="I2626" s="5" t="str">
        <f>IFERROR(__xludf.DUMMYFUNCTION("""COMPUTED_VALUE"""),"Breaking the Waves")</f>
        <v>Breaking the Waves</v>
      </c>
      <c r="J2626" s="5" t="str">
        <f>IFERROR(__xludf.DUMMYFUNCTION("""COMPUTED_VALUE"""),"Emily Watson")</f>
        <v>Emily Watson</v>
      </c>
      <c r="K2626" s="5" t="str">
        <f>IFERROR(__xludf.DUMMYFUNCTION("""COMPUTED_VALUE"""),"Estrela 1")</f>
        <v>Estrela 1</v>
      </c>
      <c r="P2626" s="5">
        <f>IFERROR(__xludf.DUMMYFUNCTION("""COMPUTED_VALUE"""),657.0)</f>
        <v>657</v>
      </c>
      <c r="Q2626" s="5" t="str">
        <f>IFERROR(__xludf.DUMMYFUNCTION("""COMPUTED_VALUE"""),"Breaking the Waves")</f>
        <v>Breaking the Waves</v>
      </c>
      <c r="R2626" s="5" t="str">
        <f>IFERROR(__xludf.DUMMYFUNCTION("""COMPUTED_VALUE"""),"Emily Watson")</f>
        <v>Emily Watson</v>
      </c>
      <c r="S2626" s="5" t="str">
        <f>IFERROR(__xludf.DUMMYFUNCTION("""COMPUTED_VALUE"""),"Estrela 1")</f>
        <v>Estrela 1</v>
      </c>
    </row>
    <row r="2627">
      <c r="G2627" s="5" t="str">
        <f>IFERROR(__xludf.DUMMYFUNCTION("""COMPUTED_VALUE"""),"657🤙🏼Breaking the Waves🤙🏼Stellan Skarsgård🤙🏼Estrela 2")</f>
        <v>657🤙🏼Breaking the Waves🤙🏼Stellan Skarsgård🤙🏼Estrela 2</v>
      </c>
      <c r="H2627" s="5">
        <f>IFERROR(__xludf.DUMMYFUNCTION("SPLiT(G2627, ""🤙🏼"",FALSE,FALSE)"),657.0)</f>
        <v>657</v>
      </c>
      <c r="I2627" s="5" t="str">
        <f>IFERROR(__xludf.DUMMYFUNCTION("""COMPUTED_VALUE"""),"Breaking the Waves")</f>
        <v>Breaking the Waves</v>
      </c>
      <c r="J2627" s="5" t="str">
        <f>IFERROR(__xludf.DUMMYFUNCTION("""COMPUTED_VALUE"""),"Stellan Skarsgård")</f>
        <v>Stellan Skarsgård</v>
      </c>
      <c r="K2627" s="5" t="str">
        <f>IFERROR(__xludf.DUMMYFUNCTION("""COMPUTED_VALUE"""),"Estrela 2")</f>
        <v>Estrela 2</v>
      </c>
      <c r="P2627" s="5">
        <f>IFERROR(__xludf.DUMMYFUNCTION("""COMPUTED_VALUE"""),657.0)</f>
        <v>657</v>
      </c>
      <c r="Q2627" s="5" t="str">
        <f>IFERROR(__xludf.DUMMYFUNCTION("""COMPUTED_VALUE"""),"Breaking the Waves")</f>
        <v>Breaking the Waves</v>
      </c>
      <c r="R2627" s="5" t="str">
        <f>IFERROR(__xludf.DUMMYFUNCTION("""COMPUTED_VALUE"""),"Stellan Skarsgård")</f>
        <v>Stellan Skarsgård</v>
      </c>
      <c r="S2627" s="5" t="str">
        <f>IFERROR(__xludf.DUMMYFUNCTION("""COMPUTED_VALUE"""),"Estrela 2")</f>
        <v>Estrela 2</v>
      </c>
    </row>
    <row r="2628">
      <c r="G2628" s="5" t="str">
        <f>IFERROR(__xludf.DUMMYFUNCTION("""COMPUTED_VALUE"""),"657🤙🏼Breaking the Waves🤙🏼Katrin Cartlidge🤙🏼Estrela 3")</f>
        <v>657🤙🏼Breaking the Waves🤙🏼Katrin Cartlidge🤙🏼Estrela 3</v>
      </c>
      <c r="H2628" s="5">
        <f>IFERROR(__xludf.DUMMYFUNCTION("SPLiT(G2628, ""🤙🏼"",FALSE,FALSE)"),657.0)</f>
        <v>657</v>
      </c>
      <c r="I2628" s="5" t="str">
        <f>IFERROR(__xludf.DUMMYFUNCTION("""COMPUTED_VALUE"""),"Breaking the Waves")</f>
        <v>Breaking the Waves</v>
      </c>
      <c r="J2628" s="5" t="str">
        <f>IFERROR(__xludf.DUMMYFUNCTION("""COMPUTED_VALUE"""),"Katrin Cartlidge")</f>
        <v>Katrin Cartlidge</v>
      </c>
      <c r="K2628" s="5" t="str">
        <f>IFERROR(__xludf.DUMMYFUNCTION("""COMPUTED_VALUE"""),"Estrela 3")</f>
        <v>Estrela 3</v>
      </c>
      <c r="P2628" s="5">
        <f>IFERROR(__xludf.DUMMYFUNCTION("""COMPUTED_VALUE"""),657.0)</f>
        <v>657</v>
      </c>
      <c r="Q2628" s="5" t="str">
        <f>IFERROR(__xludf.DUMMYFUNCTION("""COMPUTED_VALUE"""),"Breaking the Waves")</f>
        <v>Breaking the Waves</v>
      </c>
      <c r="R2628" s="5" t="str">
        <f>IFERROR(__xludf.DUMMYFUNCTION("""COMPUTED_VALUE"""),"Katrin Cartlidge")</f>
        <v>Katrin Cartlidge</v>
      </c>
      <c r="S2628" s="5" t="str">
        <f>IFERROR(__xludf.DUMMYFUNCTION("""COMPUTED_VALUE"""),"Estrela 3")</f>
        <v>Estrela 3</v>
      </c>
    </row>
    <row r="2629">
      <c r="G2629" s="5" t="str">
        <f>IFERROR(__xludf.DUMMYFUNCTION("""COMPUTED_VALUE"""),"657🤙🏼Breaking the Waves🤙🏼Jean-Marc Barr🤙🏼Estrela 4")</f>
        <v>657🤙🏼Breaking the Waves🤙🏼Jean-Marc Barr🤙🏼Estrela 4</v>
      </c>
      <c r="H2629" s="5">
        <f>IFERROR(__xludf.DUMMYFUNCTION("SPLiT(G2629, ""🤙🏼"",FALSE,FALSE)"),657.0)</f>
        <v>657</v>
      </c>
      <c r="I2629" s="5" t="str">
        <f>IFERROR(__xludf.DUMMYFUNCTION("""COMPUTED_VALUE"""),"Breaking the Waves")</f>
        <v>Breaking the Waves</v>
      </c>
      <c r="J2629" s="5" t="str">
        <f>IFERROR(__xludf.DUMMYFUNCTION("""COMPUTED_VALUE"""),"Jean-Marc Barr")</f>
        <v>Jean-Marc Barr</v>
      </c>
      <c r="K2629" s="5" t="str">
        <f>IFERROR(__xludf.DUMMYFUNCTION("""COMPUTED_VALUE"""),"Estrela 4")</f>
        <v>Estrela 4</v>
      </c>
      <c r="P2629" s="5">
        <f>IFERROR(__xludf.DUMMYFUNCTION("""COMPUTED_VALUE"""),657.0)</f>
        <v>657</v>
      </c>
      <c r="Q2629" s="5" t="str">
        <f>IFERROR(__xludf.DUMMYFUNCTION("""COMPUTED_VALUE"""),"Breaking the Waves")</f>
        <v>Breaking the Waves</v>
      </c>
      <c r="R2629" s="5" t="str">
        <f>IFERROR(__xludf.DUMMYFUNCTION("""COMPUTED_VALUE"""),"Jean-Marc Barr")</f>
        <v>Jean-Marc Barr</v>
      </c>
      <c r="S2629" s="5" t="str">
        <f>IFERROR(__xludf.DUMMYFUNCTION("""COMPUTED_VALUE"""),"Estrela 4")</f>
        <v>Estrela 4</v>
      </c>
    </row>
    <row r="2630">
      <c r="G2630" s="5" t="str">
        <f>IFERROR(__xludf.DUMMYFUNCTION("""COMPUTED_VALUE"""),"658🤙🏼Ed Wood🤙🏼Johnny Depp🤙🏼Estrela 1")</f>
        <v>658🤙🏼Ed Wood🤙🏼Johnny Depp🤙🏼Estrela 1</v>
      </c>
      <c r="H2630" s="5">
        <f>IFERROR(__xludf.DUMMYFUNCTION("SPLiT(G2630, ""🤙🏼"",FALSE,FALSE)"),658.0)</f>
        <v>658</v>
      </c>
      <c r="I2630" s="5" t="str">
        <f>IFERROR(__xludf.DUMMYFUNCTION("""COMPUTED_VALUE"""),"Ed Wood")</f>
        <v>Ed Wood</v>
      </c>
      <c r="J2630" s="5" t="str">
        <f>IFERROR(__xludf.DUMMYFUNCTION("""COMPUTED_VALUE"""),"Johnny Depp")</f>
        <v>Johnny Depp</v>
      </c>
      <c r="K2630" s="5" t="str">
        <f>IFERROR(__xludf.DUMMYFUNCTION("""COMPUTED_VALUE"""),"Estrela 1")</f>
        <v>Estrela 1</v>
      </c>
      <c r="P2630" s="5">
        <f>IFERROR(__xludf.DUMMYFUNCTION("""COMPUTED_VALUE"""),658.0)</f>
        <v>658</v>
      </c>
      <c r="Q2630" s="5" t="str">
        <f>IFERROR(__xludf.DUMMYFUNCTION("""COMPUTED_VALUE"""),"Ed Wood")</f>
        <v>Ed Wood</v>
      </c>
      <c r="R2630" s="5" t="str">
        <f>IFERROR(__xludf.DUMMYFUNCTION("""COMPUTED_VALUE"""),"Johnny Depp")</f>
        <v>Johnny Depp</v>
      </c>
      <c r="S2630" s="5" t="str">
        <f>IFERROR(__xludf.DUMMYFUNCTION("""COMPUTED_VALUE"""),"Estrela 1")</f>
        <v>Estrela 1</v>
      </c>
    </row>
    <row r="2631">
      <c r="G2631" s="5" t="str">
        <f>IFERROR(__xludf.DUMMYFUNCTION("""COMPUTED_VALUE"""),"658🤙🏼Ed Wood🤙🏼Martin Landau🤙🏼Estrela 2")</f>
        <v>658🤙🏼Ed Wood🤙🏼Martin Landau🤙🏼Estrela 2</v>
      </c>
      <c r="H2631" s="5">
        <f>IFERROR(__xludf.DUMMYFUNCTION("SPLiT(G2631, ""🤙🏼"",FALSE,FALSE)"),658.0)</f>
        <v>658</v>
      </c>
      <c r="I2631" s="5" t="str">
        <f>IFERROR(__xludf.DUMMYFUNCTION("""COMPUTED_VALUE"""),"Ed Wood")</f>
        <v>Ed Wood</v>
      </c>
      <c r="J2631" s="5" t="str">
        <f>IFERROR(__xludf.DUMMYFUNCTION("""COMPUTED_VALUE"""),"Martin Landau")</f>
        <v>Martin Landau</v>
      </c>
      <c r="K2631" s="5" t="str">
        <f>IFERROR(__xludf.DUMMYFUNCTION("""COMPUTED_VALUE"""),"Estrela 2")</f>
        <v>Estrela 2</v>
      </c>
      <c r="P2631" s="5">
        <f>IFERROR(__xludf.DUMMYFUNCTION("""COMPUTED_VALUE"""),658.0)</f>
        <v>658</v>
      </c>
      <c r="Q2631" s="5" t="str">
        <f>IFERROR(__xludf.DUMMYFUNCTION("""COMPUTED_VALUE"""),"Ed Wood")</f>
        <v>Ed Wood</v>
      </c>
      <c r="R2631" s="5" t="str">
        <f>IFERROR(__xludf.DUMMYFUNCTION("""COMPUTED_VALUE"""),"Martin Landau")</f>
        <v>Martin Landau</v>
      </c>
      <c r="S2631" s="5" t="str">
        <f>IFERROR(__xludf.DUMMYFUNCTION("""COMPUTED_VALUE"""),"Estrela 2")</f>
        <v>Estrela 2</v>
      </c>
    </row>
    <row r="2632">
      <c r="G2632" s="5" t="str">
        <f>IFERROR(__xludf.DUMMYFUNCTION("""COMPUTED_VALUE"""),"658🤙🏼Ed Wood🤙🏼Sarah Jessica Parker🤙🏼Estrela 3")</f>
        <v>658🤙🏼Ed Wood🤙🏼Sarah Jessica Parker🤙🏼Estrela 3</v>
      </c>
      <c r="H2632" s="5">
        <f>IFERROR(__xludf.DUMMYFUNCTION("SPLiT(G2632, ""🤙🏼"",FALSE,FALSE)"),658.0)</f>
        <v>658</v>
      </c>
      <c r="I2632" s="5" t="str">
        <f>IFERROR(__xludf.DUMMYFUNCTION("""COMPUTED_VALUE"""),"Ed Wood")</f>
        <v>Ed Wood</v>
      </c>
      <c r="J2632" s="5" t="str">
        <f>IFERROR(__xludf.DUMMYFUNCTION("""COMPUTED_VALUE"""),"Sarah Jessica Parker")</f>
        <v>Sarah Jessica Parker</v>
      </c>
      <c r="K2632" s="5" t="str">
        <f>IFERROR(__xludf.DUMMYFUNCTION("""COMPUTED_VALUE"""),"Estrela 3")</f>
        <v>Estrela 3</v>
      </c>
      <c r="P2632" s="5">
        <f>IFERROR(__xludf.DUMMYFUNCTION("""COMPUTED_VALUE"""),658.0)</f>
        <v>658</v>
      </c>
      <c r="Q2632" s="5" t="str">
        <f>IFERROR(__xludf.DUMMYFUNCTION("""COMPUTED_VALUE"""),"Ed Wood")</f>
        <v>Ed Wood</v>
      </c>
      <c r="R2632" s="5" t="str">
        <f>IFERROR(__xludf.DUMMYFUNCTION("""COMPUTED_VALUE"""),"Sarah Jessica Parker")</f>
        <v>Sarah Jessica Parker</v>
      </c>
      <c r="S2632" s="5" t="str">
        <f>IFERROR(__xludf.DUMMYFUNCTION("""COMPUTED_VALUE"""),"Estrela 3")</f>
        <v>Estrela 3</v>
      </c>
    </row>
    <row r="2633">
      <c r="G2633" s="5" t="str">
        <f>IFERROR(__xludf.DUMMYFUNCTION("""COMPUTED_VALUE"""),"658🤙🏼Ed Wood🤙🏼Patricia Arquette🤙🏼Estrela 4")</f>
        <v>658🤙🏼Ed Wood🤙🏼Patricia Arquette🤙🏼Estrela 4</v>
      </c>
      <c r="H2633" s="5">
        <f>IFERROR(__xludf.DUMMYFUNCTION("SPLiT(G2633, ""🤙🏼"",FALSE,FALSE)"),658.0)</f>
        <v>658</v>
      </c>
      <c r="I2633" s="5" t="str">
        <f>IFERROR(__xludf.DUMMYFUNCTION("""COMPUTED_VALUE"""),"Ed Wood")</f>
        <v>Ed Wood</v>
      </c>
      <c r="J2633" s="5" t="str">
        <f>IFERROR(__xludf.DUMMYFUNCTION("""COMPUTED_VALUE"""),"Patricia Arquette")</f>
        <v>Patricia Arquette</v>
      </c>
      <c r="K2633" s="5" t="str">
        <f>IFERROR(__xludf.DUMMYFUNCTION("""COMPUTED_VALUE"""),"Estrela 4")</f>
        <v>Estrela 4</v>
      </c>
      <c r="P2633" s="5">
        <f>IFERROR(__xludf.DUMMYFUNCTION("""COMPUTED_VALUE"""),658.0)</f>
        <v>658</v>
      </c>
      <c r="Q2633" s="5" t="str">
        <f>IFERROR(__xludf.DUMMYFUNCTION("""COMPUTED_VALUE"""),"Ed Wood")</f>
        <v>Ed Wood</v>
      </c>
      <c r="R2633" s="5" t="str">
        <f>IFERROR(__xludf.DUMMYFUNCTION("""COMPUTED_VALUE"""),"Patricia Arquette")</f>
        <v>Patricia Arquette</v>
      </c>
      <c r="S2633" s="5" t="str">
        <f>IFERROR(__xludf.DUMMYFUNCTION("""COMPUTED_VALUE"""),"Estrela 4")</f>
        <v>Estrela 4</v>
      </c>
    </row>
    <row r="2634">
      <c r="G2634" s="5" t="str">
        <f>IFERROR(__xludf.DUMMYFUNCTION("""COMPUTED_VALUE"""),"659🤙🏼What's Eating Gilbert Grape🤙🏼Johnny Depp🤙🏼Estrela 1")</f>
        <v>659🤙🏼What's Eating Gilbert Grape🤙🏼Johnny Depp🤙🏼Estrela 1</v>
      </c>
      <c r="H2634" s="5">
        <f>IFERROR(__xludf.DUMMYFUNCTION("SPLiT(G2634, ""🤙🏼"",FALSE,FALSE)"),659.0)</f>
        <v>659</v>
      </c>
      <c r="I2634" s="5" t="str">
        <f>IFERROR(__xludf.DUMMYFUNCTION("""COMPUTED_VALUE"""),"What's Eating Gilbert Grape")</f>
        <v>What's Eating Gilbert Grape</v>
      </c>
      <c r="J2634" s="5" t="str">
        <f>IFERROR(__xludf.DUMMYFUNCTION("""COMPUTED_VALUE"""),"Johnny Depp")</f>
        <v>Johnny Depp</v>
      </c>
      <c r="K2634" s="5" t="str">
        <f>IFERROR(__xludf.DUMMYFUNCTION("""COMPUTED_VALUE"""),"Estrela 1")</f>
        <v>Estrela 1</v>
      </c>
      <c r="P2634" s="5">
        <f>IFERROR(__xludf.DUMMYFUNCTION("""COMPUTED_VALUE"""),659.0)</f>
        <v>659</v>
      </c>
      <c r="Q2634" s="5" t="str">
        <f>IFERROR(__xludf.DUMMYFUNCTION("""COMPUTED_VALUE"""),"What's Eating Gilbert Grape")</f>
        <v>What's Eating Gilbert Grape</v>
      </c>
      <c r="R2634" s="5" t="str">
        <f>IFERROR(__xludf.DUMMYFUNCTION("""COMPUTED_VALUE"""),"Johnny Depp")</f>
        <v>Johnny Depp</v>
      </c>
      <c r="S2634" s="5" t="str">
        <f>IFERROR(__xludf.DUMMYFUNCTION("""COMPUTED_VALUE"""),"Estrela 1")</f>
        <v>Estrela 1</v>
      </c>
    </row>
    <row r="2635">
      <c r="G2635" s="5" t="str">
        <f>IFERROR(__xludf.DUMMYFUNCTION("""COMPUTED_VALUE"""),"659🤙🏼What's Eating Gilbert Grape🤙🏼Leonardo DiCaprio🤙🏼Estrela 2")</f>
        <v>659🤙🏼What's Eating Gilbert Grape🤙🏼Leonardo DiCaprio🤙🏼Estrela 2</v>
      </c>
      <c r="H2635" s="5">
        <f>IFERROR(__xludf.DUMMYFUNCTION("SPLiT(G2635, ""🤙🏼"",FALSE,FALSE)"),659.0)</f>
        <v>659</v>
      </c>
      <c r="I2635" s="5" t="str">
        <f>IFERROR(__xludf.DUMMYFUNCTION("""COMPUTED_VALUE"""),"What's Eating Gilbert Grape")</f>
        <v>What's Eating Gilbert Grape</v>
      </c>
      <c r="J2635" s="5" t="str">
        <f>IFERROR(__xludf.DUMMYFUNCTION("""COMPUTED_VALUE"""),"Leonardo DiCaprio")</f>
        <v>Leonardo DiCaprio</v>
      </c>
      <c r="K2635" s="5" t="str">
        <f>IFERROR(__xludf.DUMMYFUNCTION("""COMPUTED_VALUE"""),"Estrela 2")</f>
        <v>Estrela 2</v>
      </c>
      <c r="P2635" s="5">
        <f>IFERROR(__xludf.DUMMYFUNCTION("""COMPUTED_VALUE"""),659.0)</f>
        <v>659</v>
      </c>
      <c r="Q2635" s="5" t="str">
        <f>IFERROR(__xludf.DUMMYFUNCTION("""COMPUTED_VALUE"""),"What's Eating Gilbert Grape")</f>
        <v>What's Eating Gilbert Grape</v>
      </c>
      <c r="R2635" s="5" t="str">
        <f>IFERROR(__xludf.DUMMYFUNCTION("""COMPUTED_VALUE"""),"Leonardo DiCaprio")</f>
        <v>Leonardo DiCaprio</v>
      </c>
      <c r="S2635" s="5" t="str">
        <f>IFERROR(__xludf.DUMMYFUNCTION("""COMPUTED_VALUE"""),"Estrela 2")</f>
        <v>Estrela 2</v>
      </c>
    </row>
    <row r="2636">
      <c r="G2636" s="5" t="str">
        <f>IFERROR(__xludf.DUMMYFUNCTION("""COMPUTED_VALUE"""),"659🤙🏼What's Eating Gilbert Grape🤙🏼Juliette Lewis🤙🏼Estrela 3")</f>
        <v>659🤙🏼What's Eating Gilbert Grape🤙🏼Juliette Lewis🤙🏼Estrela 3</v>
      </c>
      <c r="H2636" s="5">
        <f>IFERROR(__xludf.DUMMYFUNCTION("SPLiT(G2636, ""🤙🏼"",FALSE,FALSE)"),659.0)</f>
        <v>659</v>
      </c>
      <c r="I2636" s="5" t="str">
        <f>IFERROR(__xludf.DUMMYFUNCTION("""COMPUTED_VALUE"""),"What's Eating Gilbert Grape")</f>
        <v>What's Eating Gilbert Grape</v>
      </c>
      <c r="J2636" s="5" t="str">
        <f>IFERROR(__xludf.DUMMYFUNCTION("""COMPUTED_VALUE"""),"Juliette Lewis")</f>
        <v>Juliette Lewis</v>
      </c>
      <c r="K2636" s="5" t="str">
        <f>IFERROR(__xludf.DUMMYFUNCTION("""COMPUTED_VALUE"""),"Estrela 3")</f>
        <v>Estrela 3</v>
      </c>
      <c r="P2636" s="5">
        <f>IFERROR(__xludf.DUMMYFUNCTION("""COMPUTED_VALUE"""),659.0)</f>
        <v>659</v>
      </c>
      <c r="Q2636" s="5" t="str">
        <f>IFERROR(__xludf.DUMMYFUNCTION("""COMPUTED_VALUE"""),"What's Eating Gilbert Grape")</f>
        <v>What's Eating Gilbert Grape</v>
      </c>
      <c r="R2636" s="5" t="str">
        <f>IFERROR(__xludf.DUMMYFUNCTION("""COMPUTED_VALUE"""),"Juliette Lewis")</f>
        <v>Juliette Lewis</v>
      </c>
      <c r="S2636" s="5" t="str">
        <f>IFERROR(__xludf.DUMMYFUNCTION("""COMPUTED_VALUE"""),"Estrela 3")</f>
        <v>Estrela 3</v>
      </c>
    </row>
    <row r="2637">
      <c r="G2637" s="5" t="str">
        <f>IFERROR(__xludf.DUMMYFUNCTION("""COMPUTED_VALUE"""),"659🤙🏼What's Eating Gilbert Grape🤙🏼Mary Steenburgen🤙🏼Estrela 4")</f>
        <v>659🤙🏼What's Eating Gilbert Grape🤙🏼Mary Steenburgen🤙🏼Estrela 4</v>
      </c>
      <c r="H2637" s="5">
        <f>IFERROR(__xludf.DUMMYFUNCTION("SPLiT(G2637, ""🤙🏼"",FALSE,FALSE)"),659.0)</f>
        <v>659</v>
      </c>
      <c r="I2637" s="5" t="str">
        <f>IFERROR(__xludf.DUMMYFUNCTION("""COMPUTED_VALUE"""),"What's Eating Gilbert Grape")</f>
        <v>What's Eating Gilbert Grape</v>
      </c>
      <c r="J2637" s="5" t="str">
        <f>IFERROR(__xludf.DUMMYFUNCTION("""COMPUTED_VALUE"""),"Mary Steenburgen")</f>
        <v>Mary Steenburgen</v>
      </c>
      <c r="K2637" s="5" t="str">
        <f>IFERROR(__xludf.DUMMYFUNCTION("""COMPUTED_VALUE"""),"Estrela 4")</f>
        <v>Estrela 4</v>
      </c>
      <c r="P2637" s="5">
        <f>IFERROR(__xludf.DUMMYFUNCTION("""COMPUTED_VALUE"""),659.0)</f>
        <v>659</v>
      </c>
      <c r="Q2637" s="5" t="str">
        <f>IFERROR(__xludf.DUMMYFUNCTION("""COMPUTED_VALUE"""),"What's Eating Gilbert Grape")</f>
        <v>What's Eating Gilbert Grape</v>
      </c>
      <c r="R2637" s="5" t="str">
        <f>IFERROR(__xludf.DUMMYFUNCTION("""COMPUTED_VALUE"""),"Mary Steenburgen")</f>
        <v>Mary Steenburgen</v>
      </c>
      <c r="S2637" s="5" t="str">
        <f>IFERROR(__xludf.DUMMYFUNCTION("""COMPUTED_VALUE"""),"Estrela 4")</f>
        <v>Estrela 4</v>
      </c>
    </row>
    <row r="2638">
      <c r="G2638" s="5" t="str">
        <f>IFERROR(__xludf.DUMMYFUNCTION("""COMPUTED_VALUE"""),"660🤙🏼Tombstone🤙🏼Kevin Jarre🤙🏼Estrela 1")</f>
        <v>660🤙🏼Tombstone🤙🏼Kevin Jarre🤙🏼Estrela 1</v>
      </c>
      <c r="H2638" s="5">
        <f>IFERROR(__xludf.DUMMYFUNCTION("SPLiT(G2638, ""🤙🏼"",FALSE,FALSE)"),660.0)</f>
        <v>660</v>
      </c>
      <c r="I2638" s="5" t="str">
        <f>IFERROR(__xludf.DUMMYFUNCTION("""COMPUTED_VALUE"""),"Tombstone")</f>
        <v>Tombstone</v>
      </c>
      <c r="J2638" s="5" t="str">
        <f>IFERROR(__xludf.DUMMYFUNCTION("""COMPUTED_VALUE"""),"Kevin Jarre")</f>
        <v>Kevin Jarre</v>
      </c>
      <c r="K2638" s="5" t="str">
        <f>IFERROR(__xludf.DUMMYFUNCTION("""COMPUTED_VALUE"""),"Estrela 1")</f>
        <v>Estrela 1</v>
      </c>
      <c r="P2638" s="5">
        <f>IFERROR(__xludf.DUMMYFUNCTION("""COMPUTED_VALUE"""),660.0)</f>
        <v>660</v>
      </c>
      <c r="Q2638" s="5" t="str">
        <f>IFERROR(__xludf.DUMMYFUNCTION("""COMPUTED_VALUE"""),"Tombstone")</f>
        <v>Tombstone</v>
      </c>
      <c r="R2638" s="5" t="str">
        <f>IFERROR(__xludf.DUMMYFUNCTION("""COMPUTED_VALUE"""),"Kevin Jarre")</f>
        <v>Kevin Jarre</v>
      </c>
      <c r="S2638" s="5" t="str">
        <f>IFERROR(__xludf.DUMMYFUNCTION("""COMPUTED_VALUE"""),"Estrela 1")</f>
        <v>Estrela 1</v>
      </c>
    </row>
    <row r="2639">
      <c r="G2639" s="5" t="str">
        <f>IFERROR(__xludf.DUMMYFUNCTION("""COMPUTED_VALUE"""),"660🤙🏼Tombstone🤙🏼Kurt Russell🤙🏼Estrela 2")</f>
        <v>660🤙🏼Tombstone🤙🏼Kurt Russell🤙🏼Estrela 2</v>
      </c>
      <c r="H2639" s="5">
        <f>IFERROR(__xludf.DUMMYFUNCTION("SPLiT(G2639, ""🤙🏼"",FALSE,FALSE)"),660.0)</f>
        <v>660</v>
      </c>
      <c r="I2639" s="5" t="str">
        <f>IFERROR(__xludf.DUMMYFUNCTION("""COMPUTED_VALUE"""),"Tombstone")</f>
        <v>Tombstone</v>
      </c>
      <c r="J2639" s="5" t="str">
        <f>IFERROR(__xludf.DUMMYFUNCTION("""COMPUTED_VALUE"""),"Kurt Russell")</f>
        <v>Kurt Russell</v>
      </c>
      <c r="K2639" s="5" t="str">
        <f>IFERROR(__xludf.DUMMYFUNCTION("""COMPUTED_VALUE"""),"Estrela 2")</f>
        <v>Estrela 2</v>
      </c>
      <c r="P2639" s="5">
        <f>IFERROR(__xludf.DUMMYFUNCTION("""COMPUTED_VALUE"""),660.0)</f>
        <v>660</v>
      </c>
      <c r="Q2639" s="5" t="str">
        <f>IFERROR(__xludf.DUMMYFUNCTION("""COMPUTED_VALUE"""),"Tombstone")</f>
        <v>Tombstone</v>
      </c>
      <c r="R2639" s="5" t="str">
        <f>IFERROR(__xludf.DUMMYFUNCTION("""COMPUTED_VALUE"""),"Kurt Russell")</f>
        <v>Kurt Russell</v>
      </c>
      <c r="S2639" s="5" t="str">
        <f>IFERROR(__xludf.DUMMYFUNCTION("""COMPUTED_VALUE"""),"Estrela 2")</f>
        <v>Estrela 2</v>
      </c>
    </row>
    <row r="2640">
      <c r="G2640" s="5" t="str">
        <f>IFERROR(__xludf.DUMMYFUNCTION("""COMPUTED_VALUE"""),"660🤙🏼Tombstone🤙🏼Val Kilmer🤙🏼Estrela 3")</f>
        <v>660🤙🏼Tombstone🤙🏼Val Kilmer🤙🏼Estrela 3</v>
      </c>
      <c r="H2640" s="5">
        <f>IFERROR(__xludf.DUMMYFUNCTION("SPLiT(G2640, ""🤙🏼"",FALSE,FALSE)"),660.0)</f>
        <v>660</v>
      </c>
      <c r="I2640" s="5" t="str">
        <f>IFERROR(__xludf.DUMMYFUNCTION("""COMPUTED_VALUE"""),"Tombstone")</f>
        <v>Tombstone</v>
      </c>
      <c r="J2640" s="5" t="str">
        <f>IFERROR(__xludf.DUMMYFUNCTION("""COMPUTED_VALUE"""),"Val Kilmer")</f>
        <v>Val Kilmer</v>
      </c>
      <c r="K2640" s="5" t="str">
        <f>IFERROR(__xludf.DUMMYFUNCTION("""COMPUTED_VALUE"""),"Estrela 3")</f>
        <v>Estrela 3</v>
      </c>
      <c r="P2640" s="5">
        <f>IFERROR(__xludf.DUMMYFUNCTION("""COMPUTED_VALUE"""),660.0)</f>
        <v>660</v>
      </c>
      <c r="Q2640" s="5" t="str">
        <f>IFERROR(__xludf.DUMMYFUNCTION("""COMPUTED_VALUE"""),"Tombstone")</f>
        <v>Tombstone</v>
      </c>
      <c r="R2640" s="5" t="str">
        <f>IFERROR(__xludf.DUMMYFUNCTION("""COMPUTED_VALUE"""),"Val Kilmer")</f>
        <v>Val Kilmer</v>
      </c>
      <c r="S2640" s="5" t="str">
        <f>IFERROR(__xludf.DUMMYFUNCTION("""COMPUTED_VALUE"""),"Estrela 3")</f>
        <v>Estrela 3</v>
      </c>
    </row>
    <row r="2641">
      <c r="G2641" s="5" t="str">
        <f>IFERROR(__xludf.DUMMYFUNCTION("""COMPUTED_VALUE"""),"660🤙🏼Tombstone🤙🏼Sam Elliott🤙🏼Estrela 4")</f>
        <v>660🤙🏼Tombstone🤙🏼Sam Elliott🤙🏼Estrela 4</v>
      </c>
      <c r="H2641" s="5">
        <f>IFERROR(__xludf.DUMMYFUNCTION("SPLiT(G2641, ""🤙🏼"",FALSE,FALSE)"),660.0)</f>
        <v>660</v>
      </c>
      <c r="I2641" s="5" t="str">
        <f>IFERROR(__xludf.DUMMYFUNCTION("""COMPUTED_VALUE"""),"Tombstone")</f>
        <v>Tombstone</v>
      </c>
      <c r="J2641" s="5" t="str">
        <f>IFERROR(__xludf.DUMMYFUNCTION("""COMPUTED_VALUE"""),"Sam Elliott")</f>
        <v>Sam Elliott</v>
      </c>
      <c r="K2641" s="5" t="str">
        <f>IFERROR(__xludf.DUMMYFUNCTION("""COMPUTED_VALUE"""),"Estrela 4")</f>
        <v>Estrela 4</v>
      </c>
      <c r="P2641" s="5">
        <f>IFERROR(__xludf.DUMMYFUNCTION("""COMPUTED_VALUE"""),660.0)</f>
        <v>660</v>
      </c>
      <c r="Q2641" s="5" t="str">
        <f>IFERROR(__xludf.DUMMYFUNCTION("""COMPUTED_VALUE"""),"Tombstone")</f>
        <v>Tombstone</v>
      </c>
      <c r="R2641" s="5" t="str">
        <f>IFERROR(__xludf.DUMMYFUNCTION("""COMPUTED_VALUE"""),"Sam Elliott")</f>
        <v>Sam Elliott</v>
      </c>
      <c r="S2641" s="5" t="str">
        <f>IFERROR(__xludf.DUMMYFUNCTION("""COMPUTED_VALUE"""),"Estrela 4")</f>
        <v>Estrela 4</v>
      </c>
    </row>
    <row r="2642">
      <c r="G2642" s="5" t="str">
        <f>IFERROR(__xludf.DUMMYFUNCTION("""COMPUTED_VALUE"""),"661🤙🏼The Sandlot🤙🏼Tom Guiry🤙🏼Estrela 1")</f>
        <v>661🤙🏼The Sandlot🤙🏼Tom Guiry🤙🏼Estrela 1</v>
      </c>
      <c r="H2642" s="5">
        <f>IFERROR(__xludf.DUMMYFUNCTION("SPLiT(G2642, ""🤙🏼"",FALSE,FALSE)"),661.0)</f>
        <v>661</v>
      </c>
      <c r="I2642" s="5" t="str">
        <f>IFERROR(__xludf.DUMMYFUNCTION("""COMPUTED_VALUE"""),"The Sandlot")</f>
        <v>The Sandlot</v>
      </c>
      <c r="J2642" s="5" t="str">
        <f>IFERROR(__xludf.DUMMYFUNCTION("""COMPUTED_VALUE"""),"Tom Guiry")</f>
        <v>Tom Guiry</v>
      </c>
      <c r="K2642" s="5" t="str">
        <f>IFERROR(__xludf.DUMMYFUNCTION("""COMPUTED_VALUE"""),"Estrela 1")</f>
        <v>Estrela 1</v>
      </c>
      <c r="P2642" s="5">
        <f>IFERROR(__xludf.DUMMYFUNCTION("""COMPUTED_VALUE"""),661.0)</f>
        <v>661</v>
      </c>
      <c r="Q2642" s="5" t="str">
        <f>IFERROR(__xludf.DUMMYFUNCTION("""COMPUTED_VALUE"""),"The Sandlot")</f>
        <v>The Sandlot</v>
      </c>
      <c r="R2642" s="5" t="str">
        <f>IFERROR(__xludf.DUMMYFUNCTION("""COMPUTED_VALUE"""),"Tom Guiry")</f>
        <v>Tom Guiry</v>
      </c>
      <c r="S2642" s="5" t="str">
        <f>IFERROR(__xludf.DUMMYFUNCTION("""COMPUTED_VALUE"""),"Estrela 1")</f>
        <v>Estrela 1</v>
      </c>
    </row>
    <row r="2643">
      <c r="G2643" s="5" t="str">
        <f>IFERROR(__xludf.DUMMYFUNCTION("""COMPUTED_VALUE"""),"661🤙🏼The Sandlot🤙🏼Mike Vitar🤙🏼Estrela 2")</f>
        <v>661🤙🏼The Sandlot🤙🏼Mike Vitar🤙🏼Estrela 2</v>
      </c>
      <c r="H2643" s="5">
        <f>IFERROR(__xludf.DUMMYFUNCTION("SPLiT(G2643, ""🤙🏼"",FALSE,FALSE)"),661.0)</f>
        <v>661</v>
      </c>
      <c r="I2643" s="5" t="str">
        <f>IFERROR(__xludf.DUMMYFUNCTION("""COMPUTED_VALUE"""),"The Sandlot")</f>
        <v>The Sandlot</v>
      </c>
      <c r="J2643" s="5" t="str">
        <f>IFERROR(__xludf.DUMMYFUNCTION("""COMPUTED_VALUE"""),"Mike Vitar")</f>
        <v>Mike Vitar</v>
      </c>
      <c r="K2643" s="5" t="str">
        <f>IFERROR(__xludf.DUMMYFUNCTION("""COMPUTED_VALUE"""),"Estrela 2")</f>
        <v>Estrela 2</v>
      </c>
      <c r="P2643" s="5">
        <f>IFERROR(__xludf.DUMMYFUNCTION("""COMPUTED_VALUE"""),661.0)</f>
        <v>661</v>
      </c>
      <c r="Q2643" s="5" t="str">
        <f>IFERROR(__xludf.DUMMYFUNCTION("""COMPUTED_VALUE"""),"The Sandlot")</f>
        <v>The Sandlot</v>
      </c>
      <c r="R2643" s="5" t="str">
        <f>IFERROR(__xludf.DUMMYFUNCTION("""COMPUTED_VALUE"""),"Mike Vitar")</f>
        <v>Mike Vitar</v>
      </c>
      <c r="S2643" s="5" t="str">
        <f>IFERROR(__xludf.DUMMYFUNCTION("""COMPUTED_VALUE"""),"Estrela 2")</f>
        <v>Estrela 2</v>
      </c>
    </row>
    <row r="2644">
      <c r="G2644" s="5" t="str">
        <f>IFERROR(__xludf.DUMMYFUNCTION("""COMPUTED_VALUE"""),"661🤙🏼The Sandlot🤙🏼Art LaFleur🤙🏼Estrela 3")</f>
        <v>661🤙🏼The Sandlot🤙🏼Art LaFleur🤙🏼Estrela 3</v>
      </c>
      <c r="H2644" s="5">
        <f>IFERROR(__xludf.DUMMYFUNCTION("SPLiT(G2644, ""🤙🏼"",FALSE,FALSE)"),661.0)</f>
        <v>661</v>
      </c>
      <c r="I2644" s="5" t="str">
        <f>IFERROR(__xludf.DUMMYFUNCTION("""COMPUTED_VALUE"""),"The Sandlot")</f>
        <v>The Sandlot</v>
      </c>
      <c r="J2644" s="5" t="str">
        <f>IFERROR(__xludf.DUMMYFUNCTION("""COMPUTED_VALUE"""),"Art LaFleur")</f>
        <v>Art LaFleur</v>
      </c>
      <c r="K2644" s="5" t="str">
        <f>IFERROR(__xludf.DUMMYFUNCTION("""COMPUTED_VALUE"""),"Estrela 3")</f>
        <v>Estrela 3</v>
      </c>
      <c r="P2644" s="5">
        <f>IFERROR(__xludf.DUMMYFUNCTION("""COMPUTED_VALUE"""),661.0)</f>
        <v>661</v>
      </c>
      <c r="Q2644" s="5" t="str">
        <f>IFERROR(__xludf.DUMMYFUNCTION("""COMPUTED_VALUE"""),"The Sandlot")</f>
        <v>The Sandlot</v>
      </c>
      <c r="R2644" s="5" t="str">
        <f>IFERROR(__xludf.DUMMYFUNCTION("""COMPUTED_VALUE"""),"Art LaFleur")</f>
        <v>Art LaFleur</v>
      </c>
      <c r="S2644" s="5" t="str">
        <f>IFERROR(__xludf.DUMMYFUNCTION("""COMPUTED_VALUE"""),"Estrela 3")</f>
        <v>Estrela 3</v>
      </c>
    </row>
    <row r="2645">
      <c r="G2645" s="5" t="str">
        <f>IFERROR(__xludf.DUMMYFUNCTION("""COMPUTED_VALUE"""),"661🤙🏼The Sandlot🤙🏼Patrick Renna🤙🏼Estrela 4")</f>
        <v>661🤙🏼The Sandlot🤙🏼Patrick Renna🤙🏼Estrela 4</v>
      </c>
      <c r="H2645" s="5">
        <f>IFERROR(__xludf.DUMMYFUNCTION("SPLiT(G2645, ""🤙🏼"",FALSE,FALSE)"),661.0)</f>
        <v>661</v>
      </c>
      <c r="I2645" s="5" t="str">
        <f>IFERROR(__xludf.DUMMYFUNCTION("""COMPUTED_VALUE"""),"The Sandlot")</f>
        <v>The Sandlot</v>
      </c>
      <c r="J2645" s="5" t="str">
        <f>IFERROR(__xludf.DUMMYFUNCTION("""COMPUTED_VALUE"""),"Patrick Renna")</f>
        <v>Patrick Renna</v>
      </c>
      <c r="K2645" s="5" t="str">
        <f>IFERROR(__xludf.DUMMYFUNCTION("""COMPUTED_VALUE"""),"Estrela 4")</f>
        <v>Estrela 4</v>
      </c>
      <c r="P2645" s="5">
        <f>IFERROR(__xludf.DUMMYFUNCTION("""COMPUTED_VALUE"""),661.0)</f>
        <v>661</v>
      </c>
      <c r="Q2645" s="5" t="str">
        <f>IFERROR(__xludf.DUMMYFUNCTION("""COMPUTED_VALUE"""),"The Sandlot")</f>
        <v>The Sandlot</v>
      </c>
      <c r="R2645" s="5" t="str">
        <f>IFERROR(__xludf.DUMMYFUNCTION("""COMPUTED_VALUE"""),"Patrick Renna")</f>
        <v>Patrick Renna</v>
      </c>
      <c r="S2645" s="5" t="str">
        <f>IFERROR(__xludf.DUMMYFUNCTION("""COMPUTED_VALUE"""),"Estrela 4")</f>
        <v>Estrela 4</v>
      </c>
    </row>
    <row r="2646">
      <c r="G2646" s="5" t="str">
        <f>IFERROR(__xludf.DUMMYFUNCTION("""COMPUTED_VALUE"""),"662🤙🏼The Remains of the Day🤙🏼Anthony Hopkins🤙🏼Estrela 1")</f>
        <v>662🤙🏼The Remains of the Day🤙🏼Anthony Hopkins🤙🏼Estrela 1</v>
      </c>
      <c r="H2646" s="5">
        <f>IFERROR(__xludf.DUMMYFUNCTION("SPLiT(G2646, ""🤙🏼"",FALSE,FALSE)"),662.0)</f>
        <v>662</v>
      </c>
      <c r="I2646" s="5" t="str">
        <f>IFERROR(__xludf.DUMMYFUNCTION("""COMPUTED_VALUE"""),"The Remains of the Day")</f>
        <v>The Remains of the Day</v>
      </c>
      <c r="J2646" s="5" t="str">
        <f>IFERROR(__xludf.DUMMYFUNCTION("""COMPUTED_VALUE"""),"Anthony Hopkins")</f>
        <v>Anthony Hopkins</v>
      </c>
      <c r="K2646" s="5" t="str">
        <f>IFERROR(__xludf.DUMMYFUNCTION("""COMPUTED_VALUE"""),"Estrela 1")</f>
        <v>Estrela 1</v>
      </c>
      <c r="P2646" s="5">
        <f>IFERROR(__xludf.DUMMYFUNCTION("""COMPUTED_VALUE"""),662.0)</f>
        <v>662</v>
      </c>
      <c r="Q2646" s="5" t="str">
        <f>IFERROR(__xludf.DUMMYFUNCTION("""COMPUTED_VALUE"""),"The Remains of the Day")</f>
        <v>The Remains of the Day</v>
      </c>
      <c r="R2646" s="5" t="str">
        <f>IFERROR(__xludf.DUMMYFUNCTION("""COMPUTED_VALUE"""),"Anthony Hopkins")</f>
        <v>Anthony Hopkins</v>
      </c>
      <c r="S2646" s="5" t="str">
        <f>IFERROR(__xludf.DUMMYFUNCTION("""COMPUTED_VALUE"""),"Estrela 1")</f>
        <v>Estrela 1</v>
      </c>
    </row>
    <row r="2647">
      <c r="G2647" s="5" t="str">
        <f>IFERROR(__xludf.DUMMYFUNCTION("""COMPUTED_VALUE"""),"662🤙🏼The Remains of the Day🤙🏼Emma Thompson🤙🏼Estrela 2")</f>
        <v>662🤙🏼The Remains of the Day🤙🏼Emma Thompson🤙🏼Estrela 2</v>
      </c>
      <c r="H2647" s="5">
        <f>IFERROR(__xludf.DUMMYFUNCTION("SPLiT(G2647, ""🤙🏼"",FALSE,FALSE)"),662.0)</f>
        <v>662</v>
      </c>
      <c r="I2647" s="5" t="str">
        <f>IFERROR(__xludf.DUMMYFUNCTION("""COMPUTED_VALUE"""),"The Remains of the Day")</f>
        <v>The Remains of the Day</v>
      </c>
      <c r="J2647" s="5" t="str">
        <f>IFERROR(__xludf.DUMMYFUNCTION("""COMPUTED_VALUE"""),"Emma Thompson")</f>
        <v>Emma Thompson</v>
      </c>
      <c r="K2647" s="5" t="str">
        <f>IFERROR(__xludf.DUMMYFUNCTION("""COMPUTED_VALUE"""),"Estrela 2")</f>
        <v>Estrela 2</v>
      </c>
      <c r="P2647" s="5">
        <f>IFERROR(__xludf.DUMMYFUNCTION("""COMPUTED_VALUE"""),662.0)</f>
        <v>662</v>
      </c>
      <c r="Q2647" s="5" t="str">
        <f>IFERROR(__xludf.DUMMYFUNCTION("""COMPUTED_VALUE"""),"The Remains of the Day")</f>
        <v>The Remains of the Day</v>
      </c>
      <c r="R2647" s="5" t="str">
        <f>IFERROR(__xludf.DUMMYFUNCTION("""COMPUTED_VALUE"""),"Emma Thompson")</f>
        <v>Emma Thompson</v>
      </c>
      <c r="S2647" s="5" t="str">
        <f>IFERROR(__xludf.DUMMYFUNCTION("""COMPUTED_VALUE"""),"Estrela 2")</f>
        <v>Estrela 2</v>
      </c>
    </row>
    <row r="2648">
      <c r="G2648" s="5" t="str">
        <f>IFERROR(__xludf.DUMMYFUNCTION("""COMPUTED_VALUE"""),"662🤙🏼The Remains of the Day🤙🏼John Haycraft🤙🏼Estrela 3")</f>
        <v>662🤙🏼The Remains of the Day🤙🏼John Haycraft🤙🏼Estrela 3</v>
      </c>
      <c r="H2648" s="5">
        <f>IFERROR(__xludf.DUMMYFUNCTION("SPLiT(G2648, ""🤙🏼"",FALSE,FALSE)"),662.0)</f>
        <v>662</v>
      </c>
      <c r="I2648" s="5" t="str">
        <f>IFERROR(__xludf.DUMMYFUNCTION("""COMPUTED_VALUE"""),"The Remains of the Day")</f>
        <v>The Remains of the Day</v>
      </c>
      <c r="J2648" s="5" t="str">
        <f>IFERROR(__xludf.DUMMYFUNCTION("""COMPUTED_VALUE"""),"John Haycraft")</f>
        <v>John Haycraft</v>
      </c>
      <c r="K2648" s="5" t="str">
        <f>IFERROR(__xludf.DUMMYFUNCTION("""COMPUTED_VALUE"""),"Estrela 3")</f>
        <v>Estrela 3</v>
      </c>
      <c r="P2648" s="5">
        <f>IFERROR(__xludf.DUMMYFUNCTION("""COMPUTED_VALUE"""),662.0)</f>
        <v>662</v>
      </c>
      <c r="Q2648" s="5" t="str">
        <f>IFERROR(__xludf.DUMMYFUNCTION("""COMPUTED_VALUE"""),"The Remains of the Day")</f>
        <v>The Remains of the Day</v>
      </c>
      <c r="R2648" s="5" t="str">
        <f>IFERROR(__xludf.DUMMYFUNCTION("""COMPUTED_VALUE"""),"John Haycraft")</f>
        <v>John Haycraft</v>
      </c>
      <c r="S2648" s="5" t="str">
        <f>IFERROR(__xludf.DUMMYFUNCTION("""COMPUTED_VALUE"""),"Estrela 3")</f>
        <v>Estrela 3</v>
      </c>
    </row>
    <row r="2649">
      <c r="G2649" s="5" t="str">
        <f>IFERROR(__xludf.DUMMYFUNCTION("""COMPUTED_VALUE"""),"662🤙🏼The Remains of the Day🤙🏼Christopher Reeve🤙🏼Estrela 4")</f>
        <v>662🤙🏼The Remains of the Day🤙🏼Christopher Reeve🤙🏼Estrela 4</v>
      </c>
      <c r="H2649" s="5">
        <f>IFERROR(__xludf.DUMMYFUNCTION("SPLiT(G2649, ""🤙🏼"",FALSE,FALSE)"),662.0)</f>
        <v>662</v>
      </c>
      <c r="I2649" s="5" t="str">
        <f>IFERROR(__xludf.DUMMYFUNCTION("""COMPUTED_VALUE"""),"The Remains of the Day")</f>
        <v>The Remains of the Day</v>
      </c>
      <c r="J2649" s="5" t="str">
        <f>IFERROR(__xludf.DUMMYFUNCTION("""COMPUTED_VALUE"""),"Christopher Reeve")</f>
        <v>Christopher Reeve</v>
      </c>
      <c r="K2649" s="5" t="str">
        <f>IFERROR(__xludf.DUMMYFUNCTION("""COMPUTED_VALUE"""),"Estrela 4")</f>
        <v>Estrela 4</v>
      </c>
      <c r="P2649" s="5">
        <f>IFERROR(__xludf.DUMMYFUNCTION("""COMPUTED_VALUE"""),662.0)</f>
        <v>662</v>
      </c>
      <c r="Q2649" s="5" t="str">
        <f>IFERROR(__xludf.DUMMYFUNCTION("""COMPUTED_VALUE"""),"The Remains of the Day")</f>
        <v>The Remains of the Day</v>
      </c>
      <c r="R2649" s="5" t="str">
        <f>IFERROR(__xludf.DUMMYFUNCTION("""COMPUTED_VALUE"""),"Christopher Reeve")</f>
        <v>Christopher Reeve</v>
      </c>
      <c r="S2649" s="5" t="str">
        <f>IFERROR(__xludf.DUMMYFUNCTION("""COMPUTED_VALUE"""),"Estrela 4")</f>
        <v>Estrela 4</v>
      </c>
    </row>
    <row r="2650">
      <c r="G2650" s="5" t="str">
        <f>IFERROR(__xludf.DUMMYFUNCTION("""COMPUTED_VALUE"""),"663🤙🏼Naked🤙🏼David Thewlis🤙🏼Estrela 1")</f>
        <v>663🤙🏼Naked🤙🏼David Thewlis🤙🏼Estrela 1</v>
      </c>
      <c r="H2650" s="5">
        <f>IFERROR(__xludf.DUMMYFUNCTION("SPLiT(G2650, ""🤙🏼"",FALSE,FALSE)"),663.0)</f>
        <v>663</v>
      </c>
      <c r="I2650" s="5" t="str">
        <f>IFERROR(__xludf.DUMMYFUNCTION("""COMPUTED_VALUE"""),"Naked")</f>
        <v>Naked</v>
      </c>
      <c r="J2650" s="5" t="str">
        <f>IFERROR(__xludf.DUMMYFUNCTION("""COMPUTED_VALUE"""),"David Thewlis")</f>
        <v>David Thewlis</v>
      </c>
      <c r="K2650" s="5" t="str">
        <f>IFERROR(__xludf.DUMMYFUNCTION("""COMPUTED_VALUE"""),"Estrela 1")</f>
        <v>Estrela 1</v>
      </c>
      <c r="P2650" s="5">
        <f>IFERROR(__xludf.DUMMYFUNCTION("""COMPUTED_VALUE"""),663.0)</f>
        <v>663</v>
      </c>
      <c r="Q2650" s="5" t="str">
        <f>IFERROR(__xludf.DUMMYFUNCTION("""COMPUTED_VALUE"""),"Naked")</f>
        <v>Naked</v>
      </c>
      <c r="R2650" s="5" t="str">
        <f>IFERROR(__xludf.DUMMYFUNCTION("""COMPUTED_VALUE"""),"David Thewlis")</f>
        <v>David Thewlis</v>
      </c>
      <c r="S2650" s="5" t="str">
        <f>IFERROR(__xludf.DUMMYFUNCTION("""COMPUTED_VALUE"""),"Estrela 1")</f>
        <v>Estrela 1</v>
      </c>
    </row>
    <row r="2651">
      <c r="G2651" s="5" t="str">
        <f>IFERROR(__xludf.DUMMYFUNCTION("""COMPUTED_VALUE"""),"663🤙🏼Naked🤙🏼Lesley Sharp🤙🏼Estrela 2")</f>
        <v>663🤙🏼Naked🤙🏼Lesley Sharp🤙🏼Estrela 2</v>
      </c>
      <c r="H2651" s="5">
        <f>IFERROR(__xludf.DUMMYFUNCTION("SPLiT(G2651, ""🤙🏼"",FALSE,FALSE)"),663.0)</f>
        <v>663</v>
      </c>
      <c r="I2651" s="5" t="str">
        <f>IFERROR(__xludf.DUMMYFUNCTION("""COMPUTED_VALUE"""),"Naked")</f>
        <v>Naked</v>
      </c>
      <c r="J2651" s="5" t="str">
        <f>IFERROR(__xludf.DUMMYFUNCTION("""COMPUTED_VALUE"""),"Lesley Sharp")</f>
        <v>Lesley Sharp</v>
      </c>
      <c r="K2651" s="5" t="str">
        <f>IFERROR(__xludf.DUMMYFUNCTION("""COMPUTED_VALUE"""),"Estrela 2")</f>
        <v>Estrela 2</v>
      </c>
      <c r="P2651" s="5">
        <f>IFERROR(__xludf.DUMMYFUNCTION("""COMPUTED_VALUE"""),663.0)</f>
        <v>663</v>
      </c>
      <c r="Q2651" s="5" t="str">
        <f>IFERROR(__xludf.DUMMYFUNCTION("""COMPUTED_VALUE"""),"Naked")</f>
        <v>Naked</v>
      </c>
      <c r="R2651" s="5" t="str">
        <f>IFERROR(__xludf.DUMMYFUNCTION("""COMPUTED_VALUE"""),"Lesley Sharp")</f>
        <v>Lesley Sharp</v>
      </c>
      <c r="S2651" s="5" t="str">
        <f>IFERROR(__xludf.DUMMYFUNCTION("""COMPUTED_VALUE"""),"Estrela 2")</f>
        <v>Estrela 2</v>
      </c>
    </row>
    <row r="2652">
      <c r="G2652" s="5" t="str">
        <f>IFERROR(__xludf.DUMMYFUNCTION("""COMPUTED_VALUE"""),"663🤙🏼Naked🤙🏼Katrin Cartlidge🤙🏼Estrela 3")</f>
        <v>663🤙🏼Naked🤙🏼Katrin Cartlidge🤙🏼Estrela 3</v>
      </c>
      <c r="H2652" s="5">
        <f>IFERROR(__xludf.DUMMYFUNCTION("SPLiT(G2652, ""🤙🏼"",FALSE,FALSE)"),663.0)</f>
        <v>663</v>
      </c>
      <c r="I2652" s="5" t="str">
        <f>IFERROR(__xludf.DUMMYFUNCTION("""COMPUTED_VALUE"""),"Naked")</f>
        <v>Naked</v>
      </c>
      <c r="J2652" s="5" t="str">
        <f>IFERROR(__xludf.DUMMYFUNCTION("""COMPUTED_VALUE"""),"Katrin Cartlidge")</f>
        <v>Katrin Cartlidge</v>
      </c>
      <c r="K2652" s="5" t="str">
        <f>IFERROR(__xludf.DUMMYFUNCTION("""COMPUTED_VALUE"""),"Estrela 3")</f>
        <v>Estrela 3</v>
      </c>
      <c r="P2652" s="5">
        <f>IFERROR(__xludf.DUMMYFUNCTION("""COMPUTED_VALUE"""),663.0)</f>
        <v>663</v>
      </c>
      <c r="Q2652" s="5" t="str">
        <f>IFERROR(__xludf.DUMMYFUNCTION("""COMPUTED_VALUE"""),"Naked")</f>
        <v>Naked</v>
      </c>
      <c r="R2652" s="5" t="str">
        <f>IFERROR(__xludf.DUMMYFUNCTION("""COMPUTED_VALUE"""),"Katrin Cartlidge")</f>
        <v>Katrin Cartlidge</v>
      </c>
      <c r="S2652" s="5" t="str">
        <f>IFERROR(__xludf.DUMMYFUNCTION("""COMPUTED_VALUE"""),"Estrela 3")</f>
        <v>Estrela 3</v>
      </c>
    </row>
    <row r="2653">
      <c r="G2653" s="5" t="str">
        <f>IFERROR(__xludf.DUMMYFUNCTION("""COMPUTED_VALUE"""),"663🤙🏼Naked🤙🏼Greg Cruttwell🤙🏼Estrela 4")</f>
        <v>663🤙🏼Naked🤙🏼Greg Cruttwell🤙🏼Estrela 4</v>
      </c>
      <c r="H2653" s="5">
        <f>IFERROR(__xludf.DUMMYFUNCTION("SPLiT(G2653, ""🤙🏼"",FALSE,FALSE)"),663.0)</f>
        <v>663</v>
      </c>
      <c r="I2653" s="5" t="str">
        <f>IFERROR(__xludf.DUMMYFUNCTION("""COMPUTED_VALUE"""),"Naked")</f>
        <v>Naked</v>
      </c>
      <c r="J2653" s="5" t="str">
        <f>IFERROR(__xludf.DUMMYFUNCTION("""COMPUTED_VALUE"""),"Greg Cruttwell")</f>
        <v>Greg Cruttwell</v>
      </c>
      <c r="K2653" s="5" t="str">
        <f>IFERROR(__xludf.DUMMYFUNCTION("""COMPUTED_VALUE"""),"Estrela 4")</f>
        <v>Estrela 4</v>
      </c>
      <c r="P2653" s="5">
        <f>IFERROR(__xludf.DUMMYFUNCTION("""COMPUTED_VALUE"""),663.0)</f>
        <v>663</v>
      </c>
      <c r="Q2653" s="5" t="str">
        <f>IFERROR(__xludf.DUMMYFUNCTION("""COMPUTED_VALUE"""),"Naked")</f>
        <v>Naked</v>
      </c>
      <c r="R2653" s="5" t="str">
        <f>IFERROR(__xludf.DUMMYFUNCTION("""COMPUTED_VALUE"""),"Greg Cruttwell")</f>
        <v>Greg Cruttwell</v>
      </c>
      <c r="S2653" s="5" t="str">
        <f>IFERROR(__xludf.DUMMYFUNCTION("""COMPUTED_VALUE"""),"Estrela 4")</f>
        <v>Estrela 4</v>
      </c>
    </row>
    <row r="2654">
      <c r="G2654" s="5" t="str">
        <f>IFERROR(__xludf.DUMMYFUNCTION("""COMPUTED_VALUE"""),"664🤙🏼The Fugitive🤙🏼Harrison Ford🤙🏼Estrela 1")</f>
        <v>664🤙🏼The Fugitive🤙🏼Harrison Ford🤙🏼Estrela 1</v>
      </c>
      <c r="H2654" s="5">
        <f>IFERROR(__xludf.DUMMYFUNCTION("SPLiT(G2654, ""🤙🏼"",FALSE,FALSE)"),664.0)</f>
        <v>664</v>
      </c>
      <c r="I2654" s="5" t="str">
        <f>IFERROR(__xludf.DUMMYFUNCTION("""COMPUTED_VALUE"""),"The Fugitive")</f>
        <v>The Fugitive</v>
      </c>
      <c r="J2654" s="5" t="str">
        <f>IFERROR(__xludf.DUMMYFUNCTION("""COMPUTED_VALUE"""),"Harrison Ford")</f>
        <v>Harrison Ford</v>
      </c>
      <c r="K2654" s="5" t="str">
        <f>IFERROR(__xludf.DUMMYFUNCTION("""COMPUTED_VALUE"""),"Estrela 1")</f>
        <v>Estrela 1</v>
      </c>
      <c r="P2654" s="5">
        <f>IFERROR(__xludf.DUMMYFUNCTION("""COMPUTED_VALUE"""),664.0)</f>
        <v>664</v>
      </c>
      <c r="Q2654" s="5" t="str">
        <f>IFERROR(__xludf.DUMMYFUNCTION("""COMPUTED_VALUE"""),"The Fugitive")</f>
        <v>The Fugitive</v>
      </c>
      <c r="R2654" s="5" t="str">
        <f>IFERROR(__xludf.DUMMYFUNCTION("""COMPUTED_VALUE"""),"Harrison Ford")</f>
        <v>Harrison Ford</v>
      </c>
      <c r="S2654" s="5" t="str">
        <f>IFERROR(__xludf.DUMMYFUNCTION("""COMPUTED_VALUE"""),"Estrela 1")</f>
        <v>Estrela 1</v>
      </c>
    </row>
    <row r="2655">
      <c r="G2655" s="5" t="str">
        <f>IFERROR(__xludf.DUMMYFUNCTION("""COMPUTED_VALUE"""),"664🤙🏼The Fugitive🤙🏼Tommy Lee Jones🤙🏼Estrela 2")</f>
        <v>664🤙🏼The Fugitive🤙🏼Tommy Lee Jones🤙🏼Estrela 2</v>
      </c>
      <c r="H2655" s="5">
        <f>IFERROR(__xludf.DUMMYFUNCTION("SPLiT(G2655, ""🤙🏼"",FALSE,FALSE)"),664.0)</f>
        <v>664</v>
      </c>
      <c r="I2655" s="5" t="str">
        <f>IFERROR(__xludf.DUMMYFUNCTION("""COMPUTED_VALUE"""),"The Fugitive")</f>
        <v>The Fugitive</v>
      </c>
      <c r="J2655" s="5" t="str">
        <f>IFERROR(__xludf.DUMMYFUNCTION("""COMPUTED_VALUE"""),"Tommy Lee Jones")</f>
        <v>Tommy Lee Jones</v>
      </c>
      <c r="K2655" s="5" t="str">
        <f>IFERROR(__xludf.DUMMYFUNCTION("""COMPUTED_VALUE"""),"Estrela 2")</f>
        <v>Estrela 2</v>
      </c>
      <c r="P2655" s="5">
        <f>IFERROR(__xludf.DUMMYFUNCTION("""COMPUTED_VALUE"""),664.0)</f>
        <v>664</v>
      </c>
      <c r="Q2655" s="5" t="str">
        <f>IFERROR(__xludf.DUMMYFUNCTION("""COMPUTED_VALUE"""),"The Fugitive")</f>
        <v>The Fugitive</v>
      </c>
      <c r="R2655" s="5" t="str">
        <f>IFERROR(__xludf.DUMMYFUNCTION("""COMPUTED_VALUE"""),"Tommy Lee Jones")</f>
        <v>Tommy Lee Jones</v>
      </c>
      <c r="S2655" s="5" t="str">
        <f>IFERROR(__xludf.DUMMYFUNCTION("""COMPUTED_VALUE"""),"Estrela 2")</f>
        <v>Estrela 2</v>
      </c>
    </row>
    <row r="2656">
      <c r="G2656" s="5" t="str">
        <f>IFERROR(__xludf.DUMMYFUNCTION("""COMPUTED_VALUE"""),"664🤙🏼The Fugitive🤙🏼Sela Ward🤙🏼Estrela 3")</f>
        <v>664🤙🏼The Fugitive🤙🏼Sela Ward🤙🏼Estrela 3</v>
      </c>
      <c r="H2656" s="5">
        <f>IFERROR(__xludf.DUMMYFUNCTION("SPLiT(G2656, ""🤙🏼"",FALSE,FALSE)"),664.0)</f>
        <v>664</v>
      </c>
      <c r="I2656" s="5" t="str">
        <f>IFERROR(__xludf.DUMMYFUNCTION("""COMPUTED_VALUE"""),"The Fugitive")</f>
        <v>The Fugitive</v>
      </c>
      <c r="J2656" s="5" t="str">
        <f>IFERROR(__xludf.DUMMYFUNCTION("""COMPUTED_VALUE"""),"Sela Ward")</f>
        <v>Sela Ward</v>
      </c>
      <c r="K2656" s="5" t="str">
        <f>IFERROR(__xludf.DUMMYFUNCTION("""COMPUTED_VALUE"""),"Estrela 3")</f>
        <v>Estrela 3</v>
      </c>
      <c r="P2656" s="5">
        <f>IFERROR(__xludf.DUMMYFUNCTION("""COMPUTED_VALUE"""),664.0)</f>
        <v>664</v>
      </c>
      <c r="Q2656" s="5" t="str">
        <f>IFERROR(__xludf.DUMMYFUNCTION("""COMPUTED_VALUE"""),"The Fugitive")</f>
        <v>The Fugitive</v>
      </c>
      <c r="R2656" s="5" t="str">
        <f>IFERROR(__xludf.DUMMYFUNCTION("""COMPUTED_VALUE"""),"Sela Ward")</f>
        <v>Sela Ward</v>
      </c>
      <c r="S2656" s="5" t="str">
        <f>IFERROR(__xludf.DUMMYFUNCTION("""COMPUTED_VALUE"""),"Estrela 3")</f>
        <v>Estrela 3</v>
      </c>
    </row>
    <row r="2657">
      <c r="G2657" s="5" t="str">
        <f>IFERROR(__xludf.DUMMYFUNCTION("""COMPUTED_VALUE"""),"664🤙🏼The Fugitive🤙🏼Julianne Moore🤙🏼Estrela 4")</f>
        <v>664🤙🏼The Fugitive🤙🏼Julianne Moore🤙🏼Estrela 4</v>
      </c>
      <c r="H2657" s="5">
        <f>IFERROR(__xludf.DUMMYFUNCTION("SPLiT(G2657, ""🤙🏼"",FALSE,FALSE)"),664.0)</f>
        <v>664</v>
      </c>
      <c r="I2657" s="5" t="str">
        <f>IFERROR(__xludf.DUMMYFUNCTION("""COMPUTED_VALUE"""),"The Fugitive")</f>
        <v>The Fugitive</v>
      </c>
      <c r="J2657" s="5" t="str">
        <f>IFERROR(__xludf.DUMMYFUNCTION("""COMPUTED_VALUE"""),"Julianne Moore")</f>
        <v>Julianne Moore</v>
      </c>
      <c r="K2657" s="5" t="str">
        <f>IFERROR(__xludf.DUMMYFUNCTION("""COMPUTED_VALUE"""),"Estrela 4")</f>
        <v>Estrela 4</v>
      </c>
      <c r="P2657" s="5">
        <f>IFERROR(__xludf.DUMMYFUNCTION("""COMPUTED_VALUE"""),664.0)</f>
        <v>664</v>
      </c>
      <c r="Q2657" s="5" t="str">
        <f>IFERROR(__xludf.DUMMYFUNCTION("""COMPUTED_VALUE"""),"The Fugitive")</f>
        <v>The Fugitive</v>
      </c>
      <c r="R2657" s="5" t="str">
        <f>IFERROR(__xludf.DUMMYFUNCTION("""COMPUTED_VALUE"""),"Julianne Moore")</f>
        <v>Julianne Moore</v>
      </c>
      <c r="S2657" s="5" t="str">
        <f>IFERROR(__xludf.DUMMYFUNCTION("""COMPUTED_VALUE"""),"Estrela 4")</f>
        <v>Estrela 4</v>
      </c>
    </row>
    <row r="2658">
      <c r="G2658" s="5" t="str">
        <f>IFERROR(__xludf.DUMMYFUNCTION("""COMPUTED_VALUE"""),"665🤙🏼A Bronx Tale🤙🏼Robert De Niro🤙🏼Estrela 1")</f>
        <v>665🤙🏼A Bronx Tale🤙🏼Robert De Niro🤙🏼Estrela 1</v>
      </c>
      <c r="H2658" s="5">
        <f>IFERROR(__xludf.DUMMYFUNCTION("SPLiT(G2658, ""🤙🏼"",FALSE,FALSE)"),665.0)</f>
        <v>665</v>
      </c>
      <c r="I2658" s="5" t="str">
        <f>IFERROR(__xludf.DUMMYFUNCTION("""COMPUTED_VALUE"""),"A Bronx Tale")</f>
        <v>A Bronx Tale</v>
      </c>
      <c r="J2658" s="5" t="str">
        <f>IFERROR(__xludf.DUMMYFUNCTION("""COMPUTED_VALUE"""),"Robert De Niro")</f>
        <v>Robert De Niro</v>
      </c>
      <c r="K2658" s="5" t="str">
        <f>IFERROR(__xludf.DUMMYFUNCTION("""COMPUTED_VALUE"""),"Estrela 1")</f>
        <v>Estrela 1</v>
      </c>
      <c r="P2658" s="5">
        <f>IFERROR(__xludf.DUMMYFUNCTION("""COMPUTED_VALUE"""),665.0)</f>
        <v>665</v>
      </c>
      <c r="Q2658" s="5" t="str">
        <f>IFERROR(__xludf.DUMMYFUNCTION("""COMPUTED_VALUE"""),"A Bronx Tale")</f>
        <v>A Bronx Tale</v>
      </c>
      <c r="R2658" s="5" t="str">
        <f>IFERROR(__xludf.DUMMYFUNCTION("""COMPUTED_VALUE"""),"Robert De Niro")</f>
        <v>Robert De Niro</v>
      </c>
      <c r="S2658" s="5" t="str">
        <f>IFERROR(__xludf.DUMMYFUNCTION("""COMPUTED_VALUE"""),"Estrela 1")</f>
        <v>Estrela 1</v>
      </c>
    </row>
    <row r="2659">
      <c r="G2659" s="5" t="str">
        <f>IFERROR(__xludf.DUMMYFUNCTION("""COMPUTED_VALUE"""),"665🤙🏼A Bronx Tale🤙🏼Chazz Palminteri🤙🏼Estrela 2")</f>
        <v>665🤙🏼A Bronx Tale🤙🏼Chazz Palminteri🤙🏼Estrela 2</v>
      </c>
      <c r="H2659" s="5">
        <f>IFERROR(__xludf.DUMMYFUNCTION("SPLiT(G2659, ""🤙🏼"",FALSE,FALSE)"),665.0)</f>
        <v>665</v>
      </c>
      <c r="I2659" s="5" t="str">
        <f>IFERROR(__xludf.DUMMYFUNCTION("""COMPUTED_VALUE"""),"A Bronx Tale")</f>
        <v>A Bronx Tale</v>
      </c>
      <c r="J2659" s="5" t="str">
        <f>IFERROR(__xludf.DUMMYFUNCTION("""COMPUTED_VALUE"""),"Chazz Palminteri")</f>
        <v>Chazz Palminteri</v>
      </c>
      <c r="K2659" s="5" t="str">
        <f>IFERROR(__xludf.DUMMYFUNCTION("""COMPUTED_VALUE"""),"Estrela 2")</f>
        <v>Estrela 2</v>
      </c>
      <c r="P2659" s="5">
        <f>IFERROR(__xludf.DUMMYFUNCTION("""COMPUTED_VALUE"""),665.0)</f>
        <v>665</v>
      </c>
      <c r="Q2659" s="5" t="str">
        <f>IFERROR(__xludf.DUMMYFUNCTION("""COMPUTED_VALUE"""),"A Bronx Tale")</f>
        <v>A Bronx Tale</v>
      </c>
      <c r="R2659" s="5" t="str">
        <f>IFERROR(__xludf.DUMMYFUNCTION("""COMPUTED_VALUE"""),"Chazz Palminteri")</f>
        <v>Chazz Palminteri</v>
      </c>
      <c r="S2659" s="5" t="str">
        <f>IFERROR(__xludf.DUMMYFUNCTION("""COMPUTED_VALUE"""),"Estrela 2")</f>
        <v>Estrela 2</v>
      </c>
    </row>
    <row r="2660">
      <c r="G2660" s="5" t="str">
        <f>IFERROR(__xludf.DUMMYFUNCTION("""COMPUTED_VALUE"""),"665🤙🏼A Bronx Tale🤙🏼Lillo Brancato🤙🏼Estrela 3")</f>
        <v>665🤙🏼A Bronx Tale🤙🏼Lillo Brancato🤙🏼Estrela 3</v>
      </c>
      <c r="H2660" s="5">
        <f>IFERROR(__xludf.DUMMYFUNCTION("SPLiT(G2660, ""🤙🏼"",FALSE,FALSE)"),665.0)</f>
        <v>665</v>
      </c>
      <c r="I2660" s="5" t="str">
        <f>IFERROR(__xludf.DUMMYFUNCTION("""COMPUTED_VALUE"""),"A Bronx Tale")</f>
        <v>A Bronx Tale</v>
      </c>
      <c r="J2660" s="5" t="str">
        <f>IFERROR(__xludf.DUMMYFUNCTION("""COMPUTED_VALUE"""),"Lillo Brancato")</f>
        <v>Lillo Brancato</v>
      </c>
      <c r="K2660" s="5" t="str">
        <f>IFERROR(__xludf.DUMMYFUNCTION("""COMPUTED_VALUE"""),"Estrela 3")</f>
        <v>Estrela 3</v>
      </c>
      <c r="P2660" s="5">
        <f>IFERROR(__xludf.DUMMYFUNCTION("""COMPUTED_VALUE"""),665.0)</f>
        <v>665</v>
      </c>
      <c r="Q2660" s="5" t="str">
        <f>IFERROR(__xludf.DUMMYFUNCTION("""COMPUTED_VALUE"""),"A Bronx Tale")</f>
        <v>A Bronx Tale</v>
      </c>
      <c r="R2660" s="5" t="str">
        <f>IFERROR(__xludf.DUMMYFUNCTION("""COMPUTED_VALUE"""),"Lillo Brancato")</f>
        <v>Lillo Brancato</v>
      </c>
      <c r="S2660" s="5" t="str">
        <f>IFERROR(__xludf.DUMMYFUNCTION("""COMPUTED_VALUE"""),"Estrela 3")</f>
        <v>Estrela 3</v>
      </c>
    </row>
    <row r="2661">
      <c r="G2661" s="5" t="str">
        <f>IFERROR(__xludf.DUMMYFUNCTION("""COMPUTED_VALUE"""),"665🤙🏼A Bronx Tale🤙🏼Francis Capra🤙🏼Estrela 4")</f>
        <v>665🤙🏼A Bronx Tale🤙🏼Francis Capra🤙🏼Estrela 4</v>
      </c>
      <c r="H2661" s="5">
        <f>IFERROR(__xludf.DUMMYFUNCTION("SPLiT(G2661, ""🤙🏼"",FALSE,FALSE)"),665.0)</f>
        <v>665</v>
      </c>
      <c r="I2661" s="5" t="str">
        <f>IFERROR(__xludf.DUMMYFUNCTION("""COMPUTED_VALUE"""),"A Bronx Tale")</f>
        <v>A Bronx Tale</v>
      </c>
      <c r="J2661" s="5" t="str">
        <f>IFERROR(__xludf.DUMMYFUNCTION("""COMPUTED_VALUE"""),"Francis Capra")</f>
        <v>Francis Capra</v>
      </c>
      <c r="K2661" s="5" t="str">
        <f>IFERROR(__xludf.DUMMYFUNCTION("""COMPUTED_VALUE"""),"Estrela 4")</f>
        <v>Estrela 4</v>
      </c>
      <c r="P2661" s="5">
        <f>IFERROR(__xludf.DUMMYFUNCTION("""COMPUTED_VALUE"""),665.0)</f>
        <v>665</v>
      </c>
      <c r="Q2661" s="5" t="str">
        <f>IFERROR(__xludf.DUMMYFUNCTION("""COMPUTED_VALUE"""),"A Bronx Tale")</f>
        <v>A Bronx Tale</v>
      </c>
      <c r="R2661" s="5" t="str">
        <f>IFERROR(__xludf.DUMMYFUNCTION("""COMPUTED_VALUE"""),"Francis Capra")</f>
        <v>Francis Capra</v>
      </c>
      <c r="S2661" s="5" t="str">
        <f>IFERROR(__xludf.DUMMYFUNCTION("""COMPUTED_VALUE"""),"Estrela 4")</f>
        <v>Estrela 4</v>
      </c>
    </row>
    <row r="2662">
      <c r="G2662" s="5" t="str">
        <f>IFERROR(__xludf.DUMMYFUNCTION("""COMPUTED_VALUE"""),"666🤙🏼Batman: Mask of the Phantasm🤙🏼Boyd Kirkland🤙🏼Estrela 1")</f>
        <v>666🤙🏼Batman: Mask of the Phantasm🤙🏼Boyd Kirkland🤙🏼Estrela 1</v>
      </c>
      <c r="H2662" s="5">
        <f>IFERROR(__xludf.DUMMYFUNCTION("SPLiT(G2662, ""🤙🏼"",FALSE,FALSE)"),666.0)</f>
        <v>666</v>
      </c>
      <c r="I2662" s="5" t="str">
        <f>IFERROR(__xludf.DUMMYFUNCTION("""COMPUTED_VALUE"""),"Batman: Mask of the Phantasm")</f>
        <v>Batman: Mask of the Phantasm</v>
      </c>
      <c r="J2662" s="5" t="str">
        <f>IFERROR(__xludf.DUMMYFUNCTION("""COMPUTED_VALUE"""),"Boyd Kirkland")</f>
        <v>Boyd Kirkland</v>
      </c>
      <c r="K2662" s="5" t="str">
        <f>IFERROR(__xludf.DUMMYFUNCTION("""COMPUTED_VALUE"""),"Estrela 1")</f>
        <v>Estrela 1</v>
      </c>
      <c r="P2662" s="5">
        <f>IFERROR(__xludf.DUMMYFUNCTION("""COMPUTED_VALUE"""),666.0)</f>
        <v>666</v>
      </c>
      <c r="Q2662" s="5" t="str">
        <f>IFERROR(__xludf.DUMMYFUNCTION("""COMPUTED_VALUE"""),"Batman: Mask of the Phantasm")</f>
        <v>Batman: Mask of the Phantasm</v>
      </c>
      <c r="R2662" s="5" t="str">
        <f>IFERROR(__xludf.DUMMYFUNCTION("""COMPUTED_VALUE"""),"Boyd Kirkland")</f>
        <v>Boyd Kirkland</v>
      </c>
      <c r="S2662" s="5" t="str">
        <f>IFERROR(__xludf.DUMMYFUNCTION("""COMPUTED_VALUE"""),"Estrela 1")</f>
        <v>Estrela 1</v>
      </c>
    </row>
    <row r="2663">
      <c r="G2663" s="5" t="str">
        <f>IFERROR(__xludf.DUMMYFUNCTION("""COMPUTED_VALUE"""),"666🤙🏼Batman: Mask of the Phantasm🤙🏼Frank Paur🤙🏼Estrela 2")</f>
        <v>666🤙🏼Batman: Mask of the Phantasm🤙🏼Frank Paur🤙🏼Estrela 2</v>
      </c>
      <c r="H2663" s="5">
        <f>IFERROR(__xludf.DUMMYFUNCTION("SPLiT(G2663, ""🤙🏼"",FALSE,FALSE)"),666.0)</f>
        <v>666</v>
      </c>
      <c r="I2663" s="5" t="str">
        <f>IFERROR(__xludf.DUMMYFUNCTION("""COMPUTED_VALUE"""),"Batman: Mask of the Phantasm")</f>
        <v>Batman: Mask of the Phantasm</v>
      </c>
      <c r="J2663" s="5" t="str">
        <f>IFERROR(__xludf.DUMMYFUNCTION("""COMPUTED_VALUE"""),"Frank Paur")</f>
        <v>Frank Paur</v>
      </c>
      <c r="K2663" s="5" t="str">
        <f>IFERROR(__xludf.DUMMYFUNCTION("""COMPUTED_VALUE"""),"Estrela 2")</f>
        <v>Estrela 2</v>
      </c>
      <c r="P2663" s="5">
        <f>IFERROR(__xludf.DUMMYFUNCTION("""COMPUTED_VALUE"""),666.0)</f>
        <v>666</v>
      </c>
      <c r="Q2663" s="5" t="str">
        <f>IFERROR(__xludf.DUMMYFUNCTION("""COMPUTED_VALUE"""),"Batman: Mask of the Phantasm")</f>
        <v>Batman: Mask of the Phantasm</v>
      </c>
      <c r="R2663" s="5" t="str">
        <f>IFERROR(__xludf.DUMMYFUNCTION("""COMPUTED_VALUE"""),"Frank Paur")</f>
        <v>Frank Paur</v>
      </c>
      <c r="S2663" s="5" t="str">
        <f>IFERROR(__xludf.DUMMYFUNCTION("""COMPUTED_VALUE"""),"Estrela 2")</f>
        <v>Estrela 2</v>
      </c>
    </row>
    <row r="2664">
      <c r="G2664" s="5" t="str">
        <f>IFERROR(__xludf.DUMMYFUNCTION("""COMPUTED_VALUE"""),"666🤙🏼Batman: Mask of the Phantasm🤙🏼Dan Riba🤙🏼Estrela 3")</f>
        <v>666🤙🏼Batman: Mask of the Phantasm🤙🏼Dan Riba🤙🏼Estrela 3</v>
      </c>
      <c r="H2664" s="5">
        <f>IFERROR(__xludf.DUMMYFUNCTION("SPLiT(G2664, ""🤙🏼"",FALSE,FALSE)"),666.0)</f>
        <v>666</v>
      </c>
      <c r="I2664" s="5" t="str">
        <f>IFERROR(__xludf.DUMMYFUNCTION("""COMPUTED_VALUE"""),"Batman: Mask of the Phantasm")</f>
        <v>Batman: Mask of the Phantasm</v>
      </c>
      <c r="J2664" s="5" t="str">
        <f>IFERROR(__xludf.DUMMYFUNCTION("""COMPUTED_VALUE"""),"Dan Riba")</f>
        <v>Dan Riba</v>
      </c>
      <c r="K2664" s="5" t="str">
        <f>IFERROR(__xludf.DUMMYFUNCTION("""COMPUTED_VALUE"""),"Estrela 3")</f>
        <v>Estrela 3</v>
      </c>
      <c r="P2664" s="5">
        <f>IFERROR(__xludf.DUMMYFUNCTION("""COMPUTED_VALUE"""),666.0)</f>
        <v>666</v>
      </c>
      <c r="Q2664" s="5" t="str">
        <f>IFERROR(__xludf.DUMMYFUNCTION("""COMPUTED_VALUE"""),"Batman: Mask of the Phantasm")</f>
        <v>Batman: Mask of the Phantasm</v>
      </c>
      <c r="R2664" s="5" t="str">
        <f>IFERROR(__xludf.DUMMYFUNCTION("""COMPUTED_VALUE"""),"Dan Riba")</f>
        <v>Dan Riba</v>
      </c>
      <c r="S2664" s="5" t="str">
        <f>IFERROR(__xludf.DUMMYFUNCTION("""COMPUTED_VALUE"""),"Estrela 3")</f>
        <v>Estrela 3</v>
      </c>
    </row>
    <row r="2665">
      <c r="G2665" s="5" t="str">
        <f>IFERROR(__xludf.DUMMYFUNCTION("""COMPUTED_VALUE"""),"666🤙🏼Batman: Mask of the Phantasm🤙🏼Eric Radomski🤙🏼Estrela 4")</f>
        <v>666🤙🏼Batman: Mask of the Phantasm🤙🏼Eric Radomski🤙🏼Estrela 4</v>
      </c>
      <c r="H2665" s="5">
        <f>IFERROR(__xludf.DUMMYFUNCTION("SPLiT(G2665, ""🤙🏼"",FALSE,FALSE)"),666.0)</f>
        <v>666</v>
      </c>
      <c r="I2665" s="5" t="str">
        <f>IFERROR(__xludf.DUMMYFUNCTION("""COMPUTED_VALUE"""),"Batman: Mask of the Phantasm")</f>
        <v>Batman: Mask of the Phantasm</v>
      </c>
      <c r="J2665" s="5" t="str">
        <f>IFERROR(__xludf.DUMMYFUNCTION("""COMPUTED_VALUE"""),"Eric Radomski")</f>
        <v>Eric Radomski</v>
      </c>
      <c r="K2665" s="5" t="str">
        <f>IFERROR(__xludf.DUMMYFUNCTION("""COMPUTED_VALUE"""),"Estrela 4")</f>
        <v>Estrela 4</v>
      </c>
      <c r="P2665" s="5">
        <f>IFERROR(__xludf.DUMMYFUNCTION("""COMPUTED_VALUE"""),666.0)</f>
        <v>666</v>
      </c>
      <c r="Q2665" s="5" t="str">
        <f>IFERROR(__xludf.DUMMYFUNCTION("""COMPUTED_VALUE"""),"Batman: Mask of the Phantasm")</f>
        <v>Batman: Mask of the Phantasm</v>
      </c>
      <c r="R2665" s="5" t="str">
        <f>IFERROR(__xludf.DUMMYFUNCTION("""COMPUTED_VALUE"""),"Eric Radomski")</f>
        <v>Eric Radomski</v>
      </c>
      <c r="S2665" s="5" t="str">
        <f>IFERROR(__xludf.DUMMYFUNCTION("""COMPUTED_VALUE"""),"Estrela 4")</f>
        <v>Estrela 4</v>
      </c>
    </row>
    <row r="2666">
      <c r="G2666" s="5" t="str">
        <f>IFERROR(__xludf.DUMMYFUNCTION("""COMPUTED_VALUE"""),"667🤙🏼Lat sau san taam🤙🏼Yun-Fat Chow🤙🏼Estrela 1")</f>
        <v>667🤙🏼Lat sau san taam🤙🏼Yun-Fat Chow🤙🏼Estrela 1</v>
      </c>
      <c r="H2666" s="5">
        <f>IFERROR(__xludf.DUMMYFUNCTION("SPLiT(G2666, ""🤙🏼"",FALSE,FALSE)"),667.0)</f>
        <v>667</v>
      </c>
      <c r="I2666" s="5" t="str">
        <f>IFERROR(__xludf.DUMMYFUNCTION("""COMPUTED_VALUE"""),"Lat sau san taam")</f>
        <v>Lat sau san taam</v>
      </c>
      <c r="J2666" s="5" t="str">
        <f>IFERROR(__xludf.DUMMYFUNCTION("""COMPUTED_VALUE"""),"Yun-Fat Chow")</f>
        <v>Yun-Fat Chow</v>
      </c>
      <c r="K2666" s="5" t="str">
        <f>IFERROR(__xludf.DUMMYFUNCTION("""COMPUTED_VALUE"""),"Estrela 1")</f>
        <v>Estrela 1</v>
      </c>
      <c r="P2666" s="5">
        <f>IFERROR(__xludf.DUMMYFUNCTION("""COMPUTED_VALUE"""),667.0)</f>
        <v>667</v>
      </c>
      <c r="Q2666" s="5" t="str">
        <f>IFERROR(__xludf.DUMMYFUNCTION("""COMPUTED_VALUE"""),"Lat sau san taam")</f>
        <v>Lat sau san taam</v>
      </c>
      <c r="R2666" s="5" t="str">
        <f>IFERROR(__xludf.DUMMYFUNCTION("""COMPUTED_VALUE"""),"Yun-Fat Chow")</f>
        <v>Yun-Fat Chow</v>
      </c>
      <c r="S2666" s="5" t="str">
        <f>IFERROR(__xludf.DUMMYFUNCTION("""COMPUTED_VALUE"""),"Estrela 1")</f>
        <v>Estrela 1</v>
      </c>
    </row>
    <row r="2667">
      <c r="G2667" s="5" t="str">
        <f>IFERROR(__xludf.DUMMYFUNCTION("""COMPUTED_VALUE"""),"667🤙🏼Lat sau san taam🤙🏼Tony Chiu-Wai Leung🤙🏼Estrela 2")</f>
        <v>667🤙🏼Lat sau san taam🤙🏼Tony Chiu-Wai Leung🤙🏼Estrela 2</v>
      </c>
      <c r="H2667" s="5">
        <f>IFERROR(__xludf.DUMMYFUNCTION("SPLiT(G2667, ""🤙🏼"",FALSE,FALSE)"),667.0)</f>
        <v>667</v>
      </c>
      <c r="I2667" s="5" t="str">
        <f>IFERROR(__xludf.DUMMYFUNCTION("""COMPUTED_VALUE"""),"Lat sau san taam")</f>
        <v>Lat sau san taam</v>
      </c>
      <c r="J2667" s="5" t="str">
        <f>IFERROR(__xludf.DUMMYFUNCTION("""COMPUTED_VALUE"""),"Tony Chiu-Wai Leung")</f>
        <v>Tony Chiu-Wai Leung</v>
      </c>
      <c r="K2667" s="5" t="str">
        <f>IFERROR(__xludf.DUMMYFUNCTION("""COMPUTED_VALUE"""),"Estrela 2")</f>
        <v>Estrela 2</v>
      </c>
      <c r="P2667" s="5">
        <f>IFERROR(__xludf.DUMMYFUNCTION("""COMPUTED_VALUE"""),667.0)</f>
        <v>667</v>
      </c>
      <c r="Q2667" s="5" t="str">
        <f>IFERROR(__xludf.DUMMYFUNCTION("""COMPUTED_VALUE"""),"Lat sau san taam")</f>
        <v>Lat sau san taam</v>
      </c>
      <c r="R2667" s="5" t="str">
        <f>IFERROR(__xludf.DUMMYFUNCTION("""COMPUTED_VALUE"""),"Tony Chiu-Wai Leung")</f>
        <v>Tony Chiu-Wai Leung</v>
      </c>
      <c r="S2667" s="5" t="str">
        <f>IFERROR(__xludf.DUMMYFUNCTION("""COMPUTED_VALUE"""),"Estrela 2")</f>
        <v>Estrela 2</v>
      </c>
    </row>
    <row r="2668">
      <c r="G2668" s="5" t="str">
        <f>IFERROR(__xludf.DUMMYFUNCTION("""COMPUTED_VALUE"""),"667🤙🏼Lat sau san taam🤙🏼Teresa Mo🤙🏼Estrela 3")</f>
        <v>667🤙🏼Lat sau san taam🤙🏼Teresa Mo🤙🏼Estrela 3</v>
      </c>
      <c r="H2668" s="5">
        <f>IFERROR(__xludf.DUMMYFUNCTION("SPLiT(G2668, ""🤙🏼"",FALSE,FALSE)"),667.0)</f>
        <v>667</v>
      </c>
      <c r="I2668" s="5" t="str">
        <f>IFERROR(__xludf.DUMMYFUNCTION("""COMPUTED_VALUE"""),"Lat sau san taam")</f>
        <v>Lat sau san taam</v>
      </c>
      <c r="J2668" s="5" t="str">
        <f>IFERROR(__xludf.DUMMYFUNCTION("""COMPUTED_VALUE"""),"Teresa Mo")</f>
        <v>Teresa Mo</v>
      </c>
      <c r="K2668" s="5" t="str">
        <f>IFERROR(__xludf.DUMMYFUNCTION("""COMPUTED_VALUE"""),"Estrela 3")</f>
        <v>Estrela 3</v>
      </c>
      <c r="P2668" s="5">
        <f>IFERROR(__xludf.DUMMYFUNCTION("""COMPUTED_VALUE"""),667.0)</f>
        <v>667</v>
      </c>
      <c r="Q2668" s="5" t="str">
        <f>IFERROR(__xludf.DUMMYFUNCTION("""COMPUTED_VALUE"""),"Lat sau san taam")</f>
        <v>Lat sau san taam</v>
      </c>
      <c r="R2668" s="5" t="str">
        <f>IFERROR(__xludf.DUMMYFUNCTION("""COMPUTED_VALUE"""),"Teresa Mo")</f>
        <v>Teresa Mo</v>
      </c>
      <c r="S2668" s="5" t="str">
        <f>IFERROR(__xludf.DUMMYFUNCTION("""COMPUTED_VALUE"""),"Estrela 3")</f>
        <v>Estrela 3</v>
      </c>
    </row>
    <row r="2669">
      <c r="G2669" s="5" t="str">
        <f>IFERROR(__xludf.DUMMYFUNCTION("""COMPUTED_VALUE"""),"667🤙🏼Lat sau san taam🤙🏼Philip Chan🤙🏼Estrela 4")</f>
        <v>667🤙🏼Lat sau san taam🤙🏼Philip Chan🤙🏼Estrela 4</v>
      </c>
      <c r="H2669" s="5">
        <f>IFERROR(__xludf.DUMMYFUNCTION("SPLiT(G2669, ""🤙🏼"",FALSE,FALSE)"),667.0)</f>
        <v>667</v>
      </c>
      <c r="I2669" s="5" t="str">
        <f>IFERROR(__xludf.DUMMYFUNCTION("""COMPUTED_VALUE"""),"Lat sau san taam")</f>
        <v>Lat sau san taam</v>
      </c>
      <c r="J2669" s="5" t="str">
        <f>IFERROR(__xludf.DUMMYFUNCTION("""COMPUTED_VALUE"""),"Philip Chan")</f>
        <v>Philip Chan</v>
      </c>
      <c r="K2669" s="5" t="str">
        <f>IFERROR(__xludf.DUMMYFUNCTION("""COMPUTED_VALUE"""),"Estrela 4")</f>
        <v>Estrela 4</v>
      </c>
      <c r="P2669" s="5">
        <f>IFERROR(__xludf.DUMMYFUNCTION("""COMPUTED_VALUE"""),667.0)</f>
        <v>667</v>
      </c>
      <c r="Q2669" s="5" t="str">
        <f>IFERROR(__xludf.DUMMYFUNCTION("""COMPUTED_VALUE"""),"Lat sau san taam")</f>
        <v>Lat sau san taam</v>
      </c>
      <c r="R2669" s="5" t="str">
        <f>IFERROR(__xludf.DUMMYFUNCTION("""COMPUTED_VALUE"""),"Philip Chan")</f>
        <v>Philip Chan</v>
      </c>
      <c r="S2669" s="5" t="str">
        <f>IFERROR(__xludf.DUMMYFUNCTION("""COMPUTED_VALUE"""),"Estrela 4")</f>
        <v>Estrela 4</v>
      </c>
    </row>
    <row r="2670">
      <c r="G2670" s="5" t="str">
        <f>IFERROR(__xludf.DUMMYFUNCTION("""COMPUTED_VALUE"""),"668🤙🏼Night on Earth🤙🏼Winona Ryder🤙🏼Estrela 1")</f>
        <v>668🤙🏼Night on Earth🤙🏼Winona Ryder🤙🏼Estrela 1</v>
      </c>
      <c r="H2670" s="5">
        <f>IFERROR(__xludf.DUMMYFUNCTION("SPLiT(G2670, ""🤙🏼"",FALSE,FALSE)"),668.0)</f>
        <v>668</v>
      </c>
      <c r="I2670" s="5" t="str">
        <f>IFERROR(__xludf.DUMMYFUNCTION("""COMPUTED_VALUE"""),"Night on Earth")</f>
        <v>Night on Earth</v>
      </c>
      <c r="J2670" s="5" t="str">
        <f>IFERROR(__xludf.DUMMYFUNCTION("""COMPUTED_VALUE"""),"Winona Ryder")</f>
        <v>Winona Ryder</v>
      </c>
      <c r="K2670" s="5" t="str">
        <f>IFERROR(__xludf.DUMMYFUNCTION("""COMPUTED_VALUE"""),"Estrela 1")</f>
        <v>Estrela 1</v>
      </c>
      <c r="P2670" s="5">
        <f>IFERROR(__xludf.DUMMYFUNCTION("""COMPUTED_VALUE"""),668.0)</f>
        <v>668</v>
      </c>
      <c r="Q2670" s="5" t="str">
        <f>IFERROR(__xludf.DUMMYFUNCTION("""COMPUTED_VALUE"""),"Night on Earth")</f>
        <v>Night on Earth</v>
      </c>
      <c r="R2670" s="5" t="str">
        <f>IFERROR(__xludf.DUMMYFUNCTION("""COMPUTED_VALUE"""),"Winona Ryder")</f>
        <v>Winona Ryder</v>
      </c>
      <c r="S2670" s="5" t="str">
        <f>IFERROR(__xludf.DUMMYFUNCTION("""COMPUTED_VALUE"""),"Estrela 1")</f>
        <v>Estrela 1</v>
      </c>
    </row>
    <row r="2671">
      <c r="G2671" s="5" t="str">
        <f>IFERROR(__xludf.DUMMYFUNCTION("""COMPUTED_VALUE"""),"668🤙🏼Night on Earth🤙🏼Gena Rowlands🤙🏼Estrela 2")</f>
        <v>668🤙🏼Night on Earth🤙🏼Gena Rowlands🤙🏼Estrela 2</v>
      </c>
      <c r="H2671" s="5">
        <f>IFERROR(__xludf.DUMMYFUNCTION("SPLiT(G2671, ""🤙🏼"",FALSE,FALSE)"),668.0)</f>
        <v>668</v>
      </c>
      <c r="I2671" s="5" t="str">
        <f>IFERROR(__xludf.DUMMYFUNCTION("""COMPUTED_VALUE"""),"Night on Earth")</f>
        <v>Night on Earth</v>
      </c>
      <c r="J2671" s="5" t="str">
        <f>IFERROR(__xludf.DUMMYFUNCTION("""COMPUTED_VALUE"""),"Gena Rowlands")</f>
        <v>Gena Rowlands</v>
      </c>
      <c r="K2671" s="5" t="str">
        <f>IFERROR(__xludf.DUMMYFUNCTION("""COMPUTED_VALUE"""),"Estrela 2")</f>
        <v>Estrela 2</v>
      </c>
      <c r="P2671" s="5">
        <f>IFERROR(__xludf.DUMMYFUNCTION("""COMPUTED_VALUE"""),668.0)</f>
        <v>668</v>
      </c>
      <c r="Q2671" s="5" t="str">
        <f>IFERROR(__xludf.DUMMYFUNCTION("""COMPUTED_VALUE"""),"Night on Earth")</f>
        <v>Night on Earth</v>
      </c>
      <c r="R2671" s="5" t="str">
        <f>IFERROR(__xludf.DUMMYFUNCTION("""COMPUTED_VALUE"""),"Gena Rowlands")</f>
        <v>Gena Rowlands</v>
      </c>
      <c r="S2671" s="5" t="str">
        <f>IFERROR(__xludf.DUMMYFUNCTION("""COMPUTED_VALUE"""),"Estrela 2")</f>
        <v>Estrela 2</v>
      </c>
    </row>
    <row r="2672">
      <c r="G2672" s="5" t="str">
        <f>IFERROR(__xludf.DUMMYFUNCTION("""COMPUTED_VALUE"""),"668🤙🏼Night on Earth🤙🏼Lisanne Falk🤙🏼Estrela 3")</f>
        <v>668🤙🏼Night on Earth🤙🏼Lisanne Falk🤙🏼Estrela 3</v>
      </c>
      <c r="H2672" s="5">
        <f>IFERROR(__xludf.DUMMYFUNCTION("SPLiT(G2672, ""🤙🏼"",FALSE,FALSE)"),668.0)</f>
        <v>668</v>
      </c>
      <c r="I2672" s="5" t="str">
        <f>IFERROR(__xludf.DUMMYFUNCTION("""COMPUTED_VALUE"""),"Night on Earth")</f>
        <v>Night on Earth</v>
      </c>
      <c r="J2672" s="5" t="str">
        <f>IFERROR(__xludf.DUMMYFUNCTION("""COMPUTED_VALUE"""),"Lisanne Falk")</f>
        <v>Lisanne Falk</v>
      </c>
      <c r="K2672" s="5" t="str">
        <f>IFERROR(__xludf.DUMMYFUNCTION("""COMPUTED_VALUE"""),"Estrela 3")</f>
        <v>Estrela 3</v>
      </c>
      <c r="P2672" s="5">
        <f>IFERROR(__xludf.DUMMYFUNCTION("""COMPUTED_VALUE"""),668.0)</f>
        <v>668</v>
      </c>
      <c r="Q2672" s="5" t="str">
        <f>IFERROR(__xludf.DUMMYFUNCTION("""COMPUTED_VALUE"""),"Night on Earth")</f>
        <v>Night on Earth</v>
      </c>
      <c r="R2672" s="5" t="str">
        <f>IFERROR(__xludf.DUMMYFUNCTION("""COMPUTED_VALUE"""),"Lisanne Falk")</f>
        <v>Lisanne Falk</v>
      </c>
      <c r="S2672" s="5" t="str">
        <f>IFERROR(__xludf.DUMMYFUNCTION("""COMPUTED_VALUE"""),"Estrela 3")</f>
        <v>Estrela 3</v>
      </c>
    </row>
    <row r="2673">
      <c r="G2673" s="5" t="str">
        <f>IFERROR(__xludf.DUMMYFUNCTION("""COMPUTED_VALUE"""),"668🤙🏼Night on Earth🤙🏼Alan Randolph Scott🤙🏼Estrela 4")</f>
        <v>668🤙🏼Night on Earth🤙🏼Alan Randolph Scott🤙🏼Estrela 4</v>
      </c>
      <c r="H2673" s="5">
        <f>IFERROR(__xludf.DUMMYFUNCTION("SPLiT(G2673, ""🤙🏼"",FALSE,FALSE)"),668.0)</f>
        <v>668</v>
      </c>
      <c r="I2673" s="5" t="str">
        <f>IFERROR(__xludf.DUMMYFUNCTION("""COMPUTED_VALUE"""),"Night on Earth")</f>
        <v>Night on Earth</v>
      </c>
      <c r="J2673" s="5" t="str">
        <f>IFERROR(__xludf.DUMMYFUNCTION("""COMPUTED_VALUE"""),"Alan Randolph Scott")</f>
        <v>Alan Randolph Scott</v>
      </c>
      <c r="K2673" s="5" t="str">
        <f>IFERROR(__xludf.DUMMYFUNCTION("""COMPUTED_VALUE"""),"Estrela 4")</f>
        <v>Estrela 4</v>
      </c>
      <c r="P2673" s="5">
        <f>IFERROR(__xludf.DUMMYFUNCTION("""COMPUTED_VALUE"""),668.0)</f>
        <v>668</v>
      </c>
      <c r="Q2673" s="5" t="str">
        <f>IFERROR(__xludf.DUMMYFUNCTION("""COMPUTED_VALUE"""),"Night on Earth")</f>
        <v>Night on Earth</v>
      </c>
      <c r="R2673" s="5" t="str">
        <f>IFERROR(__xludf.DUMMYFUNCTION("""COMPUTED_VALUE"""),"Alan Randolph Scott")</f>
        <v>Alan Randolph Scott</v>
      </c>
      <c r="S2673" s="5" t="str">
        <f>IFERROR(__xludf.DUMMYFUNCTION("""COMPUTED_VALUE"""),"Estrela 4")</f>
        <v>Estrela 4</v>
      </c>
    </row>
    <row r="2674">
      <c r="G2674" s="5" t="str">
        <f>IFERROR(__xludf.DUMMYFUNCTION("""COMPUTED_VALUE"""),"669🤙🏼La double vie de Véronique🤙🏼Irène Jacob🤙🏼Estrela 1")</f>
        <v>669🤙🏼La double vie de Véronique🤙🏼Irène Jacob🤙🏼Estrela 1</v>
      </c>
      <c r="H2674" s="5">
        <f>IFERROR(__xludf.DUMMYFUNCTION("SPLiT(G2674, ""🤙🏼"",FALSE,FALSE)"),669.0)</f>
        <v>669</v>
      </c>
      <c r="I2674" s="5" t="str">
        <f>IFERROR(__xludf.DUMMYFUNCTION("""COMPUTED_VALUE"""),"La double vie de Véronique")</f>
        <v>La double vie de Véronique</v>
      </c>
      <c r="J2674" s="5" t="str">
        <f>IFERROR(__xludf.DUMMYFUNCTION("""COMPUTED_VALUE"""),"Irène Jacob")</f>
        <v>Irène Jacob</v>
      </c>
      <c r="K2674" s="5" t="str">
        <f>IFERROR(__xludf.DUMMYFUNCTION("""COMPUTED_VALUE"""),"Estrela 1")</f>
        <v>Estrela 1</v>
      </c>
      <c r="P2674" s="5">
        <f>IFERROR(__xludf.DUMMYFUNCTION("""COMPUTED_VALUE"""),669.0)</f>
        <v>669</v>
      </c>
      <c r="Q2674" s="5" t="str">
        <f>IFERROR(__xludf.DUMMYFUNCTION("""COMPUTED_VALUE"""),"La double vie de Véronique")</f>
        <v>La double vie de Véronique</v>
      </c>
      <c r="R2674" s="5" t="str">
        <f>IFERROR(__xludf.DUMMYFUNCTION("""COMPUTED_VALUE"""),"Irène Jacob")</f>
        <v>Irène Jacob</v>
      </c>
      <c r="S2674" s="5" t="str">
        <f>IFERROR(__xludf.DUMMYFUNCTION("""COMPUTED_VALUE"""),"Estrela 1")</f>
        <v>Estrela 1</v>
      </c>
    </row>
    <row r="2675">
      <c r="G2675" s="5" t="str">
        <f>IFERROR(__xludf.DUMMYFUNCTION("""COMPUTED_VALUE"""),"669🤙🏼La double vie de Véronique🤙🏼Wladyslaw Kowalski🤙🏼Estrela 2")</f>
        <v>669🤙🏼La double vie de Véronique🤙🏼Wladyslaw Kowalski🤙🏼Estrela 2</v>
      </c>
      <c r="H2675" s="5">
        <f>IFERROR(__xludf.DUMMYFUNCTION("SPLiT(G2675, ""🤙🏼"",FALSE,FALSE)"),669.0)</f>
        <v>669</v>
      </c>
      <c r="I2675" s="5" t="str">
        <f>IFERROR(__xludf.DUMMYFUNCTION("""COMPUTED_VALUE"""),"La double vie de Véronique")</f>
        <v>La double vie de Véronique</v>
      </c>
      <c r="J2675" s="5" t="str">
        <f>IFERROR(__xludf.DUMMYFUNCTION("""COMPUTED_VALUE"""),"Wladyslaw Kowalski")</f>
        <v>Wladyslaw Kowalski</v>
      </c>
      <c r="K2675" s="5" t="str">
        <f>IFERROR(__xludf.DUMMYFUNCTION("""COMPUTED_VALUE"""),"Estrela 2")</f>
        <v>Estrela 2</v>
      </c>
      <c r="P2675" s="5">
        <f>IFERROR(__xludf.DUMMYFUNCTION("""COMPUTED_VALUE"""),669.0)</f>
        <v>669</v>
      </c>
      <c r="Q2675" s="5" t="str">
        <f>IFERROR(__xludf.DUMMYFUNCTION("""COMPUTED_VALUE"""),"La double vie de Véronique")</f>
        <v>La double vie de Véronique</v>
      </c>
      <c r="R2675" s="5" t="str">
        <f>IFERROR(__xludf.DUMMYFUNCTION("""COMPUTED_VALUE"""),"Wladyslaw Kowalski")</f>
        <v>Wladyslaw Kowalski</v>
      </c>
      <c r="S2675" s="5" t="str">
        <f>IFERROR(__xludf.DUMMYFUNCTION("""COMPUTED_VALUE"""),"Estrela 2")</f>
        <v>Estrela 2</v>
      </c>
    </row>
    <row r="2676">
      <c r="G2676" s="5" t="str">
        <f>IFERROR(__xludf.DUMMYFUNCTION("""COMPUTED_VALUE"""),"669🤙🏼La double vie de Véronique🤙🏼Halina Gryglaszewska🤙🏼Estrela 3")</f>
        <v>669🤙🏼La double vie de Véronique🤙🏼Halina Gryglaszewska🤙🏼Estrela 3</v>
      </c>
      <c r="H2676" s="5">
        <f>IFERROR(__xludf.DUMMYFUNCTION("SPLiT(G2676, ""🤙🏼"",FALSE,FALSE)"),669.0)</f>
        <v>669</v>
      </c>
      <c r="I2676" s="5" t="str">
        <f>IFERROR(__xludf.DUMMYFUNCTION("""COMPUTED_VALUE"""),"La double vie de Véronique")</f>
        <v>La double vie de Véronique</v>
      </c>
      <c r="J2676" s="5" t="str">
        <f>IFERROR(__xludf.DUMMYFUNCTION("""COMPUTED_VALUE"""),"Halina Gryglaszewska")</f>
        <v>Halina Gryglaszewska</v>
      </c>
      <c r="K2676" s="5" t="str">
        <f>IFERROR(__xludf.DUMMYFUNCTION("""COMPUTED_VALUE"""),"Estrela 3")</f>
        <v>Estrela 3</v>
      </c>
      <c r="P2676" s="5">
        <f>IFERROR(__xludf.DUMMYFUNCTION("""COMPUTED_VALUE"""),669.0)</f>
        <v>669</v>
      </c>
      <c r="Q2676" s="5" t="str">
        <f>IFERROR(__xludf.DUMMYFUNCTION("""COMPUTED_VALUE"""),"La double vie de Véronique")</f>
        <v>La double vie de Véronique</v>
      </c>
      <c r="R2676" s="5" t="str">
        <f>IFERROR(__xludf.DUMMYFUNCTION("""COMPUTED_VALUE"""),"Halina Gryglaszewska")</f>
        <v>Halina Gryglaszewska</v>
      </c>
      <c r="S2676" s="5" t="str">
        <f>IFERROR(__xludf.DUMMYFUNCTION("""COMPUTED_VALUE"""),"Estrela 3")</f>
        <v>Estrela 3</v>
      </c>
    </row>
    <row r="2677">
      <c r="G2677" s="5" t="str">
        <f>IFERROR(__xludf.DUMMYFUNCTION("""COMPUTED_VALUE"""),"669🤙🏼La double vie de Véronique🤙🏼Kalina Jedrusik🤙🏼Estrela 4")</f>
        <v>669🤙🏼La double vie de Véronique🤙🏼Kalina Jedrusik🤙🏼Estrela 4</v>
      </c>
      <c r="H2677" s="5">
        <f>IFERROR(__xludf.DUMMYFUNCTION("SPLiT(G2677, ""🤙🏼"",FALSE,FALSE)"),669.0)</f>
        <v>669</v>
      </c>
      <c r="I2677" s="5" t="str">
        <f>IFERROR(__xludf.DUMMYFUNCTION("""COMPUTED_VALUE"""),"La double vie de Véronique")</f>
        <v>La double vie de Véronique</v>
      </c>
      <c r="J2677" s="5" t="str">
        <f>IFERROR(__xludf.DUMMYFUNCTION("""COMPUTED_VALUE"""),"Kalina Jedrusik")</f>
        <v>Kalina Jedrusik</v>
      </c>
      <c r="K2677" s="5" t="str">
        <f>IFERROR(__xludf.DUMMYFUNCTION("""COMPUTED_VALUE"""),"Estrela 4")</f>
        <v>Estrela 4</v>
      </c>
      <c r="P2677" s="5">
        <f>IFERROR(__xludf.DUMMYFUNCTION("""COMPUTED_VALUE"""),669.0)</f>
        <v>669</v>
      </c>
      <c r="Q2677" s="5" t="str">
        <f>IFERROR(__xludf.DUMMYFUNCTION("""COMPUTED_VALUE"""),"La double vie de Véronique")</f>
        <v>La double vie de Véronique</v>
      </c>
      <c r="R2677" s="5" t="str">
        <f>IFERROR(__xludf.DUMMYFUNCTION("""COMPUTED_VALUE"""),"Kalina Jedrusik")</f>
        <v>Kalina Jedrusik</v>
      </c>
      <c r="S2677" s="5" t="str">
        <f>IFERROR(__xludf.DUMMYFUNCTION("""COMPUTED_VALUE"""),"Estrela 4")</f>
        <v>Estrela 4</v>
      </c>
    </row>
    <row r="2678">
      <c r="G2678" s="5" t="str">
        <f>IFERROR(__xludf.DUMMYFUNCTION("""COMPUTED_VALUE"""),"670🤙🏼Boyz n the Hood🤙🏼Cuba Gooding Jr.🤙🏼Estrela 1")</f>
        <v>670🤙🏼Boyz n the Hood🤙🏼Cuba Gooding Jr.🤙🏼Estrela 1</v>
      </c>
      <c r="H2678" s="5">
        <f>IFERROR(__xludf.DUMMYFUNCTION("SPLiT(G2678, ""🤙🏼"",FALSE,FALSE)"),670.0)</f>
        <v>670</v>
      </c>
      <c r="I2678" s="5" t="str">
        <f>IFERROR(__xludf.DUMMYFUNCTION("""COMPUTED_VALUE"""),"Boyz n the Hood")</f>
        <v>Boyz n the Hood</v>
      </c>
      <c r="J2678" s="5" t="str">
        <f>IFERROR(__xludf.DUMMYFUNCTION("""COMPUTED_VALUE"""),"Cuba Gooding Jr.")</f>
        <v>Cuba Gooding Jr.</v>
      </c>
      <c r="K2678" s="5" t="str">
        <f>IFERROR(__xludf.DUMMYFUNCTION("""COMPUTED_VALUE"""),"Estrela 1")</f>
        <v>Estrela 1</v>
      </c>
      <c r="P2678" s="5">
        <f>IFERROR(__xludf.DUMMYFUNCTION("""COMPUTED_VALUE"""),670.0)</f>
        <v>670</v>
      </c>
      <c r="Q2678" s="5" t="str">
        <f>IFERROR(__xludf.DUMMYFUNCTION("""COMPUTED_VALUE"""),"Boyz n the Hood")</f>
        <v>Boyz n the Hood</v>
      </c>
      <c r="R2678" s="5" t="str">
        <f>IFERROR(__xludf.DUMMYFUNCTION("""COMPUTED_VALUE"""),"Cuba Gooding Jr.")</f>
        <v>Cuba Gooding Jr.</v>
      </c>
      <c r="S2678" s="5" t="str">
        <f>IFERROR(__xludf.DUMMYFUNCTION("""COMPUTED_VALUE"""),"Estrela 1")</f>
        <v>Estrela 1</v>
      </c>
    </row>
    <row r="2679">
      <c r="G2679" s="5" t="str">
        <f>IFERROR(__xludf.DUMMYFUNCTION("""COMPUTED_VALUE"""),"670🤙🏼Boyz n the Hood🤙🏼Laurence Fishburne🤙🏼Estrela 2")</f>
        <v>670🤙🏼Boyz n the Hood🤙🏼Laurence Fishburne🤙🏼Estrela 2</v>
      </c>
      <c r="H2679" s="5">
        <f>IFERROR(__xludf.DUMMYFUNCTION("SPLiT(G2679, ""🤙🏼"",FALSE,FALSE)"),670.0)</f>
        <v>670</v>
      </c>
      <c r="I2679" s="5" t="str">
        <f>IFERROR(__xludf.DUMMYFUNCTION("""COMPUTED_VALUE"""),"Boyz n the Hood")</f>
        <v>Boyz n the Hood</v>
      </c>
      <c r="J2679" s="5" t="str">
        <f>IFERROR(__xludf.DUMMYFUNCTION("""COMPUTED_VALUE"""),"Laurence Fishburne")</f>
        <v>Laurence Fishburne</v>
      </c>
      <c r="K2679" s="5" t="str">
        <f>IFERROR(__xludf.DUMMYFUNCTION("""COMPUTED_VALUE"""),"Estrela 2")</f>
        <v>Estrela 2</v>
      </c>
      <c r="P2679" s="5">
        <f>IFERROR(__xludf.DUMMYFUNCTION("""COMPUTED_VALUE"""),670.0)</f>
        <v>670</v>
      </c>
      <c r="Q2679" s="5" t="str">
        <f>IFERROR(__xludf.DUMMYFUNCTION("""COMPUTED_VALUE"""),"Boyz n the Hood")</f>
        <v>Boyz n the Hood</v>
      </c>
      <c r="R2679" s="5" t="str">
        <f>IFERROR(__xludf.DUMMYFUNCTION("""COMPUTED_VALUE"""),"Laurence Fishburne")</f>
        <v>Laurence Fishburne</v>
      </c>
      <c r="S2679" s="5" t="str">
        <f>IFERROR(__xludf.DUMMYFUNCTION("""COMPUTED_VALUE"""),"Estrela 2")</f>
        <v>Estrela 2</v>
      </c>
    </row>
    <row r="2680">
      <c r="G2680" s="5" t="str">
        <f>IFERROR(__xludf.DUMMYFUNCTION("""COMPUTED_VALUE"""),"670🤙🏼Boyz n the Hood🤙🏼Hudhail Al-Amir🤙🏼Estrela 3")</f>
        <v>670🤙🏼Boyz n the Hood🤙🏼Hudhail Al-Amir🤙🏼Estrela 3</v>
      </c>
      <c r="H2680" s="5">
        <f>IFERROR(__xludf.DUMMYFUNCTION("SPLiT(G2680, ""🤙🏼"",FALSE,FALSE)"),670.0)</f>
        <v>670</v>
      </c>
      <c r="I2680" s="5" t="str">
        <f>IFERROR(__xludf.DUMMYFUNCTION("""COMPUTED_VALUE"""),"Boyz n the Hood")</f>
        <v>Boyz n the Hood</v>
      </c>
      <c r="J2680" s="5" t="str">
        <f>IFERROR(__xludf.DUMMYFUNCTION("""COMPUTED_VALUE"""),"Hudhail Al-Amir")</f>
        <v>Hudhail Al-Amir</v>
      </c>
      <c r="K2680" s="5" t="str">
        <f>IFERROR(__xludf.DUMMYFUNCTION("""COMPUTED_VALUE"""),"Estrela 3")</f>
        <v>Estrela 3</v>
      </c>
      <c r="P2680" s="5">
        <f>IFERROR(__xludf.DUMMYFUNCTION("""COMPUTED_VALUE"""),670.0)</f>
        <v>670</v>
      </c>
      <c r="Q2680" s="5" t="str">
        <f>IFERROR(__xludf.DUMMYFUNCTION("""COMPUTED_VALUE"""),"Boyz n the Hood")</f>
        <v>Boyz n the Hood</v>
      </c>
      <c r="R2680" s="5" t="str">
        <f>IFERROR(__xludf.DUMMYFUNCTION("""COMPUTED_VALUE"""),"Hudhail Al-Amir")</f>
        <v>Hudhail Al-Amir</v>
      </c>
      <c r="S2680" s="5" t="str">
        <f>IFERROR(__xludf.DUMMYFUNCTION("""COMPUTED_VALUE"""),"Estrela 3")</f>
        <v>Estrela 3</v>
      </c>
    </row>
    <row r="2681">
      <c r="G2681" s="5" t="str">
        <f>IFERROR(__xludf.DUMMYFUNCTION("""COMPUTED_VALUE"""),"670🤙🏼Boyz n the Hood🤙🏼Lloyd Avery II🤙🏼Estrela 4")</f>
        <v>670🤙🏼Boyz n the Hood🤙🏼Lloyd Avery II🤙🏼Estrela 4</v>
      </c>
      <c r="H2681" s="5">
        <f>IFERROR(__xludf.DUMMYFUNCTION("SPLiT(G2681, ""🤙🏼"",FALSE,FALSE)"),670.0)</f>
        <v>670</v>
      </c>
      <c r="I2681" s="5" t="str">
        <f>IFERROR(__xludf.DUMMYFUNCTION("""COMPUTED_VALUE"""),"Boyz n the Hood")</f>
        <v>Boyz n the Hood</v>
      </c>
      <c r="J2681" s="5" t="str">
        <f>IFERROR(__xludf.DUMMYFUNCTION("""COMPUTED_VALUE"""),"Lloyd Avery II")</f>
        <v>Lloyd Avery II</v>
      </c>
      <c r="K2681" s="5" t="str">
        <f>IFERROR(__xludf.DUMMYFUNCTION("""COMPUTED_VALUE"""),"Estrela 4")</f>
        <v>Estrela 4</v>
      </c>
      <c r="P2681" s="5">
        <f>IFERROR(__xludf.DUMMYFUNCTION("""COMPUTED_VALUE"""),670.0)</f>
        <v>670</v>
      </c>
      <c r="Q2681" s="5" t="str">
        <f>IFERROR(__xludf.DUMMYFUNCTION("""COMPUTED_VALUE"""),"Boyz n the Hood")</f>
        <v>Boyz n the Hood</v>
      </c>
      <c r="R2681" s="5" t="str">
        <f>IFERROR(__xludf.DUMMYFUNCTION("""COMPUTED_VALUE"""),"Lloyd Avery II")</f>
        <v>Lloyd Avery II</v>
      </c>
      <c r="S2681" s="5" t="str">
        <f>IFERROR(__xludf.DUMMYFUNCTION("""COMPUTED_VALUE"""),"Estrela 4")</f>
        <v>Estrela 4</v>
      </c>
    </row>
    <row r="2682">
      <c r="G2682" s="5" t="str">
        <f>IFERROR(__xludf.DUMMYFUNCTION("""COMPUTED_VALUE"""),"671🤙🏼Misery🤙🏼James Caan🤙🏼Estrela 1")</f>
        <v>671🤙🏼Misery🤙🏼James Caan🤙🏼Estrela 1</v>
      </c>
      <c r="H2682" s="5">
        <f>IFERROR(__xludf.DUMMYFUNCTION("SPLiT(G2682, ""🤙🏼"",FALSE,FALSE)"),671.0)</f>
        <v>671</v>
      </c>
      <c r="I2682" s="5" t="str">
        <f>IFERROR(__xludf.DUMMYFUNCTION("""COMPUTED_VALUE"""),"Misery")</f>
        <v>Misery</v>
      </c>
      <c r="J2682" s="5" t="str">
        <f>IFERROR(__xludf.DUMMYFUNCTION("""COMPUTED_VALUE"""),"James Caan")</f>
        <v>James Caan</v>
      </c>
      <c r="K2682" s="5" t="str">
        <f>IFERROR(__xludf.DUMMYFUNCTION("""COMPUTED_VALUE"""),"Estrela 1")</f>
        <v>Estrela 1</v>
      </c>
      <c r="P2682" s="5">
        <f>IFERROR(__xludf.DUMMYFUNCTION("""COMPUTED_VALUE"""),671.0)</f>
        <v>671</v>
      </c>
      <c r="Q2682" s="5" t="str">
        <f>IFERROR(__xludf.DUMMYFUNCTION("""COMPUTED_VALUE"""),"Misery")</f>
        <v>Misery</v>
      </c>
      <c r="R2682" s="5" t="str">
        <f>IFERROR(__xludf.DUMMYFUNCTION("""COMPUTED_VALUE"""),"James Caan")</f>
        <v>James Caan</v>
      </c>
      <c r="S2682" s="5" t="str">
        <f>IFERROR(__xludf.DUMMYFUNCTION("""COMPUTED_VALUE"""),"Estrela 1")</f>
        <v>Estrela 1</v>
      </c>
    </row>
    <row r="2683">
      <c r="G2683" s="5" t="str">
        <f>IFERROR(__xludf.DUMMYFUNCTION("""COMPUTED_VALUE"""),"671🤙🏼Misery🤙🏼Kathy Bates🤙🏼Estrela 2")</f>
        <v>671🤙🏼Misery🤙🏼Kathy Bates🤙🏼Estrela 2</v>
      </c>
      <c r="H2683" s="5">
        <f>IFERROR(__xludf.DUMMYFUNCTION("SPLiT(G2683, ""🤙🏼"",FALSE,FALSE)"),671.0)</f>
        <v>671</v>
      </c>
      <c r="I2683" s="5" t="str">
        <f>IFERROR(__xludf.DUMMYFUNCTION("""COMPUTED_VALUE"""),"Misery")</f>
        <v>Misery</v>
      </c>
      <c r="J2683" s="5" t="str">
        <f>IFERROR(__xludf.DUMMYFUNCTION("""COMPUTED_VALUE"""),"Kathy Bates")</f>
        <v>Kathy Bates</v>
      </c>
      <c r="K2683" s="5" t="str">
        <f>IFERROR(__xludf.DUMMYFUNCTION("""COMPUTED_VALUE"""),"Estrela 2")</f>
        <v>Estrela 2</v>
      </c>
      <c r="P2683" s="5">
        <f>IFERROR(__xludf.DUMMYFUNCTION("""COMPUTED_VALUE"""),671.0)</f>
        <v>671</v>
      </c>
      <c r="Q2683" s="5" t="str">
        <f>IFERROR(__xludf.DUMMYFUNCTION("""COMPUTED_VALUE"""),"Misery")</f>
        <v>Misery</v>
      </c>
      <c r="R2683" s="5" t="str">
        <f>IFERROR(__xludf.DUMMYFUNCTION("""COMPUTED_VALUE"""),"Kathy Bates")</f>
        <v>Kathy Bates</v>
      </c>
      <c r="S2683" s="5" t="str">
        <f>IFERROR(__xludf.DUMMYFUNCTION("""COMPUTED_VALUE"""),"Estrela 2")</f>
        <v>Estrela 2</v>
      </c>
    </row>
    <row r="2684">
      <c r="G2684" s="5" t="str">
        <f>IFERROR(__xludf.DUMMYFUNCTION("""COMPUTED_VALUE"""),"671🤙🏼Misery🤙🏼Richard Farnsworth🤙🏼Estrela 3")</f>
        <v>671🤙🏼Misery🤙🏼Richard Farnsworth🤙🏼Estrela 3</v>
      </c>
      <c r="H2684" s="5">
        <f>IFERROR(__xludf.DUMMYFUNCTION("SPLiT(G2684, ""🤙🏼"",FALSE,FALSE)"),671.0)</f>
        <v>671</v>
      </c>
      <c r="I2684" s="5" t="str">
        <f>IFERROR(__xludf.DUMMYFUNCTION("""COMPUTED_VALUE"""),"Misery")</f>
        <v>Misery</v>
      </c>
      <c r="J2684" s="5" t="str">
        <f>IFERROR(__xludf.DUMMYFUNCTION("""COMPUTED_VALUE"""),"Richard Farnsworth")</f>
        <v>Richard Farnsworth</v>
      </c>
      <c r="K2684" s="5" t="str">
        <f>IFERROR(__xludf.DUMMYFUNCTION("""COMPUTED_VALUE"""),"Estrela 3")</f>
        <v>Estrela 3</v>
      </c>
      <c r="P2684" s="5">
        <f>IFERROR(__xludf.DUMMYFUNCTION("""COMPUTED_VALUE"""),671.0)</f>
        <v>671</v>
      </c>
      <c r="Q2684" s="5" t="str">
        <f>IFERROR(__xludf.DUMMYFUNCTION("""COMPUTED_VALUE"""),"Misery")</f>
        <v>Misery</v>
      </c>
      <c r="R2684" s="5" t="str">
        <f>IFERROR(__xludf.DUMMYFUNCTION("""COMPUTED_VALUE"""),"Richard Farnsworth")</f>
        <v>Richard Farnsworth</v>
      </c>
      <c r="S2684" s="5" t="str">
        <f>IFERROR(__xludf.DUMMYFUNCTION("""COMPUTED_VALUE"""),"Estrela 3")</f>
        <v>Estrela 3</v>
      </c>
    </row>
    <row r="2685">
      <c r="G2685" s="5" t="str">
        <f>IFERROR(__xludf.DUMMYFUNCTION("""COMPUTED_VALUE"""),"671🤙🏼Misery🤙🏼Frances Sternhagen🤙🏼Estrela 4")</f>
        <v>671🤙🏼Misery🤙🏼Frances Sternhagen🤙🏼Estrela 4</v>
      </c>
      <c r="H2685" s="5">
        <f>IFERROR(__xludf.DUMMYFUNCTION("SPLiT(G2685, ""🤙🏼"",FALSE,FALSE)"),671.0)</f>
        <v>671</v>
      </c>
      <c r="I2685" s="5" t="str">
        <f>IFERROR(__xludf.DUMMYFUNCTION("""COMPUTED_VALUE"""),"Misery")</f>
        <v>Misery</v>
      </c>
      <c r="J2685" s="5" t="str">
        <f>IFERROR(__xludf.DUMMYFUNCTION("""COMPUTED_VALUE"""),"Frances Sternhagen")</f>
        <v>Frances Sternhagen</v>
      </c>
      <c r="K2685" s="5" t="str">
        <f>IFERROR(__xludf.DUMMYFUNCTION("""COMPUTED_VALUE"""),"Estrela 4")</f>
        <v>Estrela 4</v>
      </c>
      <c r="P2685" s="5">
        <f>IFERROR(__xludf.DUMMYFUNCTION("""COMPUTED_VALUE"""),671.0)</f>
        <v>671</v>
      </c>
      <c r="Q2685" s="5" t="str">
        <f>IFERROR(__xludf.DUMMYFUNCTION("""COMPUTED_VALUE"""),"Misery")</f>
        <v>Misery</v>
      </c>
      <c r="R2685" s="5" t="str">
        <f>IFERROR(__xludf.DUMMYFUNCTION("""COMPUTED_VALUE"""),"Frances Sternhagen")</f>
        <v>Frances Sternhagen</v>
      </c>
      <c r="S2685" s="5" t="str">
        <f>IFERROR(__xludf.DUMMYFUNCTION("""COMPUTED_VALUE"""),"Estrela 4")</f>
        <v>Estrela 4</v>
      </c>
    </row>
    <row r="2686">
      <c r="G2686" s="5" t="str">
        <f>IFERROR(__xludf.DUMMYFUNCTION("""COMPUTED_VALUE"""),"672🤙🏼Awakenings🤙🏼Robert De Niro🤙🏼Estrela 1")</f>
        <v>672🤙🏼Awakenings🤙🏼Robert De Niro🤙🏼Estrela 1</v>
      </c>
      <c r="H2686" s="5">
        <f>IFERROR(__xludf.DUMMYFUNCTION("SPLiT(G2686, ""🤙🏼"",FALSE,FALSE)"),672.0)</f>
        <v>672</v>
      </c>
      <c r="I2686" s="5" t="str">
        <f>IFERROR(__xludf.DUMMYFUNCTION("""COMPUTED_VALUE"""),"Awakenings")</f>
        <v>Awakenings</v>
      </c>
      <c r="J2686" s="5" t="str">
        <f>IFERROR(__xludf.DUMMYFUNCTION("""COMPUTED_VALUE"""),"Robert De Niro")</f>
        <v>Robert De Niro</v>
      </c>
      <c r="K2686" s="5" t="str">
        <f>IFERROR(__xludf.DUMMYFUNCTION("""COMPUTED_VALUE"""),"Estrela 1")</f>
        <v>Estrela 1</v>
      </c>
      <c r="P2686" s="5">
        <f>IFERROR(__xludf.DUMMYFUNCTION("""COMPUTED_VALUE"""),672.0)</f>
        <v>672</v>
      </c>
      <c r="Q2686" s="5" t="str">
        <f>IFERROR(__xludf.DUMMYFUNCTION("""COMPUTED_VALUE"""),"Awakenings")</f>
        <v>Awakenings</v>
      </c>
      <c r="R2686" s="5" t="str">
        <f>IFERROR(__xludf.DUMMYFUNCTION("""COMPUTED_VALUE"""),"Robert De Niro")</f>
        <v>Robert De Niro</v>
      </c>
      <c r="S2686" s="5" t="str">
        <f>IFERROR(__xludf.DUMMYFUNCTION("""COMPUTED_VALUE"""),"Estrela 1")</f>
        <v>Estrela 1</v>
      </c>
    </row>
    <row r="2687">
      <c r="G2687" s="5" t="str">
        <f>IFERROR(__xludf.DUMMYFUNCTION("""COMPUTED_VALUE"""),"672🤙🏼Awakenings🤙🏼Robin Williams🤙🏼Estrela 2")</f>
        <v>672🤙🏼Awakenings🤙🏼Robin Williams🤙🏼Estrela 2</v>
      </c>
      <c r="H2687" s="5">
        <f>IFERROR(__xludf.DUMMYFUNCTION("SPLiT(G2687, ""🤙🏼"",FALSE,FALSE)"),672.0)</f>
        <v>672</v>
      </c>
      <c r="I2687" s="5" t="str">
        <f>IFERROR(__xludf.DUMMYFUNCTION("""COMPUTED_VALUE"""),"Awakenings")</f>
        <v>Awakenings</v>
      </c>
      <c r="J2687" s="5" t="str">
        <f>IFERROR(__xludf.DUMMYFUNCTION("""COMPUTED_VALUE"""),"Robin Williams")</f>
        <v>Robin Williams</v>
      </c>
      <c r="K2687" s="5" t="str">
        <f>IFERROR(__xludf.DUMMYFUNCTION("""COMPUTED_VALUE"""),"Estrela 2")</f>
        <v>Estrela 2</v>
      </c>
      <c r="P2687" s="5">
        <f>IFERROR(__xludf.DUMMYFUNCTION("""COMPUTED_VALUE"""),672.0)</f>
        <v>672</v>
      </c>
      <c r="Q2687" s="5" t="str">
        <f>IFERROR(__xludf.DUMMYFUNCTION("""COMPUTED_VALUE"""),"Awakenings")</f>
        <v>Awakenings</v>
      </c>
      <c r="R2687" s="5" t="str">
        <f>IFERROR(__xludf.DUMMYFUNCTION("""COMPUTED_VALUE"""),"Robin Williams")</f>
        <v>Robin Williams</v>
      </c>
      <c r="S2687" s="5" t="str">
        <f>IFERROR(__xludf.DUMMYFUNCTION("""COMPUTED_VALUE"""),"Estrela 2")</f>
        <v>Estrela 2</v>
      </c>
    </row>
    <row r="2688">
      <c r="G2688" s="5" t="str">
        <f>IFERROR(__xludf.DUMMYFUNCTION("""COMPUTED_VALUE"""),"672🤙🏼Awakenings🤙🏼Julie Kavner🤙🏼Estrela 3")</f>
        <v>672🤙🏼Awakenings🤙🏼Julie Kavner🤙🏼Estrela 3</v>
      </c>
      <c r="H2688" s="5">
        <f>IFERROR(__xludf.DUMMYFUNCTION("SPLiT(G2688, ""🤙🏼"",FALSE,FALSE)"),672.0)</f>
        <v>672</v>
      </c>
      <c r="I2688" s="5" t="str">
        <f>IFERROR(__xludf.DUMMYFUNCTION("""COMPUTED_VALUE"""),"Awakenings")</f>
        <v>Awakenings</v>
      </c>
      <c r="J2688" s="5" t="str">
        <f>IFERROR(__xludf.DUMMYFUNCTION("""COMPUTED_VALUE"""),"Julie Kavner")</f>
        <v>Julie Kavner</v>
      </c>
      <c r="K2688" s="5" t="str">
        <f>IFERROR(__xludf.DUMMYFUNCTION("""COMPUTED_VALUE"""),"Estrela 3")</f>
        <v>Estrela 3</v>
      </c>
      <c r="P2688" s="5">
        <f>IFERROR(__xludf.DUMMYFUNCTION("""COMPUTED_VALUE"""),672.0)</f>
        <v>672</v>
      </c>
      <c r="Q2688" s="5" t="str">
        <f>IFERROR(__xludf.DUMMYFUNCTION("""COMPUTED_VALUE"""),"Awakenings")</f>
        <v>Awakenings</v>
      </c>
      <c r="R2688" s="5" t="str">
        <f>IFERROR(__xludf.DUMMYFUNCTION("""COMPUTED_VALUE"""),"Julie Kavner")</f>
        <v>Julie Kavner</v>
      </c>
      <c r="S2688" s="5" t="str">
        <f>IFERROR(__xludf.DUMMYFUNCTION("""COMPUTED_VALUE"""),"Estrela 3")</f>
        <v>Estrela 3</v>
      </c>
    </row>
    <row r="2689">
      <c r="G2689" s="5" t="str">
        <f>IFERROR(__xludf.DUMMYFUNCTION("""COMPUTED_VALUE"""),"672🤙🏼Awakenings🤙🏼Ruth Nelson🤙🏼Estrela 4")</f>
        <v>672🤙🏼Awakenings🤙🏼Ruth Nelson🤙🏼Estrela 4</v>
      </c>
      <c r="H2689" s="5">
        <f>IFERROR(__xludf.DUMMYFUNCTION("SPLiT(G2689, ""🤙🏼"",FALSE,FALSE)"),672.0)</f>
        <v>672</v>
      </c>
      <c r="I2689" s="5" t="str">
        <f>IFERROR(__xludf.DUMMYFUNCTION("""COMPUTED_VALUE"""),"Awakenings")</f>
        <v>Awakenings</v>
      </c>
      <c r="J2689" s="5" t="str">
        <f>IFERROR(__xludf.DUMMYFUNCTION("""COMPUTED_VALUE"""),"Ruth Nelson")</f>
        <v>Ruth Nelson</v>
      </c>
      <c r="K2689" s="5" t="str">
        <f>IFERROR(__xludf.DUMMYFUNCTION("""COMPUTED_VALUE"""),"Estrela 4")</f>
        <v>Estrela 4</v>
      </c>
      <c r="P2689" s="5">
        <f>IFERROR(__xludf.DUMMYFUNCTION("""COMPUTED_VALUE"""),672.0)</f>
        <v>672</v>
      </c>
      <c r="Q2689" s="5" t="str">
        <f>IFERROR(__xludf.DUMMYFUNCTION("""COMPUTED_VALUE"""),"Awakenings")</f>
        <v>Awakenings</v>
      </c>
      <c r="R2689" s="5" t="str">
        <f>IFERROR(__xludf.DUMMYFUNCTION("""COMPUTED_VALUE"""),"Ruth Nelson")</f>
        <v>Ruth Nelson</v>
      </c>
      <c r="S2689" s="5" t="str">
        <f>IFERROR(__xludf.DUMMYFUNCTION("""COMPUTED_VALUE"""),"Estrela 4")</f>
        <v>Estrela 4</v>
      </c>
    </row>
    <row r="2690">
      <c r="G2690" s="5" t="str">
        <f>IFERROR(__xludf.DUMMYFUNCTION("""COMPUTED_VALUE"""),"673🤙🏼Majo no takkyûbin🤙🏼Kirsten Dunst🤙🏼Estrela 1")</f>
        <v>673🤙🏼Majo no takkyûbin🤙🏼Kirsten Dunst🤙🏼Estrela 1</v>
      </c>
      <c r="H2690" s="5">
        <f>IFERROR(__xludf.DUMMYFUNCTION("SPLiT(G2690, ""🤙🏼"",FALSE,FALSE)"),673.0)</f>
        <v>673</v>
      </c>
      <c r="I2690" s="5" t="str">
        <f>IFERROR(__xludf.DUMMYFUNCTION("""COMPUTED_VALUE"""),"Majo no takkyûbin")</f>
        <v>Majo no takkyûbin</v>
      </c>
      <c r="J2690" s="5" t="str">
        <f>IFERROR(__xludf.DUMMYFUNCTION("""COMPUTED_VALUE"""),"Kirsten Dunst")</f>
        <v>Kirsten Dunst</v>
      </c>
      <c r="K2690" s="5" t="str">
        <f>IFERROR(__xludf.DUMMYFUNCTION("""COMPUTED_VALUE"""),"Estrela 1")</f>
        <v>Estrela 1</v>
      </c>
      <c r="P2690" s="5">
        <f>IFERROR(__xludf.DUMMYFUNCTION("""COMPUTED_VALUE"""),673.0)</f>
        <v>673</v>
      </c>
      <c r="Q2690" s="5" t="str">
        <f>IFERROR(__xludf.DUMMYFUNCTION("""COMPUTED_VALUE"""),"Majo no takkyûbin")</f>
        <v>Majo no takkyûbin</v>
      </c>
      <c r="R2690" s="5" t="str">
        <f>IFERROR(__xludf.DUMMYFUNCTION("""COMPUTED_VALUE"""),"Kirsten Dunst")</f>
        <v>Kirsten Dunst</v>
      </c>
      <c r="S2690" s="5" t="str">
        <f>IFERROR(__xludf.DUMMYFUNCTION("""COMPUTED_VALUE"""),"Estrela 1")</f>
        <v>Estrela 1</v>
      </c>
    </row>
    <row r="2691">
      <c r="G2691" s="5" t="str">
        <f>IFERROR(__xludf.DUMMYFUNCTION("""COMPUTED_VALUE"""),"673🤙🏼Majo no takkyûbin🤙🏼Minami Takayama🤙🏼Estrela 2")</f>
        <v>673🤙🏼Majo no takkyûbin🤙🏼Minami Takayama🤙🏼Estrela 2</v>
      </c>
      <c r="H2691" s="5">
        <f>IFERROR(__xludf.DUMMYFUNCTION("SPLiT(G2691, ""🤙🏼"",FALSE,FALSE)"),673.0)</f>
        <v>673</v>
      </c>
      <c r="I2691" s="5" t="str">
        <f>IFERROR(__xludf.DUMMYFUNCTION("""COMPUTED_VALUE"""),"Majo no takkyûbin")</f>
        <v>Majo no takkyûbin</v>
      </c>
      <c r="J2691" s="5" t="str">
        <f>IFERROR(__xludf.DUMMYFUNCTION("""COMPUTED_VALUE"""),"Minami Takayama")</f>
        <v>Minami Takayama</v>
      </c>
      <c r="K2691" s="5" t="str">
        <f>IFERROR(__xludf.DUMMYFUNCTION("""COMPUTED_VALUE"""),"Estrela 2")</f>
        <v>Estrela 2</v>
      </c>
      <c r="P2691" s="5">
        <f>IFERROR(__xludf.DUMMYFUNCTION("""COMPUTED_VALUE"""),673.0)</f>
        <v>673</v>
      </c>
      <c r="Q2691" s="5" t="str">
        <f>IFERROR(__xludf.DUMMYFUNCTION("""COMPUTED_VALUE"""),"Majo no takkyûbin")</f>
        <v>Majo no takkyûbin</v>
      </c>
      <c r="R2691" s="5" t="str">
        <f>IFERROR(__xludf.DUMMYFUNCTION("""COMPUTED_VALUE"""),"Minami Takayama")</f>
        <v>Minami Takayama</v>
      </c>
      <c r="S2691" s="5" t="str">
        <f>IFERROR(__xludf.DUMMYFUNCTION("""COMPUTED_VALUE"""),"Estrela 2")</f>
        <v>Estrela 2</v>
      </c>
    </row>
    <row r="2692">
      <c r="G2692" s="5" t="str">
        <f>IFERROR(__xludf.DUMMYFUNCTION("""COMPUTED_VALUE"""),"673🤙🏼Majo no takkyûbin🤙🏼Rei Sakuma🤙🏼Estrela 3")</f>
        <v>673🤙🏼Majo no takkyûbin🤙🏼Rei Sakuma🤙🏼Estrela 3</v>
      </c>
      <c r="H2692" s="5">
        <f>IFERROR(__xludf.DUMMYFUNCTION("SPLiT(G2692, ""🤙🏼"",FALSE,FALSE)"),673.0)</f>
        <v>673</v>
      </c>
      <c r="I2692" s="5" t="str">
        <f>IFERROR(__xludf.DUMMYFUNCTION("""COMPUTED_VALUE"""),"Majo no takkyûbin")</f>
        <v>Majo no takkyûbin</v>
      </c>
      <c r="J2692" s="5" t="str">
        <f>IFERROR(__xludf.DUMMYFUNCTION("""COMPUTED_VALUE"""),"Rei Sakuma")</f>
        <v>Rei Sakuma</v>
      </c>
      <c r="K2692" s="5" t="str">
        <f>IFERROR(__xludf.DUMMYFUNCTION("""COMPUTED_VALUE"""),"Estrela 3")</f>
        <v>Estrela 3</v>
      </c>
      <c r="P2692" s="5">
        <f>IFERROR(__xludf.DUMMYFUNCTION("""COMPUTED_VALUE"""),673.0)</f>
        <v>673</v>
      </c>
      <c r="Q2692" s="5" t="str">
        <f>IFERROR(__xludf.DUMMYFUNCTION("""COMPUTED_VALUE"""),"Majo no takkyûbin")</f>
        <v>Majo no takkyûbin</v>
      </c>
      <c r="R2692" s="5" t="str">
        <f>IFERROR(__xludf.DUMMYFUNCTION("""COMPUTED_VALUE"""),"Rei Sakuma")</f>
        <v>Rei Sakuma</v>
      </c>
      <c r="S2692" s="5" t="str">
        <f>IFERROR(__xludf.DUMMYFUNCTION("""COMPUTED_VALUE"""),"Estrela 3")</f>
        <v>Estrela 3</v>
      </c>
    </row>
    <row r="2693">
      <c r="G2693" s="5" t="str">
        <f>IFERROR(__xludf.DUMMYFUNCTION("""COMPUTED_VALUE"""),"673🤙🏼Majo no takkyûbin🤙🏼Kappei Yamaguchi🤙🏼Estrela 4")</f>
        <v>673🤙🏼Majo no takkyûbin🤙🏼Kappei Yamaguchi🤙🏼Estrela 4</v>
      </c>
      <c r="H2693" s="5">
        <f>IFERROR(__xludf.DUMMYFUNCTION("SPLiT(G2693, ""🤙🏼"",FALSE,FALSE)"),673.0)</f>
        <v>673</v>
      </c>
      <c r="I2693" s="5" t="str">
        <f>IFERROR(__xludf.DUMMYFUNCTION("""COMPUTED_VALUE"""),"Majo no takkyûbin")</f>
        <v>Majo no takkyûbin</v>
      </c>
      <c r="J2693" s="5" t="str">
        <f>IFERROR(__xludf.DUMMYFUNCTION("""COMPUTED_VALUE"""),"Kappei Yamaguchi")</f>
        <v>Kappei Yamaguchi</v>
      </c>
      <c r="K2693" s="5" t="str">
        <f>IFERROR(__xludf.DUMMYFUNCTION("""COMPUTED_VALUE"""),"Estrela 4")</f>
        <v>Estrela 4</v>
      </c>
      <c r="P2693" s="5">
        <f>IFERROR(__xludf.DUMMYFUNCTION("""COMPUTED_VALUE"""),673.0)</f>
        <v>673</v>
      </c>
      <c r="Q2693" s="5" t="str">
        <f>IFERROR(__xludf.DUMMYFUNCTION("""COMPUTED_VALUE"""),"Majo no takkyûbin")</f>
        <v>Majo no takkyûbin</v>
      </c>
      <c r="R2693" s="5" t="str">
        <f>IFERROR(__xludf.DUMMYFUNCTION("""COMPUTED_VALUE"""),"Kappei Yamaguchi")</f>
        <v>Kappei Yamaguchi</v>
      </c>
      <c r="S2693" s="5" t="str">
        <f>IFERROR(__xludf.DUMMYFUNCTION("""COMPUTED_VALUE"""),"Estrela 4")</f>
        <v>Estrela 4</v>
      </c>
    </row>
    <row r="2694">
      <c r="G2694" s="5" t="str">
        <f>IFERROR(__xludf.DUMMYFUNCTION("""COMPUTED_VALUE"""),"674🤙🏼Glory🤙🏼Matthew Broderick🤙🏼Estrela 1")</f>
        <v>674🤙🏼Glory🤙🏼Matthew Broderick🤙🏼Estrela 1</v>
      </c>
      <c r="H2694" s="5">
        <f>IFERROR(__xludf.DUMMYFUNCTION("SPLiT(G2694, ""🤙🏼"",FALSE,FALSE)"),674.0)</f>
        <v>674</v>
      </c>
      <c r="I2694" s="5" t="str">
        <f>IFERROR(__xludf.DUMMYFUNCTION("""COMPUTED_VALUE"""),"Glory")</f>
        <v>Glory</v>
      </c>
      <c r="J2694" s="5" t="str">
        <f>IFERROR(__xludf.DUMMYFUNCTION("""COMPUTED_VALUE"""),"Matthew Broderick")</f>
        <v>Matthew Broderick</v>
      </c>
      <c r="K2694" s="5" t="str">
        <f>IFERROR(__xludf.DUMMYFUNCTION("""COMPUTED_VALUE"""),"Estrela 1")</f>
        <v>Estrela 1</v>
      </c>
      <c r="P2694" s="5">
        <f>IFERROR(__xludf.DUMMYFUNCTION("""COMPUTED_VALUE"""),674.0)</f>
        <v>674</v>
      </c>
      <c r="Q2694" s="5" t="str">
        <f>IFERROR(__xludf.DUMMYFUNCTION("""COMPUTED_VALUE"""),"Glory")</f>
        <v>Glory</v>
      </c>
      <c r="R2694" s="5" t="str">
        <f>IFERROR(__xludf.DUMMYFUNCTION("""COMPUTED_VALUE"""),"Matthew Broderick")</f>
        <v>Matthew Broderick</v>
      </c>
      <c r="S2694" s="5" t="str">
        <f>IFERROR(__xludf.DUMMYFUNCTION("""COMPUTED_VALUE"""),"Estrela 1")</f>
        <v>Estrela 1</v>
      </c>
    </row>
    <row r="2695">
      <c r="G2695" s="5" t="str">
        <f>IFERROR(__xludf.DUMMYFUNCTION("""COMPUTED_VALUE"""),"674🤙🏼Glory🤙🏼Denzel Washington🤙🏼Estrela 2")</f>
        <v>674🤙🏼Glory🤙🏼Denzel Washington🤙🏼Estrela 2</v>
      </c>
      <c r="H2695" s="5">
        <f>IFERROR(__xludf.DUMMYFUNCTION("SPLiT(G2695, ""🤙🏼"",FALSE,FALSE)"),674.0)</f>
        <v>674</v>
      </c>
      <c r="I2695" s="5" t="str">
        <f>IFERROR(__xludf.DUMMYFUNCTION("""COMPUTED_VALUE"""),"Glory")</f>
        <v>Glory</v>
      </c>
      <c r="J2695" s="5" t="str">
        <f>IFERROR(__xludf.DUMMYFUNCTION("""COMPUTED_VALUE"""),"Denzel Washington")</f>
        <v>Denzel Washington</v>
      </c>
      <c r="K2695" s="5" t="str">
        <f>IFERROR(__xludf.DUMMYFUNCTION("""COMPUTED_VALUE"""),"Estrela 2")</f>
        <v>Estrela 2</v>
      </c>
      <c r="P2695" s="5">
        <f>IFERROR(__xludf.DUMMYFUNCTION("""COMPUTED_VALUE"""),674.0)</f>
        <v>674</v>
      </c>
      <c r="Q2695" s="5" t="str">
        <f>IFERROR(__xludf.DUMMYFUNCTION("""COMPUTED_VALUE"""),"Glory")</f>
        <v>Glory</v>
      </c>
      <c r="R2695" s="5" t="str">
        <f>IFERROR(__xludf.DUMMYFUNCTION("""COMPUTED_VALUE"""),"Denzel Washington")</f>
        <v>Denzel Washington</v>
      </c>
      <c r="S2695" s="5" t="str">
        <f>IFERROR(__xludf.DUMMYFUNCTION("""COMPUTED_VALUE"""),"Estrela 2")</f>
        <v>Estrela 2</v>
      </c>
    </row>
    <row r="2696">
      <c r="G2696" s="5" t="str">
        <f>IFERROR(__xludf.DUMMYFUNCTION("""COMPUTED_VALUE"""),"674🤙🏼Glory🤙🏼Cary Elwes🤙🏼Estrela 3")</f>
        <v>674🤙🏼Glory🤙🏼Cary Elwes🤙🏼Estrela 3</v>
      </c>
      <c r="H2696" s="5">
        <f>IFERROR(__xludf.DUMMYFUNCTION("SPLiT(G2696, ""🤙🏼"",FALSE,FALSE)"),674.0)</f>
        <v>674</v>
      </c>
      <c r="I2696" s="5" t="str">
        <f>IFERROR(__xludf.DUMMYFUNCTION("""COMPUTED_VALUE"""),"Glory")</f>
        <v>Glory</v>
      </c>
      <c r="J2696" s="5" t="str">
        <f>IFERROR(__xludf.DUMMYFUNCTION("""COMPUTED_VALUE"""),"Cary Elwes")</f>
        <v>Cary Elwes</v>
      </c>
      <c r="K2696" s="5" t="str">
        <f>IFERROR(__xludf.DUMMYFUNCTION("""COMPUTED_VALUE"""),"Estrela 3")</f>
        <v>Estrela 3</v>
      </c>
      <c r="P2696" s="5">
        <f>IFERROR(__xludf.DUMMYFUNCTION("""COMPUTED_VALUE"""),674.0)</f>
        <v>674</v>
      </c>
      <c r="Q2696" s="5" t="str">
        <f>IFERROR(__xludf.DUMMYFUNCTION("""COMPUTED_VALUE"""),"Glory")</f>
        <v>Glory</v>
      </c>
      <c r="R2696" s="5" t="str">
        <f>IFERROR(__xludf.DUMMYFUNCTION("""COMPUTED_VALUE"""),"Cary Elwes")</f>
        <v>Cary Elwes</v>
      </c>
      <c r="S2696" s="5" t="str">
        <f>IFERROR(__xludf.DUMMYFUNCTION("""COMPUTED_VALUE"""),"Estrela 3")</f>
        <v>Estrela 3</v>
      </c>
    </row>
    <row r="2697">
      <c r="G2697" s="5" t="str">
        <f>IFERROR(__xludf.DUMMYFUNCTION("""COMPUTED_VALUE"""),"674🤙🏼Glory🤙🏼Morgan Freeman🤙🏼Estrela 4")</f>
        <v>674🤙🏼Glory🤙🏼Morgan Freeman🤙🏼Estrela 4</v>
      </c>
      <c r="H2697" s="5">
        <f>IFERROR(__xludf.DUMMYFUNCTION("SPLiT(G2697, ""🤙🏼"",FALSE,FALSE)"),674.0)</f>
        <v>674</v>
      </c>
      <c r="I2697" s="5" t="str">
        <f>IFERROR(__xludf.DUMMYFUNCTION("""COMPUTED_VALUE"""),"Glory")</f>
        <v>Glory</v>
      </c>
      <c r="J2697" s="5" t="str">
        <f>IFERROR(__xludf.DUMMYFUNCTION("""COMPUTED_VALUE"""),"Morgan Freeman")</f>
        <v>Morgan Freeman</v>
      </c>
      <c r="K2697" s="5" t="str">
        <f>IFERROR(__xludf.DUMMYFUNCTION("""COMPUTED_VALUE"""),"Estrela 4")</f>
        <v>Estrela 4</v>
      </c>
      <c r="P2697" s="5">
        <f>IFERROR(__xludf.DUMMYFUNCTION("""COMPUTED_VALUE"""),674.0)</f>
        <v>674</v>
      </c>
      <c r="Q2697" s="5" t="str">
        <f>IFERROR(__xludf.DUMMYFUNCTION("""COMPUTED_VALUE"""),"Glory")</f>
        <v>Glory</v>
      </c>
      <c r="R2697" s="5" t="str">
        <f>IFERROR(__xludf.DUMMYFUNCTION("""COMPUTED_VALUE"""),"Morgan Freeman")</f>
        <v>Morgan Freeman</v>
      </c>
      <c r="S2697" s="5" t="str">
        <f>IFERROR(__xludf.DUMMYFUNCTION("""COMPUTED_VALUE"""),"Estrela 4")</f>
        <v>Estrela 4</v>
      </c>
    </row>
    <row r="2698">
      <c r="G2698" s="5" t="str">
        <f>IFERROR(__xludf.DUMMYFUNCTION("""COMPUTED_VALUE"""),"675🤙🏼Dip huet seung hung🤙🏼Yun-Fat Chow🤙🏼Estrela 1")</f>
        <v>675🤙🏼Dip huet seung hung🤙🏼Yun-Fat Chow🤙🏼Estrela 1</v>
      </c>
      <c r="H2698" s="5">
        <f>IFERROR(__xludf.DUMMYFUNCTION("SPLiT(G2698, ""🤙🏼"",FALSE,FALSE)"),675.0)</f>
        <v>675</v>
      </c>
      <c r="I2698" s="5" t="str">
        <f>IFERROR(__xludf.DUMMYFUNCTION("""COMPUTED_VALUE"""),"Dip huet seung hung")</f>
        <v>Dip huet seung hung</v>
      </c>
      <c r="J2698" s="5" t="str">
        <f>IFERROR(__xludf.DUMMYFUNCTION("""COMPUTED_VALUE"""),"Yun-Fat Chow")</f>
        <v>Yun-Fat Chow</v>
      </c>
      <c r="K2698" s="5" t="str">
        <f>IFERROR(__xludf.DUMMYFUNCTION("""COMPUTED_VALUE"""),"Estrela 1")</f>
        <v>Estrela 1</v>
      </c>
      <c r="P2698" s="5">
        <f>IFERROR(__xludf.DUMMYFUNCTION("""COMPUTED_VALUE"""),675.0)</f>
        <v>675</v>
      </c>
      <c r="Q2698" s="5" t="str">
        <f>IFERROR(__xludf.DUMMYFUNCTION("""COMPUTED_VALUE"""),"Dip huet seung hung")</f>
        <v>Dip huet seung hung</v>
      </c>
      <c r="R2698" s="5" t="str">
        <f>IFERROR(__xludf.DUMMYFUNCTION("""COMPUTED_VALUE"""),"Yun-Fat Chow")</f>
        <v>Yun-Fat Chow</v>
      </c>
      <c r="S2698" s="5" t="str">
        <f>IFERROR(__xludf.DUMMYFUNCTION("""COMPUTED_VALUE"""),"Estrela 1")</f>
        <v>Estrela 1</v>
      </c>
    </row>
    <row r="2699">
      <c r="G2699" s="5" t="str">
        <f>IFERROR(__xludf.DUMMYFUNCTION("""COMPUTED_VALUE"""),"675🤙🏼Dip huet seung hung🤙🏼Danny Lee🤙🏼Estrela 2")</f>
        <v>675🤙🏼Dip huet seung hung🤙🏼Danny Lee🤙🏼Estrela 2</v>
      </c>
      <c r="H2699" s="5">
        <f>IFERROR(__xludf.DUMMYFUNCTION("SPLiT(G2699, ""🤙🏼"",FALSE,FALSE)"),675.0)</f>
        <v>675</v>
      </c>
      <c r="I2699" s="5" t="str">
        <f>IFERROR(__xludf.DUMMYFUNCTION("""COMPUTED_VALUE"""),"Dip huet seung hung")</f>
        <v>Dip huet seung hung</v>
      </c>
      <c r="J2699" s="5" t="str">
        <f>IFERROR(__xludf.DUMMYFUNCTION("""COMPUTED_VALUE"""),"Danny Lee")</f>
        <v>Danny Lee</v>
      </c>
      <c r="K2699" s="5" t="str">
        <f>IFERROR(__xludf.DUMMYFUNCTION("""COMPUTED_VALUE"""),"Estrela 2")</f>
        <v>Estrela 2</v>
      </c>
      <c r="P2699" s="5">
        <f>IFERROR(__xludf.DUMMYFUNCTION("""COMPUTED_VALUE"""),675.0)</f>
        <v>675</v>
      </c>
      <c r="Q2699" s="5" t="str">
        <f>IFERROR(__xludf.DUMMYFUNCTION("""COMPUTED_VALUE"""),"Dip huet seung hung")</f>
        <v>Dip huet seung hung</v>
      </c>
      <c r="R2699" s="5" t="str">
        <f>IFERROR(__xludf.DUMMYFUNCTION("""COMPUTED_VALUE"""),"Danny Lee")</f>
        <v>Danny Lee</v>
      </c>
      <c r="S2699" s="5" t="str">
        <f>IFERROR(__xludf.DUMMYFUNCTION("""COMPUTED_VALUE"""),"Estrela 2")</f>
        <v>Estrela 2</v>
      </c>
    </row>
    <row r="2700">
      <c r="G2700" s="5" t="str">
        <f>IFERROR(__xludf.DUMMYFUNCTION("""COMPUTED_VALUE"""),"675🤙🏼Dip huet seung hung🤙🏼Sally Yeh🤙🏼Estrela 3")</f>
        <v>675🤙🏼Dip huet seung hung🤙🏼Sally Yeh🤙🏼Estrela 3</v>
      </c>
      <c r="H2700" s="5">
        <f>IFERROR(__xludf.DUMMYFUNCTION("SPLiT(G2700, ""🤙🏼"",FALSE,FALSE)"),675.0)</f>
        <v>675</v>
      </c>
      <c r="I2700" s="5" t="str">
        <f>IFERROR(__xludf.DUMMYFUNCTION("""COMPUTED_VALUE"""),"Dip huet seung hung")</f>
        <v>Dip huet seung hung</v>
      </c>
      <c r="J2700" s="5" t="str">
        <f>IFERROR(__xludf.DUMMYFUNCTION("""COMPUTED_VALUE"""),"Sally Yeh")</f>
        <v>Sally Yeh</v>
      </c>
      <c r="K2700" s="5" t="str">
        <f>IFERROR(__xludf.DUMMYFUNCTION("""COMPUTED_VALUE"""),"Estrela 3")</f>
        <v>Estrela 3</v>
      </c>
      <c r="P2700" s="5">
        <f>IFERROR(__xludf.DUMMYFUNCTION("""COMPUTED_VALUE"""),675.0)</f>
        <v>675</v>
      </c>
      <c r="Q2700" s="5" t="str">
        <f>IFERROR(__xludf.DUMMYFUNCTION("""COMPUTED_VALUE"""),"Dip huet seung hung")</f>
        <v>Dip huet seung hung</v>
      </c>
      <c r="R2700" s="5" t="str">
        <f>IFERROR(__xludf.DUMMYFUNCTION("""COMPUTED_VALUE"""),"Sally Yeh")</f>
        <v>Sally Yeh</v>
      </c>
      <c r="S2700" s="5" t="str">
        <f>IFERROR(__xludf.DUMMYFUNCTION("""COMPUTED_VALUE"""),"Estrela 3")</f>
        <v>Estrela 3</v>
      </c>
    </row>
    <row r="2701">
      <c r="G2701" s="5" t="str">
        <f>IFERROR(__xludf.DUMMYFUNCTION("""COMPUTED_VALUE"""),"675🤙🏼Dip huet seung hung🤙🏼Kong Chu🤙🏼Estrela 4")</f>
        <v>675🤙🏼Dip huet seung hung🤙🏼Kong Chu🤙🏼Estrela 4</v>
      </c>
      <c r="H2701" s="5">
        <f>IFERROR(__xludf.DUMMYFUNCTION("SPLiT(G2701, ""🤙🏼"",FALSE,FALSE)"),675.0)</f>
        <v>675</v>
      </c>
      <c r="I2701" s="5" t="str">
        <f>IFERROR(__xludf.DUMMYFUNCTION("""COMPUTED_VALUE"""),"Dip huet seung hung")</f>
        <v>Dip huet seung hung</v>
      </c>
      <c r="J2701" s="5" t="str">
        <f>IFERROR(__xludf.DUMMYFUNCTION("""COMPUTED_VALUE"""),"Kong Chu")</f>
        <v>Kong Chu</v>
      </c>
      <c r="K2701" s="5" t="str">
        <f>IFERROR(__xludf.DUMMYFUNCTION("""COMPUTED_VALUE"""),"Estrela 4")</f>
        <v>Estrela 4</v>
      </c>
      <c r="P2701" s="5">
        <f>IFERROR(__xludf.DUMMYFUNCTION("""COMPUTED_VALUE"""),675.0)</f>
        <v>675</v>
      </c>
      <c r="Q2701" s="5" t="str">
        <f>IFERROR(__xludf.DUMMYFUNCTION("""COMPUTED_VALUE"""),"Dip huet seung hung")</f>
        <v>Dip huet seung hung</v>
      </c>
      <c r="R2701" s="5" t="str">
        <f>IFERROR(__xludf.DUMMYFUNCTION("""COMPUTED_VALUE"""),"Kong Chu")</f>
        <v>Kong Chu</v>
      </c>
      <c r="S2701" s="5" t="str">
        <f>IFERROR(__xludf.DUMMYFUNCTION("""COMPUTED_VALUE"""),"Estrela 4")</f>
        <v>Estrela 4</v>
      </c>
    </row>
    <row r="2702">
      <c r="G2702" s="5" t="str">
        <f>IFERROR(__xludf.DUMMYFUNCTION("""COMPUTED_VALUE"""),"676🤙🏼Back to the Future Part II🤙🏼Michael J. Fox🤙🏼Estrela 1")</f>
        <v>676🤙🏼Back to the Future Part II🤙🏼Michael J. Fox🤙🏼Estrela 1</v>
      </c>
      <c r="H2702" s="5">
        <f>IFERROR(__xludf.DUMMYFUNCTION("SPLiT(G2702, ""🤙🏼"",FALSE,FALSE)"),676.0)</f>
        <v>676</v>
      </c>
      <c r="I2702" s="5" t="str">
        <f>IFERROR(__xludf.DUMMYFUNCTION("""COMPUTED_VALUE"""),"Back to the Future Part II")</f>
        <v>Back to the Future Part II</v>
      </c>
      <c r="J2702" s="5" t="str">
        <f>IFERROR(__xludf.DUMMYFUNCTION("""COMPUTED_VALUE"""),"Michael J. Fox")</f>
        <v>Michael J. Fox</v>
      </c>
      <c r="K2702" s="5" t="str">
        <f>IFERROR(__xludf.DUMMYFUNCTION("""COMPUTED_VALUE"""),"Estrela 1")</f>
        <v>Estrela 1</v>
      </c>
      <c r="P2702" s="5">
        <f>IFERROR(__xludf.DUMMYFUNCTION("""COMPUTED_VALUE"""),676.0)</f>
        <v>676</v>
      </c>
      <c r="Q2702" s="5" t="str">
        <f>IFERROR(__xludf.DUMMYFUNCTION("""COMPUTED_VALUE"""),"Back to the Future Part II")</f>
        <v>Back to the Future Part II</v>
      </c>
      <c r="R2702" s="5" t="str">
        <f>IFERROR(__xludf.DUMMYFUNCTION("""COMPUTED_VALUE"""),"Michael J. Fox")</f>
        <v>Michael J. Fox</v>
      </c>
      <c r="S2702" s="5" t="str">
        <f>IFERROR(__xludf.DUMMYFUNCTION("""COMPUTED_VALUE"""),"Estrela 1")</f>
        <v>Estrela 1</v>
      </c>
    </row>
    <row r="2703">
      <c r="G2703" s="5" t="str">
        <f>IFERROR(__xludf.DUMMYFUNCTION("""COMPUTED_VALUE"""),"676🤙🏼Back to the Future Part II🤙🏼Christopher Lloyd🤙🏼Estrela 2")</f>
        <v>676🤙🏼Back to the Future Part II🤙🏼Christopher Lloyd🤙🏼Estrela 2</v>
      </c>
      <c r="H2703" s="5">
        <f>IFERROR(__xludf.DUMMYFUNCTION("SPLiT(G2703, ""🤙🏼"",FALSE,FALSE)"),676.0)</f>
        <v>676</v>
      </c>
      <c r="I2703" s="5" t="str">
        <f>IFERROR(__xludf.DUMMYFUNCTION("""COMPUTED_VALUE"""),"Back to the Future Part II")</f>
        <v>Back to the Future Part II</v>
      </c>
      <c r="J2703" s="5" t="str">
        <f>IFERROR(__xludf.DUMMYFUNCTION("""COMPUTED_VALUE"""),"Christopher Lloyd")</f>
        <v>Christopher Lloyd</v>
      </c>
      <c r="K2703" s="5" t="str">
        <f>IFERROR(__xludf.DUMMYFUNCTION("""COMPUTED_VALUE"""),"Estrela 2")</f>
        <v>Estrela 2</v>
      </c>
      <c r="P2703" s="5">
        <f>IFERROR(__xludf.DUMMYFUNCTION("""COMPUTED_VALUE"""),676.0)</f>
        <v>676</v>
      </c>
      <c r="Q2703" s="5" t="str">
        <f>IFERROR(__xludf.DUMMYFUNCTION("""COMPUTED_VALUE"""),"Back to the Future Part II")</f>
        <v>Back to the Future Part II</v>
      </c>
      <c r="R2703" s="5" t="str">
        <f>IFERROR(__xludf.DUMMYFUNCTION("""COMPUTED_VALUE"""),"Christopher Lloyd")</f>
        <v>Christopher Lloyd</v>
      </c>
      <c r="S2703" s="5" t="str">
        <f>IFERROR(__xludf.DUMMYFUNCTION("""COMPUTED_VALUE"""),"Estrela 2")</f>
        <v>Estrela 2</v>
      </c>
    </row>
    <row r="2704">
      <c r="G2704" s="5" t="str">
        <f>IFERROR(__xludf.DUMMYFUNCTION("""COMPUTED_VALUE"""),"676🤙🏼Back to the Future Part II🤙🏼Lea Thompson🤙🏼Estrela 3")</f>
        <v>676🤙🏼Back to the Future Part II🤙🏼Lea Thompson🤙🏼Estrela 3</v>
      </c>
      <c r="H2704" s="5">
        <f>IFERROR(__xludf.DUMMYFUNCTION("SPLiT(G2704, ""🤙🏼"",FALSE,FALSE)"),676.0)</f>
        <v>676</v>
      </c>
      <c r="I2704" s="5" t="str">
        <f>IFERROR(__xludf.DUMMYFUNCTION("""COMPUTED_VALUE"""),"Back to the Future Part II")</f>
        <v>Back to the Future Part II</v>
      </c>
      <c r="J2704" s="5" t="str">
        <f>IFERROR(__xludf.DUMMYFUNCTION("""COMPUTED_VALUE"""),"Lea Thompson")</f>
        <v>Lea Thompson</v>
      </c>
      <c r="K2704" s="5" t="str">
        <f>IFERROR(__xludf.DUMMYFUNCTION("""COMPUTED_VALUE"""),"Estrela 3")</f>
        <v>Estrela 3</v>
      </c>
      <c r="P2704" s="5">
        <f>IFERROR(__xludf.DUMMYFUNCTION("""COMPUTED_VALUE"""),676.0)</f>
        <v>676</v>
      </c>
      <c r="Q2704" s="5" t="str">
        <f>IFERROR(__xludf.DUMMYFUNCTION("""COMPUTED_VALUE"""),"Back to the Future Part II")</f>
        <v>Back to the Future Part II</v>
      </c>
      <c r="R2704" s="5" t="str">
        <f>IFERROR(__xludf.DUMMYFUNCTION("""COMPUTED_VALUE"""),"Lea Thompson")</f>
        <v>Lea Thompson</v>
      </c>
      <c r="S2704" s="5" t="str">
        <f>IFERROR(__xludf.DUMMYFUNCTION("""COMPUTED_VALUE"""),"Estrela 3")</f>
        <v>Estrela 3</v>
      </c>
    </row>
    <row r="2705">
      <c r="G2705" s="5" t="str">
        <f>IFERROR(__xludf.DUMMYFUNCTION("""COMPUTED_VALUE"""),"676🤙🏼Back to the Future Part II🤙🏼Thomas F. Wilson🤙🏼Estrela 4")</f>
        <v>676🤙🏼Back to the Future Part II🤙🏼Thomas F. Wilson🤙🏼Estrela 4</v>
      </c>
      <c r="H2705" s="5">
        <f>IFERROR(__xludf.DUMMYFUNCTION("SPLiT(G2705, ""🤙🏼"",FALSE,FALSE)"),676.0)</f>
        <v>676</v>
      </c>
      <c r="I2705" s="5" t="str">
        <f>IFERROR(__xludf.DUMMYFUNCTION("""COMPUTED_VALUE"""),"Back to the Future Part II")</f>
        <v>Back to the Future Part II</v>
      </c>
      <c r="J2705" s="5" t="str">
        <f>IFERROR(__xludf.DUMMYFUNCTION("""COMPUTED_VALUE"""),"Thomas F. Wilson")</f>
        <v>Thomas F. Wilson</v>
      </c>
      <c r="K2705" s="5" t="str">
        <f>IFERROR(__xludf.DUMMYFUNCTION("""COMPUTED_VALUE"""),"Estrela 4")</f>
        <v>Estrela 4</v>
      </c>
      <c r="P2705" s="5">
        <f>IFERROR(__xludf.DUMMYFUNCTION("""COMPUTED_VALUE"""),676.0)</f>
        <v>676</v>
      </c>
      <c r="Q2705" s="5" t="str">
        <f>IFERROR(__xludf.DUMMYFUNCTION("""COMPUTED_VALUE"""),"Back to the Future Part II")</f>
        <v>Back to the Future Part II</v>
      </c>
      <c r="R2705" s="5" t="str">
        <f>IFERROR(__xludf.DUMMYFUNCTION("""COMPUTED_VALUE"""),"Thomas F. Wilson")</f>
        <v>Thomas F. Wilson</v>
      </c>
      <c r="S2705" s="5" t="str">
        <f>IFERROR(__xludf.DUMMYFUNCTION("""COMPUTED_VALUE"""),"Estrela 4")</f>
        <v>Estrela 4</v>
      </c>
    </row>
    <row r="2706">
      <c r="G2706" s="5" t="str">
        <f>IFERROR(__xludf.DUMMYFUNCTION("""COMPUTED_VALUE"""),"677🤙🏼Mississippi Burning🤙🏼Gene Hackman🤙🏼Estrela 1")</f>
        <v>677🤙🏼Mississippi Burning🤙🏼Gene Hackman🤙🏼Estrela 1</v>
      </c>
      <c r="H2706" s="5">
        <f>IFERROR(__xludf.DUMMYFUNCTION("SPLiT(G2706, ""🤙🏼"",FALSE,FALSE)"),677.0)</f>
        <v>677</v>
      </c>
      <c r="I2706" s="5" t="str">
        <f>IFERROR(__xludf.DUMMYFUNCTION("""COMPUTED_VALUE"""),"Mississippi Burning")</f>
        <v>Mississippi Burning</v>
      </c>
      <c r="J2706" s="5" t="str">
        <f>IFERROR(__xludf.DUMMYFUNCTION("""COMPUTED_VALUE"""),"Gene Hackman")</f>
        <v>Gene Hackman</v>
      </c>
      <c r="K2706" s="5" t="str">
        <f>IFERROR(__xludf.DUMMYFUNCTION("""COMPUTED_VALUE"""),"Estrela 1")</f>
        <v>Estrela 1</v>
      </c>
      <c r="P2706" s="5">
        <f>IFERROR(__xludf.DUMMYFUNCTION("""COMPUTED_VALUE"""),677.0)</f>
        <v>677</v>
      </c>
      <c r="Q2706" s="5" t="str">
        <f>IFERROR(__xludf.DUMMYFUNCTION("""COMPUTED_VALUE"""),"Mississippi Burning")</f>
        <v>Mississippi Burning</v>
      </c>
      <c r="R2706" s="5" t="str">
        <f>IFERROR(__xludf.DUMMYFUNCTION("""COMPUTED_VALUE"""),"Gene Hackman")</f>
        <v>Gene Hackman</v>
      </c>
      <c r="S2706" s="5" t="str">
        <f>IFERROR(__xludf.DUMMYFUNCTION("""COMPUTED_VALUE"""),"Estrela 1")</f>
        <v>Estrela 1</v>
      </c>
    </row>
    <row r="2707">
      <c r="G2707" s="5" t="str">
        <f>IFERROR(__xludf.DUMMYFUNCTION("""COMPUTED_VALUE"""),"677🤙🏼Mississippi Burning🤙🏼Willem Dafoe🤙🏼Estrela 2")</f>
        <v>677🤙🏼Mississippi Burning🤙🏼Willem Dafoe🤙🏼Estrela 2</v>
      </c>
      <c r="H2707" s="5">
        <f>IFERROR(__xludf.DUMMYFUNCTION("SPLiT(G2707, ""🤙🏼"",FALSE,FALSE)"),677.0)</f>
        <v>677</v>
      </c>
      <c r="I2707" s="5" t="str">
        <f>IFERROR(__xludf.DUMMYFUNCTION("""COMPUTED_VALUE"""),"Mississippi Burning")</f>
        <v>Mississippi Burning</v>
      </c>
      <c r="J2707" s="5" t="str">
        <f>IFERROR(__xludf.DUMMYFUNCTION("""COMPUTED_VALUE"""),"Willem Dafoe")</f>
        <v>Willem Dafoe</v>
      </c>
      <c r="K2707" s="5" t="str">
        <f>IFERROR(__xludf.DUMMYFUNCTION("""COMPUTED_VALUE"""),"Estrela 2")</f>
        <v>Estrela 2</v>
      </c>
      <c r="P2707" s="5">
        <f>IFERROR(__xludf.DUMMYFUNCTION("""COMPUTED_VALUE"""),677.0)</f>
        <v>677</v>
      </c>
      <c r="Q2707" s="5" t="str">
        <f>IFERROR(__xludf.DUMMYFUNCTION("""COMPUTED_VALUE"""),"Mississippi Burning")</f>
        <v>Mississippi Burning</v>
      </c>
      <c r="R2707" s="5" t="str">
        <f>IFERROR(__xludf.DUMMYFUNCTION("""COMPUTED_VALUE"""),"Willem Dafoe")</f>
        <v>Willem Dafoe</v>
      </c>
      <c r="S2707" s="5" t="str">
        <f>IFERROR(__xludf.DUMMYFUNCTION("""COMPUTED_VALUE"""),"Estrela 2")</f>
        <v>Estrela 2</v>
      </c>
    </row>
    <row r="2708">
      <c r="G2708" s="5" t="str">
        <f>IFERROR(__xludf.DUMMYFUNCTION("""COMPUTED_VALUE"""),"677🤙🏼Mississippi Burning🤙🏼Frances McDormand🤙🏼Estrela 3")</f>
        <v>677🤙🏼Mississippi Burning🤙🏼Frances McDormand🤙🏼Estrela 3</v>
      </c>
      <c r="H2708" s="5">
        <f>IFERROR(__xludf.DUMMYFUNCTION("SPLiT(G2708, ""🤙🏼"",FALSE,FALSE)"),677.0)</f>
        <v>677</v>
      </c>
      <c r="I2708" s="5" t="str">
        <f>IFERROR(__xludf.DUMMYFUNCTION("""COMPUTED_VALUE"""),"Mississippi Burning")</f>
        <v>Mississippi Burning</v>
      </c>
      <c r="J2708" s="5" t="str">
        <f>IFERROR(__xludf.DUMMYFUNCTION("""COMPUTED_VALUE"""),"Frances McDormand")</f>
        <v>Frances McDormand</v>
      </c>
      <c r="K2708" s="5" t="str">
        <f>IFERROR(__xludf.DUMMYFUNCTION("""COMPUTED_VALUE"""),"Estrela 3")</f>
        <v>Estrela 3</v>
      </c>
      <c r="P2708" s="5">
        <f>IFERROR(__xludf.DUMMYFUNCTION("""COMPUTED_VALUE"""),677.0)</f>
        <v>677</v>
      </c>
      <c r="Q2708" s="5" t="str">
        <f>IFERROR(__xludf.DUMMYFUNCTION("""COMPUTED_VALUE"""),"Mississippi Burning")</f>
        <v>Mississippi Burning</v>
      </c>
      <c r="R2708" s="5" t="str">
        <f>IFERROR(__xludf.DUMMYFUNCTION("""COMPUTED_VALUE"""),"Frances McDormand")</f>
        <v>Frances McDormand</v>
      </c>
      <c r="S2708" s="5" t="str">
        <f>IFERROR(__xludf.DUMMYFUNCTION("""COMPUTED_VALUE"""),"Estrela 3")</f>
        <v>Estrela 3</v>
      </c>
    </row>
    <row r="2709">
      <c r="G2709" s="5" t="str">
        <f>IFERROR(__xludf.DUMMYFUNCTION("""COMPUTED_VALUE"""),"677🤙🏼Mississippi Burning🤙🏼Brad Dourif🤙🏼Estrela 4")</f>
        <v>677🤙🏼Mississippi Burning🤙🏼Brad Dourif🤙🏼Estrela 4</v>
      </c>
      <c r="H2709" s="5">
        <f>IFERROR(__xludf.DUMMYFUNCTION("SPLiT(G2709, ""🤙🏼"",FALSE,FALSE)"),677.0)</f>
        <v>677</v>
      </c>
      <c r="I2709" s="5" t="str">
        <f>IFERROR(__xludf.DUMMYFUNCTION("""COMPUTED_VALUE"""),"Mississippi Burning")</f>
        <v>Mississippi Burning</v>
      </c>
      <c r="J2709" s="5" t="str">
        <f>IFERROR(__xludf.DUMMYFUNCTION("""COMPUTED_VALUE"""),"Brad Dourif")</f>
        <v>Brad Dourif</v>
      </c>
      <c r="K2709" s="5" t="str">
        <f>IFERROR(__xludf.DUMMYFUNCTION("""COMPUTED_VALUE"""),"Estrela 4")</f>
        <v>Estrela 4</v>
      </c>
      <c r="P2709" s="5">
        <f>IFERROR(__xludf.DUMMYFUNCTION("""COMPUTED_VALUE"""),677.0)</f>
        <v>677</v>
      </c>
      <c r="Q2709" s="5" t="str">
        <f>IFERROR(__xludf.DUMMYFUNCTION("""COMPUTED_VALUE"""),"Mississippi Burning")</f>
        <v>Mississippi Burning</v>
      </c>
      <c r="R2709" s="5" t="str">
        <f>IFERROR(__xludf.DUMMYFUNCTION("""COMPUTED_VALUE"""),"Brad Dourif")</f>
        <v>Brad Dourif</v>
      </c>
      <c r="S2709" s="5" t="str">
        <f>IFERROR(__xludf.DUMMYFUNCTION("""COMPUTED_VALUE"""),"Estrela 4")</f>
        <v>Estrela 4</v>
      </c>
    </row>
    <row r="2710">
      <c r="G2710" s="5" t="str">
        <f>IFERROR(__xludf.DUMMYFUNCTION("""COMPUTED_VALUE"""),"678🤙🏼Predator🤙🏼Arnold Schwarzenegger🤙🏼Estrela 1")</f>
        <v>678🤙🏼Predator🤙🏼Arnold Schwarzenegger🤙🏼Estrela 1</v>
      </c>
      <c r="H2710" s="5">
        <f>IFERROR(__xludf.DUMMYFUNCTION("SPLiT(G2710, ""🤙🏼"",FALSE,FALSE)"),678.0)</f>
        <v>678</v>
      </c>
      <c r="I2710" s="5" t="str">
        <f>IFERROR(__xludf.DUMMYFUNCTION("""COMPUTED_VALUE"""),"Predator")</f>
        <v>Predator</v>
      </c>
      <c r="J2710" s="5" t="str">
        <f>IFERROR(__xludf.DUMMYFUNCTION("""COMPUTED_VALUE"""),"Arnold Schwarzenegger")</f>
        <v>Arnold Schwarzenegger</v>
      </c>
      <c r="K2710" s="5" t="str">
        <f>IFERROR(__xludf.DUMMYFUNCTION("""COMPUTED_VALUE"""),"Estrela 1")</f>
        <v>Estrela 1</v>
      </c>
      <c r="P2710" s="5">
        <f>IFERROR(__xludf.DUMMYFUNCTION("""COMPUTED_VALUE"""),678.0)</f>
        <v>678</v>
      </c>
      <c r="Q2710" s="5" t="str">
        <f>IFERROR(__xludf.DUMMYFUNCTION("""COMPUTED_VALUE"""),"Predator")</f>
        <v>Predator</v>
      </c>
      <c r="R2710" s="5" t="str">
        <f>IFERROR(__xludf.DUMMYFUNCTION("""COMPUTED_VALUE"""),"Arnold Schwarzenegger")</f>
        <v>Arnold Schwarzenegger</v>
      </c>
      <c r="S2710" s="5" t="str">
        <f>IFERROR(__xludf.DUMMYFUNCTION("""COMPUTED_VALUE"""),"Estrela 1")</f>
        <v>Estrela 1</v>
      </c>
    </row>
    <row r="2711">
      <c r="G2711" s="5" t="str">
        <f>IFERROR(__xludf.DUMMYFUNCTION("""COMPUTED_VALUE"""),"678🤙🏼Predator🤙🏼Carl Weathers🤙🏼Estrela 2")</f>
        <v>678🤙🏼Predator🤙🏼Carl Weathers🤙🏼Estrela 2</v>
      </c>
      <c r="H2711" s="5">
        <f>IFERROR(__xludf.DUMMYFUNCTION("SPLiT(G2711, ""🤙🏼"",FALSE,FALSE)"),678.0)</f>
        <v>678</v>
      </c>
      <c r="I2711" s="5" t="str">
        <f>IFERROR(__xludf.DUMMYFUNCTION("""COMPUTED_VALUE"""),"Predator")</f>
        <v>Predator</v>
      </c>
      <c r="J2711" s="5" t="str">
        <f>IFERROR(__xludf.DUMMYFUNCTION("""COMPUTED_VALUE"""),"Carl Weathers")</f>
        <v>Carl Weathers</v>
      </c>
      <c r="K2711" s="5" t="str">
        <f>IFERROR(__xludf.DUMMYFUNCTION("""COMPUTED_VALUE"""),"Estrela 2")</f>
        <v>Estrela 2</v>
      </c>
      <c r="P2711" s="5">
        <f>IFERROR(__xludf.DUMMYFUNCTION("""COMPUTED_VALUE"""),678.0)</f>
        <v>678</v>
      </c>
      <c r="Q2711" s="5" t="str">
        <f>IFERROR(__xludf.DUMMYFUNCTION("""COMPUTED_VALUE"""),"Predator")</f>
        <v>Predator</v>
      </c>
      <c r="R2711" s="5" t="str">
        <f>IFERROR(__xludf.DUMMYFUNCTION("""COMPUTED_VALUE"""),"Carl Weathers")</f>
        <v>Carl Weathers</v>
      </c>
      <c r="S2711" s="5" t="str">
        <f>IFERROR(__xludf.DUMMYFUNCTION("""COMPUTED_VALUE"""),"Estrela 2")</f>
        <v>Estrela 2</v>
      </c>
    </row>
    <row r="2712">
      <c r="G2712" s="5" t="str">
        <f>IFERROR(__xludf.DUMMYFUNCTION("""COMPUTED_VALUE"""),"678🤙🏼Predator🤙🏼Kevin Peter Hall🤙🏼Estrela 3")</f>
        <v>678🤙🏼Predator🤙🏼Kevin Peter Hall🤙🏼Estrela 3</v>
      </c>
      <c r="H2712" s="5">
        <f>IFERROR(__xludf.DUMMYFUNCTION("SPLiT(G2712, ""🤙🏼"",FALSE,FALSE)"),678.0)</f>
        <v>678</v>
      </c>
      <c r="I2712" s="5" t="str">
        <f>IFERROR(__xludf.DUMMYFUNCTION("""COMPUTED_VALUE"""),"Predator")</f>
        <v>Predator</v>
      </c>
      <c r="J2712" s="5" t="str">
        <f>IFERROR(__xludf.DUMMYFUNCTION("""COMPUTED_VALUE"""),"Kevin Peter Hall")</f>
        <v>Kevin Peter Hall</v>
      </c>
      <c r="K2712" s="5" t="str">
        <f>IFERROR(__xludf.DUMMYFUNCTION("""COMPUTED_VALUE"""),"Estrela 3")</f>
        <v>Estrela 3</v>
      </c>
      <c r="P2712" s="5">
        <f>IFERROR(__xludf.DUMMYFUNCTION("""COMPUTED_VALUE"""),678.0)</f>
        <v>678</v>
      </c>
      <c r="Q2712" s="5" t="str">
        <f>IFERROR(__xludf.DUMMYFUNCTION("""COMPUTED_VALUE"""),"Predator")</f>
        <v>Predator</v>
      </c>
      <c r="R2712" s="5" t="str">
        <f>IFERROR(__xludf.DUMMYFUNCTION("""COMPUTED_VALUE"""),"Kevin Peter Hall")</f>
        <v>Kevin Peter Hall</v>
      </c>
      <c r="S2712" s="5" t="str">
        <f>IFERROR(__xludf.DUMMYFUNCTION("""COMPUTED_VALUE"""),"Estrela 3")</f>
        <v>Estrela 3</v>
      </c>
    </row>
    <row r="2713">
      <c r="G2713" s="5" t="str">
        <f>IFERROR(__xludf.DUMMYFUNCTION("""COMPUTED_VALUE"""),"678🤙🏼Predator🤙🏼Elpidia Carrillo🤙🏼Estrela 4")</f>
        <v>678🤙🏼Predator🤙🏼Elpidia Carrillo🤙🏼Estrela 4</v>
      </c>
      <c r="H2713" s="5">
        <f>IFERROR(__xludf.DUMMYFUNCTION("SPLiT(G2713, ""🤙🏼"",FALSE,FALSE)"),678.0)</f>
        <v>678</v>
      </c>
      <c r="I2713" s="5" t="str">
        <f>IFERROR(__xludf.DUMMYFUNCTION("""COMPUTED_VALUE"""),"Predator")</f>
        <v>Predator</v>
      </c>
      <c r="J2713" s="5" t="str">
        <f>IFERROR(__xludf.DUMMYFUNCTION("""COMPUTED_VALUE"""),"Elpidia Carrillo")</f>
        <v>Elpidia Carrillo</v>
      </c>
      <c r="K2713" s="5" t="str">
        <f>IFERROR(__xludf.DUMMYFUNCTION("""COMPUTED_VALUE"""),"Estrela 4")</f>
        <v>Estrela 4</v>
      </c>
      <c r="P2713" s="5">
        <f>IFERROR(__xludf.DUMMYFUNCTION("""COMPUTED_VALUE"""),678.0)</f>
        <v>678</v>
      </c>
      <c r="Q2713" s="5" t="str">
        <f>IFERROR(__xludf.DUMMYFUNCTION("""COMPUTED_VALUE"""),"Predator")</f>
        <v>Predator</v>
      </c>
      <c r="R2713" s="5" t="str">
        <f>IFERROR(__xludf.DUMMYFUNCTION("""COMPUTED_VALUE"""),"Elpidia Carrillo")</f>
        <v>Elpidia Carrillo</v>
      </c>
      <c r="S2713" s="5" t="str">
        <f>IFERROR(__xludf.DUMMYFUNCTION("""COMPUTED_VALUE"""),"Estrela 4")</f>
        <v>Estrela 4</v>
      </c>
    </row>
    <row r="2714">
      <c r="G2714" s="5" t="str">
        <f>IFERROR(__xludf.DUMMYFUNCTION("""COMPUTED_VALUE"""),"679🤙🏼Evil Dead II🤙🏼Bruce Campbell🤙🏼Estrela 1")</f>
        <v>679🤙🏼Evil Dead II🤙🏼Bruce Campbell🤙🏼Estrela 1</v>
      </c>
      <c r="H2714" s="5">
        <f>IFERROR(__xludf.DUMMYFUNCTION("SPLiT(G2714, ""🤙🏼"",FALSE,FALSE)"),679.0)</f>
        <v>679</v>
      </c>
      <c r="I2714" s="5" t="str">
        <f>IFERROR(__xludf.DUMMYFUNCTION("""COMPUTED_VALUE"""),"Evil Dead II")</f>
        <v>Evil Dead II</v>
      </c>
      <c r="J2714" s="5" t="str">
        <f>IFERROR(__xludf.DUMMYFUNCTION("""COMPUTED_VALUE"""),"Bruce Campbell")</f>
        <v>Bruce Campbell</v>
      </c>
      <c r="K2714" s="5" t="str">
        <f>IFERROR(__xludf.DUMMYFUNCTION("""COMPUTED_VALUE"""),"Estrela 1")</f>
        <v>Estrela 1</v>
      </c>
      <c r="P2714" s="5">
        <f>IFERROR(__xludf.DUMMYFUNCTION("""COMPUTED_VALUE"""),679.0)</f>
        <v>679</v>
      </c>
      <c r="Q2714" s="5" t="str">
        <f>IFERROR(__xludf.DUMMYFUNCTION("""COMPUTED_VALUE"""),"Evil Dead II")</f>
        <v>Evil Dead II</v>
      </c>
      <c r="R2714" s="5" t="str">
        <f>IFERROR(__xludf.DUMMYFUNCTION("""COMPUTED_VALUE"""),"Bruce Campbell")</f>
        <v>Bruce Campbell</v>
      </c>
      <c r="S2714" s="5" t="str">
        <f>IFERROR(__xludf.DUMMYFUNCTION("""COMPUTED_VALUE"""),"Estrela 1")</f>
        <v>Estrela 1</v>
      </c>
    </row>
    <row r="2715">
      <c r="G2715" s="5" t="str">
        <f>IFERROR(__xludf.DUMMYFUNCTION("""COMPUTED_VALUE"""),"679🤙🏼Evil Dead II🤙🏼Sarah Berry🤙🏼Estrela 2")</f>
        <v>679🤙🏼Evil Dead II🤙🏼Sarah Berry🤙🏼Estrela 2</v>
      </c>
      <c r="H2715" s="5">
        <f>IFERROR(__xludf.DUMMYFUNCTION("SPLiT(G2715, ""🤙🏼"",FALSE,FALSE)"),679.0)</f>
        <v>679</v>
      </c>
      <c r="I2715" s="5" t="str">
        <f>IFERROR(__xludf.DUMMYFUNCTION("""COMPUTED_VALUE"""),"Evil Dead II")</f>
        <v>Evil Dead II</v>
      </c>
      <c r="J2715" s="5" t="str">
        <f>IFERROR(__xludf.DUMMYFUNCTION("""COMPUTED_VALUE"""),"Sarah Berry")</f>
        <v>Sarah Berry</v>
      </c>
      <c r="K2715" s="5" t="str">
        <f>IFERROR(__xludf.DUMMYFUNCTION("""COMPUTED_VALUE"""),"Estrela 2")</f>
        <v>Estrela 2</v>
      </c>
      <c r="P2715" s="5">
        <f>IFERROR(__xludf.DUMMYFUNCTION("""COMPUTED_VALUE"""),679.0)</f>
        <v>679</v>
      </c>
      <c r="Q2715" s="5" t="str">
        <f>IFERROR(__xludf.DUMMYFUNCTION("""COMPUTED_VALUE"""),"Evil Dead II")</f>
        <v>Evil Dead II</v>
      </c>
      <c r="R2715" s="5" t="str">
        <f>IFERROR(__xludf.DUMMYFUNCTION("""COMPUTED_VALUE"""),"Sarah Berry")</f>
        <v>Sarah Berry</v>
      </c>
      <c r="S2715" s="5" t="str">
        <f>IFERROR(__xludf.DUMMYFUNCTION("""COMPUTED_VALUE"""),"Estrela 2")</f>
        <v>Estrela 2</v>
      </c>
    </row>
    <row r="2716">
      <c r="G2716" s="5" t="str">
        <f>IFERROR(__xludf.DUMMYFUNCTION("""COMPUTED_VALUE"""),"679🤙🏼Evil Dead II🤙🏼Dan Hicks🤙🏼Estrela 3")</f>
        <v>679🤙🏼Evil Dead II🤙🏼Dan Hicks🤙🏼Estrela 3</v>
      </c>
      <c r="H2716" s="5">
        <f>IFERROR(__xludf.DUMMYFUNCTION("SPLiT(G2716, ""🤙🏼"",FALSE,FALSE)"),679.0)</f>
        <v>679</v>
      </c>
      <c r="I2716" s="5" t="str">
        <f>IFERROR(__xludf.DUMMYFUNCTION("""COMPUTED_VALUE"""),"Evil Dead II")</f>
        <v>Evil Dead II</v>
      </c>
      <c r="J2716" s="5" t="str">
        <f>IFERROR(__xludf.DUMMYFUNCTION("""COMPUTED_VALUE"""),"Dan Hicks")</f>
        <v>Dan Hicks</v>
      </c>
      <c r="K2716" s="5" t="str">
        <f>IFERROR(__xludf.DUMMYFUNCTION("""COMPUTED_VALUE"""),"Estrela 3")</f>
        <v>Estrela 3</v>
      </c>
      <c r="P2716" s="5">
        <f>IFERROR(__xludf.DUMMYFUNCTION("""COMPUTED_VALUE"""),679.0)</f>
        <v>679</v>
      </c>
      <c r="Q2716" s="5" t="str">
        <f>IFERROR(__xludf.DUMMYFUNCTION("""COMPUTED_VALUE"""),"Evil Dead II")</f>
        <v>Evil Dead II</v>
      </c>
      <c r="R2716" s="5" t="str">
        <f>IFERROR(__xludf.DUMMYFUNCTION("""COMPUTED_VALUE"""),"Dan Hicks")</f>
        <v>Dan Hicks</v>
      </c>
      <c r="S2716" s="5" t="str">
        <f>IFERROR(__xludf.DUMMYFUNCTION("""COMPUTED_VALUE"""),"Estrela 3")</f>
        <v>Estrela 3</v>
      </c>
    </row>
    <row r="2717">
      <c r="G2717" s="5" t="str">
        <f>IFERROR(__xludf.DUMMYFUNCTION("""COMPUTED_VALUE"""),"679🤙🏼Evil Dead II🤙🏼Kassie Wesley DePaiva🤙🏼Estrela 4")</f>
        <v>679🤙🏼Evil Dead II🤙🏼Kassie Wesley DePaiva🤙🏼Estrela 4</v>
      </c>
      <c r="H2717" s="5">
        <f>IFERROR(__xludf.DUMMYFUNCTION("SPLiT(G2717, ""🤙🏼"",FALSE,FALSE)"),679.0)</f>
        <v>679</v>
      </c>
      <c r="I2717" s="5" t="str">
        <f>IFERROR(__xludf.DUMMYFUNCTION("""COMPUTED_VALUE"""),"Evil Dead II")</f>
        <v>Evil Dead II</v>
      </c>
      <c r="J2717" s="5" t="str">
        <f>IFERROR(__xludf.DUMMYFUNCTION("""COMPUTED_VALUE"""),"Kassie Wesley DePaiva")</f>
        <v>Kassie Wesley DePaiva</v>
      </c>
      <c r="K2717" s="5" t="str">
        <f>IFERROR(__xludf.DUMMYFUNCTION("""COMPUTED_VALUE"""),"Estrela 4")</f>
        <v>Estrela 4</v>
      </c>
      <c r="P2717" s="5">
        <f>IFERROR(__xludf.DUMMYFUNCTION("""COMPUTED_VALUE"""),679.0)</f>
        <v>679</v>
      </c>
      <c r="Q2717" s="5" t="str">
        <f>IFERROR(__xludf.DUMMYFUNCTION("""COMPUTED_VALUE"""),"Evil Dead II")</f>
        <v>Evil Dead II</v>
      </c>
      <c r="R2717" s="5" t="str">
        <f>IFERROR(__xludf.DUMMYFUNCTION("""COMPUTED_VALUE"""),"Kassie Wesley DePaiva")</f>
        <v>Kassie Wesley DePaiva</v>
      </c>
      <c r="S2717" s="5" t="str">
        <f>IFERROR(__xludf.DUMMYFUNCTION("""COMPUTED_VALUE"""),"Estrela 4")</f>
        <v>Estrela 4</v>
      </c>
    </row>
    <row r="2718">
      <c r="G2718" s="5" t="str">
        <f>IFERROR(__xludf.DUMMYFUNCTION("""COMPUTED_VALUE"""),"680🤙🏼Ferris Bueller's Day Off🤙🏼Matthew Broderick🤙🏼Estrela 1")</f>
        <v>680🤙🏼Ferris Bueller's Day Off🤙🏼Matthew Broderick🤙🏼Estrela 1</v>
      </c>
      <c r="H2718" s="5">
        <f>IFERROR(__xludf.DUMMYFUNCTION("SPLiT(G2718, ""🤙🏼"",FALSE,FALSE)"),680.0)</f>
        <v>680</v>
      </c>
      <c r="I2718" s="5" t="str">
        <f>IFERROR(__xludf.DUMMYFUNCTION("""COMPUTED_VALUE"""),"Ferris Bueller's Day Off")</f>
        <v>Ferris Bueller's Day Off</v>
      </c>
      <c r="J2718" s="5" t="str">
        <f>IFERROR(__xludf.DUMMYFUNCTION("""COMPUTED_VALUE"""),"Matthew Broderick")</f>
        <v>Matthew Broderick</v>
      </c>
      <c r="K2718" s="5" t="str">
        <f>IFERROR(__xludf.DUMMYFUNCTION("""COMPUTED_VALUE"""),"Estrela 1")</f>
        <v>Estrela 1</v>
      </c>
      <c r="P2718" s="5">
        <f>IFERROR(__xludf.DUMMYFUNCTION("""COMPUTED_VALUE"""),680.0)</f>
        <v>680</v>
      </c>
      <c r="Q2718" s="5" t="str">
        <f>IFERROR(__xludf.DUMMYFUNCTION("""COMPUTED_VALUE"""),"Ferris Bueller's Day Off")</f>
        <v>Ferris Bueller's Day Off</v>
      </c>
      <c r="R2718" s="5" t="str">
        <f>IFERROR(__xludf.DUMMYFUNCTION("""COMPUTED_VALUE"""),"Matthew Broderick")</f>
        <v>Matthew Broderick</v>
      </c>
      <c r="S2718" s="5" t="str">
        <f>IFERROR(__xludf.DUMMYFUNCTION("""COMPUTED_VALUE"""),"Estrela 1")</f>
        <v>Estrela 1</v>
      </c>
    </row>
    <row r="2719">
      <c r="G2719" s="5" t="str">
        <f>IFERROR(__xludf.DUMMYFUNCTION("""COMPUTED_VALUE"""),"680🤙🏼Ferris Bueller's Day Off🤙🏼Alan Ruck🤙🏼Estrela 2")</f>
        <v>680🤙🏼Ferris Bueller's Day Off🤙🏼Alan Ruck🤙🏼Estrela 2</v>
      </c>
      <c r="H2719" s="5">
        <f>IFERROR(__xludf.DUMMYFUNCTION("SPLiT(G2719, ""🤙🏼"",FALSE,FALSE)"),680.0)</f>
        <v>680</v>
      </c>
      <c r="I2719" s="5" t="str">
        <f>IFERROR(__xludf.DUMMYFUNCTION("""COMPUTED_VALUE"""),"Ferris Bueller's Day Off")</f>
        <v>Ferris Bueller's Day Off</v>
      </c>
      <c r="J2719" s="5" t="str">
        <f>IFERROR(__xludf.DUMMYFUNCTION("""COMPUTED_VALUE"""),"Alan Ruck")</f>
        <v>Alan Ruck</v>
      </c>
      <c r="K2719" s="5" t="str">
        <f>IFERROR(__xludf.DUMMYFUNCTION("""COMPUTED_VALUE"""),"Estrela 2")</f>
        <v>Estrela 2</v>
      </c>
      <c r="P2719" s="5">
        <f>IFERROR(__xludf.DUMMYFUNCTION("""COMPUTED_VALUE"""),680.0)</f>
        <v>680</v>
      </c>
      <c r="Q2719" s="5" t="str">
        <f>IFERROR(__xludf.DUMMYFUNCTION("""COMPUTED_VALUE"""),"Ferris Bueller's Day Off")</f>
        <v>Ferris Bueller's Day Off</v>
      </c>
      <c r="R2719" s="5" t="str">
        <f>IFERROR(__xludf.DUMMYFUNCTION("""COMPUTED_VALUE"""),"Alan Ruck")</f>
        <v>Alan Ruck</v>
      </c>
      <c r="S2719" s="5" t="str">
        <f>IFERROR(__xludf.DUMMYFUNCTION("""COMPUTED_VALUE"""),"Estrela 2")</f>
        <v>Estrela 2</v>
      </c>
    </row>
    <row r="2720">
      <c r="G2720" s="5" t="str">
        <f>IFERROR(__xludf.DUMMYFUNCTION("""COMPUTED_VALUE"""),"680🤙🏼Ferris Bueller's Day Off🤙🏼Mia Sara🤙🏼Estrela 3")</f>
        <v>680🤙🏼Ferris Bueller's Day Off🤙🏼Mia Sara🤙🏼Estrela 3</v>
      </c>
      <c r="H2720" s="5">
        <f>IFERROR(__xludf.DUMMYFUNCTION("SPLiT(G2720, ""🤙🏼"",FALSE,FALSE)"),680.0)</f>
        <v>680</v>
      </c>
      <c r="I2720" s="5" t="str">
        <f>IFERROR(__xludf.DUMMYFUNCTION("""COMPUTED_VALUE"""),"Ferris Bueller's Day Off")</f>
        <v>Ferris Bueller's Day Off</v>
      </c>
      <c r="J2720" s="5" t="str">
        <f>IFERROR(__xludf.DUMMYFUNCTION("""COMPUTED_VALUE"""),"Mia Sara")</f>
        <v>Mia Sara</v>
      </c>
      <c r="K2720" s="5" t="str">
        <f>IFERROR(__xludf.DUMMYFUNCTION("""COMPUTED_VALUE"""),"Estrela 3")</f>
        <v>Estrela 3</v>
      </c>
      <c r="P2720" s="5">
        <f>IFERROR(__xludf.DUMMYFUNCTION("""COMPUTED_VALUE"""),680.0)</f>
        <v>680</v>
      </c>
      <c r="Q2720" s="5" t="str">
        <f>IFERROR(__xludf.DUMMYFUNCTION("""COMPUTED_VALUE"""),"Ferris Bueller's Day Off")</f>
        <v>Ferris Bueller's Day Off</v>
      </c>
      <c r="R2720" s="5" t="str">
        <f>IFERROR(__xludf.DUMMYFUNCTION("""COMPUTED_VALUE"""),"Mia Sara")</f>
        <v>Mia Sara</v>
      </c>
      <c r="S2720" s="5" t="str">
        <f>IFERROR(__xludf.DUMMYFUNCTION("""COMPUTED_VALUE"""),"Estrela 3")</f>
        <v>Estrela 3</v>
      </c>
    </row>
    <row r="2721">
      <c r="G2721" s="5" t="str">
        <f>IFERROR(__xludf.DUMMYFUNCTION("""COMPUTED_VALUE"""),"680🤙🏼Ferris Bueller's Day Off🤙🏼Jeffrey Jones🤙🏼Estrela 4")</f>
        <v>680🤙🏼Ferris Bueller's Day Off🤙🏼Jeffrey Jones🤙🏼Estrela 4</v>
      </c>
      <c r="H2721" s="5">
        <f>IFERROR(__xludf.DUMMYFUNCTION("SPLiT(G2721, ""🤙🏼"",FALSE,FALSE)"),680.0)</f>
        <v>680</v>
      </c>
      <c r="I2721" s="5" t="str">
        <f>IFERROR(__xludf.DUMMYFUNCTION("""COMPUTED_VALUE"""),"Ferris Bueller's Day Off")</f>
        <v>Ferris Bueller's Day Off</v>
      </c>
      <c r="J2721" s="5" t="str">
        <f>IFERROR(__xludf.DUMMYFUNCTION("""COMPUTED_VALUE"""),"Jeffrey Jones")</f>
        <v>Jeffrey Jones</v>
      </c>
      <c r="K2721" s="5" t="str">
        <f>IFERROR(__xludf.DUMMYFUNCTION("""COMPUTED_VALUE"""),"Estrela 4")</f>
        <v>Estrela 4</v>
      </c>
      <c r="P2721" s="5">
        <f>IFERROR(__xludf.DUMMYFUNCTION("""COMPUTED_VALUE"""),680.0)</f>
        <v>680</v>
      </c>
      <c r="Q2721" s="5" t="str">
        <f>IFERROR(__xludf.DUMMYFUNCTION("""COMPUTED_VALUE"""),"Ferris Bueller's Day Off")</f>
        <v>Ferris Bueller's Day Off</v>
      </c>
      <c r="R2721" s="5" t="str">
        <f>IFERROR(__xludf.DUMMYFUNCTION("""COMPUTED_VALUE"""),"Jeffrey Jones")</f>
        <v>Jeffrey Jones</v>
      </c>
      <c r="S2721" s="5" t="str">
        <f>IFERROR(__xludf.DUMMYFUNCTION("""COMPUTED_VALUE"""),"Estrela 4")</f>
        <v>Estrela 4</v>
      </c>
    </row>
    <row r="2722">
      <c r="G2722" s="5" t="str">
        <f>IFERROR(__xludf.DUMMYFUNCTION("""COMPUTED_VALUE"""),"681🤙🏼Down by Law🤙🏼Tom Waits🤙🏼Estrela 1")</f>
        <v>681🤙🏼Down by Law🤙🏼Tom Waits🤙🏼Estrela 1</v>
      </c>
      <c r="H2722" s="5">
        <f>IFERROR(__xludf.DUMMYFUNCTION("SPLiT(G2722, ""🤙🏼"",FALSE,FALSE)"),681.0)</f>
        <v>681</v>
      </c>
      <c r="I2722" s="5" t="str">
        <f>IFERROR(__xludf.DUMMYFUNCTION("""COMPUTED_VALUE"""),"Down by Law")</f>
        <v>Down by Law</v>
      </c>
      <c r="J2722" s="5" t="str">
        <f>IFERROR(__xludf.DUMMYFUNCTION("""COMPUTED_VALUE"""),"Tom Waits")</f>
        <v>Tom Waits</v>
      </c>
      <c r="K2722" s="5" t="str">
        <f>IFERROR(__xludf.DUMMYFUNCTION("""COMPUTED_VALUE"""),"Estrela 1")</f>
        <v>Estrela 1</v>
      </c>
      <c r="P2722" s="5">
        <f>IFERROR(__xludf.DUMMYFUNCTION("""COMPUTED_VALUE"""),681.0)</f>
        <v>681</v>
      </c>
      <c r="Q2722" s="5" t="str">
        <f>IFERROR(__xludf.DUMMYFUNCTION("""COMPUTED_VALUE"""),"Down by Law")</f>
        <v>Down by Law</v>
      </c>
      <c r="R2722" s="5" t="str">
        <f>IFERROR(__xludf.DUMMYFUNCTION("""COMPUTED_VALUE"""),"Tom Waits")</f>
        <v>Tom Waits</v>
      </c>
      <c r="S2722" s="5" t="str">
        <f>IFERROR(__xludf.DUMMYFUNCTION("""COMPUTED_VALUE"""),"Estrela 1")</f>
        <v>Estrela 1</v>
      </c>
    </row>
    <row r="2723">
      <c r="G2723" s="5" t="str">
        <f>IFERROR(__xludf.DUMMYFUNCTION("""COMPUTED_VALUE"""),"681🤙🏼Down by Law🤙🏼John Lurie🤙🏼Estrela 2")</f>
        <v>681🤙🏼Down by Law🤙🏼John Lurie🤙🏼Estrela 2</v>
      </c>
      <c r="H2723" s="5">
        <f>IFERROR(__xludf.DUMMYFUNCTION("SPLiT(G2723, ""🤙🏼"",FALSE,FALSE)"),681.0)</f>
        <v>681</v>
      </c>
      <c r="I2723" s="5" t="str">
        <f>IFERROR(__xludf.DUMMYFUNCTION("""COMPUTED_VALUE"""),"Down by Law")</f>
        <v>Down by Law</v>
      </c>
      <c r="J2723" s="5" t="str">
        <f>IFERROR(__xludf.DUMMYFUNCTION("""COMPUTED_VALUE"""),"John Lurie")</f>
        <v>John Lurie</v>
      </c>
      <c r="K2723" s="5" t="str">
        <f>IFERROR(__xludf.DUMMYFUNCTION("""COMPUTED_VALUE"""),"Estrela 2")</f>
        <v>Estrela 2</v>
      </c>
      <c r="P2723" s="5">
        <f>IFERROR(__xludf.DUMMYFUNCTION("""COMPUTED_VALUE"""),681.0)</f>
        <v>681</v>
      </c>
      <c r="Q2723" s="5" t="str">
        <f>IFERROR(__xludf.DUMMYFUNCTION("""COMPUTED_VALUE"""),"Down by Law")</f>
        <v>Down by Law</v>
      </c>
      <c r="R2723" s="5" t="str">
        <f>IFERROR(__xludf.DUMMYFUNCTION("""COMPUTED_VALUE"""),"John Lurie")</f>
        <v>John Lurie</v>
      </c>
      <c r="S2723" s="5" t="str">
        <f>IFERROR(__xludf.DUMMYFUNCTION("""COMPUTED_VALUE"""),"Estrela 2")</f>
        <v>Estrela 2</v>
      </c>
    </row>
    <row r="2724">
      <c r="G2724" s="5" t="str">
        <f>IFERROR(__xludf.DUMMYFUNCTION("""COMPUTED_VALUE"""),"681🤙🏼Down by Law🤙🏼Roberto Benigni🤙🏼Estrela 3")</f>
        <v>681🤙🏼Down by Law🤙🏼Roberto Benigni🤙🏼Estrela 3</v>
      </c>
      <c r="H2724" s="5">
        <f>IFERROR(__xludf.DUMMYFUNCTION("SPLiT(G2724, ""🤙🏼"",FALSE,FALSE)"),681.0)</f>
        <v>681</v>
      </c>
      <c r="I2724" s="5" t="str">
        <f>IFERROR(__xludf.DUMMYFUNCTION("""COMPUTED_VALUE"""),"Down by Law")</f>
        <v>Down by Law</v>
      </c>
      <c r="J2724" s="5" t="str">
        <f>IFERROR(__xludf.DUMMYFUNCTION("""COMPUTED_VALUE"""),"Roberto Benigni")</f>
        <v>Roberto Benigni</v>
      </c>
      <c r="K2724" s="5" t="str">
        <f>IFERROR(__xludf.DUMMYFUNCTION("""COMPUTED_VALUE"""),"Estrela 3")</f>
        <v>Estrela 3</v>
      </c>
      <c r="P2724" s="5">
        <f>IFERROR(__xludf.DUMMYFUNCTION("""COMPUTED_VALUE"""),681.0)</f>
        <v>681</v>
      </c>
      <c r="Q2724" s="5" t="str">
        <f>IFERROR(__xludf.DUMMYFUNCTION("""COMPUTED_VALUE"""),"Down by Law")</f>
        <v>Down by Law</v>
      </c>
      <c r="R2724" s="5" t="str">
        <f>IFERROR(__xludf.DUMMYFUNCTION("""COMPUTED_VALUE"""),"Roberto Benigni")</f>
        <v>Roberto Benigni</v>
      </c>
      <c r="S2724" s="5" t="str">
        <f>IFERROR(__xludf.DUMMYFUNCTION("""COMPUTED_VALUE"""),"Estrela 3")</f>
        <v>Estrela 3</v>
      </c>
    </row>
    <row r="2725">
      <c r="G2725" s="5" t="str">
        <f>IFERROR(__xludf.DUMMYFUNCTION("""COMPUTED_VALUE"""),"681🤙🏼Down by Law🤙🏼Nicoletta Braschi🤙🏼Estrela 4")</f>
        <v>681🤙🏼Down by Law🤙🏼Nicoletta Braschi🤙🏼Estrela 4</v>
      </c>
      <c r="H2725" s="5">
        <f>IFERROR(__xludf.DUMMYFUNCTION("SPLiT(G2725, ""🤙🏼"",FALSE,FALSE)"),681.0)</f>
        <v>681</v>
      </c>
      <c r="I2725" s="5" t="str">
        <f>IFERROR(__xludf.DUMMYFUNCTION("""COMPUTED_VALUE"""),"Down by Law")</f>
        <v>Down by Law</v>
      </c>
      <c r="J2725" s="5" t="str">
        <f>IFERROR(__xludf.DUMMYFUNCTION("""COMPUTED_VALUE"""),"Nicoletta Braschi")</f>
        <v>Nicoletta Braschi</v>
      </c>
      <c r="K2725" s="5" t="str">
        <f>IFERROR(__xludf.DUMMYFUNCTION("""COMPUTED_VALUE"""),"Estrela 4")</f>
        <v>Estrela 4</v>
      </c>
      <c r="P2725" s="5">
        <f>IFERROR(__xludf.DUMMYFUNCTION("""COMPUTED_VALUE"""),681.0)</f>
        <v>681</v>
      </c>
      <c r="Q2725" s="5" t="str">
        <f>IFERROR(__xludf.DUMMYFUNCTION("""COMPUTED_VALUE"""),"Down by Law")</f>
        <v>Down by Law</v>
      </c>
      <c r="R2725" s="5" t="str">
        <f>IFERROR(__xludf.DUMMYFUNCTION("""COMPUTED_VALUE"""),"Nicoletta Braschi")</f>
        <v>Nicoletta Braschi</v>
      </c>
      <c r="S2725" s="5" t="str">
        <f>IFERROR(__xludf.DUMMYFUNCTION("""COMPUTED_VALUE"""),"Estrela 4")</f>
        <v>Estrela 4</v>
      </c>
    </row>
    <row r="2726">
      <c r="G2726" s="5" t="str">
        <f>IFERROR(__xludf.DUMMYFUNCTION("""COMPUTED_VALUE"""),"682🤙🏼The Goonies🤙🏼Sean Astin🤙🏼Estrela 1")</f>
        <v>682🤙🏼The Goonies🤙🏼Sean Astin🤙🏼Estrela 1</v>
      </c>
      <c r="H2726" s="5">
        <f>IFERROR(__xludf.DUMMYFUNCTION("SPLiT(G2726, ""🤙🏼"",FALSE,FALSE)"),682.0)</f>
        <v>682</v>
      </c>
      <c r="I2726" s="5" t="str">
        <f>IFERROR(__xludf.DUMMYFUNCTION("""COMPUTED_VALUE"""),"The Goonies")</f>
        <v>The Goonies</v>
      </c>
      <c r="J2726" s="5" t="str">
        <f>IFERROR(__xludf.DUMMYFUNCTION("""COMPUTED_VALUE"""),"Sean Astin")</f>
        <v>Sean Astin</v>
      </c>
      <c r="K2726" s="5" t="str">
        <f>IFERROR(__xludf.DUMMYFUNCTION("""COMPUTED_VALUE"""),"Estrela 1")</f>
        <v>Estrela 1</v>
      </c>
      <c r="P2726" s="5">
        <f>IFERROR(__xludf.DUMMYFUNCTION("""COMPUTED_VALUE"""),682.0)</f>
        <v>682</v>
      </c>
      <c r="Q2726" s="5" t="str">
        <f>IFERROR(__xludf.DUMMYFUNCTION("""COMPUTED_VALUE"""),"The Goonies")</f>
        <v>The Goonies</v>
      </c>
      <c r="R2726" s="5" t="str">
        <f>IFERROR(__xludf.DUMMYFUNCTION("""COMPUTED_VALUE"""),"Sean Astin")</f>
        <v>Sean Astin</v>
      </c>
      <c r="S2726" s="5" t="str">
        <f>IFERROR(__xludf.DUMMYFUNCTION("""COMPUTED_VALUE"""),"Estrela 1")</f>
        <v>Estrela 1</v>
      </c>
    </row>
    <row r="2727">
      <c r="G2727" s="5" t="str">
        <f>IFERROR(__xludf.DUMMYFUNCTION("""COMPUTED_VALUE"""),"682🤙🏼The Goonies🤙🏼Josh Brolin🤙🏼Estrela 2")</f>
        <v>682🤙🏼The Goonies🤙🏼Josh Brolin🤙🏼Estrela 2</v>
      </c>
      <c r="H2727" s="5">
        <f>IFERROR(__xludf.DUMMYFUNCTION("SPLiT(G2727, ""🤙🏼"",FALSE,FALSE)"),682.0)</f>
        <v>682</v>
      </c>
      <c r="I2727" s="5" t="str">
        <f>IFERROR(__xludf.DUMMYFUNCTION("""COMPUTED_VALUE"""),"The Goonies")</f>
        <v>The Goonies</v>
      </c>
      <c r="J2727" s="5" t="str">
        <f>IFERROR(__xludf.DUMMYFUNCTION("""COMPUTED_VALUE"""),"Josh Brolin")</f>
        <v>Josh Brolin</v>
      </c>
      <c r="K2727" s="5" t="str">
        <f>IFERROR(__xludf.DUMMYFUNCTION("""COMPUTED_VALUE"""),"Estrela 2")</f>
        <v>Estrela 2</v>
      </c>
      <c r="P2727" s="5">
        <f>IFERROR(__xludf.DUMMYFUNCTION("""COMPUTED_VALUE"""),682.0)</f>
        <v>682</v>
      </c>
      <c r="Q2727" s="5" t="str">
        <f>IFERROR(__xludf.DUMMYFUNCTION("""COMPUTED_VALUE"""),"The Goonies")</f>
        <v>The Goonies</v>
      </c>
      <c r="R2727" s="5" t="str">
        <f>IFERROR(__xludf.DUMMYFUNCTION("""COMPUTED_VALUE"""),"Josh Brolin")</f>
        <v>Josh Brolin</v>
      </c>
      <c r="S2727" s="5" t="str">
        <f>IFERROR(__xludf.DUMMYFUNCTION("""COMPUTED_VALUE"""),"Estrela 2")</f>
        <v>Estrela 2</v>
      </c>
    </row>
    <row r="2728">
      <c r="G2728" s="5" t="str">
        <f>IFERROR(__xludf.DUMMYFUNCTION("""COMPUTED_VALUE"""),"682🤙🏼The Goonies🤙🏼Jeff Cohen🤙🏼Estrela 3")</f>
        <v>682🤙🏼The Goonies🤙🏼Jeff Cohen🤙🏼Estrela 3</v>
      </c>
      <c r="H2728" s="5">
        <f>IFERROR(__xludf.DUMMYFUNCTION("SPLiT(G2728, ""🤙🏼"",FALSE,FALSE)"),682.0)</f>
        <v>682</v>
      </c>
      <c r="I2728" s="5" t="str">
        <f>IFERROR(__xludf.DUMMYFUNCTION("""COMPUTED_VALUE"""),"The Goonies")</f>
        <v>The Goonies</v>
      </c>
      <c r="J2728" s="5" t="str">
        <f>IFERROR(__xludf.DUMMYFUNCTION("""COMPUTED_VALUE"""),"Jeff Cohen")</f>
        <v>Jeff Cohen</v>
      </c>
      <c r="K2728" s="5" t="str">
        <f>IFERROR(__xludf.DUMMYFUNCTION("""COMPUTED_VALUE"""),"Estrela 3")</f>
        <v>Estrela 3</v>
      </c>
      <c r="P2728" s="5">
        <f>IFERROR(__xludf.DUMMYFUNCTION("""COMPUTED_VALUE"""),682.0)</f>
        <v>682</v>
      </c>
      <c r="Q2728" s="5" t="str">
        <f>IFERROR(__xludf.DUMMYFUNCTION("""COMPUTED_VALUE"""),"The Goonies")</f>
        <v>The Goonies</v>
      </c>
      <c r="R2728" s="5" t="str">
        <f>IFERROR(__xludf.DUMMYFUNCTION("""COMPUTED_VALUE"""),"Jeff Cohen")</f>
        <v>Jeff Cohen</v>
      </c>
      <c r="S2728" s="5" t="str">
        <f>IFERROR(__xludf.DUMMYFUNCTION("""COMPUTED_VALUE"""),"Estrela 3")</f>
        <v>Estrela 3</v>
      </c>
    </row>
    <row r="2729">
      <c r="G2729" s="5" t="str">
        <f>IFERROR(__xludf.DUMMYFUNCTION("""COMPUTED_VALUE"""),"682🤙🏼The Goonies🤙🏼Corey Feldman🤙🏼Estrela 4")</f>
        <v>682🤙🏼The Goonies🤙🏼Corey Feldman🤙🏼Estrela 4</v>
      </c>
      <c r="H2729" s="5">
        <f>IFERROR(__xludf.DUMMYFUNCTION("SPLiT(G2729, ""🤙🏼"",FALSE,FALSE)"),682.0)</f>
        <v>682</v>
      </c>
      <c r="I2729" s="5" t="str">
        <f>IFERROR(__xludf.DUMMYFUNCTION("""COMPUTED_VALUE"""),"The Goonies")</f>
        <v>The Goonies</v>
      </c>
      <c r="J2729" s="5" t="str">
        <f>IFERROR(__xludf.DUMMYFUNCTION("""COMPUTED_VALUE"""),"Corey Feldman")</f>
        <v>Corey Feldman</v>
      </c>
      <c r="K2729" s="5" t="str">
        <f>IFERROR(__xludf.DUMMYFUNCTION("""COMPUTED_VALUE"""),"Estrela 4")</f>
        <v>Estrela 4</v>
      </c>
      <c r="P2729" s="5">
        <f>IFERROR(__xludf.DUMMYFUNCTION("""COMPUTED_VALUE"""),682.0)</f>
        <v>682</v>
      </c>
      <c r="Q2729" s="5" t="str">
        <f>IFERROR(__xludf.DUMMYFUNCTION("""COMPUTED_VALUE"""),"The Goonies")</f>
        <v>The Goonies</v>
      </c>
      <c r="R2729" s="5" t="str">
        <f>IFERROR(__xludf.DUMMYFUNCTION("""COMPUTED_VALUE"""),"Corey Feldman")</f>
        <v>Corey Feldman</v>
      </c>
      <c r="S2729" s="5" t="str">
        <f>IFERROR(__xludf.DUMMYFUNCTION("""COMPUTED_VALUE"""),"Estrela 4")</f>
        <v>Estrela 4</v>
      </c>
    </row>
    <row r="2730">
      <c r="G2730" s="5" t="str">
        <f>IFERROR(__xludf.DUMMYFUNCTION("""COMPUTED_VALUE"""),"683🤙🏼The Color Purple🤙🏼Danny Glover🤙🏼Estrela 1")</f>
        <v>683🤙🏼The Color Purple🤙🏼Danny Glover🤙🏼Estrela 1</v>
      </c>
      <c r="H2730" s="5">
        <f>IFERROR(__xludf.DUMMYFUNCTION("SPLiT(G2730, ""🤙🏼"",FALSE,FALSE)"),683.0)</f>
        <v>683</v>
      </c>
      <c r="I2730" s="5" t="str">
        <f>IFERROR(__xludf.DUMMYFUNCTION("""COMPUTED_VALUE"""),"The Color Purple")</f>
        <v>The Color Purple</v>
      </c>
      <c r="J2730" s="5" t="str">
        <f>IFERROR(__xludf.DUMMYFUNCTION("""COMPUTED_VALUE"""),"Danny Glover")</f>
        <v>Danny Glover</v>
      </c>
      <c r="K2730" s="5" t="str">
        <f>IFERROR(__xludf.DUMMYFUNCTION("""COMPUTED_VALUE"""),"Estrela 1")</f>
        <v>Estrela 1</v>
      </c>
      <c r="P2730" s="5">
        <f>IFERROR(__xludf.DUMMYFUNCTION("""COMPUTED_VALUE"""),683.0)</f>
        <v>683</v>
      </c>
      <c r="Q2730" s="5" t="str">
        <f>IFERROR(__xludf.DUMMYFUNCTION("""COMPUTED_VALUE"""),"The Color Purple")</f>
        <v>The Color Purple</v>
      </c>
      <c r="R2730" s="5" t="str">
        <f>IFERROR(__xludf.DUMMYFUNCTION("""COMPUTED_VALUE"""),"Danny Glover")</f>
        <v>Danny Glover</v>
      </c>
      <c r="S2730" s="5" t="str">
        <f>IFERROR(__xludf.DUMMYFUNCTION("""COMPUTED_VALUE"""),"Estrela 1")</f>
        <v>Estrela 1</v>
      </c>
    </row>
    <row r="2731">
      <c r="G2731" s="5" t="str">
        <f>IFERROR(__xludf.DUMMYFUNCTION("""COMPUTED_VALUE"""),"683🤙🏼The Color Purple🤙🏼Whoopi Goldberg🤙🏼Estrela 2")</f>
        <v>683🤙🏼The Color Purple🤙🏼Whoopi Goldberg🤙🏼Estrela 2</v>
      </c>
      <c r="H2731" s="5">
        <f>IFERROR(__xludf.DUMMYFUNCTION("SPLiT(G2731, ""🤙🏼"",FALSE,FALSE)"),683.0)</f>
        <v>683</v>
      </c>
      <c r="I2731" s="5" t="str">
        <f>IFERROR(__xludf.DUMMYFUNCTION("""COMPUTED_VALUE"""),"The Color Purple")</f>
        <v>The Color Purple</v>
      </c>
      <c r="J2731" s="5" t="str">
        <f>IFERROR(__xludf.DUMMYFUNCTION("""COMPUTED_VALUE"""),"Whoopi Goldberg")</f>
        <v>Whoopi Goldberg</v>
      </c>
      <c r="K2731" s="5" t="str">
        <f>IFERROR(__xludf.DUMMYFUNCTION("""COMPUTED_VALUE"""),"Estrela 2")</f>
        <v>Estrela 2</v>
      </c>
      <c r="P2731" s="5">
        <f>IFERROR(__xludf.DUMMYFUNCTION("""COMPUTED_VALUE"""),683.0)</f>
        <v>683</v>
      </c>
      <c r="Q2731" s="5" t="str">
        <f>IFERROR(__xludf.DUMMYFUNCTION("""COMPUTED_VALUE"""),"The Color Purple")</f>
        <v>The Color Purple</v>
      </c>
      <c r="R2731" s="5" t="str">
        <f>IFERROR(__xludf.DUMMYFUNCTION("""COMPUTED_VALUE"""),"Whoopi Goldberg")</f>
        <v>Whoopi Goldberg</v>
      </c>
      <c r="S2731" s="5" t="str">
        <f>IFERROR(__xludf.DUMMYFUNCTION("""COMPUTED_VALUE"""),"Estrela 2")</f>
        <v>Estrela 2</v>
      </c>
    </row>
    <row r="2732">
      <c r="G2732" s="5" t="str">
        <f>IFERROR(__xludf.DUMMYFUNCTION("""COMPUTED_VALUE"""),"683🤙🏼The Color Purple🤙🏼Oprah Winfrey🤙🏼Estrela 3")</f>
        <v>683🤙🏼The Color Purple🤙🏼Oprah Winfrey🤙🏼Estrela 3</v>
      </c>
      <c r="H2732" s="5">
        <f>IFERROR(__xludf.DUMMYFUNCTION("SPLiT(G2732, ""🤙🏼"",FALSE,FALSE)"),683.0)</f>
        <v>683</v>
      </c>
      <c r="I2732" s="5" t="str">
        <f>IFERROR(__xludf.DUMMYFUNCTION("""COMPUTED_VALUE"""),"The Color Purple")</f>
        <v>The Color Purple</v>
      </c>
      <c r="J2732" s="5" t="str">
        <f>IFERROR(__xludf.DUMMYFUNCTION("""COMPUTED_VALUE"""),"Oprah Winfrey")</f>
        <v>Oprah Winfrey</v>
      </c>
      <c r="K2732" s="5" t="str">
        <f>IFERROR(__xludf.DUMMYFUNCTION("""COMPUTED_VALUE"""),"Estrela 3")</f>
        <v>Estrela 3</v>
      </c>
      <c r="P2732" s="5">
        <f>IFERROR(__xludf.DUMMYFUNCTION("""COMPUTED_VALUE"""),683.0)</f>
        <v>683</v>
      </c>
      <c r="Q2732" s="5" t="str">
        <f>IFERROR(__xludf.DUMMYFUNCTION("""COMPUTED_VALUE"""),"The Color Purple")</f>
        <v>The Color Purple</v>
      </c>
      <c r="R2732" s="5" t="str">
        <f>IFERROR(__xludf.DUMMYFUNCTION("""COMPUTED_VALUE"""),"Oprah Winfrey")</f>
        <v>Oprah Winfrey</v>
      </c>
      <c r="S2732" s="5" t="str">
        <f>IFERROR(__xludf.DUMMYFUNCTION("""COMPUTED_VALUE"""),"Estrela 3")</f>
        <v>Estrela 3</v>
      </c>
    </row>
    <row r="2733">
      <c r="G2733" s="5" t="str">
        <f>IFERROR(__xludf.DUMMYFUNCTION("""COMPUTED_VALUE"""),"683🤙🏼The Color Purple🤙🏼Margaret Avery🤙🏼Estrela 4")</f>
        <v>683🤙🏼The Color Purple🤙🏼Margaret Avery🤙🏼Estrela 4</v>
      </c>
      <c r="H2733" s="5">
        <f>IFERROR(__xludf.DUMMYFUNCTION("SPLiT(G2733, ""🤙🏼"",FALSE,FALSE)"),683.0)</f>
        <v>683</v>
      </c>
      <c r="I2733" s="5" t="str">
        <f>IFERROR(__xludf.DUMMYFUNCTION("""COMPUTED_VALUE"""),"The Color Purple")</f>
        <v>The Color Purple</v>
      </c>
      <c r="J2733" s="5" t="str">
        <f>IFERROR(__xludf.DUMMYFUNCTION("""COMPUTED_VALUE"""),"Margaret Avery")</f>
        <v>Margaret Avery</v>
      </c>
      <c r="K2733" s="5" t="str">
        <f>IFERROR(__xludf.DUMMYFUNCTION("""COMPUTED_VALUE"""),"Estrela 4")</f>
        <v>Estrela 4</v>
      </c>
      <c r="P2733" s="5">
        <f>IFERROR(__xludf.DUMMYFUNCTION("""COMPUTED_VALUE"""),683.0)</f>
        <v>683</v>
      </c>
      <c r="Q2733" s="5" t="str">
        <f>IFERROR(__xludf.DUMMYFUNCTION("""COMPUTED_VALUE"""),"The Color Purple")</f>
        <v>The Color Purple</v>
      </c>
      <c r="R2733" s="5" t="str">
        <f>IFERROR(__xludf.DUMMYFUNCTION("""COMPUTED_VALUE"""),"Margaret Avery")</f>
        <v>Margaret Avery</v>
      </c>
      <c r="S2733" s="5" t="str">
        <f>IFERROR(__xludf.DUMMYFUNCTION("""COMPUTED_VALUE"""),"Estrela 4")</f>
        <v>Estrela 4</v>
      </c>
    </row>
    <row r="2734">
      <c r="G2734" s="5" t="str">
        <f>IFERROR(__xludf.DUMMYFUNCTION("""COMPUTED_VALUE"""),"684🤙🏼The Breakfast Club🤙🏼Emilio Estevez🤙🏼Estrela 1")</f>
        <v>684🤙🏼The Breakfast Club🤙🏼Emilio Estevez🤙🏼Estrela 1</v>
      </c>
      <c r="H2734" s="5">
        <f>IFERROR(__xludf.DUMMYFUNCTION("SPLiT(G2734, ""🤙🏼"",FALSE,FALSE)"),684.0)</f>
        <v>684</v>
      </c>
      <c r="I2734" s="5" t="str">
        <f>IFERROR(__xludf.DUMMYFUNCTION("""COMPUTED_VALUE"""),"The Breakfast Club")</f>
        <v>The Breakfast Club</v>
      </c>
      <c r="J2734" s="5" t="str">
        <f>IFERROR(__xludf.DUMMYFUNCTION("""COMPUTED_VALUE"""),"Emilio Estevez")</f>
        <v>Emilio Estevez</v>
      </c>
      <c r="K2734" s="5" t="str">
        <f>IFERROR(__xludf.DUMMYFUNCTION("""COMPUTED_VALUE"""),"Estrela 1")</f>
        <v>Estrela 1</v>
      </c>
      <c r="P2734" s="5">
        <f>IFERROR(__xludf.DUMMYFUNCTION("""COMPUTED_VALUE"""),684.0)</f>
        <v>684</v>
      </c>
      <c r="Q2734" s="5" t="str">
        <f>IFERROR(__xludf.DUMMYFUNCTION("""COMPUTED_VALUE"""),"The Breakfast Club")</f>
        <v>The Breakfast Club</v>
      </c>
      <c r="R2734" s="5" t="str">
        <f>IFERROR(__xludf.DUMMYFUNCTION("""COMPUTED_VALUE"""),"Emilio Estevez")</f>
        <v>Emilio Estevez</v>
      </c>
      <c r="S2734" s="5" t="str">
        <f>IFERROR(__xludf.DUMMYFUNCTION("""COMPUTED_VALUE"""),"Estrela 1")</f>
        <v>Estrela 1</v>
      </c>
    </row>
    <row r="2735">
      <c r="G2735" s="5" t="str">
        <f>IFERROR(__xludf.DUMMYFUNCTION("""COMPUTED_VALUE"""),"684🤙🏼The Breakfast Club🤙🏼Judd Nelson🤙🏼Estrela 2")</f>
        <v>684🤙🏼The Breakfast Club🤙🏼Judd Nelson🤙🏼Estrela 2</v>
      </c>
      <c r="H2735" s="5">
        <f>IFERROR(__xludf.DUMMYFUNCTION("SPLiT(G2735, ""🤙🏼"",FALSE,FALSE)"),684.0)</f>
        <v>684</v>
      </c>
      <c r="I2735" s="5" t="str">
        <f>IFERROR(__xludf.DUMMYFUNCTION("""COMPUTED_VALUE"""),"The Breakfast Club")</f>
        <v>The Breakfast Club</v>
      </c>
      <c r="J2735" s="5" t="str">
        <f>IFERROR(__xludf.DUMMYFUNCTION("""COMPUTED_VALUE"""),"Judd Nelson")</f>
        <v>Judd Nelson</v>
      </c>
      <c r="K2735" s="5" t="str">
        <f>IFERROR(__xludf.DUMMYFUNCTION("""COMPUTED_VALUE"""),"Estrela 2")</f>
        <v>Estrela 2</v>
      </c>
      <c r="P2735" s="5">
        <f>IFERROR(__xludf.DUMMYFUNCTION("""COMPUTED_VALUE"""),684.0)</f>
        <v>684</v>
      </c>
      <c r="Q2735" s="5" t="str">
        <f>IFERROR(__xludf.DUMMYFUNCTION("""COMPUTED_VALUE"""),"The Breakfast Club")</f>
        <v>The Breakfast Club</v>
      </c>
      <c r="R2735" s="5" t="str">
        <f>IFERROR(__xludf.DUMMYFUNCTION("""COMPUTED_VALUE"""),"Judd Nelson")</f>
        <v>Judd Nelson</v>
      </c>
      <c r="S2735" s="5" t="str">
        <f>IFERROR(__xludf.DUMMYFUNCTION("""COMPUTED_VALUE"""),"Estrela 2")</f>
        <v>Estrela 2</v>
      </c>
    </row>
    <row r="2736">
      <c r="G2736" s="5" t="str">
        <f>IFERROR(__xludf.DUMMYFUNCTION("""COMPUTED_VALUE"""),"684🤙🏼The Breakfast Club🤙🏼Molly Ringwald🤙🏼Estrela 3")</f>
        <v>684🤙🏼The Breakfast Club🤙🏼Molly Ringwald🤙🏼Estrela 3</v>
      </c>
      <c r="H2736" s="5">
        <f>IFERROR(__xludf.DUMMYFUNCTION("SPLiT(G2736, ""🤙🏼"",FALSE,FALSE)"),684.0)</f>
        <v>684</v>
      </c>
      <c r="I2736" s="5" t="str">
        <f>IFERROR(__xludf.DUMMYFUNCTION("""COMPUTED_VALUE"""),"The Breakfast Club")</f>
        <v>The Breakfast Club</v>
      </c>
      <c r="J2736" s="5" t="str">
        <f>IFERROR(__xludf.DUMMYFUNCTION("""COMPUTED_VALUE"""),"Molly Ringwald")</f>
        <v>Molly Ringwald</v>
      </c>
      <c r="K2736" s="5" t="str">
        <f>IFERROR(__xludf.DUMMYFUNCTION("""COMPUTED_VALUE"""),"Estrela 3")</f>
        <v>Estrela 3</v>
      </c>
      <c r="P2736" s="5">
        <f>IFERROR(__xludf.DUMMYFUNCTION("""COMPUTED_VALUE"""),684.0)</f>
        <v>684</v>
      </c>
      <c r="Q2736" s="5" t="str">
        <f>IFERROR(__xludf.DUMMYFUNCTION("""COMPUTED_VALUE"""),"The Breakfast Club")</f>
        <v>The Breakfast Club</v>
      </c>
      <c r="R2736" s="5" t="str">
        <f>IFERROR(__xludf.DUMMYFUNCTION("""COMPUTED_VALUE"""),"Molly Ringwald")</f>
        <v>Molly Ringwald</v>
      </c>
      <c r="S2736" s="5" t="str">
        <f>IFERROR(__xludf.DUMMYFUNCTION("""COMPUTED_VALUE"""),"Estrela 3")</f>
        <v>Estrela 3</v>
      </c>
    </row>
    <row r="2737">
      <c r="G2737" s="5" t="str">
        <f>IFERROR(__xludf.DUMMYFUNCTION("""COMPUTED_VALUE"""),"684🤙🏼The Breakfast Club🤙🏼Ally Sheedy🤙🏼Estrela 4")</f>
        <v>684🤙🏼The Breakfast Club🤙🏼Ally Sheedy🤙🏼Estrela 4</v>
      </c>
      <c r="H2737" s="5">
        <f>IFERROR(__xludf.DUMMYFUNCTION("SPLiT(G2737, ""🤙🏼"",FALSE,FALSE)"),684.0)</f>
        <v>684</v>
      </c>
      <c r="I2737" s="5" t="str">
        <f>IFERROR(__xludf.DUMMYFUNCTION("""COMPUTED_VALUE"""),"The Breakfast Club")</f>
        <v>The Breakfast Club</v>
      </c>
      <c r="J2737" s="5" t="str">
        <f>IFERROR(__xludf.DUMMYFUNCTION("""COMPUTED_VALUE"""),"Ally Sheedy")</f>
        <v>Ally Sheedy</v>
      </c>
      <c r="K2737" s="5" t="str">
        <f>IFERROR(__xludf.DUMMYFUNCTION("""COMPUTED_VALUE"""),"Estrela 4")</f>
        <v>Estrela 4</v>
      </c>
      <c r="P2737" s="5">
        <f>IFERROR(__xludf.DUMMYFUNCTION("""COMPUTED_VALUE"""),684.0)</f>
        <v>684</v>
      </c>
      <c r="Q2737" s="5" t="str">
        <f>IFERROR(__xludf.DUMMYFUNCTION("""COMPUTED_VALUE"""),"The Breakfast Club")</f>
        <v>The Breakfast Club</v>
      </c>
      <c r="R2737" s="5" t="str">
        <f>IFERROR(__xludf.DUMMYFUNCTION("""COMPUTED_VALUE"""),"Ally Sheedy")</f>
        <v>Ally Sheedy</v>
      </c>
      <c r="S2737" s="5" t="str">
        <f>IFERROR(__xludf.DUMMYFUNCTION("""COMPUTED_VALUE"""),"Estrela 4")</f>
        <v>Estrela 4</v>
      </c>
    </row>
    <row r="2738">
      <c r="G2738" s="5" t="str">
        <f>IFERROR(__xludf.DUMMYFUNCTION("""COMPUTED_VALUE"""),"685🤙🏼The Killing Fields🤙🏼Sam Waterston🤙🏼Estrela 1")</f>
        <v>685🤙🏼The Killing Fields🤙🏼Sam Waterston🤙🏼Estrela 1</v>
      </c>
      <c r="H2738" s="5">
        <f>IFERROR(__xludf.DUMMYFUNCTION("SPLiT(G2738, ""🤙🏼"",FALSE,FALSE)"),685.0)</f>
        <v>685</v>
      </c>
      <c r="I2738" s="5" t="str">
        <f>IFERROR(__xludf.DUMMYFUNCTION("""COMPUTED_VALUE"""),"The Killing Fields")</f>
        <v>The Killing Fields</v>
      </c>
      <c r="J2738" s="5" t="str">
        <f>IFERROR(__xludf.DUMMYFUNCTION("""COMPUTED_VALUE"""),"Sam Waterston")</f>
        <v>Sam Waterston</v>
      </c>
      <c r="K2738" s="5" t="str">
        <f>IFERROR(__xludf.DUMMYFUNCTION("""COMPUTED_VALUE"""),"Estrela 1")</f>
        <v>Estrela 1</v>
      </c>
      <c r="P2738" s="5">
        <f>IFERROR(__xludf.DUMMYFUNCTION("""COMPUTED_VALUE"""),685.0)</f>
        <v>685</v>
      </c>
      <c r="Q2738" s="5" t="str">
        <f>IFERROR(__xludf.DUMMYFUNCTION("""COMPUTED_VALUE"""),"The Killing Fields")</f>
        <v>The Killing Fields</v>
      </c>
      <c r="R2738" s="5" t="str">
        <f>IFERROR(__xludf.DUMMYFUNCTION("""COMPUTED_VALUE"""),"Sam Waterston")</f>
        <v>Sam Waterston</v>
      </c>
      <c r="S2738" s="5" t="str">
        <f>IFERROR(__xludf.DUMMYFUNCTION("""COMPUTED_VALUE"""),"Estrela 1")</f>
        <v>Estrela 1</v>
      </c>
    </row>
    <row r="2739">
      <c r="G2739" s="5" t="str">
        <f>IFERROR(__xludf.DUMMYFUNCTION("""COMPUTED_VALUE"""),"685🤙🏼The Killing Fields🤙🏼Haing S. Ngor🤙🏼Estrela 2")</f>
        <v>685🤙🏼The Killing Fields🤙🏼Haing S. Ngor🤙🏼Estrela 2</v>
      </c>
      <c r="H2739" s="5">
        <f>IFERROR(__xludf.DUMMYFUNCTION("SPLiT(G2739, ""🤙🏼"",FALSE,FALSE)"),685.0)</f>
        <v>685</v>
      </c>
      <c r="I2739" s="5" t="str">
        <f>IFERROR(__xludf.DUMMYFUNCTION("""COMPUTED_VALUE"""),"The Killing Fields")</f>
        <v>The Killing Fields</v>
      </c>
      <c r="J2739" s="5" t="str">
        <f>IFERROR(__xludf.DUMMYFUNCTION("""COMPUTED_VALUE"""),"Haing S. Ngor")</f>
        <v>Haing S. Ngor</v>
      </c>
      <c r="K2739" s="5" t="str">
        <f>IFERROR(__xludf.DUMMYFUNCTION("""COMPUTED_VALUE"""),"Estrela 2")</f>
        <v>Estrela 2</v>
      </c>
      <c r="P2739" s="5">
        <f>IFERROR(__xludf.DUMMYFUNCTION("""COMPUTED_VALUE"""),685.0)</f>
        <v>685</v>
      </c>
      <c r="Q2739" s="5" t="str">
        <f>IFERROR(__xludf.DUMMYFUNCTION("""COMPUTED_VALUE"""),"The Killing Fields")</f>
        <v>The Killing Fields</v>
      </c>
      <c r="R2739" s="5" t="str">
        <f>IFERROR(__xludf.DUMMYFUNCTION("""COMPUTED_VALUE"""),"Haing S. Ngor")</f>
        <v>Haing S. Ngor</v>
      </c>
      <c r="S2739" s="5" t="str">
        <f>IFERROR(__xludf.DUMMYFUNCTION("""COMPUTED_VALUE"""),"Estrela 2")</f>
        <v>Estrela 2</v>
      </c>
    </row>
    <row r="2740">
      <c r="G2740" s="5" t="str">
        <f>IFERROR(__xludf.DUMMYFUNCTION("""COMPUTED_VALUE"""),"685🤙🏼The Killing Fields🤙🏼John Malkovich🤙🏼Estrela 3")</f>
        <v>685🤙🏼The Killing Fields🤙🏼John Malkovich🤙🏼Estrela 3</v>
      </c>
      <c r="H2740" s="5">
        <f>IFERROR(__xludf.DUMMYFUNCTION("SPLiT(G2740, ""🤙🏼"",FALSE,FALSE)"),685.0)</f>
        <v>685</v>
      </c>
      <c r="I2740" s="5" t="str">
        <f>IFERROR(__xludf.DUMMYFUNCTION("""COMPUTED_VALUE"""),"The Killing Fields")</f>
        <v>The Killing Fields</v>
      </c>
      <c r="J2740" s="5" t="str">
        <f>IFERROR(__xludf.DUMMYFUNCTION("""COMPUTED_VALUE"""),"John Malkovich")</f>
        <v>John Malkovich</v>
      </c>
      <c r="K2740" s="5" t="str">
        <f>IFERROR(__xludf.DUMMYFUNCTION("""COMPUTED_VALUE"""),"Estrela 3")</f>
        <v>Estrela 3</v>
      </c>
      <c r="P2740" s="5">
        <f>IFERROR(__xludf.DUMMYFUNCTION("""COMPUTED_VALUE"""),685.0)</f>
        <v>685</v>
      </c>
      <c r="Q2740" s="5" t="str">
        <f>IFERROR(__xludf.DUMMYFUNCTION("""COMPUTED_VALUE"""),"The Killing Fields")</f>
        <v>The Killing Fields</v>
      </c>
      <c r="R2740" s="5" t="str">
        <f>IFERROR(__xludf.DUMMYFUNCTION("""COMPUTED_VALUE"""),"John Malkovich")</f>
        <v>John Malkovich</v>
      </c>
      <c r="S2740" s="5" t="str">
        <f>IFERROR(__xludf.DUMMYFUNCTION("""COMPUTED_VALUE"""),"Estrela 3")</f>
        <v>Estrela 3</v>
      </c>
    </row>
    <row r="2741">
      <c r="G2741" s="5" t="str">
        <f>IFERROR(__xludf.DUMMYFUNCTION("""COMPUTED_VALUE"""),"685🤙🏼The Killing Fields🤙🏼Julian Sands🤙🏼Estrela 4")</f>
        <v>685🤙🏼The Killing Fields🤙🏼Julian Sands🤙🏼Estrela 4</v>
      </c>
      <c r="H2741" s="5">
        <f>IFERROR(__xludf.DUMMYFUNCTION("SPLiT(G2741, ""🤙🏼"",FALSE,FALSE)"),685.0)</f>
        <v>685</v>
      </c>
      <c r="I2741" s="5" t="str">
        <f>IFERROR(__xludf.DUMMYFUNCTION("""COMPUTED_VALUE"""),"The Killing Fields")</f>
        <v>The Killing Fields</v>
      </c>
      <c r="J2741" s="5" t="str">
        <f>IFERROR(__xludf.DUMMYFUNCTION("""COMPUTED_VALUE"""),"Julian Sands")</f>
        <v>Julian Sands</v>
      </c>
      <c r="K2741" s="5" t="str">
        <f>IFERROR(__xludf.DUMMYFUNCTION("""COMPUTED_VALUE"""),"Estrela 4")</f>
        <v>Estrela 4</v>
      </c>
      <c r="P2741" s="5">
        <f>IFERROR(__xludf.DUMMYFUNCTION("""COMPUTED_VALUE"""),685.0)</f>
        <v>685</v>
      </c>
      <c r="Q2741" s="5" t="str">
        <f>IFERROR(__xludf.DUMMYFUNCTION("""COMPUTED_VALUE"""),"The Killing Fields")</f>
        <v>The Killing Fields</v>
      </c>
      <c r="R2741" s="5" t="str">
        <f>IFERROR(__xludf.DUMMYFUNCTION("""COMPUTED_VALUE"""),"Julian Sands")</f>
        <v>Julian Sands</v>
      </c>
      <c r="S2741" s="5" t="str">
        <f>IFERROR(__xludf.DUMMYFUNCTION("""COMPUTED_VALUE"""),"Estrela 4")</f>
        <v>Estrela 4</v>
      </c>
    </row>
    <row r="2742">
      <c r="G2742" s="5" t="str">
        <f>IFERROR(__xludf.DUMMYFUNCTION("""COMPUTED_VALUE"""),"686🤙🏼Ghostbusters🤙🏼Bill Murray🤙🏼Estrela 1")</f>
        <v>686🤙🏼Ghostbusters🤙🏼Bill Murray🤙🏼Estrela 1</v>
      </c>
      <c r="H2742" s="5">
        <f>IFERROR(__xludf.DUMMYFUNCTION("SPLiT(G2742, ""🤙🏼"",FALSE,FALSE)"),686.0)</f>
        <v>686</v>
      </c>
      <c r="I2742" s="5" t="str">
        <f>IFERROR(__xludf.DUMMYFUNCTION("""COMPUTED_VALUE"""),"Ghostbusters")</f>
        <v>Ghostbusters</v>
      </c>
      <c r="J2742" s="5" t="str">
        <f>IFERROR(__xludf.DUMMYFUNCTION("""COMPUTED_VALUE"""),"Bill Murray")</f>
        <v>Bill Murray</v>
      </c>
      <c r="K2742" s="5" t="str">
        <f>IFERROR(__xludf.DUMMYFUNCTION("""COMPUTED_VALUE"""),"Estrela 1")</f>
        <v>Estrela 1</v>
      </c>
      <c r="P2742" s="5">
        <f>IFERROR(__xludf.DUMMYFUNCTION("""COMPUTED_VALUE"""),686.0)</f>
        <v>686</v>
      </c>
      <c r="Q2742" s="5" t="str">
        <f>IFERROR(__xludf.DUMMYFUNCTION("""COMPUTED_VALUE"""),"Ghostbusters")</f>
        <v>Ghostbusters</v>
      </c>
      <c r="R2742" s="5" t="str">
        <f>IFERROR(__xludf.DUMMYFUNCTION("""COMPUTED_VALUE"""),"Bill Murray")</f>
        <v>Bill Murray</v>
      </c>
      <c r="S2742" s="5" t="str">
        <f>IFERROR(__xludf.DUMMYFUNCTION("""COMPUTED_VALUE"""),"Estrela 1")</f>
        <v>Estrela 1</v>
      </c>
    </row>
    <row r="2743">
      <c r="G2743" s="5" t="str">
        <f>IFERROR(__xludf.DUMMYFUNCTION("""COMPUTED_VALUE"""),"686🤙🏼Ghostbusters🤙🏼Dan Aykroyd🤙🏼Estrela 2")</f>
        <v>686🤙🏼Ghostbusters🤙🏼Dan Aykroyd🤙🏼Estrela 2</v>
      </c>
      <c r="H2743" s="5">
        <f>IFERROR(__xludf.DUMMYFUNCTION("SPLiT(G2743, ""🤙🏼"",FALSE,FALSE)"),686.0)</f>
        <v>686</v>
      </c>
      <c r="I2743" s="5" t="str">
        <f>IFERROR(__xludf.DUMMYFUNCTION("""COMPUTED_VALUE"""),"Ghostbusters")</f>
        <v>Ghostbusters</v>
      </c>
      <c r="J2743" s="5" t="str">
        <f>IFERROR(__xludf.DUMMYFUNCTION("""COMPUTED_VALUE"""),"Dan Aykroyd")</f>
        <v>Dan Aykroyd</v>
      </c>
      <c r="K2743" s="5" t="str">
        <f>IFERROR(__xludf.DUMMYFUNCTION("""COMPUTED_VALUE"""),"Estrela 2")</f>
        <v>Estrela 2</v>
      </c>
      <c r="P2743" s="5">
        <f>IFERROR(__xludf.DUMMYFUNCTION("""COMPUTED_VALUE"""),686.0)</f>
        <v>686</v>
      </c>
      <c r="Q2743" s="5" t="str">
        <f>IFERROR(__xludf.DUMMYFUNCTION("""COMPUTED_VALUE"""),"Ghostbusters")</f>
        <v>Ghostbusters</v>
      </c>
      <c r="R2743" s="5" t="str">
        <f>IFERROR(__xludf.DUMMYFUNCTION("""COMPUTED_VALUE"""),"Dan Aykroyd")</f>
        <v>Dan Aykroyd</v>
      </c>
      <c r="S2743" s="5" t="str">
        <f>IFERROR(__xludf.DUMMYFUNCTION("""COMPUTED_VALUE"""),"Estrela 2")</f>
        <v>Estrela 2</v>
      </c>
    </row>
    <row r="2744">
      <c r="G2744" s="5" t="str">
        <f>IFERROR(__xludf.DUMMYFUNCTION("""COMPUTED_VALUE"""),"686🤙🏼Ghostbusters🤙🏼Sigourney Weaver🤙🏼Estrela 3")</f>
        <v>686🤙🏼Ghostbusters🤙🏼Sigourney Weaver🤙🏼Estrela 3</v>
      </c>
      <c r="H2744" s="5">
        <f>IFERROR(__xludf.DUMMYFUNCTION("SPLiT(G2744, ""🤙🏼"",FALSE,FALSE)"),686.0)</f>
        <v>686</v>
      </c>
      <c r="I2744" s="5" t="str">
        <f>IFERROR(__xludf.DUMMYFUNCTION("""COMPUTED_VALUE"""),"Ghostbusters")</f>
        <v>Ghostbusters</v>
      </c>
      <c r="J2744" s="5" t="str">
        <f>IFERROR(__xludf.DUMMYFUNCTION("""COMPUTED_VALUE"""),"Sigourney Weaver")</f>
        <v>Sigourney Weaver</v>
      </c>
      <c r="K2744" s="5" t="str">
        <f>IFERROR(__xludf.DUMMYFUNCTION("""COMPUTED_VALUE"""),"Estrela 3")</f>
        <v>Estrela 3</v>
      </c>
      <c r="P2744" s="5">
        <f>IFERROR(__xludf.DUMMYFUNCTION("""COMPUTED_VALUE"""),686.0)</f>
        <v>686</v>
      </c>
      <c r="Q2744" s="5" t="str">
        <f>IFERROR(__xludf.DUMMYFUNCTION("""COMPUTED_VALUE"""),"Ghostbusters")</f>
        <v>Ghostbusters</v>
      </c>
      <c r="R2744" s="5" t="str">
        <f>IFERROR(__xludf.DUMMYFUNCTION("""COMPUTED_VALUE"""),"Sigourney Weaver")</f>
        <v>Sigourney Weaver</v>
      </c>
      <c r="S2744" s="5" t="str">
        <f>IFERROR(__xludf.DUMMYFUNCTION("""COMPUTED_VALUE"""),"Estrela 3")</f>
        <v>Estrela 3</v>
      </c>
    </row>
    <row r="2745">
      <c r="G2745" s="5" t="str">
        <f>IFERROR(__xludf.DUMMYFUNCTION("""COMPUTED_VALUE"""),"686🤙🏼Ghostbusters🤙🏼Harold Ramis🤙🏼Estrela 4")</f>
        <v>686🤙🏼Ghostbusters🤙🏼Harold Ramis🤙🏼Estrela 4</v>
      </c>
      <c r="H2745" s="5">
        <f>IFERROR(__xludf.DUMMYFUNCTION("SPLiT(G2745, ""🤙🏼"",FALSE,FALSE)"),686.0)</f>
        <v>686</v>
      </c>
      <c r="I2745" s="5" t="str">
        <f>IFERROR(__xludf.DUMMYFUNCTION("""COMPUTED_VALUE"""),"Ghostbusters")</f>
        <v>Ghostbusters</v>
      </c>
      <c r="J2745" s="5" t="str">
        <f>IFERROR(__xludf.DUMMYFUNCTION("""COMPUTED_VALUE"""),"Harold Ramis")</f>
        <v>Harold Ramis</v>
      </c>
      <c r="K2745" s="5" t="str">
        <f>IFERROR(__xludf.DUMMYFUNCTION("""COMPUTED_VALUE"""),"Estrela 4")</f>
        <v>Estrela 4</v>
      </c>
      <c r="P2745" s="5">
        <f>IFERROR(__xludf.DUMMYFUNCTION("""COMPUTED_VALUE"""),686.0)</f>
        <v>686</v>
      </c>
      <c r="Q2745" s="5" t="str">
        <f>IFERROR(__xludf.DUMMYFUNCTION("""COMPUTED_VALUE"""),"Ghostbusters")</f>
        <v>Ghostbusters</v>
      </c>
      <c r="R2745" s="5" t="str">
        <f>IFERROR(__xludf.DUMMYFUNCTION("""COMPUTED_VALUE"""),"Harold Ramis")</f>
        <v>Harold Ramis</v>
      </c>
      <c r="S2745" s="5" t="str">
        <f>IFERROR(__xludf.DUMMYFUNCTION("""COMPUTED_VALUE"""),"Estrela 4")</f>
        <v>Estrela 4</v>
      </c>
    </row>
    <row r="2746">
      <c r="G2746" s="5" t="str">
        <f>IFERROR(__xludf.DUMMYFUNCTION("""COMPUTED_VALUE"""),"687🤙🏼The Right Stuff🤙🏼Sam Shepard🤙🏼Estrela 1")</f>
        <v>687🤙🏼The Right Stuff🤙🏼Sam Shepard🤙🏼Estrela 1</v>
      </c>
      <c r="H2746" s="5">
        <f>IFERROR(__xludf.DUMMYFUNCTION("SPLiT(G2746, ""🤙🏼"",FALSE,FALSE)"),687.0)</f>
        <v>687</v>
      </c>
      <c r="I2746" s="5" t="str">
        <f>IFERROR(__xludf.DUMMYFUNCTION("""COMPUTED_VALUE"""),"The Right Stuff")</f>
        <v>The Right Stuff</v>
      </c>
      <c r="J2746" s="5" t="str">
        <f>IFERROR(__xludf.DUMMYFUNCTION("""COMPUTED_VALUE"""),"Sam Shepard")</f>
        <v>Sam Shepard</v>
      </c>
      <c r="K2746" s="5" t="str">
        <f>IFERROR(__xludf.DUMMYFUNCTION("""COMPUTED_VALUE"""),"Estrela 1")</f>
        <v>Estrela 1</v>
      </c>
      <c r="P2746" s="5">
        <f>IFERROR(__xludf.DUMMYFUNCTION("""COMPUTED_VALUE"""),687.0)</f>
        <v>687</v>
      </c>
      <c r="Q2746" s="5" t="str">
        <f>IFERROR(__xludf.DUMMYFUNCTION("""COMPUTED_VALUE"""),"The Right Stuff")</f>
        <v>The Right Stuff</v>
      </c>
      <c r="R2746" s="5" t="str">
        <f>IFERROR(__xludf.DUMMYFUNCTION("""COMPUTED_VALUE"""),"Sam Shepard")</f>
        <v>Sam Shepard</v>
      </c>
      <c r="S2746" s="5" t="str">
        <f>IFERROR(__xludf.DUMMYFUNCTION("""COMPUTED_VALUE"""),"Estrela 1")</f>
        <v>Estrela 1</v>
      </c>
    </row>
    <row r="2747">
      <c r="G2747" s="5" t="str">
        <f>IFERROR(__xludf.DUMMYFUNCTION("""COMPUTED_VALUE"""),"687🤙🏼The Right Stuff🤙🏼Scott Glenn🤙🏼Estrela 2")</f>
        <v>687🤙🏼The Right Stuff🤙🏼Scott Glenn🤙🏼Estrela 2</v>
      </c>
      <c r="H2747" s="5">
        <f>IFERROR(__xludf.DUMMYFUNCTION("SPLiT(G2747, ""🤙🏼"",FALSE,FALSE)"),687.0)</f>
        <v>687</v>
      </c>
      <c r="I2747" s="5" t="str">
        <f>IFERROR(__xludf.DUMMYFUNCTION("""COMPUTED_VALUE"""),"The Right Stuff")</f>
        <v>The Right Stuff</v>
      </c>
      <c r="J2747" s="5" t="str">
        <f>IFERROR(__xludf.DUMMYFUNCTION("""COMPUTED_VALUE"""),"Scott Glenn")</f>
        <v>Scott Glenn</v>
      </c>
      <c r="K2747" s="5" t="str">
        <f>IFERROR(__xludf.DUMMYFUNCTION("""COMPUTED_VALUE"""),"Estrela 2")</f>
        <v>Estrela 2</v>
      </c>
      <c r="P2747" s="5">
        <f>IFERROR(__xludf.DUMMYFUNCTION("""COMPUTED_VALUE"""),687.0)</f>
        <v>687</v>
      </c>
      <c r="Q2747" s="5" t="str">
        <f>IFERROR(__xludf.DUMMYFUNCTION("""COMPUTED_VALUE"""),"The Right Stuff")</f>
        <v>The Right Stuff</v>
      </c>
      <c r="R2747" s="5" t="str">
        <f>IFERROR(__xludf.DUMMYFUNCTION("""COMPUTED_VALUE"""),"Scott Glenn")</f>
        <v>Scott Glenn</v>
      </c>
      <c r="S2747" s="5" t="str">
        <f>IFERROR(__xludf.DUMMYFUNCTION("""COMPUTED_VALUE"""),"Estrela 2")</f>
        <v>Estrela 2</v>
      </c>
    </row>
    <row r="2748">
      <c r="G2748" s="5" t="str">
        <f>IFERROR(__xludf.DUMMYFUNCTION("""COMPUTED_VALUE"""),"687🤙🏼The Right Stuff🤙🏼Ed Harris🤙🏼Estrela 3")</f>
        <v>687🤙🏼The Right Stuff🤙🏼Ed Harris🤙🏼Estrela 3</v>
      </c>
      <c r="H2748" s="5">
        <f>IFERROR(__xludf.DUMMYFUNCTION("SPLiT(G2748, ""🤙🏼"",FALSE,FALSE)"),687.0)</f>
        <v>687</v>
      </c>
      <c r="I2748" s="5" t="str">
        <f>IFERROR(__xludf.DUMMYFUNCTION("""COMPUTED_VALUE"""),"The Right Stuff")</f>
        <v>The Right Stuff</v>
      </c>
      <c r="J2748" s="5" t="str">
        <f>IFERROR(__xludf.DUMMYFUNCTION("""COMPUTED_VALUE"""),"Ed Harris")</f>
        <v>Ed Harris</v>
      </c>
      <c r="K2748" s="5" t="str">
        <f>IFERROR(__xludf.DUMMYFUNCTION("""COMPUTED_VALUE"""),"Estrela 3")</f>
        <v>Estrela 3</v>
      </c>
      <c r="P2748" s="5">
        <f>IFERROR(__xludf.DUMMYFUNCTION("""COMPUTED_VALUE"""),687.0)</f>
        <v>687</v>
      </c>
      <c r="Q2748" s="5" t="str">
        <f>IFERROR(__xludf.DUMMYFUNCTION("""COMPUTED_VALUE"""),"The Right Stuff")</f>
        <v>The Right Stuff</v>
      </c>
      <c r="R2748" s="5" t="str">
        <f>IFERROR(__xludf.DUMMYFUNCTION("""COMPUTED_VALUE"""),"Ed Harris")</f>
        <v>Ed Harris</v>
      </c>
      <c r="S2748" s="5" t="str">
        <f>IFERROR(__xludf.DUMMYFUNCTION("""COMPUTED_VALUE"""),"Estrela 3")</f>
        <v>Estrela 3</v>
      </c>
    </row>
    <row r="2749">
      <c r="G2749" s="5" t="str">
        <f>IFERROR(__xludf.DUMMYFUNCTION("""COMPUTED_VALUE"""),"687🤙🏼The Right Stuff🤙🏼Dennis Quaid🤙🏼Estrela 4")</f>
        <v>687🤙🏼The Right Stuff🤙🏼Dennis Quaid🤙🏼Estrela 4</v>
      </c>
      <c r="H2749" s="5">
        <f>IFERROR(__xludf.DUMMYFUNCTION("SPLiT(G2749, ""🤙🏼"",FALSE,FALSE)"),687.0)</f>
        <v>687</v>
      </c>
      <c r="I2749" s="5" t="str">
        <f>IFERROR(__xludf.DUMMYFUNCTION("""COMPUTED_VALUE"""),"The Right Stuff")</f>
        <v>The Right Stuff</v>
      </c>
      <c r="J2749" s="5" t="str">
        <f>IFERROR(__xludf.DUMMYFUNCTION("""COMPUTED_VALUE"""),"Dennis Quaid")</f>
        <v>Dennis Quaid</v>
      </c>
      <c r="K2749" s="5" t="str">
        <f>IFERROR(__xludf.DUMMYFUNCTION("""COMPUTED_VALUE"""),"Estrela 4")</f>
        <v>Estrela 4</v>
      </c>
      <c r="P2749" s="5">
        <f>IFERROR(__xludf.DUMMYFUNCTION("""COMPUTED_VALUE"""),687.0)</f>
        <v>687</v>
      </c>
      <c r="Q2749" s="5" t="str">
        <f>IFERROR(__xludf.DUMMYFUNCTION("""COMPUTED_VALUE"""),"The Right Stuff")</f>
        <v>The Right Stuff</v>
      </c>
      <c r="R2749" s="5" t="str">
        <f>IFERROR(__xludf.DUMMYFUNCTION("""COMPUTED_VALUE"""),"Dennis Quaid")</f>
        <v>Dennis Quaid</v>
      </c>
      <c r="S2749" s="5" t="str">
        <f>IFERROR(__xludf.DUMMYFUNCTION("""COMPUTED_VALUE"""),"Estrela 4")</f>
        <v>Estrela 4</v>
      </c>
    </row>
    <row r="2750">
      <c r="G2750" s="5" t="str">
        <f>IFERROR(__xludf.DUMMYFUNCTION("""COMPUTED_VALUE"""),"688🤙🏼The King of Comedy🤙🏼Robert De Niro🤙🏼Estrela 1")</f>
        <v>688🤙🏼The King of Comedy🤙🏼Robert De Niro🤙🏼Estrela 1</v>
      </c>
      <c r="H2750" s="5">
        <f>IFERROR(__xludf.DUMMYFUNCTION("SPLiT(G2750, ""🤙🏼"",FALSE,FALSE)"),688.0)</f>
        <v>688</v>
      </c>
      <c r="I2750" s="5" t="str">
        <f>IFERROR(__xludf.DUMMYFUNCTION("""COMPUTED_VALUE"""),"The King of Comedy")</f>
        <v>The King of Comedy</v>
      </c>
      <c r="J2750" s="5" t="str">
        <f>IFERROR(__xludf.DUMMYFUNCTION("""COMPUTED_VALUE"""),"Robert De Niro")</f>
        <v>Robert De Niro</v>
      </c>
      <c r="K2750" s="5" t="str">
        <f>IFERROR(__xludf.DUMMYFUNCTION("""COMPUTED_VALUE"""),"Estrela 1")</f>
        <v>Estrela 1</v>
      </c>
      <c r="P2750" s="5">
        <f>IFERROR(__xludf.DUMMYFUNCTION("""COMPUTED_VALUE"""),688.0)</f>
        <v>688</v>
      </c>
      <c r="Q2750" s="5" t="str">
        <f>IFERROR(__xludf.DUMMYFUNCTION("""COMPUTED_VALUE"""),"The King of Comedy")</f>
        <v>The King of Comedy</v>
      </c>
      <c r="R2750" s="5" t="str">
        <f>IFERROR(__xludf.DUMMYFUNCTION("""COMPUTED_VALUE"""),"Robert De Niro")</f>
        <v>Robert De Niro</v>
      </c>
      <c r="S2750" s="5" t="str">
        <f>IFERROR(__xludf.DUMMYFUNCTION("""COMPUTED_VALUE"""),"Estrela 1")</f>
        <v>Estrela 1</v>
      </c>
    </row>
    <row r="2751">
      <c r="G2751" s="5" t="str">
        <f>IFERROR(__xludf.DUMMYFUNCTION("""COMPUTED_VALUE"""),"688🤙🏼The King of Comedy🤙🏼Jerry Lewis🤙🏼Estrela 2")</f>
        <v>688🤙🏼The King of Comedy🤙🏼Jerry Lewis🤙🏼Estrela 2</v>
      </c>
      <c r="H2751" s="5">
        <f>IFERROR(__xludf.DUMMYFUNCTION("SPLiT(G2751, ""🤙🏼"",FALSE,FALSE)"),688.0)</f>
        <v>688</v>
      </c>
      <c r="I2751" s="5" t="str">
        <f>IFERROR(__xludf.DUMMYFUNCTION("""COMPUTED_VALUE"""),"The King of Comedy")</f>
        <v>The King of Comedy</v>
      </c>
      <c r="J2751" s="5" t="str">
        <f>IFERROR(__xludf.DUMMYFUNCTION("""COMPUTED_VALUE"""),"Jerry Lewis")</f>
        <v>Jerry Lewis</v>
      </c>
      <c r="K2751" s="5" t="str">
        <f>IFERROR(__xludf.DUMMYFUNCTION("""COMPUTED_VALUE"""),"Estrela 2")</f>
        <v>Estrela 2</v>
      </c>
      <c r="P2751" s="5">
        <f>IFERROR(__xludf.DUMMYFUNCTION("""COMPUTED_VALUE"""),688.0)</f>
        <v>688</v>
      </c>
      <c r="Q2751" s="5" t="str">
        <f>IFERROR(__xludf.DUMMYFUNCTION("""COMPUTED_VALUE"""),"The King of Comedy")</f>
        <v>The King of Comedy</v>
      </c>
      <c r="R2751" s="5" t="str">
        <f>IFERROR(__xludf.DUMMYFUNCTION("""COMPUTED_VALUE"""),"Jerry Lewis")</f>
        <v>Jerry Lewis</v>
      </c>
      <c r="S2751" s="5" t="str">
        <f>IFERROR(__xludf.DUMMYFUNCTION("""COMPUTED_VALUE"""),"Estrela 2")</f>
        <v>Estrela 2</v>
      </c>
    </row>
    <row r="2752">
      <c r="G2752" s="5" t="str">
        <f>IFERROR(__xludf.DUMMYFUNCTION("""COMPUTED_VALUE"""),"688🤙🏼The King of Comedy🤙🏼Diahnne Abbott🤙🏼Estrela 3")</f>
        <v>688🤙🏼The King of Comedy🤙🏼Diahnne Abbott🤙🏼Estrela 3</v>
      </c>
      <c r="H2752" s="5">
        <f>IFERROR(__xludf.DUMMYFUNCTION("SPLiT(G2752, ""🤙🏼"",FALSE,FALSE)"),688.0)</f>
        <v>688</v>
      </c>
      <c r="I2752" s="5" t="str">
        <f>IFERROR(__xludf.DUMMYFUNCTION("""COMPUTED_VALUE"""),"The King of Comedy")</f>
        <v>The King of Comedy</v>
      </c>
      <c r="J2752" s="5" t="str">
        <f>IFERROR(__xludf.DUMMYFUNCTION("""COMPUTED_VALUE"""),"Diahnne Abbott")</f>
        <v>Diahnne Abbott</v>
      </c>
      <c r="K2752" s="5" t="str">
        <f>IFERROR(__xludf.DUMMYFUNCTION("""COMPUTED_VALUE"""),"Estrela 3")</f>
        <v>Estrela 3</v>
      </c>
      <c r="P2752" s="5">
        <f>IFERROR(__xludf.DUMMYFUNCTION("""COMPUTED_VALUE"""),688.0)</f>
        <v>688</v>
      </c>
      <c r="Q2752" s="5" t="str">
        <f>IFERROR(__xludf.DUMMYFUNCTION("""COMPUTED_VALUE"""),"The King of Comedy")</f>
        <v>The King of Comedy</v>
      </c>
      <c r="R2752" s="5" t="str">
        <f>IFERROR(__xludf.DUMMYFUNCTION("""COMPUTED_VALUE"""),"Diahnne Abbott")</f>
        <v>Diahnne Abbott</v>
      </c>
      <c r="S2752" s="5" t="str">
        <f>IFERROR(__xludf.DUMMYFUNCTION("""COMPUTED_VALUE"""),"Estrela 3")</f>
        <v>Estrela 3</v>
      </c>
    </row>
    <row r="2753">
      <c r="G2753" s="5" t="str">
        <f>IFERROR(__xludf.DUMMYFUNCTION("""COMPUTED_VALUE"""),"688🤙🏼The King of Comedy🤙🏼Sandra Bernhard🤙🏼Estrela 4")</f>
        <v>688🤙🏼The King of Comedy🤙🏼Sandra Bernhard🤙🏼Estrela 4</v>
      </c>
      <c r="H2753" s="5">
        <f>IFERROR(__xludf.DUMMYFUNCTION("SPLiT(G2753, ""🤙🏼"",FALSE,FALSE)"),688.0)</f>
        <v>688</v>
      </c>
      <c r="I2753" s="5" t="str">
        <f>IFERROR(__xludf.DUMMYFUNCTION("""COMPUTED_VALUE"""),"The King of Comedy")</f>
        <v>The King of Comedy</v>
      </c>
      <c r="J2753" s="5" t="str">
        <f>IFERROR(__xludf.DUMMYFUNCTION("""COMPUTED_VALUE"""),"Sandra Bernhard")</f>
        <v>Sandra Bernhard</v>
      </c>
      <c r="K2753" s="5" t="str">
        <f>IFERROR(__xludf.DUMMYFUNCTION("""COMPUTED_VALUE"""),"Estrela 4")</f>
        <v>Estrela 4</v>
      </c>
      <c r="P2753" s="5">
        <f>IFERROR(__xludf.DUMMYFUNCTION("""COMPUTED_VALUE"""),688.0)</f>
        <v>688</v>
      </c>
      <c r="Q2753" s="5" t="str">
        <f>IFERROR(__xludf.DUMMYFUNCTION("""COMPUTED_VALUE"""),"The King of Comedy")</f>
        <v>The King of Comedy</v>
      </c>
      <c r="R2753" s="5" t="str">
        <f>IFERROR(__xludf.DUMMYFUNCTION("""COMPUTED_VALUE"""),"Sandra Bernhard")</f>
        <v>Sandra Bernhard</v>
      </c>
      <c r="S2753" s="5" t="str">
        <f>IFERROR(__xludf.DUMMYFUNCTION("""COMPUTED_VALUE"""),"Estrela 4")</f>
        <v>Estrela 4</v>
      </c>
    </row>
    <row r="2754">
      <c r="G2754" s="5" t="str">
        <f>IFERROR(__xludf.DUMMYFUNCTION("""COMPUTED_VALUE"""),"689🤙🏼E.T. the Extra-Terrestrial🤙🏼Henry Thomas🤙🏼Estrela 1")</f>
        <v>689🤙🏼E.T. the Extra-Terrestrial🤙🏼Henry Thomas🤙🏼Estrela 1</v>
      </c>
      <c r="H2754" s="5">
        <f>IFERROR(__xludf.DUMMYFUNCTION("SPLiT(G2754, ""🤙🏼"",FALSE,FALSE)"),689.0)</f>
        <v>689</v>
      </c>
      <c r="I2754" s="5" t="str">
        <f>IFERROR(__xludf.DUMMYFUNCTION("""COMPUTED_VALUE"""),"E.T. the Extra-Terrestrial")</f>
        <v>E.T. the Extra-Terrestrial</v>
      </c>
      <c r="J2754" s="5" t="str">
        <f>IFERROR(__xludf.DUMMYFUNCTION("""COMPUTED_VALUE"""),"Henry Thomas")</f>
        <v>Henry Thomas</v>
      </c>
      <c r="K2754" s="5" t="str">
        <f>IFERROR(__xludf.DUMMYFUNCTION("""COMPUTED_VALUE"""),"Estrela 1")</f>
        <v>Estrela 1</v>
      </c>
      <c r="P2754" s="5">
        <f>IFERROR(__xludf.DUMMYFUNCTION("""COMPUTED_VALUE"""),689.0)</f>
        <v>689</v>
      </c>
      <c r="Q2754" s="5" t="str">
        <f>IFERROR(__xludf.DUMMYFUNCTION("""COMPUTED_VALUE"""),"E.T. the Extra-Terrestrial")</f>
        <v>E.T. the Extra-Terrestrial</v>
      </c>
      <c r="R2754" s="5" t="str">
        <f>IFERROR(__xludf.DUMMYFUNCTION("""COMPUTED_VALUE"""),"Henry Thomas")</f>
        <v>Henry Thomas</v>
      </c>
      <c r="S2754" s="5" t="str">
        <f>IFERROR(__xludf.DUMMYFUNCTION("""COMPUTED_VALUE"""),"Estrela 1")</f>
        <v>Estrela 1</v>
      </c>
    </row>
    <row r="2755">
      <c r="G2755" s="5" t="str">
        <f>IFERROR(__xludf.DUMMYFUNCTION("""COMPUTED_VALUE"""),"689🤙🏼E.T. the Extra-Terrestrial🤙🏼Drew Barrymore🤙🏼Estrela 2")</f>
        <v>689🤙🏼E.T. the Extra-Terrestrial🤙🏼Drew Barrymore🤙🏼Estrela 2</v>
      </c>
      <c r="H2755" s="5">
        <f>IFERROR(__xludf.DUMMYFUNCTION("SPLiT(G2755, ""🤙🏼"",FALSE,FALSE)"),689.0)</f>
        <v>689</v>
      </c>
      <c r="I2755" s="5" t="str">
        <f>IFERROR(__xludf.DUMMYFUNCTION("""COMPUTED_VALUE"""),"E.T. the Extra-Terrestrial")</f>
        <v>E.T. the Extra-Terrestrial</v>
      </c>
      <c r="J2755" s="5" t="str">
        <f>IFERROR(__xludf.DUMMYFUNCTION("""COMPUTED_VALUE"""),"Drew Barrymore")</f>
        <v>Drew Barrymore</v>
      </c>
      <c r="K2755" s="5" t="str">
        <f>IFERROR(__xludf.DUMMYFUNCTION("""COMPUTED_VALUE"""),"Estrela 2")</f>
        <v>Estrela 2</v>
      </c>
      <c r="P2755" s="5">
        <f>IFERROR(__xludf.DUMMYFUNCTION("""COMPUTED_VALUE"""),689.0)</f>
        <v>689</v>
      </c>
      <c r="Q2755" s="5" t="str">
        <f>IFERROR(__xludf.DUMMYFUNCTION("""COMPUTED_VALUE"""),"E.T. the Extra-Terrestrial")</f>
        <v>E.T. the Extra-Terrestrial</v>
      </c>
      <c r="R2755" s="5" t="str">
        <f>IFERROR(__xludf.DUMMYFUNCTION("""COMPUTED_VALUE"""),"Drew Barrymore")</f>
        <v>Drew Barrymore</v>
      </c>
      <c r="S2755" s="5" t="str">
        <f>IFERROR(__xludf.DUMMYFUNCTION("""COMPUTED_VALUE"""),"Estrela 2")</f>
        <v>Estrela 2</v>
      </c>
    </row>
    <row r="2756">
      <c r="G2756" s="5" t="str">
        <f>IFERROR(__xludf.DUMMYFUNCTION("""COMPUTED_VALUE"""),"689🤙🏼E.T. the Extra-Terrestrial🤙🏼Peter Coyote🤙🏼Estrela 3")</f>
        <v>689🤙🏼E.T. the Extra-Terrestrial🤙🏼Peter Coyote🤙🏼Estrela 3</v>
      </c>
      <c r="H2756" s="5">
        <f>IFERROR(__xludf.DUMMYFUNCTION("SPLiT(G2756, ""🤙🏼"",FALSE,FALSE)"),689.0)</f>
        <v>689</v>
      </c>
      <c r="I2756" s="5" t="str">
        <f>IFERROR(__xludf.DUMMYFUNCTION("""COMPUTED_VALUE"""),"E.T. the Extra-Terrestrial")</f>
        <v>E.T. the Extra-Terrestrial</v>
      </c>
      <c r="J2756" s="5" t="str">
        <f>IFERROR(__xludf.DUMMYFUNCTION("""COMPUTED_VALUE"""),"Peter Coyote")</f>
        <v>Peter Coyote</v>
      </c>
      <c r="K2756" s="5" t="str">
        <f>IFERROR(__xludf.DUMMYFUNCTION("""COMPUTED_VALUE"""),"Estrela 3")</f>
        <v>Estrela 3</v>
      </c>
      <c r="P2756" s="5">
        <f>IFERROR(__xludf.DUMMYFUNCTION("""COMPUTED_VALUE"""),689.0)</f>
        <v>689</v>
      </c>
      <c r="Q2756" s="5" t="str">
        <f>IFERROR(__xludf.DUMMYFUNCTION("""COMPUTED_VALUE"""),"E.T. the Extra-Terrestrial")</f>
        <v>E.T. the Extra-Terrestrial</v>
      </c>
      <c r="R2756" s="5" t="str">
        <f>IFERROR(__xludf.DUMMYFUNCTION("""COMPUTED_VALUE"""),"Peter Coyote")</f>
        <v>Peter Coyote</v>
      </c>
      <c r="S2756" s="5" t="str">
        <f>IFERROR(__xludf.DUMMYFUNCTION("""COMPUTED_VALUE"""),"Estrela 3")</f>
        <v>Estrela 3</v>
      </c>
    </row>
    <row r="2757">
      <c r="G2757" s="5" t="str">
        <f>IFERROR(__xludf.DUMMYFUNCTION("""COMPUTED_VALUE"""),"689🤙🏼E.T. the Extra-Terrestrial🤙🏼Dee Wallace🤙🏼Estrela 4")</f>
        <v>689🤙🏼E.T. the Extra-Terrestrial🤙🏼Dee Wallace🤙🏼Estrela 4</v>
      </c>
      <c r="H2757" s="5">
        <f>IFERROR(__xludf.DUMMYFUNCTION("SPLiT(G2757, ""🤙🏼"",FALSE,FALSE)"),689.0)</f>
        <v>689</v>
      </c>
      <c r="I2757" s="5" t="str">
        <f>IFERROR(__xludf.DUMMYFUNCTION("""COMPUTED_VALUE"""),"E.T. the Extra-Terrestrial")</f>
        <v>E.T. the Extra-Terrestrial</v>
      </c>
      <c r="J2757" s="5" t="str">
        <f>IFERROR(__xludf.DUMMYFUNCTION("""COMPUTED_VALUE"""),"Dee Wallace")</f>
        <v>Dee Wallace</v>
      </c>
      <c r="K2757" s="5" t="str">
        <f>IFERROR(__xludf.DUMMYFUNCTION("""COMPUTED_VALUE"""),"Estrela 4")</f>
        <v>Estrela 4</v>
      </c>
      <c r="P2757" s="5">
        <f>IFERROR(__xludf.DUMMYFUNCTION("""COMPUTED_VALUE"""),689.0)</f>
        <v>689</v>
      </c>
      <c r="Q2757" s="5" t="str">
        <f>IFERROR(__xludf.DUMMYFUNCTION("""COMPUTED_VALUE"""),"E.T. the Extra-Terrestrial")</f>
        <v>E.T. the Extra-Terrestrial</v>
      </c>
      <c r="R2757" s="5" t="str">
        <f>IFERROR(__xludf.DUMMYFUNCTION("""COMPUTED_VALUE"""),"Dee Wallace")</f>
        <v>Dee Wallace</v>
      </c>
      <c r="S2757" s="5" t="str">
        <f>IFERROR(__xludf.DUMMYFUNCTION("""COMPUTED_VALUE"""),"Estrela 4")</f>
        <v>Estrela 4</v>
      </c>
    </row>
    <row r="2758">
      <c r="G2758" s="5" t="str">
        <f>IFERROR(__xludf.DUMMYFUNCTION("""COMPUTED_VALUE"""),"690🤙🏼Kramer vs. Kramer🤙🏼Dustin Hoffman🤙🏼Estrela 1")</f>
        <v>690🤙🏼Kramer vs. Kramer🤙🏼Dustin Hoffman🤙🏼Estrela 1</v>
      </c>
      <c r="H2758" s="5">
        <f>IFERROR(__xludf.DUMMYFUNCTION("SPLiT(G2758, ""🤙🏼"",FALSE,FALSE)"),690.0)</f>
        <v>690</v>
      </c>
      <c r="I2758" s="5" t="str">
        <f>IFERROR(__xludf.DUMMYFUNCTION("""COMPUTED_VALUE"""),"Kramer vs. Kramer")</f>
        <v>Kramer vs. Kramer</v>
      </c>
      <c r="J2758" s="5" t="str">
        <f>IFERROR(__xludf.DUMMYFUNCTION("""COMPUTED_VALUE"""),"Dustin Hoffman")</f>
        <v>Dustin Hoffman</v>
      </c>
      <c r="K2758" s="5" t="str">
        <f>IFERROR(__xludf.DUMMYFUNCTION("""COMPUTED_VALUE"""),"Estrela 1")</f>
        <v>Estrela 1</v>
      </c>
      <c r="P2758" s="5">
        <f>IFERROR(__xludf.DUMMYFUNCTION("""COMPUTED_VALUE"""),690.0)</f>
        <v>690</v>
      </c>
      <c r="Q2758" s="5" t="str">
        <f>IFERROR(__xludf.DUMMYFUNCTION("""COMPUTED_VALUE"""),"Kramer vs. Kramer")</f>
        <v>Kramer vs. Kramer</v>
      </c>
      <c r="R2758" s="5" t="str">
        <f>IFERROR(__xludf.DUMMYFUNCTION("""COMPUTED_VALUE"""),"Dustin Hoffman")</f>
        <v>Dustin Hoffman</v>
      </c>
      <c r="S2758" s="5" t="str">
        <f>IFERROR(__xludf.DUMMYFUNCTION("""COMPUTED_VALUE"""),"Estrela 1")</f>
        <v>Estrela 1</v>
      </c>
    </row>
    <row r="2759">
      <c r="G2759" s="5" t="str">
        <f>IFERROR(__xludf.DUMMYFUNCTION("""COMPUTED_VALUE"""),"690🤙🏼Kramer vs. Kramer🤙🏼Meryl Streep🤙🏼Estrela 2")</f>
        <v>690🤙🏼Kramer vs. Kramer🤙🏼Meryl Streep🤙🏼Estrela 2</v>
      </c>
      <c r="H2759" s="5">
        <f>IFERROR(__xludf.DUMMYFUNCTION("SPLiT(G2759, ""🤙🏼"",FALSE,FALSE)"),690.0)</f>
        <v>690</v>
      </c>
      <c r="I2759" s="5" t="str">
        <f>IFERROR(__xludf.DUMMYFUNCTION("""COMPUTED_VALUE"""),"Kramer vs. Kramer")</f>
        <v>Kramer vs. Kramer</v>
      </c>
      <c r="J2759" s="5" t="str">
        <f>IFERROR(__xludf.DUMMYFUNCTION("""COMPUTED_VALUE"""),"Meryl Streep")</f>
        <v>Meryl Streep</v>
      </c>
      <c r="K2759" s="5" t="str">
        <f>IFERROR(__xludf.DUMMYFUNCTION("""COMPUTED_VALUE"""),"Estrela 2")</f>
        <v>Estrela 2</v>
      </c>
      <c r="P2759" s="5">
        <f>IFERROR(__xludf.DUMMYFUNCTION("""COMPUTED_VALUE"""),690.0)</f>
        <v>690</v>
      </c>
      <c r="Q2759" s="5" t="str">
        <f>IFERROR(__xludf.DUMMYFUNCTION("""COMPUTED_VALUE"""),"Kramer vs. Kramer")</f>
        <v>Kramer vs. Kramer</v>
      </c>
      <c r="R2759" s="5" t="str">
        <f>IFERROR(__xludf.DUMMYFUNCTION("""COMPUTED_VALUE"""),"Meryl Streep")</f>
        <v>Meryl Streep</v>
      </c>
      <c r="S2759" s="5" t="str">
        <f>IFERROR(__xludf.DUMMYFUNCTION("""COMPUTED_VALUE"""),"Estrela 2")</f>
        <v>Estrela 2</v>
      </c>
    </row>
    <row r="2760">
      <c r="G2760" s="5" t="str">
        <f>IFERROR(__xludf.DUMMYFUNCTION("""COMPUTED_VALUE"""),"690🤙🏼Kramer vs. Kramer🤙🏼Jane Alexander🤙🏼Estrela 3")</f>
        <v>690🤙🏼Kramer vs. Kramer🤙🏼Jane Alexander🤙🏼Estrela 3</v>
      </c>
      <c r="H2760" s="5">
        <f>IFERROR(__xludf.DUMMYFUNCTION("SPLiT(G2760, ""🤙🏼"",FALSE,FALSE)"),690.0)</f>
        <v>690</v>
      </c>
      <c r="I2760" s="5" t="str">
        <f>IFERROR(__xludf.DUMMYFUNCTION("""COMPUTED_VALUE"""),"Kramer vs. Kramer")</f>
        <v>Kramer vs. Kramer</v>
      </c>
      <c r="J2760" s="5" t="str">
        <f>IFERROR(__xludf.DUMMYFUNCTION("""COMPUTED_VALUE"""),"Jane Alexander")</f>
        <v>Jane Alexander</v>
      </c>
      <c r="K2760" s="5" t="str">
        <f>IFERROR(__xludf.DUMMYFUNCTION("""COMPUTED_VALUE"""),"Estrela 3")</f>
        <v>Estrela 3</v>
      </c>
      <c r="P2760" s="5">
        <f>IFERROR(__xludf.DUMMYFUNCTION("""COMPUTED_VALUE"""),690.0)</f>
        <v>690</v>
      </c>
      <c r="Q2760" s="5" t="str">
        <f>IFERROR(__xludf.DUMMYFUNCTION("""COMPUTED_VALUE"""),"Kramer vs. Kramer")</f>
        <v>Kramer vs. Kramer</v>
      </c>
      <c r="R2760" s="5" t="str">
        <f>IFERROR(__xludf.DUMMYFUNCTION("""COMPUTED_VALUE"""),"Jane Alexander")</f>
        <v>Jane Alexander</v>
      </c>
      <c r="S2760" s="5" t="str">
        <f>IFERROR(__xludf.DUMMYFUNCTION("""COMPUTED_VALUE"""),"Estrela 3")</f>
        <v>Estrela 3</v>
      </c>
    </row>
    <row r="2761">
      <c r="G2761" s="5" t="str">
        <f>IFERROR(__xludf.DUMMYFUNCTION("""COMPUTED_VALUE"""),"690🤙🏼Kramer vs. Kramer🤙🏼Justin Henry🤙🏼Estrela 4")</f>
        <v>690🤙🏼Kramer vs. Kramer🤙🏼Justin Henry🤙🏼Estrela 4</v>
      </c>
      <c r="H2761" s="5">
        <f>IFERROR(__xludf.DUMMYFUNCTION("SPLiT(G2761, ""🤙🏼"",FALSE,FALSE)"),690.0)</f>
        <v>690</v>
      </c>
      <c r="I2761" s="5" t="str">
        <f>IFERROR(__xludf.DUMMYFUNCTION("""COMPUTED_VALUE"""),"Kramer vs. Kramer")</f>
        <v>Kramer vs. Kramer</v>
      </c>
      <c r="J2761" s="5" t="str">
        <f>IFERROR(__xludf.DUMMYFUNCTION("""COMPUTED_VALUE"""),"Justin Henry")</f>
        <v>Justin Henry</v>
      </c>
      <c r="K2761" s="5" t="str">
        <f>IFERROR(__xludf.DUMMYFUNCTION("""COMPUTED_VALUE"""),"Estrela 4")</f>
        <v>Estrela 4</v>
      </c>
      <c r="P2761" s="5">
        <f>IFERROR(__xludf.DUMMYFUNCTION("""COMPUTED_VALUE"""),690.0)</f>
        <v>690</v>
      </c>
      <c r="Q2761" s="5" t="str">
        <f>IFERROR(__xludf.DUMMYFUNCTION("""COMPUTED_VALUE"""),"Kramer vs. Kramer")</f>
        <v>Kramer vs. Kramer</v>
      </c>
      <c r="R2761" s="5" t="str">
        <f>IFERROR(__xludf.DUMMYFUNCTION("""COMPUTED_VALUE"""),"Justin Henry")</f>
        <v>Justin Henry</v>
      </c>
      <c r="S2761" s="5" t="str">
        <f>IFERROR(__xludf.DUMMYFUNCTION("""COMPUTED_VALUE"""),"Estrela 4")</f>
        <v>Estrela 4</v>
      </c>
    </row>
    <row r="2762">
      <c r="G2762" s="5" t="str">
        <f>IFERROR(__xludf.DUMMYFUNCTION("""COMPUTED_VALUE"""),"691🤙🏼Days of Heaven🤙🏼Richard Gere🤙🏼Estrela 1")</f>
        <v>691🤙🏼Days of Heaven🤙🏼Richard Gere🤙🏼Estrela 1</v>
      </c>
      <c r="H2762" s="5">
        <f>IFERROR(__xludf.DUMMYFUNCTION("SPLiT(G2762, ""🤙🏼"",FALSE,FALSE)"),691.0)</f>
        <v>691</v>
      </c>
      <c r="I2762" s="5" t="str">
        <f>IFERROR(__xludf.DUMMYFUNCTION("""COMPUTED_VALUE"""),"Days of Heaven")</f>
        <v>Days of Heaven</v>
      </c>
      <c r="J2762" s="5" t="str">
        <f>IFERROR(__xludf.DUMMYFUNCTION("""COMPUTED_VALUE"""),"Richard Gere")</f>
        <v>Richard Gere</v>
      </c>
      <c r="K2762" s="5" t="str">
        <f>IFERROR(__xludf.DUMMYFUNCTION("""COMPUTED_VALUE"""),"Estrela 1")</f>
        <v>Estrela 1</v>
      </c>
      <c r="P2762" s="5">
        <f>IFERROR(__xludf.DUMMYFUNCTION("""COMPUTED_VALUE"""),691.0)</f>
        <v>691</v>
      </c>
      <c r="Q2762" s="5" t="str">
        <f>IFERROR(__xludf.DUMMYFUNCTION("""COMPUTED_VALUE"""),"Days of Heaven")</f>
        <v>Days of Heaven</v>
      </c>
      <c r="R2762" s="5" t="str">
        <f>IFERROR(__xludf.DUMMYFUNCTION("""COMPUTED_VALUE"""),"Richard Gere")</f>
        <v>Richard Gere</v>
      </c>
      <c r="S2762" s="5" t="str">
        <f>IFERROR(__xludf.DUMMYFUNCTION("""COMPUTED_VALUE"""),"Estrela 1")</f>
        <v>Estrela 1</v>
      </c>
    </row>
    <row r="2763">
      <c r="G2763" s="5" t="str">
        <f>IFERROR(__xludf.DUMMYFUNCTION("""COMPUTED_VALUE"""),"691🤙🏼Days of Heaven🤙🏼Brooke Adams🤙🏼Estrela 2")</f>
        <v>691🤙🏼Days of Heaven🤙🏼Brooke Adams🤙🏼Estrela 2</v>
      </c>
      <c r="H2763" s="5">
        <f>IFERROR(__xludf.DUMMYFUNCTION("SPLiT(G2763, ""🤙🏼"",FALSE,FALSE)"),691.0)</f>
        <v>691</v>
      </c>
      <c r="I2763" s="5" t="str">
        <f>IFERROR(__xludf.DUMMYFUNCTION("""COMPUTED_VALUE"""),"Days of Heaven")</f>
        <v>Days of Heaven</v>
      </c>
      <c r="J2763" s="5" t="str">
        <f>IFERROR(__xludf.DUMMYFUNCTION("""COMPUTED_VALUE"""),"Brooke Adams")</f>
        <v>Brooke Adams</v>
      </c>
      <c r="K2763" s="5" t="str">
        <f>IFERROR(__xludf.DUMMYFUNCTION("""COMPUTED_VALUE"""),"Estrela 2")</f>
        <v>Estrela 2</v>
      </c>
      <c r="P2763" s="5">
        <f>IFERROR(__xludf.DUMMYFUNCTION("""COMPUTED_VALUE"""),691.0)</f>
        <v>691</v>
      </c>
      <c r="Q2763" s="5" t="str">
        <f>IFERROR(__xludf.DUMMYFUNCTION("""COMPUTED_VALUE"""),"Days of Heaven")</f>
        <v>Days of Heaven</v>
      </c>
      <c r="R2763" s="5" t="str">
        <f>IFERROR(__xludf.DUMMYFUNCTION("""COMPUTED_VALUE"""),"Brooke Adams")</f>
        <v>Brooke Adams</v>
      </c>
      <c r="S2763" s="5" t="str">
        <f>IFERROR(__xludf.DUMMYFUNCTION("""COMPUTED_VALUE"""),"Estrela 2")</f>
        <v>Estrela 2</v>
      </c>
    </row>
    <row r="2764">
      <c r="G2764" s="5" t="str">
        <f>IFERROR(__xludf.DUMMYFUNCTION("""COMPUTED_VALUE"""),"691🤙🏼Days of Heaven🤙🏼Sam Shepard🤙🏼Estrela 3")</f>
        <v>691🤙🏼Days of Heaven🤙🏼Sam Shepard🤙🏼Estrela 3</v>
      </c>
      <c r="H2764" s="5">
        <f>IFERROR(__xludf.DUMMYFUNCTION("SPLiT(G2764, ""🤙🏼"",FALSE,FALSE)"),691.0)</f>
        <v>691</v>
      </c>
      <c r="I2764" s="5" t="str">
        <f>IFERROR(__xludf.DUMMYFUNCTION("""COMPUTED_VALUE"""),"Days of Heaven")</f>
        <v>Days of Heaven</v>
      </c>
      <c r="J2764" s="5" t="str">
        <f>IFERROR(__xludf.DUMMYFUNCTION("""COMPUTED_VALUE"""),"Sam Shepard")</f>
        <v>Sam Shepard</v>
      </c>
      <c r="K2764" s="5" t="str">
        <f>IFERROR(__xludf.DUMMYFUNCTION("""COMPUTED_VALUE"""),"Estrela 3")</f>
        <v>Estrela 3</v>
      </c>
      <c r="P2764" s="5">
        <f>IFERROR(__xludf.DUMMYFUNCTION("""COMPUTED_VALUE"""),691.0)</f>
        <v>691</v>
      </c>
      <c r="Q2764" s="5" t="str">
        <f>IFERROR(__xludf.DUMMYFUNCTION("""COMPUTED_VALUE"""),"Days of Heaven")</f>
        <v>Days of Heaven</v>
      </c>
      <c r="R2764" s="5" t="str">
        <f>IFERROR(__xludf.DUMMYFUNCTION("""COMPUTED_VALUE"""),"Sam Shepard")</f>
        <v>Sam Shepard</v>
      </c>
      <c r="S2764" s="5" t="str">
        <f>IFERROR(__xludf.DUMMYFUNCTION("""COMPUTED_VALUE"""),"Estrela 3")</f>
        <v>Estrela 3</v>
      </c>
    </row>
    <row r="2765">
      <c r="G2765" s="5" t="str">
        <f>IFERROR(__xludf.DUMMYFUNCTION("""COMPUTED_VALUE"""),"691🤙🏼Days of Heaven🤙🏼Linda Manz🤙🏼Estrela 4")</f>
        <v>691🤙🏼Days of Heaven🤙🏼Linda Manz🤙🏼Estrela 4</v>
      </c>
      <c r="H2765" s="5">
        <f>IFERROR(__xludf.DUMMYFUNCTION("SPLiT(G2765, ""🤙🏼"",FALSE,FALSE)"),691.0)</f>
        <v>691</v>
      </c>
      <c r="I2765" s="5" t="str">
        <f>IFERROR(__xludf.DUMMYFUNCTION("""COMPUTED_VALUE"""),"Days of Heaven")</f>
        <v>Days of Heaven</v>
      </c>
      <c r="J2765" s="5" t="str">
        <f>IFERROR(__xludf.DUMMYFUNCTION("""COMPUTED_VALUE"""),"Linda Manz")</f>
        <v>Linda Manz</v>
      </c>
      <c r="K2765" s="5" t="str">
        <f>IFERROR(__xludf.DUMMYFUNCTION("""COMPUTED_VALUE"""),"Estrela 4")</f>
        <v>Estrela 4</v>
      </c>
      <c r="P2765" s="5">
        <f>IFERROR(__xludf.DUMMYFUNCTION("""COMPUTED_VALUE"""),691.0)</f>
        <v>691</v>
      </c>
      <c r="Q2765" s="5" t="str">
        <f>IFERROR(__xludf.DUMMYFUNCTION("""COMPUTED_VALUE"""),"Days of Heaven")</f>
        <v>Days of Heaven</v>
      </c>
      <c r="R2765" s="5" t="str">
        <f>IFERROR(__xludf.DUMMYFUNCTION("""COMPUTED_VALUE"""),"Linda Manz")</f>
        <v>Linda Manz</v>
      </c>
      <c r="S2765" s="5" t="str">
        <f>IFERROR(__xludf.DUMMYFUNCTION("""COMPUTED_VALUE"""),"Estrela 4")</f>
        <v>Estrela 4</v>
      </c>
    </row>
    <row r="2766">
      <c r="G2766" s="5" t="str">
        <f>IFERROR(__xludf.DUMMYFUNCTION("""COMPUTED_VALUE"""),"692🤙🏼The Outlaw Josey Wales🤙🏼Clint Eastwood🤙🏼Estrela 1")</f>
        <v>692🤙🏼The Outlaw Josey Wales🤙🏼Clint Eastwood🤙🏼Estrela 1</v>
      </c>
      <c r="H2766" s="5">
        <f>IFERROR(__xludf.DUMMYFUNCTION("SPLiT(G2766, ""🤙🏼"",FALSE,FALSE)"),692.0)</f>
        <v>692</v>
      </c>
      <c r="I2766" s="5" t="str">
        <f>IFERROR(__xludf.DUMMYFUNCTION("""COMPUTED_VALUE"""),"The Outlaw Josey Wales")</f>
        <v>The Outlaw Josey Wales</v>
      </c>
      <c r="J2766" s="5" t="str">
        <f>IFERROR(__xludf.DUMMYFUNCTION("""COMPUTED_VALUE"""),"Clint Eastwood")</f>
        <v>Clint Eastwood</v>
      </c>
      <c r="K2766" s="5" t="str">
        <f>IFERROR(__xludf.DUMMYFUNCTION("""COMPUTED_VALUE"""),"Estrela 1")</f>
        <v>Estrela 1</v>
      </c>
      <c r="P2766" s="5">
        <f>IFERROR(__xludf.DUMMYFUNCTION("""COMPUTED_VALUE"""),692.0)</f>
        <v>692</v>
      </c>
      <c r="Q2766" s="5" t="str">
        <f>IFERROR(__xludf.DUMMYFUNCTION("""COMPUTED_VALUE"""),"The Outlaw Josey Wales")</f>
        <v>The Outlaw Josey Wales</v>
      </c>
      <c r="R2766" s="5" t="str">
        <f>IFERROR(__xludf.DUMMYFUNCTION("""COMPUTED_VALUE"""),"Clint Eastwood")</f>
        <v>Clint Eastwood</v>
      </c>
      <c r="S2766" s="5" t="str">
        <f>IFERROR(__xludf.DUMMYFUNCTION("""COMPUTED_VALUE"""),"Estrela 1")</f>
        <v>Estrela 1</v>
      </c>
    </row>
    <row r="2767">
      <c r="G2767" s="5" t="str">
        <f>IFERROR(__xludf.DUMMYFUNCTION("""COMPUTED_VALUE"""),"692🤙🏼The Outlaw Josey Wales🤙🏼Sondra Locke🤙🏼Estrela 2")</f>
        <v>692🤙🏼The Outlaw Josey Wales🤙🏼Sondra Locke🤙🏼Estrela 2</v>
      </c>
      <c r="H2767" s="5">
        <f>IFERROR(__xludf.DUMMYFUNCTION("SPLiT(G2767, ""🤙🏼"",FALSE,FALSE)"),692.0)</f>
        <v>692</v>
      </c>
      <c r="I2767" s="5" t="str">
        <f>IFERROR(__xludf.DUMMYFUNCTION("""COMPUTED_VALUE"""),"The Outlaw Josey Wales")</f>
        <v>The Outlaw Josey Wales</v>
      </c>
      <c r="J2767" s="5" t="str">
        <f>IFERROR(__xludf.DUMMYFUNCTION("""COMPUTED_VALUE"""),"Sondra Locke")</f>
        <v>Sondra Locke</v>
      </c>
      <c r="K2767" s="5" t="str">
        <f>IFERROR(__xludf.DUMMYFUNCTION("""COMPUTED_VALUE"""),"Estrela 2")</f>
        <v>Estrela 2</v>
      </c>
      <c r="P2767" s="5">
        <f>IFERROR(__xludf.DUMMYFUNCTION("""COMPUTED_VALUE"""),692.0)</f>
        <v>692</v>
      </c>
      <c r="Q2767" s="5" t="str">
        <f>IFERROR(__xludf.DUMMYFUNCTION("""COMPUTED_VALUE"""),"The Outlaw Josey Wales")</f>
        <v>The Outlaw Josey Wales</v>
      </c>
      <c r="R2767" s="5" t="str">
        <f>IFERROR(__xludf.DUMMYFUNCTION("""COMPUTED_VALUE"""),"Sondra Locke")</f>
        <v>Sondra Locke</v>
      </c>
      <c r="S2767" s="5" t="str">
        <f>IFERROR(__xludf.DUMMYFUNCTION("""COMPUTED_VALUE"""),"Estrela 2")</f>
        <v>Estrela 2</v>
      </c>
    </row>
    <row r="2768">
      <c r="G2768" s="5" t="str">
        <f>IFERROR(__xludf.DUMMYFUNCTION("""COMPUTED_VALUE"""),"692🤙🏼The Outlaw Josey Wales🤙🏼Chief Dan George🤙🏼Estrela 3")</f>
        <v>692🤙🏼The Outlaw Josey Wales🤙🏼Chief Dan George🤙🏼Estrela 3</v>
      </c>
      <c r="H2768" s="5">
        <f>IFERROR(__xludf.DUMMYFUNCTION("SPLiT(G2768, ""🤙🏼"",FALSE,FALSE)"),692.0)</f>
        <v>692</v>
      </c>
      <c r="I2768" s="5" t="str">
        <f>IFERROR(__xludf.DUMMYFUNCTION("""COMPUTED_VALUE"""),"The Outlaw Josey Wales")</f>
        <v>The Outlaw Josey Wales</v>
      </c>
      <c r="J2768" s="5" t="str">
        <f>IFERROR(__xludf.DUMMYFUNCTION("""COMPUTED_VALUE"""),"Chief Dan George")</f>
        <v>Chief Dan George</v>
      </c>
      <c r="K2768" s="5" t="str">
        <f>IFERROR(__xludf.DUMMYFUNCTION("""COMPUTED_VALUE"""),"Estrela 3")</f>
        <v>Estrela 3</v>
      </c>
      <c r="P2768" s="5">
        <f>IFERROR(__xludf.DUMMYFUNCTION("""COMPUTED_VALUE"""),692.0)</f>
        <v>692</v>
      </c>
      <c r="Q2768" s="5" t="str">
        <f>IFERROR(__xludf.DUMMYFUNCTION("""COMPUTED_VALUE"""),"The Outlaw Josey Wales")</f>
        <v>The Outlaw Josey Wales</v>
      </c>
      <c r="R2768" s="5" t="str">
        <f>IFERROR(__xludf.DUMMYFUNCTION("""COMPUTED_VALUE"""),"Chief Dan George")</f>
        <v>Chief Dan George</v>
      </c>
      <c r="S2768" s="5" t="str">
        <f>IFERROR(__xludf.DUMMYFUNCTION("""COMPUTED_VALUE"""),"Estrela 3")</f>
        <v>Estrela 3</v>
      </c>
    </row>
    <row r="2769">
      <c r="G2769" s="5" t="str">
        <f>IFERROR(__xludf.DUMMYFUNCTION("""COMPUTED_VALUE"""),"692🤙🏼The Outlaw Josey Wales🤙🏼Bill McKinney🤙🏼Estrela 4")</f>
        <v>692🤙🏼The Outlaw Josey Wales🤙🏼Bill McKinney🤙🏼Estrela 4</v>
      </c>
      <c r="H2769" s="5">
        <f>IFERROR(__xludf.DUMMYFUNCTION("SPLiT(G2769, ""🤙🏼"",FALSE,FALSE)"),692.0)</f>
        <v>692</v>
      </c>
      <c r="I2769" s="5" t="str">
        <f>IFERROR(__xludf.DUMMYFUNCTION("""COMPUTED_VALUE"""),"The Outlaw Josey Wales")</f>
        <v>The Outlaw Josey Wales</v>
      </c>
      <c r="J2769" s="5" t="str">
        <f>IFERROR(__xludf.DUMMYFUNCTION("""COMPUTED_VALUE"""),"Bill McKinney")</f>
        <v>Bill McKinney</v>
      </c>
      <c r="K2769" s="5" t="str">
        <f>IFERROR(__xludf.DUMMYFUNCTION("""COMPUTED_VALUE"""),"Estrela 4")</f>
        <v>Estrela 4</v>
      </c>
      <c r="P2769" s="5">
        <f>IFERROR(__xludf.DUMMYFUNCTION("""COMPUTED_VALUE"""),692.0)</f>
        <v>692</v>
      </c>
      <c r="Q2769" s="5" t="str">
        <f>IFERROR(__xludf.DUMMYFUNCTION("""COMPUTED_VALUE"""),"The Outlaw Josey Wales")</f>
        <v>The Outlaw Josey Wales</v>
      </c>
      <c r="R2769" s="5" t="str">
        <f>IFERROR(__xludf.DUMMYFUNCTION("""COMPUTED_VALUE"""),"Bill McKinney")</f>
        <v>Bill McKinney</v>
      </c>
      <c r="S2769" s="5" t="str">
        <f>IFERROR(__xludf.DUMMYFUNCTION("""COMPUTED_VALUE"""),"Estrela 4")</f>
        <v>Estrela 4</v>
      </c>
    </row>
    <row r="2770">
      <c r="G2770" s="5" t="str">
        <f>IFERROR(__xludf.DUMMYFUNCTION("""COMPUTED_VALUE"""),"693🤙🏼The Man Who Would Be King🤙🏼Sean Connery🤙🏼Estrela 1")</f>
        <v>693🤙🏼The Man Who Would Be King🤙🏼Sean Connery🤙🏼Estrela 1</v>
      </c>
      <c r="H2770" s="5">
        <f>IFERROR(__xludf.DUMMYFUNCTION("SPLiT(G2770, ""🤙🏼"",FALSE,FALSE)"),693.0)</f>
        <v>693</v>
      </c>
      <c r="I2770" s="5" t="str">
        <f>IFERROR(__xludf.DUMMYFUNCTION("""COMPUTED_VALUE"""),"The Man Who Would Be King")</f>
        <v>The Man Who Would Be King</v>
      </c>
      <c r="J2770" s="5" t="str">
        <f>IFERROR(__xludf.DUMMYFUNCTION("""COMPUTED_VALUE"""),"Sean Connery")</f>
        <v>Sean Connery</v>
      </c>
      <c r="K2770" s="5" t="str">
        <f>IFERROR(__xludf.DUMMYFUNCTION("""COMPUTED_VALUE"""),"Estrela 1")</f>
        <v>Estrela 1</v>
      </c>
      <c r="P2770" s="5">
        <f>IFERROR(__xludf.DUMMYFUNCTION("""COMPUTED_VALUE"""),693.0)</f>
        <v>693</v>
      </c>
      <c r="Q2770" s="5" t="str">
        <f>IFERROR(__xludf.DUMMYFUNCTION("""COMPUTED_VALUE"""),"The Man Who Would Be King")</f>
        <v>The Man Who Would Be King</v>
      </c>
      <c r="R2770" s="5" t="str">
        <f>IFERROR(__xludf.DUMMYFUNCTION("""COMPUTED_VALUE"""),"Sean Connery")</f>
        <v>Sean Connery</v>
      </c>
      <c r="S2770" s="5" t="str">
        <f>IFERROR(__xludf.DUMMYFUNCTION("""COMPUTED_VALUE"""),"Estrela 1")</f>
        <v>Estrela 1</v>
      </c>
    </row>
    <row r="2771">
      <c r="G2771" s="5" t="str">
        <f>IFERROR(__xludf.DUMMYFUNCTION("""COMPUTED_VALUE"""),"693🤙🏼The Man Who Would Be King🤙🏼Michael Caine🤙🏼Estrela 2")</f>
        <v>693🤙🏼The Man Who Would Be King🤙🏼Michael Caine🤙🏼Estrela 2</v>
      </c>
      <c r="H2771" s="5">
        <f>IFERROR(__xludf.DUMMYFUNCTION("SPLiT(G2771, ""🤙🏼"",FALSE,FALSE)"),693.0)</f>
        <v>693</v>
      </c>
      <c r="I2771" s="5" t="str">
        <f>IFERROR(__xludf.DUMMYFUNCTION("""COMPUTED_VALUE"""),"The Man Who Would Be King")</f>
        <v>The Man Who Would Be King</v>
      </c>
      <c r="J2771" s="5" t="str">
        <f>IFERROR(__xludf.DUMMYFUNCTION("""COMPUTED_VALUE"""),"Michael Caine")</f>
        <v>Michael Caine</v>
      </c>
      <c r="K2771" s="5" t="str">
        <f>IFERROR(__xludf.DUMMYFUNCTION("""COMPUTED_VALUE"""),"Estrela 2")</f>
        <v>Estrela 2</v>
      </c>
      <c r="P2771" s="5">
        <f>IFERROR(__xludf.DUMMYFUNCTION("""COMPUTED_VALUE"""),693.0)</f>
        <v>693</v>
      </c>
      <c r="Q2771" s="5" t="str">
        <f>IFERROR(__xludf.DUMMYFUNCTION("""COMPUTED_VALUE"""),"The Man Who Would Be King")</f>
        <v>The Man Who Would Be King</v>
      </c>
      <c r="R2771" s="5" t="str">
        <f>IFERROR(__xludf.DUMMYFUNCTION("""COMPUTED_VALUE"""),"Michael Caine")</f>
        <v>Michael Caine</v>
      </c>
      <c r="S2771" s="5" t="str">
        <f>IFERROR(__xludf.DUMMYFUNCTION("""COMPUTED_VALUE"""),"Estrela 2")</f>
        <v>Estrela 2</v>
      </c>
    </row>
    <row r="2772">
      <c r="G2772" s="5" t="str">
        <f>IFERROR(__xludf.DUMMYFUNCTION("""COMPUTED_VALUE"""),"693🤙🏼The Man Who Would Be King🤙🏼Christopher Plummer🤙🏼Estrela 3")</f>
        <v>693🤙🏼The Man Who Would Be King🤙🏼Christopher Plummer🤙🏼Estrela 3</v>
      </c>
      <c r="H2772" s="5">
        <f>IFERROR(__xludf.DUMMYFUNCTION("SPLiT(G2772, ""🤙🏼"",FALSE,FALSE)"),693.0)</f>
        <v>693</v>
      </c>
      <c r="I2772" s="5" t="str">
        <f>IFERROR(__xludf.DUMMYFUNCTION("""COMPUTED_VALUE"""),"The Man Who Would Be King")</f>
        <v>The Man Who Would Be King</v>
      </c>
      <c r="J2772" s="5" t="str">
        <f>IFERROR(__xludf.DUMMYFUNCTION("""COMPUTED_VALUE"""),"Christopher Plummer")</f>
        <v>Christopher Plummer</v>
      </c>
      <c r="K2772" s="5" t="str">
        <f>IFERROR(__xludf.DUMMYFUNCTION("""COMPUTED_VALUE"""),"Estrela 3")</f>
        <v>Estrela 3</v>
      </c>
      <c r="P2772" s="5">
        <f>IFERROR(__xludf.DUMMYFUNCTION("""COMPUTED_VALUE"""),693.0)</f>
        <v>693</v>
      </c>
      <c r="Q2772" s="5" t="str">
        <f>IFERROR(__xludf.DUMMYFUNCTION("""COMPUTED_VALUE"""),"The Man Who Would Be King")</f>
        <v>The Man Who Would Be King</v>
      </c>
      <c r="R2772" s="5" t="str">
        <f>IFERROR(__xludf.DUMMYFUNCTION("""COMPUTED_VALUE"""),"Christopher Plummer")</f>
        <v>Christopher Plummer</v>
      </c>
      <c r="S2772" s="5" t="str">
        <f>IFERROR(__xludf.DUMMYFUNCTION("""COMPUTED_VALUE"""),"Estrela 3")</f>
        <v>Estrela 3</v>
      </c>
    </row>
    <row r="2773">
      <c r="G2773" s="5" t="str">
        <f>IFERROR(__xludf.DUMMYFUNCTION("""COMPUTED_VALUE"""),"693🤙🏼The Man Who Would Be King🤙🏼Saeed Jaffrey🤙🏼Estrela 4")</f>
        <v>693🤙🏼The Man Who Would Be King🤙🏼Saeed Jaffrey🤙🏼Estrela 4</v>
      </c>
      <c r="H2773" s="5">
        <f>IFERROR(__xludf.DUMMYFUNCTION("SPLiT(G2773, ""🤙🏼"",FALSE,FALSE)"),693.0)</f>
        <v>693</v>
      </c>
      <c r="I2773" s="5" t="str">
        <f>IFERROR(__xludf.DUMMYFUNCTION("""COMPUTED_VALUE"""),"The Man Who Would Be King")</f>
        <v>The Man Who Would Be King</v>
      </c>
      <c r="J2773" s="5" t="str">
        <f>IFERROR(__xludf.DUMMYFUNCTION("""COMPUTED_VALUE"""),"Saeed Jaffrey")</f>
        <v>Saeed Jaffrey</v>
      </c>
      <c r="K2773" s="5" t="str">
        <f>IFERROR(__xludf.DUMMYFUNCTION("""COMPUTED_VALUE"""),"Estrela 4")</f>
        <v>Estrela 4</v>
      </c>
      <c r="P2773" s="5">
        <f>IFERROR(__xludf.DUMMYFUNCTION("""COMPUTED_VALUE"""),693.0)</f>
        <v>693</v>
      </c>
      <c r="Q2773" s="5" t="str">
        <f>IFERROR(__xludf.DUMMYFUNCTION("""COMPUTED_VALUE"""),"The Man Who Would Be King")</f>
        <v>The Man Who Would Be King</v>
      </c>
      <c r="R2773" s="5" t="str">
        <f>IFERROR(__xludf.DUMMYFUNCTION("""COMPUTED_VALUE"""),"Saeed Jaffrey")</f>
        <v>Saeed Jaffrey</v>
      </c>
      <c r="S2773" s="5" t="str">
        <f>IFERROR(__xludf.DUMMYFUNCTION("""COMPUTED_VALUE"""),"Estrela 4")</f>
        <v>Estrela 4</v>
      </c>
    </row>
    <row r="2774">
      <c r="G2774" s="5" t="str">
        <f>IFERROR(__xludf.DUMMYFUNCTION("""COMPUTED_VALUE"""),"694🤙🏼The Conversation🤙🏼Gene Hackman🤙🏼Estrela 1")</f>
        <v>694🤙🏼The Conversation🤙🏼Gene Hackman🤙🏼Estrela 1</v>
      </c>
      <c r="H2774" s="5">
        <f>IFERROR(__xludf.DUMMYFUNCTION("SPLiT(G2774, ""🤙🏼"",FALSE,FALSE)"),694.0)</f>
        <v>694</v>
      </c>
      <c r="I2774" s="5" t="str">
        <f>IFERROR(__xludf.DUMMYFUNCTION("""COMPUTED_VALUE"""),"The Conversation")</f>
        <v>The Conversation</v>
      </c>
      <c r="J2774" s="5" t="str">
        <f>IFERROR(__xludf.DUMMYFUNCTION("""COMPUTED_VALUE"""),"Gene Hackman")</f>
        <v>Gene Hackman</v>
      </c>
      <c r="K2774" s="5" t="str">
        <f>IFERROR(__xludf.DUMMYFUNCTION("""COMPUTED_VALUE"""),"Estrela 1")</f>
        <v>Estrela 1</v>
      </c>
      <c r="P2774" s="5">
        <f>IFERROR(__xludf.DUMMYFUNCTION("""COMPUTED_VALUE"""),694.0)</f>
        <v>694</v>
      </c>
      <c r="Q2774" s="5" t="str">
        <f>IFERROR(__xludf.DUMMYFUNCTION("""COMPUTED_VALUE"""),"The Conversation")</f>
        <v>The Conversation</v>
      </c>
      <c r="R2774" s="5" t="str">
        <f>IFERROR(__xludf.DUMMYFUNCTION("""COMPUTED_VALUE"""),"Gene Hackman")</f>
        <v>Gene Hackman</v>
      </c>
      <c r="S2774" s="5" t="str">
        <f>IFERROR(__xludf.DUMMYFUNCTION("""COMPUTED_VALUE"""),"Estrela 1")</f>
        <v>Estrela 1</v>
      </c>
    </row>
    <row r="2775">
      <c r="G2775" s="5" t="str">
        <f>IFERROR(__xludf.DUMMYFUNCTION("""COMPUTED_VALUE"""),"694🤙🏼The Conversation🤙🏼John Cazale🤙🏼Estrela 2")</f>
        <v>694🤙🏼The Conversation🤙🏼John Cazale🤙🏼Estrela 2</v>
      </c>
      <c r="H2775" s="5">
        <f>IFERROR(__xludf.DUMMYFUNCTION("SPLiT(G2775, ""🤙🏼"",FALSE,FALSE)"),694.0)</f>
        <v>694</v>
      </c>
      <c r="I2775" s="5" t="str">
        <f>IFERROR(__xludf.DUMMYFUNCTION("""COMPUTED_VALUE"""),"The Conversation")</f>
        <v>The Conversation</v>
      </c>
      <c r="J2775" s="5" t="str">
        <f>IFERROR(__xludf.DUMMYFUNCTION("""COMPUTED_VALUE"""),"John Cazale")</f>
        <v>John Cazale</v>
      </c>
      <c r="K2775" s="5" t="str">
        <f>IFERROR(__xludf.DUMMYFUNCTION("""COMPUTED_VALUE"""),"Estrela 2")</f>
        <v>Estrela 2</v>
      </c>
      <c r="P2775" s="5">
        <f>IFERROR(__xludf.DUMMYFUNCTION("""COMPUTED_VALUE"""),694.0)</f>
        <v>694</v>
      </c>
      <c r="Q2775" s="5" t="str">
        <f>IFERROR(__xludf.DUMMYFUNCTION("""COMPUTED_VALUE"""),"The Conversation")</f>
        <v>The Conversation</v>
      </c>
      <c r="R2775" s="5" t="str">
        <f>IFERROR(__xludf.DUMMYFUNCTION("""COMPUTED_VALUE"""),"John Cazale")</f>
        <v>John Cazale</v>
      </c>
      <c r="S2775" s="5" t="str">
        <f>IFERROR(__xludf.DUMMYFUNCTION("""COMPUTED_VALUE"""),"Estrela 2")</f>
        <v>Estrela 2</v>
      </c>
    </row>
    <row r="2776">
      <c r="G2776" s="5" t="str">
        <f>IFERROR(__xludf.DUMMYFUNCTION("""COMPUTED_VALUE"""),"694🤙🏼The Conversation🤙🏼Allen Garfield🤙🏼Estrela 3")</f>
        <v>694🤙🏼The Conversation🤙🏼Allen Garfield🤙🏼Estrela 3</v>
      </c>
      <c r="H2776" s="5">
        <f>IFERROR(__xludf.DUMMYFUNCTION("SPLiT(G2776, ""🤙🏼"",FALSE,FALSE)"),694.0)</f>
        <v>694</v>
      </c>
      <c r="I2776" s="5" t="str">
        <f>IFERROR(__xludf.DUMMYFUNCTION("""COMPUTED_VALUE"""),"The Conversation")</f>
        <v>The Conversation</v>
      </c>
      <c r="J2776" s="5" t="str">
        <f>IFERROR(__xludf.DUMMYFUNCTION("""COMPUTED_VALUE"""),"Allen Garfield")</f>
        <v>Allen Garfield</v>
      </c>
      <c r="K2776" s="5" t="str">
        <f>IFERROR(__xludf.DUMMYFUNCTION("""COMPUTED_VALUE"""),"Estrela 3")</f>
        <v>Estrela 3</v>
      </c>
      <c r="P2776" s="5">
        <f>IFERROR(__xludf.DUMMYFUNCTION("""COMPUTED_VALUE"""),694.0)</f>
        <v>694</v>
      </c>
      <c r="Q2776" s="5" t="str">
        <f>IFERROR(__xludf.DUMMYFUNCTION("""COMPUTED_VALUE"""),"The Conversation")</f>
        <v>The Conversation</v>
      </c>
      <c r="R2776" s="5" t="str">
        <f>IFERROR(__xludf.DUMMYFUNCTION("""COMPUTED_VALUE"""),"Allen Garfield")</f>
        <v>Allen Garfield</v>
      </c>
      <c r="S2776" s="5" t="str">
        <f>IFERROR(__xludf.DUMMYFUNCTION("""COMPUTED_VALUE"""),"Estrela 3")</f>
        <v>Estrela 3</v>
      </c>
    </row>
    <row r="2777">
      <c r="G2777" s="5" t="str">
        <f>IFERROR(__xludf.DUMMYFUNCTION("""COMPUTED_VALUE"""),"694🤙🏼The Conversation🤙🏼Frederic Forrest🤙🏼Estrela 4")</f>
        <v>694🤙🏼The Conversation🤙🏼Frederic Forrest🤙🏼Estrela 4</v>
      </c>
      <c r="H2777" s="5">
        <f>IFERROR(__xludf.DUMMYFUNCTION("SPLiT(G2777, ""🤙🏼"",FALSE,FALSE)"),694.0)</f>
        <v>694</v>
      </c>
      <c r="I2777" s="5" t="str">
        <f>IFERROR(__xludf.DUMMYFUNCTION("""COMPUTED_VALUE"""),"The Conversation")</f>
        <v>The Conversation</v>
      </c>
      <c r="J2777" s="5" t="str">
        <f>IFERROR(__xludf.DUMMYFUNCTION("""COMPUTED_VALUE"""),"Frederic Forrest")</f>
        <v>Frederic Forrest</v>
      </c>
      <c r="K2777" s="5" t="str">
        <f>IFERROR(__xludf.DUMMYFUNCTION("""COMPUTED_VALUE"""),"Estrela 4")</f>
        <v>Estrela 4</v>
      </c>
      <c r="P2777" s="5">
        <f>IFERROR(__xludf.DUMMYFUNCTION("""COMPUTED_VALUE"""),694.0)</f>
        <v>694</v>
      </c>
      <c r="Q2777" s="5" t="str">
        <f>IFERROR(__xludf.DUMMYFUNCTION("""COMPUTED_VALUE"""),"The Conversation")</f>
        <v>The Conversation</v>
      </c>
      <c r="R2777" s="5" t="str">
        <f>IFERROR(__xludf.DUMMYFUNCTION("""COMPUTED_VALUE"""),"Frederic Forrest")</f>
        <v>Frederic Forrest</v>
      </c>
      <c r="S2777" s="5" t="str">
        <f>IFERROR(__xludf.DUMMYFUNCTION("""COMPUTED_VALUE"""),"Estrela 4")</f>
        <v>Estrela 4</v>
      </c>
    </row>
    <row r="2778">
      <c r="G2778" s="5" t="str">
        <f>IFERROR(__xludf.DUMMYFUNCTION("""COMPUTED_VALUE"""),"695🤙🏼La planète sauvage🤙🏼Barry Bostwick🤙🏼Estrela 1")</f>
        <v>695🤙🏼La planète sauvage🤙🏼Barry Bostwick🤙🏼Estrela 1</v>
      </c>
      <c r="H2778" s="5">
        <f>IFERROR(__xludf.DUMMYFUNCTION("SPLiT(G2778, ""🤙🏼"",FALSE,FALSE)"),695.0)</f>
        <v>695</v>
      </c>
      <c r="I2778" s="5" t="str">
        <f>IFERROR(__xludf.DUMMYFUNCTION("""COMPUTED_VALUE"""),"La planète sauvage")</f>
        <v>La planète sauvage</v>
      </c>
      <c r="J2778" s="5" t="str">
        <f>IFERROR(__xludf.DUMMYFUNCTION("""COMPUTED_VALUE"""),"Barry Bostwick")</f>
        <v>Barry Bostwick</v>
      </c>
      <c r="K2778" s="5" t="str">
        <f>IFERROR(__xludf.DUMMYFUNCTION("""COMPUTED_VALUE"""),"Estrela 1")</f>
        <v>Estrela 1</v>
      </c>
      <c r="P2778" s="5">
        <f>IFERROR(__xludf.DUMMYFUNCTION("""COMPUTED_VALUE"""),695.0)</f>
        <v>695</v>
      </c>
      <c r="Q2778" s="5" t="str">
        <f>IFERROR(__xludf.DUMMYFUNCTION("""COMPUTED_VALUE"""),"La planète sauvage")</f>
        <v>La planète sauvage</v>
      </c>
      <c r="R2778" s="5" t="str">
        <f>IFERROR(__xludf.DUMMYFUNCTION("""COMPUTED_VALUE"""),"Barry Bostwick")</f>
        <v>Barry Bostwick</v>
      </c>
      <c r="S2778" s="5" t="str">
        <f>IFERROR(__xludf.DUMMYFUNCTION("""COMPUTED_VALUE"""),"Estrela 1")</f>
        <v>Estrela 1</v>
      </c>
    </row>
    <row r="2779">
      <c r="G2779" s="5" t="str">
        <f>IFERROR(__xludf.DUMMYFUNCTION("""COMPUTED_VALUE"""),"695🤙🏼La planète sauvage🤙🏼Jennifer Drake🤙🏼Estrela 2")</f>
        <v>695🤙🏼La planète sauvage🤙🏼Jennifer Drake🤙🏼Estrela 2</v>
      </c>
      <c r="H2779" s="5">
        <f>IFERROR(__xludf.DUMMYFUNCTION("SPLiT(G2779, ""🤙🏼"",FALSE,FALSE)"),695.0)</f>
        <v>695</v>
      </c>
      <c r="I2779" s="5" t="str">
        <f>IFERROR(__xludf.DUMMYFUNCTION("""COMPUTED_VALUE"""),"La planète sauvage")</f>
        <v>La planète sauvage</v>
      </c>
      <c r="J2779" s="5" t="str">
        <f>IFERROR(__xludf.DUMMYFUNCTION("""COMPUTED_VALUE"""),"Jennifer Drake")</f>
        <v>Jennifer Drake</v>
      </c>
      <c r="K2779" s="5" t="str">
        <f>IFERROR(__xludf.DUMMYFUNCTION("""COMPUTED_VALUE"""),"Estrela 2")</f>
        <v>Estrela 2</v>
      </c>
      <c r="P2779" s="5">
        <f>IFERROR(__xludf.DUMMYFUNCTION("""COMPUTED_VALUE"""),695.0)</f>
        <v>695</v>
      </c>
      <c r="Q2779" s="5" t="str">
        <f>IFERROR(__xludf.DUMMYFUNCTION("""COMPUTED_VALUE"""),"La planète sauvage")</f>
        <v>La planète sauvage</v>
      </c>
      <c r="R2779" s="5" t="str">
        <f>IFERROR(__xludf.DUMMYFUNCTION("""COMPUTED_VALUE"""),"Jennifer Drake")</f>
        <v>Jennifer Drake</v>
      </c>
      <c r="S2779" s="5" t="str">
        <f>IFERROR(__xludf.DUMMYFUNCTION("""COMPUTED_VALUE"""),"Estrela 2")</f>
        <v>Estrela 2</v>
      </c>
    </row>
    <row r="2780">
      <c r="G2780" s="5" t="str">
        <f>IFERROR(__xludf.DUMMYFUNCTION("""COMPUTED_VALUE"""),"695🤙🏼La planète sauvage🤙🏼Eric Baugin🤙🏼Estrela 3")</f>
        <v>695🤙🏼La planète sauvage🤙🏼Eric Baugin🤙🏼Estrela 3</v>
      </c>
      <c r="H2780" s="5">
        <f>IFERROR(__xludf.DUMMYFUNCTION("SPLiT(G2780, ""🤙🏼"",FALSE,FALSE)"),695.0)</f>
        <v>695</v>
      </c>
      <c r="I2780" s="5" t="str">
        <f>IFERROR(__xludf.DUMMYFUNCTION("""COMPUTED_VALUE"""),"La planète sauvage")</f>
        <v>La planète sauvage</v>
      </c>
      <c r="J2780" s="5" t="str">
        <f>IFERROR(__xludf.DUMMYFUNCTION("""COMPUTED_VALUE"""),"Eric Baugin")</f>
        <v>Eric Baugin</v>
      </c>
      <c r="K2780" s="5" t="str">
        <f>IFERROR(__xludf.DUMMYFUNCTION("""COMPUTED_VALUE"""),"Estrela 3")</f>
        <v>Estrela 3</v>
      </c>
      <c r="P2780" s="5">
        <f>IFERROR(__xludf.DUMMYFUNCTION("""COMPUTED_VALUE"""),695.0)</f>
        <v>695</v>
      </c>
      <c r="Q2780" s="5" t="str">
        <f>IFERROR(__xludf.DUMMYFUNCTION("""COMPUTED_VALUE"""),"La planète sauvage")</f>
        <v>La planète sauvage</v>
      </c>
      <c r="R2780" s="5" t="str">
        <f>IFERROR(__xludf.DUMMYFUNCTION("""COMPUTED_VALUE"""),"Eric Baugin")</f>
        <v>Eric Baugin</v>
      </c>
      <c r="S2780" s="5" t="str">
        <f>IFERROR(__xludf.DUMMYFUNCTION("""COMPUTED_VALUE"""),"Estrela 3")</f>
        <v>Estrela 3</v>
      </c>
    </row>
    <row r="2781">
      <c r="G2781" s="5" t="str">
        <f>IFERROR(__xludf.DUMMYFUNCTION("""COMPUTED_VALUE"""),"695🤙🏼La planète sauvage🤙🏼Jean Topart🤙🏼Estrela 4")</f>
        <v>695🤙🏼La planète sauvage🤙🏼Jean Topart🤙🏼Estrela 4</v>
      </c>
      <c r="H2781" s="5">
        <f>IFERROR(__xludf.DUMMYFUNCTION("SPLiT(G2781, ""🤙🏼"",FALSE,FALSE)"),695.0)</f>
        <v>695</v>
      </c>
      <c r="I2781" s="5" t="str">
        <f>IFERROR(__xludf.DUMMYFUNCTION("""COMPUTED_VALUE"""),"La planète sauvage")</f>
        <v>La planète sauvage</v>
      </c>
      <c r="J2781" s="5" t="str">
        <f>IFERROR(__xludf.DUMMYFUNCTION("""COMPUTED_VALUE"""),"Jean Topart")</f>
        <v>Jean Topart</v>
      </c>
      <c r="K2781" s="5" t="str">
        <f>IFERROR(__xludf.DUMMYFUNCTION("""COMPUTED_VALUE"""),"Estrela 4")</f>
        <v>Estrela 4</v>
      </c>
      <c r="P2781" s="5">
        <f>IFERROR(__xludf.DUMMYFUNCTION("""COMPUTED_VALUE"""),695.0)</f>
        <v>695</v>
      </c>
      <c r="Q2781" s="5" t="str">
        <f>IFERROR(__xludf.DUMMYFUNCTION("""COMPUTED_VALUE"""),"La planète sauvage")</f>
        <v>La planète sauvage</v>
      </c>
      <c r="R2781" s="5" t="str">
        <f>IFERROR(__xludf.DUMMYFUNCTION("""COMPUTED_VALUE"""),"Jean Topart")</f>
        <v>Jean Topart</v>
      </c>
      <c r="S2781" s="5" t="str">
        <f>IFERROR(__xludf.DUMMYFUNCTION("""COMPUTED_VALUE"""),"Estrela 4")</f>
        <v>Estrela 4</v>
      </c>
    </row>
    <row r="2782">
      <c r="G2782" s="5" t="str">
        <f>IFERROR(__xludf.DUMMYFUNCTION("""COMPUTED_VALUE"""),"696🤙🏼The Day of the Jackal🤙🏼Edward Fox🤙🏼Estrela 1")</f>
        <v>696🤙🏼The Day of the Jackal🤙🏼Edward Fox🤙🏼Estrela 1</v>
      </c>
      <c r="H2782" s="5">
        <f>IFERROR(__xludf.DUMMYFUNCTION("SPLiT(G2782, ""🤙🏼"",FALSE,FALSE)"),696.0)</f>
        <v>696</v>
      </c>
      <c r="I2782" s="5" t="str">
        <f>IFERROR(__xludf.DUMMYFUNCTION("""COMPUTED_VALUE"""),"The Day of the Jackal")</f>
        <v>The Day of the Jackal</v>
      </c>
      <c r="J2782" s="5" t="str">
        <f>IFERROR(__xludf.DUMMYFUNCTION("""COMPUTED_VALUE"""),"Edward Fox")</f>
        <v>Edward Fox</v>
      </c>
      <c r="K2782" s="5" t="str">
        <f>IFERROR(__xludf.DUMMYFUNCTION("""COMPUTED_VALUE"""),"Estrela 1")</f>
        <v>Estrela 1</v>
      </c>
      <c r="P2782" s="5">
        <f>IFERROR(__xludf.DUMMYFUNCTION("""COMPUTED_VALUE"""),696.0)</f>
        <v>696</v>
      </c>
      <c r="Q2782" s="5" t="str">
        <f>IFERROR(__xludf.DUMMYFUNCTION("""COMPUTED_VALUE"""),"The Day of the Jackal")</f>
        <v>The Day of the Jackal</v>
      </c>
      <c r="R2782" s="5" t="str">
        <f>IFERROR(__xludf.DUMMYFUNCTION("""COMPUTED_VALUE"""),"Edward Fox")</f>
        <v>Edward Fox</v>
      </c>
      <c r="S2782" s="5" t="str">
        <f>IFERROR(__xludf.DUMMYFUNCTION("""COMPUTED_VALUE"""),"Estrela 1")</f>
        <v>Estrela 1</v>
      </c>
    </row>
    <row r="2783">
      <c r="G2783" s="5" t="str">
        <f>IFERROR(__xludf.DUMMYFUNCTION("""COMPUTED_VALUE"""),"696🤙🏼The Day of the Jackal🤙🏼Terence Alexander🤙🏼Estrela 2")</f>
        <v>696🤙🏼The Day of the Jackal🤙🏼Terence Alexander🤙🏼Estrela 2</v>
      </c>
      <c r="H2783" s="5">
        <f>IFERROR(__xludf.DUMMYFUNCTION("SPLiT(G2783, ""🤙🏼"",FALSE,FALSE)"),696.0)</f>
        <v>696</v>
      </c>
      <c r="I2783" s="5" t="str">
        <f>IFERROR(__xludf.DUMMYFUNCTION("""COMPUTED_VALUE"""),"The Day of the Jackal")</f>
        <v>The Day of the Jackal</v>
      </c>
      <c r="J2783" s="5" t="str">
        <f>IFERROR(__xludf.DUMMYFUNCTION("""COMPUTED_VALUE"""),"Terence Alexander")</f>
        <v>Terence Alexander</v>
      </c>
      <c r="K2783" s="5" t="str">
        <f>IFERROR(__xludf.DUMMYFUNCTION("""COMPUTED_VALUE"""),"Estrela 2")</f>
        <v>Estrela 2</v>
      </c>
      <c r="P2783" s="5">
        <f>IFERROR(__xludf.DUMMYFUNCTION("""COMPUTED_VALUE"""),696.0)</f>
        <v>696</v>
      </c>
      <c r="Q2783" s="5" t="str">
        <f>IFERROR(__xludf.DUMMYFUNCTION("""COMPUTED_VALUE"""),"The Day of the Jackal")</f>
        <v>The Day of the Jackal</v>
      </c>
      <c r="R2783" s="5" t="str">
        <f>IFERROR(__xludf.DUMMYFUNCTION("""COMPUTED_VALUE"""),"Terence Alexander")</f>
        <v>Terence Alexander</v>
      </c>
      <c r="S2783" s="5" t="str">
        <f>IFERROR(__xludf.DUMMYFUNCTION("""COMPUTED_VALUE"""),"Estrela 2")</f>
        <v>Estrela 2</v>
      </c>
    </row>
    <row r="2784">
      <c r="G2784" s="5" t="str">
        <f>IFERROR(__xludf.DUMMYFUNCTION("""COMPUTED_VALUE"""),"696🤙🏼The Day of the Jackal🤙🏼Michel Auclair🤙🏼Estrela 3")</f>
        <v>696🤙🏼The Day of the Jackal🤙🏼Michel Auclair🤙🏼Estrela 3</v>
      </c>
      <c r="H2784" s="5">
        <f>IFERROR(__xludf.DUMMYFUNCTION("SPLiT(G2784, ""🤙🏼"",FALSE,FALSE)"),696.0)</f>
        <v>696</v>
      </c>
      <c r="I2784" s="5" t="str">
        <f>IFERROR(__xludf.DUMMYFUNCTION("""COMPUTED_VALUE"""),"The Day of the Jackal")</f>
        <v>The Day of the Jackal</v>
      </c>
      <c r="J2784" s="5" t="str">
        <f>IFERROR(__xludf.DUMMYFUNCTION("""COMPUTED_VALUE"""),"Michel Auclair")</f>
        <v>Michel Auclair</v>
      </c>
      <c r="K2784" s="5" t="str">
        <f>IFERROR(__xludf.DUMMYFUNCTION("""COMPUTED_VALUE"""),"Estrela 3")</f>
        <v>Estrela 3</v>
      </c>
      <c r="P2784" s="5">
        <f>IFERROR(__xludf.DUMMYFUNCTION("""COMPUTED_VALUE"""),696.0)</f>
        <v>696</v>
      </c>
      <c r="Q2784" s="5" t="str">
        <f>IFERROR(__xludf.DUMMYFUNCTION("""COMPUTED_VALUE"""),"The Day of the Jackal")</f>
        <v>The Day of the Jackal</v>
      </c>
      <c r="R2784" s="5" t="str">
        <f>IFERROR(__xludf.DUMMYFUNCTION("""COMPUTED_VALUE"""),"Michel Auclair")</f>
        <v>Michel Auclair</v>
      </c>
      <c r="S2784" s="5" t="str">
        <f>IFERROR(__xludf.DUMMYFUNCTION("""COMPUTED_VALUE"""),"Estrela 3")</f>
        <v>Estrela 3</v>
      </c>
    </row>
    <row r="2785">
      <c r="G2785" s="5" t="str">
        <f>IFERROR(__xludf.DUMMYFUNCTION("""COMPUTED_VALUE"""),"696🤙🏼The Day of the Jackal🤙🏼Alan Badel🤙🏼Estrela 4")</f>
        <v>696🤙🏼The Day of the Jackal🤙🏼Alan Badel🤙🏼Estrela 4</v>
      </c>
      <c r="H2785" s="5">
        <f>IFERROR(__xludf.DUMMYFUNCTION("SPLiT(G2785, ""🤙🏼"",FALSE,FALSE)"),696.0)</f>
        <v>696</v>
      </c>
      <c r="I2785" s="5" t="str">
        <f>IFERROR(__xludf.DUMMYFUNCTION("""COMPUTED_VALUE"""),"The Day of the Jackal")</f>
        <v>The Day of the Jackal</v>
      </c>
      <c r="J2785" s="5" t="str">
        <f>IFERROR(__xludf.DUMMYFUNCTION("""COMPUTED_VALUE"""),"Alan Badel")</f>
        <v>Alan Badel</v>
      </c>
      <c r="K2785" s="5" t="str">
        <f>IFERROR(__xludf.DUMMYFUNCTION("""COMPUTED_VALUE"""),"Estrela 4")</f>
        <v>Estrela 4</v>
      </c>
      <c r="P2785" s="5">
        <f>IFERROR(__xludf.DUMMYFUNCTION("""COMPUTED_VALUE"""),696.0)</f>
        <v>696</v>
      </c>
      <c r="Q2785" s="5" t="str">
        <f>IFERROR(__xludf.DUMMYFUNCTION("""COMPUTED_VALUE"""),"The Day of the Jackal")</f>
        <v>The Day of the Jackal</v>
      </c>
      <c r="R2785" s="5" t="str">
        <f>IFERROR(__xludf.DUMMYFUNCTION("""COMPUTED_VALUE"""),"Alan Badel")</f>
        <v>Alan Badel</v>
      </c>
      <c r="S2785" s="5" t="str">
        <f>IFERROR(__xludf.DUMMYFUNCTION("""COMPUTED_VALUE"""),"Estrela 4")</f>
        <v>Estrela 4</v>
      </c>
    </row>
    <row r="2786">
      <c r="G2786" s="5" t="str">
        <f>IFERROR(__xludf.DUMMYFUNCTION("""COMPUTED_VALUE"""),"697🤙🏼Badlands🤙🏼Martin Sheen🤙🏼Estrela 1")</f>
        <v>697🤙🏼Badlands🤙🏼Martin Sheen🤙🏼Estrela 1</v>
      </c>
      <c r="H2786" s="5">
        <f>IFERROR(__xludf.DUMMYFUNCTION("SPLiT(G2786, ""🤙🏼"",FALSE,FALSE)"),697.0)</f>
        <v>697</v>
      </c>
      <c r="I2786" s="5" t="str">
        <f>IFERROR(__xludf.DUMMYFUNCTION("""COMPUTED_VALUE"""),"Badlands")</f>
        <v>Badlands</v>
      </c>
      <c r="J2786" s="5" t="str">
        <f>IFERROR(__xludf.DUMMYFUNCTION("""COMPUTED_VALUE"""),"Martin Sheen")</f>
        <v>Martin Sheen</v>
      </c>
      <c r="K2786" s="5" t="str">
        <f>IFERROR(__xludf.DUMMYFUNCTION("""COMPUTED_VALUE"""),"Estrela 1")</f>
        <v>Estrela 1</v>
      </c>
      <c r="P2786" s="5">
        <f>IFERROR(__xludf.DUMMYFUNCTION("""COMPUTED_VALUE"""),697.0)</f>
        <v>697</v>
      </c>
      <c r="Q2786" s="5" t="str">
        <f>IFERROR(__xludf.DUMMYFUNCTION("""COMPUTED_VALUE"""),"Badlands")</f>
        <v>Badlands</v>
      </c>
      <c r="R2786" s="5" t="str">
        <f>IFERROR(__xludf.DUMMYFUNCTION("""COMPUTED_VALUE"""),"Martin Sheen")</f>
        <v>Martin Sheen</v>
      </c>
      <c r="S2786" s="5" t="str">
        <f>IFERROR(__xludf.DUMMYFUNCTION("""COMPUTED_VALUE"""),"Estrela 1")</f>
        <v>Estrela 1</v>
      </c>
    </row>
    <row r="2787">
      <c r="G2787" s="5" t="str">
        <f>IFERROR(__xludf.DUMMYFUNCTION("""COMPUTED_VALUE"""),"697🤙🏼Badlands🤙🏼Sissy Spacek🤙🏼Estrela 2")</f>
        <v>697🤙🏼Badlands🤙🏼Sissy Spacek🤙🏼Estrela 2</v>
      </c>
      <c r="H2787" s="5">
        <f>IFERROR(__xludf.DUMMYFUNCTION("SPLiT(G2787, ""🤙🏼"",FALSE,FALSE)"),697.0)</f>
        <v>697</v>
      </c>
      <c r="I2787" s="5" t="str">
        <f>IFERROR(__xludf.DUMMYFUNCTION("""COMPUTED_VALUE"""),"Badlands")</f>
        <v>Badlands</v>
      </c>
      <c r="J2787" s="5" t="str">
        <f>IFERROR(__xludf.DUMMYFUNCTION("""COMPUTED_VALUE"""),"Sissy Spacek")</f>
        <v>Sissy Spacek</v>
      </c>
      <c r="K2787" s="5" t="str">
        <f>IFERROR(__xludf.DUMMYFUNCTION("""COMPUTED_VALUE"""),"Estrela 2")</f>
        <v>Estrela 2</v>
      </c>
      <c r="P2787" s="5">
        <f>IFERROR(__xludf.DUMMYFUNCTION("""COMPUTED_VALUE"""),697.0)</f>
        <v>697</v>
      </c>
      <c r="Q2787" s="5" t="str">
        <f>IFERROR(__xludf.DUMMYFUNCTION("""COMPUTED_VALUE"""),"Badlands")</f>
        <v>Badlands</v>
      </c>
      <c r="R2787" s="5" t="str">
        <f>IFERROR(__xludf.DUMMYFUNCTION("""COMPUTED_VALUE"""),"Sissy Spacek")</f>
        <v>Sissy Spacek</v>
      </c>
      <c r="S2787" s="5" t="str">
        <f>IFERROR(__xludf.DUMMYFUNCTION("""COMPUTED_VALUE"""),"Estrela 2")</f>
        <v>Estrela 2</v>
      </c>
    </row>
    <row r="2788">
      <c r="G2788" s="5" t="str">
        <f>IFERROR(__xludf.DUMMYFUNCTION("""COMPUTED_VALUE"""),"697🤙🏼Badlands🤙🏼Warren Oates🤙🏼Estrela 3")</f>
        <v>697🤙🏼Badlands🤙🏼Warren Oates🤙🏼Estrela 3</v>
      </c>
      <c r="H2788" s="5">
        <f>IFERROR(__xludf.DUMMYFUNCTION("SPLiT(G2788, ""🤙🏼"",FALSE,FALSE)"),697.0)</f>
        <v>697</v>
      </c>
      <c r="I2788" s="5" t="str">
        <f>IFERROR(__xludf.DUMMYFUNCTION("""COMPUTED_VALUE"""),"Badlands")</f>
        <v>Badlands</v>
      </c>
      <c r="J2788" s="5" t="str">
        <f>IFERROR(__xludf.DUMMYFUNCTION("""COMPUTED_VALUE"""),"Warren Oates")</f>
        <v>Warren Oates</v>
      </c>
      <c r="K2788" s="5" t="str">
        <f>IFERROR(__xludf.DUMMYFUNCTION("""COMPUTED_VALUE"""),"Estrela 3")</f>
        <v>Estrela 3</v>
      </c>
      <c r="P2788" s="5">
        <f>IFERROR(__xludf.DUMMYFUNCTION("""COMPUTED_VALUE"""),697.0)</f>
        <v>697</v>
      </c>
      <c r="Q2788" s="5" t="str">
        <f>IFERROR(__xludf.DUMMYFUNCTION("""COMPUTED_VALUE"""),"Badlands")</f>
        <v>Badlands</v>
      </c>
      <c r="R2788" s="5" t="str">
        <f>IFERROR(__xludf.DUMMYFUNCTION("""COMPUTED_VALUE"""),"Warren Oates")</f>
        <v>Warren Oates</v>
      </c>
      <c r="S2788" s="5" t="str">
        <f>IFERROR(__xludf.DUMMYFUNCTION("""COMPUTED_VALUE"""),"Estrela 3")</f>
        <v>Estrela 3</v>
      </c>
    </row>
    <row r="2789">
      <c r="G2789" s="5" t="str">
        <f>IFERROR(__xludf.DUMMYFUNCTION("""COMPUTED_VALUE"""),"697🤙🏼Badlands🤙🏼Ramon Bieri🤙🏼Estrela 4")</f>
        <v>697🤙🏼Badlands🤙🏼Ramon Bieri🤙🏼Estrela 4</v>
      </c>
      <c r="H2789" s="5">
        <f>IFERROR(__xludf.DUMMYFUNCTION("SPLiT(G2789, ""🤙🏼"",FALSE,FALSE)"),697.0)</f>
        <v>697</v>
      </c>
      <c r="I2789" s="5" t="str">
        <f>IFERROR(__xludf.DUMMYFUNCTION("""COMPUTED_VALUE"""),"Badlands")</f>
        <v>Badlands</v>
      </c>
      <c r="J2789" s="5" t="str">
        <f>IFERROR(__xludf.DUMMYFUNCTION("""COMPUTED_VALUE"""),"Ramon Bieri")</f>
        <v>Ramon Bieri</v>
      </c>
      <c r="K2789" s="5" t="str">
        <f>IFERROR(__xludf.DUMMYFUNCTION("""COMPUTED_VALUE"""),"Estrela 4")</f>
        <v>Estrela 4</v>
      </c>
      <c r="P2789" s="5">
        <f>IFERROR(__xludf.DUMMYFUNCTION("""COMPUTED_VALUE"""),697.0)</f>
        <v>697</v>
      </c>
      <c r="Q2789" s="5" t="str">
        <f>IFERROR(__xludf.DUMMYFUNCTION("""COMPUTED_VALUE"""),"Badlands")</f>
        <v>Badlands</v>
      </c>
      <c r="R2789" s="5" t="str">
        <f>IFERROR(__xludf.DUMMYFUNCTION("""COMPUTED_VALUE"""),"Ramon Bieri")</f>
        <v>Ramon Bieri</v>
      </c>
      <c r="S2789" s="5" t="str">
        <f>IFERROR(__xludf.DUMMYFUNCTION("""COMPUTED_VALUE"""),"Estrela 4")</f>
        <v>Estrela 4</v>
      </c>
    </row>
    <row r="2790">
      <c r="G2790" s="5" t="str">
        <f>IFERROR(__xludf.DUMMYFUNCTION("""COMPUTED_VALUE"""),"698🤙🏼Cabaret🤙🏼Liza Minnelli🤙🏼Estrela 1")</f>
        <v>698🤙🏼Cabaret🤙🏼Liza Minnelli🤙🏼Estrela 1</v>
      </c>
      <c r="H2790" s="5">
        <f>IFERROR(__xludf.DUMMYFUNCTION("SPLiT(G2790, ""🤙🏼"",FALSE,FALSE)"),698.0)</f>
        <v>698</v>
      </c>
      <c r="I2790" s="5" t="str">
        <f>IFERROR(__xludf.DUMMYFUNCTION("""COMPUTED_VALUE"""),"Cabaret")</f>
        <v>Cabaret</v>
      </c>
      <c r="J2790" s="5" t="str">
        <f>IFERROR(__xludf.DUMMYFUNCTION("""COMPUTED_VALUE"""),"Liza Minnelli")</f>
        <v>Liza Minnelli</v>
      </c>
      <c r="K2790" s="5" t="str">
        <f>IFERROR(__xludf.DUMMYFUNCTION("""COMPUTED_VALUE"""),"Estrela 1")</f>
        <v>Estrela 1</v>
      </c>
      <c r="P2790" s="5">
        <f>IFERROR(__xludf.DUMMYFUNCTION("""COMPUTED_VALUE"""),698.0)</f>
        <v>698</v>
      </c>
      <c r="Q2790" s="5" t="str">
        <f>IFERROR(__xludf.DUMMYFUNCTION("""COMPUTED_VALUE"""),"Cabaret")</f>
        <v>Cabaret</v>
      </c>
      <c r="R2790" s="5" t="str">
        <f>IFERROR(__xludf.DUMMYFUNCTION("""COMPUTED_VALUE"""),"Liza Minnelli")</f>
        <v>Liza Minnelli</v>
      </c>
      <c r="S2790" s="5" t="str">
        <f>IFERROR(__xludf.DUMMYFUNCTION("""COMPUTED_VALUE"""),"Estrela 1")</f>
        <v>Estrela 1</v>
      </c>
    </row>
    <row r="2791">
      <c r="G2791" s="5" t="str">
        <f>IFERROR(__xludf.DUMMYFUNCTION("""COMPUTED_VALUE"""),"698🤙🏼Cabaret🤙🏼Michael York🤙🏼Estrela 2")</f>
        <v>698🤙🏼Cabaret🤙🏼Michael York🤙🏼Estrela 2</v>
      </c>
      <c r="H2791" s="5">
        <f>IFERROR(__xludf.DUMMYFUNCTION("SPLiT(G2791, ""🤙🏼"",FALSE,FALSE)"),698.0)</f>
        <v>698</v>
      </c>
      <c r="I2791" s="5" t="str">
        <f>IFERROR(__xludf.DUMMYFUNCTION("""COMPUTED_VALUE"""),"Cabaret")</f>
        <v>Cabaret</v>
      </c>
      <c r="J2791" s="5" t="str">
        <f>IFERROR(__xludf.DUMMYFUNCTION("""COMPUTED_VALUE"""),"Michael York")</f>
        <v>Michael York</v>
      </c>
      <c r="K2791" s="5" t="str">
        <f>IFERROR(__xludf.DUMMYFUNCTION("""COMPUTED_VALUE"""),"Estrela 2")</f>
        <v>Estrela 2</v>
      </c>
      <c r="P2791" s="5">
        <f>IFERROR(__xludf.DUMMYFUNCTION("""COMPUTED_VALUE"""),698.0)</f>
        <v>698</v>
      </c>
      <c r="Q2791" s="5" t="str">
        <f>IFERROR(__xludf.DUMMYFUNCTION("""COMPUTED_VALUE"""),"Cabaret")</f>
        <v>Cabaret</v>
      </c>
      <c r="R2791" s="5" t="str">
        <f>IFERROR(__xludf.DUMMYFUNCTION("""COMPUTED_VALUE"""),"Michael York")</f>
        <v>Michael York</v>
      </c>
      <c r="S2791" s="5" t="str">
        <f>IFERROR(__xludf.DUMMYFUNCTION("""COMPUTED_VALUE"""),"Estrela 2")</f>
        <v>Estrela 2</v>
      </c>
    </row>
    <row r="2792">
      <c r="G2792" s="5" t="str">
        <f>IFERROR(__xludf.DUMMYFUNCTION("""COMPUTED_VALUE"""),"698🤙🏼Cabaret🤙🏼Helmut Griem🤙🏼Estrela 3")</f>
        <v>698🤙🏼Cabaret🤙🏼Helmut Griem🤙🏼Estrela 3</v>
      </c>
      <c r="H2792" s="5">
        <f>IFERROR(__xludf.DUMMYFUNCTION("SPLiT(G2792, ""🤙🏼"",FALSE,FALSE)"),698.0)</f>
        <v>698</v>
      </c>
      <c r="I2792" s="5" t="str">
        <f>IFERROR(__xludf.DUMMYFUNCTION("""COMPUTED_VALUE"""),"Cabaret")</f>
        <v>Cabaret</v>
      </c>
      <c r="J2792" s="5" t="str">
        <f>IFERROR(__xludf.DUMMYFUNCTION("""COMPUTED_VALUE"""),"Helmut Griem")</f>
        <v>Helmut Griem</v>
      </c>
      <c r="K2792" s="5" t="str">
        <f>IFERROR(__xludf.DUMMYFUNCTION("""COMPUTED_VALUE"""),"Estrela 3")</f>
        <v>Estrela 3</v>
      </c>
      <c r="P2792" s="5">
        <f>IFERROR(__xludf.DUMMYFUNCTION("""COMPUTED_VALUE"""),698.0)</f>
        <v>698</v>
      </c>
      <c r="Q2792" s="5" t="str">
        <f>IFERROR(__xludf.DUMMYFUNCTION("""COMPUTED_VALUE"""),"Cabaret")</f>
        <v>Cabaret</v>
      </c>
      <c r="R2792" s="5" t="str">
        <f>IFERROR(__xludf.DUMMYFUNCTION("""COMPUTED_VALUE"""),"Helmut Griem")</f>
        <v>Helmut Griem</v>
      </c>
      <c r="S2792" s="5" t="str">
        <f>IFERROR(__xludf.DUMMYFUNCTION("""COMPUTED_VALUE"""),"Estrela 3")</f>
        <v>Estrela 3</v>
      </c>
    </row>
    <row r="2793">
      <c r="G2793" s="5" t="str">
        <f>IFERROR(__xludf.DUMMYFUNCTION("""COMPUTED_VALUE"""),"698🤙🏼Cabaret🤙🏼Joel Grey🤙🏼Estrela 4")</f>
        <v>698🤙🏼Cabaret🤙🏼Joel Grey🤙🏼Estrela 4</v>
      </c>
      <c r="H2793" s="5">
        <f>IFERROR(__xludf.DUMMYFUNCTION("SPLiT(G2793, ""🤙🏼"",FALSE,FALSE)"),698.0)</f>
        <v>698</v>
      </c>
      <c r="I2793" s="5" t="str">
        <f>IFERROR(__xludf.DUMMYFUNCTION("""COMPUTED_VALUE"""),"Cabaret")</f>
        <v>Cabaret</v>
      </c>
      <c r="J2793" s="5" t="str">
        <f>IFERROR(__xludf.DUMMYFUNCTION("""COMPUTED_VALUE"""),"Joel Grey")</f>
        <v>Joel Grey</v>
      </c>
      <c r="K2793" s="5" t="str">
        <f>IFERROR(__xludf.DUMMYFUNCTION("""COMPUTED_VALUE"""),"Estrela 4")</f>
        <v>Estrela 4</v>
      </c>
      <c r="P2793" s="5">
        <f>IFERROR(__xludf.DUMMYFUNCTION("""COMPUTED_VALUE"""),698.0)</f>
        <v>698</v>
      </c>
      <c r="Q2793" s="5" t="str">
        <f>IFERROR(__xludf.DUMMYFUNCTION("""COMPUTED_VALUE"""),"Cabaret")</f>
        <v>Cabaret</v>
      </c>
      <c r="R2793" s="5" t="str">
        <f>IFERROR(__xludf.DUMMYFUNCTION("""COMPUTED_VALUE"""),"Joel Grey")</f>
        <v>Joel Grey</v>
      </c>
      <c r="S2793" s="5" t="str">
        <f>IFERROR(__xludf.DUMMYFUNCTION("""COMPUTED_VALUE"""),"Estrela 4")</f>
        <v>Estrela 4</v>
      </c>
    </row>
    <row r="2794">
      <c r="G2794" s="5" t="str">
        <f>IFERROR(__xludf.DUMMYFUNCTION("""COMPUTED_VALUE"""),"699🤙🏼Willy Wonka &amp; the Chocolate Factory🤙🏼Gene Wilder🤙🏼Estrela 1")</f>
        <v>699🤙🏼Willy Wonka &amp; the Chocolate Factory🤙🏼Gene Wilder🤙🏼Estrela 1</v>
      </c>
      <c r="H2794" s="5">
        <f>IFERROR(__xludf.DUMMYFUNCTION("SPLiT(G2794, ""🤙🏼"",FALSE,FALSE)"),699.0)</f>
        <v>699</v>
      </c>
      <c r="I2794" s="5" t="str">
        <f>IFERROR(__xludf.DUMMYFUNCTION("""COMPUTED_VALUE"""),"Willy Wonka &amp; the Chocolate Factory")</f>
        <v>Willy Wonka &amp; the Chocolate Factory</v>
      </c>
      <c r="J2794" s="5" t="str">
        <f>IFERROR(__xludf.DUMMYFUNCTION("""COMPUTED_VALUE"""),"Gene Wilder")</f>
        <v>Gene Wilder</v>
      </c>
      <c r="K2794" s="5" t="str">
        <f>IFERROR(__xludf.DUMMYFUNCTION("""COMPUTED_VALUE"""),"Estrela 1")</f>
        <v>Estrela 1</v>
      </c>
      <c r="P2794" s="5">
        <f>IFERROR(__xludf.DUMMYFUNCTION("""COMPUTED_VALUE"""),699.0)</f>
        <v>699</v>
      </c>
      <c r="Q2794" s="5" t="str">
        <f>IFERROR(__xludf.DUMMYFUNCTION("""COMPUTED_VALUE"""),"Willy Wonka &amp; the Chocolate Factory")</f>
        <v>Willy Wonka &amp; the Chocolate Factory</v>
      </c>
      <c r="R2794" s="5" t="str">
        <f>IFERROR(__xludf.DUMMYFUNCTION("""COMPUTED_VALUE"""),"Gene Wilder")</f>
        <v>Gene Wilder</v>
      </c>
      <c r="S2794" s="5" t="str">
        <f>IFERROR(__xludf.DUMMYFUNCTION("""COMPUTED_VALUE"""),"Estrela 1")</f>
        <v>Estrela 1</v>
      </c>
    </row>
    <row r="2795">
      <c r="G2795" s="5" t="str">
        <f>IFERROR(__xludf.DUMMYFUNCTION("""COMPUTED_VALUE"""),"699🤙🏼Willy Wonka &amp; the Chocolate Factory🤙🏼Jack Albertson🤙🏼Estrela 2")</f>
        <v>699🤙🏼Willy Wonka &amp; the Chocolate Factory🤙🏼Jack Albertson🤙🏼Estrela 2</v>
      </c>
      <c r="H2795" s="5">
        <f>IFERROR(__xludf.DUMMYFUNCTION("SPLiT(G2795, ""🤙🏼"",FALSE,FALSE)"),699.0)</f>
        <v>699</v>
      </c>
      <c r="I2795" s="5" t="str">
        <f>IFERROR(__xludf.DUMMYFUNCTION("""COMPUTED_VALUE"""),"Willy Wonka &amp; the Chocolate Factory")</f>
        <v>Willy Wonka &amp; the Chocolate Factory</v>
      </c>
      <c r="J2795" s="5" t="str">
        <f>IFERROR(__xludf.DUMMYFUNCTION("""COMPUTED_VALUE"""),"Jack Albertson")</f>
        <v>Jack Albertson</v>
      </c>
      <c r="K2795" s="5" t="str">
        <f>IFERROR(__xludf.DUMMYFUNCTION("""COMPUTED_VALUE"""),"Estrela 2")</f>
        <v>Estrela 2</v>
      </c>
      <c r="P2795" s="5">
        <f>IFERROR(__xludf.DUMMYFUNCTION("""COMPUTED_VALUE"""),699.0)</f>
        <v>699</v>
      </c>
      <c r="Q2795" s="5" t="str">
        <f>IFERROR(__xludf.DUMMYFUNCTION("""COMPUTED_VALUE"""),"Willy Wonka &amp; the Chocolate Factory")</f>
        <v>Willy Wonka &amp; the Chocolate Factory</v>
      </c>
      <c r="R2795" s="5" t="str">
        <f>IFERROR(__xludf.DUMMYFUNCTION("""COMPUTED_VALUE"""),"Jack Albertson")</f>
        <v>Jack Albertson</v>
      </c>
      <c r="S2795" s="5" t="str">
        <f>IFERROR(__xludf.DUMMYFUNCTION("""COMPUTED_VALUE"""),"Estrela 2")</f>
        <v>Estrela 2</v>
      </c>
    </row>
    <row r="2796">
      <c r="G2796" s="5" t="str">
        <f>IFERROR(__xludf.DUMMYFUNCTION("""COMPUTED_VALUE"""),"699🤙🏼Willy Wonka &amp; the Chocolate Factory🤙🏼Peter Ostrum🤙🏼Estrela 3")</f>
        <v>699🤙🏼Willy Wonka &amp; the Chocolate Factory🤙🏼Peter Ostrum🤙🏼Estrela 3</v>
      </c>
      <c r="H2796" s="5">
        <f>IFERROR(__xludf.DUMMYFUNCTION("SPLiT(G2796, ""🤙🏼"",FALSE,FALSE)"),699.0)</f>
        <v>699</v>
      </c>
      <c r="I2796" s="5" t="str">
        <f>IFERROR(__xludf.DUMMYFUNCTION("""COMPUTED_VALUE"""),"Willy Wonka &amp; the Chocolate Factory")</f>
        <v>Willy Wonka &amp; the Chocolate Factory</v>
      </c>
      <c r="J2796" s="5" t="str">
        <f>IFERROR(__xludf.DUMMYFUNCTION("""COMPUTED_VALUE"""),"Peter Ostrum")</f>
        <v>Peter Ostrum</v>
      </c>
      <c r="K2796" s="5" t="str">
        <f>IFERROR(__xludf.DUMMYFUNCTION("""COMPUTED_VALUE"""),"Estrela 3")</f>
        <v>Estrela 3</v>
      </c>
      <c r="P2796" s="5">
        <f>IFERROR(__xludf.DUMMYFUNCTION("""COMPUTED_VALUE"""),699.0)</f>
        <v>699</v>
      </c>
      <c r="Q2796" s="5" t="str">
        <f>IFERROR(__xludf.DUMMYFUNCTION("""COMPUTED_VALUE"""),"Willy Wonka &amp; the Chocolate Factory")</f>
        <v>Willy Wonka &amp; the Chocolate Factory</v>
      </c>
      <c r="R2796" s="5" t="str">
        <f>IFERROR(__xludf.DUMMYFUNCTION("""COMPUTED_VALUE"""),"Peter Ostrum")</f>
        <v>Peter Ostrum</v>
      </c>
      <c r="S2796" s="5" t="str">
        <f>IFERROR(__xludf.DUMMYFUNCTION("""COMPUTED_VALUE"""),"Estrela 3")</f>
        <v>Estrela 3</v>
      </c>
    </row>
    <row r="2797">
      <c r="G2797" s="5" t="str">
        <f>IFERROR(__xludf.DUMMYFUNCTION("""COMPUTED_VALUE"""),"699🤙🏼Willy Wonka &amp; the Chocolate Factory🤙🏼Roy Kinnear🤙🏼Estrela 4")</f>
        <v>699🤙🏼Willy Wonka &amp; the Chocolate Factory🤙🏼Roy Kinnear🤙🏼Estrela 4</v>
      </c>
      <c r="H2797" s="5">
        <f>IFERROR(__xludf.DUMMYFUNCTION("SPLiT(G2797, ""🤙🏼"",FALSE,FALSE)"),699.0)</f>
        <v>699</v>
      </c>
      <c r="I2797" s="5" t="str">
        <f>IFERROR(__xludf.DUMMYFUNCTION("""COMPUTED_VALUE"""),"Willy Wonka &amp; the Chocolate Factory")</f>
        <v>Willy Wonka &amp; the Chocolate Factory</v>
      </c>
      <c r="J2797" s="5" t="str">
        <f>IFERROR(__xludf.DUMMYFUNCTION("""COMPUTED_VALUE"""),"Roy Kinnear")</f>
        <v>Roy Kinnear</v>
      </c>
      <c r="K2797" s="5" t="str">
        <f>IFERROR(__xludf.DUMMYFUNCTION("""COMPUTED_VALUE"""),"Estrela 4")</f>
        <v>Estrela 4</v>
      </c>
      <c r="P2797" s="5">
        <f>IFERROR(__xludf.DUMMYFUNCTION("""COMPUTED_VALUE"""),699.0)</f>
        <v>699</v>
      </c>
      <c r="Q2797" s="5" t="str">
        <f>IFERROR(__xludf.DUMMYFUNCTION("""COMPUTED_VALUE"""),"Willy Wonka &amp; the Chocolate Factory")</f>
        <v>Willy Wonka &amp; the Chocolate Factory</v>
      </c>
      <c r="R2797" s="5" t="str">
        <f>IFERROR(__xludf.DUMMYFUNCTION("""COMPUTED_VALUE"""),"Roy Kinnear")</f>
        <v>Roy Kinnear</v>
      </c>
      <c r="S2797" s="5" t="str">
        <f>IFERROR(__xludf.DUMMYFUNCTION("""COMPUTED_VALUE"""),"Estrela 4")</f>
        <v>Estrela 4</v>
      </c>
    </row>
    <row r="2798">
      <c r="G2798" s="5" t="str">
        <f>IFERROR(__xludf.DUMMYFUNCTION("""COMPUTED_VALUE"""),"700🤙🏼Midnight Cowboy🤙🏼Dustin Hoffman🤙🏼Estrela 1")</f>
        <v>700🤙🏼Midnight Cowboy🤙🏼Dustin Hoffman🤙🏼Estrela 1</v>
      </c>
      <c r="H2798" s="5">
        <f>IFERROR(__xludf.DUMMYFUNCTION("SPLiT(G2798, ""🤙🏼"",FALSE,FALSE)"),700.0)</f>
        <v>700</v>
      </c>
      <c r="I2798" s="5" t="str">
        <f>IFERROR(__xludf.DUMMYFUNCTION("""COMPUTED_VALUE"""),"Midnight Cowboy")</f>
        <v>Midnight Cowboy</v>
      </c>
      <c r="J2798" s="5" t="str">
        <f>IFERROR(__xludf.DUMMYFUNCTION("""COMPUTED_VALUE"""),"Dustin Hoffman")</f>
        <v>Dustin Hoffman</v>
      </c>
      <c r="K2798" s="5" t="str">
        <f>IFERROR(__xludf.DUMMYFUNCTION("""COMPUTED_VALUE"""),"Estrela 1")</f>
        <v>Estrela 1</v>
      </c>
      <c r="P2798" s="5">
        <f>IFERROR(__xludf.DUMMYFUNCTION("""COMPUTED_VALUE"""),700.0)</f>
        <v>700</v>
      </c>
      <c r="Q2798" s="5" t="str">
        <f>IFERROR(__xludf.DUMMYFUNCTION("""COMPUTED_VALUE"""),"Midnight Cowboy")</f>
        <v>Midnight Cowboy</v>
      </c>
      <c r="R2798" s="5" t="str">
        <f>IFERROR(__xludf.DUMMYFUNCTION("""COMPUTED_VALUE"""),"Dustin Hoffman")</f>
        <v>Dustin Hoffman</v>
      </c>
      <c r="S2798" s="5" t="str">
        <f>IFERROR(__xludf.DUMMYFUNCTION("""COMPUTED_VALUE"""),"Estrela 1")</f>
        <v>Estrela 1</v>
      </c>
    </row>
    <row r="2799">
      <c r="G2799" s="5" t="str">
        <f>IFERROR(__xludf.DUMMYFUNCTION("""COMPUTED_VALUE"""),"700🤙🏼Midnight Cowboy🤙🏼Jon Voight🤙🏼Estrela 2")</f>
        <v>700🤙🏼Midnight Cowboy🤙🏼Jon Voight🤙🏼Estrela 2</v>
      </c>
      <c r="H2799" s="5">
        <f>IFERROR(__xludf.DUMMYFUNCTION("SPLiT(G2799, ""🤙🏼"",FALSE,FALSE)"),700.0)</f>
        <v>700</v>
      </c>
      <c r="I2799" s="5" t="str">
        <f>IFERROR(__xludf.DUMMYFUNCTION("""COMPUTED_VALUE"""),"Midnight Cowboy")</f>
        <v>Midnight Cowboy</v>
      </c>
      <c r="J2799" s="5" t="str">
        <f>IFERROR(__xludf.DUMMYFUNCTION("""COMPUTED_VALUE"""),"Jon Voight")</f>
        <v>Jon Voight</v>
      </c>
      <c r="K2799" s="5" t="str">
        <f>IFERROR(__xludf.DUMMYFUNCTION("""COMPUTED_VALUE"""),"Estrela 2")</f>
        <v>Estrela 2</v>
      </c>
      <c r="P2799" s="5">
        <f>IFERROR(__xludf.DUMMYFUNCTION("""COMPUTED_VALUE"""),700.0)</f>
        <v>700</v>
      </c>
      <c r="Q2799" s="5" t="str">
        <f>IFERROR(__xludf.DUMMYFUNCTION("""COMPUTED_VALUE"""),"Midnight Cowboy")</f>
        <v>Midnight Cowboy</v>
      </c>
      <c r="R2799" s="5" t="str">
        <f>IFERROR(__xludf.DUMMYFUNCTION("""COMPUTED_VALUE"""),"Jon Voight")</f>
        <v>Jon Voight</v>
      </c>
      <c r="S2799" s="5" t="str">
        <f>IFERROR(__xludf.DUMMYFUNCTION("""COMPUTED_VALUE"""),"Estrela 2")</f>
        <v>Estrela 2</v>
      </c>
    </row>
    <row r="2800">
      <c r="G2800" s="5" t="str">
        <f>IFERROR(__xludf.DUMMYFUNCTION("""COMPUTED_VALUE"""),"700🤙🏼Midnight Cowboy🤙🏼Sylvia Miles🤙🏼Estrela 3")</f>
        <v>700🤙🏼Midnight Cowboy🤙🏼Sylvia Miles🤙🏼Estrela 3</v>
      </c>
      <c r="H2800" s="5">
        <f>IFERROR(__xludf.DUMMYFUNCTION("SPLiT(G2800, ""🤙🏼"",FALSE,FALSE)"),700.0)</f>
        <v>700</v>
      </c>
      <c r="I2800" s="5" t="str">
        <f>IFERROR(__xludf.DUMMYFUNCTION("""COMPUTED_VALUE"""),"Midnight Cowboy")</f>
        <v>Midnight Cowboy</v>
      </c>
      <c r="J2800" s="5" t="str">
        <f>IFERROR(__xludf.DUMMYFUNCTION("""COMPUTED_VALUE"""),"Sylvia Miles")</f>
        <v>Sylvia Miles</v>
      </c>
      <c r="K2800" s="5" t="str">
        <f>IFERROR(__xludf.DUMMYFUNCTION("""COMPUTED_VALUE"""),"Estrela 3")</f>
        <v>Estrela 3</v>
      </c>
      <c r="P2800" s="5">
        <f>IFERROR(__xludf.DUMMYFUNCTION("""COMPUTED_VALUE"""),700.0)</f>
        <v>700</v>
      </c>
      <c r="Q2800" s="5" t="str">
        <f>IFERROR(__xludf.DUMMYFUNCTION("""COMPUTED_VALUE"""),"Midnight Cowboy")</f>
        <v>Midnight Cowboy</v>
      </c>
      <c r="R2800" s="5" t="str">
        <f>IFERROR(__xludf.DUMMYFUNCTION("""COMPUTED_VALUE"""),"Sylvia Miles")</f>
        <v>Sylvia Miles</v>
      </c>
      <c r="S2800" s="5" t="str">
        <f>IFERROR(__xludf.DUMMYFUNCTION("""COMPUTED_VALUE"""),"Estrela 3")</f>
        <v>Estrela 3</v>
      </c>
    </row>
    <row r="2801">
      <c r="G2801" s="5" t="str">
        <f>IFERROR(__xludf.DUMMYFUNCTION("""COMPUTED_VALUE"""),"700🤙🏼Midnight Cowboy🤙🏼John McGiver🤙🏼Estrela 4")</f>
        <v>700🤙🏼Midnight Cowboy🤙🏼John McGiver🤙🏼Estrela 4</v>
      </c>
      <c r="H2801" s="5">
        <f>IFERROR(__xludf.DUMMYFUNCTION("SPLiT(G2801, ""🤙🏼"",FALSE,FALSE)"),700.0)</f>
        <v>700</v>
      </c>
      <c r="I2801" s="5" t="str">
        <f>IFERROR(__xludf.DUMMYFUNCTION("""COMPUTED_VALUE"""),"Midnight Cowboy")</f>
        <v>Midnight Cowboy</v>
      </c>
      <c r="J2801" s="5" t="str">
        <f>IFERROR(__xludf.DUMMYFUNCTION("""COMPUTED_VALUE"""),"John McGiver")</f>
        <v>John McGiver</v>
      </c>
      <c r="K2801" s="5" t="str">
        <f>IFERROR(__xludf.DUMMYFUNCTION("""COMPUTED_VALUE"""),"Estrela 4")</f>
        <v>Estrela 4</v>
      </c>
      <c r="P2801" s="5">
        <f>IFERROR(__xludf.DUMMYFUNCTION("""COMPUTED_VALUE"""),700.0)</f>
        <v>700</v>
      </c>
      <c r="Q2801" s="5" t="str">
        <f>IFERROR(__xludf.DUMMYFUNCTION("""COMPUTED_VALUE"""),"Midnight Cowboy")</f>
        <v>Midnight Cowboy</v>
      </c>
      <c r="R2801" s="5" t="str">
        <f>IFERROR(__xludf.DUMMYFUNCTION("""COMPUTED_VALUE"""),"John McGiver")</f>
        <v>John McGiver</v>
      </c>
      <c r="S2801" s="5" t="str">
        <f>IFERROR(__xludf.DUMMYFUNCTION("""COMPUTED_VALUE"""),"Estrela 4")</f>
        <v>Estrela 4</v>
      </c>
    </row>
    <row r="2802">
      <c r="G2802" s="5" t="str">
        <f>IFERROR(__xludf.DUMMYFUNCTION("""COMPUTED_VALUE"""),"701🤙🏼Wait Until Dark🤙🏼Audrey Hepburn🤙🏼Estrela 1")</f>
        <v>701🤙🏼Wait Until Dark🤙🏼Audrey Hepburn🤙🏼Estrela 1</v>
      </c>
      <c r="H2802" s="5">
        <f>IFERROR(__xludf.DUMMYFUNCTION("SPLiT(G2802, ""🤙🏼"",FALSE,FALSE)"),701.0)</f>
        <v>701</v>
      </c>
      <c r="I2802" s="5" t="str">
        <f>IFERROR(__xludf.DUMMYFUNCTION("""COMPUTED_VALUE"""),"Wait Until Dark")</f>
        <v>Wait Until Dark</v>
      </c>
      <c r="J2802" s="5" t="str">
        <f>IFERROR(__xludf.DUMMYFUNCTION("""COMPUTED_VALUE"""),"Audrey Hepburn")</f>
        <v>Audrey Hepburn</v>
      </c>
      <c r="K2802" s="5" t="str">
        <f>IFERROR(__xludf.DUMMYFUNCTION("""COMPUTED_VALUE"""),"Estrela 1")</f>
        <v>Estrela 1</v>
      </c>
      <c r="P2802" s="5">
        <f>IFERROR(__xludf.DUMMYFUNCTION("""COMPUTED_VALUE"""),701.0)</f>
        <v>701</v>
      </c>
      <c r="Q2802" s="5" t="str">
        <f>IFERROR(__xludf.DUMMYFUNCTION("""COMPUTED_VALUE"""),"Wait Until Dark")</f>
        <v>Wait Until Dark</v>
      </c>
      <c r="R2802" s="5" t="str">
        <f>IFERROR(__xludf.DUMMYFUNCTION("""COMPUTED_VALUE"""),"Audrey Hepburn")</f>
        <v>Audrey Hepburn</v>
      </c>
      <c r="S2802" s="5" t="str">
        <f>IFERROR(__xludf.DUMMYFUNCTION("""COMPUTED_VALUE"""),"Estrela 1")</f>
        <v>Estrela 1</v>
      </c>
    </row>
    <row r="2803">
      <c r="G2803" s="5" t="str">
        <f>IFERROR(__xludf.DUMMYFUNCTION("""COMPUTED_VALUE"""),"701🤙🏼Wait Until Dark🤙🏼Alan Arkin🤙🏼Estrela 2")</f>
        <v>701🤙🏼Wait Until Dark🤙🏼Alan Arkin🤙🏼Estrela 2</v>
      </c>
      <c r="H2803" s="5">
        <f>IFERROR(__xludf.DUMMYFUNCTION("SPLiT(G2803, ""🤙🏼"",FALSE,FALSE)"),701.0)</f>
        <v>701</v>
      </c>
      <c r="I2803" s="5" t="str">
        <f>IFERROR(__xludf.DUMMYFUNCTION("""COMPUTED_VALUE"""),"Wait Until Dark")</f>
        <v>Wait Until Dark</v>
      </c>
      <c r="J2803" s="5" t="str">
        <f>IFERROR(__xludf.DUMMYFUNCTION("""COMPUTED_VALUE"""),"Alan Arkin")</f>
        <v>Alan Arkin</v>
      </c>
      <c r="K2803" s="5" t="str">
        <f>IFERROR(__xludf.DUMMYFUNCTION("""COMPUTED_VALUE"""),"Estrela 2")</f>
        <v>Estrela 2</v>
      </c>
      <c r="P2803" s="5">
        <f>IFERROR(__xludf.DUMMYFUNCTION("""COMPUTED_VALUE"""),701.0)</f>
        <v>701</v>
      </c>
      <c r="Q2803" s="5" t="str">
        <f>IFERROR(__xludf.DUMMYFUNCTION("""COMPUTED_VALUE"""),"Wait Until Dark")</f>
        <v>Wait Until Dark</v>
      </c>
      <c r="R2803" s="5" t="str">
        <f>IFERROR(__xludf.DUMMYFUNCTION("""COMPUTED_VALUE"""),"Alan Arkin")</f>
        <v>Alan Arkin</v>
      </c>
      <c r="S2803" s="5" t="str">
        <f>IFERROR(__xludf.DUMMYFUNCTION("""COMPUTED_VALUE"""),"Estrela 2")</f>
        <v>Estrela 2</v>
      </c>
    </row>
    <row r="2804">
      <c r="G2804" s="5" t="str">
        <f>IFERROR(__xludf.DUMMYFUNCTION("""COMPUTED_VALUE"""),"701🤙🏼Wait Until Dark🤙🏼Richard Crenna🤙🏼Estrela 3")</f>
        <v>701🤙🏼Wait Until Dark🤙🏼Richard Crenna🤙🏼Estrela 3</v>
      </c>
      <c r="H2804" s="5">
        <f>IFERROR(__xludf.DUMMYFUNCTION("SPLiT(G2804, ""🤙🏼"",FALSE,FALSE)"),701.0)</f>
        <v>701</v>
      </c>
      <c r="I2804" s="5" t="str">
        <f>IFERROR(__xludf.DUMMYFUNCTION("""COMPUTED_VALUE"""),"Wait Until Dark")</f>
        <v>Wait Until Dark</v>
      </c>
      <c r="J2804" s="5" t="str">
        <f>IFERROR(__xludf.DUMMYFUNCTION("""COMPUTED_VALUE"""),"Richard Crenna")</f>
        <v>Richard Crenna</v>
      </c>
      <c r="K2804" s="5" t="str">
        <f>IFERROR(__xludf.DUMMYFUNCTION("""COMPUTED_VALUE"""),"Estrela 3")</f>
        <v>Estrela 3</v>
      </c>
      <c r="P2804" s="5">
        <f>IFERROR(__xludf.DUMMYFUNCTION("""COMPUTED_VALUE"""),701.0)</f>
        <v>701</v>
      </c>
      <c r="Q2804" s="5" t="str">
        <f>IFERROR(__xludf.DUMMYFUNCTION("""COMPUTED_VALUE"""),"Wait Until Dark")</f>
        <v>Wait Until Dark</v>
      </c>
      <c r="R2804" s="5" t="str">
        <f>IFERROR(__xludf.DUMMYFUNCTION("""COMPUTED_VALUE"""),"Richard Crenna")</f>
        <v>Richard Crenna</v>
      </c>
      <c r="S2804" s="5" t="str">
        <f>IFERROR(__xludf.DUMMYFUNCTION("""COMPUTED_VALUE"""),"Estrela 3")</f>
        <v>Estrela 3</v>
      </c>
    </row>
    <row r="2805">
      <c r="G2805" s="5" t="str">
        <f>IFERROR(__xludf.DUMMYFUNCTION("""COMPUTED_VALUE"""),"701🤙🏼Wait Until Dark🤙🏼Efrem Zimbalist Jr.🤙🏼Estrela 4")</f>
        <v>701🤙🏼Wait Until Dark🤙🏼Efrem Zimbalist Jr.🤙🏼Estrela 4</v>
      </c>
      <c r="H2805" s="5">
        <f>IFERROR(__xludf.DUMMYFUNCTION("SPLiT(G2805, ""🤙🏼"",FALSE,FALSE)"),701.0)</f>
        <v>701</v>
      </c>
      <c r="I2805" s="5" t="str">
        <f>IFERROR(__xludf.DUMMYFUNCTION("""COMPUTED_VALUE"""),"Wait Until Dark")</f>
        <v>Wait Until Dark</v>
      </c>
      <c r="J2805" s="5" t="str">
        <f>IFERROR(__xludf.DUMMYFUNCTION("""COMPUTED_VALUE"""),"Efrem Zimbalist Jr.")</f>
        <v>Efrem Zimbalist Jr.</v>
      </c>
      <c r="K2805" s="5" t="str">
        <f>IFERROR(__xludf.DUMMYFUNCTION("""COMPUTED_VALUE"""),"Estrela 4")</f>
        <v>Estrela 4</v>
      </c>
      <c r="P2805" s="5">
        <f>IFERROR(__xludf.DUMMYFUNCTION("""COMPUTED_VALUE"""),701.0)</f>
        <v>701</v>
      </c>
      <c r="Q2805" s="5" t="str">
        <f>IFERROR(__xludf.DUMMYFUNCTION("""COMPUTED_VALUE"""),"Wait Until Dark")</f>
        <v>Wait Until Dark</v>
      </c>
      <c r="R2805" s="5" t="str">
        <f>IFERROR(__xludf.DUMMYFUNCTION("""COMPUTED_VALUE"""),"Efrem Zimbalist Jr.")</f>
        <v>Efrem Zimbalist Jr.</v>
      </c>
      <c r="S2805" s="5" t="str">
        <f>IFERROR(__xludf.DUMMYFUNCTION("""COMPUTED_VALUE"""),"Estrela 4")</f>
        <v>Estrela 4</v>
      </c>
    </row>
    <row r="2806">
      <c r="G2806" s="5" t="str">
        <f>IFERROR(__xludf.DUMMYFUNCTION("""COMPUTED_VALUE"""),"702🤙🏼Guess Who's Coming to Dinner🤙🏼Spencer Tracy🤙🏼Estrela 1")</f>
        <v>702🤙🏼Guess Who's Coming to Dinner🤙🏼Spencer Tracy🤙🏼Estrela 1</v>
      </c>
      <c r="H2806" s="5">
        <f>IFERROR(__xludf.DUMMYFUNCTION("SPLiT(G2806, ""🤙🏼"",FALSE,FALSE)"),702.0)</f>
        <v>702</v>
      </c>
      <c r="I2806" s="5" t="str">
        <f>IFERROR(__xludf.DUMMYFUNCTION("""COMPUTED_VALUE"""),"Guess Who's Coming to Dinner")</f>
        <v>Guess Who's Coming to Dinner</v>
      </c>
      <c r="J2806" s="5" t="str">
        <f>IFERROR(__xludf.DUMMYFUNCTION("""COMPUTED_VALUE"""),"Spencer Tracy")</f>
        <v>Spencer Tracy</v>
      </c>
      <c r="K2806" s="5" t="str">
        <f>IFERROR(__xludf.DUMMYFUNCTION("""COMPUTED_VALUE"""),"Estrela 1")</f>
        <v>Estrela 1</v>
      </c>
      <c r="P2806" s="5">
        <f>IFERROR(__xludf.DUMMYFUNCTION("""COMPUTED_VALUE"""),702.0)</f>
        <v>702</v>
      </c>
      <c r="Q2806" s="5" t="str">
        <f>IFERROR(__xludf.DUMMYFUNCTION("""COMPUTED_VALUE"""),"Guess Who's Coming to Dinner")</f>
        <v>Guess Who's Coming to Dinner</v>
      </c>
      <c r="R2806" s="5" t="str">
        <f>IFERROR(__xludf.DUMMYFUNCTION("""COMPUTED_VALUE"""),"Spencer Tracy")</f>
        <v>Spencer Tracy</v>
      </c>
      <c r="S2806" s="5" t="str">
        <f>IFERROR(__xludf.DUMMYFUNCTION("""COMPUTED_VALUE"""),"Estrela 1")</f>
        <v>Estrela 1</v>
      </c>
    </row>
    <row r="2807">
      <c r="G2807" s="5" t="str">
        <f>IFERROR(__xludf.DUMMYFUNCTION("""COMPUTED_VALUE"""),"702🤙🏼Guess Who's Coming to Dinner🤙🏼Sidney Poitier🤙🏼Estrela 2")</f>
        <v>702🤙🏼Guess Who's Coming to Dinner🤙🏼Sidney Poitier🤙🏼Estrela 2</v>
      </c>
      <c r="H2807" s="5">
        <f>IFERROR(__xludf.DUMMYFUNCTION("SPLiT(G2807, ""🤙🏼"",FALSE,FALSE)"),702.0)</f>
        <v>702</v>
      </c>
      <c r="I2807" s="5" t="str">
        <f>IFERROR(__xludf.DUMMYFUNCTION("""COMPUTED_VALUE"""),"Guess Who's Coming to Dinner")</f>
        <v>Guess Who's Coming to Dinner</v>
      </c>
      <c r="J2807" s="5" t="str">
        <f>IFERROR(__xludf.DUMMYFUNCTION("""COMPUTED_VALUE"""),"Sidney Poitier")</f>
        <v>Sidney Poitier</v>
      </c>
      <c r="K2807" s="5" t="str">
        <f>IFERROR(__xludf.DUMMYFUNCTION("""COMPUTED_VALUE"""),"Estrela 2")</f>
        <v>Estrela 2</v>
      </c>
      <c r="P2807" s="5">
        <f>IFERROR(__xludf.DUMMYFUNCTION("""COMPUTED_VALUE"""),702.0)</f>
        <v>702</v>
      </c>
      <c r="Q2807" s="5" t="str">
        <f>IFERROR(__xludf.DUMMYFUNCTION("""COMPUTED_VALUE"""),"Guess Who's Coming to Dinner")</f>
        <v>Guess Who's Coming to Dinner</v>
      </c>
      <c r="R2807" s="5" t="str">
        <f>IFERROR(__xludf.DUMMYFUNCTION("""COMPUTED_VALUE"""),"Sidney Poitier")</f>
        <v>Sidney Poitier</v>
      </c>
      <c r="S2807" s="5" t="str">
        <f>IFERROR(__xludf.DUMMYFUNCTION("""COMPUTED_VALUE"""),"Estrela 2")</f>
        <v>Estrela 2</v>
      </c>
    </row>
    <row r="2808">
      <c r="G2808" s="5" t="str">
        <f>IFERROR(__xludf.DUMMYFUNCTION("""COMPUTED_VALUE"""),"702🤙🏼Guess Who's Coming to Dinner🤙🏼Katharine Hepburn🤙🏼Estrela 3")</f>
        <v>702🤙🏼Guess Who's Coming to Dinner🤙🏼Katharine Hepburn🤙🏼Estrela 3</v>
      </c>
      <c r="H2808" s="5">
        <f>IFERROR(__xludf.DUMMYFUNCTION("SPLiT(G2808, ""🤙🏼"",FALSE,FALSE)"),702.0)</f>
        <v>702</v>
      </c>
      <c r="I2808" s="5" t="str">
        <f>IFERROR(__xludf.DUMMYFUNCTION("""COMPUTED_VALUE"""),"Guess Who's Coming to Dinner")</f>
        <v>Guess Who's Coming to Dinner</v>
      </c>
      <c r="J2808" s="5" t="str">
        <f>IFERROR(__xludf.DUMMYFUNCTION("""COMPUTED_VALUE"""),"Katharine Hepburn")</f>
        <v>Katharine Hepburn</v>
      </c>
      <c r="K2808" s="5" t="str">
        <f>IFERROR(__xludf.DUMMYFUNCTION("""COMPUTED_VALUE"""),"Estrela 3")</f>
        <v>Estrela 3</v>
      </c>
      <c r="P2808" s="5">
        <f>IFERROR(__xludf.DUMMYFUNCTION("""COMPUTED_VALUE"""),702.0)</f>
        <v>702</v>
      </c>
      <c r="Q2808" s="5" t="str">
        <f>IFERROR(__xludf.DUMMYFUNCTION("""COMPUTED_VALUE"""),"Guess Who's Coming to Dinner")</f>
        <v>Guess Who's Coming to Dinner</v>
      </c>
      <c r="R2808" s="5" t="str">
        <f>IFERROR(__xludf.DUMMYFUNCTION("""COMPUTED_VALUE"""),"Katharine Hepburn")</f>
        <v>Katharine Hepburn</v>
      </c>
      <c r="S2808" s="5" t="str">
        <f>IFERROR(__xludf.DUMMYFUNCTION("""COMPUTED_VALUE"""),"Estrela 3")</f>
        <v>Estrela 3</v>
      </c>
    </row>
    <row r="2809">
      <c r="G2809" s="5" t="str">
        <f>IFERROR(__xludf.DUMMYFUNCTION("""COMPUTED_VALUE"""),"702🤙🏼Guess Who's Coming to Dinner🤙🏼Katharine Houghton🤙🏼Estrela 4")</f>
        <v>702🤙🏼Guess Who's Coming to Dinner🤙🏼Katharine Houghton🤙🏼Estrela 4</v>
      </c>
      <c r="H2809" s="5">
        <f>IFERROR(__xludf.DUMMYFUNCTION("SPLiT(G2809, ""🤙🏼"",FALSE,FALSE)"),702.0)</f>
        <v>702</v>
      </c>
      <c r="I2809" s="5" t="str">
        <f>IFERROR(__xludf.DUMMYFUNCTION("""COMPUTED_VALUE"""),"Guess Who's Coming to Dinner")</f>
        <v>Guess Who's Coming to Dinner</v>
      </c>
      <c r="J2809" s="5" t="str">
        <f>IFERROR(__xludf.DUMMYFUNCTION("""COMPUTED_VALUE"""),"Katharine Houghton")</f>
        <v>Katharine Houghton</v>
      </c>
      <c r="K2809" s="5" t="str">
        <f>IFERROR(__xludf.DUMMYFUNCTION("""COMPUTED_VALUE"""),"Estrela 4")</f>
        <v>Estrela 4</v>
      </c>
      <c r="P2809" s="5">
        <f>IFERROR(__xludf.DUMMYFUNCTION("""COMPUTED_VALUE"""),702.0)</f>
        <v>702</v>
      </c>
      <c r="Q2809" s="5" t="str">
        <f>IFERROR(__xludf.DUMMYFUNCTION("""COMPUTED_VALUE"""),"Guess Who's Coming to Dinner")</f>
        <v>Guess Who's Coming to Dinner</v>
      </c>
      <c r="R2809" s="5" t="str">
        <f>IFERROR(__xludf.DUMMYFUNCTION("""COMPUTED_VALUE"""),"Katharine Houghton")</f>
        <v>Katharine Houghton</v>
      </c>
      <c r="S2809" s="5" t="str">
        <f>IFERROR(__xludf.DUMMYFUNCTION("""COMPUTED_VALUE"""),"Estrela 4")</f>
        <v>Estrela 4</v>
      </c>
    </row>
    <row r="2810">
      <c r="G2810" s="5" t="str">
        <f>IFERROR(__xludf.DUMMYFUNCTION("""COMPUTED_VALUE"""),"703🤙🏼Bonnie and Clyde🤙🏼Warren Beatty🤙🏼Estrela 1")</f>
        <v>703🤙🏼Bonnie and Clyde🤙🏼Warren Beatty🤙🏼Estrela 1</v>
      </c>
      <c r="H2810" s="5">
        <f>IFERROR(__xludf.DUMMYFUNCTION("SPLiT(G2810, ""🤙🏼"",FALSE,FALSE)"),703.0)</f>
        <v>703</v>
      </c>
      <c r="I2810" s="5" t="str">
        <f>IFERROR(__xludf.DUMMYFUNCTION("""COMPUTED_VALUE"""),"Bonnie and Clyde")</f>
        <v>Bonnie and Clyde</v>
      </c>
      <c r="J2810" s="5" t="str">
        <f>IFERROR(__xludf.DUMMYFUNCTION("""COMPUTED_VALUE"""),"Warren Beatty")</f>
        <v>Warren Beatty</v>
      </c>
      <c r="K2810" s="5" t="str">
        <f>IFERROR(__xludf.DUMMYFUNCTION("""COMPUTED_VALUE"""),"Estrela 1")</f>
        <v>Estrela 1</v>
      </c>
      <c r="P2810" s="5">
        <f>IFERROR(__xludf.DUMMYFUNCTION("""COMPUTED_VALUE"""),703.0)</f>
        <v>703</v>
      </c>
      <c r="Q2810" s="5" t="str">
        <f>IFERROR(__xludf.DUMMYFUNCTION("""COMPUTED_VALUE"""),"Bonnie and Clyde")</f>
        <v>Bonnie and Clyde</v>
      </c>
      <c r="R2810" s="5" t="str">
        <f>IFERROR(__xludf.DUMMYFUNCTION("""COMPUTED_VALUE"""),"Warren Beatty")</f>
        <v>Warren Beatty</v>
      </c>
      <c r="S2810" s="5" t="str">
        <f>IFERROR(__xludf.DUMMYFUNCTION("""COMPUTED_VALUE"""),"Estrela 1")</f>
        <v>Estrela 1</v>
      </c>
    </row>
    <row r="2811">
      <c r="G2811" s="5" t="str">
        <f>IFERROR(__xludf.DUMMYFUNCTION("""COMPUTED_VALUE"""),"703🤙🏼Bonnie and Clyde🤙🏼Faye Dunaway🤙🏼Estrela 2")</f>
        <v>703🤙🏼Bonnie and Clyde🤙🏼Faye Dunaway🤙🏼Estrela 2</v>
      </c>
      <c r="H2811" s="5">
        <f>IFERROR(__xludf.DUMMYFUNCTION("SPLiT(G2811, ""🤙🏼"",FALSE,FALSE)"),703.0)</f>
        <v>703</v>
      </c>
      <c r="I2811" s="5" t="str">
        <f>IFERROR(__xludf.DUMMYFUNCTION("""COMPUTED_VALUE"""),"Bonnie and Clyde")</f>
        <v>Bonnie and Clyde</v>
      </c>
      <c r="J2811" s="5" t="str">
        <f>IFERROR(__xludf.DUMMYFUNCTION("""COMPUTED_VALUE"""),"Faye Dunaway")</f>
        <v>Faye Dunaway</v>
      </c>
      <c r="K2811" s="5" t="str">
        <f>IFERROR(__xludf.DUMMYFUNCTION("""COMPUTED_VALUE"""),"Estrela 2")</f>
        <v>Estrela 2</v>
      </c>
      <c r="P2811" s="5">
        <f>IFERROR(__xludf.DUMMYFUNCTION("""COMPUTED_VALUE"""),703.0)</f>
        <v>703</v>
      </c>
      <c r="Q2811" s="5" t="str">
        <f>IFERROR(__xludf.DUMMYFUNCTION("""COMPUTED_VALUE"""),"Bonnie and Clyde")</f>
        <v>Bonnie and Clyde</v>
      </c>
      <c r="R2811" s="5" t="str">
        <f>IFERROR(__xludf.DUMMYFUNCTION("""COMPUTED_VALUE"""),"Faye Dunaway")</f>
        <v>Faye Dunaway</v>
      </c>
      <c r="S2811" s="5" t="str">
        <f>IFERROR(__xludf.DUMMYFUNCTION("""COMPUTED_VALUE"""),"Estrela 2")</f>
        <v>Estrela 2</v>
      </c>
    </row>
    <row r="2812">
      <c r="G2812" s="5" t="str">
        <f>IFERROR(__xludf.DUMMYFUNCTION("""COMPUTED_VALUE"""),"703🤙🏼Bonnie and Clyde🤙🏼Michael J. Pollard🤙🏼Estrela 3")</f>
        <v>703🤙🏼Bonnie and Clyde🤙🏼Michael J. Pollard🤙🏼Estrela 3</v>
      </c>
      <c r="H2812" s="5">
        <f>IFERROR(__xludf.DUMMYFUNCTION("SPLiT(G2812, ""🤙🏼"",FALSE,FALSE)"),703.0)</f>
        <v>703</v>
      </c>
      <c r="I2812" s="5" t="str">
        <f>IFERROR(__xludf.DUMMYFUNCTION("""COMPUTED_VALUE"""),"Bonnie and Clyde")</f>
        <v>Bonnie and Clyde</v>
      </c>
      <c r="J2812" s="5" t="str">
        <f>IFERROR(__xludf.DUMMYFUNCTION("""COMPUTED_VALUE"""),"Michael J. Pollard")</f>
        <v>Michael J. Pollard</v>
      </c>
      <c r="K2812" s="5" t="str">
        <f>IFERROR(__xludf.DUMMYFUNCTION("""COMPUTED_VALUE"""),"Estrela 3")</f>
        <v>Estrela 3</v>
      </c>
      <c r="P2812" s="5">
        <f>IFERROR(__xludf.DUMMYFUNCTION("""COMPUTED_VALUE"""),703.0)</f>
        <v>703</v>
      </c>
      <c r="Q2812" s="5" t="str">
        <f>IFERROR(__xludf.DUMMYFUNCTION("""COMPUTED_VALUE"""),"Bonnie and Clyde")</f>
        <v>Bonnie and Clyde</v>
      </c>
      <c r="R2812" s="5" t="str">
        <f>IFERROR(__xludf.DUMMYFUNCTION("""COMPUTED_VALUE"""),"Michael J. Pollard")</f>
        <v>Michael J. Pollard</v>
      </c>
      <c r="S2812" s="5" t="str">
        <f>IFERROR(__xludf.DUMMYFUNCTION("""COMPUTED_VALUE"""),"Estrela 3")</f>
        <v>Estrela 3</v>
      </c>
    </row>
    <row r="2813">
      <c r="G2813" s="5" t="str">
        <f>IFERROR(__xludf.DUMMYFUNCTION("""COMPUTED_VALUE"""),"703🤙🏼Bonnie and Clyde🤙🏼Gene Hackman🤙🏼Estrela 4")</f>
        <v>703🤙🏼Bonnie and Clyde🤙🏼Gene Hackman🤙🏼Estrela 4</v>
      </c>
      <c r="H2813" s="5">
        <f>IFERROR(__xludf.DUMMYFUNCTION("SPLiT(G2813, ""🤙🏼"",FALSE,FALSE)"),703.0)</f>
        <v>703</v>
      </c>
      <c r="I2813" s="5" t="str">
        <f>IFERROR(__xludf.DUMMYFUNCTION("""COMPUTED_VALUE"""),"Bonnie and Clyde")</f>
        <v>Bonnie and Clyde</v>
      </c>
      <c r="J2813" s="5" t="str">
        <f>IFERROR(__xludf.DUMMYFUNCTION("""COMPUTED_VALUE"""),"Gene Hackman")</f>
        <v>Gene Hackman</v>
      </c>
      <c r="K2813" s="5" t="str">
        <f>IFERROR(__xludf.DUMMYFUNCTION("""COMPUTED_VALUE"""),"Estrela 4")</f>
        <v>Estrela 4</v>
      </c>
      <c r="P2813" s="5">
        <f>IFERROR(__xludf.DUMMYFUNCTION("""COMPUTED_VALUE"""),703.0)</f>
        <v>703</v>
      </c>
      <c r="Q2813" s="5" t="str">
        <f>IFERROR(__xludf.DUMMYFUNCTION("""COMPUTED_VALUE"""),"Bonnie and Clyde")</f>
        <v>Bonnie and Clyde</v>
      </c>
      <c r="R2813" s="5" t="str">
        <f>IFERROR(__xludf.DUMMYFUNCTION("""COMPUTED_VALUE"""),"Gene Hackman")</f>
        <v>Gene Hackman</v>
      </c>
      <c r="S2813" s="5" t="str">
        <f>IFERROR(__xludf.DUMMYFUNCTION("""COMPUTED_VALUE"""),"Estrela 4")</f>
        <v>Estrela 4</v>
      </c>
    </row>
    <row r="2814">
      <c r="G2814" s="5" t="str">
        <f>IFERROR(__xludf.DUMMYFUNCTION("""COMPUTED_VALUE"""),"704🤙🏼My Fair Lady🤙🏼Audrey Hepburn🤙🏼Estrela 1")</f>
        <v>704🤙🏼My Fair Lady🤙🏼Audrey Hepburn🤙🏼Estrela 1</v>
      </c>
      <c r="H2814" s="5">
        <f>IFERROR(__xludf.DUMMYFUNCTION("SPLiT(G2814, ""🤙🏼"",FALSE,FALSE)"),704.0)</f>
        <v>704</v>
      </c>
      <c r="I2814" s="5" t="str">
        <f>IFERROR(__xludf.DUMMYFUNCTION("""COMPUTED_VALUE"""),"My Fair Lady")</f>
        <v>My Fair Lady</v>
      </c>
      <c r="J2814" s="5" t="str">
        <f>IFERROR(__xludf.DUMMYFUNCTION("""COMPUTED_VALUE"""),"Audrey Hepburn")</f>
        <v>Audrey Hepburn</v>
      </c>
      <c r="K2814" s="5" t="str">
        <f>IFERROR(__xludf.DUMMYFUNCTION("""COMPUTED_VALUE"""),"Estrela 1")</f>
        <v>Estrela 1</v>
      </c>
      <c r="P2814" s="5">
        <f>IFERROR(__xludf.DUMMYFUNCTION("""COMPUTED_VALUE"""),704.0)</f>
        <v>704</v>
      </c>
      <c r="Q2814" s="5" t="str">
        <f>IFERROR(__xludf.DUMMYFUNCTION("""COMPUTED_VALUE"""),"My Fair Lady")</f>
        <v>My Fair Lady</v>
      </c>
      <c r="R2814" s="5" t="str">
        <f>IFERROR(__xludf.DUMMYFUNCTION("""COMPUTED_VALUE"""),"Audrey Hepburn")</f>
        <v>Audrey Hepburn</v>
      </c>
      <c r="S2814" s="5" t="str">
        <f>IFERROR(__xludf.DUMMYFUNCTION("""COMPUTED_VALUE"""),"Estrela 1")</f>
        <v>Estrela 1</v>
      </c>
    </row>
    <row r="2815">
      <c r="G2815" s="5" t="str">
        <f>IFERROR(__xludf.DUMMYFUNCTION("""COMPUTED_VALUE"""),"704🤙🏼My Fair Lady🤙🏼Rex Harrison🤙🏼Estrela 2")</f>
        <v>704🤙🏼My Fair Lady🤙🏼Rex Harrison🤙🏼Estrela 2</v>
      </c>
      <c r="H2815" s="5">
        <f>IFERROR(__xludf.DUMMYFUNCTION("SPLiT(G2815, ""🤙🏼"",FALSE,FALSE)"),704.0)</f>
        <v>704</v>
      </c>
      <c r="I2815" s="5" t="str">
        <f>IFERROR(__xludf.DUMMYFUNCTION("""COMPUTED_VALUE"""),"My Fair Lady")</f>
        <v>My Fair Lady</v>
      </c>
      <c r="J2815" s="5" t="str">
        <f>IFERROR(__xludf.DUMMYFUNCTION("""COMPUTED_VALUE"""),"Rex Harrison")</f>
        <v>Rex Harrison</v>
      </c>
      <c r="K2815" s="5" t="str">
        <f>IFERROR(__xludf.DUMMYFUNCTION("""COMPUTED_VALUE"""),"Estrela 2")</f>
        <v>Estrela 2</v>
      </c>
      <c r="P2815" s="5">
        <f>IFERROR(__xludf.DUMMYFUNCTION("""COMPUTED_VALUE"""),704.0)</f>
        <v>704</v>
      </c>
      <c r="Q2815" s="5" t="str">
        <f>IFERROR(__xludf.DUMMYFUNCTION("""COMPUTED_VALUE"""),"My Fair Lady")</f>
        <v>My Fair Lady</v>
      </c>
      <c r="R2815" s="5" t="str">
        <f>IFERROR(__xludf.DUMMYFUNCTION("""COMPUTED_VALUE"""),"Rex Harrison")</f>
        <v>Rex Harrison</v>
      </c>
      <c r="S2815" s="5" t="str">
        <f>IFERROR(__xludf.DUMMYFUNCTION("""COMPUTED_VALUE"""),"Estrela 2")</f>
        <v>Estrela 2</v>
      </c>
    </row>
    <row r="2816">
      <c r="G2816" s="5" t="str">
        <f>IFERROR(__xludf.DUMMYFUNCTION("""COMPUTED_VALUE"""),"704🤙🏼My Fair Lady🤙🏼Stanley Holloway🤙🏼Estrela 3")</f>
        <v>704🤙🏼My Fair Lady🤙🏼Stanley Holloway🤙🏼Estrela 3</v>
      </c>
      <c r="H2816" s="5">
        <f>IFERROR(__xludf.DUMMYFUNCTION("SPLiT(G2816, ""🤙🏼"",FALSE,FALSE)"),704.0)</f>
        <v>704</v>
      </c>
      <c r="I2816" s="5" t="str">
        <f>IFERROR(__xludf.DUMMYFUNCTION("""COMPUTED_VALUE"""),"My Fair Lady")</f>
        <v>My Fair Lady</v>
      </c>
      <c r="J2816" s="5" t="str">
        <f>IFERROR(__xludf.DUMMYFUNCTION("""COMPUTED_VALUE"""),"Stanley Holloway")</f>
        <v>Stanley Holloway</v>
      </c>
      <c r="K2816" s="5" t="str">
        <f>IFERROR(__xludf.DUMMYFUNCTION("""COMPUTED_VALUE"""),"Estrela 3")</f>
        <v>Estrela 3</v>
      </c>
      <c r="P2816" s="5">
        <f>IFERROR(__xludf.DUMMYFUNCTION("""COMPUTED_VALUE"""),704.0)</f>
        <v>704</v>
      </c>
      <c r="Q2816" s="5" t="str">
        <f>IFERROR(__xludf.DUMMYFUNCTION("""COMPUTED_VALUE"""),"My Fair Lady")</f>
        <v>My Fair Lady</v>
      </c>
      <c r="R2816" s="5" t="str">
        <f>IFERROR(__xludf.DUMMYFUNCTION("""COMPUTED_VALUE"""),"Stanley Holloway")</f>
        <v>Stanley Holloway</v>
      </c>
      <c r="S2816" s="5" t="str">
        <f>IFERROR(__xludf.DUMMYFUNCTION("""COMPUTED_VALUE"""),"Estrela 3")</f>
        <v>Estrela 3</v>
      </c>
    </row>
    <row r="2817">
      <c r="G2817" s="5" t="str">
        <f>IFERROR(__xludf.DUMMYFUNCTION("""COMPUTED_VALUE"""),"704🤙🏼My Fair Lady🤙🏼Wilfrid Hyde-White🤙🏼Estrela 4")</f>
        <v>704🤙🏼My Fair Lady🤙🏼Wilfrid Hyde-White🤙🏼Estrela 4</v>
      </c>
      <c r="H2817" s="5">
        <f>IFERROR(__xludf.DUMMYFUNCTION("SPLiT(G2817, ""🤙🏼"",FALSE,FALSE)"),704.0)</f>
        <v>704</v>
      </c>
      <c r="I2817" s="5" t="str">
        <f>IFERROR(__xludf.DUMMYFUNCTION("""COMPUTED_VALUE"""),"My Fair Lady")</f>
        <v>My Fair Lady</v>
      </c>
      <c r="J2817" s="5" t="str">
        <f>IFERROR(__xludf.DUMMYFUNCTION("""COMPUTED_VALUE"""),"Wilfrid Hyde-White")</f>
        <v>Wilfrid Hyde-White</v>
      </c>
      <c r="K2817" s="5" t="str">
        <f>IFERROR(__xludf.DUMMYFUNCTION("""COMPUTED_VALUE"""),"Estrela 4")</f>
        <v>Estrela 4</v>
      </c>
      <c r="P2817" s="5">
        <f>IFERROR(__xludf.DUMMYFUNCTION("""COMPUTED_VALUE"""),704.0)</f>
        <v>704</v>
      </c>
      <c r="Q2817" s="5" t="str">
        <f>IFERROR(__xludf.DUMMYFUNCTION("""COMPUTED_VALUE"""),"My Fair Lady")</f>
        <v>My Fair Lady</v>
      </c>
      <c r="R2817" s="5" t="str">
        <f>IFERROR(__xludf.DUMMYFUNCTION("""COMPUTED_VALUE"""),"Wilfrid Hyde-White")</f>
        <v>Wilfrid Hyde-White</v>
      </c>
      <c r="S2817" s="5" t="str">
        <f>IFERROR(__xludf.DUMMYFUNCTION("""COMPUTED_VALUE"""),"Estrela 4")</f>
        <v>Estrela 4</v>
      </c>
    </row>
    <row r="2818">
      <c r="G2818" s="5" t="str">
        <f>IFERROR(__xludf.DUMMYFUNCTION("""COMPUTED_VALUE"""),"705🤙🏼Mary Poppins🤙🏼Julie Andrews🤙🏼Estrela 1")</f>
        <v>705🤙🏼Mary Poppins🤙🏼Julie Andrews🤙🏼Estrela 1</v>
      </c>
      <c r="H2818" s="5">
        <f>IFERROR(__xludf.DUMMYFUNCTION("SPLiT(G2818, ""🤙🏼"",FALSE,FALSE)"),705.0)</f>
        <v>705</v>
      </c>
      <c r="I2818" s="5" t="str">
        <f>IFERROR(__xludf.DUMMYFUNCTION("""COMPUTED_VALUE"""),"Mary Poppins")</f>
        <v>Mary Poppins</v>
      </c>
      <c r="J2818" s="5" t="str">
        <f>IFERROR(__xludf.DUMMYFUNCTION("""COMPUTED_VALUE"""),"Julie Andrews")</f>
        <v>Julie Andrews</v>
      </c>
      <c r="K2818" s="5" t="str">
        <f>IFERROR(__xludf.DUMMYFUNCTION("""COMPUTED_VALUE"""),"Estrela 1")</f>
        <v>Estrela 1</v>
      </c>
      <c r="P2818" s="5">
        <f>IFERROR(__xludf.DUMMYFUNCTION("""COMPUTED_VALUE"""),705.0)</f>
        <v>705</v>
      </c>
      <c r="Q2818" s="5" t="str">
        <f>IFERROR(__xludf.DUMMYFUNCTION("""COMPUTED_VALUE"""),"Mary Poppins")</f>
        <v>Mary Poppins</v>
      </c>
      <c r="R2818" s="5" t="str">
        <f>IFERROR(__xludf.DUMMYFUNCTION("""COMPUTED_VALUE"""),"Julie Andrews")</f>
        <v>Julie Andrews</v>
      </c>
      <c r="S2818" s="5" t="str">
        <f>IFERROR(__xludf.DUMMYFUNCTION("""COMPUTED_VALUE"""),"Estrela 1")</f>
        <v>Estrela 1</v>
      </c>
    </row>
    <row r="2819">
      <c r="G2819" s="5" t="str">
        <f>IFERROR(__xludf.DUMMYFUNCTION("""COMPUTED_VALUE"""),"705🤙🏼Mary Poppins🤙🏼Dick Van Dyke🤙🏼Estrela 2")</f>
        <v>705🤙🏼Mary Poppins🤙🏼Dick Van Dyke🤙🏼Estrela 2</v>
      </c>
      <c r="H2819" s="5">
        <f>IFERROR(__xludf.DUMMYFUNCTION("SPLiT(G2819, ""🤙🏼"",FALSE,FALSE)"),705.0)</f>
        <v>705</v>
      </c>
      <c r="I2819" s="5" t="str">
        <f>IFERROR(__xludf.DUMMYFUNCTION("""COMPUTED_VALUE"""),"Mary Poppins")</f>
        <v>Mary Poppins</v>
      </c>
      <c r="J2819" s="5" t="str">
        <f>IFERROR(__xludf.DUMMYFUNCTION("""COMPUTED_VALUE"""),"Dick Van Dyke")</f>
        <v>Dick Van Dyke</v>
      </c>
      <c r="K2819" s="5" t="str">
        <f>IFERROR(__xludf.DUMMYFUNCTION("""COMPUTED_VALUE"""),"Estrela 2")</f>
        <v>Estrela 2</v>
      </c>
      <c r="P2819" s="5">
        <f>IFERROR(__xludf.DUMMYFUNCTION("""COMPUTED_VALUE"""),705.0)</f>
        <v>705</v>
      </c>
      <c r="Q2819" s="5" t="str">
        <f>IFERROR(__xludf.DUMMYFUNCTION("""COMPUTED_VALUE"""),"Mary Poppins")</f>
        <v>Mary Poppins</v>
      </c>
      <c r="R2819" s="5" t="str">
        <f>IFERROR(__xludf.DUMMYFUNCTION("""COMPUTED_VALUE"""),"Dick Van Dyke")</f>
        <v>Dick Van Dyke</v>
      </c>
      <c r="S2819" s="5" t="str">
        <f>IFERROR(__xludf.DUMMYFUNCTION("""COMPUTED_VALUE"""),"Estrela 2")</f>
        <v>Estrela 2</v>
      </c>
    </row>
    <row r="2820">
      <c r="G2820" s="5" t="str">
        <f>IFERROR(__xludf.DUMMYFUNCTION("""COMPUTED_VALUE"""),"705🤙🏼Mary Poppins🤙🏼David Tomlinson🤙🏼Estrela 3")</f>
        <v>705🤙🏼Mary Poppins🤙🏼David Tomlinson🤙🏼Estrela 3</v>
      </c>
      <c r="H2820" s="5">
        <f>IFERROR(__xludf.DUMMYFUNCTION("SPLiT(G2820, ""🤙🏼"",FALSE,FALSE)"),705.0)</f>
        <v>705</v>
      </c>
      <c r="I2820" s="5" t="str">
        <f>IFERROR(__xludf.DUMMYFUNCTION("""COMPUTED_VALUE"""),"Mary Poppins")</f>
        <v>Mary Poppins</v>
      </c>
      <c r="J2820" s="5" t="str">
        <f>IFERROR(__xludf.DUMMYFUNCTION("""COMPUTED_VALUE"""),"David Tomlinson")</f>
        <v>David Tomlinson</v>
      </c>
      <c r="K2820" s="5" t="str">
        <f>IFERROR(__xludf.DUMMYFUNCTION("""COMPUTED_VALUE"""),"Estrela 3")</f>
        <v>Estrela 3</v>
      </c>
      <c r="P2820" s="5">
        <f>IFERROR(__xludf.DUMMYFUNCTION("""COMPUTED_VALUE"""),705.0)</f>
        <v>705</v>
      </c>
      <c r="Q2820" s="5" t="str">
        <f>IFERROR(__xludf.DUMMYFUNCTION("""COMPUTED_VALUE"""),"Mary Poppins")</f>
        <v>Mary Poppins</v>
      </c>
      <c r="R2820" s="5" t="str">
        <f>IFERROR(__xludf.DUMMYFUNCTION("""COMPUTED_VALUE"""),"David Tomlinson")</f>
        <v>David Tomlinson</v>
      </c>
      <c r="S2820" s="5" t="str">
        <f>IFERROR(__xludf.DUMMYFUNCTION("""COMPUTED_VALUE"""),"Estrela 3")</f>
        <v>Estrela 3</v>
      </c>
    </row>
    <row r="2821">
      <c r="G2821" s="5" t="str">
        <f>IFERROR(__xludf.DUMMYFUNCTION("""COMPUTED_VALUE"""),"705🤙🏼Mary Poppins🤙🏼Glynis Johns🤙🏼Estrela 4")</f>
        <v>705🤙🏼Mary Poppins🤙🏼Glynis Johns🤙🏼Estrela 4</v>
      </c>
      <c r="H2821" s="5">
        <f>IFERROR(__xludf.DUMMYFUNCTION("SPLiT(G2821, ""🤙🏼"",FALSE,FALSE)"),705.0)</f>
        <v>705</v>
      </c>
      <c r="I2821" s="5" t="str">
        <f>IFERROR(__xludf.DUMMYFUNCTION("""COMPUTED_VALUE"""),"Mary Poppins")</f>
        <v>Mary Poppins</v>
      </c>
      <c r="J2821" s="5" t="str">
        <f>IFERROR(__xludf.DUMMYFUNCTION("""COMPUTED_VALUE"""),"Glynis Johns")</f>
        <v>Glynis Johns</v>
      </c>
      <c r="K2821" s="5" t="str">
        <f>IFERROR(__xludf.DUMMYFUNCTION("""COMPUTED_VALUE"""),"Estrela 4")</f>
        <v>Estrela 4</v>
      </c>
      <c r="P2821" s="5">
        <f>IFERROR(__xludf.DUMMYFUNCTION("""COMPUTED_VALUE"""),705.0)</f>
        <v>705</v>
      </c>
      <c r="Q2821" s="5" t="str">
        <f>IFERROR(__xludf.DUMMYFUNCTION("""COMPUTED_VALUE"""),"Mary Poppins")</f>
        <v>Mary Poppins</v>
      </c>
      <c r="R2821" s="5" t="str">
        <f>IFERROR(__xludf.DUMMYFUNCTION("""COMPUTED_VALUE"""),"Glynis Johns")</f>
        <v>Glynis Johns</v>
      </c>
      <c r="S2821" s="5" t="str">
        <f>IFERROR(__xludf.DUMMYFUNCTION("""COMPUTED_VALUE"""),"Estrela 4")</f>
        <v>Estrela 4</v>
      </c>
    </row>
    <row r="2822">
      <c r="G2822" s="5" t="str">
        <f>IFERROR(__xludf.DUMMYFUNCTION("""COMPUTED_VALUE"""),"706🤙🏼The Longest Day🤙🏼Andrew Marton🤙🏼Estrela 1")</f>
        <v>706🤙🏼The Longest Day🤙🏼Andrew Marton🤙🏼Estrela 1</v>
      </c>
      <c r="H2822" s="5">
        <f>IFERROR(__xludf.DUMMYFUNCTION("SPLiT(G2822, ""🤙🏼"",FALSE,FALSE)"),706.0)</f>
        <v>706</v>
      </c>
      <c r="I2822" s="5" t="str">
        <f>IFERROR(__xludf.DUMMYFUNCTION("""COMPUTED_VALUE"""),"The Longest Day")</f>
        <v>The Longest Day</v>
      </c>
      <c r="J2822" s="5" t="str">
        <f>IFERROR(__xludf.DUMMYFUNCTION("""COMPUTED_VALUE"""),"Andrew Marton")</f>
        <v>Andrew Marton</v>
      </c>
      <c r="K2822" s="5" t="str">
        <f>IFERROR(__xludf.DUMMYFUNCTION("""COMPUTED_VALUE"""),"Estrela 1")</f>
        <v>Estrela 1</v>
      </c>
      <c r="P2822" s="5">
        <f>IFERROR(__xludf.DUMMYFUNCTION("""COMPUTED_VALUE"""),706.0)</f>
        <v>706</v>
      </c>
      <c r="Q2822" s="5" t="str">
        <f>IFERROR(__xludf.DUMMYFUNCTION("""COMPUTED_VALUE"""),"The Longest Day")</f>
        <v>The Longest Day</v>
      </c>
      <c r="R2822" s="5" t="str">
        <f>IFERROR(__xludf.DUMMYFUNCTION("""COMPUTED_VALUE"""),"Andrew Marton")</f>
        <v>Andrew Marton</v>
      </c>
      <c r="S2822" s="5" t="str">
        <f>IFERROR(__xludf.DUMMYFUNCTION("""COMPUTED_VALUE"""),"Estrela 1")</f>
        <v>Estrela 1</v>
      </c>
    </row>
    <row r="2823">
      <c r="G2823" s="5" t="str">
        <f>IFERROR(__xludf.DUMMYFUNCTION("""COMPUTED_VALUE"""),"706🤙🏼The Longest Day🤙🏼Gerd Oswald🤙🏼Estrela 2")</f>
        <v>706🤙🏼The Longest Day🤙🏼Gerd Oswald🤙🏼Estrela 2</v>
      </c>
      <c r="H2823" s="5">
        <f>IFERROR(__xludf.DUMMYFUNCTION("SPLiT(G2823, ""🤙🏼"",FALSE,FALSE)"),706.0)</f>
        <v>706</v>
      </c>
      <c r="I2823" s="5" t="str">
        <f>IFERROR(__xludf.DUMMYFUNCTION("""COMPUTED_VALUE"""),"The Longest Day")</f>
        <v>The Longest Day</v>
      </c>
      <c r="J2823" s="5" t="str">
        <f>IFERROR(__xludf.DUMMYFUNCTION("""COMPUTED_VALUE"""),"Gerd Oswald")</f>
        <v>Gerd Oswald</v>
      </c>
      <c r="K2823" s="5" t="str">
        <f>IFERROR(__xludf.DUMMYFUNCTION("""COMPUTED_VALUE"""),"Estrela 2")</f>
        <v>Estrela 2</v>
      </c>
      <c r="P2823" s="5">
        <f>IFERROR(__xludf.DUMMYFUNCTION("""COMPUTED_VALUE"""),706.0)</f>
        <v>706</v>
      </c>
      <c r="Q2823" s="5" t="str">
        <f>IFERROR(__xludf.DUMMYFUNCTION("""COMPUTED_VALUE"""),"The Longest Day")</f>
        <v>The Longest Day</v>
      </c>
      <c r="R2823" s="5" t="str">
        <f>IFERROR(__xludf.DUMMYFUNCTION("""COMPUTED_VALUE"""),"Gerd Oswald")</f>
        <v>Gerd Oswald</v>
      </c>
      <c r="S2823" s="5" t="str">
        <f>IFERROR(__xludf.DUMMYFUNCTION("""COMPUTED_VALUE"""),"Estrela 2")</f>
        <v>Estrela 2</v>
      </c>
    </row>
    <row r="2824">
      <c r="G2824" s="5" t="str">
        <f>IFERROR(__xludf.DUMMYFUNCTION("""COMPUTED_VALUE"""),"706🤙🏼The Longest Day🤙🏼Bernhard Wicki🤙🏼Estrela 3")</f>
        <v>706🤙🏼The Longest Day🤙🏼Bernhard Wicki🤙🏼Estrela 3</v>
      </c>
      <c r="H2824" s="5">
        <f>IFERROR(__xludf.DUMMYFUNCTION("SPLiT(G2824, ""🤙🏼"",FALSE,FALSE)"),706.0)</f>
        <v>706</v>
      </c>
      <c r="I2824" s="5" t="str">
        <f>IFERROR(__xludf.DUMMYFUNCTION("""COMPUTED_VALUE"""),"The Longest Day")</f>
        <v>The Longest Day</v>
      </c>
      <c r="J2824" s="5" t="str">
        <f>IFERROR(__xludf.DUMMYFUNCTION("""COMPUTED_VALUE"""),"Bernhard Wicki")</f>
        <v>Bernhard Wicki</v>
      </c>
      <c r="K2824" s="5" t="str">
        <f>IFERROR(__xludf.DUMMYFUNCTION("""COMPUTED_VALUE"""),"Estrela 3")</f>
        <v>Estrela 3</v>
      </c>
      <c r="P2824" s="5">
        <f>IFERROR(__xludf.DUMMYFUNCTION("""COMPUTED_VALUE"""),706.0)</f>
        <v>706</v>
      </c>
      <c r="Q2824" s="5" t="str">
        <f>IFERROR(__xludf.DUMMYFUNCTION("""COMPUTED_VALUE"""),"The Longest Day")</f>
        <v>The Longest Day</v>
      </c>
      <c r="R2824" s="5" t="str">
        <f>IFERROR(__xludf.DUMMYFUNCTION("""COMPUTED_VALUE"""),"Bernhard Wicki")</f>
        <v>Bernhard Wicki</v>
      </c>
      <c r="S2824" s="5" t="str">
        <f>IFERROR(__xludf.DUMMYFUNCTION("""COMPUTED_VALUE"""),"Estrela 3")</f>
        <v>Estrela 3</v>
      </c>
    </row>
    <row r="2825">
      <c r="G2825" s="5" t="str">
        <f>IFERROR(__xludf.DUMMYFUNCTION("""COMPUTED_VALUE"""),"706🤙🏼The Longest Day🤙🏼Darryl F. Zanuck🤙🏼Estrela 4")</f>
        <v>706🤙🏼The Longest Day🤙🏼Darryl F. Zanuck🤙🏼Estrela 4</v>
      </c>
      <c r="H2825" s="5">
        <f>IFERROR(__xludf.DUMMYFUNCTION("SPLiT(G2825, ""🤙🏼"",FALSE,FALSE)"),706.0)</f>
        <v>706</v>
      </c>
      <c r="I2825" s="5" t="str">
        <f>IFERROR(__xludf.DUMMYFUNCTION("""COMPUTED_VALUE"""),"The Longest Day")</f>
        <v>The Longest Day</v>
      </c>
      <c r="J2825" s="5" t="str">
        <f>IFERROR(__xludf.DUMMYFUNCTION("""COMPUTED_VALUE"""),"Darryl F. Zanuck")</f>
        <v>Darryl F. Zanuck</v>
      </c>
      <c r="K2825" s="5" t="str">
        <f>IFERROR(__xludf.DUMMYFUNCTION("""COMPUTED_VALUE"""),"Estrela 4")</f>
        <v>Estrela 4</v>
      </c>
      <c r="P2825" s="5">
        <f>IFERROR(__xludf.DUMMYFUNCTION("""COMPUTED_VALUE"""),706.0)</f>
        <v>706</v>
      </c>
      <c r="Q2825" s="5" t="str">
        <f>IFERROR(__xludf.DUMMYFUNCTION("""COMPUTED_VALUE"""),"The Longest Day")</f>
        <v>The Longest Day</v>
      </c>
      <c r="R2825" s="5" t="str">
        <f>IFERROR(__xludf.DUMMYFUNCTION("""COMPUTED_VALUE"""),"Darryl F. Zanuck")</f>
        <v>Darryl F. Zanuck</v>
      </c>
      <c r="S2825" s="5" t="str">
        <f>IFERROR(__xludf.DUMMYFUNCTION("""COMPUTED_VALUE"""),"Estrela 4")</f>
        <v>Estrela 4</v>
      </c>
    </row>
    <row r="2826">
      <c r="G2826" s="5" t="str">
        <f>IFERROR(__xludf.DUMMYFUNCTION("""COMPUTED_VALUE"""),"707🤙🏼Jules et Jim🤙🏼Jeanne Moreau🤙🏼Estrela 1")</f>
        <v>707🤙🏼Jules et Jim🤙🏼Jeanne Moreau🤙🏼Estrela 1</v>
      </c>
      <c r="H2826" s="5">
        <f>IFERROR(__xludf.DUMMYFUNCTION("SPLiT(G2826, ""🤙🏼"",FALSE,FALSE)"),707.0)</f>
        <v>707</v>
      </c>
      <c r="I2826" s="5" t="str">
        <f>IFERROR(__xludf.DUMMYFUNCTION("""COMPUTED_VALUE"""),"Jules et Jim")</f>
        <v>Jules et Jim</v>
      </c>
      <c r="J2826" s="5" t="str">
        <f>IFERROR(__xludf.DUMMYFUNCTION("""COMPUTED_VALUE"""),"Jeanne Moreau")</f>
        <v>Jeanne Moreau</v>
      </c>
      <c r="K2826" s="5" t="str">
        <f>IFERROR(__xludf.DUMMYFUNCTION("""COMPUTED_VALUE"""),"Estrela 1")</f>
        <v>Estrela 1</v>
      </c>
      <c r="P2826" s="5">
        <f>IFERROR(__xludf.DUMMYFUNCTION("""COMPUTED_VALUE"""),707.0)</f>
        <v>707</v>
      </c>
      <c r="Q2826" s="5" t="str">
        <f>IFERROR(__xludf.DUMMYFUNCTION("""COMPUTED_VALUE"""),"Jules et Jim")</f>
        <v>Jules et Jim</v>
      </c>
      <c r="R2826" s="5" t="str">
        <f>IFERROR(__xludf.DUMMYFUNCTION("""COMPUTED_VALUE"""),"Jeanne Moreau")</f>
        <v>Jeanne Moreau</v>
      </c>
      <c r="S2826" s="5" t="str">
        <f>IFERROR(__xludf.DUMMYFUNCTION("""COMPUTED_VALUE"""),"Estrela 1")</f>
        <v>Estrela 1</v>
      </c>
    </row>
    <row r="2827">
      <c r="G2827" s="5" t="str">
        <f>IFERROR(__xludf.DUMMYFUNCTION("""COMPUTED_VALUE"""),"707🤙🏼Jules et Jim🤙🏼Oskar Werner🤙🏼Estrela 2")</f>
        <v>707🤙🏼Jules et Jim🤙🏼Oskar Werner🤙🏼Estrela 2</v>
      </c>
      <c r="H2827" s="5">
        <f>IFERROR(__xludf.DUMMYFUNCTION("SPLiT(G2827, ""🤙🏼"",FALSE,FALSE)"),707.0)</f>
        <v>707</v>
      </c>
      <c r="I2827" s="5" t="str">
        <f>IFERROR(__xludf.DUMMYFUNCTION("""COMPUTED_VALUE"""),"Jules et Jim")</f>
        <v>Jules et Jim</v>
      </c>
      <c r="J2827" s="5" t="str">
        <f>IFERROR(__xludf.DUMMYFUNCTION("""COMPUTED_VALUE"""),"Oskar Werner")</f>
        <v>Oskar Werner</v>
      </c>
      <c r="K2827" s="5" t="str">
        <f>IFERROR(__xludf.DUMMYFUNCTION("""COMPUTED_VALUE"""),"Estrela 2")</f>
        <v>Estrela 2</v>
      </c>
      <c r="P2827" s="5">
        <f>IFERROR(__xludf.DUMMYFUNCTION("""COMPUTED_VALUE"""),707.0)</f>
        <v>707</v>
      </c>
      <c r="Q2827" s="5" t="str">
        <f>IFERROR(__xludf.DUMMYFUNCTION("""COMPUTED_VALUE"""),"Jules et Jim")</f>
        <v>Jules et Jim</v>
      </c>
      <c r="R2827" s="5" t="str">
        <f>IFERROR(__xludf.DUMMYFUNCTION("""COMPUTED_VALUE"""),"Oskar Werner")</f>
        <v>Oskar Werner</v>
      </c>
      <c r="S2827" s="5" t="str">
        <f>IFERROR(__xludf.DUMMYFUNCTION("""COMPUTED_VALUE"""),"Estrela 2")</f>
        <v>Estrela 2</v>
      </c>
    </row>
    <row r="2828">
      <c r="G2828" s="5" t="str">
        <f>IFERROR(__xludf.DUMMYFUNCTION("""COMPUTED_VALUE"""),"707🤙🏼Jules et Jim🤙🏼Henri Serre🤙🏼Estrela 3")</f>
        <v>707🤙🏼Jules et Jim🤙🏼Henri Serre🤙🏼Estrela 3</v>
      </c>
      <c r="H2828" s="5">
        <f>IFERROR(__xludf.DUMMYFUNCTION("SPLiT(G2828, ""🤙🏼"",FALSE,FALSE)"),707.0)</f>
        <v>707</v>
      </c>
      <c r="I2828" s="5" t="str">
        <f>IFERROR(__xludf.DUMMYFUNCTION("""COMPUTED_VALUE"""),"Jules et Jim")</f>
        <v>Jules et Jim</v>
      </c>
      <c r="J2828" s="5" t="str">
        <f>IFERROR(__xludf.DUMMYFUNCTION("""COMPUTED_VALUE"""),"Henri Serre")</f>
        <v>Henri Serre</v>
      </c>
      <c r="K2828" s="5" t="str">
        <f>IFERROR(__xludf.DUMMYFUNCTION("""COMPUTED_VALUE"""),"Estrela 3")</f>
        <v>Estrela 3</v>
      </c>
      <c r="P2828" s="5">
        <f>IFERROR(__xludf.DUMMYFUNCTION("""COMPUTED_VALUE"""),707.0)</f>
        <v>707</v>
      </c>
      <c r="Q2828" s="5" t="str">
        <f>IFERROR(__xludf.DUMMYFUNCTION("""COMPUTED_VALUE"""),"Jules et Jim")</f>
        <v>Jules et Jim</v>
      </c>
      <c r="R2828" s="5" t="str">
        <f>IFERROR(__xludf.DUMMYFUNCTION("""COMPUTED_VALUE"""),"Henri Serre")</f>
        <v>Henri Serre</v>
      </c>
      <c r="S2828" s="5" t="str">
        <f>IFERROR(__xludf.DUMMYFUNCTION("""COMPUTED_VALUE"""),"Estrela 3")</f>
        <v>Estrela 3</v>
      </c>
    </row>
    <row r="2829">
      <c r="G2829" s="5" t="str">
        <f>IFERROR(__xludf.DUMMYFUNCTION("""COMPUTED_VALUE"""),"707🤙🏼Jules et Jim🤙🏼Vanna Urbino🤙🏼Estrela 4")</f>
        <v>707🤙🏼Jules et Jim🤙🏼Vanna Urbino🤙🏼Estrela 4</v>
      </c>
      <c r="H2829" s="5">
        <f>IFERROR(__xludf.DUMMYFUNCTION("SPLiT(G2829, ""🤙🏼"",FALSE,FALSE)"),707.0)</f>
        <v>707</v>
      </c>
      <c r="I2829" s="5" t="str">
        <f>IFERROR(__xludf.DUMMYFUNCTION("""COMPUTED_VALUE"""),"Jules et Jim")</f>
        <v>Jules et Jim</v>
      </c>
      <c r="J2829" s="5" t="str">
        <f>IFERROR(__xludf.DUMMYFUNCTION("""COMPUTED_VALUE"""),"Vanna Urbino")</f>
        <v>Vanna Urbino</v>
      </c>
      <c r="K2829" s="5" t="str">
        <f>IFERROR(__xludf.DUMMYFUNCTION("""COMPUTED_VALUE"""),"Estrela 4")</f>
        <v>Estrela 4</v>
      </c>
      <c r="P2829" s="5">
        <f>IFERROR(__xludf.DUMMYFUNCTION("""COMPUTED_VALUE"""),707.0)</f>
        <v>707</v>
      </c>
      <c r="Q2829" s="5" t="str">
        <f>IFERROR(__xludf.DUMMYFUNCTION("""COMPUTED_VALUE"""),"Jules et Jim")</f>
        <v>Jules et Jim</v>
      </c>
      <c r="R2829" s="5" t="str">
        <f>IFERROR(__xludf.DUMMYFUNCTION("""COMPUTED_VALUE"""),"Vanna Urbino")</f>
        <v>Vanna Urbino</v>
      </c>
      <c r="S2829" s="5" t="str">
        <f>IFERROR(__xludf.DUMMYFUNCTION("""COMPUTED_VALUE"""),"Estrela 4")</f>
        <v>Estrela 4</v>
      </c>
    </row>
    <row r="2830">
      <c r="G2830" s="5" t="str">
        <f>IFERROR(__xludf.DUMMYFUNCTION("""COMPUTED_VALUE"""),"708🤙🏼The Innocents🤙🏼Deborah Kerr🤙🏼Estrela 1")</f>
        <v>708🤙🏼The Innocents🤙🏼Deborah Kerr🤙🏼Estrela 1</v>
      </c>
      <c r="H2830" s="5">
        <f>IFERROR(__xludf.DUMMYFUNCTION("SPLiT(G2830, ""🤙🏼"",FALSE,FALSE)"),708.0)</f>
        <v>708</v>
      </c>
      <c r="I2830" s="5" t="str">
        <f>IFERROR(__xludf.DUMMYFUNCTION("""COMPUTED_VALUE"""),"The Innocents")</f>
        <v>The Innocents</v>
      </c>
      <c r="J2830" s="5" t="str">
        <f>IFERROR(__xludf.DUMMYFUNCTION("""COMPUTED_VALUE"""),"Deborah Kerr")</f>
        <v>Deborah Kerr</v>
      </c>
      <c r="K2830" s="5" t="str">
        <f>IFERROR(__xludf.DUMMYFUNCTION("""COMPUTED_VALUE"""),"Estrela 1")</f>
        <v>Estrela 1</v>
      </c>
      <c r="P2830" s="5">
        <f>IFERROR(__xludf.DUMMYFUNCTION("""COMPUTED_VALUE"""),708.0)</f>
        <v>708</v>
      </c>
      <c r="Q2830" s="5" t="str">
        <f>IFERROR(__xludf.DUMMYFUNCTION("""COMPUTED_VALUE"""),"The Innocents")</f>
        <v>The Innocents</v>
      </c>
      <c r="R2830" s="5" t="str">
        <f>IFERROR(__xludf.DUMMYFUNCTION("""COMPUTED_VALUE"""),"Deborah Kerr")</f>
        <v>Deborah Kerr</v>
      </c>
      <c r="S2830" s="5" t="str">
        <f>IFERROR(__xludf.DUMMYFUNCTION("""COMPUTED_VALUE"""),"Estrela 1")</f>
        <v>Estrela 1</v>
      </c>
    </row>
    <row r="2831">
      <c r="G2831" s="5" t="str">
        <f>IFERROR(__xludf.DUMMYFUNCTION("""COMPUTED_VALUE"""),"708🤙🏼The Innocents🤙🏼Peter Wyngarde🤙🏼Estrela 2")</f>
        <v>708🤙🏼The Innocents🤙🏼Peter Wyngarde🤙🏼Estrela 2</v>
      </c>
      <c r="H2831" s="5">
        <f>IFERROR(__xludf.DUMMYFUNCTION("SPLiT(G2831, ""🤙🏼"",FALSE,FALSE)"),708.0)</f>
        <v>708</v>
      </c>
      <c r="I2831" s="5" t="str">
        <f>IFERROR(__xludf.DUMMYFUNCTION("""COMPUTED_VALUE"""),"The Innocents")</f>
        <v>The Innocents</v>
      </c>
      <c r="J2831" s="5" t="str">
        <f>IFERROR(__xludf.DUMMYFUNCTION("""COMPUTED_VALUE"""),"Peter Wyngarde")</f>
        <v>Peter Wyngarde</v>
      </c>
      <c r="K2831" s="5" t="str">
        <f>IFERROR(__xludf.DUMMYFUNCTION("""COMPUTED_VALUE"""),"Estrela 2")</f>
        <v>Estrela 2</v>
      </c>
      <c r="P2831" s="5">
        <f>IFERROR(__xludf.DUMMYFUNCTION("""COMPUTED_VALUE"""),708.0)</f>
        <v>708</v>
      </c>
      <c r="Q2831" s="5" t="str">
        <f>IFERROR(__xludf.DUMMYFUNCTION("""COMPUTED_VALUE"""),"The Innocents")</f>
        <v>The Innocents</v>
      </c>
      <c r="R2831" s="5" t="str">
        <f>IFERROR(__xludf.DUMMYFUNCTION("""COMPUTED_VALUE"""),"Peter Wyngarde")</f>
        <v>Peter Wyngarde</v>
      </c>
      <c r="S2831" s="5" t="str">
        <f>IFERROR(__xludf.DUMMYFUNCTION("""COMPUTED_VALUE"""),"Estrela 2")</f>
        <v>Estrela 2</v>
      </c>
    </row>
    <row r="2832">
      <c r="G2832" s="5" t="str">
        <f>IFERROR(__xludf.DUMMYFUNCTION("""COMPUTED_VALUE"""),"708🤙🏼The Innocents🤙🏼Megs Jenkins🤙🏼Estrela 3")</f>
        <v>708🤙🏼The Innocents🤙🏼Megs Jenkins🤙🏼Estrela 3</v>
      </c>
      <c r="H2832" s="5">
        <f>IFERROR(__xludf.DUMMYFUNCTION("SPLiT(G2832, ""🤙🏼"",FALSE,FALSE)"),708.0)</f>
        <v>708</v>
      </c>
      <c r="I2832" s="5" t="str">
        <f>IFERROR(__xludf.DUMMYFUNCTION("""COMPUTED_VALUE"""),"The Innocents")</f>
        <v>The Innocents</v>
      </c>
      <c r="J2832" s="5" t="str">
        <f>IFERROR(__xludf.DUMMYFUNCTION("""COMPUTED_VALUE"""),"Megs Jenkins")</f>
        <v>Megs Jenkins</v>
      </c>
      <c r="K2832" s="5" t="str">
        <f>IFERROR(__xludf.DUMMYFUNCTION("""COMPUTED_VALUE"""),"Estrela 3")</f>
        <v>Estrela 3</v>
      </c>
      <c r="P2832" s="5">
        <f>IFERROR(__xludf.DUMMYFUNCTION("""COMPUTED_VALUE"""),708.0)</f>
        <v>708</v>
      </c>
      <c r="Q2832" s="5" t="str">
        <f>IFERROR(__xludf.DUMMYFUNCTION("""COMPUTED_VALUE"""),"The Innocents")</f>
        <v>The Innocents</v>
      </c>
      <c r="R2832" s="5" t="str">
        <f>IFERROR(__xludf.DUMMYFUNCTION("""COMPUTED_VALUE"""),"Megs Jenkins")</f>
        <v>Megs Jenkins</v>
      </c>
      <c r="S2832" s="5" t="str">
        <f>IFERROR(__xludf.DUMMYFUNCTION("""COMPUTED_VALUE"""),"Estrela 3")</f>
        <v>Estrela 3</v>
      </c>
    </row>
    <row r="2833">
      <c r="G2833" s="5" t="str">
        <f>IFERROR(__xludf.DUMMYFUNCTION("""COMPUTED_VALUE"""),"708🤙🏼The Innocents🤙🏼Michael Redgrave🤙🏼Estrela 4")</f>
        <v>708🤙🏼The Innocents🤙🏼Michael Redgrave🤙🏼Estrela 4</v>
      </c>
      <c r="H2833" s="5">
        <f>IFERROR(__xludf.DUMMYFUNCTION("SPLiT(G2833, ""🤙🏼"",FALSE,FALSE)"),708.0)</f>
        <v>708</v>
      </c>
      <c r="I2833" s="5" t="str">
        <f>IFERROR(__xludf.DUMMYFUNCTION("""COMPUTED_VALUE"""),"The Innocents")</f>
        <v>The Innocents</v>
      </c>
      <c r="J2833" s="5" t="str">
        <f>IFERROR(__xludf.DUMMYFUNCTION("""COMPUTED_VALUE"""),"Michael Redgrave")</f>
        <v>Michael Redgrave</v>
      </c>
      <c r="K2833" s="5" t="str">
        <f>IFERROR(__xludf.DUMMYFUNCTION("""COMPUTED_VALUE"""),"Estrela 4")</f>
        <v>Estrela 4</v>
      </c>
      <c r="P2833" s="5">
        <f>IFERROR(__xludf.DUMMYFUNCTION("""COMPUTED_VALUE"""),708.0)</f>
        <v>708</v>
      </c>
      <c r="Q2833" s="5" t="str">
        <f>IFERROR(__xludf.DUMMYFUNCTION("""COMPUTED_VALUE"""),"The Innocents")</f>
        <v>The Innocents</v>
      </c>
      <c r="R2833" s="5" t="str">
        <f>IFERROR(__xludf.DUMMYFUNCTION("""COMPUTED_VALUE"""),"Michael Redgrave")</f>
        <v>Michael Redgrave</v>
      </c>
      <c r="S2833" s="5" t="str">
        <f>IFERROR(__xludf.DUMMYFUNCTION("""COMPUTED_VALUE"""),"Estrela 4")</f>
        <v>Estrela 4</v>
      </c>
    </row>
    <row r="2834">
      <c r="G2834" s="5" t="str">
        <f>IFERROR(__xludf.DUMMYFUNCTION("""COMPUTED_VALUE"""),"709🤙🏼À bout de souffle🤙🏼Jean-Paul Belmondo🤙🏼Estrela 1")</f>
        <v>709🤙🏼À bout de souffle🤙🏼Jean-Paul Belmondo🤙🏼Estrela 1</v>
      </c>
      <c r="H2834" s="5">
        <f>IFERROR(__xludf.DUMMYFUNCTION("SPLiT(G2834, ""🤙🏼"",FALSE,FALSE)"),709.0)</f>
        <v>709</v>
      </c>
      <c r="I2834" s="5" t="str">
        <f>IFERROR(__xludf.DUMMYFUNCTION("""COMPUTED_VALUE"""),"À bout de souffle")</f>
        <v>À bout de souffle</v>
      </c>
      <c r="J2834" s="5" t="str">
        <f>IFERROR(__xludf.DUMMYFUNCTION("""COMPUTED_VALUE"""),"Jean-Paul Belmondo")</f>
        <v>Jean-Paul Belmondo</v>
      </c>
      <c r="K2834" s="5" t="str">
        <f>IFERROR(__xludf.DUMMYFUNCTION("""COMPUTED_VALUE"""),"Estrela 1")</f>
        <v>Estrela 1</v>
      </c>
      <c r="P2834" s="5">
        <f>IFERROR(__xludf.DUMMYFUNCTION("""COMPUTED_VALUE"""),709.0)</f>
        <v>709</v>
      </c>
      <c r="Q2834" s="5" t="str">
        <f>IFERROR(__xludf.DUMMYFUNCTION("""COMPUTED_VALUE"""),"À bout de souffle")</f>
        <v>À bout de souffle</v>
      </c>
      <c r="R2834" s="5" t="str">
        <f>IFERROR(__xludf.DUMMYFUNCTION("""COMPUTED_VALUE"""),"Jean-Paul Belmondo")</f>
        <v>Jean-Paul Belmondo</v>
      </c>
      <c r="S2834" s="5" t="str">
        <f>IFERROR(__xludf.DUMMYFUNCTION("""COMPUTED_VALUE"""),"Estrela 1")</f>
        <v>Estrela 1</v>
      </c>
    </row>
    <row r="2835">
      <c r="G2835" s="5" t="str">
        <f>IFERROR(__xludf.DUMMYFUNCTION("""COMPUTED_VALUE"""),"709🤙🏼À bout de souffle🤙🏼Jean Seberg🤙🏼Estrela 2")</f>
        <v>709🤙🏼À bout de souffle🤙🏼Jean Seberg🤙🏼Estrela 2</v>
      </c>
      <c r="H2835" s="5">
        <f>IFERROR(__xludf.DUMMYFUNCTION("SPLiT(G2835, ""🤙🏼"",FALSE,FALSE)"),709.0)</f>
        <v>709</v>
      </c>
      <c r="I2835" s="5" t="str">
        <f>IFERROR(__xludf.DUMMYFUNCTION("""COMPUTED_VALUE"""),"À bout de souffle")</f>
        <v>À bout de souffle</v>
      </c>
      <c r="J2835" s="5" t="str">
        <f>IFERROR(__xludf.DUMMYFUNCTION("""COMPUTED_VALUE"""),"Jean Seberg")</f>
        <v>Jean Seberg</v>
      </c>
      <c r="K2835" s="5" t="str">
        <f>IFERROR(__xludf.DUMMYFUNCTION("""COMPUTED_VALUE"""),"Estrela 2")</f>
        <v>Estrela 2</v>
      </c>
      <c r="P2835" s="5">
        <f>IFERROR(__xludf.DUMMYFUNCTION("""COMPUTED_VALUE"""),709.0)</f>
        <v>709</v>
      </c>
      <c r="Q2835" s="5" t="str">
        <f>IFERROR(__xludf.DUMMYFUNCTION("""COMPUTED_VALUE"""),"À bout de souffle")</f>
        <v>À bout de souffle</v>
      </c>
      <c r="R2835" s="5" t="str">
        <f>IFERROR(__xludf.DUMMYFUNCTION("""COMPUTED_VALUE"""),"Jean Seberg")</f>
        <v>Jean Seberg</v>
      </c>
      <c r="S2835" s="5" t="str">
        <f>IFERROR(__xludf.DUMMYFUNCTION("""COMPUTED_VALUE"""),"Estrela 2")</f>
        <v>Estrela 2</v>
      </c>
    </row>
    <row r="2836">
      <c r="G2836" s="5" t="str">
        <f>IFERROR(__xludf.DUMMYFUNCTION("""COMPUTED_VALUE"""),"709🤙🏼À bout de souffle🤙🏼Daniel Boulanger🤙🏼Estrela 3")</f>
        <v>709🤙🏼À bout de souffle🤙🏼Daniel Boulanger🤙🏼Estrela 3</v>
      </c>
      <c r="H2836" s="5">
        <f>IFERROR(__xludf.DUMMYFUNCTION("SPLiT(G2836, ""🤙🏼"",FALSE,FALSE)"),709.0)</f>
        <v>709</v>
      </c>
      <c r="I2836" s="5" t="str">
        <f>IFERROR(__xludf.DUMMYFUNCTION("""COMPUTED_VALUE"""),"À bout de souffle")</f>
        <v>À bout de souffle</v>
      </c>
      <c r="J2836" s="5" t="str">
        <f>IFERROR(__xludf.DUMMYFUNCTION("""COMPUTED_VALUE"""),"Daniel Boulanger")</f>
        <v>Daniel Boulanger</v>
      </c>
      <c r="K2836" s="5" t="str">
        <f>IFERROR(__xludf.DUMMYFUNCTION("""COMPUTED_VALUE"""),"Estrela 3")</f>
        <v>Estrela 3</v>
      </c>
      <c r="P2836" s="5">
        <f>IFERROR(__xludf.DUMMYFUNCTION("""COMPUTED_VALUE"""),709.0)</f>
        <v>709</v>
      </c>
      <c r="Q2836" s="5" t="str">
        <f>IFERROR(__xludf.DUMMYFUNCTION("""COMPUTED_VALUE"""),"À bout de souffle")</f>
        <v>À bout de souffle</v>
      </c>
      <c r="R2836" s="5" t="str">
        <f>IFERROR(__xludf.DUMMYFUNCTION("""COMPUTED_VALUE"""),"Daniel Boulanger")</f>
        <v>Daniel Boulanger</v>
      </c>
      <c r="S2836" s="5" t="str">
        <f>IFERROR(__xludf.DUMMYFUNCTION("""COMPUTED_VALUE"""),"Estrela 3")</f>
        <v>Estrela 3</v>
      </c>
    </row>
    <row r="2837">
      <c r="G2837" s="5" t="str">
        <f>IFERROR(__xludf.DUMMYFUNCTION("""COMPUTED_VALUE"""),"709🤙🏼À bout de souffle🤙🏼Henri-Jacques Huet🤙🏼Estrela 4")</f>
        <v>709🤙🏼À bout de souffle🤙🏼Henri-Jacques Huet🤙🏼Estrela 4</v>
      </c>
      <c r="H2837" s="5">
        <f>IFERROR(__xludf.DUMMYFUNCTION("SPLiT(G2837, ""🤙🏼"",FALSE,FALSE)"),709.0)</f>
        <v>709</v>
      </c>
      <c r="I2837" s="5" t="str">
        <f>IFERROR(__xludf.DUMMYFUNCTION("""COMPUTED_VALUE"""),"À bout de souffle")</f>
        <v>À bout de souffle</v>
      </c>
      <c r="J2837" s="5" t="str">
        <f>IFERROR(__xludf.DUMMYFUNCTION("""COMPUTED_VALUE"""),"Henri-Jacques Huet")</f>
        <v>Henri-Jacques Huet</v>
      </c>
      <c r="K2837" s="5" t="str">
        <f>IFERROR(__xludf.DUMMYFUNCTION("""COMPUTED_VALUE"""),"Estrela 4")</f>
        <v>Estrela 4</v>
      </c>
      <c r="P2837" s="5">
        <f>IFERROR(__xludf.DUMMYFUNCTION("""COMPUTED_VALUE"""),709.0)</f>
        <v>709</v>
      </c>
      <c r="Q2837" s="5" t="str">
        <f>IFERROR(__xludf.DUMMYFUNCTION("""COMPUTED_VALUE"""),"À bout de souffle")</f>
        <v>À bout de souffle</v>
      </c>
      <c r="R2837" s="5" t="str">
        <f>IFERROR(__xludf.DUMMYFUNCTION("""COMPUTED_VALUE"""),"Henri-Jacques Huet")</f>
        <v>Henri-Jacques Huet</v>
      </c>
      <c r="S2837" s="5" t="str">
        <f>IFERROR(__xludf.DUMMYFUNCTION("""COMPUTED_VALUE"""),"Estrela 4")</f>
        <v>Estrela 4</v>
      </c>
    </row>
    <row r="2838">
      <c r="G2838" s="5" t="str">
        <f>IFERROR(__xludf.DUMMYFUNCTION("""COMPUTED_VALUE"""),"710🤙🏼Red River🤙🏼Arthur Rosson🤙🏼Estrela 1")</f>
        <v>710🤙🏼Red River🤙🏼Arthur Rosson🤙🏼Estrela 1</v>
      </c>
      <c r="H2838" s="5">
        <f>IFERROR(__xludf.DUMMYFUNCTION("SPLiT(G2838, ""🤙🏼"",FALSE,FALSE)"),710.0)</f>
        <v>710</v>
      </c>
      <c r="I2838" s="5" t="str">
        <f>IFERROR(__xludf.DUMMYFUNCTION("""COMPUTED_VALUE"""),"Red River")</f>
        <v>Red River</v>
      </c>
      <c r="J2838" s="5" t="str">
        <f>IFERROR(__xludf.DUMMYFUNCTION("""COMPUTED_VALUE"""),"Arthur Rosson")</f>
        <v>Arthur Rosson</v>
      </c>
      <c r="K2838" s="5" t="str">
        <f>IFERROR(__xludf.DUMMYFUNCTION("""COMPUTED_VALUE"""),"Estrela 1")</f>
        <v>Estrela 1</v>
      </c>
      <c r="P2838" s="5">
        <f>IFERROR(__xludf.DUMMYFUNCTION("""COMPUTED_VALUE"""),710.0)</f>
        <v>710</v>
      </c>
      <c r="Q2838" s="5" t="str">
        <f>IFERROR(__xludf.DUMMYFUNCTION("""COMPUTED_VALUE"""),"Red River")</f>
        <v>Red River</v>
      </c>
      <c r="R2838" s="5" t="str">
        <f>IFERROR(__xludf.DUMMYFUNCTION("""COMPUTED_VALUE"""),"Arthur Rosson")</f>
        <v>Arthur Rosson</v>
      </c>
      <c r="S2838" s="5" t="str">
        <f>IFERROR(__xludf.DUMMYFUNCTION("""COMPUTED_VALUE"""),"Estrela 1")</f>
        <v>Estrela 1</v>
      </c>
    </row>
    <row r="2839">
      <c r="G2839" s="5" t="str">
        <f>IFERROR(__xludf.DUMMYFUNCTION("""COMPUTED_VALUE"""),"710🤙🏼Red River🤙🏼John Wayne🤙🏼Estrela 2")</f>
        <v>710🤙🏼Red River🤙🏼John Wayne🤙🏼Estrela 2</v>
      </c>
      <c r="H2839" s="5">
        <f>IFERROR(__xludf.DUMMYFUNCTION("SPLiT(G2839, ""🤙🏼"",FALSE,FALSE)"),710.0)</f>
        <v>710</v>
      </c>
      <c r="I2839" s="5" t="str">
        <f>IFERROR(__xludf.DUMMYFUNCTION("""COMPUTED_VALUE"""),"Red River")</f>
        <v>Red River</v>
      </c>
      <c r="J2839" s="5" t="str">
        <f>IFERROR(__xludf.DUMMYFUNCTION("""COMPUTED_VALUE"""),"John Wayne")</f>
        <v>John Wayne</v>
      </c>
      <c r="K2839" s="5" t="str">
        <f>IFERROR(__xludf.DUMMYFUNCTION("""COMPUTED_VALUE"""),"Estrela 2")</f>
        <v>Estrela 2</v>
      </c>
      <c r="P2839" s="5">
        <f>IFERROR(__xludf.DUMMYFUNCTION("""COMPUTED_VALUE"""),710.0)</f>
        <v>710</v>
      </c>
      <c r="Q2839" s="5" t="str">
        <f>IFERROR(__xludf.DUMMYFUNCTION("""COMPUTED_VALUE"""),"Red River")</f>
        <v>Red River</v>
      </c>
      <c r="R2839" s="5" t="str">
        <f>IFERROR(__xludf.DUMMYFUNCTION("""COMPUTED_VALUE"""),"John Wayne")</f>
        <v>John Wayne</v>
      </c>
      <c r="S2839" s="5" t="str">
        <f>IFERROR(__xludf.DUMMYFUNCTION("""COMPUTED_VALUE"""),"Estrela 2")</f>
        <v>Estrela 2</v>
      </c>
    </row>
    <row r="2840">
      <c r="G2840" s="5" t="str">
        <f>IFERROR(__xludf.DUMMYFUNCTION("""COMPUTED_VALUE"""),"710🤙🏼Red River🤙🏼Montgomery Clift🤙🏼Estrela 3")</f>
        <v>710🤙🏼Red River🤙🏼Montgomery Clift🤙🏼Estrela 3</v>
      </c>
      <c r="H2840" s="5">
        <f>IFERROR(__xludf.DUMMYFUNCTION("SPLiT(G2840, ""🤙🏼"",FALSE,FALSE)"),710.0)</f>
        <v>710</v>
      </c>
      <c r="I2840" s="5" t="str">
        <f>IFERROR(__xludf.DUMMYFUNCTION("""COMPUTED_VALUE"""),"Red River")</f>
        <v>Red River</v>
      </c>
      <c r="J2840" s="5" t="str">
        <f>IFERROR(__xludf.DUMMYFUNCTION("""COMPUTED_VALUE"""),"Montgomery Clift")</f>
        <v>Montgomery Clift</v>
      </c>
      <c r="K2840" s="5" t="str">
        <f>IFERROR(__xludf.DUMMYFUNCTION("""COMPUTED_VALUE"""),"Estrela 3")</f>
        <v>Estrela 3</v>
      </c>
      <c r="P2840" s="5">
        <f>IFERROR(__xludf.DUMMYFUNCTION("""COMPUTED_VALUE"""),710.0)</f>
        <v>710</v>
      </c>
      <c r="Q2840" s="5" t="str">
        <f>IFERROR(__xludf.DUMMYFUNCTION("""COMPUTED_VALUE"""),"Red River")</f>
        <v>Red River</v>
      </c>
      <c r="R2840" s="5" t="str">
        <f>IFERROR(__xludf.DUMMYFUNCTION("""COMPUTED_VALUE"""),"Montgomery Clift")</f>
        <v>Montgomery Clift</v>
      </c>
      <c r="S2840" s="5" t="str">
        <f>IFERROR(__xludf.DUMMYFUNCTION("""COMPUTED_VALUE"""),"Estrela 3")</f>
        <v>Estrela 3</v>
      </c>
    </row>
    <row r="2841">
      <c r="G2841" s="5" t="str">
        <f>IFERROR(__xludf.DUMMYFUNCTION("""COMPUTED_VALUE"""),"710🤙🏼Red River🤙🏼Joanne Dru🤙🏼Estrela 4")</f>
        <v>710🤙🏼Red River🤙🏼Joanne Dru🤙🏼Estrela 4</v>
      </c>
      <c r="H2841" s="5">
        <f>IFERROR(__xludf.DUMMYFUNCTION("SPLiT(G2841, ""🤙🏼"",FALSE,FALSE)"),710.0)</f>
        <v>710</v>
      </c>
      <c r="I2841" s="5" t="str">
        <f>IFERROR(__xludf.DUMMYFUNCTION("""COMPUTED_VALUE"""),"Red River")</f>
        <v>Red River</v>
      </c>
      <c r="J2841" s="5" t="str">
        <f>IFERROR(__xludf.DUMMYFUNCTION("""COMPUTED_VALUE"""),"Joanne Dru")</f>
        <v>Joanne Dru</v>
      </c>
      <c r="K2841" s="5" t="str">
        <f>IFERROR(__xludf.DUMMYFUNCTION("""COMPUTED_VALUE"""),"Estrela 4")</f>
        <v>Estrela 4</v>
      </c>
      <c r="P2841" s="5">
        <f>IFERROR(__xludf.DUMMYFUNCTION("""COMPUTED_VALUE"""),710.0)</f>
        <v>710</v>
      </c>
      <c r="Q2841" s="5" t="str">
        <f>IFERROR(__xludf.DUMMYFUNCTION("""COMPUTED_VALUE"""),"Red River")</f>
        <v>Red River</v>
      </c>
      <c r="R2841" s="5" t="str">
        <f>IFERROR(__xludf.DUMMYFUNCTION("""COMPUTED_VALUE"""),"Joanne Dru")</f>
        <v>Joanne Dru</v>
      </c>
      <c r="S2841" s="5" t="str">
        <f>IFERROR(__xludf.DUMMYFUNCTION("""COMPUTED_VALUE"""),"Estrela 4")</f>
        <v>Estrela 4</v>
      </c>
    </row>
    <row r="2842">
      <c r="G2842" s="5" t="str">
        <f>IFERROR(__xludf.DUMMYFUNCTION("""COMPUTED_VALUE"""),"711🤙🏼Key Largo🤙🏼Humphrey Bogart🤙🏼Estrela 1")</f>
        <v>711🤙🏼Key Largo🤙🏼Humphrey Bogart🤙🏼Estrela 1</v>
      </c>
      <c r="H2842" s="5">
        <f>IFERROR(__xludf.DUMMYFUNCTION("SPLiT(G2842, ""🤙🏼"",FALSE,FALSE)"),711.0)</f>
        <v>711</v>
      </c>
      <c r="I2842" s="5" t="str">
        <f>IFERROR(__xludf.DUMMYFUNCTION("""COMPUTED_VALUE"""),"Key Largo")</f>
        <v>Key Largo</v>
      </c>
      <c r="J2842" s="5" t="str">
        <f>IFERROR(__xludf.DUMMYFUNCTION("""COMPUTED_VALUE"""),"Humphrey Bogart")</f>
        <v>Humphrey Bogart</v>
      </c>
      <c r="K2842" s="5" t="str">
        <f>IFERROR(__xludf.DUMMYFUNCTION("""COMPUTED_VALUE"""),"Estrela 1")</f>
        <v>Estrela 1</v>
      </c>
      <c r="P2842" s="5">
        <f>IFERROR(__xludf.DUMMYFUNCTION("""COMPUTED_VALUE"""),711.0)</f>
        <v>711</v>
      </c>
      <c r="Q2842" s="5" t="str">
        <f>IFERROR(__xludf.DUMMYFUNCTION("""COMPUTED_VALUE"""),"Key Largo")</f>
        <v>Key Largo</v>
      </c>
      <c r="R2842" s="5" t="str">
        <f>IFERROR(__xludf.DUMMYFUNCTION("""COMPUTED_VALUE"""),"Humphrey Bogart")</f>
        <v>Humphrey Bogart</v>
      </c>
      <c r="S2842" s="5" t="str">
        <f>IFERROR(__xludf.DUMMYFUNCTION("""COMPUTED_VALUE"""),"Estrela 1")</f>
        <v>Estrela 1</v>
      </c>
    </row>
    <row r="2843">
      <c r="G2843" s="5" t="str">
        <f>IFERROR(__xludf.DUMMYFUNCTION("""COMPUTED_VALUE"""),"711🤙🏼Key Largo🤙🏼Edward G. Robinson🤙🏼Estrela 2")</f>
        <v>711🤙🏼Key Largo🤙🏼Edward G. Robinson🤙🏼Estrela 2</v>
      </c>
      <c r="H2843" s="5">
        <f>IFERROR(__xludf.DUMMYFUNCTION("SPLiT(G2843, ""🤙🏼"",FALSE,FALSE)"),711.0)</f>
        <v>711</v>
      </c>
      <c r="I2843" s="5" t="str">
        <f>IFERROR(__xludf.DUMMYFUNCTION("""COMPUTED_VALUE"""),"Key Largo")</f>
        <v>Key Largo</v>
      </c>
      <c r="J2843" s="5" t="str">
        <f>IFERROR(__xludf.DUMMYFUNCTION("""COMPUTED_VALUE"""),"Edward G. Robinson")</f>
        <v>Edward G. Robinson</v>
      </c>
      <c r="K2843" s="5" t="str">
        <f>IFERROR(__xludf.DUMMYFUNCTION("""COMPUTED_VALUE"""),"Estrela 2")</f>
        <v>Estrela 2</v>
      </c>
      <c r="P2843" s="5">
        <f>IFERROR(__xludf.DUMMYFUNCTION("""COMPUTED_VALUE"""),711.0)</f>
        <v>711</v>
      </c>
      <c r="Q2843" s="5" t="str">
        <f>IFERROR(__xludf.DUMMYFUNCTION("""COMPUTED_VALUE"""),"Key Largo")</f>
        <v>Key Largo</v>
      </c>
      <c r="R2843" s="5" t="str">
        <f>IFERROR(__xludf.DUMMYFUNCTION("""COMPUTED_VALUE"""),"Edward G. Robinson")</f>
        <v>Edward G. Robinson</v>
      </c>
      <c r="S2843" s="5" t="str">
        <f>IFERROR(__xludf.DUMMYFUNCTION("""COMPUTED_VALUE"""),"Estrela 2")</f>
        <v>Estrela 2</v>
      </c>
    </row>
    <row r="2844">
      <c r="G2844" s="5" t="str">
        <f>IFERROR(__xludf.DUMMYFUNCTION("""COMPUTED_VALUE"""),"711🤙🏼Key Largo🤙🏼Lauren Bacall🤙🏼Estrela 3")</f>
        <v>711🤙🏼Key Largo🤙🏼Lauren Bacall🤙🏼Estrela 3</v>
      </c>
      <c r="H2844" s="5">
        <f>IFERROR(__xludf.DUMMYFUNCTION("SPLiT(G2844, ""🤙🏼"",FALSE,FALSE)"),711.0)</f>
        <v>711</v>
      </c>
      <c r="I2844" s="5" t="str">
        <f>IFERROR(__xludf.DUMMYFUNCTION("""COMPUTED_VALUE"""),"Key Largo")</f>
        <v>Key Largo</v>
      </c>
      <c r="J2844" s="5" t="str">
        <f>IFERROR(__xludf.DUMMYFUNCTION("""COMPUTED_VALUE"""),"Lauren Bacall")</f>
        <v>Lauren Bacall</v>
      </c>
      <c r="K2844" s="5" t="str">
        <f>IFERROR(__xludf.DUMMYFUNCTION("""COMPUTED_VALUE"""),"Estrela 3")</f>
        <v>Estrela 3</v>
      </c>
      <c r="P2844" s="5">
        <f>IFERROR(__xludf.DUMMYFUNCTION("""COMPUTED_VALUE"""),711.0)</f>
        <v>711</v>
      </c>
      <c r="Q2844" s="5" t="str">
        <f>IFERROR(__xludf.DUMMYFUNCTION("""COMPUTED_VALUE"""),"Key Largo")</f>
        <v>Key Largo</v>
      </c>
      <c r="R2844" s="5" t="str">
        <f>IFERROR(__xludf.DUMMYFUNCTION("""COMPUTED_VALUE"""),"Lauren Bacall")</f>
        <v>Lauren Bacall</v>
      </c>
      <c r="S2844" s="5" t="str">
        <f>IFERROR(__xludf.DUMMYFUNCTION("""COMPUTED_VALUE"""),"Estrela 3")</f>
        <v>Estrela 3</v>
      </c>
    </row>
    <row r="2845">
      <c r="G2845" s="5" t="str">
        <f>IFERROR(__xludf.DUMMYFUNCTION("""COMPUTED_VALUE"""),"711🤙🏼Key Largo🤙🏼Lionel Barrymore🤙🏼Estrela 4")</f>
        <v>711🤙🏼Key Largo🤙🏼Lionel Barrymore🤙🏼Estrela 4</v>
      </c>
      <c r="H2845" s="5">
        <f>IFERROR(__xludf.DUMMYFUNCTION("SPLiT(G2845, ""🤙🏼"",FALSE,FALSE)"),711.0)</f>
        <v>711</v>
      </c>
      <c r="I2845" s="5" t="str">
        <f>IFERROR(__xludf.DUMMYFUNCTION("""COMPUTED_VALUE"""),"Key Largo")</f>
        <v>Key Largo</v>
      </c>
      <c r="J2845" s="5" t="str">
        <f>IFERROR(__xludf.DUMMYFUNCTION("""COMPUTED_VALUE"""),"Lionel Barrymore")</f>
        <v>Lionel Barrymore</v>
      </c>
      <c r="K2845" s="5" t="str">
        <f>IFERROR(__xludf.DUMMYFUNCTION("""COMPUTED_VALUE"""),"Estrela 4")</f>
        <v>Estrela 4</v>
      </c>
      <c r="P2845" s="5">
        <f>IFERROR(__xludf.DUMMYFUNCTION("""COMPUTED_VALUE"""),711.0)</f>
        <v>711</v>
      </c>
      <c r="Q2845" s="5" t="str">
        <f>IFERROR(__xludf.DUMMYFUNCTION("""COMPUTED_VALUE"""),"Key Largo")</f>
        <v>Key Largo</v>
      </c>
      <c r="R2845" s="5" t="str">
        <f>IFERROR(__xludf.DUMMYFUNCTION("""COMPUTED_VALUE"""),"Lionel Barrymore")</f>
        <v>Lionel Barrymore</v>
      </c>
      <c r="S2845" s="5" t="str">
        <f>IFERROR(__xludf.DUMMYFUNCTION("""COMPUTED_VALUE"""),"Estrela 4")</f>
        <v>Estrela 4</v>
      </c>
    </row>
    <row r="2846">
      <c r="G2846" s="5" t="str">
        <f>IFERROR(__xludf.DUMMYFUNCTION("""COMPUTED_VALUE"""),"712🤙🏼To Have and Have Not🤙🏼Humphrey Bogart🤙🏼Estrela 1")</f>
        <v>712🤙🏼To Have and Have Not🤙🏼Humphrey Bogart🤙🏼Estrela 1</v>
      </c>
      <c r="H2846" s="5">
        <f>IFERROR(__xludf.DUMMYFUNCTION("SPLiT(G2846, ""🤙🏼"",FALSE,FALSE)"),712.0)</f>
        <v>712</v>
      </c>
      <c r="I2846" s="5" t="str">
        <f>IFERROR(__xludf.DUMMYFUNCTION("""COMPUTED_VALUE"""),"To Have and Have Not")</f>
        <v>To Have and Have Not</v>
      </c>
      <c r="J2846" s="5" t="str">
        <f>IFERROR(__xludf.DUMMYFUNCTION("""COMPUTED_VALUE"""),"Humphrey Bogart")</f>
        <v>Humphrey Bogart</v>
      </c>
      <c r="K2846" s="5" t="str">
        <f>IFERROR(__xludf.DUMMYFUNCTION("""COMPUTED_VALUE"""),"Estrela 1")</f>
        <v>Estrela 1</v>
      </c>
      <c r="P2846" s="5">
        <f>IFERROR(__xludf.DUMMYFUNCTION("""COMPUTED_VALUE"""),712.0)</f>
        <v>712</v>
      </c>
      <c r="Q2846" s="5" t="str">
        <f>IFERROR(__xludf.DUMMYFUNCTION("""COMPUTED_VALUE"""),"To Have and Have Not")</f>
        <v>To Have and Have Not</v>
      </c>
      <c r="R2846" s="5" t="str">
        <f>IFERROR(__xludf.DUMMYFUNCTION("""COMPUTED_VALUE"""),"Humphrey Bogart")</f>
        <v>Humphrey Bogart</v>
      </c>
      <c r="S2846" s="5" t="str">
        <f>IFERROR(__xludf.DUMMYFUNCTION("""COMPUTED_VALUE"""),"Estrela 1")</f>
        <v>Estrela 1</v>
      </c>
    </row>
    <row r="2847">
      <c r="G2847" s="5" t="str">
        <f>IFERROR(__xludf.DUMMYFUNCTION("""COMPUTED_VALUE"""),"712🤙🏼To Have and Have Not🤙🏼Lauren Bacall🤙🏼Estrela 2")</f>
        <v>712🤙🏼To Have and Have Not🤙🏼Lauren Bacall🤙🏼Estrela 2</v>
      </c>
      <c r="H2847" s="5">
        <f>IFERROR(__xludf.DUMMYFUNCTION("SPLiT(G2847, ""🤙🏼"",FALSE,FALSE)"),712.0)</f>
        <v>712</v>
      </c>
      <c r="I2847" s="5" t="str">
        <f>IFERROR(__xludf.DUMMYFUNCTION("""COMPUTED_VALUE"""),"To Have and Have Not")</f>
        <v>To Have and Have Not</v>
      </c>
      <c r="J2847" s="5" t="str">
        <f>IFERROR(__xludf.DUMMYFUNCTION("""COMPUTED_VALUE"""),"Lauren Bacall")</f>
        <v>Lauren Bacall</v>
      </c>
      <c r="K2847" s="5" t="str">
        <f>IFERROR(__xludf.DUMMYFUNCTION("""COMPUTED_VALUE"""),"Estrela 2")</f>
        <v>Estrela 2</v>
      </c>
      <c r="P2847" s="5">
        <f>IFERROR(__xludf.DUMMYFUNCTION("""COMPUTED_VALUE"""),712.0)</f>
        <v>712</v>
      </c>
      <c r="Q2847" s="5" t="str">
        <f>IFERROR(__xludf.DUMMYFUNCTION("""COMPUTED_VALUE"""),"To Have and Have Not")</f>
        <v>To Have and Have Not</v>
      </c>
      <c r="R2847" s="5" t="str">
        <f>IFERROR(__xludf.DUMMYFUNCTION("""COMPUTED_VALUE"""),"Lauren Bacall")</f>
        <v>Lauren Bacall</v>
      </c>
      <c r="S2847" s="5" t="str">
        <f>IFERROR(__xludf.DUMMYFUNCTION("""COMPUTED_VALUE"""),"Estrela 2")</f>
        <v>Estrela 2</v>
      </c>
    </row>
    <row r="2848">
      <c r="G2848" s="5" t="str">
        <f>IFERROR(__xludf.DUMMYFUNCTION("""COMPUTED_VALUE"""),"712🤙🏼To Have and Have Not🤙🏼Walter Brennan🤙🏼Estrela 3")</f>
        <v>712🤙🏼To Have and Have Not🤙🏼Walter Brennan🤙🏼Estrela 3</v>
      </c>
      <c r="H2848" s="5">
        <f>IFERROR(__xludf.DUMMYFUNCTION("SPLiT(G2848, ""🤙🏼"",FALSE,FALSE)"),712.0)</f>
        <v>712</v>
      </c>
      <c r="I2848" s="5" t="str">
        <f>IFERROR(__xludf.DUMMYFUNCTION("""COMPUTED_VALUE"""),"To Have and Have Not")</f>
        <v>To Have and Have Not</v>
      </c>
      <c r="J2848" s="5" t="str">
        <f>IFERROR(__xludf.DUMMYFUNCTION("""COMPUTED_VALUE"""),"Walter Brennan")</f>
        <v>Walter Brennan</v>
      </c>
      <c r="K2848" s="5" t="str">
        <f>IFERROR(__xludf.DUMMYFUNCTION("""COMPUTED_VALUE"""),"Estrela 3")</f>
        <v>Estrela 3</v>
      </c>
      <c r="P2848" s="5">
        <f>IFERROR(__xludf.DUMMYFUNCTION("""COMPUTED_VALUE"""),712.0)</f>
        <v>712</v>
      </c>
      <c r="Q2848" s="5" t="str">
        <f>IFERROR(__xludf.DUMMYFUNCTION("""COMPUTED_VALUE"""),"To Have and Have Not")</f>
        <v>To Have and Have Not</v>
      </c>
      <c r="R2848" s="5" t="str">
        <f>IFERROR(__xludf.DUMMYFUNCTION("""COMPUTED_VALUE"""),"Walter Brennan")</f>
        <v>Walter Brennan</v>
      </c>
      <c r="S2848" s="5" t="str">
        <f>IFERROR(__xludf.DUMMYFUNCTION("""COMPUTED_VALUE"""),"Estrela 3")</f>
        <v>Estrela 3</v>
      </c>
    </row>
    <row r="2849">
      <c r="G2849" s="5" t="str">
        <f>IFERROR(__xludf.DUMMYFUNCTION("""COMPUTED_VALUE"""),"712🤙🏼To Have and Have Not🤙🏼Dolores Moran🤙🏼Estrela 4")</f>
        <v>712🤙🏼To Have and Have Not🤙🏼Dolores Moran🤙🏼Estrela 4</v>
      </c>
      <c r="H2849" s="5">
        <f>IFERROR(__xludf.DUMMYFUNCTION("SPLiT(G2849, ""🤙🏼"",FALSE,FALSE)"),712.0)</f>
        <v>712</v>
      </c>
      <c r="I2849" s="5" t="str">
        <f>IFERROR(__xludf.DUMMYFUNCTION("""COMPUTED_VALUE"""),"To Have and Have Not")</f>
        <v>To Have and Have Not</v>
      </c>
      <c r="J2849" s="5" t="str">
        <f>IFERROR(__xludf.DUMMYFUNCTION("""COMPUTED_VALUE"""),"Dolores Moran")</f>
        <v>Dolores Moran</v>
      </c>
      <c r="K2849" s="5" t="str">
        <f>IFERROR(__xludf.DUMMYFUNCTION("""COMPUTED_VALUE"""),"Estrela 4")</f>
        <v>Estrela 4</v>
      </c>
      <c r="P2849" s="5">
        <f>IFERROR(__xludf.DUMMYFUNCTION("""COMPUTED_VALUE"""),712.0)</f>
        <v>712</v>
      </c>
      <c r="Q2849" s="5" t="str">
        <f>IFERROR(__xludf.DUMMYFUNCTION("""COMPUTED_VALUE"""),"To Have and Have Not")</f>
        <v>To Have and Have Not</v>
      </c>
      <c r="R2849" s="5" t="str">
        <f>IFERROR(__xludf.DUMMYFUNCTION("""COMPUTED_VALUE"""),"Dolores Moran")</f>
        <v>Dolores Moran</v>
      </c>
      <c r="S2849" s="5" t="str">
        <f>IFERROR(__xludf.DUMMYFUNCTION("""COMPUTED_VALUE"""),"Estrela 4")</f>
        <v>Estrela 4</v>
      </c>
    </row>
    <row r="2850">
      <c r="G2850" s="5" t="str">
        <f>IFERROR(__xludf.DUMMYFUNCTION("""COMPUTED_VALUE"""),"713🤙🏼Shadow of a Doubt🤙🏼Teresa Wright🤙🏼Estrela 1")</f>
        <v>713🤙🏼Shadow of a Doubt🤙🏼Teresa Wright🤙🏼Estrela 1</v>
      </c>
      <c r="H2850" s="5">
        <f>IFERROR(__xludf.DUMMYFUNCTION("SPLiT(G2850, ""🤙🏼"",FALSE,FALSE)"),713.0)</f>
        <v>713</v>
      </c>
      <c r="I2850" s="5" t="str">
        <f>IFERROR(__xludf.DUMMYFUNCTION("""COMPUTED_VALUE"""),"Shadow of a Doubt")</f>
        <v>Shadow of a Doubt</v>
      </c>
      <c r="J2850" s="5" t="str">
        <f>IFERROR(__xludf.DUMMYFUNCTION("""COMPUTED_VALUE"""),"Teresa Wright")</f>
        <v>Teresa Wright</v>
      </c>
      <c r="K2850" s="5" t="str">
        <f>IFERROR(__xludf.DUMMYFUNCTION("""COMPUTED_VALUE"""),"Estrela 1")</f>
        <v>Estrela 1</v>
      </c>
      <c r="P2850" s="5">
        <f>IFERROR(__xludf.DUMMYFUNCTION("""COMPUTED_VALUE"""),713.0)</f>
        <v>713</v>
      </c>
      <c r="Q2850" s="5" t="str">
        <f>IFERROR(__xludf.DUMMYFUNCTION("""COMPUTED_VALUE"""),"Shadow of a Doubt")</f>
        <v>Shadow of a Doubt</v>
      </c>
      <c r="R2850" s="5" t="str">
        <f>IFERROR(__xludf.DUMMYFUNCTION("""COMPUTED_VALUE"""),"Teresa Wright")</f>
        <v>Teresa Wright</v>
      </c>
      <c r="S2850" s="5" t="str">
        <f>IFERROR(__xludf.DUMMYFUNCTION("""COMPUTED_VALUE"""),"Estrela 1")</f>
        <v>Estrela 1</v>
      </c>
    </row>
    <row r="2851">
      <c r="G2851" s="5" t="str">
        <f>IFERROR(__xludf.DUMMYFUNCTION("""COMPUTED_VALUE"""),"713🤙🏼Shadow of a Doubt🤙🏼Joseph Cotten🤙🏼Estrela 2")</f>
        <v>713🤙🏼Shadow of a Doubt🤙🏼Joseph Cotten🤙🏼Estrela 2</v>
      </c>
      <c r="H2851" s="5">
        <f>IFERROR(__xludf.DUMMYFUNCTION("SPLiT(G2851, ""🤙🏼"",FALSE,FALSE)"),713.0)</f>
        <v>713</v>
      </c>
      <c r="I2851" s="5" t="str">
        <f>IFERROR(__xludf.DUMMYFUNCTION("""COMPUTED_VALUE"""),"Shadow of a Doubt")</f>
        <v>Shadow of a Doubt</v>
      </c>
      <c r="J2851" s="5" t="str">
        <f>IFERROR(__xludf.DUMMYFUNCTION("""COMPUTED_VALUE"""),"Joseph Cotten")</f>
        <v>Joseph Cotten</v>
      </c>
      <c r="K2851" s="5" t="str">
        <f>IFERROR(__xludf.DUMMYFUNCTION("""COMPUTED_VALUE"""),"Estrela 2")</f>
        <v>Estrela 2</v>
      </c>
      <c r="P2851" s="5">
        <f>IFERROR(__xludf.DUMMYFUNCTION("""COMPUTED_VALUE"""),713.0)</f>
        <v>713</v>
      </c>
      <c r="Q2851" s="5" t="str">
        <f>IFERROR(__xludf.DUMMYFUNCTION("""COMPUTED_VALUE"""),"Shadow of a Doubt")</f>
        <v>Shadow of a Doubt</v>
      </c>
      <c r="R2851" s="5" t="str">
        <f>IFERROR(__xludf.DUMMYFUNCTION("""COMPUTED_VALUE"""),"Joseph Cotten")</f>
        <v>Joseph Cotten</v>
      </c>
      <c r="S2851" s="5" t="str">
        <f>IFERROR(__xludf.DUMMYFUNCTION("""COMPUTED_VALUE"""),"Estrela 2")</f>
        <v>Estrela 2</v>
      </c>
    </row>
    <row r="2852">
      <c r="G2852" s="5" t="str">
        <f>IFERROR(__xludf.DUMMYFUNCTION("""COMPUTED_VALUE"""),"713🤙🏼Shadow of a Doubt🤙🏼Macdonald Carey🤙🏼Estrela 3")</f>
        <v>713🤙🏼Shadow of a Doubt🤙🏼Macdonald Carey🤙🏼Estrela 3</v>
      </c>
      <c r="H2852" s="5">
        <f>IFERROR(__xludf.DUMMYFUNCTION("SPLiT(G2852, ""🤙🏼"",FALSE,FALSE)"),713.0)</f>
        <v>713</v>
      </c>
      <c r="I2852" s="5" t="str">
        <f>IFERROR(__xludf.DUMMYFUNCTION("""COMPUTED_VALUE"""),"Shadow of a Doubt")</f>
        <v>Shadow of a Doubt</v>
      </c>
      <c r="J2852" s="5" t="str">
        <f>IFERROR(__xludf.DUMMYFUNCTION("""COMPUTED_VALUE"""),"Macdonald Carey")</f>
        <v>Macdonald Carey</v>
      </c>
      <c r="K2852" s="5" t="str">
        <f>IFERROR(__xludf.DUMMYFUNCTION("""COMPUTED_VALUE"""),"Estrela 3")</f>
        <v>Estrela 3</v>
      </c>
      <c r="P2852" s="5">
        <f>IFERROR(__xludf.DUMMYFUNCTION("""COMPUTED_VALUE"""),713.0)</f>
        <v>713</v>
      </c>
      <c r="Q2852" s="5" t="str">
        <f>IFERROR(__xludf.DUMMYFUNCTION("""COMPUTED_VALUE"""),"Shadow of a Doubt")</f>
        <v>Shadow of a Doubt</v>
      </c>
      <c r="R2852" s="5" t="str">
        <f>IFERROR(__xludf.DUMMYFUNCTION("""COMPUTED_VALUE"""),"Macdonald Carey")</f>
        <v>Macdonald Carey</v>
      </c>
      <c r="S2852" s="5" t="str">
        <f>IFERROR(__xludf.DUMMYFUNCTION("""COMPUTED_VALUE"""),"Estrela 3")</f>
        <v>Estrela 3</v>
      </c>
    </row>
    <row r="2853">
      <c r="G2853" s="5" t="str">
        <f>IFERROR(__xludf.DUMMYFUNCTION("""COMPUTED_VALUE"""),"713🤙🏼Shadow of a Doubt🤙🏼Henry Travers🤙🏼Estrela 4")</f>
        <v>713🤙🏼Shadow of a Doubt🤙🏼Henry Travers🤙🏼Estrela 4</v>
      </c>
      <c r="H2853" s="5">
        <f>IFERROR(__xludf.DUMMYFUNCTION("SPLiT(G2853, ""🤙🏼"",FALSE,FALSE)"),713.0)</f>
        <v>713</v>
      </c>
      <c r="I2853" s="5" t="str">
        <f>IFERROR(__xludf.DUMMYFUNCTION("""COMPUTED_VALUE"""),"Shadow of a Doubt")</f>
        <v>Shadow of a Doubt</v>
      </c>
      <c r="J2853" s="5" t="str">
        <f>IFERROR(__xludf.DUMMYFUNCTION("""COMPUTED_VALUE"""),"Henry Travers")</f>
        <v>Henry Travers</v>
      </c>
      <c r="K2853" s="5" t="str">
        <f>IFERROR(__xludf.DUMMYFUNCTION("""COMPUTED_VALUE"""),"Estrela 4")</f>
        <v>Estrela 4</v>
      </c>
      <c r="P2853" s="5">
        <f>IFERROR(__xludf.DUMMYFUNCTION("""COMPUTED_VALUE"""),713.0)</f>
        <v>713</v>
      </c>
      <c r="Q2853" s="5" t="str">
        <f>IFERROR(__xludf.DUMMYFUNCTION("""COMPUTED_VALUE"""),"Shadow of a Doubt")</f>
        <v>Shadow of a Doubt</v>
      </c>
      <c r="R2853" s="5" t="str">
        <f>IFERROR(__xludf.DUMMYFUNCTION("""COMPUTED_VALUE"""),"Henry Travers")</f>
        <v>Henry Travers</v>
      </c>
      <c r="S2853" s="5" t="str">
        <f>IFERROR(__xludf.DUMMYFUNCTION("""COMPUTED_VALUE"""),"Estrela 4")</f>
        <v>Estrela 4</v>
      </c>
    </row>
    <row r="2854">
      <c r="G2854" s="5" t="str">
        <f>IFERROR(__xludf.DUMMYFUNCTION("""COMPUTED_VALUE"""),"714🤙🏼Stagecoach🤙🏼John Wayne🤙🏼Estrela 1")</f>
        <v>714🤙🏼Stagecoach🤙🏼John Wayne🤙🏼Estrela 1</v>
      </c>
      <c r="H2854" s="5">
        <f>IFERROR(__xludf.DUMMYFUNCTION("SPLiT(G2854, ""🤙🏼"",FALSE,FALSE)"),714.0)</f>
        <v>714</v>
      </c>
      <c r="I2854" s="5" t="str">
        <f>IFERROR(__xludf.DUMMYFUNCTION("""COMPUTED_VALUE"""),"Stagecoach")</f>
        <v>Stagecoach</v>
      </c>
      <c r="J2854" s="5" t="str">
        <f>IFERROR(__xludf.DUMMYFUNCTION("""COMPUTED_VALUE"""),"John Wayne")</f>
        <v>John Wayne</v>
      </c>
      <c r="K2854" s="5" t="str">
        <f>IFERROR(__xludf.DUMMYFUNCTION("""COMPUTED_VALUE"""),"Estrela 1")</f>
        <v>Estrela 1</v>
      </c>
      <c r="P2854" s="5">
        <f>IFERROR(__xludf.DUMMYFUNCTION("""COMPUTED_VALUE"""),714.0)</f>
        <v>714</v>
      </c>
      <c r="Q2854" s="5" t="str">
        <f>IFERROR(__xludf.DUMMYFUNCTION("""COMPUTED_VALUE"""),"Stagecoach")</f>
        <v>Stagecoach</v>
      </c>
      <c r="R2854" s="5" t="str">
        <f>IFERROR(__xludf.DUMMYFUNCTION("""COMPUTED_VALUE"""),"John Wayne")</f>
        <v>John Wayne</v>
      </c>
      <c r="S2854" s="5" t="str">
        <f>IFERROR(__xludf.DUMMYFUNCTION("""COMPUTED_VALUE"""),"Estrela 1")</f>
        <v>Estrela 1</v>
      </c>
    </row>
    <row r="2855">
      <c r="G2855" s="5" t="str">
        <f>IFERROR(__xludf.DUMMYFUNCTION("""COMPUTED_VALUE"""),"714🤙🏼Stagecoach🤙🏼Claire Trevor🤙🏼Estrela 2")</f>
        <v>714🤙🏼Stagecoach🤙🏼Claire Trevor🤙🏼Estrela 2</v>
      </c>
      <c r="H2855" s="5">
        <f>IFERROR(__xludf.DUMMYFUNCTION("SPLiT(G2855, ""🤙🏼"",FALSE,FALSE)"),714.0)</f>
        <v>714</v>
      </c>
      <c r="I2855" s="5" t="str">
        <f>IFERROR(__xludf.DUMMYFUNCTION("""COMPUTED_VALUE"""),"Stagecoach")</f>
        <v>Stagecoach</v>
      </c>
      <c r="J2855" s="5" t="str">
        <f>IFERROR(__xludf.DUMMYFUNCTION("""COMPUTED_VALUE"""),"Claire Trevor")</f>
        <v>Claire Trevor</v>
      </c>
      <c r="K2855" s="5" t="str">
        <f>IFERROR(__xludf.DUMMYFUNCTION("""COMPUTED_VALUE"""),"Estrela 2")</f>
        <v>Estrela 2</v>
      </c>
      <c r="P2855" s="5">
        <f>IFERROR(__xludf.DUMMYFUNCTION("""COMPUTED_VALUE"""),714.0)</f>
        <v>714</v>
      </c>
      <c r="Q2855" s="5" t="str">
        <f>IFERROR(__xludf.DUMMYFUNCTION("""COMPUTED_VALUE"""),"Stagecoach")</f>
        <v>Stagecoach</v>
      </c>
      <c r="R2855" s="5" t="str">
        <f>IFERROR(__xludf.DUMMYFUNCTION("""COMPUTED_VALUE"""),"Claire Trevor")</f>
        <v>Claire Trevor</v>
      </c>
      <c r="S2855" s="5" t="str">
        <f>IFERROR(__xludf.DUMMYFUNCTION("""COMPUTED_VALUE"""),"Estrela 2")</f>
        <v>Estrela 2</v>
      </c>
    </row>
    <row r="2856">
      <c r="G2856" s="5" t="str">
        <f>IFERROR(__xludf.DUMMYFUNCTION("""COMPUTED_VALUE"""),"714🤙🏼Stagecoach🤙🏼Andy Devine🤙🏼Estrela 3")</f>
        <v>714🤙🏼Stagecoach🤙🏼Andy Devine🤙🏼Estrela 3</v>
      </c>
      <c r="H2856" s="5">
        <f>IFERROR(__xludf.DUMMYFUNCTION("SPLiT(G2856, ""🤙🏼"",FALSE,FALSE)"),714.0)</f>
        <v>714</v>
      </c>
      <c r="I2856" s="5" t="str">
        <f>IFERROR(__xludf.DUMMYFUNCTION("""COMPUTED_VALUE"""),"Stagecoach")</f>
        <v>Stagecoach</v>
      </c>
      <c r="J2856" s="5" t="str">
        <f>IFERROR(__xludf.DUMMYFUNCTION("""COMPUTED_VALUE"""),"Andy Devine")</f>
        <v>Andy Devine</v>
      </c>
      <c r="K2856" s="5" t="str">
        <f>IFERROR(__xludf.DUMMYFUNCTION("""COMPUTED_VALUE"""),"Estrela 3")</f>
        <v>Estrela 3</v>
      </c>
      <c r="P2856" s="5">
        <f>IFERROR(__xludf.DUMMYFUNCTION("""COMPUTED_VALUE"""),714.0)</f>
        <v>714</v>
      </c>
      <c r="Q2856" s="5" t="str">
        <f>IFERROR(__xludf.DUMMYFUNCTION("""COMPUTED_VALUE"""),"Stagecoach")</f>
        <v>Stagecoach</v>
      </c>
      <c r="R2856" s="5" t="str">
        <f>IFERROR(__xludf.DUMMYFUNCTION("""COMPUTED_VALUE"""),"Andy Devine")</f>
        <v>Andy Devine</v>
      </c>
      <c r="S2856" s="5" t="str">
        <f>IFERROR(__xludf.DUMMYFUNCTION("""COMPUTED_VALUE"""),"Estrela 3")</f>
        <v>Estrela 3</v>
      </c>
    </row>
    <row r="2857">
      <c r="G2857" s="5" t="str">
        <f>IFERROR(__xludf.DUMMYFUNCTION("""COMPUTED_VALUE"""),"714🤙🏼Stagecoach🤙🏼John Carradine🤙🏼Estrela 4")</f>
        <v>714🤙🏼Stagecoach🤙🏼John Carradine🤙🏼Estrela 4</v>
      </c>
      <c r="H2857" s="5">
        <f>IFERROR(__xludf.DUMMYFUNCTION("SPLiT(G2857, ""🤙🏼"",FALSE,FALSE)"),714.0)</f>
        <v>714</v>
      </c>
      <c r="I2857" s="5" t="str">
        <f>IFERROR(__xludf.DUMMYFUNCTION("""COMPUTED_VALUE"""),"Stagecoach")</f>
        <v>Stagecoach</v>
      </c>
      <c r="J2857" s="5" t="str">
        <f>IFERROR(__xludf.DUMMYFUNCTION("""COMPUTED_VALUE"""),"John Carradine")</f>
        <v>John Carradine</v>
      </c>
      <c r="K2857" s="5" t="str">
        <f>IFERROR(__xludf.DUMMYFUNCTION("""COMPUTED_VALUE"""),"Estrela 4")</f>
        <v>Estrela 4</v>
      </c>
      <c r="P2857" s="5">
        <f>IFERROR(__xludf.DUMMYFUNCTION("""COMPUTED_VALUE"""),714.0)</f>
        <v>714</v>
      </c>
      <c r="Q2857" s="5" t="str">
        <f>IFERROR(__xludf.DUMMYFUNCTION("""COMPUTED_VALUE"""),"Stagecoach")</f>
        <v>Stagecoach</v>
      </c>
      <c r="R2857" s="5" t="str">
        <f>IFERROR(__xludf.DUMMYFUNCTION("""COMPUTED_VALUE"""),"John Carradine")</f>
        <v>John Carradine</v>
      </c>
      <c r="S2857" s="5" t="str">
        <f>IFERROR(__xludf.DUMMYFUNCTION("""COMPUTED_VALUE"""),"Estrela 4")</f>
        <v>Estrela 4</v>
      </c>
    </row>
    <row r="2858">
      <c r="G2858" s="5" t="str">
        <f>IFERROR(__xludf.DUMMYFUNCTION("""COMPUTED_VALUE"""),"715🤙🏼The Lady Vanishes🤙🏼Margaret Lockwood🤙🏼Estrela 1")</f>
        <v>715🤙🏼The Lady Vanishes🤙🏼Margaret Lockwood🤙🏼Estrela 1</v>
      </c>
      <c r="H2858" s="5">
        <f>IFERROR(__xludf.DUMMYFUNCTION("SPLiT(G2858, ""🤙🏼"",FALSE,FALSE)"),715.0)</f>
        <v>715</v>
      </c>
      <c r="I2858" s="5" t="str">
        <f>IFERROR(__xludf.DUMMYFUNCTION("""COMPUTED_VALUE"""),"The Lady Vanishes")</f>
        <v>The Lady Vanishes</v>
      </c>
      <c r="J2858" s="5" t="str">
        <f>IFERROR(__xludf.DUMMYFUNCTION("""COMPUTED_VALUE"""),"Margaret Lockwood")</f>
        <v>Margaret Lockwood</v>
      </c>
      <c r="K2858" s="5" t="str">
        <f>IFERROR(__xludf.DUMMYFUNCTION("""COMPUTED_VALUE"""),"Estrela 1")</f>
        <v>Estrela 1</v>
      </c>
      <c r="P2858" s="5">
        <f>IFERROR(__xludf.DUMMYFUNCTION("""COMPUTED_VALUE"""),715.0)</f>
        <v>715</v>
      </c>
      <c r="Q2858" s="5" t="str">
        <f>IFERROR(__xludf.DUMMYFUNCTION("""COMPUTED_VALUE"""),"The Lady Vanishes")</f>
        <v>The Lady Vanishes</v>
      </c>
      <c r="R2858" s="5" t="str">
        <f>IFERROR(__xludf.DUMMYFUNCTION("""COMPUTED_VALUE"""),"Margaret Lockwood")</f>
        <v>Margaret Lockwood</v>
      </c>
      <c r="S2858" s="5" t="str">
        <f>IFERROR(__xludf.DUMMYFUNCTION("""COMPUTED_VALUE"""),"Estrela 1")</f>
        <v>Estrela 1</v>
      </c>
    </row>
    <row r="2859">
      <c r="G2859" s="5" t="str">
        <f>IFERROR(__xludf.DUMMYFUNCTION("""COMPUTED_VALUE"""),"715🤙🏼The Lady Vanishes🤙🏼Michael Redgrave🤙🏼Estrela 2")</f>
        <v>715🤙🏼The Lady Vanishes🤙🏼Michael Redgrave🤙🏼Estrela 2</v>
      </c>
      <c r="H2859" s="5">
        <f>IFERROR(__xludf.DUMMYFUNCTION("SPLiT(G2859, ""🤙🏼"",FALSE,FALSE)"),715.0)</f>
        <v>715</v>
      </c>
      <c r="I2859" s="5" t="str">
        <f>IFERROR(__xludf.DUMMYFUNCTION("""COMPUTED_VALUE"""),"The Lady Vanishes")</f>
        <v>The Lady Vanishes</v>
      </c>
      <c r="J2859" s="5" t="str">
        <f>IFERROR(__xludf.DUMMYFUNCTION("""COMPUTED_VALUE"""),"Michael Redgrave")</f>
        <v>Michael Redgrave</v>
      </c>
      <c r="K2859" s="5" t="str">
        <f>IFERROR(__xludf.DUMMYFUNCTION("""COMPUTED_VALUE"""),"Estrela 2")</f>
        <v>Estrela 2</v>
      </c>
      <c r="P2859" s="5">
        <f>IFERROR(__xludf.DUMMYFUNCTION("""COMPUTED_VALUE"""),715.0)</f>
        <v>715</v>
      </c>
      <c r="Q2859" s="5" t="str">
        <f>IFERROR(__xludf.DUMMYFUNCTION("""COMPUTED_VALUE"""),"The Lady Vanishes")</f>
        <v>The Lady Vanishes</v>
      </c>
      <c r="R2859" s="5" t="str">
        <f>IFERROR(__xludf.DUMMYFUNCTION("""COMPUTED_VALUE"""),"Michael Redgrave")</f>
        <v>Michael Redgrave</v>
      </c>
      <c r="S2859" s="5" t="str">
        <f>IFERROR(__xludf.DUMMYFUNCTION("""COMPUTED_VALUE"""),"Estrela 2")</f>
        <v>Estrela 2</v>
      </c>
    </row>
    <row r="2860">
      <c r="G2860" s="5" t="str">
        <f>IFERROR(__xludf.DUMMYFUNCTION("""COMPUTED_VALUE"""),"715🤙🏼The Lady Vanishes🤙🏼Paul Lukas🤙🏼Estrela 3")</f>
        <v>715🤙🏼The Lady Vanishes🤙🏼Paul Lukas🤙🏼Estrela 3</v>
      </c>
      <c r="H2860" s="5">
        <f>IFERROR(__xludf.DUMMYFUNCTION("SPLiT(G2860, ""🤙🏼"",FALSE,FALSE)"),715.0)</f>
        <v>715</v>
      </c>
      <c r="I2860" s="5" t="str">
        <f>IFERROR(__xludf.DUMMYFUNCTION("""COMPUTED_VALUE"""),"The Lady Vanishes")</f>
        <v>The Lady Vanishes</v>
      </c>
      <c r="J2860" s="5" t="str">
        <f>IFERROR(__xludf.DUMMYFUNCTION("""COMPUTED_VALUE"""),"Paul Lukas")</f>
        <v>Paul Lukas</v>
      </c>
      <c r="K2860" s="5" t="str">
        <f>IFERROR(__xludf.DUMMYFUNCTION("""COMPUTED_VALUE"""),"Estrela 3")</f>
        <v>Estrela 3</v>
      </c>
      <c r="P2860" s="5">
        <f>IFERROR(__xludf.DUMMYFUNCTION("""COMPUTED_VALUE"""),715.0)</f>
        <v>715</v>
      </c>
      <c r="Q2860" s="5" t="str">
        <f>IFERROR(__xludf.DUMMYFUNCTION("""COMPUTED_VALUE"""),"The Lady Vanishes")</f>
        <v>The Lady Vanishes</v>
      </c>
      <c r="R2860" s="5" t="str">
        <f>IFERROR(__xludf.DUMMYFUNCTION("""COMPUTED_VALUE"""),"Paul Lukas")</f>
        <v>Paul Lukas</v>
      </c>
      <c r="S2860" s="5" t="str">
        <f>IFERROR(__xludf.DUMMYFUNCTION("""COMPUTED_VALUE"""),"Estrela 3")</f>
        <v>Estrela 3</v>
      </c>
    </row>
    <row r="2861">
      <c r="G2861" s="5" t="str">
        <f>IFERROR(__xludf.DUMMYFUNCTION("""COMPUTED_VALUE"""),"715🤙🏼The Lady Vanishes🤙🏼May Whitty🤙🏼Estrela 4")</f>
        <v>715🤙🏼The Lady Vanishes🤙🏼May Whitty🤙🏼Estrela 4</v>
      </c>
      <c r="H2861" s="5">
        <f>IFERROR(__xludf.DUMMYFUNCTION("SPLiT(G2861, ""🤙🏼"",FALSE,FALSE)"),715.0)</f>
        <v>715</v>
      </c>
      <c r="I2861" s="5" t="str">
        <f>IFERROR(__xludf.DUMMYFUNCTION("""COMPUTED_VALUE"""),"The Lady Vanishes")</f>
        <v>The Lady Vanishes</v>
      </c>
      <c r="J2861" s="5" t="str">
        <f>IFERROR(__xludf.DUMMYFUNCTION("""COMPUTED_VALUE"""),"May Whitty")</f>
        <v>May Whitty</v>
      </c>
      <c r="K2861" s="5" t="str">
        <f>IFERROR(__xludf.DUMMYFUNCTION("""COMPUTED_VALUE"""),"Estrela 4")</f>
        <v>Estrela 4</v>
      </c>
      <c r="P2861" s="5">
        <f>IFERROR(__xludf.DUMMYFUNCTION("""COMPUTED_VALUE"""),715.0)</f>
        <v>715</v>
      </c>
      <c r="Q2861" s="5" t="str">
        <f>IFERROR(__xludf.DUMMYFUNCTION("""COMPUTED_VALUE"""),"The Lady Vanishes")</f>
        <v>The Lady Vanishes</v>
      </c>
      <c r="R2861" s="5" t="str">
        <f>IFERROR(__xludf.DUMMYFUNCTION("""COMPUTED_VALUE"""),"May Whitty")</f>
        <v>May Whitty</v>
      </c>
      <c r="S2861" s="5" t="str">
        <f>IFERROR(__xludf.DUMMYFUNCTION("""COMPUTED_VALUE"""),"Estrela 4")</f>
        <v>Estrela 4</v>
      </c>
    </row>
    <row r="2862">
      <c r="G2862" s="5" t="str">
        <f>IFERROR(__xludf.DUMMYFUNCTION("""COMPUTED_VALUE"""),"716🤙🏼Bringing Up Baby🤙🏼Katharine Hepburn🤙🏼Estrela 1")</f>
        <v>716🤙🏼Bringing Up Baby🤙🏼Katharine Hepburn🤙🏼Estrela 1</v>
      </c>
      <c r="H2862" s="5">
        <f>IFERROR(__xludf.DUMMYFUNCTION("SPLiT(G2862, ""🤙🏼"",FALSE,FALSE)"),716.0)</f>
        <v>716</v>
      </c>
      <c r="I2862" s="5" t="str">
        <f>IFERROR(__xludf.DUMMYFUNCTION("""COMPUTED_VALUE"""),"Bringing Up Baby")</f>
        <v>Bringing Up Baby</v>
      </c>
      <c r="J2862" s="5" t="str">
        <f>IFERROR(__xludf.DUMMYFUNCTION("""COMPUTED_VALUE"""),"Katharine Hepburn")</f>
        <v>Katharine Hepburn</v>
      </c>
      <c r="K2862" s="5" t="str">
        <f>IFERROR(__xludf.DUMMYFUNCTION("""COMPUTED_VALUE"""),"Estrela 1")</f>
        <v>Estrela 1</v>
      </c>
      <c r="P2862" s="5">
        <f>IFERROR(__xludf.DUMMYFUNCTION("""COMPUTED_VALUE"""),716.0)</f>
        <v>716</v>
      </c>
      <c r="Q2862" s="5" t="str">
        <f>IFERROR(__xludf.DUMMYFUNCTION("""COMPUTED_VALUE"""),"Bringing Up Baby")</f>
        <v>Bringing Up Baby</v>
      </c>
      <c r="R2862" s="5" t="str">
        <f>IFERROR(__xludf.DUMMYFUNCTION("""COMPUTED_VALUE"""),"Katharine Hepburn")</f>
        <v>Katharine Hepburn</v>
      </c>
      <c r="S2862" s="5" t="str">
        <f>IFERROR(__xludf.DUMMYFUNCTION("""COMPUTED_VALUE"""),"Estrela 1")</f>
        <v>Estrela 1</v>
      </c>
    </row>
    <row r="2863">
      <c r="G2863" s="5" t="str">
        <f>IFERROR(__xludf.DUMMYFUNCTION("""COMPUTED_VALUE"""),"716🤙🏼Bringing Up Baby🤙🏼Cary Grant🤙🏼Estrela 2")</f>
        <v>716🤙🏼Bringing Up Baby🤙🏼Cary Grant🤙🏼Estrela 2</v>
      </c>
      <c r="H2863" s="5">
        <f>IFERROR(__xludf.DUMMYFUNCTION("SPLiT(G2863, ""🤙🏼"",FALSE,FALSE)"),716.0)</f>
        <v>716</v>
      </c>
      <c r="I2863" s="5" t="str">
        <f>IFERROR(__xludf.DUMMYFUNCTION("""COMPUTED_VALUE"""),"Bringing Up Baby")</f>
        <v>Bringing Up Baby</v>
      </c>
      <c r="J2863" s="5" t="str">
        <f>IFERROR(__xludf.DUMMYFUNCTION("""COMPUTED_VALUE"""),"Cary Grant")</f>
        <v>Cary Grant</v>
      </c>
      <c r="K2863" s="5" t="str">
        <f>IFERROR(__xludf.DUMMYFUNCTION("""COMPUTED_VALUE"""),"Estrela 2")</f>
        <v>Estrela 2</v>
      </c>
      <c r="P2863" s="5">
        <f>IFERROR(__xludf.DUMMYFUNCTION("""COMPUTED_VALUE"""),716.0)</f>
        <v>716</v>
      </c>
      <c r="Q2863" s="5" t="str">
        <f>IFERROR(__xludf.DUMMYFUNCTION("""COMPUTED_VALUE"""),"Bringing Up Baby")</f>
        <v>Bringing Up Baby</v>
      </c>
      <c r="R2863" s="5" t="str">
        <f>IFERROR(__xludf.DUMMYFUNCTION("""COMPUTED_VALUE"""),"Cary Grant")</f>
        <v>Cary Grant</v>
      </c>
      <c r="S2863" s="5" t="str">
        <f>IFERROR(__xludf.DUMMYFUNCTION("""COMPUTED_VALUE"""),"Estrela 2")</f>
        <v>Estrela 2</v>
      </c>
    </row>
    <row r="2864">
      <c r="G2864" s="5" t="str">
        <f>IFERROR(__xludf.DUMMYFUNCTION("""COMPUTED_VALUE"""),"716🤙🏼Bringing Up Baby🤙🏼Charles Ruggles🤙🏼Estrela 3")</f>
        <v>716🤙🏼Bringing Up Baby🤙🏼Charles Ruggles🤙🏼Estrela 3</v>
      </c>
      <c r="H2864" s="5">
        <f>IFERROR(__xludf.DUMMYFUNCTION("SPLiT(G2864, ""🤙🏼"",FALSE,FALSE)"),716.0)</f>
        <v>716</v>
      </c>
      <c r="I2864" s="5" t="str">
        <f>IFERROR(__xludf.DUMMYFUNCTION("""COMPUTED_VALUE"""),"Bringing Up Baby")</f>
        <v>Bringing Up Baby</v>
      </c>
      <c r="J2864" s="5" t="str">
        <f>IFERROR(__xludf.DUMMYFUNCTION("""COMPUTED_VALUE"""),"Charles Ruggles")</f>
        <v>Charles Ruggles</v>
      </c>
      <c r="K2864" s="5" t="str">
        <f>IFERROR(__xludf.DUMMYFUNCTION("""COMPUTED_VALUE"""),"Estrela 3")</f>
        <v>Estrela 3</v>
      </c>
      <c r="P2864" s="5">
        <f>IFERROR(__xludf.DUMMYFUNCTION("""COMPUTED_VALUE"""),716.0)</f>
        <v>716</v>
      </c>
      <c r="Q2864" s="5" t="str">
        <f>IFERROR(__xludf.DUMMYFUNCTION("""COMPUTED_VALUE"""),"Bringing Up Baby")</f>
        <v>Bringing Up Baby</v>
      </c>
      <c r="R2864" s="5" t="str">
        <f>IFERROR(__xludf.DUMMYFUNCTION("""COMPUTED_VALUE"""),"Charles Ruggles")</f>
        <v>Charles Ruggles</v>
      </c>
      <c r="S2864" s="5" t="str">
        <f>IFERROR(__xludf.DUMMYFUNCTION("""COMPUTED_VALUE"""),"Estrela 3")</f>
        <v>Estrela 3</v>
      </c>
    </row>
    <row r="2865">
      <c r="G2865" s="5" t="str">
        <f>IFERROR(__xludf.DUMMYFUNCTION("""COMPUTED_VALUE"""),"716🤙🏼Bringing Up Baby🤙🏼Walter Catlett🤙🏼Estrela 4")</f>
        <v>716🤙🏼Bringing Up Baby🤙🏼Walter Catlett🤙🏼Estrela 4</v>
      </c>
      <c r="H2865" s="5">
        <f>IFERROR(__xludf.DUMMYFUNCTION("SPLiT(G2865, ""🤙🏼"",FALSE,FALSE)"),716.0)</f>
        <v>716</v>
      </c>
      <c r="I2865" s="5" t="str">
        <f>IFERROR(__xludf.DUMMYFUNCTION("""COMPUTED_VALUE"""),"Bringing Up Baby")</f>
        <v>Bringing Up Baby</v>
      </c>
      <c r="J2865" s="5" t="str">
        <f>IFERROR(__xludf.DUMMYFUNCTION("""COMPUTED_VALUE"""),"Walter Catlett")</f>
        <v>Walter Catlett</v>
      </c>
      <c r="K2865" s="5" t="str">
        <f>IFERROR(__xludf.DUMMYFUNCTION("""COMPUTED_VALUE"""),"Estrela 4")</f>
        <v>Estrela 4</v>
      </c>
      <c r="P2865" s="5">
        <f>IFERROR(__xludf.DUMMYFUNCTION("""COMPUTED_VALUE"""),716.0)</f>
        <v>716</v>
      </c>
      <c r="Q2865" s="5" t="str">
        <f>IFERROR(__xludf.DUMMYFUNCTION("""COMPUTED_VALUE"""),"Bringing Up Baby")</f>
        <v>Bringing Up Baby</v>
      </c>
      <c r="R2865" s="5" t="str">
        <f>IFERROR(__xludf.DUMMYFUNCTION("""COMPUTED_VALUE"""),"Walter Catlett")</f>
        <v>Walter Catlett</v>
      </c>
      <c r="S2865" s="5" t="str">
        <f>IFERROR(__xludf.DUMMYFUNCTION("""COMPUTED_VALUE"""),"Estrela 4")</f>
        <v>Estrela 4</v>
      </c>
    </row>
    <row r="2866">
      <c r="G2866" s="5" t="str">
        <f>IFERROR(__xludf.DUMMYFUNCTION("""COMPUTED_VALUE"""),"717🤙🏼Bride of Frankenstein🤙🏼Boris Karloff🤙🏼Estrela 1")</f>
        <v>717🤙🏼Bride of Frankenstein🤙🏼Boris Karloff🤙🏼Estrela 1</v>
      </c>
      <c r="H2866" s="5">
        <f>IFERROR(__xludf.DUMMYFUNCTION("SPLiT(G2866, ""🤙🏼"",FALSE,FALSE)"),717.0)</f>
        <v>717</v>
      </c>
      <c r="I2866" s="5" t="str">
        <f>IFERROR(__xludf.DUMMYFUNCTION("""COMPUTED_VALUE"""),"Bride of Frankenstein")</f>
        <v>Bride of Frankenstein</v>
      </c>
      <c r="J2866" s="5" t="str">
        <f>IFERROR(__xludf.DUMMYFUNCTION("""COMPUTED_VALUE"""),"Boris Karloff")</f>
        <v>Boris Karloff</v>
      </c>
      <c r="K2866" s="5" t="str">
        <f>IFERROR(__xludf.DUMMYFUNCTION("""COMPUTED_VALUE"""),"Estrela 1")</f>
        <v>Estrela 1</v>
      </c>
      <c r="P2866" s="5">
        <f>IFERROR(__xludf.DUMMYFUNCTION("""COMPUTED_VALUE"""),717.0)</f>
        <v>717</v>
      </c>
      <c r="Q2866" s="5" t="str">
        <f>IFERROR(__xludf.DUMMYFUNCTION("""COMPUTED_VALUE"""),"Bride of Frankenstein")</f>
        <v>Bride of Frankenstein</v>
      </c>
      <c r="R2866" s="5" t="str">
        <f>IFERROR(__xludf.DUMMYFUNCTION("""COMPUTED_VALUE"""),"Boris Karloff")</f>
        <v>Boris Karloff</v>
      </c>
      <c r="S2866" s="5" t="str">
        <f>IFERROR(__xludf.DUMMYFUNCTION("""COMPUTED_VALUE"""),"Estrela 1")</f>
        <v>Estrela 1</v>
      </c>
    </row>
    <row r="2867">
      <c r="G2867" s="5" t="str">
        <f>IFERROR(__xludf.DUMMYFUNCTION("""COMPUTED_VALUE"""),"717🤙🏼Bride of Frankenstein🤙🏼Elsa Lanchester🤙🏼Estrela 2")</f>
        <v>717🤙🏼Bride of Frankenstein🤙🏼Elsa Lanchester🤙🏼Estrela 2</v>
      </c>
      <c r="H2867" s="5">
        <f>IFERROR(__xludf.DUMMYFUNCTION("SPLiT(G2867, ""🤙🏼"",FALSE,FALSE)"),717.0)</f>
        <v>717</v>
      </c>
      <c r="I2867" s="5" t="str">
        <f>IFERROR(__xludf.DUMMYFUNCTION("""COMPUTED_VALUE"""),"Bride of Frankenstein")</f>
        <v>Bride of Frankenstein</v>
      </c>
      <c r="J2867" s="5" t="str">
        <f>IFERROR(__xludf.DUMMYFUNCTION("""COMPUTED_VALUE"""),"Elsa Lanchester")</f>
        <v>Elsa Lanchester</v>
      </c>
      <c r="K2867" s="5" t="str">
        <f>IFERROR(__xludf.DUMMYFUNCTION("""COMPUTED_VALUE"""),"Estrela 2")</f>
        <v>Estrela 2</v>
      </c>
      <c r="P2867" s="5">
        <f>IFERROR(__xludf.DUMMYFUNCTION("""COMPUTED_VALUE"""),717.0)</f>
        <v>717</v>
      </c>
      <c r="Q2867" s="5" t="str">
        <f>IFERROR(__xludf.DUMMYFUNCTION("""COMPUTED_VALUE"""),"Bride of Frankenstein")</f>
        <v>Bride of Frankenstein</v>
      </c>
      <c r="R2867" s="5" t="str">
        <f>IFERROR(__xludf.DUMMYFUNCTION("""COMPUTED_VALUE"""),"Elsa Lanchester")</f>
        <v>Elsa Lanchester</v>
      </c>
      <c r="S2867" s="5" t="str">
        <f>IFERROR(__xludf.DUMMYFUNCTION("""COMPUTED_VALUE"""),"Estrela 2")</f>
        <v>Estrela 2</v>
      </c>
    </row>
    <row r="2868">
      <c r="G2868" s="5" t="str">
        <f>IFERROR(__xludf.DUMMYFUNCTION("""COMPUTED_VALUE"""),"717🤙🏼Bride of Frankenstein🤙🏼Colin Clive🤙🏼Estrela 3")</f>
        <v>717🤙🏼Bride of Frankenstein🤙🏼Colin Clive🤙🏼Estrela 3</v>
      </c>
      <c r="H2868" s="5">
        <f>IFERROR(__xludf.DUMMYFUNCTION("SPLiT(G2868, ""🤙🏼"",FALSE,FALSE)"),717.0)</f>
        <v>717</v>
      </c>
      <c r="I2868" s="5" t="str">
        <f>IFERROR(__xludf.DUMMYFUNCTION("""COMPUTED_VALUE"""),"Bride of Frankenstein")</f>
        <v>Bride of Frankenstein</v>
      </c>
      <c r="J2868" s="5" t="str">
        <f>IFERROR(__xludf.DUMMYFUNCTION("""COMPUTED_VALUE"""),"Colin Clive")</f>
        <v>Colin Clive</v>
      </c>
      <c r="K2868" s="5" t="str">
        <f>IFERROR(__xludf.DUMMYFUNCTION("""COMPUTED_VALUE"""),"Estrela 3")</f>
        <v>Estrela 3</v>
      </c>
      <c r="P2868" s="5">
        <f>IFERROR(__xludf.DUMMYFUNCTION("""COMPUTED_VALUE"""),717.0)</f>
        <v>717</v>
      </c>
      <c r="Q2868" s="5" t="str">
        <f>IFERROR(__xludf.DUMMYFUNCTION("""COMPUTED_VALUE"""),"Bride of Frankenstein")</f>
        <v>Bride of Frankenstein</v>
      </c>
      <c r="R2868" s="5" t="str">
        <f>IFERROR(__xludf.DUMMYFUNCTION("""COMPUTED_VALUE"""),"Colin Clive")</f>
        <v>Colin Clive</v>
      </c>
      <c r="S2868" s="5" t="str">
        <f>IFERROR(__xludf.DUMMYFUNCTION("""COMPUTED_VALUE"""),"Estrela 3")</f>
        <v>Estrela 3</v>
      </c>
    </row>
    <row r="2869">
      <c r="G2869" s="5" t="str">
        <f>IFERROR(__xludf.DUMMYFUNCTION("""COMPUTED_VALUE"""),"717🤙🏼Bride of Frankenstein🤙🏼Valerie Hobson🤙🏼Estrela 4")</f>
        <v>717🤙🏼Bride of Frankenstein🤙🏼Valerie Hobson🤙🏼Estrela 4</v>
      </c>
      <c r="H2869" s="5">
        <f>IFERROR(__xludf.DUMMYFUNCTION("SPLiT(G2869, ""🤙🏼"",FALSE,FALSE)"),717.0)</f>
        <v>717</v>
      </c>
      <c r="I2869" s="5" t="str">
        <f>IFERROR(__xludf.DUMMYFUNCTION("""COMPUTED_VALUE"""),"Bride of Frankenstein")</f>
        <v>Bride of Frankenstein</v>
      </c>
      <c r="J2869" s="5" t="str">
        <f>IFERROR(__xludf.DUMMYFUNCTION("""COMPUTED_VALUE"""),"Valerie Hobson")</f>
        <v>Valerie Hobson</v>
      </c>
      <c r="K2869" s="5" t="str">
        <f>IFERROR(__xludf.DUMMYFUNCTION("""COMPUTED_VALUE"""),"Estrela 4")</f>
        <v>Estrela 4</v>
      </c>
      <c r="P2869" s="5">
        <f>IFERROR(__xludf.DUMMYFUNCTION("""COMPUTED_VALUE"""),717.0)</f>
        <v>717</v>
      </c>
      <c r="Q2869" s="5" t="str">
        <f>IFERROR(__xludf.DUMMYFUNCTION("""COMPUTED_VALUE"""),"Bride of Frankenstein")</f>
        <v>Bride of Frankenstein</v>
      </c>
      <c r="R2869" s="5" t="str">
        <f>IFERROR(__xludf.DUMMYFUNCTION("""COMPUTED_VALUE"""),"Valerie Hobson")</f>
        <v>Valerie Hobson</v>
      </c>
      <c r="S2869" s="5" t="str">
        <f>IFERROR(__xludf.DUMMYFUNCTION("""COMPUTED_VALUE"""),"Estrela 4")</f>
        <v>Estrela 4</v>
      </c>
    </row>
    <row r="2870">
      <c r="G2870" s="5" t="str">
        <f>IFERROR(__xludf.DUMMYFUNCTION("""COMPUTED_VALUE"""),"718🤙🏼Duck Soup🤙🏼Groucho Marx🤙🏼Estrela 1")</f>
        <v>718🤙🏼Duck Soup🤙🏼Groucho Marx🤙🏼Estrela 1</v>
      </c>
      <c r="H2870" s="5">
        <f>IFERROR(__xludf.DUMMYFUNCTION("SPLiT(G2870, ""🤙🏼"",FALSE,FALSE)"),718.0)</f>
        <v>718</v>
      </c>
      <c r="I2870" s="5" t="str">
        <f>IFERROR(__xludf.DUMMYFUNCTION("""COMPUTED_VALUE"""),"Duck Soup")</f>
        <v>Duck Soup</v>
      </c>
      <c r="J2870" s="5" t="str">
        <f>IFERROR(__xludf.DUMMYFUNCTION("""COMPUTED_VALUE"""),"Groucho Marx")</f>
        <v>Groucho Marx</v>
      </c>
      <c r="K2870" s="5" t="str">
        <f>IFERROR(__xludf.DUMMYFUNCTION("""COMPUTED_VALUE"""),"Estrela 1")</f>
        <v>Estrela 1</v>
      </c>
      <c r="P2870" s="5">
        <f>IFERROR(__xludf.DUMMYFUNCTION("""COMPUTED_VALUE"""),718.0)</f>
        <v>718</v>
      </c>
      <c r="Q2870" s="5" t="str">
        <f>IFERROR(__xludf.DUMMYFUNCTION("""COMPUTED_VALUE"""),"Duck Soup")</f>
        <v>Duck Soup</v>
      </c>
      <c r="R2870" s="5" t="str">
        <f>IFERROR(__xludf.DUMMYFUNCTION("""COMPUTED_VALUE"""),"Groucho Marx")</f>
        <v>Groucho Marx</v>
      </c>
      <c r="S2870" s="5" t="str">
        <f>IFERROR(__xludf.DUMMYFUNCTION("""COMPUTED_VALUE"""),"Estrela 1")</f>
        <v>Estrela 1</v>
      </c>
    </row>
    <row r="2871">
      <c r="G2871" s="5" t="str">
        <f>IFERROR(__xludf.DUMMYFUNCTION("""COMPUTED_VALUE"""),"718🤙🏼Duck Soup🤙🏼Harpo Marx🤙🏼Estrela 2")</f>
        <v>718🤙🏼Duck Soup🤙🏼Harpo Marx🤙🏼Estrela 2</v>
      </c>
      <c r="H2871" s="5">
        <f>IFERROR(__xludf.DUMMYFUNCTION("SPLiT(G2871, ""🤙🏼"",FALSE,FALSE)"),718.0)</f>
        <v>718</v>
      </c>
      <c r="I2871" s="5" t="str">
        <f>IFERROR(__xludf.DUMMYFUNCTION("""COMPUTED_VALUE"""),"Duck Soup")</f>
        <v>Duck Soup</v>
      </c>
      <c r="J2871" s="5" t="str">
        <f>IFERROR(__xludf.DUMMYFUNCTION("""COMPUTED_VALUE"""),"Harpo Marx")</f>
        <v>Harpo Marx</v>
      </c>
      <c r="K2871" s="5" t="str">
        <f>IFERROR(__xludf.DUMMYFUNCTION("""COMPUTED_VALUE"""),"Estrela 2")</f>
        <v>Estrela 2</v>
      </c>
      <c r="P2871" s="5">
        <f>IFERROR(__xludf.DUMMYFUNCTION("""COMPUTED_VALUE"""),718.0)</f>
        <v>718</v>
      </c>
      <c r="Q2871" s="5" t="str">
        <f>IFERROR(__xludf.DUMMYFUNCTION("""COMPUTED_VALUE"""),"Duck Soup")</f>
        <v>Duck Soup</v>
      </c>
      <c r="R2871" s="5" t="str">
        <f>IFERROR(__xludf.DUMMYFUNCTION("""COMPUTED_VALUE"""),"Harpo Marx")</f>
        <v>Harpo Marx</v>
      </c>
      <c r="S2871" s="5" t="str">
        <f>IFERROR(__xludf.DUMMYFUNCTION("""COMPUTED_VALUE"""),"Estrela 2")</f>
        <v>Estrela 2</v>
      </c>
    </row>
    <row r="2872">
      <c r="G2872" s="5" t="str">
        <f>IFERROR(__xludf.DUMMYFUNCTION("""COMPUTED_VALUE"""),"718🤙🏼Duck Soup🤙🏼Chico Marx🤙🏼Estrela 3")</f>
        <v>718🤙🏼Duck Soup🤙🏼Chico Marx🤙🏼Estrela 3</v>
      </c>
      <c r="H2872" s="5">
        <f>IFERROR(__xludf.DUMMYFUNCTION("SPLiT(G2872, ""🤙🏼"",FALSE,FALSE)"),718.0)</f>
        <v>718</v>
      </c>
      <c r="I2872" s="5" t="str">
        <f>IFERROR(__xludf.DUMMYFUNCTION("""COMPUTED_VALUE"""),"Duck Soup")</f>
        <v>Duck Soup</v>
      </c>
      <c r="J2872" s="5" t="str">
        <f>IFERROR(__xludf.DUMMYFUNCTION("""COMPUTED_VALUE"""),"Chico Marx")</f>
        <v>Chico Marx</v>
      </c>
      <c r="K2872" s="5" t="str">
        <f>IFERROR(__xludf.DUMMYFUNCTION("""COMPUTED_VALUE"""),"Estrela 3")</f>
        <v>Estrela 3</v>
      </c>
      <c r="P2872" s="5">
        <f>IFERROR(__xludf.DUMMYFUNCTION("""COMPUTED_VALUE"""),718.0)</f>
        <v>718</v>
      </c>
      <c r="Q2872" s="5" t="str">
        <f>IFERROR(__xludf.DUMMYFUNCTION("""COMPUTED_VALUE"""),"Duck Soup")</f>
        <v>Duck Soup</v>
      </c>
      <c r="R2872" s="5" t="str">
        <f>IFERROR(__xludf.DUMMYFUNCTION("""COMPUTED_VALUE"""),"Chico Marx")</f>
        <v>Chico Marx</v>
      </c>
      <c r="S2872" s="5" t="str">
        <f>IFERROR(__xludf.DUMMYFUNCTION("""COMPUTED_VALUE"""),"Estrela 3")</f>
        <v>Estrela 3</v>
      </c>
    </row>
    <row r="2873">
      <c r="G2873" s="5" t="str">
        <f>IFERROR(__xludf.DUMMYFUNCTION("""COMPUTED_VALUE"""),"718🤙🏼Duck Soup🤙🏼Zeppo Marx🤙🏼Estrela 4")</f>
        <v>718🤙🏼Duck Soup🤙🏼Zeppo Marx🤙🏼Estrela 4</v>
      </c>
      <c r="H2873" s="5">
        <f>IFERROR(__xludf.DUMMYFUNCTION("SPLiT(G2873, ""🤙🏼"",FALSE,FALSE)"),718.0)</f>
        <v>718</v>
      </c>
      <c r="I2873" s="5" t="str">
        <f>IFERROR(__xludf.DUMMYFUNCTION("""COMPUTED_VALUE"""),"Duck Soup")</f>
        <v>Duck Soup</v>
      </c>
      <c r="J2873" s="5" t="str">
        <f>IFERROR(__xludf.DUMMYFUNCTION("""COMPUTED_VALUE"""),"Zeppo Marx")</f>
        <v>Zeppo Marx</v>
      </c>
      <c r="K2873" s="5" t="str">
        <f>IFERROR(__xludf.DUMMYFUNCTION("""COMPUTED_VALUE"""),"Estrela 4")</f>
        <v>Estrela 4</v>
      </c>
      <c r="P2873" s="5">
        <f>IFERROR(__xludf.DUMMYFUNCTION("""COMPUTED_VALUE"""),718.0)</f>
        <v>718</v>
      </c>
      <c r="Q2873" s="5" t="str">
        <f>IFERROR(__xludf.DUMMYFUNCTION("""COMPUTED_VALUE"""),"Duck Soup")</f>
        <v>Duck Soup</v>
      </c>
      <c r="R2873" s="5" t="str">
        <f>IFERROR(__xludf.DUMMYFUNCTION("""COMPUTED_VALUE"""),"Zeppo Marx")</f>
        <v>Zeppo Marx</v>
      </c>
      <c r="S2873" s="5" t="str">
        <f>IFERROR(__xludf.DUMMYFUNCTION("""COMPUTED_VALUE"""),"Estrela 4")</f>
        <v>Estrela 4</v>
      </c>
    </row>
    <row r="2874">
      <c r="G2874" s="5" t="str">
        <f>IFERROR(__xludf.DUMMYFUNCTION("""COMPUTED_VALUE"""),"719🤙🏼Scarface: The Shame of the Nation🤙🏼Richard Rosson🤙🏼Estrela 1")</f>
        <v>719🤙🏼Scarface: The Shame of the Nation🤙🏼Richard Rosson🤙🏼Estrela 1</v>
      </c>
      <c r="H2874" s="5">
        <f>IFERROR(__xludf.DUMMYFUNCTION("SPLiT(G2874, ""🤙🏼"",FALSE,FALSE)"),719.0)</f>
        <v>719</v>
      </c>
      <c r="I2874" s="5" t="str">
        <f>IFERROR(__xludf.DUMMYFUNCTION("""COMPUTED_VALUE"""),"Scarface: The Shame of the Nation")</f>
        <v>Scarface: The Shame of the Nation</v>
      </c>
      <c r="J2874" s="5" t="str">
        <f>IFERROR(__xludf.DUMMYFUNCTION("""COMPUTED_VALUE"""),"Richard Rosson")</f>
        <v>Richard Rosson</v>
      </c>
      <c r="K2874" s="5" t="str">
        <f>IFERROR(__xludf.DUMMYFUNCTION("""COMPUTED_VALUE"""),"Estrela 1")</f>
        <v>Estrela 1</v>
      </c>
      <c r="P2874" s="5">
        <f>IFERROR(__xludf.DUMMYFUNCTION("""COMPUTED_VALUE"""),719.0)</f>
        <v>719</v>
      </c>
      <c r="Q2874" s="5" t="str">
        <f>IFERROR(__xludf.DUMMYFUNCTION("""COMPUTED_VALUE"""),"Scarface: The Shame of the Nation")</f>
        <v>Scarface: The Shame of the Nation</v>
      </c>
      <c r="R2874" s="5" t="str">
        <f>IFERROR(__xludf.DUMMYFUNCTION("""COMPUTED_VALUE"""),"Richard Rosson")</f>
        <v>Richard Rosson</v>
      </c>
      <c r="S2874" s="5" t="str">
        <f>IFERROR(__xludf.DUMMYFUNCTION("""COMPUTED_VALUE"""),"Estrela 1")</f>
        <v>Estrela 1</v>
      </c>
    </row>
    <row r="2875">
      <c r="G2875" s="5" t="str">
        <f>IFERROR(__xludf.DUMMYFUNCTION("""COMPUTED_VALUE"""),"719🤙🏼Scarface: The Shame of the Nation🤙🏼Paul Muni🤙🏼Estrela 2")</f>
        <v>719🤙🏼Scarface: The Shame of the Nation🤙🏼Paul Muni🤙🏼Estrela 2</v>
      </c>
      <c r="H2875" s="5">
        <f>IFERROR(__xludf.DUMMYFUNCTION("SPLiT(G2875, ""🤙🏼"",FALSE,FALSE)"),719.0)</f>
        <v>719</v>
      </c>
      <c r="I2875" s="5" t="str">
        <f>IFERROR(__xludf.DUMMYFUNCTION("""COMPUTED_VALUE"""),"Scarface: The Shame of the Nation")</f>
        <v>Scarface: The Shame of the Nation</v>
      </c>
      <c r="J2875" s="5" t="str">
        <f>IFERROR(__xludf.DUMMYFUNCTION("""COMPUTED_VALUE"""),"Paul Muni")</f>
        <v>Paul Muni</v>
      </c>
      <c r="K2875" s="5" t="str">
        <f>IFERROR(__xludf.DUMMYFUNCTION("""COMPUTED_VALUE"""),"Estrela 2")</f>
        <v>Estrela 2</v>
      </c>
      <c r="P2875" s="5">
        <f>IFERROR(__xludf.DUMMYFUNCTION("""COMPUTED_VALUE"""),719.0)</f>
        <v>719</v>
      </c>
      <c r="Q2875" s="5" t="str">
        <f>IFERROR(__xludf.DUMMYFUNCTION("""COMPUTED_VALUE"""),"Scarface: The Shame of the Nation")</f>
        <v>Scarface: The Shame of the Nation</v>
      </c>
      <c r="R2875" s="5" t="str">
        <f>IFERROR(__xludf.DUMMYFUNCTION("""COMPUTED_VALUE"""),"Paul Muni")</f>
        <v>Paul Muni</v>
      </c>
      <c r="S2875" s="5" t="str">
        <f>IFERROR(__xludf.DUMMYFUNCTION("""COMPUTED_VALUE"""),"Estrela 2")</f>
        <v>Estrela 2</v>
      </c>
    </row>
    <row r="2876">
      <c r="G2876" s="5" t="str">
        <f>IFERROR(__xludf.DUMMYFUNCTION("""COMPUTED_VALUE"""),"719🤙🏼Scarface: The Shame of the Nation🤙🏼Ann Dvorak🤙🏼Estrela 3")</f>
        <v>719🤙🏼Scarface: The Shame of the Nation🤙🏼Ann Dvorak🤙🏼Estrela 3</v>
      </c>
      <c r="H2876" s="5">
        <f>IFERROR(__xludf.DUMMYFUNCTION("SPLiT(G2876, ""🤙🏼"",FALSE,FALSE)"),719.0)</f>
        <v>719</v>
      </c>
      <c r="I2876" s="5" t="str">
        <f>IFERROR(__xludf.DUMMYFUNCTION("""COMPUTED_VALUE"""),"Scarface: The Shame of the Nation")</f>
        <v>Scarface: The Shame of the Nation</v>
      </c>
      <c r="J2876" s="5" t="str">
        <f>IFERROR(__xludf.DUMMYFUNCTION("""COMPUTED_VALUE"""),"Ann Dvorak")</f>
        <v>Ann Dvorak</v>
      </c>
      <c r="K2876" s="5" t="str">
        <f>IFERROR(__xludf.DUMMYFUNCTION("""COMPUTED_VALUE"""),"Estrela 3")</f>
        <v>Estrela 3</v>
      </c>
      <c r="P2876" s="5">
        <f>IFERROR(__xludf.DUMMYFUNCTION("""COMPUTED_VALUE"""),719.0)</f>
        <v>719</v>
      </c>
      <c r="Q2876" s="5" t="str">
        <f>IFERROR(__xludf.DUMMYFUNCTION("""COMPUTED_VALUE"""),"Scarface: The Shame of the Nation")</f>
        <v>Scarface: The Shame of the Nation</v>
      </c>
      <c r="R2876" s="5" t="str">
        <f>IFERROR(__xludf.DUMMYFUNCTION("""COMPUTED_VALUE"""),"Ann Dvorak")</f>
        <v>Ann Dvorak</v>
      </c>
      <c r="S2876" s="5" t="str">
        <f>IFERROR(__xludf.DUMMYFUNCTION("""COMPUTED_VALUE"""),"Estrela 3")</f>
        <v>Estrela 3</v>
      </c>
    </row>
    <row r="2877">
      <c r="G2877" s="5" t="str">
        <f>IFERROR(__xludf.DUMMYFUNCTION("""COMPUTED_VALUE"""),"719🤙🏼Scarface: The Shame of the Nation🤙🏼Karen Morley🤙🏼Estrela 4")</f>
        <v>719🤙🏼Scarface: The Shame of the Nation🤙🏼Karen Morley🤙🏼Estrela 4</v>
      </c>
      <c r="H2877" s="5">
        <f>IFERROR(__xludf.DUMMYFUNCTION("SPLiT(G2877, ""🤙🏼"",FALSE,FALSE)"),719.0)</f>
        <v>719</v>
      </c>
      <c r="I2877" s="5" t="str">
        <f>IFERROR(__xludf.DUMMYFUNCTION("""COMPUTED_VALUE"""),"Scarface: The Shame of the Nation")</f>
        <v>Scarface: The Shame of the Nation</v>
      </c>
      <c r="J2877" s="5" t="str">
        <f>IFERROR(__xludf.DUMMYFUNCTION("""COMPUTED_VALUE"""),"Karen Morley")</f>
        <v>Karen Morley</v>
      </c>
      <c r="K2877" s="5" t="str">
        <f>IFERROR(__xludf.DUMMYFUNCTION("""COMPUTED_VALUE"""),"Estrela 4")</f>
        <v>Estrela 4</v>
      </c>
      <c r="P2877" s="5">
        <f>IFERROR(__xludf.DUMMYFUNCTION("""COMPUTED_VALUE"""),719.0)</f>
        <v>719</v>
      </c>
      <c r="Q2877" s="5" t="str">
        <f>IFERROR(__xludf.DUMMYFUNCTION("""COMPUTED_VALUE"""),"Scarface: The Shame of the Nation")</f>
        <v>Scarface: The Shame of the Nation</v>
      </c>
      <c r="R2877" s="5" t="str">
        <f>IFERROR(__xludf.DUMMYFUNCTION("""COMPUTED_VALUE"""),"Karen Morley")</f>
        <v>Karen Morley</v>
      </c>
      <c r="S2877" s="5" t="str">
        <f>IFERROR(__xludf.DUMMYFUNCTION("""COMPUTED_VALUE"""),"Estrela 4")</f>
        <v>Estrela 4</v>
      </c>
    </row>
    <row r="2878">
      <c r="G2878" s="5" t="str">
        <f>IFERROR(__xludf.DUMMYFUNCTION("""COMPUTED_VALUE"""),"720🤙🏼Frankenstein🤙🏼Colin Clive🤙🏼Estrela 1")</f>
        <v>720🤙🏼Frankenstein🤙🏼Colin Clive🤙🏼Estrela 1</v>
      </c>
      <c r="H2878" s="5">
        <f>IFERROR(__xludf.DUMMYFUNCTION("SPLiT(G2878, ""🤙🏼"",FALSE,FALSE)"),720.0)</f>
        <v>720</v>
      </c>
      <c r="I2878" s="5" t="str">
        <f>IFERROR(__xludf.DUMMYFUNCTION("""COMPUTED_VALUE"""),"Frankenstein")</f>
        <v>Frankenstein</v>
      </c>
      <c r="J2878" s="5" t="str">
        <f>IFERROR(__xludf.DUMMYFUNCTION("""COMPUTED_VALUE"""),"Colin Clive")</f>
        <v>Colin Clive</v>
      </c>
      <c r="K2878" s="5" t="str">
        <f>IFERROR(__xludf.DUMMYFUNCTION("""COMPUTED_VALUE"""),"Estrela 1")</f>
        <v>Estrela 1</v>
      </c>
      <c r="P2878" s="5">
        <f>IFERROR(__xludf.DUMMYFUNCTION("""COMPUTED_VALUE"""),720.0)</f>
        <v>720</v>
      </c>
      <c r="Q2878" s="5" t="str">
        <f>IFERROR(__xludf.DUMMYFUNCTION("""COMPUTED_VALUE"""),"Frankenstein")</f>
        <v>Frankenstein</v>
      </c>
      <c r="R2878" s="5" t="str">
        <f>IFERROR(__xludf.DUMMYFUNCTION("""COMPUTED_VALUE"""),"Colin Clive")</f>
        <v>Colin Clive</v>
      </c>
      <c r="S2878" s="5" t="str">
        <f>IFERROR(__xludf.DUMMYFUNCTION("""COMPUTED_VALUE"""),"Estrela 1")</f>
        <v>Estrela 1</v>
      </c>
    </row>
    <row r="2879">
      <c r="G2879" s="5" t="str">
        <f>IFERROR(__xludf.DUMMYFUNCTION("""COMPUTED_VALUE"""),"720🤙🏼Frankenstein🤙🏼Mae Clarke🤙🏼Estrela 2")</f>
        <v>720🤙🏼Frankenstein🤙🏼Mae Clarke🤙🏼Estrela 2</v>
      </c>
      <c r="H2879" s="5">
        <f>IFERROR(__xludf.DUMMYFUNCTION("SPLiT(G2879, ""🤙🏼"",FALSE,FALSE)"),720.0)</f>
        <v>720</v>
      </c>
      <c r="I2879" s="5" t="str">
        <f>IFERROR(__xludf.DUMMYFUNCTION("""COMPUTED_VALUE"""),"Frankenstein")</f>
        <v>Frankenstein</v>
      </c>
      <c r="J2879" s="5" t="str">
        <f>IFERROR(__xludf.DUMMYFUNCTION("""COMPUTED_VALUE"""),"Mae Clarke")</f>
        <v>Mae Clarke</v>
      </c>
      <c r="K2879" s="5" t="str">
        <f>IFERROR(__xludf.DUMMYFUNCTION("""COMPUTED_VALUE"""),"Estrela 2")</f>
        <v>Estrela 2</v>
      </c>
      <c r="P2879" s="5">
        <f>IFERROR(__xludf.DUMMYFUNCTION("""COMPUTED_VALUE"""),720.0)</f>
        <v>720</v>
      </c>
      <c r="Q2879" s="5" t="str">
        <f>IFERROR(__xludf.DUMMYFUNCTION("""COMPUTED_VALUE"""),"Frankenstein")</f>
        <v>Frankenstein</v>
      </c>
      <c r="R2879" s="5" t="str">
        <f>IFERROR(__xludf.DUMMYFUNCTION("""COMPUTED_VALUE"""),"Mae Clarke")</f>
        <v>Mae Clarke</v>
      </c>
      <c r="S2879" s="5" t="str">
        <f>IFERROR(__xludf.DUMMYFUNCTION("""COMPUTED_VALUE"""),"Estrela 2")</f>
        <v>Estrela 2</v>
      </c>
    </row>
    <row r="2880">
      <c r="G2880" s="5" t="str">
        <f>IFERROR(__xludf.DUMMYFUNCTION("""COMPUTED_VALUE"""),"720🤙🏼Frankenstein🤙🏼Boris Karloff🤙🏼Estrela 3")</f>
        <v>720🤙🏼Frankenstein🤙🏼Boris Karloff🤙🏼Estrela 3</v>
      </c>
      <c r="H2880" s="5">
        <f>IFERROR(__xludf.DUMMYFUNCTION("SPLiT(G2880, ""🤙🏼"",FALSE,FALSE)"),720.0)</f>
        <v>720</v>
      </c>
      <c r="I2880" s="5" t="str">
        <f>IFERROR(__xludf.DUMMYFUNCTION("""COMPUTED_VALUE"""),"Frankenstein")</f>
        <v>Frankenstein</v>
      </c>
      <c r="J2880" s="5" t="str">
        <f>IFERROR(__xludf.DUMMYFUNCTION("""COMPUTED_VALUE"""),"Boris Karloff")</f>
        <v>Boris Karloff</v>
      </c>
      <c r="K2880" s="5" t="str">
        <f>IFERROR(__xludf.DUMMYFUNCTION("""COMPUTED_VALUE"""),"Estrela 3")</f>
        <v>Estrela 3</v>
      </c>
      <c r="P2880" s="5">
        <f>IFERROR(__xludf.DUMMYFUNCTION("""COMPUTED_VALUE"""),720.0)</f>
        <v>720</v>
      </c>
      <c r="Q2880" s="5" t="str">
        <f>IFERROR(__xludf.DUMMYFUNCTION("""COMPUTED_VALUE"""),"Frankenstein")</f>
        <v>Frankenstein</v>
      </c>
      <c r="R2880" s="5" t="str">
        <f>IFERROR(__xludf.DUMMYFUNCTION("""COMPUTED_VALUE"""),"Boris Karloff")</f>
        <v>Boris Karloff</v>
      </c>
      <c r="S2880" s="5" t="str">
        <f>IFERROR(__xludf.DUMMYFUNCTION("""COMPUTED_VALUE"""),"Estrela 3")</f>
        <v>Estrela 3</v>
      </c>
    </row>
    <row r="2881">
      <c r="G2881" s="5" t="str">
        <f>IFERROR(__xludf.DUMMYFUNCTION("""COMPUTED_VALUE"""),"720🤙🏼Frankenstein🤙🏼John Boles🤙🏼Estrela 4")</f>
        <v>720🤙🏼Frankenstein🤙🏼John Boles🤙🏼Estrela 4</v>
      </c>
      <c r="H2881" s="5">
        <f>IFERROR(__xludf.DUMMYFUNCTION("SPLiT(G2881, ""🤙🏼"",FALSE,FALSE)"),720.0)</f>
        <v>720</v>
      </c>
      <c r="I2881" s="5" t="str">
        <f>IFERROR(__xludf.DUMMYFUNCTION("""COMPUTED_VALUE"""),"Frankenstein")</f>
        <v>Frankenstein</v>
      </c>
      <c r="J2881" s="5" t="str">
        <f>IFERROR(__xludf.DUMMYFUNCTION("""COMPUTED_VALUE"""),"John Boles")</f>
        <v>John Boles</v>
      </c>
      <c r="K2881" s="5" t="str">
        <f>IFERROR(__xludf.DUMMYFUNCTION("""COMPUTED_VALUE"""),"Estrela 4")</f>
        <v>Estrela 4</v>
      </c>
      <c r="P2881" s="5">
        <f>IFERROR(__xludf.DUMMYFUNCTION("""COMPUTED_VALUE"""),720.0)</f>
        <v>720</v>
      </c>
      <c r="Q2881" s="5" t="str">
        <f>IFERROR(__xludf.DUMMYFUNCTION("""COMPUTED_VALUE"""),"Frankenstein")</f>
        <v>Frankenstein</v>
      </c>
      <c r="R2881" s="5" t="str">
        <f>IFERROR(__xludf.DUMMYFUNCTION("""COMPUTED_VALUE"""),"John Boles")</f>
        <v>John Boles</v>
      </c>
      <c r="S2881" s="5" t="str">
        <f>IFERROR(__xludf.DUMMYFUNCTION("""COMPUTED_VALUE"""),"Estrela 4")</f>
        <v>Estrela 4</v>
      </c>
    </row>
    <row r="2882">
      <c r="G2882" s="5" t="str">
        <f>IFERROR(__xludf.DUMMYFUNCTION("""COMPUTED_VALUE"""),"721🤙🏼Roma🤙🏼Yalitza Aparicio🤙🏼Estrela 1")</f>
        <v>721🤙🏼Roma🤙🏼Yalitza Aparicio🤙🏼Estrela 1</v>
      </c>
      <c r="H2882" s="5">
        <f>IFERROR(__xludf.DUMMYFUNCTION("SPLiT(G2882, ""🤙🏼"",FALSE,FALSE)"),721.0)</f>
        <v>721</v>
      </c>
      <c r="I2882" s="5" t="str">
        <f>IFERROR(__xludf.DUMMYFUNCTION("""COMPUTED_VALUE"""),"Roma")</f>
        <v>Roma</v>
      </c>
      <c r="J2882" s="5" t="str">
        <f>IFERROR(__xludf.DUMMYFUNCTION("""COMPUTED_VALUE"""),"Yalitza Aparicio")</f>
        <v>Yalitza Aparicio</v>
      </c>
      <c r="K2882" s="5" t="str">
        <f>IFERROR(__xludf.DUMMYFUNCTION("""COMPUTED_VALUE"""),"Estrela 1")</f>
        <v>Estrela 1</v>
      </c>
      <c r="P2882" s="5">
        <f>IFERROR(__xludf.DUMMYFUNCTION("""COMPUTED_VALUE"""),721.0)</f>
        <v>721</v>
      </c>
      <c r="Q2882" s="5" t="str">
        <f>IFERROR(__xludf.DUMMYFUNCTION("""COMPUTED_VALUE"""),"Roma")</f>
        <v>Roma</v>
      </c>
      <c r="R2882" s="5" t="str">
        <f>IFERROR(__xludf.DUMMYFUNCTION("""COMPUTED_VALUE"""),"Yalitza Aparicio")</f>
        <v>Yalitza Aparicio</v>
      </c>
      <c r="S2882" s="5" t="str">
        <f>IFERROR(__xludf.DUMMYFUNCTION("""COMPUTED_VALUE"""),"Estrela 1")</f>
        <v>Estrela 1</v>
      </c>
    </row>
    <row r="2883">
      <c r="G2883" s="5" t="str">
        <f>IFERROR(__xludf.DUMMYFUNCTION("""COMPUTED_VALUE"""),"721🤙🏼Roma🤙🏼Marina de Tavira🤙🏼Estrela 2")</f>
        <v>721🤙🏼Roma🤙🏼Marina de Tavira🤙🏼Estrela 2</v>
      </c>
      <c r="H2883" s="5">
        <f>IFERROR(__xludf.DUMMYFUNCTION("SPLiT(G2883, ""🤙🏼"",FALSE,FALSE)"),721.0)</f>
        <v>721</v>
      </c>
      <c r="I2883" s="5" t="str">
        <f>IFERROR(__xludf.DUMMYFUNCTION("""COMPUTED_VALUE"""),"Roma")</f>
        <v>Roma</v>
      </c>
      <c r="J2883" s="5" t="str">
        <f>IFERROR(__xludf.DUMMYFUNCTION("""COMPUTED_VALUE"""),"Marina de Tavira")</f>
        <v>Marina de Tavira</v>
      </c>
      <c r="K2883" s="5" t="str">
        <f>IFERROR(__xludf.DUMMYFUNCTION("""COMPUTED_VALUE"""),"Estrela 2")</f>
        <v>Estrela 2</v>
      </c>
      <c r="P2883" s="5">
        <f>IFERROR(__xludf.DUMMYFUNCTION("""COMPUTED_VALUE"""),721.0)</f>
        <v>721</v>
      </c>
      <c r="Q2883" s="5" t="str">
        <f>IFERROR(__xludf.DUMMYFUNCTION("""COMPUTED_VALUE"""),"Roma")</f>
        <v>Roma</v>
      </c>
      <c r="R2883" s="5" t="str">
        <f>IFERROR(__xludf.DUMMYFUNCTION("""COMPUTED_VALUE"""),"Marina de Tavira")</f>
        <v>Marina de Tavira</v>
      </c>
      <c r="S2883" s="5" t="str">
        <f>IFERROR(__xludf.DUMMYFUNCTION("""COMPUTED_VALUE"""),"Estrela 2")</f>
        <v>Estrela 2</v>
      </c>
    </row>
    <row r="2884">
      <c r="G2884" s="5" t="str">
        <f>IFERROR(__xludf.DUMMYFUNCTION("""COMPUTED_VALUE"""),"721🤙🏼Roma🤙🏼Diego Cortina Autrey🤙🏼Estrela 3")</f>
        <v>721🤙🏼Roma🤙🏼Diego Cortina Autrey🤙🏼Estrela 3</v>
      </c>
      <c r="H2884" s="5">
        <f>IFERROR(__xludf.DUMMYFUNCTION("SPLiT(G2884, ""🤙🏼"",FALSE,FALSE)"),721.0)</f>
        <v>721</v>
      </c>
      <c r="I2884" s="5" t="str">
        <f>IFERROR(__xludf.DUMMYFUNCTION("""COMPUTED_VALUE"""),"Roma")</f>
        <v>Roma</v>
      </c>
      <c r="J2884" s="5" t="str">
        <f>IFERROR(__xludf.DUMMYFUNCTION("""COMPUTED_VALUE"""),"Diego Cortina Autrey")</f>
        <v>Diego Cortina Autrey</v>
      </c>
      <c r="K2884" s="5" t="str">
        <f>IFERROR(__xludf.DUMMYFUNCTION("""COMPUTED_VALUE"""),"Estrela 3")</f>
        <v>Estrela 3</v>
      </c>
      <c r="P2884" s="5">
        <f>IFERROR(__xludf.DUMMYFUNCTION("""COMPUTED_VALUE"""),721.0)</f>
        <v>721</v>
      </c>
      <c r="Q2884" s="5" t="str">
        <f>IFERROR(__xludf.DUMMYFUNCTION("""COMPUTED_VALUE"""),"Roma")</f>
        <v>Roma</v>
      </c>
      <c r="R2884" s="5" t="str">
        <f>IFERROR(__xludf.DUMMYFUNCTION("""COMPUTED_VALUE"""),"Diego Cortina Autrey")</f>
        <v>Diego Cortina Autrey</v>
      </c>
      <c r="S2884" s="5" t="str">
        <f>IFERROR(__xludf.DUMMYFUNCTION("""COMPUTED_VALUE"""),"Estrela 3")</f>
        <v>Estrela 3</v>
      </c>
    </row>
    <row r="2885">
      <c r="G2885" s="5" t="str">
        <f>IFERROR(__xludf.DUMMYFUNCTION("""COMPUTED_VALUE"""),"721🤙🏼Roma🤙🏼Carlos Peralta🤙🏼Estrela 4")</f>
        <v>721🤙🏼Roma🤙🏼Carlos Peralta🤙🏼Estrela 4</v>
      </c>
      <c r="H2885" s="5">
        <f>IFERROR(__xludf.DUMMYFUNCTION("SPLiT(G2885, ""🤙🏼"",FALSE,FALSE)"),721.0)</f>
        <v>721</v>
      </c>
      <c r="I2885" s="5" t="str">
        <f>IFERROR(__xludf.DUMMYFUNCTION("""COMPUTED_VALUE"""),"Roma")</f>
        <v>Roma</v>
      </c>
      <c r="J2885" s="5" t="str">
        <f>IFERROR(__xludf.DUMMYFUNCTION("""COMPUTED_VALUE"""),"Carlos Peralta")</f>
        <v>Carlos Peralta</v>
      </c>
      <c r="K2885" s="5" t="str">
        <f>IFERROR(__xludf.DUMMYFUNCTION("""COMPUTED_VALUE"""),"Estrela 4")</f>
        <v>Estrela 4</v>
      </c>
      <c r="P2885" s="5">
        <f>IFERROR(__xludf.DUMMYFUNCTION("""COMPUTED_VALUE"""),721.0)</f>
        <v>721</v>
      </c>
      <c r="Q2885" s="5" t="str">
        <f>IFERROR(__xludf.DUMMYFUNCTION("""COMPUTED_VALUE"""),"Roma")</f>
        <v>Roma</v>
      </c>
      <c r="R2885" s="5" t="str">
        <f>IFERROR(__xludf.DUMMYFUNCTION("""COMPUTED_VALUE"""),"Carlos Peralta")</f>
        <v>Carlos Peralta</v>
      </c>
      <c r="S2885" s="5" t="str">
        <f>IFERROR(__xludf.DUMMYFUNCTION("""COMPUTED_VALUE"""),"Estrela 4")</f>
        <v>Estrela 4</v>
      </c>
    </row>
    <row r="2886">
      <c r="G2886" s="5" t="str">
        <f>IFERROR(__xludf.DUMMYFUNCTION("""COMPUTED_VALUE"""),"722🤙🏼God's Own Country🤙🏼Josh O'Connor🤙🏼Estrela 1")</f>
        <v>722🤙🏼God's Own Country🤙🏼Josh O'Connor🤙🏼Estrela 1</v>
      </c>
      <c r="H2886" s="5">
        <f>IFERROR(__xludf.DUMMYFUNCTION("SPLiT(G2886, ""🤙🏼"",FALSE,FALSE)"),722.0)</f>
        <v>722</v>
      </c>
      <c r="I2886" s="5" t="str">
        <f>IFERROR(__xludf.DUMMYFUNCTION("""COMPUTED_VALUE"""),"God's Own Country")</f>
        <v>God's Own Country</v>
      </c>
      <c r="J2886" s="5" t="str">
        <f>IFERROR(__xludf.DUMMYFUNCTION("""COMPUTED_VALUE"""),"Josh O'Connor")</f>
        <v>Josh O'Connor</v>
      </c>
      <c r="K2886" s="5" t="str">
        <f>IFERROR(__xludf.DUMMYFUNCTION("""COMPUTED_VALUE"""),"Estrela 1")</f>
        <v>Estrela 1</v>
      </c>
      <c r="P2886" s="5">
        <f>IFERROR(__xludf.DUMMYFUNCTION("""COMPUTED_VALUE"""),722.0)</f>
        <v>722</v>
      </c>
      <c r="Q2886" s="5" t="str">
        <f>IFERROR(__xludf.DUMMYFUNCTION("""COMPUTED_VALUE"""),"God's Own Country")</f>
        <v>God's Own Country</v>
      </c>
      <c r="R2886" s="5" t="str">
        <f>IFERROR(__xludf.DUMMYFUNCTION("""COMPUTED_VALUE"""),"Josh O'Connor")</f>
        <v>Josh O'Connor</v>
      </c>
      <c r="S2886" s="5" t="str">
        <f>IFERROR(__xludf.DUMMYFUNCTION("""COMPUTED_VALUE"""),"Estrela 1")</f>
        <v>Estrela 1</v>
      </c>
    </row>
    <row r="2887">
      <c r="G2887" s="5" t="str">
        <f>IFERROR(__xludf.DUMMYFUNCTION("""COMPUTED_VALUE"""),"722🤙🏼God's Own Country🤙🏼Alec Secareanu🤙🏼Estrela 2")</f>
        <v>722🤙🏼God's Own Country🤙🏼Alec Secareanu🤙🏼Estrela 2</v>
      </c>
      <c r="H2887" s="5">
        <f>IFERROR(__xludf.DUMMYFUNCTION("SPLiT(G2887, ""🤙🏼"",FALSE,FALSE)"),722.0)</f>
        <v>722</v>
      </c>
      <c r="I2887" s="5" t="str">
        <f>IFERROR(__xludf.DUMMYFUNCTION("""COMPUTED_VALUE"""),"God's Own Country")</f>
        <v>God's Own Country</v>
      </c>
      <c r="J2887" s="5" t="str">
        <f>IFERROR(__xludf.DUMMYFUNCTION("""COMPUTED_VALUE"""),"Alec Secareanu")</f>
        <v>Alec Secareanu</v>
      </c>
      <c r="K2887" s="5" t="str">
        <f>IFERROR(__xludf.DUMMYFUNCTION("""COMPUTED_VALUE"""),"Estrela 2")</f>
        <v>Estrela 2</v>
      </c>
      <c r="P2887" s="5">
        <f>IFERROR(__xludf.DUMMYFUNCTION("""COMPUTED_VALUE"""),722.0)</f>
        <v>722</v>
      </c>
      <c r="Q2887" s="5" t="str">
        <f>IFERROR(__xludf.DUMMYFUNCTION("""COMPUTED_VALUE"""),"God's Own Country")</f>
        <v>God's Own Country</v>
      </c>
      <c r="R2887" s="5" t="str">
        <f>IFERROR(__xludf.DUMMYFUNCTION("""COMPUTED_VALUE"""),"Alec Secareanu")</f>
        <v>Alec Secareanu</v>
      </c>
      <c r="S2887" s="5" t="str">
        <f>IFERROR(__xludf.DUMMYFUNCTION("""COMPUTED_VALUE"""),"Estrela 2")</f>
        <v>Estrela 2</v>
      </c>
    </row>
    <row r="2888">
      <c r="G2888" s="5" t="str">
        <f>IFERROR(__xludf.DUMMYFUNCTION("""COMPUTED_VALUE"""),"722🤙🏼God's Own Country🤙🏼Gemma Jones🤙🏼Estrela 3")</f>
        <v>722🤙🏼God's Own Country🤙🏼Gemma Jones🤙🏼Estrela 3</v>
      </c>
      <c r="H2888" s="5">
        <f>IFERROR(__xludf.DUMMYFUNCTION("SPLiT(G2888, ""🤙🏼"",FALSE,FALSE)"),722.0)</f>
        <v>722</v>
      </c>
      <c r="I2888" s="5" t="str">
        <f>IFERROR(__xludf.DUMMYFUNCTION("""COMPUTED_VALUE"""),"God's Own Country")</f>
        <v>God's Own Country</v>
      </c>
      <c r="J2888" s="5" t="str">
        <f>IFERROR(__xludf.DUMMYFUNCTION("""COMPUTED_VALUE"""),"Gemma Jones")</f>
        <v>Gemma Jones</v>
      </c>
      <c r="K2888" s="5" t="str">
        <f>IFERROR(__xludf.DUMMYFUNCTION("""COMPUTED_VALUE"""),"Estrela 3")</f>
        <v>Estrela 3</v>
      </c>
      <c r="P2888" s="5">
        <f>IFERROR(__xludf.DUMMYFUNCTION("""COMPUTED_VALUE"""),722.0)</f>
        <v>722</v>
      </c>
      <c r="Q2888" s="5" t="str">
        <f>IFERROR(__xludf.DUMMYFUNCTION("""COMPUTED_VALUE"""),"God's Own Country")</f>
        <v>God's Own Country</v>
      </c>
      <c r="R2888" s="5" t="str">
        <f>IFERROR(__xludf.DUMMYFUNCTION("""COMPUTED_VALUE"""),"Gemma Jones")</f>
        <v>Gemma Jones</v>
      </c>
      <c r="S2888" s="5" t="str">
        <f>IFERROR(__xludf.DUMMYFUNCTION("""COMPUTED_VALUE"""),"Estrela 3")</f>
        <v>Estrela 3</v>
      </c>
    </row>
    <row r="2889">
      <c r="G2889" s="5" t="str">
        <f>IFERROR(__xludf.DUMMYFUNCTION("""COMPUTED_VALUE"""),"722🤙🏼God's Own Country🤙🏼Ian Hart🤙🏼Estrela 4")</f>
        <v>722🤙🏼God's Own Country🤙🏼Ian Hart🤙🏼Estrela 4</v>
      </c>
      <c r="H2889" s="5">
        <f>IFERROR(__xludf.DUMMYFUNCTION("SPLiT(G2889, ""🤙🏼"",FALSE,FALSE)"),722.0)</f>
        <v>722</v>
      </c>
      <c r="I2889" s="5" t="str">
        <f>IFERROR(__xludf.DUMMYFUNCTION("""COMPUTED_VALUE"""),"God's Own Country")</f>
        <v>God's Own Country</v>
      </c>
      <c r="J2889" s="5" t="str">
        <f>IFERROR(__xludf.DUMMYFUNCTION("""COMPUTED_VALUE"""),"Ian Hart")</f>
        <v>Ian Hart</v>
      </c>
      <c r="K2889" s="5" t="str">
        <f>IFERROR(__xludf.DUMMYFUNCTION("""COMPUTED_VALUE"""),"Estrela 4")</f>
        <v>Estrela 4</v>
      </c>
      <c r="P2889" s="5">
        <f>IFERROR(__xludf.DUMMYFUNCTION("""COMPUTED_VALUE"""),722.0)</f>
        <v>722</v>
      </c>
      <c r="Q2889" s="5" t="str">
        <f>IFERROR(__xludf.DUMMYFUNCTION("""COMPUTED_VALUE"""),"God's Own Country")</f>
        <v>God's Own Country</v>
      </c>
      <c r="R2889" s="5" t="str">
        <f>IFERROR(__xludf.DUMMYFUNCTION("""COMPUTED_VALUE"""),"Ian Hart")</f>
        <v>Ian Hart</v>
      </c>
      <c r="S2889" s="5" t="str">
        <f>IFERROR(__xludf.DUMMYFUNCTION("""COMPUTED_VALUE"""),"Estrela 4")</f>
        <v>Estrela 4</v>
      </c>
    </row>
    <row r="2890">
      <c r="G2890" s="5" t="str">
        <f>IFERROR(__xludf.DUMMYFUNCTION("""COMPUTED_VALUE"""),"723🤙🏼Deadpool 2🤙🏼Ryan Reynolds🤙🏼Estrela 1")</f>
        <v>723🤙🏼Deadpool 2🤙🏼Ryan Reynolds🤙🏼Estrela 1</v>
      </c>
      <c r="H2890" s="5">
        <f>IFERROR(__xludf.DUMMYFUNCTION("SPLiT(G2890, ""🤙🏼"",FALSE,FALSE)"),723.0)</f>
        <v>723</v>
      </c>
      <c r="I2890" s="5" t="str">
        <f>IFERROR(__xludf.DUMMYFUNCTION("""COMPUTED_VALUE"""),"Deadpool 2")</f>
        <v>Deadpool 2</v>
      </c>
      <c r="J2890" s="5" t="str">
        <f>IFERROR(__xludf.DUMMYFUNCTION("""COMPUTED_VALUE"""),"Ryan Reynolds")</f>
        <v>Ryan Reynolds</v>
      </c>
      <c r="K2890" s="5" t="str">
        <f>IFERROR(__xludf.DUMMYFUNCTION("""COMPUTED_VALUE"""),"Estrela 1")</f>
        <v>Estrela 1</v>
      </c>
      <c r="P2890" s="5">
        <f>IFERROR(__xludf.DUMMYFUNCTION("""COMPUTED_VALUE"""),723.0)</f>
        <v>723</v>
      </c>
      <c r="Q2890" s="5" t="str">
        <f>IFERROR(__xludf.DUMMYFUNCTION("""COMPUTED_VALUE"""),"Deadpool 2")</f>
        <v>Deadpool 2</v>
      </c>
      <c r="R2890" s="5" t="str">
        <f>IFERROR(__xludf.DUMMYFUNCTION("""COMPUTED_VALUE"""),"Ryan Reynolds")</f>
        <v>Ryan Reynolds</v>
      </c>
      <c r="S2890" s="5" t="str">
        <f>IFERROR(__xludf.DUMMYFUNCTION("""COMPUTED_VALUE"""),"Estrela 1")</f>
        <v>Estrela 1</v>
      </c>
    </row>
    <row r="2891">
      <c r="G2891" s="5" t="str">
        <f>IFERROR(__xludf.DUMMYFUNCTION("""COMPUTED_VALUE"""),"723🤙🏼Deadpool 2🤙🏼Josh Brolin🤙🏼Estrela 2")</f>
        <v>723🤙🏼Deadpool 2🤙🏼Josh Brolin🤙🏼Estrela 2</v>
      </c>
      <c r="H2891" s="5">
        <f>IFERROR(__xludf.DUMMYFUNCTION("SPLiT(G2891, ""🤙🏼"",FALSE,FALSE)"),723.0)</f>
        <v>723</v>
      </c>
      <c r="I2891" s="5" t="str">
        <f>IFERROR(__xludf.DUMMYFUNCTION("""COMPUTED_VALUE"""),"Deadpool 2")</f>
        <v>Deadpool 2</v>
      </c>
      <c r="J2891" s="5" t="str">
        <f>IFERROR(__xludf.DUMMYFUNCTION("""COMPUTED_VALUE"""),"Josh Brolin")</f>
        <v>Josh Brolin</v>
      </c>
      <c r="K2891" s="5" t="str">
        <f>IFERROR(__xludf.DUMMYFUNCTION("""COMPUTED_VALUE"""),"Estrela 2")</f>
        <v>Estrela 2</v>
      </c>
      <c r="P2891" s="5">
        <f>IFERROR(__xludf.DUMMYFUNCTION("""COMPUTED_VALUE"""),723.0)</f>
        <v>723</v>
      </c>
      <c r="Q2891" s="5" t="str">
        <f>IFERROR(__xludf.DUMMYFUNCTION("""COMPUTED_VALUE"""),"Deadpool 2")</f>
        <v>Deadpool 2</v>
      </c>
      <c r="R2891" s="5" t="str">
        <f>IFERROR(__xludf.DUMMYFUNCTION("""COMPUTED_VALUE"""),"Josh Brolin")</f>
        <v>Josh Brolin</v>
      </c>
      <c r="S2891" s="5" t="str">
        <f>IFERROR(__xludf.DUMMYFUNCTION("""COMPUTED_VALUE"""),"Estrela 2")</f>
        <v>Estrela 2</v>
      </c>
    </row>
    <row r="2892">
      <c r="G2892" s="5" t="str">
        <f>IFERROR(__xludf.DUMMYFUNCTION("""COMPUTED_VALUE"""),"723🤙🏼Deadpool 2🤙🏼Morena Baccarin🤙🏼Estrela 3")</f>
        <v>723🤙🏼Deadpool 2🤙🏼Morena Baccarin🤙🏼Estrela 3</v>
      </c>
      <c r="H2892" s="5">
        <f>IFERROR(__xludf.DUMMYFUNCTION("SPLiT(G2892, ""🤙🏼"",FALSE,FALSE)"),723.0)</f>
        <v>723</v>
      </c>
      <c r="I2892" s="5" t="str">
        <f>IFERROR(__xludf.DUMMYFUNCTION("""COMPUTED_VALUE"""),"Deadpool 2")</f>
        <v>Deadpool 2</v>
      </c>
      <c r="J2892" s="5" t="str">
        <f>IFERROR(__xludf.DUMMYFUNCTION("""COMPUTED_VALUE"""),"Morena Baccarin")</f>
        <v>Morena Baccarin</v>
      </c>
      <c r="K2892" s="5" t="str">
        <f>IFERROR(__xludf.DUMMYFUNCTION("""COMPUTED_VALUE"""),"Estrela 3")</f>
        <v>Estrela 3</v>
      </c>
      <c r="P2892" s="5">
        <f>IFERROR(__xludf.DUMMYFUNCTION("""COMPUTED_VALUE"""),723.0)</f>
        <v>723</v>
      </c>
      <c r="Q2892" s="5" t="str">
        <f>IFERROR(__xludf.DUMMYFUNCTION("""COMPUTED_VALUE"""),"Deadpool 2")</f>
        <v>Deadpool 2</v>
      </c>
      <c r="R2892" s="5" t="str">
        <f>IFERROR(__xludf.DUMMYFUNCTION("""COMPUTED_VALUE"""),"Morena Baccarin")</f>
        <v>Morena Baccarin</v>
      </c>
      <c r="S2892" s="5" t="str">
        <f>IFERROR(__xludf.DUMMYFUNCTION("""COMPUTED_VALUE"""),"Estrela 3")</f>
        <v>Estrela 3</v>
      </c>
    </row>
    <row r="2893">
      <c r="G2893" s="5" t="str">
        <f>IFERROR(__xludf.DUMMYFUNCTION("""COMPUTED_VALUE"""),"723🤙🏼Deadpool 2🤙🏼Julian Dennison🤙🏼Estrela 4")</f>
        <v>723🤙🏼Deadpool 2🤙🏼Julian Dennison🤙🏼Estrela 4</v>
      </c>
      <c r="H2893" s="5">
        <f>IFERROR(__xludf.DUMMYFUNCTION("SPLiT(G2893, ""🤙🏼"",FALSE,FALSE)"),723.0)</f>
        <v>723</v>
      </c>
      <c r="I2893" s="5" t="str">
        <f>IFERROR(__xludf.DUMMYFUNCTION("""COMPUTED_VALUE"""),"Deadpool 2")</f>
        <v>Deadpool 2</v>
      </c>
      <c r="J2893" s="5" t="str">
        <f>IFERROR(__xludf.DUMMYFUNCTION("""COMPUTED_VALUE"""),"Julian Dennison")</f>
        <v>Julian Dennison</v>
      </c>
      <c r="K2893" s="5" t="str">
        <f>IFERROR(__xludf.DUMMYFUNCTION("""COMPUTED_VALUE"""),"Estrela 4")</f>
        <v>Estrela 4</v>
      </c>
      <c r="P2893" s="5">
        <f>IFERROR(__xludf.DUMMYFUNCTION("""COMPUTED_VALUE"""),723.0)</f>
        <v>723</v>
      </c>
      <c r="Q2893" s="5" t="str">
        <f>IFERROR(__xludf.DUMMYFUNCTION("""COMPUTED_VALUE"""),"Deadpool 2")</f>
        <v>Deadpool 2</v>
      </c>
      <c r="R2893" s="5" t="str">
        <f>IFERROR(__xludf.DUMMYFUNCTION("""COMPUTED_VALUE"""),"Julian Dennison")</f>
        <v>Julian Dennison</v>
      </c>
      <c r="S2893" s="5" t="str">
        <f>IFERROR(__xludf.DUMMYFUNCTION("""COMPUTED_VALUE"""),"Estrela 4")</f>
        <v>Estrela 4</v>
      </c>
    </row>
    <row r="2894">
      <c r="G2894" s="5" t="str">
        <f>IFERROR(__xludf.DUMMYFUNCTION("""COMPUTED_VALUE"""),"724🤙🏼Wind River🤙🏼Kelsey Asbille🤙🏼Estrela 1")</f>
        <v>724🤙🏼Wind River🤙🏼Kelsey Asbille🤙🏼Estrela 1</v>
      </c>
      <c r="H2894" s="5">
        <f>IFERROR(__xludf.DUMMYFUNCTION("SPLiT(G2894, ""🤙🏼"",FALSE,FALSE)"),724.0)</f>
        <v>724</v>
      </c>
      <c r="I2894" s="5" t="str">
        <f>IFERROR(__xludf.DUMMYFUNCTION("""COMPUTED_VALUE"""),"Wind River")</f>
        <v>Wind River</v>
      </c>
      <c r="J2894" s="5" t="str">
        <f>IFERROR(__xludf.DUMMYFUNCTION("""COMPUTED_VALUE"""),"Kelsey Asbille")</f>
        <v>Kelsey Asbille</v>
      </c>
      <c r="K2894" s="5" t="str">
        <f>IFERROR(__xludf.DUMMYFUNCTION("""COMPUTED_VALUE"""),"Estrela 1")</f>
        <v>Estrela 1</v>
      </c>
      <c r="P2894" s="5">
        <f>IFERROR(__xludf.DUMMYFUNCTION("""COMPUTED_VALUE"""),724.0)</f>
        <v>724</v>
      </c>
      <c r="Q2894" s="5" t="str">
        <f>IFERROR(__xludf.DUMMYFUNCTION("""COMPUTED_VALUE"""),"Wind River")</f>
        <v>Wind River</v>
      </c>
      <c r="R2894" s="5" t="str">
        <f>IFERROR(__xludf.DUMMYFUNCTION("""COMPUTED_VALUE"""),"Kelsey Asbille")</f>
        <v>Kelsey Asbille</v>
      </c>
      <c r="S2894" s="5" t="str">
        <f>IFERROR(__xludf.DUMMYFUNCTION("""COMPUTED_VALUE"""),"Estrela 1")</f>
        <v>Estrela 1</v>
      </c>
    </row>
    <row r="2895">
      <c r="G2895" s="5" t="str">
        <f>IFERROR(__xludf.DUMMYFUNCTION("""COMPUTED_VALUE"""),"724🤙🏼Wind River🤙🏼Jeremy Renner🤙🏼Estrela 2")</f>
        <v>724🤙🏼Wind River🤙🏼Jeremy Renner🤙🏼Estrela 2</v>
      </c>
      <c r="H2895" s="5">
        <f>IFERROR(__xludf.DUMMYFUNCTION("SPLiT(G2895, ""🤙🏼"",FALSE,FALSE)"),724.0)</f>
        <v>724</v>
      </c>
      <c r="I2895" s="5" t="str">
        <f>IFERROR(__xludf.DUMMYFUNCTION("""COMPUTED_VALUE"""),"Wind River")</f>
        <v>Wind River</v>
      </c>
      <c r="J2895" s="5" t="str">
        <f>IFERROR(__xludf.DUMMYFUNCTION("""COMPUTED_VALUE"""),"Jeremy Renner")</f>
        <v>Jeremy Renner</v>
      </c>
      <c r="K2895" s="5" t="str">
        <f>IFERROR(__xludf.DUMMYFUNCTION("""COMPUTED_VALUE"""),"Estrela 2")</f>
        <v>Estrela 2</v>
      </c>
      <c r="P2895" s="5">
        <f>IFERROR(__xludf.DUMMYFUNCTION("""COMPUTED_VALUE"""),724.0)</f>
        <v>724</v>
      </c>
      <c r="Q2895" s="5" t="str">
        <f>IFERROR(__xludf.DUMMYFUNCTION("""COMPUTED_VALUE"""),"Wind River")</f>
        <v>Wind River</v>
      </c>
      <c r="R2895" s="5" t="str">
        <f>IFERROR(__xludf.DUMMYFUNCTION("""COMPUTED_VALUE"""),"Jeremy Renner")</f>
        <v>Jeremy Renner</v>
      </c>
      <c r="S2895" s="5" t="str">
        <f>IFERROR(__xludf.DUMMYFUNCTION("""COMPUTED_VALUE"""),"Estrela 2")</f>
        <v>Estrela 2</v>
      </c>
    </row>
    <row r="2896">
      <c r="G2896" s="5" t="str">
        <f>IFERROR(__xludf.DUMMYFUNCTION("""COMPUTED_VALUE"""),"724🤙🏼Wind River🤙🏼Julia Jones🤙🏼Estrela 3")</f>
        <v>724🤙🏼Wind River🤙🏼Julia Jones🤙🏼Estrela 3</v>
      </c>
      <c r="H2896" s="5">
        <f>IFERROR(__xludf.DUMMYFUNCTION("SPLiT(G2896, ""🤙🏼"",FALSE,FALSE)"),724.0)</f>
        <v>724</v>
      </c>
      <c r="I2896" s="5" t="str">
        <f>IFERROR(__xludf.DUMMYFUNCTION("""COMPUTED_VALUE"""),"Wind River")</f>
        <v>Wind River</v>
      </c>
      <c r="J2896" s="5" t="str">
        <f>IFERROR(__xludf.DUMMYFUNCTION("""COMPUTED_VALUE"""),"Julia Jones")</f>
        <v>Julia Jones</v>
      </c>
      <c r="K2896" s="5" t="str">
        <f>IFERROR(__xludf.DUMMYFUNCTION("""COMPUTED_VALUE"""),"Estrela 3")</f>
        <v>Estrela 3</v>
      </c>
      <c r="P2896" s="5">
        <f>IFERROR(__xludf.DUMMYFUNCTION("""COMPUTED_VALUE"""),724.0)</f>
        <v>724</v>
      </c>
      <c r="Q2896" s="5" t="str">
        <f>IFERROR(__xludf.DUMMYFUNCTION("""COMPUTED_VALUE"""),"Wind River")</f>
        <v>Wind River</v>
      </c>
      <c r="R2896" s="5" t="str">
        <f>IFERROR(__xludf.DUMMYFUNCTION("""COMPUTED_VALUE"""),"Julia Jones")</f>
        <v>Julia Jones</v>
      </c>
      <c r="S2896" s="5" t="str">
        <f>IFERROR(__xludf.DUMMYFUNCTION("""COMPUTED_VALUE"""),"Estrela 3")</f>
        <v>Estrela 3</v>
      </c>
    </row>
    <row r="2897">
      <c r="G2897" s="5" t="str">
        <f>IFERROR(__xludf.DUMMYFUNCTION("""COMPUTED_VALUE"""),"724🤙🏼Wind River🤙🏼Teo Briones🤙🏼Estrela 4")</f>
        <v>724🤙🏼Wind River🤙🏼Teo Briones🤙🏼Estrela 4</v>
      </c>
      <c r="H2897" s="5">
        <f>IFERROR(__xludf.DUMMYFUNCTION("SPLiT(G2897, ""🤙🏼"",FALSE,FALSE)"),724.0)</f>
        <v>724</v>
      </c>
      <c r="I2897" s="5" t="str">
        <f>IFERROR(__xludf.DUMMYFUNCTION("""COMPUTED_VALUE"""),"Wind River")</f>
        <v>Wind River</v>
      </c>
      <c r="J2897" s="5" t="str">
        <f>IFERROR(__xludf.DUMMYFUNCTION("""COMPUTED_VALUE"""),"Teo Briones")</f>
        <v>Teo Briones</v>
      </c>
      <c r="K2897" s="5" t="str">
        <f>IFERROR(__xludf.DUMMYFUNCTION("""COMPUTED_VALUE"""),"Estrela 4")</f>
        <v>Estrela 4</v>
      </c>
      <c r="P2897" s="5">
        <f>IFERROR(__xludf.DUMMYFUNCTION("""COMPUTED_VALUE"""),724.0)</f>
        <v>724</v>
      </c>
      <c r="Q2897" s="5" t="str">
        <f>IFERROR(__xludf.DUMMYFUNCTION("""COMPUTED_VALUE"""),"Wind River")</f>
        <v>Wind River</v>
      </c>
      <c r="R2897" s="5" t="str">
        <f>IFERROR(__xludf.DUMMYFUNCTION("""COMPUTED_VALUE"""),"Teo Briones")</f>
        <v>Teo Briones</v>
      </c>
      <c r="S2897" s="5" t="str">
        <f>IFERROR(__xludf.DUMMYFUNCTION("""COMPUTED_VALUE"""),"Estrela 4")</f>
        <v>Estrela 4</v>
      </c>
    </row>
    <row r="2898">
      <c r="G2898" s="5" t="str">
        <f>IFERROR(__xludf.DUMMYFUNCTION("""COMPUTED_VALUE"""),"725🤙🏼Get Out🤙🏼Daniel Kaluuya🤙🏼Estrela 1")</f>
        <v>725🤙🏼Get Out🤙🏼Daniel Kaluuya🤙🏼Estrela 1</v>
      </c>
      <c r="H2898" s="5">
        <f>IFERROR(__xludf.DUMMYFUNCTION("SPLiT(G2898, ""🤙🏼"",FALSE,FALSE)"),725.0)</f>
        <v>725</v>
      </c>
      <c r="I2898" s="5" t="str">
        <f>IFERROR(__xludf.DUMMYFUNCTION("""COMPUTED_VALUE"""),"Get Out")</f>
        <v>Get Out</v>
      </c>
      <c r="J2898" s="5" t="str">
        <f>IFERROR(__xludf.DUMMYFUNCTION("""COMPUTED_VALUE"""),"Daniel Kaluuya")</f>
        <v>Daniel Kaluuya</v>
      </c>
      <c r="K2898" s="5" t="str">
        <f>IFERROR(__xludf.DUMMYFUNCTION("""COMPUTED_VALUE"""),"Estrela 1")</f>
        <v>Estrela 1</v>
      </c>
      <c r="P2898" s="5">
        <f>IFERROR(__xludf.DUMMYFUNCTION("""COMPUTED_VALUE"""),725.0)</f>
        <v>725</v>
      </c>
      <c r="Q2898" s="5" t="str">
        <f>IFERROR(__xludf.DUMMYFUNCTION("""COMPUTED_VALUE"""),"Get Out")</f>
        <v>Get Out</v>
      </c>
      <c r="R2898" s="5" t="str">
        <f>IFERROR(__xludf.DUMMYFUNCTION("""COMPUTED_VALUE"""),"Daniel Kaluuya")</f>
        <v>Daniel Kaluuya</v>
      </c>
      <c r="S2898" s="5" t="str">
        <f>IFERROR(__xludf.DUMMYFUNCTION("""COMPUTED_VALUE"""),"Estrela 1")</f>
        <v>Estrela 1</v>
      </c>
    </row>
    <row r="2899">
      <c r="G2899" s="5" t="str">
        <f>IFERROR(__xludf.DUMMYFUNCTION("""COMPUTED_VALUE"""),"725🤙🏼Get Out🤙🏼Allison Williams🤙🏼Estrela 2")</f>
        <v>725🤙🏼Get Out🤙🏼Allison Williams🤙🏼Estrela 2</v>
      </c>
      <c r="H2899" s="5">
        <f>IFERROR(__xludf.DUMMYFUNCTION("SPLiT(G2899, ""🤙🏼"",FALSE,FALSE)"),725.0)</f>
        <v>725</v>
      </c>
      <c r="I2899" s="5" t="str">
        <f>IFERROR(__xludf.DUMMYFUNCTION("""COMPUTED_VALUE"""),"Get Out")</f>
        <v>Get Out</v>
      </c>
      <c r="J2899" s="5" t="str">
        <f>IFERROR(__xludf.DUMMYFUNCTION("""COMPUTED_VALUE"""),"Allison Williams")</f>
        <v>Allison Williams</v>
      </c>
      <c r="K2899" s="5" t="str">
        <f>IFERROR(__xludf.DUMMYFUNCTION("""COMPUTED_VALUE"""),"Estrela 2")</f>
        <v>Estrela 2</v>
      </c>
      <c r="P2899" s="5">
        <f>IFERROR(__xludf.DUMMYFUNCTION("""COMPUTED_VALUE"""),725.0)</f>
        <v>725</v>
      </c>
      <c r="Q2899" s="5" t="str">
        <f>IFERROR(__xludf.DUMMYFUNCTION("""COMPUTED_VALUE"""),"Get Out")</f>
        <v>Get Out</v>
      </c>
      <c r="R2899" s="5" t="str">
        <f>IFERROR(__xludf.DUMMYFUNCTION("""COMPUTED_VALUE"""),"Allison Williams")</f>
        <v>Allison Williams</v>
      </c>
      <c r="S2899" s="5" t="str">
        <f>IFERROR(__xludf.DUMMYFUNCTION("""COMPUTED_VALUE"""),"Estrela 2")</f>
        <v>Estrela 2</v>
      </c>
    </row>
    <row r="2900">
      <c r="G2900" s="5" t="str">
        <f>IFERROR(__xludf.DUMMYFUNCTION("""COMPUTED_VALUE"""),"725🤙🏼Get Out🤙🏼Bradley Whitford🤙🏼Estrela 3")</f>
        <v>725🤙🏼Get Out🤙🏼Bradley Whitford🤙🏼Estrela 3</v>
      </c>
      <c r="H2900" s="5">
        <f>IFERROR(__xludf.DUMMYFUNCTION("SPLiT(G2900, ""🤙🏼"",FALSE,FALSE)"),725.0)</f>
        <v>725</v>
      </c>
      <c r="I2900" s="5" t="str">
        <f>IFERROR(__xludf.DUMMYFUNCTION("""COMPUTED_VALUE"""),"Get Out")</f>
        <v>Get Out</v>
      </c>
      <c r="J2900" s="5" t="str">
        <f>IFERROR(__xludf.DUMMYFUNCTION("""COMPUTED_VALUE"""),"Bradley Whitford")</f>
        <v>Bradley Whitford</v>
      </c>
      <c r="K2900" s="5" t="str">
        <f>IFERROR(__xludf.DUMMYFUNCTION("""COMPUTED_VALUE"""),"Estrela 3")</f>
        <v>Estrela 3</v>
      </c>
      <c r="P2900" s="5">
        <f>IFERROR(__xludf.DUMMYFUNCTION("""COMPUTED_VALUE"""),725.0)</f>
        <v>725</v>
      </c>
      <c r="Q2900" s="5" t="str">
        <f>IFERROR(__xludf.DUMMYFUNCTION("""COMPUTED_VALUE"""),"Get Out")</f>
        <v>Get Out</v>
      </c>
      <c r="R2900" s="5" t="str">
        <f>IFERROR(__xludf.DUMMYFUNCTION("""COMPUTED_VALUE"""),"Bradley Whitford")</f>
        <v>Bradley Whitford</v>
      </c>
      <c r="S2900" s="5" t="str">
        <f>IFERROR(__xludf.DUMMYFUNCTION("""COMPUTED_VALUE"""),"Estrela 3")</f>
        <v>Estrela 3</v>
      </c>
    </row>
    <row r="2901">
      <c r="G2901" s="5" t="str">
        <f>IFERROR(__xludf.DUMMYFUNCTION("""COMPUTED_VALUE"""),"725🤙🏼Get Out🤙🏼Catherine Keener🤙🏼Estrela 4")</f>
        <v>725🤙🏼Get Out🤙🏼Catherine Keener🤙🏼Estrela 4</v>
      </c>
      <c r="H2901" s="5">
        <f>IFERROR(__xludf.DUMMYFUNCTION("SPLiT(G2901, ""🤙🏼"",FALSE,FALSE)"),725.0)</f>
        <v>725</v>
      </c>
      <c r="I2901" s="5" t="str">
        <f>IFERROR(__xludf.DUMMYFUNCTION("""COMPUTED_VALUE"""),"Get Out")</f>
        <v>Get Out</v>
      </c>
      <c r="J2901" s="5" t="str">
        <f>IFERROR(__xludf.DUMMYFUNCTION("""COMPUTED_VALUE"""),"Catherine Keener")</f>
        <v>Catherine Keener</v>
      </c>
      <c r="K2901" s="5" t="str">
        <f>IFERROR(__xludf.DUMMYFUNCTION("""COMPUTED_VALUE"""),"Estrela 4")</f>
        <v>Estrela 4</v>
      </c>
      <c r="P2901" s="5">
        <f>IFERROR(__xludf.DUMMYFUNCTION("""COMPUTED_VALUE"""),725.0)</f>
        <v>725</v>
      </c>
      <c r="Q2901" s="5" t="str">
        <f>IFERROR(__xludf.DUMMYFUNCTION("""COMPUTED_VALUE"""),"Get Out")</f>
        <v>Get Out</v>
      </c>
      <c r="R2901" s="5" t="str">
        <f>IFERROR(__xludf.DUMMYFUNCTION("""COMPUTED_VALUE"""),"Catherine Keener")</f>
        <v>Catherine Keener</v>
      </c>
      <c r="S2901" s="5" t="str">
        <f>IFERROR(__xludf.DUMMYFUNCTION("""COMPUTED_VALUE"""),"Estrela 4")</f>
        <v>Estrela 4</v>
      </c>
    </row>
    <row r="2902">
      <c r="G2902" s="5" t="str">
        <f>IFERROR(__xludf.DUMMYFUNCTION("""COMPUTED_VALUE"""),"726🤙🏼Mission: Impossible - Fallout🤙🏼Tom Cruise🤙🏼Estrela 1")</f>
        <v>726🤙🏼Mission: Impossible - Fallout🤙🏼Tom Cruise🤙🏼Estrela 1</v>
      </c>
      <c r="H2902" s="5">
        <f>IFERROR(__xludf.DUMMYFUNCTION("SPLiT(G2902, ""🤙🏼"",FALSE,FALSE)"),726.0)</f>
        <v>726</v>
      </c>
      <c r="I2902" s="5" t="str">
        <f>IFERROR(__xludf.DUMMYFUNCTION("""COMPUTED_VALUE"""),"Mission: Impossible - Fallout")</f>
        <v>Mission: Impossible - Fallout</v>
      </c>
      <c r="J2902" s="5" t="str">
        <f>IFERROR(__xludf.DUMMYFUNCTION("""COMPUTED_VALUE"""),"Tom Cruise")</f>
        <v>Tom Cruise</v>
      </c>
      <c r="K2902" s="5" t="str">
        <f>IFERROR(__xludf.DUMMYFUNCTION("""COMPUTED_VALUE"""),"Estrela 1")</f>
        <v>Estrela 1</v>
      </c>
      <c r="P2902" s="5">
        <f>IFERROR(__xludf.DUMMYFUNCTION("""COMPUTED_VALUE"""),726.0)</f>
        <v>726</v>
      </c>
      <c r="Q2902" s="5" t="str">
        <f>IFERROR(__xludf.DUMMYFUNCTION("""COMPUTED_VALUE"""),"Mission: Impossible - Fallout")</f>
        <v>Mission: Impossible - Fallout</v>
      </c>
      <c r="R2902" s="5" t="str">
        <f>IFERROR(__xludf.DUMMYFUNCTION("""COMPUTED_VALUE"""),"Tom Cruise")</f>
        <v>Tom Cruise</v>
      </c>
      <c r="S2902" s="5" t="str">
        <f>IFERROR(__xludf.DUMMYFUNCTION("""COMPUTED_VALUE"""),"Estrela 1")</f>
        <v>Estrela 1</v>
      </c>
    </row>
    <row r="2903">
      <c r="G2903" s="5" t="str">
        <f>IFERROR(__xludf.DUMMYFUNCTION("""COMPUTED_VALUE"""),"726🤙🏼Mission: Impossible - Fallout🤙🏼Henry Cavill🤙🏼Estrela 2")</f>
        <v>726🤙🏼Mission: Impossible - Fallout🤙🏼Henry Cavill🤙🏼Estrela 2</v>
      </c>
      <c r="H2903" s="5">
        <f>IFERROR(__xludf.DUMMYFUNCTION("SPLiT(G2903, ""🤙🏼"",FALSE,FALSE)"),726.0)</f>
        <v>726</v>
      </c>
      <c r="I2903" s="5" t="str">
        <f>IFERROR(__xludf.DUMMYFUNCTION("""COMPUTED_VALUE"""),"Mission: Impossible - Fallout")</f>
        <v>Mission: Impossible - Fallout</v>
      </c>
      <c r="J2903" s="5" t="str">
        <f>IFERROR(__xludf.DUMMYFUNCTION("""COMPUTED_VALUE"""),"Henry Cavill")</f>
        <v>Henry Cavill</v>
      </c>
      <c r="K2903" s="5" t="str">
        <f>IFERROR(__xludf.DUMMYFUNCTION("""COMPUTED_VALUE"""),"Estrela 2")</f>
        <v>Estrela 2</v>
      </c>
      <c r="P2903" s="5">
        <f>IFERROR(__xludf.DUMMYFUNCTION("""COMPUTED_VALUE"""),726.0)</f>
        <v>726</v>
      </c>
      <c r="Q2903" s="5" t="str">
        <f>IFERROR(__xludf.DUMMYFUNCTION("""COMPUTED_VALUE"""),"Mission: Impossible - Fallout")</f>
        <v>Mission: Impossible - Fallout</v>
      </c>
      <c r="R2903" s="5" t="str">
        <f>IFERROR(__xludf.DUMMYFUNCTION("""COMPUTED_VALUE"""),"Henry Cavill")</f>
        <v>Henry Cavill</v>
      </c>
      <c r="S2903" s="5" t="str">
        <f>IFERROR(__xludf.DUMMYFUNCTION("""COMPUTED_VALUE"""),"Estrela 2")</f>
        <v>Estrela 2</v>
      </c>
    </row>
    <row r="2904">
      <c r="G2904" s="5" t="str">
        <f>IFERROR(__xludf.DUMMYFUNCTION("""COMPUTED_VALUE"""),"726🤙🏼Mission: Impossible - Fallout🤙🏼Ving Rhames🤙🏼Estrela 3")</f>
        <v>726🤙🏼Mission: Impossible - Fallout🤙🏼Ving Rhames🤙🏼Estrela 3</v>
      </c>
      <c r="H2904" s="5">
        <f>IFERROR(__xludf.DUMMYFUNCTION("SPLiT(G2904, ""🤙🏼"",FALSE,FALSE)"),726.0)</f>
        <v>726</v>
      </c>
      <c r="I2904" s="5" t="str">
        <f>IFERROR(__xludf.DUMMYFUNCTION("""COMPUTED_VALUE"""),"Mission: Impossible - Fallout")</f>
        <v>Mission: Impossible - Fallout</v>
      </c>
      <c r="J2904" s="5" t="str">
        <f>IFERROR(__xludf.DUMMYFUNCTION("""COMPUTED_VALUE"""),"Ving Rhames")</f>
        <v>Ving Rhames</v>
      </c>
      <c r="K2904" s="5" t="str">
        <f>IFERROR(__xludf.DUMMYFUNCTION("""COMPUTED_VALUE"""),"Estrela 3")</f>
        <v>Estrela 3</v>
      </c>
      <c r="P2904" s="5">
        <f>IFERROR(__xludf.DUMMYFUNCTION("""COMPUTED_VALUE"""),726.0)</f>
        <v>726</v>
      </c>
      <c r="Q2904" s="5" t="str">
        <f>IFERROR(__xludf.DUMMYFUNCTION("""COMPUTED_VALUE"""),"Mission: Impossible - Fallout")</f>
        <v>Mission: Impossible - Fallout</v>
      </c>
      <c r="R2904" s="5" t="str">
        <f>IFERROR(__xludf.DUMMYFUNCTION("""COMPUTED_VALUE"""),"Ving Rhames")</f>
        <v>Ving Rhames</v>
      </c>
      <c r="S2904" s="5" t="str">
        <f>IFERROR(__xludf.DUMMYFUNCTION("""COMPUTED_VALUE"""),"Estrela 3")</f>
        <v>Estrela 3</v>
      </c>
    </row>
    <row r="2905">
      <c r="G2905" s="5" t="str">
        <f>IFERROR(__xludf.DUMMYFUNCTION("""COMPUTED_VALUE"""),"726🤙🏼Mission: Impossible - Fallout🤙🏼Simon Pegg🤙🏼Estrela 4")</f>
        <v>726🤙🏼Mission: Impossible - Fallout🤙🏼Simon Pegg🤙🏼Estrela 4</v>
      </c>
      <c r="H2905" s="5">
        <f>IFERROR(__xludf.DUMMYFUNCTION("SPLiT(G2905, ""🤙🏼"",FALSE,FALSE)"),726.0)</f>
        <v>726</v>
      </c>
      <c r="I2905" s="5" t="str">
        <f>IFERROR(__xludf.DUMMYFUNCTION("""COMPUTED_VALUE"""),"Mission: Impossible - Fallout")</f>
        <v>Mission: Impossible - Fallout</v>
      </c>
      <c r="J2905" s="5" t="str">
        <f>IFERROR(__xludf.DUMMYFUNCTION("""COMPUTED_VALUE"""),"Simon Pegg")</f>
        <v>Simon Pegg</v>
      </c>
      <c r="K2905" s="5" t="str">
        <f>IFERROR(__xludf.DUMMYFUNCTION("""COMPUTED_VALUE"""),"Estrela 4")</f>
        <v>Estrela 4</v>
      </c>
      <c r="P2905" s="5">
        <f>IFERROR(__xludf.DUMMYFUNCTION("""COMPUTED_VALUE"""),726.0)</f>
        <v>726</v>
      </c>
      <c r="Q2905" s="5" t="str">
        <f>IFERROR(__xludf.DUMMYFUNCTION("""COMPUTED_VALUE"""),"Mission: Impossible - Fallout")</f>
        <v>Mission: Impossible - Fallout</v>
      </c>
      <c r="R2905" s="5" t="str">
        <f>IFERROR(__xludf.DUMMYFUNCTION("""COMPUTED_VALUE"""),"Simon Pegg")</f>
        <v>Simon Pegg</v>
      </c>
      <c r="S2905" s="5" t="str">
        <f>IFERROR(__xludf.DUMMYFUNCTION("""COMPUTED_VALUE"""),"Estrela 4")</f>
        <v>Estrela 4</v>
      </c>
    </row>
    <row r="2906">
      <c r="G2906" s="5" t="str">
        <f>IFERROR(__xludf.DUMMYFUNCTION("""COMPUTED_VALUE"""),"727🤙🏼En man som heter Ove🤙🏼Rolf Lassgård🤙🏼Estrela 1")</f>
        <v>727🤙🏼En man som heter Ove🤙🏼Rolf Lassgård🤙🏼Estrela 1</v>
      </c>
      <c r="H2906" s="5">
        <f>IFERROR(__xludf.DUMMYFUNCTION("SPLiT(G2906, ""🤙🏼"",FALSE,FALSE)"),727.0)</f>
        <v>727</v>
      </c>
      <c r="I2906" s="5" t="str">
        <f>IFERROR(__xludf.DUMMYFUNCTION("""COMPUTED_VALUE"""),"En man som heter Ove")</f>
        <v>En man som heter Ove</v>
      </c>
      <c r="J2906" s="5" t="str">
        <f>IFERROR(__xludf.DUMMYFUNCTION("""COMPUTED_VALUE"""),"Rolf Lassgård")</f>
        <v>Rolf Lassgård</v>
      </c>
      <c r="K2906" s="5" t="str">
        <f>IFERROR(__xludf.DUMMYFUNCTION("""COMPUTED_VALUE"""),"Estrela 1")</f>
        <v>Estrela 1</v>
      </c>
      <c r="P2906" s="5">
        <f>IFERROR(__xludf.DUMMYFUNCTION("""COMPUTED_VALUE"""),727.0)</f>
        <v>727</v>
      </c>
      <c r="Q2906" s="5" t="str">
        <f>IFERROR(__xludf.DUMMYFUNCTION("""COMPUTED_VALUE"""),"En man som heter Ove")</f>
        <v>En man som heter Ove</v>
      </c>
      <c r="R2906" s="5" t="str">
        <f>IFERROR(__xludf.DUMMYFUNCTION("""COMPUTED_VALUE"""),"Rolf Lassgård")</f>
        <v>Rolf Lassgård</v>
      </c>
      <c r="S2906" s="5" t="str">
        <f>IFERROR(__xludf.DUMMYFUNCTION("""COMPUTED_VALUE"""),"Estrela 1")</f>
        <v>Estrela 1</v>
      </c>
    </row>
    <row r="2907">
      <c r="G2907" s="5" t="str">
        <f>IFERROR(__xludf.DUMMYFUNCTION("""COMPUTED_VALUE"""),"727🤙🏼En man som heter Ove🤙🏼Bahar Pars🤙🏼Estrela 2")</f>
        <v>727🤙🏼En man som heter Ove🤙🏼Bahar Pars🤙🏼Estrela 2</v>
      </c>
      <c r="H2907" s="5">
        <f>IFERROR(__xludf.DUMMYFUNCTION("SPLiT(G2907, ""🤙🏼"",FALSE,FALSE)"),727.0)</f>
        <v>727</v>
      </c>
      <c r="I2907" s="5" t="str">
        <f>IFERROR(__xludf.DUMMYFUNCTION("""COMPUTED_VALUE"""),"En man som heter Ove")</f>
        <v>En man som heter Ove</v>
      </c>
      <c r="J2907" s="5" t="str">
        <f>IFERROR(__xludf.DUMMYFUNCTION("""COMPUTED_VALUE"""),"Bahar Pars")</f>
        <v>Bahar Pars</v>
      </c>
      <c r="K2907" s="5" t="str">
        <f>IFERROR(__xludf.DUMMYFUNCTION("""COMPUTED_VALUE"""),"Estrela 2")</f>
        <v>Estrela 2</v>
      </c>
      <c r="P2907" s="5">
        <f>IFERROR(__xludf.DUMMYFUNCTION("""COMPUTED_VALUE"""),727.0)</f>
        <v>727</v>
      </c>
      <c r="Q2907" s="5" t="str">
        <f>IFERROR(__xludf.DUMMYFUNCTION("""COMPUTED_VALUE"""),"En man som heter Ove")</f>
        <v>En man som heter Ove</v>
      </c>
      <c r="R2907" s="5" t="str">
        <f>IFERROR(__xludf.DUMMYFUNCTION("""COMPUTED_VALUE"""),"Bahar Pars")</f>
        <v>Bahar Pars</v>
      </c>
      <c r="S2907" s="5" t="str">
        <f>IFERROR(__xludf.DUMMYFUNCTION("""COMPUTED_VALUE"""),"Estrela 2")</f>
        <v>Estrela 2</v>
      </c>
    </row>
    <row r="2908">
      <c r="G2908" s="5" t="str">
        <f>IFERROR(__xludf.DUMMYFUNCTION("""COMPUTED_VALUE"""),"727🤙🏼En man som heter Ove🤙🏼Filip Berg🤙🏼Estrela 3")</f>
        <v>727🤙🏼En man som heter Ove🤙🏼Filip Berg🤙🏼Estrela 3</v>
      </c>
      <c r="H2908" s="5">
        <f>IFERROR(__xludf.DUMMYFUNCTION("SPLiT(G2908, ""🤙🏼"",FALSE,FALSE)"),727.0)</f>
        <v>727</v>
      </c>
      <c r="I2908" s="5" t="str">
        <f>IFERROR(__xludf.DUMMYFUNCTION("""COMPUTED_VALUE"""),"En man som heter Ove")</f>
        <v>En man som heter Ove</v>
      </c>
      <c r="J2908" s="5" t="str">
        <f>IFERROR(__xludf.DUMMYFUNCTION("""COMPUTED_VALUE"""),"Filip Berg")</f>
        <v>Filip Berg</v>
      </c>
      <c r="K2908" s="5" t="str">
        <f>IFERROR(__xludf.DUMMYFUNCTION("""COMPUTED_VALUE"""),"Estrela 3")</f>
        <v>Estrela 3</v>
      </c>
      <c r="P2908" s="5">
        <f>IFERROR(__xludf.DUMMYFUNCTION("""COMPUTED_VALUE"""),727.0)</f>
        <v>727</v>
      </c>
      <c r="Q2908" s="5" t="str">
        <f>IFERROR(__xludf.DUMMYFUNCTION("""COMPUTED_VALUE"""),"En man som heter Ove")</f>
        <v>En man som heter Ove</v>
      </c>
      <c r="R2908" s="5" t="str">
        <f>IFERROR(__xludf.DUMMYFUNCTION("""COMPUTED_VALUE"""),"Filip Berg")</f>
        <v>Filip Berg</v>
      </c>
      <c r="S2908" s="5" t="str">
        <f>IFERROR(__xludf.DUMMYFUNCTION("""COMPUTED_VALUE"""),"Estrela 3")</f>
        <v>Estrela 3</v>
      </c>
    </row>
    <row r="2909">
      <c r="G2909" s="5" t="str">
        <f>IFERROR(__xludf.DUMMYFUNCTION("""COMPUTED_VALUE"""),"727🤙🏼En man som heter Ove🤙🏼Ida Engvoll🤙🏼Estrela 4")</f>
        <v>727🤙🏼En man som heter Ove🤙🏼Ida Engvoll🤙🏼Estrela 4</v>
      </c>
      <c r="H2909" s="5">
        <f>IFERROR(__xludf.DUMMYFUNCTION("SPLiT(G2909, ""🤙🏼"",FALSE,FALSE)"),727.0)</f>
        <v>727</v>
      </c>
      <c r="I2909" s="5" t="str">
        <f>IFERROR(__xludf.DUMMYFUNCTION("""COMPUTED_VALUE"""),"En man som heter Ove")</f>
        <v>En man som heter Ove</v>
      </c>
      <c r="J2909" s="5" t="str">
        <f>IFERROR(__xludf.DUMMYFUNCTION("""COMPUTED_VALUE"""),"Ida Engvoll")</f>
        <v>Ida Engvoll</v>
      </c>
      <c r="K2909" s="5" t="str">
        <f>IFERROR(__xludf.DUMMYFUNCTION("""COMPUTED_VALUE"""),"Estrela 4")</f>
        <v>Estrela 4</v>
      </c>
      <c r="P2909" s="5">
        <f>IFERROR(__xludf.DUMMYFUNCTION("""COMPUTED_VALUE"""),727.0)</f>
        <v>727</v>
      </c>
      <c r="Q2909" s="5" t="str">
        <f>IFERROR(__xludf.DUMMYFUNCTION("""COMPUTED_VALUE"""),"En man som heter Ove")</f>
        <v>En man som heter Ove</v>
      </c>
      <c r="R2909" s="5" t="str">
        <f>IFERROR(__xludf.DUMMYFUNCTION("""COMPUTED_VALUE"""),"Ida Engvoll")</f>
        <v>Ida Engvoll</v>
      </c>
      <c r="S2909" s="5" t="str">
        <f>IFERROR(__xludf.DUMMYFUNCTION("""COMPUTED_VALUE"""),"Estrela 4")</f>
        <v>Estrela 4</v>
      </c>
    </row>
    <row r="2910">
      <c r="G2910" s="5" t="str">
        <f>IFERROR(__xludf.DUMMYFUNCTION("""COMPUTED_VALUE"""),"728🤙🏼What We Do in the Shadows🤙🏼Taika Waititi🤙🏼Estrela 1")</f>
        <v>728🤙🏼What We Do in the Shadows🤙🏼Taika Waititi🤙🏼Estrela 1</v>
      </c>
      <c r="H2910" s="5">
        <f>IFERROR(__xludf.DUMMYFUNCTION("SPLiT(G2910, ""🤙🏼"",FALSE,FALSE)"),728.0)</f>
        <v>728</v>
      </c>
      <c r="I2910" s="5" t="str">
        <f>IFERROR(__xludf.DUMMYFUNCTION("""COMPUTED_VALUE"""),"What We Do in the Shadows")</f>
        <v>What We Do in the Shadows</v>
      </c>
      <c r="J2910" s="5" t="str">
        <f>IFERROR(__xludf.DUMMYFUNCTION("""COMPUTED_VALUE"""),"Taika Waititi")</f>
        <v>Taika Waititi</v>
      </c>
      <c r="K2910" s="5" t="str">
        <f>IFERROR(__xludf.DUMMYFUNCTION("""COMPUTED_VALUE"""),"Estrela 1")</f>
        <v>Estrela 1</v>
      </c>
      <c r="P2910" s="5">
        <f>IFERROR(__xludf.DUMMYFUNCTION("""COMPUTED_VALUE"""),728.0)</f>
        <v>728</v>
      </c>
      <c r="Q2910" s="5" t="str">
        <f>IFERROR(__xludf.DUMMYFUNCTION("""COMPUTED_VALUE"""),"What We Do in the Shadows")</f>
        <v>What We Do in the Shadows</v>
      </c>
      <c r="R2910" s="5" t="str">
        <f>IFERROR(__xludf.DUMMYFUNCTION("""COMPUTED_VALUE"""),"Taika Waititi")</f>
        <v>Taika Waititi</v>
      </c>
      <c r="S2910" s="5" t="str">
        <f>IFERROR(__xludf.DUMMYFUNCTION("""COMPUTED_VALUE"""),"Estrela 1")</f>
        <v>Estrela 1</v>
      </c>
    </row>
    <row r="2911">
      <c r="G2911" s="5" t="str">
        <f>IFERROR(__xludf.DUMMYFUNCTION("""COMPUTED_VALUE"""),"728🤙🏼What We Do in the Shadows🤙🏼Jemaine Clement🤙🏼Estrela 2")</f>
        <v>728🤙🏼What We Do in the Shadows🤙🏼Jemaine Clement🤙🏼Estrela 2</v>
      </c>
      <c r="H2911" s="5">
        <f>IFERROR(__xludf.DUMMYFUNCTION("SPLiT(G2911, ""🤙🏼"",FALSE,FALSE)"),728.0)</f>
        <v>728</v>
      </c>
      <c r="I2911" s="5" t="str">
        <f>IFERROR(__xludf.DUMMYFUNCTION("""COMPUTED_VALUE"""),"What We Do in the Shadows")</f>
        <v>What We Do in the Shadows</v>
      </c>
      <c r="J2911" s="5" t="str">
        <f>IFERROR(__xludf.DUMMYFUNCTION("""COMPUTED_VALUE"""),"Jemaine Clement")</f>
        <v>Jemaine Clement</v>
      </c>
      <c r="K2911" s="5" t="str">
        <f>IFERROR(__xludf.DUMMYFUNCTION("""COMPUTED_VALUE"""),"Estrela 2")</f>
        <v>Estrela 2</v>
      </c>
      <c r="P2911" s="5">
        <f>IFERROR(__xludf.DUMMYFUNCTION("""COMPUTED_VALUE"""),728.0)</f>
        <v>728</v>
      </c>
      <c r="Q2911" s="5" t="str">
        <f>IFERROR(__xludf.DUMMYFUNCTION("""COMPUTED_VALUE"""),"What We Do in the Shadows")</f>
        <v>What We Do in the Shadows</v>
      </c>
      <c r="R2911" s="5" t="str">
        <f>IFERROR(__xludf.DUMMYFUNCTION("""COMPUTED_VALUE"""),"Jemaine Clement")</f>
        <v>Jemaine Clement</v>
      </c>
      <c r="S2911" s="5" t="str">
        <f>IFERROR(__xludf.DUMMYFUNCTION("""COMPUTED_VALUE"""),"Estrela 2")</f>
        <v>Estrela 2</v>
      </c>
    </row>
    <row r="2912">
      <c r="G2912" s="5" t="str">
        <f>IFERROR(__xludf.DUMMYFUNCTION("""COMPUTED_VALUE"""),"728🤙🏼What We Do in the Shadows🤙🏼Taika Waititi🤙🏼Estrela 3")</f>
        <v>728🤙🏼What We Do in the Shadows🤙🏼Taika Waititi🤙🏼Estrela 3</v>
      </c>
      <c r="H2912" s="5">
        <f>IFERROR(__xludf.DUMMYFUNCTION("SPLiT(G2912, ""🤙🏼"",FALSE,FALSE)"),728.0)</f>
        <v>728</v>
      </c>
      <c r="I2912" s="5" t="str">
        <f>IFERROR(__xludf.DUMMYFUNCTION("""COMPUTED_VALUE"""),"What We Do in the Shadows")</f>
        <v>What We Do in the Shadows</v>
      </c>
      <c r="J2912" s="5" t="str">
        <f>IFERROR(__xludf.DUMMYFUNCTION("""COMPUTED_VALUE"""),"Taika Waititi")</f>
        <v>Taika Waititi</v>
      </c>
      <c r="K2912" s="5" t="str">
        <f>IFERROR(__xludf.DUMMYFUNCTION("""COMPUTED_VALUE"""),"Estrela 3")</f>
        <v>Estrela 3</v>
      </c>
      <c r="P2912" s="5">
        <f>IFERROR(__xludf.DUMMYFUNCTION("""COMPUTED_VALUE"""),728.0)</f>
        <v>728</v>
      </c>
      <c r="Q2912" s="5" t="str">
        <f>IFERROR(__xludf.DUMMYFUNCTION("""COMPUTED_VALUE"""),"What We Do in the Shadows")</f>
        <v>What We Do in the Shadows</v>
      </c>
      <c r="R2912" s="5" t="str">
        <f>IFERROR(__xludf.DUMMYFUNCTION("""COMPUTED_VALUE"""),"Taika Waititi")</f>
        <v>Taika Waititi</v>
      </c>
      <c r="S2912" s="5" t="str">
        <f>IFERROR(__xludf.DUMMYFUNCTION("""COMPUTED_VALUE"""),"Estrela 3")</f>
        <v>Estrela 3</v>
      </c>
    </row>
    <row r="2913">
      <c r="G2913" s="5" t="str">
        <f>IFERROR(__xludf.DUMMYFUNCTION("""COMPUTED_VALUE"""),"728🤙🏼What We Do in the Shadows🤙🏼Cori Gonzalez-Macuer🤙🏼Estrela 4")</f>
        <v>728🤙🏼What We Do in the Shadows🤙🏼Cori Gonzalez-Macuer🤙🏼Estrela 4</v>
      </c>
      <c r="H2913" s="5">
        <f>IFERROR(__xludf.DUMMYFUNCTION("SPLiT(G2913, ""🤙🏼"",FALSE,FALSE)"),728.0)</f>
        <v>728</v>
      </c>
      <c r="I2913" s="5" t="str">
        <f>IFERROR(__xludf.DUMMYFUNCTION("""COMPUTED_VALUE"""),"What We Do in the Shadows")</f>
        <v>What We Do in the Shadows</v>
      </c>
      <c r="J2913" s="5" t="str">
        <f>IFERROR(__xludf.DUMMYFUNCTION("""COMPUTED_VALUE"""),"Cori Gonzalez-Macuer")</f>
        <v>Cori Gonzalez-Macuer</v>
      </c>
      <c r="K2913" s="5" t="str">
        <f>IFERROR(__xludf.DUMMYFUNCTION("""COMPUTED_VALUE"""),"Estrela 4")</f>
        <v>Estrela 4</v>
      </c>
      <c r="P2913" s="5">
        <f>IFERROR(__xludf.DUMMYFUNCTION("""COMPUTED_VALUE"""),728.0)</f>
        <v>728</v>
      </c>
      <c r="Q2913" s="5" t="str">
        <f>IFERROR(__xludf.DUMMYFUNCTION("""COMPUTED_VALUE"""),"What We Do in the Shadows")</f>
        <v>What We Do in the Shadows</v>
      </c>
      <c r="R2913" s="5" t="str">
        <f>IFERROR(__xludf.DUMMYFUNCTION("""COMPUTED_VALUE"""),"Cori Gonzalez-Macuer")</f>
        <v>Cori Gonzalez-Macuer</v>
      </c>
      <c r="S2913" s="5" t="str">
        <f>IFERROR(__xludf.DUMMYFUNCTION("""COMPUTED_VALUE"""),"Estrela 4")</f>
        <v>Estrela 4</v>
      </c>
    </row>
    <row r="2914">
      <c r="G2914" s="5" t="str">
        <f>IFERROR(__xludf.DUMMYFUNCTION("""COMPUTED_VALUE"""),"729🤙🏼Omoide no Mânî🤙🏼Hiromasa Yonebayashi🤙🏼Estrela 1")</f>
        <v>729🤙🏼Omoide no Mânî🤙🏼Hiromasa Yonebayashi🤙🏼Estrela 1</v>
      </c>
      <c r="H2914" s="5">
        <f>IFERROR(__xludf.DUMMYFUNCTION("SPLiT(G2914, ""🤙🏼"",FALSE,FALSE)"),729.0)</f>
        <v>729</v>
      </c>
      <c r="I2914" s="5" t="str">
        <f>IFERROR(__xludf.DUMMYFUNCTION("""COMPUTED_VALUE"""),"Omoide no Mânî")</f>
        <v>Omoide no Mânî</v>
      </c>
      <c r="J2914" s="5" t="str">
        <f>IFERROR(__xludf.DUMMYFUNCTION("""COMPUTED_VALUE"""),"Hiromasa Yonebayashi")</f>
        <v>Hiromasa Yonebayashi</v>
      </c>
      <c r="K2914" s="5" t="str">
        <f>IFERROR(__xludf.DUMMYFUNCTION("""COMPUTED_VALUE"""),"Estrela 1")</f>
        <v>Estrela 1</v>
      </c>
      <c r="P2914" s="5">
        <f>IFERROR(__xludf.DUMMYFUNCTION("""COMPUTED_VALUE"""),729.0)</f>
        <v>729</v>
      </c>
      <c r="Q2914" s="5" t="str">
        <f>IFERROR(__xludf.DUMMYFUNCTION("""COMPUTED_VALUE"""),"Omoide no Mânî")</f>
        <v>Omoide no Mânî</v>
      </c>
      <c r="R2914" s="5" t="str">
        <f>IFERROR(__xludf.DUMMYFUNCTION("""COMPUTED_VALUE"""),"Hiromasa Yonebayashi")</f>
        <v>Hiromasa Yonebayashi</v>
      </c>
      <c r="S2914" s="5" t="str">
        <f>IFERROR(__xludf.DUMMYFUNCTION("""COMPUTED_VALUE"""),"Estrela 1")</f>
        <v>Estrela 1</v>
      </c>
    </row>
    <row r="2915">
      <c r="G2915" s="5" t="str">
        <f>IFERROR(__xludf.DUMMYFUNCTION("""COMPUTED_VALUE"""),"729🤙🏼Omoide no Mânî🤙🏼Sara Takatsuki🤙🏼Estrela 2")</f>
        <v>729🤙🏼Omoide no Mânî🤙🏼Sara Takatsuki🤙🏼Estrela 2</v>
      </c>
      <c r="H2915" s="5">
        <f>IFERROR(__xludf.DUMMYFUNCTION("SPLiT(G2915, ""🤙🏼"",FALSE,FALSE)"),729.0)</f>
        <v>729</v>
      </c>
      <c r="I2915" s="5" t="str">
        <f>IFERROR(__xludf.DUMMYFUNCTION("""COMPUTED_VALUE"""),"Omoide no Mânî")</f>
        <v>Omoide no Mânî</v>
      </c>
      <c r="J2915" s="5" t="str">
        <f>IFERROR(__xludf.DUMMYFUNCTION("""COMPUTED_VALUE"""),"Sara Takatsuki")</f>
        <v>Sara Takatsuki</v>
      </c>
      <c r="K2915" s="5" t="str">
        <f>IFERROR(__xludf.DUMMYFUNCTION("""COMPUTED_VALUE"""),"Estrela 2")</f>
        <v>Estrela 2</v>
      </c>
      <c r="P2915" s="5">
        <f>IFERROR(__xludf.DUMMYFUNCTION("""COMPUTED_VALUE"""),729.0)</f>
        <v>729</v>
      </c>
      <c r="Q2915" s="5" t="str">
        <f>IFERROR(__xludf.DUMMYFUNCTION("""COMPUTED_VALUE"""),"Omoide no Mânî")</f>
        <v>Omoide no Mânî</v>
      </c>
      <c r="R2915" s="5" t="str">
        <f>IFERROR(__xludf.DUMMYFUNCTION("""COMPUTED_VALUE"""),"Sara Takatsuki")</f>
        <v>Sara Takatsuki</v>
      </c>
      <c r="S2915" s="5" t="str">
        <f>IFERROR(__xludf.DUMMYFUNCTION("""COMPUTED_VALUE"""),"Estrela 2")</f>
        <v>Estrela 2</v>
      </c>
    </row>
    <row r="2916">
      <c r="G2916" s="5" t="str">
        <f>IFERROR(__xludf.DUMMYFUNCTION("""COMPUTED_VALUE"""),"729🤙🏼Omoide no Mânî🤙🏼Kasumi Arimura🤙🏼Estrela 3")</f>
        <v>729🤙🏼Omoide no Mânî🤙🏼Kasumi Arimura🤙🏼Estrela 3</v>
      </c>
      <c r="H2916" s="5">
        <f>IFERROR(__xludf.DUMMYFUNCTION("SPLiT(G2916, ""🤙🏼"",FALSE,FALSE)"),729.0)</f>
        <v>729</v>
      </c>
      <c r="I2916" s="5" t="str">
        <f>IFERROR(__xludf.DUMMYFUNCTION("""COMPUTED_VALUE"""),"Omoide no Mânî")</f>
        <v>Omoide no Mânî</v>
      </c>
      <c r="J2916" s="5" t="str">
        <f>IFERROR(__xludf.DUMMYFUNCTION("""COMPUTED_VALUE"""),"Kasumi Arimura")</f>
        <v>Kasumi Arimura</v>
      </c>
      <c r="K2916" s="5" t="str">
        <f>IFERROR(__xludf.DUMMYFUNCTION("""COMPUTED_VALUE"""),"Estrela 3")</f>
        <v>Estrela 3</v>
      </c>
      <c r="P2916" s="5">
        <f>IFERROR(__xludf.DUMMYFUNCTION("""COMPUTED_VALUE"""),729.0)</f>
        <v>729</v>
      </c>
      <c r="Q2916" s="5" t="str">
        <f>IFERROR(__xludf.DUMMYFUNCTION("""COMPUTED_VALUE"""),"Omoide no Mânî")</f>
        <v>Omoide no Mânî</v>
      </c>
      <c r="R2916" s="5" t="str">
        <f>IFERROR(__xludf.DUMMYFUNCTION("""COMPUTED_VALUE"""),"Kasumi Arimura")</f>
        <v>Kasumi Arimura</v>
      </c>
      <c r="S2916" s="5" t="str">
        <f>IFERROR(__xludf.DUMMYFUNCTION("""COMPUTED_VALUE"""),"Estrela 3")</f>
        <v>Estrela 3</v>
      </c>
    </row>
    <row r="2917">
      <c r="G2917" s="5" t="str">
        <f>IFERROR(__xludf.DUMMYFUNCTION("""COMPUTED_VALUE"""),"729🤙🏼Omoide no Mânî🤙🏼Nanako Matsushima🤙🏼Estrela 4")</f>
        <v>729🤙🏼Omoide no Mânî🤙🏼Nanako Matsushima🤙🏼Estrela 4</v>
      </c>
      <c r="H2917" s="5">
        <f>IFERROR(__xludf.DUMMYFUNCTION("SPLiT(G2917, ""🤙🏼"",FALSE,FALSE)"),729.0)</f>
        <v>729</v>
      </c>
      <c r="I2917" s="5" t="str">
        <f>IFERROR(__xludf.DUMMYFUNCTION("""COMPUTED_VALUE"""),"Omoide no Mânî")</f>
        <v>Omoide no Mânî</v>
      </c>
      <c r="J2917" s="5" t="str">
        <f>IFERROR(__xludf.DUMMYFUNCTION("""COMPUTED_VALUE"""),"Nanako Matsushima")</f>
        <v>Nanako Matsushima</v>
      </c>
      <c r="K2917" s="5" t="str">
        <f>IFERROR(__xludf.DUMMYFUNCTION("""COMPUTED_VALUE"""),"Estrela 4")</f>
        <v>Estrela 4</v>
      </c>
      <c r="P2917" s="5">
        <f>IFERROR(__xludf.DUMMYFUNCTION("""COMPUTED_VALUE"""),729.0)</f>
        <v>729</v>
      </c>
      <c r="Q2917" s="5" t="str">
        <f>IFERROR(__xludf.DUMMYFUNCTION("""COMPUTED_VALUE"""),"Omoide no Mânî")</f>
        <v>Omoide no Mânî</v>
      </c>
      <c r="R2917" s="5" t="str">
        <f>IFERROR(__xludf.DUMMYFUNCTION("""COMPUTED_VALUE"""),"Nanako Matsushima")</f>
        <v>Nanako Matsushima</v>
      </c>
      <c r="S2917" s="5" t="str">
        <f>IFERROR(__xludf.DUMMYFUNCTION("""COMPUTED_VALUE"""),"Estrela 4")</f>
        <v>Estrela 4</v>
      </c>
    </row>
    <row r="2918">
      <c r="G2918" s="5" t="str">
        <f>IFERROR(__xludf.DUMMYFUNCTION("""COMPUTED_VALUE"""),"730🤙🏼The Theory of Everything🤙🏼Eddie Redmayne🤙🏼Estrela 1")</f>
        <v>730🤙🏼The Theory of Everything🤙🏼Eddie Redmayne🤙🏼Estrela 1</v>
      </c>
      <c r="H2918" s="5">
        <f>IFERROR(__xludf.DUMMYFUNCTION("SPLiT(G2918, ""🤙🏼"",FALSE,FALSE)"),730.0)</f>
        <v>730</v>
      </c>
      <c r="I2918" s="5" t="str">
        <f>IFERROR(__xludf.DUMMYFUNCTION("""COMPUTED_VALUE"""),"The Theory of Everything")</f>
        <v>The Theory of Everything</v>
      </c>
      <c r="J2918" s="5" t="str">
        <f>IFERROR(__xludf.DUMMYFUNCTION("""COMPUTED_VALUE"""),"Eddie Redmayne")</f>
        <v>Eddie Redmayne</v>
      </c>
      <c r="K2918" s="5" t="str">
        <f>IFERROR(__xludf.DUMMYFUNCTION("""COMPUTED_VALUE"""),"Estrela 1")</f>
        <v>Estrela 1</v>
      </c>
      <c r="P2918" s="5">
        <f>IFERROR(__xludf.DUMMYFUNCTION("""COMPUTED_VALUE"""),730.0)</f>
        <v>730</v>
      </c>
      <c r="Q2918" s="5" t="str">
        <f>IFERROR(__xludf.DUMMYFUNCTION("""COMPUTED_VALUE"""),"The Theory of Everything")</f>
        <v>The Theory of Everything</v>
      </c>
      <c r="R2918" s="5" t="str">
        <f>IFERROR(__xludf.DUMMYFUNCTION("""COMPUTED_VALUE"""),"Eddie Redmayne")</f>
        <v>Eddie Redmayne</v>
      </c>
      <c r="S2918" s="5" t="str">
        <f>IFERROR(__xludf.DUMMYFUNCTION("""COMPUTED_VALUE"""),"Estrela 1")</f>
        <v>Estrela 1</v>
      </c>
    </row>
    <row r="2919">
      <c r="G2919" s="5" t="str">
        <f>IFERROR(__xludf.DUMMYFUNCTION("""COMPUTED_VALUE"""),"730🤙🏼The Theory of Everything🤙🏼Felicity Jones🤙🏼Estrela 2")</f>
        <v>730🤙🏼The Theory of Everything🤙🏼Felicity Jones🤙🏼Estrela 2</v>
      </c>
      <c r="H2919" s="5">
        <f>IFERROR(__xludf.DUMMYFUNCTION("SPLiT(G2919, ""🤙🏼"",FALSE,FALSE)"),730.0)</f>
        <v>730</v>
      </c>
      <c r="I2919" s="5" t="str">
        <f>IFERROR(__xludf.DUMMYFUNCTION("""COMPUTED_VALUE"""),"The Theory of Everything")</f>
        <v>The Theory of Everything</v>
      </c>
      <c r="J2919" s="5" t="str">
        <f>IFERROR(__xludf.DUMMYFUNCTION("""COMPUTED_VALUE"""),"Felicity Jones")</f>
        <v>Felicity Jones</v>
      </c>
      <c r="K2919" s="5" t="str">
        <f>IFERROR(__xludf.DUMMYFUNCTION("""COMPUTED_VALUE"""),"Estrela 2")</f>
        <v>Estrela 2</v>
      </c>
      <c r="P2919" s="5">
        <f>IFERROR(__xludf.DUMMYFUNCTION("""COMPUTED_VALUE"""),730.0)</f>
        <v>730</v>
      </c>
      <c r="Q2919" s="5" t="str">
        <f>IFERROR(__xludf.DUMMYFUNCTION("""COMPUTED_VALUE"""),"The Theory of Everything")</f>
        <v>The Theory of Everything</v>
      </c>
      <c r="R2919" s="5" t="str">
        <f>IFERROR(__xludf.DUMMYFUNCTION("""COMPUTED_VALUE"""),"Felicity Jones")</f>
        <v>Felicity Jones</v>
      </c>
      <c r="S2919" s="5" t="str">
        <f>IFERROR(__xludf.DUMMYFUNCTION("""COMPUTED_VALUE"""),"Estrela 2")</f>
        <v>Estrela 2</v>
      </c>
    </row>
    <row r="2920">
      <c r="G2920" s="5" t="str">
        <f>IFERROR(__xludf.DUMMYFUNCTION("""COMPUTED_VALUE"""),"730🤙🏼The Theory of Everything🤙🏼Tom Prior🤙🏼Estrela 3")</f>
        <v>730🤙🏼The Theory of Everything🤙🏼Tom Prior🤙🏼Estrela 3</v>
      </c>
      <c r="H2920" s="5">
        <f>IFERROR(__xludf.DUMMYFUNCTION("SPLiT(G2920, ""🤙🏼"",FALSE,FALSE)"),730.0)</f>
        <v>730</v>
      </c>
      <c r="I2920" s="5" t="str">
        <f>IFERROR(__xludf.DUMMYFUNCTION("""COMPUTED_VALUE"""),"The Theory of Everything")</f>
        <v>The Theory of Everything</v>
      </c>
      <c r="J2920" s="5" t="str">
        <f>IFERROR(__xludf.DUMMYFUNCTION("""COMPUTED_VALUE"""),"Tom Prior")</f>
        <v>Tom Prior</v>
      </c>
      <c r="K2920" s="5" t="str">
        <f>IFERROR(__xludf.DUMMYFUNCTION("""COMPUTED_VALUE"""),"Estrela 3")</f>
        <v>Estrela 3</v>
      </c>
      <c r="P2920" s="5">
        <f>IFERROR(__xludf.DUMMYFUNCTION("""COMPUTED_VALUE"""),730.0)</f>
        <v>730</v>
      </c>
      <c r="Q2920" s="5" t="str">
        <f>IFERROR(__xludf.DUMMYFUNCTION("""COMPUTED_VALUE"""),"The Theory of Everything")</f>
        <v>The Theory of Everything</v>
      </c>
      <c r="R2920" s="5" t="str">
        <f>IFERROR(__xludf.DUMMYFUNCTION("""COMPUTED_VALUE"""),"Tom Prior")</f>
        <v>Tom Prior</v>
      </c>
      <c r="S2920" s="5" t="str">
        <f>IFERROR(__xludf.DUMMYFUNCTION("""COMPUTED_VALUE"""),"Estrela 3")</f>
        <v>Estrela 3</v>
      </c>
    </row>
    <row r="2921">
      <c r="G2921" s="5" t="str">
        <f>IFERROR(__xludf.DUMMYFUNCTION("""COMPUTED_VALUE"""),"730🤙🏼The Theory of Everything🤙🏼Sophie Perry🤙🏼Estrela 4")</f>
        <v>730🤙🏼The Theory of Everything🤙🏼Sophie Perry🤙🏼Estrela 4</v>
      </c>
      <c r="H2921" s="5">
        <f>IFERROR(__xludf.DUMMYFUNCTION("SPLiT(G2921, ""🤙🏼"",FALSE,FALSE)"),730.0)</f>
        <v>730</v>
      </c>
      <c r="I2921" s="5" t="str">
        <f>IFERROR(__xludf.DUMMYFUNCTION("""COMPUTED_VALUE"""),"The Theory of Everything")</f>
        <v>The Theory of Everything</v>
      </c>
      <c r="J2921" s="5" t="str">
        <f>IFERROR(__xludf.DUMMYFUNCTION("""COMPUTED_VALUE"""),"Sophie Perry")</f>
        <v>Sophie Perry</v>
      </c>
      <c r="K2921" s="5" t="str">
        <f>IFERROR(__xludf.DUMMYFUNCTION("""COMPUTED_VALUE"""),"Estrela 4")</f>
        <v>Estrela 4</v>
      </c>
      <c r="P2921" s="5">
        <f>IFERROR(__xludf.DUMMYFUNCTION("""COMPUTED_VALUE"""),730.0)</f>
        <v>730</v>
      </c>
      <c r="Q2921" s="5" t="str">
        <f>IFERROR(__xludf.DUMMYFUNCTION("""COMPUTED_VALUE"""),"The Theory of Everything")</f>
        <v>The Theory of Everything</v>
      </c>
      <c r="R2921" s="5" t="str">
        <f>IFERROR(__xludf.DUMMYFUNCTION("""COMPUTED_VALUE"""),"Sophie Perry")</f>
        <v>Sophie Perry</v>
      </c>
      <c r="S2921" s="5" t="str">
        <f>IFERROR(__xludf.DUMMYFUNCTION("""COMPUTED_VALUE"""),"Estrela 4")</f>
        <v>Estrela 4</v>
      </c>
    </row>
    <row r="2922">
      <c r="G2922" s="5" t="str">
        <f>IFERROR(__xludf.DUMMYFUNCTION("""COMPUTED_VALUE"""),"731🤙🏼Kingsman: The Secret Service🤙🏼Colin Firth🤙🏼Estrela 1")</f>
        <v>731🤙🏼Kingsman: The Secret Service🤙🏼Colin Firth🤙🏼Estrela 1</v>
      </c>
      <c r="H2922" s="5">
        <f>IFERROR(__xludf.DUMMYFUNCTION("SPLiT(G2922, ""🤙🏼"",FALSE,FALSE)"),731.0)</f>
        <v>731</v>
      </c>
      <c r="I2922" s="5" t="str">
        <f>IFERROR(__xludf.DUMMYFUNCTION("""COMPUTED_VALUE"""),"Kingsman: The Secret Service")</f>
        <v>Kingsman: The Secret Service</v>
      </c>
      <c r="J2922" s="5" t="str">
        <f>IFERROR(__xludf.DUMMYFUNCTION("""COMPUTED_VALUE"""),"Colin Firth")</f>
        <v>Colin Firth</v>
      </c>
      <c r="K2922" s="5" t="str">
        <f>IFERROR(__xludf.DUMMYFUNCTION("""COMPUTED_VALUE"""),"Estrela 1")</f>
        <v>Estrela 1</v>
      </c>
      <c r="P2922" s="5">
        <f>IFERROR(__xludf.DUMMYFUNCTION("""COMPUTED_VALUE"""),731.0)</f>
        <v>731</v>
      </c>
      <c r="Q2922" s="5" t="str">
        <f>IFERROR(__xludf.DUMMYFUNCTION("""COMPUTED_VALUE"""),"Kingsman: The Secret Service")</f>
        <v>Kingsman: The Secret Service</v>
      </c>
      <c r="R2922" s="5" t="str">
        <f>IFERROR(__xludf.DUMMYFUNCTION("""COMPUTED_VALUE"""),"Colin Firth")</f>
        <v>Colin Firth</v>
      </c>
      <c r="S2922" s="5" t="str">
        <f>IFERROR(__xludf.DUMMYFUNCTION("""COMPUTED_VALUE"""),"Estrela 1")</f>
        <v>Estrela 1</v>
      </c>
    </row>
    <row r="2923">
      <c r="G2923" s="5" t="str">
        <f>IFERROR(__xludf.DUMMYFUNCTION("""COMPUTED_VALUE"""),"731🤙🏼Kingsman: The Secret Service🤙🏼Taron Egerton🤙🏼Estrela 2")</f>
        <v>731🤙🏼Kingsman: The Secret Service🤙🏼Taron Egerton🤙🏼Estrela 2</v>
      </c>
      <c r="H2923" s="5">
        <f>IFERROR(__xludf.DUMMYFUNCTION("SPLiT(G2923, ""🤙🏼"",FALSE,FALSE)"),731.0)</f>
        <v>731</v>
      </c>
      <c r="I2923" s="5" t="str">
        <f>IFERROR(__xludf.DUMMYFUNCTION("""COMPUTED_VALUE"""),"Kingsman: The Secret Service")</f>
        <v>Kingsman: The Secret Service</v>
      </c>
      <c r="J2923" s="5" t="str">
        <f>IFERROR(__xludf.DUMMYFUNCTION("""COMPUTED_VALUE"""),"Taron Egerton")</f>
        <v>Taron Egerton</v>
      </c>
      <c r="K2923" s="5" t="str">
        <f>IFERROR(__xludf.DUMMYFUNCTION("""COMPUTED_VALUE"""),"Estrela 2")</f>
        <v>Estrela 2</v>
      </c>
      <c r="P2923" s="5">
        <f>IFERROR(__xludf.DUMMYFUNCTION("""COMPUTED_VALUE"""),731.0)</f>
        <v>731</v>
      </c>
      <c r="Q2923" s="5" t="str">
        <f>IFERROR(__xludf.DUMMYFUNCTION("""COMPUTED_VALUE"""),"Kingsman: The Secret Service")</f>
        <v>Kingsman: The Secret Service</v>
      </c>
      <c r="R2923" s="5" t="str">
        <f>IFERROR(__xludf.DUMMYFUNCTION("""COMPUTED_VALUE"""),"Taron Egerton")</f>
        <v>Taron Egerton</v>
      </c>
      <c r="S2923" s="5" t="str">
        <f>IFERROR(__xludf.DUMMYFUNCTION("""COMPUTED_VALUE"""),"Estrela 2")</f>
        <v>Estrela 2</v>
      </c>
    </row>
    <row r="2924">
      <c r="G2924" s="5" t="str">
        <f>IFERROR(__xludf.DUMMYFUNCTION("""COMPUTED_VALUE"""),"731🤙🏼Kingsman: The Secret Service🤙🏼Samuel L. Jackson🤙🏼Estrela 3")</f>
        <v>731🤙🏼Kingsman: The Secret Service🤙🏼Samuel L. Jackson🤙🏼Estrela 3</v>
      </c>
      <c r="H2924" s="5">
        <f>IFERROR(__xludf.DUMMYFUNCTION("SPLiT(G2924, ""🤙🏼"",FALSE,FALSE)"),731.0)</f>
        <v>731</v>
      </c>
      <c r="I2924" s="5" t="str">
        <f>IFERROR(__xludf.DUMMYFUNCTION("""COMPUTED_VALUE"""),"Kingsman: The Secret Service")</f>
        <v>Kingsman: The Secret Service</v>
      </c>
      <c r="J2924" s="5" t="str">
        <f>IFERROR(__xludf.DUMMYFUNCTION("""COMPUTED_VALUE"""),"Samuel L. Jackson")</f>
        <v>Samuel L. Jackson</v>
      </c>
      <c r="K2924" s="5" t="str">
        <f>IFERROR(__xludf.DUMMYFUNCTION("""COMPUTED_VALUE"""),"Estrela 3")</f>
        <v>Estrela 3</v>
      </c>
      <c r="P2924" s="5">
        <f>IFERROR(__xludf.DUMMYFUNCTION("""COMPUTED_VALUE"""),731.0)</f>
        <v>731</v>
      </c>
      <c r="Q2924" s="5" t="str">
        <f>IFERROR(__xludf.DUMMYFUNCTION("""COMPUTED_VALUE"""),"Kingsman: The Secret Service")</f>
        <v>Kingsman: The Secret Service</v>
      </c>
      <c r="R2924" s="5" t="str">
        <f>IFERROR(__xludf.DUMMYFUNCTION("""COMPUTED_VALUE"""),"Samuel L. Jackson")</f>
        <v>Samuel L. Jackson</v>
      </c>
      <c r="S2924" s="5" t="str">
        <f>IFERROR(__xludf.DUMMYFUNCTION("""COMPUTED_VALUE"""),"Estrela 3")</f>
        <v>Estrela 3</v>
      </c>
    </row>
    <row r="2925">
      <c r="G2925" s="5" t="str">
        <f>IFERROR(__xludf.DUMMYFUNCTION("""COMPUTED_VALUE"""),"731🤙🏼Kingsman: The Secret Service🤙🏼Michael Caine🤙🏼Estrela 4")</f>
        <v>731🤙🏼Kingsman: The Secret Service🤙🏼Michael Caine🤙🏼Estrela 4</v>
      </c>
      <c r="H2925" s="5">
        <f>IFERROR(__xludf.DUMMYFUNCTION("SPLiT(G2925, ""🤙🏼"",FALSE,FALSE)"),731.0)</f>
        <v>731</v>
      </c>
      <c r="I2925" s="5" t="str">
        <f>IFERROR(__xludf.DUMMYFUNCTION("""COMPUTED_VALUE"""),"Kingsman: The Secret Service")</f>
        <v>Kingsman: The Secret Service</v>
      </c>
      <c r="J2925" s="5" t="str">
        <f>IFERROR(__xludf.DUMMYFUNCTION("""COMPUTED_VALUE"""),"Michael Caine")</f>
        <v>Michael Caine</v>
      </c>
      <c r="K2925" s="5" t="str">
        <f>IFERROR(__xludf.DUMMYFUNCTION("""COMPUTED_VALUE"""),"Estrela 4")</f>
        <v>Estrela 4</v>
      </c>
      <c r="P2925" s="5">
        <f>IFERROR(__xludf.DUMMYFUNCTION("""COMPUTED_VALUE"""),731.0)</f>
        <v>731</v>
      </c>
      <c r="Q2925" s="5" t="str">
        <f>IFERROR(__xludf.DUMMYFUNCTION("""COMPUTED_VALUE"""),"Kingsman: The Secret Service")</f>
        <v>Kingsman: The Secret Service</v>
      </c>
      <c r="R2925" s="5" t="str">
        <f>IFERROR(__xludf.DUMMYFUNCTION("""COMPUTED_VALUE"""),"Michael Caine")</f>
        <v>Michael Caine</v>
      </c>
      <c r="S2925" s="5" t="str">
        <f>IFERROR(__xludf.DUMMYFUNCTION("""COMPUTED_VALUE"""),"Estrela 4")</f>
        <v>Estrela 4</v>
      </c>
    </row>
    <row r="2926">
      <c r="G2926" s="5" t="str">
        <f>IFERROR(__xludf.DUMMYFUNCTION("""COMPUTED_VALUE"""),"732🤙🏼The Fault in Our Stars🤙🏼Shailene Woodley🤙🏼Estrela 1")</f>
        <v>732🤙🏼The Fault in Our Stars🤙🏼Shailene Woodley🤙🏼Estrela 1</v>
      </c>
      <c r="H2926" s="5">
        <f>IFERROR(__xludf.DUMMYFUNCTION("SPLiT(G2926, ""🤙🏼"",FALSE,FALSE)"),732.0)</f>
        <v>732</v>
      </c>
      <c r="I2926" s="5" t="str">
        <f>IFERROR(__xludf.DUMMYFUNCTION("""COMPUTED_VALUE"""),"The Fault in Our Stars")</f>
        <v>The Fault in Our Stars</v>
      </c>
      <c r="J2926" s="5" t="str">
        <f>IFERROR(__xludf.DUMMYFUNCTION("""COMPUTED_VALUE"""),"Shailene Woodley")</f>
        <v>Shailene Woodley</v>
      </c>
      <c r="K2926" s="5" t="str">
        <f>IFERROR(__xludf.DUMMYFUNCTION("""COMPUTED_VALUE"""),"Estrela 1")</f>
        <v>Estrela 1</v>
      </c>
      <c r="P2926" s="5">
        <f>IFERROR(__xludf.DUMMYFUNCTION("""COMPUTED_VALUE"""),732.0)</f>
        <v>732</v>
      </c>
      <c r="Q2926" s="5" t="str">
        <f>IFERROR(__xludf.DUMMYFUNCTION("""COMPUTED_VALUE"""),"The Fault in Our Stars")</f>
        <v>The Fault in Our Stars</v>
      </c>
      <c r="R2926" s="5" t="str">
        <f>IFERROR(__xludf.DUMMYFUNCTION("""COMPUTED_VALUE"""),"Shailene Woodley")</f>
        <v>Shailene Woodley</v>
      </c>
      <c r="S2926" s="5" t="str">
        <f>IFERROR(__xludf.DUMMYFUNCTION("""COMPUTED_VALUE"""),"Estrela 1")</f>
        <v>Estrela 1</v>
      </c>
    </row>
    <row r="2927">
      <c r="G2927" s="5" t="str">
        <f>IFERROR(__xludf.DUMMYFUNCTION("""COMPUTED_VALUE"""),"732🤙🏼The Fault in Our Stars🤙🏼Ansel Elgort🤙🏼Estrela 2")</f>
        <v>732🤙🏼The Fault in Our Stars🤙🏼Ansel Elgort🤙🏼Estrela 2</v>
      </c>
      <c r="H2927" s="5">
        <f>IFERROR(__xludf.DUMMYFUNCTION("SPLiT(G2927, ""🤙🏼"",FALSE,FALSE)"),732.0)</f>
        <v>732</v>
      </c>
      <c r="I2927" s="5" t="str">
        <f>IFERROR(__xludf.DUMMYFUNCTION("""COMPUTED_VALUE"""),"The Fault in Our Stars")</f>
        <v>The Fault in Our Stars</v>
      </c>
      <c r="J2927" s="5" t="str">
        <f>IFERROR(__xludf.DUMMYFUNCTION("""COMPUTED_VALUE"""),"Ansel Elgort")</f>
        <v>Ansel Elgort</v>
      </c>
      <c r="K2927" s="5" t="str">
        <f>IFERROR(__xludf.DUMMYFUNCTION("""COMPUTED_VALUE"""),"Estrela 2")</f>
        <v>Estrela 2</v>
      </c>
      <c r="P2927" s="5">
        <f>IFERROR(__xludf.DUMMYFUNCTION("""COMPUTED_VALUE"""),732.0)</f>
        <v>732</v>
      </c>
      <c r="Q2927" s="5" t="str">
        <f>IFERROR(__xludf.DUMMYFUNCTION("""COMPUTED_VALUE"""),"The Fault in Our Stars")</f>
        <v>The Fault in Our Stars</v>
      </c>
      <c r="R2927" s="5" t="str">
        <f>IFERROR(__xludf.DUMMYFUNCTION("""COMPUTED_VALUE"""),"Ansel Elgort")</f>
        <v>Ansel Elgort</v>
      </c>
      <c r="S2927" s="5" t="str">
        <f>IFERROR(__xludf.DUMMYFUNCTION("""COMPUTED_VALUE"""),"Estrela 2")</f>
        <v>Estrela 2</v>
      </c>
    </row>
    <row r="2928">
      <c r="G2928" s="5" t="str">
        <f>IFERROR(__xludf.DUMMYFUNCTION("""COMPUTED_VALUE"""),"732🤙🏼The Fault in Our Stars🤙🏼Nat Wolff🤙🏼Estrela 3")</f>
        <v>732🤙🏼The Fault in Our Stars🤙🏼Nat Wolff🤙🏼Estrela 3</v>
      </c>
      <c r="H2928" s="5">
        <f>IFERROR(__xludf.DUMMYFUNCTION("SPLiT(G2928, ""🤙🏼"",FALSE,FALSE)"),732.0)</f>
        <v>732</v>
      </c>
      <c r="I2928" s="5" t="str">
        <f>IFERROR(__xludf.DUMMYFUNCTION("""COMPUTED_VALUE"""),"The Fault in Our Stars")</f>
        <v>The Fault in Our Stars</v>
      </c>
      <c r="J2928" s="5" t="str">
        <f>IFERROR(__xludf.DUMMYFUNCTION("""COMPUTED_VALUE"""),"Nat Wolff")</f>
        <v>Nat Wolff</v>
      </c>
      <c r="K2928" s="5" t="str">
        <f>IFERROR(__xludf.DUMMYFUNCTION("""COMPUTED_VALUE"""),"Estrela 3")</f>
        <v>Estrela 3</v>
      </c>
      <c r="P2928" s="5">
        <f>IFERROR(__xludf.DUMMYFUNCTION("""COMPUTED_VALUE"""),732.0)</f>
        <v>732</v>
      </c>
      <c r="Q2928" s="5" t="str">
        <f>IFERROR(__xludf.DUMMYFUNCTION("""COMPUTED_VALUE"""),"The Fault in Our Stars")</f>
        <v>The Fault in Our Stars</v>
      </c>
      <c r="R2928" s="5" t="str">
        <f>IFERROR(__xludf.DUMMYFUNCTION("""COMPUTED_VALUE"""),"Nat Wolff")</f>
        <v>Nat Wolff</v>
      </c>
      <c r="S2928" s="5" t="str">
        <f>IFERROR(__xludf.DUMMYFUNCTION("""COMPUTED_VALUE"""),"Estrela 3")</f>
        <v>Estrela 3</v>
      </c>
    </row>
    <row r="2929">
      <c r="G2929" s="5" t="str">
        <f>IFERROR(__xludf.DUMMYFUNCTION("""COMPUTED_VALUE"""),"732🤙🏼The Fault in Our Stars🤙🏼Laura Dern🤙🏼Estrela 4")</f>
        <v>732🤙🏼The Fault in Our Stars🤙🏼Laura Dern🤙🏼Estrela 4</v>
      </c>
      <c r="H2929" s="5">
        <f>IFERROR(__xludf.DUMMYFUNCTION("SPLiT(G2929, ""🤙🏼"",FALSE,FALSE)"),732.0)</f>
        <v>732</v>
      </c>
      <c r="I2929" s="5" t="str">
        <f>IFERROR(__xludf.DUMMYFUNCTION("""COMPUTED_VALUE"""),"The Fault in Our Stars")</f>
        <v>The Fault in Our Stars</v>
      </c>
      <c r="J2929" s="5" t="str">
        <f>IFERROR(__xludf.DUMMYFUNCTION("""COMPUTED_VALUE"""),"Laura Dern")</f>
        <v>Laura Dern</v>
      </c>
      <c r="K2929" s="5" t="str">
        <f>IFERROR(__xludf.DUMMYFUNCTION("""COMPUTED_VALUE"""),"Estrela 4")</f>
        <v>Estrela 4</v>
      </c>
      <c r="P2929" s="5">
        <f>IFERROR(__xludf.DUMMYFUNCTION("""COMPUTED_VALUE"""),732.0)</f>
        <v>732</v>
      </c>
      <c r="Q2929" s="5" t="str">
        <f>IFERROR(__xludf.DUMMYFUNCTION("""COMPUTED_VALUE"""),"The Fault in Our Stars")</f>
        <v>The Fault in Our Stars</v>
      </c>
      <c r="R2929" s="5" t="str">
        <f>IFERROR(__xludf.DUMMYFUNCTION("""COMPUTED_VALUE"""),"Laura Dern")</f>
        <v>Laura Dern</v>
      </c>
      <c r="S2929" s="5" t="str">
        <f>IFERROR(__xludf.DUMMYFUNCTION("""COMPUTED_VALUE"""),"Estrela 4")</f>
        <v>Estrela 4</v>
      </c>
    </row>
    <row r="2930">
      <c r="G2930" s="5" t="str">
        <f>IFERROR(__xludf.DUMMYFUNCTION("""COMPUTED_VALUE"""),"733🤙🏼Me and Earl and the Dying Girl🤙🏼Thomas Mann🤙🏼Estrela 1")</f>
        <v>733🤙🏼Me and Earl and the Dying Girl🤙🏼Thomas Mann🤙🏼Estrela 1</v>
      </c>
      <c r="H2930" s="5">
        <f>IFERROR(__xludf.DUMMYFUNCTION("SPLiT(G2930, ""🤙🏼"",FALSE,FALSE)"),733.0)</f>
        <v>733</v>
      </c>
      <c r="I2930" s="5" t="str">
        <f>IFERROR(__xludf.DUMMYFUNCTION("""COMPUTED_VALUE"""),"Me and Earl and the Dying Girl")</f>
        <v>Me and Earl and the Dying Girl</v>
      </c>
      <c r="J2930" s="5" t="str">
        <f>IFERROR(__xludf.DUMMYFUNCTION("""COMPUTED_VALUE"""),"Thomas Mann")</f>
        <v>Thomas Mann</v>
      </c>
      <c r="K2930" s="5" t="str">
        <f>IFERROR(__xludf.DUMMYFUNCTION("""COMPUTED_VALUE"""),"Estrela 1")</f>
        <v>Estrela 1</v>
      </c>
      <c r="P2930" s="5">
        <f>IFERROR(__xludf.DUMMYFUNCTION("""COMPUTED_VALUE"""),733.0)</f>
        <v>733</v>
      </c>
      <c r="Q2930" s="5" t="str">
        <f>IFERROR(__xludf.DUMMYFUNCTION("""COMPUTED_VALUE"""),"Me and Earl and the Dying Girl")</f>
        <v>Me and Earl and the Dying Girl</v>
      </c>
      <c r="R2930" s="5" t="str">
        <f>IFERROR(__xludf.DUMMYFUNCTION("""COMPUTED_VALUE"""),"Thomas Mann")</f>
        <v>Thomas Mann</v>
      </c>
      <c r="S2930" s="5" t="str">
        <f>IFERROR(__xludf.DUMMYFUNCTION("""COMPUTED_VALUE"""),"Estrela 1")</f>
        <v>Estrela 1</v>
      </c>
    </row>
    <row r="2931">
      <c r="G2931" s="5" t="str">
        <f>IFERROR(__xludf.DUMMYFUNCTION("""COMPUTED_VALUE"""),"733🤙🏼Me and Earl and the Dying Girl🤙🏼RJ Cyler🤙🏼Estrela 2")</f>
        <v>733🤙🏼Me and Earl and the Dying Girl🤙🏼RJ Cyler🤙🏼Estrela 2</v>
      </c>
      <c r="H2931" s="5">
        <f>IFERROR(__xludf.DUMMYFUNCTION("SPLiT(G2931, ""🤙🏼"",FALSE,FALSE)"),733.0)</f>
        <v>733</v>
      </c>
      <c r="I2931" s="5" t="str">
        <f>IFERROR(__xludf.DUMMYFUNCTION("""COMPUTED_VALUE"""),"Me and Earl and the Dying Girl")</f>
        <v>Me and Earl and the Dying Girl</v>
      </c>
      <c r="J2931" s="5" t="str">
        <f>IFERROR(__xludf.DUMMYFUNCTION("""COMPUTED_VALUE"""),"RJ Cyler")</f>
        <v>RJ Cyler</v>
      </c>
      <c r="K2931" s="5" t="str">
        <f>IFERROR(__xludf.DUMMYFUNCTION("""COMPUTED_VALUE"""),"Estrela 2")</f>
        <v>Estrela 2</v>
      </c>
      <c r="P2931" s="5">
        <f>IFERROR(__xludf.DUMMYFUNCTION("""COMPUTED_VALUE"""),733.0)</f>
        <v>733</v>
      </c>
      <c r="Q2931" s="5" t="str">
        <f>IFERROR(__xludf.DUMMYFUNCTION("""COMPUTED_VALUE"""),"Me and Earl and the Dying Girl")</f>
        <v>Me and Earl and the Dying Girl</v>
      </c>
      <c r="R2931" s="5" t="str">
        <f>IFERROR(__xludf.DUMMYFUNCTION("""COMPUTED_VALUE"""),"RJ Cyler")</f>
        <v>RJ Cyler</v>
      </c>
      <c r="S2931" s="5" t="str">
        <f>IFERROR(__xludf.DUMMYFUNCTION("""COMPUTED_VALUE"""),"Estrela 2")</f>
        <v>Estrela 2</v>
      </c>
    </row>
    <row r="2932">
      <c r="G2932" s="5" t="str">
        <f>IFERROR(__xludf.DUMMYFUNCTION("""COMPUTED_VALUE"""),"733🤙🏼Me and Earl and the Dying Girl🤙🏼Olivia Cooke🤙🏼Estrela 3")</f>
        <v>733🤙🏼Me and Earl and the Dying Girl🤙🏼Olivia Cooke🤙🏼Estrela 3</v>
      </c>
      <c r="H2932" s="5">
        <f>IFERROR(__xludf.DUMMYFUNCTION("SPLiT(G2932, ""🤙🏼"",FALSE,FALSE)"),733.0)</f>
        <v>733</v>
      </c>
      <c r="I2932" s="5" t="str">
        <f>IFERROR(__xludf.DUMMYFUNCTION("""COMPUTED_VALUE"""),"Me and Earl and the Dying Girl")</f>
        <v>Me and Earl and the Dying Girl</v>
      </c>
      <c r="J2932" s="5" t="str">
        <f>IFERROR(__xludf.DUMMYFUNCTION("""COMPUTED_VALUE"""),"Olivia Cooke")</f>
        <v>Olivia Cooke</v>
      </c>
      <c r="K2932" s="5" t="str">
        <f>IFERROR(__xludf.DUMMYFUNCTION("""COMPUTED_VALUE"""),"Estrela 3")</f>
        <v>Estrela 3</v>
      </c>
      <c r="P2932" s="5">
        <f>IFERROR(__xludf.DUMMYFUNCTION("""COMPUTED_VALUE"""),733.0)</f>
        <v>733</v>
      </c>
      <c r="Q2932" s="5" t="str">
        <f>IFERROR(__xludf.DUMMYFUNCTION("""COMPUTED_VALUE"""),"Me and Earl and the Dying Girl")</f>
        <v>Me and Earl and the Dying Girl</v>
      </c>
      <c r="R2932" s="5" t="str">
        <f>IFERROR(__xludf.DUMMYFUNCTION("""COMPUTED_VALUE"""),"Olivia Cooke")</f>
        <v>Olivia Cooke</v>
      </c>
      <c r="S2932" s="5" t="str">
        <f>IFERROR(__xludf.DUMMYFUNCTION("""COMPUTED_VALUE"""),"Estrela 3")</f>
        <v>Estrela 3</v>
      </c>
    </row>
    <row r="2933">
      <c r="G2933" s="5" t="str">
        <f>IFERROR(__xludf.DUMMYFUNCTION("""COMPUTED_VALUE"""),"733🤙🏼Me and Earl and the Dying Girl🤙🏼Nick Offerman🤙🏼Estrela 4")</f>
        <v>733🤙🏼Me and Earl and the Dying Girl🤙🏼Nick Offerman🤙🏼Estrela 4</v>
      </c>
      <c r="H2933" s="5">
        <f>IFERROR(__xludf.DUMMYFUNCTION("SPLiT(G2933, ""🤙🏼"",FALSE,FALSE)"),733.0)</f>
        <v>733</v>
      </c>
      <c r="I2933" s="5" t="str">
        <f>IFERROR(__xludf.DUMMYFUNCTION("""COMPUTED_VALUE"""),"Me and Earl and the Dying Girl")</f>
        <v>Me and Earl and the Dying Girl</v>
      </c>
      <c r="J2933" s="5" t="str">
        <f>IFERROR(__xludf.DUMMYFUNCTION("""COMPUTED_VALUE"""),"Nick Offerman")</f>
        <v>Nick Offerman</v>
      </c>
      <c r="K2933" s="5" t="str">
        <f>IFERROR(__xludf.DUMMYFUNCTION("""COMPUTED_VALUE"""),"Estrela 4")</f>
        <v>Estrela 4</v>
      </c>
      <c r="P2933" s="5">
        <f>IFERROR(__xludf.DUMMYFUNCTION("""COMPUTED_VALUE"""),733.0)</f>
        <v>733</v>
      </c>
      <c r="Q2933" s="5" t="str">
        <f>IFERROR(__xludf.DUMMYFUNCTION("""COMPUTED_VALUE"""),"Me and Earl and the Dying Girl")</f>
        <v>Me and Earl and the Dying Girl</v>
      </c>
      <c r="R2933" s="5" t="str">
        <f>IFERROR(__xludf.DUMMYFUNCTION("""COMPUTED_VALUE"""),"Nick Offerman")</f>
        <v>Nick Offerman</v>
      </c>
      <c r="S2933" s="5" t="str">
        <f>IFERROR(__xludf.DUMMYFUNCTION("""COMPUTED_VALUE"""),"Estrela 4")</f>
        <v>Estrela 4</v>
      </c>
    </row>
    <row r="2934">
      <c r="G2934" s="5" t="str">
        <f>IFERROR(__xludf.DUMMYFUNCTION("""COMPUTED_VALUE"""),"734🤙🏼Birdman or (The Unexpected Virtue of Ignorance)🤙🏼Michael Keaton🤙🏼Estrela 1")</f>
        <v>734🤙🏼Birdman or (The Unexpected Virtue of Ignorance)🤙🏼Michael Keaton🤙🏼Estrela 1</v>
      </c>
      <c r="H2934" s="5">
        <f>IFERROR(__xludf.DUMMYFUNCTION("SPLiT(G2934, ""🤙🏼"",FALSE,FALSE)"),734.0)</f>
        <v>734</v>
      </c>
      <c r="I2934" s="5" t="str">
        <f>IFERROR(__xludf.DUMMYFUNCTION("""COMPUTED_VALUE"""),"Birdman or (The Unexpected Virtue of Ignorance)")</f>
        <v>Birdman or (The Unexpected Virtue of Ignorance)</v>
      </c>
      <c r="J2934" s="5" t="str">
        <f>IFERROR(__xludf.DUMMYFUNCTION("""COMPUTED_VALUE"""),"Michael Keaton")</f>
        <v>Michael Keaton</v>
      </c>
      <c r="K2934" s="5" t="str">
        <f>IFERROR(__xludf.DUMMYFUNCTION("""COMPUTED_VALUE"""),"Estrela 1")</f>
        <v>Estrela 1</v>
      </c>
      <c r="P2934" s="5">
        <f>IFERROR(__xludf.DUMMYFUNCTION("""COMPUTED_VALUE"""),734.0)</f>
        <v>734</v>
      </c>
      <c r="Q2934" s="5" t="str">
        <f>IFERROR(__xludf.DUMMYFUNCTION("""COMPUTED_VALUE"""),"Birdman or (The Unexpected Virtue of Ignorance)")</f>
        <v>Birdman or (The Unexpected Virtue of Ignorance)</v>
      </c>
      <c r="R2934" s="5" t="str">
        <f>IFERROR(__xludf.DUMMYFUNCTION("""COMPUTED_VALUE"""),"Michael Keaton")</f>
        <v>Michael Keaton</v>
      </c>
      <c r="S2934" s="5" t="str">
        <f>IFERROR(__xludf.DUMMYFUNCTION("""COMPUTED_VALUE"""),"Estrela 1")</f>
        <v>Estrela 1</v>
      </c>
    </row>
    <row r="2935">
      <c r="G2935" s="5" t="str">
        <f>IFERROR(__xludf.DUMMYFUNCTION("""COMPUTED_VALUE"""),"734🤙🏼Birdman or (The Unexpected Virtue of Ignorance)🤙🏼Zach Galifianakis🤙🏼Estrela 2")</f>
        <v>734🤙🏼Birdman or (The Unexpected Virtue of Ignorance)🤙🏼Zach Galifianakis🤙🏼Estrela 2</v>
      </c>
      <c r="H2935" s="5">
        <f>IFERROR(__xludf.DUMMYFUNCTION("SPLiT(G2935, ""🤙🏼"",FALSE,FALSE)"),734.0)</f>
        <v>734</v>
      </c>
      <c r="I2935" s="5" t="str">
        <f>IFERROR(__xludf.DUMMYFUNCTION("""COMPUTED_VALUE"""),"Birdman or (The Unexpected Virtue of Ignorance)")</f>
        <v>Birdman or (The Unexpected Virtue of Ignorance)</v>
      </c>
      <c r="J2935" s="5" t="str">
        <f>IFERROR(__xludf.DUMMYFUNCTION("""COMPUTED_VALUE"""),"Zach Galifianakis")</f>
        <v>Zach Galifianakis</v>
      </c>
      <c r="K2935" s="5" t="str">
        <f>IFERROR(__xludf.DUMMYFUNCTION("""COMPUTED_VALUE"""),"Estrela 2")</f>
        <v>Estrela 2</v>
      </c>
      <c r="P2935" s="5">
        <f>IFERROR(__xludf.DUMMYFUNCTION("""COMPUTED_VALUE"""),734.0)</f>
        <v>734</v>
      </c>
      <c r="Q2935" s="5" t="str">
        <f>IFERROR(__xludf.DUMMYFUNCTION("""COMPUTED_VALUE"""),"Birdman or (The Unexpected Virtue of Ignorance)")</f>
        <v>Birdman or (The Unexpected Virtue of Ignorance)</v>
      </c>
      <c r="R2935" s="5" t="str">
        <f>IFERROR(__xludf.DUMMYFUNCTION("""COMPUTED_VALUE"""),"Zach Galifianakis")</f>
        <v>Zach Galifianakis</v>
      </c>
      <c r="S2935" s="5" t="str">
        <f>IFERROR(__xludf.DUMMYFUNCTION("""COMPUTED_VALUE"""),"Estrela 2")</f>
        <v>Estrela 2</v>
      </c>
    </row>
    <row r="2936">
      <c r="G2936" s="5" t="str">
        <f>IFERROR(__xludf.DUMMYFUNCTION("""COMPUTED_VALUE"""),"734🤙🏼Birdman or (The Unexpected Virtue of Ignorance)🤙🏼Edward Norton🤙🏼Estrela 3")</f>
        <v>734🤙🏼Birdman or (The Unexpected Virtue of Ignorance)🤙🏼Edward Norton🤙🏼Estrela 3</v>
      </c>
      <c r="H2936" s="5">
        <f>IFERROR(__xludf.DUMMYFUNCTION("SPLiT(G2936, ""🤙🏼"",FALSE,FALSE)"),734.0)</f>
        <v>734</v>
      </c>
      <c r="I2936" s="5" t="str">
        <f>IFERROR(__xludf.DUMMYFUNCTION("""COMPUTED_VALUE"""),"Birdman or (The Unexpected Virtue of Ignorance)")</f>
        <v>Birdman or (The Unexpected Virtue of Ignorance)</v>
      </c>
      <c r="J2936" s="5" t="str">
        <f>IFERROR(__xludf.DUMMYFUNCTION("""COMPUTED_VALUE"""),"Edward Norton")</f>
        <v>Edward Norton</v>
      </c>
      <c r="K2936" s="5" t="str">
        <f>IFERROR(__xludf.DUMMYFUNCTION("""COMPUTED_VALUE"""),"Estrela 3")</f>
        <v>Estrela 3</v>
      </c>
      <c r="P2936" s="5">
        <f>IFERROR(__xludf.DUMMYFUNCTION("""COMPUTED_VALUE"""),734.0)</f>
        <v>734</v>
      </c>
      <c r="Q2936" s="5" t="str">
        <f>IFERROR(__xludf.DUMMYFUNCTION("""COMPUTED_VALUE"""),"Birdman or (The Unexpected Virtue of Ignorance)")</f>
        <v>Birdman or (The Unexpected Virtue of Ignorance)</v>
      </c>
      <c r="R2936" s="5" t="str">
        <f>IFERROR(__xludf.DUMMYFUNCTION("""COMPUTED_VALUE"""),"Edward Norton")</f>
        <v>Edward Norton</v>
      </c>
      <c r="S2936" s="5" t="str">
        <f>IFERROR(__xludf.DUMMYFUNCTION("""COMPUTED_VALUE"""),"Estrela 3")</f>
        <v>Estrela 3</v>
      </c>
    </row>
    <row r="2937">
      <c r="G2937" s="5" t="str">
        <f>IFERROR(__xludf.DUMMYFUNCTION("""COMPUTED_VALUE"""),"734🤙🏼Birdman or (The Unexpected Virtue of Ignorance)🤙🏼Andrea Riseborough🤙🏼Estrela 4")</f>
        <v>734🤙🏼Birdman or (The Unexpected Virtue of Ignorance)🤙🏼Andrea Riseborough🤙🏼Estrela 4</v>
      </c>
      <c r="H2937" s="5">
        <f>IFERROR(__xludf.DUMMYFUNCTION("SPLiT(G2937, ""🤙🏼"",FALSE,FALSE)"),734.0)</f>
        <v>734</v>
      </c>
      <c r="I2937" s="5" t="str">
        <f>IFERROR(__xludf.DUMMYFUNCTION("""COMPUTED_VALUE"""),"Birdman or (The Unexpected Virtue of Ignorance)")</f>
        <v>Birdman or (The Unexpected Virtue of Ignorance)</v>
      </c>
      <c r="J2937" s="5" t="str">
        <f>IFERROR(__xludf.DUMMYFUNCTION("""COMPUTED_VALUE"""),"Andrea Riseborough")</f>
        <v>Andrea Riseborough</v>
      </c>
      <c r="K2937" s="5" t="str">
        <f>IFERROR(__xludf.DUMMYFUNCTION("""COMPUTED_VALUE"""),"Estrela 4")</f>
        <v>Estrela 4</v>
      </c>
      <c r="P2937" s="5">
        <f>IFERROR(__xludf.DUMMYFUNCTION("""COMPUTED_VALUE"""),734.0)</f>
        <v>734</v>
      </c>
      <c r="Q2937" s="5" t="str">
        <f>IFERROR(__xludf.DUMMYFUNCTION("""COMPUTED_VALUE"""),"Birdman or (The Unexpected Virtue of Ignorance)")</f>
        <v>Birdman or (The Unexpected Virtue of Ignorance)</v>
      </c>
      <c r="R2937" s="5" t="str">
        <f>IFERROR(__xludf.DUMMYFUNCTION("""COMPUTED_VALUE"""),"Andrea Riseborough")</f>
        <v>Andrea Riseborough</v>
      </c>
      <c r="S2937" s="5" t="str">
        <f>IFERROR(__xludf.DUMMYFUNCTION("""COMPUTED_VALUE"""),"Estrela 4")</f>
        <v>Estrela 4</v>
      </c>
    </row>
    <row r="2938">
      <c r="G2938" s="5" t="str">
        <f>IFERROR(__xludf.DUMMYFUNCTION("""COMPUTED_VALUE"""),"735🤙🏼La vie d'Adèle🤙🏼Léa Seydoux🤙🏼Estrela 1")</f>
        <v>735🤙🏼La vie d'Adèle🤙🏼Léa Seydoux🤙🏼Estrela 1</v>
      </c>
      <c r="H2938" s="5">
        <f>IFERROR(__xludf.DUMMYFUNCTION("SPLiT(G2938, ""🤙🏼"",FALSE,FALSE)"),735.0)</f>
        <v>735</v>
      </c>
      <c r="I2938" s="5" t="str">
        <f>IFERROR(__xludf.DUMMYFUNCTION("""COMPUTED_VALUE"""),"La vie d'Adèle")</f>
        <v>La vie d'Adèle</v>
      </c>
      <c r="J2938" s="5" t="str">
        <f>IFERROR(__xludf.DUMMYFUNCTION("""COMPUTED_VALUE"""),"Léa Seydoux")</f>
        <v>Léa Seydoux</v>
      </c>
      <c r="K2938" s="5" t="str">
        <f>IFERROR(__xludf.DUMMYFUNCTION("""COMPUTED_VALUE"""),"Estrela 1")</f>
        <v>Estrela 1</v>
      </c>
      <c r="P2938" s="5">
        <f>IFERROR(__xludf.DUMMYFUNCTION("""COMPUTED_VALUE"""),735.0)</f>
        <v>735</v>
      </c>
      <c r="Q2938" s="5" t="str">
        <f>IFERROR(__xludf.DUMMYFUNCTION("""COMPUTED_VALUE"""),"La vie d'Adèle")</f>
        <v>La vie d'Adèle</v>
      </c>
      <c r="R2938" s="5" t="str">
        <f>IFERROR(__xludf.DUMMYFUNCTION("""COMPUTED_VALUE"""),"Léa Seydoux")</f>
        <v>Léa Seydoux</v>
      </c>
      <c r="S2938" s="5" t="str">
        <f>IFERROR(__xludf.DUMMYFUNCTION("""COMPUTED_VALUE"""),"Estrela 1")</f>
        <v>Estrela 1</v>
      </c>
    </row>
    <row r="2939">
      <c r="G2939" s="5" t="str">
        <f>IFERROR(__xludf.DUMMYFUNCTION("""COMPUTED_VALUE"""),"735🤙🏼La vie d'Adèle🤙🏼Adèle Exarchopoulos🤙🏼Estrela 2")</f>
        <v>735🤙🏼La vie d'Adèle🤙🏼Adèle Exarchopoulos🤙🏼Estrela 2</v>
      </c>
      <c r="H2939" s="5">
        <f>IFERROR(__xludf.DUMMYFUNCTION("SPLiT(G2939, ""🤙🏼"",FALSE,FALSE)"),735.0)</f>
        <v>735</v>
      </c>
      <c r="I2939" s="5" t="str">
        <f>IFERROR(__xludf.DUMMYFUNCTION("""COMPUTED_VALUE"""),"La vie d'Adèle")</f>
        <v>La vie d'Adèle</v>
      </c>
      <c r="J2939" s="5" t="str">
        <f>IFERROR(__xludf.DUMMYFUNCTION("""COMPUTED_VALUE"""),"Adèle Exarchopoulos")</f>
        <v>Adèle Exarchopoulos</v>
      </c>
      <c r="K2939" s="5" t="str">
        <f>IFERROR(__xludf.DUMMYFUNCTION("""COMPUTED_VALUE"""),"Estrela 2")</f>
        <v>Estrela 2</v>
      </c>
      <c r="P2939" s="5">
        <f>IFERROR(__xludf.DUMMYFUNCTION("""COMPUTED_VALUE"""),735.0)</f>
        <v>735</v>
      </c>
      <c r="Q2939" s="5" t="str">
        <f>IFERROR(__xludf.DUMMYFUNCTION("""COMPUTED_VALUE"""),"La vie d'Adèle")</f>
        <v>La vie d'Adèle</v>
      </c>
      <c r="R2939" s="5" t="str">
        <f>IFERROR(__xludf.DUMMYFUNCTION("""COMPUTED_VALUE"""),"Adèle Exarchopoulos")</f>
        <v>Adèle Exarchopoulos</v>
      </c>
      <c r="S2939" s="5" t="str">
        <f>IFERROR(__xludf.DUMMYFUNCTION("""COMPUTED_VALUE"""),"Estrela 2")</f>
        <v>Estrela 2</v>
      </c>
    </row>
    <row r="2940">
      <c r="G2940" s="5" t="str">
        <f>IFERROR(__xludf.DUMMYFUNCTION("""COMPUTED_VALUE"""),"735🤙🏼La vie d'Adèle🤙🏼Salim Kechiouche🤙🏼Estrela 3")</f>
        <v>735🤙🏼La vie d'Adèle🤙🏼Salim Kechiouche🤙🏼Estrela 3</v>
      </c>
      <c r="H2940" s="5">
        <f>IFERROR(__xludf.DUMMYFUNCTION("SPLiT(G2940, ""🤙🏼"",FALSE,FALSE)"),735.0)</f>
        <v>735</v>
      </c>
      <c r="I2940" s="5" t="str">
        <f>IFERROR(__xludf.DUMMYFUNCTION("""COMPUTED_VALUE"""),"La vie d'Adèle")</f>
        <v>La vie d'Adèle</v>
      </c>
      <c r="J2940" s="5" t="str">
        <f>IFERROR(__xludf.DUMMYFUNCTION("""COMPUTED_VALUE"""),"Salim Kechiouche")</f>
        <v>Salim Kechiouche</v>
      </c>
      <c r="K2940" s="5" t="str">
        <f>IFERROR(__xludf.DUMMYFUNCTION("""COMPUTED_VALUE"""),"Estrela 3")</f>
        <v>Estrela 3</v>
      </c>
      <c r="P2940" s="5">
        <f>IFERROR(__xludf.DUMMYFUNCTION("""COMPUTED_VALUE"""),735.0)</f>
        <v>735</v>
      </c>
      <c r="Q2940" s="5" t="str">
        <f>IFERROR(__xludf.DUMMYFUNCTION("""COMPUTED_VALUE"""),"La vie d'Adèle")</f>
        <v>La vie d'Adèle</v>
      </c>
      <c r="R2940" s="5" t="str">
        <f>IFERROR(__xludf.DUMMYFUNCTION("""COMPUTED_VALUE"""),"Salim Kechiouche")</f>
        <v>Salim Kechiouche</v>
      </c>
      <c r="S2940" s="5" t="str">
        <f>IFERROR(__xludf.DUMMYFUNCTION("""COMPUTED_VALUE"""),"Estrela 3")</f>
        <v>Estrela 3</v>
      </c>
    </row>
    <row r="2941">
      <c r="G2941" s="5" t="str">
        <f>IFERROR(__xludf.DUMMYFUNCTION("""COMPUTED_VALUE"""),"735🤙🏼La vie d'Adèle🤙🏼Aurélien Recoing🤙🏼Estrela 4")</f>
        <v>735🤙🏼La vie d'Adèle🤙🏼Aurélien Recoing🤙🏼Estrela 4</v>
      </c>
      <c r="H2941" s="5">
        <f>IFERROR(__xludf.DUMMYFUNCTION("SPLiT(G2941, ""🤙🏼"",FALSE,FALSE)"),735.0)</f>
        <v>735</v>
      </c>
      <c r="I2941" s="5" t="str">
        <f>IFERROR(__xludf.DUMMYFUNCTION("""COMPUTED_VALUE"""),"La vie d'Adèle")</f>
        <v>La vie d'Adèle</v>
      </c>
      <c r="J2941" s="5" t="str">
        <f>IFERROR(__xludf.DUMMYFUNCTION("""COMPUTED_VALUE"""),"Aurélien Recoing")</f>
        <v>Aurélien Recoing</v>
      </c>
      <c r="K2941" s="5" t="str">
        <f>IFERROR(__xludf.DUMMYFUNCTION("""COMPUTED_VALUE"""),"Estrela 4")</f>
        <v>Estrela 4</v>
      </c>
      <c r="P2941" s="5">
        <f>IFERROR(__xludf.DUMMYFUNCTION("""COMPUTED_VALUE"""),735.0)</f>
        <v>735</v>
      </c>
      <c r="Q2941" s="5" t="str">
        <f>IFERROR(__xludf.DUMMYFUNCTION("""COMPUTED_VALUE"""),"La vie d'Adèle")</f>
        <v>La vie d'Adèle</v>
      </c>
      <c r="R2941" s="5" t="str">
        <f>IFERROR(__xludf.DUMMYFUNCTION("""COMPUTED_VALUE"""),"Aurélien Recoing")</f>
        <v>Aurélien Recoing</v>
      </c>
      <c r="S2941" s="5" t="str">
        <f>IFERROR(__xludf.DUMMYFUNCTION("""COMPUTED_VALUE"""),"Estrela 4")</f>
        <v>Estrela 4</v>
      </c>
    </row>
    <row r="2942">
      <c r="G2942" s="5" t="str">
        <f>IFERROR(__xludf.DUMMYFUNCTION("""COMPUTED_VALUE"""),"736🤙🏼Kai po che!🤙🏼Amit Sadh🤙🏼Estrela 1")</f>
        <v>736🤙🏼Kai po che!🤙🏼Amit Sadh🤙🏼Estrela 1</v>
      </c>
      <c r="H2942" s="5">
        <f>IFERROR(__xludf.DUMMYFUNCTION("SPLiT(G2942, ""🤙🏼"",FALSE,FALSE)"),736.0)</f>
        <v>736</v>
      </c>
      <c r="I2942" s="5" t="str">
        <f>IFERROR(__xludf.DUMMYFUNCTION("""COMPUTED_VALUE"""),"Kai po che!")</f>
        <v>Kai po che!</v>
      </c>
      <c r="J2942" s="5" t="str">
        <f>IFERROR(__xludf.DUMMYFUNCTION("""COMPUTED_VALUE"""),"Amit Sadh")</f>
        <v>Amit Sadh</v>
      </c>
      <c r="K2942" s="5" t="str">
        <f>IFERROR(__xludf.DUMMYFUNCTION("""COMPUTED_VALUE"""),"Estrela 1")</f>
        <v>Estrela 1</v>
      </c>
      <c r="P2942" s="5">
        <f>IFERROR(__xludf.DUMMYFUNCTION("""COMPUTED_VALUE"""),736.0)</f>
        <v>736</v>
      </c>
      <c r="Q2942" s="5" t="str">
        <f>IFERROR(__xludf.DUMMYFUNCTION("""COMPUTED_VALUE"""),"Kai po che!")</f>
        <v>Kai po che!</v>
      </c>
      <c r="R2942" s="5" t="str">
        <f>IFERROR(__xludf.DUMMYFUNCTION("""COMPUTED_VALUE"""),"Amit Sadh")</f>
        <v>Amit Sadh</v>
      </c>
      <c r="S2942" s="5" t="str">
        <f>IFERROR(__xludf.DUMMYFUNCTION("""COMPUTED_VALUE"""),"Estrela 1")</f>
        <v>Estrela 1</v>
      </c>
    </row>
    <row r="2943">
      <c r="G2943" s="5" t="str">
        <f>IFERROR(__xludf.DUMMYFUNCTION("""COMPUTED_VALUE"""),"736🤙🏼Kai po che!🤙🏼Sushant Singh Rajput🤙🏼Estrela 2")</f>
        <v>736🤙🏼Kai po che!🤙🏼Sushant Singh Rajput🤙🏼Estrela 2</v>
      </c>
      <c r="H2943" s="5">
        <f>IFERROR(__xludf.DUMMYFUNCTION("SPLiT(G2943, ""🤙🏼"",FALSE,FALSE)"),736.0)</f>
        <v>736</v>
      </c>
      <c r="I2943" s="5" t="str">
        <f>IFERROR(__xludf.DUMMYFUNCTION("""COMPUTED_VALUE"""),"Kai po che!")</f>
        <v>Kai po che!</v>
      </c>
      <c r="J2943" s="5" t="str">
        <f>IFERROR(__xludf.DUMMYFUNCTION("""COMPUTED_VALUE"""),"Sushant Singh Rajput")</f>
        <v>Sushant Singh Rajput</v>
      </c>
      <c r="K2943" s="5" t="str">
        <f>IFERROR(__xludf.DUMMYFUNCTION("""COMPUTED_VALUE"""),"Estrela 2")</f>
        <v>Estrela 2</v>
      </c>
      <c r="P2943" s="5">
        <f>IFERROR(__xludf.DUMMYFUNCTION("""COMPUTED_VALUE"""),736.0)</f>
        <v>736</v>
      </c>
      <c r="Q2943" s="5" t="str">
        <f>IFERROR(__xludf.DUMMYFUNCTION("""COMPUTED_VALUE"""),"Kai po che!")</f>
        <v>Kai po che!</v>
      </c>
      <c r="R2943" s="5" t="str">
        <f>IFERROR(__xludf.DUMMYFUNCTION("""COMPUTED_VALUE"""),"Sushant Singh Rajput")</f>
        <v>Sushant Singh Rajput</v>
      </c>
      <c r="S2943" s="5" t="str">
        <f>IFERROR(__xludf.DUMMYFUNCTION("""COMPUTED_VALUE"""),"Estrela 2")</f>
        <v>Estrela 2</v>
      </c>
    </row>
    <row r="2944">
      <c r="G2944" s="5" t="str">
        <f>IFERROR(__xludf.DUMMYFUNCTION("""COMPUTED_VALUE"""),"736🤙🏼Kai po che!🤙🏼Rajkummar Rao🤙🏼Estrela 3")</f>
        <v>736🤙🏼Kai po che!🤙🏼Rajkummar Rao🤙🏼Estrela 3</v>
      </c>
      <c r="H2944" s="5">
        <f>IFERROR(__xludf.DUMMYFUNCTION("SPLiT(G2944, ""🤙🏼"",FALSE,FALSE)"),736.0)</f>
        <v>736</v>
      </c>
      <c r="I2944" s="5" t="str">
        <f>IFERROR(__xludf.DUMMYFUNCTION("""COMPUTED_VALUE"""),"Kai po che!")</f>
        <v>Kai po che!</v>
      </c>
      <c r="J2944" s="5" t="str">
        <f>IFERROR(__xludf.DUMMYFUNCTION("""COMPUTED_VALUE"""),"Rajkummar Rao")</f>
        <v>Rajkummar Rao</v>
      </c>
      <c r="K2944" s="5" t="str">
        <f>IFERROR(__xludf.DUMMYFUNCTION("""COMPUTED_VALUE"""),"Estrela 3")</f>
        <v>Estrela 3</v>
      </c>
      <c r="P2944" s="5">
        <f>IFERROR(__xludf.DUMMYFUNCTION("""COMPUTED_VALUE"""),736.0)</f>
        <v>736</v>
      </c>
      <c r="Q2944" s="5" t="str">
        <f>IFERROR(__xludf.DUMMYFUNCTION("""COMPUTED_VALUE"""),"Kai po che!")</f>
        <v>Kai po che!</v>
      </c>
      <c r="R2944" s="5" t="str">
        <f>IFERROR(__xludf.DUMMYFUNCTION("""COMPUTED_VALUE"""),"Rajkummar Rao")</f>
        <v>Rajkummar Rao</v>
      </c>
      <c r="S2944" s="5" t="str">
        <f>IFERROR(__xludf.DUMMYFUNCTION("""COMPUTED_VALUE"""),"Estrela 3")</f>
        <v>Estrela 3</v>
      </c>
    </row>
    <row r="2945">
      <c r="G2945" s="5" t="str">
        <f>IFERROR(__xludf.DUMMYFUNCTION("""COMPUTED_VALUE"""),"736🤙🏼Kai po che!🤙🏼Amrita Puri🤙🏼Estrela 4")</f>
        <v>736🤙🏼Kai po che!🤙🏼Amrita Puri🤙🏼Estrela 4</v>
      </c>
      <c r="H2945" s="5">
        <f>IFERROR(__xludf.DUMMYFUNCTION("SPLiT(G2945, ""🤙🏼"",FALSE,FALSE)"),736.0)</f>
        <v>736</v>
      </c>
      <c r="I2945" s="5" t="str">
        <f>IFERROR(__xludf.DUMMYFUNCTION("""COMPUTED_VALUE"""),"Kai po che!")</f>
        <v>Kai po che!</v>
      </c>
      <c r="J2945" s="5" t="str">
        <f>IFERROR(__xludf.DUMMYFUNCTION("""COMPUTED_VALUE"""),"Amrita Puri")</f>
        <v>Amrita Puri</v>
      </c>
      <c r="K2945" s="5" t="str">
        <f>IFERROR(__xludf.DUMMYFUNCTION("""COMPUTED_VALUE"""),"Estrela 4")</f>
        <v>Estrela 4</v>
      </c>
      <c r="P2945" s="5">
        <f>IFERROR(__xludf.DUMMYFUNCTION("""COMPUTED_VALUE"""),736.0)</f>
        <v>736</v>
      </c>
      <c r="Q2945" s="5" t="str">
        <f>IFERROR(__xludf.DUMMYFUNCTION("""COMPUTED_VALUE"""),"Kai po che!")</f>
        <v>Kai po che!</v>
      </c>
      <c r="R2945" s="5" t="str">
        <f>IFERROR(__xludf.DUMMYFUNCTION("""COMPUTED_VALUE"""),"Amrita Puri")</f>
        <v>Amrita Puri</v>
      </c>
      <c r="S2945" s="5" t="str">
        <f>IFERROR(__xludf.DUMMYFUNCTION("""COMPUTED_VALUE"""),"Estrela 4")</f>
        <v>Estrela 4</v>
      </c>
    </row>
    <row r="2946">
      <c r="G2946" s="5" t="str">
        <f>IFERROR(__xludf.DUMMYFUNCTION("""COMPUTED_VALUE"""),"737🤙🏼The Broken Circle Breakdown🤙🏼Veerle Baetens🤙🏼Estrela 1")</f>
        <v>737🤙🏼The Broken Circle Breakdown🤙🏼Veerle Baetens🤙🏼Estrela 1</v>
      </c>
      <c r="H2946" s="5">
        <f>IFERROR(__xludf.DUMMYFUNCTION("SPLiT(G2946, ""🤙🏼"",FALSE,FALSE)"),737.0)</f>
        <v>737</v>
      </c>
      <c r="I2946" s="5" t="str">
        <f>IFERROR(__xludf.DUMMYFUNCTION("""COMPUTED_VALUE"""),"The Broken Circle Breakdown")</f>
        <v>The Broken Circle Breakdown</v>
      </c>
      <c r="J2946" s="5" t="str">
        <f>IFERROR(__xludf.DUMMYFUNCTION("""COMPUTED_VALUE"""),"Veerle Baetens")</f>
        <v>Veerle Baetens</v>
      </c>
      <c r="K2946" s="5" t="str">
        <f>IFERROR(__xludf.DUMMYFUNCTION("""COMPUTED_VALUE"""),"Estrela 1")</f>
        <v>Estrela 1</v>
      </c>
      <c r="P2946" s="5">
        <f>IFERROR(__xludf.DUMMYFUNCTION("""COMPUTED_VALUE"""),737.0)</f>
        <v>737</v>
      </c>
      <c r="Q2946" s="5" t="str">
        <f>IFERROR(__xludf.DUMMYFUNCTION("""COMPUTED_VALUE"""),"The Broken Circle Breakdown")</f>
        <v>The Broken Circle Breakdown</v>
      </c>
      <c r="R2946" s="5" t="str">
        <f>IFERROR(__xludf.DUMMYFUNCTION("""COMPUTED_VALUE"""),"Veerle Baetens")</f>
        <v>Veerle Baetens</v>
      </c>
      <c r="S2946" s="5" t="str">
        <f>IFERROR(__xludf.DUMMYFUNCTION("""COMPUTED_VALUE"""),"Estrela 1")</f>
        <v>Estrela 1</v>
      </c>
    </row>
    <row r="2947">
      <c r="G2947" s="5" t="str">
        <f>IFERROR(__xludf.DUMMYFUNCTION("""COMPUTED_VALUE"""),"737🤙🏼The Broken Circle Breakdown🤙🏼Johan Heldenbergh🤙🏼Estrela 2")</f>
        <v>737🤙🏼The Broken Circle Breakdown🤙🏼Johan Heldenbergh🤙🏼Estrela 2</v>
      </c>
      <c r="H2947" s="5">
        <f>IFERROR(__xludf.DUMMYFUNCTION("SPLiT(G2947, ""🤙🏼"",FALSE,FALSE)"),737.0)</f>
        <v>737</v>
      </c>
      <c r="I2947" s="5" t="str">
        <f>IFERROR(__xludf.DUMMYFUNCTION("""COMPUTED_VALUE"""),"The Broken Circle Breakdown")</f>
        <v>The Broken Circle Breakdown</v>
      </c>
      <c r="J2947" s="5" t="str">
        <f>IFERROR(__xludf.DUMMYFUNCTION("""COMPUTED_VALUE"""),"Johan Heldenbergh")</f>
        <v>Johan Heldenbergh</v>
      </c>
      <c r="K2947" s="5" t="str">
        <f>IFERROR(__xludf.DUMMYFUNCTION("""COMPUTED_VALUE"""),"Estrela 2")</f>
        <v>Estrela 2</v>
      </c>
      <c r="P2947" s="5">
        <f>IFERROR(__xludf.DUMMYFUNCTION("""COMPUTED_VALUE"""),737.0)</f>
        <v>737</v>
      </c>
      <c r="Q2947" s="5" t="str">
        <f>IFERROR(__xludf.DUMMYFUNCTION("""COMPUTED_VALUE"""),"The Broken Circle Breakdown")</f>
        <v>The Broken Circle Breakdown</v>
      </c>
      <c r="R2947" s="5" t="str">
        <f>IFERROR(__xludf.DUMMYFUNCTION("""COMPUTED_VALUE"""),"Johan Heldenbergh")</f>
        <v>Johan Heldenbergh</v>
      </c>
      <c r="S2947" s="5" t="str">
        <f>IFERROR(__xludf.DUMMYFUNCTION("""COMPUTED_VALUE"""),"Estrela 2")</f>
        <v>Estrela 2</v>
      </c>
    </row>
    <row r="2948">
      <c r="G2948" s="5" t="str">
        <f>IFERROR(__xludf.DUMMYFUNCTION("""COMPUTED_VALUE"""),"737🤙🏼The Broken Circle Breakdown🤙🏼Nell Cattrysse🤙🏼Estrela 3")</f>
        <v>737🤙🏼The Broken Circle Breakdown🤙🏼Nell Cattrysse🤙🏼Estrela 3</v>
      </c>
      <c r="H2948" s="5">
        <f>IFERROR(__xludf.DUMMYFUNCTION("SPLiT(G2948, ""🤙🏼"",FALSE,FALSE)"),737.0)</f>
        <v>737</v>
      </c>
      <c r="I2948" s="5" t="str">
        <f>IFERROR(__xludf.DUMMYFUNCTION("""COMPUTED_VALUE"""),"The Broken Circle Breakdown")</f>
        <v>The Broken Circle Breakdown</v>
      </c>
      <c r="J2948" s="5" t="str">
        <f>IFERROR(__xludf.DUMMYFUNCTION("""COMPUTED_VALUE"""),"Nell Cattrysse")</f>
        <v>Nell Cattrysse</v>
      </c>
      <c r="K2948" s="5" t="str">
        <f>IFERROR(__xludf.DUMMYFUNCTION("""COMPUTED_VALUE"""),"Estrela 3")</f>
        <v>Estrela 3</v>
      </c>
      <c r="P2948" s="5">
        <f>IFERROR(__xludf.DUMMYFUNCTION("""COMPUTED_VALUE"""),737.0)</f>
        <v>737</v>
      </c>
      <c r="Q2948" s="5" t="str">
        <f>IFERROR(__xludf.DUMMYFUNCTION("""COMPUTED_VALUE"""),"The Broken Circle Breakdown")</f>
        <v>The Broken Circle Breakdown</v>
      </c>
      <c r="R2948" s="5" t="str">
        <f>IFERROR(__xludf.DUMMYFUNCTION("""COMPUTED_VALUE"""),"Nell Cattrysse")</f>
        <v>Nell Cattrysse</v>
      </c>
      <c r="S2948" s="5" t="str">
        <f>IFERROR(__xludf.DUMMYFUNCTION("""COMPUTED_VALUE"""),"Estrela 3")</f>
        <v>Estrela 3</v>
      </c>
    </row>
    <row r="2949">
      <c r="G2949" s="5" t="str">
        <f>IFERROR(__xludf.DUMMYFUNCTION("""COMPUTED_VALUE"""),"737🤙🏼The Broken Circle Breakdown🤙🏼Geert Van Rampelberg🤙🏼Estrela 4")</f>
        <v>737🤙🏼The Broken Circle Breakdown🤙🏼Geert Van Rampelberg🤙🏼Estrela 4</v>
      </c>
      <c r="H2949" s="5">
        <f>IFERROR(__xludf.DUMMYFUNCTION("SPLiT(G2949, ""🤙🏼"",FALSE,FALSE)"),737.0)</f>
        <v>737</v>
      </c>
      <c r="I2949" s="5" t="str">
        <f>IFERROR(__xludf.DUMMYFUNCTION("""COMPUTED_VALUE"""),"The Broken Circle Breakdown")</f>
        <v>The Broken Circle Breakdown</v>
      </c>
      <c r="J2949" s="5" t="str">
        <f>IFERROR(__xludf.DUMMYFUNCTION("""COMPUTED_VALUE"""),"Geert Van Rampelberg")</f>
        <v>Geert Van Rampelberg</v>
      </c>
      <c r="K2949" s="5" t="str">
        <f>IFERROR(__xludf.DUMMYFUNCTION("""COMPUTED_VALUE"""),"Estrela 4")</f>
        <v>Estrela 4</v>
      </c>
      <c r="P2949" s="5">
        <f>IFERROR(__xludf.DUMMYFUNCTION("""COMPUTED_VALUE"""),737.0)</f>
        <v>737</v>
      </c>
      <c r="Q2949" s="5" t="str">
        <f>IFERROR(__xludf.DUMMYFUNCTION("""COMPUTED_VALUE"""),"The Broken Circle Breakdown")</f>
        <v>The Broken Circle Breakdown</v>
      </c>
      <c r="R2949" s="5" t="str">
        <f>IFERROR(__xludf.DUMMYFUNCTION("""COMPUTED_VALUE"""),"Geert Van Rampelberg")</f>
        <v>Geert Van Rampelberg</v>
      </c>
      <c r="S2949" s="5" t="str">
        <f>IFERROR(__xludf.DUMMYFUNCTION("""COMPUTED_VALUE"""),"Estrela 4")</f>
        <v>Estrela 4</v>
      </c>
    </row>
    <row r="2950">
      <c r="G2950" s="5" t="str">
        <f>IFERROR(__xludf.DUMMYFUNCTION("""COMPUTED_VALUE"""),"738🤙🏼Captain America: The Winter Soldier🤙🏼Joe Russo🤙🏼Estrela 1")</f>
        <v>738🤙🏼Captain America: The Winter Soldier🤙🏼Joe Russo🤙🏼Estrela 1</v>
      </c>
      <c r="H2950" s="5">
        <f>IFERROR(__xludf.DUMMYFUNCTION("SPLiT(G2950, ""🤙🏼"",FALSE,FALSE)"),738.0)</f>
        <v>738</v>
      </c>
      <c r="I2950" s="5" t="str">
        <f>IFERROR(__xludf.DUMMYFUNCTION("""COMPUTED_VALUE"""),"Captain America: The Winter Soldier")</f>
        <v>Captain America: The Winter Soldier</v>
      </c>
      <c r="J2950" s="5" t="str">
        <f>IFERROR(__xludf.DUMMYFUNCTION("""COMPUTED_VALUE"""),"Joe Russo")</f>
        <v>Joe Russo</v>
      </c>
      <c r="K2950" s="5" t="str">
        <f>IFERROR(__xludf.DUMMYFUNCTION("""COMPUTED_VALUE"""),"Estrela 1")</f>
        <v>Estrela 1</v>
      </c>
      <c r="P2950" s="5">
        <f>IFERROR(__xludf.DUMMYFUNCTION("""COMPUTED_VALUE"""),738.0)</f>
        <v>738</v>
      </c>
      <c r="Q2950" s="5" t="str">
        <f>IFERROR(__xludf.DUMMYFUNCTION("""COMPUTED_VALUE"""),"Captain America: The Winter Soldier")</f>
        <v>Captain America: The Winter Soldier</v>
      </c>
      <c r="R2950" s="5" t="str">
        <f>IFERROR(__xludf.DUMMYFUNCTION("""COMPUTED_VALUE"""),"Joe Russo")</f>
        <v>Joe Russo</v>
      </c>
      <c r="S2950" s="5" t="str">
        <f>IFERROR(__xludf.DUMMYFUNCTION("""COMPUTED_VALUE"""),"Estrela 1")</f>
        <v>Estrela 1</v>
      </c>
    </row>
    <row r="2951">
      <c r="G2951" s="5" t="str">
        <f>IFERROR(__xludf.DUMMYFUNCTION("""COMPUTED_VALUE"""),"738🤙🏼Captain America: The Winter Soldier🤙🏼Chris Evans🤙🏼Estrela 2")</f>
        <v>738🤙🏼Captain America: The Winter Soldier🤙🏼Chris Evans🤙🏼Estrela 2</v>
      </c>
      <c r="H2951" s="5">
        <f>IFERROR(__xludf.DUMMYFUNCTION("SPLiT(G2951, ""🤙🏼"",FALSE,FALSE)"),738.0)</f>
        <v>738</v>
      </c>
      <c r="I2951" s="5" t="str">
        <f>IFERROR(__xludf.DUMMYFUNCTION("""COMPUTED_VALUE"""),"Captain America: The Winter Soldier")</f>
        <v>Captain America: The Winter Soldier</v>
      </c>
      <c r="J2951" s="5" t="str">
        <f>IFERROR(__xludf.DUMMYFUNCTION("""COMPUTED_VALUE"""),"Chris Evans")</f>
        <v>Chris Evans</v>
      </c>
      <c r="K2951" s="5" t="str">
        <f>IFERROR(__xludf.DUMMYFUNCTION("""COMPUTED_VALUE"""),"Estrela 2")</f>
        <v>Estrela 2</v>
      </c>
      <c r="P2951" s="5">
        <f>IFERROR(__xludf.DUMMYFUNCTION("""COMPUTED_VALUE"""),738.0)</f>
        <v>738</v>
      </c>
      <c r="Q2951" s="5" t="str">
        <f>IFERROR(__xludf.DUMMYFUNCTION("""COMPUTED_VALUE"""),"Captain America: The Winter Soldier")</f>
        <v>Captain America: The Winter Soldier</v>
      </c>
      <c r="R2951" s="5" t="str">
        <f>IFERROR(__xludf.DUMMYFUNCTION("""COMPUTED_VALUE"""),"Chris Evans")</f>
        <v>Chris Evans</v>
      </c>
      <c r="S2951" s="5" t="str">
        <f>IFERROR(__xludf.DUMMYFUNCTION("""COMPUTED_VALUE"""),"Estrela 2")</f>
        <v>Estrela 2</v>
      </c>
    </row>
    <row r="2952">
      <c r="G2952" s="5" t="str">
        <f>IFERROR(__xludf.DUMMYFUNCTION("""COMPUTED_VALUE"""),"738🤙🏼Captain America: The Winter Soldier🤙🏼Samuel L. Jackson🤙🏼Estrela 3")</f>
        <v>738🤙🏼Captain America: The Winter Soldier🤙🏼Samuel L. Jackson🤙🏼Estrela 3</v>
      </c>
      <c r="H2952" s="5">
        <f>IFERROR(__xludf.DUMMYFUNCTION("SPLiT(G2952, ""🤙🏼"",FALSE,FALSE)"),738.0)</f>
        <v>738</v>
      </c>
      <c r="I2952" s="5" t="str">
        <f>IFERROR(__xludf.DUMMYFUNCTION("""COMPUTED_VALUE"""),"Captain America: The Winter Soldier")</f>
        <v>Captain America: The Winter Soldier</v>
      </c>
      <c r="J2952" s="5" t="str">
        <f>IFERROR(__xludf.DUMMYFUNCTION("""COMPUTED_VALUE"""),"Samuel L. Jackson")</f>
        <v>Samuel L. Jackson</v>
      </c>
      <c r="K2952" s="5" t="str">
        <f>IFERROR(__xludf.DUMMYFUNCTION("""COMPUTED_VALUE"""),"Estrela 3")</f>
        <v>Estrela 3</v>
      </c>
      <c r="P2952" s="5">
        <f>IFERROR(__xludf.DUMMYFUNCTION("""COMPUTED_VALUE"""),738.0)</f>
        <v>738</v>
      </c>
      <c r="Q2952" s="5" t="str">
        <f>IFERROR(__xludf.DUMMYFUNCTION("""COMPUTED_VALUE"""),"Captain America: The Winter Soldier")</f>
        <v>Captain America: The Winter Soldier</v>
      </c>
      <c r="R2952" s="5" t="str">
        <f>IFERROR(__xludf.DUMMYFUNCTION("""COMPUTED_VALUE"""),"Samuel L. Jackson")</f>
        <v>Samuel L. Jackson</v>
      </c>
      <c r="S2952" s="5" t="str">
        <f>IFERROR(__xludf.DUMMYFUNCTION("""COMPUTED_VALUE"""),"Estrela 3")</f>
        <v>Estrela 3</v>
      </c>
    </row>
    <row r="2953">
      <c r="G2953" s="5" t="str">
        <f>IFERROR(__xludf.DUMMYFUNCTION("""COMPUTED_VALUE"""),"738🤙🏼Captain America: The Winter Soldier🤙🏼Scarlett Johansson🤙🏼Estrela 4")</f>
        <v>738🤙🏼Captain America: The Winter Soldier🤙🏼Scarlett Johansson🤙🏼Estrela 4</v>
      </c>
      <c r="H2953" s="5">
        <f>IFERROR(__xludf.DUMMYFUNCTION("SPLiT(G2953, ""🤙🏼"",FALSE,FALSE)"),738.0)</f>
        <v>738</v>
      </c>
      <c r="I2953" s="5" t="str">
        <f>IFERROR(__xludf.DUMMYFUNCTION("""COMPUTED_VALUE"""),"Captain America: The Winter Soldier")</f>
        <v>Captain America: The Winter Soldier</v>
      </c>
      <c r="J2953" s="5" t="str">
        <f>IFERROR(__xludf.DUMMYFUNCTION("""COMPUTED_VALUE"""),"Scarlett Johansson")</f>
        <v>Scarlett Johansson</v>
      </c>
      <c r="K2953" s="5" t="str">
        <f>IFERROR(__xludf.DUMMYFUNCTION("""COMPUTED_VALUE"""),"Estrela 4")</f>
        <v>Estrela 4</v>
      </c>
      <c r="P2953" s="5">
        <f>IFERROR(__xludf.DUMMYFUNCTION("""COMPUTED_VALUE"""),738.0)</f>
        <v>738</v>
      </c>
      <c r="Q2953" s="5" t="str">
        <f>IFERROR(__xludf.DUMMYFUNCTION("""COMPUTED_VALUE"""),"Captain America: The Winter Soldier")</f>
        <v>Captain America: The Winter Soldier</v>
      </c>
      <c r="R2953" s="5" t="str">
        <f>IFERROR(__xludf.DUMMYFUNCTION("""COMPUTED_VALUE"""),"Scarlett Johansson")</f>
        <v>Scarlett Johansson</v>
      </c>
      <c r="S2953" s="5" t="str">
        <f>IFERROR(__xludf.DUMMYFUNCTION("""COMPUTED_VALUE"""),"Estrela 4")</f>
        <v>Estrela 4</v>
      </c>
    </row>
    <row r="2954">
      <c r="G2954" s="5" t="str">
        <f>IFERROR(__xludf.DUMMYFUNCTION("""COMPUTED_VALUE"""),"739🤙🏼Rockstar🤙🏼Ranbir Kapoor🤙🏼Estrela 1")</f>
        <v>739🤙🏼Rockstar🤙🏼Ranbir Kapoor🤙🏼Estrela 1</v>
      </c>
      <c r="H2954" s="5">
        <f>IFERROR(__xludf.DUMMYFUNCTION("SPLiT(G2954, ""🤙🏼"",FALSE,FALSE)"),739.0)</f>
        <v>739</v>
      </c>
      <c r="I2954" s="5" t="str">
        <f>IFERROR(__xludf.DUMMYFUNCTION("""COMPUTED_VALUE"""),"Rockstar")</f>
        <v>Rockstar</v>
      </c>
      <c r="J2954" s="5" t="str">
        <f>IFERROR(__xludf.DUMMYFUNCTION("""COMPUTED_VALUE"""),"Ranbir Kapoor")</f>
        <v>Ranbir Kapoor</v>
      </c>
      <c r="K2954" s="5" t="str">
        <f>IFERROR(__xludf.DUMMYFUNCTION("""COMPUTED_VALUE"""),"Estrela 1")</f>
        <v>Estrela 1</v>
      </c>
      <c r="P2954" s="5">
        <f>IFERROR(__xludf.DUMMYFUNCTION("""COMPUTED_VALUE"""),739.0)</f>
        <v>739</v>
      </c>
      <c r="Q2954" s="5" t="str">
        <f>IFERROR(__xludf.DUMMYFUNCTION("""COMPUTED_VALUE"""),"Rockstar")</f>
        <v>Rockstar</v>
      </c>
      <c r="R2954" s="5" t="str">
        <f>IFERROR(__xludf.DUMMYFUNCTION("""COMPUTED_VALUE"""),"Ranbir Kapoor")</f>
        <v>Ranbir Kapoor</v>
      </c>
      <c r="S2954" s="5" t="str">
        <f>IFERROR(__xludf.DUMMYFUNCTION("""COMPUTED_VALUE"""),"Estrela 1")</f>
        <v>Estrela 1</v>
      </c>
    </row>
    <row r="2955">
      <c r="G2955" s="5" t="str">
        <f>IFERROR(__xludf.DUMMYFUNCTION("""COMPUTED_VALUE"""),"739🤙🏼Rockstar🤙🏼Nargis Fakhri🤙🏼Estrela 2")</f>
        <v>739🤙🏼Rockstar🤙🏼Nargis Fakhri🤙🏼Estrela 2</v>
      </c>
      <c r="H2955" s="5">
        <f>IFERROR(__xludf.DUMMYFUNCTION("SPLiT(G2955, ""🤙🏼"",FALSE,FALSE)"),739.0)</f>
        <v>739</v>
      </c>
      <c r="I2955" s="5" t="str">
        <f>IFERROR(__xludf.DUMMYFUNCTION("""COMPUTED_VALUE"""),"Rockstar")</f>
        <v>Rockstar</v>
      </c>
      <c r="J2955" s="5" t="str">
        <f>IFERROR(__xludf.DUMMYFUNCTION("""COMPUTED_VALUE"""),"Nargis Fakhri")</f>
        <v>Nargis Fakhri</v>
      </c>
      <c r="K2955" s="5" t="str">
        <f>IFERROR(__xludf.DUMMYFUNCTION("""COMPUTED_VALUE"""),"Estrela 2")</f>
        <v>Estrela 2</v>
      </c>
      <c r="P2955" s="5">
        <f>IFERROR(__xludf.DUMMYFUNCTION("""COMPUTED_VALUE"""),739.0)</f>
        <v>739</v>
      </c>
      <c r="Q2955" s="5" t="str">
        <f>IFERROR(__xludf.DUMMYFUNCTION("""COMPUTED_VALUE"""),"Rockstar")</f>
        <v>Rockstar</v>
      </c>
      <c r="R2955" s="5" t="str">
        <f>IFERROR(__xludf.DUMMYFUNCTION("""COMPUTED_VALUE"""),"Nargis Fakhri")</f>
        <v>Nargis Fakhri</v>
      </c>
      <c r="S2955" s="5" t="str">
        <f>IFERROR(__xludf.DUMMYFUNCTION("""COMPUTED_VALUE"""),"Estrela 2")</f>
        <v>Estrela 2</v>
      </c>
    </row>
    <row r="2956">
      <c r="G2956" s="5" t="str">
        <f>IFERROR(__xludf.DUMMYFUNCTION("""COMPUTED_VALUE"""),"739🤙🏼Rockstar🤙🏼Shammi Kapoor🤙🏼Estrela 3")</f>
        <v>739🤙🏼Rockstar🤙🏼Shammi Kapoor🤙🏼Estrela 3</v>
      </c>
      <c r="H2956" s="5">
        <f>IFERROR(__xludf.DUMMYFUNCTION("SPLiT(G2956, ""🤙🏼"",FALSE,FALSE)"),739.0)</f>
        <v>739</v>
      </c>
      <c r="I2956" s="5" t="str">
        <f>IFERROR(__xludf.DUMMYFUNCTION("""COMPUTED_VALUE"""),"Rockstar")</f>
        <v>Rockstar</v>
      </c>
      <c r="J2956" s="5" t="str">
        <f>IFERROR(__xludf.DUMMYFUNCTION("""COMPUTED_VALUE"""),"Shammi Kapoor")</f>
        <v>Shammi Kapoor</v>
      </c>
      <c r="K2956" s="5" t="str">
        <f>IFERROR(__xludf.DUMMYFUNCTION("""COMPUTED_VALUE"""),"Estrela 3")</f>
        <v>Estrela 3</v>
      </c>
      <c r="P2956" s="5">
        <f>IFERROR(__xludf.DUMMYFUNCTION("""COMPUTED_VALUE"""),739.0)</f>
        <v>739</v>
      </c>
      <c r="Q2956" s="5" t="str">
        <f>IFERROR(__xludf.DUMMYFUNCTION("""COMPUTED_VALUE"""),"Rockstar")</f>
        <v>Rockstar</v>
      </c>
      <c r="R2956" s="5" t="str">
        <f>IFERROR(__xludf.DUMMYFUNCTION("""COMPUTED_VALUE"""),"Shammi Kapoor")</f>
        <v>Shammi Kapoor</v>
      </c>
      <c r="S2956" s="5" t="str">
        <f>IFERROR(__xludf.DUMMYFUNCTION("""COMPUTED_VALUE"""),"Estrela 3")</f>
        <v>Estrela 3</v>
      </c>
    </row>
    <row r="2957">
      <c r="G2957" s="5" t="str">
        <f>IFERROR(__xludf.DUMMYFUNCTION("""COMPUTED_VALUE"""),"739🤙🏼Rockstar🤙🏼Kumud Mishra🤙🏼Estrela 4")</f>
        <v>739🤙🏼Rockstar🤙🏼Kumud Mishra🤙🏼Estrela 4</v>
      </c>
      <c r="H2957" s="5">
        <f>IFERROR(__xludf.DUMMYFUNCTION("SPLiT(G2957, ""🤙🏼"",FALSE,FALSE)"),739.0)</f>
        <v>739</v>
      </c>
      <c r="I2957" s="5" t="str">
        <f>IFERROR(__xludf.DUMMYFUNCTION("""COMPUTED_VALUE"""),"Rockstar")</f>
        <v>Rockstar</v>
      </c>
      <c r="J2957" s="5" t="str">
        <f>IFERROR(__xludf.DUMMYFUNCTION("""COMPUTED_VALUE"""),"Kumud Mishra")</f>
        <v>Kumud Mishra</v>
      </c>
      <c r="K2957" s="5" t="str">
        <f>IFERROR(__xludf.DUMMYFUNCTION("""COMPUTED_VALUE"""),"Estrela 4")</f>
        <v>Estrela 4</v>
      </c>
      <c r="P2957" s="5">
        <f>IFERROR(__xludf.DUMMYFUNCTION("""COMPUTED_VALUE"""),739.0)</f>
        <v>739</v>
      </c>
      <c r="Q2957" s="5" t="str">
        <f>IFERROR(__xludf.DUMMYFUNCTION("""COMPUTED_VALUE"""),"Rockstar")</f>
        <v>Rockstar</v>
      </c>
      <c r="R2957" s="5" t="str">
        <f>IFERROR(__xludf.DUMMYFUNCTION("""COMPUTED_VALUE"""),"Kumud Mishra")</f>
        <v>Kumud Mishra</v>
      </c>
      <c r="S2957" s="5" t="str">
        <f>IFERROR(__xludf.DUMMYFUNCTION("""COMPUTED_VALUE"""),"Estrela 4")</f>
        <v>Estrela 4</v>
      </c>
    </row>
    <row r="2958">
      <c r="G2958" s="5" t="str">
        <f>IFERROR(__xludf.DUMMYFUNCTION("""COMPUTED_VALUE"""),"740🤙🏼Nebraska🤙🏼Bruce Dern🤙🏼Estrela 1")</f>
        <v>740🤙🏼Nebraska🤙🏼Bruce Dern🤙🏼Estrela 1</v>
      </c>
      <c r="H2958" s="5">
        <f>IFERROR(__xludf.DUMMYFUNCTION("SPLiT(G2958, ""🤙🏼"",FALSE,FALSE)"),740.0)</f>
        <v>740</v>
      </c>
      <c r="I2958" s="5" t="str">
        <f>IFERROR(__xludf.DUMMYFUNCTION("""COMPUTED_VALUE"""),"Nebraska")</f>
        <v>Nebraska</v>
      </c>
      <c r="J2958" s="5" t="str">
        <f>IFERROR(__xludf.DUMMYFUNCTION("""COMPUTED_VALUE"""),"Bruce Dern")</f>
        <v>Bruce Dern</v>
      </c>
      <c r="K2958" s="5" t="str">
        <f>IFERROR(__xludf.DUMMYFUNCTION("""COMPUTED_VALUE"""),"Estrela 1")</f>
        <v>Estrela 1</v>
      </c>
      <c r="P2958" s="5">
        <f>IFERROR(__xludf.DUMMYFUNCTION("""COMPUTED_VALUE"""),740.0)</f>
        <v>740</v>
      </c>
      <c r="Q2958" s="5" t="str">
        <f>IFERROR(__xludf.DUMMYFUNCTION("""COMPUTED_VALUE"""),"Nebraska")</f>
        <v>Nebraska</v>
      </c>
      <c r="R2958" s="5" t="str">
        <f>IFERROR(__xludf.DUMMYFUNCTION("""COMPUTED_VALUE"""),"Bruce Dern")</f>
        <v>Bruce Dern</v>
      </c>
      <c r="S2958" s="5" t="str">
        <f>IFERROR(__xludf.DUMMYFUNCTION("""COMPUTED_VALUE"""),"Estrela 1")</f>
        <v>Estrela 1</v>
      </c>
    </row>
    <row r="2959">
      <c r="G2959" s="5" t="str">
        <f>IFERROR(__xludf.DUMMYFUNCTION("""COMPUTED_VALUE"""),"740🤙🏼Nebraska🤙🏼Will Forte🤙🏼Estrela 2")</f>
        <v>740🤙🏼Nebraska🤙🏼Will Forte🤙🏼Estrela 2</v>
      </c>
      <c r="H2959" s="5">
        <f>IFERROR(__xludf.DUMMYFUNCTION("SPLiT(G2959, ""🤙🏼"",FALSE,FALSE)"),740.0)</f>
        <v>740</v>
      </c>
      <c r="I2959" s="5" t="str">
        <f>IFERROR(__xludf.DUMMYFUNCTION("""COMPUTED_VALUE"""),"Nebraska")</f>
        <v>Nebraska</v>
      </c>
      <c r="J2959" s="5" t="str">
        <f>IFERROR(__xludf.DUMMYFUNCTION("""COMPUTED_VALUE"""),"Will Forte")</f>
        <v>Will Forte</v>
      </c>
      <c r="K2959" s="5" t="str">
        <f>IFERROR(__xludf.DUMMYFUNCTION("""COMPUTED_VALUE"""),"Estrela 2")</f>
        <v>Estrela 2</v>
      </c>
      <c r="P2959" s="5">
        <f>IFERROR(__xludf.DUMMYFUNCTION("""COMPUTED_VALUE"""),740.0)</f>
        <v>740</v>
      </c>
      <c r="Q2959" s="5" t="str">
        <f>IFERROR(__xludf.DUMMYFUNCTION("""COMPUTED_VALUE"""),"Nebraska")</f>
        <v>Nebraska</v>
      </c>
      <c r="R2959" s="5" t="str">
        <f>IFERROR(__xludf.DUMMYFUNCTION("""COMPUTED_VALUE"""),"Will Forte")</f>
        <v>Will Forte</v>
      </c>
      <c r="S2959" s="5" t="str">
        <f>IFERROR(__xludf.DUMMYFUNCTION("""COMPUTED_VALUE"""),"Estrela 2")</f>
        <v>Estrela 2</v>
      </c>
    </row>
    <row r="2960">
      <c r="G2960" s="5" t="str">
        <f>IFERROR(__xludf.DUMMYFUNCTION("""COMPUTED_VALUE"""),"740🤙🏼Nebraska🤙🏼June Squibb🤙🏼Estrela 3")</f>
        <v>740🤙🏼Nebraska🤙🏼June Squibb🤙🏼Estrela 3</v>
      </c>
      <c r="H2960" s="5">
        <f>IFERROR(__xludf.DUMMYFUNCTION("SPLiT(G2960, ""🤙🏼"",FALSE,FALSE)"),740.0)</f>
        <v>740</v>
      </c>
      <c r="I2960" s="5" t="str">
        <f>IFERROR(__xludf.DUMMYFUNCTION("""COMPUTED_VALUE"""),"Nebraska")</f>
        <v>Nebraska</v>
      </c>
      <c r="J2960" s="5" t="str">
        <f>IFERROR(__xludf.DUMMYFUNCTION("""COMPUTED_VALUE"""),"June Squibb")</f>
        <v>June Squibb</v>
      </c>
      <c r="K2960" s="5" t="str">
        <f>IFERROR(__xludf.DUMMYFUNCTION("""COMPUTED_VALUE"""),"Estrela 3")</f>
        <v>Estrela 3</v>
      </c>
      <c r="P2960" s="5">
        <f>IFERROR(__xludf.DUMMYFUNCTION("""COMPUTED_VALUE"""),740.0)</f>
        <v>740</v>
      </c>
      <c r="Q2960" s="5" t="str">
        <f>IFERROR(__xludf.DUMMYFUNCTION("""COMPUTED_VALUE"""),"Nebraska")</f>
        <v>Nebraska</v>
      </c>
      <c r="R2960" s="5" t="str">
        <f>IFERROR(__xludf.DUMMYFUNCTION("""COMPUTED_VALUE"""),"June Squibb")</f>
        <v>June Squibb</v>
      </c>
      <c r="S2960" s="5" t="str">
        <f>IFERROR(__xludf.DUMMYFUNCTION("""COMPUTED_VALUE"""),"Estrela 3")</f>
        <v>Estrela 3</v>
      </c>
    </row>
    <row r="2961">
      <c r="G2961" s="5" t="str">
        <f>IFERROR(__xludf.DUMMYFUNCTION("""COMPUTED_VALUE"""),"740🤙🏼Nebraska🤙🏼Bob Odenkirk🤙🏼Estrela 4")</f>
        <v>740🤙🏼Nebraska🤙🏼Bob Odenkirk🤙🏼Estrela 4</v>
      </c>
      <c r="H2961" s="5">
        <f>IFERROR(__xludf.DUMMYFUNCTION("SPLiT(G2961, ""🤙🏼"",FALSE,FALSE)"),740.0)</f>
        <v>740</v>
      </c>
      <c r="I2961" s="5" t="str">
        <f>IFERROR(__xludf.DUMMYFUNCTION("""COMPUTED_VALUE"""),"Nebraska")</f>
        <v>Nebraska</v>
      </c>
      <c r="J2961" s="5" t="str">
        <f>IFERROR(__xludf.DUMMYFUNCTION("""COMPUTED_VALUE"""),"Bob Odenkirk")</f>
        <v>Bob Odenkirk</v>
      </c>
      <c r="K2961" s="5" t="str">
        <f>IFERROR(__xludf.DUMMYFUNCTION("""COMPUTED_VALUE"""),"Estrela 4")</f>
        <v>Estrela 4</v>
      </c>
      <c r="P2961" s="5">
        <f>IFERROR(__xludf.DUMMYFUNCTION("""COMPUTED_VALUE"""),740.0)</f>
        <v>740</v>
      </c>
      <c r="Q2961" s="5" t="str">
        <f>IFERROR(__xludf.DUMMYFUNCTION("""COMPUTED_VALUE"""),"Nebraska")</f>
        <v>Nebraska</v>
      </c>
      <c r="R2961" s="5" t="str">
        <f>IFERROR(__xludf.DUMMYFUNCTION("""COMPUTED_VALUE"""),"Bob Odenkirk")</f>
        <v>Bob Odenkirk</v>
      </c>
      <c r="S2961" s="5" t="str">
        <f>IFERROR(__xludf.DUMMYFUNCTION("""COMPUTED_VALUE"""),"Estrela 4")</f>
        <v>Estrela 4</v>
      </c>
    </row>
    <row r="2962">
      <c r="G2962" s="5" t="str">
        <f>IFERROR(__xludf.DUMMYFUNCTION("""COMPUTED_VALUE"""),"741🤙🏼Wreck-It Ralph🤙🏼John C. Reilly🤙🏼Estrela 1")</f>
        <v>741🤙🏼Wreck-It Ralph🤙🏼John C. Reilly🤙🏼Estrela 1</v>
      </c>
      <c r="H2962" s="5">
        <f>IFERROR(__xludf.DUMMYFUNCTION("SPLiT(G2962, ""🤙🏼"",FALSE,FALSE)"),741.0)</f>
        <v>741</v>
      </c>
      <c r="I2962" s="5" t="str">
        <f>IFERROR(__xludf.DUMMYFUNCTION("""COMPUTED_VALUE"""),"Wreck-It Ralph")</f>
        <v>Wreck-It Ralph</v>
      </c>
      <c r="J2962" s="5" t="str">
        <f>IFERROR(__xludf.DUMMYFUNCTION("""COMPUTED_VALUE"""),"John C. Reilly")</f>
        <v>John C. Reilly</v>
      </c>
      <c r="K2962" s="5" t="str">
        <f>IFERROR(__xludf.DUMMYFUNCTION("""COMPUTED_VALUE"""),"Estrela 1")</f>
        <v>Estrela 1</v>
      </c>
      <c r="P2962" s="5">
        <f>IFERROR(__xludf.DUMMYFUNCTION("""COMPUTED_VALUE"""),741.0)</f>
        <v>741</v>
      </c>
      <c r="Q2962" s="5" t="str">
        <f>IFERROR(__xludf.DUMMYFUNCTION("""COMPUTED_VALUE"""),"Wreck-It Ralph")</f>
        <v>Wreck-It Ralph</v>
      </c>
      <c r="R2962" s="5" t="str">
        <f>IFERROR(__xludf.DUMMYFUNCTION("""COMPUTED_VALUE"""),"John C. Reilly")</f>
        <v>John C. Reilly</v>
      </c>
      <c r="S2962" s="5" t="str">
        <f>IFERROR(__xludf.DUMMYFUNCTION("""COMPUTED_VALUE"""),"Estrela 1")</f>
        <v>Estrela 1</v>
      </c>
    </row>
    <row r="2963">
      <c r="G2963" s="5" t="str">
        <f>IFERROR(__xludf.DUMMYFUNCTION("""COMPUTED_VALUE"""),"741🤙🏼Wreck-It Ralph🤙🏼Jack McBrayer🤙🏼Estrela 2")</f>
        <v>741🤙🏼Wreck-It Ralph🤙🏼Jack McBrayer🤙🏼Estrela 2</v>
      </c>
      <c r="H2963" s="5">
        <f>IFERROR(__xludf.DUMMYFUNCTION("SPLiT(G2963, ""🤙🏼"",FALSE,FALSE)"),741.0)</f>
        <v>741</v>
      </c>
      <c r="I2963" s="5" t="str">
        <f>IFERROR(__xludf.DUMMYFUNCTION("""COMPUTED_VALUE"""),"Wreck-It Ralph")</f>
        <v>Wreck-It Ralph</v>
      </c>
      <c r="J2963" s="5" t="str">
        <f>IFERROR(__xludf.DUMMYFUNCTION("""COMPUTED_VALUE"""),"Jack McBrayer")</f>
        <v>Jack McBrayer</v>
      </c>
      <c r="K2963" s="5" t="str">
        <f>IFERROR(__xludf.DUMMYFUNCTION("""COMPUTED_VALUE"""),"Estrela 2")</f>
        <v>Estrela 2</v>
      </c>
      <c r="P2963" s="5">
        <f>IFERROR(__xludf.DUMMYFUNCTION("""COMPUTED_VALUE"""),741.0)</f>
        <v>741</v>
      </c>
      <c r="Q2963" s="5" t="str">
        <f>IFERROR(__xludf.DUMMYFUNCTION("""COMPUTED_VALUE"""),"Wreck-It Ralph")</f>
        <v>Wreck-It Ralph</v>
      </c>
      <c r="R2963" s="5" t="str">
        <f>IFERROR(__xludf.DUMMYFUNCTION("""COMPUTED_VALUE"""),"Jack McBrayer")</f>
        <v>Jack McBrayer</v>
      </c>
      <c r="S2963" s="5" t="str">
        <f>IFERROR(__xludf.DUMMYFUNCTION("""COMPUTED_VALUE"""),"Estrela 2")</f>
        <v>Estrela 2</v>
      </c>
    </row>
    <row r="2964">
      <c r="G2964" s="5" t="str">
        <f>IFERROR(__xludf.DUMMYFUNCTION("""COMPUTED_VALUE"""),"741🤙🏼Wreck-It Ralph🤙🏼Jane Lynch🤙🏼Estrela 3")</f>
        <v>741🤙🏼Wreck-It Ralph🤙🏼Jane Lynch🤙🏼Estrela 3</v>
      </c>
      <c r="H2964" s="5">
        <f>IFERROR(__xludf.DUMMYFUNCTION("SPLiT(G2964, ""🤙🏼"",FALSE,FALSE)"),741.0)</f>
        <v>741</v>
      </c>
      <c r="I2964" s="5" t="str">
        <f>IFERROR(__xludf.DUMMYFUNCTION("""COMPUTED_VALUE"""),"Wreck-It Ralph")</f>
        <v>Wreck-It Ralph</v>
      </c>
      <c r="J2964" s="5" t="str">
        <f>IFERROR(__xludf.DUMMYFUNCTION("""COMPUTED_VALUE"""),"Jane Lynch")</f>
        <v>Jane Lynch</v>
      </c>
      <c r="K2964" s="5" t="str">
        <f>IFERROR(__xludf.DUMMYFUNCTION("""COMPUTED_VALUE"""),"Estrela 3")</f>
        <v>Estrela 3</v>
      </c>
      <c r="P2964" s="5">
        <f>IFERROR(__xludf.DUMMYFUNCTION("""COMPUTED_VALUE"""),741.0)</f>
        <v>741</v>
      </c>
      <c r="Q2964" s="5" t="str">
        <f>IFERROR(__xludf.DUMMYFUNCTION("""COMPUTED_VALUE"""),"Wreck-It Ralph")</f>
        <v>Wreck-It Ralph</v>
      </c>
      <c r="R2964" s="5" t="str">
        <f>IFERROR(__xludf.DUMMYFUNCTION("""COMPUTED_VALUE"""),"Jane Lynch")</f>
        <v>Jane Lynch</v>
      </c>
      <c r="S2964" s="5" t="str">
        <f>IFERROR(__xludf.DUMMYFUNCTION("""COMPUTED_VALUE"""),"Estrela 3")</f>
        <v>Estrela 3</v>
      </c>
    </row>
    <row r="2965">
      <c r="G2965" s="5" t="str">
        <f>IFERROR(__xludf.DUMMYFUNCTION("""COMPUTED_VALUE"""),"741🤙🏼Wreck-It Ralph🤙🏼Sarah Silverman🤙🏼Estrela 4")</f>
        <v>741🤙🏼Wreck-It Ralph🤙🏼Sarah Silverman🤙🏼Estrela 4</v>
      </c>
      <c r="H2965" s="5">
        <f>IFERROR(__xludf.DUMMYFUNCTION("SPLiT(G2965, ""🤙🏼"",FALSE,FALSE)"),741.0)</f>
        <v>741</v>
      </c>
      <c r="I2965" s="5" t="str">
        <f>IFERROR(__xludf.DUMMYFUNCTION("""COMPUTED_VALUE"""),"Wreck-It Ralph")</f>
        <v>Wreck-It Ralph</v>
      </c>
      <c r="J2965" s="5" t="str">
        <f>IFERROR(__xludf.DUMMYFUNCTION("""COMPUTED_VALUE"""),"Sarah Silverman")</f>
        <v>Sarah Silverman</v>
      </c>
      <c r="K2965" s="5" t="str">
        <f>IFERROR(__xludf.DUMMYFUNCTION("""COMPUTED_VALUE"""),"Estrela 4")</f>
        <v>Estrela 4</v>
      </c>
      <c r="P2965" s="5">
        <f>IFERROR(__xludf.DUMMYFUNCTION("""COMPUTED_VALUE"""),741.0)</f>
        <v>741</v>
      </c>
      <c r="Q2965" s="5" t="str">
        <f>IFERROR(__xludf.DUMMYFUNCTION("""COMPUTED_VALUE"""),"Wreck-It Ralph")</f>
        <v>Wreck-It Ralph</v>
      </c>
      <c r="R2965" s="5" t="str">
        <f>IFERROR(__xludf.DUMMYFUNCTION("""COMPUTED_VALUE"""),"Sarah Silverman")</f>
        <v>Sarah Silverman</v>
      </c>
      <c r="S2965" s="5" t="str">
        <f>IFERROR(__xludf.DUMMYFUNCTION("""COMPUTED_VALUE"""),"Estrela 4")</f>
        <v>Estrela 4</v>
      </c>
    </row>
    <row r="2966">
      <c r="G2966" s="5" t="str">
        <f>IFERROR(__xludf.DUMMYFUNCTION("""COMPUTED_VALUE"""),"742🤙🏼Le Petit Prince🤙🏼Jeff Bridges🤙🏼Estrela 1")</f>
        <v>742🤙🏼Le Petit Prince🤙🏼Jeff Bridges🤙🏼Estrela 1</v>
      </c>
      <c r="H2966" s="5">
        <f>IFERROR(__xludf.DUMMYFUNCTION("SPLiT(G2966, ""🤙🏼"",FALSE,FALSE)"),742.0)</f>
        <v>742</v>
      </c>
      <c r="I2966" s="5" t="str">
        <f>IFERROR(__xludf.DUMMYFUNCTION("""COMPUTED_VALUE"""),"Le Petit Prince")</f>
        <v>Le Petit Prince</v>
      </c>
      <c r="J2966" s="5" t="str">
        <f>IFERROR(__xludf.DUMMYFUNCTION("""COMPUTED_VALUE"""),"Jeff Bridges")</f>
        <v>Jeff Bridges</v>
      </c>
      <c r="K2966" s="5" t="str">
        <f>IFERROR(__xludf.DUMMYFUNCTION("""COMPUTED_VALUE"""),"Estrela 1")</f>
        <v>Estrela 1</v>
      </c>
      <c r="P2966" s="5">
        <f>IFERROR(__xludf.DUMMYFUNCTION("""COMPUTED_VALUE"""),742.0)</f>
        <v>742</v>
      </c>
      <c r="Q2966" s="5" t="str">
        <f>IFERROR(__xludf.DUMMYFUNCTION("""COMPUTED_VALUE"""),"Le Petit Prince")</f>
        <v>Le Petit Prince</v>
      </c>
      <c r="R2966" s="5" t="str">
        <f>IFERROR(__xludf.DUMMYFUNCTION("""COMPUTED_VALUE"""),"Jeff Bridges")</f>
        <v>Jeff Bridges</v>
      </c>
      <c r="S2966" s="5" t="str">
        <f>IFERROR(__xludf.DUMMYFUNCTION("""COMPUTED_VALUE"""),"Estrela 1")</f>
        <v>Estrela 1</v>
      </c>
    </row>
    <row r="2967">
      <c r="G2967" s="5" t="str">
        <f>IFERROR(__xludf.DUMMYFUNCTION("""COMPUTED_VALUE"""),"742🤙🏼Le Petit Prince🤙🏼Mackenzie Foy🤙🏼Estrela 2")</f>
        <v>742🤙🏼Le Petit Prince🤙🏼Mackenzie Foy🤙🏼Estrela 2</v>
      </c>
      <c r="H2967" s="5">
        <f>IFERROR(__xludf.DUMMYFUNCTION("SPLiT(G2967, ""🤙🏼"",FALSE,FALSE)"),742.0)</f>
        <v>742</v>
      </c>
      <c r="I2967" s="5" t="str">
        <f>IFERROR(__xludf.DUMMYFUNCTION("""COMPUTED_VALUE"""),"Le Petit Prince")</f>
        <v>Le Petit Prince</v>
      </c>
      <c r="J2967" s="5" t="str">
        <f>IFERROR(__xludf.DUMMYFUNCTION("""COMPUTED_VALUE"""),"Mackenzie Foy")</f>
        <v>Mackenzie Foy</v>
      </c>
      <c r="K2967" s="5" t="str">
        <f>IFERROR(__xludf.DUMMYFUNCTION("""COMPUTED_VALUE"""),"Estrela 2")</f>
        <v>Estrela 2</v>
      </c>
      <c r="P2967" s="5">
        <f>IFERROR(__xludf.DUMMYFUNCTION("""COMPUTED_VALUE"""),742.0)</f>
        <v>742</v>
      </c>
      <c r="Q2967" s="5" t="str">
        <f>IFERROR(__xludf.DUMMYFUNCTION("""COMPUTED_VALUE"""),"Le Petit Prince")</f>
        <v>Le Petit Prince</v>
      </c>
      <c r="R2967" s="5" t="str">
        <f>IFERROR(__xludf.DUMMYFUNCTION("""COMPUTED_VALUE"""),"Mackenzie Foy")</f>
        <v>Mackenzie Foy</v>
      </c>
      <c r="S2967" s="5" t="str">
        <f>IFERROR(__xludf.DUMMYFUNCTION("""COMPUTED_VALUE"""),"Estrela 2")</f>
        <v>Estrela 2</v>
      </c>
    </row>
    <row r="2968">
      <c r="G2968" s="5" t="str">
        <f>IFERROR(__xludf.DUMMYFUNCTION("""COMPUTED_VALUE"""),"742🤙🏼Le Petit Prince🤙🏼Rachel McAdams🤙🏼Estrela 3")</f>
        <v>742🤙🏼Le Petit Prince🤙🏼Rachel McAdams🤙🏼Estrela 3</v>
      </c>
      <c r="H2968" s="5">
        <f>IFERROR(__xludf.DUMMYFUNCTION("SPLiT(G2968, ""🤙🏼"",FALSE,FALSE)"),742.0)</f>
        <v>742</v>
      </c>
      <c r="I2968" s="5" t="str">
        <f>IFERROR(__xludf.DUMMYFUNCTION("""COMPUTED_VALUE"""),"Le Petit Prince")</f>
        <v>Le Petit Prince</v>
      </c>
      <c r="J2968" s="5" t="str">
        <f>IFERROR(__xludf.DUMMYFUNCTION("""COMPUTED_VALUE"""),"Rachel McAdams")</f>
        <v>Rachel McAdams</v>
      </c>
      <c r="K2968" s="5" t="str">
        <f>IFERROR(__xludf.DUMMYFUNCTION("""COMPUTED_VALUE"""),"Estrela 3")</f>
        <v>Estrela 3</v>
      </c>
      <c r="P2968" s="5">
        <f>IFERROR(__xludf.DUMMYFUNCTION("""COMPUTED_VALUE"""),742.0)</f>
        <v>742</v>
      </c>
      <c r="Q2968" s="5" t="str">
        <f>IFERROR(__xludf.DUMMYFUNCTION("""COMPUTED_VALUE"""),"Le Petit Prince")</f>
        <v>Le Petit Prince</v>
      </c>
      <c r="R2968" s="5" t="str">
        <f>IFERROR(__xludf.DUMMYFUNCTION("""COMPUTED_VALUE"""),"Rachel McAdams")</f>
        <v>Rachel McAdams</v>
      </c>
      <c r="S2968" s="5" t="str">
        <f>IFERROR(__xludf.DUMMYFUNCTION("""COMPUTED_VALUE"""),"Estrela 3")</f>
        <v>Estrela 3</v>
      </c>
    </row>
    <row r="2969">
      <c r="G2969" s="5" t="str">
        <f>IFERROR(__xludf.DUMMYFUNCTION("""COMPUTED_VALUE"""),"742🤙🏼Le Petit Prince🤙🏼Marion Cotillard🤙🏼Estrela 4")</f>
        <v>742🤙🏼Le Petit Prince🤙🏼Marion Cotillard🤙🏼Estrela 4</v>
      </c>
      <c r="H2969" s="5">
        <f>IFERROR(__xludf.DUMMYFUNCTION("SPLiT(G2969, ""🤙🏼"",FALSE,FALSE)"),742.0)</f>
        <v>742</v>
      </c>
      <c r="I2969" s="5" t="str">
        <f>IFERROR(__xludf.DUMMYFUNCTION("""COMPUTED_VALUE"""),"Le Petit Prince")</f>
        <v>Le Petit Prince</v>
      </c>
      <c r="J2969" s="5" t="str">
        <f>IFERROR(__xludf.DUMMYFUNCTION("""COMPUTED_VALUE"""),"Marion Cotillard")</f>
        <v>Marion Cotillard</v>
      </c>
      <c r="K2969" s="5" t="str">
        <f>IFERROR(__xludf.DUMMYFUNCTION("""COMPUTED_VALUE"""),"Estrela 4")</f>
        <v>Estrela 4</v>
      </c>
      <c r="P2969" s="5">
        <f>IFERROR(__xludf.DUMMYFUNCTION("""COMPUTED_VALUE"""),742.0)</f>
        <v>742</v>
      </c>
      <c r="Q2969" s="5" t="str">
        <f>IFERROR(__xludf.DUMMYFUNCTION("""COMPUTED_VALUE"""),"Le Petit Prince")</f>
        <v>Le Petit Prince</v>
      </c>
      <c r="R2969" s="5" t="str">
        <f>IFERROR(__xludf.DUMMYFUNCTION("""COMPUTED_VALUE"""),"Marion Cotillard")</f>
        <v>Marion Cotillard</v>
      </c>
      <c r="S2969" s="5" t="str">
        <f>IFERROR(__xludf.DUMMYFUNCTION("""COMPUTED_VALUE"""),"Estrela 4")</f>
        <v>Estrela 4</v>
      </c>
    </row>
    <row r="2970">
      <c r="G2970" s="5" t="str">
        <f>IFERROR(__xludf.DUMMYFUNCTION("""COMPUTED_VALUE"""),"743🤙🏼Detachment🤙🏼Adrien Brody🤙🏼Estrela 1")</f>
        <v>743🤙🏼Detachment🤙🏼Adrien Brody🤙🏼Estrela 1</v>
      </c>
      <c r="H2970" s="5">
        <f>IFERROR(__xludf.DUMMYFUNCTION("SPLiT(G2970, ""🤙🏼"",FALSE,FALSE)"),743.0)</f>
        <v>743</v>
      </c>
      <c r="I2970" s="5" t="str">
        <f>IFERROR(__xludf.DUMMYFUNCTION("""COMPUTED_VALUE"""),"Detachment")</f>
        <v>Detachment</v>
      </c>
      <c r="J2970" s="5" t="str">
        <f>IFERROR(__xludf.DUMMYFUNCTION("""COMPUTED_VALUE"""),"Adrien Brody")</f>
        <v>Adrien Brody</v>
      </c>
      <c r="K2970" s="5" t="str">
        <f>IFERROR(__xludf.DUMMYFUNCTION("""COMPUTED_VALUE"""),"Estrela 1")</f>
        <v>Estrela 1</v>
      </c>
      <c r="P2970" s="5">
        <f>IFERROR(__xludf.DUMMYFUNCTION("""COMPUTED_VALUE"""),743.0)</f>
        <v>743</v>
      </c>
      <c r="Q2970" s="5" t="str">
        <f>IFERROR(__xludf.DUMMYFUNCTION("""COMPUTED_VALUE"""),"Detachment")</f>
        <v>Detachment</v>
      </c>
      <c r="R2970" s="5" t="str">
        <f>IFERROR(__xludf.DUMMYFUNCTION("""COMPUTED_VALUE"""),"Adrien Brody")</f>
        <v>Adrien Brody</v>
      </c>
      <c r="S2970" s="5" t="str">
        <f>IFERROR(__xludf.DUMMYFUNCTION("""COMPUTED_VALUE"""),"Estrela 1")</f>
        <v>Estrela 1</v>
      </c>
    </row>
    <row r="2971">
      <c r="G2971" s="5" t="str">
        <f>IFERROR(__xludf.DUMMYFUNCTION("""COMPUTED_VALUE"""),"743🤙🏼Detachment🤙🏼Christina Hendricks🤙🏼Estrela 2")</f>
        <v>743🤙🏼Detachment🤙🏼Christina Hendricks🤙🏼Estrela 2</v>
      </c>
      <c r="H2971" s="5">
        <f>IFERROR(__xludf.DUMMYFUNCTION("SPLiT(G2971, ""🤙🏼"",FALSE,FALSE)"),743.0)</f>
        <v>743</v>
      </c>
      <c r="I2971" s="5" t="str">
        <f>IFERROR(__xludf.DUMMYFUNCTION("""COMPUTED_VALUE"""),"Detachment")</f>
        <v>Detachment</v>
      </c>
      <c r="J2971" s="5" t="str">
        <f>IFERROR(__xludf.DUMMYFUNCTION("""COMPUTED_VALUE"""),"Christina Hendricks")</f>
        <v>Christina Hendricks</v>
      </c>
      <c r="K2971" s="5" t="str">
        <f>IFERROR(__xludf.DUMMYFUNCTION("""COMPUTED_VALUE"""),"Estrela 2")</f>
        <v>Estrela 2</v>
      </c>
      <c r="P2971" s="5">
        <f>IFERROR(__xludf.DUMMYFUNCTION("""COMPUTED_VALUE"""),743.0)</f>
        <v>743</v>
      </c>
      <c r="Q2971" s="5" t="str">
        <f>IFERROR(__xludf.DUMMYFUNCTION("""COMPUTED_VALUE"""),"Detachment")</f>
        <v>Detachment</v>
      </c>
      <c r="R2971" s="5" t="str">
        <f>IFERROR(__xludf.DUMMYFUNCTION("""COMPUTED_VALUE"""),"Christina Hendricks")</f>
        <v>Christina Hendricks</v>
      </c>
      <c r="S2971" s="5" t="str">
        <f>IFERROR(__xludf.DUMMYFUNCTION("""COMPUTED_VALUE"""),"Estrela 2")</f>
        <v>Estrela 2</v>
      </c>
    </row>
    <row r="2972">
      <c r="G2972" s="5" t="str">
        <f>IFERROR(__xludf.DUMMYFUNCTION("""COMPUTED_VALUE"""),"743🤙🏼Detachment🤙🏼Marcia Gay Harden🤙🏼Estrela 3")</f>
        <v>743🤙🏼Detachment🤙🏼Marcia Gay Harden🤙🏼Estrela 3</v>
      </c>
      <c r="H2972" s="5">
        <f>IFERROR(__xludf.DUMMYFUNCTION("SPLiT(G2972, ""🤙🏼"",FALSE,FALSE)"),743.0)</f>
        <v>743</v>
      </c>
      <c r="I2972" s="5" t="str">
        <f>IFERROR(__xludf.DUMMYFUNCTION("""COMPUTED_VALUE"""),"Detachment")</f>
        <v>Detachment</v>
      </c>
      <c r="J2972" s="5" t="str">
        <f>IFERROR(__xludf.DUMMYFUNCTION("""COMPUTED_VALUE"""),"Marcia Gay Harden")</f>
        <v>Marcia Gay Harden</v>
      </c>
      <c r="K2972" s="5" t="str">
        <f>IFERROR(__xludf.DUMMYFUNCTION("""COMPUTED_VALUE"""),"Estrela 3")</f>
        <v>Estrela 3</v>
      </c>
      <c r="P2972" s="5">
        <f>IFERROR(__xludf.DUMMYFUNCTION("""COMPUTED_VALUE"""),743.0)</f>
        <v>743</v>
      </c>
      <c r="Q2972" s="5" t="str">
        <f>IFERROR(__xludf.DUMMYFUNCTION("""COMPUTED_VALUE"""),"Detachment")</f>
        <v>Detachment</v>
      </c>
      <c r="R2972" s="5" t="str">
        <f>IFERROR(__xludf.DUMMYFUNCTION("""COMPUTED_VALUE"""),"Marcia Gay Harden")</f>
        <v>Marcia Gay Harden</v>
      </c>
      <c r="S2972" s="5" t="str">
        <f>IFERROR(__xludf.DUMMYFUNCTION("""COMPUTED_VALUE"""),"Estrela 3")</f>
        <v>Estrela 3</v>
      </c>
    </row>
    <row r="2973">
      <c r="G2973" s="5" t="str">
        <f>IFERROR(__xludf.DUMMYFUNCTION("""COMPUTED_VALUE"""),"743🤙🏼Detachment🤙🏼Lucy Liu🤙🏼Estrela 4")</f>
        <v>743🤙🏼Detachment🤙🏼Lucy Liu🤙🏼Estrela 4</v>
      </c>
      <c r="H2973" s="5">
        <f>IFERROR(__xludf.DUMMYFUNCTION("SPLiT(G2973, ""🤙🏼"",FALSE,FALSE)"),743.0)</f>
        <v>743</v>
      </c>
      <c r="I2973" s="5" t="str">
        <f>IFERROR(__xludf.DUMMYFUNCTION("""COMPUTED_VALUE"""),"Detachment")</f>
        <v>Detachment</v>
      </c>
      <c r="J2973" s="5" t="str">
        <f>IFERROR(__xludf.DUMMYFUNCTION("""COMPUTED_VALUE"""),"Lucy Liu")</f>
        <v>Lucy Liu</v>
      </c>
      <c r="K2973" s="5" t="str">
        <f>IFERROR(__xludf.DUMMYFUNCTION("""COMPUTED_VALUE"""),"Estrela 4")</f>
        <v>Estrela 4</v>
      </c>
      <c r="P2973" s="5">
        <f>IFERROR(__xludf.DUMMYFUNCTION("""COMPUTED_VALUE"""),743.0)</f>
        <v>743</v>
      </c>
      <c r="Q2973" s="5" t="str">
        <f>IFERROR(__xludf.DUMMYFUNCTION("""COMPUTED_VALUE"""),"Detachment")</f>
        <v>Detachment</v>
      </c>
      <c r="R2973" s="5" t="str">
        <f>IFERROR(__xludf.DUMMYFUNCTION("""COMPUTED_VALUE"""),"Lucy Liu")</f>
        <v>Lucy Liu</v>
      </c>
      <c r="S2973" s="5" t="str">
        <f>IFERROR(__xludf.DUMMYFUNCTION("""COMPUTED_VALUE"""),"Estrela 4")</f>
        <v>Estrela 4</v>
      </c>
    </row>
    <row r="2974">
      <c r="G2974" s="5" t="str">
        <f>IFERROR(__xludf.DUMMYFUNCTION("""COMPUTED_VALUE"""),"744🤙🏼Midnight in Paris🤙🏼Owen Wilson🤙🏼Estrela 1")</f>
        <v>744🤙🏼Midnight in Paris🤙🏼Owen Wilson🤙🏼Estrela 1</v>
      </c>
      <c r="H2974" s="5">
        <f>IFERROR(__xludf.DUMMYFUNCTION("SPLiT(G2974, ""🤙🏼"",FALSE,FALSE)"),744.0)</f>
        <v>744</v>
      </c>
      <c r="I2974" s="5" t="str">
        <f>IFERROR(__xludf.DUMMYFUNCTION("""COMPUTED_VALUE"""),"Midnight in Paris")</f>
        <v>Midnight in Paris</v>
      </c>
      <c r="J2974" s="5" t="str">
        <f>IFERROR(__xludf.DUMMYFUNCTION("""COMPUTED_VALUE"""),"Owen Wilson")</f>
        <v>Owen Wilson</v>
      </c>
      <c r="K2974" s="5" t="str">
        <f>IFERROR(__xludf.DUMMYFUNCTION("""COMPUTED_VALUE"""),"Estrela 1")</f>
        <v>Estrela 1</v>
      </c>
      <c r="P2974" s="5">
        <f>IFERROR(__xludf.DUMMYFUNCTION("""COMPUTED_VALUE"""),744.0)</f>
        <v>744</v>
      </c>
      <c r="Q2974" s="5" t="str">
        <f>IFERROR(__xludf.DUMMYFUNCTION("""COMPUTED_VALUE"""),"Midnight in Paris")</f>
        <v>Midnight in Paris</v>
      </c>
      <c r="R2974" s="5" t="str">
        <f>IFERROR(__xludf.DUMMYFUNCTION("""COMPUTED_VALUE"""),"Owen Wilson")</f>
        <v>Owen Wilson</v>
      </c>
      <c r="S2974" s="5" t="str">
        <f>IFERROR(__xludf.DUMMYFUNCTION("""COMPUTED_VALUE"""),"Estrela 1")</f>
        <v>Estrela 1</v>
      </c>
    </row>
    <row r="2975">
      <c r="G2975" s="5" t="str">
        <f>IFERROR(__xludf.DUMMYFUNCTION("""COMPUTED_VALUE"""),"744🤙🏼Midnight in Paris🤙🏼Rachel McAdams🤙🏼Estrela 2")</f>
        <v>744🤙🏼Midnight in Paris🤙🏼Rachel McAdams🤙🏼Estrela 2</v>
      </c>
      <c r="H2975" s="5">
        <f>IFERROR(__xludf.DUMMYFUNCTION("SPLiT(G2975, ""🤙🏼"",FALSE,FALSE)"),744.0)</f>
        <v>744</v>
      </c>
      <c r="I2975" s="5" t="str">
        <f>IFERROR(__xludf.DUMMYFUNCTION("""COMPUTED_VALUE"""),"Midnight in Paris")</f>
        <v>Midnight in Paris</v>
      </c>
      <c r="J2975" s="5" t="str">
        <f>IFERROR(__xludf.DUMMYFUNCTION("""COMPUTED_VALUE"""),"Rachel McAdams")</f>
        <v>Rachel McAdams</v>
      </c>
      <c r="K2975" s="5" t="str">
        <f>IFERROR(__xludf.DUMMYFUNCTION("""COMPUTED_VALUE"""),"Estrela 2")</f>
        <v>Estrela 2</v>
      </c>
      <c r="P2975" s="5">
        <f>IFERROR(__xludf.DUMMYFUNCTION("""COMPUTED_VALUE"""),744.0)</f>
        <v>744</v>
      </c>
      <c r="Q2975" s="5" t="str">
        <f>IFERROR(__xludf.DUMMYFUNCTION("""COMPUTED_VALUE"""),"Midnight in Paris")</f>
        <v>Midnight in Paris</v>
      </c>
      <c r="R2975" s="5" t="str">
        <f>IFERROR(__xludf.DUMMYFUNCTION("""COMPUTED_VALUE"""),"Rachel McAdams")</f>
        <v>Rachel McAdams</v>
      </c>
      <c r="S2975" s="5" t="str">
        <f>IFERROR(__xludf.DUMMYFUNCTION("""COMPUTED_VALUE"""),"Estrela 2")</f>
        <v>Estrela 2</v>
      </c>
    </row>
    <row r="2976">
      <c r="G2976" s="5" t="str">
        <f>IFERROR(__xludf.DUMMYFUNCTION("""COMPUTED_VALUE"""),"744🤙🏼Midnight in Paris🤙🏼Kathy Bates🤙🏼Estrela 3")</f>
        <v>744🤙🏼Midnight in Paris🤙🏼Kathy Bates🤙🏼Estrela 3</v>
      </c>
      <c r="H2976" s="5">
        <f>IFERROR(__xludf.DUMMYFUNCTION("SPLiT(G2976, ""🤙🏼"",FALSE,FALSE)"),744.0)</f>
        <v>744</v>
      </c>
      <c r="I2976" s="5" t="str">
        <f>IFERROR(__xludf.DUMMYFUNCTION("""COMPUTED_VALUE"""),"Midnight in Paris")</f>
        <v>Midnight in Paris</v>
      </c>
      <c r="J2976" s="5" t="str">
        <f>IFERROR(__xludf.DUMMYFUNCTION("""COMPUTED_VALUE"""),"Kathy Bates")</f>
        <v>Kathy Bates</v>
      </c>
      <c r="K2976" s="5" t="str">
        <f>IFERROR(__xludf.DUMMYFUNCTION("""COMPUTED_VALUE"""),"Estrela 3")</f>
        <v>Estrela 3</v>
      </c>
      <c r="P2976" s="5">
        <f>IFERROR(__xludf.DUMMYFUNCTION("""COMPUTED_VALUE"""),744.0)</f>
        <v>744</v>
      </c>
      <c r="Q2976" s="5" t="str">
        <f>IFERROR(__xludf.DUMMYFUNCTION("""COMPUTED_VALUE"""),"Midnight in Paris")</f>
        <v>Midnight in Paris</v>
      </c>
      <c r="R2976" s="5" t="str">
        <f>IFERROR(__xludf.DUMMYFUNCTION("""COMPUTED_VALUE"""),"Kathy Bates")</f>
        <v>Kathy Bates</v>
      </c>
      <c r="S2976" s="5" t="str">
        <f>IFERROR(__xludf.DUMMYFUNCTION("""COMPUTED_VALUE"""),"Estrela 3")</f>
        <v>Estrela 3</v>
      </c>
    </row>
    <row r="2977">
      <c r="G2977" s="5" t="str">
        <f>IFERROR(__xludf.DUMMYFUNCTION("""COMPUTED_VALUE"""),"744🤙🏼Midnight in Paris🤙🏼Kurt Fuller🤙🏼Estrela 4")</f>
        <v>744🤙🏼Midnight in Paris🤙🏼Kurt Fuller🤙🏼Estrela 4</v>
      </c>
      <c r="H2977" s="5">
        <f>IFERROR(__xludf.DUMMYFUNCTION("SPLiT(G2977, ""🤙🏼"",FALSE,FALSE)"),744.0)</f>
        <v>744</v>
      </c>
      <c r="I2977" s="5" t="str">
        <f>IFERROR(__xludf.DUMMYFUNCTION("""COMPUTED_VALUE"""),"Midnight in Paris")</f>
        <v>Midnight in Paris</v>
      </c>
      <c r="J2977" s="5" t="str">
        <f>IFERROR(__xludf.DUMMYFUNCTION("""COMPUTED_VALUE"""),"Kurt Fuller")</f>
        <v>Kurt Fuller</v>
      </c>
      <c r="K2977" s="5" t="str">
        <f>IFERROR(__xludf.DUMMYFUNCTION("""COMPUTED_VALUE"""),"Estrela 4")</f>
        <v>Estrela 4</v>
      </c>
      <c r="P2977" s="5">
        <f>IFERROR(__xludf.DUMMYFUNCTION("""COMPUTED_VALUE"""),744.0)</f>
        <v>744</v>
      </c>
      <c r="Q2977" s="5" t="str">
        <f>IFERROR(__xludf.DUMMYFUNCTION("""COMPUTED_VALUE"""),"Midnight in Paris")</f>
        <v>Midnight in Paris</v>
      </c>
      <c r="R2977" s="5" t="str">
        <f>IFERROR(__xludf.DUMMYFUNCTION("""COMPUTED_VALUE"""),"Kurt Fuller")</f>
        <v>Kurt Fuller</v>
      </c>
      <c r="S2977" s="5" t="str">
        <f>IFERROR(__xludf.DUMMYFUNCTION("""COMPUTED_VALUE"""),"Estrela 4")</f>
        <v>Estrela 4</v>
      </c>
    </row>
    <row r="2978">
      <c r="G2978" s="5" t="str">
        <f>IFERROR(__xludf.DUMMYFUNCTION("""COMPUTED_VALUE"""),"745🤙🏼The Lego Movie🤙🏼Phil Lord🤙🏼Estrela 1")</f>
        <v>745🤙🏼The Lego Movie🤙🏼Phil Lord🤙🏼Estrela 1</v>
      </c>
      <c r="H2978" s="5">
        <f>IFERROR(__xludf.DUMMYFUNCTION("SPLiT(G2978, ""🤙🏼"",FALSE,FALSE)"),745.0)</f>
        <v>745</v>
      </c>
      <c r="I2978" s="5" t="str">
        <f>IFERROR(__xludf.DUMMYFUNCTION("""COMPUTED_VALUE"""),"The Lego Movie")</f>
        <v>The Lego Movie</v>
      </c>
      <c r="J2978" s="5" t="str">
        <f>IFERROR(__xludf.DUMMYFUNCTION("""COMPUTED_VALUE"""),"Phil Lord")</f>
        <v>Phil Lord</v>
      </c>
      <c r="K2978" s="5" t="str">
        <f>IFERROR(__xludf.DUMMYFUNCTION("""COMPUTED_VALUE"""),"Estrela 1")</f>
        <v>Estrela 1</v>
      </c>
      <c r="P2978" s="5">
        <f>IFERROR(__xludf.DUMMYFUNCTION("""COMPUTED_VALUE"""),745.0)</f>
        <v>745</v>
      </c>
      <c r="Q2978" s="5" t="str">
        <f>IFERROR(__xludf.DUMMYFUNCTION("""COMPUTED_VALUE"""),"The Lego Movie")</f>
        <v>The Lego Movie</v>
      </c>
      <c r="R2978" s="5" t="str">
        <f>IFERROR(__xludf.DUMMYFUNCTION("""COMPUTED_VALUE"""),"Phil Lord")</f>
        <v>Phil Lord</v>
      </c>
      <c r="S2978" s="5" t="str">
        <f>IFERROR(__xludf.DUMMYFUNCTION("""COMPUTED_VALUE"""),"Estrela 1")</f>
        <v>Estrela 1</v>
      </c>
    </row>
    <row r="2979">
      <c r="G2979" s="5" t="str">
        <f>IFERROR(__xludf.DUMMYFUNCTION("""COMPUTED_VALUE"""),"745🤙🏼The Lego Movie🤙🏼Chris Pratt🤙🏼Estrela 2")</f>
        <v>745🤙🏼The Lego Movie🤙🏼Chris Pratt🤙🏼Estrela 2</v>
      </c>
      <c r="H2979" s="5">
        <f>IFERROR(__xludf.DUMMYFUNCTION("SPLiT(G2979, ""🤙🏼"",FALSE,FALSE)"),745.0)</f>
        <v>745</v>
      </c>
      <c r="I2979" s="5" t="str">
        <f>IFERROR(__xludf.DUMMYFUNCTION("""COMPUTED_VALUE"""),"The Lego Movie")</f>
        <v>The Lego Movie</v>
      </c>
      <c r="J2979" s="5" t="str">
        <f>IFERROR(__xludf.DUMMYFUNCTION("""COMPUTED_VALUE"""),"Chris Pratt")</f>
        <v>Chris Pratt</v>
      </c>
      <c r="K2979" s="5" t="str">
        <f>IFERROR(__xludf.DUMMYFUNCTION("""COMPUTED_VALUE"""),"Estrela 2")</f>
        <v>Estrela 2</v>
      </c>
      <c r="P2979" s="5">
        <f>IFERROR(__xludf.DUMMYFUNCTION("""COMPUTED_VALUE"""),745.0)</f>
        <v>745</v>
      </c>
      <c r="Q2979" s="5" t="str">
        <f>IFERROR(__xludf.DUMMYFUNCTION("""COMPUTED_VALUE"""),"The Lego Movie")</f>
        <v>The Lego Movie</v>
      </c>
      <c r="R2979" s="5" t="str">
        <f>IFERROR(__xludf.DUMMYFUNCTION("""COMPUTED_VALUE"""),"Chris Pratt")</f>
        <v>Chris Pratt</v>
      </c>
      <c r="S2979" s="5" t="str">
        <f>IFERROR(__xludf.DUMMYFUNCTION("""COMPUTED_VALUE"""),"Estrela 2")</f>
        <v>Estrela 2</v>
      </c>
    </row>
    <row r="2980">
      <c r="G2980" s="5" t="str">
        <f>IFERROR(__xludf.DUMMYFUNCTION("""COMPUTED_VALUE"""),"745🤙🏼The Lego Movie🤙🏼Will Ferrell🤙🏼Estrela 3")</f>
        <v>745🤙🏼The Lego Movie🤙🏼Will Ferrell🤙🏼Estrela 3</v>
      </c>
      <c r="H2980" s="5">
        <f>IFERROR(__xludf.DUMMYFUNCTION("SPLiT(G2980, ""🤙🏼"",FALSE,FALSE)"),745.0)</f>
        <v>745</v>
      </c>
      <c r="I2980" s="5" t="str">
        <f>IFERROR(__xludf.DUMMYFUNCTION("""COMPUTED_VALUE"""),"The Lego Movie")</f>
        <v>The Lego Movie</v>
      </c>
      <c r="J2980" s="5" t="str">
        <f>IFERROR(__xludf.DUMMYFUNCTION("""COMPUTED_VALUE"""),"Will Ferrell")</f>
        <v>Will Ferrell</v>
      </c>
      <c r="K2980" s="5" t="str">
        <f>IFERROR(__xludf.DUMMYFUNCTION("""COMPUTED_VALUE"""),"Estrela 3")</f>
        <v>Estrela 3</v>
      </c>
      <c r="P2980" s="5">
        <f>IFERROR(__xludf.DUMMYFUNCTION("""COMPUTED_VALUE"""),745.0)</f>
        <v>745</v>
      </c>
      <c r="Q2980" s="5" t="str">
        <f>IFERROR(__xludf.DUMMYFUNCTION("""COMPUTED_VALUE"""),"The Lego Movie")</f>
        <v>The Lego Movie</v>
      </c>
      <c r="R2980" s="5" t="str">
        <f>IFERROR(__xludf.DUMMYFUNCTION("""COMPUTED_VALUE"""),"Will Ferrell")</f>
        <v>Will Ferrell</v>
      </c>
      <c r="S2980" s="5" t="str">
        <f>IFERROR(__xludf.DUMMYFUNCTION("""COMPUTED_VALUE"""),"Estrela 3")</f>
        <v>Estrela 3</v>
      </c>
    </row>
    <row r="2981">
      <c r="G2981" s="5" t="str">
        <f>IFERROR(__xludf.DUMMYFUNCTION("""COMPUTED_VALUE"""),"745🤙🏼The Lego Movie🤙🏼Elizabeth Banks🤙🏼Estrela 4")</f>
        <v>745🤙🏼The Lego Movie🤙🏼Elizabeth Banks🤙🏼Estrela 4</v>
      </c>
      <c r="H2981" s="5">
        <f>IFERROR(__xludf.DUMMYFUNCTION("SPLiT(G2981, ""🤙🏼"",FALSE,FALSE)"),745.0)</f>
        <v>745</v>
      </c>
      <c r="I2981" s="5" t="str">
        <f>IFERROR(__xludf.DUMMYFUNCTION("""COMPUTED_VALUE"""),"The Lego Movie")</f>
        <v>The Lego Movie</v>
      </c>
      <c r="J2981" s="5" t="str">
        <f>IFERROR(__xludf.DUMMYFUNCTION("""COMPUTED_VALUE"""),"Elizabeth Banks")</f>
        <v>Elizabeth Banks</v>
      </c>
      <c r="K2981" s="5" t="str">
        <f>IFERROR(__xludf.DUMMYFUNCTION("""COMPUTED_VALUE"""),"Estrela 4")</f>
        <v>Estrela 4</v>
      </c>
      <c r="P2981" s="5">
        <f>IFERROR(__xludf.DUMMYFUNCTION("""COMPUTED_VALUE"""),745.0)</f>
        <v>745</v>
      </c>
      <c r="Q2981" s="5" t="str">
        <f>IFERROR(__xludf.DUMMYFUNCTION("""COMPUTED_VALUE"""),"The Lego Movie")</f>
        <v>The Lego Movie</v>
      </c>
      <c r="R2981" s="5" t="str">
        <f>IFERROR(__xludf.DUMMYFUNCTION("""COMPUTED_VALUE"""),"Elizabeth Banks")</f>
        <v>Elizabeth Banks</v>
      </c>
      <c r="S2981" s="5" t="str">
        <f>IFERROR(__xludf.DUMMYFUNCTION("""COMPUTED_VALUE"""),"Estrela 4")</f>
        <v>Estrela 4</v>
      </c>
    </row>
    <row r="2982">
      <c r="G2982" s="5" t="str">
        <f>IFERROR(__xludf.DUMMYFUNCTION("""COMPUTED_VALUE"""),"746🤙🏼Gravity🤙🏼Sandra Bullock🤙🏼Estrela 1")</f>
        <v>746🤙🏼Gravity🤙🏼Sandra Bullock🤙🏼Estrela 1</v>
      </c>
      <c r="H2982" s="5">
        <f>IFERROR(__xludf.DUMMYFUNCTION("SPLiT(G2982, ""🤙🏼"",FALSE,FALSE)"),746.0)</f>
        <v>746</v>
      </c>
      <c r="I2982" s="5" t="str">
        <f>IFERROR(__xludf.DUMMYFUNCTION("""COMPUTED_VALUE"""),"Gravity")</f>
        <v>Gravity</v>
      </c>
      <c r="J2982" s="5" t="str">
        <f>IFERROR(__xludf.DUMMYFUNCTION("""COMPUTED_VALUE"""),"Sandra Bullock")</f>
        <v>Sandra Bullock</v>
      </c>
      <c r="K2982" s="5" t="str">
        <f>IFERROR(__xludf.DUMMYFUNCTION("""COMPUTED_VALUE"""),"Estrela 1")</f>
        <v>Estrela 1</v>
      </c>
      <c r="P2982" s="5">
        <f>IFERROR(__xludf.DUMMYFUNCTION("""COMPUTED_VALUE"""),746.0)</f>
        <v>746</v>
      </c>
      <c r="Q2982" s="5" t="str">
        <f>IFERROR(__xludf.DUMMYFUNCTION("""COMPUTED_VALUE"""),"Gravity")</f>
        <v>Gravity</v>
      </c>
      <c r="R2982" s="5" t="str">
        <f>IFERROR(__xludf.DUMMYFUNCTION("""COMPUTED_VALUE"""),"Sandra Bullock")</f>
        <v>Sandra Bullock</v>
      </c>
      <c r="S2982" s="5" t="str">
        <f>IFERROR(__xludf.DUMMYFUNCTION("""COMPUTED_VALUE"""),"Estrela 1")</f>
        <v>Estrela 1</v>
      </c>
    </row>
    <row r="2983">
      <c r="G2983" s="5" t="str">
        <f>IFERROR(__xludf.DUMMYFUNCTION("""COMPUTED_VALUE"""),"746🤙🏼Gravity🤙🏼George Clooney🤙🏼Estrela 2")</f>
        <v>746🤙🏼Gravity🤙🏼George Clooney🤙🏼Estrela 2</v>
      </c>
      <c r="H2983" s="5">
        <f>IFERROR(__xludf.DUMMYFUNCTION("SPLiT(G2983, ""🤙🏼"",FALSE,FALSE)"),746.0)</f>
        <v>746</v>
      </c>
      <c r="I2983" s="5" t="str">
        <f>IFERROR(__xludf.DUMMYFUNCTION("""COMPUTED_VALUE"""),"Gravity")</f>
        <v>Gravity</v>
      </c>
      <c r="J2983" s="5" t="str">
        <f>IFERROR(__xludf.DUMMYFUNCTION("""COMPUTED_VALUE"""),"George Clooney")</f>
        <v>George Clooney</v>
      </c>
      <c r="K2983" s="5" t="str">
        <f>IFERROR(__xludf.DUMMYFUNCTION("""COMPUTED_VALUE"""),"Estrela 2")</f>
        <v>Estrela 2</v>
      </c>
      <c r="P2983" s="5">
        <f>IFERROR(__xludf.DUMMYFUNCTION("""COMPUTED_VALUE"""),746.0)</f>
        <v>746</v>
      </c>
      <c r="Q2983" s="5" t="str">
        <f>IFERROR(__xludf.DUMMYFUNCTION("""COMPUTED_VALUE"""),"Gravity")</f>
        <v>Gravity</v>
      </c>
      <c r="R2983" s="5" t="str">
        <f>IFERROR(__xludf.DUMMYFUNCTION("""COMPUTED_VALUE"""),"George Clooney")</f>
        <v>George Clooney</v>
      </c>
      <c r="S2983" s="5" t="str">
        <f>IFERROR(__xludf.DUMMYFUNCTION("""COMPUTED_VALUE"""),"Estrela 2")</f>
        <v>Estrela 2</v>
      </c>
    </row>
    <row r="2984">
      <c r="G2984" s="5" t="str">
        <f>IFERROR(__xludf.DUMMYFUNCTION("""COMPUTED_VALUE"""),"746🤙🏼Gravity🤙🏼Ed Harris🤙🏼Estrela 3")</f>
        <v>746🤙🏼Gravity🤙🏼Ed Harris🤙🏼Estrela 3</v>
      </c>
      <c r="H2984" s="5">
        <f>IFERROR(__xludf.DUMMYFUNCTION("SPLiT(G2984, ""🤙🏼"",FALSE,FALSE)"),746.0)</f>
        <v>746</v>
      </c>
      <c r="I2984" s="5" t="str">
        <f>IFERROR(__xludf.DUMMYFUNCTION("""COMPUTED_VALUE"""),"Gravity")</f>
        <v>Gravity</v>
      </c>
      <c r="J2984" s="5" t="str">
        <f>IFERROR(__xludf.DUMMYFUNCTION("""COMPUTED_VALUE"""),"Ed Harris")</f>
        <v>Ed Harris</v>
      </c>
      <c r="K2984" s="5" t="str">
        <f>IFERROR(__xludf.DUMMYFUNCTION("""COMPUTED_VALUE"""),"Estrela 3")</f>
        <v>Estrela 3</v>
      </c>
      <c r="P2984" s="5">
        <f>IFERROR(__xludf.DUMMYFUNCTION("""COMPUTED_VALUE"""),746.0)</f>
        <v>746</v>
      </c>
      <c r="Q2984" s="5" t="str">
        <f>IFERROR(__xludf.DUMMYFUNCTION("""COMPUTED_VALUE"""),"Gravity")</f>
        <v>Gravity</v>
      </c>
      <c r="R2984" s="5" t="str">
        <f>IFERROR(__xludf.DUMMYFUNCTION("""COMPUTED_VALUE"""),"Ed Harris")</f>
        <v>Ed Harris</v>
      </c>
      <c r="S2984" s="5" t="str">
        <f>IFERROR(__xludf.DUMMYFUNCTION("""COMPUTED_VALUE"""),"Estrela 3")</f>
        <v>Estrela 3</v>
      </c>
    </row>
    <row r="2985">
      <c r="G2985" s="5" t="str">
        <f>IFERROR(__xludf.DUMMYFUNCTION("""COMPUTED_VALUE"""),"746🤙🏼Gravity🤙🏼Orto Ignatiussen🤙🏼Estrela 4")</f>
        <v>746🤙🏼Gravity🤙🏼Orto Ignatiussen🤙🏼Estrela 4</v>
      </c>
      <c r="H2985" s="5">
        <f>IFERROR(__xludf.DUMMYFUNCTION("SPLiT(G2985, ""🤙🏼"",FALSE,FALSE)"),746.0)</f>
        <v>746</v>
      </c>
      <c r="I2985" s="5" t="str">
        <f>IFERROR(__xludf.DUMMYFUNCTION("""COMPUTED_VALUE"""),"Gravity")</f>
        <v>Gravity</v>
      </c>
      <c r="J2985" s="5" t="str">
        <f>IFERROR(__xludf.DUMMYFUNCTION("""COMPUTED_VALUE"""),"Orto Ignatiussen")</f>
        <v>Orto Ignatiussen</v>
      </c>
      <c r="K2985" s="5" t="str">
        <f>IFERROR(__xludf.DUMMYFUNCTION("""COMPUTED_VALUE"""),"Estrela 4")</f>
        <v>Estrela 4</v>
      </c>
      <c r="P2985" s="5">
        <f>IFERROR(__xludf.DUMMYFUNCTION("""COMPUTED_VALUE"""),746.0)</f>
        <v>746</v>
      </c>
      <c r="Q2985" s="5" t="str">
        <f>IFERROR(__xludf.DUMMYFUNCTION("""COMPUTED_VALUE"""),"Gravity")</f>
        <v>Gravity</v>
      </c>
      <c r="R2985" s="5" t="str">
        <f>IFERROR(__xludf.DUMMYFUNCTION("""COMPUTED_VALUE"""),"Orto Ignatiussen")</f>
        <v>Orto Ignatiussen</v>
      </c>
      <c r="S2985" s="5" t="str">
        <f>IFERROR(__xludf.DUMMYFUNCTION("""COMPUTED_VALUE"""),"Estrela 4")</f>
        <v>Estrela 4</v>
      </c>
    </row>
    <row r="2986">
      <c r="G2986" s="5" t="str">
        <f>IFERROR(__xludf.DUMMYFUNCTION("""COMPUTED_VALUE"""),"747🤙🏼Star Trek Into Darkness🤙🏼Chris Pine🤙🏼Estrela 1")</f>
        <v>747🤙🏼Star Trek Into Darkness🤙🏼Chris Pine🤙🏼Estrela 1</v>
      </c>
      <c r="H2986" s="5">
        <f>IFERROR(__xludf.DUMMYFUNCTION("SPLiT(G2986, ""🤙🏼"",FALSE,FALSE)"),747.0)</f>
        <v>747</v>
      </c>
      <c r="I2986" s="5" t="str">
        <f>IFERROR(__xludf.DUMMYFUNCTION("""COMPUTED_VALUE"""),"Star Trek Into Darkness")</f>
        <v>Star Trek Into Darkness</v>
      </c>
      <c r="J2986" s="5" t="str">
        <f>IFERROR(__xludf.DUMMYFUNCTION("""COMPUTED_VALUE"""),"Chris Pine")</f>
        <v>Chris Pine</v>
      </c>
      <c r="K2986" s="5" t="str">
        <f>IFERROR(__xludf.DUMMYFUNCTION("""COMPUTED_VALUE"""),"Estrela 1")</f>
        <v>Estrela 1</v>
      </c>
      <c r="P2986" s="5">
        <f>IFERROR(__xludf.DUMMYFUNCTION("""COMPUTED_VALUE"""),747.0)</f>
        <v>747</v>
      </c>
      <c r="Q2986" s="5" t="str">
        <f>IFERROR(__xludf.DUMMYFUNCTION("""COMPUTED_VALUE"""),"Star Trek Into Darkness")</f>
        <v>Star Trek Into Darkness</v>
      </c>
      <c r="R2986" s="5" t="str">
        <f>IFERROR(__xludf.DUMMYFUNCTION("""COMPUTED_VALUE"""),"Chris Pine")</f>
        <v>Chris Pine</v>
      </c>
      <c r="S2986" s="5" t="str">
        <f>IFERROR(__xludf.DUMMYFUNCTION("""COMPUTED_VALUE"""),"Estrela 1")</f>
        <v>Estrela 1</v>
      </c>
    </row>
    <row r="2987">
      <c r="G2987" s="5" t="str">
        <f>IFERROR(__xludf.DUMMYFUNCTION("""COMPUTED_VALUE"""),"747🤙🏼Star Trek Into Darkness🤙🏼Zachary Quinto🤙🏼Estrela 2")</f>
        <v>747🤙🏼Star Trek Into Darkness🤙🏼Zachary Quinto🤙🏼Estrela 2</v>
      </c>
      <c r="H2987" s="5">
        <f>IFERROR(__xludf.DUMMYFUNCTION("SPLiT(G2987, ""🤙🏼"",FALSE,FALSE)"),747.0)</f>
        <v>747</v>
      </c>
      <c r="I2987" s="5" t="str">
        <f>IFERROR(__xludf.DUMMYFUNCTION("""COMPUTED_VALUE"""),"Star Trek Into Darkness")</f>
        <v>Star Trek Into Darkness</v>
      </c>
      <c r="J2987" s="5" t="str">
        <f>IFERROR(__xludf.DUMMYFUNCTION("""COMPUTED_VALUE"""),"Zachary Quinto")</f>
        <v>Zachary Quinto</v>
      </c>
      <c r="K2987" s="5" t="str">
        <f>IFERROR(__xludf.DUMMYFUNCTION("""COMPUTED_VALUE"""),"Estrela 2")</f>
        <v>Estrela 2</v>
      </c>
      <c r="P2987" s="5">
        <f>IFERROR(__xludf.DUMMYFUNCTION("""COMPUTED_VALUE"""),747.0)</f>
        <v>747</v>
      </c>
      <c r="Q2987" s="5" t="str">
        <f>IFERROR(__xludf.DUMMYFUNCTION("""COMPUTED_VALUE"""),"Star Trek Into Darkness")</f>
        <v>Star Trek Into Darkness</v>
      </c>
      <c r="R2987" s="5" t="str">
        <f>IFERROR(__xludf.DUMMYFUNCTION("""COMPUTED_VALUE"""),"Zachary Quinto")</f>
        <v>Zachary Quinto</v>
      </c>
      <c r="S2987" s="5" t="str">
        <f>IFERROR(__xludf.DUMMYFUNCTION("""COMPUTED_VALUE"""),"Estrela 2")</f>
        <v>Estrela 2</v>
      </c>
    </row>
    <row r="2988">
      <c r="G2988" s="5" t="str">
        <f>IFERROR(__xludf.DUMMYFUNCTION("""COMPUTED_VALUE"""),"747🤙🏼Star Trek Into Darkness🤙🏼Zoe Saldana🤙🏼Estrela 3")</f>
        <v>747🤙🏼Star Trek Into Darkness🤙🏼Zoe Saldana🤙🏼Estrela 3</v>
      </c>
      <c r="H2988" s="5">
        <f>IFERROR(__xludf.DUMMYFUNCTION("SPLiT(G2988, ""🤙🏼"",FALSE,FALSE)"),747.0)</f>
        <v>747</v>
      </c>
      <c r="I2988" s="5" t="str">
        <f>IFERROR(__xludf.DUMMYFUNCTION("""COMPUTED_VALUE"""),"Star Trek Into Darkness")</f>
        <v>Star Trek Into Darkness</v>
      </c>
      <c r="J2988" s="5" t="str">
        <f>IFERROR(__xludf.DUMMYFUNCTION("""COMPUTED_VALUE"""),"Zoe Saldana")</f>
        <v>Zoe Saldana</v>
      </c>
      <c r="K2988" s="5" t="str">
        <f>IFERROR(__xludf.DUMMYFUNCTION("""COMPUTED_VALUE"""),"Estrela 3")</f>
        <v>Estrela 3</v>
      </c>
      <c r="P2988" s="5">
        <f>IFERROR(__xludf.DUMMYFUNCTION("""COMPUTED_VALUE"""),747.0)</f>
        <v>747</v>
      </c>
      <c r="Q2988" s="5" t="str">
        <f>IFERROR(__xludf.DUMMYFUNCTION("""COMPUTED_VALUE"""),"Star Trek Into Darkness")</f>
        <v>Star Trek Into Darkness</v>
      </c>
      <c r="R2988" s="5" t="str">
        <f>IFERROR(__xludf.DUMMYFUNCTION("""COMPUTED_VALUE"""),"Zoe Saldana")</f>
        <v>Zoe Saldana</v>
      </c>
      <c r="S2988" s="5" t="str">
        <f>IFERROR(__xludf.DUMMYFUNCTION("""COMPUTED_VALUE"""),"Estrela 3")</f>
        <v>Estrela 3</v>
      </c>
    </row>
    <row r="2989">
      <c r="G2989" s="5" t="str">
        <f>IFERROR(__xludf.DUMMYFUNCTION("""COMPUTED_VALUE"""),"747🤙🏼Star Trek Into Darkness🤙🏼Benedict Cumberbatch🤙🏼Estrela 4")</f>
        <v>747🤙🏼Star Trek Into Darkness🤙🏼Benedict Cumberbatch🤙🏼Estrela 4</v>
      </c>
      <c r="H2989" s="5">
        <f>IFERROR(__xludf.DUMMYFUNCTION("SPLiT(G2989, ""🤙🏼"",FALSE,FALSE)"),747.0)</f>
        <v>747</v>
      </c>
      <c r="I2989" s="5" t="str">
        <f>IFERROR(__xludf.DUMMYFUNCTION("""COMPUTED_VALUE"""),"Star Trek Into Darkness")</f>
        <v>Star Trek Into Darkness</v>
      </c>
      <c r="J2989" s="5" t="str">
        <f>IFERROR(__xludf.DUMMYFUNCTION("""COMPUTED_VALUE"""),"Benedict Cumberbatch")</f>
        <v>Benedict Cumberbatch</v>
      </c>
      <c r="K2989" s="5" t="str">
        <f>IFERROR(__xludf.DUMMYFUNCTION("""COMPUTED_VALUE"""),"Estrela 4")</f>
        <v>Estrela 4</v>
      </c>
      <c r="P2989" s="5">
        <f>IFERROR(__xludf.DUMMYFUNCTION("""COMPUTED_VALUE"""),747.0)</f>
        <v>747</v>
      </c>
      <c r="Q2989" s="5" t="str">
        <f>IFERROR(__xludf.DUMMYFUNCTION("""COMPUTED_VALUE"""),"Star Trek Into Darkness")</f>
        <v>Star Trek Into Darkness</v>
      </c>
      <c r="R2989" s="5" t="str">
        <f>IFERROR(__xludf.DUMMYFUNCTION("""COMPUTED_VALUE"""),"Benedict Cumberbatch")</f>
        <v>Benedict Cumberbatch</v>
      </c>
      <c r="S2989" s="5" t="str">
        <f>IFERROR(__xludf.DUMMYFUNCTION("""COMPUTED_VALUE"""),"Estrela 4")</f>
        <v>Estrela 4</v>
      </c>
    </row>
    <row r="2990">
      <c r="G2990" s="5" t="str">
        <f>IFERROR(__xludf.DUMMYFUNCTION("""COMPUTED_VALUE"""),"748🤙🏼Beasts of No Nation🤙🏼Abraham Attah🤙🏼Estrela 1")</f>
        <v>748🤙🏼Beasts of No Nation🤙🏼Abraham Attah🤙🏼Estrela 1</v>
      </c>
      <c r="H2990" s="5">
        <f>IFERROR(__xludf.DUMMYFUNCTION("SPLiT(G2990, ""🤙🏼"",FALSE,FALSE)"),748.0)</f>
        <v>748</v>
      </c>
      <c r="I2990" s="5" t="str">
        <f>IFERROR(__xludf.DUMMYFUNCTION("""COMPUTED_VALUE"""),"Beasts of No Nation")</f>
        <v>Beasts of No Nation</v>
      </c>
      <c r="J2990" s="5" t="str">
        <f>IFERROR(__xludf.DUMMYFUNCTION("""COMPUTED_VALUE"""),"Abraham Attah")</f>
        <v>Abraham Attah</v>
      </c>
      <c r="K2990" s="5" t="str">
        <f>IFERROR(__xludf.DUMMYFUNCTION("""COMPUTED_VALUE"""),"Estrela 1")</f>
        <v>Estrela 1</v>
      </c>
      <c r="P2990" s="5">
        <f>IFERROR(__xludf.DUMMYFUNCTION("""COMPUTED_VALUE"""),748.0)</f>
        <v>748</v>
      </c>
      <c r="Q2990" s="5" t="str">
        <f>IFERROR(__xludf.DUMMYFUNCTION("""COMPUTED_VALUE"""),"Beasts of No Nation")</f>
        <v>Beasts of No Nation</v>
      </c>
      <c r="R2990" s="5" t="str">
        <f>IFERROR(__xludf.DUMMYFUNCTION("""COMPUTED_VALUE"""),"Abraham Attah")</f>
        <v>Abraham Attah</v>
      </c>
      <c r="S2990" s="5" t="str">
        <f>IFERROR(__xludf.DUMMYFUNCTION("""COMPUTED_VALUE"""),"Estrela 1")</f>
        <v>Estrela 1</v>
      </c>
    </row>
    <row r="2991">
      <c r="G2991" s="5" t="str">
        <f>IFERROR(__xludf.DUMMYFUNCTION("""COMPUTED_VALUE"""),"748🤙🏼Beasts of No Nation🤙🏼Emmanuel Affadzi🤙🏼Estrela 2")</f>
        <v>748🤙🏼Beasts of No Nation🤙🏼Emmanuel Affadzi🤙🏼Estrela 2</v>
      </c>
      <c r="H2991" s="5">
        <f>IFERROR(__xludf.DUMMYFUNCTION("SPLiT(G2991, ""🤙🏼"",FALSE,FALSE)"),748.0)</f>
        <v>748</v>
      </c>
      <c r="I2991" s="5" t="str">
        <f>IFERROR(__xludf.DUMMYFUNCTION("""COMPUTED_VALUE"""),"Beasts of No Nation")</f>
        <v>Beasts of No Nation</v>
      </c>
      <c r="J2991" s="5" t="str">
        <f>IFERROR(__xludf.DUMMYFUNCTION("""COMPUTED_VALUE"""),"Emmanuel Affadzi")</f>
        <v>Emmanuel Affadzi</v>
      </c>
      <c r="K2991" s="5" t="str">
        <f>IFERROR(__xludf.DUMMYFUNCTION("""COMPUTED_VALUE"""),"Estrela 2")</f>
        <v>Estrela 2</v>
      </c>
      <c r="P2991" s="5">
        <f>IFERROR(__xludf.DUMMYFUNCTION("""COMPUTED_VALUE"""),748.0)</f>
        <v>748</v>
      </c>
      <c r="Q2991" s="5" t="str">
        <f>IFERROR(__xludf.DUMMYFUNCTION("""COMPUTED_VALUE"""),"Beasts of No Nation")</f>
        <v>Beasts of No Nation</v>
      </c>
      <c r="R2991" s="5" t="str">
        <f>IFERROR(__xludf.DUMMYFUNCTION("""COMPUTED_VALUE"""),"Emmanuel Affadzi")</f>
        <v>Emmanuel Affadzi</v>
      </c>
      <c r="S2991" s="5" t="str">
        <f>IFERROR(__xludf.DUMMYFUNCTION("""COMPUTED_VALUE"""),"Estrela 2")</f>
        <v>Estrela 2</v>
      </c>
    </row>
    <row r="2992">
      <c r="G2992" s="5" t="str">
        <f>IFERROR(__xludf.DUMMYFUNCTION("""COMPUTED_VALUE"""),"748🤙🏼Beasts of No Nation🤙🏼Ricky Adelayitor🤙🏼Estrela 3")</f>
        <v>748🤙🏼Beasts of No Nation🤙🏼Ricky Adelayitor🤙🏼Estrela 3</v>
      </c>
      <c r="H2992" s="5">
        <f>IFERROR(__xludf.DUMMYFUNCTION("SPLiT(G2992, ""🤙🏼"",FALSE,FALSE)"),748.0)</f>
        <v>748</v>
      </c>
      <c r="I2992" s="5" t="str">
        <f>IFERROR(__xludf.DUMMYFUNCTION("""COMPUTED_VALUE"""),"Beasts of No Nation")</f>
        <v>Beasts of No Nation</v>
      </c>
      <c r="J2992" s="5" t="str">
        <f>IFERROR(__xludf.DUMMYFUNCTION("""COMPUTED_VALUE"""),"Ricky Adelayitor")</f>
        <v>Ricky Adelayitor</v>
      </c>
      <c r="K2992" s="5" t="str">
        <f>IFERROR(__xludf.DUMMYFUNCTION("""COMPUTED_VALUE"""),"Estrela 3")</f>
        <v>Estrela 3</v>
      </c>
      <c r="P2992" s="5">
        <f>IFERROR(__xludf.DUMMYFUNCTION("""COMPUTED_VALUE"""),748.0)</f>
        <v>748</v>
      </c>
      <c r="Q2992" s="5" t="str">
        <f>IFERROR(__xludf.DUMMYFUNCTION("""COMPUTED_VALUE"""),"Beasts of No Nation")</f>
        <v>Beasts of No Nation</v>
      </c>
      <c r="R2992" s="5" t="str">
        <f>IFERROR(__xludf.DUMMYFUNCTION("""COMPUTED_VALUE"""),"Ricky Adelayitor")</f>
        <v>Ricky Adelayitor</v>
      </c>
      <c r="S2992" s="5" t="str">
        <f>IFERROR(__xludf.DUMMYFUNCTION("""COMPUTED_VALUE"""),"Estrela 3")</f>
        <v>Estrela 3</v>
      </c>
    </row>
    <row r="2993">
      <c r="G2993" s="5" t="str">
        <f>IFERROR(__xludf.DUMMYFUNCTION("""COMPUTED_VALUE"""),"748🤙🏼Beasts of No Nation🤙🏼Andrew Adote🤙🏼Estrela 4")</f>
        <v>748🤙🏼Beasts of No Nation🤙🏼Andrew Adote🤙🏼Estrela 4</v>
      </c>
      <c r="H2993" s="5">
        <f>IFERROR(__xludf.DUMMYFUNCTION("SPLiT(G2993, ""🤙🏼"",FALSE,FALSE)"),748.0)</f>
        <v>748</v>
      </c>
      <c r="I2993" s="5" t="str">
        <f>IFERROR(__xludf.DUMMYFUNCTION("""COMPUTED_VALUE"""),"Beasts of No Nation")</f>
        <v>Beasts of No Nation</v>
      </c>
      <c r="J2993" s="5" t="str">
        <f>IFERROR(__xludf.DUMMYFUNCTION("""COMPUTED_VALUE"""),"Andrew Adote")</f>
        <v>Andrew Adote</v>
      </c>
      <c r="K2993" s="5" t="str">
        <f>IFERROR(__xludf.DUMMYFUNCTION("""COMPUTED_VALUE"""),"Estrela 4")</f>
        <v>Estrela 4</v>
      </c>
      <c r="P2993" s="5">
        <f>IFERROR(__xludf.DUMMYFUNCTION("""COMPUTED_VALUE"""),748.0)</f>
        <v>748</v>
      </c>
      <c r="Q2993" s="5" t="str">
        <f>IFERROR(__xludf.DUMMYFUNCTION("""COMPUTED_VALUE"""),"Beasts of No Nation")</f>
        <v>Beasts of No Nation</v>
      </c>
      <c r="R2993" s="5" t="str">
        <f>IFERROR(__xludf.DUMMYFUNCTION("""COMPUTED_VALUE"""),"Andrew Adote")</f>
        <v>Andrew Adote</v>
      </c>
      <c r="S2993" s="5" t="str">
        <f>IFERROR(__xludf.DUMMYFUNCTION("""COMPUTED_VALUE"""),"Estrela 4")</f>
        <v>Estrela 4</v>
      </c>
    </row>
    <row r="2994">
      <c r="G2994" s="5" t="str">
        <f>IFERROR(__xludf.DUMMYFUNCTION("""COMPUTED_VALUE"""),"749🤙🏼The Social Network🤙🏼Jesse Eisenberg🤙🏼Estrela 1")</f>
        <v>749🤙🏼The Social Network🤙🏼Jesse Eisenberg🤙🏼Estrela 1</v>
      </c>
      <c r="H2994" s="5">
        <f>IFERROR(__xludf.DUMMYFUNCTION("SPLiT(G2994, ""🤙🏼"",FALSE,FALSE)"),749.0)</f>
        <v>749</v>
      </c>
      <c r="I2994" s="5" t="str">
        <f>IFERROR(__xludf.DUMMYFUNCTION("""COMPUTED_VALUE"""),"The Social Network")</f>
        <v>The Social Network</v>
      </c>
      <c r="J2994" s="5" t="str">
        <f>IFERROR(__xludf.DUMMYFUNCTION("""COMPUTED_VALUE"""),"Jesse Eisenberg")</f>
        <v>Jesse Eisenberg</v>
      </c>
      <c r="K2994" s="5" t="str">
        <f>IFERROR(__xludf.DUMMYFUNCTION("""COMPUTED_VALUE"""),"Estrela 1")</f>
        <v>Estrela 1</v>
      </c>
      <c r="P2994" s="5">
        <f>IFERROR(__xludf.DUMMYFUNCTION("""COMPUTED_VALUE"""),749.0)</f>
        <v>749</v>
      </c>
      <c r="Q2994" s="5" t="str">
        <f>IFERROR(__xludf.DUMMYFUNCTION("""COMPUTED_VALUE"""),"The Social Network")</f>
        <v>The Social Network</v>
      </c>
      <c r="R2994" s="5" t="str">
        <f>IFERROR(__xludf.DUMMYFUNCTION("""COMPUTED_VALUE"""),"Jesse Eisenberg")</f>
        <v>Jesse Eisenberg</v>
      </c>
      <c r="S2994" s="5" t="str">
        <f>IFERROR(__xludf.DUMMYFUNCTION("""COMPUTED_VALUE"""),"Estrela 1")</f>
        <v>Estrela 1</v>
      </c>
    </row>
    <row r="2995">
      <c r="G2995" s="5" t="str">
        <f>IFERROR(__xludf.DUMMYFUNCTION("""COMPUTED_VALUE"""),"749🤙🏼The Social Network🤙🏼Andrew Garfield🤙🏼Estrela 2")</f>
        <v>749🤙🏼The Social Network🤙🏼Andrew Garfield🤙🏼Estrela 2</v>
      </c>
      <c r="H2995" s="5">
        <f>IFERROR(__xludf.DUMMYFUNCTION("SPLiT(G2995, ""🤙🏼"",FALSE,FALSE)"),749.0)</f>
        <v>749</v>
      </c>
      <c r="I2995" s="5" t="str">
        <f>IFERROR(__xludf.DUMMYFUNCTION("""COMPUTED_VALUE"""),"The Social Network")</f>
        <v>The Social Network</v>
      </c>
      <c r="J2995" s="5" t="str">
        <f>IFERROR(__xludf.DUMMYFUNCTION("""COMPUTED_VALUE"""),"Andrew Garfield")</f>
        <v>Andrew Garfield</v>
      </c>
      <c r="K2995" s="5" t="str">
        <f>IFERROR(__xludf.DUMMYFUNCTION("""COMPUTED_VALUE"""),"Estrela 2")</f>
        <v>Estrela 2</v>
      </c>
      <c r="P2995" s="5">
        <f>IFERROR(__xludf.DUMMYFUNCTION("""COMPUTED_VALUE"""),749.0)</f>
        <v>749</v>
      </c>
      <c r="Q2995" s="5" t="str">
        <f>IFERROR(__xludf.DUMMYFUNCTION("""COMPUTED_VALUE"""),"The Social Network")</f>
        <v>The Social Network</v>
      </c>
      <c r="R2995" s="5" t="str">
        <f>IFERROR(__xludf.DUMMYFUNCTION("""COMPUTED_VALUE"""),"Andrew Garfield")</f>
        <v>Andrew Garfield</v>
      </c>
      <c r="S2995" s="5" t="str">
        <f>IFERROR(__xludf.DUMMYFUNCTION("""COMPUTED_VALUE"""),"Estrela 2")</f>
        <v>Estrela 2</v>
      </c>
    </row>
    <row r="2996">
      <c r="G2996" s="5" t="str">
        <f>IFERROR(__xludf.DUMMYFUNCTION("""COMPUTED_VALUE"""),"749🤙🏼The Social Network🤙🏼Justin Timberlake🤙🏼Estrela 3")</f>
        <v>749🤙🏼The Social Network🤙🏼Justin Timberlake🤙🏼Estrela 3</v>
      </c>
      <c r="H2996" s="5">
        <f>IFERROR(__xludf.DUMMYFUNCTION("SPLiT(G2996, ""🤙🏼"",FALSE,FALSE)"),749.0)</f>
        <v>749</v>
      </c>
      <c r="I2996" s="5" t="str">
        <f>IFERROR(__xludf.DUMMYFUNCTION("""COMPUTED_VALUE"""),"The Social Network")</f>
        <v>The Social Network</v>
      </c>
      <c r="J2996" s="5" t="str">
        <f>IFERROR(__xludf.DUMMYFUNCTION("""COMPUTED_VALUE"""),"Justin Timberlake")</f>
        <v>Justin Timberlake</v>
      </c>
      <c r="K2996" s="5" t="str">
        <f>IFERROR(__xludf.DUMMYFUNCTION("""COMPUTED_VALUE"""),"Estrela 3")</f>
        <v>Estrela 3</v>
      </c>
      <c r="P2996" s="5">
        <f>IFERROR(__xludf.DUMMYFUNCTION("""COMPUTED_VALUE"""),749.0)</f>
        <v>749</v>
      </c>
      <c r="Q2996" s="5" t="str">
        <f>IFERROR(__xludf.DUMMYFUNCTION("""COMPUTED_VALUE"""),"The Social Network")</f>
        <v>The Social Network</v>
      </c>
      <c r="R2996" s="5" t="str">
        <f>IFERROR(__xludf.DUMMYFUNCTION("""COMPUTED_VALUE"""),"Justin Timberlake")</f>
        <v>Justin Timberlake</v>
      </c>
      <c r="S2996" s="5" t="str">
        <f>IFERROR(__xludf.DUMMYFUNCTION("""COMPUTED_VALUE"""),"Estrela 3")</f>
        <v>Estrela 3</v>
      </c>
    </row>
    <row r="2997">
      <c r="G2997" s="5" t="str">
        <f>IFERROR(__xludf.DUMMYFUNCTION("""COMPUTED_VALUE"""),"749🤙🏼The Social Network🤙🏼Rooney Mara🤙🏼Estrela 4")</f>
        <v>749🤙🏼The Social Network🤙🏼Rooney Mara🤙🏼Estrela 4</v>
      </c>
      <c r="H2997" s="5">
        <f>IFERROR(__xludf.DUMMYFUNCTION("SPLiT(G2997, ""🤙🏼"",FALSE,FALSE)"),749.0)</f>
        <v>749</v>
      </c>
      <c r="I2997" s="5" t="str">
        <f>IFERROR(__xludf.DUMMYFUNCTION("""COMPUTED_VALUE"""),"The Social Network")</f>
        <v>The Social Network</v>
      </c>
      <c r="J2997" s="5" t="str">
        <f>IFERROR(__xludf.DUMMYFUNCTION("""COMPUTED_VALUE"""),"Rooney Mara")</f>
        <v>Rooney Mara</v>
      </c>
      <c r="K2997" s="5" t="str">
        <f>IFERROR(__xludf.DUMMYFUNCTION("""COMPUTED_VALUE"""),"Estrela 4")</f>
        <v>Estrela 4</v>
      </c>
      <c r="P2997" s="5">
        <f>IFERROR(__xludf.DUMMYFUNCTION("""COMPUTED_VALUE"""),749.0)</f>
        <v>749</v>
      </c>
      <c r="Q2997" s="5" t="str">
        <f>IFERROR(__xludf.DUMMYFUNCTION("""COMPUTED_VALUE"""),"The Social Network")</f>
        <v>The Social Network</v>
      </c>
      <c r="R2997" s="5" t="str">
        <f>IFERROR(__xludf.DUMMYFUNCTION("""COMPUTED_VALUE"""),"Rooney Mara")</f>
        <v>Rooney Mara</v>
      </c>
      <c r="S2997" s="5" t="str">
        <f>IFERROR(__xludf.DUMMYFUNCTION("""COMPUTED_VALUE"""),"Estrela 4")</f>
        <v>Estrela 4</v>
      </c>
    </row>
    <row r="2998">
      <c r="G2998" s="5" t="str">
        <f>IFERROR(__xludf.DUMMYFUNCTION("""COMPUTED_VALUE"""),"750🤙🏼X: First Class🤙🏼James McAvoy🤙🏼Estrela 1")</f>
        <v>750🤙🏼X: First Class🤙🏼James McAvoy🤙🏼Estrela 1</v>
      </c>
      <c r="H2998" s="5">
        <f>IFERROR(__xludf.DUMMYFUNCTION("SPLiT(G2998, ""🤙🏼"",FALSE,FALSE)"),750.0)</f>
        <v>750</v>
      </c>
      <c r="I2998" s="5" t="str">
        <f>IFERROR(__xludf.DUMMYFUNCTION("""COMPUTED_VALUE"""),"X: First Class")</f>
        <v>X: First Class</v>
      </c>
      <c r="J2998" s="5" t="str">
        <f>IFERROR(__xludf.DUMMYFUNCTION("""COMPUTED_VALUE"""),"James McAvoy")</f>
        <v>James McAvoy</v>
      </c>
      <c r="K2998" s="5" t="str">
        <f>IFERROR(__xludf.DUMMYFUNCTION("""COMPUTED_VALUE"""),"Estrela 1")</f>
        <v>Estrela 1</v>
      </c>
      <c r="P2998" s="5">
        <f>IFERROR(__xludf.DUMMYFUNCTION("""COMPUTED_VALUE"""),750.0)</f>
        <v>750</v>
      </c>
      <c r="Q2998" s="5" t="str">
        <f>IFERROR(__xludf.DUMMYFUNCTION("""COMPUTED_VALUE"""),"X: First Class")</f>
        <v>X: First Class</v>
      </c>
      <c r="R2998" s="5" t="str">
        <f>IFERROR(__xludf.DUMMYFUNCTION("""COMPUTED_VALUE"""),"James McAvoy")</f>
        <v>James McAvoy</v>
      </c>
      <c r="S2998" s="5" t="str">
        <f>IFERROR(__xludf.DUMMYFUNCTION("""COMPUTED_VALUE"""),"Estrela 1")</f>
        <v>Estrela 1</v>
      </c>
    </row>
    <row r="2999">
      <c r="G2999" s="5" t="str">
        <f>IFERROR(__xludf.DUMMYFUNCTION("""COMPUTED_VALUE"""),"750🤙🏼X: First Class🤙🏼Michael Fassbender🤙🏼Estrela 2")</f>
        <v>750🤙🏼X: First Class🤙🏼Michael Fassbender🤙🏼Estrela 2</v>
      </c>
      <c r="H2999" s="5">
        <f>IFERROR(__xludf.DUMMYFUNCTION("SPLiT(G2999, ""🤙🏼"",FALSE,FALSE)"),750.0)</f>
        <v>750</v>
      </c>
      <c r="I2999" s="5" t="str">
        <f>IFERROR(__xludf.DUMMYFUNCTION("""COMPUTED_VALUE"""),"X: First Class")</f>
        <v>X: First Class</v>
      </c>
      <c r="J2999" s="5" t="str">
        <f>IFERROR(__xludf.DUMMYFUNCTION("""COMPUTED_VALUE"""),"Michael Fassbender")</f>
        <v>Michael Fassbender</v>
      </c>
      <c r="K2999" s="5" t="str">
        <f>IFERROR(__xludf.DUMMYFUNCTION("""COMPUTED_VALUE"""),"Estrela 2")</f>
        <v>Estrela 2</v>
      </c>
      <c r="P2999" s="5">
        <f>IFERROR(__xludf.DUMMYFUNCTION("""COMPUTED_VALUE"""),750.0)</f>
        <v>750</v>
      </c>
      <c r="Q2999" s="5" t="str">
        <f>IFERROR(__xludf.DUMMYFUNCTION("""COMPUTED_VALUE"""),"X: First Class")</f>
        <v>X: First Class</v>
      </c>
      <c r="R2999" s="5" t="str">
        <f>IFERROR(__xludf.DUMMYFUNCTION("""COMPUTED_VALUE"""),"Michael Fassbender")</f>
        <v>Michael Fassbender</v>
      </c>
      <c r="S2999" s="5" t="str">
        <f>IFERROR(__xludf.DUMMYFUNCTION("""COMPUTED_VALUE"""),"Estrela 2")</f>
        <v>Estrela 2</v>
      </c>
    </row>
    <row r="3000">
      <c r="G3000" s="5" t="str">
        <f>IFERROR(__xludf.DUMMYFUNCTION("""COMPUTED_VALUE"""),"750🤙🏼X: First Class🤙🏼Jennifer Lawrence🤙🏼Estrela 3")</f>
        <v>750🤙🏼X: First Class🤙🏼Jennifer Lawrence🤙🏼Estrela 3</v>
      </c>
      <c r="H3000" s="5">
        <f>IFERROR(__xludf.DUMMYFUNCTION("SPLiT(G3000, ""🤙🏼"",FALSE,FALSE)"),750.0)</f>
        <v>750</v>
      </c>
      <c r="I3000" s="5" t="str">
        <f>IFERROR(__xludf.DUMMYFUNCTION("""COMPUTED_VALUE"""),"X: First Class")</f>
        <v>X: First Class</v>
      </c>
      <c r="J3000" s="5" t="str">
        <f>IFERROR(__xludf.DUMMYFUNCTION("""COMPUTED_VALUE"""),"Jennifer Lawrence")</f>
        <v>Jennifer Lawrence</v>
      </c>
      <c r="K3000" s="5" t="str">
        <f>IFERROR(__xludf.DUMMYFUNCTION("""COMPUTED_VALUE"""),"Estrela 3")</f>
        <v>Estrela 3</v>
      </c>
      <c r="P3000" s="5">
        <f>IFERROR(__xludf.DUMMYFUNCTION("""COMPUTED_VALUE"""),750.0)</f>
        <v>750</v>
      </c>
      <c r="Q3000" s="5" t="str">
        <f>IFERROR(__xludf.DUMMYFUNCTION("""COMPUTED_VALUE"""),"X: First Class")</f>
        <v>X: First Class</v>
      </c>
      <c r="R3000" s="5" t="str">
        <f>IFERROR(__xludf.DUMMYFUNCTION("""COMPUTED_VALUE"""),"Jennifer Lawrence")</f>
        <v>Jennifer Lawrence</v>
      </c>
      <c r="S3000" s="5" t="str">
        <f>IFERROR(__xludf.DUMMYFUNCTION("""COMPUTED_VALUE"""),"Estrela 3")</f>
        <v>Estrela 3</v>
      </c>
    </row>
    <row r="3001">
      <c r="G3001" s="5" t="str">
        <f>IFERROR(__xludf.DUMMYFUNCTION("""COMPUTED_VALUE"""),"750🤙🏼X: First Class🤙🏼Kevin Bacon🤙🏼Estrela 4")</f>
        <v>750🤙🏼X: First Class🤙🏼Kevin Bacon🤙🏼Estrela 4</v>
      </c>
      <c r="H3001" s="5">
        <f>IFERROR(__xludf.DUMMYFUNCTION("SPLiT(G3001, ""🤙🏼"",FALSE,FALSE)"),750.0)</f>
        <v>750</v>
      </c>
      <c r="I3001" s="5" t="str">
        <f>IFERROR(__xludf.DUMMYFUNCTION("""COMPUTED_VALUE"""),"X: First Class")</f>
        <v>X: First Class</v>
      </c>
      <c r="J3001" s="5" t="str">
        <f>IFERROR(__xludf.DUMMYFUNCTION("""COMPUTED_VALUE"""),"Kevin Bacon")</f>
        <v>Kevin Bacon</v>
      </c>
      <c r="K3001" s="5" t="str">
        <f>IFERROR(__xludf.DUMMYFUNCTION("""COMPUTED_VALUE"""),"Estrela 4")</f>
        <v>Estrela 4</v>
      </c>
      <c r="P3001" s="5">
        <f>IFERROR(__xludf.DUMMYFUNCTION("""COMPUTED_VALUE"""),750.0)</f>
        <v>750</v>
      </c>
      <c r="Q3001" s="5" t="str">
        <f>IFERROR(__xludf.DUMMYFUNCTION("""COMPUTED_VALUE"""),"X: First Class")</f>
        <v>X: First Class</v>
      </c>
      <c r="R3001" s="5" t="str">
        <f>IFERROR(__xludf.DUMMYFUNCTION("""COMPUTED_VALUE"""),"Kevin Bacon")</f>
        <v>Kevin Bacon</v>
      </c>
      <c r="S3001" s="5" t="str">
        <f>IFERROR(__xludf.DUMMYFUNCTION("""COMPUTED_VALUE"""),"Estrela 4")</f>
        <v>Estrela 4</v>
      </c>
    </row>
    <row r="3002">
      <c r="G3002" s="5" t="str">
        <f>IFERROR(__xludf.DUMMYFUNCTION("""COMPUTED_VALUE"""),"751🤙🏼The Hangover🤙🏼Zach Galifianakis🤙🏼Estrela 1")</f>
        <v>751🤙🏼The Hangover🤙🏼Zach Galifianakis🤙🏼Estrela 1</v>
      </c>
      <c r="H3002" s="5">
        <f>IFERROR(__xludf.DUMMYFUNCTION("SPLiT(G3002, ""🤙🏼"",FALSE,FALSE)"),751.0)</f>
        <v>751</v>
      </c>
      <c r="I3002" s="5" t="str">
        <f>IFERROR(__xludf.DUMMYFUNCTION("""COMPUTED_VALUE"""),"The Hangover")</f>
        <v>The Hangover</v>
      </c>
      <c r="J3002" s="5" t="str">
        <f>IFERROR(__xludf.DUMMYFUNCTION("""COMPUTED_VALUE"""),"Zach Galifianakis")</f>
        <v>Zach Galifianakis</v>
      </c>
      <c r="K3002" s="5" t="str">
        <f>IFERROR(__xludf.DUMMYFUNCTION("""COMPUTED_VALUE"""),"Estrela 1")</f>
        <v>Estrela 1</v>
      </c>
      <c r="P3002" s="5">
        <f>IFERROR(__xludf.DUMMYFUNCTION("""COMPUTED_VALUE"""),751.0)</f>
        <v>751</v>
      </c>
      <c r="Q3002" s="5" t="str">
        <f>IFERROR(__xludf.DUMMYFUNCTION("""COMPUTED_VALUE"""),"The Hangover")</f>
        <v>The Hangover</v>
      </c>
      <c r="R3002" s="5" t="str">
        <f>IFERROR(__xludf.DUMMYFUNCTION("""COMPUTED_VALUE"""),"Zach Galifianakis")</f>
        <v>Zach Galifianakis</v>
      </c>
      <c r="S3002" s="5" t="str">
        <f>IFERROR(__xludf.DUMMYFUNCTION("""COMPUTED_VALUE"""),"Estrela 1")</f>
        <v>Estrela 1</v>
      </c>
    </row>
    <row r="3003">
      <c r="G3003" s="5" t="str">
        <f>IFERROR(__xludf.DUMMYFUNCTION("""COMPUTED_VALUE"""),"751🤙🏼The Hangover🤙🏼Bradley Cooper🤙🏼Estrela 2")</f>
        <v>751🤙🏼The Hangover🤙🏼Bradley Cooper🤙🏼Estrela 2</v>
      </c>
      <c r="H3003" s="5">
        <f>IFERROR(__xludf.DUMMYFUNCTION("SPLiT(G3003, ""🤙🏼"",FALSE,FALSE)"),751.0)</f>
        <v>751</v>
      </c>
      <c r="I3003" s="5" t="str">
        <f>IFERROR(__xludf.DUMMYFUNCTION("""COMPUTED_VALUE"""),"The Hangover")</f>
        <v>The Hangover</v>
      </c>
      <c r="J3003" s="5" t="str">
        <f>IFERROR(__xludf.DUMMYFUNCTION("""COMPUTED_VALUE"""),"Bradley Cooper")</f>
        <v>Bradley Cooper</v>
      </c>
      <c r="K3003" s="5" t="str">
        <f>IFERROR(__xludf.DUMMYFUNCTION("""COMPUTED_VALUE"""),"Estrela 2")</f>
        <v>Estrela 2</v>
      </c>
      <c r="P3003" s="5">
        <f>IFERROR(__xludf.DUMMYFUNCTION("""COMPUTED_VALUE"""),751.0)</f>
        <v>751</v>
      </c>
      <c r="Q3003" s="5" t="str">
        <f>IFERROR(__xludf.DUMMYFUNCTION("""COMPUTED_VALUE"""),"The Hangover")</f>
        <v>The Hangover</v>
      </c>
      <c r="R3003" s="5" t="str">
        <f>IFERROR(__xludf.DUMMYFUNCTION("""COMPUTED_VALUE"""),"Bradley Cooper")</f>
        <v>Bradley Cooper</v>
      </c>
      <c r="S3003" s="5" t="str">
        <f>IFERROR(__xludf.DUMMYFUNCTION("""COMPUTED_VALUE"""),"Estrela 2")</f>
        <v>Estrela 2</v>
      </c>
    </row>
    <row r="3004">
      <c r="G3004" s="5" t="str">
        <f>IFERROR(__xludf.DUMMYFUNCTION("""COMPUTED_VALUE"""),"751🤙🏼The Hangover🤙🏼Justin Bartha🤙🏼Estrela 3")</f>
        <v>751🤙🏼The Hangover🤙🏼Justin Bartha🤙🏼Estrela 3</v>
      </c>
      <c r="H3004" s="5">
        <f>IFERROR(__xludf.DUMMYFUNCTION("SPLiT(G3004, ""🤙🏼"",FALSE,FALSE)"),751.0)</f>
        <v>751</v>
      </c>
      <c r="I3004" s="5" t="str">
        <f>IFERROR(__xludf.DUMMYFUNCTION("""COMPUTED_VALUE"""),"The Hangover")</f>
        <v>The Hangover</v>
      </c>
      <c r="J3004" s="5" t="str">
        <f>IFERROR(__xludf.DUMMYFUNCTION("""COMPUTED_VALUE"""),"Justin Bartha")</f>
        <v>Justin Bartha</v>
      </c>
      <c r="K3004" s="5" t="str">
        <f>IFERROR(__xludf.DUMMYFUNCTION("""COMPUTED_VALUE"""),"Estrela 3")</f>
        <v>Estrela 3</v>
      </c>
      <c r="P3004" s="5">
        <f>IFERROR(__xludf.DUMMYFUNCTION("""COMPUTED_VALUE"""),751.0)</f>
        <v>751</v>
      </c>
      <c r="Q3004" s="5" t="str">
        <f>IFERROR(__xludf.DUMMYFUNCTION("""COMPUTED_VALUE"""),"The Hangover")</f>
        <v>The Hangover</v>
      </c>
      <c r="R3004" s="5" t="str">
        <f>IFERROR(__xludf.DUMMYFUNCTION("""COMPUTED_VALUE"""),"Justin Bartha")</f>
        <v>Justin Bartha</v>
      </c>
      <c r="S3004" s="5" t="str">
        <f>IFERROR(__xludf.DUMMYFUNCTION("""COMPUTED_VALUE"""),"Estrela 3")</f>
        <v>Estrela 3</v>
      </c>
    </row>
    <row r="3005">
      <c r="G3005" s="5" t="str">
        <f>IFERROR(__xludf.DUMMYFUNCTION("""COMPUTED_VALUE"""),"751🤙🏼The Hangover🤙🏼Ed Helms🤙🏼Estrela 4")</f>
        <v>751🤙🏼The Hangover🤙🏼Ed Helms🤙🏼Estrela 4</v>
      </c>
      <c r="H3005" s="5">
        <f>IFERROR(__xludf.DUMMYFUNCTION("SPLiT(G3005, ""🤙🏼"",FALSE,FALSE)"),751.0)</f>
        <v>751</v>
      </c>
      <c r="I3005" s="5" t="str">
        <f>IFERROR(__xludf.DUMMYFUNCTION("""COMPUTED_VALUE"""),"The Hangover")</f>
        <v>The Hangover</v>
      </c>
      <c r="J3005" s="5" t="str">
        <f>IFERROR(__xludf.DUMMYFUNCTION("""COMPUTED_VALUE"""),"Ed Helms")</f>
        <v>Ed Helms</v>
      </c>
      <c r="K3005" s="5" t="str">
        <f>IFERROR(__xludf.DUMMYFUNCTION("""COMPUTED_VALUE"""),"Estrela 4")</f>
        <v>Estrela 4</v>
      </c>
      <c r="P3005" s="5">
        <f>IFERROR(__xludf.DUMMYFUNCTION("""COMPUTED_VALUE"""),751.0)</f>
        <v>751</v>
      </c>
      <c r="Q3005" s="5" t="str">
        <f>IFERROR(__xludf.DUMMYFUNCTION("""COMPUTED_VALUE"""),"The Hangover")</f>
        <v>The Hangover</v>
      </c>
      <c r="R3005" s="5" t="str">
        <f>IFERROR(__xludf.DUMMYFUNCTION("""COMPUTED_VALUE"""),"Ed Helms")</f>
        <v>Ed Helms</v>
      </c>
      <c r="S3005" s="5" t="str">
        <f>IFERROR(__xludf.DUMMYFUNCTION("""COMPUTED_VALUE"""),"Estrela 4")</f>
        <v>Estrela 4</v>
      </c>
    </row>
    <row r="3006">
      <c r="G3006" s="5" t="str">
        <f>IFERROR(__xludf.DUMMYFUNCTION("""COMPUTED_VALUE"""),"752🤙🏼Skyfall🤙🏼Daniel Craig🤙🏼Estrela 1")</f>
        <v>752🤙🏼Skyfall🤙🏼Daniel Craig🤙🏼Estrela 1</v>
      </c>
      <c r="H3006" s="5">
        <f>IFERROR(__xludf.DUMMYFUNCTION("SPLiT(G3006, ""🤙🏼"",FALSE,FALSE)"),752.0)</f>
        <v>752</v>
      </c>
      <c r="I3006" s="5" t="str">
        <f>IFERROR(__xludf.DUMMYFUNCTION("""COMPUTED_VALUE"""),"Skyfall")</f>
        <v>Skyfall</v>
      </c>
      <c r="J3006" s="5" t="str">
        <f>IFERROR(__xludf.DUMMYFUNCTION("""COMPUTED_VALUE"""),"Daniel Craig")</f>
        <v>Daniel Craig</v>
      </c>
      <c r="K3006" s="5" t="str">
        <f>IFERROR(__xludf.DUMMYFUNCTION("""COMPUTED_VALUE"""),"Estrela 1")</f>
        <v>Estrela 1</v>
      </c>
      <c r="P3006" s="5">
        <f>IFERROR(__xludf.DUMMYFUNCTION("""COMPUTED_VALUE"""),752.0)</f>
        <v>752</v>
      </c>
      <c r="Q3006" s="5" t="str">
        <f>IFERROR(__xludf.DUMMYFUNCTION("""COMPUTED_VALUE"""),"Skyfall")</f>
        <v>Skyfall</v>
      </c>
      <c r="R3006" s="5" t="str">
        <f>IFERROR(__xludf.DUMMYFUNCTION("""COMPUTED_VALUE"""),"Daniel Craig")</f>
        <v>Daniel Craig</v>
      </c>
      <c r="S3006" s="5" t="str">
        <f>IFERROR(__xludf.DUMMYFUNCTION("""COMPUTED_VALUE"""),"Estrela 1")</f>
        <v>Estrela 1</v>
      </c>
    </row>
    <row r="3007">
      <c r="G3007" s="5" t="str">
        <f>IFERROR(__xludf.DUMMYFUNCTION("""COMPUTED_VALUE"""),"752🤙🏼Skyfall🤙🏼Javier Bardem🤙🏼Estrela 2")</f>
        <v>752🤙🏼Skyfall🤙🏼Javier Bardem🤙🏼Estrela 2</v>
      </c>
      <c r="H3007" s="5">
        <f>IFERROR(__xludf.DUMMYFUNCTION("SPLiT(G3007, ""🤙🏼"",FALSE,FALSE)"),752.0)</f>
        <v>752</v>
      </c>
      <c r="I3007" s="5" t="str">
        <f>IFERROR(__xludf.DUMMYFUNCTION("""COMPUTED_VALUE"""),"Skyfall")</f>
        <v>Skyfall</v>
      </c>
      <c r="J3007" s="5" t="str">
        <f>IFERROR(__xludf.DUMMYFUNCTION("""COMPUTED_VALUE"""),"Javier Bardem")</f>
        <v>Javier Bardem</v>
      </c>
      <c r="K3007" s="5" t="str">
        <f>IFERROR(__xludf.DUMMYFUNCTION("""COMPUTED_VALUE"""),"Estrela 2")</f>
        <v>Estrela 2</v>
      </c>
      <c r="P3007" s="5">
        <f>IFERROR(__xludf.DUMMYFUNCTION("""COMPUTED_VALUE"""),752.0)</f>
        <v>752</v>
      </c>
      <c r="Q3007" s="5" t="str">
        <f>IFERROR(__xludf.DUMMYFUNCTION("""COMPUTED_VALUE"""),"Skyfall")</f>
        <v>Skyfall</v>
      </c>
      <c r="R3007" s="5" t="str">
        <f>IFERROR(__xludf.DUMMYFUNCTION("""COMPUTED_VALUE"""),"Javier Bardem")</f>
        <v>Javier Bardem</v>
      </c>
      <c r="S3007" s="5" t="str">
        <f>IFERROR(__xludf.DUMMYFUNCTION("""COMPUTED_VALUE"""),"Estrela 2")</f>
        <v>Estrela 2</v>
      </c>
    </row>
    <row r="3008">
      <c r="G3008" s="5" t="str">
        <f>IFERROR(__xludf.DUMMYFUNCTION("""COMPUTED_VALUE"""),"752🤙🏼Skyfall🤙🏼Naomie Harris🤙🏼Estrela 3")</f>
        <v>752🤙🏼Skyfall🤙🏼Naomie Harris🤙🏼Estrela 3</v>
      </c>
      <c r="H3008" s="5">
        <f>IFERROR(__xludf.DUMMYFUNCTION("SPLiT(G3008, ""🤙🏼"",FALSE,FALSE)"),752.0)</f>
        <v>752</v>
      </c>
      <c r="I3008" s="5" t="str">
        <f>IFERROR(__xludf.DUMMYFUNCTION("""COMPUTED_VALUE"""),"Skyfall")</f>
        <v>Skyfall</v>
      </c>
      <c r="J3008" s="5" t="str">
        <f>IFERROR(__xludf.DUMMYFUNCTION("""COMPUTED_VALUE"""),"Naomie Harris")</f>
        <v>Naomie Harris</v>
      </c>
      <c r="K3008" s="5" t="str">
        <f>IFERROR(__xludf.DUMMYFUNCTION("""COMPUTED_VALUE"""),"Estrela 3")</f>
        <v>Estrela 3</v>
      </c>
      <c r="P3008" s="5">
        <f>IFERROR(__xludf.DUMMYFUNCTION("""COMPUTED_VALUE"""),752.0)</f>
        <v>752</v>
      </c>
      <c r="Q3008" s="5" t="str">
        <f>IFERROR(__xludf.DUMMYFUNCTION("""COMPUTED_VALUE"""),"Skyfall")</f>
        <v>Skyfall</v>
      </c>
      <c r="R3008" s="5" t="str">
        <f>IFERROR(__xludf.DUMMYFUNCTION("""COMPUTED_VALUE"""),"Naomie Harris")</f>
        <v>Naomie Harris</v>
      </c>
      <c r="S3008" s="5" t="str">
        <f>IFERROR(__xludf.DUMMYFUNCTION("""COMPUTED_VALUE"""),"Estrela 3")</f>
        <v>Estrela 3</v>
      </c>
    </row>
    <row r="3009">
      <c r="G3009" s="5" t="str">
        <f>IFERROR(__xludf.DUMMYFUNCTION("""COMPUTED_VALUE"""),"752🤙🏼Skyfall🤙🏼Judi Dench🤙🏼Estrela 4")</f>
        <v>752🤙🏼Skyfall🤙🏼Judi Dench🤙🏼Estrela 4</v>
      </c>
      <c r="H3009" s="5">
        <f>IFERROR(__xludf.DUMMYFUNCTION("SPLiT(G3009, ""🤙🏼"",FALSE,FALSE)"),752.0)</f>
        <v>752</v>
      </c>
      <c r="I3009" s="5" t="str">
        <f>IFERROR(__xludf.DUMMYFUNCTION("""COMPUTED_VALUE"""),"Skyfall")</f>
        <v>Skyfall</v>
      </c>
      <c r="J3009" s="5" t="str">
        <f>IFERROR(__xludf.DUMMYFUNCTION("""COMPUTED_VALUE"""),"Judi Dench")</f>
        <v>Judi Dench</v>
      </c>
      <c r="K3009" s="5" t="str">
        <f>IFERROR(__xludf.DUMMYFUNCTION("""COMPUTED_VALUE"""),"Estrela 4")</f>
        <v>Estrela 4</v>
      </c>
      <c r="P3009" s="5">
        <f>IFERROR(__xludf.DUMMYFUNCTION("""COMPUTED_VALUE"""),752.0)</f>
        <v>752</v>
      </c>
      <c r="Q3009" s="5" t="str">
        <f>IFERROR(__xludf.DUMMYFUNCTION("""COMPUTED_VALUE"""),"Skyfall")</f>
        <v>Skyfall</v>
      </c>
      <c r="R3009" s="5" t="str">
        <f>IFERROR(__xludf.DUMMYFUNCTION("""COMPUTED_VALUE"""),"Judi Dench")</f>
        <v>Judi Dench</v>
      </c>
      <c r="S3009" s="5" t="str">
        <f>IFERROR(__xludf.DUMMYFUNCTION("""COMPUTED_VALUE"""),"Estrela 4")</f>
        <v>Estrela 4</v>
      </c>
    </row>
    <row r="3010">
      <c r="G3010" s="5" t="str">
        <f>IFERROR(__xludf.DUMMYFUNCTION("""COMPUTED_VALUE"""),"753🤙🏼Silver Linings Playbook🤙🏼Bradley Cooper🤙🏼Estrela 1")</f>
        <v>753🤙🏼Silver Linings Playbook🤙🏼Bradley Cooper🤙🏼Estrela 1</v>
      </c>
      <c r="H3010" s="5">
        <f>IFERROR(__xludf.DUMMYFUNCTION("SPLiT(G3010, ""🤙🏼"",FALSE,FALSE)"),753.0)</f>
        <v>753</v>
      </c>
      <c r="I3010" s="5" t="str">
        <f>IFERROR(__xludf.DUMMYFUNCTION("""COMPUTED_VALUE"""),"Silver Linings Playbook")</f>
        <v>Silver Linings Playbook</v>
      </c>
      <c r="J3010" s="5" t="str">
        <f>IFERROR(__xludf.DUMMYFUNCTION("""COMPUTED_VALUE"""),"Bradley Cooper")</f>
        <v>Bradley Cooper</v>
      </c>
      <c r="K3010" s="5" t="str">
        <f>IFERROR(__xludf.DUMMYFUNCTION("""COMPUTED_VALUE"""),"Estrela 1")</f>
        <v>Estrela 1</v>
      </c>
      <c r="P3010" s="5">
        <f>IFERROR(__xludf.DUMMYFUNCTION("""COMPUTED_VALUE"""),753.0)</f>
        <v>753</v>
      </c>
      <c r="Q3010" s="5" t="str">
        <f>IFERROR(__xludf.DUMMYFUNCTION("""COMPUTED_VALUE"""),"Silver Linings Playbook")</f>
        <v>Silver Linings Playbook</v>
      </c>
      <c r="R3010" s="5" t="str">
        <f>IFERROR(__xludf.DUMMYFUNCTION("""COMPUTED_VALUE"""),"Bradley Cooper")</f>
        <v>Bradley Cooper</v>
      </c>
      <c r="S3010" s="5" t="str">
        <f>IFERROR(__xludf.DUMMYFUNCTION("""COMPUTED_VALUE"""),"Estrela 1")</f>
        <v>Estrela 1</v>
      </c>
    </row>
    <row r="3011">
      <c r="G3011" s="5" t="str">
        <f>IFERROR(__xludf.DUMMYFUNCTION("""COMPUTED_VALUE"""),"753🤙🏼Silver Linings Playbook🤙🏼Jennifer Lawrence🤙🏼Estrela 2")</f>
        <v>753🤙🏼Silver Linings Playbook🤙🏼Jennifer Lawrence🤙🏼Estrela 2</v>
      </c>
      <c r="H3011" s="5">
        <f>IFERROR(__xludf.DUMMYFUNCTION("SPLiT(G3011, ""🤙🏼"",FALSE,FALSE)"),753.0)</f>
        <v>753</v>
      </c>
      <c r="I3011" s="5" t="str">
        <f>IFERROR(__xludf.DUMMYFUNCTION("""COMPUTED_VALUE"""),"Silver Linings Playbook")</f>
        <v>Silver Linings Playbook</v>
      </c>
      <c r="J3011" s="5" t="str">
        <f>IFERROR(__xludf.DUMMYFUNCTION("""COMPUTED_VALUE"""),"Jennifer Lawrence")</f>
        <v>Jennifer Lawrence</v>
      </c>
      <c r="K3011" s="5" t="str">
        <f>IFERROR(__xludf.DUMMYFUNCTION("""COMPUTED_VALUE"""),"Estrela 2")</f>
        <v>Estrela 2</v>
      </c>
      <c r="P3011" s="5">
        <f>IFERROR(__xludf.DUMMYFUNCTION("""COMPUTED_VALUE"""),753.0)</f>
        <v>753</v>
      </c>
      <c r="Q3011" s="5" t="str">
        <f>IFERROR(__xludf.DUMMYFUNCTION("""COMPUTED_VALUE"""),"Silver Linings Playbook")</f>
        <v>Silver Linings Playbook</v>
      </c>
      <c r="R3011" s="5" t="str">
        <f>IFERROR(__xludf.DUMMYFUNCTION("""COMPUTED_VALUE"""),"Jennifer Lawrence")</f>
        <v>Jennifer Lawrence</v>
      </c>
      <c r="S3011" s="5" t="str">
        <f>IFERROR(__xludf.DUMMYFUNCTION("""COMPUTED_VALUE"""),"Estrela 2")</f>
        <v>Estrela 2</v>
      </c>
    </row>
    <row r="3012">
      <c r="G3012" s="5" t="str">
        <f>IFERROR(__xludf.DUMMYFUNCTION("""COMPUTED_VALUE"""),"753🤙🏼Silver Linings Playbook🤙🏼Robert De Niro🤙🏼Estrela 3")</f>
        <v>753🤙🏼Silver Linings Playbook🤙🏼Robert De Niro🤙🏼Estrela 3</v>
      </c>
      <c r="H3012" s="5">
        <f>IFERROR(__xludf.DUMMYFUNCTION("SPLiT(G3012, ""🤙🏼"",FALSE,FALSE)"),753.0)</f>
        <v>753</v>
      </c>
      <c r="I3012" s="5" t="str">
        <f>IFERROR(__xludf.DUMMYFUNCTION("""COMPUTED_VALUE"""),"Silver Linings Playbook")</f>
        <v>Silver Linings Playbook</v>
      </c>
      <c r="J3012" s="5" t="str">
        <f>IFERROR(__xludf.DUMMYFUNCTION("""COMPUTED_VALUE"""),"Robert De Niro")</f>
        <v>Robert De Niro</v>
      </c>
      <c r="K3012" s="5" t="str">
        <f>IFERROR(__xludf.DUMMYFUNCTION("""COMPUTED_VALUE"""),"Estrela 3")</f>
        <v>Estrela 3</v>
      </c>
      <c r="P3012" s="5">
        <f>IFERROR(__xludf.DUMMYFUNCTION("""COMPUTED_VALUE"""),753.0)</f>
        <v>753</v>
      </c>
      <c r="Q3012" s="5" t="str">
        <f>IFERROR(__xludf.DUMMYFUNCTION("""COMPUTED_VALUE"""),"Silver Linings Playbook")</f>
        <v>Silver Linings Playbook</v>
      </c>
      <c r="R3012" s="5" t="str">
        <f>IFERROR(__xludf.DUMMYFUNCTION("""COMPUTED_VALUE"""),"Robert De Niro")</f>
        <v>Robert De Niro</v>
      </c>
      <c r="S3012" s="5" t="str">
        <f>IFERROR(__xludf.DUMMYFUNCTION("""COMPUTED_VALUE"""),"Estrela 3")</f>
        <v>Estrela 3</v>
      </c>
    </row>
    <row r="3013">
      <c r="G3013" s="5" t="str">
        <f>IFERROR(__xludf.DUMMYFUNCTION("""COMPUTED_VALUE"""),"753🤙🏼Silver Linings Playbook🤙🏼Jacki Weaver🤙🏼Estrela 4")</f>
        <v>753🤙🏼Silver Linings Playbook🤙🏼Jacki Weaver🤙🏼Estrela 4</v>
      </c>
      <c r="H3013" s="5">
        <f>IFERROR(__xludf.DUMMYFUNCTION("SPLiT(G3013, ""🤙🏼"",FALSE,FALSE)"),753.0)</f>
        <v>753</v>
      </c>
      <c r="I3013" s="5" t="str">
        <f>IFERROR(__xludf.DUMMYFUNCTION("""COMPUTED_VALUE"""),"Silver Linings Playbook")</f>
        <v>Silver Linings Playbook</v>
      </c>
      <c r="J3013" s="5" t="str">
        <f>IFERROR(__xludf.DUMMYFUNCTION("""COMPUTED_VALUE"""),"Jacki Weaver")</f>
        <v>Jacki Weaver</v>
      </c>
      <c r="K3013" s="5" t="str">
        <f>IFERROR(__xludf.DUMMYFUNCTION("""COMPUTED_VALUE"""),"Estrela 4")</f>
        <v>Estrela 4</v>
      </c>
      <c r="P3013" s="5">
        <f>IFERROR(__xludf.DUMMYFUNCTION("""COMPUTED_VALUE"""),753.0)</f>
        <v>753</v>
      </c>
      <c r="Q3013" s="5" t="str">
        <f>IFERROR(__xludf.DUMMYFUNCTION("""COMPUTED_VALUE"""),"Silver Linings Playbook")</f>
        <v>Silver Linings Playbook</v>
      </c>
      <c r="R3013" s="5" t="str">
        <f>IFERROR(__xludf.DUMMYFUNCTION("""COMPUTED_VALUE"""),"Jacki Weaver")</f>
        <v>Jacki Weaver</v>
      </c>
      <c r="S3013" s="5" t="str">
        <f>IFERROR(__xludf.DUMMYFUNCTION("""COMPUTED_VALUE"""),"Estrela 4")</f>
        <v>Estrela 4</v>
      </c>
    </row>
    <row r="3014">
      <c r="G3014" s="5" t="str">
        <f>IFERROR(__xludf.DUMMYFUNCTION("""COMPUTED_VALUE"""),"754🤙🏼Argo🤙🏼Ben Affleck🤙🏼Estrela 1")</f>
        <v>754🤙🏼Argo🤙🏼Ben Affleck🤙🏼Estrela 1</v>
      </c>
      <c r="H3014" s="5">
        <f>IFERROR(__xludf.DUMMYFUNCTION("SPLiT(G3014, ""🤙🏼"",FALSE,FALSE)"),754.0)</f>
        <v>754</v>
      </c>
      <c r="I3014" s="5" t="str">
        <f>IFERROR(__xludf.DUMMYFUNCTION("""COMPUTED_VALUE"""),"Argo")</f>
        <v>Argo</v>
      </c>
      <c r="J3014" s="5" t="str">
        <f>IFERROR(__xludf.DUMMYFUNCTION("""COMPUTED_VALUE"""),"Ben Affleck")</f>
        <v>Ben Affleck</v>
      </c>
      <c r="K3014" s="5" t="str">
        <f>IFERROR(__xludf.DUMMYFUNCTION("""COMPUTED_VALUE"""),"Estrela 1")</f>
        <v>Estrela 1</v>
      </c>
      <c r="P3014" s="5">
        <f>IFERROR(__xludf.DUMMYFUNCTION("""COMPUTED_VALUE"""),754.0)</f>
        <v>754</v>
      </c>
      <c r="Q3014" s="5" t="str">
        <f>IFERROR(__xludf.DUMMYFUNCTION("""COMPUTED_VALUE"""),"Argo")</f>
        <v>Argo</v>
      </c>
      <c r="R3014" s="5" t="str">
        <f>IFERROR(__xludf.DUMMYFUNCTION("""COMPUTED_VALUE"""),"Ben Affleck")</f>
        <v>Ben Affleck</v>
      </c>
      <c r="S3014" s="5" t="str">
        <f>IFERROR(__xludf.DUMMYFUNCTION("""COMPUTED_VALUE"""),"Estrela 1")</f>
        <v>Estrela 1</v>
      </c>
    </row>
    <row r="3015">
      <c r="G3015" s="5" t="str">
        <f>IFERROR(__xludf.DUMMYFUNCTION("""COMPUTED_VALUE"""),"754🤙🏼Argo🤙🏼Bryan Cranston🤙🏼Estrela 2")</f>
        <v>754🤙🏼Argo🤙🏼Bryan Cranston🤙🏼Estrela 2</v>
      </c>
      <c r="H3015" s="5">
        <f>IFERROR(__xludf.DUMMYFUNCTION("SPLiT(G3015, ""🤙🏼"",FALSE,FALSE)"),754.0)</f>
        <v>754</v>
      </c>
      <c r="I3015" s="5" t="str">
        <f>IFERROR(__xludf.DUMMYFUNCTION("""COMPUTED_VALUE"""),"Argo")</f>
        <v>Argo</v>
      </c>
      <c r="J3015" s="5" t="str">
        <f>IFERROR(__xludf.DUMMYFUNCTION("""COMPUTED_VALUE"""),"Bryan Cranston")</f>
        <v>Bryan Cranston</v>
      </c>
      <c r="K3015" s="5" t="str">
        <f>IFERROR(__xludf.DUMMYFUNCTION("""COMPUTED_VALUE"""),"Estrela 2")</f>
        <v>Estrela 2</v>
      </c>
      <c r="P3015" s="5">
        <f>IFERROR(__xludf.DUMMYFUNCTION("""COMPUTED_VALUE"""),754.0)</f>
        <v>754</v>
      </c>
      <c r="Q3015" s="5" t="str">
        <f>IFERROR(__xludf.DUMMYFUNCTION("""COMPUTED_VALUE"""),"Argo")</f>
        <v>Argo</v>
      </c>
      <c r="R3015" s="5" t="str">
        <f>IFERROR(__xludf.DUMMYFUNCTION("""COMPUTED_VALUE"""),"Bryan Cranston")</f>
        <v>Bryan Cranston</v>
      </c>
      <c r="S3015" s="5" t="str">
        <f>IFERROR(__xludf.DUMMYFUNCTION("""COMPUTED_VALUE"""),"Estrela 2")</f>
        <v>Estrela 2</v>
      </c>
    </row>
    <row r="3016">
      <c r="G3016" s="5" t="str">
        <f>IFERROR(__xludf.DUMMYFUNCTION("""COMPUTED_VALUE"""),"754🤙🏼Argo🤙🏼John Goodman🤙🏼Estrela 3")</f>
        <v>754🤙🏼Argo🤙🏼John Goodman🤙🏼Estrela 3</v>
      </c>
      <c r="H3016" s="5">
        <f>IFERROR(__xludf.DUMMYFUNCTION("SPLiT(G3016, ""🤙🏼"",FALSE,FALSE)"),754.0)</f>
        <v>754</v>
      </c>
      <c r="I3016" s="5" t="str">
        <f>IFERROR(__xludf.DUMMYFUNCTION("""COMPUTED_VALUE"""),"Argo")</f>
        <v>Argo</v>
      </c>
      <c r="J3016" s="5" t="str">
        <f>IFERROR(__xludf.DUMMYFUNCTION("""COMPUTED_VALUE"""),"John Goodman")</f>
        <v>John Goodman</v>
      </c>
      <c r="K3016" s="5" t="str">
        <f>IFERROR(__xludf.DUMMYFUNCTION("""COMPUTED_VALUE"""),"Estrela 3")</f>
        <v>Estrela 3</v>
      </c>
      <c r="P3016" s="5">
        <f>IFERROR(__xludf.DUMMYFUNCTION("""COMPUTED_VALUE"""),754.0)</f>
        <v>754</v>
      </c>
      <c r="Q3016" s="5" t="str">
        <f>IFERROR(__xludf.DUMMYFUNCTION("""COMPUTED_VALUE"""),"Argo")</f>
        <v>Argo</v>
      </c>
      <c r="R3016" s="5" t="str">
        <f>IFERROR(__xludf.DUMMYFUNCTION("""COMPUTED_VALUE"""),"John Goodman")</f>
        <v>John Goodman</v>
      </c>
      <c r="S3016" s="5" t="str">
        <f>IFERROR(__xludf.DUMMYFUNCTION("""COMPUTED_VALUE"""),"Estrela 3")</f>
        <v>Estrela 3</v>
      </c>
    </row>
    <row r="3017">
      <c r="G3017" s="5" t="str">
        <f>IFERROR(__xludf.DUMMYFUNCTION("""COMPUTED_VALUE"""),"754🤙🏼Argo🤙🏼Alan Arkin🤙🏼Estrela 4")</f>
        <v>754🤙🏼Argo🤙🏼Alan Arkin🤙🏼Estrela 4</v>
      </c>
      <c r="H3017" s="5">
        <f>IFERROR(__xludf.DUMMYFUNCTION("SPLiT(G3017, ""🤙🏼"",FALSE,FALSE)"),754.0)</f>
        <v>754</v>
      </c>
      <c r="I3017" s="5" t="str">
        <f>IFERROR(__xludf.DUMMYFUNCTION("""COMPUTED_VALUE"""),"Argo")</f>
        <v>Argo</v>
      </c>
      <c r="J3017" s="5" t="str">
        <f>IFERROR(__xludf.DUMMYFUNCTION("""COMPUTED_VALUE"""),"Alan Arkin")</f>
        <v>Alan Arkin</v>
      </c>
      <c r="K3017" s="5" t="str">
        <f>IFERROR(__xludf.DUMMYFUNCTION("""COMPUTED_VALUE"""),"Estrela 4")</f>
        <v>Estrela 4</v>
      </c>
      <c r="P3017" s="5">
        <f>IFERROR(__xludf.DUMMYFUNCTION("""COMPUTED_VALUE"""),754.0)</f>
        <v>754</v>
      </c>
      <c r="Q3017" s="5" t="str">
        <f>IFERROR(__xludf.DUMMYFUNCTION("""COMPUTED_VALUE"""),"Argo")</f>
        <v>Argo</v>
      </c>
      <c r="R3017" s="5" t="str">
        <f>IFERROR(__xludf.DUMMYFUNCTION("""COMPUTED_VALUE"""),"Alan Arkin")</f>
        <v>Alan Arkin</v>
      </c>
      <c r="S3017" s="5" t="str">
        <f>IFERROR(__xludf.DUMMYFUNCTION("""COMPUTED_VALUE"""),"Estrela 4")</f>
        <v>Estrela 4</v>
      </c>
    </row>
    <row r="3018">
      <c r="G3018" s="5" t="str">
        <f>IFERROR(__xludf.DUMMYFUNCTION("""COMPUTED_VALUE"""),"755🤙🏼(500) Days of Summer🤙🏼Zooey Deschanel🤙🏼Estrela 1")</f>
        <v>755🤙🏼(500) Days of Summer🤙🏼Zooey Deschanel🤙🏼Estrela 1</v>
      </c>
      <c r="H3018" s="5">
        <f>IFERROR(__xludf.DUMMYFUNCTION("SPLiT(G3018, ""🤙🏼"",FALSE,FALSE)"),755.0)</f>
        <v>755</v>
      </c>
      <c r="I3018" s="5" t="str">
        <f>IFERROR(__xludf.DUMMYFUNCTION("""COMPUTED_VALUE"""),"(500) Days of Summer")</f>
        <v>(500) Days of Summer</v>
      </c>
      <c r="J3018" s="5" t="str">
        <f>IFERROR(__xludf.DUMMYFUNCTION("""COMPUTED_VALUE"""),"Zooey Deschanel")</f>
        <v>Zooey Deschanel</v>
      </c>
      <c r="K3018" s="5" t="str">
        <f>IFERROR(__xludf.DUMMYFUNCTION("""COMPUTED_VALUE"""),"Estrela 1")</f>
        <v>Estrela 1</v>
      </c>
      <c r="P3018" s="5">
        <f>IFERROR(__xludf.DUMMYFUNCTION("""COMPUTED_VALUE"""),755.0)</f>
        <v>755</v>
      </c>
      <c r="Q3018" s="5" t="str">
        <f>IFERROR(__xludf.DUMMYFUNCTION("""COMPUTED_VALUE"""),"(500) Days of Summer")</f>
        <v>(500) Days of Summer</v>
      </c>
      <c r="R3018" s="5" t="str">
        <f>IFERROR(__xludf.DUMMYFUNCTION("""COMPUTED_VALUE"""),"Zooey Deschanel")</f>
        <v>Zooey Deschanel</v>
      </c>
      <c r="S3018" s="5" t="str">
        <f>IFERROR(__xludf.DUMMYFUNCTION("""COMPUTED_VALUE"""),"Estrela 1")</f>
        <v>Estrela 1</v>
      </c>
    </row>
    <row r="3019">
      <c r="G3019" s="5" t="str">
        <f>IFERROR(__xludf.DUMMYFUNCTION("""COMPUTED_VALUE"""),"755🤙🏼(500) Days of Summer🤙🏼Joseph Gordon-Levitt🤙🏼Estrela 2")</f>
        <v>755🤙🏼(500) Days of Summer🤙🏼Joseph Gordon-Levitt🤙🏼Estrela 2</v>
      </c>
      <c r="H3019" s="5">
        <f>IFERROR(__xludf.DUMMYFUNCTION("SPLiT(G3019, ""🤙🏼"",FALSE,FALSE)"),755.0)</f>
        <v>755</v>
      </c>
      <c r="I3019" s="5" t="str">
        <f>IFERROR(__xludf.DUMMYFUNCTION("""COMPUTED_VALUE"""),"(500) Days of Summer")</f>
        <v>(500) Days of Summer</v>
      </c>
      <c r="J3019" s="5" t="str">
        <f>IFERROR(__xludf.DUMMYFUNCTION("""COMPUTED_VALUE"""),"Joseph Gordon-Levitt")</f>
        <v>Joseph Gordon-Levitt</v>
      </c>
      <c r="K3019" s="5" t="str">
        <f>IFERROR(__xludf.DUMMYFUNCTION("""COMPUTED_VALUE"""),"Estrela 2")</f>
        <v>Estrela 2</v>
      </c>
      <c r="P3019" s="5">
        <f>IFERROR(__xludf.DUMMYFUNCTION("""COMPUTED_VALUE"""),755.0)</f>
        <v>755</v>
      </c>
      <c r="Q3019" s="5" t="str">
        <f>IFERROR(__xludf.DUMMYFUNCTION("""COMPUTED_VALUE"""),"(500) Days of Summer")</f>
        <v>(500) Days of Summer</v>
      </c>
      <c r="R3019" s="5" t="str">
        <f>IFERROR(__xludf.DUMMYFUNCTION("""COMPUTED_VALUE"""),"Joseph Gordon-Levitt")</f>
        <v>Joseph Gordon-Levitt</v>
      </c>
      <c r="S3019" s="5" t="str">
        <f>IFERROR(__xludf.DUMMYFUNCTION("""COMPUTED_VALUE"""),"Estrela 2")</f>
        <v>Estrela 2</v>
      </c>
    </row>
    <row r="3020">
      <c r="G3020" s="5" t="str">
        <f>IFERROR(__xludf.DUMMYFUNCTION("""COMPUTED_VALUE"""),"755🤙🏼(500) Days of Summer🤙🏼Geoffrey Arend🤙🏼Estrela 3")</f>
        <v>755🤙🏼(500) Days of Summer🤙🏼Geoffrey Arend🤙🏼Estrela 3</v>
      </c>
      <c r="H3020" s="5">
        <f>IFERROR(__xludf.DUMMYFUNCTION("SPLiT(G3020, ""🤙🏼"",FALSE,FALSE)"),755.0)</f>
        <v>755</v>
      </c>
      <c r="I3020" s="5" t="str">
        <f>IFERROR(__xludf.DUMMYFUNCTION("""COMPUTED_VALUE"""),"(500) Days of Summer")</f>
        <v>(500) Days of Summer</v>
      </c>
      <c r="J3020" s="5" t="str">
        <f>IFERROR(__xludf.DUMMYFUNCTION("""COMPUTED_VALUE"""),"Geoffrey Arend")</f>
        <v>Geoffrey Arend</v>
      </c>
      <c r="K3020" s="5" t="str">
        <f>IFERROR(__xludf.DUMMYFUNCTION("""COMPUTED_VALUE"""),"Estrela 3")</f>
        <v>Estrela 3</v>
      </c>
      <c r="P3020" s="5">
        <f>IFERROR(__xludf.DUMMYFUNCTION("""COMPUTED_VALUE"""),755.0)</f>
        <v>755</v>
      </c>
      <c r="Q3020" s="5" t="str">
        <f>IFERROR(__xludf.DUMMYFUNCTION("""COMPUTED_VALUE"""),"(500) Days of Summer")</f>
        <v>(500) Days of Summer</v>
      </c>
      <c r="R3020" s="5" t="str">
        <f>IFERROR(__xludf.DUMMYFUNCTION("""COMPUTED_VALUE"""),"Geoffrey Arend")</f>
        <v>Geoffrey Arend</v>
      </c>
      <c r="S3020" s="5" t="str">
        <f>IFERROR(__xludf.DUMMYFUNCTION("""COMPUTED_VALUE"""),"Estrela 3")</f>
        <v>Estrela 3</v>
      </c>
    </row>
    <row r="3021">
      <c r="G3021" s="5" t="str">
        <f>IFERROR(__xludf.DUMMYFUNCTION("""COMPUTED_VALUE"""),"755🤙🏼(500) Days of Summer🤙🏼Chloë Grace Moretz🤙🏼Estrela 4")</f>
        <v>755🤙🏼(500) Days of Summer🤙🏼Chloë Grace Moretz🤙🏼Estrela 4</v>
      </c>
      <c r="H3021" s="5">
        <f>IFERROR(__xludf.DUMMYFUNCTION("SPLiT(G3021, ""🤙🏼"",FALSE,FALSE)"),755.0)</f>
        <v>755</v>
      </c>
      <c r="I3021" s="5" t="str">
        <f>IFERROR(__xludf.DUMMYFUNCTION("""COMPUTED_VALUE"""),"(500) Days of Summer")</f>
        <v>(500) Days of Summer</v>
      </c>
      <c r="J3021" s="5" t="str">
        <f>IFERROR(__xludf.DUMMYFUNCTION("""COMPUTED_VALUE"""),"Chloë Grace Moretz")</f>
        <v>Chloë Grace Moretz</v>
      </c>
      <c r="K3021" s="5" t="str">
        <f>IFERROR(__xludf.DUMMYFUNCTION("""COMPUTED_VALUE"""),"Estrela 4")</f>
        <v>Estrela 4</v>
      </c>
      <c r="P3021" s="5">
        <f>IFERROR(__xludf.DUMMYFUNCTION("""COMPUTED_VALUE"""),755.0)</f>
        <v>755</v>
      </c>
      <c r="Q3021" s="5" t="str">
        <f>IFERROR(__xludf.DUMMYFUNCTION("""COMPUTED_VALUE"""),"(500) Days of Summer")</f>
        <v>(500) Days of Summer</v>
      </c>
      <c r="R3021" s="5" t="str">
        <f>IFERROR(__xludf.DUMMYFUNCTION("""COMPUTED_VALUE"""),"Chloë Grace Moretz")</f>
        <v>Chloë Grace Moretz</v>
      </c>
      <c r="S3021" s="5" t="str">
        <f>IFERROR(__xludf.DUMMYFUNCTION("""COMPUTED_VALUE"""),"Estrela 4")</f>
        <v>Estrela 4</v>
      </c>
    </row>
    <row r="3022">
      <c r="G3022" s="5" t="str">
        <f>IFERROR(__xludf.DUMMYFUNCTION("""COMPUTED_VALUE"""),"756🤙🏼Harry Potter and the Deathly Hallows: Part 1🤙🏼Daniel Radcliffe🤙🏼Estrela 1")</f>
        <v>756🤙🏼Harry Potter and the Deathly Hallows: Part 1🤙🏼Daniel Radcliffe🤙🏼Estrela 1</v>
      </c>
      <c r="H3022" s="5">
        <f>IFERROR(__xludf.DUMMYFUNCTION("SPLiT(G3022, ""🤙🏼"",FALSE,FALSE)"),756.0)</f>
        <v>756</v>
      </c>
      <c r="I3022" s="5" t="str">
        <f>IFERROR(__xludf.DUMMYFUNCTION("""COMPUTED_VALUE"""),"Harry Potter and the Deathly Hallows: Part 1")</f>
        <v>Harry Potter and the Deathly Hallows: Part 1</v>
      </c>
      <c r="J3022" s="5" t="str">
        <f>IFERROR(__xludf.DUMMYFUNCTION("""COMPUTED_VALUE"""),"Daniel Radcliffe")</f>
        <v>Daniel Radcliffe</v>
      </c>
      <c r="K3022" s="5" t="str">
        <f>IFERROR(__xludf.DUMMYFUNCTION("""COMPUTED_VALUE"""),"Estrela 1")</f>
        <v>Estrela 1</v>
      </c>
      <c r="P3022" s="5">
        <f>IFERROR(__xludf.DUMMYFUNCTION("""COMPUTED_VALUE"""),756.0)</f>
        <v>756</v>
      </c>
      <c r="Q3022" s="5" t="str">
        <f>IFERROR(__xludf.DUMMYFUNCTION("""COMPUTED_VALUE"""),"Harry Potter and the Deathly Hallows: Part 1")</f>
        <v>Harry Potter and the Deathly Hallows: Part 1</v>
      </c>
      <c r="R3022" s="5" t="str">
        <f>IFERROR(__xludf.DUMMYFUNCTION("""COMPUTED_VALUE"""),"Daniel Radcliffe")</f>
        <v>Daniel Radcliffe</v>
      </c>
      <c r="S3022" s="5" t="str">
        <f>IFERROR(__xludf.DUMMYFUNCTION("""COMPUTED_VALUE"""),"Estrela 1")</f>
        <v>Estrela 1</v>
      </c>
    </row>
    <row r="3023">
      <c r="G3023" s="5" t="str">
        <f>IFERROR(__xludf.DUMMYFUNCTION("""COMPUTED_VALUE"""),"756🤙🏼Harry Potter and the Deathly Hallows: Part 1🤙🏼Emma Watson🤙🏼Estrela 2")</f>
        <v>756🤙🏼Harry Potter and the Deathly Hallows: Part 1🤙🏼Emma Watson🤙🏼Estrela 2</v>
      </c>
      <c r="H3023" s="5">
        <f>IFERROR(__xludf.DUMMYFUNCTION("SPLiT(G3023, ""🤙🏼"",FALSE,FALSE)"),756.0)</f>
        <v>756</v>
      </c>
      <c r="I3023" s="5" t="str">
        <f>IFERROR(__xludf.DUMMYFUNCTION("""COMPUTED_VALUE"""),"Harry Potter and the Deathly Hallows: Part 1")</f>
        <v>Harry Potter and the Deathly Hallows: Part 1</v>
      </c>
      <c r="J3023" s="5" t="str">
        <f>IFERROR(__xludf.DUMMYFUNCTION("""COMPUTED_VALUE"""),"Emma Watson")</f>
        <v>Emma Watson</v>
      </c>
      <c r="K3023" s="5" t="str">
        <f>IFERROR(__xludf.DUMMYFUNCTION("""COMPUTED_VALUE"""),"Estrela 2")</f>
        <v>Estrela 2</v>
      </c>
      <c r="P3023" s="5">
        <f>IFERROR(__xludf.DUMMYFUNCTION("""COMPUTED_VALUE"""),756.0)</f>
        <v>756</v>
      </c>
      <c r="Q3023" s="5" t="str">
        <f>IFERROR(__xludf.DUMMYFUNCTION("""COMPUTED_VALUE"""),"Harry Potter and the Deathly Hallows: Part 1")</f>
        <v>Harry Potter and the Deathly Hallows: Part 1</v>
      </c>
      <c r="R3023" s="5" t="str">
        <f>IFERROR(__xludf.DUMMYFUNCTION("""COMPUTED_VALUE"""),"Emma Watson")</f>
        <v>Emma Watson</v>
      </c>
      <c r="S3023" s="5" t="str">
        <f>IFERROR(__xludf.DUMMYFUNCTION("""COMPUTED_VALUE"""),"Estrela 2")</f>
        <v>Estrela 2</v>
      </c>
    </row>
    <row r="3024">
      <c r="G3024" s="5" t="str">
        <f>IFERROR(__xludf.DUMMYFUNCTION("""COMPUTED_VALUE"""),"756🤙🏼Harry Potter and the Deathly Hallows: Part 1🤙🏼Rupert Grint🤙🏼Estrela 3")</f>
        <v>756🤙🏼Harry Potter and the Deathly Hallows: Part 1🤙🏼Rupert Grint🤙🏼Estrela 3</v>
      </c>
      <c r="H3024" s="5">
        <f>IFERROR(__xludf.DUMMYFUNCTION("SPLiT(G3024, ""🤙🏼"",FALSE,FALSE)"),756.0)</f>
        <v>756</v>
      </c>
      <c r="I3024" s="5" t="str">
        <f>IFERROR(__xludf.DUMMYFUNCTION("""COMPUTED_VALUE"""),"Harry Potter and the Deathly Hallows: Part 1")</f>
        <v>Harry Potter and the Deathly Hallows: Part 1</v>
      </c>
      <c r="J3024" s="5" t="str">
        <f>IFERROR(__xludf.DUMMYFUNCTION("""COMPUTED_VALUE"""),"Rupert Grint")</f>
        <v>Rupert Grint</v>
      </c>
      <c r="K3024" s="5" t="str">
        <f>IFERROR(__xludf.DUMMYFUNCTION("""COMPUTED_VALUE"""),"Estrela 3")</f>
        <v>Estrela 3</v>
      </c>
      <c r="P3024" s="5">
        <f>IFERROR(__xludf.DUMMYFUNCTION("""COMPUTED_VALUE"""),756.0)</f>
        <v>756</v>
      </c>
      <c r="Q3024" s="5" t="str">
        <f>IFERROR(__xludf.DUMMYFUNCTION("""COMPUTED_VALUE"""),"Harry Potter and the Deathly Hallows: Part 1")</f>
        <v>Harry Potter and the Deathly Hallows: Part 1</v>
      </c>
      <c r="R3024" s="5" t="str">
        <f>IFERROR(__xludf.DUMMYFUNCTION("""COMPUTED_VALUE"""),"Rupert Grint")</f>
        <v>Rupert Grint</v>
      </c>
      <c r="S3024" s="5" t="str">
        <f>IFERROR(__xludf.DUMMYFUNCTION("""COMPUTED_VALUE"""),"Estrela 3")</f>
        <v>Estrela 3</v>
      </c>
    </row>
    <row r="3025">
      <c r="G3025" s="5" t="str">
        <f>IFERROR(__xludf.DUMMYFUNCTION("""COMPUTED_VALUE"""),"756🤙🏼Harry Potter and the Deathly Hallows: Part 1🤙🏼Bill Nighy🤙🏼Estrela 4")</f>
        <v>756🤙🏼Harry Potter and the Deathly Hallows: Part 1🤙🏼Bill Nighy🤙🏼Estrela 4</v>
      </c>
      <c r="H3025" s="5">
        <f>IFERROR(__xludf.DUMMYFUNCTION("SPLiT(G3025, ""🤙🏼"",FALSE,FALSE)"),756.0)</f>
        <v>756</v>
      </c>
      <c r="I3025" s="5" t="str">
        <f>IFERROR(__xludf.DUMMYFUNCTION("""COMPUTED_VALUE"""),"Harry Potter and the Deathly Hallows: Part 1")</f>
        <v>Harry Potter and the Deathly Hallows: Part 1</v>
      </c>
      <c r="J3025" s="5" t="str">
        <f>IFERROR(__xludf.DUMMYFUNCTION("""COMPUTED_VALUE"""),"Bill Nighy")</f>
        <v>Bill Nighy</v>
      </c>
      <c r="K3025" s="5" t="str">
        <f>IFERROR(__xludf.DUMMYFUNCTION("""COMPUTED_VALUE"""),"Estrela 4")</f>
        <v>Estrela 4</v>
      </c>
      <c r="P3025" s="5">
        <f>IFERROR(__xludf.DUMMYFUNCTION("""COMPUTED_VALUE"""),756.0)</f>
        <v>756</v>
      </c>
      <c r="Q3025" s="5" t="str">
        <f>IFERROR(__xludf.DUMMYFUNCTION("""COMPUTED_VALUE"""),"Harry Potter and the Deathly Hallows: Part 1")</f>
        <v>Harry Potter and the Deathly Hallows: Part 1</v>
      </c>
      <c r="R3025" s="5" t="str">
        <f>IFERROR(__xludf.DUMMYFUNCTION("""COMPUTED_VALUE"""),"Bill Nighy")</f>
        <v>Bill Nighy</v>
      </c>
      <c r="S3025" s="5" t="str">
        <f>IFERROR(__xludf.DUMMYFUNCTION("""COMPUTED_VALUE"""),"Estrela 4")</f>
        <v>Estrela 4</v>
      </c>
    </row>
    <row r="3026">
      <c r="G3026" s="5" t="str">
        <f>IFERROR(__xludf.DUMMYFUNCTION("""COMPUTED_VALUE"""),"757🤙🏼Gake no ue no Ponyo🤙🏼Cate Blanchett🤙🏼Estrela 1")</f>
        <v>757🤙🏼Gake no ue no Ponyo🤙🏼Cate Blanchett🤙🏼Estrela 1</v>
      </c>
      <c r="H3026" s="5">
        <f>IFERROR(__xludf.DUMMYFUNCTION("SPLiT(G3026, ""🤙🏼"",FALSE,FALSE)"),757.0)</f>
        <v>757</v>
      </c>
      <c r="I3026" s="5" t="str">
        <f>IFERROR(__xludf.DUMMYFUNCTION("""COMPUTED_VALUE"""),"Gake no ue no Ponyo")</f>
        <v>Gake no ue no Ponyo</v>
      </c>
      <c r="J3026" s="5" t="str">
        <f>IFERROR(__xludf.DUMMYFUNCTION("""COMPUTED_VALUE"""),"Cate Blanchett")</f>
        <v>Cate Blanchett</v>
      </c>
      <c r="K3026" s="5" t="str">
        <f>IFERROR(__xludf.DUMMYFUNCTION("""COMPUTED_VALUE"""),"Estrela 1")</f>
        <v>Estrela 1</v>
      </c>
      <c r="P3026" s="5">
        <f>IFERROR(__xludf.DUMMYFUNCTION("""COMPUTED_VALUE"""),757.0)</f>
        <v>757</v>
      </c>
      <c r="Q3026" s="5" t="str">
        <f>IFERROR(__xludf.DUMMYFUNCTION("""COMPUTED_VALUE"""),"Gake no ue no Ponyo")</f>
        <v>Gake no ue no Ponyo</v>
      </c>
      <c r="R3026" s="5" t="str">
        <f>IFERROR(__xludf.DUMMYFUNCTION("""COMPUTED_VALUE"""),"Cate Blanchett")</f>
        <v>Cate Blanchett</v>
      </c>
      <c r="S3026" s="5" t="str">
        <f>IFERROR(__xludf.DUMMYFUNCTION("""COMPUTED_VALUE"""),"Estrela 1")</f>
        <v>Estrela 1</v>
      </c>
    </row>
    <row r="3027">
      <c r="G3027" s="5" t="str">
        <f>IFERROR(__xludf.DUMMYFUNCTION("""COMPUTED_VALUE"""),"757🤙🏼Gake no ue no Ponyo🤙🏼Matt Damon🤙🏼Estrela 2")</f>
        <v>757🤙🏼Gake no ue no Ponyo🤙🏼Matt Damon🤙🏼Estrela 2</v>
      </c>
      <c r="H3027" s="5">
        <f>IFERROR(__xludf.DUMMYFUNCTION("SPLiT(G3027, ""🤙🏼"",FALSE,FALSE)"),757.0)</f>
        <v>757</v>
      </c>
      <c r="I3027" s="5" t="str">
        <f>IFERROR(__xludf.DUMMYFUNCTION("""COMPUTED_VALUE"""),"Gake no ue no Ponyo")</f>
        <v>Gake no ue no Ponyo</v>
      </c>
      <c r="J3027" s="5" t="str">
        <f>IFERROR(__xludf.DUMMYFUNCTION("""COMPUTED_VALUE"""),"Matt Damon")</f>
        <v>Matt Damon</v>
      </c>
      <c r="K3027" s="5" t="str">
        <f>IFERROR(__xludf.DUMMYFUNCTION("""COMPUTED_VALUE"""),"Estrela 2")</f>
        <v>Estrela 2</v>
      </c>
      <c r="P3027" s="5">
        <f>IFERROR(__xludf.DUMMYFUNCTION("""COMPUTED_VALUE"""),757.0)</f>
        <v>757</v>
      </c>
      <c r="Q3027" s="5" t="str">
        <f>IFERROR(__xludf.DUMMYFUNCTION("""COMPUTED_VALUE"""),"Gake no ue no Ponyo")</f>
        <v>Gake no ue no Ponyo</v>
      </c>
      <c r="R3027" s="5" t="str">
        <f>IFERROR(__xludf.DUMMYFUNCTION("""COMPUTED_VALUE"""),"Matt Damon")</f>
        <v>Matt Damon</v>
      </c>
      <c r="S3027" s="5" t="str">
        <f>IFERROR(__xludf.DUMMYFUNCTION("""COMPUTED_VALUE"""),"Estrela 2")</f>
        <v>Estrela 2</v>
      </c>
    </row>
    <row r="3028">
      <c r="G3028" s="5" t="str">
        <f>IFERROR(__xludf.DUMMYFUNCTION("""COMPUTED_VALUE"""),"757🤙🏼Gake no ue no Ponyo🤙🏼Liam Neeson🤙🏼Estrela 3")</f>
        <v>757🤙🏼Gake no ue no Ponyo🤙🏼Liam Neeson🤙🏼Estrela 3</v>
      </c>
      <c r="H3028" s="5">
        <f>IFERROR(__xludf.DUMMYFUNCTION("SPLiT(G3028, ""🤙🏼"",FALSE,FALSE)"),757.0)</f>
        <v>757</v>
      </c>
      <c r="I3028" s="5" t="str">
        <f>IFERROR(__xludf.DUMMYFUNCTION("""COMPUTED_VALUE"""),"Gake no ue no Ponyo")</f>
        <v>Gake no ue no Ponyo</v>
      </c>
      <c r="J3028" s="5" t="str">
        <f>IFERROR(__xludf.DUMMYFUNCTION("""COMPUTED_VALUE"""),"Liam Neeson")</f>
        <v>Liam Neeson</v>
      </c>
      <c r="K3028" s="5" t="str">
        <f>IFERROR(__xludf.DUMMYFUNCTION("""COMPUTED_VALUE"""),"Estrela 3")</f>
        <v>Estrela 3</v>
      </c>
      <c r="P3028" s="5">
        <f>IFERROR(__xludf.DUMMYFUNCTION("""COMPUTED_VALUE"""),757.0)</f>
        <v>757</v>
      </c>
      <c r="Q3028" s="5" t="str">
        <f>IFERROR(__xludf.DUMMYFUNCTION("""COMPUTED_VALUE"""),"Gake no ue no Ponyo")</f>
        <v>Gake no ue no Ponyo</v>
      </c>
      <c r="R3028" s="5" t="str">
        <f>IFERROR(__xludf.DUMMYFUNCTION("""COMPUTED_VALUE"""),"Liam Neeson")</f>
        <v>Liam Neeson</v>
      </c>
      <c r="S3028" s="5" t="str">
        <f>IFERROR(__xludf.DUMMYFUNCTION("""COMPUTED_VALUE"""),"Estrela 3")</f>
        <v>Estrela 3</v>
      </c>
    </row>
    <row r="3029">
      <c r="G3029" s="5" t="str">
        <f>IFERROR(__xludf.DUMMYFUNCTION("""COMPUTED_VALUE"""),"757🤙🏼Gake no ue no Ponyo🤙🏼Tomoko Yamaguchi🤙🏼Estrela 4")</f>
        <v>757🤙🏼Gake no ue no Ponyo🤙🏼Tomoko Yamaguchi🤙🏼Estrela 4</v>
      </c>
      <c r="H3029" s="5">
        <f>IFERROR(__xludf.DUMMYFUNCTION("SPLiT(G3029, ""🤙🏼"",FALSE,FALSE)"),757.0)</f>
        <v>757</v>
      </c>
      <c r="I3029" s="5" t="str">
        <f>IFERROR(__xludf.DUMMYFUNCTION("""COMPUTED_VALUE"""),"Gake no ue no Ponyo")</f>
        <v>Gake no ue no Ponyo</v>
      </c>
      <c r="J3029" s="5" t="str">
        <f>IFERROR(__xludf.DUMMYFUNCTION("""COMPUTED_VALUE"""),"Tomoko Yamaguchi")</f>
        <v>Tomoko Yamaguchi</v>
      </c>
      <c r="K3029" s="5" t="str">
        <f>IFERROR(__xludf.DUMMYFUNCTION("""COMPUTED_VALUE"""),"Estrela 4")</f>
        <v>Estrela 4</v>
      </c>
      <c r="P3029" s="5">
        <f>IFERROR(__xludf.DUMMYFUNCTION("""COMPUTED_VALUE"""),757.0)</f>
        <v>757</v>
      </c>
      <c r="Q3029" s="5" t="str">
        <f>IFERROR(__xludf.DUMMYFUNCTION("""COMPUTED_VALUE"""),"Gake no ue no Ponyo")</f>
        <v>Gake no ue no Ponyo</v>
      </c>
      <c r="R3029" s="5" t="str">
        <f>IFERROR(__xludf.DUMMYFUNCTION("""COMPUTED_VALUE"""),"Tomoko Yamaguchi")</f>
        <v>Tomoko Yamaguchi</v>
      </c>
      <c r="S3029" s="5" t="str">
        <f>IFERROR(__xludf.DUMMYFUNCTION("""COMPUTED_VALUE"""),"Estrela 4")</f>
        <v>Estrela 4</v>
      </c>
    </row>
    <row r="3030">
      <c r="G3030" s="5" t="str">
        <f>IFERROR(__xludf.DUMMYFUNCTION("""COMPUTED_VALUE"""),"758🤙🏼Frost/Nixon🤙🏼Frank Langella🤙🏼Estrela 1")</f>
        <v>758🤙🏼Frost/Nixon🤙🏼Frank Langella🤙🏼Estrela 1</v>
      </c>
      <c r="H3030" s="5">
        <f>IFERROR(__xludf.DUMMYFUNCTION("SPLiT(G3030, ""🤙🏼"",FALSE,FALSE)"),758.0)</f>
        <v>758</v>
      </c>
      <c r="I3030" s="5" t="str">
        <f>IFERROR(__xludf.DUMMYFUNCTION("""COMPUTED_VALUE"""),"Frost/Nixon")</f>
        <v>Frost/Nixon</v>
      </c>
      <c r="J3030" s="5" t="str">
        <f>IFERROR(__xludf.DUMMYFUNCTION("""COMPUTED_VALUE"""),"Frank Langella")</f>
        <v>Frank Langella</v>
      </c>
      <c r="K3030" s="5" t="str">
        <f>IFERROR(__xludf.DUMMYFUNCTION("""COMPUTED_VALUE"""),"Estrela 1")</f>
        <v>Estrela 1</v>
      </c>
      <c r="P3030" s="5">
        <f>IFERROR(__xludf.DUMMYFUNCTION("""COMPUTED_VALUE"""),758.0)</f>
        <v>758</v>
      </c>
      <c r="Q3030" s="5" t="str">
        <f>IFERROR(__xludf.DUMMYFUNCTION("""COMPUTED_VALUE"""),"Frost/Nixon")</f>
        <v>Frost/Nixon</v>
      </c>
      <c r="R3030" s="5" t="str">
        <f>IFERROR(__xludf.DUMMYFUNCTION("""COMPUTED_VALUE"""),"Frank Langella")</f>
        <v>Frank Langella</v>
      </c>
      <c r="S3030" s="5" t="str">
        <f>IFERROR(__xludf.DUMMYFUNCTION("""COMPUTED_VALUE"""),"Estrela 1")</f>
        <v>Estrela 1</v>
      </c>
    </row>
    <row r="3031">
      <c r="G3031" s="5" t="str">
        <f>IFERROR(__xludf.DUMMYFUNCTION("""COMPUTED_VALUE"""),"758🤙🏼Frost/Nixon🤙🏼Michael Sheen🤙🏼Estrela 2")</f>
        <v>758🤙🏼Frost/Nixon🤙🏼Michael Sheen🤙🏼Estrela 2</v>
      </c>
      <c r="H3031" s="5">
        <f>IFERROR(__xludf.DUMMYFUNCTION("SPLiT(G3031, ""🤙🏼"",FALSE,FALSE)"),758.0)</f>
        <v>758</v>
      </c>
      <c r="I3031" s="5" t="str">
        <f>IFERROR(__xludf.DUMMYFUNCTION("""COMPUTED_VALUE"""),"Frost/Nixon")</f>
        <v>Frost/Nixon</v>
      </c>
      <c r="J3031" s="5" t="str">
        <f>IFERROR(__xludf.DUMMYFUNCTION("""COMPUTED_VALUE"""),"Michael Sheen")</f>
        <v>Michael Sheen</v>
      </c>
      <c r="K3031" s="5" t="str">
        <f>IFERROR(__xludf.DUMMYFUNCTION("""COMPUTED_VALUE"""),"Estrela 2")</f>
        <v>Estrela 2</v>
      </c>
      <c r="P3031" s="5">
        <f>IFERROR(__xludf.DUMMYFUNCTION("""COMPUTED_VALUE"""),758.0)</f>
        <v>758</v>
      </c>
      <c r="Q3031" s="5" t="str">
        <f>IFERROR(__xludf.DUMMYFUNCTION("""COMPUTED_VALUE"""),"Frost/Nixon")</f>
        <v>Frost/Nixon</v>
      </c>
      <c r="R3031" s="5" t="str">
        <f>IFERROR(__xludf.DUMMYFUNCTION("""COMPUTED_VALUE"""),"Michael Sheen")</f>
        <v>Michael Sheen</v>
      </c>
      <c r="S3031" s="5" t="str">
        <f>IFERROR(__xludf.DUMMYFUNCTION("""COMPUTED_VALUE"""),"Estrela 2")</f>
        <v>Estrela 2</v>
      </c>
    </row>
    <row r="3032">
      <c r="G3032" s="5" t="str">
        <f>IFERROR(__xludf.DUMMYFUNCTION("""COMPUTED_VALUE"""),"758🤙🏼Frost/Nixon🤙🏼Kevin Bacon🤙🏼Estrela 3")</f>
        <v>758🤙🏼Frost/Nixon🤙🏼Kevin Bacon🤙🏼Estrela 3</v>
      </c>
      <c r="H3032" s="5">
        <f>IFERROR(__xludf.DUMMYFUNCTION("SPLiT(G3032, ""🤙🏼"",FALSE,FALSE)"),758.0)</f>
        <v>758</v>
      </c>
      <c r="I3032" s="5" t="str">
        <f>IFERROR(__xludf.DUMMYFUNCTION("""COMPUTED_VALUE"""),"Frost/Nixon")</f>
        <v>Frost/Nixon</v>
      </c>
      <c r="J3032" s="5" t="str">
        <f>IFERROR(__xludf.DUMMYFUNCTION("""COMPUTED_VALUE"""),"Kevin Bacon")</f>
        <v>Kevin Bacon</v>
      </c>
      <c r="K3032" s="5" t="str">
        <f>IFERROR(__xludf.DUMMYFUNCTION("""COMPUTED_VALUE"""),"Estrela 3")</f>
        <v>Estrela 3</v>
      </c>
      <c r="P3032" s="5">
        <f>IFERROR(__xludf.DUMMYFUNCTION("""COMPUTED_VALUE"""),758.0)</f>
        <v>758</v>
      </c>
      <c r="Q3032" s="5" t="str">
        <f>IFERROR(__xludf.DUMMYFUNCTION("""COMPUTED_VALUE"""),"Frost/Nixon")</f>
        <v>Frost/Nixon</v>
      </c>
      <c r="R3032" s="5" t="str">
        <f>IFERROR(__xludf.DUMMYFUNCTION("""COMPUTED_VALUE"""),"Kevin Bacon")</f>
        <v>Kevin Bacon</v>
      </c>
      <c r="S3032" s="5" t="str">
        <f>IFERROR(__xludf.DUMMYFUNCTION("""COMPUTED_VALUE"""),"Estrela 3")</f>
        <v>Estrela 3</v>
      </c>
    </row>
    <row r="3033">
      <c r="G3033" s="5" t="str">
        <f>IFERROR(__xludf.DUMMYFUNCTION("""COMPUTED_VALUE"""),"758🤙🏼Frost/Nixon🤙🏼Sam Rockwell🤙🏼Estrela 4")</f>
        <v>758🤙🏼Frost/Nixon🤙🏼Sam Rockwell🤙🏼Estrela 4</v>
      </c>
      <c r="H3033" s="5">
        <f>IFERROR(__xludf.DUMMYFUNCTION("SPLiT(G3033, ""🤙🏼"",FALSE,FALSE)"),758.0)</f>
        <v>758</v>
      </c>
      <c r="I3033" s="5" t="str">
        <f>IFERROR(__xludf.DUMMYFUNCTION("""COMPUTED_VALUE"""),"Frost/Nixon")</f>
        <v>Frost/Nixon</v>
      </c>
      <c r="J3033" s="5" t="str">
        <f>IFERROR(__xludf.DUMMYFUNCTION("""COMPUTED_VALUE"""),"Sam Rockwell")</f>
        <v>Sam Rockwell</v>
      </c>
      <c r="K3033" s="5" t="str">
        <f>IFERROR(__xludf.DUMMYFUNCTION("""COMPUTED_VALUE"""),"Estrela 4")</f>
        <v>Estrela 4</v>
      </c>
      <c r="P3033" s="5">
        <f>IFERROR(__xludf.DUMMYFUNCTION("""COMPUTED_VALUE"""),758.0)</f>
        <v>758</v>
      </c>
      <c r="Q3033" s="5" t="str">
        <f>IFERROR(__xludf.DUMMYFUNCTION("""COMPUTED_VALUE"""),"Frost/Nixon")</f>
        <v>Frost/Nixon</v>
      </c>
      <c r="R3033" s="5" t="str">
        <f>IFERROR(__xludf.DUMMYFUNCTION("""COMPUTED_VALUE"""),"Sam Rockwell")</f>
        <v>Sam Rockwell</v>
      </c>
      <c r="S3033" s="5" t="str">
        <f>IFERROR(__xludf.DUMMYFUNCTION("""COMPUTED_VALUE"""),"Estrela 4")</f>
        <v>Estrela 4</v>
      </c>
    </row>
    <row r="3034">
      <c r="G3034" s="5" t="str">
        <f>IFERROR(__xludf.DUMMYFUNCTION("""COMPUTED_VALUE"""),"759🤙🏼Papurika🤙🏼Megumi Hayashibara🤙🏼Estrela 1")</f>
        <v>759🤙🏼Papurika🤙🏼Megumi Hayashibara🤙🏼Estrela 1</v>
      </c>
      <c r="H3034" s="5">
        <f>IFERROR(__xludf.DUMMYFUNCTION("SPLiT(G3034, ""🤙🏼"",FALSE,FALSE)"),759.0)</f>
        <v>759</v>
      </c>
      <c r="I3034" s="5" t="str">
        <f>IFERROR(__xludf.DUMMYFUNCTION("""COMPUTED_VALUE"""),"Papurika")</f>
        <v>Papurika</v>
      </c>
      <c r="J3034" s="5" t="str">
        <f>IFERROR(__xludf.DUMMYFUNCTION("""COMPUTED_VALUE"""),"Megumi Hayashibara")</f>
        <v>Megumi Hayashibara</v>
      </c>
      <c r="K3034" s="5" t="str">
        <f>IFERROR(__xludf.DUMMYFUNCTION("""COMPUTED_VALUE"""),"Estrela 1")</f>
        <v>Estrela 1</v>
      </c>
      <c r="P3034" s="5">
        <f>IFERROR(__xludf.DUMMYFUNCTION("""COMPUTED_VALUE"""),759.0)</f>
        <v>759</v>
      </c>
      <c r="Q3034" s="5" t="str">
        <f>IFERROR(__xludf.DUMMYFUNCTION("""COMPUTED_VALUE"""),"Papurika")</f>
        <v>Papurika</v>
      </c>
      <c r="R3034" s="5" t="str">
        <f>IFERROR(__xludf.DUMMYFUNCTION("""COMPUTED_VALUE"""),"Megumi Hayashibara")</f>
        <v>Megumi Hayashibara</v>
      </c>
      <c r="S3034" s="5" t="str">
        <f>IFERROR(__xludf.DUMMYFUNCTION("""COMPUTED_VALUE"""),"Estrela 1")</f>
        <v>Estrela 1</v>
      </c>
    </row>
    <row r="3035">
      <c r="G3035" s="5" t="str">
        <f>IFERROR(__xludf.DUMMYFUNCTION("""COMPUTED_VALUE"""),"759🤙🏼Papurika🤙🏼Tôru Emori🤙🏼Estrela 2")</f>
        <v>759🤙🏼Papurika🤙🏼Tôru Emori🤙🏼Estrela 2</v>
      </c>
      <c r="H3035" s="5">
        <f>IFERROR(__xludf.DUMMYFUNCTION("SPLiT(G3035, ""🤙🏼"",FALSE,FALSE)"),759.0)</f>
        <v>759</v>
      </c>
      <c r="I3035" s="5" t="str">
        <f>IFERROR(__xludf.DUMMYFUNCTION("""COMPUTED_VALUE"""),"Papurika")</f>
        <v>Papurika</v>
      </c>
      <c r="J3035" s="5" t="str">
        <f>IFERROR(__xludf.DUMMYFUNCTION("""COMPUTED_VALUE"""),"Tôru Emori")</f>
        <v>Tôru Emori</v>
      </c>
      <c r="K3035" s="5" t="str">
        <f>IFERROR(__xludf.DUMMYFUNCTION("""COMPUTED_VALUE"""),"Estrela 2")</f>
        <v>Estrela 2</v>
      </c>
      <c r="P3035" s="5">
        <f>IFERROR(__xludf.DUMMYFUNCTION("""COMPUTED_VALUE"""),759.0)</f>
        <v>759</v>
      </c>
      <c r="Q3035" s="5" t="str">
        <f>IFERROR(__xludf.DUMMYFUNCTION("""COMPUTED_VALUE"""),"Papurika")</f>
        <v>Papurika</v>
      </c>
      <c r="R3035" s="5" t="str">
        <f>IFERROR(__xludf.DUMMYFUNCTION("""COMPUTED_VALUE"""),"Tôru Emori")</f>
        <v>Tôru Emori</v>
      </c>
      <c r="S3035" s="5" t="str">
        <f>IFERROR(__xludf.DUMMYFUNCTION("""COMPUTED_VALUE"""),"Estrela 2")</f>
        <v>Estrela 2</v>
      </c>
    </row>
    <row r="3036">
      <c r="G3036" s="5" t="str">
        <f>IFERROR(__xludf.DUMMYFUNCTION("""COMPUTED_VALUE"""),"759🤙🏼Papurika🤙🏼Katsunosuke Hori🤙🏼Estrela 3")</f>
        <v>759🤙🏼Papurika🤙🏼Katsunosuke Hori🤙🏼Estrela 3</v>
      </c>
      <c r="H3036" s="5">
        <f>IFERROR(__xludf.DUMMYFUNCTION("SPLiT(G3036, ""🤙🏼"",FALSE,FALSE)"),759.0)</f>
        <v>759</v>
      </c>
      <c r="I3036" s="5" t="str">
        <f>IFERROR(__xludf.DUMMYFUNCTION("""COMPUTED_VALUE"""),"Papurika")</f>
        <v>Papurika</v>
      </c>
      <c r="J3036" s="5" t="str">
        <f>IFERROR(__xludf.DUMMYFUNCTION("""COMPUTED_VALUE"""),"Katsunosuke Hori")</f>
        <v>Katsunosuke Hori</v>
      </c>
      <c r="K3036" s="5" t="str">
        <f>IFERROR(__xludf.DUMMYFUNCTION("""COMPUTED_VALUE"""),"Estrela 3")</f>
        <v>Estrela 3</v>
      </c>
      <c r="P3036" s="5">
        <f>IFERROR(__xludf.DUMMYFUNCTION("""COMPUTED_VALUE"""),759.0)</f>
        <v>759</v>
      </c>
      <c r="Q3036" s="5" t="str">
        <f>IFERROR(__xludf.DUMMYFUNCTION("""COMPUTED_VALUE"""),"Papurika")</f>
        <v>Papurika</v>
      </c>
      <c r="R3036" s="5" t="str">
        <f>IFERROR(__xludf.DUMMYFUNCTION("""COMPUTED_VALUE"""),"Katsunosuke Hori")</f>
        <v>Katsunosuke Hori</v>
      </c>
      <c r="S3036" s="5" t="str">
        <f>IFERROR(__xludf.DUMMYFUNCTION("""COMPUTED_VALUE"""),"Estrela 3")</f>
        <v>Estrela 3</v>
      </c>
    </row>
    <row r="3037">
      <c r="G3037" s="5" t="str">
        <f>IFERROR(__xludf.DUMMYFUNCTION("""COMPUTED_VALUE"""),"759🤙🏼Papurika🤙🏼Tôru Furuya🤙🏼Estrela 4")</f>
        <v>759🤙🏼Papurika🤙🏼Tôru Furuya🤙🏼Estrela 4</v>
      </c>
      <c r="H3037" s="5">
        <f>IFERROR(__xludf.DUMMYFUNCTION("SPLiT(G3037, ""🤙🏼"",FALSE,FALSE)"),759.0)</f>
        <v>759</v>
      </c>
      <c r="I3037" s="5" t="str">
        <f>IFERROR(__xludf.DUMMYFUNCTION("""COMPUTED_VALUE"""),"Papurika")</f>
        <v>Papurika</v>
      </c>
      <c r="J3037" s="5" t="str">
        <f>IFERROR(__xludf.DUMMYFUNCTION("""COMPUTED_VALUE"""),"Tôru Furuya")</f>
        <v>Tôru Furuya</v>
      </c>
      <c r="K3037" s="5" t="str">
        <f>IFERROR(__xludf.DUMMYFUNCTION("""COMPUTED_VALUE"""),"Estrela 4")</f>
        <v>Estrela 4</v>
      </c>
      <c r="P3037" s="5">
        <f>IFERROR(__xludf.DUMMYFUNCTION("""COMPUTED_VALUE"""),759.0)</f>
        <v>759</v>
      </c>
      <c r="Q3037" s="5" t="str">
        <f>IFERROR(__xludf.DUMMYFUNCTION("""COMPUTED_VALUE"""),"Papurika")</f>
        <v>Papurika</v>
      </c>
      <c r="R3037" s="5" t="str">
        <f>IFERROR(__xludf.DUMMYFUNCTION("""COMPUTED_VALUE"""),"Tôru Furuya")</f>
        <v>Tôru Furuya</v>
      </c>
      <c r="S3037" s="5" t="str">
        <f>IFERROR(__xludf.DUMMYFUNCTION("""COMPUTED_VALUE"""),"Estrela 4")</f>
        <v>Estrela 4</v>
      </c>
    </row>
    <row r="3038">
      <c r="G3038" s="5" t="str">
        <f>IFERROR(__xludf.DUMMYFUNCTION("""COMPUTED_VALUE"""),"760🤙🏼Changeling🤙🏼Angelina Jolie🤙🏼Estrela 1")</f>
        <v>760🤙🏼Changeling🤙🏼Angelina Jolie🤙🏼Estrela 1</v>
      </c>
      <c r="H3038" s="5">
        <f>IFERROR(__xludf.DUMMYFUNCTION("SPLiT(G3038, ""🤙🏼"",FALSE,FALSE)"),760.0)</f>
        <v>760</v>
      </c>
      <c r="I3038" s="5" t="str">
        <f>IFERROR(__xludf.DUMMYFUNCTION("""COMPUTED_VALUE"""),"Changeling")</f>
        <v>Changeling</v>
      </c>
      <c r="J3038" s="5" t="str">
        <f>IFERROR(__xludf.DUMMYFUNCTION("""COMPUTED_VALUE"""),"Angelina Jolie")</f>
        <v>Angelina Jolie</v>
      </c>
      <c r="K3038" s="5" t="str">
        <f>IFERROR(__xludf.DUMMYFUNCTION("""COMPUTED_VALUE"""),"Estrela 1")</f>
        <v>Estrela 1</v>
      </c>
      <c r="P3038" s="5">
        <f>IFERROR(__xludf.DUMMYFUNCTION("""COMPUTED_VALUE"""),760.0)</f>
        <v>760</v>
      </c>
      <c r="Q3038" s="5" t="str">
        <f>IFERROR(__xludf.DUMMYFUNCTION("""COMPUTED_VALUE"""),"Changeling")</f>
        <v>Changeling</v>
      </c>
      <c r="R3038" s="5" t="str">
        <f>IFERROR(__xludf.DUMMYFUNCTION("""COMPUTED_VALUE"""),"Angelina Jolie")</f>
        <v>Angelina Jolie</v>
      </c>
      <c r="S3038" s="5" t="str">
        <f>IFERROR(__xludf.DUMMYFUNCTION("""COMPUTED_VALUE"""),"Estrela 1")</f>
        <v>Estrela 1</v>
      </c>
    </row>
    <row r="3039">
      <c r="G3039" s="5" t="str">
        <f>IFERROR(__xludf.DUMMYFUNCTION("""COMPUTED_VALUE"""),"760🤙🏼Changeling🤙🏼Colm Feore🤙🏼Estrela 2")</f>
        <v>760🤙🏼Changeling🤙🏼Colm Feore🤙🏼Estrela 2</v>
      </c>
      <c r="H3039" s="5">
        <f>IFERROR(__xludf.DUMMYFUNCTION("SPLiT(G3039, ""🤙🏼"",FALSE,FALSE)"),760.0)</f>
        <v>760</v>
      </c>
      <c r="I3039" s="5" t="str">
        <f>IFERROR(__xludf.DUMMYFUNCTION("""COMPUTED_VALUE"""),"Changeling")</f>
        <v>Changeling</v>
      </c>
      <c r="J3039" s="5" t="str">
        <f>IFERROR(__xludf.DUMMYFUNCTION("""COMPUTED_VALUE"""),"Colm Feore")</f>
        <v>Colm Feore</v>
      </c>
      <c r="K3039" s="5" t="str">
        <f>IFERROR(__xludf.DUMMYFUNCTION("""COMPUTED_VALUE"""),"Estrela 2")</f>
        <v>Estrela 2</v>
      </c>
      <c r="P3039" s="5">
        <f>IFERROR(__xludf.DUMMYFUNCTION("""COMPUTED_VALUE"""),760.0)</f>
        <v>760</v>
      </c>
      <c r="Q3039" s="5" t="str">
        <f>IFERROR(__xludf.DUMMYFUNCTION("""COMPUTED_VALUE"""),"Changeling")</f>
        <v>Changeling</v>
      </c>
      <c r="R3039" s="5" t="str">
        <f>IFERROR(__xludf.DUMMYFUNCTION("""COMPUTED_VALUE"""),"Colm Feore")</f>
        <v>Colm Feore</v>
      </c>
      <c r="S3039" s="5" t="str">
        <f>IFERROR(__xludf.DUMMYFUNCTION("""COMPUTED_VALUE"""),"Estrela 2")</f>
        <v>Estrela 2</v>
      </c>
    </row>
    <row r="3040">
      <c r="G3040" s="5" t="str">
        <f>IFERROR(__xludf.DUMMYFUNCTION("""COMPUTED_VALUE"""),"760🤙🏼Changeling🤙🏼Amy Ryan🤙🏼Estrela 3")</f>
        <v>760🤙🏼Changeling🤙🏼Amy Ryan🤙🏼Estrela 3</v>
      </c>
      <c r="H3040" s="5">
        <f>IFERROR(__xludf.DUMMYFUNCTION("SPLiT(G3040, ""🤙🏼"",FALSE,FALSE)"),760.0)</f>
        <v>760</v>
      </c>
      <c r="I3040" s="5" t="str">
        <f>IFERROR(__xludf.DUMMYFUNCTION("""COMPUTED_VALUE"""),"Changeling")</f>
        <v>Changeling</v>
      </c>
      <c r="J3040" s="5" t="str">
        <f>IFERROR(__xludf.DUMMYFUNCTION("""COMPUTED_VALUE"""),"Amy Ryan")</f>
        <v>Amy Ryan</v>
      </c>
      <c r="K3040" s="5" t="str">
        <f>IFERROR(__xludf.DUMMYFUNCTION("""COMPUTED_VALUE"""),"Estrela 3")</f>
        <v>Estrela 3</v>
      </c>
      <c r="P3040" s="5">
        <f>IFERROR(__xludf.DUMMYFUNCTION("""COMPUTED_VALUE"""),760.0)</f>
        <v>760</v>
      </c>
      <c r="Q3040" s="5" t="str">
        <f>IFERROR(__xludf.DUMMYFUNCTION("""COMPUTED_VALUE"""),"Changeling")</f>
        <v>Changeling</v>
      </c>
      <c r="R3040" s="5" t="str">
        <f>IFERROR(__xludf.DUMMYFUNCTION("""COMPUTED_VALUE"""),"Amy Ryan")</f>
        <v>Amy Ryan</v>
      </c>
      <c r="S3040" s="5" t="str">
        <f>IFERROR(__xludf.DUMMYFUNCTION("""COMPUTED_VALUE"""),"Estrela 3")</f>
        <v>Estrela 3</v>
      </c>
    </row>
    <row r="3041">
      <c r="G3041" s="5" t="str">
        <f>IFERROR(__xludf.DUMMYFUNCTION("""COMPUTED_VALUE"""),"760🤙🏼Changeling🤙🏼Gattlin Griffith🤙🏼Estrela 4")</f>
        <v>760🤙🏼Changeling🤙🏼Gattlin Griffith🤙🏼Estrela 4</v>
      </c>
      <c r="H3041" s="5">
        <f>IFERROR(__xludf.DUMMYFUNCTION("SPLiT(G3041, ""🤙🏼"",FALSE,FALSE)"),760.0)</f>
        <v>760</v>
      </c>
      <c r="I3041" s="5" t="str">
        <f>IFERROR(__xludf.DUMMYFUNCTION("""COMPUTED_VALUE"""),"Changeling")</f>
        <v>Changeling</v>
      </c>
      <c r="J3041" s="5" t="str">
        <f>IFERROR(__xludf.DUMMYFUNCTION("""COMPUTED_VALUE"""),"Gattlin Griffith")</f>
        <v>Gattlin Griffith</v>
      </c>
      <c r="K3041" s="5" t="str">
        <f>IFERROR(__xludf.DUMMYFUNCTION("""COMPUTED_VALUE"""),"Estrela 4")</f>
        <v>Estrela 4</v>
      </c>
      <c r="P3041" s="5">
        <f>IFERROR(__xludf.DUMMYFUNCTION("""COMPUTED_VALUE"""),760.0)</f>
        <v>760</v>
      </c>
      <c r="Q3041" s="5" t="str">
        <f>IFERROR(__xludf.DUMMYFUNCTION("""COMPUTED_VALUE"""),"Changeling")</f>
        <v>Changeling</v>
      </c>
      <c r="R3041" s="5" t="str">
        <f>IFERROR(__xludf.DUMMYFUNCTION("""COMPUTED_VALUE"""),"Gattlin Griffith")</f>
        <v>Gattlin Griffith</v>
      </c>
      <c r="S3041" s="5" t="str">
        <f>IFERROR(__xludf.DUMMYFUNCTION("""COMPUTED_VALUE"""),"Estrela 4")</f>
        <v>Estrela 4</v>
      </c>
    </row>
    <row r="3042">
      <c r="G3042" s="5" t="str">
        <f>IFERROR(__xludf.DUMMYFUNCTION("""COMPUTED_VALUE"""),"761🤙🏼Flipped🤙🏼Madeline Carroll🤙🏼Estrela 1")</f>
        <v>761🤙🏼Flipped🤙🏼Madeline Carroll🤙🏼Estrela 1</v>
      </c>
      <c r="H3042" s="5">
        <f>IFERROR(__xludf.DUMMYFUNCTION("SPLiT(G3042, ""🤙🏼"",FALSE,FALSE)"),761.0)</f>
        <v>761</v>
      </c>
      <c r="I3042" s="5" t="str">
        <f>IFERROR(__xludf.DUMMYFUNCTION("""COMPUTED_VALUE"""),"Flipped")</f>
        <v>Flipped</v>
      </c>
      <c r="J3042" s="5" t="str">
        <f>IFERROR(__xludf.DUMMYFUNCTION("""COMPUTED_VALUE"""),"Madeline Carroll")</f>
        <v>Madeline Carroll</v>
      </c>
      <c r="K3042" s="5" t="str">
        <f>IFERROR(__xludf.DUMMYFUNCTION("""COMPUTED_VALUE"""),"Estrela 1")</f>
        <v>Estrela 1</v>
      </c>
      <c r="P3042" s="5">
        <f>IFERROR(__xludf.DUMMYFUNCTION("""COMPUTED_VALUE"""),761.0)</f>
        <v>761</v>
      </c>
      <c r="Q3042" s="5" t="str">
        <f>IFERROR(__xludf.DUMMYFUNCTION("""COMPUTED_VALUE"""),"Flipped")</f>
        <v>Flipped</v>
      </c>
      <c r="R3042" s="5" t="str">
        <f>IFERROR(__xludf.DUMMYFUNCTION("""COMPUTED_VALUE"""),"Madeline Carroll")</f>
        <v>Madeline Carroll</v>
      </c>
      <c r="S3042" s="5" t="str">
        <f>IFERROR(__xludf.DUMMYFUNCTION("""COMPUTED_VALUE"""),"Estrela 1")</f>
        <v>Estrela 1</v>
      </c>
    </row>
    <row r="3043">
      <c r="G3043" s="5" t="str">
        <f>IFERROR(__xludf.DUMMYFUNCTION("""COMPUTED_VALUE"""),"761🤙🏼Flipped🤙🏼Callan McAuliffe🤙🏼Estrela 2")</f>
        <v>761🤙🏼Flipped🤙🏼Callan McAuliffe🤙🏼Estrela 2</v>
      </c>
      <c r="H3043" s="5">
        <f>IFERROR(__xludf.DUMMYFUNCTION("SPLiT(G3043, ""🤙🏼"",FALSE,FALSE)"),761.0)</f>
        <v>761</v>
      </c>
      <c r="I3043" s="5" t="str">
        <f>IFERROR(__xludf.DUMMYFUNCTION("""COMPUTED_VALUE"""),"Flipped")</f>
        <v>Flipped</v>
      </c>
      <c r="J3043" s="5" t="str">
        <f>IFERROR(__xludf.DUMMYFUNCTION("""COMPUTED_VALUE"""),"Callan McAuliffe")</f>
        <v>Callan McAuliffe</v>
      </c>
      <c r="K3043" s="5" t="str">
        <f>IFERROR(__xludf.DUMMYFUNCTION("""COMPUTED_VALUE"""),"Estrela 2")</f>
        <v>Estrela 2</v>
      </c>
      <c r="P3043" s="5">
        <f>IFERROR(__xludf.DUMMYFUNCTION("""COMPUTED_VALUE"""),761.0)</f>
        <v>761</v>
      </c>
      <c r="Q3043" s="5" t="str">
        <f>IFERROR(__xludf.DUMMYFUNCTION("""COMPUTED_VALUE"""),"Flipped")</f>
        <v>Flipped</v>
      </c>
      <c r="R3043" s="5" t="str">
        <f>IFERROR(__xludf.DUMMYFUNCTION("""COMPUTED_VALUE"""),"Callan McAuliffe")</f>
        <v>Callan McAuliffe</v>
      </c>
      <c r="S3043" s="5" t="str">
        <f>IFERROR(__xludf.DUMMYFUNCTION("""COMPUTED_VALUE"""),"Estrela 2")</f>
        <v>Estrela 2</v>
      </c>
    </row>
    <row r="3044">
      <c r="G3044" s="5" t="str">
        <f>IFERROR(__xludf.DUMMYFUNCTION("""COMPUTED_VALUE"""),"761🤙🏼Flipped🤙🏼Rebecca De Mornay🤙🏼Estrela 3")</f>
        <v>761🤙🏼Flipped🤙🏼Rebecca De Mornay🤙🏼Estrela 3</v>
      </c>
      <c r="H3044" s="5">
        <f>IFERROR(__xludf.DUMMYFUNCTION("SPLiT(G3044, ""🤙🏼"",FALSE,FALSE)"),761.0)</f>
        <v>761</v>
      </c>
      <c r="I3044" s="5" t="str">
        <f>IFERROR(__xludf.DUMMYFUNCTION("""COMPUTED_VALUE"""),"Flipped")</f>
        <v>Flipped</v>
      </c>
      <c r="J3044" s="5" t="str">
        <f>IFERROR(__xludf.DUMMYFUNCTION("""COMPUTED_VALUE"""),"Rebecca De Mornay")</f>
        <v>Rebecca De Mornay</v>
      </c>
      <c r="K3044" s="5" t="str">
        <f>IFERROR(__xludf.DUMMYFUNCTION("""COMPUTED_VALUE"""),"Estrela 3")</f>
        <v>Estrela 3</v>
      </c>
      <c r="P3044" s="5">
        <f>IFERROR(__xludf.DUMMYFUNCTION("""COMPUTED_VALUE"""),761.0)</f>
        <v>761</v>
      </c>
      <c r="Q3044" s="5" t="str">
        <f>IFERROR(__xludf.DUMMYFUNCTION("""COMPUTED_VALUE"""),"Flipped")</f>
        <v>Flipped</v>
      </c>
      <c r="R3044" s="5" t="str">
        <f>IFERROR(__xludf.DUMMYFUNCTION("""COMPUTED_VALUE"""),"Rebecca De Mornay")</f>
        <v>Rebecca De Mornay</v>
      </c>
      <c r="S3044" s="5" t="str">
        <f>IFERROR(__xludf.DUMMYFUNCTION("""COMPUTED_VALUE"""),"Estrela 3")</f>
        <v>Estrela 3</v>
      </c>
    </row>
    <row r="3045">
      <c r="G3045" s="5" t="str">
        <f>IFERROR(__xludf.DUMMYFUNCTION("""COMPUTED_VALUE"""),"761🤙🏼Flipped🤙🏼Anthony Edwards🤙🏼Estrela 4")</f>
        <v>761🤙🏼Flipped🤙🏼Anthony Edwards🤙🏼Estrela 4</v>
      </c>
      <c r="H3045" s="5">
        <f>IFERROR(__xludf.DUMMYFUNCTION("SPLiT(G3045, ""🤙🏼"",FALSE,FALSE)"),761.0)</f>
        <v>761</v>
      </c>
      <c r="I3045" s="5" t="str">
        <f>IFERROR(__xludf.DUMMYFUNCTION("""COMPUTED_VALUE"""),"Flipped")</f>
        <v>Flipped</v>
      </c>
      <c r="J3045" s="5" t="str">
        <f>IFERROR(__xludf.DUMMYFUNCTION("""COMPUTED_VALUE"""),"Anthony Edwards")</f>
        <v>Anthony Edwards</v>
      </c>
      <c r="K3045" s="5" t="str">
        <f>IFERROR(__xludf.DUMMYFUNCTION("""COMPUTED_VALUE"""),"Estrela 4")</f>
        <v>Estrela 4</v>
      </c>
      <c r="P3045" s="5">
        <f>IFERROR(__xludf.DUMMYFUNCTION("""COMPUTED_VALUE"""),761.0)</f>
        <v>761</v>
      </c>
      <c r="Q3045" s="5" t="str">
        <f>IFERROR(__xludf.DUMMYFUNCTION("""COMPUTED_VALUE"""),"Flipped")</f>
        <v>Flipped</v>
      </c>
      <c r="R3045" s="5" t="str">
        <f>IFERROR(__xludf.DUMMYFUNCTION("""COMPUTED_VALUE"""),"Anthony Edwards")</f>
        <v>Anthony Edwards</v>
      </c>
      <c r="S3045" s="5" t="str">
        <f>IFERROR(__xludf.DUMMYFUNCTION("""COMPUTED_VALUE"""),"Estrela 4")</f>
        <v>Estrela 4</v>
      </c>
    </row>
    <row r="3046">
      <c r="G3046" s="5" t="str">
        <f>IFERROR(__xludf.DUMMYFUNCTION("""COMPUTED_VALUE"""),"762🤙🏼Toki o kakeru shôjo🤙🏼Riisa Naka🤙🏼Estrela 1")</f>
        <v>762🤙🏼Toki o kakeru shôjo🤙🏼Riisa Naka🤙🏼Estrela 1</v>
      </c>
      <c r="H3046" s="5">
        <f>IFERROR(__xludf.DUMMYFUNCTION("SPLiT(G3046, ""🤙🏼"",FALSE,FALSE)"),762.0)</f>
        <v>762</v>
      </c>
      <c r="I3046" s="5" t="str">
        <f>IFERROR(__xludf.DUMMYFUNCTION("""COMPUTED_VALUE"""),"Toki o kakeru shôjo")</f>
        <v>Toki o kakeru shôjo</v>
      </c>
      <c r="J3046" s="5" t="str">
        <f>IFERROR(__xludf.DUMMYFUNCTION("""COMPUTED_VALUE"""),"Riisa Naka")</f>
        <v>Riisa Naka</v>
      </c>
      <c r="K3046" s="5" t="str">
        <f>IFERROR(__xludf.DUMMYFUNCTION("""COMPUTED_VALUE"""),"Estrela 1")</f>
        <v>Estrela 1</v>
      </c>
      <c r="P3046" s="5">
        <f>IFERROR(__xludf.DUMMYFUNCTION("""COMPUTED_VALUE"""),762.0)</f>
        <v>762</v>
      </c>
      <c r="Q3046" s="5" t="str">
        <f>IFERROR(__xludf.DUMMYFUNCTION("""COMPUTED_VALUE"""),"Toki o kakeru shôjo")</f>
        <v>Toki o kakeru shôjo</v>
      </c>
      <c r="R3046" s="5" t="str">
        <f>IFERROR(__xludf.DUMMYFUNCTION("""COMPUTED_VALUE"""),"Riisa Naka")</f>
        <v>Riisa Naka</v>
      </c>
      <c r="S3046" s="5" t="str">
        <f>IFERROR(__xludf.DUMMYFUNCTION("""COMPUTED_VALUE"""),"Estrela 1")</f>
        <v>Estrela 1</v>
      </c>
    </row>
    <row r="3047">
      <c r="G3047" s="5" t="str">
        <f>IFERROR(__xludf.DUMMYFUNCTION("""COMPUTED_VALUE"""),"762🤙🏼Toki o kakeru shôjo🤙🏼Takuya Ishida🤙🏼Estrela 2")</f>
        <v>762🤙🏼Toki o kakeru shôjo🤙🏼Takuya Ishida🤙🏼Estrela 2</v>
      </c>
      <c r="H3047" s="5">
        <f>IFERROR(__xludf.DUMMYFUNCTION("SPLiT(G3047, ""🤙🏼"",FALSE,FALSE)"),762.0)</f>
        <v>762</v>
      </c>
      <c r="I3047" s="5" t="str">
        <f>IFERROR(__xludf.DUMMYFUNCTION("""COMPUTED_VALUE"""),"Toki o kakeru shôjo")</f>
        <v>Toki o kakeru shôjo</v>
      </c>
      <c r="J3047" s="5" t="str">
        <f>IFERROR(__xludf.DUMMYFUNCTION("""COMPUTED_VALUE"""),"Takuya Ishida")</f>
        <v>Takuya Ishida</v>
      </c>
      <c r="K3047" s="5" t="str">
        <f>IFERROR(__xludf.DUMMYFUNCTION("""COMPUTED_VALUE"""),"Estrela 2")</f>
        <v>Estrela 2</v>
      </c>
      <c r="P3047" s="5">
        <f>IFERROR(__xludf.DUMMYFUNCTION("""COMPUTED_VALUE"""),762.0)</f>
        <v>762</v>
      </c>
      <c r="Q3047" s="5" t="str">
        <f>IFERROR(__xludf.DUMMYFUNCTION("""COMPUTED_VALUE"""),"Toki o kakeru shôjo")</f>
        <v>Toki o kakeru shôjo</v>
      </c>
      <c r="R3047" s="5" t="str">
        <f>IFERROR(__xludf.DUMMYFUNCTION("""COMPUTED_VALUE"""),"Takuya Ishida")</f>
        <v>Takuya Ishida</v>
      </c>
      <c r="S3047" s="5" t="str">
        <f>IFERROR(__xludf.DUMMYFUNCTION("""COMPUTED_VALUE"""),"Estrela 2")</f>
        <v>Estrela 2</v>
      </c>
    </row>
    <row r="3048">
      <c r="G3048" s="5" t="str">
        <f>IFERROR(__xludf.DUMMYFUNCTION("""COMPUTED_VALUE"""),"762🤙🏼Toki o kakeru shôjo🤙🏼Mitsutaka Itakura🤙🏼Estrela 3")</f>
        <v>762🤙🏼Toki o kakeru shôjo🤙🏼Mitsutaka Itakura🤙🏼Estrela 3</v>
      </c>
      <c r="H3048" s="5">
        <f>IFERROR(__xludf.DUMMYFUNCTION("SPLiT(G3048, ""🤙🏼"",FALSE,FALSE)"),762.0)</f>
        <v>762</v>
      </c>
      <c r="I3048" s="5" t="str">
        <f>IFERROR(__xludf.DUMMYFUNCTION("""COMPUTED_VALUE"""),"Toki o kakeru shôjo")</f>
        <v>Toki o kakeru shôjo</v>
      </c>
      <c r="J3048" s="5" t="str">
        <f>IFERROR(__xludf.DUMMYFUNCTION("""COMPUTED_VALUE"""),"Mitsutaka Itakura")</f>
        <v>Mitsutaka Itakura</v>
      </c>
      <c r="K3048" s="5" t="str">
        <f>IFERROR(__xludf.DUMMYFUNCTION("""COMPUTED_VALUE"""),"Estrela 3")</f>
        <v>Estrela 3</v>
      </c>
      <c r="P3048" s="5">
        <f>IFERROR(__xludf.DUMMYFUNCTION("""COMPUTED_VALUE"""),762.0)</f>
        <v>762</v>
      </c>
      <c r="Q3048" s="5" t="str">
        <f>IFERROR(__xludf.DUMMYFUNCTION("""COMPUTED_VALUE"""),"Toki o kakeru shôjo")</f>
        <v>Toki o kakeru shôjo</v>
      </c>
      <c r="R3048" s="5" t="str">
        <f>IFERROR(__xludf.DUMMYFUNCTION("""COMPUTED_VALUE"""),"Mitsutaka Itakura")</f>
        <v>Mitsutaka Itakura</v>
      </c>
      <c r="S3048" s="5" t="str">
        <f>IFERROR(__xludf.DUMMYFUNCTION("""COMPUTED_VALUE"""),"Estrela 3")</f>
        <v>Estrela 3</v>
      </c>
    </row>
    <row r="3049">
      <c r="G3049" s="5" t="str">
        <f>IFERROR(__xludf.DUMMYFUNCTION("""COMPUTED_VALUE"""),"762🤙🏼Toki o kakeru shôjo🤙🏼Ayami Kakiuchi🤙🏼Estrela 4")</f>
        <v>762🤙🏼Toki o kakeru shôjo🤙🏼Ayami Kakiuchi🤙🏼Estrela 4</v>
      </c>
      <c r="H3049" s="5">
        <f>IFERROR(__xludf.DUMMYFUNCTION("SPLiT(G3049, ""🤙🏼"",FALSE,FALSE)"),762.0)</f>
        <v>762</v>
      </c>
      <c r="I3049" s="5" t="str">
        <f>IFERROR(__xludf.DUMMYFUNCTION("""COMPUTED_VALUE"""),"Toki o kakeru shôjo")</f>
        <v>Toki o kakeru shôjo</v>
      </c>
      <c r="J3049" s="5" t="str">
        <f>IFERROR(__xludf.DUMMYFUNCTION("""COMPUTED_VALUE"""),"Ayami Kakiuchi")</f>
        <v>Ayami Kakiuchi</v>
      </c>
      <c r="K3049" s="5" t="str">
        <f>IFERROR(__xludf.DUMMYFUNCTION("""COMPUTED_VALUE"""),"Estrela 4")</f>
        <v>Estrela 4</v>
      </c>
      <c r="P3049" s="5">
        <f>IFERROR(__xludf.DUMMYFUNCTION("""COMPUTED_VALUE"""),762.0)</f>
        <v>762</v>
      </c>
      <c r="Q3049" s="5" t="str">
        <f>IFERROR(__xludf.DUMMYFUNCTION("""COMPUTED_VALUE"""),"Toki o kakeru shôjo")</f>
        <v>Toki o kakeru shôjo</v>
      </c>
      <c r="R3049" s="5" t="str">
        <f>IFERROR(__xludf.DUMMYFUNCTION("""COMPUTED_VALUE"""),"Ayami Kakiuchi")</f>
        <v>Ayami Kakiuchi</v>
      </c>
      <c r="S3049" s="5" t="str">
        <f>IFERROR(__xludf.DUMMYFUNCTION("""COMPUTED_VALUE"""),"Estrela 4")</f>
        <v>Estrela 4</v>
      </c>
    </row>
    <row r="3050">
      <c r="G3050" s="5" t="str">
        <f>IFERROR(__xludf.DUMMYFUNCTION("""COMPUTED_VALUE"""),"763🤙🏼Death Note: Desu nôto🤙🏼Tatsuya Fujiwara🤙🏼Estrela 1")</f>
        <v>763🤙🏼Death Note: Desu nôto🤙🏼Tatsuya Fujiwara🤙🏼Estrela 1</v>
      </c>
      <c r="H3050" s="5">
        <f>IFERROR(__xludf.DUMMYFUNCTION("SPLiT(G3050, ""🤙🏼"",FALSE,FALSE)"),763.0)</f>
        <v>763</v>
      </c>
      <c r="I3050" s="5" t="str">
        <f>IFERROR(__xludf.DUMMYFUNCTION("""COMPUTED_VALUE"""),"Death Note: Desu nôto")</f>
        <v>Death Note: Desu nôto</v>
      </c>
      <c r="J3050" s="5" t="str">
        <f>IFERROR(__xludf.DUMMYFUNCTION("""COMPUTED_VALUE"""),"Tatsuya Fujiwara")</f>
        <v>Tatsuya Fujiwara</v>
      </c>
      <c r="K3050" s="5" t="str">
        <f>IFERROR(__xludf.DUMMYFUNCTION("""COMPUTED_VALUE"""),"Estrela 1")</f>
        <v>Estrela 1</v>
      </c>
      <c r="P3050" s="5">
        <f>IFERROR(__xludf.DUMMYFUNCTION("""COMPUTED_VALUE"""),763.0)</f>
        <v>763</v>
      </c>
      <c r="Q3050" s="5" t="str">
        <f>IFERROR(__xludf.DUMMYFUNCTION("""COMPUTED_VALUE"""),"Death Note: Desu nôto")</f>
        <v>Death Note: Desu nôto</v>
      </c>
      <c r="R3050" s="5" t="str">
        <f>IFERROR(__xludf.DUMMYFUNCTION("""COMPUTED_VALUE"""),"Tatsuya Fujiwara")</f>
        <v>Tatsuya Fujiwara</v>
      </c>
      <c r="S3050" s="5" t="str">
        <f>IFERROR(__xludf.DUMMYFUNCTION("""COMPUTED_VALUE"""),"Estrela 1")</f>
        <v>Estrela 1</v>
      </c>
    </row>
    <row r="3051">
      <c r="G3051" s="5" t="str">
        <f>IFERROR(__xludf.DUMMYFUNCTION("""COMPUTED_VALUE"""),"763🤙🏼Death Note: Desu nôto🤙🏼Ken'ichi Matsuyama🤙🏼Estrela 2")</f>
        <v>763🤙🏼Death Note: Desu nôto🤙🏼Ken'ichi Matsuyama🤙🏼Estrela 2</v>
      </c>
      <c r="H3051" s="5">
        <f>IFERROR(__xludf.DUMMYFUNCTION("SPLiT(G3051, ""🤙🏼"",FALSE,FALSE)"),763.0)</f>
        <v>763</v>
      </c>
      <c r="I3051" s="5" t="str">
        <f>IFERROR(__xludf.DUMMYFUNCTION("""COMPUTED_VALUE"""),"Death Note: Desu nôto")</f>
        <v>Death Note: Desu nôto</v>
      </c>
      <c r="J3051" s="5" t="str">
        <f>IFERROR(__xludf.DUMMYFUNCTION("""COMPUTED_VALUE"""),"Ken'ichi Matsuyama")</f>
        <v>Ken'ichi Matsuyama</v>
      </c>
      <c r="K3051" s="5" t="str">
        <f>IFERROR(__xludf.DUMMYFUNCTION("""COMPUTED_VALUE"""),"Estrela 2")</f>
        <v>Estrela 2</v>
      </c>
      <c r="P3051" s="5">
        <f>IFERROR(__xludf.DUMMYFUNCTION("""COMPUTED_VALUE"""),763.0)</f>
        <v>763</v>
      </c>
      <c r="Q3051" s="5" t="str">
        <f>IFERROR(__xludf.DUMMYFUNCTION("""COMPUTED_VALUE"""),"Death Note: Desu nôto")</f>
        <v>Death Note: Desu nôto</v>
      </c>
      <c r="R3051" s="5" t="str">
        <f>IFERROR(__xludf.DUMMYFUNCTION("""COMPUTED_VALUE"""),"Ken'ichi Matsuyama")</f>
        <v>Ken'ichi Matsuyama</v>
      </c>
      <c r="S3051" s="5" t="str">
        <f>IFERROR(__xludf.DUMMYFUNCTION("""COMPUTED_VALUE"""),"Estrela 2")</f>
        <v>Estrela 2</v>
      </c>
    </row>
    <row r="3052">
      <c r="G3052" s="5" t="str">
        <f>IFERROR(__xludf.DUMMYFUNCTION("""COMPUTED_VALUE"""),"763🤙🏼Death Note: Desu nôto🤙🏼Asaka Seto🤙🏼Estrela 3")</f>
        <v>763🤙🏼Death Note: Desu nôto🤙🏼Asaka Seto🤙🏼Estrela 3</v>
      </c>
      <c r="H3052" s="5">
        <f>IFERROR(__xludf.DUMMYFUNCTION("SPLiT(G3052, ""🤙🏼"",FALSE,FALSE)"),763.0)</f>
        <v>763</v>
      </c>
      <c r="I3052" s="5" t="str">
        <f>IFERROR(__xludf.DUMMYFUNCTION("""COMPUTED_VALUE"""),"Death Note: Desu nôto")</f>
        <v>Death Note: Desu nôto</v>
      </c>
      <c r="J3052" s="5" t="str">
        <f>IFERROR(__xludf.DUMMYFUNCTION("""COMPUTED_VALUE"""),"Asaka Seto")</f>
        <v>Asaka Seto</v>
      </c>
      <c r="K3052" s="5" t="str">
        <f>IFERROR(__xludf.DUMMYFUNCTION("""COMPUTED_VALUE"""),"Estrela 3")</f>
        <v>Estrela 3</v>
      </c>
      <c r="P3052" s="5">
        <f>IFERROR(__xludf.DUMMYFUNCTION("""COMPUTED_VALUE"""),763.0)</f>
        <v>763</v>
      </c>
      <c r="Q3052" s="5" t="str">
        <f>IFERROR(__xludf.DUMMYFUNCTION("""COMPUTED_VALUE"""),"Death Note: Desu nôto")</f>
        <v>Death Note: Desu nôto</v>
      </c>
      <c r="R3052" s="5" t="str">
        <f>IFERROR(__xludf.DUMMYFUNCTION("""COMPUTED_VALUE"""),"Asaka Seto")</f>
        <v>Asaka Seto</v>
      </c>
      <c r="S3052" s="5" t="str">
        <f>IFERROR(__xludf.DUMMYFUNCTION("""COMPUTED_VALUE"""),"Estrela 3")</f>
        <v>Estrela 3</v>
      </c>
    </row>
    <row r="3053">
      <c r="G3053" s="5" t="str">
        <f>IFERROR(__xludf.DUMMYFUNCTION("""COMPUTED_VALUE"""),"763🤙🏼Death Note: Desu nôto🤙🏼Yû Kashii🤙🏼Estrela 4")</f>
        <v>763🤙🏼Death Note: Desu nôto🤙🏼Yû Kashii🤙🏼Estrela 4</v>
      </c>
      <c r="H3053" s="5">
        <f>IFERROR(__xludf.DUMMYFUNCTION("SPLiT(G3053, ""🤙🏼"",FALSE,FALSE)"),763.0)</f>
        <v>763</v>
      </c>
      <c r="I3053" s="5" t="str">
        <f>IFERROR(__xludf.DUMMYFUNCTION("""COMPUTED_VALUE"""),"Death Note: Desu nôto")</f>
        <v>Death Note: Desu nôto</v>
      </c>
      <c r="J3053" s="5" t="str">
        <f>IFERROR(__xludf.DUMMYFUNCTION("""COMPUTED_VALUE"""),"Yû Kashii")</f>
        <v>Yû Kashii</v>
      </c>
      <c r="K3053" s="5" t="str">
        <f>IFERROR(__xludf.DUMMYFUNCTION("""COMPUTED_VALUE"""),"Estrela 4")</f>
        <v>Estrela 4</v>
      </c>
      <c r="P3053" s="5">
        <f>IFERROR(__xludf.DUMMYFUNCTION("""COMPUTED_VALUE"""),763.0)</f>
        <v>763</v>
      </c>
      <c r="Q3053" s="5" t="str">
        <f>IFERROR(__xludf.DUMMYFUNCTION("""COMPUTED_VALUE"""),"Death Note: Desu nôto")</f>
        <v>Death Note: Desu nôto</v>
      </c>
      <c r="R3053" s="5" t="str">
        <f>IFERROR(__xludf.DUMMYFUNCTION("""COMPUTED_VALUE"""),"Yû Kashii")</f>
        <v>Yû Kashii</v>
      </c>
      <c r="S3053" s="5" t="str">
        <f>IFERROR(__xludf.DUMMYFUNCTION("""COMPUTED_VALUE"""),"Estrela 4")</f>
        <v>Estrela 4</v>
      </c>
    </row>
    <row r="3054">
      <c r="G3054" s="5" t="str">
        <f>IFERROR(__xludf.DUMMYFUNCTION("""COMPUTED_VALUE"""),"764🤙🏼This Is England🤙🏼Thomas Turgoose🤙🏼Estrela 1")</f>
        <v>764🤙🏼This Is England🤙🏼Thomas Turgoose🤙🏼Estrela 1</v>
      </c>
      <c r="H3054" s="5">
        <f>IFERROR(__xludf.DUMMYFUNCTION("SPLiT(G3054, ""🤙🏼"",FALSE,FALSE)"),764.0)</f>
        <v>764</v>
      </c>
      <c r="I3054" s="5" t="str">
        <f>IFERROR(__xludf.DUMMYFUNCTION("""COMPUTED_VALUE"""),"This Is England")</f>
        <v>This Is England</v>
      </c>
      <c r="J3054" s="5" t="str">
        <f>IFERROR(__xludf.DUMMYFUNCTION("""COMPUTED_VALUE"""),"Thomas Turgoose")</f>
        <v>Thomas Turgoose</v>
      </c>
      <c r="K3054" s="5" t="str">
        <f>IFERROR(__xludf.DUMMYFUNCTION("""COMPUTED_VALUE"""),"Estrela 1")</f>
        <v>Estrela 1</v>
      </c>
      <c r="P3054" s="5">
        <f>IFERROR(__xludf.DUMMYFUNCTION("""COMPUTED_VALUE"""),764.0)</f>
        <v>764</v>
      </c>
      <c r="Q3054" s="5" t="str">
        <f>IFERROR(__xludf.DUMMYFUNCTION("""COMPUTED_VALUE"""),"This Is England")</f>
        <v>This Is England</v>
      </c>
      <c r="R3054" s="5" t="str">
        <f>IFERROR(__xludf.DUMMYFUNCTION("""COMPUTED_VALUE"""),"Thomas Turgoose")</f>
        <v>Thomas Turgoose</v>
      </c>
      <c r="S3054" s="5" t="str">
        <f>IFERROR(__xludf.DUMMYFUNCTION("""COMPUTED_VALUE"""),"Estrela 1")</f>
        <v>Estrela 1</v>
      </c>
    </row>
    <row r="3055">
      <c r="G3055" s="5" t="str">
        <f>IFERROR(__xludf.DUMMYFUNCTION("""COMPUTED_VALUE"""),"764🤙🏼This Is England🤙🏼Stephen Graham🤙🏼Estrela 2")</f>
        <v>764🤙🏼This Is England🤙🏼Stephen Graham🤙🏼Estrela 2</v>
      </c>
      <c r="H3055" s="5">
        <f>IFERROR(__xludf.DUMMYFUNCTION("SPLiT(G3055, ""🤙🏼"",FALSE,FALSE)"),764.0)</f>
        <v>764</v>
      </c>
      <c r="I3055" s="5" t="str">
        <f>IFERROR(__xludf.DUMMYFUNCTION("""COMPUTED_VALUE"""),"This Is England")</f>
        <v>This Is England</v>
      </c>
      <c r="J3055" s="5" t="str">
        <f>IFERROR(__xludf.DUMMYFUNCTION("""COMPUTED_VALUE"""),"Stephen Graham")</f>
        <v>Stephen Graham</v>
      </c>
      <c r="K3055" s="5" t="str">
        <f>IFERROR(__xludf.DUMMYFUNCTION("""COMPUTED_VALUE"""),"Estrela 2")</f>
        <v>Estrela 2</v>
      </c>
      <c r="P3055" s="5">
        <f>IFERROR(__xludf.DUMMYFUNCTION("""COMPUTED_VALUE"""),764.0)</f>
        <v>764</v>
      </c>
      <c r="Q3055" s="5" t="str">
        <f>IFERROR(__xludf.DUMMYFUNCTION("""COMPUTED_VALUE"""),"This Is England")</f>
        <v>This Is England</v>
      </c>
      <c r="R3055" s="5" t="str">
        <f>IFERROR(__xludf.DUMMYFUNCTION("""COMPUTED_VALUE"""),"Stephen Graham")</f>
        <v>Stephen Graham</v>
      </c>
      <c r="S3055" s="5" t="str">
        <f>IFERROR(__xludf.DUMMYFUNCTION("""COMPUTED_VALUE"""),"Estrela 2")</f>
        <v>Estrela 2</v>
      </c>
    </row>
    <row r="3056">
      <c r="G3056" s="5" t="str">
        <f>IFERROR(__xludf.DUMMYFUNCTION("""COMPUTED_VALUE"""),"764🤙🏼This Is England🤙🏼Jo Hartley🤙🏼Estrela 3")</f>
        <v>764🤙🏼This Is England🤙🏼Jo Hartley🤙🏼Estrela 3</v>
      </c>
      <c r="H3056" s="5">
        <f>IFERROR(__xludf.DUMMYFUNCTION("SPLiT(G3056, ""🤙🏼"",FALSE,FALSE)"),764.0)</f>
        <v>764</v>
      </c>
      <c r="I3056" s="5" t="str">
        <f>IFERROR(__xludf.DUMMYFUNCTION("""COMPUTED_VALUE"""),"This Is England")</f>
        <v>This Is England</v>
      </c>
      <c r="J3056" s="5" t="str">
        <f>IFERROR(__xludf.DUMMYFUNCTION("""COMPUTED_VALUE"""),"Jo Hartley")</f>
        <v>Jo Hartley</v>
      </c>
      <c r="K3056" s="5" t="str">
        <f>IFERROR(__xludf.DUMMYFUNCTION("""COMPUTED_VALUE"""),"Estrela 3")</f>
        <v>Estrela 3</v>
      </c>
      <c r="P3056" s="5">
        <f>IFERROR(__xludf.DUMMYFUNCTION("""COMPUTED_VALUE"""),764.0)</f>
        <v>764</v>
      </c>
      <c r="Q3056" s="5" t="str">
        <f>IFERROR(__xludf.DUMMYFUNCTION("""COMPUTED_VALUE"""),"This Is England")</f>
        <v>This Is England</v>
      </c>
      <c r="R3056" s="5" t="str">
        <f>IFERROR(__xludf.DUMMYFUNCTION("""COMPUTED_VALUE"""),"Jo Hartley")</f>
        <v>Jo Hartley</v>
      </c>
      <c r="S3056" s="5" t="str">
        <f>IFERROR(__xludf.DUMMYFUNCTION("""COMPUTED_VALUE"""),"Estrela 3")</f>
        <v>Estrela 3</v>
      </c>
    </row>
    <row r="3057">
      <c r="G3057" s="5" t="str">
        <f>IFERROR(__xludf.DUMMYFUNCTION("""COMPUTED_VALUE"""),"764🤙🏼This Is England🤙🏼Andrew Shim🤙🏼Estrela 4")</f>
        <v>764🤙🏼This Is England🤙🏼Andrew Shim🤙🏼Estrela 4</v>
      </c>
      <c r="H3057" s="5">
        <f>IFERROR(__xludf.DUMMYFUNCTION("SPLiT(G3057, ""🤙🏼"",FALSE,FALSE)"),764.0)</f>
        <v>764</v>
      </c>
      <c r="I3057" s="5" t="str">
        <f>IFERROR(__xludf.DUMMYFUNCTION("""COMPUTED_VALUE"""),"This Is England")</f>
        <v>This Is England</v>
      </c>
      <c r="J3057" s="5" t="str">
        <f>IFERROR(__xludf.DUMMYFUNCTION("""COMPUTED_VALUE"""),"Andrew Shim")</f>
        <v>Andrew Shim</v>
      </c>
      <c r="K3057" s="5" t="str">
        <f>IFERROR(__xludf.DUMMYFUNCTION("""COMPUTED_VALUE"""),"Estrela 4")</f>
        <v>Estrela 4</v>
      </c>
      <c r="P3057" s="5">
        <f>IFERROR(__xludf.DUMMYFUNCTION("""COMPUTED_VALUE"""),764.0)</f>
        <v>764</v>
      </c>
      <c r="Q3057" s="5" t="str">
        <f>IFERROR(__xludf.DUMMYFUNCTION("""COMPUTED_VALUE"""),"This Is England")</f>
        <v>This Is England</v>
      </c>
      <c r="R3057" s="5" t="str">
        <f>IFERROR(__xludf.DUMMYFUNCTION("""COMPUTED_VALUE"""),"Andrew Shim")</f>
        <v>Andrew Shim</v>
      </c>
      <c r="S3057" s="5" t="str">
        <f>IFERROR(__xludf.DUMMYFUNCTION("""COMPUTED_VALUE"""),"Estrela 4")</f>
        <v>Estrela 4</v>
      </c>
    </row>
    <row r="3058">
      <c r="G3058" s="5" t="str">
        <f>IFERROR(__xludf.DUMMYFUNCTION("""COMPUTED_VALUE"""),"765🤙🏼Ex Machina🤙🏼Alicia Vikander🤙🏼Estrela 1")</f>
        <v>765🤙🏼Ex Machina🤙🏼Alicia Vikander🤙🏼Estrela 1</v>
      </c>
      <c r="H3058" s="5">
        <f>IFERROR(__xludf.DUMMYFUNCTION("SPLiT(G3058, ""🤙🏼"",FALSE,FALSE)"),765.0)</f>
        <v>765</v>
      </c>
      <c r="I3058" s="5" t="str">
        <f>IFERROR(__xludf.DUMMYFUNCTION("""COMPUTED_VALUE"""),"Ex Machina")</f>
        <v>Ex Machina</v>
      </c>
      <c r="J3058" s="5" t="str">
        <f>IFERROR(__xludf.DUMMYFUNCTION("""COMPUTED_VALUE"""),"Alicia Vikander")</f>
        <v>Alicia Vikander</v>
      </c>
      <c r="K3058" s="5" t="str">
        <f>IFERROR(__xludf.DUMMYFUNCTION("""COMPUTED_VALUE"""),"Estrela 1")</f>
        <v>Estrela 1</v>
      </c>
      <c r="P3058" s="5">
        <f>IFERROR(__xludf.DUMMYFUNCTION("""COMPUTED_VALUE"""),765.0)</f>
        <v>765</v>
      </c>
      <c r="Q3058" s="5" t="str">
        <f>IFERROR(__xludf.DUMMYFUNCTION("""COMPUTED_VALUE"""),"Ex Machina")</f>
        <v>Ex Machina</v>
      </c>
      <c r="R3058" s="5" t="str">
        <f>IFERROR(__xludf.DUMMYFUNCTION("""COMPUTED_VALUE"""),"Alicia Vikander")</f>
        <v>Alicia Vikander</v>
      </c>
      <c r="S3058" s="5" t="str">
        <f>IFERROR(__xludf.DUMMYFUNCTION("""COMPUTED_VALUE"""),"Estrela 1")</f>
        <v>Estrela 1</v>
      </c>
    </row>
    <row r="3059">
      <c r="G3059" s="5" t="str">
        <f>IFERROR(__xludf.DUMMYFUNCTION("""COMPUTED_VALUE"""),"765🤙🏼Ex Machina🤙🏼Domhnall Gleeson🤙🏼Estrela 2")</f>
        <v>765🤙🏼Ex Machina🤙🏼Domhnall Gleeson🤙🏼Estrela 2</v>
      </c>
      <c r="H3059" s="5">
        <f>IFERROR(__xludf.DUMMYFUNCTION("SPLiT(G3059, ""🤙🏼"",FALSE,FALSE)"),765.0)</f>
        <v>765</v>
      </c>
      <c r="I3059" s="5" t="str">
        <f>IFERROR(__xludf.DUMMYFUNCTION("""COMPUTED_VALUE"""),"Ex Machina")</f>
        <v>Ex Machina</v>
      </c>
      <c r="J3059" s="5" t="str">
        <f>IFERROR(__xludf.DUMMYFUNCTION("""COMPUTED_VALUE"""),"Domhnall Gleeson")</f>
        <v>Domhnall Gleeson</v>
      </c>
      <c r="K3059" s="5" t="str">
        <f>IFERROR(__xludf.DUMMYFUNCTION("""COMPUTED_VALUE"""),"Estrela 2")</f>
        <v>Estrela 2</v>
      </c>
      <c r="P3059" s="5">
        <f>IFERROR(__xludf.DUMMYFUNCTION("""COMPUTED_VALUE"""),765.0)</f>
        <v>765</v>
      </c>
      <c r="Q3059" s="5" t="str">
        <f>IFERROR(__xludf.DUMMYFUNCTION("""COMPUTED_VALUE"""),"Ex Machina")</f>
        <v>Ex Machina</v>
      </c>
      <c r="R3059" s="5" t="str">
        <f>IFERROR(__xludf.DUMMYFUNCTION("""COMPUTED_VALUE"""),"Domhnall Gleeson")</f>
        <v>Domhnall Gleeson</v>
      </c>
      <c r="S3059" s="5" t="str">
        <f>IFERROR(__xludf.DUMMYFUNCTION("""COMPUTED_VALUE"""),"Estrela 2")</f>
        <v>Estrela 2</v>
      </c>
    </row>
    <row r="3060">
      <c r="G3060" s="5" t="str">
        <f>IFERROR(__xludf.DUMMYFUNCTION("""COMPUTED_VALUE"""),"765🤙🏼Ex Machina🤙🏼Oscar Isaac🤙🏼Estrela 3")</f>
        <v>765🤙🏼Ex Machina🤙🏼Oscar Isaac🤙🏼Estrela 3</v>
      </c>
      <c r="H3060" s="5">
        <f>IFERROR(__xludf.DUMMYFUNCTION("SPLiT(G3060, ""🤙🏼"",FALSE,FALSE)"),765.0)</f>
        <v>765</v>
      </c>
      <c r="I3060" s="5" t="str">
        <f>IFERROR(__xludf.DUMMYFUNCTION("""COMPUTED_VALUE"""),"Ex Machina")</f>
        <v>Ex Machina</v>
      </c>
      <c r="J3060" s="5" t="str">
        <f>IFERROR(__xludf.DUMMYFUNCTION("""COMPUTED_VALUE"""),"Oscar Isaac")</f>
        <v>Oscar Isaac</v>
      </c>
      <c r="K3060" s="5" t="str">
        <f>IFERROR(__xludf.DUMMYFUNCTION("""COMPUTED_VALUE"""),"Estrela 3")</f>
        <v>Estrela 3</v>
      </c>
      <c r="P3060" s="5">
        <f>IFERROR(__xludf.DUMMYFUNCTION("""COMPUTED_VALUE"""),765.0)</f>
        <v>765</v>
      </c>
      <c r="Q3060" s="5" t="str">
        <f>IFERROR(__xludf.DUMMYFUNCTION("""COMPUTED_VALUE"""),"Ex Machina")</f>
        <v>Ex Machina</v>
      </c>
      <c r="R3060" s="5" t="str">
        <f>IFERROR(__xludf.DUMMYFUNCTION("""COMPUTED_VALUE"""),"Oscar Isaac")</f>
        <v>Oscar Isaac</v>
      </c>
      <c r="S3060" s="5" t="str">
        <f>IFERROR(__xludf.DUMMYFUNCTION("""COMPUTED_VALUE"""),"Estrela 3")</f>
        <v>Estrela 3</v>
      </c>
    </row>
    <row r="3061">
      <c r="G3061" s="5" t="str">
        <f>IFERROR(__xludf.DUMMYFUNCTION("""COMPUTED_VALUE"""),"765🤙🏼Ex Machina🤙🏼Sonoya Mizuno🤙🏼Estrela 4")</f>
        <v>765🤙🏼Ex Machina🤙🏼Sonoya Mizuno🤙🏼Estrela 4</v>
      </c>
      <c r="H3061" s="5">
        <f>IFERROR(__xludf.DUMMYFUNCTION("SPLiT(G3061, ""🤙🏼"",FALSE,FALSE)"),765.0)</f>
        <v>765</v>
      </c>
      <c r="I3061" s="5" t="str">
        <f>IFERROR(__xludf.DUMMYFUNCTION("""COMPUTED_VALUE"""),"Ex Machina")</f>
        <v>Ex Machina</v>
      </c>
      <c r="J3061" s="5" t="str">
        <f>IFERROR(__xludf.DUMMYFUNCTION("""COMPUTED_VALUE"""),"Sonoya Mizuno")</f>
        <v>Sonoya Mizuno</v>
      </c>
      <c r="K3061" s="5" t="str">
        <f>IFERROR(__xludf.DUMMYFUNCTION("""COMPUTED_VALUE"""),"Estrela 4")</f>
        <v>Estrela 4</v>
      </c>
      <c r="P3061" s="5">
        <f>IFERROR(__xludf.DUMMYFUNCTION("""COMPUTED_VALUE"""),765.0)</f>
        <v>765</v>
      </c>
      <c r="Q3061" s="5" t="str">
        <f>IFERROR(__xludf.DUMMYFUNCTION("""COMPUTED_VALUE"""),"Ex Machina")</f>
        <v>Ex Machina</v>
      </c>
      <c r="R3061" s="5" t="str">
        <f>IFERROR(__xludf.DUMMYFUNCTION("""COMPUTED_VALUE"""),"Sonoya Mizuno")</f>
        <v>Sonoya Mizuno</v>
      </c>
      <c r="S3061" s="5" t="str">
        <f>IFERROR(__xludf.DUMMYFUNCTION("""COMPUTED_VALUE"""),"Estrela 4")</f>
        <v>Estrela 4</v>
      </c>
    </row>
    <row r="3062">
      <c r="G3062" s="5" t="str">
        <f>IFERROR(__xludf.DUMMYFUNCTION("""COMPUTED_VALUE"""),"766🤙🏼Efter brylluppet🤙🏼Mads Mikkelsen🤙🏼Estrela 1")</f>
        <v>766🤙🏼Efter brylluppet🤙🏼Mads Mikkelsen🤙🏼Estrela 1</v>
      </c>
      <c r="H3062" s="5">
        <f>IFERROR(__xludf.DUMMYFUNCTION("SPLiT(G3062, ""🤙🏼"",FALSE,FALSE)"),766.0)</f>
        <v>766</v>
      </c>
      <c r="I3062" s="5" t="str">
        <f>IFERROR(__xludf.DUMMYFUNCTION("""COMPUTED_VALUE"""),"Efter brylluppet")</f>
        <v>Efter brylluppet</v>
      </c>
      <c r="J3062" s="5" t="str">
        <f>IFERROR(__xludf.DUMMYFUNCTION("""COMPUTED_VALUE"""),"Mads Mikkelsen")</f>
        <v>Mads Mikkelsen</v>
      </c>
      <c r="K3062" s="5" t="str">
        <f>IFERROR(__xludf.DUMMYFUNCTION("""COMPUTED_VALUE"""),"Estrela 1")</f>
        <v>Estrela 1</v>
      </c>
      <c r="P3062" s="5">
        <f>IFERROR(__xludf.DUMMYFUNCTION("""COMPUTED_VALUE"""),766.0)</f>
        <v>766</v>
      </c>
      <c r="Q3062" s="5" t="str">
        <f>IFERROR(__xludf.DUMMYFUNCTION("""COMPUTED_VALUE"""),"Efter brylluppet")</f>
        <v>Efter brylluppet</v>
      </c>
      <c r="R3062" s="5" t="str">
        <f>IFERROR(__xludf.DUMMYFUNCTION("""COMPUTED_VALUE"""),"Mads Mikkelsen")</f>
        <v>Mads Mikkelsen</v>
      </c>
      <c r="S3062" s="5" t="str">
        <f>IFERROR(__xludf.DUMMYFUNCTION("""COMPUTED_VALUE"""),"Estrela 1")</f>
        <v>Estrela 1</v>
      </c>
    </row>
    <row r="3063">
      <c r="G3063" s="5" t="str">
        <f>IFERROR(__xludf.DUMMYFUNCTION("""COMPUTED_VALUE"""),"766🤙🏼Efter brylluppet🤙🏼Sidse Babett Knudsen🤙🏼Estrela 2")</f>
        <v>766🤙🏼Efter brylluppet🤙🏼Sidse Babett Knudsen🤙🏼Estrela 2</v>
      </c>
      <c r="H3063" s="5">
        <f>IFERROR(__xludf.DUMMYFUNCTION("SPLiT(G3063, ""🤙🏼"",FALSE,FALSE)"),766.0)</f>
        <v>766</v>
      </c>
      <c r="I3063" s="5" t="str">
        <f>IFERROR(__xludf.DUMMYFUNCTION("""COMPUTED_VALUE"""),"Efter brylluppet")</f>
        <v>Efter brylluppet</v>
      </c>
      <c r="J3063" s="5" t="str">
        <f>IFERROR(__xludf.DUMMYFUNCTION("""COMPUTED_VALUE"""),"Sidse Babett Knudsen")</f>
        <v>Sidse Babett Knudsen</v>
      </c>
      <c r="K3063" s="5" t="str">
        <f>IFERROR(__xludf.DUMMYFUNCTION("""COMPUTED_VALUE"""),"Estrela 2")</f>
        <v>Estrela 2</v>
      </c>
      <c r="P3063" s="5">
        <f>IFERROR(__xludf.DUMMYFUNCTION("""COMPUTED_VALUE"""),766.0)</f>
        <v>766</v>
      </c>
      <c r="Q3063" s="5" t="str">
        <f>IFERROR(__xludf.DUMMYFUNCTION("""COMPUTED_VALUE"""),"Efter brylluppet")</f>
        <v>Efter brylluppet</v>
      </c>
      <c r="R3063" s="5" t="str">
        <f>IFERROR(__xludf.DUMMYFUNCTION("""COMPUTED_VALUE"""),"Sidse Babett Knudsen")</f>
        <v>Sidse Babett Knudsen</v>
      </c>
      <c r="S3063" s="5" t="str">
        <f>IFERROR(__xludf.DUMMYFUNCTION("""COMPUTED_VALUE"""),"Estrela 2")</f>
        <v>Estrela 2</v>
      </c>
    </row>
    <row r="3064">
      <c r="G3064" s="5" t="str">
        <f>IFERROR(__xludf.DUMMYFUNCTION("""COMPUTED_VALUE"""),"766🤙🏼Efter brylluppet🤙🏼Rolf Lassgård🤙🏼Estrela 3")</f>
        <v>766🤙🏼Efter brylluppet🤙🏼Rolf Lassgård🤙🏼Estrela 3</v>
      </c>
      <c r="H3064" s="5">
        <f>IFERROR(__xludf.DUMMYFUNCTION("SPLiT(G3064, ""🤙🏼"",FALSE,FALSE)"),766.0)</f>
        <v>766</v>
      </c>
      <c r="I3064" s="5" t="str">
        <f>IFERROR(__xludf.DUMMYFUNCTION("""COMPUTED_VALUE"""),"Efter brylluppet")</f>
        <v>Efter brylluppet</v>
      </c>
      <c r="J3064" s="5" t="str">
        <f>IFERROR(__xludf.DUMMYFUNCTION("""COMPUTED_VALUE"""),"Rolf Lassgård")</f>
        <v>Rolf Lassgård</v>
      </c>
      <c r="K3064" s="5" t="str">
        <f>IFERROR(__xludf.DUMMYFUNCTION("""COMPUTED_VALUE"""),"Estrela 3")</f>
        <v>Estrela 3</v>
      </c>
      <c r="P3064" s="5">
        <f>IFERROR(__xludf.DUMMYFUNCTION("""COMPUTED_VALUE"""),766.0)</f>
        <v>766</v>
      </c>
      <c r="Q3064" s="5" t="str">
        <f>IFERROR(__xludf.DUMMYFUNCTION("""COMPUTED_VALUE"""),"Efter brylluppet")</f>
        <v>Efter brylluppet</v>
      </c>
      <c r="R3064" s="5" t="str">
        <f>IFERROR(__xludf.DUMMYFUNCTION("""COMPUTED_VALUE"""),"Rolf Lassgård")</f>
        <v>Rolf Lassgård</v>
      </c>
      <c r="S3064" s="5" t="str">
        <f>IFERROR(__xludf.DUMMYFUNCTION("""COMPUTED_VALUE"""),"Estrela 3")</f>
        <v>Estrela 3</v>
      </c>
    </row>
    <row r="3065">
      <c r="G3065" s="5" t="str">
        <f>IFERROR(__xludf.DUMMYFUNCTION("""COMPUTED_VALUE"""),"766🤙🏼Efter brylluppet🤙🏼Neeral Mulchandani🤙🏼Estrela 4")</f>
        <v>766🤙🏼Efter brylluppet🤙🏼Neeral Mulchandani🤙🏼Estrela 4</v>
      </c>
      <c r="H3065" s="5">
        <f>IFERROR(__xludf.DUMMYFUNCTION("SPLiT(G3065, ""🤙🏼"",FALSE,FALSE)"),766.0)</f>
        <v>766</v>
      </c>
      <c r="I3065" s="5" t="str">
        <f>IFERROR(__xludf.DUMMYFUNCTION("""COMPUTED_VALUE"""),"Efter brylluppet")</f>
        <v>Efter brylluppet</v>
      </c>
      <c r="J3065" s="5" t="str">
        <f>IFERROR(__xludf.DUMMYFUNCTION("""COMPUTED_VALUE"""),"Neeral Mulchandani")</f>
        <v>Neeral Mulchandani</v>
      </c>
      <c r="K3065" s="5" t="str">
        <f>IFERROR(__xludf.DUMMYFUNCTION("""COMPUTED_VALUE"""),"Estrela 4")</f>
        <v>Estrela 4</v>
      </c>
      <c r="P3065" s="5">
        <f>IFERROR(__xludf.DUMMYFUNCTION("""COMPUTED_VALUE"""),766.0)</f>
        <v>766</v>
      </c>
      <c r="Q3065" s="5" t="str">
        <f>IFERROR(__xludf.DUMMYFUNCTION("""COMPUTED_VALUE"""),"Efter brylluppet")</f>
        <v>Efter brylluppet</v>
      </c>
      <c r="R3065" s="5" t="str">
        <f>IFERROR(__xludf.DUMMYFUNCTION("""COMPUTED_VALUE"""),"Neeral Mulchandani")</f>
        <v>Neeral Mulchandani</v>
      </c>
      <c r="S3065" s="5" t="str">
        <f>IFERROR(__xludf.DUMMYFUNCTION("""COMPUTED_VALUE"""),"Estrela 4")</f>
        <v>Estrela 4</v>
      </c>
    </row>
    <row r="3066">
      <c r="G3066" s="5" t="str">
        <f>IFERROR(__xludf.DUMMYFUNCTION("""COMPUTED_VALUE"""),"767🤙🏼The Last King of Scotland🤙🏼James McAvoy🤙🏼Estrela 1")</f>
        <v>767🤙🏼The Last King of Scotland🤙🏼James McAvoy🤙🏼Estrela 1</v>
      </c>
      <c r="H3066" s="5">
        <f>IFERROR(__xludf.DUMMYFUNCTION("SPLiT(G3066, ""🤙🏼"",FALSE,FALSE)"),767.0)</f>
        <v>767</v>
      </c>
      <c r="I3066" s="5" t="str">
        <f>IFERROR(__xludf.DUMMYFUNCTION("""COMPUTED_VALUE"""),"The Last King of Scotland")</f>
        <v>The Last King of Scotland</v>
      </c>
      <c r="J3066" s="5" t="str">
        <f>IFERROR(__xludf.DUMMYFUNCTION("""COMPUTED_VALUE"""),"James McAvoy")</f>
        <v>James McAvoy</v>
      </c>
      <c r="K3066" s="5" t="str">
        <f>IFERROR(__xludf.DUMMYFUNCTION("""COMPUTED_VALUE"""),"Estrela 1")</f>
        <v>Estrela 1</v>
      </c>
      <c r="P3066" s="5">
        <f>IFERROR(__xludf.DUMMYFUNCTION("""COMPUTED_VALUE"""),767.0)</f>
        <v>767</v>
      </c>
      <c r="Q3066" s="5" t="str">
        <f>IFERROR(__xludf.DUMMYFUNCTION("""COMPUTED_VALUE"""),"The Last King of Scotland")</f>
        <v>The Last King of Scotland</v>
      </c>
      <c r="R3066" s="5" t="str">
        <f>IFERROR(__xludf.DUMMYFUNCTION("""COMPUTED_VALUE"""),"James McAvoy")</f>
        <v>James McAvoy</v>
      </c>
      <c r="S3066" s="5" t="str">
        <f>IFERROR(__xludf.DUMMYFUNCTION("""COMPUTED_VALUE"""),"Estrela 1")</f>
        <v>Estrela 1</v>
      </c>
    </row>
    <row r="3067">
      <c r="G3067" s="5" t="str">
        <f>IFERROR(__xludf.DUMMYFUNCTION("""COMPUTED_VALUE"""),"767🤙🏼The Last King of Scotland🤙🏼Forest Whitaker🤙🏼Estrela 2")</f>
        <v>767🤙🏼The Last King of Scotland🤙🏼Forest Whitaker🤙🏼Estrela 2</v>
      </c>
      <c r="H3067" s="5">
        <f>IFERROR(__xludf.DUMMYFUNCTION("SPLiT(G3067, ""🤙🏼"",FALSE,FALSE)"),767.0)</f>
        <v>767</v>
      </c>
      <c r="I3067" s="5" t="str">
        <f>IFERROR(__xludf.DUMMYFUNCTION("""COMPUTED_VALUE"""),"The Last King of Scotland")</f>
        <v>The Last King of Scotland</v>
      </c>
      <c r="J3067" s="5" t="str">
        <f>IFERROR(__xludf.DUMMYFUNCTION("""COMPUTED_VALUE"""),"Forest Whitaker")</f>
        <v>Forest Whitaker</v>
      </c>
      <c r="K3067" s="5" t="str">
        <f>IFERROR(__xludf.DUMMYFUNCTION("""COMPUTED_VALUE"""),"Estrela 2")</f>
        <v>Estrela 2</v>
      </c>
      <c r="P3067" s="5">
        <f>IFERROR(__xludf.DUMMYFUNCTION("""COMPUTED_VALUE"""),767.0)</f>
        <v>767</v>
      </c>
      <c r="Q3067" s="5" t="str">
        <f>IFERROR(__xludf.DUMMYFUNCTION("""COMPUTED_VALUE"""),"The Last King of Scotland")</f>
        <v>The Last King of Scotland</v>
      </c>
      <c r="R3067" s="5" t="str">
        <f>IFERROR(__xludf.DUMMYFUNCTION("""COMPUTED_VALUE"""),"Forest Whitaker")</f>
        <v>Forest Whitaker</v>
      </c>
      <c r="S3067" s="5" t="str">
        <f>IFERROR(__xludf.DUMMYFUNCTION("""COMPUTED_VALUE"""),"Estrela 2")</f>
        <v>Estrela 2</v>
      </c>
    </row>
    <row r="3068">
      <c r="G3068" s="5" t="str">
        <f>IFERROR(__xludf.DUMMYFUNCTION("""COMPUTED_VALUE"""),"767🤙🏼The Last King of Scotland🤙🏼Gillian Anderson🤙🏼Estrela 3")</f>
        <v>767🤙🏼The Last King of Scotland🤙🏼Gillian Anderson🤙🏼Estrela 3</v>
      </c>
      <c r="H3068" s="5">
        <f>IFERROR(__xludf.DUMMYFUNCTION("SPLiT(G3068, ""🤙🏼"",FALSE,FALSE)"),767.0)</f>
        <v>767</v>
      </c>
      <c r="I3068" s="5" t="str">
        <f>IFERROR(__xludf.DUMMYFUNCTION("""COMPUTED_VALUE"""),"The Last King of Scotland")</f>
        <v>The Last King of Scotland</v>
      </c>
      <c r="J3068" s="5" t="str">
        <f>IFERROR(__xludf.DUMMYFUNCTION("""COMPUTED_VALUE"""),"Gillian Anderson")</f>
        <v>Gillian Anderson</v>
      </c>
      <c r="K3068" s="5" t="str">
        <f>IFERROR(__xludf.DUMMYFUNCTION("""COMPUTED_VALUE"""),"Estrela 3")</f>
        <v>Estrela 3</v>
      </c>
      <c r="P3068" s="5">
        <f>IFERROR(__xludf.DUMMYFUNCTION("""COMPUTED_VALUE"""),767.0)</f>
        <v>767</v>
      </c>
      <c r="Q3068" s="5" t="str">
        <f>IFERROR(__xludf.DUMMYFUNCTION("""COMPUTED_VALUE"""),"The Last King of Scotland")</f>
        <v>The Last King of Scotland</v>
      </c>
      <c r="R3068" s="5" t="str">
        <f>IFERROR(__xludf.DUMMYFUNCTION("""COMPUTED_VALUE"""),"Gillian Anderson")</f>
        <v>Gillian Anderson</v>
      </c>
      <c r="S3068" s="5" t="str">
        <f>IFERROR(__xludf.DUMMYFUNCTION("""COMPUTED_VALUE"""),"Estrela 3")</f>
        <v>Estrela 3</v>
      </c>
    </row>
    <row r="3069">
      <c r="G3069" s="5" t="str">
        <f>IFERROR(__xludf.DUMMYFUNCTION("""COMPUTED_VALUE"""),"767🤙🏼The Last King of Scotland🤙🏼Kerry Washington🤙🏼Estrela 4")</f>
        <v>767🤙🏼The Last King of Scotland🤙🏼Kerry Washington🤙🏼Estrela 4</v>
      </c>
      <c r="H3069" s="5">
        <f>IFERROR(__xludf.DUMMYFUNCTION("SPLiT(G3069, ""🤙🏼"",FALSE,FALSE)"),767.0)</f>
        <v>767</v>
      </c>
      <c r="I3069" s="5" t="str">
        <f>IFERROR(__xludf.DUMMYFUNCTION("""COMPUTED_VALUE"""),"The Last King of Scotland")</f>
        <v>The Last King of Scotland</v>
      </c>
      <c r="J3069" s="5" t="str">
        <f>IFERROR(__xludf.DUMMYFUNCTION("""COMPUTED_VALUE"""),"Kerry Washington")</f>
        <v>Kerry Washington</v>
      </c>
      <c r="K3069" s="5" t="str">
        <f>IFERROR(__xludf.DUMMYFUNCTION("""COMPUTED_VALUE"""),"Estrela 4")</f>
        <v>Estrela 4</v>
      </c>
      <c r="P3069" s="5">
        <f>IFERROR(__xludf.DUMMYFUNCTION("""COMPUTED_VALUE"""),767.0)</f>
        <v>767</v>
      </c>
      <c r="Q3069" s="5" t="str">
        <f>IFERROR(__xludf.DUMMYFUNCTION("""COMPUTED_VALUE"""),"The Last King of Scotland")</f>
        <v>The Last King of Scotland</v>
      </c>
      <c r="R3069" s="5" t="str">
        <f>IFERROR(__xludf.DUMMYFUNCTION("""COMPUTED_VALUE"""),"Kerry Washington")</f>
        <v>Kerry Washington</v>
      </c>
      <c r="S3069" s="5" t="str">
        <f>IFERROR(__xludf.DUMMYFUNCTION("""COMPUTED_VALUE"""),"Estrela 4")</f>
        <v>Estrela 4</v>
      </c>
    </row>
    <row r="3070">
      <c r="G3070" s="5" t="str">
        <f>IFERROR(__xludf.DUMMYFUNCTION("""COMPUTED_VALUE"""),"768🤙🏼Zodiac🤙🏼Jake Gyllenhaal🤙🏼Estrela 1")</f>
        <v>768🤙🏼Zodiac🤙🏼Jake Gyllenhaal🤙🏼Estrela 1</v>
      </c>
      <c r="H3070" s="5">
        <f>IFERROR(__xludf.DUMMYFUNCTION("SPLiT(G3070, ""🤙🏼"",FALSE,FALSE)"),768.0)</f>
        <v>768</v>
      </c>
      <c r="I3070" s="5" t="str">
        <f>IFERROR(__xludf.DUMMYFUNCTION("""COMPUTED_VALUE"""),"Zodiac")</f>
        <v>Zodiac</v>
      </c>
      <c r="J3070" s="5" t="str">
        <f>IFERROR(__xludf.DUMMYFUNCTION("""COMPUTED_VALUE"""),"Jake Gyllenhaal")</f>
        <v>Jake Gyllenhaal</v>
      </c>
      <c r="K3070" s="5" t="str">
        <f>IFERROR(__xludf.DUMMYFUNCTION("""COMPUTED_VALUE"""),"Estrela 1")</f>
        <v>Estrela 1</v>
      </c>
      <c r="P3070" s="5">
        <f>IFERROR(__xludf.DUMMYFUNCTION("""COMPUTED_VALUE"""),768.0)</f>
        <v>768</v>
      </c>
      <c r="Q3070" s="5" t="str">
        <f>IFERROR(__xludf.DUMMYFUNCTION("""COMPUTED_VALUE"""),"Zodiac")</f>
        <v>Zodiac</v>
      </c>
      <c r="R3070" s="5" t="str">
        <f>IFERROR(__xludf.DUMMYFUNCTION("""COMPUTED_VALUE"""),"Jake Gyllenhaal")</f>
        <v>Jake Gyllenhaal</v>
      </c>
      <c r="S3070" s="5" t="str">
        <f>IFERROR(__xludf.DUMMYFUNCTION("""COMPUTED_VALUE"""),"Estrela 1")</f>
        <v>Estrela 1</v>
      </c>
    </row>
    <row r="3071">
      <c r="G3071" s="5" t="str">
        <f>IFERROR(__xludf.DUMMYFUNCTION("""COMPUTED_VALUE"""),"768🤙🏼Zodiac🤙🏼Robert Downey Jr.🤙🏼Estrela 2")</f>
        <v>768🤙🏼Zodiac🤙🏼Robert Downey Jr.🤙🏼Estrela 2</v>
      </c>
      <c r="H3071" s="5">
        <f>IFERROR(__xludf.DUMMYFUNCTION("SPLiT(G3071, ""🤙🏼"",FALSE,FALSE)"),768.0)</f>
        <v>768</v>
      </c>
      <c r="I3071" s="5" t="str">
        <f>IFERROR(__xludf.DUMMYFUNCTION("""COMPUTED_VALUE"""),"Zodiac")</f>
        <v>Zodiac</v>
      </c>
      <c r="J3071" s="5" t="str">
        <f>IFERROR(__xludf.DUMMYFUNCTION("""COMPUTED_VALUE"""),"Robert Downey Jr.")</f>
        <v>Robert Downey Jr.</v>
      </c>
      <c r="K3071" s="5" t="str">
        <f>IFERROR(__xludf.DUMMYFUNCTION("""COMPUTED_VALUE"""),"Estrela 2")</f>
        <v>Estrela 2</v>
      </c>
      <c r="P3071" s="5">
        <f>IFERROR(__xludf.DUMMYFUNCTION("""COMPUTED_VALUE"""),768.0)</f>
        <v>768</v>
      </c>
      <c r="Q3071" s="5" t="str">
        <f>IFERROR(__xludf.DUMMYFUNCTION("""COMPUTED_VALUE"""),"Zodiac")</f>
        <v>Zodiac</v>
      </c>
      <c r="R3071" s="5" t="str">
        <f>IFERROR(__xludf.DUMMYFUNCTION("""COMPUTED_VALUE"""),"Robert Downey Jr.")</f>
        <v>Robert Downey Jr.</v>
      </c>
      <c r="S3071" s="5" t="str">
        <f>IFERROR(__xludf.DUMMYFUNCTION("""COMPUTED_VALUE"""),"Estrela 2")</f>
        <v>Estrela 2</v>
      </c>
    </row>
    <row r="3072">
      <c r="G3072" s="5" t="str">
        <f>IFERROR(__xludf.DUMMYFUNCTION("""COMPUTED_VALUE"""),"768🤙🏼Zodiac🤙🏼Mark Ruffalo🤙🏼Estrela 3")</f>
        <v>768🤙🏼Zodiac🤙🏼Mark Ruffalo🤙🏼Estrela 3</v>
      </c>
      <c r="H3072" s="5">
        <f>IFERROR(__xludf.DUMMYFUNCTION("SPLiT(G3072, ""🤙🏼"",FALSE,FALSE)"),768.0)</f>
        <v>768</v>
      </c>
      <c r="I3072" s="5" t="str">
        <f>IFERROR(__xludf.DUMMYFUNCTION("""COMPUTED_VALUE"""),"Zodiac")</f>
        <v>Zodiac</v>
      </c>
      <c r="J3072" s="5" t="str">
        <f>IFERROR(__xludf.DUMMYFUNCTION("""COMPUTED_VALUE"""),"Mark Ruffalo")</f>
        <v>Mark Ruffalo</v>
      </c>
      <c r="K3072" s="5" t="str">
        <f>IFERROR(__xludf.DUMMYFUNCTION("""COMPUTED_VALUE"""),"Estrela 3")</f>
        <v>Estrela 3</v>
      </c>
      <c r="P3072" s="5">
        <f>IFERROR(__xludf.DUMMYFUNCTION("""COMPUTED_VALUE"""),768.0)</f>
        <v>768</v>
      </c>
      <c r="Q3072" s="5" t="str">
        <f>IFERROR(__xludf.DUMMYFUNCTION("""COMPUTED_VALUE"""),"Zodiac")</f>
        <v>Zodiac</v>
      </c>
      <c r="R3072" s="5" t="str">
        <f>IFERROR(__xludf.DUMMYFUNCTION("""COMPUTED_VALUE"""),"Mark Ruffalo")</f>
        <v>Mark Ruffalo</v>
      </c>
      <c r="S3072" s="5" t="str">
        <f>IFERROR(__xludf.DUMMYFUNCTION("""COMPUTED_VALUE"""),"Estrela 3")</f>
        <v>Estrela 3</v>
      </c>
    </row>
    <row r="3073">
      <c r="G3073" s="5" t="str">
        <f>IFERROR(__xludf.DUMMYFUNCTION("""COMPUTED_VALUE"""),"768🤙🏼Zodiac🤙🏼Anthony Edwards🤙🏼Estrela 4")</f>
        <v>768🤙🏼Zodiac🤙🏼Anthony Edwards🤙🏼Estrela 4</v>
      </c>
      <c r="H3073" s="5">
        <f>IFERROR(__xludf.DUMMYFUNCTION("SPLiT(G3073, ""🤙🏼"",FALSE,FALSE)"),768.0)</f>
        <v>768</v>
      </c>
      <c r="I3073" s="5" t="str">
        <f>IFERROR(__xludf.DUMMYFUNCTION("""COMPUTED_VALUE"""),"Zodiac")</f>
        <v>Zodiac</v>
      </c>
      <c r="J3073" s="5" t="str">
        <f>IFERROR(__xludf.DUMMYFUNCTION("""COMPUTED_VALUE"""),"Anthony Edwards")</f>
        <v>Anthony Edwards</v>
      </c>
      <c r="K3073" s="5" t="str">
        <f>IFERROR(__xludf.DUMMYFUNCTION("""COMPUTED_VALUE"""),"Estrela 4")</f>
        <v>Estrela 4</v>
      </c>
      <c r="P3073" s="5">
        <f>IFERROR(__xludf.DUMMYFUNCTION("""COMPUTED_VALUE"""),768.0)</f>
        <v>768</v>
      </c>
      <c r="Q3073" s="5" t="str">
        <f>IFERROR(__xludf.DUMMYFUNCTION("""COMPUTED_VALUE"""),"Zodiac")</f>
        <v>Zodiac</v>
      </c>
      <c r="R3073" s="5" t="str">
        <f>IFERROR(__xludf.DUMMYFUNCTION("""COMPUTED_VALUE"""),"Anthony Edwards")</f>
        <v>Anthony Edwards</v>
      </c>
      <c r="S3073" s="5" t="str">
        <f>IFERROR(__xludf.DUMMYFUNCTION("""COMPUTED_VALUE"""),"Estrela 4")</f>
        <v>Estrela 4</v>
      </c>
    </row>
    <row r="3074">
      <c r="G3074" s="5" t="str">
        <f>IFERROR(__xludf.DUMMYFUNCTION("""COMPUTED_VALUE"""),"769🤙🏼Lucky Number Slevin🤙🏼Josh Hartnett🤙🏼Estrela 1")</f>
        <v>769🤙🏼Lucky Number Slevin🤙🏼Josh Hartnett🤙🏼Estrela 1</v>
      </c>
      <c r="H3074" s="5">
        <f>IFERROR(__xludf.DUMMYFUNCTION("SPLiT(G3074, ""🤙🏼"",FALSE,FALSE)"),769.0)</f>
        <v>769</v>
      </c>
      <c r="I3074" s="5" t="str">
        <f>IFERROR(__xludf.DUMMYFUNCTION("""COMPUTED_VALUE"""),"Lucky Number Slevin")</f>
        <v>Lucky Number Slevin</v>
      </c>
      <c r="J3074" s="5" t="str">
        <f>IFERROR(__xludf.DUMMYFUNCTION("""COMPUTED_VALUE"""),"Josh Hartnett")</f>
        <v>Josh Hartnett</v>
      </c>
      <c r="K3074" s="5" t="str">
        <f>IFERROR(__xludf.DUMMYFUNCTION("""COMPUTED_VALUE"""),"Estrela 1")</f>
        <v>Estrela 1</v>
      </c>
      <c r="P3074" s="5">
        <f>IFERROR(__xludf.DUMMYFUNCTION("""COMPUTED_VALUE"""),769.0)</f>
        <v>769</v>
      </c>
      <c r="Q3074" s="5" t="str">
        <f>IFERROR(__xludf.DUMMYFUNCTION("""COMPUTED_VALUE"""),"Lucky Number Slevin")</f>
        <v>Lucky Number Slevin</v>
      </c>
      <c r="R3074" s="5" t="str">
        <f>IFERROR(__xludf.DUMMYFUNCTION("""COMPUTED_VALUE"""),"Josh Hartnett")</f>
        <v>Josh Hartnett</v>
      </c>
      <c r="S3074" s="5" t="str">
        <f>IFERROR(__xludf.DUMMYFUNCTION("""COMPUTED_VALUE"""),"Estrela 1")</f>
        <v>Estrela 1</v>
      </c>
    </row>
    <row r="3075">
      <c r="G3075" s="5" t="str">
        <f>IFERROR(__xludf.DUMMYFUNCTION("""COMPUTED_VALUE"""),"769🤙🏼Lucky Number Slevin🤙🏼Ben Kingsley🤙🏼Estrela 2")</f>
        <v>769🤙🏼Lucky Number Slevin🤙🏼Ben Kingsley🤙🏼Estrela 2</v>
      </c>
      <c r="H3075" s="5">
        <f>IFERROR(__xludf.DUMMYFUNCTION("SPLiT(G3075, ""🤙🏼"",FALSE,FALSE)"),769.0)</f>
        <v>769</v>
      </c>
      <c r="I3075" s="5" t="str">
        <f>IFERROR(__xludf.DUMMYFUNCTION("""COMPUTED_VALUE"""),"Lucky Number Slevin")</f>
        <v>Lucky Number Slevin</v>
      </c>
      <c r="J3075" s="5" t="str">
        <f>IFERROR(__xludf.DUMMYFUNCTION("""COMPUTED_VALUE"""),"Ben Kingsley")</f>
        <v>Ben Kingsley</v>
      </c>
      <c r="K3075" s="5" t="str">
        <f>IFERROR(__xludf.DUMMYFUNCTION("""COMPUTED_VALUE"""),"Estrela 2")</f>
        <v>Estrela 2</v>
      </c>
      <c r="P3075" s="5">
        <f>IFERROR(__xludf.DUMMYFUNCTION("""COMPUTED_VALUE"""),769.0)</f>
        <v>769</v>
      </c>
      <c r="Q3075" s="5" t="str">
        <f>IFERROR(__xludf.DUMMYFUNCTION("""COMPUTED_VALUE"""),"Lucky Number Slevin")</f>
        <v>Lucky Number Slevin</v>
      </c>
      <c r="R3075" s="5" t="str">
        <f>IFERROR(__xludf.DUMMYFUNCTION("""COMPUTED_VALUE"""),"Ben Kingsley")</f>
        <v>Ben Kingsley</v>
      </c>
      <c r="S3075" s="5" t="str">
        <f>IFERROR(__xludf.DUMMYFUNCTION("""COMPUTED_VALUE"""),"Estrela 2")</f>
        <v>Estrela 2</v>
      </c>
    </row>
    <row r="3076">
      <c r="G3076" s="5" t="str">
        <f>IFERROR(__xludf.DUMMYFUNCTION("""COMPUTED_VALUE"""),"769🤙🏼Lucky Number Slevin🤙🏼Morgan Freeman🤙🏼Estrela 3")</f>
        <v>769🤙🏼Lucky Number Slevin🤙🏼Morgan Freeman🤙🏼Estrela 3</v>
      </c>
      <c r="H3076" s="5">
        <f>IFERROR(__xludf.DUMMYFUNCTION("SPLiT(G3076, ""🤙🏼"",FALSE,FALSE)"),769.0)</f>
        <v>769</v>
      </c>
      <c r="I3076" s="5" t="str">
        <f>IFERROR(__xludf.DUMMYFUNCTION("""COMPUTED_VALUE"""),"Lucky Number Slevin")</f>
        <v>Lucky Number Slevin</v>
      </c>
      <c r="J3076" s="5" t="str">
        <f>IFERROR(__xludf.DUMMYFUNCTION("""COMPUTED_VALUE"""),"Morgan Freeman")</f>
        <v>Morgan Freeman</v>
      </c>
      <c r="K3076" s="5" t="str">
        <f>IFERROR(__xludf.DUMMYFUNCTION("""COMPUTED_VALUE"""),"Estrela 3")</f>
        <v>Estrela 3</v>
      </c>
      <c r="P3076" s="5">
        <f>IFERROR(__xludf.DUMMYFUNCTION("""COMPUTED_VALUE"""),769.0)</f>
        <v>769</v>
      </c>
      <c r="Q3076" s="5" t="str">
        <f>IFERROR(__xludf.DUMMYFUNCTION("""COMPUTED_VALUE"""),"Lucky Number Slevin")</f>
        <v>Lucky Number Slevin</v>
      </c>
      <c r="R3076" s="5" t="str">
        <f>IFERROR(__xludf.DUMMYFUNCTION("""COMPUTED_VALUE"""),"Morgan Freeman")</f>
        <v>Morgan Freeman</v>
      </c>
      <c r="S3076" s="5" t="str">
        <f>IFERROR(__xludf.DUMMYFUNCTION("""COMPUTED_VALUE"""),"Estrela 3")</f>
        <v>Estrela 3</v>
      </c>
    </row>
    <row r="3077">
      <c r="G3077" s="5" t="str">
        <f>IFERROR(__xludf.DUMMYFUNCTION("""COMPUTED_VALUE"""),"769🤙🏼Lucky Number Slevin🤙🏼Lucy Liu🤙🏼Estrela 4")</f>
        <v>769🤙🏼Lucky Number Slevin🤙🏼Lucy Liu🤙🏼Estrela 4</v>
      </c>
      <c r="H3077" s="5">
        <f>IFERROR(__xludf.DUMMYFUNCTION("SPLiT(G3077, ""🤙🏼"",FALSE,FALSE)"),769.0)</f>
        <v>769</v>
      </c>
      <c r="I3077" s="5" t="str">
        <f>IFERROR(__xludf.DUMMYFUNCTION("""COMPUTED_VALUE"""),"Lucky Number Slevin")</f>
        <v>Lucky Number Slevin</v>
      </c>
      <c r="J3077" s="5" t="str">
        <f>IFERROR(__xludf.DUMMYFUNCTION("""COMPUTED_VALUE"""),"Lucy Liu")</f>
        <v>Lucy Liu</v>
      </c>
      <c r="K3077" s="5" t="str">
        <f>IFERROR(__xludf.DUMMYFUNCTION("""COMPUTED_VALUE"""),"Estrela 4")</f>
        <v>Estrela 4</v>
      </c>
      <c r="P3077" s="5">
        <f>IFERROR(__xludf.DUMMYFUNCTION("""COMPUTED_VALUE"""),769.0)</f>
        <v>769</v>
      </c>
      <c r="Q3077" s="5" t="str">
        <f>IFERROR(__xludf.DUMMYFUNCTION("""COMPUTED_VALUE"""),"Lucky Number Slevin")</f>
        <v>Lucky Number Slevin</v>
      </c>
      <c r="R3077" s="5" t="str">
        <f>IFERROR(__xludf.DUMMYFUNCTION("""COMPUTED_VALUE"""),"Lucy Liu")</f>
        <v>Lucy Liu</v>
      </c>
      <c r="S3077" s="5" t="str">
        <f>IFERROR(__xludf.DUMMYFUNCTION("""COMPUTED_VALUE"""),"Estrela 4")</f>
        <v>Estrela 4</v>
      </c>
    </row>
    <row r="3078">
      <c r="G3078" s="5" t="str">
        <f>IFERROR(__xludf.DUMMYFUNCTION("""COMPUTED_VALUE"""),"770🤙🏼Joyeux Noël🤙🏼Diane Kruger🤙🏼Estrela 1")</f>
        <v>770🤙🏼Joyeux Noël🤙🏼Diane Kruger🤙🏼Estrela 1</v>
      </c>
      <c r="H3078" s="5">
        <f>IFERROR(__xludf.DUMMYFUNCTION("SPLiT(G3078, ""🤙🏼"",FALSE,FALSE)"),770.0)</f>
        <v>770</v>
      </c>
      <c r="I3078" s="5" t="str">
        <f>IFERROR(__xludf.DUMMYFUNCTION("""COMPUTED_VALUE"""),"Joyeux Noël")</f>
        <v>Joyeux Noël</v>
      </c>
      <c r="J3078" s="5" t="str">
        <f>IFERROR(__xludf.DUMMYFUNCTION("""COMPUTED_VALUE"""),"Diane Kruger")</f>
        <v>Diane Kruger</v>
      </c>
      <c r="K3078" s="5" t="str">
        <f>IFERROR(__xludf.DUMMYFUNCTION("""COMPUTED_VALUE"""),"Estrela 1")</f>
        <v>Estrela 1</v>
      </c>
      <c r="P3078" s="5">
        <f>IFERROR(__xludf.DUMMYFUNCTION("""COMPUTED_VALUE"""),770.0)</f>
        <v>770</v>
      </c>
      <c r="Q3078" s="5" t="str">
        <f>IFERROR(__xludf.DUMMYFUNCTION("""COMPUTED_VALUE"""),"Joyeux Noël")</f>
        <v>Joyeux Noël</v>
      </c>
      <c r="R3078" s="5" t="str">
        <f>IFERROR(__xludf.DUMMYFUNCTION("""COMPUTED_VALUE"""),"Diane Kruger")</f>
        <v>Diane Kruger</v>
      </c>
      <c r="S3078" s="5" t="str">
        <f>IFERROR(__xludf.DUMMYFUNCTION("""COMPUTED_VALUE"""),"Estrela 1")</f>
        <v>Estrela 1</v>
      </c>
    </row>
    <row r="3079">
      <c r="G3079" s="5" t="str">
        <f>IFERROR(__xludf.DUMMYFUNCTION("""COMPUTED_VALUE"""),"770🤙🏼Joyeux Noël🤙🏼Benno Fürmann🤙🏼Estrela 2")</f>
        <v>770🤙🏼Joyeux Noël🤙🏼Benno Fürmann🤙🏼Estrela 2</v>
      </c>
      <c r="H3079" s="5">
        <f>IFERROR(__xludf.DUMMYFUNCTION("SPLiT(G3079, ""🤙🏼"",FALSE,FALSE)"),770.0)</f>
        <v>770</v>
      </c>
      <c r="I3079" s="5" t="str">
        <f>IFERROR(__xludf.DUMMYFUNCTION("""COMPUTED_VALUE"""),"Joyeux Noël")</f>
        <v>Joyeux Noël</v>
      </c>
      <c r="J3079" s="5" t="str">
        <f>IFERROR(__xludf.DUMMYFUNCTION("""COMPUTED_VALUE"""),"Benno Fürmann")</f>
        <v>Benno Fürmann</v>
      </c>
      <c r="K3079" s="5" t="str">
        <f>IFERROR(__xludf.DUMMYFUNCTION("""COMPUTED_VALUE"""),"Estrela 2")</f>
        <v>Estrela 2</v>
      </c>
      <c r="P3079" s="5">
        <f>IFERROR(__xludf.DUMMYFUNCTION("""COMPUTED_VALUE"""),770.0)</f>
        <v>770</v>
      </c>
      <c r="Q3079" s="5" t="str">
        <f>IFERROR(__xludf.DUMMYFUNCTION("""COMPUTED_VALUE"""),"Joyeux Noël")</f>
        <v>Joyeux Noël</v>
      </c>
      <c r="R3079" s="5" t="str">
        <f>IFERROR(__xludf.DUMMYFUNCTION("""COMPUTED_VALUE"""),"Benno Fürmann")</f>
        <v>Benno Fürmann</v>
      </c>
      <c r="S3079" s="5" t="str">
        <f>IFERROR(__xludf.DUMMYFUNCTION("""COMPUTED_VALUE"""),"Estrela 2")</f>
        <v>Estrela 2</v>
      </c>
    </row>
    <row r="3080">
      <c r="G3080" s="5" t="str">
        <f>IFERROR(__xludf.DUMMYFUNCTION("""COMPUTED_VALUE"""),"770🤙🏼Joyeux Noël🤙🏼Guillaume Canet🤙🏼Estrela 3")</f>
        <v>770🤙🏼Joyeux Noël🤙🏼Guillaume Canet🤙🏼Estrela 3</v>
      </c>
      <c r="H3080" s="5">
        <f>IFERROR(__xludf.DUMMYFUNCTION("SPLiT(G3080, ""🤙🏼"",FALSE,FALSE)"),770.0)</f>
        <v>770</v>
      </c>
      <c r="I3080" s="5" t="str">
        <f>IFERROR(__xludf.DUMMYFUNCTION("""COMPUTED_VALUE"""),"Joyeux Noël")</f>
        <v>Joyeux Noël</v>
      </c>
      <c r="J3080" s="5" t="str">
        <f>IFERROR(__xludf.DUMMYFUNCTION("""COMPUTED_VALUE"""),"Guillaume Canet")</f>
        <v>Guillaume Canet</v>
      </c>
      <c r="K3080" s="5" t="str">
        <f>IFERROR(__xludf.DUMMYFUNCTION("""COMPUTED_VALUE"""),"Estrela 3")</f>
        <v>Estrela 3</v>
      </c>
      <c r="P3080" s="5">
        <f>IFERROR(__xludf.DUMMYFUNCTION("""COMPUTED_VALUE"""),770.0)</f>
        <v>770</v>
      </c>
      <c r="Q3080" s="5" t="str">
        <f>IFERROR(__xludf.DUMMYFUNCTION("""COMPUTED_VALUE"""),"Joyeux Noël")</f>
        <v>Joyeux Noël</v>
      </c>
      <c r="R3080" s="5" t="str">
        <f>IFERROR(__xludf.DUMMYFUNCTION("""COMPUTED_VALUE"""),"Guillaume Canet")</f>
        <v>Guillaume Canet</v>
      </c>
      <c r="S3080" s="5" t="str">
        <f>IFERROR(__xludf.DUMMYFUNCTION("""COMPUTED_VALUE"""),"Estrela 3")</f>
        <v>Estrela 3</v>
      </c>
    </row>
    <row r="3081">
      <c r="G3081" s="5" t="str">
        <f>IFERROR(__xludf.DUMMYFUNCTION("""COMPUTED_VALUE"""),"770🤙🏼Joyeux Noël🤙🏼Natalie Dessay🤙🏼Estrela 4")</f>
        <v>770🤙🏼Joyeux Noël🤙🏼Natalie Dessay🤙🏼Estrela 4</v>
      </c>
      <c r="H3081" s="5">
        <f>IFERROR(__xludf.DUMMYFUNCTION("SPLiT(G3081, ""🤙🏼"",FALSE,FALSE)"),770.0)</f>
        <v>770</v>
      </c>
      <c r="I3081" s="5" t="str">
        <f>IFERROR(__xludf.DUMMYFUNCTION("""COMPUTED_VALUE"""),"Joyeux Noël")</f>
        <v>Joyeux Noël</v>
      </c>
      <c r="J3081" s="5" t="str">
        <f>IFERROR(__xludf.DUMMYFUNCTION("""COMPUTED_VALUE"""),"Natalie Dessay")</f>
        <v>Natalie Dessay</v>
      </c>
      <c r="K3081" s="5" t="str">
        <f>IFERROR(__xludf.DUMMYFUNCTION("""COMPUTED_VALUE"""),"Estrela 4")</f>
        <v>Estrela 4</v>
      </c>
      <c r="P3081" s="5">
        <f>IFERROR(__xludf.DUMMYFUNCTION("""COMPUTED_VALUE"""),770.0)</f>
        <v>770</v>
      </c>
      <c r="Q3081" s="5" t="str">
        <f>IFERROR(__xludf.DUMMYFUNCTION("""COMPUTED_VALUE"""),"Joyeux Noël")</f>
        <v>Joyeux Noël</v>
      </c>
      <c r="R3081" s="5" t="str">
        <f>IFERROR(__xludf.DUMMYFUNCTION("""COMPUTED_VALUE"""),"Natalie Dessay")</f>
        <v>Natalie Dessay</v>
      </c>
      <c r="S3081" s="5" t="str">
        <f>IFERROR(__xludf.DUMMYFUNCTION("""COMPUTED_VALUE"""),"Estrela 4")</f>
        <v>Estrela 4</v>
      </c>
    </row>
    <row r="3082">
      <c r="G3082" s="5" t="str">
        <f>IFERROR(__xludf.DUMMYFUNCTION("""COMPUTED_VALUE"""),"771🤙🏼Control🤙🏼Sam Riley🤙🏼Estrela 1")</f>
        <v>771🤙🏼Control🤙🏼Sam Riley🤙🏼Estrela 1</v>
      </c>
      <c r="H3082" s="5">
        <f>IFERROR(__xludf.DUMMYFUNCTION("SPLiT(G3082, ""🤙🏼"",FALSE,FALSE)"),771.0)</f>
        <v>771</v>
      </c>
      <c r="I3082" s="5" t="str">
        <f>IFERROR(__xludf.DUMMYFUNCTION("""COMPUTED_VALUE"""),"Control")</f>
        <v>Control</v>
      </c>
      <c r="J3082" s="5" t="str">
        <f>IFERROR(__xludf.DUMMYFUNCTION("""COMPUTED_VALUE"""),"Sam Riley")</f>
        <v>Sam Riley</v>
      </c>
      <c r="K3082" s="5" t="str">
        <f>IFERROR(__xludf.DUMMYFUNCTION("""COMPUTED_VALUE"""),"Estrela 1")</f>
        <v>Estrela 1</v>
      </c>
      <c r="P3082" s="5">
        <f>IFERROR(__xludf.DUMMYFUNCTION("""COMPUTED_VALUE"""),771.0)</f>
        <v>771</v>
      </c>
      <c r="Q3082" s="5" t="str">
        <f>IFERROR(__xludf.DUMMYFUNCTION("""COMPUTED_VALUE"""),"Control")</f>
        <v>Control</v>
      </c>
      <c r="R3082" s="5" t="str">
        <f>IFERROR(__xludf.DUMMYFUNCTION("""COMPUTED_VALUE"""),"Sam Riley")</f>
        <v>Sam Riley</v>
      </c>
      <c r="S3082" s="5" t="str">
        <f>IFERROR(__xludf.DUMMYFUNCTION("""COMPUTED_VALUE"""),"Estrela 1")</f>
        <v>Estrela 1</v>
      </c>
    </row>
    <row r="3083">
      <c r="G3083" s="5" t="str">
        <f>IFERROR(__xludf.DUMMYFUNCTION("""COMPUTED_VALUE"""),"771🤙🏼Control🤙🏼Samantha Morton🤙🏼Estrela 2")</f>
        <v>771🤙🏼Control🤙🏼Samantha Morton🤙🏼Estrela 2</v>
      </c>
      <c r="H3083" s="5">
        <f>IFERROR(__xludf.DUMMYFUNCTION("SPLiT(G3083, ""🤙🏼"",FALSE,FALSE)"),771.0)</f>
        <v>771</v>
      </c>
      <c r="I3083" s="5" t="str">
        <f>IFERROR(__xludf.DUMMYFUNCTION("""COMPUTED_VALUE"""),"Control")</f>
        <v>Control</v>
      </c>
      <c r="J3083" s="5" t="str">
        <f>IFERROR(__xludf.DUMMYFUNCTION("""COMPUTED_VALUE"""),"Samantha Morton")</f>
        <v>Samantha Morton</v>
      </c>
      <c r="K3083" s="5" t="str">
        <f>IFERROR(__xludf.DUMMYFUNCTION("""COMPUTED_VALUE"""),"Estrela 2")</f>
        <v>Estrela 2</v>
      </c>
      <c r="P3083" s="5">
        <f>IFERROR(__xludf.DUMMYFUNCTION("""COMPUTED_VALUE"""),771.0)</f>
        <v>771</v>
      </c>
      <c r="Q3083" s="5" t="str">
        <f>IFERROR(__xludf.DUMMYFUNCTION("""COMPUTED_VALUE"""),"Control")</f>
        <v>Control</v>
      </c>
      <c r="R3083" s="5" t="str">
        <f>IFERROR(__xludf.DUMMYFUNCTION("""COMPUTED_VALUE"""),"Samantha Morton")</f>
        <v>Samantha Morton</v>
      </c>
      <c r="S3083" s="5" t="str">
        <f>IFERROR(__xludf.DUMMYFUNCTION("""COMPUTED_VALUE"""),"Estrela 2")</f>
        <v>Estrela 2</v>
      </c>
    </row>
    <row r="3084">
      <c r="G3084" s="5" t="str">
        <f>IFERROR(__xludf.DUMMYFUNCTION("""COMPUTED_VALUE"""),"771🤙🏼Control🤙🏼Craig Parkinson🤙🏼Estrela 3")</f>
        <v>771🤙🏼Control🤙🏼Craig Parkinson🤙🏼Estrela 3</v>
      </c>
      <c r="H3084" s="5">
        <f>IFERROR(__xludf.DUMMYFUNCTION("SPLiT(G3084, ""🤙🏼"",FALSE,FALSE)"),771.0)</f>
        <v>771</v>
      </c>
      <c r="I3084" s="5" t="str">
        <f>IFERROR(__xludf.DUMMYFUNCTION("""COMPUTED_VALUE"""),"Control")</f>
        <v>Control</v>
      </c>
      <c r="J3084" s="5" t="str">
        <f>IFERROR(__xludf.DUMMYFUNCTION("""COMPUTED_VALUE"""),"Craig Parkinson")</f>
        <v>Craig Parkinson</v>
      </c>
      <c r="K3084" s="5" t="str">
        <f>IFERROR(__xludf.DUMMYFUNCTION("""COMPUTED_VALUE"""),"Estrela 3")</f>
        <v>Estrela 3</v>
      </c>
      <c r="P3084" s="5">
        <f>IFERROR(__xludf.DUMMYFUNCTION("""COMPUTED_VALUE"""),771.0)</f>
        <v>771</v>
      </c>
      <c r="Q3084" s="5" t="str">
        <f>IFERROR(__xludf.DUMMYFUNCTION("""COMPUTED_VALUE"""),"Control")</f>
        <v>Control</v>
      </c>
      <c r="R3084" s="5" t="str">
        <f>IFERROR(__xludf.DUMMYFUNCTION("""COMPUTED_VALUE"""),"Craig Parkinson")</f>
        <v>Craig Parkinson</v>
      </c>
      <c r="S3084" s="5" t="str">
        <f>IFERROR(__xludf.DUMMYFUNCTION("""COMPUTED_VALUE"""),"Estrela 3")</f>
        <v>Estrela 3</v>
      </c>
    </row>
    <row r="3085">
      <c r="G3085" s="5" t="str">
        <f>IFERROR(__xludf.DUMMYFUNCTION("""COMPUTED_VALUE"""),"771🤙🏼Control🤙🏼Alexandra Maria Lara🤙🏼Estrela 4")</f>
        <v>771🤙🏼Control🤙🏼Alexandra Maria Lara🤙🏼Estrela 4</v>
      </c>
      <c r="H3085" s="5">
        <f>IFERROR(__xludf.DUMMYFUNCTION("SPLiT(G3085, ""🤙🏼"",FALSE,FALSE)"),771.0)</f>
        <v>771</v>
      </c>
      <c r="I3085" s="5" t="str">
        <f>IFERROR(__xludf.DUMMYFUNCTION("""COMPUTED_VALUE"""),"Control")</f>
        <v>Control</v>
      </c>
      <c r="J3085" s="5" t="str">
        <f>IFERROR(__xludf.DUMMYFUNCTION("""COMPUTED_VALUE"""),"Alexandra Maria Lara")</f>
        <v>Alexandra Maria Lara</v>
      </c>
      <c r="K3085" s="5" t="str">
        <f>IFERROR(__xludf.DUMMYFUNCTION("""COMPUTED_VALUE"""),"Estrela 4")</f>
        <v>Estrela 4</v>
      </c>
      <c r="P3085" s="5">
        <f>IFERROR(__xludf.DUMMYFUNCTION("""COMPUTED_VALUE"""),771.0)</f>
        <v>771</v>
      </c>
      <c r="Q3085" s="5" t="str">
        <f>IFERROR(__xludf.DUMMYFUNCTION("""COMPUTED_VALUE"""),"Control")</f>
        <v>Control</v>
      </c>
      <c r="R3085" s="5" t="str">
        <f>IFERROR(__xludf.DUMMYFUNCTION("""COMPUTED_VALUE"""),"Alexandra Maria Lara")</f>
        <v>Alexandra Maria Lara</v>
      </c>
      <c r="S3085" s="5" t="str">
        <f>IFERROR(__xludf.DUMMYFUNCTION("""COMPUTED_VALUE"""),"Estrela 4")</f>
        <v>Estrela 4</v>
      </c>
    </row>
    <row r="3086">
      <c r="G3086" s="5" t="str">
        <f>IFERROR(__xludf.DUMMYFUNCTION("""COMPUTED_VALUE"""),"772🤙🏼Tangled🤙🏼Byron Howard🤙🏼Estrela 1")</f>
        <v>772🤙🏼Tangled🤙🏼Byron Howard🤙🏼Estrela 1</v>
      </c>
      <c r="H3086" s="5">
        <f>IFERROR(__xludf.DUMMYFUNCTION("SPLiT(G3086, ""🤙🏼"",FALSE,FALSE)"),772.0)</f>
        <v>772</v>
      </c>
      <c r="I3086" s="5" t="str">
        <f>IFERROR(__xludf.DUMMYFUNCTION("""COMPUTED_VALUE"""),"Tangled")</f>
        <v>Tangled</v>
      </c>
      <c r="J3086" s="5" t="str">
        <f>IFERROR(__xludf.DUMMYFUNCTION("""COMPUTED_VALUE"""),"Byron Howard")</f>
        <v>Byron Howard</v>
      </c>
      <c r="K3086" s="5" t="str">
        <f>IFERROR(__xludf.DUMMYFUNCTION("""COMPUTED_VALUE"""),"Estrela 1")</f>
        <v>Estrela 1</v>
      </c>
      <c r="P3086" s="5">
        <f>IFERROR(__xludf.DUMMYFUNCTION("""COMPUTED_VALUE"""),772.0)</f>
        <v>772</v>
      </c>
      <c r="Q3086" s="5" t="str">
        <f>IFERROR(__xludf.DUMMYFUNCTION("""COMPUTED_VALUE"""),"Tangled")</f>
        <v>Tangled</v>
      </c>
      <c r="R3086" s="5" t="str">
        <f>IFERROR(__xludf.DUMMYFUNCTION("""COMPUTED_VALUE"""),"Byron Howard")</f>
        <v>Byron Howard</v>
      </c>
      <c r="S3086" s="5" t="str">
        <f>IFERROR(__xludf.DUMMYFUNCTION("""COMPUTED_VALUE"""),"Estrela 1")</f>
        <v>Estrela 1</v>
      </c>
    </row>
    <row r="3087">
      <c r="G3087" s="5" t="str">
        <f>IFERROR(__xludf.DUMMYFUNCTION("""COMPUTED_VALUE"""),"772🤙🏼Tangled🤙🏼Mandy Moore🤙🏼Estrela 2")</f>
        <v>772🤙🏼Tangled🤙🏼Mandy Moore🤙🏼Estrela 2</v>
      </c>
      <c r="H3087" s="5">
        <f>IFERROR(__xludf.DUMMYFUNCTION("SPLiT(G3087, ""🤙🏼"",FALSE,FALSE)"),772.0)</f>
        <v>772</v>
      </c>
      <c r="I3087" s="5" t="str">
        <f>IFERROR(__xludf.DUMMYFUNCTION("""COMPUTED_VALUE"""),"Tangled")</f>
        <v>Tangled</v>
      </c>
      <c r="J3087" s="5" t="str">
        <f>IFERROR(__xludf.DUMMYFUNCTION("""COMPUTED_VALUE"""),"Mandy Moore")</f>
        <v>Mandy Moore</v>
      </c>
      <c r="K3087" s="5" t="str">
        <f>IFERROR(__xludf.DUMMYFUNCTION("""COMPUTED_VALUE"""),"Estrela 2")</f>
        <v>Estrela 2</v>
      </c>
      <c r="P3087" s="5">
        <f>IFERROR(__xludf.DUMMYFUNCTION("""COMPUTED_VALUE"""),772.0)</f>
        <v>772</v>
      </c>
      <c r="Q3087" s="5" t="str">
        <f>IFERROR(__xludf.DUMMYFUNCTION("""COMPUTED_VALUE"""),"Tangled")</f>
        <v>Tangled</v>
      </c>
      <c r="R3087" s="5" t="str">
        <f>IFERROR(__xludf.DUMMYFUNCTION("""COMPUTED_VALUE"""),"Mandy Moore")</f>
        <v>Mandy Moore</v>
      </c>
      <c r="S3087" s="5" t="str">
        <f>IFERROR(__xludf.DUMMYFUNCTION("""COMPUTED_VALUE"""),"Estrela 2")</f>
        <v>Estrela 2</v>
      </c>
    </row>
    <row r="3088">
      <c r="G3088" s="5" t="str">
        <f>IFERROR(__xludf.DUMMYFUNCTION("""COMPUTED_VALUE"""),"772🤙🏼Tangled🤙🏼Zachary Levi🤙🏼Estrela 3")</f>
        <v>772🤙🏼Tangled🤙🏼Zachary Levi🤙🏼Estrela 3</v>
      </c>
      <c r="H3088" s="5">
        <f>IFERROR(__xludf.DUMMYFUNCTION("SPLiT(G3088, ""🤙🏼"",FALSE,FALSE)"),772.0)</f>
        <v>772</v>
      </c>
      <c r="I3088" s="5" t="str">
        <f>IFERROR(__xludf.DUMMYFUNCTION("""COMPUTED_VALUE"""),"Tangled")</f>
        <v>Tangled</v>
      </c>
      <c r="J3088" s="5" t="str">
        <f>IFERROR(__xludf.DUMMYFUNCTION("""COMPUTED_VALUE"""),"Zachary Levi")</f>
        <v>Zachary Levi</v>
      </c>
      <c r="K3088" s="5" t="str">
        <f>IFERROR(__xludf.DUMMYFUNCTION("""COMPUTED_VALUE"""),"Estrela 3")</f>
        <v>Estrela 3</v>
      </c>
      <c r="P3088" s="5">
        <f>IFERROR(__xludf.DUMMYFUNCTION("""COMPUTED_VALUE"""),772.0)</f>
        <v>772</v>
      </c>
      <c r="Q3088" s="5" t="str">
        <f>IFERROR(__xludf.DUMMYFUNCTION("""COMPUTED_VALUE"""),"Tangled")</f>
        <v>Tangled</v>
      </c>
      <c r="R3088" s="5" t="str">
        <f>IFERROR(__xludf.DUMMYFUNCTION("""COMPUTED_VALUE"""),"Zachary Levi")</f>
        <v>Zachary Levi</v>
      </c>
      <c r="S3088" s="5" t="str">
        <f>IFERROR(__xludf.DUMMYFUNCTION("""COMPUTED_VALUE"""),"Estrela 3")</f>
        <v>Estrela 3</v>
      </c>
    </row>
    <row r="3089">
      <c r="G3089" s="5" t="str">
        <f>IFERROR(__xludf.DUMMYFUNCTION("""COMPUTED_VALUE"""),"772🤙🏼Tangled🤙🏼Donna Murphy🤙🏼Estrela 4")</f>
        <v>772🤙🏼Tangled🤙🏼Donna Murphy🤙🏼Estrela 4</v>
      </c>
      <c r="H3089" s="5">
        <f>IFERROR(__xludf.DUMMYFUNCTION("SPLiT(G3089, ""🤙🏼"",FALSE,FALSE)"),772.0)</f>
        <v>772</v>
      </c>
      <c r="I3089" s="5" t="str">
        <f>IFERROR(__xludf.DUMMYFUNCTION("""COMPUTED_VALUE"""),"Tangled")</f>
        <v>Tangled</v>
      </c>
      <c r="J3089" s="5" t="str">
        <f>IFERROR(__xludf.DUMMYFUNCTION("""COMPUTED_VALUE"""),"Donna Murphy")</f>
        <v>Donna Murphy</v>
      </c>
      <c r="K3089" s="5" t="str">
        <f>IFERROR(__xludf.DUMMYFUNCTION("""COMPUTED_VALUE"""),"Estrela 4")</f>
        <v>Estrela 4</v>
      </c>
      <c r="P3089" s="5">
        <f>IFERROR(__xludf.DUMMYFUNCTION("""COMPUTED_VALUE"""),772.0)</f>
        <v>772</v>
      </c>
      <c r="Q3089" s="5" t="str">
        <f>IFERROR(__xludf.DUMMYFUNCTION("""COMPUTED_VALUE"""),"Tangled")</f>
        <v>Tangled</v>
      </c>
      <c r="R3089" s="5" t="str">
        <f>IFERROR(__xludf.DUMMYFUNCTION("""COMPUTED_VALUE"""),"Donna Murphy")</f>
        <v>Donna Murphy</v>
      </c>
      <c r="S3089" s="5" t="str">
        <f>IFERROR(__xludf.DUMMYFUNCTION("""COMPUTED_VALUE"""),"Estrela 4")</f>
        <v>Estrela 4</v>
      </c>
    </row>
    <row r="3090">
      <c r="G3090" s="5" t="str">
        <f>IFERROR(__xludf.DUMMYFUNCTION("""COMPUTED_VALUE"""),"773🤙🏼Zwartboek🤙🏼Carice van Houten🤙🏼Estrela 1")</f>
        <v>773🤙🏼Zwartboek🤙🏼Carice van Houten🤙🏼Estrela 1</v>
      </c>
      <c r="H3090" s="5">
        <f>IFERROR(__xludf.DUMMYFUNCTION("SPLiT(G3090, ""🤙🏼"",FALSE,FALSE)"),773.0)</f>
        <v>773</v>
      </c>
      <c r="I3090" s="5" t="str">
        <f>IFERROR(__xludf.DUMMYFUNCTION("""COMPUTED_VALUE"""),"Zwartboek")</f>
        <v>Zwartboek</v>
      </c>
      <c r="J3090" s="5" t="str">
        <f>IFERROR(__xludf.DUMMYFUNCTION("""COMPUTED_VALUE"""),"Carice van Houten")</f>
        <v>Carice van Houten</v>
      </c>
      <c r="K3090" s="5" t="str">
        <f>IFERROR(__xludf.DUMMYFUNCTION("""COMPUTED_VALUE"""),"Estrela 1")</f>
        <v>Estrela 1</v>
      </c>
      <c r="P3090" s="5">
        <f>IFERROR(__xludf.DUMMYFUNCTION("""COMPUTED_VALUE"""),773.0)</f>
        <v>773</v>
      </c>
      <c r="Q3090" s="5" t="str">
        <f>IFERROR(__xludf.DUMMYFUNCTION("""COMPUTED_VALUE"""),"Zwartboek")</f>
        <v>Zwartboek</v>
      </c>
      <c r="R3090" s="5" t="str">
        <f>IFERROR(__xludf.DUMMYFUNCTION("""COMPUTED_VALUE"""),"Carice van Houten")</f>
        <v>Carice van Houten</v>
      </c>
      <c r="S3090" s="5" t="str">
        <f>IFERROR(__xludf.DUMMYFUNCTION("""COMPUTED_VALUE"""),"Estrela 1")</f>
        <v>Estrela 1</v>
      </c>
    </row>
    <row r="3091">
      <c r="G3091" s="5" t="str">
        <f>IFERROR(__xludf.DUMMYFUNCTION("""COMPUTED_VALUE"""),"773🤙🏼Zwartboek🤙🏼Sebastian Koch🤙🏼Estrela 2")</f>
        <v>773🤙🏼Zwartboek🤙🏼Sebastian Koch🤙🏼Estrela 2</v>
      </c>
      <c r="H3091" s="5">
        <f>IFERROR(__xludf.DUMMYFUNCTION("SPLiT(G3091, ""🤙🏼"",FALSE,FALSE)"),773.0)</f>
        <v>773</v>
      </c>
      <c r="I3091" s="5" t="str">
        <f>IFERROR(__xludf.DUMMYFUNCTION("""COMPUTED_VALUE"""),"Zwartboek")</f>
        <v>Zwartboek</v>
      </c>
      <c r="J3091" s="5" t="str">
        <f>IFERROR(__xludf.DUMMYFUNCTION("""COMPUTED_VALUE"""),"Sebastian Koch")</f>
        <v>Sebastian Koch</v>
      </c>
      <c r="K3091" s="5" t="str">
        <f>IFERROR(__xludf.DUMMYFUNCTION("""COMPUTED_VALUE"""),"Estrela 2")</f>
        <v>Estrela 2</v>
      </c>
      <c r="P3091" s="5">
        <f>IFERROR(__xludf.DUMMYFUNCTION("""COMPUTED_VALUE"""),773.0)</f>
        <v>773</v>
      </c>
      <c r="Q3091" s="5" t="str">
        <f>IFERROR(__xludf.DUMMYFUNCTION("""COMPUTED_VALUE"""),"Zwartboek")</f>
        <v>Zwartboek</v>
      </c>
      <c r="R3091" s="5" t="str">
        <f>IFERROR(__xludf.DUMMYFUNCTION("""COMPUTED_VALUE"""),"Sebastian Koch")</f>
        <v>Sebastian Koch</v>
      </c>
      <c r="S3091" s="5" t="str">
        <f>IFERROR(__xludf.DUMMYFUNCTION("""COMPUTED_VALUE"""),"Estrela 2")</f>
        <v>Estrela 2</v>
      </c>
    </row>
    <row r="3092">
      <c r="G3092" s="5" t="str">
        <f>IFERROR(__xludf.DUMMYFUNCTION("""COMPUTED_VALUE"""),"773🤙🏼Zwartboek🤙🏼Thom Hoffman🤙🏼Estrela 3")</f>
        <v>773🤙🏼Zwartboek🤙🏼Thom Hoffman🤙🏼Estrela 3</v>
      </c>
      <c r="H3092" s="5">
        <f>IFERROR(__xludf.DUMMYFUNCTION("SPLiT(G3092, ""🤙🏼"",FALSE,FALSE)"),773.0)</f>
        <v>773</v>
      </c>
      <c r="I3092" s="5" t="str">
        <f>IFERROR(__xludf.DUMMYFUNCTION("""COMPUTED_VALUE"""),"Zwartboek")</f>
        <v>Zwartboek</v>
      </c>
      <c r="J3092" s="5" t="str">
        <f>IFERROR(__xludf.DUMMYFUNCTION("""COMPUTED_VALUE"""),"Thom Hoffman")</f>
        <v>Thom Hoffman</v>
      </c>
      <c r="K3092" s="5" t="str">
        <f>IFERROR(__xludf.DUMMYFUNCTION("""COMPUTED_VALUE"""),"Estrela 3")</f>
        <v>Estrela 3</v>
      </c>
      <c r="P3092" s="5">
        <f>IFERROR(__xludf.DUMMYFUNCTION("""COMPUTED_VALUE"""),773.0)</f>
        <v>773</v>
      </c>
      <c r="Q3092" s="5" t="str">
        <f>IFERROR(__xludf.DUMMYFUNCTION("""COMPUTED_VALUE"""),"Zwartboek")</f>
        <v>Zwartboek</v>
      </c>
      <c r="R3092" s="5" t="str">
        <f>IFERROR(__xludf.DUMMYFUNCTION("""COMPUTED_VALUE"""),"Thom Hoffman")</f>
        <v>Thom Hoffman</v>
      </c>
      <c r="S3092" s="5" t="str">
        <f>IFERROR(__xludf.DUMMYFUNCTION("""COMPUTED_VALUE"""),"Estrela 3")</f>
        <v>Estrela 3</v>
      </c>
    </row>
    <row r="3093">
      <c r="G3093" s="5" t="str">
        <f>IFERROR(__xludf.DUMMYFUNCTION("""COMPUTED_VALUE"""),"773🤙🏼Zwartboek🤙🏼Halina Reijn🤙🏼Estrela 4")</f>
        <v>773🤙🏼Zwartboek🤙🏼Halina Reijn🤙🏼Estrela 4</v>
      </c>
      <c r="H3093" s="5">
        <f>IFERROR(__xludf.DUMMYFUNCTION("SPLiT(G3093, ""🤙🏼"",FALSE,FALSE)"),773.0)</f>
        <v>773</v>
      </c>
      <c r="I3093" s="5" t="str">
        <f>IFERROR(__xludf.DUMMYFUNCTION("""COMPUTED_VALUE"""),"Zwartboek")</f>
        <v>Zwartboek</v>
      </c>
      <c r="J3093" s="5" t="str">
        <f>IFERROR(__xludf.DUMMYFUNCTION("""COMPUTED_VALUE"""),"Halina Reijn")</f>
        <v>Halina Reijn</v>
      </c>
      <c r="K3093" s="5" t="str">
        <f>IFERROR(__xludf.DUMMYFUNCTION("""COMPUTED_VALUE"""),"Estrela 4")</f>
        <v>Estrela 4</v>
      </c>
      <c r="P3093" s="5">
        <f>IFERROR(__xludf.DUMMYFUNCTION("""COMPUTED_VALUE"""),773.0)</f>
        <v>773</v>
      </c>
      <c r="Q3093" s="5" t="str">
        <f>IFERROR(__xludf.DUMMYFUNCTION("""COMPUTED_VALUE"""),"Zwartboek")</f>
        <v>Zwartboek</v>
      </c>
      <c r="R3093" s="5" t="str">
        <f>IFERROR(__xludf.DUMMYFUNCTION("""COMPUTED_VALUE"""),"Halina Reijn")</f>
        <v>Halina Reijn</v>
      </c>
      <c r="S3093" s="5" t="str">
        <f>IFERROR(__xludf.DUMMYFUNCTION("""COMPUTED_VALUE"""),"Estrela 4")</f>
        <v>Estrela 4</v>
      </c>
    </row>
    <row r="3094">
      <c r="G3094" s="5" t="str">
        <f>IFERROR(__xludf.DUMMYFUNCTION("""COMPUTED_VALUE"""),"774🤙🏼Brokeback Mountain🤙🏼Jake Gyllenhaal🤙🏼Estrela 1")</f>
        <v>774🤙🏼Brokeback Mountain🤙🏼Jake Gyllenhaal🤙🏼Estrela 1</v>
      </c>
      <c r="H3094" s="5">
        <f>IFERROR(__xludf.DUMMYFUNCTION("SPLiT(G3094, ""🤙🏼"",FALSE,FALSE)"),774.0)</f>
        <v>774</v>
      </c>
      <c r="I3094" s="5" t="str">
        <f>IFERROR(__xludf.DUMMYFUNCTION("""COMPUTED_VALUE"""),"Brokeback Mountain")</f>
        <v>Brokeback Mountain</v>
      </c>
      <c r="J3094" s="5" t="str">
        <f>IFERROR(__xludf.DUMMYFUNCTION("""COMPUTED_VALUE"""),"Jake Gyllenhaal")</f>
        <v>Jake Gyllenhaal</v>
      </c>
      <c r="K3094" s="5" t="str">
        <f>IFERROR(__xludf.DUMMYFUNCTION("""COMPUTED_VALUE"""),"Estrela 1")</f>
        <v>Estrela 1</v>
      </c>
      <c r="P3094" s="5">
        <f>IFERROR(__xludf.DUMMYFUNCTION("""COMPUTED_VALUE"""),774.0)</f>
        <v>774</v>
      </c>
      <c r="Q3094" s="5" t="str">
        <f>IFERROR(__xludf.DUMMYFUNCTION("""COMPUTED_VALUE"""),"Brokeback Mountain")</f>
        <v>Brokeback Mountain</v>
      </c>
      <c r="R3094" s="5" t="str">
        <f>IFERROR(__xludf.DUMMYFUNCTION("""COMPUTED_VALUE"""),"Jake Gyllenhaal")</f>
        <v>Jake Gyllenhaal</v>
      </c>
      <c r="S3094" s="5" t="str">
        <f>IFERROR(__xludf.DUMMYFUNCTION("""COMPUTED_VALUE"""),"Estrela 1")</f>
        <v>Estrela 1</v>
      </c>
    </row>
    <row r="3095">
      <c r="G3095" s="5" t="str">
        <f>IFERROR(__xludf.DUMMYFUNCTION("""COMPUTED_VALUE"""),"774🤙🏼Brokeback Mountain🤙🏼Heath Ledger🤙🏼Estrela 2")</f>
        <v>774🤙🏼Brokeback Mountain🤙🏼Heath Ledger🤙🏼Estrela 2</v>
      </c>
      <c r="H3095" s="5">
        <f>IFERROR(__xludf.DUMMYFUNCTION("SPLiT(G3095, ""🤙🏼"",FALSE,FALSE)"),774.0)</f>
        <v>774</v>
      </c>
      <c r="I3095" s="5" t="str">
        <f>IFERROR(__xludf.DUMMYFUNCTION("""COMPUTED_VALUE"""),"Brokeback Mountain")</f>
        <v>Brokeback Mountain</v>
      </c>
      <c r="J3095" s="5" t="str">
        <f>IFERROR(__xludf.DUMMYFUNCTION("""COMPUTED_VALUE"""),"Heath Ledger")</f>
        <v>Heath Ledger</v>
      </c>
      <c r="K3095" s="5" t="str">
        <f>IFERROR(__xludf.DUMMYFUNCTION("""COMPUTED_VALUE"""),"Estrela 2")</f>
        <v>Estrela 2</v>
      </c>
      <c r="P3095" s="5">
        <f>IFERROR(__xludf.DUMMYFUNCTION("""COMPUTED_VALUE"""),774.0)</f>
        <v>774</v>
      </c>
      <c r="Q3095" s="5" t="str">
        <f>IFERROR(__xludf.DUMMYFUNCTION("""COMPUTED_VALUE"""),"Brokeback Mountain")</f>
        <v>Brokeback Mountain</v>
      </c>
      <c r="R3095" s="5" t="str">
        <f>IFERROR(__xludf.DUMMYFUNCTION("""COMPUTED_VALUE"""),"Heath Ledger")</f>
        <v>Heath Ledger</v>
      </c>
      <c r="S3095" s="5" t="str">
        <f>IFERROR(__xludf.DUMMYFUNCTION("""COMPUTED_VALUE"""),"Estrela 2")</f>
        <v>Estrela 2</v>
      </c>
    </row>
    <row r="3096">
      <c r="G3096" s="5" t="str">
        <f>IFERROR(__xludf.DUMMYFUNCTION("""COMPUTED_VALUE"""),"774🤙🏼Brokeback Mountain🤙🏼Michelle Williams🤙🏼Estrela 3")</f>
        <v>774🤙🏼Brokeback Mountain🤙🏼Michelle Williams🤙🏼Estrela 3</v>
      </c>
      <c r="H3096" s="5">
        <f>IFERROR(__xludf.DUMMYFUNCTION("SPLiT(G3096, ""🤙🏼"",FALSE,FALSE)"),774.0)</f>
        <v>774</v>
      </c>
      <c r="I3096" s="5" t="str">
        <f>IFERROR(__xludf.DUMMYFUNCTION("""COMPUTED_VALUE"""),"Brokeback Mountain")</f>
        <v>Brokeback Mountain</v>
      </c>
      <c r="J3096" s="5" t="str">
        <f>IFERROR(__xludf.DUMMYFUNCTION("""COMPUTED_VALUE"""),"Michelle Williams")</f>
        <v>Michelle Williams</v>
      </c>
      <c r="K3096" s="5" t="str">
        <f>IFERROR(__xludf.DUMMYFUNCTION("""COMPUTED_VALUE"""),"Estrela 3")</f>
        <v>Estrela 3</v>
      </c>
      <c r="P3096" s="5">
        <f>IFERROR(__xludf.DUMMYFUNCTION("""COMPUTED_VALUE"""),774.0)</f>
        <v>774</v>
      </c>
      <c r="Q3096" s="5" t="str">
        <f>IFERROR(__xludf.DUMMYFUNCTION("""COMPUTED_VALUE"""),"Brokeback Mountain")</f>
        <v>Brokeback Mountain</v>
      </c>
      <c r="R3096" s="5" t="str">
        <f>IFERROR(__xludf.DUMMYFUNCTION("""COMPUTED_VALUE"""),"Michelle Williams")</f>
        <v>Michelle Williams</v>
      </c>
      <c r="S3096" s="5" t="str">
        <f>IFERROR(__xludf.DUMMYFUNCTION("""COMPUTED_VALUE"""),"Estrela 3")</f>
        <v>Estrela 3</v>
      </c>
    </row>
    <row r="3097">
      <c r="G3097" s="5" t="str">
        <f>IFERROR(__xludf.DUMMYFUNCTION("""COMPUTED_VALUE"""),"774🤙🏼Brokeback Mountain🤙🏼Randy Quaid🤙🏼Estrela 4")</f>
        <v>774🤙🏼Brokeback Mountain🤙🏼Randy Quaid🤙🏼Estrela 4</v>
      </c>
      <c r="H3097" s="5">
        <f>IFERROR(__xludf.DUMMYFUNCTION("SPLiT(G3097, ""🤙🏼"",FALSE,FALSE)"),774.0)</f>
        <v>774</v>
      </c>
      <c r="I3097" s="5" t="str">
        <f>IFERROR(__xludf.DUMMYFUNCTION("""COMPUTED_VALUE"""),"Brokeback Mountain")</f>
        <v>Brokeback Mountain</v>
      </c>
      <c r="J3097" s="5" t="str">
        <f>IFERROR(__xludf.DUMMYFUNCTION("""COMPUTED_VALUE"""),"Randy Quaid")</f>
        <v>Randy Quaid</v>
      </c>
      <c r="K3097" s="5" t="str">
        <f>IFERROR(__xludf.DUMMYFUNCTION("""COMPUTED_VALUE"""),"Estrela 4")</f>
        <v>Estrela 4</v>
      </c>
      <c r="P3097" s="5">
        <f>IFERROR(__xludf.DUMMYFUNCTION("""COMPUTED_VALUE"""),774.0)</f>
        <v>774</v>
      </c>
      <c r="Q3097" s="5" t="str">
        <f>IFERROR(__xludf.DUMMYFUNCTION("""COMPUTED_VALUE"""),"Brokeback Mountain")</f>
        <v>Brokeback Mountain</v>
      </c>
      <c r="R3097" s="5" t="str">
        <f>IFERROR(__xludf.DUMMYFUNCTION("""COMPUTED_VALUE"""),"Randy Quaid")</f>
        <v>Randy Quaid</v>
      </c>
      <c r="S3097" s="5" t="str">
        <f>IFERROR(__xludf.DUMMYFUNCTION("""COMPUTED_VALUE"""),"Estrela 4")</f>
        <v>Estrela 4</v>
      </c>
    </row>
    <row r="3098">
      <c r="G3098" s="5" t="str">
        <f>IFERROR(__xludf.DUMMYFUNCTION("""COMPUTED_VALUE"""),"775🤙🏼3:10 to Yuma🤙🏼Russell Crowe🤙🏼Estrela 1")</f>
        <v>775🤙🏼3:10 to Yuma🤙🏼Russell Crowe🤙🏼Estrela 1</v>
      </c>
      <c r="H3098" s="5">
        <f>IFERROR(__xludf.DUMMYFUNCTION("SPLiT(G3098, ""🤙🏼"",FALSE,FALSE)"),775.0)</f>
        <v>775</v>
      </c>
      <c r="I3098" s="5" t="str">
        <f>IFERROR(__xludf.DUMMYFUNCTION("""COMPUTED_VALUE"""),"3:10 to Yuma")</f>
        <v>3:10 to Yuma</v>
      </c>
      <c r="J3098" s="5" t="str">
        <f>IFERROR(__xludf.DUMMYFUNCTION("""COMPUTED_VALUE"""),"Russell Crowe")</f>
        <v>Russell Crowe</v>
      </c>
      <c r="K3098" s="5" t="str">
        <f>IFERROR(__xludf.DUMMYFUNCTION("""COMPUTED_VALUE"""),"Estrela 1")</f>
        <v>Estrela 1</v>
      </c>
      <c r="P3098" s="5">
        <f>IFERROR(__xludf.DUMMYFUNCTION("""COMPUTED_VALUE"""),775.0)</f>
        <v>775</v>
      </c>
      <c r="Q3098" s="5" t="str">
        <f>IFERROR(__xludf.DUMMYFUNCTION("""COMPUTED_VALUE"""),"3:10 to Yuma")</f>
        <v>3:10 to Yuma</v>
      </c>
      <c r="R3098" s="5" t="str">
        <f>IFERROR(__xludf.DUMMYFUNCTION("""COMPUTED_VALUE"""),"Russell Crowe")</f>
        <v>Russell Crowe</v>
      </c>
      <c r="S3098" s="5" t="str">
        <f>IFERROR(__xludf.DUMMYFUNCTION("""COMPUTED_VALUE"""),"Estrela 1")</f>
        <v>Estrela 1</v>
      </c>
    </row>
    <row r="3099">
      <c r="G3099" s="5" t="str">
        <f>IFERROR(__xludf.DUMMYFUNCTION("""COMPUTED_VALUE"""),"775🤙🏼3:10 to Yuma🤙🏼Christian Bale🤙🏼Estrela 2")</f>
        <v>775🤙🏼3:10 to Yuma🤙🏼Christian Bale🤙🏼Estrela 2</v>
      </c>
      <c r="H3099" s="5">
        <f>IFERROR(__xludf.DUMMYFUNCTION("SPLiT(G3099, ""🤙🏼"",FALSE,FALSE)"),775.0)</f>
        <v>775</v>
      </c>
      <c r="I3099" s="5" t="str">
        <f>IFERROR(__xludf.DUMMYFUNCTION("""COMPUTED_VALUE"""),"3:10 to Yuma")</f>
        <v>3:10 to Yuma</v>
      </c>
      <c r="J3099" s="5" t="str">
        <f>IFERROR(__xludf.DUMMYFUNCTION("""COMPUTED_VALUE"""),"Christian Bale")</f>
        <v>Christian Bale</v>
      </c>
      <c r="K3099" s="5" t="str">
        <f>IFERROR(__xludf.DUMMYFUNCTION("""COMPUTED_VALUE"""),"Estrela 2")</f>
        <v>Estrela 2</v>
      </c>
      <c r="P3099" s="5">
        <f>IFERROR(__xludf.DUMMYFUNCTION("""COMPUTED_VALUE"""),775.0)</f>
        <v>775</v>
      </c>
      <c r="Q3099" s="5" t="str">
        <f>IFERROR(__xludf.DUMMYFUNCTION("""COMPUTED_VALUE"""),"3:10 to Yuma")</f>
        <v>3:10 to Yuma</v>
      </c>
      <c r="R3099" s="5" t="str">
        <f>IFERROR(__xludf.DUMMYFUNCTION("""COMPUTED_VALUE"""),"Christian Bale")</f>
        <v>Christian Bale</v>
      </c>
      <c r="S3099" s="5" t="str">
        <f>IFERROR(__xludf.DUMMYFUNCTION("""COMPUTED_VALUE"""),"Estrela 2")</f>
        <v>Estrela 2</v>
      </c>
    </row>
    <row r="3100">
      <c r="G3100" s="5" t="str">
        <f>IFERROR(__xludf.DUMMYFUNCTION("""COMPUTED_VALUE"""),"775🤙🏼3:10 to Yuma🤙🏼Ben Foster🤙🏼Estrela 3")</f>
        <v>775🤙🏼3:10 to Yuma🤙🏼Ben Foster🤙🏼Estrela 3</v>
      </c>
      <c r="H3100" s="5">
        <f>IFERROR(__xludf.DUMMYFUNCTION("SPLiT(G3100, ""🤙🏼"",FALSE,FALSE)"),775.0)</f>
        <v>775</v>
      </c>
      <c r="I3100" s="5" t="str">
        <f>IFERROR(__xludf.DUMMYFUNCTION("""COMPUTED_VALUE"""),"3:10 to Yuma")</f>
        <v>3:10 to Yuma</v>
      </c>
      <c r="J3100" s="5" t="str">
        <f>IFERROR(__xludf.DUMMYFUNCTION("""COMPUTED_VALUE"""),"Ben Foster")</f>
        <v>Ben Foster</v>
      </c>
      <c r="K3100" s="5" t="str">
        <f>IFERROR(__xludf.DUMMYFUNCTION("""COMPUTED_VALUE"""),"Estrela 3")</f>
        <v>Estrela 3</v>
      </c>
      <c r="P3100" s="5">
        <f>IFERROR(__xludf.DUMMYFUNCTION("""COMPUTED_VALUE"""),775.0)</f>
        <v>775</v>
      </c>
      <c r="Q3100" s="5" t="str">
        <f>IFERROR(__xludf.DUMMYFUNCTION("""COMPUTED_VALUE"""),"3:10 to Yuma")</f>
        <v>3:10 to Yuma</v>
      </c>
      <c r="R3100" s="5" t="str">
        <f>IFERROR(__xludf.DUMMYFUNCTION("""COMPUTED_VALUE"""),"Ben Foster")</f>
        <v>Ben Foster</v>
      </c>
      <c r="S3100" s="5" t="str">
        <f>IFERROR(__xludf.DUMMYFUNCTION("""COMPUTED_VALUE"""),"Estrela 3")</f>
        <v>Estrela 3</v>
      </c>
    </row>
    <row r="3101">
      <c r="G3101" s="5" t="str">
        <f>IFERROR(__xludf.DUMMYFUNCTION("""COMPUTED_VALUE"""),"775🤙🏼3:10 to Yuma🤙🏼Logan Lerman🤙🏼Estrela 4")</f>
        <v>775🤙🏼3:10 to Yuma🤙🏼Logan Lerman🤙🏼Estrela 4</v>
      </c>
      <c r="H3101" s="5">
        <f>IFERROR(__xludf.DUMMYFUNCTION("SPLiT(G3101, ""🤙🏼"",FALSE,FALSE)"),775.0)</f>
        <v>775</v>
      </c>
      <c r="I3101" s="5" t="str">
        <f>IFERROR(__xludf.DUMMYFUNCTION("""COMPUTED_VALUE"""),"3:10 to Yuma")</f>
        <v>3:10 to Yuma</v>
      </c>
      <c r="J3101" s="5" t="str">
        <f>IFERROR(__xludf.DUMMYFUNCTION("""COMPUTED_VALUE"""),"Logan Lerman")</f>
        <v>Logan Lerman</v>
      </c>
      <c r="K3101" s="5" t="str">
        <f>IFERROR(__xludf.DUMMYFUNCTION("""COMPUTED_VALUE"""),"Estrela 4")</f>
        <v>Estrela 4</v>
      </c>
      <c r="P3101" s="5">
        <f>IFERROR(__xludf.DUMMYFUNCTION("""COMPUTED_VALUE"""),775.0)</f>
        <v>775</v>
      </c>
      <c r="Q3101" s="5" t="str">
        <f>IFERROR(__xludf.DUMMYFUNCTION("""COMPUTED_VALUE"""),"3:10 to Yuma")</f>
        <v>3:10 to Yuma</v>
      </c>
      <c r="R3101" s="5" t="str">
        <f>IFERROR(__xludf.DUMMYFUNCTION("""COMPUTED_VALUE"""),"Logan Lerman")</f>
        <v>Logan Lerman</v>
      </c>
      <c r="S3101" s="5" t="str">
        <f>IFERROR(__xludf.DUMMYFUNCTION("""COMPUTED_VALUE"""),"Estrela 4")</f>
        <v>Estrela 4</v>
      </c>
    </row>
    <row r="3102">
      <c r="G3102" s="5" t="str">
        <f>IFERROR(__xludf.DUMMYFUNCTION("""COMPUTED_VALUE"""),"776🤙🏼Crash🤙🏼Don Cheadle🤙🏼Estrela 1")</f>
        <v>776🤙🏼Crash🤙🏼Don Cheadle🤙🏼Estrela 1</v>
      </c>
      <c r="H3102" s="5">
        <f>IFERROR(__xludf.DUMMYFUNCTION("SPLiT(G3102, ""🤙🏼"",FALSE,FALSE)"),776.0)</f>
        <v>776</v>
      </c>
      <c r="I3102" s="5" t="str">
        <f>IFERROR(__xludf.DUMMYFUNCTION("""COMPUTED_VALUE"""),"Crash")</f>
        <v>Crash</v>
      </c>
      <c r="J3102" s="5" t="str">
        <f>IFERROR(__xludf.DUMMYFUNCTION("""COMPUTED_VALUE"""),"Don Cheadle")</f>
        <v>Don Cheadle</v>
      </c>
      <c r="K3102" s="5" t="str">
        <f>IFERROR(__xludf.DUMMYFUNCTION("""COMPUTED_VALUE"""),"Estrela 1")</f>
        <v>Estrela 1</v>
      </c>
      <c r="P3102" s="5">
        <f>IFERROR(__xludf.DUMMYFUNCTION("""COMPUTED_VALUE"""),776.0)</f>
        <v>776</v>
      </c>
      <c r="Q3102" s="5" t="str">
        <f>IFERROR(__xludf.DUMMYFUNCTION("""COMPUTED_VALUE"""),"Crash")</f>
        <v>Crash</v>
      </c>
      <c r="R3102" s="5" t="str">
        <f>IFERROR(__xludf.DUMMYFUNCTION("""COMPUTED_VALUE"""),"Don Cheadle")</f>
        <v>Don Cheadle</v>
      </c>
      <c r="S3102" s="5" t="str">
        <f>IFERROR(__xludf.DUMMYFUNCTION("""COMPUTED_VALUE"""),"Estrela 1")</f>
        <v>Estrela 1</v>
      </c>
    </row>
    <row r="3103">
      <c r="G3103" s="5" t="str">
        <f>IFERROR(__xludf.DUMMYFUNCTION("""COMPUTED_VALUE"""),"776🤙🏼Crash🤙🏼Sandra Bullock🤙🏼Estrela 2")</f>
        <v>776🤙🏼Crash🤙🏼Sandra Bullock🤙🏼Estrela 2</v>
      </c>
      <c r="H3103" s="5">
        <f>IFERROR(__xludf.DUMMYFUNCTION("SPLiT(G3103, ""🤙🏼"",FALSE,FALSE)"),776.0)</f>
        <v>776</v>
      </c>
      <c r="I3103" s="5" t="str">
        <f>IFERROR(__xludf.DUMMYFUNCTION("""COMPUTED_VALUE"""),"Crash")</f>
        <v>Crash</v>
      </c>
      <c r="J3103" s="5" t="str">
        <f>IFERROR(__xludf.DUMMYFUNCTION("""COMPUTED_VALUE"""),"Sandra Bullock")</f>
        <v>Sandra Bullock</v>
      </c>
      <c r="K3103" s="5" t="str">
        <f>IFERROR(__xludf.DUMMYFUNCTION("""COMPUTED_VALUE"""),"Estrela 2")</f>
        <v>Estrela 2</v>
      </c>
      <c r="P3103" s="5">
        <f>IFERROR(__xludf.DUMMYFUNCTION("""COMPUTED_VALUE"""),776.0)</f>
        <v>776</v>
      </c>
      <c r="Q3103" s="5" t="str">
        <f>IFERROR(__xludf.DUMMYFUNCTION("""COMPUTED_VALUE"""),"Crash")</f>
        <v>Crash</v>
      </c>
      <c r="R3103" s="5" t="str">
        <f>IFERROR(__xludf.DUMMYFUNCTION("""COMPUTED_VALUE"""),"Sandra Bullock")</f>
        <v>Sandra Bullock</v>
      </c>
      <c r="S3103" s="5" t="str">
        <f>IFERROR(__xludf.DUMMYFUNCTION("""COMPUTED_VALUE"""),"Estrela 2")</f>
        <v>Estrela 2</v>
      </c>
    </row>
    <row r="3104">
      <c r="G3104" s="5" t="str">
        <f>IFERROR(__xludf.DUMMYFUNCTION("""COMPUTED_VALUE"""),"776🤙🏼Crash🤙🏼Thandie Newton🤙🏼Estrela 3")</f>
        <v>776🤙🏼Crash🤙🏼Thandie Newton🤙🏼Estrela 3</v>
      </c>
      <c r="H3104" s="5">
        <f>IFERROR(__xludf.DUMMYFUNCTION("SPLiT(G3104, ""🤙🏼"",FALSE,FALSE)"),776.0)</f>
        <v>776</v>
      </c>
      <c r="I3104" s="5" t="str">
        <f>IFERROR(__xludf.DUMMYFUNCTION("""COMPUTED_VALUE"""),"Crash")</f>
        <v>Crash</v>
      </c>
      <c r="J3104" s="5" t="str">
        <f>IFERROR(__xludf.DUMMYFUNCTION("""COMPUTED_VALUE"""),"Thandie Newton")</f>
        <v>Thandie Newton</v>
      </c>
      <c r="K3104" s="5" t="str">
        <f>IFERROR(__xludf.DUMMYFUNCTION("""COMPUTED_VALUE"""),"Estrela 3")</f>
        <v>Estrela 3</v>
      </c>
      <c r="P3104" s="5">
        <f>IFERROR(__xludf.DUMMYFUNCTION("""COMPUTED_VALUE"""),776.0)</f>
        <v>776</v>
      </c>
      <c r="Q3104" s="5" t="str">
        <f>IFERROR(__xludf.DUMMYFUNCTION("""COMPUTED_VALUE"""),"Crash")</f>
        <v>Crash</v>
      </c>
      <c r="R3104" s="5" t="str">
        <f>IFERROR(__xludf.DUMMYFUNCTION("""COMPUTED_VALUE"""),"Thandie Newton")</f>
        <v>Thandie Newton</v>
      </c>
      <c r="S3104" s="5" t="str">
        <f>IFERROR(__xludf.DUMMYFUNCTION("""COMPUTED_VALUE"""),"Estrela 3")</f>
        <v>Estrela 3</v>
      </c>
    </row>
    <row r="3105">
      <c r="G3105" s="5" t="str">
        <f>IFERROR(__xludf.DUMMYFUNCTION("""COMPUTED_VALUE"""),"776🤙🏼Crash🤙🏼Karina Arroyave🤙🏼Estrela 4")</f>
        <v>776🤙🏼Crash🤙🏼Karina Arroyave🤙🏼Estrela 4</v>
      </c>
      <c r="H3105" s="5">
        <f>IFERROR(__xludf.DUMMYFUNCTION("SPLiT(G3105, ""🤙🏼"",FALSE,FALSE)"),776.0)</f>
        <v>776</v>
      </c>
      <c r="I3105" s="5" t="str">
        <f>IFERROR(__xludf.DUMMYFUNCTION("""COMPUTED_VALUE"""),"Crash")</f>
        <v>Crash</v>
      </c>
      <c r="J3105" s="5" t="str">
        <f>IFERROR(__xludf.DUMMYFUNCTION("""COMPUTED_VALUE"""),"Karina Arroyave")</f>
        <v>Karina Arroyave</v>
      </c>
      <c r="K3105" s="5" t="str">
        <f>IFERROR(__xludf.DUMMYFUNCTION("""COMPUTED_VALUE"""),"Estrela 4")</f>
        <v>Estrela 4</v>
      </c>
      <c r="P3105" s="5">
        <f>IFERROR(__xludf.DUMMYFUNCTION("""COMPUTED_VALUE"""),776.0)</f>
        <v>776</v>
      </c>
      <c r="Q3105" s="5" t="str">
        <f>IFERROR(__xludf.DUMMYFUNCTION("""COMPUTED_VALUE"""),"Crash")</f>
        <v>Crash</v>
      </c>
      <c r="R3105" s="5" t="str">
        <f>IFERROR(__xludf.DUMMYFUNCTION("""COMPUTED_VALUE"""),"Karina Arroyave")</f>
        <v>Karina Arroyave</v>
      </c>
      <c r="S3105" s="5" t="str">
        <f>IFERROR(__xludf.DUMMYFUNCTION("""COMPUTED_VALUE"""),"Estrela 4")</f>
        <v>Estrela 4</v>
      </c>
    </row>
    <row r="3106">
      <c r="G3106" s="5" t="str">
        <f>IFERROR(__xludf.DUMMYFUNCTION("""COMPUTED_VALUE"""),"777🤙🏼Kung fu🤙🏼Stephen Chow🤙🏼Estrela 1")</f>
        <v>777🤙🏼Kung fu🤙🏼Stephen Chow🤙🏼Estrela 1</v>
      </c>
      <c r="H3106" s="5">
        <f>IFERROR(__xludf.DUMMYFUNCTION("SPLiT(G3106, ""🤙🏼"",FALSE,FALSE)"),777.0)</f>
        <v>777</v>
      </c>
      <c r="I3106" s="5" t="str">
        <f>IFERROR(__xludf.DUMMYFUNCTION("""COMPUTED_VALUE"""),"Kung fu")</f>
        <v>Kung fu</v>
      </c>
      <c r="J3106" s="5" t="str">
        <f>IFERROR(__xludf.DUMMYFUNCTION("""COMPUTED_VALUE"""),"Stephen Chow")</f>
        <v>Stephen Chow</v>
      </c>
      <c r="K3106" s="5" t="str">
        <f>IFERROR(__xludf.DUMMYFUNCTION("""COMPUTED_VALUE"""),"Estrela 1")</f>
        <v>Estrela 1</v>
      </c>
      <c r="P3106" s="5">
        <f>IFERROR(__xludf.DUMMYFUNCTION("""COMPUTED_VALUE"""),777.0)</f>
        <v>777</v>
      </c>
      <c r="Q3106" s="5" t="str">
        <f>IFERROR(__xludf.DUMMYFUNCTION("""COMPUTED_VALUE"""),"Kung fu")</f>
        <v>Kung fu</v>
      </c>
      <c r="R3106" s="5" t="str">
        <f>IFERROR(__xludf.DUMMYFUNCTION("""COMPUTED_VALUE"""),"Stephen Chow")</f>
        <v>Stephen Chow</v>
      </c>
      <c r="S3106" s="5" t="str">
        <f>IFERROR(__xludf.DUMMYFUNCTION("""COMPUTED_VALUE"""),"Estrela 1")</f>
        <v>Estrela 1</v>
      </c>
    </row>
    <row r="3107">
      <c r="G3107" s="5" t="str">
        <f>IFERROR(__xludf.DUMMYFUNCTION("""COMPUTED_VALUE"""),"777🤙🏼Kung fu🤙🏼Wah Yuen🤙🏼Estrela 2")</f>
        <v>777🤙🏼Kung fu🤙🏼Wah Yuen🤙🏼Estrela 2</v>
      </c>
      <c r="H3107" s="5">
        <f>IFERROR(__xludf.DUMMYFUNCTION("SPLiT(G3107, ""🤙🏼"",FALSE,FALSE)"),777.0)</f>
        <v>777</v>
      </c>
      <c r="I3107" s="5" t="str">
        <f>IFERROR(__xludf.DUMMYFUNCTION("""COMPUTED_VALUE"""),"Kung fu")</f>
        <v>Kung fu</v>
      </c>
      <c r="J3107" s="5" t="str">
        <f>IFERROR(__xludf.DUMMYFUNCTION("""COMPUTED_VALUE"""),"Wah Yuen")</f>
        <v>Wah Yuen</v>
      </c>
      <c r="K3107" s="5" t="str">
        <f>IFERROR(__xludf.DUMMYFUNCTION("""COMPUTED_VALUE"""),"Estrela 2")</f>
        <v>Estrela 2</v>
      </c>
      <c r="P3107" s="5">
        <f>IFERROR(__xludf.DUMMYFUNCTION("""COMPUTED_VALUE"""),777.0)</f>
        <v>777</v>
      </c>
      <c r="Q3107" s="5" t="str">
        <f>IFERROR(__xludf.DUMMYFUNCTION("""COMPUTED_VALUE"""),"Kung fu")</f>
        <v>Kung fu</v>
      </c>
      <c r="R3107" s="5" t="str">
        <f>IFERROR(__xludf.DUMMYFUNCTION("""COMPUTED_VALUE"""),"Wah Yuen")</f>
        <v>Wah Yuen</v>
      </c>
      <c r="S3107" s="5" t="str">
        <f>IFERROR(__xludf.DUMMYFUNCTION("""COMPUTED_VALUE"""),"Estrela 2")</f>
        <v>Estrela 2</v>
      </c>
    </row>
    <row r="3108">
      <c r="G3108" s="5" t="str">
        <f>IFERROR(__xludf.DUMMYFUNCTION("""COMPUTED_VALUE"""),"777🤙🏼Kung fu🤙🏼Qiu Yuen🤙🏼Estrela 3")</f>
        <v>777🤙🏼Kung fu🤙🏼Qiu Yuen🤙🏼Estrela 3</v>
      </c>
      <c r="H3108" s="5">
        <f>IFERROR(__xludf.DUMMYFUNCTION("SPLiT(G3108, ""🤙🏼"",FALSE,FALSE)"),777.0)</f>
        <v>777</v>
      </c>
      <c r="I3108" s="5" t="str">
        <f>IFERROR(__xludf.DUMMYFUNCTION("""COMPUTED_VALUE"""),"Kung fu")</f>
        <v>Kung fu</v>
      </c>
      <c r="J3108" s="5" t="str">
        <f>IFERROR(__xludf.DUMMYFUNCTION("""COMPUTED_VALUE"""),"Qiu Yuen")</f>
        <v>Qiu Yuen</v>
      </c>
      <c r="K3108" s="5" t="str">
        <f>IFERROR(__xludf.DUMMYFUNCTION("""COMPUTED_VALUE"""),"Estrela 3")</f>
        <v>Estrela 3</v>
      </c>
      <c r="P3108" s="5">
        <f>IFERROR(__xludf.DUMMYFUNCTION("""COMPUTED_VALUE"""),777.0)</f>
        <v>777</v>
      </c>
      <c r="Q3108" s="5" t="str">
        <f>IFERROR(__xludf.DUMMYFUNCTION("""COMPUTED_VALUE"""),"Kung fu")</f>
        <v>Kung fu</v>
      </c>
      <c r="R3108" s="5" t="str">
        <f>IFERROR(__xludf.DUMMYFUNCTION("""COMPUTED_VALUE"""),"Qiu Yuen")</f>
        <v>Qiu Yuen</v>
      </c>
      <c r="S3108" s="5" t="str">
        <f>IFERROR(__xludf.DUMMYFUNCTION("""COMPUTED_VALUE"""),"Estrela 3")</f>
        <v>Estrela 3</v>
      </c>
    </row>
    <row r="3109">
      <c r="G3109" s="5" t="str">
        <f>IFERROR(__xludf.DUMMYFUNCTION("""COMPUTED_VALUE"""),"777🤙🏼Kung fu🤙🏼Siu-Lung Leung🤙🏼Estrela 4")</f>
        <v>777🤙🏼Kung fu🤙🏼Siu-Lung Leung🤙🏼Estrela 4</v>
      </c>
      <c r="H3109" s="5">
        <f>IFERROR(__xludf.DUMMYFUNCTION("SPLiT(G3109, ""🤙🏼"",FALSE,FALSE)"),777.0)</f>
        <v>777</v>
      </c>
      <c r="I3109" s="5" t="str">
        <f>IFERROR(__xludf.DUMMYFUNCTION("""COMPUTED_VALUE"""),"Kung fu")</f>
        <v>Kung fu</v>
      </c>
      <c r="J3109" s="5" t="str">
        <f>IFERROR(__xludf.DUMMYFUNCTION("""COMPUTED_VALUE"""),"Siu-Lung Leung")</f>
        <v>Siu-Lung Leung</v>
      </c>
      <c r="K3109" s="5" t="str">
        <f>IFERROR(__xludf.DUMMYFUNCTION("""COMPUTED_VALUE"""),"Estrela 4")</f>
        <v>Estrela 4</v>
      </c>
      <c r="P3109" s="5">
        <f>IFERROR(__xludf.DUMMYFUNCTION("""COMPUTED_VALUE"""),777.0)</f>
        <v>777</v>
      </c>
      <c r="Q3109" s="5" t="str">
        <f>IFERROR(__xludf.DUMMYFUNCTION("""COMPUTED_VALUE"""),"Kung fu")</f>
        <v>Kung fu</v>
      </c>
      <c r="R3109" s="5" t="str">
        <f>IFERROR(__xludf.DUMMYFUNCTION("""COMPUTED_VALUE"""),"Siu-Lung Leung")</f>
        <v>Siu-Lung Leung</v>
      </c>
      <c r="S3109" s="5" t="str">
        <f>IFERROR(__xludf.DUMMYFUNCTION("""COMPUTED_VALUE"""),"Estrela 4")</f>
        <v>Estrela 4</v>
      </c>
    </row>
    <row r="3110">
      <c r="G3110" s="5" t="str">
        <f>IFERROR(__xludf.DUMMYFUNCTION("""COMPUTED_VALUE"""),"778🤙🏼The Bourne Supremacy🤙🏼Matt Damon🤙🏼Estrela 1")</f>
        <v>778🤙🏼The Bourne Supremacy🤙🏼Matt Damon🤙🏼Estrela 1</v>
      </c>
      <c r="H3110" s="5">
        <f>IFERROR(__xludf.DUMMYFUNCTION("SPLiT(G3110, ""🤙🏼"",FALSE,FALSE)"),778.0)</f>
        <v>778</v>
      </c>
      <c r="I3110" s="5" t="str">
        <f>IFERROR(__xludf.DUMMYFUNCTION("""COMPUTED_VALUE"""),"The Bourne Supremacy")</f>
        <v>The Bourne Supremacy</v>
      </c>
      <c r="J3110" s="5" t="str">
        <f>IFERROR(__xludf.DUMMYFUNCTION("""COMPUTED_VALUE"""),"Matt Damon")</f>
        <v>Matt Damon</v>
      </c>
      <c r="K3110" s="5" t="str">
        <f>IFERROR(__xludf.DUMMYFUNCTION("""COMPUTED_VALUE"""),"Estrela 1")</f>
        <v>Estrela 1</v>
      </c>
      <c r="P3110" s="5">
        <f>IFERROR(__xludf.DUMMYFUNCTION("""COMPUTED_VALUE"""),778.0)</f>
        <v>778</v>
      </c>
      <c r="Q3110" s="5" t="str">
        <f>IFERROR(__xludf.DUMMYFUNCTION("""COMPUTED_VALUE"""),"The Bourne Supremacy")</f>
        <v>The Bourne Supremacy</v>
      </c>
      <c r="R3110" s="5" t="str">
        <f>IFERROR(__xludf.DUMMYFUNCTION("""COMPUTED_VALUE"""),"Matt Damon")</f>
        <v>Matt Damon</v>
      </c>
      <c r="S3110" s="5" t="str">
        <f>IFERROR(__xludf.DUMMYFUNCTION("""COMPUTED_VALUE"""),"Estrela 1")</f>
        <v>Estrela 1</v>
      </c>
    </row>
    <row r="3111">
      <c r="G3111" s="5" t="str">
        <f>IFERROR(__xludf.DUMMYFUNCTION("""COMPUTED_VALUE"""),"778🤙🏼The Bourne Supremacy🤙🏼Franka Potente🤙🏼Estrela 2")</f>
        <v>778🤙🏼The Bourne Supremacy🤙🏼Franka Potente🤙🏼Estrela 2</v>
      </c>
      <c r="H3111" s="5">
        <f>IFERROR(__xludf.DUMMYFUNCTION("SPLiT(G3111, ""🤙🏼"",FALSE,FALSE)"),778.0)</f>
        <v>778</v>
      </c>
      <c r="I3111" s="5" t="str">
        <f>IFERROR(__xludf.DUMMYFUNCTION("""COMPUTED_VALUE"""),"The Bourne Supremacy")</f>
        <v>The Bourne Supremacy</v>
      </c>
      <c r="J3111" s="5" t="str">
        <f>IFERROR(__xludf.DUMMYFUNCTION("""COMPUTED_VALUE"""),"Franka Potente")</f>
        <v>Franka Potente</v>
      </c>
      <c r="K3111" s="5" t="str">
        <f>IFERROR(__xludf.DUMMYFUNCTION("""COMPUTED_VALUE"""),"Estrela 2")</f>
        <v>Estrela 2</v>
      </c>
      <c r="P3111" s="5">
        <f>IFERROR(__xludf.DUMMYFUNCTION("""COMPUTED_VALUE"""),778.0)</f>
        <v>778</v>
      </c>
      <c r="Q3111" s="5" t="str">
        <f>IFERROR(__xludf.DUMMYFUNCTION("""COMPUTED_VALUE"""),"The Bourne Supremacy")</f>
        <v>The Bourne Supremacy</v>
      </c>
      <c r="R3111" s="5" t="str">
        <f>IFERROR(__xludf.DUMMYFUNCTION("""COMPUTED_VALUE"""),"Franka Potente")</f>
        <v>Franka Potente</v>
      </c>
      <c r="S3111" s="5" t="str">
        <f>IFERROR(__xludf.DUMMYFUNCTION("""COMPUTED_VALUE"""),"Estrela 2")</f>
        <v>Estrela 2</v>
      </c>
    </row>
    <row r="3112">
      <c r="G3112" s="5" t="str">
        <f>IFERROR(__xludf.DUMMYFUNCTION("""COMPUTED_VALUE"""),"778🤙🏼The Bourne Supremacy🤙🏼Joan Allen🤙🏼Estrela 3")</f>
        <v>778🤙🏼The Bourne Supremacy🤙🏼Joan Allen🤙🏼Estrela 3</v>
      </c>
      <c r="H3112" s="5">
        <f>IFERROR(__xludf.DUMMYFUNCTION("SPLiT(G3112, ""🤙🏼"",FALSE,FALSE)"),778.0)</f>
        <v>778</v>
      </c>
      <c r="I3112" s="5" t="str">
        <f>IFERROR(__xludf.DUMMYFUNCTION("""COMPUTED_VALUE"""),"The Bourne Supremacy")</f>
        <v>The Bourne Supremacy</v>
      </c>
      <c r="J3112" s="5" t="str">
        <f>IFERROR(__xludf.DUMMYFUNCTION("""COMPUTED_VALUE"""),"Joan Allen")</f>
        <v>Joan Allen</v>
      </c>
      <c r="K3112" s="5" t="str">
        <f>IFERROR(__xludf.DUMMYFUNCTION("""COMPUTED_VALUE"""),"Estrela 3")</f>
        <v>Estrela 3</v>
      </c>
      <c r="P3112" s="5">
        <f>IFERROR(__xludf.DUMMYFUNCTION("""COMPUTED_VALUE"""),778.0)</f>
        <v>778</v>
      </c>
      <c r="Q3112" s="5" t="str">
        <f>IFERROR(__xludf.DUMMYFUNCTION("""COMPUTED_VALUE"""),"The Bourne Supremacy")</f>
        <v>The Bourne Supremacy</v>
      </c>
      <c r="R3112" s="5" t="str">
        <f>IFERROR(__xludf.DUMMYFUNCTION("""COMPUTED_VALUE"""),"Joan Allen")</f>
        <v>Joan Allen</v>
      </c>
      <c r="S3112" s="5" t="str">
        <f>IFERROR(__xludf.DUMMYFUNCTION("""COMPUTED_VALUE"""),"Estrela 3")</f>
        <v>Estrela 3</v>
      </c>
    </row>
    <row r="3113">
      <c r="G3113" s="5" t="str">
        <f>IFERROR(__xludf.DUMMYFUNCTION("""COMPUTED_VALUE"""),"778🤙🏼The Bourne Supremacy🤙🏼Brian Cox🤙🏼Estrela 4")</f>
        <v>778🤙🏼The Bourne Supremacy🤙🏼Brian Cox🤙🏼Estrela 4</v>
      </c>
      <c r="H3113" s="5">
        <f>IFERROR(__xludf.DUMMYFUNCTION("SPLiT(G3113, ""🤙🏼"",FALSE,FALSE)"),778.0)</f>
        <v>778</v>
      </c>
      <c r="I3113" s="5" t="str">
        <f>IFERROR(__xludf.DUMMYFUNCTION("""COMPUTED_VALUE"""),"The Bourne Supremacy")</f>
        <v>The Bourne Supremacy</v>
      </c>
      <c r="J3113" s="5" t="str">
        <f>IFERROR(__xludf.DUMMYFUNCTION("""COMPUTED_VALUE"""),"Brian Cox")</f>
        <v>Brian Cox</v>
      </c>
      <c r="K3113" s="5" t="str">
        <f>IFERROR(__xludf.DUMMYFUNCTION("""COMPUTED_VALUE"""),"Estrela 4")</f>
        <v>Estrela 4</v>
      </c>
      <c r="P3113" s="5">
        <f>IFERROR(__xludf.DUMMYFUNCTION("""COMPUTED_VALUE"""),778.0)</f>
        <v>778</v>
      </c>
      <c r="Q3113" s="5" t="str">
        <f>IFERROR(__xludf.DUMMYFUNCTION("""COMPUTED_VALUE"""),"The Bourne Supremacy")</f>
        <v>The Bourne Supremacy</v>
      </c>
      <c r="R3113" s="5" t="str">
        <f>IFERROR(__xludf.DUMMYFUNCTION("""COMPUTED_VALUE"""),"Brian Cox")</f>
        <v>Brian Cox</v>
      </c>
      <c r="S3113" s="5" t="str">
        <f>IFERROR(__xludf.DUMMYFUNCTION("""COMPUTED_VALUE"""),"Estrela 4")</f>
        <v>Estrela 4</v>
      </c>
    </row>
    <row r="3114">
      <c r="G3114" s="5" t="str">
        <f>IFERROR(__xludf.DUMMYFUNCTION("""COMPUTED_VALUE"""),"779🤙🏼The Machinist🤙🏼Christian Bale🤙🏼Estrela 1")</f>
        <v>779🤙🏼The Machinist🤙🏼Christian Bale🤙🏼Estrela 1</v>
      </c>
      <c r="H3114" s="5">
        <f>IFERROR(__xludf.DUMMYFUNCTION("SPLiT(G3114, ""🤙🏼"",FALSE,FALSE)"),779.0)</f>
        <v>779</v>
      </c>
      <c r="I3114" s="5" t="str">
        <f>IFERROR(__xludf.DUMMYFUNCTION("""COMPUTED_VALUE"""),"The Machinist")</f>
        <v>The Machinist</v>
      </c>
      <c r="J3114" s="5" t="str">
        <f>IFERROR(__xludf.DUMMYFUNCTION("""COMPUTED_VALUE"""),"Christian Bale")</f>
        <v>Christian Bale</v>
      </c>
      <c r="K3114" s="5" t="str">
        <f>IFERROR(__xludf.DUMMYFUNCTION("""COMPUTED_VALUE"""),"Estrela 1")</f>
        <v>Estrela 1</v>
      </c>
      <c r="P3114" s="5">
        <f>IFERROR(__xludf.DUMMYFUNCTION("""COMPUTED_VALUE"""),779.0)</f>
        <v>779</v>
      </c>
      <c r="Q3114" s="5" t="str">
        <f>IFERROR(__xludf.DUMMYFUNCTION("""COMPUTED_VALUE"""),"The Machinist")</f>
        <v>The Machinist</v>
      </c>
      <c r="R3114" s="5" t="str">
        <f>IFERROR(__xludf.DUMMYFUNCTION("""COMPUTED_VALUE"""),"Christian Bale")</f>
        <v>Christian Bale</v>
      </c>
      <c r="S3114" s="5" t="str">
        <f>IFERROR(__xludf.DUMMYFUNCTION("""COMPUTED_VALUE"""),"Estrela 1")</f>
        <v>Estrela 1</v>
      </c>
    </row>
    <row r="3115">
      <c r="G3115" s="5" t="str">
        <f>IFERROR(__xludf.DUMMYFUNCTION("""COMPUTED_VALUE"""),"779🤙🏼The Machinist🤙🏼Jennifer Jason Leigh🤙🏼Estrela 2")</f>
        <v>779🤙🏼The Machinist🤙🏼Jennifer Jason Leigh🤙🏼Estrela 2</v>
      </c>
      <c r="H3115" s="5">
        <f>IFERROR(__xludf.DUMMYFUNCTION("SPLiT(G3115, ""🤙🏼"",FALSE,FALSE)"),779.0)</f>
        <v>779</v>
      </c>
      <c r="I3115" s="5" t="str">
        <f>IFERROR(__xludf.DUMMYFUNCTION("""COMPUTED_VALUE"""),"The Machinist")</f>
        <v>The Machinist</v>
      </c>
      <c r="J3115" s="5" t="str">
        <f>IFERROR(__xludf.DUMMYFUNCTION("""COMPUTED_VALUE"""),"Jennifer Jason Leigh")</f>
        <v>Jennifer Jason Leigh</v>
      </c>
      <c r="K3115" s="5" t="str">
        <f>IFERROR(__xludf.DUMMYFUNCTION("""COMPUTED_VALUE"""),"Estrela 2")</f>
        <v>Estrela 2</v>
      </c>
      <c r="P3115" s="5">
        <f>IFERROR(__xludf.DUMMYFUNCTION("""COMPUTED_VALUE"""),779.0)</f>
        <v>779</v>
      </c>
      <c r="Q3115" s="5" t="str">
        <f>IFERROR(__xludf.DUMMYFUNCTION("""COMPUTED_VALUE"""),"The Machinist")</f>
        <v>The Machinist</v>
      </c>
      <c r="R3115" s="5" t="str">
        <f>IFERROR(__xludf.DUMMYFUNCTION("""COMPUTED_VALUE"""),"Jennifer Jason Leigh")</f>
        <v>Jennifer Jason Leigh</v>
      </c>
      <c r="S3115" s="5" t="str">
        <f>IFERROR(__xludf.DUMMYFUNCTION("""COMPUTED_VALUE"""),"Estrela 2")</f>
        <v>Estrela 2</v>
      </c>
    </row>
    <row r="3116">
      <c r="G3116" s="5" t="str">
        <f>IFERROR(__xludf.DUMMYFUNCTION("""COMPUTED_VALUE"""),"779🤙🏼The Machinist🤙🏼Aitana Sánchez-Gijón🤙🏼Estrela 3")</f>
        <v>779🤙🏼The Machinist🤙🏼Aitana Sánchez-Gijón🤙🏼Estrela 3</v>
      </c>
      <c r="H3116" s="5">
        <f>IFERROR(__xludf.DUMMYFUNCTION("SPLiT(G3116, ""🤙🏼"",FALSE,FALSE)"),779.0)</f>
        <v>779</v>
      </c>
      <c r="I3116" s="5" t="str">
        <f>IFERROR(__xludf.DUMMYFUNCTION("""COMPUTED_VALUE"""),"The Machinist")</f>
        <v>The Machinist</v>
      </c>
      <c r="J3116" s="5" t="str">
        <f>IFERROR(__xludf.DUMMYFUNCTION("""COMPUTED_VALUE"""),"Aitana Sánchez-Gijón")</f>
        <v>Aitana Sánchez-Gijón</v>
      </c>
      <c r="K3116" s="5" t="str">
        <f>IFERROR(__xludf.DUMMYFUNCTION("""COMPUTED_VALUE"""),"Estrela 3")</f>
        <v>Estrela 3</v>
      </c>
      <c r="P3116" s="5">
        <f>IFERROR(__xludf.DUMMYFUNCTION("""COMPUTED_VALUE"""),779.0)</f>
        <v>779</v>
      </c>
      <c r="Q3116" s="5" t="str">
        <f>IFERROR(__xludf.DUMMYFUNCTION("""COMPUTED_VALUE"""),"The Machinist")</f>
        <v>The Machinist</v>
      </c>
      <c r="R3116" s="5" t="str">
        <f>IFERROR(__xludf.DUMMYFUNCTION("""COMPUTED_VALUE"""),"Aitana Sánchez-Gijón")</f>
        <v>Aitana Sánchez-Gijón</v>
      </c>
      <c r="S3116" s="5" t="str">
        <f>IFERROR(__xludf.DUMMYFUNCTION("""COMPUTED_VALUE"""),"Estrela 3")</f>
        <v>Estrela 3</v>
      </c>
    </row>
    <row r="3117">
      <c r="G3117" s="5" t="str">
        <f>IFERROR(__xludf.DUMMYFUNCTION("""COMPUTED_VALUE"""),"779🤙🏼The Machinist🤙🏼John Sharian🤙🏼Estrela 4")</f>
        <v>779🤙🏼The Machinist🤙🏼John Sharian🤙🏼Estrela 4</v>
      </c>
      <c r="H3117" s="5">
        <f>IFERROR(__xludf.DUMMYFUNCTION("SPLiT(G3117, ""🤙🏼"",FALSE,FALSE)"),779.0)</f>
        <v>779</v>
      </c>
      <c r="I3117" s="5" t="str">
        <f>IFERROR(__xludf.DUMMYFUNCTION("""COMPUTED_VALUE"""),"The Machinist")</f>
        <v>The Machinist</v>
      </c>
      <c r="J3117" s="5" t="str">
        <f>IFERROR(__xludf.DUMMYFUNCTION("""COMPUTED_VALUE"""),"John Sharian")</f>
        <v>John Sharian</v>
      </c>
      <c r="K3117" s="5" t="str">
        <f>IFERROR(__xludf.DUMMYFUNCTION("""COMPUTED_VALUE"""),"Estrela 4")</f>
        <v>Estrela 4</v>
      </c>
      <c r="P3117" s="5">
        <f>IFERROR(__xludf.DUMMYFUNCTION("""COMPUTED_VALUE"""),779.0)</f>
        <v>779</v>
      </c>
      <c r="Q3117" s="5" t="str">
        <f>IFERROR(__xludf.DUMMYFUNCTION("""COMPUTED_VALUE"""),"The Machinist")</f>
        <v>The Machinist</v>
      </c>
      <c r="R3117" s="5" t="str">
        <f>IFERROR(__xludf.DUMMYFUNCTION("""COMPUTED_VALUE"""),"John Sharian")</f>
        <v>John Sharian</v>
      </c>
      <c r="S3117" s="5" t="str">
        <f>IFERROR(__xludf.DUMMYFUNCTION("""COMPUTED_VALUE"""),"Estrela 4")</f>
        <v>Estrela 4</v>
      </c>
    </row>
    <row r="3118">
      <c r="G3118" s="5" t="str">
        <f>IFERROR(__xludf.DUMMYFUNCTION("""COMPUTED_VALUE"""),"780🤙🏼Ray🤙🏼Jamie Foxx🤙🏼Estrela 1")</f>
        <v>780🤙🏼Ray🤙🏼Jamie Foxx🤙🏼Estrela 1</v>
      </c>
      <c r="H3118" s="5">
        <f>IFERROR(__xludf.DUMMYFUNCTION("SPLiT(G3118, ""🤙🏼"",FALSE,FALSE)"),780.0)</f>
        <v>780</v>
      </c>
      <c r="I3118" s="5" t="str">
        <f>IFERROR(__xludf.DUMMYFUNCTION("""COMPUTED_VALUE"""),"Ray")</f>
        <v>Ray</v>
      </c>
      <c r="J3118" s="5" t="str">
        <f>IFERROR(__xludf.DUMMYFUNCTION("""COMPUTED_VALUE"""),"Jamie Foxx")</f>
        <v>Jamie Foxx</v>
      </c>
      <c r="K3118" s="5" t="str">
        <f>IFERROR(__xludf.DUMMYFUNCTION("""COMPUTED_VALUE"""),"Estrela 1")</f>
        <v>Estrela 1</v>
      </c>
      <c r="P3118" s="5">
        <f>IFERROR(__xludf.DUMMYFUNCTION("""COMPUTED_VALUE"""),780.0)</f>
        <v>780</v>
      </c>
      <c r="Q3118" s="5" t="str">
        <f>IFERROR(__xludf.DUMMYFUNCTION("""COMPUTED_VALUE"""),"Ray")</f>
        <v>Ray</v>
      </c>
      <c r="R3118" s="5" t="str">
        <f>IFERROR(__xludf.DUMMYFUNCTION("""COMPUTED_VALUE"""),"Jamie Foxx")</f>
        <v>Jamie Foxx</v>
      </c>
      <c r="S3118" s="5" t="str">
        <f>IFERROR(__xludf.DUMMYFUNCTION("""COMPUTED_VALUE"""),"Estrela 1")</f>
        <v>Estrela 1</v>
      </c>
    </row>
    <row r="3119">
      <c r="G3119" s="5" t="str">
        <f>IFERROR(__xludf.DUMMYFUNCTION("""COMPUTED_VALUE"""),"780🤙🏼Ray🤙🏼Regina King🤙🏼Estrela 2")</f>
        <v>780🤙🏼Ray🤙🏼Regina King🤙🏼Estrela 2</v>
      </c>
      <c r="H3119" s="5">
        <f>IFERROR(__xludf.DUMMYFUNCTION("SPLiT(G3119, ""🤙🏼"",FALSE,FALSE)"),780.0)</f>
        <v>780</v>
      </c>
      <c r="I3119" s="5" t="str">
        <f>IFERROR(__xludf.DUMMYFUNCTION("""COMPUTED_VALUE"""),"Ray")</f>
        <v>Ray</v>
      </c>
      <c r="J3119" s="5" t="str">
        <f>IFERROR(__xludf.DUMMYFUNCTION("""COMPUTED_VALUE"""),"Regina King")</f>
        <v>Regina King</v>
      </c>
      <c r="K3119" s="5" t="str">
        <f>IFERROR(__xludf.DUMMYFUNCTION("""COMPUTED_VALUE"""),"Estrela 2")</f>
        <v>Estrela 2</v>
      </c>
      <c r="P3119" s="5">
        <f>IFERROR(__xludf.DUMMYFUNCTION("""COMPUTED_VALUE"""),780.0)</f>
        <v>780</v>
      </c>
      <c r="Q3119" s="5" t="str">
        <f>IFERROR(__xludf.DUMMYFUNCTION("""COMPUTED_VALUE"""),"Ray")</f>
        <v>Ray</v>
      </c>
      <c r="R3119" s="5" t="str">
        <f>IFERROR(__xludf.DUMMYFUNCTION("""COMPUTED_VALUE"""),"Regina King")</f>
        <v>Regina King</v>
      </c>
      <c r="S3119" s="5" t="str">
        <f>IFERROR(__xludf.DUMMYFUNCTION("""COMPUTED_VALUE"""),"Estrela 2")</f>
        <v>Estrela 2</v>
      </c>
    </row>
    <row r="3120">
      <c r="G3120" s="5" t="str">
        <f>IFERROR(__xludf.DUMMYFUNCTION("""COMPUTED_VALUE"""),"780🤙🏼Ray🤙🏼Kerry Washington🤙🏼Estrela 3")</f>
        <v>780🤙🏼Ray🤙🏼Kerry Washington🤙🏼Estrela 3</v>
      </c>
      <c r="H3120" s="5">
        <f>IFERROR(__xludf.DUMMYFUNCTION("SPLiT(G3120, ""🤙🏼"",FALSE,FALSE)"),780.0)</f>
        <v>780</v>
      </c>
      <c r="I3120" s="5" t="str">
        <f>IFERROR(__xludf.DUMMYFUNCTION("""COMPUTED_VALUE"""),"Ray")</f>
        <v>Ray</v>
      </c>
      <c r="J3120" s="5" t="str">
        <f>IFERROR(__xludf.DUMMYFUNCTION("""COMPUTED_VALUE"""),"Kerry Washington")</f>
        <v>Kerry Washington</v>
      </c>
      <c r="K3120" s="5" t="str">
        <f>IFERROR(__xludf.DUMMYFUNCTION("""COMPUTED_VALUE"""),"Estrela 3")</f>
        <v>Estrela 3</v>
      </c>
      <c r="P3120" s="5">
        <f>IFERROR(__xludf.DUMMYFUNCTION("""COMPUTED_VALUE"""),780.0)</f>
        <v>780</v>
      </c>
      <c r="Q3120" s="5" t="str">
        <f>IFERROR(__xludf.DUMMYFUNCTION("""COMPUTED_VALUE"""),"Ray")</f>
        <v>Ray</v>
      </c>
      <c r="R3120" s="5" t="str">
        <f>IFERROR(__xludf.DUMMYFUNCTION("""COMPUTED_VALUE"""),"Kerry Washington")</f>
        <v>Kerry Washington</v>
      </c>
      <c r="S3120" s="5" t="str">
        <f>IFERROR(__xludf.DUMMYFUNCTION("""COMPUTED_VALUE"""),"Estrela 3")</f>
        <v>Estrela 3</v>
      </c>
    </row>
    <row r="3121">
      <c r="G3121" s="5" t="str">
        <f>IFERROR(__xludf.DUMMYFUNCTION("""COMPUTED_VALUE"""),"780🤙🏼Ray🤙🏼Clifton Powell🤙🏼Estrela 4")</f>
        <v>780🤙🏼Ray🤙🏼Clifton Powell🤙🏼Estrela 4</v>
      </c>
      <c r="H3121" s="5">
        <f>IFERROR(__xludf.DUMMYFUNCTION("SPLiT(G3121, ""🤙🏼"",FALSE,FALSE)"),780.0)</f>
        <v>780</v>
      </c>
      <c r="I3121" s="5" t="str">
        <f>IFERROR(__xludf.DUMMYFUNCTION("""COMPUTED_VALUE"""),"Ray")</f>
        <v>Ray</v>
      </c>
      <c r="J3121" s="5" t="str">
        <f>IFERROR(__xludf.DUMMYFUNCTION("""COMPUTED_VALUE"""),"Clifton Powell")</f>
        <v>Clifton Powell</v>
      </c>
      <c r="K3121" s="5" t="str">
        <f>IFERROR(__xludf.DUMMYFUNCTION("""COMPUTED_VALUE"""),"Estrela 4")</f>
        <v>Estrela 4</v>
      </c>
      <c r="P3121" s="5">
        <f>IFERROR(__xludf.DUMMYFUNCTION("""COMPUTED_VALUE"""),780.0)</f>
        <v>780</v>
      </c>
      <c r="Q3121" s="5" t="str">
        <f>IFERROR(__xludf.DUMMYFUNCTION("""COMPUTED_VALUE"""),"Ray")</f>
        <v>Ray</v>
      </c>
      <c r="R3121" s="5" t="str">
        <f>IFERROR(__xludf.DUMMYFUNCTION("""COMPUTED_VALUE"""),"Clifton Powell")</f>
        <v>Clifton Powell</v>
      </c>
      <c r="S3121" s="5" t="str">
        <f>IFERROR(__xludf.DUMMYFUNCTION("""COMPUTED_VALUE"""),"Estrela 4")</f>
        <v>Estrela 4</v>
      </c>
    </row>
    <row r="3122">
      <c r="G3122" s="5" t="str">
        <f>IFERROR(__xludf.DUMMYFUNCTION("""COMPUTED_VALUE"""),"781🤙🏼Lost in Translation🤙🏼Bill Murray🤙🏼Estrela 1")</f>
        <v>781🤙🏼Lost in Translation🤙🏼Bill Murray🤙🏼Estrela 1</v>
      </c>
      <c r="H3122" s="5">
        <f>IFERROR(__xludf.DUMMYFUNCTION("SPLiT(G3122, ""🤙🏼"",FALSE,FALSE)"),781.0)</f>
        <v>781</v>
      </c>
      <c r="I3122" s="5" t="str">
        <f>IFERROR(__xludf.DUMMYFUNCTION("""COMPUTED_VALUE"""),"Lost in Translation")</f>
        <v>Lost in Translation</v>
      </c>
      <c r="J3122" s="5" t="str">
        <f>IFERROR(__xludf.DUMMYFUNCTION("""COMPUTED_VALUE"""),"Bill Murray")</f>
        <v>Bill Murray</v>
      </c>
      <c r="K3122" s="5" t="str">
        <f>IFERROR(__xludf.DUMMYFUNCTION("""COMPUTED_VALUE"""),"Estrela 1")</f>
        <v>Estrela 1</v>
      </c>
      <c r="P3122" s="5">
        <f>IFERROR(__xludf.DUMMYFUNCTION("""COMPUTED_VALUE"""),781.0)</f>
        <v>781</v>
      </c>
      <c r="Q3122" s="5" t="str">
        <f>IFERROR(__xludf.DUMMYFUNCTION("""COMPUTED_VALUE"""),"Lost in Translation")</f>
        <v>Lost in Translation</v>
      </c>
      <c r="R3122" s="5" t="str">
        <f>IFERROR(__xludf.DUMMYFUNCTION("""COMPUTED_VALUE"""),"Bill Murray")</f>
        <v>Bill Murray</v>
      </c>
      <c r="S3122" s="5" t="str">
        <f>IFERROR(__xludf.DUMMYFUNCTION("""COMPUTED_VALUE"""),"Estrela 1")</f>
        <v>Estrela 1</v>
      </c>
    </row>
    <row r="3123">
      <c r="G3123" s="5" t="str">
        <f>IFERROR(__xludf.DUMMYFUNCTION("""COMPUTED_VALUE"""),"781🤙🏼Lost in Translation🤙🏼Scarlett Johansson🤙🏼Estrela 2")</f>
        <v>781🤙🏼Lost in Translation🤙🏼Scarlett Johansson🤙🏼Estrela 2</v>
      </c>
      <c r="H3123" s="5">
        <f>IFERROR(__xludf.DUMMYFUNCTION("SPLiT(G3123, ""🤙🏼"",FALSE,FALSE)"),781.0)</f>
        <v>781</v>
      </c>
      <c r="I3123" s="5" t="str">
        <f>IFERROR(__xludf.DUMMYFUNCTION("""COMPUTED_VALUE"""),"Lost in Translation")</f>
        <v>Lost in Translation</v>
      </c>
      <c r="J3123" s="5" t="str">
        <f>IFERROR(__xludf.DUMMYFUNCTION("""COMPUTED_VALUE"""),"Scarlett Johansson")</f>
        <v>Scarlett Johansson</v>
      </c>
      <c r="K3123" s="5" t="str">
        <f>IFERROR(__xludf.DUMMYFUNCTION("""COMPUTED_VALUE"""),"Estrela 2")</f>
        <v>Estrela 2</v>
      </c>
      <c r="P3123" s="5">
        <f>IFERROR(__xludf.DUMMYFUNCTION("""COMPUTED_VALUE"""),781.0)</f>
        <v>781</v>
      </c>
      <c r="Q3123" s="5" t="str">
        <f>IFERROR(__xludf.DUMMYFUNCTION("""COMPUTED_VALUE"""),"Lost in Translation")</f>
        <v>Lost in Translation</v>
      </c>
      <c r="R3123" s="5" t="str">
        <f>IFERROR(__xludf.DUMMYFUNCTION("""COMPUTED_VALUE"""),"Scarlett Johansson")</f>
        <v>Scarlett Johansson</v>
      </c>
      <c r="S3123" s="5" t="str">
        <f>IFERROR(__xludf.DUMMYFUNCTION("""COMPUTED_VALUE"""),"Estrela 2")</f>
        <v>Estrela 2</v>
      </c>
    </row>
    <row r="3124">
      <c r="G3124" s="5" t="str">
        <f>IFERROR(__xludf.DUMMYFUNCTION("""COMPUTED_VALUE"""),"781🤙🏼Lost in Translation🤙🏼Giovanni Ribisi🤙🏼Estrela 3")</f>
        <v>781🤙🏼Lost in Translation🤙🏼Giovanni Ribisi🤙🏼Estrela 3</v>
      </c>
      <c r="H3124" s="5">
        <f>IFERROR(__xludf.DUMMYFUNCTION("SPLiT(G3124, ""🤙🏼"",FALSE,FALSE)"),781.0)</f>
        <v>781</v>
      </c>
      <c r="I3124" s="5" t="str">
        <f>IFERROR(__xludf.DUMMYFUNCTION("""COMPUTED_VALUE"""),"Lost in Translation")</f>
        <v>Lost in Translation</v>
      </c>
      <c r="J3124" s="5" t="str">
        <f>IFERROR(__xludf.DUMMYFUNCTION("""COMPUTED_VALUE"""),"Giovanni Ribisi")</f>
        <v>Giovanni Ribisi</v>
      </c>
      <c r="K3124" s="5" t="str">
        <f>IFERROR(__xludf.DUMMYFUNCTION("""COMPUTED_VALUE"""),"Estrela 3")</f>
        <v>Estrela 3</v>
      </c>
      <c r="P3124" s="5">
        <f>IFERROR(__xludf.DUMMYFUNCTION("""COMPUTED_VALUE"""),781.0)</f>
        <v>781</v>
      </c>
      <c r="Q3124" s="5" t="str">
        <f>IFERROR(__xludf.DUMMYFUNCTION("""COMPUTED_VALUE"""),"Lost in Translation")</f>
        <v>Lost in Translation</v>
      </c>
      <c r="R3124" s="5" t="str">
        <f>IFERROR(__xludf.DUMMYFUNCTION("""COMPUTED_VALUE"""),"Giovanni Ribisi")</f>
        <v>Giovanni Ribisi</v>
      </c>
      <c r="S3124" s="5" t="str">
        <f>IFERROR(__xludf.DUMMYFUNCTION("""COMPUTED_VALUE"""),"Estrela 3")</f>
        <v>Estrela 3</v>
      </c>
    </row>
    <row r="3125">
      <c r="G3125" s="5" t="str">
        <f>IFERROR(__xludf.DUMMYFUNCTION("""COMPUTED_VALUE"""),"781🤙🏼Lost in Translation🤙🏼Anna Faris🤙🏼Estrela 4")</f>
        <v>781🤙🏼Lost in Translation🤙🏼Anna Faris🤙🏼Estrela 4</v>
      </c>
      <c r="H3125" s="5">
        <f>IFERROR(__xludf.DUMMYFUNCTION("SPLiT(G3125, ""🤙🏼"",FALSE,FALSE)"),781.0)</f>
        <v>781</v>
      </c>
      <c r="I3125" s="5" t="str">
        <f>IFERROR(__xludf.DUMMYFUNCTION("""COMPUTED_VALUE"""),"Lost in Translation")</f>
        <v>Lost in Translation</v>
      </c>
      <c r="J3125" s="5" t="str">
        <f>IFERROR(__xludf.DUMMYFUNCTION("""COMPUTED_VALUE"""),"Anna Faris")</f>
        <v>Anna Faris</v>
      </c>
      <c r="K3125" s="5" t="str">
        <f>IFERROR(__xludf.DUMMYFUNCTION("""COMPUTED_VALUE"""),"Estrela 4")</f>
        <v>Estrela 4</v>
      </c>
      <c r="P3125" s="5">
        <f>IFERROR(__xludf.DUMMYFUNCTION("""COMPUTED_VALUE"""),781.0)</f>
        <v>781</v>
      </c>
      <c r="Q3125" s="5" t="str">
        <f>IFERROR(__xludf.DUMMYFUNCTION("""COMPUTED_VALUE"""),"Lost in Translation")</f>
        <v>Lost in Translation</v>
      </c>
      <c r="R3125" s="5" t="str">
        <f>IFERROR(__xludf.DUMMYFUNCTION("""COMPUTED_VALUE"""),"Anna Faris")</f>
        <v>Anna Faris</v>
      </c>
      <c r="S3125" s="5" t="str">
        <f>IFERROR(__xludf.DUMMYFUNCTION("""COMPUTED_VALUE"""),"Estrela 4")</f>
        <v>Estrela 4</v>
      </c>
    </row>
    <row r="3126">
      <c r="G3126" s="5" t="str">
        <f>IFERROR(__xludf.DUMMYFUNCTION("""COMPUTED_VALUE"""),"782🤙🏼Harry Potter and the Goblet of Fire🤙🏼Daniel Radcliffe🤙🏼Estrela 1")</f>
        <v>782🤙🏼Harry Potter and the Goblet of Fire🤙🏼Daniel Radcliffe🤙🏼Estrela 1</v>
      </c>
      <c r="H3126" s="5">
        <f>IFERROR(__xludf.DUMMYFUNCTION("SPLiT(G3126, ""🤙🏼"",FALSE,FALSE)"),782.0)</f>
        <v>782</v>
      </c>
      <c r="I3126" s="5" t="str">
        <f>IFERROR(__xludf.DUMMYFUNCTION("""COMPUTED_VALUE"""),"Harry Potter and the Goblet of Fire")</f>
        <v>Harry Potter and the Goblet of Fire</v>
      </c>
      <c r="J3126" s="5" t="str">
        <f>IFERROR(__xludf.DUMMYFUNCTION("""COMPUTED_VALUE"""),"Daniel Radcliffe")</f>
        <v>Daniel Radcliffe</v>
      </c>
      <c r="K3126" s="5" t="str">
        <f>IFERROR(__xludf.DUMMYFUNCTION("""COMPUTED_VALUE"""),"Estrela 1")</f>
        <v>Estrela 1</v>
      </c>
      <c r="P3126" s="5">
        <f>IFERROR(__xludf.DUMMYFUNCTION("""COMPUTED_VALUE"""),782.0)</f>
        <v>782</v>
      </c>
      <c r="Q3126" s="5" t="str">
        <f>IFERROR(__xludf.DUMMYFUNCTION("""COMPUTED_VALUE"""),"Harry Potter and the Goblet of Fire")</f>
        <v>Harry Potter and the Goblet of Fire</v>
      </c>
      <c r="R3126" s="5" t="str">
        <f>IFERROR(__xludf.DUMMYFUNCTION("""COMPUTED_VALUE"""),"Daniel Radcliffe")</f>
        <v>Daniel Radcliffe</v>
      </c>
      <c r="S3126" s="5" t="str">
        <f>IFERROR(__xludf.DUMMYFUNCTION("""COMPUTED_VALUE"""),"Estrela 1")</f>
        <v>Estrela 1</v>
      </c>
    </row>
    <row r="3127">
      <c r="G3127" s="5" t="str">
        <f>IFERROR(__xludf.DUMMYFUNCTION("""COMPUTED_VALUE"""),"782🤙🏼Harry Potter and the Goblet of Fire🤙🏼Emma Watson🤙🏼Estrela 2")</f>
        <v>782🤙🏼Harry Potter and the Goblet of Fire🤙🏼Emma Watson🤙🏼Estrela 2</v>
      </c>
      <c r="H3127" s="5">
        <f>IFERROR(__xludf.DUMMYFUNCTION("SPLiT(G3127, ""🤙🏼"",FALSE,FALSE)"),782.0)</f>
        <v>782</v>
      </c>
      <c r="I3127" s="5" t="str">
        <f>IFERROR(__xludf.DUMMYFUNCTION("""COMPUTED_VALUE"""),"Harry Potter and the Goblet of Fire")</f>
        <v>Harry Potter and the Goblet of Fire</v>
      </c>
      <c r="J3127" s="5" t="str">
        <f>IFERROR(__xludf.DUMMYFUNCTION("""COMPUTED_VALUE"""),"Emma Watson")</f>
        <v>Emma Watson</v>
      </c>
      <c r="K3127" s="5" t="str">
        <f>IFERROR(__xludf.DUMMYFUNCTION("""COMPUTED_VALUE"""),"Estrela 2")</f>
        <v>Estrela 2</v>
      </c>
      <c r="P3127" s="5">
        <f>IFERROR(__xludf.DUMMYFUNCTION("""COMPUTED_VALUE"""),782.0)</f>
        <v>782</v>
      </c>
      <c r="Q3127" s="5" t="str">
        <f>IFERROR(__xludf.DUMMYFUNCTION("""COMPUTED_VALUE"""),"Harry Potter and the Goblet of Fire")</f>
        <v>Harry Potter and the Goblet of Fire</v>
      </c>
      <c r="R3127" s="5" t="str">
        <f>IFERROR(__xludf.DUMMYFUNCTION("""COMPUTED_VALUE"""),"Emma Watson")</f>
        <v>Emma Watson</v>
      </c>
      <c r="S3127" s="5" t="str">
        <f>IFERROR(__xludf.DUMMYFUNCTION("""COMPUTED_VALUE"""),"Estrela 2")</f>
        <v>Estrela 2</v>
      </c>
    </row>
    <row r="3128">
      <c r="G3128" s="5" t="str">
        <f>IFERROR(__xludf.DUMMYFUNCTION("""COMPUTED_VALUE"""),"782🤙🏼Harry Potter and the Goblet of Fire🤙🏼Rupert Grint🤙🏼Estrela 3")</f>
        <v>782🤙🏼Harry Potter and the Goblet of Fire🤙🏼Rupert Grint🤙🏼Estrela 3</v>
      </c>
      <c r="H3128" s="5">
        <f>IFERROR(__xludf.DUMMYFUNCTION("SPLiT(G3128, ""🤙🏼"",FALSE,FALSE)"),782.0)</f>
        <v>782</v>
      </c>
      <c r="I3128" s="5" t="str">
        <f>IFERROR(__xludf.DUMMYFUNCTION("""COMPUTED_VALUE"""),"Harry Potter and the Goblet of Fire")</f>
        <v>Harry Potter and the Goblet of Fire</v>
      </c>
      <c r="J3128" s="5" t="str">
        <f>IFERROR(__xludf.DUMMYFUNCTION("""COMPUTED_VALUE"""),"Rupert Grint")</f>
        <v>Rupert Grint</v>
      </c>
      <c r="K3128" s="5" t="str">
        <f>IFERROR(__xludf.DUMMYFUNCTION("""COMPUTED_VALUE"""),"Estrela 3")</f>
        <v>Estrela 3</v>
      </c>
      <c r="P3128" s="5">
        <f>IFERROR(__xludf.DUMMYFUNCTION("""COMPUTED_VALUE"""),782.0)</f>
        <v>782</v>
      </c>
      <c r="Q3128" s="5" t="str">
        <f>IFERROR(__xludf.DUMMYFUNCTION("""COMPUTED_VALUE"""),"Harry Potter and the Goblet of Fire")</f>
        <v>Harry Potter and the Goblet of Fire</v>
      </c>
      <c r="R3128" s="5" t="str">
        <f>IFERROR(__xludf.DUMMYFUNCTION("""COMPUTED_VALUE"""),"Rupert Grint")</f>
        <v>Rupert Grint</v>
      </c>
      <c r="S3128" s="5" t="str">
        <f>IFERROR(__xludf.DUMMYFUNCTION("""COMPUTED_VALUE"""),"Estrela 3")</f>
        <v>Estrela 3</v>
      </c>
    </row>
    <row r="3129">
      <c r="G3129" s="5" t="str">
        <f>IFERROR(__xludf.DUMMYFUNCTION("""COMPUTED_VALUE"""),"782🤙🏼Harry Potter and the Goblet of Fire🤙🏼Eric Sykes🤙🏼Estrela 4")</f>
        <v>782🤙🏼Harry Potter and the Goblet of Fire🤙🏼Eric Sykes🤙🏼Estrela 4</v>
      </c>
      <c r="H3129" s="5">
        <f>IFERROR(__xludf.DUMMYFUNCTION("SPLiT(G3129, ""🤙🏼"",FALSE,FALSE)"),782.0)</f>
        <v>782</v>
      </c>
      <c r="I3129" s="5" t="str">
        <f>IFERROR(__xludf.DUMMYFUNCTION("""COMPUTED_VALUE"""),"Harry Potter and the Goblet of Fire")</f>
        <v>Harry Potter and the Goblet of Fire</v>
      </c>
      <c r="J3129" s="5" t="str">
        <f>IFERROR(__xludf.DUMMYFUNCTION("""COMPUTED_VALUE"""),"Eric Sykes")</f>
        <v>Eric Sykes</v>
      </c>
      <c r="K3129" s="5" t="str">
        <f>IFERROR(__xludf.DUMMYFUNCTION("""COMPUTED_VALUE"""),"Estrela 4")</f>
        <v>Estrela 4</v>
      </c>
      <c r="P3129" s="5">
        <f>IFERROR(__xludf.DUMMYFUNCTION("""COMPUTED_VALUE"""),782.0)</f>
        <v>782</v>
      </c>
      <c r="Q3129" s="5" t="str">
        <f>IFERROR(__xludf.DUMMYFUNCTION("""COMPUTED_VALUE"""),"Harry Potter and the Goblet of Fire")</f>
        <v>Harry Potter and the Goblet of Fire</v>
      </c>
      <c r="R3129" s="5" t="str">
        <f>IFERROR(__xludf.DUMMYFUNCTION("""COMPUTED_VALUE"""),"Eric Sykes")</f>
        <v>Eric Sykes</v>
      </c>
      <c r="S3129" s="5" t="str">
        <f>IFERROR(__xludf.DUMMYFUNCTION("""COMPUTED_VALUE"""),"Estrela 4")</f>
        <v>Estrela 4</v>
      </c>
    </row>
    <row r="3130">
      <c r="G3130" s="5" t="str">
        <f>IFERROR(__xludf.DUMMYFUNCTION("""COMPUTED_VALUE"""),"783🤙🏼Man on Fire🤙🏼Denzel Washington🤙🏼Estrela 1")</f>
        <v>783🤙🏼Man on Fire🤙🏼Denzel Washington🤙🏼Estrela 1</v>
      </c>
      <c r="H3130" s="5">
        <f>IFERROR(__xludf.DUMMYFUNCTION("SPLiT(G3130, ""🤙🏼"",FALSE,FALSE)"),783.0)</f>
        <v>783</v>
      </c>
      <c r="I3130" s="5" t="str">
        <f>IFERROR(__xludf.DUMMYFUNCTION("""COMPUTED_VALUE"""),"Man on Fire")</f>
        <v>Man on Fire</v>
      </c>
      <c r="J3130" s="5" t="str">
        <f>IFERROR(__xludf.DUMMYFUNCTION("""COMPUTED_VALUE"""),"Denzel Washington")</f>
        <v>Denzel Washington</v>
      </c>
      <c r="K3130" s="5" t="str">
        <f>IFERROR(__xludf.DUMMYFUNCTION("""COMPUTED_VALUE"""),"Estrela 1")</f>
        <v>Estrela 1</v>
      </c>
      <c r="P3130" s="5">
        <f>IFERROR(__xludf.DUMMYFUNCTION("""COMPUTED_VALUE"""),783.0)</f>
        <v>783</v>
      </c>
      <c r="Q3130" s="5" t="str">
        <f>IFERROR(__xludf.DUMMYFUNCTION("""COMPUTED_VALUE"""),"Man on Fire")</f>
        <v>Man on Fire</v>
      </c>
      <c r="R3130" s="5" t="str">
        <f>IFERROR(__xludf.DUMMYFUNCTION("""COMPUTED_VALUE"""),"Denzel Washington")</f>
        <v>Denzel Washington</v>
      </c>
      <c r="S3130" s="5" t="str">
        <f>IFERROR(__xludf.DUMMYFUNCTION("""COMPUTED_VALUE"""),"Estrela 1")</f>
        <v>Estrela 1</v>
      </c>
    </row>
    <row r="3131">
      <c r="G3131" s="5" t="str">
        <f>IFERROR(__xludf.DUMMYFUNCTION("""COMPUTED_VALUE"""),"783🤙🏼Man on Fire🤙🏼Christopher Walken🤙🏼Estrela 2")</f>
        <v>783🤙🏼Man on Fire🤙🏼Christopher Walken🤙🏼Estrela 2</v>
      </c>
      <c r="H3131" s="5">
        <f>IFERROR(__xludf.DUMMYFUNCTION("SPLiT(G3131, ""🤙🏼"",FALSE,FALSE)"),783.0)</f>
        <v>783</v>
      </c>
      <c r="I3131" s="5" t="str">
        <f>IFERROR(__xludf.DUMMYFUNCTION("""COMPUTED_VALUE"""),"Man on Fire")</f>
        <v>Man on Fire</v>
      </c>
      <c r="J3131" s="5" t="str">
        <f>IFERROR(__xludf.DUMMYFUNCTION("""COMPUTED_VALUE"""),"Christopher Walken")</f>
        <v>Christopher Walken</v>
      </c>
      <c r="K3131" s="5" t="str">
        <f>IFERROR(__xludf.DUMMYFUNCTION("""COMPUTED_VALUE"""),"Estrela 2")</f>
        <v>Estrela 2</v>
      </c>
      <c r="P3131" s="5">
        <f>IFERROR(__xludf.DUMMYFUNCTION("""COMPUTED_VALUE"""),783.0)</f>
        <v>783</v>
      </c>
      <c r="Q3131" s="5" t="str">
        <f>IFERROR(__xludf.DUMMYFUNCTION("""COMPUTED_VALUE"""),"Man on Fire")</f>
        <v>Man on Fire</v>
      </c>
      <c r="R3131" s="5" t="str">
        <f>IFERROR(__xludf.DUMMYFUNCTION("""COMPUTED_VALUE"""),"Christopher Walken")</f>
        <v>Christopher Walken</v>
      </c>
      <c r="S3131" s="5" t="str">
        <f>IFERROR(__xludf.DUMMYFUNCTION("""COMPUTED_VALUE"""),"Estrela 2")</f>
        <v>Estrela 2</v>
      </c>
    </row>
    <row r="3132">
      <c r="G3132" s="5" t="str">
        <f>IFERROR(__xludf.DUMMYFUNCTION("""COMPUTED_VALUE"""),"783🤙🏼Man on Fire🤙🏼Dakota Fanning🤙🏼Estrela 3")</f>
        <v>783🤙🏼Man on Fire🤙🏼Dakota Fanning🤙🏼Estrela 3</v>
      </c>
      <c r="H3132" s="5">
        <f>IFERROR(__xludf.DUMMYFUNCTION("SPLiT(G3132, ""🤙🏼"",FALSE,FALSE)"),783.0)</f>
        <v>783</v>
      </c>
      <c r="I3132" s="5" t="str">
        <f>IFERROR(__xludf.DUMMYFUNCTION("""COMPUTED_VALUE"""),"Man on Fire")</f>
        <v>Man on Fire</v>
      </c>
      <c r="J3132" s="5" t="str">
        <f>IFERROR(__xludf.DUMMYFUNCTION("""COMPUTED_VALUE"""),"Dakota Fanning")</f>
        <v>Dakota Fanning</v>
      </c>
      <c r="K3132" s="5" t="str">
        <f>IFERROR(__xludf.DUMMYFUNCTION("""COMPUTED_VALUE"""),"Estrela 3")</f>
        <v>Estrela 3</v>
      </c>
      <c r="P3132" s="5">
        <f>IFERROR(__xludf.DUMMYFUNCTION("""COMPUTED_VALUE"""),783.0)</f>
        <v>783</v>
      </c>
      <c r="Q3132" s="5" t="str">
        <f>IFERROR(__xludf.DUMMYFUNCTION("""COMPUTED_VALUE"""),"Man on Fire")</f>
        <v>Man on Fire</v>
      </c>
      <c r="R3132" s="5" t="str">
        <f>IFERROR(__xludf.DUMMYFUNCTION("""COMPUTED_VALUE"""),"Dakota Fanning")</f>
        <v>Dakota Fanning</v>
      </c>
      <c r="S3132" s="5" t="str">
        <f>IFERROR(__xludf.DUMMYFUNCTION("""COMPUTED_VALUE"""),"Estrela 3")</f>
        <v>Estrela 3</v>
      </c>
    </row>
    <row r="3133">
      <c r="G3133" s="5" t="str">
        <f>IFERROR(__xludf.DUMMYFUNCTION("""COMPUTED_VALUE"""),"783🤙🏼Man on Fire🤙🏼Radha Mitchell🤙🏼Estrela 4")</f>
        <v>783🤙🏼Man on Fire🤙🏼Radha Mitchell🤙🏼Estrela 4</v>
      </c>
      <c r="H3133" s="5">
        <f>IFERROR(__xludf.DUMMYFUNCTION("SPLiT(G3133, ""🤙🏼"",FALSE,FALSE)"),783.0)</f>
        <v>783</v>
      </c>
      <c r="I3133" s="5" t="str">
        <f>IFERROR(__xludf.DUMMYFUNCTION("""COMPUTED_VALUE"""),"Man on Fire")</f>
        <v>Man on Fire</v>
      </c>
      <c r="J3133" s="5" t="str">
        <f>IFERROR(__xludf.DUMMYFUNCTION("""COMPUTED_VALUE"""),"Radha Mitchell")</f>
        <v>Radha Mitchell</v>
      </c>
      <c r="K3133" s="5" t="str">
        <f>IFERROR(__xludf.DUMMYFUNCTION("""COMPUTED_VALUE"""),"Estrela 4")</f>
        <v>Estrela 4</v>
      </c>
      <c r="P3133" s="5">
        <f>IFERROR(__xludf.DUMMYFUNCTION("""COMPUTED_VALUE"""),783.0)</f>
        <v>783</v>
      </c>
      <c r="Q3133" s="5" t="str">
        <f>IFERROR(__xludf.DUMMYFUNCTION("""COMPUTED_VALUE"""),"Man on Fire")</f>
        <v>Man on Fire</v>
      </c>
      <c r="R3133" s="5" t="str">
        <f>IFERROR(__xludf.DUMMYFUNCTION("""COMPUTED_VALUE"""),"Radha Mitchell")</f>
        <v>Radha Mitchell</v>
      </c>
      <c r="S3133" s="5" t="str">
        <f>IFERROR(__xludf.DUMMYFUNCTION("""COMPUTED_VALUE"""),"Estrela 4")</f>
        <v>Estrela 4</v>
      </c>
    </row>
    <row r="3134">
      <c r="G3134" s="5" t="str">
        <f>IFERROR(__xludf.DUMMYFUNCTION("""COMPUTED_VALUE"""),"784🤙🏼Coraline🤙🏼Dakota Fanning🤙🏼Estrela 1")</f>
        <v>784🤙🏼Coraline🤙🏼Dakota Fanning🤙🏼Estrela 1</v>
      </c>
      <c r="H3134" s="5">
        <f>IFERROR(__xludf.DUMMYFUNCTION("SPLiT(G3134, ""🤙🏼"",FALSE,FALSE)"),784.0)</f>
        <v>784</v>
      </c>
      <c r="I3134" s="5" t="str">
        <f>IFERROR(__xludf.DUMMYFUNCTION("""COMPUTED_VALUE"""),"Coraline")</f>
        <v>Coraline</v>
      </c>
      <c r="J3134" s="5" t="str">
        <f>IFERROR(__xludf.DUMMYFUNCTION("""COMPUTED_VALUE"""),"Dakota Fanning")</f>
        <v>Dakota Fanning</v>
      </c>
      <c r="K3134" s="5" t="str">
        <f>IFERROR(__xludf.DUMMYFUNCTION("""COMPUTED_VALUE"""),"Estrela 1")</f>
        <v>Estrela 1</v>
      </c>
      <c r="P3134" s="5">
        <f>IFERROR(__xludf.DUMMYFUNCTION("""COMPUTED_VALUE"""),784.0)</f>
        <v>784</v>
      </c>
      <c r="Q3134" s="5" t="str">
        <f>IFERROR(__xludf.DUMMYFUNCTION("""COMPUTED_VALUE"""),"Coraline")</f>
        <v>Coraline</v>
      </c>
      <c r="R3134" s="5" t="str">
        <f>IFERROR(__xludf.DUMMYFUNCTION("""COMPUTED_VALUE"""),"Dakota Fanning")</f>
        <v>Dakota Fanning</v>
      </c>
      <c r="S3134" s="5" t="str">
        <f>IFERROR(__xludf.DUMMYFUNCTION("""COMPUTED_VALUE"""),"Estrela 1")</f>
        <v>Estrela 1</v>
      </c>
    </row>
    <row r="3135">
      <c r="G3135" s="5" t="str">
        <f>IFERROR(__xludf.DUMMYFUNCTION("""COMPUTED_VALUE"""),"784🤙🏼Coraline🤙🏼Teri Hatcher🤙🏼Estrela 2")</f>
        <v>784🤙🏼Coraline🤙🏼Teri Hatcher🤙🏼Estrela 2</v>
      </c>
      <c r="H3135" s="5">
        <f>IFERROR(__xludf.DUMMYFUNCTION("SPLiT(G3135, ""🤙🏼"",FALSE,FALSE)"),784.0)</f>
        <v>784</v>
      </c>
      <c r="I3135" s="5" t="str">
        <f>IFERROR(__xludf.DUMMYFUNCTION("""COMPUTED_VALUE"""),"Coraline")</f>
        <v>Coraline</v>
      </c>
      <c r="J3135" s="5" t="str">
        <f>IFERROR(__xludf.DUMMYFUNCTION("""COMPUTED_VALUE"""),"Teri Hatcher")</f>
        <v>Teri Hatcher</v>
      </c>
      <c r="K3135" s="5" t="str">
        <f>IFERROR(__xludf.DUMMYFUNCTION("""COMPUTED_VALUE"""),"Estrela 2")</f>
        <v>Estrela 2</v>
      </c>
      <c r="P3135" s="5">
        <f>IFERROR(__xludf.DUMMYFUNCTION("""COMPUTED_VALUE"""),784.0)</f>
        <v>784</v>
      </c>
      <c r="Q3135" s="5" t="str">
        <f>IFERROR(__xludf.DUMMYFUNCTION("""COMPUTED_VALUE"""),"Coraline")</f>
        <v>Coraline</v>
      </c>
      <c r="R3135" s="5" t="str">
        <f>IFERROR(__xludf.DUMMYFUNCTION("""COMPUTED_VALUE"""),"Teri Hatcher")</f>
        <v>Teri Hatcher</v>
      </c>
      <c r="S3135" s="5" t="str">
        <f>IFERROR(__xludf.DUMMYFUNCTION("""COMPUTED_VALUE"""),"Estrela 2")</f>
        <v>Estrela 2</v>
      </c>
    </row>
    <row r="3136">
      <c r="G3136" s="5" t="str">
        <f>IFERROR(__xludf.DUMMYFUNCTION("""COMPUTED_VALUE"""),"784🤙🏼Coraline🤙🏼John Hodgman🤙🏼Estrela 3")</f>
        <v>784🤙🏼Coraline🤙🏼John Hodgman🤙🏼Estrela 3</v>
      </c>
      <c r="H3136" s="5">
        <f>IFERROR(__xludf.DUMMYFUNCTION("SPLiT(G3136, ""🤙🏼"",FALSE,FALSE)"),784.0)</f>
        <v>784</v>
      </c>
      <c r="I3136" s="5" t="str">
        <f>IFERROR(__xludf.DUMMYFUNCTION("""COMPUTED_VALUE"""),"Coraline")</f>
        <v>Coraline</v>
      </c>
      <c r="J3136" s="5" t="str">
        <f>IFERROR(__xludf.DUMMYFUNCTION("""COMPUTED_VALUE"""),"John Hodgman")</f>
        <v>John Hodgman</v>
      </c>
      <c r="K3136" s="5" t="str">
        <f>IFERROR(__xludf.DUMMYFUNCTION("""COMPUTED_VALUE"""),"Estrela 3")</f>
        <v>Estrela 3</v>
      </c>
      <c r="P3136" s="5">
        <f>IFERROR(__xludf.DUMMYFUNCTION("""COMPUTED_VALUE"""),784.0)</f>
        <v>784</v>
      </c>
      <c r="Q3136" s="5" t="str">
        <f>IFERROR(__xludf.DUMMYFUNCTION("""COMPUTED_VALUE"""),"Coraline")</f>
        <v>Coraline</v>
      </c>
      <c r="R3136" s="5" t="str">
        <f>IFERROR(__xludf.DUMMYFUNCTION("""COMPUTED_VALUE"""),"John Hodgman")</f>
        <v>John Hodgman</v>
      </c>
      <c r="S3136" s="5" t="str">
        <f>IFERROR(__xludf.DUMMYFUNCTION("""COMPUTED_VALUE"""),"Estrela 3")</f>
        <v>Estrela 3</v>
      </c>
    </row>
    <row r="3137">
      <c r="G3137" s="5" t="str">
        <f>IFERROR(__xludf.DUMMYFUNCTION("""COMPUTED_VALUE"""),"784🤙🏼Coraline🤙🏼Jennifer Saunders🤙🏼Estrela 4")</f>
        <v>784🤙🏼Coraline🤙🏼Jennifer Saunders🤙🏼Estrela 4</v>
      </c>
      <c r="H3137" s="5">
        <f>IFERROR(__xludf.DUMMYFUNCTION("SPLiT(G3137, ""🤙🏼"",FALSE,FALSE)"),784.0)</f>
        <v>784</v>
      </c>
      <c r="I3137" s="5" t="str">
        <f>IFERROR(__xludf.DUMMYFUNCTION("""COMPUTED_VALUE"""),"Coraline")</f>
        <v>Coraline</v>
      </c>
      <c r="J3137" s="5" t="str">
        <f>IFERROR(__xludf.DUMMYFUNCTION("""COMPUTED_VALUE"""),"Jennifer Saunders")</f>
        <v>Jennifer Saunders</v>
      </c>
      <c r="K3137" s="5" t="str">
        <f>IFERROR(__xludf.DUMMYFUNCTION("""COMPUTED_VALUE"""),"Estrela 4")</f>
        <v>Estrela 4</v>
      </c>
      <c r="P3137" s="5">
        <f>IFERROR(__xludf.DUMMYFUNCTION("""COMPUTED_VALUE"""),784.0)</f>
        <v>784</v>
      </c>
      <c r="Q3137" s="5" t="str">
        <f>IFERROR(__xludf.DUMMYFUNCTION("""COMPUTED_VALUE"""),"Coraline")</f>
        <v>Coraline</v>
      </c>
      <c r="R3137" s="5" t="str">
        <f>IFERROR(__xludf.DUMMYFUNCTION("""COMPUTED_VALUE"""),"Jennifer Saunders")</f>
        <v>Jennifer Saunders</v>
      </c>
      <c r="S3137" s="5" t="str">
        <f>IFERROR(__xludf.DUMMYFUNCTION("""COMPUTED_VALUE"""),"Estrela 4")</f>
        <v>Estrela 4</v>
      </c>
    </row>
    <row r="3138">
      <c r="G3138" s="5" t="str">
        <f>IFERROR(__xludf.DUMMYFUNCTION("""COMPUTED_VALUE"""),"785🤙🏼The Last Samurai🤙🏼Tom Cruise🤙🏼Estrela 1")</f>
        <v>785🤙🏼The Last Samurai🤙🏼Tom Cruise🤙🏼Estrela 1</v>
      </c>
      <c r="H3138" s="5">
        <f>IFERROR(__xludf.DUMMYFUNCTION("SPLiT(G3138, ""🤙🏼"",FALSE,FALSE)"),785.0)</f>
        <v>785</v>
      </c>
      <c r="I3138" s="5" t="str">
        <f>IFERROR(__xludf.DUMMYFUNCTION("""COMPUTED_VALUE"""),"The Last Samurai")</f>
        <v>The Last Samurai</v>
      </c>
      <c r="J3138" s="5" t="str">
        <f>IFERROR(__xludf.DUMMYFUNCTION("""COMPUTED_VALUE"""),"Tom Cruise")</f>
        <v>Tom Cruise</v>
      </c>
      <c r="K3138" s="5" t="str">
        <f>IFERROR(__xludf.DUMMYFUNCTION("""COMPUTED_VALUE"""),"Estrela 1")</f>
        <v>Estrela 1</v>
      </c>
      <c r="P3138" s="5">
        <f>IFERROR(__xludf.DUMMYFUNCTION("""COMPUTED_VALUE"""),785.0)</f>
        <v>785</v>
      </c>
      <c r="Q3138" s="5" t="str">
        <f>IFERROR(__xludf.DUMMYFUNCTION("""COMPUTED_VALUE"""),"The Last Samurai")</f>
        <v>The Last Samurai</v>
      </c>
      <c r="R3138" s="5" t="str">
        <f>IFERROR(__xludf.DUMMYFUNCTION("""COMPUTED_VALUE"""),"Tom Cruise")</f>
        <v>Tom Cruise</v>
      </c>
      <c r="S3138" s="5" t="str">
        <f>IFERROR(__xludf.DUMMYFUNCTION("""COMPUTED_VALUE"""),"Estrela 1")</f>
        <v>Estrela 1</v>
      </c>
    </row>
    <row r="3139">
      <c r="G3139" s="5" t="str">
        <f>IFERROR(__xludf.DUMMYFUNCTION("""COMPUTED_VALUE"""),"785🤙🏼The Last Samurai🤙🏼Ken Watanabe🤙🏼Estrela 2")</f>
        <v>785🤙🏼The Last Samurai🤙🏼Ken Watanabe🤙🏼Estrela 2</v>
      </c>
      <c r="H3139" s="5">
        <f>IFERROR(__xludf.DUMMYFUNCTION("SPLiT(G3139, ""🤙🏼"",FALSE,FALSE)"),785.0)</f>
        <v>785</v>
      </c>
      <c r="I3139" s="5" t="str">
        <f>IFERROR(__xludf.DUMMYFUNCTION("""COMPUTED_VALUE"""),"The Last Samurai")</f>
        <v>The Last Samurai</v>
      </c>
      <c r="J3139" s="5" t="str">
        <f>IFERROR(__xludf.DUMMYFUNCTION("""COMPUTED_VALUE"""),"Ken Watanabe")</f>
        <v>Ken Watanabe</v>
      </c>
      <c r="K3139" s="5" t="str">
        <f>IFERROR(__xludf.DUMMYFUNCTION("""COMPUTED_VALUE"""),"Estrela 2")</f>
        <v>Estrela 2</v>
      </c>
      <c r="P3139" s="5">
        <f>IFERROR(__xludf.DUMMYFUNCTION("""COMPUTED_VALUE"""),785.0)</f>
        <v>785</v>
      </c>
      <c r="Q3139" s="5" t="str">
        <f>IFERROR(__xludf.DUMMYFUNCTION("""COMPUTED_VALUE"""),"The Last Samurai")</f>
        <v>The Last Samurai</v>
      </c>
      <c r="R3139" s="5" t="str">
        <f>IFERROR(__xludf.DUMMYFUNCTION("""COMPUTED_VALUE"""),"Ken Watanabe")</f>
        <v>Ken Watanabe</v>
      </c>
      <c r="S3139" s="5" t="str">
        <f>IFERROR(__xludf.DUMMYFUNCTION("""COMPUTED_VALUE"""),"Estrela 2")</f>
        <v>Estrela 2</v>
      </c>
    </row>
    <row r="3140">
      <c r="G3140" s="5" t="str">
        <f>IFERROR(__xludf.DUMMYFUNCTION("""COMPUTED_VALUE"""),"785🤙🏼The Last Samurai🤙🏼Billy Connolly🤙🏼Estrela 3")</f>
        <v>785🤙🏼The Last Samurai🤙🏼Billy Connolly🤙🏼Estrela 3</v>
      </c>
      <c r="H3140" s="5">
        <f>IFERROR(__xludf.DUMMYFUNCTION("SPLiT(G3140, ""🤙🏼"",FALSE,FALSE)"),785.0)</f>
        <v>785</v>
      </c>
      <c r="I3140" s="5" t="str">
        <f>IFERROR(__xludf.DUMMYFUNCTION("""COMPUTED_VALUE"""),"The Last Samurai")</f>
        <v>The Last Samurai</v>
      </c>
      <c r="J3140" s="5" t="str">
        <f>IFERROR(__xludf.DUMMYFUNCTION("""COMPUTED_VALUE"""),"Billy Connolly")</f>
        <v>Billy Connolly</v>
      </c>
      <c r="K3140" s="5" t="str">
        <f>IFERROR(__xludf.DUMMYFUNCTION("""COMPUTED_VALUE"""),"Estrela 3")</f>
        <v>Estrela 3</v>
      </c>
      <c r="P3140" s="5">
        <f>IFERROR(__xludf.DUMMYFUNCTION("""COMPUTED_VALUE"""),785.0)</f>
        <v>785</v>
      </c>
      <c r="Q3140" s="5" t="str">
        <f>IFERROR(__xludf.DUMMYFUNCTION("""COMPUTED_VALUE"""),"The Last Samurai")</f>
        <v>The Last Samurai</v>
      </c>
      <c r="R3140" s="5" t="str">
        <f>IFERROR(__xludf.DUMMYFUNCTION("""COMPUTED_VALUE"""),"Billy Connolly")</f>
        <v>Billy Connolly</v>
      </c>
      <c r="S3140" s="5" t="str">
        <f>IFERROR(__xludf.DUMMYFUNCTION("""COMPUTED_VALUE"""),"Estrela 3")</f>
        <v>Estrela 3</v>
      </c>
    </row>
    <row r="3141">
      <c r="G3141" s="5" t="str">
        <f>IFERROR(__xludf.DUMMYFUNCTION("""COMPUTED_VALUE"""),"785🤙🏼The Last Samurai🤙🏼William Atherton🤙🏼Estrela 4")</f>
        <v>785🤙🏼The Last Samurai🤙🏼William Atherton🤙🏼Estrela 4</v>
      </c>
      <c r="H3141" s="5">
        <f>IFERROR(__xludf.DUMMYFUNCTION("SPLiT(G3141, ""🤙🏼"",FALSE,FALSE)"),785.0)</f>
        <v>785</v>
      </c>
      <c r="I3141" s="5" t="str">
        <f>IFERROR(__xludf.DUMMYFUNCTION("""COMPUTED_VALUE"""),"The Last Samurai")</f>
        <v>The Last Samurai</v>
      </c>
      <c r="J3141" s="5" t="str">
        <f>IFERROR(__xludf.DUMMYFUNCTION("""COMPUTED_VALUE"""),"William Atherton")</f>
        <v>William Atherton</v>
      </c>
      <c r="K3141" s="5" t="str">
        <f>IFERROR(__xludf.DUMMYFUNCTION("""COMPUTED_VALUE"""),"Estrela 4")</f>
        <v>Estrela 4</v>
      </c>
      <c r="P3141" s="5">
        <f>IFERROR(__xludf.DUMMYFUNCTION("""COMPUTED_VALUE"""),785.0)</f>
        <v>785</v>
      </c>
      <c r="Q3141" s="5" t="str">
        <f>IFERROR(__xludf.DUMMYFUNCTION("""COMPUTED_VALUE"""),"The Last Samurai")</f>
        <v>The Last Samurai</v>
      </c>
      <c r="R3141" s="5" t="str">
        <f>IFERROR(__xludf.DUMMYFUNCTION("""COMPUTED_VALUE"""),"William Atherton")</f>
        <v>William Atherton</v>
      </c>
      <c r="S3141" s="5" t="str">
        <f>IFERROR(__xludf.DUMMYFUNCTION("""COMPUTED_VALUE"""),"Estrela 4")</f>
        <v>Estrela 4</v>
      </c>
    </row>
    <row r="3142">
      <c r="G3142" s="5" t="str">
        <f>IFERROR(__xludf.DUMMYFUNCTION("""COMPUTED_VALUE"""),"786🤙🏼The Magdalene Sisters🤙🏼Eileen Walsh🤙🏼Estrela 1")</f>
        <v>786🤙🏼The Magdalene Sisters🤙🏼Eileen Walsh🤙🏼Estrela 1</v>
      </c>
      <c r="H3142" s="5">
        <f>IFERROR(__xludf.DUMMYFUNCTION("SPLiT(G3142, ""🤙🏼"",FALSE,FALSE)"),786.0)</f>
        <v>786</v>
      </c>
      <c r="I3142" s="5" t="str">
        <f>IFERROR(__xludf.DUMMYFUNCTION("""COMPUTED_VALUE"""),"The Magdalene Sisters")</f>
        <v>The Magdalene Sisters</v>
      </c>
      <c r="J3142" s="5" t="str">
        <f>IFERROR(__xludf.DUMMYFUNCTION("""COMPUTED_VALUE"""),"Eileen Walsh")</f>
        <v>Eileen Walsh</v>
      </c>
      <c r="K3142" s="5" t="str">
        <f>IFERROR(__xludf.DUMMYFUNCTION("""COMPUTED_VALUE"""),"Estrela 1")</f>
        <v>Estrela 1</v>
      </c>
      <c r="P3142" s="5">
        <f>IFERROR(__xludf.DUMMYFUNCTION("""COMPUTED_VALUE"""),786.0)</f>
        <v>786</v>
      </c>
      <c r="Q3142" s="5" t="str">
        <f>IFERROR(__xludf.DUMMYFUNCTION("""COMPUTED_VALUE"""),"The Magdalene Sisters")</f>
        <v>The Magdalene Sisters</v>
      </c>
      <c r="R3142" s="5" t="str">
        <f>IFERROR(__xludf.DUMMYFUNCTION("""COMPUTED_VALUE"""),"Eileen Walsh")</f>
        <v>Eileen Walsh</v>
      </c>
      <c r="S3142" s="5" t="str">
        <f>IFERROR(__xludf.DUMMYFUNCTION("""COMPUTED_VALUE"""),"Estrela 1")</f>
        <v>Estrela 1</v>
      </c>
    </row>
    <row r="3143">
      <c r="G3143" s="5" t="str">
        <f>IFERROR(__xludf.DUMMYFUNCTION("""COMPUTED_VALUE"""),"786🤙🏼The Magdalene Sisters🤙🏼Dorothy Duffy🤙🏼Estrela 2")</f>
        <v>786🤙🏼The Magdalene Sisters🤙🏼Dorothy Duffy🤙🏼Estrela 2</v>
      </c>
      <c r="H3143" s="5">
        <f>IFERROR(__xludf.DUMMYFUNCTION("SPLiT(G3143, ""🤙🏼"",FALSE,FALSE)"),786.0)</f>
        <v>786</v>
      </c>
      <c r="I3143" s="5" t="str">
        <f>IFERROR(__xludf.DUMMYFUNCTION("""COMPUTED_VALUE"""),"The Magdalene Sisters")</f>
        <v>The Magdalene Sisters</v>
      </c>
      <c r="J3143" s="5" t="str">
        <f>IFERROR(__xludf.DUMMYFUNCTION("""COMPUTED_VALUE"""),"Dorothy Duffy")</f>
        <v>Dorothy Duffy</v>
      </c>
      <c r="K3143" s="5" t="str">
        <f>IFERROR(__xludf.DUMMYFUNCTION("""COMPUTED_VALUE"""),"Estrela 2")</f>
        <v>Estrela 2</v>
      </c>
      <c r="P3143" s="5">
        <f>IFERROR(__xludf.DUMMYFUNCTION("""COMPUTED_VALUE"""),786.0)</f>
        <v>786</v>
      </c>
      <c r="Q3143" s="5" t="str">
        <f>IFERROR(__xludf.DUMMYFUNCTION("""COMPUTED_VALUE"""),"The Magdalene Sisters")</f>
        <v>The Magdalene Sisters</v>
      </c>
      <c r="R3143" s="5" t="str">
        <f>IFERROR(__xludf.DUMMYFUNCTION("""COMPUTED_VALUE"""),"Dorothy Duffy")</f>
        <v>Dorothy Duffy</v>
      </c>
      <c r="S3143" s="5" t="str">
        <f>IFERROR(__xludf.DUMMYFUNCTION("""COMPUTED_VALUE"""),"Estrela 2")</f>
        <v>Estrela 2</v>
      </c>
    </row>
    <row r="3144">
      <c r="G3144" s="5" t="str">
        <f>IFERROR(__xludf.DUMMYFUNCTION("""COMPUTED_VALUE"""),"786🤙🏼The Magdalene Sisters🤙🏼Nora-Jane Noone🤙🏼Estrela 3")</f>
        <v>786🤙🏼The Magdalene Sisters🤙🏼Nora-Jane Noone🤙🏼Estrela 3</v>
      </c>
      <c r="H3144" s="5">
        <f>IFERROR(__xludf.DUMMYFUNCTION("SPLiT(G3144, ""🤙🏼"",FALSE,FALSE)"),786.0)</f>
        <v>786</v>
      </c>
      <c r="I3144" s="5" t="str">
        <f>IFERROR(__xludf.DUMMYFUNCTION("""COMPUTED_VALUE"""),"The Magdalene Sisters")</f>
        <v>The Magdalene Sisters</v>
      </c>
      <c r="J3144" s="5" t="str">
        <f>IFERROR(__xludf.DUMMYFUNCTION("""COMPUTED_VALUE"""),"Nora-Jane Noone")</f>
        <v>Nora-Jane Noone</v>
      </c>
      <c r="K3144" s="5" t="str">
        <f>IFERROR(__xludf.DUMMYFUNCTION("""COMPUTED_VALUE"""),"Estrela 3")</f>
        <v>Estrela 3</v>
      </c>
      <c r="P3144" s="5">
        <f>IFERROR(__xludf.DUMMYFUNCTION("""COMPUTED_VALUE"""),786.0)</f>
        <v>786</v>
      </c>
      <c r="Q3144" s="5" t="str">
        <f>IFERROR(__xludf.DUMMYFUNCTION("""COMPUTED_VALUE"""),"The Magdalene Sisters")</f>
        <v>The Magdalene Sisters</v>
      </c>
      <c r="R3144" s="5" t="str">
        <f>IFERROR(__xludf.DUMMYFUNCTION("""COMPUTED_VALUE"""),"Nora-Jane Noone")</f>
        <v>Nora-Jane Noone</v>
      </c>
      <c r="S3144" s="5" t="str">
        <f>IFERROR(__xludf.DUMMYFUNCTION("""COMPUTED_VALUE"""),"Estrela 3")</f>
        <v>Estrela 3</v>
      </c>
    </row>
    <row r="3145">
      <c r="G3145" s="5" t="str">
        <f>IFERROR(__xludf.DUMMYFUNCTION("""COMPUTED_VALUE"""),"786🤙🏼The Magdalene Sisters🤙🏼Anne-Marie Duff🤙🏼Estrela 4")</f>
        <v>786🤙🏼The Magdalene Sisters🤙🏼Anne-Marie Duff🤙🏼Estrela 4</v>
      </c>
      <c r="H3145" s="5">
        <f>IFERROR(__xludf.DUMMYFUNCTION("SPLiT(G3145, ""🤙🏼"",FALSE,FALSE)"),786.0)</f>
        <v>786</v>
      </c>
      <c r="I3145" s="5" t="str">
        <f>IFERROR(__xludf.DUMMYFUNCTION("""COMPUTED_VALUE"""),"The Magdalene Sisters")</f>
        <v>The Magdalene Sisters</v>
      </c>
      <c r="J3145" s="5" t="str">
        <f>IFERROR(__xludf.DUMMYFUNCTION("""COMPUTED_VALUE"""),"Anne-Marie Duff")</f>
        <v>Anne-Marie Duff</v>
      </c>
      <c r="K3145" s="5" t="str">
        <f>IFERROR(__xludf.DUMMYFUNCTION("""COMPUTED_VALUE"""),"Estrela 4")</f>
        <v>Estrela 4</v>
      </c>
      <c r="P3145" s="5">
        <f>IFERROR(__xludf.DUMMYFUNCTION("""COMPUTED_VALUE"""),786.0)</f>
        <v>786</v>
      </c>
      <c r="Q3145" s="5" t="str">
        <f>IFERROR(__xludf.DUMMYFUNCTION("""COMPUTED_VALUE"""),"The Magdalene Sisters")</f>
        <v>The Magdalene Sisters</v>
      </c>
      <c r="R3145" s="5" t="str">
        <f>IFERROR(__xludf.DUMMYFUNCTION("""COMPUTED_VALUE"""),"Anne-Marie Duff")</f>
        <v>Anne-Marie Duff</v>
      </c>
      <c r="S3145" s="5" t="str">
        <f>IFERROR(__xludf.DUMMYFUNCTION("""COMPUTED_VALUE"""),"Estrela 4")</f>
        <v>Estrela 4</v>
      </c>
    </row>
    <row r="3146">
      <c r="G3146" s="5" t="str">
        <f>IFERROR(__xludf.DUMMYFUNCTION("""COMPUTED_VALUE"""),"787🤙🏼Good Bye Lenin!🤙🏼Daniel Brühl🤙🏼Estrela 1")</f>
        <v>787🤙🏼Good Bye Lenin!🤙🏼Daniel Brühl🤙🏼Estrela 1</v>
      </c>
      <c r="H3146" s="5">
        <f>IFERROR(__xludf.DUMMYFUNCTION("SPLiT(G3146, ""🤙🏼"",FALSE,FALSE)"),787.0)</f>
        <v>787</v>
      </c>
      <c r="I3146" s="5" t="str">
        <f>IFERROR(__xludf.DUMMYFUNCTION("""COMPUTED_VALUE"""),"Good Bye Lenin!")</f>
        <v>Good Bye Lenin!</v>
      </c>
      <c r="J3146" s="5" t="str">
        <f>IFERROR(__xludf.DUMMYFUNCTION("""COMPUTED_VALUE"""),"Daniel Brühl")</f>
        <v>Daniel Brühl</v>
      </c>
      <c r="K3146" s="5" t="str">
        <f>IFERROR(__xludf.DUMMYFUNCTION("""COMPUTED_VALUE"""),"Estrela 1")</f>
        <v>Estrela 1</v>
      </c>
      <c r="P3146" s="5">
        <f>IFERROR(__xludf.DUMMYFUNCTION("""COMPUTED_VALUE"""),787.0)</f>
        <v>787</v>
      </c>
      <c r="Q3146" s="5" t="str">
        <f>IFERROR(__xludf.DUMMYFUNCTION("""COMPUTED_VALUE"""),"Good Bye Lenin!")</f>
        <v>Good Bye Lenin!</v>
      </c>
      <c r="R3146" s="5" t="str">
        <f>IFERROR(__xludf.DUMMYFUNCTION("""COMPUTED_VALUE"""),"Daniel Brühl")</f>
        <v>Daniel Brühl</v>
      </c>
      <c r="S3146" s="5" t="str">
        <f>IFERROR(__xludf.DUMMYFUNCTION("""COMPUTED_VALUE"""),"Estrela 1")</f>
        <v>Estrela 1</v>
      </c>
    </row>
    <row r="3147">
      <c r="G3147" s="5" t="str">
        <f>IFERROR(__xludf.DUMMYFUNCTION("""COMPUTED_VALUE"""),"787🤙🏼Good Bye Lenin!🤙🏼Katrin Saß🤙🏼Estrela 2")</f>
        <v>787🤙🏼Good Bye Lenin!🤙🏼Katrin Saß🤙🏼Estrela 2</v>
      </c>
      <c r="H3147" s="5">
        <f>IFERROR(__xludf.DUMMYFUNCTION("SPLiT(G3147, ""🤙🏼"",FALSE,FALSE)"),787.0)</f>
        <v>787</v>
      </c>
      <c r="I3147" s="5" t="str">
        <f>IFERROR(__xludf.DUMMYFUNCTION("""COMPUTED_VALUE"""),"Good Bye Lenin!")</f>
        <v>Good Bye Lenin!</v>
      </c>
      <c r="J3147" s="5" t="str">
        <f>IFERROR(__xludf.DUMMYFUNCTION("""COMPUTED_VALUE"""),"Katrin Saß")</f>
        <v>Katrin Saß</v>
      </c>
      <c r="K3147" s="5" t="str">
        <f>IFERROR(__xludf.DUMMYFUNCTION("""COMPUTED_VALUE"""),"Estrela 2")</f>
        <v>Estrela 2</v>
      </c>
      <c r="P3147" s="5">
        <f>IFERROR(__xludf.DUMMYFUNCTION("""COMPUTED_VALUE"""),787.0)</f>
        <v>787</v>
      </c>
      <c r="Q3147" s="5" t="str">
        <f>IFERROR(__xludf.DUMMYFUNCTION("""COMPUTED_VALUE"""),"Good Bye Lenin!")</f>
        <v>Good Bye Lenin!</v>
      </c>
      <c r="R3147" s="5" t="str">
        <f>IFERROR(__xludf.DUMMYFUNCTION("""COMPUTED_VALUE"""),"Katrin Saß")</f>
        <v>Katrin Saß</v>
      </c>
      <c r="S3147" s="5" t="str">
        <f>IFERROR(__xludf.DUMMYFUNCTION("""COMPUTED_VALUE"""),"Estrela 2")</f>
        <v>Estrela 2</v>
      </c>
    </row>
    <row r="3148">
      <c r="G3148" s="5" t="str">
        <f>IFERROR(__xludf.DUMMYFUNCTION("""COMPUTED_VALUE"""),"787🤙🏼Good Bye Lenin!🤙🏼Chulpan Khamatova🤙🏼Estrela 3")</f>
        <v>787🤙🏼Good Bye Lenin!🤙🏼Chulpan Khamatova🤙🏼Estrela 3</v>
      </c>
      <c r="H3148" s="5">
        <f>IFERROR(__xludf.DUMMYFUNCTION("SPLiT(G3148, ""🤙🏼"",FALSE,FALSE)"),787.0)</f>
        <v>787</v>
      </c>
      <c r="I3148" s="5" t="str">
        <f>IFERROR(__xludf.DUMMYFUNCTION("""COMPUTED_VALUE"""),"Good Bye Lenin!")</f>
        <v>Good Bye Lenin!</v>
      </c>
      <c r="J3148" s="5" t="str">
        <f>IFERROR(__xludf.DUMMYFUNCTION("""COMPUTED_VALUE"""),"Chulpan Khamatova")</f>
        <v>Chulpan Khamatova</v>
      </c>
      <c r="K3148" s="5" t="str">
        <f>IFERROR(__xludf.DUMMYFUNCTION("""COMPUTED_VALUE"""),"Estrela 3")</f>
        <v>Estrela 3</v>
      </c>
      <c r="P3148" s="5">
        <f>IFERROR(__xludf.DUMMYFUNCTION("""COMPUTED_VALUE"""),787.0)</f>
        <v>787</v>
      </c>
      <c r="Q3148" s="5" t="str">
        <f>IFERROR(__xludf.DUMMYFUNCTION("""COMPUTED_VALUE"""),"Good Bye Lenin!")</f>
        <v>Good Bye Lenin!</v>
      </c>
      <c r="R3148" s="5" t="str">
        <f>IFERROR(__xludf.DUMMYFUNCTION("""COMPUTED_VALUE"""),"Chulpan Khamatova")</f>
        <v>Chulpan Khamatova</v>
      </c>
      <c r="S3148" s="5" t="str">
        <f>IFERROR(__xludf.DUMMYFUNCTION("""COMPUTED_VALUE"""),"Estrela 3")</f>
        <v>Estrela 3</v>
      </c>
    </row>
    <row r="3149">
      <c r="G3149" s="5" t="str">
        <f>IFERROR(__xludf.DUMMYFUNCTION("""COMPUTED_VALUE"""),"787🤙🏼Good Bye Lenin!🤙🏼Florian Lukas🤙🏼Estrela 4")</f>
        <v>787🤙🏼Good Bye Lenin!🤙🏼Florian Lukas🤙🏼Estrela 4</v>
      </c>
      <c r="H3149" s="5">
        <f>IFERROR(__xludf.DUMMYFUNCTION("SPLiT(G3149, ""🤙🏼"",FALSE,FALSE)"),787.0)</f>
        <v>787</v>
      </c>
      <c r="I3149" s="5" t="str">
        <f>IFERROR(__xludf.DUMMYFUNCTION("""COMPUTED_VALUE"""),"Good Bye Lenin!")</f>
        <v>Good Bye Lenin!</v>
      </c>
      <c r="J3149" s="5" t="str">
        <f>IFERROR(__xludf.DUMMYFUNCTION("""COMPUTED_VALUE"""),"Florian Lukas")</f>
        <v>Florian Lukas</v>
      </c>
      <c r="K3149" s="5" t="str">
        <f>IFERROR(__xludf.DUMMYFUNCTION("""COMPUTED_VALUE"""),"Estrela 4")</f>
        <v>Estrela 4</v>
      </c>
      <c r="P3149" s="5">
        <f>IFERROR(__xludf.DUMMYFUNCTION("""COMPUTED_VALUE"""),787.0)</f>
        <v>787</v>
      </c>
      <c r="Q3149" s="5" t="str">
        <f>IFERROR(__xludf.DUMMYFUNCTION("""COMPUTED_VALUE"""),"Good Bye Lenin!")</f>
        <v>Good Bye Lenin!</v>
      </c>
      <c r="R3149" s="5" t="str">
        <f>IFERROR(__xludf.DUMMYFUNCTION("""COMPUTED_VALUE"""),"Florian Lukas")</f>
        <v>Florian Lukas</v>
      </c>
      <c r="S3149" s="5" t="str">
        <f>IFERROR(__xludf.DUMMYFUNCTION("""COMPUTED_VALUE"""),"Estrela 4")</f>
        <v>Estrela 4</v>
      </c>
    </row>
    <row r="3150">
      <c r="G3150" s="5" t="str">
        <f>IFERROR(__xludf.DUMMYFUNCTION("""COMPUTED_VALUE"""),"788🤙🏼In America🤙🏼Paddy Considine🤙🏼Estrela 1")</f>
        <v>788🤙🏼In America🤙🏼Paddy Considine🤙🏼Estrela 1</v>
      </c>
      <c r="H3150" s="5">
        <f>IFERROR(__xludf.DUMMYFUNCTION("SPLiT(G3150, ""🤙🏼"",FALSE,FALSE)"),788.0)</f>
        <v>788</v>
      </c>
      <c r="I3150" s="5" t="str">
        <f>IFERROR(__xludf.DUMMYFUNCTION("""COMPUTED_VALUE"""),"In America")</f>
        <v>In America</v>
      </c>
      <c r="J3150" s="5" t="str">
        <f>IFERROR(__xludf.DUMMYFUNCTION("""COMPUTED_VALUE"""),"Paddy Considine")</f>
        <v>Paddy Considine</v>
      </c>
      <c r="K3150" s="5" t="str">
        <f>IFERROR(__xludf.DUMMYFUNCTION("""COMPUTED_VALUE"""),"Estrela 1")</f>
        <v>Estrela 1</v>
      </c>
      <c r="P3150" s="5">
        <f>IFERROR(__xludf.DUMMYFUNCTION("""COMPUTED_VALUE"""),788.0)</f>
        <v>788</v>
      </c>
      <c r="Q3150" s="5" t="str">
        <f>IFERROR(__xludf.DUMMYFUNCTION("""COMPUTED_VALUE"""),"In America")</f>
        <v>In America</v>
      </c>
      <c r="R3150" s="5" t="str">
        <f>IFERROR(__xludf.DUMMYFUNCTION("""COMPUTED_VALUE"""),"Paddy Considine")</f>
        <v>Paddy Considine</v>
      </c>
      <c r="S3150" s="5" t="str">
        <f>IFERROR(__xludf.DUMMYFUNCTION("""COMPUTED_VALUE"""),"Estrela 1")</f>
        <v>Estrela 1</v>
      </c>
    </row>
    <row r="3151">
      <c r="G3151" s="5" t="str">
        <f>IFERROR(__xludf.DUMMYFUNCTION("""COMPUTED_VALUE"""),"788🤙🏼In America🤙🏼Samantha Morton🤙🏼Estrela 2")</f>
        <v>788🤙🏼In America🤙🏼Samantha Morton🤙🏼Estrela 2</v>
      </c>
      <c r="H3151" s="5">
        <f>IFERROR(__xludf.DUMMYFUNCTION("SPLiT(G3151, ""🤙🏼"",FALSE,FALSE)"),788.0)</f>
        <v>788</v>
      </c>
      <c r="I3151" s="5" t="str">
        <f>IFERROR(__xludf.DUMMYFUNCTION("""COMPUTED_VALUE"""),"In America")</f>
        <v>In America</v>
      </c>
      <c r="J3151" s="5" t="str">
        <f>IFERROR(__xludf.DUMMYFUNCTION("""COMPUTED_VALUE"""),"Samantha Morton")</f>
        <v>Samantha Morton</v>
      </c>
      <c r="K3151" s="5" t="str">
        <f>IFERROR(__xludf.DUMMYFUNCTION("""COMPUTED_VALUE"""),"Estrela 2")</f>
        <v>Estrela 2</v>
      </c>
      <c r="P3151" s="5">
        <f>IFERROR(__xludf.DUMMYFUNCTION("""COMPUTED_VALUE"""),788.0)</f>
        <v>788</v>
      </c>
      <c r="Q3151" s="5" t="str">
        <f>IFERROR(__xludf.DUMMYFUNCTION("""COMPUTED_VALUE"""),"In America")</f>
        <v>In America</v>
      </c>
      <c r="R3151" s="5" t="str">
        <f>IFERROR(__xludf.DUMMYFUNCTION("""COMPUTED_VALUE"""),"Samantha Morton")</f>
        <v>Samantha Morton</v>
      </c>
      <c r="S3151" s="5" t="str">
        <f>IFERROR(__xludf.DUMMYFUNCTION("""COMPUTED_VALUE"""),"Estrela 2")</f>
        <v>Estrela 2</v>
      </c>
    </row>
    <row r="3152">
      <c r="G3152" s="5" t="str">
        <f>IFERROR(__xludf.DUMMYFUNCTION("""COMPUTED_VALUE"""),"788🤙🏼In America🤙🏼Djimon Hounsou🤙🏼Estrela 3")</f>
        <v>788🤙🏼In America🤙🏼Djimon Hounsou🤙🏼Estrela 3</v>
      </c>
      <c r="H3152" s="5">
        <f>IFERROR(__xludf.DUMMYFUNCTION("SPLiT(G3152, ""🤙🏼"",FALSE,FALSE)"),788.0)</f>
        <v>788</v>
      </c>
      <c r="I3152" s="5" t="str">
        <f>IFERROR(__xludf.DUMMYFUNCTION("""COMPUTED_VALUE"""),"In America")</f>
        <v>In America</v>
      </c>
      <c r="J3152" s="5" t="str">
        <f>IFERROR(__xludf.DUMMYFUNCTION("""COMPUTED_VALUE"""),"Djimon Hounsou")</f>
        <v>Djimon Hounsou</v>
      </c>
      <c r="K3152" s="5" t="str">
        <f>IFERROR(__xludf.DUMMYFUNCTION("""COMPUTED_VALUE"""),"Estrela 3")</f>
        <v>Estrela 3</v>
      </c>
      <c r="P3152" s="5">
        <f>IFERROR(__xludf.DUMMYFUNCTION("""COMPUTED_VALUE"""),788.0)</f>
        <v>788</v>
      </c>
      <c r="Q3152" s="5" t="str">
        <f>IFERROR(__xludf.DUMMYFUNCTION("""COMPUTED_VALUE"""),"In America")</f>
        <v>In America</v>
      </c>
      <c r="R3152" s="5" t="str">
        <f>IFERROR(__xludf.DUMMYFUNCTION("""COMPUTED_VALUE"""),"Djimon Hounsou")</f>
        <v>Djimon Hounsou</v>
      </c>
      <c r="S3152" s="5" t="str">
        <f>IFERROR(__xludf.DUMMYFUNCTION("""COMPUTED_VALUE"""),"Estrela 3")</f>
        <v>Estrela 3</v>
      </c>
    </row>
    <row r="3153">
      <c r="G3153" s="5" t="str">
        <f>IFERROR(__xludf.DUMMYFUNCTION("""COMPUTED_VALUE"""),"788🤙🏼In America🤙🏼Sarah Bolger🤙🏼Estrela 4")</f>
        <v>788🤙🏼In America🤙🏼Sarah Bolger🤙🏼Estrela 4</v>
      </c>
      <c r="H3153" s="5">
        <f>IFERROR(__xludf.DUMMYFUNCTION("SPLiT(G3153, ""🤙🏼"",FALSE,FALSE)"),788.0)</f>
        <v>788</v>
      </c>
      <c r="I3153" s="5" t="str">
        <f>IFERROR(__xludf.DUMMYFUNCTION("""COMPUTED_VALUE"""),"In America")</f>
        <v>In America</v>
      </c>
      <c r="J3153" s="5" t="str">
        <f>IFERROR(__xludf.DUMMYFUNCTION("""COMPUTED_VALUE"""),"Sarah Bolger")</f>
        <v>Sarah Bolger</v>
      </c>
      <c r="K3153" s="5" t="str">
        <f>IFERROR(__xludf.DUMMYFUNCTION("""COMPUTED_VALUE"""),"Estrela 4")</f>
        <v>Estrela 4</v>
      </c>
      <c r="P3153" s="5">
        <f>IFERROR(__xludf.DUMMYFUNCTION("""COMPUTED_VALUE"""),788.0)</f>
        <v>788</v>
      </c>
      <c r="Q3153" s="5" t="str">
        <f>IFERROR(__xludf.DUMMYFUNCTION("""COMPUTED_VALUE"""),"In America")</f>
        <v>In America</v>
      </c>
      <c r="R3153" s="5" t="str">
        <f>IFERROR(__xludf.DUMMYFUNCTION("""COMPUTED_VALUE"""),"Sarah Bolger")</f>
        <v>Sarah Bolger</v>
      </c>
      <c r="S3153" s="5" t="str">
        <f>IFERROR(__xludf.DUMMYFUNCTION("""COMPUTED_VALUE"""),"Estrela 4")</f>
        <v>Estrela 4</v>
      </c>
    </row>
    <row r="3154">
      <c r="G3154" s="5" t="str">
        <f>IFERROR(__xludf.DUMMYFUNCTION("""COMPUTED_VALUE"""),"789🤙🏼I Am Sam🤙🏼Sean Penn🤙🏼Estrela 1")</f>
        <v>789🤙🏼I Am Sam🤙🏼Sean Penn🤙🏼Estrela 1</v>
      </c>
      <c r="H3154" s="5">
        <f>IFERROR(__xludf.DUMMYFUNCTION("SPLiT(G3154, ""🤙🏼"",FALSE,FALSE)"),789.0)</f>
        <v>789</v>
      </c>
      <c r="I3154" s="5" t="str">
        <f>IFERROR(__xludf.DUMMYFUNCTION("""COMPUTED_VALUE"""),"I Am Sam")</f>
        <v>I Am Sam</v>
      </c>
      <c r="J3154" s="5" t="str">
        <f>IFERROR(__xludf.DUMMYFUNCTION("""COMPUTED_VALUE"""),"Sean Penn")</f>
        <v>Sean Penn</v>
      </c>
      <c r="K3154" s="5" t="str">
        <f>IFERROR(__xludf.DUMMYFUNCTION("""COMPUTED_VALUE"""),"Estrela 1")</f>
        <v>Estrela 1</v>
      </c>
      <c r="P3154" s="5">
        <f>IFERROR(__xludf.DUMMYFUNCTION("""COMPUTED_VALUE"""),789.0)</f>
        <v>789</v>
      </c>
      <c r="Q3154" s="5" t="str">
        <f>IFERROR(__xludf.DUMMYFUNCTION("""COMPUTED_VALUE"""),"I Am Sam")</f>
        <v>I Am Sam</v>
      </c>
      <c r="R3154" s="5" t="str">
        <f>IFERROR(__xludf.DUMMYFUNCTION("""COMPUTED_VALUE"""),"Sean Penn")</f>
        <v>Sean Penn</v>
      </c>
      <c r="S3154" s="5" t="str">
        <f>IFERROR(__xludf.DUMMYFUNCTION("""COMPUTED_VALUE"""),"Estrela 1")</f>
        <v>Estrela 1</v>
      </c>
    </row>
    <row r="3155">
      <c r="G3155" s="5" t="str">
        <f>IFERROR(__xludf.DUMMYFUNCTION("""COMPUTED_VALUE"""),"789🤙🏼I Am Sam🤙🏼Michelle Pfeiffer🤙🏼Estrela 2")</f>
        <v>789🤙🏼I Am Sam🤙🏼Michelle Pfeiffer🤙🏼Estrela 2</v>
      </c>
      <c r="H3155" s="5">
        <f>IFERROR(__xludf.DUMMYFUNCTION("SPLiT(G3155, ""🤙🏼"",FALSE,FALSE)"),789.0)</f>
        <v>789</v>
      </c>
      <c r="I3155" s="5" t="str">
        <f>IFERROR(__xludf.DUMMYFUNCTION("""COMPUTED_VALUE"""),"I Am Sam")</f>
        <v>I Am Sam</v>
      </c>
      <c r="J3155" s="5" t="str">
        <f>IFERROR(__xludf.DUMMYFUNCTION("""COMPUTED_VALUE"""),"Michelle Pfeiffer")</f>
        <v>Michelle Pfeiffer</v>
      </c>
      <c r="K3155" s="5" t="str">
        <f>IFERROR(__xludf.DUMMYFUNCTION("""COMPUTED_VALUE"""),"Estrela 2")</f>
        <v>Estrela 2</v>
      </c>
      <c r="P3155" s="5">
        <f>IFERROR(__xludf.DUMMYFUNCTION("""COMPUTED_VALUE"""),789.0)</f>
        <v>789</v>
      </c>
      <c r="Q3155" s="5" t="str">
        <f>IFERROR(__xludf.DUMMYFUNCTION("""COMPUTED_VALUE"""),"I Am Sam")</f>
        <v>I Am Sam</v>
      </c>
      <c r="R3155" s="5" t="str">
        <f>IFERROR(__xludf.DUMMYFUNCTION("""COMPUTED_VALUE"""),"Michelle Pfeiffer")</f>
        <v>Michelle Pfeiffer</v>
      </c>
      <c r="S3155" s="5" t="str">
        <f>IFERROR(__xludf.DUMMYFUNCTION("""COMPUTED_VALUE"""),"Estrela 2")</f>
        <v>Estrela 2</v>
      </c>
    </row>
    <row r="3156">
      <c r="G3156" s="5" t="str">
        <f>IFERROR(__xludf.DUMMYFUNCTION("""COMPUTED_VALUE"""),"789🤙🏼I Am Sam🤙🏼Dakota Fanning🤙🏼Estrela 3")</f>
        <v>789🤙🏼I Am Sam🤙🏼Dakota Fanning🤙🏼Estrela 3</v>
      </c>
      <c r="H3156" s="5">
        <f>IFERROR(__xludf.DUMMYFUNCTION("SPLiT(G3156, ""🤙🏼"",FALSE,FALSE)"),789.0)</f>
        <v>789</v>
      </c>
      <c r="I3156" s="5" t="str">
        <f>IFERROR(__xludf.DUMMYFUNCTION("""COMPUTED_VALUE"""),"I Am Sam")</f>
        <v>I Am Sam</v>
      </c>
      <c r="J3156" s="5" t="str">
        <f>IFERROR(__xludf.DUMMYFUNCTION("""COMPUTED_VALUE"""),"Dakota Fanning")</f>
        <v>Dakota Fanning</v>
      </c>
      <c r="K3156" s="5" t="str">
        <f>IFERROR(__xludf.DUMMYFUNCTION("""COMPUTED_VALUE"""),"Estrela 3")</f>
        <v>Estrela 3</v>
      </c>
      <c r="P3156" s="5">
        <f>IFERROR(__xludf.DUMMYFUNCTION("""COMPUTED_VALUE"""),789.0)</f>
        <v>789</v>
      </c>
      <c r="Q3156" s="5" t="str">
        <f>IFERROR(__xludf.DUMMYFUNCTION("""COMPUTED_VALUE"""),"I Am Sam")</f>
        <v>I Am Sam</v>
      </c>
      <c r="R3156" s="5" t="str">
        <f>IFERROR(__xludf.DUMMYFUNCTION("""COMPUTED_VALUE"""),"Dakota Fanning")</f>
        <v>Dakota Fanning</v>
      </c>
      <c r="S3156" s="5" t="str">
        <f>IFERROR(__xludf.DUMMYFUNCTION("""COMPUTED_VALUE"""),"Estrela 3")</f>
        <v>Estrela 3</v>
      </c>
    </row>
    <row r="3157">
      <c r="G3157" s="5" t="str">
        <f>IFERROR(__xludf.DUMMYFUNCTION("""COMPUTED_VALUE"""),"789🤙🏼I Am Sam🤙🏼Dianne Wiest🤙🏼Estrela 4")</f>
        <v>789🤙🏼I Am Sam🤙🏼Dianne Wiest🤙🏼Estrela 4</v>
      </c>
      <c r="H3157" s="5">
        <f>IFERROR(__xludf.DUMMYFUNCTION("SPLiT(G3157, ""🤙🏼"",FALSE,FALSE)"),789.0)</f>
        <v>789</v>
      </c>
      <c r="I3157" s="5" t="str">
        <f>IFERROR(__xludf.DUMMYFUNCTION("""COMPUTED_VALUE"""),"I Am Sam")</f>
        <v>I Am Sam</v>
      </c>
      <c r="J3157" s="5" t="str">
        <f>IFERROR(__xludf.DUMMYFUNCTION("""COMPUTED_VALUE"""),"Dianne Wiest")</f>
        <v>Dianne Wiest</v>
      </c>
      <c r="K3157" s="5" t="str">
        <f>IFERROR(__xludf.DUMMYFUNCTION("""COMPUTED_VALUE"""),"Estrela 4")</f>
        <v>Estrela 4</v>
      </c>
      <c r="P3157" s="5">
        <f>IFERROR(__xludf.DUMMYFUNCTION("""COMPUTED_VALUE"""),789.0)</f>
        <v>789</v>
      </c>
      <c r="Q3157" s="5" t="str">
        <f>IFERROR(__xludf.DUMMYFUNCTION("""COMPUTED_VALUE"""),"I Am Sam")</f>
        <v>I Am Sam</v>
      </c>
      <c r="R3157" s="5" t="str">
        <f>IFERROR(__xludf.DUMMYFUNCTION("""COMPUTED_VALUE"""),"Dianne Wiest")</f>
        <v>Dianne Wiest</v>
      </c>
      <c r="S3157" s="5" t="str">
        <f>IFERROR(__xludf.DUMMYFUNCTION("""COMPUTED_VALUE"""),"Estrela 4")</f>
        <v>Estrela 4</v>
      </c>
    </row>
    <row r="3158">
      <c r="G3158" s="5" t="str">
        <f>IFERROR(__xludf.DUMMYFUNCTION("""COMPUTED_VALUE"""),"790🤙🏼Adaptation.🤙🏼Nicolas Cage🤙🏼Estrela 1")</f>
        <v>790🤙🏼Adaptation.🤙🏼Nicolas Cage🤙🏼Estrela 1</v>
      </c>
      <c r="H3158" s="5">
        <f>IFERROR(__xludf.DUMMYFUNCTION("SPLiT(G3158, ""🤙🏼"",FALSE,FALSE)"),790.0)</f>
        <v>790</v>
      </c>
      <c r="I3158" s="5" t="str">
        <f>IFERROR(__xludf.DUMMYFUNCTION("""COMPUTED_VALUE"""),"Adaptation.")</f>
        <v>Adaptation.</v>
      </c>
      <c r="J3158" s="5" t="str">
        <f>IFERROR(__xludf.DUMMYFUNCTION("""COMPUTED_VALUE"""),"Nicolas Cage")</f>
        <v>Nicolas Cage</v>
      </c>
      <c r="K3158" s="5" t="str">
        <f>IFERROR(__xludf.DUMMYFUNCTION("""COMPUTED_VALUE"""),"Estrela 1")</f>
        <v>Estrela 1</v>
      </c>
      <c r="P3158" s="5">
        <f>IFERROR(__xludf.DUMMYFUNCTION("""COMPUTED_VALUE"""),790.0)</f>
        <v>790</v>
      </c>
      <c r="Q3158" s="5" t="str">
        <f>IFERROR(__xludf.DUMMYFUNCTION("""COMPUTED_VALUE"""),"Adaptation.")</f>
        <v>Adaptation.</v>
      </c>
      <c r="R3158" s="5" t="str">
        <f>IFERROR(__xludf.DUMMYFUNCTION("""COMPUTED_VALUE"""),"Nicolas Cage")</f>
        <v>Nicolas Cage</v>
      </c>
      <c r="S3158" s="5" t="str">
        <f>IFERROR(__xludf.DUMMYFUNCTION("""COMPUTED_VALUE"""),"Estrela 1")</f>
        <v>Estrela 1</v>
      </c>
    </row>
    <row r="3159">
      <c r="G3159" s="5" t="str">
        <f>IFERROR(__xludf.DUMMYFUNCTION("""COMPUTED_VALUE"""),"790🤙🏼Adaptation.🤙🏼Meryl Streep🤙🏼Estrela 2")</f>
        <v>790🤙🏼Adaptation.🤙🏼Meryl Streep🤙🏼Estrela 2</v>
      </c>
      <c r="H3159" s="5">
        <f>IFERROR(__xludf.DUMMYFUNCTION("SPLiT(G3159, ""🤙🏼"",FALSE,FALSE)"),790.0)</f>
        <v>790</v>
      </c>
      <c r="I3159" s="5" t="str">
        <f>IFERROR(__xludf.DUMMYFUNCTION("""COMPUTED_VALUE"""),"Adaptation.")</f>
        <v>Adaptation.</v>
      </c>
      <c r="J3159" s="5" t="str">
        <f>IFERROR(__xludf.DUMMYFUNCTION("""COMPUTED_VALUE"""),"Meryl Streep")</f>
        <v>Meryl Streep</v>
      </c>
      <c r="K3159" s="5" t="str">
        <f>IFERROR(__xludf.DUMMYFUNCTION("""COMPUTED_VALUE"""),"Estrela 2")</f>
        <v>Estrela 2</v>
      </c>
      <c r="P3159" s="5">
        <f>IFERROR(__xludf.DUMMYFUNCTION("""COMPUTED_VALUE"""),790.0)</f>
        <v>790</v>
      </c>
      <c r="Q3159" s="5" t="str">
        <f>IFERROR(__xludf.DUMMYFUNCTION("""COMPUTED_VALUE"""),"Adaptation.")</f>
        <v>Adaptation.</v>
      </c>
      <c r="R3159" s="5" t="str">
        <f>IFERROR(__xludf.DUMMYFUNCTION("""COMPUTED_VALUE"""),"Meryl Streep")</f>
        <v>Meryl Streep</v>
      </c>
      <c r="S3159" s="5" t="str">
        <f>IFERROR(__xludf.DUMMYFUNCTION("""COMPUTED_VALUE"""),"Estrela 2")</f>
        <v>Estrela 2</v>
      </c>
    </row>
    <row r="3160">
      <c r="G3160" s="5" t="str">
        <f>IFERROR(__xludf.DUMMYFUNCTION("""COMPUTED_VALUE"""),"790🤙🏼Adaptation.🤙🏼Chris Cooper🤙🏼Estrela 3")</f>
        <v>790🤙🏼Adaptation.🤙🏼Chris Cooper🤙🏼Estrela 3</v>
      </c>
      <c r="H3160" s="5">
        <f>IFERROR(__xludf.DUMMYFUNCTION("SPLiT(G3160, ""🤙🏼"",FALSE,FALSE)"),790.0)</f>
        <v>790</v>
      </c>
      <c r="I3160" s="5" t="str">
        <f>IFERROR(__xludf.DUMMYFUNCTION("""COMPUTED_VALUE"""),"Adaptation.")</f>
        <v>Adaptation.</v>
      </c>
      <c r="J3160" s="5" t="str">
        <f>IFERROR(__xludf.DUMMYFUNCTION("""COMPUTED_VALUE"""),"Chris Cooper")</f>
        <v>Chris Cooper</v>
      </c>
      <c r="K3160" s="5" t="str">
        <f>IFERROR(__xludf.DUMMYFUNCTION("""COMPUTED_VALUE"""),"Estrela 3")</f>
        <v>Estrela 3</v>
      </c>
      <c r="P3160" s="5">
        <f>IFERROR(__xludf.DUMMYFUNCTION("""COMPUTED_VALUE"""),790.0)</f>
        <v>790</v>
      </c>
      <c r="Q3160" s="5" t="str">
        <f>IFERROR(__xludf.DUMMYFUNCTION("""COMPUTED_VALUE"""),"Adaptation.")</f>
        <v>Adaptation.</v>
      </c>
      <c r="R3160" s="5" t="str">
        <f>IFERROR(__xludf.DUMMYFUNCTION("""COMPUTED_VALUE"""),"Chris Cooper")</f>
        <v>Chris Cooper</v>
      </c>
      <c r="S3160" s="5" t="str">
        <f>IFERROR(__xludf.DUMMYFUNCTION("""COMPUTED_VALUE"""),"Estrela 3")</f>
        <v>Estrela 3</v>
      </c>
    </row>
    <row r="3161">
      <c r="G3161" s="5" t="str">
        <f>IFERROR(__xludf.DUMMYFUNCTION("""COMPUTED_VALUE"""),"790🤙🏼Adaptation.🤙🏼Tilda Swinton🤙🏼Estrela 4")</f>
        <v>790🤙🏼Adaptation.🤙🏼Tilda Swinton🤙🏼Estrela 4</v>
      </c>
      <c r="H3161" s="5">
        <f>IFERROR(__xludf.DUMMYFUNCTION("SPLiT(G3161, ""🤙🏼"",FALSE,FALSE)"),790.0)</f>
        <v>790</v>
      </c>
      <c r="I3161" s="5" t="str">
        <f>IFERROR(__xludf.DUMMYFUNCTION("""COMPUTED_VALUE"""),"Adaptation.")</f>
        <v>Adaptation.</v>
      </c>
      <c r="J3161" s="5" t="str">
        <f>IFERROR(__xludf.DUMMYFUNCTION("""COMPUTED_VALUE"""),"Tilda Swinton")</f>
        <v>Tilda Swinton</v>
      </c>
      <c r="K3161" s="5" t="str">
        <f>IFERROR(__xludf.DUMMYFUNCTION("""COMPUTED_VALUE"""),"Estrela 4")</f>
        <v>Estrela 4</v>
      </c>
      <c r="P3161" s="5">
        <f>IFERROR(__xludf.DUMMYFUNCTION("""COMPUTED_VALUE"""),790.0)</f>
        <v>790</v>
      </c>
      <c r="Q3161" s="5" t="str">
        <f>IFERROR(__xludf.DUMMYFUNCTION("""COMPUTED_VALUE"""),"Adaptation.")</f>
        <v>Adaptation.</v>
      </c>
      <c r="R3161" s="5" t="str">
        <f>IFERROR(__xludf.DUMMYFUNCTION("""COMPUTED_VALUE"""),"Tilda Swinton")</f>
        <v>Tilda Swinton</v>
      </c>
      <c r="S3161" s="5" t="str">
        <f>IFERROR(__xludf.DUMMYFUNCTION("""COMPUTED_VALUE"""),"Estrela 4")</f>
        <v>Estrela 4</v>
      </c>
    </row>
    <row r="3162">
      <c r="G3162" s="5" t="str">
        <f>IFERROR(__xludf.DUMMYFUNCTION("""COMPUTED_VALUE"""),"791🤙🏼Black Hawk Down🤙🏼Josh Hartnett🤙🏼Estrela 1")</f>
        <v>791🤙🏼Black Hawk Down🤙🏼Josh Hartnett🤙🏼Estrela 1</v>
      </c>
      <c r="H3162" s="5">
        <f>IFERROR(__xludf.DUMMYFUNCTION("SPLiT(G3162, ""🤙🏼"",FALSE,FALSE)"),791.0)</f>
        <v>791</v>
      </c>
      <c r="I3162" s="5" t="str">
        <f>IFERROR(__xludf.DUMMYFUNCTION("""COMPUTED_VALUE"""),"Black Hawk Down")</f>
        <v>Black Hawk Down</v>
      </c>
      <c r="J3162" s="5" t="str">
        <f>IFERROR(__xludf.DUMMYFUNCTION("""COMPUTED_VALUE"""),"Josh Hartnett")</f>
        <v>Josh Hartnett</v>
      </c>
      <c r="K3162" s="5" t="str">
        <f>IFERROR(__xludf.DUMMYFUNCTION("""COMPUTED_VALUE"""),"Estrela 1")</f>
        <v>Estrela 1</v>
      </c>
      <c r="P3162" s="5">
        <f>IFERROR(__xludf.DUMMYFUNCTION("""COMPUTED_VALUE"""),791.0)</f>
        <v>791</v>
      </c>
      <c r="Q3162" s="5" t="str">
        <f>IFERROR(__xludf.DUMMYFUNCTION("""COMPUTED_VALUE"""),"Black Hawk Down")</f>
        <v>Black Hawk Down</v>
      </c>
      <c r="R3162" s="5" t="str">
        <f>IFERROR(__xludf.DUMMYFUNCTION("""COMPUTED_VALUE"""),"Josh Hartnett")</f>
        <v>Josh Hartnett</v>
      </c>
      <c r="S3162" s="5" t="str">
        <f>IFERROR(__xludf.DUMMYFUNCTION("""COMPUTED_VALUE"""),"Estrela 1")</f>
        <v>Estrela 1</v>
      </c>
    </row>
    <row r="3163">
      <c r="G3163" s="5" t="str">
        <f>IFERROR(__xludf.DUMMYFUNCTION("""COMPUTED_VALUE"""),"791🤙🏼Black Hawk Down🤙🏼Ewan McGregor🤙🏼Estrela 2")</f>
        <v>791🤙🏼Black Hawk Down🤙🏼Ewan McGregor🤙🏼Estrela 2</v>
      </c>
      <c r="H3163" s="5">
        <f>IFERROR(__xludf.DUMMYFUNCTION("SPLiT(G3163, ""🤙🏼"",FALSE,FALSE)"),791.0)</f>
        <v>791</v>
      </c>
      <c r="I3163" s="5" t="str">
        <f>IFERROR(__xludf.DUMMYFUNCTION("""COMPUTED_VALUE"""),"Black Hawk Down")</f>
        <v>Black Hawk Down</v>
      </c>
      <c r="J3163" s="5" t="str">
        <f>IFERROR(__xludf.DUMMYFUNCTION("""COMPUTED_VALUE"""),"Ewan McGregor")</f>
        <v>Ewan McGregor</v>
      </c>
      <c r="K3163" s="5" t="str">
        <f>IFERROR(__xludf.DUMMYFUNCTION("""COMPUTED_VALUE"""),"Estrela 2")</f>
        <v>Estrela 2</v>
      </c>
      <c r="P3163" s="5">
        <f>IFERROR(__xludf.DUMMYFUNCTION("""COMPUTED_VALUE"""),791.0)</f>
        <v>791</v>
      </c>
      <c r="Q3163" s="5" t="str">
        <f>IFERROR(__xludf.DUMMYFUNCTION("""COMPUTED_VALUE"""),"Black Hawk Down")</f>
        <v>Black Hawk Down</v>
      </c>
      <c r="R3163" s="5" t="str">
        <f>IFERROR(__xludf.DUMMYFUNCTION("""COMPUTED_VALUE"""),"Ewan McGregor")</f>
        <v>Ewan McGregor</v>
      </c>
      <c r="S3163" s="5" t="str">
        <f>IFERROR(__xludf.DUMMYFUNCTION("""COMPUTED_VALUE"""),"Estrela 2")</f>
        <v>Estrela 2</v>
      </c>
    </row>
    <row r="3164">
      <c r="G3164" s="5" t="str">
        <f>IFERROR(__xludf.DUMMYFUNCTION("""COMPUTED_VALUE"""),"791🤙🏼Black Hawk Down🤙🏼Tom Sizemore🤙🏼Estrela 3")</f>
        <v>791🤙🏼Black Hawk Down🤙🏼Tom Sizemore🤙🏼Estrela 3</v>
      </c>
      <c r="H3164" s="5">
        <f>IFERROR(__xludf.DUMMYFUNCTION("SPLiT(G3164, ""🤙🏼"",FALSE,FALSE)"),791.0)</f>
        <v>791</v>
      </c>
      <c r="I3164" s="5" t="str">
        <f>IFERROR(__xludf.DUMMYFUNCTION("""COMPUTED_VALUE"""),"Black Hawk Down")</f>
        <v>Black Hawk Down</v>
      </c>
      <c r="J3164" s="5" t="str">
        <f>IFERROR(__xludf.DUMMYFUNCTION("""COMPUTED_VALUE"""),"Tom Sizemore")</f>
        <v>Tom Sizemore</v>
      </c>
      <c r="K3164" s="5" t="str">
        <f>IFERROR(__xludf.DUMMYFUNCTION("""COMPUTED_VALUE"""),"Estrela 3")</f>
        <v>Estrela 3</v>
      </c>
      <c r="P3164" s="5">
        <f>IFERROR(__xludf.DUMMYFUNCTION("""COMPUTED_VALUE"""),791.0)</f>
        <v>791</v>
      </c>
      <c r="Q3164" s="5" t="str">
        <f>IFERROR(__xludf.DUMMYFUNCTION("""COMPUTED_VALUE"""),"Black Hawk Down")</f>
        <v>Black Hawk Down</v>
      </c>
      <c r="R3164" s="5" t="str">
        <f>IFERROR(__xludf.DUMMYFUNCTION("""COMPUTED_VALUE"""),"Tom Sizemore")</f>
        <v>Tom Sizemore</v>
      </c>
      <c r="S3164" s="5" t="str">
        <f>IFERROR(__xludf.DUMMYFUNCTION("""COMPUTED_VALUE"""),"Estrela 3")</f>
        <v>Estrela 3</v>
      </c>
    </row>
    <row r="3165">
      <c r="G3165" s="5" t="str">
        <f>IFERROR(__xludf.DUMMYFUNCTION("""COMPUTED_VALUE"""),"791🤙🏼Black Hawk Down🤙🏼Eric Bana🤙🏼Estrela 4")</f>
        <v>791🤙🏼Black Hawk Down🤙🏼Eric Bana🤙🏼Estrela 4</v>
      </c>
      <c r="H3165" s="5">
        <f>IFERROR(__xludf.DUMMYFUNCTION("SPLiT(G3165, ""🤙🏼"",FALSE,FALSE)"),791.0)</f>
        <v>791</v>
      </c>
      <c r="I3165" s="5" t="str">
        <f>IFERROR(__xludf.DUMMYFUNCTION("""COMPUTED_VALUE"""),"Black Hawk Down")</f>
        <v>Black Hawk Down</v>
      </c>
      <c r="J3165" s="5" t="str">
        <f>IFERROR(__xludf.DUMMYFUNCTION("""COMPUTED_VALUE"""),"Eric Bana")</f>
        <v>Eric Bana</v>
      </c>
      <c r="K3165" s="5" t="str">
        <f>IFERROR(__xludf.DUMMYFUNCTION("""COMPUTED_VALUE"""),"Estrela 4")</f>
        <v>Estrela 4</v>
      </c>
      <c r="P3165" s="5">
        <f>IFERROR(__xludf.DUMMYFUNCTION("""COMPUTED_VALUE"""),791.0)</f>
        <v>791</v>
      </c>
      <c r="Q3165" s="5" t="str">
        <f>IFERROR(__xludf.DUMMYFUNCTION("""COMPUTED_VALUE"""),"Black Hawk Down")</f>
        <v>Black Hawk Down</v>
      </c>
      <c r="R3165" s="5" t="str">
        <f>IFERROR(__xludf.DUMMYFUNCTION("""COMPUTED_VALUE"""),"Eric Bana")</f>
        <v>Eric Bana</v>
      </c>
      <c r="S3165" s="5" t="str">
        <f>IFERROR(__xludf.DUMMYFUNCTION("""COMPUTED_VALUE"""),"Estrela 4")</f>
        <v>Estrela 4</v>
      </c>
    </row>
    <row r="3166">
      <c r="G3166" s="5" t="str">
        <f>IFERROR(__xludf.DUMMYFUNCTION("""COMPUTED_VALUE"""),"792🤙🏼Road to Perdition🤙🏼Tom Hanks🤙🏼Estrela 1")</f>
        <v>792🤙🏼Road to Perdition🤙🏼Tom Hanks🤙🏼Estrela 1</v>
      </c>
      <c r="H3166" s="5">
        <f>IFERROR(__xludf.DUMMYFUNCTION("SPLiT(G3166, ""🤙🏼"",FALSE,FALSE)"),792.0)</f>
        <v>792</v>
      </c>
      <c r="I3166" s="5" t="str">
        <f>IFERROR(__xludf.DUMMYFUNCTION("""COMPUTED_VALUE"""),"Road to Perdition")</f>
        <v>Road to Perdition</v>
      </c>
      <c r="J3166" s="5" t="str">
        <f>IFERROR(__xludf.DUMMYFUNCTION("""COMPUTED_VALUE"""),"Tom Hanks")</f>
        <v>Tom Hanks</v>
      </c>
      <c r="K3166" s="5" t="str">
        <f>IFERROR(__xludf.DUMMYFUNCTION("""COMPUTED_VALUE"""),"Estrela 1")</f>
        <v>Estrela 1</v>
      </c>
      <c r="P3166" s="5">
        <f>IFERROR(__xludf.DUMMYFUNCTION("""COMPUTED_VALUE"""),792.0)</f>
        <v>792</v>
      </c>
      <c r="Q3166" s="5" t="str">
        <f>IFERROR(__xludf.DUMMYFUNCTION("""COMPUTED_VALUE"""),"Road to Perdition")</f>
        <v>Road to Perdition</v>
      </c>
      <c r="R3166" s="5" t="str">
        <f>IFERROR(__xludf.DUMMYFUNCTION("""COMPUTED_VALUE"""),"Tom Hanks")</f>
        <v>Tom Hanks</v>
      </c>
      <c r="S3166" s="5" t="str">
        <f>IFERROR(__xludf.DUMMYFUNCTION("""COMPUTED_VALUE"""),"Estrela 1")</f>
        <v>Estrela 1</v>
      </c>
    </row>
    <row r="3167">
      <c r="G3167" s="5" t="str">
        <f>IFERROR(__xludf.DUMMYFUNCTION("""COMPUTED_VALUE"""),"792🤙🏼Road to Perdition🤙🏼Tyler Hoechlin🤙🏼Estrela 2")</f>
        <v>792🤙🏼Road to Perdition🤙🏼Tyler Hoechlin🤙🏼Estrela 2</v>
      </c>
      <c r="H3167" s="5">
        <f>IFERROR(__xludf.DUMMYFUNCTION("SPLiT(G3167, ""🤙🏼"",FALSE,FALSE)"),792.0)</f>
        <v>792</v>
      </c>
      <c r="I3167" s="5" t="str">
        <f>IFERROR(__xludf.DUMMYFUNCTION("""COMPUTED_VALUE"""),"Road to Perdition")</f>
        <v>Road to Perdition</v>
      </c>
      <c r="J3167" s="5" t="str">
        <f>IFERROR(__xludf.DUMMYFUNCTION("""COMPUTED_VALUE"""),"Tyler Hoechlin")</f>
        <v>Tyler Hoechlin</v>
      </c>
      <c r="K3167" s="5" t="str">
        <f>IFERROR(__xludf.DUMMYFUNCTION("""COMPUTED_VALUE"""),"Estrela 2")</f>
        <v>Estrela 2</v>
      </c>
      <c r="P3167" s="5">
        <f>IFERROR(__xludf.DUMMYFUNCTION("""COMPUTED_VALUE"""),792.0)</f>
        <v>792</v>
      </c>
      <c r="Q3167" s="5" t="str">
        <f>IFERROR(__xludf.DUMMYFUNCTION("""COMPUTED_VALUE"""),"Road to Perdition")</f>
        <v>Road to Perdition</v>
      </c>
      <c r="R3167" s="5" t="str">
        <f>IFERROR(__xludf.DUMMYFUNCTION("""COMPUTED_VALUE"""),"Tyler Hoechlin")</f>
        <v>Tyler Hoechlin</v>
      </c>
      <c r="S3167" s="5" t="str">
        <f>IFERROR(__xludf.DUMMYFUNCTION("""COMPUTED_VALUE"""),"Estrela 2")</f>
        <v>Estrela 2</v>
      </c>
    </row>
    <row r="3168">
      <c r="G3168" s="5" t="str">
        <f>IFERROR(__xludf.DUMMYFUNCTION("""COMPUTED_VALUE"""),"792🤙🏼Road to Perdition🤙🏼Rob Maxey🤙🏼Estrela 3")</f>
        <v>792🤙🏼Road to Perdition🤙🏼Rob Maxey🤙🏼Estrela 3</v>
      </c>
      <c r="H3168" s="5">
        <f>IFERROR(__xludf.DUMMYFUNCTION("SPLiT(G3168, ""🤙🏼"",FALSE,FALSE)"),792.0)</f>
        <v>792</v>
      </c>
      <c r="I3168" s="5" t="str">
        <f>IFERROR(__xludf.DUMMYFUNCTION("""COMPUTED_VALUE"""),"Road to Perdition")</f>
        <v>Road to Perdition</v>
      </c>
      <c r="J3168" s="5" t="str">
        <f>IFERROR(__xludf.DUMMYFUNCTION("""COMPUTED_VALUE"""),"Rob Maxey")</f>
        <v>Rob Maxey</v>
      </c>
      <c r="K3168" s="5" t="str">
        <f>IFERROR(__xludf.DUMMYFUNCTION("""COMPUTED_VALUE"""),"Estrela 3")</f>
        <v>Estrela 3</v>
      </c>
      <c r="P3168" s="5">
        <f>IFERROR(__xludf.DUMMYFUNCTION("""COMPUTED_VALUE"""),792.0)</f>
        <v>792</v>
      </c>
      <c r="Q3168" s="5" t="str">
        <f>IFERROR(__xludf.DUMMYFUNCTION("""COMPUTED_VALUE"""),"Road to Perdition")</f>
        <v>Road to Perdition</v>
      </c>
      <c r="R3168" s="5" t="str">
        <f>IFERROR(__xludf.DUMMYFUNCTION("""COMPUTED_VALUE"""),"Rob Maxey")</f>
        <v>Rob Maxey</v>
      </c>
      <c r="S3168" s="5" t="str">
        <f>IFERROR(__xludf.DUMMYFUNCTION("""COMPUTED_VALUE"""),"Estrela 3")</f>
        <v>Estrela 3</v>
      </c>
    </row>
    <row r="3169">
      <c r="G3169" s="5" t="str">
        <f>IFERROR(__xludf.DUMMYFUNCTION("""COMPUTED_VALUE"""),"792🤙🏼Road to Perdition🤙🏼Liam Aiken🤙🏼Estrela 4")</f>
        <v>792🤙🏼Road to Perdition🤙🏼Liam Aiken🤙🏼Estrela 4</v>
      </c>
      <c r="H3169" s="5">
        <f>IFERROR(__xludf.DUMMYFUNCTION("SPLiT(G3169, ""🤙🏼"",FALSE,FALSE)"),792.0)</f>
        <v>792</v>
      </c>
      <c r="I3169" s="5" t="str">
        <f>IFERROR(__xludf.DUMMYFUNCTION("""COMPUTED_VALUE"""),"Road to Perdition")</f>
        <v>Road to Perdition</v>
      </c>
      <c r="J3169" s="5" t="str">
        <f>IFERROR(__xludf.DUMMYFUNCTION("""COMPUTED_VALUE"""),"Liam Aiken")</f>
        <v>Liam Aiken</v>
      </c>
      <c r="K3169" s="5" t="str">
        <f>IFERROR(__xludf.DUMMYFUNCTION("""COMPUTED_VALUE"""),"Estrela 4")</f>
        <v>Estrela 4</v>
      </c>
      <c r="P3169" s="5">
        <f>IFERROR(__xludf.DUMMYFUNCTION("""COMPUTED_VALUE"""),792.0)</f>
        <v>792</v>
      </c>
      <c r="Q3169" s="5" t="str">
        <f>IFERROR(__xludf.DUMMYFUNCTION("""COMPUTED_VALUE"""),"Road to Perdition")</f>
        <v>Road to Perdition</v>
      </c>
      <c r="R3169" s="5" t="str">
        <f>IFERROR(__xludf.DUMMYFUNCTION("""COMPUTED_VALUE"""),"Liam Aiken")</f>
        <v>Liam Aiken</v>
      </c>
      <c r="S3169" s="5" t="str">
        <f>IFERROR(__xludf.DUMMYFUNCTION("""COMPUTED_VALUE"""),"Estrela 4")</f>
        <v>Estrela 4</v>
      </c>
    </row>
    <row r="3170">
      <c r="G3170" s="5" t="str">
        <f>IFERROR(__xludf.DUMMYFUNCTION("""COMPUTED_VALUE"""),"793🤙🏼Das Experiment🤙🏼Moritz Bleibtreu🤙🏼Estrela 1")</f>
        <v>793🤙🏼Das Experiment🤙🏼Moritz Bleibtreu🤙🏼Estrela 1</v>
      </c>
      <c r="H3170" s="5">
        <f>IFERROR(__xludf.DUMMYFUNCTION("SPLiT(G3170, ""🤙🏼"",FALSE,FALSE)"),793.0)</f>
        <v>793</v>
      </c>
      <c r="I3170" s="5" t="str">
        <f>IFERROR(__xludf.DUMMYFUNCTION("""COMPUTED_VALUE"""),"Das Experiment")</f>
        <v>Das Experiment</v>
      </c>
      <c r="J3170" s="5" t="str">
        <f>IFERROR(__xludf.DUMMYFUNCTION("""COMPUTED_VALUE"""),"Moritz Bleibtreu")</f>
        <v>Moritz Bleibtreu</v>
      </c>
      <c r="K3170" s="5" t="str">
        <f>IFERROR(__xludf.DUMMYFUNCTION("""COMPUTED_VALUE"""),"Estrela 1")</f>
        <v>Estrela 1</v>
      </c>
      <c r="P3170" s="5">
        <f>IFERROR(__xludf.DUMMYFUNCTION("""COMPUTED_VALUE"""),793.0)</f>
        <v>793</v>
      </c>
      <c r="Q3170" s="5" t="str">
        <f>IFERROR(__xludf.DUMMYFUNCTION("""COMPUTED_VALUE"""),"Das Experiment")</f>
        <v>Das Experiment</v>
      </c>
      <c r="R3170" s="5" t="str">
        <f>IFERROR(__xludf.DUMMYFUNCTION("""COMPUTED_VALUE"""),"Moritz Bleibtreu")</f>
        <v>Moritz Bleibtreu</v>
      </c>
      <c r="S3170" s="5" t="str">
        <f>IFERROR(__xludf.DUMMYFUNCTION("""COMPUTED_VALUE"""),"Estrela 1")</f>
        <v>Estrela 1</v>
      </c>
    </row>
    <row r="3171">
      <c r="G3171" s="5" t="str">
        <f>IFERROR(__xludf.DUMMYFUNCTION("""COMPUTED_VALUE"""),"793🤙🏼Das Experiment🤙🏼Christian Berkel🤙🏼Estrela 2")</f>
        <v>793🤙🏼Das Experiment🤙🏼Christian Berkel🤙🏼Estrela 2</v>
      </c>
      <c r="H3171" s="5">
        <f>IFERROR(__xludf.DUMMYFUNCTION("SPLiT(G3171, ""🤙🏼"",FALSE,FALSE)"),793.0)</f>
        <v>793</v>
      </c>
      <c r="I3171" s="5" t="str">
        <f>IFERROR(__xludf.DUMMYFUNCTION("""COMPUTED_VALUE"""),"Das Experiment")</f>
        <v>Das Experiment</v>
      </c>
      <c r="J3171" s="5" t="str">
        <f>IFERROR(__xludf.DUMMYFUNCTION("""COMPUTED_VALUE"""),"Christian Berkel")</f>
        <v>Christian Berkel</v>
      </c>
      <c r="K3171" s="5" t="str">
        <f>IFERROR(__xludf.DUMMYFUNCTION("""COMPUTED_VALUE"""),"Estrela 2")</f>
        <v>Estrela 2</v>
      </c>
      <c r="P3171" s="5">
        <f>IFERROR(__xludf.DUMMYFUNCTION("""COMPUTED_VALUE"""),793.0)</f>
        <v>793</v>
      </c>
      <c r="Q3171" s="5" t="str">
        <f>IFERROR(__xludf.DUMMYFUNCTION("""COMPUTED_VALUE"""),"Das Experiment")</f>
        <v>Das Experiment</v>
      </c>
      <c r="R3171" s="5" t="str">
        <f>IFERROR(__xludf.DUMMYFUNCTION("""COMPUTED_VALUE"""),"Christian Berkel")</f>
        <v>Christian Berkel</v>
      </c>
      <c r="S3171" s="5" t="str">
        <f>IFERROR(__xludf.DUMMYFUNCTION("""COMPUTED_VALUE"""),"Estrela 2")</f>
        <v>Estrela 2</v>
      </c>
    </row>
    <row r="3172">
      <c r="G3172" s="5" t="str">
        <f>IFERROR(__xludf.DUMMYFUNCTION("""COMPUTED_VALUE"""),"793🤙🏼Das Experiment🤙🏼Oliver Stokowski🤙🏼Estrela 3")</f>
        <v>793🤙🏼Das Experiment🤙🏼Oliver Stokowski🤙🏼Estrela 3</v>
      </c>
      <c r="H3172" s="5">
        <f>IFERROR(__xludf.DUMMYFUNCTION("SPLiT(G3172, ""🤙🏼"",FALSE,FALSE)"),793.0)</f>
        <v>793</v>
      </c>
      <c r="I3172" s="5" t="str">
        <f>IFERROR(__xludf.DUMMYFUNCTION("""COMPUTED_VALUE"""),"Das Experiment")</f>
        <v>Das Experiment</v>
      </c>
      <c r="J3172" s="5" t="str">
        <f>IFERROR(__xludf.DUMMYFUNCTION("""COMPUTED_VALUE"""),"Oliver Stokowski")</f>
        <v>Oliver Stokowski</v>
      </c>
      <c r="K3172" s="5" t="str">
        <f>IFERROR(__xludf.DUMMYFUNCTION("""COMPUTED_VALUE"""),"Estrela 3")</f>
        <v>Estrela 3</v>
      </c>
      <c r="P3172" s="5">
        <f>IFERROR(__xludf.DUMMYFUNCTION("""COMPUTED_VALUE"""),793.0)</f>
        <v>793</v>
      </c>
      <c r="Q3172" s="5" t="str">
        <f>IFERROR(__xludf.DUMMYFUNCTION("""COMPUTED_VALUE"""),"Das Experiment")</f>
        <v>Das Experiment</v>
      </c>
      <c r="R3172" s="5" t="str">
        <f>IFERROR(__xludf.DUMMYFUNCTION("""COMPUTED_VALUE"""),"Oliver Stokowski")</f>
        <v>Oliver Stokowski</v>
      </c>
      <c r="S3172" s="5" t="str">
        <f>IFERROR(__xludf.DUMMYFUNCTION("""COMPUTED_VALUE"""),"Estrela 3")</f>
        <v>Estrela 3</v>
      </c>
    </row>
    <row r="3173">
      <c r="G3173" s="5" t="str">
        <f>IFERROR(__xludf.DUMMYFUNCTION("""COMPUTED_VALUE"""),"793🤙🏼Das Experiment🤙🏼Wotan Wilke Möhring🤙🏼Estrela 4")</f>
        <v>793🤙🏼Das Experiment🤙🏼Wotan Wilke Möhring🤙🏼Estrela 4</v>
      </c>
      <c r="H3173" s="5">
        <f>IFERROR(__xludf.DUMMYFUNCTION("SPLiT(G3173, ""🤙🏼"",FALSE,FALSE)"),793.0)</f>
        <v>793</v>
      </c>
      <c r="I3173" s="5" t="str">
        <f>IFERROR(__xludf.DUMMYFUNCTION("""COMPUTED_VALUE"""),"Das Experiment")</f>
        <v>Das Experiment</v>
      </c>
      <c r="J3173" s="5" t="str">
        <f>IFERROR(__xludf.DUMMYFUNCTION("""COMPUTED_VALUE"""),"Wotan Wilke Möhring")</f>
        <v>Wotan Wilke Möhring</v>
      </c>
      <c r="K3173" s="5" t="str">
        <f>IFERROR(__xludf.DUMMYFUNCTION("""COMPUTED_VALUE"""),"Estrela 4")</f>
        <v>Estrela 4</v>
      </c>
      <c r="P3173" s="5">
        <f>IFERROR(__xludf.DUMMYFUNCTION("""COMPUTED_VALUE"""),793.0)</f>
        <v>793</v>
      </c>
      <c r="Q3173" s="5" t="str">
        <f>IFERROR(__xludf.DUMMYFUNCTION("""COMPUTED_VALUE"""),"Das Experiment")</f>
        <v>Das Experiment</v>
      </c>
      <c r="R3173" s="5" t="str">
        <f>IFERROR(__xludf.DUMMYFUNCTION("""COMPUTED_VALUE"""),"Wotan Wilke Möhring")</f>
        <v>Wotan Wilke Möhring</v>
      </c>
      <c r="S3173" s="5" t="str">
        <f>IFERROR(__xludf.DUMMYFUNCTION("""COMPUTED_VALUE"""),"Estrela 4")</f>
        <v>Estrela 4</v>
      </c>
    </row>
    <row r="3174">
      <c r="G3174" s="5" t="str">
        <f>IFERROR(__xludf.DUMMYFUNCTION("""COMPUTED_VALUE"""),"794🤙🏼Billy Elliot🤙🏼Jamie Bell🤙🏼Estrela 1")</f>
        <v>794🤙🏼Billy Elliot🤙🏼Jamie Bell🤙🏼Estrela 1</v>
      </c>
      <c r="H3174" s="5">
        <f>IFERROR(__xludf.DUMMYFUNCTION("SPLiT(G3174, ""🤙🏼"",FALSE,FALSE)"),794.0)</f>
        <v>794</v>
      </c>
      <c r="I3174" s="5" t="str">
        <f>IFERROR(__xludf.DUMMYFUNCTION("""COMPUTED_VALUE"""),"Billy Elliot")</f>
        <v>Billy Elliot</v>
      </c>
      <c r="J3174" s="5" t="str">
        <f>IFERROR(__xludf.DUMMYFUNCTION("""COMPUTED_VALUE"""),"Jamie Bell")</f>
        <v>Jamie Bell</v>
      </c>
      <c r="K3174" s="5" t="str">
        <f>IFERROR(__xludf.DUMMYFUNCTION("""COMPUTED_VALUE"""),"Estrela 1")</f>
        <v>Estrela 1</v>
      </c>
      <c r="P3174" s="5">
        <f>IFERROR(__xludf.DUMMYFUNCTION("""COMPUTED_VALUE"""),794.0)</f>
        <v>794</v>
      </c>
      <c r="Q3174" s="5" t="str">
        <f>IFERROR(__xludf.DUMMYFUNCTION("""COMPUTED_VALUE"""),"Billy Elliot")</f>
        <v>Billy Elliot</v>
      </c>
      <c r="R3174" s="5" t="str">
        <f>IFERROR(__xludf.DUMMYFUNCTION("""COMPUTED_VALUE"""),"Jamie Bell")</f>
        <v>Jamie Bell</v>
      </c>
      <c r="S3174" s="5" t="str">
        <f>IFERROR(__xludf.DUMMYFUNCTION("""COMPUTED_VALUE"""),"Estrela 1")</f>
        <v>Estrela 1</v>
      </c>
    </row>
    <row r="3175">
      <c r="G3175" s="5" t="str">
        <f>IFERROR(__xludf.DUMMYFUNCTION("""COMPUTED_VALUE"""),"794🤙🏼Billy Elliot🤙🏼Julie Walters🤙🏼Estrela 2")</f>
        <v>794🤙🏼Billy Elliot🤙🏼Julie Walters🤙🏼Estrela 2</v>
      </c>
      <c r="H3175" s="5">
        <f>IFERROR(__xludf.DUMMYFUNCTION("SPLiT(G3175, ""🤙🏼"",FALSE,FALSE)"),794.0)</f>
        <v>794</v>
      </c>
      <c r="I3175" s="5" t="str">
        <f>IFERROR(__xludf.DUMMYFUNCTION("""COMPUTED_VALUE"""),"Billy Elliot")</f>
        <v>Billy Elliot</v>
      </c>
      <c r="J3175" s="5" t="str">
        <f>IFERROR(__xludf.DUMMYFUNCTION("""COMPUTED_VALUE"""),"Julie Walters")</f>
        <v>Julie Walters</v>
      </c>
      <c r="K3175" s="5" t="str">
        <f>IFERROR(__xludf.DUMMYFUNCTION("""COMPUTED_VALUE"""),"Estrela 2")</f>
        <v>Estrela 2</v>
      </c>
      <c r="P3175" s="5">
        <f>IFERROR(__xludf.DUMMYFUNCTION("""COMPUTED_VALUE"""),794.0)</f>
        <v>794</v>
      </c>
      <c r="Q3175" s="5" t="str">
        <f>IFERROR(__xludf.DUMMYFUNCTION("""COMPUTED_VALUE"""),"Billy Elliot")</f>
        <v>Billy Elliot</v>
      </c>
      <c r="R3175" s="5" t="str">
        <f>IFERROR(__xludf.DUMMYFUNCTION("""COMPUTED_VALUE"""),"Julie Walters")</f>
        <v>Julie Walters</v>
      </c>
      <c r="S3175" s="5" t="str">
        <f>IFERROR(__xludf.DUMMYFUNCTION("""COMPUTED_VALUE"""),"Estrela 2")</f>
        <v>Estrela 2</v>
      </c>
    </row>
    <row r="3176">
      <c r="G3176" s="5" t="str">
        <f>IFERROR(__xludf.DUMMYFUNCTION("""COMPUTED_VALUE"""),"794🤙🏼Billy Elliot🤙🏼Jean Heywood🤙🏼Estrela 3")</f>
        <v>794🤙🏼Billy Elliot🤙🏼Jean Heywood🤙🏼Estrela 3</v>
      </c>
      <c r="H3176" s="5">
        <f>IFERROR(__xludf.DUMMYFUNCTION("SPLiT(G3176, ""🤙🏼"",FALSE,FALSE)"),794.0)</f>
        <v>794</v>
      </c>
      <c r="I3176" s="5" t="str">
        <f>IFERROR(__xludf.DUMMYFUNCTION("""COMPUTED_VALUE"""),"Billy Elliot")</f>
        <v>Billy Elliot</v>
      </c>
      <c r="J3176" s="5" t="str">
        <f>IFERROR(__xludf.DUMMYFUNCTION("""COMPUTED_VALUE"""),"Jean Heywood")</f>
        <v>Jean Heywood</v>
      </c>
      <c r="K3176" s="5" t="str">
        <f>IFERROR(__xludf.DUMMYFUNCTION("""COMPUTED_VALUE"""),"Estrela 3")</f>
        <v>Estrela 3</v>
      </c>
      <c r="P3176" s="5">
        <f>IFERROR(__xludf.DUMMYFUNCTION("""COMPUTED_VALUE"""),794.0)</f>
        <v>794</v>
      </c>
      <c r="Q3176" s="5" t="str">
        <f>IFERROR(__xludf.DUMMYFUNCTION("""COMPUTED_VALUE"""),"Billy Elliot")</f>
        <v>Billy Elliot</v>
      </c>
      <c r="R3176" s="5" t="str">
        <f>IFERROR(__xludf.DUMMYFUNCTION("""COMPUTED_VALUE"""),"Jean Heywood")</f>
        <v>Jean Heywood</v>
      </c>
      <c r="S3176" s="5" t="str">
        <f>IFERROR(__xludf.DUMMYFUNCTION("""COMPUTED_VALUE"""),"Estrela 3")</f>
        <v>Estrela 3</v>
      </c>
    </row>
    <row r="3177">
      <c r="G3177" s="5" t="str">
        <f>IFERROR(__xludf.DUMMYFUNCTION("""COMPUTED_VALUE"""),"794🤙🏼Billy Elliot🤙🏼Jamie Draven🤙🏼Estrela 4")</f>
        <v>794🤙🏼Billy Elliot🤙🏼Jamie Draven🤙🏼Estrela 4</v>
      </c>
      <c r="H3177" s="5">
        <f>IFERROR(__xludf.DUMMYFUNCTION("SPLiT(G3177, ""🤙🏼"",FALSE,FALSE)"),794.0)</f>
        <v>794</v>
      </c>
      <c r="I3177" s="5" t="str">
        <f>IFERROR(__xludf.DUMMYFUNCTION("""COMPUTED_VALUE"""),"Billy Elliot")</f>
        <v>Billy Elliot</v>
      </c>
      <c r="J3177" s="5" t="str">
        <f>IFERROR(__xludf.DUMMYFUNCTION("""COMPUTED_VALUE"""),"Jamie Draven")</f>
        <v>Jamie Draven</v>
      </c>
      <c r="K3177" s="5" t="str">
        <f>IFERROR(__xludf.DUMMYFUNCTION("""COMPUTED_VALUE"""),"Estrela 4")</f>
        <v>Estrela 4</v>
      </c>
      <c r="P3177" s="5">
        <f>IFERROR(__xludf.DUMMYFUNCTION("""COMPUTED_VALUE"""),794.0)</f>
        <v>794</v>
      </c>
      <c r="Q3177" s="5" t="str">
        <f>IFERROR(__xludf.DUMMYFUNCTION("""COMPUTED_VALUE"""),"Billy Elliot")</f>
        <v>Billy Elliot</v>
      </c>
      <c r="R3177" s="5" t="str">
        <f>IFERROR(__xludf.DUMMYFUNCTION("""COMPUTED_VALUE"""),"Jamie Draven")</f>
        <v>Jamie Draven</v>
      </c>
      <c r="S3177" s="5" t="str">
        <f>IFERROR(__xludf.DUMMYFUNCTION("""COMPUTED_VALUE"""),"Estrela 4")</f>
        <v>Estrela 4</v>
      </c>
    </row>
    <row r="3178">
      <c r="G3178" s="5" t="str">
        <f>IFERROR(__xludf.DUMMYFUNCTION("""COMPUTED_VALUE"""),"795🤙🏼Hedwig and the Angry Inch🤙🏼John Cameron Mitchell🤙🏼Estrela 1")</f>
        <v>795🤙🏼Hedwig and the Angry Inch🤙🏼John Cameron Mitchell🤙🏼Estrela 1</v>
      </c>
      <c r="H3178" s="5">
        <f>IFERROR(__xludf.DUMMYFUNCTION("SPLiT(G3178, ""🤙🏼"",FALSE,FALSE)"),795.0)</f>
        <v>795</v>
      </c>
      <c r="I3178" s="5" t="str">
        <f>IFERROR(__xludf.DUMMYFUNCTION("""COMPUTED_VALUE"""),"Hedwig and the Angry Inch")</f>
        <v>Hedwig and the Angry Inch</v>
      </c>
      <c r="J3178" s="5" t="str">
        <f>IFERROR(__xludf.DUMMYFUNCTION("""COMPUTED_VALUE"""),"John Cameron Mitchell")</f>
        <v>John Cameron Mitchell</v>
      </c>
      <c r="K3178" s="5" t="str">
        <f>IFERROR(__xludf.DUMMYFUNCTION("""COMPUTED_VALUE"""),"Estrela 1")</f>
        <v>Estrela 1</v>
      </c>
      <c r="P3178" s="5">
        <f>IFERROR(__xludf.DUMMYFUNCTION("""COMPUTED_VALUE"""),795.0)</f>
        <v>795</v>
      </c>
      <c r="Q3178" s="5" t="str">
        <f>IFERROR(__xludf.DUMMYFUNCTION("""COMPUTED_VALUE"""),"Hedwig and the Angry Inch")</f>
        <v>Hedwig and the Angry Inch</v>
      </c>
      <c r="R3178" s="5" t="str">
        <f>IFERROR(__xludf.DUMMYFUNCTION("""COMPUTED_VALUE"""),"John Cameron Mitchell")</f>
        <v>John Cameron Mitchell</v>
      </c>
      <c r="S3178" s="5" t="str">
        <f>IFERROR(__xludf.DUMMYFUNCTION("""COMPUTED_VALUE"""),"Estrela 1")</f>
        <v>Estrela 1</v>
      </c>
    </row>
    <row r="3179">
      <c r="G3179" s="5" t="str">
        <f>IFERROR(__xludf.DUMMYFUNCTION("""COMPUTED_VALUE"""),"795🤙🏼Hedwig and the Angry Inch🤙🏼Miriam Shor🤙🏼Estrela 2")</f>
        <v>795🤙🏼Hedwig and the Angry Inch🤙🏼Miriam Shor🤙🏼Estrela 2</v>
      </c>
      <c r="H3179" s="5">
        <f>IFERROR(__xludf.DUMMYFUNCTION("SPLiT(G3179, ""🤙🏼"",FALSE,FALSE)"),795.0)</f>
        <v>795</v>
      </c>
      <c r="I3179" s="5" t="str">
        <f>IFERROR(__xludf.DUMMYFUNCTION("""COMPUTED_VALUE"""),"Hedwig and the Angry Inch")</f>
        <v>Hedwig and the Angry Inch</v>
      </c>
      <c r="J3179" s="5" t="str">
        <f>IFERROR(__xludf.DUMMYFUNCTION("""COMPUTED_VALUE"""),"Miriam Shor")</f>
        <v>Miriam Shor</v>
      </c>
      <c r="K3179" s="5" t="str">
        <f>IFERROR(__xludf.DUMMYFUNCTION("""COMPUTED_VALUE"""),"Estrela 2")</f>
        <v>Estrela 2</v>
      </c>
      <c r="P3179" s="5">
        <f>IFERROR(__xludf.DUMMYFUNCTION("""COMPUTED_VALUE"""),795.0)</f>
        <v>795</v>
      </c>
      <c r="Q3179" s="5" t="str">
        <f>IFERROR(__xludf.DUMMYFUNCTION("""COMPUTED_VALUE"""),"Hedwig and the Angry Inch")</f>
        <v>Hedwig and the Angry Inch</v>
      </c>
      <c r="R3179" s="5" t="str">
        <f>IFERROR(__xludf.DUMMYFUNCTION("""COMPUTED_VALUE"""),"Miriam Shor")</f>
        <v>Miriam Shor</v>
      </c>
      <c r="S3179" s="5" t="str">
        <f>IFERROR(__xludf.DUMMYFUNCTION("""COMPUTED_VALUE"""),"Estrela 2")</f>
        <v>Estrela 2</v>
      </c>
    </row>
    <row r="3180">
      <c r="G3180" s="5" t="str">
        <f>IFERROR(__xludf.DUMMYFUNCTION("""COMPUTED_VALUE"""),"795🤙🏼Hedwig and the Angry Inch🤙🏼Stephen Trask🤙🏼Estrela 3")</f>
        <v>795🤙🏼Hedwig and the Angry Inch🤙🏼Stephen Trask🤙🏼Estrela 3</v>
      </c>
      <c r="H3180" s="5">
        <f>IFERROR(__xludf.DUMMYFUNCTION("SPLiT(G3180, ""🤙🏼"",FALSE,FALSE)"),795.0)</f>
        <v>795</v>
      </c>
      <c r="I3180" s="5" t="str">
        <f>IFERROR(__xludf.DUMMYFUNCTION("""COMPUTED_VALUE"""),"Hedwig and the Angry Inch")</f>
        <v>Hedwig and the Angry Inch</v>
      </c>
      <c r="J3180" s="5" t="str">
        <f>IFERROR(__xludf.DUMMYFUNCTION("""COMPUTED_VALUE"""),"Stephen Trask")</f>
        <v>Stephen Trask</v>
      </c>
      <c r="K3180" s="5" t="str">
        <f>IFERROR(__xludf.DUMMYFUNCTION("""COMPUTED_VALUE"""),"Estrela 3")</f>
        <v>Estrela 3</v>
      </c>
      <c r="P3180" s="5">
        <f>IFERROR(__xludf.DUMMYFUNCTION("""COMPUTED_VALUE"""),795.0)</f>
        <v>795</v>
      </c>
      <c r="Q3180" s="5" t="str">
        <f>IFERROR(__xludf.DUMMYFUNCTION("""COMPUTED_VALUE"""),"Hedwig and the Angry Inch")</f>
        <v>Hedwig and the Angry Inch</v>
      </c>
      <c r="R3180" s="5" t="str">
        <f>IFERROR(__xludf.DUMMYFUNCTION("""COMPUTED_VALUE"""),"Stephen Trask")</f>
        <v>Stephen Trask</v>
      </c>
      <c r="S3180" s="5" t="str">
        <f>IFERROR(__xludf.DUMMYFUNCTION("""COMPUTED_VALUE"""),"Estrela 3")</f>
        <v>Estrela 3</v>
      </c>
    </row>
    <row r="3181">
      <c r="G3181" s="5" t="str">
        <f>IFERROR(__xludf.DUMMYFUNCTION("""COMPUTED_VALUE"""),"795🤙🏼Hedwig and the Angry Inch🤙🏼Theodore Liscinski🤙🏼Estrela 4")</f>
        <v>795🤙🏼Hedwig and the Angry Inch🤙🏼Theodore Liscinski🤙🏼Estrela 4</v>
      </c>
      <c r="H3181" s="5">
        <f>IFERROR(__xludf.DUMMYFUNCTION("SPLiT(G3181, ""🤙🏼"",FALSE,FALSE)"),795.0)</f>
        <v>795</v>
      </c>
      <c r="I3181" s="5" t="str">
        <f>IFERROR(__xludf.DUMMYFUNCTION("""COMPUTED_VALUE"""),"Hedwig and the Angry Inch")</f>
        <v>Hedwig and the Angry Inch</v>
      </c>
      <c r="J3181" s="5" t="str">
        <f>IFERROR(__xludf.DUMMYFUNCTION("""COMPUTED_VALUE"""),"Theodore Liscinski")</f>
        <v>Theodore Liscinski</v>
      </c>
      <c r="K3181" s="5" t="str">
        <f>IFERROR(__xludf.DUMMYFUNCTION("""COMPUTED_VALUE"""),"Estrela 4")</f>
        <v>Estrela 4</v>
      </c>
      <c r="P3181" s="5">
        <f>IFERROR(__xludf.DUMMYFUNCTION("""COMPUTED_VALUE"""),795.0)</f>
        <v>795</v>
      </c>
      <c r="Q3181" s="5" t="str">
        <f>IFERROR(__xludf.DUMMYFUNCTION("""COMPUTED_VALUE"""),"Hedwig and the Angry Inch")</f>
        <v>Hedwig and the Angry Inch</v>
      </c>
      <c r="R3181" s="5" t="str">
        <f>IFERROR(__xludf.DUMMYFUNCTION("""COMPUTED_VALUE"""),"Theodore Liscinski")</f>
        <v>Theodore Liscinski</v>
      </c>
      <c r="S3181" s="5" t="str">
        <f>IFERROR(__xludf.DUMMYFUNCTION("""COMPUTED_VALUE"""),"Estrela 4")</f>
        <v>Estrela 4</v>
      </c>
    </row>
    <row r="3182">
      <c r="G3182" s="5" t="str">
        <f>IFERROR(__xludf.DUMMYFUNCTION("""COMPUTED_VALUE"""),"796🤙🏼Ocean's Eleven🤙🏼George Clooney🤙🏼Estrela 1")</f>
        <v>796🤙🏼Ocean's Eleven🤙🏼George Clooney🤙🏼Estrela 1</v>
      </c>
      <c r="H3182" s="5">
        <f>IFERROR(__xludf.DUMMYFUNCTION("SPLiT(G3182, ""🤙🏼"",FALSE,FALSE)"),796.0)</f>
        <v>796</v>
      </c>
      <c r="I3182" s="5" t="str">
        <f>IFERROR(__xludf.DUMMYFUNCTION("""COMPUTED_VALUE"""),"Ocean's Eleven")</f>
        <v>Ocean's Eleven</v>
      </c>
      <c r="J3182" s="5" t="str">
        <f>IFERROR(__xludf.DUMMYFUNCTION("""COMPUTED_VALUE"""),"George Clooney")</f>
        <v>George Clooney</v>
      </c>
      <c r="K3182" s="5" t="str">
        <f>IFERROR(__xludf.DUMMYFUNCTION("""COMPUTED_VALUE"""),"Estrela 1")</f>
        <v>Estrela 1</v>
      </c>
      <c r="P3182" s="5">
        <f>IFERROR(__xludf.DUMMYFUNCTION("""COMPUTED_VALUE"""),796.0)</f>
        <v>796</v>
      </c>
      <c r="Q3182" s="5" t="str">
        <f>IFERROR(__xludf.DUMMYFUNCTION("""COMPUTED_VALUE"""),"Ocean's Eleven")</f>
        <v>Ocean's Eleven</v>
      </c>
      <c r="R3182" s="5" t="str">
        <f>IFERROR(__xludf.DUMMYFUNCTION("""COMPUTED_VALUE"""),"George Clooney")</f>
        <v>George Clooney</v>
      </c>
      <c r="S3182" s="5" t="str">
        <f>IFERROR(__xludf.DUMMYFUNCTION("""COMPUTED_VALUE"""),"Estrela 1")</f>
        <v>Estrela 1</v>
      </c>
    </row>
    <row r="3183">
      <c r="G3183" s="5" t="str">
        <f>IFERROR(__xludf.DUMMYFUNCTION("""COMPUTED_VALUE"""),"796🤙🏼Ocean's Eleven🤙🏼Brad Pitt🤙🏼Estrela 2")</f>
        <v>796🤙🏼Ocean's Eleven🤙🏼Brad Pitt🤙🏼Estrela 2</v>
      </c>
      <c r="H3183" s="5">
        <f>IFERROR(__xludf.DUMMYFUNCTION("SPLiT(G3183, ""🤙🏼"",FALSE,FALSE)"),796.0)</f>
        <v>796</v>
      </c>
      <c r="I3183" s="5" t="str">
        <f>IFERROR(__xludf.DUMMYFUNCTION("""COMPUTED_VALUE"""),"Ocean's Eleven")</f>
        <v>Ocean's Eleven</v>
      </c>
      <c r="J3183" s="5" t="str">
        <f>IFERROR(__xludf.DUMMYFUNCTION("""COMPUTED_VALUE"""),"Brad Pitt")</f>
        <v>Brad Pitt</v>
      </c>
      <c r="K3183" s="5" t="str">
        <f>IFERROR(__xludf.DUMMYFUNCTION("""COMPUTED_VALUE"""),"Estrela 2")</f>
        <v>Estrela 2</v>
      </c>
      <c r="P3183" s="5">
        <f>IFERROR(__xludf.DUMMYFUNCTION("""COMPUTED_VALUE"""),796.0)</f>
        <v>796</v>
      </c>
      <c r="Q3183" s="5" t="str">
        <f>IFERROR(__xludf.DUMMYFUNCTION("""COMPUTED_VALUE"""),"Ocean's Eleven")</f>
        <v>Ocean's Eleven</v>
      </c>
      <c r="R3183" s="5" t="str">
        <f>IFERROR(__xludf.DUMMYFUNCTION("""COMPUTED_VALUE"""),"Brad Pitt")</f>
        <v>Brad Pitt</v>
      </c>
      <c r="S3183" s="5" t="str">
        <f>IFERROR(__xludf.DUMMYFUNCTION("""COMPUTED_VALUE"""),"Estrela 2")</f>
        <v>Estrela 2</v>
      </c>
    </row>
    <row r="3184">
      <c r="G3184" s="5" t="str">
        <f>IFERROR(__xludf.DUMMYFUNCTION("""COMPUTED_VALUE"""),"796🤙🏼Ocean's Eleven🤙🏼Julia Roberts🤙🏼Estrela 3")</f>
        <v>796🤙🏼Ocean's Eleven🤙🏼Julia Roberts🤙🏼Estrela 3</v>
      </c>
      <c r="H3184" s="5">
        <f>IFERROR(__xludf.DUMMYFUNCTION("SPLiT(G3184, ""🤙🏼"",FALSE,FALSE)"),796.0)</f>
        <v>796</v>
      </c>
      <c r="I3184" s="5" t="str">
        <f>IFERROR(__xludf.DUMMYFUNCTION("""COMPUTED_VALUE"""),"Ocean's Eleven")</f>
        <v>Ocean's Eleven</v>
      </c>
      <c r="J3184" s="5" t="str">
        <f>IFERROR(__xludf.DUMMYFUNCTION("""COMPUTED_VALUE"""),"Julia Roberts")</f>
        <v>Julia Roberts</v>
      </c>
      <c r="K3184" s="5" t="str">
        <f>IFERROR(__xludf.DUMMYFUNCTION("""COMPUTED_VALUE"""),"Estrela 3")</f>
        <v>Estrela 3</v>
      </c>
      <c r="P3184" s="5">
        <f>IFERROR(__xludf.DUMMYFUNCTION("""COMPUTED_VALUE"""),796.0)</f>
        <v>796</v>
      </c>
      <c r="Q3184" s="5" t="str">
        <f>IFERROR(__xludf.DUMMYFUNCTION("""COMPUTED_VALUE"""),"Ocean's Eleven")</f>
        <v>Ocean's Eleven</v>
      </c>
      <c r="R3184" s="5" t="str">
        <f>IFERROR(__xludf.DUMMYFUNCTION("""COMPUTED_VALUE"""),"Julia Roberts")</f>
        <v>Julia Roberts</v>
      </c>
      <c r="S3184" s="5" t="str">
        <f>IFERROR(__xludf.DUMMYFUNCTION("""COMPUTED_VALUE"""),"Estrela 3")</f>
        <v>Estrela 3</v>
      </c>
    </row>
    <row r="3185">
      <c r="G3185" s="5" t="str">
        <f>IFERROR(__xludf.DUMMYFUNCTION("""COMPUTED_VALUE"""),"796🤙🏼Ocean's Eleven🤙🏼Matt Damon🤙🏼Estrela 4")</f>
        <v>796🤙🏼Ocean's Eleven🤙🏼Matt Damon🤙🏼Estrela 4</v>
      </c>
      <c r="H3185" s="5">
        <f>IFERROR(__xludf.DUMMYFUNCTION("SPLiT(G3185, ""🤙🏼"",FALSE,FALSE)"),796.0)</f>
        <v>796</v>
      </c>
      <c r="I3185" s="5" t="str">
        <f>IFERROR(__xludf.DUMMYFUNCTION("""COMPUTED_VALUE"""),"Ocean's Eleven")</f>
        <v>Ocean's Eleven</v>
      </c>
      <c r="J3185" s="5" t="str">
        <f>IFERROR(__xludf.DUMMYFUNCTION("""COMPUTED_VALUE"""),"Matt Damon")</f>
        <v>Matt Damon</v>
      </c>
      <c r="K3185" s="5" t="str">
        <f>IFERROR(__xludf.DUMMYFUNCTION("""COMPUTED_VALUE"""),"Estrela 4")</f>
        <v>Estrela 4</v>
      </c>
      <c r="P3185" s="5">
        <f>IFERROR(__xludf.DUMMYFUNCTION("""COMPUTED_VALUE"""),796.0)</f>
        <v>796</v>
      </c>
      <c r="Q3185" s="5" t="str">
        <f>IFERROR(__xludf.DUMMYFUNCTION("""COMPUTED_VALUE"""),"Ocean's Eleven")</f>
        <v>Ocean's Eleven</v>
      </c>
      <c r="R3185" s="5" t="str">
        <f>IFERROR(__xludf.DUMMYFUNCTION("""COMPUTED_VALUE"""),"Matt Damon")</f>
        <v>Matt Damon</v>
      </c>
      <c r="S3185" s="5" t="str">
        <f>IFERROR(__xludf.DUMMYFUNCTION("""COMPUTED_VALUE"""),"Estrela 4")</f>
        <v>Estrela 4</v>
      </c>
    </row>
    <row r="3186">
      <c r="G3186" s="5" t="str">
        <f>IFERROR(__xludf.DUMMYFUNCTION("""COMPUTED_VALUE"""),"797🤙🏼Vampire Hunter D: Bloodlust🤙🏼Andrew Philpot🤙🏼Estrela 1")</f>
        <v>797🤙🏼Vampire Hunter D: Bloodlust🤙🏼Andrew Philpot🤙🏼Estrela 1</v>
      </c>
      <c r="H3186" s="5">
        <f>IFERROR(__xludf.DUMMYFUNCTION("SPLiT(G3186, ""🤙🏼"",FALSE,FALSE)"),797.0)</f>
        <v>797</v>
      </c>
      <c r="I3186" s="5" t="str">
        <f>IFERROR(__xludf.DUMMYFUNCTION("""COMPUTED_VALUE"""),"Vampire Hunter D: Bloodlust")</f>
        <v>Vampire Hunter D: Bloodlust</v>
      </c>
      <c r="J3186" s="5" t="str">
        <f>IFERROR(__xludf.DUMMYFUNCTION("""COMPUTED_VALUE"""),"Andrew Philpot")</f>
        <v>Andrew Philpot</v>
      </c>
      <c r="K3186" s="5" t="str">
        <f>IFERROR(__xludf.DUMMYFUNCTION("""COMPUTED_VALUE"""),"Estrela 1")</f>
        <v>Estrela 1</v>
      </c>
      <c r="P3186" s="5">
        <f>IFERROR(__xludf.DUMMYFUNCTION("""COMPUTED_VALUE"""),797.0)</f>
        <v>797</v>
      </c>
      <c r="Q3186" s="5" t="str">
        <f>IFERROR(__xludf.DUMMYFUNCTION("""COMPUTED_VALUE"""),"Vampire Hunter D: Bloodlust")</f>
        <v>Vampire Hunter D: Bloodlust</v>
      </c>
      <c r="R3186" s="5" t="str">
        <f>IFERROR(__xludf.DUMMYFUNCTION("""COMPUTED_VALUE"""),"Andrew Philpot")</f>
        <v>Andrew Philpot</v>
      </c>
      <c r="S3186" s="5" t="str">
        <f>IFERROR(__xludf.DUMMYFUNCTION("""COMPUTED_VALUE"""),"Estrela 1")</f>
        <v>Estrela 1</v>
      </c>
    </row>
    <row r="3187">
      <c r="G3187" s="5" t="str">
        <f>IFERROR(__xludf.DUMMYFUNCTION("""COMPUTED_VALUE"""),"797🤙🏼Vampire Hunter D: Bloodlust🤙🏼John Rafter Lee🤙🏼Estrela 2")</f>
        <v>797🤙🏼Vampire Hunter D: Bloodlust🤙🏼John Rafter Lee🤙🏼Estrela 2</v>
      </c>
      <c r="H3187" s="5">
        <f>IFERROR(__xludf.DUMMYFUNCTION("SPLiT(G3187, ""🤙🏼"",FALSE,FALSE)"),797.0)</f>
        <v>797</v>
      </c>
      <c r="I3187" s="5" t="str">
        <f>IFERROR(__xludf.DUMMYFUNCTION("""COMPUTED_VALUE"""),"Vampire Hunter D: Bloodlust")</f>
        <v>Vampire Hunter D: Bloodlust</v>
      </c>
      <c r="J3187" s="5" t="str">
        <f>IFERROR(__xludf.DUMMYFUNCTION("""COMPUTED_VALUE"""),"John Rafter Lee")</f>
        <v>John Rafter Lee</v>
      </c>
      <c r="K3187" s="5" t="str">
        <f>IFERROR(__xludf.DUMMYFUNCTION("""COMPUTED_VALUE"""),"Estrela 2")</f>
        <v>Estrela 2</v>
      </c>
      <c r="P3187" s="5">
        <f>IFERROR(__xludf.DUMMYFUNCTION("""COMPUTED_VALUE"""),797.0)</f>
        <v>797</v>
      </c>
      <c r="Q3187" s="5" t="str">
        <f>IFERROR(__xludf.DUMMYFUNCTION("""COMPUTED_VALUE"""),"Vampire Hunter D: Bloodlust")</f>
        <v>Vampire Hunter D: Bloodlust</v>
      </c>
      <c r="R3187" s="5" t="str">
        <f>IFERROR(__xludf.DUMMYFUNCTION("""COMPUTED_VALUE"""),"John Rafter Lee")</f>
        <v>John Rafter Lee</v>
      </c>
      <c r="S3187" s="5" t="str">
        <f>IFERROR(__xludf.DUMMYFUNCTION("""COMPUTED_VALUE"""),"Estrela 2")</f>
        <v>Estrela 2</v>
      </c>
    </row>
    <row r="3188">
      <c r="G3188" s="5" t="str">
        <f>IFERROR(__xludf.DUMMYFUNCTION("""COMPUTED_VALUE"""),"797🤙🏼Vampire Hunter D: Bloodlust🤙🏼Pamela Adlon🤙🏼Estrela 3")</f>
        <v>797🤙🏼Vampire Hunter D: Bloodlust🤙🏼Pamela Adlon🤙🏼Estrela 3</v>
      </c>
      <c r="H3188" s="5">
        <f>IFERROR(__xludf.DUMMYFUNCTION("SPLiT(G3188, ""🤙🏼"",FALSE,FALSE)"),797.0)</f>
        <v>797</v>
      </c>
      <c r="I3188" s="5" t="str">
        <f>IFERROR(__xludf.DUMMYFUNCTION("""COMPUTED_VALUE"""),"Vampire Hunter D: Bloodlust")</f>
        <v>Vampire Hunter D: Bloodlust</v>
      </c>
      <c r="J3188" s="5" t="str">
        <f>IFERROR(__xludf.DUMMYFUNCTION("""COMPUTED_VALUE"""),"Pamela Adlon")</f>
        <v>Pamela Adlon</v>
      </c>
      <c r="K3188" s="5" t="str">
        <f>IFERROR(__xludf.DUMMYFUNCTION("""COMPUTED_VALUE"""),"Estrela 3")</f>
        <v>Estrela 3</v>
      </c>
      <c r="P3188" s="5">
        <f>IFERROR(__xludf.DUMMYFUNCTION("""COMPUTED_VALUE"""),797.0)</f>
        <v>797</v>
      </c>
      <c r="Q3188" s="5" t="str">
        <f>IFERROR(__xludf.DUMMYFUNCTION("""COMPUTED_VALUE"""),"Vampire Hunter D: Bloodlust")</f>
        <v>Vampire Hunter D: Bloodlust</v>
      </c>
      <c r="R3188" s="5" t="str">
        <f>IFERROR(__xludf.DUMMYFUNCTION("""COMPUTED_VALUE"""),"Pamela Adlon")</f>
        <v>Pamela Adlon</v>
      </c>
      <c r="S3188" s="5" t="str">
        <f>IFERROR(__xludf.DUMMYFUNCTION("""COMPUTED_VALUE"""),"Estrela 3")</f>
        <v>Estrela 3</v>
      </c>
    </row>
    <row r="3189">
      <c r="G3189" s="5" t="str">
        <f>IFERROR(__xludf.DUMMYFUNCTION("""COMPUTED_VALUE"""),"797🤙🏼Vampire Hunter D: Bloodlust🤙🏼Wendee Lee🤙🏼Estrela 4")</f>
        <v>797🤙🏼Vampire Hunter D: Bloodlust🤙🏼Wendee Lee🤙🏼Estrela 4</v>
      </c>
      <c r="H3189" s="5">
        <f>IFERROR(__xludf.DUMMYFUNCTION("SPLiT(G3189, ""🤙🏼"",FALSE,FALSE)"),797.0)</f>
        <v>797</v>
      </c>
      <c r="I3189" s="5" t="str">
        <f>IFERROR(__xludf.DUMMYFUNCTION("""COMPUTED_VALUE"""),"Vampire Hunter D: Bloodlust")</f>
        <v>Vampire Hunter D: Bloodlust</v>
      </c>
      <c r="J3189" s="5" t="str">
        <f>IFERROR(__xludf.DUMMYFUNCTION("""COMPUTED_VALUE"""),"Wendee Lee")</f>
        <v>Wendee Lee</v>
      </c>
      <c r="K3189" s="5" t="str">
        <f>IFERROR(__xludf.DUMMYFUNCTION("""COMPUTED_VALUE"""),"Estrela 4")</f>
        <v>Estrela 4</v>
      </c>
      <c r="P3189" s="5">
        <f>IFERROR(__xludf.DUMMYFUNCTION("""COMPUTED_VALUE"""),797.0)</f>
        <v>797</v>
      </c>
      <c r="Q3189" s="5" t="str">
        <f>IFERROR(__xludf.DUMMYFUNCTION("""COMPUTED_VALUE"""),"Vampire Hunter D: Bloodlust")</f>
        <v>Vampire Hunter D: Bloodlust</v>
      </c>
      <c r="R3189" s="5" t="str">
        <f>IFERROR(__xludf.DUMMYFUNCTION("""COMPUTED_VALUE"""),"Wendee Lee")</f>
        <v>Wendee Lee</v>
      </c>
      <c r="S3189" s="5" t="str">
        <f>IFERROR(__xludf.DUMMYFUNCTION("""COMPUTED_VALUE"""),"Estrela 4")</f>
        <v>Estrela 4</v>
      </c>
    </row>
    <row r="3190">
      <c r="G3190" s="5" t="str">
        <f>IFERROR(__xludf.DUMMYFUNCTION("""COMPUTED_VALUE"""),"798🤙🏼O Brother, Where Art Thou?🤙🏼Ethan Coen🤙🏼Estrela 1")</f>
        <v>798🤙🏼O Brother, Where Art Thou?🤙🏼Ethan Coen🤙🏼Estrela 1</v>
      </c>
      <c r="H3190" s="5">
        <f>IFERROR(__xludf.DUMMYFUNCTION("SPLiT(G3190, ""🤙🏼"",FALSE,FALSE)"),798.0)</f>
        <v>798</v>
      </c>
      <c r="I3190" s="5" t="str">
        <f>IFERROR(__xludf.DUMMYFUNCTION("""COMPUTED_VALUE"""),"O Brother, Where Art Thou?")</f>
        <v>O Brother, Where Art Thou?</v>
      </c>
      <c r="J3190" s="5" t="str">
        <f>IFERROR(__xludf.DUMMYFUNCTION("""COMPUTED_VALUE"""),"Ethan Coen")</f>
        <v>Ethan Coen</v>
      </c>
      <c r="K3190" s="5" t="str">
        <f>IFERROR(__xludf.DUMMYFUNCTION("""COMPUTED_VALUE"""),"Estrela 1")</f>
        <v>Estrela 1</v>
      </c>
      <c r="P3190" s="5">
        <f>IFERROR(__xludf.DUMMYFUNCTION("""COMPUTED_VALUE"""),798.0)</f>
        <v>798</v>
      </c>
      <c r="Q3190" s="5" t="str">
        <f>IFERROR(__xludf.DUMMYFUNCTION("""COMPUTED_VALUE"""),"O Brother, Where Art Thou?")</f>
        <v>O Brother, Where Art Thou?</v>
      </c>
      <c r="R3190" s="5" t="str">
        <f>IFERROR(__xludf.DUMMYFUNCTION("""COMPUTED_VALUE"""),"Ethan Coen")</f>
        <v>Ethan Coen</v>
      </c>
      <c r="S3190" s="5" t="str">
        <f>IFERROR(__xludf.DUMMYFUNCTION("""COMPUTED_VALUE"""),"Estrela 1")</f>
        <v>Estrela 1</v>
      </c>
    </row>
    <row r="3191">
      <c r="G3191" s="5" t="str">
        <f>IFERROR(__xludf.DUMMYFUNCTION("""COMPUTED_VALUE"""),"798🤙🏼O Brother, Where Art Thou?🤙🏼George Clooney🤙🏼Estrela 2")</f>
        <v>798🤙🏼O Brother, Where Art Thou?🤙🏼George Clooney🤙🏼Estrela 2</v>
      </c>
      <c r="H3191" s="5">
        <f>IFERROR(__xludf.DUMMYFUNCTION("SPLiT(G3191, ""🤙🏼"",FALSE,FALSE)"),798.0)</f>
        <v>798</v>
      </c>
      <c r="I3191" s="5" t="str">
        <f>IFERROR(__xludf.DUMMYFUNCTION("""COMPUTED_VALUE"""),"O Brother, Where Art Thou?")</f>
        <v>O Brother, Where Art Thou?</v>
      </c>
      <c r="J3191" s="5" t="str">
        <f>IFERROR(__xludf.DUMMYFUNCTION("""COMPUTED_VALUE"""),"George Clooney")</f>
        <v>George Clooney</v>
      </c>
      <c r="K3191" s="5" t="str">
        <f>IFERROR(__xludf.DUMMYFUNCTION("""COMPUTED_VALUE"""),"Estrela 2")</f>
        <v>Estrela 2</v>
      </c>
      <c r="P3191" s="5">
        <f>IFERROR(__xludf.DUMMYFUNCTION("""COMPUTED_VALUE"""),798.0)</f>
        <v>798</v>
      </c>
      <c r="Q3191" s="5" t="str">
        <f>IFERROR(__xludf.DUMMYFUNCTION("""COMPUTED_VALUE"""),"O Brother, Where Art Thou?")</f>
        <v>O Brother, Where Art Thou?</v>
      </c>
      <c r="R3191" s="5" t="str">
        <f>IFERROR(__xludf.DUMMYFUNCTION("""COMPUTED_VALUE"""),"George Clooney")</f>
        <v>George Clooney</v>
      </c>
      <c r="S3191" s="5" t="str">
        <f>IFERROR(__xludf.DUMMYFUNCTION("""COMPUTED_VALUE"""),"Estrela 2")</f>
        <v>Estrela 2</v>
      </c>
    </row>
    <row r="3192">
      <c r="G3192" s="5" t="str">
        <f>IFERROR(__xludf.DUMMYFUNCTION("""COMPUTED_VALUE"""),"798🤙🏼O Brother, Where Art Thou?🤙🏼John Turturro🤙🏼Estrela 3")</f>
        <v>798🤙🏼O Brother, Where Art Thou?🤙🏼John Turturro🤙🏼Estrela 3</v>
      </c>
      <c r="H3192" s="5">
        <f>IFERROR(__xludf.DUMMYFUNCTION("SPLiT(G3192, ""🤙🏼"",FALSE,FALSE)"),798.0)</f>
        <v>798</v>
      </c>
      <c r="I3192" s="5" t="str">
        <f>IFERROR(__xludf.DUMMYFUNCTION("""COMPUTED_VALUE"""),"O Brother, Where Art Thou?")</f>
        <v>O Brother, Where Art Thou?</v>
      </c>
      <c r="J3192" s="5" t="str">
        <f>IFERROR(__xludf.DUMMYFUNCTION("""COMPUTED_VALUE"""),"John Turturro")</f>
        <v>John Turturro</v>
      </c>
      <c r="K3192" s="5" t="str">
        <f>IFERROR(__xludf.DUMMYFUNCTION("""COMPUTED_VALUE"""),"Estrela 3")</f>
        <v>Estrela 3</v>
      </c>
      <c r="P3192" s="5">
        <f>IFERROR(__xludf.DUMMYFUNCTION("""COMPUTED_VALUE"""),798.0)</f>
        <v>798</v>
      </c>
      <c r="Q3192" s="5" t="str">
        <f>IFERROR(__xludf.DUMMYFUNCTION("""COMPUTED_VALUE"""),"O Brother, Where Art Thou?")</f>
        <v>O Brother, Where Art Thou?</v>
      </c>
      <c r="R3192" s="5" t="str">
        <f>IFERROR(__xludf.DUMMYFUNCTION("""COMPUTED_VALUE"""),"John Turturro")</f>
        <v>John Turturro</v>
      </c>
      <c r="S3192" s="5" t="str">
        <f>IFERROR(__xludf.DUMMYFUNCTION("""COMPUTED_VALUE"""),"Estrela 3")</f>
        <v>Estrela 3</v>
      </c>
    </row>
    <row r="3193">
      <c r="G3193" s="5" t="str">
        <f>IFERROR(__xludf.DUMMYFUNCTION("""COMPUTED_VALUE"""),"798🤙🏼O Brother, Where Art Thou?🤙🏼Tim Blake Nelson🤙🏼Estrela 4")</f>
        <v>798🤙🏼O Brother, Where Art Thou?🤙🏼Tim Blake Nelson🤙🏼Estrela 4</v>
      </c>
      <c r="H3193" s="5">
        <f>IFERROR(__xludf.DUMMYFUNCTION("SPLiT(G3193, ""🤙🏼"",FALSE,FALSE)"),798.0)</f>
        <v>798</v>
      </c>
      <c r="I3193" s="5" t="str">
        <f>IFERROR(__xludf.DUMMYFUNCTION("""COMPUTED_VALUE"""),"O Brother, Where Art Thou?")</f>
        <v>O Brother, Where Art Thou?</v>
      </c>
      <c r="J3193" s="5" t="str">
        <f>IFERROR(__xludf.DUMMYFUNCTION("""COMPUTED_VALUE"""),"Tim Blake Nelson")</f>
        <v>Tim Blake Nelson</v>
      </c>
      <c r="K3193" s="5" t="str">
        <f>IFERROR(__xludf.DUMMYFUNCTION("""COMPUTED_VALUE"""),"Estrela 4")</f>
        <v>Estrela 4</v>
      </c>
      <c r="P3193" s="5">
        <f>IFERROR(__xludf.DUMMYFUNCTION("""COMPUTED_VALUE"""),798.0)</f>
        <v>798</v>
      </c>
      <c r="Q3193" s="5" t="str">
        <f>IFERROR(__xludf.DUMMYFUNCTION("""COMPUTED_VALUE"""),"O Brother, Where Art Thou?")</f>
        <v>O Brother, Where Art Thou?</v>
      </c>
      <c r="R3193" s="5" t="str">
        <f>IFERROR(__xludf.DUMMYFUNCTION("""COMPUTED_VALUE"""),"Tim Blake Nelson")</f>
        <v>Tim Blake Nelson</v>
      </c>
      <c r="S3193" s="5" t="str">
        <f>IFERROR(__xludf.DUMMYFUNCTION("""COMPUTED_VALUE"""),"Estrela 4")</f>
        <v>Estrela 4</v>
      </c>
    </row>
    <row r="3194">
      <c r="G3194" s="5" t="str">
        <f>IFERROR(__xludf.DUMMYFUNCTION("""COMPUTED_VALUE"""),"799🤙🏼Interstate 60: Episodes of the Road🤙🏼James Marsden🤙🏼Estrela 1")</f>
        <v>799🤙🏼Interstate 60: Episodes of the Road🤙🏼James Marsden🤙🏼Estrela 1</v>
      </c>
      <c r="H3194" s="5">
        <f>IFERROR(__xludf.DUMMYFUNCTION("SPLiT(G3194, ""🤙🏼"",FALSE,FALSE)"),799.0)</f>
        <v>799</v>
      </c>
      <c r="I3194" s="5" t="str">
        <f>IFERROR(__xludf.DUMMYFUNCTION("""COMPUTED_VALUE"""),"Interstate 60: Episodes of the Road")</f>
        <v>Interstate 60: Episodes of the Road</v>
      </c>
      <c r="J3194" s="5" t="str">
        <f>IFERROR(__xludf.DUMMYFUNCTION("""COMPUTED_VALUE"""),"James Marsden")</f>
        <v>James Marsden</v>
      </c>
      <c r="K3194" s="5" t="str">
        <f>IFERROR(__xludf.DUMMYFUNCTION("""COMPUTED_VALUE"""),"Estrela 1")</f>
        <v>Estrela 1</v>
      </c>
      <c r="P3194" s="5">
        <f>IFERROR(__xludf.DUMMYFUNCTION("""COMPUTED_VALUE"""),799.0)</f>
        <v>799</v>
      </c>
      <c r="Q3194" s="5" t="str">
        <f>IFERROR(__xludf.DUMMYFUNCTION("""COMPUTED_VALUE"""),"Interstate 60: Episodes of the Road")</f>
        <v>Interstate 60: Episodes of the Road</v>
      </c>
      <c r="R3194" s="5" t="str">
        <f>IFERROR(__xludf.DUMMYFUNCTION("""COMPUTED_VALUE"""),"James Marsden")</f>
        <v>James Marsden</v>
      </c>
      <c r="S3194" s="5" t="str">
        <f>IFERROR(__xludf.DUMMYFUNCTION("""COMPUTED_VALUE"""),"Estrela 1")</f>
        <v>Estrela 1</v>
      </c>
    </row>
    <row r="3195">
      <c r="G3195" s="5" t="str">
        <f>IFERROR(__xludf.DUMMYFUNCTION("""COMPUTED_VALUE"""),"799🤙🏼Interstate 60: Episodes of the Road🤙🏼Gary Oldman🤙🏼Estrela 2")</f>
        <v>799🤙🏼Interstate 60: Episodes of the Road🤙🏼Gary Oldman🤙🏼Estrela 2</v>
      </c>
      <c r="H3195" s="5">
        <f>IFERROR(__xludf.DUMMYFUNCTION("SPLiT(G3195, ""🤙🏼"",FALSE,FALSE)"),799.0)</f>
        <v>799</v>
      </c>
      <c r="I3195" s="5" t="str">
        <f>IFERROR(__xludf.DUMMYFUNCTION("""COMPUTED_VALUE"""),"Interstate 60: Episodes of the Road")</f>
        <v>Interstate 60: Episodes of the Road</v>
      </c>
      <c r="J3195" s="5" t="str">
        <f>IFERROR(__xludf.DUMMYFUNCTION("""COMPUTED_VALUE"""),"Gary Oldman")</f>
        <v>Gary Oldman</v>
      </c>
      <c r="K3195" s="5" t="str">
        <f>IFERROR(__xludf.DUMMYFUNCTION("""COMPUTED_VALUE"""),"Estrela 2")</f>
        <v>Estrela 2</v>
      </c>
      <c r="P3195" s="5">
        <f>IFERROR(__xludf.DUMMYFUNCTION("""COMPUTED_VALUE"""),799.0)</f>
        <v>799</v>
      </c>
      <c r="Q3195" s="5" t="str">
        <f>IFERROR(__xludf.DUMMYFUNCTION("""COMPUTED_VALUE"""),"Interstate 60: Episodes of the Road")</f>
        <v>Interstate 60: Episodes of the Road</v>
      </c>
      <c r="R3195" s="5" t="str">
        <f>IFERROR(__xludf.DUMMYFUNCTION("""COMPUTED_VALUE"""),"Gary Oldman")</f>
        <v>Gary Oldman</v>
      </c>
      <c r="S3195" s="5" t="str">
        <f>IFERROR(__xludf.DUMMYFUNCTION("""COMPUTED_VALUE"""),"Estrela 2")</f>
        <v>Estrela 2</v>
      </c>
    </row>
    <row r="3196">
      <c r="G3196" s="5" t="str">
        <f>IFERROR(__xludf.DUMMYFUNCTION("""COMPUTED_VALUE"""),"799🤙🏼Interstate 60: Episodes of the Road🤙🏼Kurt Russell🤙🏼Estrela 3")</f>
        <v>799🤙🏼Interstate 60: Episodes of the Road🤙🏼Kurt Russell🤙🏼Estrela 3</v>
      </c>
      <c r="H3196" s="5">
        <f>IFERROR(__xludf.DUMMYFUNCTION("SPLiT(G3196, ""🤙🏼"",FALSE,FALSE)"),799.0)</f>
        <v>799</v>
      </c>
      <c r="I3196" s="5" t="str">
        <f>IFERROR(__xludf.DUMMYFUNCTION("""COMPUTED_VALUE"""),"Interstate 60: Episodes of the Road")</f>
        <v>Interstate 60: Episodes of the Road</v>
      </c>
      <c r="J3196" s="5" t="str">
        <f>IFERROR(__xludf.DUMMYFUNCTION("""COMPUTED_VALUE"""),"Kurt Russell")</f>
        <v>Kurt Russell</v>
      </c>
      <c r="K3196" s="5" t="str">
        <f>IFERROR(__xludf.DUMMYFUNCTION("""COMPUTED_VALUE"""),"Estrela 3")</f>
        <v>Estrela 3</v>
      </c>
      <c r="P3196" s="5">
        <f>IFERROR(__xludf.DUMMYFUNCTION("""COMPUTED_VALUE"""),799.0)</f>
        <v>799</v>
      </c>
      <c r="Q3196" s="5" t="str">
        <f>IFERROR(__xludf.DUMMYFUNCTION("""COMPUTED_VALUE"""),"Interstate 60: Episodes of the Road")</f>
        <v>Interstate 60: Episodes of the Road</v>
      </c>
      <c r="R3196" s="5" t="str">
        <f>IFERROR(__xludf.DUMMYFUNCTION("""COMPUTED_VALUE"""),"Kurt Russell")</f>
        <v>Kurt Russell</v>
      </c>
      <c r="S3196" s="5" t="str">
        <f>IFERROR(__xludf.DUMMYFUNCTION("""COMPUTED_VALUE"""),"Estrela 3")</f>
        <v>Estrela 3</v>
      </c>
    </row>
    <row r="3197">
      <c r="G3197" s="5" t="str">
        <f>IFERROR(__xludf.DUMMYFUNCTION("""COMPUTED_VALUE"""),"799🤙🏼Interstate 60: Episodes of the Road🤙🏼Matthew Edison🤙🏼Estrela 4")</f>
        <v>799🤙🏼Interstate 60: Episodes of the Road🤙🏼Matthew Edison🤙🏼Estrela 4</v>
      </c>
      <c r="H3197" s="5">
        <f>IFERROR(__xludf.DUMMYFUNCTION("SPLiT(G3197, ""🤙🏼"",FALSE,FALSE)"),799.0)</f>
        <v>799</v>
      </c>
      <c r="I3197" s="5" t="str">
        <f>IFERROR(__xludf.DUMMYFUNCTION("""COMPUTED_VALUE"""),"Interstate 60: Episodes of the Road")</f>
        <v>Interstate 60: Episodes of the Road</v>
      </c>
      <c r="J3197" s="5" t="str">
        <f>IFERROR(__xludf.DUMMYFUNCTION("""COMPUTED_VALUE"""),"Matthew Edison")</f>
        <v>Matthew Edison</v>
      </c>
      <c r="K3197" s="5" t="str">
        <f>IFERROR(__xludf.DUMMYFUNCTION("""COMPUTED_VALUE"""),"Estrela 4")</f>
        <v>Estrela 4</v>
      </c>
      <c r="P3197" s="5">
        <f>IFERROR(__xludf.DUMMYFUNCTION("""COMPUTED_VALUE"""),799.0)</f>
        <v>799</v>
      </c>
      <c r="Q3197" s="5" t="str">
        <f>IFERROR(__xludf.DUMMYFUNCTION("""COMPUTED_VALUE"""),"Interstate 60: Episodes of the Road")</f>
        <v>Interstate 60: Episodes of the Road</v>
      </c>
      <c r="R3197" s="5" t="str">
        <f>IFERROR(__xludf.DUMMYFUNCTION("""COMPUTED_VALUE"""),"Matthew Edison")</f>
        <v>Matthew Edison</v>
      </c>
      <c r="S3197" s="5" t="str">
        <f>IFERROR(__xludf.DUMMYFUNCTION("""COMPUTED_VALUE"""),"Estrela 4")</f>
        <v>Estrela 4</v>
      </c>
    </row>
    <row r="3198">
      <c r="G3198" s="5" t="str">
        <f>IFERROR(__xludf.DUMMYFUNCTION("""COMPUTED_VALUE"""),"800🤙🏼South Park: Bigger, Longer &amp; Uncut🤙🏼Trey Parker🤙🏼Estrela 1")</f>
        <v>800🤙🏼South Park: Bigger, Longer &amp; Uncut🤙🏼Trey Parker🤙🏼Estrela 1</v>
      </c>
      <c r="H3198" s="5">
        <f>IFERROR(__xludf.DUMMYFUNCTION("SPLiT(G3198, ""🤙🏼"",FALSE,FALSE)"),800.0)</f>
        <v>800</v>
      </c>
      <c r="I3198" s="5" t="str">
        <f>IFERROR(__xludf.DUMMYFUNCTION("""COMPUTED_VALUE"""),"South Park: Bigger, Longer &amp; Uncut")</f>
        <v>South Park: Bigger, Longer &amp; Uncut</v>
      </c>
      <c r="J3198" s="5" t="str">
        <f>IFERROR(__xludf.DUMMYFUNCTION("""COMPUTED_VALUE"""),"Trey Parker")</f>
        <v>Trey Parker</v>
      </c>
      <c r="K3198" s="5" t="str">
        <f>IFERROR(__xludf.DUMMYFUNCTION("""COMPUTED_VALUE"""),"Estrela 1")</f>
        <v>Estrela 1</v>
      </c>
      <c r="P3198" s="5">
        <f>IFERROR(__xludf.DUMMYFUNCTION("""COMPUTED_VALUE"""),800.0)</f>
        <v>800</v>
      </c>
      <c r="Q3198" s="5" t="str">
        <f>IFERROR(__xludf.DUMMYFUNCTION("""COMPUTED_VALUE"""),"South Park: Bigger, Longer &amp; Uncut")</f>
        <v>South Park: Bigger, Longer &amp; Uncut</v>
      </c>
      <c r="R3198" s="5" t="str">
        <f>IFERROR(__xludf.DUMMYFUNCTION("""COMPUTED_VALUE"""),"Trey Parker")</f>
        <v>Trey Parker</v>
      </c>
      <c r="S3198" s="5" t="str">
        <f>IFERROR(__xludf.DUMMYFUNCTION("""COMPUTED_VALUE"""),"Estrela 1")</f>
        <v>Estrela 1</v>
      </c>
    </row>
    <row r="3199">
      <c r="G3199" s="5" t="str">
        <f>IFERROR(__xludf.DUMMYFUNCTION("""COMPUTED_VALUE"""),"800🤙🏼South Park: Bigger, Longer &amp; Uncut🤙🏼Matt Stone🤙🏼Estrela 2")</f>
        <v>800🤙🏼South Park: Bigger, Longer &amp; Uncut🤙🏼Matt Stone🤙🏼Estrela 2</v>
      </c>
      <c r="H3199" s="5">
        <f>IFERROR(__xludf.DUMMYFUNCTION("SPLiT(G3199, ""🤙🏼"",FALSE,FALSE)"),800.0)</f>
        <v>800</v>
      </c>
      <c r="I3199" s="5" t="str">
        <f>IFERROR(__xludf.DUMMYFUNCTION("""COMPUTED_VALUE"""),"South Park: Bigger, Longer &amp; Uncut")</f>
        <v>South Park: Bigger, Longer &amp; Uncut</v>
      </c>
      <c r="J3199" s="5" t="str">
        <f>IFERROR(__xludf.DUMMYFUNCTION("""COMPUTED_VALUE"""),"Matt Stone")</f>
        <v>Matt Stone</v>
      </c>
      <c r="K3199" s="5" t="str">
        <f>IFERROR(__xludf.DUMMYFUNCTION("""COMPUTED_VALUE"""),"Estrela 2")</f>
        <v>Estrela 2</v>
      </c>
      <c r="P3199" s="5">
        <f>IFERROR(__xludf.DUMMYFUNCTION("""COMPUTED_VALUE"""),800.0)</f>
        <v>800</v>
      </c>
      <c r="Q3199" s="5" t="str">
        <f>IFERROR(__xludf.DUMMYFUNCTION("""COMPUTED_VALUE"""),"South Park: Bigger, Longer &amp; Uncut")</f>
        <v>South Park: Bigger, Longer &amp; Uncut</v>
      </c>
      <c r="R3199" s="5" t="str">
        <f>IFERROR(__xludf.DUMMYFUNCTION("""COMPUTED_VALUE"""),"Matt Stone")</f>
        <v>Matt Stone</v>
      </c>
      <c r="S3199" s="5" t="str">
        <f>IFERROR(__xludf.DUMMYFUNCTION("""COMPUTED_VALUE"""),"Estrela 2")</f>
        <v>Estrela 2</v>
      </c>
    </row>
    <row r="3200">
      <c r="G3200" s="5" t="str">
        <f>IFERROR(__xludf.DUMMYFUNCTION("""COMPUTED_VALUE"""),"800🤙🏼South Park: Bigger, Longer &amp; Uncut🤙🏼Mary Kay Bergman🤙🏼Estrela 3")</f>
        <v>800🤙🏼South Park: Bigger, Longer &amp; Uncut🤙🏼Mary Kay Bergman🤙🏼Estrela 3</v>
      </c>
      <c r="H3200" s="5">
        <f>IFERROR(__xludf.DUMMYFUNCTION("SPLiT(G3200, ""🤙🏼"",FALSE,FALSE)"),800.0)</f>
        <v>800</v>
      </c>
      <c r="I3200" s="5" t="str">
        <f>IFERROR(__xludf.DUMMYFUNCTION("""COMPUTED_VALUE"""),"South Park: Bigger, Longer &amp; Uncut")</f>
        <v>South Park: Bigger, Longer &amp; Uncut</v>
      </c>
      <c r="J3200" s="5" t="str">
        <f>IFERROR(__xludf.DUMMYFUNCTION("""COMPUTED_VALUE"""),"Mary Kay Bergman")</f>
        <v>Mary Kay Bergman</v>
      </c>
      <c r="K3200" s="5" t="str">
        <f>IFERROR(__xludf.DUMMYFUNCTION("""COMPUTED_VALUE"""),"Estrela 3")</f>
        <v>Estrela 3</v>
      </c>
      <c r="P3200" s="5">
        <f>IFERROR(__xludf.DUMMYFUNCTION("""COMPUTED_VALUE"""),800.0)</f>
        <v>800</v>
      </c>
      <c r="Q3200" s="5" t="str">
        <f>IFERROR(__xludf.DUMMYFUNCTION("""COMPUTED_VALUE"""),"South Park: Bigger, Longer &amp; Uncut")</f>
        <v>South Park: Bigger, Longer &amp; Uncut</v>
      </c>
      <c r="R3200" s="5" t="str">
        <f>IFERROR(__xludf.DUMMYFUNCTION("""COMPUTED_VALUE"""),"Mary Kay Bergman")</f>
        <v>Mary Kay Bergman</v>
      </c>
      <c r="S3200" s="5" t="str">
        <f>IFERROR(__xludf.DUMMYFUNCTION("""COMPUTED_VALUE"""),"Estrela 3")</f>
        <v>Estrela 3</v>
      </c>
    </row>
    <row r="3201">
      <c r="G3201" s="5" t="str">
        <f>IFERROR(__xludf.DUMMYFUNCTION("""COMPUTED_VALUE"""),"800🤙🏼South Park: Bigger, Longer &amp; Uncut🤙🏼Isaac Hayes🤙🏼Estrela 4")</f>
        <v>800🤙🏼South Park: Bigger, Longer &amp; Uncut🤙🏼Isaac Hayes🤙🏼Estrela 4</v>
      </c>
      <c r="H3201" s="5">
        <f>IFERROR(__xludf.DUMMYFUNCTION("SPLiT(G3201, ""🤙🏼"",FALSE,FALSE)"),800.0)</f>
        <v>800</v>
      </c>
      <c r="I3201" s="5" t="str">
        <f>IFERROR(__xludf.DUMMYFUNCTION("""COMPUTED_VALUE"""),"South Park: Bigger, Longer &amp; Uncut")</f>
        <v>South Park: Bigger, Longer &amp; Uncut</v>
      </c>
      <c r="J3201" s="5" t="str">
        <f>IFERROR(__xludf.DUMMYFUNCTION("""COMPUTED_VALUE"""),"Isaac Hayes")</f>
        <v>Isaac Hayes</v>
      </c>
      <c r="K3201" s="5" t="str">
        <f>IFERROR(__xludf.DUMMYFUNCTION("""COMPUTED_VALUE"""),"Estrela 4")</f>
        <v>Estrela 4</v>
      </c>
      <c r="P3201" s="5">
        <f>IFERROR(__xludf.DUMMYFUNCTION("""COMPUTED_VALUE"""),800.0)</f>
        <v>800</v>
      </c>
      <c r="Q3201" s="5" t="str">
        <f>IFERROR(__xludf.DUMMYFUNCTION("""COMPUTED_VALUE"""),"South Park: Bigger, Longer &amp; Uncut")</f>
        <v>South Park: Bigger, Longer &amp; Uncut</v>
      </c>
      <c r="R3201" s="5" t="str">
        <f>IFERROR(__xludf.DUMMYFUNCTION("""COMPUTED_VALUE"""),"Isaac Hayes")</f>
        <v>Isaac Hayes</v>
      </c>
      <c r="S3201" s="5" t="str">
        <f>IFERROR(__xludf.DUMMYFUNCTION("""COMPUTED_VALUE"""),"Estrela 4")</f>
        <v>Estrela 4</v>
      </c>
    </row>
    <row r="3202">
      <c r="G3202" s="5" t="str">
        <f>IFERROR(__xludf.DUMMYFUNCTION("""COMPUTED_VALUE"""),"801🤙🏼Office Space🤙🏼Ron Livingston🤙🏼Estrela 1")</f>
        <v>801🤙🏼Office Space🤙🏼Ron Livingston🤙🏼Estrela 1</v>
      </c>
      <c r="H3202" s="5">
        <f>IFERROR(__xludf.DUMMYFUNCTION("SPLiT(G3202, ""🤙🏼"",FALSE,FALSE)"),801.0)</f>
        <v>801</v>
      </c>
      <c r="I3202" s="5" t="str">
        <f>IFERROR(__xludf.DUMMYFUNCTION("""COMPUTED_VALUE"""),"Office Space")</f>
        <v>Office Space</v>
      </c>
      <c r="J3202" s="5" t="str">
        <f>IFERROR(__xludf.DUMMYFUNCTION("""COMPUTED_VALUE"""),"Ron Livingston")</f>
        <v>Ron Livingston</v>
      </c>
      <c r="K3202" s="5" t="str">
        <f>IFERROR(__xludf.DUMMYFUNCTION("""COMPUTED_VALUE"""),"Estrela 1")</f>
        <v>Estrela 1</v>
      </c>
      <c r="P3202" s="5">
        <f>IFERROR(__xludf.DUMMYFUNCTION("""COMPUTED_VALUE"""),801.0)</f>
        <v>801</v>
      </c>
      <c r="Q3202" s="5" t="str">
        <f>IFERROR(__xludf.DUMMYFUNCTION("""COMPUTED_VALUE"""),"Office Space")</f>
        <v>Office Space</v>
      </c>
      <c r="R3202" s="5" t="str">
        <f>IFERROR(__xludf.DUMMYFUNCTION("""COMPUTED_VALUE"""),"Ron Livingston")</f>
        <v>Ron Livingston</v>
      </c>
      <c r="S3202" s="5" t="str">
        <f>IFERROR(__xludf.DUMMYFUNCTION("""COMPUTED_VALUE"""),"Estrela 1")</f>
        <v>Estrela 1</v>
      </c>
    </row>
    <row r="3203">
      <c r="G3203" s="5" t="str">
        <f>IFERROR(__xludf.DUMMYFUNCTION("""COMPUTED_VALUE"""),"801🤙🏼Office Space🤙🏼Jennifer Aniston🤙🏼Estrela 2")</f>
        <v>801🤙🏼Office Space🤙🏼Jennifer Aniston🤙🏼Estrela 2</v>
      </c>
      <c r="H3203" s="5">
        <f>IFERROR(__xludf.DUMMYFUNCTION("SPLiT(G3203, ""🤙🏼"",FALSE,FALSE)"),801.0)</f>
        <v>801</v>
      </c>
      <c r="I3203" s="5" t="str">
        <f>IFERROR(__xludf.DUMMYFUNCTION("""COMPUTED_VALUE"""),"Office Space")</f>
        <v>Office Space</v>
      </c>
      <c r="J3203" s="5" t="str">
        <f>IFERROR(__xludf.DUMMYFUNCTION("""COMPUTED_VALUE"""),"Jennifer Aniston")</f>
        <v>Jennifer Aniston</v>
      </c>
      <c r="K3203" s="5" t="str">
        <f>IFERROR(__xludf.DUMMYFUNCTION("""COMPUTED_VALUE"""),"Estrela 2")</f>
        <v>Estrela 2</v>
      </c>
      <c r="P3203" s="5">
        <f>IFERROR(__xludf.DUMMYFUNCTION("""COMPUTED_VALUE"""),801.0)</f>
        <v>801</v>
      </c>
      <c r="Q3203" s="5" t="str">
        <f>IFERROR(__xludf.DUMMYFUNCTION("""COMPUTED_VALUE"""),"Office Space")</f>
        <v>Office Space</v>
      </c>
      <c r="R3203" s="5" t="str">
        <f>IFERROR(__xludf.DUMMYFUNCTION("""COMPUTED_VALUE"""),"Jennifer Aniston")</f>
        <v>Jennifer Aniston</v>
      </c>
      <c r="S3203" s="5" t="str">
        <f>IFERROR(__xludf.DUMMYFUNCTION("""COMPUTED_VALUE"""),"Estrela 2")</f>
        <v>Estrela 2</v>
      </c>
    </row>
    <row r="3204">
      <c r="G3204" s="5" t="str">
        <f>IFERROR(__xludf.DUMMYFUNCTION("""COMPUTED_VALUE"""),"801🤙🏼Office Space🤙🏼David Herman🤙🏼Estrela 3")</f>
        <v>801🤙🏼Office Space🤙🏼David Herman🤙🏼Estrela 3</v>
      </c>
      <c r="H3204" s="5">
        <f>IFERROR(__xludf.DUMMYFUNCTION("SPLiT(G3204, ""🤙🏼"",FALSE,FALSE)"),801.0)</f>
        <v>801</v>
      </c>
      <c r="I3204" s="5" t="str">
        <f>IFERROR(__xludf.DUMMYFUNCTION("""COMPUTED_VALUE"""),"Office Space")</f>
        <v>Office Space</v>
      </c>
      <c r="J3204" s="5" t="str">
        <f>IFERROR(__xludf.DUMMYFUNCTION("""COMPUTED_VALUE"""),"David Herman")</f>
        <v>David Herman</v>
      </c>
      <c r="K3204" s="5" t="str">
        <f>IFERROR(__xludf.DUMMYFUNCTION("""COMPUTED_VALUE"""),"Estrela 3")</f>
        <v>Estrela 3</v>
      </c>
      <c r="P3204" s="5">
        <f>IFERROR(__xludf.DUMMYFUNCTION("""COMPUTED_VALUE"""),801.0)</f>
        <v>801</v>
      </c>
      <c r="Q3204" s="5" t="str">
        <f>IFERROR(__xludf.DUMMYFUNCTION("""COMPUTED_VALUE"""),"Office Space")</f>
        <v>Office Space</v>
      </c>
      <c r="R3204" s="5" t="str">
        <f>IFERROR(__xludf.DUMMYFUNCTION("""COMPUTED_VALUE"""),"David Herman")</f>
        <v>David Herman</v>
      </c>
      <c r="S3204" s="5" t="str">
        <f>IFERROR(__xludf.DUMMYFUNCTION("""COMPUTED_VALUE"""),"Estrela 3")</f>
        <v>Estrela 3</v>
      </c>
    </row>
    <row r="3205">
      <c r="G3205" s="5" t="str">
        <f>IFERROR(__xludf.DUMMYFUNCTION("""COMPUTED_VALUE"""),"801🤙🏼Office Space🤙🏼Ajay Naidu🤙🏼Estrela 4")</f>
        <v>801🤙🏼Office Space🤙🏼Ajay Naidu🤙🏼Estrela 4</v>
      </c>
      <c r="H3205" s="5">
        <f>IFERROR(__xludf.DUMMYFUNCTION("SPLiT(G3205, ""🤙🏼"",FALSE,FALSE)"),801.0)</f>
        <v>801</v>
      </c>
      <c r="I3205" s="5" t="str">
        <f>IFERROR(__xludf.DUMMYFUNCTION("""COMPUTED_VALUE"""),"Office Space")</f>
        <v>Office Space</v>
      </c>
      <c r="J3205" s="5" t="str">
        <f>IFERROR(__xludf.DUMMYFUNCTION("""COMPUTED_VALUE"""),"Ajay Naidu")</f>
        <v>Ajay Naidu</v>
      </c>
      <c r="K3205" s="5" t="str">
        <f>IFERROR(__xludf.DUMMYFUNCTION("""COMPUTED_VALUE"""),"Estrela 4")</f>
        <v>Estrela 4</v>
      </c>
      <c r="P3205" s="5">
        <f>IFERROR(__xludf.DUMMYFUNCTION("""COMPUTED_VALUE"""),801.0)</f>
        <v>801</v>
      </c>
      <c r="Q3205" s="5" t="str">
        <f>IFERROR(__xludf.DUMMYFUNCTION("""COMPUTED_VALUE"""),"Office Space")</f>
        <v>Office Space</v>
      </c>
      <c r="R3205" s="5" t="str">
        <f>IFERROR(__xludf.DUMMYFUNCTION("""COMPUTED_VALUE"""),"Ajay Naidu")</f>
        <v>Ajay Naidu</v>
      </c>
      <c r="S3205" s="5" t="str">
        <f>IFERROR(__xludf.DUMMYFUNCTION("""COMPUTED_VALUE"""),"Estrela 4")</f>
        <v>Estrela 4</v>
      </c>
    </row>
    <row r="3206">
      <c r="G3206" s="5" t="str">
        <f>IFERROR(__xludf.DUMMYFUNCTION("""COMPUTED_VALUE"""),"802🤙🏼Happiness🤙🏼Jane Adams🤙🏼Estrela 1")</f>
        <v>802🤙🏼Happiness🤙🏼Jane Adams🤙🏼Estrela 1</v>
      </c>
      <c r="H3206" s="5">
        <f>IFERROR(__xludf.DUMMYFUNCTION("SPLiT(G3206, ""🤙🏼"",FALSE,FALSE)"),802.0)</f>
        <v>802</v>
      </c>
      <c r="I3206" s="5" t="str">
        <f>IFERROR(__xludf.DUMMYFUNCTION("""COMPUTED_VALUE"""),"Happiness")</f>
        <v>Happiness</v>
      </c>
      <c r="J3206" s="5" t="str">
        <f>IFERROR(__xludf.DUMMYFUNCTION("""COMPUTED_VALUE"""),"Jane Adams")</f>
        <v>Jane Adams</v>
      </c>
      <c r="K3206" s="5" t="str">
        <f>IFERROR(__xludf.DUMMYFUNCTION("""COMPUTED_VALUE"""),"Estrela 1")</f>
        <v>Estrela 1</v>
      </c>
      <c r="P3206" s="5">
        <f>IFERROR(__xludf.DUMMYFUNCTION("""COMPUTED_VALUE"""),802.0)</f>
        <v>802</v>
      </c>
      <c r="Q3206" s="5" t="str">
        <f>IFERROR(__xludf.DUMMYFUNCTION("""COMPUTED_VALUE"""),"Happiness")</f>
        <v>Happiness</v>
      </c>
      <c r="R3206" s="5" t="str">
        <f>IFERROR(__xludf.DUMMYFUNCTION("""COMPUTED_VALUE"""),"Jane Adams")</f>
        <v>Jane Adams</v>
      </c>
      <c r="S3206" s="5" t="str">
        <f>IFERROR(__xludf.DUMMYFUNCTION("""COMPUTED_VALUE"""),"Estrela 1")</f>
        <v>Estrela 1</v>
      </c>
    </row>
    <row r="3207">
      <c r="G3207" s="5" t="str">
        <f>IFERROR(__xludf.DUMMYFUNCTION("""COMPUTED_VALUE"""),"802🤙🏼Happiness🤙🏼Jon Lovitz🤙🏼Estrela 2")</f>
        <v>802🤙🏼Happiness🤙🏼Jon Lovitz🤙🏼Estrela 2</v>
      </c>
      <c r="H3207" s="5">
        <f>IFERROR(__xludf.DUMMYFUNCTION("SPLiT(G3207, ""🤙🏼"",FALSE,FALSE)"),802.0)</f>
        <v>802</v>
      </c>
      <c r="I3207" s="5" t="str">
        <f>IFERROR(__xludf.DUMMYFUNCTION("""COMPUTED_VALUE"""),"Happiness")</f>
        <v>Happiness</v>
      </c>
      <c r="J3207" s="5" t="str">
        <f>IFERROR(__xludf.DUMMYFUNCTION("""COMPUTED_VALUE"""),"Jon Lovitz")</f>
        <v>Jon Lovitz</v>
      </c>
      <c r="K3207" s="5" t="str">
        <f>IFERROR(__xludf.DUMMYFUNCTION("""COMPUTED_VALUE"""),"Estrela 2")</f>
        <v>Estrela 2</v>
      </c>
      <c r="P3207" s="5">
        <f>IFERROR(__xludf.DUMMYFUNCTION("""COMPUTED_VALUE"""),802.0)</f>
        <v>802</v>
      </c>
      <c r="Q3207" s="5" t="str">
        <f>IFERROR(__xludf.DUMMYFUNCTION("""COMPUTED_VALUE"""),"Happiness")</f>
        <v>Happiness</v>
      </c>
      <c r="R3207" s="5" t="str">
        <f>IFERROR(__xludf.DUMMYFUNCTION("""COMPUTED_VALUE"""),"Jon Lovitz")</f>
        <v>Jon Lovitz</v>
      </c>
      <c r="S3207" s="5" t="str">
        <f>IFERROR(__xludf.DUMMYFUNCTION("""COMPUTED_VALUE"""),"Estrela 2")</f>
        <v>Estrela 2</v>
      </c>
    </row>
    <row r="3208">
      <c r="G3208" s="5" t="str">
        <f>IFERROR(__xludf.DUMMYFUNCTION("""COMPUTED_VALUE"""),"802🤙🏼Happiness🤙🏼Philip Seymour Hoffman🤙🏼Estrela 3")</f>
        <v>802🤙🏼Happiness🤙🏼Philip Seymour Hoffman🤙🏼Estrela 3</v>
      </c>
      <c r="H3208" s="5">
        <f>IFERROR(__xludf.DUMMYFUNCTION("SPLiT(G3208, ""🤙🏼"",FALSE,FALSE)"),802.0)</f>
        <v>802</v>
      </c>
      <c r="I3208" s="5" t="str">
        <f>IFERROR(__xludf.DUMMYFUNCTION("""COMPUTED_VALUE"""),"Happiness")</f>
        <v>Happiness</v>
      </c>
      <c r="J3208" s="5" t="str">
        <f>IFERROR(__xludf.DUMMYFUNCTION("""COMPUTED_VALUE"""),"Philip Seymour Hoffman")</f>
        <v>Philip Seymour Hoffman</v>
      </c>
      <c r="K3208" s="5" t="str">
        <f>IFERROR(__xludf.DUMMYFUNCTION("""COMPUTED_VALUE"""),"Estrela 3")</f>
        <v>Estrela 3</v>
      </c>
      <c r="P3208" s="5">
        <f>IFERROR(__xludf.DUMMYFUNCTION("""COMPUTED_VALUE"""),802.0)</f>
        <v>802</v>
      </c>
      <c r="Q3208" s="5" t="str">
        <f>IFERROR(__xludf.DUMMYFUNCTION("""COMPUTED_VALUE"""),"Happiness")</f>
        <v>Happiness</v>
      </c>
      <c r="R3208" s="5" t="str">
        <f>IFERROR(__xludf.DUMMYFUNCTION("""COMPUTED_VALUE"""),"Philip Seymour Hoffman")</f>
        <v>Philip Seymour Hoffman</v>
      </c>
      <c r="S3208" s="5" t="str">
        <f>IFERROR(__xludf.DUMMYFUNCTION("""COMPUTED_VALUE"""),"Estrela 3")</f>
        <v>Estrela 3</v>
      </c>
    </row>
    <row r="3209">
      <c r="G3209" s="5" t="str">
        <f>IFERROR(__xludf.DUMMYFUNCTION("""COMPUTED_VALUE"""),"802🤙🏼Happiness🤙🏼Dylan Baker🤙🏼Estrela 4")</f>
        <v>802🤙🏼Happiness🤙🏼Dylan Baker🤙🏼Estrela 4</v>
      </c>
      <c r="H3209" s="5">
        <f>IFERROR(__xludf.DUMMYFUNCTION("SPLiT(G3209, ""🤙🏼"",FALSE,FALSE)"),802.0)</f>
        <v>802</v>
      </c>
      <c r="I3209" s="5" t="str">
        <f>IFERROR(__xludf.DUMMYFUNCTION("""COMPUTED_VALUE"""),"Happiness")</f>
        <v>Happiness</v>
      </c>
      <c r="J3209" s="5" t="str">
        <f>IFERROR(__xludf.DUMMYFUNCTION("""COMPUTED_VALUE"""),"Dylan Baker")</f>
        <v>Dylan Baker</v>
      </c>
      <c r="K3209" s="5" t="str">
        <f>IFERROR(__xludf.DUMMYFUNCTION("""COMPUTED_VALUE"""),"Estrela 4")</f>
        <v>Estrela 4</v>
      </c>
      <c r="P3209" s="5">
        <f>IFERROR(__xludf.DUMMYFUNCTION("""COMPUTED_VALUE"""),802.0)</f>
        <v>802</v>
      </c>
      <c r="Q3209" s="5" t="str">
        <f>IFERROR(__xludf.DUMMYFUNCTION("""COMPUTED_VALUE"""),"Happiness")</f>
        <v>Happiness</v>
      </c>
      <c r="R3209" s="5" t="str">
        <f>IFERROR(__xludf.DUMMYFUNCTION("""COMPUTED_VALUE"""),"Dylan Baker")</f>
        <v>Dylan Baker</v>
      </c>
      <c r="S3209" s="5" t="str">
        <f>IFERROR(__xludf.DUMMYFUNCTION("""COMPUTED_VALUE"""),"Estrela 4")</f>
        <v>Estrela 4</v>
      </c>
    </row>
    <row r="3210">
      <c r="G3210" s="5" t="str">
        <f>IFERROR(__xludf.DUMMYFUNCTION("""COMPUTED_VALUE"""),"803🤙🏼Training Day🤙🏼Denzel Washington🤙🏼Estrela 1")</f>
        <v>803🤙🏼Training Day🤙🏼Denzel Washington🤙🏼Estrela 1</v>
      </c>
      <c r="H3210" s="5">
        <f>IFERROR(__xludf.DUMMYFUNCTION("SPLiT(G3210, ""🤙🏼"",FALSE,FALSE)"),803.0)</f>
        <v>803</v>
      </c>
      <c r="I3210" s="5" t="str">
        <f>IFERROR(__xludf.DUMMYFUNCTION("""COMPUTED_VALUE"""),"Training Day")</f>
        <v>Training Day</v>
      </c>
      <c r="J3210" s="5" t="str">
        <f>IFERROR(__xludf.DUMMYFUNCTION("""COMPUTED_VALUE"""),"Denzel Washington")</f>
        <v>Denzel Washington</v>
      </c>
      <c r="K3210" s="5" t="str">
        <f>IFERROR(__xludf.DUMMYFUNCTION("""COMPUTED_VALUE"""),"Estrela 1")</f>
        <v>Estrela 1</v>
      </c>
      <c r="P3210" s="5">
        <f>IFERROR(__xludf.DUMMYFUNCTION("""COMPUTED_VALUE"""),803.0)</f>
        <v>803</v>
      </c>
      <c r="Q3210" s="5" t="str">
        <f>IFERROR(__xludf.DUMMYFUNCTION("""COMPUTED_VALUE"""),"Training Day")</f>
        <v>Training Day</v>
      </c>
      <c r="R3210" s="5" t="str">
        <f>IFERROR(__xludf.DUMMYFUNCTION("""COMPUTED_VALUE"""),"Denzel Washington")</f>
        <v>Denzel Washington</v>
      </c>
      <c r="S3210" s="5" t="str">
        <f>IFERROR(__xludf.DUMMYFUNCTION("""COMPUTED_VALUE"""),"Estrela 1")</f>
        <v>Estrela 1</v>
      </c>
    </row>
    <row r="3211">
      <c r="G3211" s="5" t="str">
        <f>IFERROR(__xludf.DUMMYFUNCTION("""COMPUTED_VALUE"""),"803🤙🏼Training Day🤙🏼Ethan Hawke🤙🏼Estrela 2")</f>
        <v>803🤙🏼Training Day🤙🏼Ethan Hawke🤙🏼Estrela 2</v>
      </c>
      <c r="H3211" s="5">
        <f>IFERROR(__xludf.DUMMYFUNCTION("SPLiT(G3211, ""🤙🏼"",FALSE,FALSE)"),803.0)</f>
        <v>803</v>
      </c>
      <c r="I3211" s="5" t="str">
        <f>IFERROR(__xludf.DUMMYFUNCTION("""COMPUTED_VALUE"""),"Training Day")</f>
        <v>Training Day</v>
      </c>
      <c r="J3211" s="5" t="str">
        <f>IFERROR(__xludf.DUMMYFUNCTION("""COMPUTED_VALUE"""),"Ethan Hawke")</f>
        <v>Ethan Hawke</v>
      </c>
      <c r="K3211" s="5" t="str">
        <f>IFERROR(__xludf.DUMMYFUNCTION("""COMPUTED_VALUE"""),"Estrela 2")</f>
        <v>Estrela 2</v>
      </c>
      <c r="P3211" s="5">
        <f>IFERROR(__xludf.DUMMYFUNCTION("""COMPUTED_VALUE"""),803.0)</f>
        <v>803</v>
      </c>
      <c r="Q3211" s="5" t="str">
        <f>IFERROR(__xludf.DUMMYFUNCTION("""COMPUTED_VALUE"""),"Training Day")</f>
        <v>Training Day</v>
      </c>
      <c r="R3211" s="5" t="str">
        <f>IFERROR(__xludf.DUMMYFUNCTION("""COMPUTED_VALUE"""),"Ethan Hawke")</f>
        <v>Ethan Hawke</v>
      </c>
      <c r="S3211" s="5" t="str">
        <f>IFERROR(__xludf.DUMMYFUNCTION("""COMPUTED_VALUE"""),"Estrela 2")</f>
        <v>Estrela 2</v>
      </c>
    </row>
    <row r="3212">
      <c r="G3212" s="5" t="str">
        <f>IFERROR(__xludf.DUMMYFUNCTION("""COMPUTED_VALUE"""),"803🤙🏼Training Day🤙🏼Scott Glenn🤙🏼Estrela 3")</f>
        <v>803🤙🏼Training Day🤙🏼Scott Glenn🤙🏼Estrela 3</v>
      </c>
      <c r="H3212" s="5">
        <f>IFERROR(__xludf.DUMMYFUNCTION("SPLiT(G3212, ""🤙🏼"",FALSE,FALSE)"),803.0)</f>
        <v>803</v>
      </c>
      <c r="I3212" s="5" t="str">
        <f>IFERROR(__xludf.DUMMYFUNCTION("""COMPUTED_VALUE"""),"Training Day")</f>
        <v>Training Day</v>
      </c>
      <c r="J3212" s="5" t="str">
        <f>IFERROR(__xludf.DUMMYFUNCTION("""COMPUTED_VALUE"""),"Scott Glenn")</f>
        <v>Scott Glenn</v>
      </c>
      <c r="K3212" s="5" t="str">
        <f>IFERROR(__xludf.DUMMYFUNCTION("""COMPUTED_VALUE"""),"Estrela 3")</f>
        <v>Estrela 3</v>
      </c>
      <c r="P3212" s="5">
        <f>IFERROR(__xludf.DUMMYFUNCTION("""COMPUTED_VALUE"""),803.0)</f>
        <v>803</v>
      </c>
      <c r="Q3212" s="5" t="str">
        <f>IFERROR(__xludf.DUMMYFUNCTION("""COMPUTED_VALUE"""),"Training Day")</f>
        <v>Training Day</v>
      </c>
      <c r="R3212" s="5" t="str">
        <f>IFERROR(__xludf.DUMMYFUNCTION("""COMPUTED_VALUE"""),"Scott Glenn")</f>
        <v>Scott Glenn</v>
      </c>
      <c r="S3212" s="5" t="str">
        <f>IFERROR(__xludf.DUMMYFUNCTION("""COMPUTED_VALUE"""),"Estrela 3")</f>
        <v>Estrela 3</v>
      </c>
    </row>
    <row r="3213">
      <c r="G3213" s="5" t="str">
        <f>IFERROR(__xludf.DUMMYFUNCTION("""COMPUTED_VALUE"""),"803🤙🏼Training Day🤙🏼Tom Berenger🤙🏼Estrela 4")</f>
        <v>803🤙🏼Training Day🤙🏼Tom Berenger🤙🏼Estrela 4</v>
      </c>
      <c r="H3213" s="5">
        <f>IFERROR(__xludf.DUMMYFUNCTION("SPLiT(G3213, ""🤙🏼"",FALSE,FALSE)"),803.0)</f>
        <v>803</v>
      </c>
      <c r="I3213" s="5" t="str">
        <f>IFERROR(__xludf.DUMMYFUNCTION("""COMPUTED_VALUE"""),"Training Day")</f>
        <v>Training Day</v>
      </c>
      <c r="J3213" s="5" t="str">
        <f>IFERROR(__xludf.DUMMYFUNCTION("""COMPUTED_VALUE"""),"Tom Berenger")</f>
        <v>Tom Berenger</v>
      </c>
      <c r="K3213" s="5" t="str">
        <f>IFERROR(__xludf.DUMMYFUNCTION("""COMPUTED_VALUE"""),"Estrela 4")</f>
        <v>Estrela 4</v>
      </c>
      <c r="P3213" s="5">
        <f>IFERROR(__xludf.DUMMYFUNCTION("""COMPUTED_VALUE"""),803.0)</f>
        <v>803</v>
      </c>
      <c r="Q3213" s="5" t="str">
        <f>IFERROR(__xludf.DUMMYFUNCTION("""COMPUTED_VALUE"""),"Training Day")</f>
        <v>Training Day</v>
      </c>
      <c r="R3213" s="5" t="str">
        <f>IFERROR(__xludf.DUMMYFUNCTION("""COMPUTED_VALUE"""),"Tom Berenger")</f>
        <v>Tom Berenger</v>
      </c>
      <c r="S3213" s="5" t="str">
        <f>IFERROR(__xludf.DUMMYFUNCTION("""COMPUTED_VALUE"""),"Estrela 4")</f>
        <v>Estrela 4</v>
      </c>
    </row>
    <row r="3214">
      <c r="G3214" s="5" t="str">
        <f>IFERROR(__xludf.DUMMYFUNCTION("""COMPUTED_VALUE"""),"804🤙🏼Rushmore🤙🏼Jason Schwartzman🤙🏼Estrela 1")</f>
        <v>804🤙🏼Rushmore🤙🏼Jason Schwartzman🤙🏼Estrela 1</v>
      </c>
      <c r="H3214" s="5">
        <f>IFERROR(__xludf.DUMMYFUNCTION("SPLiT(G3214, ""🤙🏼"",FALSE,FALSE)"),804.0)</f>
        <v>804</v>
      </c>
      <c r="I3214" s="5" t="str">
        <f>IFERROR(__xludf.DUMMYFUNCTION("""COMPUTED_VALUE"""),"Rushmore")</f>
        <v>Rushmore</v>
      </c>
      <c r="J3214" s="5" t="str">
        <f>IFERROR(__xludf.DUMMYFUNCTION("""COMPUTED_VALUE"""),"Jason Schwartzman")</f>
        <v>Jason Schwartzman</v>
      </c>
      <c r="K3214" s="5" t="str">
        <f>IFERROR(__xludf.DUMMYFUNCTION("""COMPUTED_VALUE"""),"Estrela 1")</f>
        <v>Estrela 1</v>
      </c>
      <c r="P3214" s="5">
        <f>IFERROR(__xludf.DUMMYFUNCTION("""COMPUTED_VALUE"""),804.0)</f>
        <v>804</v>
      </c>
      <c r="Q3214" s="5" t="str">
        <f>IFERROR(__xludf.DUMMYFUNCTION("""COMPUTED_VALUE"""),"Rushmore")</f>
        <v>Rushmore</v>
      </c>
      <c r="R3214" s="5" t="str">
        <f>IFERROR(__xludf.DUMMYFUNCTION("""COMPUTED_VALUE"""),"Jason Schwartzman")</f>
        <v>Jason Schwartzman</v>
      </c>
      <c r="S3214" s="5" t="str">
        <f>IFERROR(__xludf.DUMMYFUNCTION("""COMPUTED_VALUE"""),"Estrela 1")</f>
        <v>Estrela 1</v>
      </c>
    </row>
    <row r="3215">
      <c r="G3215" s="5" t="str">
        <f>IFERROR(__xludf.DUMMYFUNCTION("""COMPUTED_VALUE"""),"804🤙🏼Rushmore🤙🏼Bill Murray🤙🏼Estrela 2")</f>
        <v>804🤙🏼Rushmore🤙🏼Bill Murray🤙🏼Estrela 2</v>
      </c>
      <c r="H3215" s="5">
        <f>IFERROR(__xludf.DUMMYFUNCTION("SPLiT(G3215, ""🤙🏼"",FALSE,FALSE)"),804.0)</f>
        <v>804</v>
      </c>
      <c r="I3215" s="5" t="str">
        <f>IFERROR(__xludf.DUMMYFUNCTION("""COMPUTED_VALUE"""),"Rushmore")</f>
        <v>Rushmore</v>
      </c>
      <c r="J3215" s="5" t="str">
        <f>IFERROR(__xludf.DUMMYFUNCTION("""COMPUTED_VALUE"""),"Bill Murray")</f>
        <v>Bill Murray</v>
      </c>
      <c r="K3215" s="5" t="str">
        <f>IFERROR(__xludf.DUMMYFUNCTION("""COMPUTED_VALUE"""),"Estrela 2")</f>
        <v>Estrela 2</v>
      </c>
      <c r="P3215" s="5">
        <f>IFERROR(__xludf.DUMMYFUNCTION("""COMPUTED_VALUE"""),804.0)</f>
        <v>804</v>
      </c>
      <c r="Q3215" s="5" t="str">
        <f>IFERROR(__xludf.DUMMYFUNCTION("""COMPUTED_VALUE"""),"Rushmore")</f>
        <v>Rushmore</v>
      </c>
      <c r="R3215" s="5" t="str">
        <f>IFERROR(__xludf.DUMMYFUNCTION("""COMPUTED_VALUE"""),"Bill Murray")</f>
        <v>Bill Murray</v>
      </c>
      <c r="S3215" s="5" t="str">
        <f>IFERROR(__xludf.DUMMYFUNCTION("""COMPUTED_VALUE"""),"Estrela 2")</f>
        <v>Estrela 2</v>
      </c>
    </row>
    <row r="3216">
      <c r="G3216" s="5" t="str">
        <f>IFERROR(__xludf.DUMMYFUNCTION("""COMPUTED_VALUE"""),"804🤙🏼Rushmore🤙🏼Olivia Williams🤙🏼Estrela 3")</f>
        <v>804🤙🏼Rushmore🤙🏼Olivia Williams🤙🏼Estrela 3</v>
      </c>
      <c r="H3216" s="5">
        <f>IFERROR(__xludf.DUMMYFUNCTION("SPLiT(G3216, ""🤙🏼"",FALSE,FALSE)"),804.0)</f>
        <v>804</v>
      </c>
      <c r="I3216" s="5" t="str">
        <f>IFERROR(__xludf.DUMMYFUNCTION("""COMPUTED_VALUE"""),"Rushmore")</f>
        <v>Rushmore</v>
      </c>
      <c r="J3216" s="5" t="str">
        <f>IFERROR(__xludf.DUMMYFUNCTION("""COMPUTED_VALUE"""),"Olivia Williams")</f>
        <v>Olivia Williams</v>
      </c>
      <c r="K3216" s="5" t="str">
        <f>IFERROR(__xludf.DUMMYFUNCTION("""COMPUTED_VALUE"""),"Estrela 3")</f>
        <v>Estrela 3</v>
      </c>
      <c r="P3216" s="5">
        <f>IFERROR(__xludf.DUMMYFUNCTION("""COMPUTED_VALUE"""),804.0)</f>
        <v>804</v>
      </c>
      <c r="Q3216" s="5" t="str">
        <f>IFERROR(__xludf.DUMMYFUNCTION("""COMPUTED_VALUE"""),"Rushmore")</f>
        <v>Rushmore</v>
      </c>
      <c r="R3216" s="5" t="str">
        <f>IFERROR(__xludf.DUMMYFUNCTION("""COMPUTED_VALUE"""),"Olivia Williams")</f>
        <v>Olivia Williams</v>
      </c>
      <c r="S3216" s="5" t="str">
        <f>IFERROR(__xludf.DUMMYFUNCTION("""COMPUTED_VALUE"""),"Estrela 3")</f>
        <v>Estrela 3</v>
      </c>
    </row>
    <row r="3217">
      <c r="G3217" s="5" t="str">
        <f>IFERROR(__xludf.DUMMYFUNCTION("""COMPUTED_VALUE"""),"804🤙🏼Rushmore🤙🏼Seymour Cassel🤙🏼Estrela 4")</f>
        <v>804🤙🏼Rushmore🤙🏼Seymour Cassel🤙🏼Estrela 4</v>
      </c>
      <c r="H3217" s="5">
        <f>IFERROR(__xludf.DUMMYFUNCTION("SPLiT(G3217, ""🤙🏼"",FALSE,FALSE)"),804.0)</f>
        <v>804</v>
      </c>
      <c r="I3217" s="5" t="str">
        <f>IFERROR(__xludf.DUMMYFUNCTION("""COMPUTED_VALUE"""),"Rushmore")</f>
        <v>Rushmore</v>
      </c>
      <c r="J3217" s="5" t="str">
        <f>IFERROR(__xludf.DUMMYFUNCTION("""COMPUTED_VALUE"""),"Seymour Cassel")</f>
        <v>Seymour Cassel</v>
      </c>
      <c r="K3217" s="5" t="str">
        <f>IFERROR(__xludf.DUMMYFUNCTION("""COMPUTED_VALUE"""),"Estrela 4")</f>
        <v>Estrela 4</v>
      </c>
      <c r="P3217" s="5">
        <f>IFERROR(__xludf.DUMMYFUNCTION("""COMPUTED_VALUE"""),804.0)</f>
        <v>804</v>
      </c>
      <c r="Q3217" s="5" t="str">
        <f>IFERROR(__xludf.DUMMYFUNCTION("""COMPUTED_VALUE"""),"Rushmore")</f>
        <v>Rushmore</v>
      </c>
      <c r="R3217" s="5" t="str">
        <f>IFERROR(__xludf.DUMMYFUNCTION("""COMPUTED_VALUE"""),"Seymour Cassel")</f>
        <v>Seymour Cassel</v>
      </c>
      <c r="S3217" s="5" t="str">
        <f>IFERROR(__xludf.DUMMYFUNCTION("""COMPUTED_VALUE"""),"Estrela 4")</f>
        <v>Estrela 4</v>
      </c>
    </row>
    <row r="3218">
      <c r="G3218" s="5" t="str">
        <f>IFERROR(__xludf.DUMMYFUNCTION("""COMPUTED_VALUE"""),"805🤙🏼Abre los ojos🤙🏼Eduardo Noriega🤙🏼Estrela 1")</f>
        <v>805🤙🏼Abre los ojos🤙🏼Eduardo Noriega🤙🏼Estrela 1</v>
      </c>
      <c r="H3218" s="5">
        <f>IFERROR(__xludf.DUMMYFUNCTION("SPLiT(G3218, ""🤙🏼"",FALSE,FALSE)"),805.0)</f>
        <v>805</v>
      </c>
      <c r="I3218" s="5" t="str">
        <f>IFERROR(__xludf.DUMMYFUNCTION("""COMPUTED_VALUE"""),"Abre los ojos")</f>
        <v>Abre los ojos</v>
      </c>
      <c r="J3218" s="5" t="str">
        <f>IFERROR(__xludf.DUMMYFUNCTION("""COMPUTED_VALUE"""),"Eduardo Noriega")</f>
        <v>Eduardo Noriega</v>
      </c>
      <c r="K3218" s="5" t="str">
        <f>IFERROR(__xludf.DUMMYFUNCTION("""COMPUTED_VALUE"""),"Estrela 1")</f>
        <v>Estrela 1</v>
      </c>
      <c r="P3218" s="5">
        <f>IFERROR(__xludf.DUMMYFUNCTION("""COMPUTED_VALUE"""),805.0)</f>
        <v>805</v>
      </c>
      <c r="Q3218" s="5" t="str">
        <f>IFERROR(__xludf.DUMMYFUNCTION("""COMPUTED_VALUE"""),"Abre los ojos")</f>
        <v>Abre los ojos</v>
      </c>
      <c r="R3218" s="5" t="str">
        <f>IFERROR(__xludf.DUMMYFUNCTION("""COMPUTED_VALUE"""),"Eduardo Noriega")</f>
        <v>Eduardo Noriega</v>
      </c>
      <c r="S3218" s="5" t="str">
        <f>IFERROR(__xludf.DUMMYFUNCTION("""COMPUTED_VALUE"""),"Estrela 1")</f>
        <v>Estrela 1</v>
      </c>
    </row>
    <row r="3219">
      <c r="G3219" s="5" t="str">
        <f>IFERROR(__xludf.DUMMYFUNCTION("""COMPUTED_VALUE"""),"805🤙🏼Abre los ojos🤙🏼Penélope Cruz🤙🏼Estrela 2")</f>
        <v>805🤙🏼Abre los ojos🤙🏼Penélope Cruz🤙🏼Estrela 2</v>
      </c>
      <c r="H3219" s="5">
        <f>IFERROR(__xludf.DUMMYFUNCTION("SPLiT(G3219, ""🤙🏼"",FALSE,FALSE)"),805.0)</f>
        <v>805</v>
      </c>
      <c r="I3219" s="5" t="str">
        <f>IFERROR(__xludf.DUMMYFUNCTION("""COMPUTED_VALUE"""),"Abre los ojos")</f>
        <v>Abre los ojos</v>
      </c>
      <c r="J3219" s="5" t="str">
        <f>IFERROR(__xludf.DUMMYFUNCTION("""COMPUTED_VALUE"""),"Penélope Cruz")</f>
        <v>Penélope Cruz</v>
      </c>
      <c r="K3219" s="5" t="str">
        <f>IFERROR(__xludf.DUMMYFUNCTION("""COMPUTED_VALUE"""),"Estrela 2")</f>
        <v>Estrela 2</v>
      </c>
      <c r="P3219" s="5">
        <f>IFERROR(__xludf.DUMMYFUNCTION("""COMPUTED_VALUE"""),805.0)</f>
        <v>805</v>
      </c>
      <c r="Q3219" s="5" t="str">
        <f>IFERROR(__xludf.DUMMYFUNCTION("""COMPUTED_VALUE"""),"Abre los ojos")</f>
        <v>Abre los ojos</v>
      </c>
      <c r="R3219" s="5" t="str">
        <f>IFERROR(__xludf.DUMMYFUNCTION("""COMPUTED_VALUE"""),"Penélope Cruz")</f>
        <v>Penélope Cruz</v>
      </c>
      <c r="S3219" s="5" t="str">
        <f>IFERROR(__xludf.DUMMYFUNCTION("""COMPUTED_VALUE"""),"Estrela 2")</f>
        <v>Estrela 2</v>
      </c>
    </row>
    <row r="3220">
      <c r="G3220" s="5" t="str">
        <f>IFERROR(__xludf.DUMMYFUNCTION("""COMPUTED_VALUE"""),"805🤙🏼Abre los ojos🤙🏼Chete Lera🤙🏼Estrela 3")</f>
        <v>805🤙🏼Abre los ojos🤙🏼Chete Lera🤙🏼Estrela 3</v>
      </c>
      <c r="H3220" s="5">
        <f>IFERROR(__xludf.DUMMYFUNCTION("SPLiT(G3220, ""🤙🏼"",FALSE,FALSE)"),805.0)</f>
        <v>805</v>
      </c>
      <c r="I3220" s="5" t="str">
        <f>IFERROR(__xludf.DUMMYFUNCTION("""COMPUTED_VALUE"""),"Abre los ojos")</f>
        <v>Abre los ojos</v>
      </c>
      <c r="J3220" s="5" t="str">
        <f>IFERROR(__xludf.DUMMYFUNCTION("""COMPUTED_VALUE"""),"Chete Lera")</f>
        <v>Chete Lera</v>
      </c>
      <c r="K3220" s="5" t="str">
        <f>IFERROR(__xludf.DUMMYFUNCTION("""COMPUTED_VALUE"""),"Estrela 3")</f>
        <v>Estrela 3</v>
      </c>
      <c r="P3220" s="5">
        <f>IFERROR(__xludf.DUMMYFUNCTION("""COMPUTED_VALUE"""),805.0)</f>
        <v>805</v>
      </c>
      <c r="Q3220" s="5" t="str">
        <f>IFERROR(__xludf.DUMMYFUNCTION("""COMPUTED_VALUE"""),"Abre los ojos")</f>
        <v>Abre los ojos</v>
      </c>
      <c r="R3220" s="5" t="str">
        <f>IFERROR(__xludf.DUMMYFUNCTION("""COMPUTED_VALUE"""),"Chete Lera")</f>
        <v>Chete Lera</v>
      </c>
      <c r="S3220" s="5" t="str">
        <f>IFERROR(__xludf.DUMMYFUNCTION("""COMPUTED_VALUE"""),"Estrela 3")</f>
        <v>Estrela 3</v>
      </c>
    </row>
    <row r="3221">
      <c r="G3221" s="5" t="str">
        <f>IFERROR(__xludf.DUMMYFUNCTION("""COMPUTED_VALUE"""),"805🤙🏼Abre los ojos🤙🏼Fele Martínez🤙🏼Estrela 4")</f>
        <v>805🤙🏼Abre los ojos🤙🏼Fele Martínez🤙🏼Estrela 4</v>
      </c>
      <c r="H3221" s="5">
        <f>IFERROR(__xludf.DUMMYFUNCTION("SPLiT(G3221, ""🤙🏼"",FALSE,FALSE)"),805.0)</f>
        <v>805</v>
      </c>
      <c r="I3221" s="5" t="str">
        <f>IFERROR(__xludf.DUMMYFUNCTION("""COMPUTED_VALUE"""),"Abre los ojos")</f>
        <v>Abre los ojos</v>
      </c>
      <c r="J3221" s="5" t="str">
        <f>IFERROR(__xludf.DUMMYFUNCTION("""COMPUTED_VALUE"""),"Fele Martínez")</f>
        <v>Fele Martínez</v>
      </c>
      <c r="K3221" s="5" t="str">
        <f>IFERROR(__xludf.DUMMYFUNCTION("""COMPUTED_VALUE"""),"Estrela 4")</f>
        <v>Estrela 4</v>
      </c>
      <c r="P3221" s="5">
        <f>IFERROR(__xludf.DUMMYFUNCTION("""COMPUTED_VALUE"""),805.0)</f>
        <v>805</v>
      </c>
      <c r="Q3221" s="5" t="str">
        <f>IFERROR(__xludf.DUMMYFUNCTION("""COMPUTED_VALUE"""),"Abre los ojos")</f>
        <v>Abre los ojos</v>
      </c>
      <c r="R3221" s="5" t="str">
        <f>IFERROR(__xludf.DUMMYFUNCTION("""COMPUTED_VALUE"""),"Fele Martínez")</f>
        <v>Fele Martínez</v>
      </c>
      <c r="S3221" s="5" t="str">
        <f>IFERROR(__xludf.DUMMYFUNCTION("""COMPUTED_VALUE"""),"Estrela 4")</f>
        <v>Estrela 4</v>
      </c>
    </row>
    <row r="3222">
      <c r="G3222" s="5" t="str">
        <f>IFERROR(__xludf.DUMMYFUNCTION("""COMPUTED_VALUE"""),"806🤙🏼Being John Malkovich🤙🏼John Cusack🤙🏼Estrela 1")</f>
        <v>806🤙🏼Being John Malkovich🤙🏼John Cusack🤙🏼Estrela 1</v>
      </c>
      <c r="H3222" s="5">
        <f>IFERROR(__xludf.DUMMYFUNCTION("SPLiT(G3222, ""🤙🏼"",FALSE,FALSE)"),806.0)</f>
        <v>806</v>
      </c>
      <c r="I3222" s="5" t="str">
        <f>IFERROR(__xludf.DUMMYFUNCTION("""COMPUTED_VALUE"""),"Being John Malkovich")</f>
        <v>Being John Malkovich</v>
      </c>
      <c r="J3222" s="5" t="str">
        <f>IFERROR(__xludf.DUMMYFUNCTION("""COMPUTED_VALUE"""),"John Cusack")</f>
        <v>John Cusack</v>
      </c>
      <c r="K3222" s="5" t="str">
        <f>IFERROR(__xludf.DUMMYFUNCTION("""COMPUTED_VALUE"""),"Estrela 1")</f>
        <v>Estrela 1</v>
      </c>
      <c r="P3222" s="5">
        <f>IFERROR(__xludf.DUMMYFUNCTION("""COMPUTED_VALUE"""),806.0)</f>
        <v>806</v>
      </c>
      <c r="Q3222" s="5" t="str">
        <f>IFERROR(__xludf.DUMMYFUNCTION("""COMPUTED_VALUE"""),"Being John Malkovich")</f>
        <v>Being John Malkovich</v>
      </c>
      <c r="R3222" s="5" t="str">
        <f>IFERROR(__xludf.DUMMYFUNCTION("""COMPUTED_VALUE"""),"John Cusack")</f>
        <v>John Cusack</v>
      </c>
      <c r="S3222" s="5" t="str">
        <f>IFERROR(__xludf.DUMMYFUNCTION("""COMPUTED_VALUE"""),"Estrela 1")</f>
        <v>Estrela 1</v>
      </c>
    </row>
    <row r="3223">
      <c r="G3223" s="5" t="str">
        <f>IFERROR(__xludf.DUMMYFUNCTION("""COMPUTED_VALUE"""),"806🤙🏼Being John Malkovich🤙🏼Cameron Diaz🤙🏼Estrela 2")</f>
        <v>806🤙🏼Being John Malkovich🤙🏼Cameron Diaz🤙🏼Estrela 2</v>
      </c>
      <c r="H3223" s="5">
        <f>IFERROR(__xludf.DUMMYFUNCTION("SPLiT(G3223, ""🤙🏼"",FALSE,FALSE)"),806.0)</f>
        <v>806</v>
      </c>
      <c r="I3223" s="5" t="str">
        <f>IFERROR(__xludf.DUMMYFUNCTION("""COMPUTED_VALUE"""),"Being John Malkovich")</f>
        <v>Being John Malkovich</v>
      </c>
      <c r="J3223" s="5" t="str">
        <f>IFERROR(__xludf.DUMMYFUNCTION("""COMPUTED_VALUE"""),"Cameron Diaz")</f>
        <v>Cameron Diaz</v>
      </c>
      <c r="K3223" s="5" t="str">
        <f>IFERROR(__xludf.DUMMYFUNCTION("""COMPUTED_VALUE"""),"Estrela 2")</f>
        <v>Estrela 2</v>
      </c>
      <c r="P3223" s="5">
        <f>IFERROR(__xludf.DUMMYFUNCTION("""COMPUTED_VALUE"""),806.0)</f>
        <v>806</v>
      </c>
      <c r="Q3223" s="5" t="str">
        <f>IFERROR(__xludf.DUMMYFUNCTION("""COMPUTED_VALUE"""),"Being John Malkovich")</f>
        <v>Being John Malkovich</v>
      </c>
      <c r="R3223" s="5" t="str">
        <f>IFERROR(__xludf.DUMMYFUNCTION("""COMPUTED_VALUE"""),"Cameron Diaz")</f>
        <v>Cameron Diaz</v>
      </c>
      <c r="S3223" s="5" t="str">
        <f>IFERROR(__xludf.DUMMYFUNCTION("""COMPUTED_VALUE"""),"Estrela 2")</f>
        <v>Estrela 2</v>
      </c>
    </row>
    <row r="3224">
      <c r="G3224" s="5" t="str">
        <f>IFERROR(__xludf.DUMMYFUNCTION("""COMPUTED_VALUE"""),"806🤙🏼Being John Malkovich🤙🏼Catherine Keener🤙🏼Estrela 3")</f>
        <v>806🤙🏼Being John Malkovich🤙🏼Catherine Keener🤙🏼Estrela 3</v>
      </c>
      <c r="H3224" s="5">
        <f>IFERROR(__xludf.DUMMYFUNCTION("SPLiT(G3224, ""🤙🏼"",FALSE,FALSE)"),806.0)</f>
        <v>806</v>
      </c>
      <c r="I3224" s="5" t="str">
        <f>IFERROR(__xludf.DUMMYFUNCTION("""COMPUTED_VALUE"""),"Being John Malkovich")</f>
        <v>Being John Malkovich</v>
      </c>
      <c r="J3224" s="5" t="str">
        <f>IFERROR(__xludf.DUMMYFUNCTION("""COMPUTED_VALUE"""),"Catherine Keener")</f>
        <v>Catherine Keener</v>
      </c>
      <c r="K3224" s="5" t="str">
        <f>IFERROR(__xludf.DUMMYFUNCTION("""COMPUTED_VALUE"""),"Estrela 3")</f>
        <v>Estrela 3</v>
      </c>
      <c r="P3224" s="5">
        <f>IFERROR(__xludf.DUMMYFUNCTION("""COMPUTED_VALUE"""),806.0)</f>
        <v>806</v>
      </c>
      <c r="Q3224" s="5" t="str">
        <f>IFERROR(__xludf.DUMMYFUNCTION("""COMPUTED_VALUE"""),"Being John Malkovich")</f>
        <v>Being John Malkovich</v>
      </c>
      <c r="R3224" s="5" t="str">
        <f>IFERROR(__xludf.DUMMYFUNCTION("""COMPUTED_VALUE"""),"Catherine Keener")</f>
        <v>Catherine Keener</v>
      </c>
      <c r="S3224" s="5" t="str">
        <f>IFERROR(__xludf.DUMMYFUNCTION("""COMPUTED_VALUE"""),"Estrela 3")</f>
        <v>Estrela 3</v>
      </c>
    </row>
    <row r="3225">
      <c r="G3225" s="5" t="str">
        <f>IFERROR(__xludf.DUMMYFUNCTION("""COMPUTED_VALUE"""),"806🤙🏼Being John Malkovich🤙🏼John Malkovich🤙🏼Estrela 4")</f>
        <v>806🤙🏼Being John Malkovich🤙🏼John Malkovich🤙🏼Estrela 4</v>
      </c>
      <c r="H3225" s="5">
        <f>IFERROR(__xludf.DUMMYFUNCTION("SPLiT(G3225, ""🤙🏼"",FALSE,FALSE)"),806.0)</f>
        <v>806</v>
      </c>
      <c r="I3225" s="5" t="str">
        <f>IFERROR(__xludf.DUMMYFUNCTION("""COMPUTED_VALUE"""),"Being John Malkovich")</f>
        <v>Being John Malkovich</v>
      </c>
      <c r="J3225" s="5" t="str">
        <f>IFERROR(__xludf.DUMMYFUNCTION("""COMPUTED_VALUE"""),"John Malkovich")</f>
        <v>John Malkovich</v>
      </c>
      <c r="K3225" s="5" t="str">
        <f>IFERROR(__xludf.DUMMYFUNCTION("""COMPUTED_VALUE"""),"Estrela 4")</f>
        <v>Estrela 4</v>
      </c>
      <c r="P3225" s="5">
        <f>IFERROR(__xludf.DUMMYFUNCTION("""COMPUTED_VALUE"""),806.0)</f>
        <v>806</v>
      </c>
      <c r="Q3225" s="5" t="str">
        <f>IFERROR(__xludf.DUMMYFUNCTION("""COMPUTED_VALUE"""),"Being John Malkovich")</f>
        <v>Being John Malkovich</v>
      </c>
      <c r="R3225" s="5" t="str">
        <f>IFERROR(__xludf.DUMMYFUNCTION("""COMPUTED_VALUE"""),"John Malkovich")</f>
        <v>John Malkovich</v>
      </c>
      <c r="S3225" s="5" t="str">
        <f>IFERROR(__xludf.DUMMYFUNCTION("""COMPUTED_VALUE"""),"Estrela 4")</f>
        <v>Estrela 4</v>
      </c>
    </row>
    <row r="3226">
      <c r="G3226" s="5" t="str">
        <f>IFERROR(__xludf.DUMMYFUNCTION("""COMPUTED_VALUE"""),"807🤙🏼As Good as It Gets🤙🏼Jack Nicholson🤙🏼Estrela 1")</f>
        <v>807🤙🏼As Good as It Gets🤙🏼Jack Nicholson🤙🏼Estrela 1</v>
      </c>
      <c r="H3226" s="5">
        <f>IFERROR(__xludf.DUMMYFUNCTION("SPLiT(G3226, ""🤙🏼"",FALSE,FALSE)"),807.0)</f>
        <v>807</v>
      </c>
      <c r="I3226" s="5" t="str">
        <f>IFERROR(__xludf.DUMMYFUNCTION("""COMPUTED_VALUE"""),"As Good as It Gets")</f>
        <v>As Good as It Gets</v>
      </c>
      <c r="J3226" s="5" t="str">
        <f>IFERROR(__xludf.DUMMYFUNCTION("""COMPUTED_VALUE"""),"Jack Nicholson")</f>
        <v>Jack Nicholson</v>
      </c>
      <c r="K3226" s="5" t="str">
        <f>IFERROR(__xludf.DUMMYFUNCTION("""COMPUTED_VALUE"""),"Estrela 1")</f>
        <v>Estrela 1</v>
      </c>
      <c r="P3226" s="5">
        <f>IFERROR(__xludf.DUMMYFUNCTION("""COMPUTED_VALUE"""),807.0)</f>
        <v>807</v>
      </c>
      <c r="Q3226" s="5" t="str">
        <f>IFERROR(__xludf.DUMMYFUNCTION("""COMPUTED_VALUE"""),"As Good as It Gets")</f>
        <v>As Good as It Gets</v>
      </c>
      <c r="R3226" s="5" t="str">
        <f>IFERROR(__xludf.DUMMYFUNCTION("""COMPUTED_VALUE"""),"Jack Nicholson")</f>
        <v>Jack Nicholson</v>
      </c>
      <c r="S3226" s="5" t="str">
        <f>IFERROR(__xludf.DUMMYFUNCTION("""COMPUTED_VALUE"""),"Estrela 1")</f>
        <v>Estrela 1</v>
      </c>
    </row>
    <row r="3227">
      <c r="G3227" s="5" t="str">
        <f>IFERROR(__xludf.DUMMYFUNCTION("""COMPUTED_VALUE"""),"807🤙🏼As Good as It Gets🤙🏼Helen Hunt🤙🏼Estrela 2")</f>
        <v>807🤙🏼As Good as It Gets🤙🏼Helen Hunt🤙🏼Estrela 2</v>
      </c>
      <c r="H3227" s="5">
        <f>IFERROR(__xludf.DUMMYFUNCTION("SPLiT(G3227, ""🤙🏼"",FALSE,FALSE)"),807.0)</f>
        <v>807</v>
      </c>
      <c r="I3227" s="5" t="str">
        <f>IFERROR(__xludf.DUMMYFUNCTION("""COMPUTED_VALUE"""),"As Good as It Gets")</f>
        <v>As Good as It Gets</v>
      </c>
      <c r="J3227" s="5" t="str">
        <f>IFERROR(__xludf.DUMMYFUNCTION("""COMPUTED_VALUE"""),"Helen Hunt")</f>
        <v>Helen Hunt</v>
      </c>
      <c r="K3227" s="5" t="str">
        <f>IFERROR(__xludf.DUMMYFUNCTION("""COMPUTED_VALUE"""),"Estrela 2")</f>
        <v>Estrela 2</v>
      </c>
      <c r="P3227" s="5">
        <f>IFERROR(__xludf.DUMMYFUNCTION("""COMPUTED_VALUE"""),807.0)</f>
        <v>807</v>
      </c>
      <c r="Q3227" s="5" t="str">
        <f>IFERROR(__xludf.DUMMYFUNCTION("""COMPUTED_VALUE"""),"As Good as It Gets")</f>
        <v>As Good as It Gets</v>
      </c>
      <c r="R3227" s="5" t="str">
        <f>IFERROR(__xludf.DUMMYFUNCTION("""COMPUTED_VALUE"""),"Helen Hunt")</f>
        <v>Helen Hunt</v>
      </c>
      <c r="S3227" s="5" t="str">
        <f>IFERROR(__xludf.DUMMYFUNCTION("""COMPUTED_VALUE"""),"Estrela 2")</f>
        <v>Estrela 2</v>
      </c>
    </row>
    <row r="3228">
      <c r="G3228" s="5" t="str">
        <f>IFERROR(__xludf.DUMMYFUNCTION("""COMPUTED_VALUE"""),"807🤙🏼As Good as It Gets🤙🏼Greg Kinnear🤙🏼Estrela 3")</f>
        <v>807🤙🏼As Good as It Gets🤙🏼Greg Kinnear🤙🏼Estrela 3</v>
      </c>
      <c r="H3228" s="5">
        <f>IFERROR(__xludf.DUMMYFUNCTION("SPLiT(G3228, ""🤙🏼"",FALSE,FALSE)"),807.0)</f>
        <v>807</v>
      </c>
      <c r="I3228" s="5" t="str">
        <f>IFERROR(__xludf.DUMMYFUNCTION("""COMPUTED_VALUE"""),"As Good as It Gets")</f>
        <v>As Good as It Gets</v>
      </c>
      <c r="J3228" s="5" t="str">
        <f>IFERROR(__xludf.DUMMYFUNCTION("""COMPUTED_VALUE"""),"Greg Kinnear")</f>
        <v>Greg Kinnear</v>
      </c>
      <c r="K3228" s="5" t="str">
        <f>IFERROR(__xludf.DUMMYFUNCTION("""COMPUTED_VALUE"""),"Estrela 3")</f>
        <v>Estrela 3</v>
      </c>
      <c r="P3228" s="5">
        <f>IFERROR(__xludf.DUMMYFUNCTION("""COMPUTED_VALUE"""),807.0)</f>
        <v>807</v>
      </c>
      <c r="Q3228" s="5" t="str">
        <f>IFERROR(__xludf.DUMMYFUNCTION("""COMPUTED_VALUE"""),"As Good as It Gets")</f>
        <v>As Good as It Gets</v>
      </c>
      <c r="R3228" s="5" t="str">
        <f>IFERROR(__xludf.DUMMYFUNCTION("""COMPUTED_VALUE"""),"Greg Kinnear")</f>
        <v>Greg Kinnear</v>
      </c>
      <c r="S3228" s="5" t="str">
        <f>IFERROR(__xludf.DUMMYFUNCTION("""COMPUTED_VALUE"""),"Estrela 3")</f>
        <v>Estrela 3</v>
      </c>
    </row>
    <row r="3229">
      <c r="G3229" s="5" t="str">
        <f>IFERROR(__xludf.DUMMYFUNCTION("""COMPUTED_VALUE"""),"807🤙🏼As Good as It Gets🤙🏼Cuba Gooding Jr.🤙🏼Estrela 4")</f>
        <v>807🤙🏼As Good as It Gets🤙🏼Cuba Gooding Jr.🤙🏼Estrela 4</v>
      </c>
      <c r="H3229" s="5">
        <f>IFERROR(__xludf.DUMMYFUNCTION("SPLiT(G3229, ""🤙🏼"",FALSE,FALSE)"),807.0)</f>
        <v>807</v>
      </c>
      <c r="I3229" s="5" t="str">
        <f>IFERROR(__xludf.DUMMYFUNCTION("""COMPUTED_VALUE"""),"As Good as It Gets")</f>
        <v>As Good as It Gets</v>
      </c>
      <c r="J3229" s="5" t="str">
        <f>IFERROR(__xludf.DUMMYFUNCTION("""COMPUTED_VALUE"""),"Cuba Gooding Jr.")</f>
        <v>Cuba Gooding Jr.</v>
      </c>
      <c r="K3229" s="5" t="str">
        <f>IFERROR(__xludf.DUMMYFUNCTION("""COMPUTED_VALUE"""),"Estrela 4")</f>
        <v>Estrela 4</v>
      </c>
      <c r="P3229" s="5">
        <f>IFERROR(__xludf.DUMMYFUNCTION("""COMPUTED_VALUE"""),807.0)</f>
        <v>807</v>
      </c>
      <c r="Q3229" s="5" t="str">
        <f>IFERROR(__xludf.DUMMYFUNCTION("""COMPUTED_VALUE"""),"As Good as It Gets")</f>
        <v>As Good as It Gets</v>
      </c>
      <c r="R3229" s="5" t="str">
        <f>IFERROR(__xludf.DUMMYFUNCTION("""COMPUTED_VALUE"""),"Cuba Gooding Jr.")</f>
        <v>Cuba Gooding Jr.</v>
      </c>
      <c r="S3229" s="5" t="str">
        <f>IFERROR(__xludf.DUMMYFUNCTION("""COMPUTED_VALUE"""),"Estrela 4")</f>
        <v>Estrela 4</v>
      </c>
    </row>
    <row r="3230">
      <c r="G3230" s="5" t="str">
        <f>IFERROR(__xludf.DUMMYFUNCTION("""COMPUTED_VALUE"""),"808🤙🏼The Fifth Element🤙🏼Bruce Willis🤙🏼Estrela 1")</f>
        <v>808🤙🏼The Fifth Element🤙🏼Bruce Willis🤙🏼Estrela 1</v>
      </c>
      <c r="H3230" s="5">
        <f>IFERROR(__xludf.DUMMYFUNCTION("SPLiT(G3230, ""🤙🏼"",FALSE,FALSE)"),808.0)</f>
        <v>808</v>
      </c>
      <c r="I3230" s="5" t="str">
        <f>IFERROR(__xludf.DUMMYFUNCTION("""COMPUTED_VALUE"""),"The Fifth Element")</f>
        <v>The Fifth Element</v>
      </c>
      <c r="J3230" s="5" t="str">
        <f>IFERROR(__xludf.DUMMYFUNCTION("""COMPUTED_VALUE"""),"Bruce Willis")</f>
        <v>Bruce Willis</v>
      </c>
      <c r="K3230" s="5" t="str">
        <f>IFERROR(__xludf.DUMMYFUNCTION("""COMPUTED_VALUE"""),"Estrela 1")</f>
        <v>Estrela 1</v>
      </c>
      <c r="P3230" s="5">
        <f>IFERROR(__xludf.DUMMYFUNCTION("""COMPUTED_VALUE"""),808.0)</f>
        <v>808</v>
      </c>
      <c r="Q3230" s="5" t="str">
        <f>IFERROR(__xludf.DUMMYFUNCTION("""COMPUTED_VALUE"""),"The Fifth Element")</f>
        <v>The Fifth Element</v>
      </c>
      <c r="R3230" s="5" t="str">
        <f>IFERROR(__xludf.DUMMYFUNCTION("""COMPUTED_VALUE"""),"Bruce Willis")</f>
        <v>Bruce Willis</v>
      </c>
      <c r="S3230" s="5" t="str">
        <f>IFERROR(__xludf.DUMMYFUNCTION("""COMPUTED_VALUE"""),"Estrela 1")</f>
        <v>Estrela 1</v>
      </c>
    </row>
    <row r="3231">
      <c r="G3231" s="5" t="str">
        <f>IFERROR(__xludf.DUMMYFUNCTION("""COMPUTED_VALUE"""),"808🤙🏼The Fifth Element🤙🏼Milla Jovovich🤙🏼Estrela 2")</f>
        <v>808🤙🏼The Fifth Element🤙🏼Milla Jovovich🤙🏼Estrela 2</v>
      </c>
      <c r="H3231" s="5">
        <f>IFERROR(__xludf.DUMMYFUNCTION("SPLiT(G3231, ""🤙🏼"",FALSE,FALSE)"),808.0)</f>
        <v>808</v>
      </c>
      <c r="I3231" s="5" t="str">
        <f>IFERROR(__xludf.DUMMYFUNCTION("""COMPUTED_VALUE"""),"The Fifth Element")</f>
        <v>The Fifth Element</v>
      </c>
      <c r="J3231" s="5" t="str">
        <f>IFERROR(__xludf.DUMMYFUNCTION("""COMPUTED_VALUE"""),"Milla Jovovich")</f>
        <v>Milla Jovovich</v>
      </c>
      <c r="K3231" s="5" t="str">
        <f>IFERROR(__xludf.DUMMYFUNCTION("""COMPUTED_VALUE"""),"Estrela 2")</f>
        <v>Estrela 2</v>
      </c>
      <c r="P3231" s="5">
        <f>IFERROR(__xludf.DUMMYFUNCTION("""COMPUTED_VALUE"""),808.0)</f>
        <v>808</v>
      </c>
      <c r="Q3231" s="5" t="str">
        <f>IFERROR(__xludf.DUMMYFUNCTION("""COMPUTED_VALUE"""),"The Fifth Element")</f>
        <v>The Fifth Element</v>
      </c>
      <c r="R3231" s="5" t="str">
        <f>IFERROR(__xludf.DUMMYFUNCTION("""COMPUTED_VALUE"""),"Milla Jovovich")</f>
        <v>Milla Jovovich</v>
      </c>
      <c r="S3231" s="5" t="str">
        <f>IFERROR(__xludf.DUMMYFUNCTION("""COMPUTED_VALUE"""),"Estrela 2")</f>
        <v>Estrela 2</v>
      </c>
    </row>
    <row r="3232">
      <c r="G3232" s="5" t="str">
        <f>IFERROR(__xludf.DUMMYFUNCTION("""COMPUTED_VALUE"""),"808🤙🏼The Fifth Element🤙🏼Gary Oldman🤙🏼Estrela 3")</f>
        <v>808🤙🏼The Fifth Element🤙🏼Gary Oldman🤙🏼Estrela 3</v>
      </c>
      <c r="H3232" s="5">
        <f>IFERROR(__xludf.DUMMYFUNCTION("SPLiT(G3232, ""🤙🏼"",FALSE,FALSE)"),808.0)</f>
        <v>808</v>
      </c>
      <c r="I3232" s="5" t="str">
        <f>IFERROR(__xludf.DUMMYFUNCTION("""COMPUTED_VALUE"""),"The Fifth Element")</f>
        <v>The Fifth Element</v>
      </c>
      <c r="J3232" s="5" t="str">
        <f>IFERROR(__xludf.DUMMYFUNCTION("""COMPUTED_VALUE"""),"Gary Oldman")</f>
        <v>Gary Oldman</v>
      </c>
      <c r="K3232" s="5" t="str">
        <f>IFERROR(__xludf.DUMMYFUNCTION("""COMPUTED_VALUE"""),"Estrela 3")</f>
        <v>Estrela 3</v>
      </c>
      <c r="P3232" s="5">
        <f>IFERROR(__xludf.DUMMYFUNCTION("""COMPUTED_VALUE"""),808.0)</f>
        <v>808</v>
      </c>
      <c r="Q3232" s="5" t="str">
        <f>IFERROR(__xludf.DUMMYFUNCTION("""COMPUTED_VALUE"""),"The Fifth Element")</f>
        <v>The Fifth Element</v>
      </c>
      <c r="R3232" s="5" t="str">
        <f>IFERROR(__xludf.DUMMYFUNCTION("""COMPUTED_VALUE"""),"Gary Oldman")</f>
        <v>Gary Oldman</v>
      </c>
      <c r="S3232" s="5" t="str">
        <f>IFERROR(__xludf.DUMMYFUNCTION("""COMPUTED_VALUE"""),"Estrela 3")</f>
        <v>Estrela 3</v>
      </c>
    </row>
    <row r="3233">
      <c r="G3233" s="5" t="str">
        <f>IFERROR(__xludf.DUMMYFUNCTION("""COMPUTED_VALUE"""),"808🤙🏼The Fifth Element🤙🏼Ian Holm🤙🏼Estrela 4")</f>
        <v>808🤙🏼The Fifth Element🤙🏼Ian Holm🤙🏼Estrela 4</v>
      </c>
      <c r="H3233" s="5">
        <f>IFERROR(__xludf.DUMMYFUNCTION("SPLiT(G3233, ""🤙🏼"",FALSE,FALSE)"),808.0)</f>
        <v>808</v>
      </c>
      <c r="I3233" s="5" t="str">
        <f>IFERROR(__xludf.DUMMYFUNCTION("""COMPUTED_VALUE"""),"The Fifth Element")</f>
        <v>The Fifth Element</v>
      </c>
      <c r="J3233" s="5" t="str">
        <f>IFERROR(__xludf.DUMMYFUNCTION("""COMPUTED_VALUE"""),"Ian Holm")</f>
        <v>Ian Holm</v>
      </c>
      <c r="K3233" s="5" t="str">
        <f>IFERROR(__xludf.DUMMYFUNCTION("""COMPUTED_VALUE"""),"Estrela 4")</f>
        <v>Estrela 4</v>
      </c>
      <c r="P3233" s="5">
        <f>IFERROR(__xludf.DUMMYFUNCTION("""COMPUTED_VALUE"""),808.0)</f>
        <v>808</v>
      </c>
      <c r="Q3233" s="5" t="str">
        <f>IFERROR(__xludf.DUMMYFUNCTION("""COMPUTED_VALUE"""),"The Fifth Element")</f>
        <v>The Fifth Element</v>
      </c>
      <c r="R3233" s="5" t="str">
        <f>IFERROR(__xludf.DUMMYFUNCTION("""COMPUTED_VALUE"""),"Ian Holm")</f>
        <v>Ian Holm</v>
      </c>
      <c r="S3233" s="5" t="str">
        <f>IFERROR(__xludf.DUMMYFUNCTION("""COMPUTED_VALUE"""),"Estrela 4")</f>
        <v>Estrela 4</v>
      </c>
    </row>
    <row r="3234">
      <c r="G3234" s="5" t="str">
        <f>IFERROR(__xludf.DUMMYFUNCTION("""COMPUTED_VALUE"""),"809🤙🏼Le dîner de cons🤙🏼Thierry Lhermitte🤙🏼Estrela 1")</f>
        <v>809🤙🏼Le dîner de cons🤙🏼Thierry Lhermitte🤙🏼Estrela 1</v>
      </c>
      <c r="H3234" s="5">
        <f>IFERROR(__xludf.DUMMYFUNCTION("SPLiT(G3234, ""🤙🏼"",FALSE,FALSE)"),809.0)</f>
        <v>809</v>
      </c>
      <c r="I3234" s="5" t="str">
        <f>IFERROR(__xludf.DUMMYFUNCTION("""COMPUTED_VALUE"""),"Le dîner de cons")</f>
        <v>Le dîner de cons</v>
      </c>
      <c r="J3234" s="5" t="str">
        <f>IFERROR(__xludf.DUMMYFUNCTION("""COMPUTED_VALUE"""),"Thierry Lhermitte")</f>
        <v>Thierry Lhermitte</v>
      </c>
      <c r="K3234" s="5" t="str">
        <f>IFERROR(__xludf.DUMMYFUNCTION("""COMPUTED_VALUE"""),"Estrela 1")</f>
        <v>Estrela 1</v>
      </c>
      <c r="P3234" s="5">
        <f>IFERROR(__xludf.DUMMYFUNCTION("""COMPUTED_VALUE"""),809.0)</f>
        <v>809</v>
      </c>
      <c r="Q3234" s="5" t="str">
        <f>IFERROR(__xludf.DUMMYFUNCTION("""COMPUTED_VALUE"""),"Le dîner de cons")</f>
        <v>Le dîner de cons</v>
      </c>
      <c r="R3234" s="5" t="str">
        <f>IFERROR(__xludf.DUMMYFUNCTION("""COMPUTED_VALUE"""),"Thierry Lhermitte")</f>
        <v>Thierry Lhermitte</v>
      </c>
      <c r="S3234" s="5" t="str">
        <f>IFERROR(__xludf.DUMMYFUNCTION("""COMPUTED_VALUE"""),"Estrela 1")</f>
        <v>Estrela 1</v>
      </c>
    </row>
    <row r="3235">
      <c r="G3235" s="5" t="str">
        <f>IFERROR(__xludf.DUMMYFUNCTION("""COMPUTED_VALUE"""),"809🤙🏼Le dîner de cons🤙🏼Jacques Villeret🤙🏼Estrela 2")</f>
        <v>809🤙🏼Le dîner de cons🤙🏼Jacques Villeret🤙🏼Estrela 2</v>
      </c>
      <c r="H3235" s="5">
        <f>IFERROR(__xludf.DUMMYFUNCTION("SPLiT(G3235, ""🤙🏼"",FALSE,FALSE)"),809.0)</f>
        <v>809</v>
      </c>
      <c r="I3235" s="5" t="str">
        <f>IFERROR(__xludf.DUMMYFUNCTION("""COMPUTED_VALUE"""),"Le dîner de cons")</f>
        <v>Le dîner de cons</v>
      </c>
      <c r="J3235" s="5" t="str">
        <f>IFERROR(__xludf.DUMMYFUNCTION("""COMPUTED_VALUE"""),"Jacques Villeret")</f>
        <v>Jacques Villeret</v>
      </c>
      <c r="K3235" s="5" t="str">
        <f>IFERROR(__xludf.DUMMYFUNCTION("""COMPUTED_VALUE"""),"Estrela 2")</f>
        <v>Estrela 2</v>
      </c>
      <c r="P3235" s="5">
        <f>IFERROR(__xludf.DUMMYFUNCTION("""COMPUTED_VALUE"""),809.0)</f>
        <v>809</v>
      </c>
      <c r="Q3235" s="5" t="str">
        <f>IFERROR(__xludf.DUMMYFUNCTION("""COMPUTED_VALUE"""),"Le dîner de cons")</f>
        <v>Le dîner de cons</v>
      </c>
      <c r="R3235" s="5" t="str">
        <f>IFERROR(__xludf.DUMMYFUNCTION("""COMPUTED_VALUE"""),"Jacques Villeret")</f>
        <v>Jacques Villeret</v>
      </c>
      <c r="S3235" s="5" t="str">
        <f>IFERROR(__xludf.DUMMYFUNCTION("""COMPUTED_VALUE"""),"Estrela 2")</f>
        <v>Estrela 2</v>
      </c>
    </row>
    <row r="3236">
      <c r="G3236" s="5" t="str">
        <f>IFERROR(__xludf.DUMMYFUNCTION("""COMPUTED_VALUE"""),"809🤙🏼Le dîner de cons🤙🏼Francis Huster🤙🏼Estrela 3")</f>
        <v>809🤙🏼Le dîner de cons🤙🏼Francis Huster🤙🏼Estrela 3</v>
      </c>
      <c r="H3236" s="5">
        <f>IFERROR(__xludf.DUMMYFUNCTION("SPLiT(G3236, ""🤙🏼"",FALSE,FALSE)"),809.0)</f>
        <v>809</v>
      </c>
      <c r="I3236" s="5" t="str">
        <f>IFERROR(__xludf.DUMMYFUNCTION("""COMPUTED_VALUE"""),"Le dîner de cons")</f>
        <v>Le dîner de cons</v>
      </c>
      <c r="J3236" s="5" t="str">
        <f>IFERROR(__xludf.DUMMYFUNCTION("""COMPUTED_VALUE"""),"Francis Huster")</f>
        <v>Francis Huster</v>
      </c>
      <c r="K3236" s="5" t="str">
        <f>IFERROR(__xludf.DUMMYFUNCTION("""COMPUTED_VALUE"""),"Estrela 3")</f>
        <v>Estrela 3</v>
      </c>
      <c r="P3236" s="5">
        <f>IFERROR(__xludf.DUMMYFUNCTION("""COMPUTED_VALUE"""),809.0)</f>
        <v>809</v>
      </c>
      <c r="Q3236" s="5" t="str">
        <f>IFERROR(__xludf.DUMMYFUNCTION("""COMPUTED_VALUE"""),"Le dîner de cons")</f>
        <v>Le dîner de cons</v>
      </c>
      <c r="R3236" s="5" t="str">
        <f>IFERROR(__xludf.DUMMYFUNCTION("""COMPUTED_VALUE"""),"Francis Huster")</f>
        <v>Francis Huster</v>
      </c>
      <c r="S3236" s="5" t="str">
        <f>IFERROR(__xludf.DUMMYFUNCTION("""COMPUTED_VALUE"""),"Estrela 3")</f>
        <v>Estrela 3</v>
      </c>
    </row>
    <row r="3237">
      <c r="G3237" s="5" t="str">
        <f>IFERROR(__xludf.DUMMYFUNCTION("""COMPUTED_VALUE"""),"809🤙🏼Le dîner de cons🤙🏼Daniel Prévost🤙🏼Estrela 4")</f>
        <v>809🤙🏼Le dîner de cons🤙🏼Daniel Prévost🤙🏼Estrela 4</v>
      </c>
      <c r="H3237" s="5">
        <f>IFERROR(__xludf.DUMMYFUNCTION("SPLiT(G3237, ""🤙🏼"",FALSE,FALSE)"),809.0)</f>
        <v>809</v>
      </c>
      <c r="I3237" s="5" t="str">
        <f>IFERROR(__xludf.DUMMYFUNCTION("""COMPUTED_VALUE"""),"Le dîner de cons")</f>
        <v>Le dîner de cons</v>
      </c>
      <c r="J3237" s="5" t="str">
        <f>IFERROR(__xludf.DUMMYFUNCTION("""COMPUTED_VALUE"""),"Daniel Prévost")</f>
        <v>Daniel Prévost</v>
      </c>
      <c r="K3237" s="5" t="str">
        <f>IFERROR(__xludf.DUMMYFUNCTION("""COMPUTED_VALUE"""),"Estrela 4")</f>
        <v>Estrela 4</v>
      </c>
      <c r="P3237" s="5">
        <f>IFERROR(__xludf.DUMMYFUNCTION("""COMPUTED_VALUE"""),809.0)</f>
        <v>809</v>
      </c>
      <c r="Q3237" s="5" t="str">
        <f>IFERROR(__xludf.DUMMYFUNCTION("""COMPUTED_VALUE"""),"Le dîner de cons")</f>
        <v>Le dîner de cons</v>
      </c>
      <c r="R3237" s="5" t="str">
        <f>IFERROR(__xludf.DUMMYFUNCTION("""COMPUTED_VALUE"""),"Daniel Prévost")</f>
        <v>Daniel Prévost</v>
      </c>
      <c r="S3237" s="5" t="str">
        <f>IFERROR(__xludf.DUMMYFUNCTION("""COMPUTED_VALUE"""),"Estrela 4")</f>
        <v>Estrela 4</v>
      </c>
    </row>
    <row r="3238">
      <c r="G3238" s="5" t="str">
        <f>IFERROR(__xludf.DUMMYFUNCTION("""COMPUTED_VALUE"""),"810🤙🏼Donnie Brasco🤙🏼Al Pacino🤙🏼Estrela 1")</f>
        <v>810🤙🏼Donnie Brasco🤙🏼Al Pacino🤙🏼Estrela 1</v>
      </c>
      <c r="H3238" s="5">
        <f>IFERROR(__xludf.DUMMYFUNCTION("SPLiT(G3238, ""🤙🏼"",FALSE,FALSE)"),810.0)</f>
        <v>810</v>
      </c>
      <c r="I3238" s="5" t="str">
        <f>IFERROR(__xludf.DUMMYFUNCTION("""COMPUTED_VALUE"""),"Donnie Brasco")</f>
        <v>Donnie Brasco</v>
      </c>
      <c r="J3238" s="5" t="str">
        <f>IFERROR(__xludf.DUMMYFUNCTION("""COMPUTED_VALUE"""),"Al Pacino")</f>
        <v>Al Pacino</v>
      </c>
      <c r="K3238" s="5" t="str">
        <f>IFERROR(__xludf.DUMMYFUNCTION("""COMPUTED_VALUE"""),"Estrela 1")</f>
        <v>Estrela 1</v>
      </c>
      <c r="P3238" s="5">
        <f>IFERROR(__xludf.DUMMYFUNCTION("""COMPUTED_VALUE"""),810.0)</f>
        <v>810</v>
      </c>
      <c r="Q3238" s="5" t="str">
        <f>IFERROR(__xludf.DUMMYFUNCTION("""COMPUTED_VALUE"""),"Donnie Brasco")</f>
        <v>Donnie Brasco</v>
      </c>
      <c r="R3238" s="5" t="str">
        <f>IFERROR(__xludf.DUMMYFUNCTION("""COMPUTED_VALUE"""),"Al Pacino")</f>
        <v>Al Pacino</v>
      </c>
      <c r="S3238" s="5" t="str">
        <f>IFERROR(__xludf.DUMMYFUNCTION("""COMPUTED_VALUE"""),"Estrela 1")</f>
        <v>Estrela 1</v>
      </c>
    </row>
    <row r="3239">
      <c r="G3239" s="5" t="str">
        <f>IFERROR(__xludf.DUMMYFUNCTION("""COMPUTED_VALUE"""),"810🤙🏼Donnie Brasco🤙🏼Johnny Depp🤙🏼Estrela 2")</f>
        <v>810🤙🏼Donnie Brasco🤙🏼Johnny Depp🤙🏼Estrela 2</v>
      </c>
      <c r="H3239" s="5">
        <f>IFERROR(__xludf.DUMMYFUNCTION("SPLiT(G3239, ""🤙🏼"",FALSE,FALSE)"),810.0)</f>
        <v>810</v>
      </c>
      <c r="I3239" s="5" t="str">
        <f>IFERROR(__xludf.DUMMYFUNCTION("""COMPUTED_VALUE"""),"Donnie Brasco")</f>
        <v>Donnie Brasco</v>
      </c>
      <c r="J3239" s="5" t="str">
        <f>IFERROR(__xludf.DUMMYFUNCTION("""COMPUTED_VALUE"""),"Johnny Depp")</f>
        <v>Johnny Depp</v>
      </c>
      <c r="K3239" s="5" t="str">
        <f>IFERROR(__xludf.DUMMYFUNCTION("""COMPUTED_VALUE"""),"Estrela 2")</f>
        <v>Estrela 2</v>
      </c>
      <c r="P3239" s="5">
        <f>IFERROR(__xludf.DUMMYFUNCTION("""COMPUTED_VALUE"""),810.0)</f>
        <v>810</v>
      </c>
      <c r="Q3239" s="5" t="str">
        <f>IFERROR(__xludf.DUMMYFUNCTION("""COMPUTED_VALUE"""),"Donnie Brasco")</f>
        <v>Donnie Brasco</v>
      </c>
      <c r="R3239" s="5" t="str">
        <f>IFERROR(__xludf.DUMMYFUNCTION("""COMPUTED_VALUE"""),"Johnny Depp")</f>
        <v>Johnny Depp</v>
      </c>
      <c r="S3239" s="5" t="str">
        <f>IFERROR(__xludf.DUMMYFUNCTION("""COMPUTED_VALUE"""),"Estrela 2")</f>
        <v>Estrela 2</v>
      </c>
    </row>
    <row r="3240">
      <c r="G3240" s="5" t="str">
        <f>IFERROR(__xludf.DUMMYFUNCTION("""COMPUTED_VALUE"""),"810🤙🏼Donnie Brasco🤙🏼Michael Madsen🤙🏼Estrela 3")</f>
        <v>810🤙🏼Donnie Brasco🤙🏼Michael Madsen🤙🏼Estrela 3</v>
      </c>
      <c r="H3240" s="5">
        <f>IFERROR(__xludf.DUMMYFUNCTION("SPLiT(G3240, ""🤙🏼"",FALSE,FALSE)"),810.0)</f>
        <v>810</v>
      </c>
      <c r="I3240" s="5" t="str">
        <f>IFERROR(__xludf.DUMMYFUNCTION("""COMPUTED_VALUE"""),"Donnie Brasco")</f>
        <v>Donnie Brasco</v>
      </c>
      <c r="J3240" s="5" t="str">
        <f>IFERROR(__xludf.DUMMYFUNCTION("""COMPUTED_VALUE"""),"Michael Madsen")</f>
        <v>Michael Madsen</v>
      </c>
      <c r="K3240" s="5" t="str">
        <f>IFERROR(__xludf.DUMMYFUNCTION("""COMPUTED_VALUE"""),"Estrela 3")</f>
        <v>Estrela 3</v>
      </c>
      <c r="P3240" s="5">
        <f>IFERROR(__xludf.DUMMYFUNCTION("""COMPUTED_VALUE"""),810.0)</f>
        <v>810</v>
      </c>
      <c r="Q3240" s="5" t="str">
        <f>IFERROR(__xludf.DUMMYFUNCTION("""COMPUTED_VALUE"""),"Donnie Brasco")</f>
        <v>Donnie Brasco</v>
      </c>
      <c r="R3240" s="5" t="str">
        <f>IFERROR(__xludf.DUMMYFUNCTION("""COMPUTED_VALUE"""),"Michael Madsen")</f>
        <v>Michael Madsen</v>
      </c>
      <c r="S3240" s="5" t="str">
        <f>IFERROR(__xludf.DUMMYFUNCTION("""COMPUTED_VALUE"""),"Estrela 3")</f>
        <v>Estrela 3</v>
      </c>
    </row>
    <row r="3241">
      <c r="G3241" s="5" t="str">
        <f>IFERROR(__xludf.DUMMYFUNCTION("""COMPUTED_VALUE"""),"810🤙🏼Donnie Brasco🤙🏼Bruno Kirby🤙🏼Estrela 4")</f>
        <v>810🤙🏼Donnie Brasco🤙🏼Bruno Kirby🤙🏼Estrela 4</v>
      </c>
      <c r="H3241" s="5">
        <f>IFERROR(__xludf.DUMMYFUNCTION("SPLiT(G3241, ""🤙🏼"",FALSE,FALSE)"),810.0)</f>
        <v>810</v>
      </c>
      <c r="I3241" s="5" t="str">
        <f>IFERROR(__xludf.DUMMYFUNCTION("""COMPUTED_VALUE"""),"Donnie Brasco")</f>
        <v>Donnie Brasco</v>
      </c>
      <c r="J3241" s="5" t="str">
        <f>IFERROR(__xludf.DUMMYFUNCTION("""COMPUTED_VALUE"""),"Bruno Kirby")</f>
        <v>Bruno Kirby</v>
      </c>
      <c r="K3241" s="5" t="str">
        <f>IFERROR(__xludf.DUMMYFUNCTION("""COMPUTED_VALUE"""),"Estrela 4")</f>
        <v>Estrela 4</v>
      </c>
      <c r="P3241" s="5">
        <f>IFERROR(__xludf.DUMMYFUNCTION("""COMPUTED_VALUE"""),810.0)</f>
        <v>810</v>
      </c>
      <c r="Q3241" s="5" t="str">
        <f>IFERROR(__xludf.DUMMYFUNCTION("""COMPUTED_VALUE"""),"Donnie Brasco")</f>
        <v>Donnie Brasco</v>
      </c>
      <c r="R3241" s="5" t="str">
        <f>IFERROR(__xludf.DUMMYFUNCTION("""COMPUTED_VALUE"""),"Bruno Kirby")</f>
        <v>Bruno Kirby</v>
      </c>
      <c r="S3241" s="5" t="str">
        <f>IFERROR(__xludf.DUMMYFUNCTION("""COMPUTED_VALUE"""),"Estrela 4")</f>
        <v>Estrela 4</v>
      </c>
    </row>
    <row r="3242">
      <c r="G3242" s="5" t="str">
        <f>IFERROR(__xludf.DUMMYFUNCTION("""COMPUTED_VALUE"""),"811🤙🏼Shine🤙🏼Geoffrey Rush🤙🏼Estrela 1")</f>
        <v>811🤙🏼Shine🤙🏼Geoffrey Rush🤙🏼Estrela 1</v>
      </c>
      <c r="H3242" s="5">
        <f>IFERROR(__xludf.DUMMYFUNCTION("SPLiT(G3242, ""🤙🏼"",FALSE,FALSE)"),811.0)</f>
        <v>811</v>
      </c>
      <c r="I3242" s="5" t="str">
        <f>IFERROR(__xludf.DUMMYFUNCTION("""COMPUTED_VALUE"""),"Shine")</f>
        <v>Shine</v>
      </c>
      <c r="J3242" s="5" t="str">
        <f>IFERROR(__xludf.DUMMYFUNCTION("""COMPUTED_VALUE"""),"Geoffrey Rush")</f>
        <v>Geoffrey Rush</v>
      </c>
      <c r="K3242" s="5" t="str">
        <f>IFERROR(__xludf.DUMMYFUNCTION("""COMPUTED_VALUE"""),"Estrela 1")</f>
        <v>Estrela 1</v>
      </c>
      <c r="P3242" s="5">
        <f>IFERROR(__xludf.DUMMYFUNCTION("""COMPUTED_VALUE"""),811.0)</f>
        <v>811</v>
      </c>
      <c r="Q3242" s="5" t="str">
        <f>IFERROR(__xludf.DUMMYFUNCTION("""COMPUTED_VALUE"""),"Shine")</f>
        <v>Shine</v>
      </c>
      <c r="R3242" s="5" t="str">
        <f>IFERROR(__xludf.DUMMYFUNCTION("""COMPUTED_VALUE"""),"Geoffrey Rush")</f>
        <v>Geoffrey Rush</v>
      </c>
      <c r="S3242" s="5" t="str">
        <f>IFERROR(__xludf.DUMMYFUNCTION("""COMPUTED_VALUE"""),"Estrela 1")</f>
        <v>Estrela 1</v>
      </c>
    </row>
    <row r="3243">
      <c r="G3243" s="5" t="str">
        <f>IFERROR(__xludf.DUMMYFUNCTION("""COMPUTED_VALUE"""),"811🤙🏼Shine🤙🏼Armin Mueller-Stahl🤙🏼Estrela 2")</f>
        <v>811🤙🏼Shine🤙🏼Armin Mueller-Stahl🤙🏼Estrela 2</v>
      </c>
      <c r="H3243" s="5">
        <f>IFERROR(__xludf.DUMMYFUNCTION("SPLiT(G3243, ""🤙🏼"",FALSE,FALSE)"),811.0)</f>
        <v>811</v>
      </c>
      <c r="I3243" s="5" t="str">
        <f>IFERROR(__xludf.DUMMYFUNCTION("""COMPUTED_VALUE"""),"Shine")</f>
        <v>Shine</v>
      </c>
      <c r="J3243" s="5" t="str">
        <f>IFERROR(__xludf.DUMMYFUNCTION("""COMPUTED_VALUE"""),"Armin Mueller-Stahl")</f>
        <v>Armin Mueller-Stahl</v>
      </c>
      <c r="K3243" s="5" t="str">
        <f>IFERROR(__xludf.DUMMYFUNCTION("""COMPUTED_VALUE"""),"Estrela 2")</f>
        <v>Estrela 2</v>
      </c>
      <c r="P3243" s="5">
        <f>IFERROR(__xludf.DUMMYFUNCTION("""COMPUTED_VALUE"""),811.0)</f>
        <v>811</v>
      </c>
      <c r="Q3243" s="5" t="str">
        <f>IFERROR(__xludf.DUMMYFUNCTION("""COMPUTED_VALUE"""),"Shine")</f>
        <v>Shine</v>
      </c>
      <c r="R3243" s="5" t="str">
        <f>IFERROR(__xludf.DUMMYFUNCTION("""COMPUTED_VALUE"""),"Armin Mueller-Stahl")</f>
        <v>Armin Mueller-Stahl</v>
      </c>
      <c r="S3243" s="5" t="str">
        <f>IFERROR(__xludf.DUMMYFUNCTION("""COMPUTED_VALUE"""),"Estrela 2")</f>
        <v>Estrela 2</v>
      </c>
    </row>
    <row r="3244">
      <c r="G3244" s="5" t="str">
        <f>IFERROR(__xludf.DUMMYFUNCTION("""COMPUTED_VALUE"""),"811🤙🏼Shine🤙🏼Justin Braine🤙🏼Estrela 3")</f>
        <v>811🤙🏼Shine🤙🏼Justin Braine🤙🏼Estrela 3</v>
      </c>
      <c r="H3244" s="5">
        <f>IFERROR(__xludf.DUMMYFUNCTION("SPLiT(G3244, ""🤙🏼"",FALSE,FALSE)"),811.0)</f>
        <v>811</v>
      </c>
      <c r="I3244" s="5" t="str">
        <f>IFERROR(__xludf.DUMMYFUNCTION("""COMPUTED_VALUE"""),"Shine")</f>
        <v>Shine</v>
      </c>
      <c r="J3244" s="5" t="str">
        <f>IFERROR(__xludf.DUMMYFUNCTION("""COMPUTED_VALUE"""),"Justin Braine")</f>
        <v>Justin Braine</v>
      </c>
      <c r="K3244" s="5" t="str">
        <f>IFERROR(__xludf.DUMMYFUNCTION("""COMPUTED_VALUE"""),"Estrela 3")</f>
        <v>Estrela 3</v>
      </c>
      <c r="P3244" s="5">
        <f>IFERROR(__xludf.DUMMYFUNCTION("""COMPUTED_VALUE"""),811.0)</f>
        <v>811</v>
      </c>
      <c r="Q3244" s="5" t="str">
        <f>IFERROR(__xludf.DUMMYFUNCTION("""COMPUTED_VALUE"""),"Shine")</f>
        <v>Shine</v>
      </c>
      <c r="R3244" s="5" t="str">
        <f>IFERROR(__xludf.DUMMYFUNCTION("""COMPUTED_VALUE"""),"Justin Braine")</f>
        <v>Justin Braine</v>
      </c>
      <c r="S3244" s="5" t="str">
        <f>IFERROR(__xludf.DUMMYFUNCTION("""COMPUTED_VALUE"""),"Estrela 3")</f>
        <v>Estrela 3</v>
      </c>
    </row>
    <row r="3245">
      <c r="G3245" s="5" t="str">
        <f>IFERROR(__xludf.DUMMYFUNCTION("""COMPUTED_VALUE"""),"811🤙🏼Shine🤙🏼Sonia Todd🤙🏼Estrela 4")</f>
        <v>811🤙🏼Shine🤙🏼Sonia Todd🤙🏼Estrela 4</v>
      </c>
      <c r="H3245" s="5">
        <f>IFERROR(__xludf.DUMMYFUNCTION("SPLiT(G3245, ""🤙🏼"",FALSE,FALSE)"),811.0)</f>
        <v>811</v>
      </c>
      <c r="I3245" s="5" t="str">
        <f>IFERROR(__xludf.DUMMYFUNCTION("""COMPUTED_VALUE"""),"Shine")</f>
        <v>Shine</v>
      </c>
      <c r="J3245" s="5" t="str">
        <f>IFERROR(__xludf.DUMMYFUNCTION("""COMPUTED_VALUE"""),"Sonia Todd")</f>
        <v>Sonia Todd</v>
      </c>
      <c r="K3245" s="5" t="str">
        <f>IFERROR(__xludf.DUMMYFUNCTION("""COMPUTED_VALUE"""),"Estrela 4")</f>
        <v>Estrela 4</v>
      </c>
      <c r="P3245" s="5">
        <f>IFERROR(__xludf.DUMMYFUNCTION("""COMPUTED_VALUE"""),811.0)</f>
        <v>811</v>
      </c>
      <c r="Q3245" s="5" t="str">
        <f>IFERROR(__xludf.DUMMYFUNCTION("""COMPUTED_VALUE"""),"Shine")</f>
        <v>Shine</v>
      </c>
      <c r="R3245" s="5" t="str">
        <f>IFERROR(__xludf.DUMMYFUNCTION("""COMPUTED_VALUE"""),"Sonia Todd")</f>
        <v>Sonia Todd</v>
      </c>
      <c r="S3245" s="5" t="str">
        <f>IFERROR(__xludf.DUMMYFUNCTION("""COMPUTED_VALUE"""),"Estrela 4")</f>
        <v>Estrela 4</v>
      </c>
    </row>
    <row r="3246">
      <c r="G3246" s="5" t="str">
        <f>IFERROR(__xludf.DUMMYFUNCTION("""COMPUTED_VALUE"""),"812🤙🏼Primal Fear🤙🏼Richard Gere🤙🏼Estrela 1")</f>
        <v>812🤙🏼Primal Fear🤙🏼Richard Gere🤙🏼Estrela 1</v>
      </c>
      <c r="H3246" s="5">
        <f>IFERROR(__xludf.DUMMYFUNCTION("SPLiT(G3246, ""🤙🏼"",FALSE,FALSE)"),812.0)</f>
        <v>812</v>
      </c>
      <c r="I3246" s="5" t="str">
        <f>IFERROR(__xludf.DUMMYFUNCTION("""COMPUTED_VALUE"""),"Primal Fear")</f>
        <v>Primal Fear</v>
      </c>
      <c r="J3246" s="5" t="str">
        <f>IFERROR(__xludf.DUMMYFUNCTION("""COMPUTED_VALUE"""),"Richard Gere")</f>
        <v>Richard Gere</v>
      </c>
      <c r="K3246" s="5" t="str">
        <f>IFERROR(__xludf.DUMMYFUNCTION("""COMPUTED_VALUE"""),"Estrela 1")</f>
        <v>Estrela 1</v>
      </c>
      <c r="P3246" s="5">
        <f>IFERROR(__xludf.DUMMYFUNCTION("""COMPUTED_VALUE"""),812.0)</f>
        <v>812</v>
      </c>
      <c r="Q3246" s="5" t="str">
        <f>IFERROR(__xludf.DUMMYFUNCTION("""COMPUTED_VALUE"""),"Primal Fear")</f>
        <v>Primal Fear</v>
      </c>
      <c r="R3246" s="5" t="str">
        <f>IFERROR(__xludf.DUMMYFUNCTION("""COMPUTED_VALUE"""),"Richard Gere")</f>
        <v>Richard Gere</v>
      </c>
      <c r="S3246" s="5" t="str">
        <f>IFERROR(__xludf.DUMMYFUNCTION("""COMPUTED_VALUE"""),"Estrela 1")</f>
        <v>Estrela 1</v>
      </c>
    </row>
    <row r="3247">
      <c r="G3247" s="5" t="str">
        <f>IFERROR(__xludf.DUMMYFUNCTION("""COMPUTED_VALUE"""),"812🤙🏼Primal Fear🤙🏼Laura Linney🤙🏼Estrela 2")</f>
        <v>812🤙🏼Primal Fear🤙🏼Laura Linney🤙🏼Estrela 2</v>
      </c>
      <c r="H3247" s="5">
        <f>IFERROR(__xludf.DUMMYFUNCTION("SPLiT(G3247, ""🤙🏼"",FALSE,FALSE)"),812.0)</f>
        <v>812</v>
      </c>
      <c r="I3247" s="5" t="str">
        <f>IFERROR(__xludf.DUMMYFUNCTION("""COMPUTED_VALUE"""),"Primal Fear")</f>
        <v>Primal Fear</v>
      </c>
      <c r="J3247" s="5" t="str">
        <f>IFERROR(__xludf.DUMMYFUNCTION("""COMPUTED_VALUE"""),"Laura Linney")</f>
        <v>Laura Linney</v>
      </c>
      <c r="K3247" s="5" t="str">
        <f>IFERROR(__xludf.DUMMYFUNCTION("""COMPUTED_VALUE"""),"Estrela 2")</f>
        <v>Estrela 2</v>
      </c>
      <c r="P3247" s="5">
        <f>IFERROR(__xludf.DUMMYFUNCTION("""COMPUTED_VALUE"""),812.0)</f>
        <v>812</v>
      </c>
      <c r="Q3247" s="5" t="str">
        <f>IFERROR(__xludf.DUMMYFUNCTION("""COMPUTED_VALUE"""),"Primal Fear")</f>
        <v>Primal Fear</v>
      </c>
      <c r="R3247" s="5" t="str">
        <f>IFERROR(__xludf.DUMMYFUNCTION("""COMPUTED_VALUE"""),"Laura Linney")</f>
        <v>Laura Linney</v>
      </c>
      <c r="S3247" s="5" t="str">
        <f>IFERROR(__xludf.DUMMYFUNCTION("""COMPUTED_VALUE"""),"Estrela 2")</f>
        <v>Estrela 2</v>
      </c>
    </row>
    <row r="3248">
      <c r="G3248" s="5" t="str">
        <f>IFERROR(__xludf.DUMMYFUNCTION("""COMPUTED_VALUE"""),"812🤙🏼Primal Fear🤙🏼Edward Norton🤙🏼Estrela 3")</f>
        <v>812🤙🏼Primal Fear🤙🏼Edward Norton🤙🏼Estrela 3</v>
      </c>
      <c r="H3248" s="5">
        <f>IFERROR(__xludf.DUMMYFUNCTION("SPLiT(G3248, ""🤙🏼"",FALSE,FALSE)"),812.0)</f>
        <v>812</v>
      </c>
      <c r="I3248" s="5" t="str">
        <f>IFERROR(__xludf.DUMMYFUNCTION("""COMPUTED_VALUE"""),"Primal Fear")</f>
        <v>Primal Fear</v>
      </c>
      <c r="J3248" s="5" t="str">
        <f>IFERROR(__xludf.DUMMYFUNCTION("""COMPUTED_VALUE"""),"Edward Norton")</f>
        <v>Edward Norton</v>
      </c>
      <c r="K3248" s="5" t="str">
        <f>IFERROR(__xludf.DUMMYFUNCTION("""COMPUTED_VALUE"""),"Estrela 3")</f>
        <v>Estrela 3</v>
      </c>
      <c r="P3248" s="5">
        <f>IFERROR(__xludf.DUMMYFUNCTION("""COMPUTED_VALUE"""),812.0)</f>
        <v>812</v>
      </c>
      <c r="Q3248" s="5" t="str">
        <f>IFERROR(__xludf.DUMMYFUNCTION("""COMPUTED_VALUE"""),"Primal Fear")</f>
        <v>Primal Fear</v>
      </c>
      <c r="R3248" s="5" t="str">
        <f>IFERROR(__xludf.DUMMYFUNCTION("""COMPUTED_VALUE"""),"Edward Norton")</f>
        <v>Edward Norton</v>
      </c>
      <c r="S3248" s="5" t="str">
        <f>IFERROR(__xludf.DUMMYFUNCTION("""COMPUTED_VALUE"""),"Estrela 3")</f>
        <v>Estrela 3</v>
      </c>
    </row>
    <row r="3249">
      <c r="G3249" s="5" t="str">
        <f>IFERROR(__xludf.DUMMYFUNCTION("""COMPUTED_VALUE"""),"812🤙🏼Primal Fear🤙🏼John Mahoney🤙🏼Estrela 4")</f>
        <v>812🤙🏼Primal Fear🤙🏼John Mahoney🤙🏼Estrela 4</v>
      </c>
      <c r="H3249" s="5">
        <f>IFERROR(__xludf.DUMMYFUNCTION("SPLiT(G3249, ""🤙🏼"",FALSE,FALSE)"),812.0)</f>
        <v>812</v>
      </c>
      <c r="I3249" s="5" t="str">
        <f>IFERROR(__xludf.DUMMYFUNCTION("""COMPUTED_VALUE"""),"Primal Fear")</f>
        <v>Primal Fear</v>
      </c>
      <c r="J3249" s="5" t="str">
        <f>IFERROR(__xludf.DUMMYFUNCTION("""COMPUTED_VALUE"""),"John Mahoney")</f>
        <v>John Mahoney</v>
      </c>
      <c r="K3249" s="5" t="str">
        <f>IFERROR(__xludf.DUMMYFUNCTION("""COMPUTED_VALUE"""),"Estrela 4")</f>
        <v>Estrela 4</v>
      </c>
      <c r="P3249" s="5">
        <f>IFERROR(__xludf.DUMMYFUNCTION("""COMPUTED_VALUE"""),812.0)</f>
        <v>812</v>
      </c>
      <c r="Q3249" s="5" t="str">
        <f>IFERROR(__xludf.DUMMYFUNCTION("""COMPUTED_VALUE"""),"Primal Fear")</f>
        <v>Primal Fear</v>
      </c>
      <c r="R3249" s="5" t="str">
        <f>IFERROR(__xludf.DUMMYFUNCTION("""COMPUTED_VALUE"""),"John Mahoney")</f>
        <v>John Mahoney</v>
      </c>
      <c r="S3249" s="5" t="str">
        <f>IFERROR(__xludf.DUMMYFUNCTION("""COMPUTED_VALUE"""),"Estrela 4")</f>
        <v>Estrela 4</v>
      </c>
    </row>
    <row r="3250">
      <c r="G3250" s="5" t="str">
        <f>IFERROR(__xludf.DUMMYFUNCTION("""COMPUTED_VALUE"""),"813🤙🏼Hamlet🤙🏼Kenneth Branagh🤙🏼Estrela 1")</f>
        <v>813🤙🏼Hamlet🤙🏼Kenneth Branagh🤙🏼Estrela 1</v>
      </c>
      <c r="H3250" s="5">
        <f>IFERROR(__xludf.DUMMYFUNCTION("SPLiT(G3250, ""🤙🏼"",FALSE,FALSE)"),813.0)</f>
        <v>813</v>
      </c>
      <c r="I3250" s="5" t="str">
        <f>IFERROR(__xludf.DUMMYFUNCTION("""COMPUTED_VALUE"""),"Hamlet")</f>
        <v>Hamlet</v>
      </c>
      <c r="J3250" s="5" t="str">
        <f>IFERROR(__xludf.DUMMYFUNCTION("""COMPUTED_VALUE"""),"Kenneth Branagh")</f>
        <v>Kenneth Branagh</v>
      </c>
      <c r="K3250" s="5" t="str">
        <f>IFERROR(__xludf.DUMMYFUNCTION("""COMPUTED_VALUE"""),"Estrela 1")</f>
        <v>Estrela 1</v>
      </c>
      <c r="P3250" s="5">
        <f>IFERROR(__xludf.DUMMYFUNCTION("""COMPUTED_VALUE"""),813.0)</f>
        <v>813</v>
      </c>
      <c r="Q3250" s="5" t="str">
        <f>IFERROR(__xludf.DUMMYFUNCTION("""COMPUTED_VALUE"""),"Hamlet")</f>
        <v>Hamlet</v>
      </c>
      <c r="R3250" s="5" t="str">
        <f>IFERROR(__xludf.DUMMYFUNCTION("""COMPUTED_VALUE"""),"Kenneth Branagh")</f>
        <v>Kenneth Branagh</v>
      </c>
      <c r="S3250" s="5" t="str">
        <f>IFERROR(__xludf.DUMMYFUNCTION("""COMPUTED_VALUE"""),"Estrela 1")</f>
        <v>Estrela 1</v>
      </c>
    </row>
    <row r="3251">
      <c r="G3251" s="5" t="str">
        <f>IFERROR(__xludf.DUMMYFUNCTION("""COMPUTED_VALUE"""),"813🤙🏼Hamlet🤙🏼Julie Christie🤙🏼Estrela 2")</f>
        <v>813🤙🏼Hamlet🤙🏼Julie Christie🤙🏼Estrela 2</v>
      </c>
      <c r="H3251" s="5">
        <f>IFERROR(__xludf.DUMMYFUNCTION("SPLiT(G3251, ""🤙🏼"",FALSE,FALSE)"),813.0)</f>
        <v>813</v>
      </c>
      <c r="I3251" s="5" t="str">
        <f>IFERROR(__xludf.DUMMYFUNCTION("""COMPUTED_VALUE"""),"Hamlet")</f>
        <v>Hamlet</v>
      </c>
      <c r="J3251" s="5" t="str">
        <f>IFERROR(__xludf.DUMMYFUNCTION("""COMPUTED_VALUE"""),"Julie Christie")</f>
        <v>Julie Christie</v>
      </c>
      <c r="K3251" s="5" t="str">
        <f>IFERROR(__xludf.DUMMYFUNCTION("""COMPUTED_VALUE"""),"Estrela 2")</f>
        <v>Estrela 2</v>
      </c>
      <c r="P3251" s="5">
        <f>IFERROR(__xludf.DUMMYFUNCTION("""COMPUTED_VALUE"""),813.0)</f>
        <v>813</v>
      </c>
      <c r="Q3251" s="5" t="str">
        <f>IFERROR(__xludf.DUMMYFUNCTION("""COMPUTED_VALUE"""),"Hamlet")</f>
        <v>Hamlet</v>
      </c>
      <c r="R3251" s="5" t="str">
        <f>IFERROR(__xludf.DUMMYFUNCTION("""COMPUTED_VALUE"""),"Julie Christie")</f>
        <v>Julie Christie</v>
      </c>
      <c r="S3251" s="5" t="str">
        <f>IFERROR(__xludf.DUMMYFUNCTION("""COMPUTED_VALUE"""),"Estrela 2")</f>
        <v>Estrela 2</v>
      </c>
    </row>
    <row r="3252">
      <c r="G3252" s="5" t="str">
        <f>IFERROR(__xludf.DUMMYFUNCTION("""COMPUTED_VALUE"""),"813🤙🏼Hamlet🤙🏼Derek Jacobi🤙🏼Estrela 3")</f>
        <v>813🤙🏼Hamlet🤙🏼Derek Jacobi🤙🏼Estrela 3</v>
      </c>
      <c r="H3252" s="5">
        <f>IFERROR(__xludf.DUMMYFUNCTION("SPLiT(G3252, ""🤙🏼"",FALSE,FALSE)"),813.0)</f>
        <v>813</v>
      </c>
      <c r="I3252" s="5" t="str">
        <f>IFERROR(__xludf.DUMMYFUNCTION("""COMPUTED_VALUE"""),"Hamlet")</f>
        <v>Hamlet</v>
      </c>
      <c r="J3252" s="5" t="str">
        <f>IFERROR(__xludf.DUMMYFUNCTION("""COMPUTED_VALUE"""),"Derek Jacobi")</f>
        <v>Derek Jacobi</v>
      </c>
      <c r="K3252" s="5" t="str">
        <f>IFERROR(__xludf.DUMMYFUNCTION("""COMPUTED_VALUE"""),"Estrela 3")</f>
        <v>Estrela 3</v>
      </c>
      <c r="P3252" s="5">
        <f>IFERROR(__xludf.DUMMYFUNCTION("""COMPUTED_VALUE"""),813.0)</f>
        <v>813</v>
      </c>
      <c r="Q3252" s="5" t="str">
        <f>IFERROR(__xludf.DUMMYFUNCTION("""COMPUTED_VALUE"""),"Hamlet")</f>
        <v>Hamlet</v>
      </c>
      <c r="R3252" s="5" t="str">
        <f>IFERROR(__xludf.DUMMYFUNCTION("""COMPUTED_VALUE"""),"Derek Jacobi")</f>
        <v>Derek Jacobi</v>
      </c>
      <c r="S3252" s="5" t="str">
        <f>IFERROR(__xludf.DUMMYFUNCTION("""COMPUTED_VALUE"""),"Estrela 3")</f>
        <v>Estrela 3</v>
      </c>
    </row>
    <row r="3253">
      <c r="G3253" s="5" t="str">
        <f>IFERROR(__xludf.DUMMYFUNCTION("""COMPUTED_VALUE"""),"813🤙🏼Hamlet🤙🏼Kate Winslet🤙🏼Estrela 4")</f>
        <v>813🤙🏼Hamlet🤙🏼Kate Winslet🤙🏼Estrela 4</v>
      </c>
      <c r="H3253" s="5">
        <f>IFERROR(__xludf.DUMMYFUNCTION("SPLiT(G3253, ""🤙🏼"",FALSE,FALSE)"),813.0)</f>
        <v>813</v>
      </c>
      <c r="I3253" s="5" t="str">
        <f>IFERROR(__xludf.DUMMYFUNCTION("""COMPUTED_VALUE"""),"Hamlet")</f>
        <v>Hamlet</v>
      </c>
      <c r="J3253" s="5" t="str">
        <f>IFERROR(__xludf.DUMMYFUNCTION("""COMPUTED_VALUE"""),"Kate Winslet")</f>
        <v>Kate Winslet</v>
      </c>
      <c r="K3253" s="5" t="str">
        <f>IFERROR(__xludf.DUMMYFUNCTION("""COMPUTED_VALUE"""),"Estrela 4")</f>
        <v>Estrela 4</v>
      </c>
      <c r="P3253" s="5">
        <f>IFERROR(__xludf.DUMMYFUNCTION("""COMPUTED_VALUE"""),813.0)</f>
        <v>813</v>
      </c>
      <c r="Q3253" s="5" t="str">
        <f>IFERROR(__xludf.DUMMYFUNCTION("""COMPUTED_VALUE"""),"Hamlet")</f>
        <v>Hamlet</v>
      </c>
      <c r="R3253" s="5" t="str">
        <f>IFERROR(__xludf.DUMMYFUNCTION("""COMPUTED_VALUE"""),"Kate Winslet")</f>
        <v>Kate Winslet</v>
      </c>
      <c r="S3253" s="5" t="str">
        <f>IFERROR(__xludf.DUMMYFUNCTION("""COMPUTED_VALUE"""),"Estrela 4")</f>
        <v>Estrela 4</v>
      </c>
    </row>
    <row r="3254">
      <c r="G3254" s="5" t="str">
        <f>IFERROR(__xludf.DUMMYFUNCTION("""COMPUTED_VALUE"""),"814🤙🏼A Little Princess🤙🏼Liesel Matthews🤙🏼Estrela 1")</f>
        <v>814🤙🏼A Little Princess🤙🏼Liesel Matthews🤙🏼Estrela 1</v>
      </c>
      <c r="H3254" s="5">
        <f>IFERROR(__xludf.DUMMYFUNCTION("SPLiT(G3254, ""🤙🏼"",FALSE,FALSE)"),814.0)</f>
        <v>814</v>
      </c>
      <c r="I3254" s="5" t="str">
        <f>IFERROR(__xludf.DUMMYFUNCTION("""COMPUTED_VALUE"""),"A Little Princess")</f>
        <v>A Little Princess</v>
      </c>
      <c r="J3254" s="5" t="str">
        <f>IFERROR(__xludf.DUMMYFUNCTION("""COMPUTED_VALUE"""),"Liesel Matthews")</f>
        <v>Liesel Matthews</v>
      </c>
      <c r="K3254" s="5" t="str">
        <f>IFERROR(__xludf.DUMMYFUNCTION("""COMPUTED_VALUE"""),"Estrela 1")</f>
        <v>Estrela 1</v>
      </c>
      <c r="P3254" s="5">
        <f>IFERROR(__xludf.DUMMYFUNCTION("""COMPUTED_VALUE"""),814.0)</f>
        <v>814</v>
      </c>
      <c r="Q3254" s="5" t="str">
        <f>IFERROR(__xludf.DUMMYFUNCTION("""COMPUTED_VALUE"""),"A Little Princess")</f>
        <v>A Little Princess</v>
      </c>
      <c r="R3254" s="5" t="str">
        <f>IFERROR(__xludf.DUMMYFUNCTION("""COMPUTED_VALUE"""),"Liesel Matthews")</f>
        <v>Liesel Matthews</v>
      </c>
      <c r="S3254" s="5" t="str">
        <f>IFERROR(__xludf.DUMMYFUNCTION("""COMPUTED_VALUE"""),"Estrela 1")</f>
        <v>Estrela 1</v>
      </c>
    </row>
    <row r="3255">
      <c r="G3255" s="5" t="str">
        <f>IFERROR(__xludf.DUMMYFUNCTION("""COMPUTED_VALUE"""),"814🤙🏼A Little Princess🤙🏼Eleanor Bron🤙🏼Estrela 2")</f>
        <v>814🤙🏼A Little Princess🤙🏼Eleanor Bron🤙🏼Estrela 2</v>
      </c>
      <c r="H3255" s="5">
        <f>IFERROR(__xludf.DUMMYFUNCTION("SPLiT(G3255, ""🤙🏼"",FALSE,FALSE)"),814.0)</f>
        <v>814</v>
      </c>
      <c r="I3255" s="5" t="str">
        <f>IFERROR(__xludf.DUMMYFUNCTION("""COMPUTED_VALUE"""),"A Little Princess")</f>
        <v>A Little Princess</v>
      </c>
      <c r="J3255" s="5" t="str">
        <f>IFERROR(__xludf.DUMMYFUNCTION("""COMPUTED_VALUE"""),"Eleanor Bron")</f>
        <v>Eleanor Bron</v>
      </c>
      <c r="K3255" s="5" t="str">
        <f>IFERROR(__xludf.DUMMYFUNCTION("""COMPUTED_VALUE"""),"Estrela 2")</f>
        <v>Estrela 2</v>
      </c>
      <c r="P3255" s="5">
        <f>IFERROR(__xludf.DUMMYFUNCTION("""COMPUTED_VALUE"""),814.0)</f>
        <v>814</v>
      </c>
      <c r="Q3255" s="5" t="str">
        <f>IFERROR(__xludf.DUMMYFUNCTION("""COMPUTED_VALUE"""),"A Little Princess")</f>
        <v>A Little Princess</v>
      </c>
      <c r="R3255" s="5" t="str">
        <f>IFERROR(__xludf.DUMMYFUNCTION("""COMPUTED_VALUE"""),"Eleanor Bron")</f>
        <v>Eleanor Bron</v>
      </c>
      <c r="S3255" s="5" t="str">
        <f>IFERROR(__xludf.DUMMYFUNCTION("""COMPUTED_VALUE"""),"Estrela 2")</f>
        <v>Estrela 2</v>
      </c>
    </row>
    <row r="3256">
      <c r="G3256" s="5" t="str">
        <f>IFERROR(__xludf.DUMMYFUNCTION("""COMPUTED_VALUE"""),"814🤙🏼A Little Princess🤙🏼Liam Cunningham🤙🏼Estrela 3")</f>
        <v>814🤙🏼A Little Princess🤙🏼Liam Cunningham🤙🏼Estrela 3</v>
      </c>
      <c r="H3256" s="5">
        <f>IFERROR(__xludf.DUMMYFUNCTION("SPLiT(G3256, ""🤙🏼"",FALSE,FALSE)"),814.0)</f>
        <v>814</v>
      </c>
      <c r="I3256" s="5" t="str">
        <f>IFERROR(__xludf.DUMMYFUNCTION("""COMPUTED_VALUE"""),"A Little Princess")</f>
        <v>A Little Princess</v>
      </c>
      <c r="J3256" s="5" t="str">
        <f>IFERROR(__xludf.DUMMYFUNCTION("""COMPUTED_VALUE"""),"Liam Cunningham")</f>
        <v>Liam Cunningham</v>
      </c>
      <c r="K3256" s="5" t="str">
        <f>IFERROR(__xludf.DUMMYFUNCTION("""COMPUTED_VALUE"""),"Estrela 3")</f>
        <v>Estrela 3</v>
      </c>
      <c r="P3256" s="5">
        <f>IFERROR(__xludf.DUMMYFUNCTION("""COMPUTED_VALUE"""),814.0)</f>
        <v>814</v>
      </c>
      <c r="Q3256" s="5" t="str">
        <f>IFERROR(__xludf.DUMMYFUNCTION("""COMPUTED_VALUE"""),"A Little Princess")</f>
        <v>A Little Princess</v>
      </c>
      <c r="R3256" s="5" t="str">
        <f>IFERROR(__xludf.DUMMYFUNCTION("""COMPUTED_VALUE"""),"Liam Cunningham")</f>
        <v>Liam Cunningham</v>
      </c>
      <c r="S3256" s="5" t="str">
        <f>IFERROR(__xludf.DUMMYFUNCTION("""COMPUTED_VALUE"""),"Estrela 3")</f>
        <v>Estrela 3</v>
      </c>
    </row>
    <row r="3257">
      <c r="G3257" s="5" t="str">
        <f>IFERROR(__xludf.DUMMYFUNCTION("""COMPUTED_VALUE"""),"814🤙🏼A Little Princess🤙🏼Rusty Schwimmer🤙🏼Estrela 4")</f>
        <v>814🤙🏼A Little Princess🤙🏼Rusty Schwimmer🤙🏼Estrela 4</v>
      </c>
      <c r="H3257" s="5">
        <f>IFERROR(__xludf.DUMMYFUNCTION("SPLiT(G3257, ""🤙🏼"",FALSE,FALSE)"),814.0)</f>
        <v>814</v>
      </c>
      <c r="I3257" s="5" t="str">
        <f>IFERROR(__xludf.DUMMYFUNCTION("""COMPUTED_VALUE"""),"A Little Princess")</f>
        <v>A Little Princess</v>
      </c>
      <c r="J3257" s="5" t="str">
        <f>IFERROR(__xludf.DUMMYFUNCTION("""COMPUTED_VALUE"""),"Rusty Schwimmer")</f>
        <v>Rusty Schwimmer</v>
      </c>
      <c r="K3257" s="5" t="str">
        <f>IFERROR(__xludf.DUMMYFUNCTION("""COMPUTED_VALUE"""),"Estrela 4")</f>
        <v>Estrela 4</v>
      </c>
      <c r="P3257" s="5">
        <f>IFERROR(__xludf.DUMMYFUNCTION("""COMPUTED_VALUE"""),814.0)</f>
        <v>814</v>
      </c>
      <c r="Q3257" s="5" t="str">
        <f>IFERROR(__xludf.DUMMYFUNCTION("""COMPUTED_VALUE"""),"A Little Princess")</f>
        <v>A Little Princess</v>
      </c>
      <c r="R3257" s="5" t="str">
        <f>IFERROR(__xludf.DUMMYFUNCTION("""COMPUTED_VALUE"""),"Rusty Schwimmer")</f>
        <v>Rusty Schwimmer</v>
      </c>
      <c r="S3257" s="5" t="str">
        <f>IFERROR(__xludf.DUMMYFUNCTION("""COMPUTED_VALUE"""),"Estrela 4")</f>
        <v>Estrela 4</v>
      </c>
    </row>
    <row r="3258">
      <c r="G3258" s="5" t="str">
        <f>IFERROR(__xludf.DUMMYFUNCTION("""COMPUTED_VALUE"""),"815🤙🏼Do lok tin si🤙🏼Leon Lai🤙🏼Estrela 1")</f>
        <v>815🤙🏼Do lok tin si🤙🏼Leon Lai🤙🏼Estrela 1</v>
      </c>
      <c r="H3258" s="5">
        <f>IFERROR(__xludf.DUMMYFUNCTION("SPLiT(G3258, ""🤙🏼"",FALSE,FALSE)"),815.0)</f>
        <v>815</v>
      </c>
      <c r="I3258" s="5" t="str">
        <f>IFERROR(__xludf.DUMMYFUNCTION("""COMPUTED_VALUE"""),"Do lok tin si")</f>
        <v>Do lok tin si</v>
      </c>
      <c r="J3258" s="5" t="str">
        <f>IFERROR(__xludf.DUMMYFUNCTION("""COMPUTED_VALUE"""),"Leon Lai")</f>
        <v>Leon Lai</v>
      </c>
      <c r="K3258" s="5" t="str">
        <f>IFERROR(__xludf.DUMMYFUNCTION("""COMPUTED_VALUE"""),"Estrela 1")</f>
        <v>Estrela 1</v>
      </c>
      <c r="P3258" s="5">
        <f>IFERROR(__xludf.DUMMYFUNCTION("""COMPUTED_VALUE"""),815.0)</f>
        <v>815</v>
      </c>
      <c r="Q3258" s="5" t="str">
        <f>IFERROR(__xludf.DUMMYFUNCTION("""COMPUTED_VALUE"""),"Do lok tin si")</f>
        <v>Do lok tin si</v>
      </c>
      <c r="R3258" s="5" t="str">
        <f>IFERROR(__xludf.DUMMYFUNCTION("""COMPUTED_VALUE"""),"Leon Lai")</f>
        <v>Leon Lai</v>
      </c>
      <c r="S3258" s="5" t="str">
        <f>IFERROR(__xludf.DUMMYFUNCTION("""COMPUTED_VALUE"""),"Estrela 1")</f>
        <v>Estrela 1</v>
      </c>
    </row>
    <row r="3259">
      <c r="G3259" s="5" t="str">
        <f>IFERROR(__xludf.DUMMYFUNCTION("""COMPUTED_VALUE"""),"815🤙🏼Do lok tin si🤙🏼Michelle Reis🤙🏼Estrela 2")</f>
        <v>815🤙🏼Do lok tin si🤙🏼Michelle Reis🤙🏼Estrela 2</v>
      </c>
      <c r="H3259" s="5">
        <f>IFERROR(__xludf.DUMMYFUNCTION("SPLiT(G3259, ""🤙🏼"",FALSE,FALSE)"),815.0)</f>
        <v>815</v>
      </c>
      <c r="I3259" s="5" t="str">
        <f>IFERROR(__xludf.DUMMYFUNCTION("""COMPUTED_VALUE"""),"Do lok tin si")</f>
        <v>Do lok tin si</v>
      </c>
      <c r="J3259" s="5" t="str">
        <f>IFERROR(__xludf.DUMMYFUNCTION("""COMPUTED_VALUE"""),"Michelle Reis")</f>
        <v>Michelle Reis</v>
      </c>
      <c r="K3259" s="5" t="str">
        <f>IFERROR(__xludf.DUMMYFUNCTION("""COMPUTED_VALUE"""),"Estrela 2")</f>
        <v>Estrela 2</v>
      </c>
      <c r="P3259" s="5">
        <f>IFERROR(__xludf.DUMMYFUNCTION("""COMPUTED_VALUE"""),815.0)</f>
        <v>815</v>
      </c>
      <c r="Q3259" s="5" t="str">
        <f>IFERROR(__xludf.DUMMYFUNCTION("""COMPUTED_VALUE"""),"Do lok tin si")</f>
        <v>Do lok tin si</v>
      </c>
      <c r="R3259" s="5" t="str">
        <f>IFERROR(__xludf.DUMMYFUNCTION("""COMPUTED_VALUE"""),"Michelle Reis")</f>
        <v>Michelle Reis</v>
      </c>
      <c r="S3259" s="5" t="str">
        <f>IFERROR(__xludf.DUMMYFUNCTION("""COMPUTED_VALUE"""),"Estrela 2")</f>
        <v>Estrela 2</v>
      </c>
    </row>
    <row r="3260">
      <c r="G3260" s="5" t="str">
        <f>IFERROR(__xludf.DUMMYFUNCTION("""COMPUTED_VALUE"""),"815🤙🏼Do lok tin si🤙🏼Takeshi Kaneshiro🤙🏼Estrela 3")</f>
        <v>815🤙🏼Do lok tin si🤙🏼Takeshi Kaneshiro🤙🏼Estrela 3</v>
      </c>
      <c r="H3260" s="5">
        <f>IFERROR(__xludf.DUMMYFUNCTION("SPLiT(G3260, ""🤙🏼"",FALSE,FALSE)"),815.0)</f>
        <v>815</v>
      </c>
      <c r="I3260" s="5" t="str">
        <f>IFERROR(__xludf.DUMMYFUNCTION("""COMPUTED_VALUE"""),"Do lok tin si")</f>
        <v>Do lok tin si</v>
      </c>
      <c r="J3260" s="5" t="str">
        <f>IFERROR(__xludf.DUMMYFUNCTION("""COMPUTED_VALUE"""),"Takeshi Kaneshiro")</f>
        <v>Takeshi Kaneshiro</v>
      </c>
      <c r="K3260" s="5" t="str">
        <f>IFERROR(__xludf.DUMMYFUNCTION("""COMPUTED_VALUE"""),"Estrela 3")</f>
        <v>Estrela 3</v>
      </c>
      <c r="P3260" s="5">
        <f>IFERROR(__xludf.DUMMYFUNCTION("""COMPUTED_VALUE"""),815.0)</f>
        <v>815</v>
      </c>
      <c r="Q3260" s="5" t="str">
        <f>IFERROR(__xludf.DUMMYFUNCTION("""COMPUTED_VALUE"""),"Do lok tin si")</f>
        <v>Do lok tin si</v>
      </c>
      <c r="R3260" s="5" t="str">
        <f>IFERROR(__xludf.DUMMYFUNCTION("""COMPUTED_VALUE"""),"Takeshi Kaneshiro")</f>
        <v>Takeshi Kaneshiro</v>
      </c>
      <c r="S3260" s="5" t="str">
        <f>IFERROR(__xludf.DUMMYFUNCTION("""COMPUTED_VALUE"""),"Estrela 3")</f>
        <v>Estrela 3</v>
      </c>
    </row>
    <row r="3261">
      <c r="G3261" s="5" t="str">
        <f>IFERROR(__xludf.DUMMYFUNCTION("""COMPUTED_VALUE"""),"815🤙🏼Do lok tin si🤙🏼Charlie Yeung🤙🏼Estrela 4")</f>
        <v>815🤙🏼Do lok tin si🤙🏼Charlie Yeung🤙🏼Estrela 4</v>
      </c>
      <c r="H3261" s="5">
        <f>IFERROR(__xludf.DUMMYFUNCTION("SPLiT(G3261, ""🤙🏼"",FALSE,FALSE)"),815.0)</f>
        <v>815</v>
      </c>
      <c r="I3261" s="5" t="str">
        <f>IFERROR(__xludf.DUMMYFUNCTION("""COMPUTED_VALUE"""),"Do lok tin si")</f>
        <v>Do lok tin si</v>
      </c>
      <c r="J3261" s="5" t="str">
        <f>IFERROR(__xludf.DUMMYFUNCTION("""COMPUTED_VALUE"""),"Charlie Yeung")</f>
        <v>Charlie Yeung</v>
      </c>
      <c r="K3261" s="5" t="str">
        <f>IFERROR(__xludf.DUMMYFUNCTION("""COMPUTED_VALUE"""),"Estrela 4")</f>
        <v>Estrela 4</v>
      </c>
      <c r="P3261" s="5">
        <f>IFERROR(__xludf.DUMMYFUNCTION("""COMPUTED_VALUE"""),815.0)</f>
        <v>815</v>
      </c>
      <c r="Q3261" s="5" t="str">
        <f>IFERROR(__xludf.DUMMYFUNCTION("""COMPUTED_VALUE"""),"Do lok tin si")</f>
        <v>Do lok tin si</v>
      </c>
      <c r="R3261" s="5" t="str">
        <f>IFERROR(__xludf.DUMMYFUNCTION("""COMPUTED_VALUE"""),"Charlie Yeung")</f>
        <v>Charlie Yeung</v>
      </c>
      <c r="S3261" s="5" t="str">
        <f>IFERROR(__xludf.DUMMYFUNCTION("""COMPUTED_VALUE"""),"Estrela 4")</f>
        <v>Estrela 4</v>
      </c>
    </row>
    <row r="3262">
      <c r="G3262" s="5" t="str">
        <f>IFERROR(__xludf.DUMMYFUNCTION("""COMPUTED_VALUE"""),"816🤙🏼Il postino🤙🏼Massimo Troisi🤙🏼Estrela 1")</f>
        <v>816🤙🏼Il postino🤙🏼Massimo Troisi🤙🏼Estrela 1</v>
      </c>
      <c r="H3262" s="5">
        <f>IFERROR(__xludf.DUMMYFUNCTION("SPLiT(G3262, ""🤙🏼"",FALSE,FALSE)"),816.0)</f>
        <v>816</v>
      </c>
      <c r="I3262" s="5" t="str">
        <f>IFERROR(__xludf.DUMMYFUNCTION("""COMPUTED_VALUE"""),"Il postino")</f>
        <v>Il postino</v>
      </c>
      <c r="J3262" s="5" t="str">
        <f>IFERROR(__xludf.DUMMYFUNCTION("""COMPUTED_VALUE"""),"Massimo Troisi")</f>
        <v>Massimo Troisi</v>
      </c>
      <c r="K3262" s="5" t="str">
        <f>IFERROR(__xludf.DUMMYFUNCTION("""COMPUTED_VALUE"""),"Estrela 1")</f>
        <v>Estrela 1</v>
      </c>
      <c r="P3262" s="5">
        <f>IFERROR(__xludf.DUMMYFUNCTION("""COMPUTED_VALUE"""),816.0)</f>
        <v>816</v>
      </c>
      <c r="Q3262" s="5" t="str">
        <f>IFERROR(__xludf.DUMMYFUNCTION("""COMPUTED_VALUE"""),"Il postino")</f>
        <v>Il postino</v>
      </c>
      <c r="R3262" s="5" t="str">
        <f>IFERROR(__xludf.DUMMYFUNCTION("""COMPUTED_VALUE"""),"Massimo Troisi")</f>
        <v>Massimo Troisi</v>
      </c>
      <c r="S3262" s="5" t="str">
        <f>IFERROR(__xludf.DUMMYFUNCTION("""COMPUTED_VALUE"""),"Estrela 1")</f>
        <v>Estrela 1</v>
      </c>
    </row>
    <row r="3263">
      <c r="G3263" s="5" t="str">
        <f>IFERROR(__xludf.DUMMYFUNCTION("""COMPUTED_VALUE"""),"816🤙🏼Il postino🤙🏼Massimo Troisi🤙🏼Estrela 2")</f>
        <v>816🤙🏼Il postino🤙🏼Massimo Troisi🤙🏼Estrela 2</v>
      </c>
      <c r="H3263" s="5">
        <f>IFERROR(__xludf.DUMMYFUNCTION("SPLiT(G3263, ""🤙🏼"",FALSE,FALSE)"),816.0)</f>
        <v>816</v>
      </c>
      <c r="I3263" s="5" t="str">
        <f>IFERROR(__xludf.DUMMYFUNCTION("""COMPUTED_VALUE"""),"Il postino")</f>
        <v>Il postino</v>
      </c>
      <c r="J3263" s="5" t="str">
        <f>IFERROR(__xludf.DUMMYFUNCTION("""COMPUTED_VALUE"""),"Massimo Troisi")</f>
        <v>Massimo Troisi</v>
      </c>
      <c r="K3263" s="5" t="str">
        <f>IFERROR(__xludf.DUMMYFUNCTION("""COMPUTED_VALUE"""),"Estrela 2")</f>
        <v>Estrela 2</v>
      </c>
      <c r="P3263" s="5">
        <f>IFERROR(__xludf.DUMMYFUNCTION("""COMPUTED_VALUE"""),816.0)</f>
        <v>816</v>
      </c>
      <c r="Q3263" s="5" t="str">
        <f>IFERROR(__xludf.DUMMYFUNCTION("""COMPUTED_VALUE"""),"Il postino")</f>
        <v>Il postino</v>
      </c>
      <c r="R3263" s="5" t="str">
        <f>IFERROR(__xludf.DUMMYFUNCTION("""COMPUTED_VALUE"""),"Massimo Troisi")</f>
        <v>Massimo Troisi</v>
      </c>
      <c r="S3263" s="5" t="str">
        <f>IFERROR(__xludf.DUMMYFUNCTION("""COMPUTED_VALUE"""),"Estrela 2")</f>
        <v>Estrela 2</v>
      </c>
    </row>
    <row r="3264">
      <c r="G3264" s="5" t="str">
        <f>IFERROR(__xludf.DUMMYFUNCTION("""COMPUTED_VALUE"""),"816🤙🏼Il postino🤙🏼Philippe Noiret🤙🏼Estrela 3")</f>
        <v>816🤙🏼Il postino🤙🏼Philippe Noiret🤙🏼Estrela 3</v>
      </c>
      <c r="H3264" s="5">
        <f>IFERROR(__xludf.DUMMYFUNCTION("SPLiT(G3264, ""🤙🏼"",FALSE,FALSE)"),816.0)</f>
        <v>816</v>
      </c>
      <c r="I3264" s="5" t="str">
        <f>IFERROR(__xludf.DUMMYFUNCTION("""COMPUTED_VALUE"""),"Il postino")</f>
        <v>Il postino</v>
      </c>
      <c r="J3264" s="5" t="str">
        <f>IFERROR(__xludf.DUMMYFUNCTION("""COMPUTED_VALUE"""),"Philippe Noiret")</f>
        <v>Philippe Noiret</v>
      </c>
      <c r="K3264" s="5" t="str">
        <f>IFERROR(__xludf.DUMMYFUNCTION("""COMPUTED_VALUE"""),"Estrela 3")</f>
        <v>Estrela 3</v>
      </c>
      <c r="P3264" s="5">
        <f>IFERROR(__xludf.DUMMYFUNCTION("""COMPUTED_VALUE"""),816.0)</f>
        <v>816</v>
      </c>
      <c r="Q3264" s="5" t="str">
        <f>IFERROR(__xludf.DUMMYFUNCTION("""COMPUTED_VALUE"""),"Il postino")</f>
        <v>Il postino</v>
      </c>
      <c r="R3264" s="5" t="str">
        <f>IFERROR(__xludf.DUMMYFUNCTION("""COMPUTED_VALUE"""),"Philippe Noiret")</f>
        <v>Philippe Noiret</v>
      </c>
      <c r="S3264" s="5" t="str">
        <f>IFERROR(__xludf.DUMMYFUNCTION("""COMPUTED_VALUE"""),"Estrela 3")</f>
        <v>Estrela 3</v>
      </c>
    </row>
    <row r="3265">
      <c r="G3265" s="5" t="str">
        <f>IFERROR(__xludf.DUMMYFUNCTION("""COMPUTED_VALUE"""),"816🤙🏼Il postino🤙🏼Maria Grazia Cucinotta🤙🏼Estrela 4")</f>
        <v>816🤙🏼Il postino🤙🏼Maria Grazia Cucinotta🤙🏼Estrela 4</v>
      </c>
      <c r="H3265" s="5">
        <f>IFERROR(__xludf.DUMMYFUNCTION("SPLiT(G3265, ""🤙🏼"",FALSE,FALSE)"),816.0)</f>
        <v>816</v>
      </c>
      <c r="I3265" s="5" t="str">
        <f>IFERROR(__xludf.DUMMYFUNCTION("""COMPUTED_VALUE"""),"Il postino")</f>
        <v>Il postino</v>
      </c>
      <c r="J3265" s="5" t="str">
        <f>IFERROR(__xludf.DUMMYFUNCTION("""COMPUTED_VALUE"""),"Maria Grazia Cucinotta")</f>
        <v>Maria Grazia Cucinotta</v>
      </c>
      <c r="K3265" s="5" t="str">
        <f>IFERROR(__xludf.DUMMYFUNCTION("""COMPUTED_VALUE"""),"Estrela 4")</f>
        <v>Estrela 4</v>
      </c>
      <c r="P3265" s="5">
        <f>IFERROR(__xludf.DUMMYFUNCTION("""COMPUTED_VALUE"""),816.0)</f>
        <v>816</v>
      </c>
      <c r="Q3265" s="5" t="str">
        <f>IFERROR(__xludf.DUMMYFUNCTION("""COMPUTED_VALUE"""),"Il postino")</f>
        <v>Il postino</v>
      </c>
      <c r="R3265" s="5" t="str">
        <f>IFERROR(__xludf.DUMMYFUNCTION("""COMPUTED_VALUE"""),"Maria Grazia Cucinotta")</f>
        <v>Maria Grazia Cucinotta</v>
      </c>
      <c r="S3265" s="5" t="str">
        <f>IFERROR(__xludf.DUMMYFUNCTION("""COMPUTED_VALUE"""),"Estrela 4")</f>
        <v>Estrela 4</v>
      </c>
    </row>
    <row r="3266">
      <c r="G3266" s="5" t="str">
        <f>IFERROR(__xludf.DUMMYFUNCTION("""COMPUTED_VALUE"""),"817🤙🏼Clerks🤙🏼Brian O'Halloran🤙🏼Estrela 1")</f>
        <v>817🤙🏼Clerks🤙🏼Brian O'Halloran🤙🏼Estrela 1</v>
      </c>
      <c r="H3266" s="5">
        <f>IFERROR(__xludf.DUMMYFUNCTION("SPLiT(G3266, ""🤙🏼"",FALSE,FALSE)"),817.0)</f>
        <v>817</v>
      </c>
      <c r="I3266" s="5" t="str">
        <f>IFERROR(__xludf.DUMMYFUNCTION("""COMPUTED_VALUE"""),"Clerks")</f>
        <v>Clerks</v>
      </c>
      <c r="J3266" s="5" t="str">
        <f>IFERROR(__xludf.DUMMYFUNCTION("""COMPUTED_VALUE"""),"Brian O'Halloran")</f>
        <v>Brian O'Halloran</v>
      </c>
      <c r="K3266" s="5" t="str">
        <f>IFERROR(__xludf.DUMMYFUNCTION("""COMPUTED_VALUE"""),"Estrela 1")</f>
        <v>Estrela 1</v>
      </c>
      <c r="P3266" s="5">
        <f>IFERROR(__xludf.DUMMYFUNCTION("""COMPUTED_VALUE"""),817.0)</f>
        <v>817</v>
      </c>
      <c r="Q3266" s="5" t="str">
        <f>IFERROR(__xludf.DUMMYFUNCTION("""COMPUTED_VALUE"""),"Clerks")</f>
        <v>Clerks</v>
      </c>
      <c r="R3266" s="5" t="str">
        <f>IFERROR(__xludf.DUMMYFUNCTION("""COMPUTED_VALUE"""),"Brian O'Halloran")</f>
        <v>Brian O'Halloran</v>
      </c>
      <c r="S3266" s="5" t="str">
        <f>IFERROR(__xludf.DUMMYFUNCTION("""COMPUTED_VALUE"""),"Estrela 1")</f>
        <v>Estrela 1</v>
      </c>
    </row>
    <row r="3267">
      <c r="G3267" s="5" t="str">
        <f>IFERROR(__xludf.DUMMYFUNCTION("""COMPUTED_VALUE"""),"817🤙🏼Clerks🤙🏼Jeff Anderson🤙🏼Estrela 2")</f>
        <v>817🤙🏼Clerks🤙🏼Jeff Anderson🤙🏼Estrela 2</v>
      </c>
      <c r="H3267" s="5">
        <f>IFERROR(__xludf.DUMMYFUNCTION("SPLiT(G3267, ""🤙🏼"",FALSE,FALSE)"),817.0)</f>
        <v>817</v>
      </c>
      <c r="I3267" s="5" t="str">
        <f>IFERROR(__xludf.DUMMYFUNCTION("""COMPUTED_VALUE"""),"Clerks")</f>
        <v>Clerks</v>
      </c>
      <c r="J3267" s="5" t="str">
        <f>IFERROR(__xludf.DUMMYFUNCTION("""COMPUTED_VALUE"""),"Jeff Anderson")</f>
        <v>Jeff Anderson</v>
      </c>
      <c r="K3267" s="5" t="str">
        <f>IFERROR(__xludf.DUMMYFUNCTION("""COMPUTED_VALUE"""),"Estrela 2")</f>
        <v>Estrela 2</v>
      </c>
      <c r="P3267" s="5">
        <f>IFERROR(__xludf.DUMMYFUNCTION("""COMPUTED_VALUE"""),817.0)</f>
        <v>817</v>
      </c>
      <c r="Q3267" s="5" t="str">
        <f>IFERROR(__xludf.DUMMYFUNCTION("""COMPUTED_VALUE"""),"Clerks")</f>
        <v>Clerks</v>
      </c>
      <c r="R3267" s="5" t="str">
        <f>IFERROR(__xludf.DUMMYFUNCTION("""COMPUTED_VALUE"""),"Jeff Anderson")</f>
        <v>Jeff Anderson</v>
      </c>
      <c r="S3267" s="5" t="str">
        <f>IFERROR(__xludf.DUMMYFUNCTION("""COMPUTED_VALUE"""),"Estrela 2")</f>
        <v>Estrela 2</v>
      </c>
    </row>
    <row r="3268">
      <c r="G3268" s="5" t="str">
        <f>IFERROR(__xludf.DUMMYFUNCTION("""COMPUTED_VALUE"""),"817🤙🏼Clerks🤙🏼Marilyn Ghigliotti🤙🏼Estrela 3")</f>
        <v>817🤙🏼Clerks🤙🏼Marilyn Ghigliotti🤙🏼Estrela 3</v>
      </c>
      <c r="H3268" s="5">
        <f>IFERROR(__xludf.DUMMYFUNCTION("SPLiT(G3268, ""🤙🏼"",FALSE,FALSE)"),817.0)</f>
        <v>817</v>
      </c>
      <c r="I3268" s="5" t="str">
        <f>IFERROR(__xludf.DUMMYFUNCTION("""COMPUTED_VALUE"""),"Clerks")</f>
        <v>Clerks</v>
      </c>
      <c r="J3268" s="5" t="str">
        <f>IFERROR(__xludf.DUMMYFUNCTION("""COMPUTED_VALUE"""),"Marilyn Ghigliotti")</f>
        <v>Marilyn Ghigliotti</v>
      </c>
      <c r="K3268" s="5" t="str">
        <f>IFERROR(__xludf.DUMMYFUNCTION("""COMPUTED_VALUE"""),"Estrela 3")</f>
        <v>Estrela 3</v>
      </c>
      <c r="P3268" s="5">
        <f>IFERROR(__xludf.DUMMYFUNCTION("""COMPUTED_VALUE"""),817.0)</f>
        <v>817</v>
      </c>
      <c r="Q3268" s="5" t="str">
        <f>IFERROR(__xludf.DUMMYFUNCTION("""COMPUTED_VALUE"""),"Clerks")</f>
        <v>Clerks</v>
      </c>
      <c r="R3268" s="5" t="str">
        <f>IFERROR(__xludf.DUMMYFUNCTION("""COMPUTED_VALUE"""),"Marilyn Ghigliotti")</f>
        <v>Marilyn Ghigliotti</v>
      </c>
      <c r="S3268" s="5" t="str">
        <f>IFERROR(__xludf.DUMMYFUNCTION("""COMPUTED_VALUE"""),"Estrela 3")</f>
        <v>Estrela 3</v>
      </c>
    </row>
    <row r="3269">
      <c r="G3269" s="5" t="str">
        <f>IFERROR(__xludf.DUMMYFUNCTION("""COMPUTED_VALUE"""),"817🤙🏼Clerks🤙🏼Lisa Spoonauer🤙🏼Estrela 4")</f>
        <v>817🤙🏼Clerks🤙🏼Lisa Spoonauer🤙🏼Estrela 4</v>
      </c>
      <c r="H3269" s="5">
        <f>IFERROR(__xludf.DUMMYFUNCTION("SPLiT(G3269, ""🤙🏼"",FALSE,FALSE)"),817.0)</f>
        <v>817</v>
      </c>
      <c r="I3269" s="5" t="str">
        <f>IFERROR(__xludf.DUMMYFUNCTION("""COMPUTED_VALUE"""),"Clerks")</f>
        <v>Clerks</v>
      </c>
      <c r="J3269" s="5" t="str">
        <f>IFERROR(__xludf.DUMMYFUNCTION("""COMPUTED_VALUE"""),"Lisa Spoonauer")</f>
        <v>Lisa Spoonauer</v>
      </c>
      <c r="K3269" s="5" t="str">
        <f>IFERROR(__xludf.DUMMYFUNCTION("""COMPUTED_VALUE"""),"Estrela 4")</f>
        <v>Estrela 4</v>
      </c>
      <c r="P3269" s="5">
        <f>IFERROR(__xludf.DUMMYFUNCTION("""COMPUTED_VALUE"""),817.0)</f>
        <v>817</v>
      </c>
      <c r="Q3269" s="5" t="str">
        <f>IFERROR(__xludf.DUMMYFUNCTION("""COMPUTED_VALUE"""),"Clerks")</f>
        <v>Clerks</v>
      </c>
      <c r="R3269" s="5" t="str">
        <f>IFERROR(__xludf.DUMMYFUNCTION("""COMPUTED_VALUE"""),"Lisa Spoonauer")</f>
        <v>Lisa Spoonauer</v>
      </c>
      <c r="S3269" s="5" t="str">
        <f>IFERROR(__xludf.DUMMYFUNCTION("""COMPUTED_VALUE"""),"Estrela 4")</f>
        <v>Estrela 4</v>
      </c>
    </row>
    <row r="3270">
      <c r="G3270" s="5" t="str">
        <f>IFERROR(__xludf.DUMMYFUNCTION("""COMPUTED_VALUE"""),"818🤙🏼Short Cuts🤙🏼Andie MacDowell🤙🏼Estrela 1")</f>
        <v>818🤙🏼Short Cuts🤙🏼Andie MacDowell🤙🏼Estrela 1</v>
      </c>
      <c r="H3270" s="5">
        <f>IFERROR(__xludf.DUMMYFUNCTION("SPLiT(G3270, ""🤙🏼"",FALSE,FALSE)"),818.0)</f>
        <v>818</v>
      </c>
      <c r="I3270" s="5" t="str">
        <f>IFERROR(__xludf.DUMMYFUNCTION("""COMPUTED_VALUE"""),"Short Cuts")</f>
        <v>Short Cuts</v>
      </c>
      <c r="J3270" s="5" t="str">
        <f>IFERROR(__xludf.DUMMYFUNCTION("""COMPUTED_VALUE"""),"Andie MacDowell")</f>
        <v>Andie MacDowell</v>
      </c>
      <c r="K3270" s="5" t="str">
        <f>IFERROR(__xludf.DUMMYFUNCTION("""COMPUTED_VALUE"""),"Estrela 1")</f>
        <v>Estrela 1</v>
      </c>
      <c r="P3270" s="5">
        <f>IFERROR(__xludf.DUMMYFUNCTION("""COMPUTED_VALUE"""),818.0)</f>
        <v>818</v>
      </c>
      <c r="Q3270" s="5" t="str">
        <f>IFERROR(__xludf.DUMMYFUNCTION("""COMPUTED_VALUE"""),"Short Cuts")</f>
        <v>Short Cuts</v>
      </c>
      <c r="R3270" s="5" t="str">
        <f>IFERROR(__xludf.DUMMYFUNCTION("""COMPUTED_VALUE"""),"Andie MacDowell")</f>
        <v>Andie MacDowell</v>
      </c>
      <c r="S3270" s="5" t="str">
        <f>IFERROR(__xludf.DUMMYFUNCTION("""COMPUTED_VALUE"""),"Estrela 1")</f>
        <v>Estrela 1</v>
      </c>
    </row>
    <row r="3271">
      <c r="G3271" s="5" t="str">
        <f>IFERROR(__xludf.DUMMYFUNCTION("""COMPUTED_VALUE"""),"818🤙🏼Short Cuts🤙🏼Julianne Moore🤙🏼Estrela 2")</f>
        <v>818🤙🏼Short Cuts🤙🏼Julianne Moore🤙🏼Estrela 2</v>
      </c>
      <c r="H3271" s="5">
        <f>IFERROR(__xludf.DUMMYFUNCTION("SPLiT(G3271, ""🤙🏼"",FALSE,FALSE)"),818.0)</f>
        <v>818</v>
      </c>
      <c r="I3271" s="5" t="str">
        <f>IFERROR(__xludf.DUMMYFUNCTION("""COMPUTED_VALUE"""),"Short Cuts")</f>
        <v>Short Cuts</v>
      </c>
      <c r="J3271" s="5" t="str">
        <f>IFERROR(__xludf.DUMMYFUNCTION("""COMPUTED_VALUE"""),"Julianne Moore")</f>
        <v>Julianne Moore</v>
      </c>
      <c r="K3271" s="5" t="str">
        <f>IFERROR(__xludf.DUMMYFUNCTION("""COMPUTED_VALUE"""),"Estrela 2")</f>
        <v>Estrela 2</v>
      </c>
      <c r="P3271" s="5">
        <f>IFERROR(__xludf.DUMMYFUNCTION("""COMPUTED_VALUE"""),818.0)</f>
        <v>818</v>
      </c>
      <c r="Q3271" s="5" t="str">
        <f>IFERROR(__xludf.DUMMYFUNCTION("""COMPUTED_VALUE"""),"Short Cuts")</f>
        <v>Short Cuts</v>
      </c>
      <c r="R3271" s="5" t="str">
        <f>IFERROR(__xludf.DUMMYFUNCTION("""COMPUTED_VALUE"""),"Julianne Moore")</f>
        <v>Julianne Moore</v>
      </c>
      <c r="S3271" s="5" t="str">
        <f>IFERROR(__xludf.DUMMYFUNCTION("""COMPUTED_VALUE"""),"Estrela 2")</f>
        <v>Estrela 2</v>
      </c>
    </row>
    <row r="3272">
      <c r="G3272" s="5" t="str">
        <f>IFERROR(__xludf.DUMMYFUNCTION("""COMPUTED_VALUE"""),"818🤙🏼Short Cuts🤙🏼Tim Robbins🤙🏼Estrela 3")</f>
        <v>818🤙🏼Short Cuts🤙🏼Tim Robbins🤙🏼Estrela 3</v>
      </c>
      <c r="H3272" s="5">
        <f>IFERROR(__xludf.DUMMYFUNCTION("SPLiT(G3272, ""🤙🏼"",FALSE,FALSE)"),818.0)</f>
        <v>818</v>
      </c>
      <c r="I3272" s="5" t="str">
        <f>IFERROR(__xludf.DUMMYFUNCTION("""COMPUTED_VALUE"""),"Short Cuts")</f>
        <v>Short Cuts</v>
      </c>
      <c r="J3272" s="5" t="str">
        <f>IFERROR(__xludf.DUMMYFUNCTION("""COMPUTED_VALUE"""),"Tim Robbins")</f>
        <v>Tim Robbins</v>
      </c>
      <c r="K3272" s="5" t="str">
        <f>IFERROR(__xludf.DUMMYFUNCTION("""COMPUTED_VALUE"""),"Estrela 3")</f>
        <v>Estrela 3</v>
      </c>
      <c r="P3272" s="5">
        <f>IFERROR(__xludf.DUMMYFUNCTION("""COMPUTED_VALUE"""),818.0)</f>
        <v>818</v>
      </c>
      <c r="Q3272" s="5" t="str">
        <f>IFERROR(__xludf.DUMMYFUNCTION("""COMPUTED_VALUE"""),"Short Cuts")</f>
        <v>Short Cuts</v>
      </c>
      <c r="R3272" s="5" t="str">
        <f>IFERROR(__xludf.DUMMYFUNCTION("""COMPUTED_VALUE"""),"Tim Robbins")</f>
        <v>Tim Robbins</v>
      </c>
      <c r="S3272" s="5" t="str">
        <f>IFERROR(__xludf.DUMMYFUNCTION("""COMPUTED_VALUE"""),"Estrela 3")</f>
        <v>Estrela 3</v>
      </c>
    </row>
    <row r="3273">
      <c r="G3273" s="5" t="str">
        <f>IFERROR(__xludf.DUMMYFUNCTION("""COMPUTED_VALUE"""),"818🤙🏼Short Cuts🤙🏼Bruce Davison🤙🏼Estrela 4")</f>
        <v>818🤙🏼Short Cuts🤙🏼Bruce Davison🤙🏼Estrela 4</v>
      </c>
      <c r="H3273" s="5">
        <f>IFERROR(__xludf.DUMMYFUNCTION("SPLiT(G3273, ""🤙🏼"",FALSE,FALSE)"),818.0)</f>
        <v>818</v>
      </c>
      <c r="I3273" s="5" t="str">
        <f>IFERROR(__xludf.DUMMYFUNCTION("""COMPUTED_VALUE"""),"Short Cuts")</f>
        <v>Short Cuts</v>
      </c>
      <c r="J3273" s="5" t="str">
        <f>IFERROR(__xludf.DUMMYFUNCTION("""COMPUTED_VALUE"""),"Bruce Davison")</f>
        <v>Bruce Davison</v>
      </c>
      <c r="K3273" s="5" t="str">
        <f>IFERROR(__xludf.DUMMYFUNCTION("""COMPUTED_VALUE"""),"Estrela 4")</f>
        <v>Estrela 4</v>
      </c>
      <c r="P3273" s="5">
        <f>IFERROR(__xludf.DUMMYFUNCTION("""COMPUTED_VALUE"""),818.0)</f>
        <v>818</v>
      </c>
      <c r="Q3273" s="5" t="str">
        <f>IFERROR(__xludf.DUMMYFUNCTION("""COMPUTED_VALUE"""),"Short Cuts")</f>
        <v>Short Cuts</v>
      </c>
      <c r="R3273" s="5" t="str">
        <f>IFERROR(__xludf.DUMMYFUNCTION("""COMPUTED_VALUE"""),"Bruce Davison")</f>
        <v>Bruce Davison</v>
      </c>
      <c r="S3273" s="5" t="str">
        <f>IFERROR(__xludf.DUMMYFUNCTION("""COMPUTED_VALUE"""),"Estrela 4")</f>
        <v>Estrela 4</v>
      </c>
    </row>
    <row r="3274">
      <c r="G3274" s="5" t="str">
        <f>IFERROR(__xludf.DUMMYFUNCTION("""COMPUTED_VALUE"""),"819🤙🏼Philadelphia🤙🏼Tom Hanks🤙🏼Estrela 1")</f>
        <v>819🤙🏼Philadelphia🤙🏼Tom Hanks🤙🏼Estrela 1</v>
      </c>
      <c r="H3274" s="5">
        <f>IFERROR(__xludf.DUMMYFUNCTION("SPLiT(G3274, ""🤙🏼"",FALSE,FALSE)"),819.0)</f>
        <v>819</v>
      </c>
      <c r="I3274" s="5" t="str">
        <f>IFERROR(__xludf.DUMMYFUNCTION("""COMPUTED_VALUE"""),"Philadelphia")</f>
        <v>Philadelphia</v>
      </c>
      <c r="J3274" s="5" t="str">
        <f>IFERROR(__xludf.DUMMYFUNCTION("""COMPUTED_VALUE"""),"Tom Hanks")</f>
        <v>Tom Hanks</v>
      </c>
      <c r="K3274" s="5" t="str">
        <f>IFERROR(__xludf.DUMMYFUNCTION("""COMPUTED_VALUE"""),"Estrela 1")</f>
        <v>Estrela 1</v>
      </c>
      <c r="P3274" s="5">
        <f>IFERROR(__xludf.DUMMYFUNCTION("""COMPUTED_VALUE"""),819.0)</f>
        <v>819</v>
      </c>
      <c r="Q3274" s="5" t="str">
        <f>IFERROR(__xludf.DUMMYFUNCTION("""COMPUTED_VALUE"""),"Philadelphia")</f>
        <v>Philadelphia</v>
      </c>
      <c r="R3274" s="5" t="str">
        <f>IFERROR(__xludf.DUMMYFUNCTION("""COMPUTED_VALUE"""),"Tom Hanks")</f>
        <v>Tom Hanks</v>
      </c>
      <c r="S3274" s="5" t="str">
        <f>IFERROR(__xludf.DUMMYFUNCTION("""COMPUTED_VALUE"""),"Estrela 1")</f>
        <v>Estrela 1</v>
      </c>
    </row>
    <row r="3275">
      <c r="G3275" s="5" t="str">
        <f>IFERROR(__xludf.DUMMYFUNCTION("""COMPUTED_VALUE"""),"819🤙🏼Philadelphia🤙🏼Denzel Washington🤙🏼Estrela 2")</f>
        <v>819🤙🏼Philadelphia🤙🏼Denzel Washington🤙🏼Estrela 2</v>
      </c>
      <c r="H3275" s="5">
        <f>IFERROR(__xludf.DUMMYFUNCTION("SPLiT(G3275, ""🤙🏼"",FALSE,FALSE)"),819.0)</f>
        <v>819</v>
      </c>
      <c r="I3275" s="5" t="str">
        <f>IFERROR(__xludf.DUMMYFUNCTION("""COMPUTED_VALUE"""),"Philadelphia")</f>
        <v>Philadelphia</v>
      </c>
      <c r="J3275" s="5" t="str">
        <f>IFERROR(__xludf.DUMMYFUNCTION("""COMPUTED_VALUE"""),"Denzel Washington")</f>
        <v>Denzel Washington</v>
      </c>
      <c r="K3275" s="5" t="str">
        <f>IFERROR(__xludf.DUMMYFUNCTION("""COMPUTED_VALUE"""),"Estrela 2")</f>
        <v>Estrela 2</v>
      </c>
      <c r="P3275" s="5">
        <f>IFERROR(__xludf.DUMMYFUNCTION("""COMPUTED_VALUE"""),819.0)</f>
        <v>819</v>
      </c>
      <c r="Q3275" s="5" t="str">
        <f>IFERROR(__xludf.DUMMYFUNCTION("""COMPUTED_VALUE"""),"Philadelphia")</f>
        <v>Philadelphia</v>
      </c>
      <c r="R3275" s="5" t="str">
        <f>IFERROR(__xludf.DUMMYFUNCTION("""COMPUTED_VALUE"""),"Denzel Washington")</f>
        <v>Denzel Washington</v>
      </c>
      <c r="S3275" s="5" t="str">
        <f>IFERROR(__xludf.DUMMYFUNCTION("""COMPUTED_VALUE"""),"Estrela 2")</f>
        <v>Estrela 2</v>
      </c>
    </row>
    <row r="3276">
      <c r="G3276" s="5" t="str">
        <f>IFERROR(__xludf.DUMMYFUNCTION("""COMPUTED_VALUE"""),"819🤙🏼Philadelphia🤙🏼Roberta Maxwell🤙🏼Estrela 3")</f>
        <v>819🤙🏼Philadelphia🤙🏼Roberta Maxwell🤙🏼Estrela 3</v>
      </c>
      <c r="H3276" s="5">
        <f>IFERROR(__xludf.DUMMYFUNCTION("SPLiT(G3276, ""🤙🏼"",FALSE,FALSE)"),819.0)</f>
        <v>819</v>
      </c>
      <c r="I3276" s="5" t="str">
        <f>IFERROR(__xludf.DUMMYFUNCTION("""COMPUTED_VALUE"""),"Philadelphia")</f>
        <v>Philadelphia</v>
      </c>
      <c r="J3276" s="5" t="str">
        <f>IFERROR(__xludf.DUMMYFUNCTION("""COMPUTED_VALUE"""),"Roberta Maxwell")</f>
        <v>Roberta Maxwell</v>
      </c>
      <c r="K3276" s="5" t="str">
        <f>IFERROR(__xludf.DUMMYFUNCTION("""COMPUTED_VALUE"""),"Estrela 3")</f>
        <v>Estrela 3</v>
      </c>
      <c r="P3276" s="5">
        <f>IFERROR(__xludf.DUMMYFUNCTION("""COMPUTED_VALUE"""),819.0)</f>
        <v>819</v>
      </c>
      <c r="Q3276" s="5" t="str">
        <f>IFERROR(__xludf.DUMMYFUNCTION("""COMPUTED_VALUE"""),"Philadelphia")</f>
        <v>Philadelphia</v>
      </c>
      <c r="R3276" s="5" t="str">
        <f>IFERROR(__xludf.DUMMYFUNCTION("""COMPUTED_VALUE"""),"Roberta Maxwell")</f>
        <v>Roberta Maxwell</v>
      </c>
      <c r="S3276" s="5" t="str">
        <f>IFERROR(__xludf.DUMMYFUNCTION("""COMPUTED_VALUE"""),"Estrela 3")</f>
        <v>Estrela 3</v>
      </c>
    </row>
    <row r="3277">
      <c r="G3277" s="5" t="str">
        <f>IFERROR(__xludf.DUMMYFUNCTION("""COMPUTED_VALUE"""),"819🤙🏼Philadelphia🤙🏼Buzz Kilman🤙🏼Estrela 4")</f>
        <v>819🤙🏼Philadelphia🤙🏼Buzz Kilman🤙🏼Estrela 4</v>
      </c>
      <c r="H3277" s="5">
        <f>IFERROR(__xludf.DUMMYFUNCTION("SPLiT(G3277, ""🤙🏼"",FALSE,FALSE)"),819.0)</f>
        <v>819</v>
      </c>
      <c r="I3277" s="5" t="str">
        <f>IFERROR(__xludf.DUMMYFUNCTION("""COMPUTED_VALUE"""),"Philadelphia")</f>
        <v>Philadelphia</v>
      </c>
      <c r="J3277" s="5" t="str">
        <f>IFERROR(__xludf.DUMMYFUNCTION("""COMPUTED_VALUE"""),"Buzz Kilman")</f>
        <v>Buzz Kilman</v>
      </c>
      <c r="K3277" s="5" t="str">
        <f>IFERROR(__xludf.DUMMYFUNCTION("""COMPUTED_VALUE"""),"Estrela 4")</f>
        <v>Estrela 4</v>
      </c>
      <c r="P3277" s="5">
        <f>IFERROR(__xludf.DUMMYFUNCTION("""COMPUTED_VALUE"""),819.0)</f>
        <v>819</v>
      </c>
      <c r="Q3277" s="5" t="str">
        <f>IFERROR(__xludf.DUMMYFUNCTION("""COMPUTED_VALUE"""),"Philadelphia")</f>
        <v>Philadelphia</v>
      </c>
      <c r="R3277" s="5" t="str">
        <f>IFERROR(__xludf.DUMMYFUNCTION("""COMPUTED_VALUE"""),"Buzz Kilman")</f>
        <v>Buzz Kilman</v>
      </c>
      <c r="S3277" s="5" t="str">
        <f>IFERROR(__xludf.DUMMYFUNCTION("""COMPUTED_VALUE"""),"Estrela 4")</f>
        <v>Estrela 4</v>
      </c>
    </row>
    <row r="3278">
      <c r="G3278" s="5" t="str">
        <f>IFERROR(__xludf.DUMMYFUNCTION("""COMPUTED_VALUE"""),"820🤙🏼The Muppet Christmas Carol🤙🏼Michael Caine🤙🏼Estrela 1")</f>
        <v>820🤙🏼The Muppet Christmas Carol🤙🏼Michael Caine🤙🏼Estrela 1</v>
      </c>
      <c r="H3278" s="5">
        <f>IFERROR(__xludf.DUMMYFUNCTION("SPLiT(G3278, ""🤙🏼"",FALSE,FALSE)"),820.0)</f>
        <v>820</v>
      </c>
      <c r="I3278" s="5" t="str">
        <f>IFERROR(__xludf.DUMMYFUNCTION("""COMPUTED_VALUE"""),"The Muppet Christmas Carol")</f>
        <v>The Muppet Christmas Carol</v>
      </c>
      <c r="J3278" s="5" t="str">
        <f>IFERROR(__xludf.DUMMYFUNCTION("""COMPUTED_VALUE"""),"Michael Caine")</f>
        <v>Michael Caine</v>
      </c>
      <c r="K3278" s="5" t="str">
        <f>IFERROR(__xludf.DUMMYFUNCTION("""COMPUTED_VALUE"""),"Estrela 1")</f>
        <v>Estrela 1</v>
      </c>
      <c r="P3278" s="5">
        <f>IFERROR(__xludf.DUMMYFUNCTION("""COMPUTED_VALUE"""),820.0)</f>
        <v>820</v>
      </c>
      <c r="Q3278" s="5" t="str">
        <f>IFERROR(__xludf.DUMMYFUNCTION("""COMPUTED_VALUE"""),"The Muppet Christmas Carol")</f>
        <v>The Muppet Christmas Carol</v>
      </c>
      <c r="R3278" s="5" t="str">
        <f>IFERROR(__xludf.DUMMYFUNCTION("""COMPUTED_VALUE"""),"Michael Caine")</f>
        <v>Michael Caine</v>
      </c>
      <c r="S3278" s="5" t="str">
        <f>IFERROR(__xludf.DUMMYFUNCTION("""COMPUTED_VALUE"""),"Estrela 1")</f>
        <v>Estrela 1</v>
      </c>
    </row>
    <row r="3279">
      <c r="G3279" s="5" t="str">
        <f>IFERROR(__xludf.DUMMYFUNCTION("""COMPUTED_VALUE"""),"820🤙🏼The Muppet Christmas Carol🤙🏼Kermit the Frog🤙🏼Estrela 2")</f>
        <v>820🤙🏼The Muppet Christmas Carol🤙🏼Kermit the Frog🤙🏼Estrela 2</v>
      </c>
      <c r="H3279" s="5">
        <f>IFERROR(__xludf.DUMMYFUNCTION("SPLiT(G3279, ""🤙🏼"",FALSE,FALSE)"),820.0)</f>
        <v>820</v>
      </c>
      <c r="I3279" s="5" t="str">
        <f>IFERROR(__xludf.DUMMYFUNCTION("""COMPUTED_VALUE"""),"The Muppet Christmas Carol")</f>
        <v>The Muppet Christmas Carol</v>
      </c>
      <c r="J3279" s="5" t="str">
        <f>IFERROR(__xludf.DUMMYFUNCTION("""COMPUTED_VALUE"""),"Kermit the Frog")</f>
        <v>Kermit the Frog</v>
      </c>
      <c r="K3279" s="5" t="str">
        <f>IFERROR(__xludf.DUMMYFUNCTION("""COMPUTED_VALUE"""),"Estrela 2")</f>
        <v>Estrela 2</v>
      </c>
      <c r="P3279" s="5">
        <f>IFERROR(__xludf.DUMMYFUNCTION("""COMPUTED_VALUE"""),820.0)</f>
        <v>820</v>
      </c>
      <c r="Q3279" s="5" t="str">
        <f>IFERROR(__xludf.DUMMYFUNCTION("""COMPUTED_VALUE"""),"The Muppet Christmas Carol")</f>
        <v>The Muppet Christmas Carol</v>
      </c>
      <c r="R3279" s="5" t="str">
        <f>IFERROR(__xludf.DUMMYFUNCTION("""COMPUTED_VALUE"""),"Kermit the Frog")</f>
        <v>Kermit the Frog</v>
      </c>
      <c r="S3279" s="5" t="str">
        <f>IFERROR(__xludf.DUMMYFUNCTION("""COMPUTED_VALUE"""),"Estrela 2")</f>
        <v>Estrela 2</v>
      </c>
    </row>
    <row r="3280">
      <c r="G3280" s="5" t="str">
        <f>IFERROR(__xludf.DUMMYFUNCTION("""COMPUTED_VALUE"""),"820🤙🏼The Muppet Christmas Carol🤙🏼Dave Goelz🤙🏼Estrela 3")</f>
        <v>820🤙🏼The Muppet Christmas Carol🤙🏼Dave Goelz🤙🏼Estrela 3</v>
      </c>
      <c r="H3280" s="5">
        <f>IFERROR(__xludf.DUMMYFUNCTION("SPLiT(G3280, ""🤙🏼"",FALSE,FALSE)"),820.0)</f>
        <v>820</v>
      </c>
      <c r="I3280" s="5" t="str">
        <f>IFERROR(__xludf.DUMMYFUNCTION("""COMPUTED_VALUE"""),"The Muppet Christmas Carol")</f>
        <v>The Muppet Christmas Carol</v>
      </c>
      <c r="J3280" s="5" t="str">
        <f>IFERROR(__xludf.DUMMYFUNCTION("""COMPUTED_VALUE"""),"Dave Goelz")</f>
        <v>Dave Goelz</v>
      </c>
      <c r="K3280" s="5" t="str">
        <f>IFERROR(__xludf.DUMMYFUNCTION("""COMPUTED_VALUE"""),"Estrela 3")</f>
        <v>Estrela 3</v>
      </c>
      <c r="P3280" s="5">
        <f>IFERROR(__xludf.DUMMYFUNCTION("""COMPUTED_VALUE"""),820.0)</f>
        <v>820</v>
      </c>
      <c r="Q3280" s="5" t="str">
        <f>IFERROR(__xludf.DUMMYFUNCTION("""COMPUTED_VALUE"""),"The Muppet Christmas Carol")</f>
        <v>The Muppet Christmas Carol</v>
      </c>
      <c r="R3280" s="5" t="str">
        <f>IFERROR(__xludf.DUMMYFUNCTION("""COMPUTED_VALUE"""),"Dave Goelz")</f>
        <v>Dave Goelz</v>
      </c>
      <c r="S3280" s="5" t="str">
        <f>IFERROR(__xludf.DUMMYFUNCTION("""COMPUTED_VALUE"""),"Estrela 3")</f>
        <v>Estrela 3</v>
      </c>
    </row>
    <row r="3281">
      <c r="G3281" s="5" t="str">
        <f>IFERROR(__xludf.DUMMYFUNCTION("""COMPUTED_VALUE"""),"820🤙🏼The Muppet Christmas Carol🤙🏼Miss Piggy🤙🏼Estrela 4")</f>
        <v>820🤙🏼The Muppet Christmas Carol🤙🏼Miss Piggy🤙🏼Estrela 4</v>
      </c>
      <c r="H3281" s="5">
        <f>IFERROR(__xludf.DUMMYFUNCTION("SPLiT(G3281, ""🤙🏼"",FALSE,FALSE)"),820.0)</f>
        <v>820</v>
      </c>
      <c r="I3281" s="5" t="str">
        <f>IFERROR(__xludf.DUMMYFUNCTION("""COMPUTED_VALUE"""),"The Muppet Christmas Carol")</f>
        <v>The Muppet Christmas Carol</v>
      </c>
      <c r="J3281" s="5" t="str">
        <f>IFERROR(__xludf.DUMMYFUNCTION("""COMPUTED_VALUE"""),"Miss Piggy")</f>
        <v>Miss Piggy</v>
      </c>
      <c r="K3281" s="5" t="str">
        <f>IFERROR(__xludf.DUMMYFUNCTION("""COMPUTED_VALUE"""),"Estrela 4")</f>
        <v>Estrela 4</v>
      </c>
      <c r="P3281" s="5">
        <f>IFERROR(__xludf.DUMMYFUNCTION("""COMPUTED_VALUE"""),820.0)</f>
        <v>820</v>
      </c>
      <c r="Q3281" s="5" t="str">
        <f>IFERROR(__xludf.DUMMYFUNCTION("""COMPUTED_VALUE"""),"The Muppet Christmas Carol")</f>
        <v>The Muppet Christmas Carol</v>
      </c>
      <c r="R3281" s="5" t="str">
        <f>IFERROR(__xludf.DUMMYFUNCTION("""COMPUTED_VALUE"""),"Miss Piggy")</f>
        <v>Miss Piggy</v>
      </c>
      <c r="S3281" s="5" t="str">
        <f>IFERROR(__xludf.DUMMYFUNCTION("""COMPUTED_VALUE"""),"Estrela 4")</f>
        <v>Estrela 4</v>
      </c>
    </row>
    <row r="3282">
      <c r="G3282" s="5" t="str">
        <f>IFERROR(__xludf.DUMMYFUNCTION("""COMPUTED_VALUE"""),"821🤙🏼Malcolm X🤙🏼Denzel Washington🤙🏼Estrela 1")</f>
        <v>821🤙🏼Malcolm X🤙🏼Denzel Washington🤙🏼Estrela 1</v>
      </c>
      <c r="H3282" s="5">
        <f>IFERROR(__xludf.DUMMYFUNCTION("SPLiT(G3282, ""🤙🏼"",FALSE,FALSE)"),821.0)</f>
        <v>821</v>
      </c>
      <c r="I3282" s="5" t="str">
        <f>IFERROR(__xludf.DUMMYFUNCTION("""COMPUTED_VALUE"""),"Malcolm X")</f>
        <v>Malcolm X</v>
      </c>
      <c r="J3282" s="5" t="str">
        <f>IFERROR(__xludf.DUMMYFUNCTION("""COMPUTED_VALUE"""),"Denzel Washington")</f>
        <v>Denzel Washington</v>
      </c>
      <c r="K3282" s="5" t="str">
        <f>IFERROR(__xludf.DUMMYFUNCTION("""COMPUTED_VALUE"""),"Estrela 1")</f>
        <v>Estrela 1</v>
      </c>
      <c r="P3282" s="5">
        <f>IFERROR(__xludf.DUMMYFUNCTION("""COMPUTED_VALUE"""),821.0)</f>
        <v>821</v>
      </c>
      <c r="Q3282" s="5" t="str">
        <f>IFERROR(__xludf.DUMMYFUNCTION("""COMPUTED_VALUE"""),"Malcolm X")</f>
        <v>Malcolm X</v>
      </c>
      <c r="R3282" s="5" t="str">
        <f>IFERROR(__xludf.DUMMYFUNCTION("""COMPUTED_VALUE"""),"Denzel Washington")</f>
        <v>Denzel Washington</v>
      </c>
      <c r="S3282" s="5" t="str">
        <f>IFERROR(__xludf.DUMMYFUNCTION("""COMPUTED_VALUE"""),"Estrela 1")</f>
        <v>Estrela 1</v>
      </c>
    </row>
    <row r="3283">
      <c r="G3283" s="5" t="str">
        <f>IFERROR(__xludf.DUMMYFUNCTION("""COMPUTED_VALUE"""),"821🤙🏼Malcolm X🤙🏼Angela Bassett🤙🏼Estrela 2")</f>
        <v>821🤙🏼Malcolm X🤙🏼Angela Bassett🤙🏼Estrela 2</v>
      </c>
      <c r="H3283" s="5">
        <f>IFERROR(__xludf.DUMMYFUNCTION("SPLiT(G3283, ""🤙🏼"",FALSE,FALSE)"),821.0)</f>
        <v>821</v>
      </c>
      <c r="I3283" s="5" t="str">
        <f>IFERROR(__xludf.DUMMYFUNCTION("""COMPUTED_VALUE"""),"Malcolm X")</f>
        <v>Malcolm X</v>
      </c>
      <c r="J3283" s="5" t="str">
        <f>IFERROR(__xludf.DUMMYFUNCTION("""COMPUTED_VALUE"""),"Angela Bassett")</f>
        <v>Angela Bassett</v>
      </c>
      <c r="K3283" s="5" t="str">
        <f>IFERROR(__xludf.DUMMYFUNCTION("""COMPUTED_VALUE"""),"Estrela 2")</f>
        <v>Estrela 2</v>
      </c>
      <c r="P3283" s="5">
        <f>IFERROR(__xludf.DUMMYFUNCTION("""COMPUTED_VALUE"""),821.0)</f>
        <v>821</v>
      </c>
      <c r="Q3283" s="5" t="str">
        <f>IFERROR(__xludf.DUMMYFUNCTION("""COMPUTED_VALUE"""),"Malcolm X")</f>
        <v>Malcolm X</v>
      </c>
      <c r="R3283" s="5" t="str">
        <f>IFERROR(__xludf.DUMMYFUNCTION("""COMPUTED_VALUE"""),"Angela Bassett")</f>
        <v>Angela Bassett</v>
      </c>
      <c r="S3283" s="5" t="str">
        <f>IFERROR(__xludf.DUMMYFUNCTION("""COMPUTED_VALUE"""),"Estrela 2")</f>
        <v>Estrela 2</v>
      </c>
    </row>
    <row r="3284">
      <c r="G3284" s="5" t="str">
        <f>IFERROR(__xludf.DUMMYFUNCTION("""COMPUTED_VALUE"""),"821🤙🏼Malcolm X🤙🏼Delroy Lindo🤙🏼Estrela 3")</f>
        <v>821🤙🏼Malcolm X🤙🏼Delroy Lindo🤙🏼Estrela 3</v>
      </c>
      <c r="H3284" s="5">
        <f>IFERROR(__xludf.DUMMYFUNCTION("SPLiT(G3284, ""🤙🏼"",FALSE,FALSE)"),821.0)</f>
        <v>821</v>
      </c>
      <c r="I3284" s="5" t="str">
        <f>IFERROR(__xludf.DUMMYFUNCTION("""COMPUTED_VALUE"""),"Malcolm X")</f>
        <v>Malcolm X</v>
      </c>
      <c r="J3284" s="5" t="str">
        <f>IFERROR(__xludf.DUMMYFUNCTION("""COMPUTED_VALUE"""),"Delroy Lindo")</f>
        <v>Delroy Lindo</v>
      </c>
      <c r="K3284" s="5" t="str">
        <f>IFERROR(__xludf.DUMMYFUNCTION("""COMPUTED_VALUE"""),"Estrela 3")</f>
        <v>Estrela 3</v>
      </c>
      <c r="P3284" s="5">
        <f>IFERROR(__xludf.DUMMYFUNCTION("""COMPUTED_VALUE"""),821.0)</f>
        <v>821</v>
      </c>
      <c r="Q3284" s="5" t="str">
        <f>IFERROR(__xludf.DUMMYFUNCTION("""COMPUTED_VALUE"""),"Malcolm X")</f>
        <v>Malcolm X</v>
      </c>
      <c r="R3284" s="5" t="str">
        <f>IFERROR(__xludf.DUMMYFUNCTION("""COMPUTED_VALUE"""),"Delroy Lindo")</f>
        <v>Delroy Lindo</v>
      </c>
      <c r="S3284" s="5" t="str">
        <f>IFERROR(__xludf.DUMMYFUNCTION("""COMPUTED_VALUE"""),"Estrela 3")</f>
        <v>Estrela 3</v>
      </c>
    </row>
    <row r="3285">
      <c r="G3285" s="5" t="str">
        <f>IFERROR(__xludf.DUMMYFUNCTION("""COMPUTED_VALUE"""),"821🤙🏼Malcolm X🤙🏼Spike Lee🤙🏼Estrela 4")</f>
        <v>821🤙🏼Malcolm X🤙🏼Spike Lee🤙🏼Estrela 4</v>
      </c>
      <c r="H3285" s="5">
        <f>IFERROR(__xludf.DUMMYFUNCTION("SPLiT(G3285, ""🤙🏼"",FALSE,FALSE)"),821.0)</f>
        <v>821</v>
      </c>
      <c r="I3285" s="5" t="str">
        <f>IFERROR(__xludf.DUMMYFUNCTION("""COMPUTED_VALUE"""),"Malcolm X")</f>
        <v>Malcolm X</v>
      </c>
      <c r="J3285" s="5" t="str">
        <f>IFERROR(__xludf.DUMMYFUNCTION("""COMPUTED_VALUE"""),"Spike Lee")</f>
        <v>Spike Lee</v>
      </c>
      <c r="K3285" s="5" t="str">
        <f>IFERROR(__xludf.DUMMYFUNCTION("""COMPUTED_VALUE"""),"Estrela 4")</f>
        <v>Estrela 4</v>
      </c>
      <c r="P3285" s="5">
        <f>IFERROR(__xludf.DUMMYFUNCTION("""COMPUTED_VALUE"""),821.0)</f>
        <v>821</v>
      </c>
      <c r="Q3285" s="5" t="str">
        <f>IFERROR(__xludf.DUMMYFUNCTION("""COMPUTED_VALUE"""),"Malcolm X")</f>
        <v>Malcolm X</v>
      </c>
      <c r="R3285" s="5" t="str">
        <f>IFERROR(__xludf.DUMMYFUNCTION("""COMPUTED_VALUE"""),"Spike Lee")</f>
        <v>Spike Lee</v>
      </c>
      <c r="S3285" s="5" t="str">
        <f>IFERROR(__xludf.DUMMYFUNCTION("""COMPUTED_VALUE"""),"Estrela 4")</f>
        <v>Estrela 4</v>
      </c>
    </row>
    <row r="3286">
      <c r="G3286" s="5" t="str">
        <f>IFERROR(__xludf.DUMMYFUNCTION("""COMPUTED_VALUE"""),"822🤙🏼The Last of the Mohicans🤙🏼Daniel Day-Lewis🤙🏼Estrela 1")</f>
        <v>822🤙🏼The Last of the Mohicans🤙🏼Daniel Day-Lewis🤙🏼Estrela 1</v>
      </c>
      <c r="H3286" s="5">
        <f>IFERROR(__xludf.DUMMYFUNCTION("SPLiT(G3286, ""🤙🏼"",FALSE,FALSE)"),822.0)</f>
        <v>822</v>
      </c>
      <c r="I3286" s="5" t="str">
        <f>IFERROR(__xludf.DUMMYFUNCTION("""COMPUTED_VALUE"""),"The Last of the Mohicans")</f>
        <v>The Last of the Mohicans</v>
      </c>
      <c r="J3286" s="5" t="str">
        <f>IFERROR(__xludf.DUMMYFUNCTION("""COMPUTED_VALUE"""),"Daniel Day-Lewis")</f>
        <v>Daniel Day-Lewis</v>
      </c>
      <c r="K3286" s="5" t="str">
        <f>IFERROR(__xludf.DUMMYFUNCTION("""COMPUTED_VALUE"""),"Estrela 1")</f>
        <v>Estrela 1</v>
      </c>
      <c r="P3286" s="5">
        <f>IFERROR(__xludf.DUMMYFUNCTION("""COMPUTED_VALUE"""),822.0)</f>
        <v>822</v>
      </c>
      <c r="Q3286" s="5" t="str">
        <f>IFERROR(__xludf.DUMMYFUNCTION("""COMPUTED_VALUE"""),"The Last of the Mohicans")</f>
        <v>The Last of the Mohicans</v>
      </c>
      <c r="R3286" s="5" t="str">
        <f>IFERROR(__xludf.DUMMYFUNCTION("""COMPUTED_VALUE"""),"Daniel Day-Lewis")</f>
        <v>Daniel Day-Lewis</v>
      </c>
      <c r="S3286" s="5" t="str">
        <f>IFERROR(__xludf.DUMMYFUNCTION("""COMPUTED_VALUE"""),"Estrela 1")</f>
        <v>Estrela 1</v>
      </c>
    </row>
    <row r="3287">
      <c r="G3287" s="5" t="str">
        <f>IFERROR(__xludf.DUMMYFUNCTION("""COMPUTED_VALUE"""),"822🤙🏼The Last of the Mohicans🤙🏼Madeleine Stowe🤙🏼Estrela 2")</f>
        <v>822🤙🏼The Last of the Mohicans🤙🏼Madeleine Stowe🤙🏼Estrela 2</v>
      </c>
      <c r="H3287" s="5">
        <f>IFERROR(__xludf.DUMMYFUNCTION("SPLiT(G3287, ""🤙🏼"",FALSE,FALSE)"),822.0)</f>
        <v>822</v>
      </c>
      <c r="I3287" s="5" t="str">
        <f>IFERROR(__xludf.DUMMYFUNCTION("""COMPUTED_VALUE"""),"The Last of the Mohicans")</f>
        <v>The Last of the Mohicans</v>
      </c>
      <c r="J3287" s="5" t="str">
        <f>IFERROR(__xludf.DUMMYFUNCTION("""COMPUTED_VALUE"""),"Madeleine Stowe")</f>
        <v>Madeleine Stowe</v>
      </c>
      <c r="K3287" s="5" t="str">
        <f>IFERROR(__xludf.DUMMYFUNCTION("""COMPUTED_VALUE"""),"Estrela 2")</f>
        <v>Estrela 2</v>
      </c>
      <c r="P3287" s="5">
        <f>IFERROR(__xludf.DUMMYFUNCTION("""COMPUTED_VALUE"""),822.0)</f>
        <v>822</v>
      </c>
      <c r="Q3287" s="5" t="str">
        <f>IFERROR(__xludf.DUMMYFUNCTION("""COMPUTED_VALUE"""),"The Last of the Mohicans")</f>
        <v>The Last of the Mohicans</v>
      </c>
      <c r="R3287" s="5" t="str">
        <f>IFERROR(__xludf.DUMMYFUNCTION("""COMPUTED_VALUE"""),"Madeleine Stowe")</f>
        <v>Madeleine Stowe</v>
      </c>
      <c r="S3287" s="5" t="str">
        <f>IFERROR(__xludf.DUMMYFUNCTION("""COMPUTED_VALUE"""),"Estrela 2")</f>
        <v>Estrela 2</v>
      </c>
    </row>
    <row r="3288">
      <c r="G3288" s="5" t="str">
        <f>IFERROR(__xludf.DUMMYFUNCTION("""COMPUTED_VALUE"""),"822🤙🏼The Last of the Mohicans🤙🏼Russell Means🤙🏼Estrela 3")</f>
        <v>822🤙🏼The Last of the Mohicans🤙🏼Russell Means🤙🏼Estrela 3</v>
      </c>
      <c r="H3288" s="5">
        <f>IFERROR(__xludf.DUMMYFUNCTION("SPLiT(G3288, ""🤙🏼"",FALSE,FALSE)"),822.0)</f>
        <v>822</v>
      </c>
      <c r="I3288" s="5" t="str">
        <f>IFERROR(__xludf.DUMMYFUNCTION("""COMPUTED_VALUE"""),"The Last of the Mohicans")</f>
        <v>The Last of the Mohicans</v>
      </c>
      <c r="J3288" s="5" t="str">
        <f>IFERROR(__xludf.DUMMYFUNCTION("""COMPUTED_VALUE"""),"Russell Means")</f>
        <v>Russell Means</v>
      </c>
      <c r="K3288" s="5" t="str">
        <f>IFERROR(__xludf.DUMMYFUNCTION("""COMPUTED_VALUE"""),"Estrela 3")</f>
        <v>Estrela 3</v>
      </c>
      <c r="P3288" s="5">
        <f>IFERROR(__xludf.DUMMYFUNCTION("""COMPUTED_VALUE"""),822.0)</f>
        <v>822</v>
      </c>
      <c r="Q3288" s="5" t="str">
        <f>IFERROR(__xludf.DUMMYFUNCTION("""COMPUTED_VALUE"""),"The Last of the Mohicans")</f>
        <v>The Last of the Mohicans</v>
      </c>
      <c r="R3288" s="5" t="str">
        <f>IFERROR(__xludf.DUMMYFUNCTION("""COMPUTED_VALUE"""),"Russell Means")</f>
        <v>Russell Means</v>
      </c>
      <c r="S3288" s="5" t="str">
        <f>IFERROR(__xludf.DUMMYFUNCTION("""COMPUTED_VALUE"""),"Estrela 3")</f>
        <v>Estrela 3</v>
      </c>
    </row>
    <row r="3289">
      <c r="G3289" s="5" t="str">
        <f>IFERROR(__xludf.DUMMYFUNCTION("""COMPUTED_VALUE"""),"822🤙🏼The Last of the Mohicans🤙🏼Eric Schweig🤙🏼Estrela 4")</f>
        <v>822🤙🏼The Last of the Mohicans🤙🏼Eric Schweig🤙🏼Estrela 4</v>
      </c>
      <c r="H3289" s="5">
        <f>IFERROR(__xludf.DUMMYFUNCTION("SPLiT(G3289, ""🤙🏼"",FALSE,FALSE)"),822.0)</f>
        <v>822</v>
      </c>
      <c r="I3289" s="5" t="str">
        <f>IFERROR(__xludf.DUMMYFUNCTION("""COMPUTED_VALUE"""),"The Last of the Mohicans")</f>
        <v>The Last of the Mohicans</v>
      </c>
      <c r="J3289" s="5" t="str">
        <f>IFERROR(__xludf.DUMMYFUNCTION("""COMPUTED_VALUE"""),"Eric Schweig")</f>
        <v>Eric Schweig</v>
      </c>
      <c r="K3289" s="5" t="str">
        <f>IFERROR(__xludf.DUMMYFUNCTION("""COMPUTED_VALUE"""),"Estrela 4")</f>
        <v>Estrela 4</v>
      </c>
      <c r="P3289" s="5">
        <f>IFERROR(__xludf.DUMMYFUNCTION("""COMPUTED_VALUE"""),822.0)</f>
        <v>822</v>
      </c>
      <c r="Q3289" s="5" t="str">
        <f>IFERROR(__xludf.DUMMYFUNCTION("""COMPUTED_VALUE"""),"The Last of the Mohicans")</f>
        <v>The Last of the Mohicans</v>
      </c>
      <c r="R3289" s="5" t="str">
        <f>IFERROR(__xludf.DUMMYFUNCTION("""COMPUTED_VALUE"""),"Eric Schweig")</f>
        <v>Eric Schweig</v>
      </c>
      <c r="S3289" s="5" t="str">
        <f>IFERROR(__xludf.DUMMYFUNCTION("""COMPUTED_VALUE"""),"Estrela 4")</f>
        <v>Estrela 4</v>
      </c>
    </row>
    <row r="3290">
      <c r="G3290" s="5" t="str">
        <f>IFERROR(__xludf.DUMMYFUNCTION("""COMPUTED_VALUE"""),"823🤙🏼Kurenai no buta🤙🏼Shûichirô Moriyama🤙🏼Estrela 1")</f>
        <v>823🤙🏼Kurenai no buta🤙🏼Shûichirô Moriyama🤙🏼Estrela 1</v>
      </c>
      <c r="H3290" s="5">
        <f>IFERROR(__xludf.DUMMYFUNCTION("SPLiT(G3290, ""🤙🏼"",FALSE,FALSE)"),823.0)</f>
        <v>823</v>
      </c>
      <c r="I3290" s="5" t="str">
        <f>IFERROR(__xludf.DUMMYFUNCTION("""COMPUTED_VALUE"""),"Kurenai no buta")</f>
        <v>Kurenai no buta</v>
      </c>
      <c r="J3290" s="5" t="str">
        <f>IFERROR(__xludf.DUMMYFUNCTION("""COMPUTED_VALUE"""),"Shûichirô Moriyama")</f>
        <v>Shûichirô Moriyama</v>
      </c>
      <c r="K3290" s="5" t="str">
        <f>IFERROR(__xludf.DUMMYFUNCTION("""COMPUTED_VALUE"""),"Estrela 1")</f>
        <v>Estrela 1</v>
      </c>
      <c r="P3290" s="5">
        <f>IFERROR(__xludf.DUMMYFUNCTION("""COMPUTED_VALUE"""),823.0)</f>
        <v>823</v>
      </c>
      <c r="Q3290" s="5" t="str">
        <f>IFERROR(__xludf.DUMMYFUNCTION("""COMPUTED_VALUE"""),"Kurenai no buta")</f>
        <v>Kurenai no buta</v>
      </c>
      <c r="R3290" s="5" t="str">
        <f>IFERROR(__xludf.DUMMYFUNCTION("""COMPUTED_VALUE"""),"Shûichirô Moriyama")</f>
        <v>Shûichirô Moriyama</v>
      </c>
      <c r="S3290" s="5" t="str">
        <f>IFERROR(__xludf.DUMMYFUNCTION("""COMPUTED_VALUE"""),"Estrela 1")</f>
        <v>Estrela 1</v>
      </c>
    </row>
    <row r="3291">
      <c r="G3291" s="5" t="str">
        <f>IFERROR(__xludf.DUMMYFUNCTION("""COMPUTED_VALUE"""),"823🤙🏼Kurenai no buta🤙🏼Tokiko Katô🤙🏼Estrela 2")</f>
        <v>823🤙🏼Kurenai no buta🤙🏼Tokiko Katô🤙🏼Estrela 2</v>
      </c>
      <c r="H3291" s="5">
        <f>IFERROR(__xludf.DUMMYFUNCTION("SPLiT(G3291, ""🤙🏼"",FALSE,FALSE)"),823.0)</f>
        <v>823</v>
      </c>
      <c r="I3291" s="5" t="str">
        <f>IFERROR(__xludf.DUMMYFUNCTION("""COMPUTED_VALUE"""),"Kurenai no buta")</f>
        <v>Kurenai no buta</v>
      </c>
      <c r="J3291" s="5" t="str">
        <f>IFERROR(__xludf.DUMMYFUNCTION("""COMPUTED_VALUE"""),"Tokiko Katô")</f>
        <v>Tokiko Katô</v>
      </c>
      <c r="K3291" s="5" t="str">
        <f>IFERROR(__xludf.DUMMYFUNCTION("""COMPUTED_VALUE"""),"Estrela 2")</f>
        <v>Estrela 2</v>
      </c>
      <c r="P3291" s="5">
        <f>IFERROR(__xludf.DUMMYFUNCTION("""COMPUTED_VALUE"""),823.0)</f>
        <v>823</v>
      </c>
      <c r="Q3291" s="5" t="str">
        <f>IFERROR(__xludf.DUMMYFUNCTION("""COMPUTED_VALUE"""),"Kurenai no buta")</f>
        <v>Kurenai no buta</v>
      </c>
      <c r="R3291" s="5" t="str">
        <f>IFERROR(__xludf.DUMMYFUNCTION("""COMPUTED_VALUE"""),"Tokiko Katô")</f>
        <v>Tokiko Katô</v>
      </c>
      <c r="S3291" s="5" t="str">
        <f>IFERROR(__xludf.DUMMYFUNCTION("""COMPUTED_VALUE"""),"Estrela 2")</f>
        <v>Estrela 2</v>
      </c>
    </row>
    <row r="3292">
      <c r="G3292" s="5" t="str">
        <f>IFERROR(__xludf.DUMMYFUNCTION("""COMPUTED_VALUE"""),"823🤙🏼Kurenai no buta🤙🏼Bunshi Katsura Vi🤙🏼Estrela 3")</f>
        <v>823🤙🏼Kurenai no buta🤙🏼Bunshi Katsura Vi🤙🏼Estrela 3</v>
      </c>
      <c r="H3292" s="5">
        <f>IFERROR(__xludf.DUMMYFUNCTION("SPLiT(G3292, ""🤙🏼"",FALSE,FALSE)"),823.0)</f>
        <v>823</v>
      </c>
      <c r="I3292" s="5" t="str">
        <f>IFERROR(__xludf.DUMMYFUNCTION("""COMPUTED_VALUE"""),"Kurenai no buta")</f>
        <v>Kurenai no buta</v>
      </c>
      <c r="J3292" s="5" t="str">
        <f>IFERROR(__xludf.DUMMYFUNCTION("""COMPUTED_VALUE"""),"Bunshi Katsura Vi")</f>
        <v>Bunshi Katsura Vi</v>
      </c>
      <c r="K3292" s="5" t="str">
        <f>IFERROR(__xludf.DUMMYFUNCTION("""COMPUTED_VALUE"""),"Estrela 3")</f>
        <v>Estrela 3</v>
      </c>
      <c r="P3292" s="5">
        <f>IFERROR(__xludf.DUMMYFUNCTION("""COMPUTED_VALUE"""),823.0)</f>
        <v>823</v>
      </c>
      <c r="Q3292" s="5" t="str">
        <f>IFERROR(__xludf.DUMMYFUNCTION("""COMPUTED_VALUE"""),"Kurenai no buta")</f>
        <v>Kurenai no buta</v>
      </c>
      <c r="R3292" s="5" t="str">
        <f>IFERROR(__xludf.DUMMYFUNCTION("""COMPUTED_VALUE"""),"Bunshi Katsura Vi")</f>
        <v>Bunshi Katsura Vi</v>
      </c>
      <c r="S3292" s="5" t="str">
        <f>IFERROR(__xludf.DUMMYFUNCTION("""COMPUTED_VALUE"""),"Estrela 3")</f>
        <v>Estrela 3</v>
      </c>
    </row>
    <row r="3293">
      <c r="G3293" s="5" t="str">
        <f>IFERROR(__xludf.DUMMYFUNCTION("""COMPUTED_VALUE"""),"823🤙🏼Kurenai no buta🤙🏼Tsunehiko Kamijô🤙🏼Estrela 4")</f>
        <v>823🤙🏼Kurenai no buta🤙🏼Tsunehiko Kamijô🤙🏼Estrela 4</v>
      </c>
      <c r="H3293" s="5">
        <f>IFERROR(__xludf.DUMMYFUNCTION("SPLiT(G3293, ""🤙🏼"",FALSE,FALSE)"),823.0)</f>
        <v>823</v>
      </c>
      <c r="I3293" s="5" t="str">
        <f>IFERROR(__xludf.DUMMYFUNCTION("""COMPUTED_VALUE"""),"Kurenai no buta")</f>
        <v>Kurenai no buta</v>
      </c>
      <c r="J3293" s="5" t="str">
        <f>IFERROR(__xludf.DUMMYFUNCTION("""COMPUTED_VALUE"""),"Tsunehiko Kamijô")</f>
        <v>Tsunehiko Kamijô</v>
      </c>
      <c r="K3293" s="5" t="str">
        <f>IFERROR(__xludf.DUMMYFUNCTION("""COMPUTED_VALUE"""),"Estrela 4")</f>
        <v>Estrela 4</v>
      </c>
      <c r="P3293" s="5">
        <f>IFERROR(__xludf.DUMMYFUNCTION("""COMPUTED_VALUE"""),823.0)</f>
        <v>823</v>
      </c>
      <c r="Q3293" s="5" t="str">
        <f>IFERROR(__xludf.DUMMYFUNCTION("""COMPUTED_VALUE"""),"Kurenai no buta")</f>
        <v>Kurenai no buta</v>
      </c>
      <c r="R3293" s="5" t="str">
        <f>IFERROR(__xludf.DUMMYFUNCTION("""COMPUTED_VALUE"""),"Tsunehiko Kamijô")</f>
        <v>Tsunehiko Kamijô</v>
      </c>
      <c r="S3293" s="5" t="str">
        <f>IFERROR(__xludf.DUMMYFUNCTION("""COMPUTED_VALUE"""),"Estrela 4")</f>
        <v>Estrela 4</v>
      </c>
    </row>
    <row r="3294">
      <c r="G3294" s="5" t="str">
        <f>IFERROR(__xludf.DUMMYFUNCTION("""COMPUTED_VALUE"""),"824🤙🏼Glengarry Glen Ross🤙🏼Al Pacino🤙🏼Estrela 1")</f>
        <v>824🤙🏼Glengarry Glen Ross🤙🏼Al Pacino🤙🏼Estrela 1</v>
      </c>
      <c r="H3294" s="5">
        <f>IFERROR(__xludf.DUMMYFUNCTION("SPLiT(G3294, ""🤙🏼"",FALSE,FALSE)"),824.0)</f>
        <v>824</v>
      </c>
      <c r="I3294" s="5" t="str">
        <f>IFERROR(__xludf.DUMMYFUNCTION("""COMPUTED_VALUE"""),"Glengarry Glen Ross")</f>
        <v>Glengarry Glen Ross</v>
      </c>
      <c r="J3294" s="5" t="str">
        <f>IFERROR(__xludf.DUMMYFUNCTION("""COMPUTED_VALUE"""),"Al Pacino")</f>
        <v>Al Pacino</v>
      </c>
      <c r="K3294" s="5" t="str">
        <f>IFERROR(__xludf.DUMMYFUNCTION("""COMPUTED_VALUE"""),"Estrela 1")</f>
        <v>Estrela 1</v>
      </c>
      <c r="P3294" s="5">
        <f>IFERROR(__xludf.DUMMYFUNCTION("""COMPUTED_VALUE"""),824.0)</f>
        <v>824</v>
      </c>
      <c r="Q3294" s="5" t="str">
        <f>IFERROR(__xludf.DUMMYFUNCTION("""COMPUTED_VALUE"""),"Glengarry Glen Ross")</f>
        <v>Glengarry Glen Ross</v>
      </c>
      <c r="R3294" s="5" t="str">
        <f>IFERROR(__xludf.DUMMYFUNCTION("""COMPUTED_VALUE"""),"Al Pacino")</f>
        <v>Al Pacino</v>
      </c>
      <c r="S3294" s="5" t="str">
        <f>IFERROR(__xludf.DUMMYFUNCTION("""COMPUTED_VALUE"""),"Estrela 1")</f>
        <v>Estrela 1</v>
      </c>
    </row>
    <row r="3295">
      <c r="G3295" s="5" t="str">
        <f>IFERROR(__xludf.DUMMYFUNCTION("""COMPUTED_VALUE"""),"824🤙🏼Glengarry Glen Ross🤙🏼Jack Lemmon🤙🏼Estrela 2")</f>
        <v>824🤙🏼Glengarry Glen Ross🤙🏼Jack Lemmon🤙🏼Estrela 2</v>
      </c>
      <c r="H3295" s="5">
        <f>IFERROR(__xludf.DUMMYFUNCTION("SPLiT(G3295, ""🤙🏼"",FALSE,FALSE)"),824.0)</f>
        <v>824</v>
      </c>
      <c r="I3295" s="5" t="str">
        <f>IFERROR(__xludf.DUMMYFUNCTION("""COMPUTED_VALUE"""),"Glengarry Glen Ross")</f>
        <v>Glengarry Glen Ross</v>
      </c>
      <c r="J3295" s="5" t="str">
        <f>IFERROR(__xludf.DUMMYFUNCTION("""COMPUTED_VALUE"""),"Jack Lemmon")</f>
        <v>Jack Lemmon</v>
      </c>
      <c r="K3295" s="5" t="str">
        <f>IFERROR(__xludf.DUMMYFUNCTION("""COMPUTED_VALUE"""),"Estrela 2")</f>
        <v>Estrela 2</v>
      </c>
      <c r="P3295" s="5">
        <f>IFERROR(__xludf.DUMMYFUNCTION("""COMPUTED_VALUE"""),824.0)</f>
        <v>824</v>
      </c>
      <c r="Q3295" s="5" t="str">
        <f>IFERROR(__xludf.DUMMYFUNCTION("""COMPUTED_VALUE"""),"Glengarry Glen Ross")</f>
        <v>Glengarry Glen Ross</v>
      </c>
      <c r="R3295" s="5" t="str">
        <f>IFERROR(__xludf.DUMMYFUNCTION("""COMPUTED_VALUE"""),"Jack Lemmon")</f>
        <v>Jack Lemmon</v>
      </c>
      <c r="S3295" s="5" t="str">
        <f>IFERROR(__xludf.DUMMYFUNCTION("""COMPUTED_VALUE"""),"Estrela 2")</f>
        <v>Estrela 2</v>
      </c>
    </row>
    <row r="3296">
      <c r="G3296" s="5" t="str">
        <f>IFERROR(__xludf.DUMMYFUNCTION("""COMPUTED_VALUE"""),"824🤙🏼Glengarry Glen Ross🤙🏼Alec Baldwin🤙🏼Estrela 3")</f>
        <v>824🤙🏼Glengarry Glen Ross🤙🏼Alec Baldwin🤙🏼Estrela 3</v>
      </c>
      <c r="H3296" s="5">
        <f>IFERROR(__xludf.DUMMYFUNCTION("SPLiT(G3296, ""🤙🏼"",FALSE,FALSE)"),824.0)</f>
        <v>824</v>
      </c>
      <c r="I3296" s="5" t="str">
        <f>IFERROR(__xludf.DUMMYFUNCTION("""COMPUTED_VALUE"""),"Glengarry Glen Ross")</f>
        <v>Glengarry Glen Ross</v>
      </c>
      <c r="J3296" s="5" t="str">
        <f>IFERROR(__xludf.DUMMYFUNCTION("""COMPUTED_VALUE"""),"Alec Baldwin")</f>
        <v>Alec Baldwin</v>
      </c>
      <c r="K3296" s="5" t="str">
        <f>IFERROR(__xludf.DUMMYFUNCTION("""COMPUTED_VALUE"""),"Estrela 3")</f>
        <v>Estrela 3</v>
      </c>
      <c r="P3296" s="5">
        <f>IFERROR(__xludf.DUMMYFUNCTION("""COMPUTED_VALUE"""),824.0)</f>
        <v>824</v>
      </c>
      <c r="Q3296" s="5" t="str">
        <f>IFERROR(__xludf.DUMMYFUNCTION("""COMPUTED_VALUE"""),"Glengarry Glen Ross")</f>
        <v>Glengarry Glen Ross</v>
      </c>
      <c r="R3296" s="5" t="str">
        <f>IFERROR(__xludf.DUMMYFUNCTION("""COMPUTED_VALUE"""),"Alec Baldwin")</f>
        <v>Alec Baldwin</v>
      </c>
      <c r="S3296" s="5" t="str">
        <f>IFERROR(__xludf.DUMMYFUNCTION("""COMPUTED_VALUE"""),"Estrela 3")</f>
        <v>Estrela 3</v>
      </c>
    </row>
    <row r="3297">
      <c r="G3297" s="5" t="str">
        <f>IFERROR(__xludf.DUMMYFUNCTION("""COMPUTED_VALUE"""),"824🤙🏼Glengarry Glen Ross🤙🏼Alan Arkin🤙🏼Estrela 4")</f>
        <v>824🤙🏼Glengarry Glen Ross🤙🏼Alan Arkin🤙🏼Estrela 4</v>
      </c>
      <c r="H3297" s="5">
        <f>IFERROR(__xludf.DUMMYFUNCTION("SPLiT(G3297, ""🤙🏼"",FALSE,FALSE)"),824.0)</f>
        <v>824</v>
      </c>
      <c r="I3297" s="5" t="str">
        <f>IFERROR(__xludf.DUMMYFUNCTION("""COMPUTED_VALUE"""),"Glengarry Glen Ross")</f>
        <v>Glengarry Glen Ross</v>
      </c>
      <c r="J3297" s="5" t="str">
        <f>IFERROR(__xludf.DUMMYFUNCTION("""COMPUTED_VALUE"""),"Alan Arkin")</f>
        <v>Alan Arkin</v>
      </c>
      <c r="K3297" s="5" t="str">
        <f>IFERROR(__xludf.DUMMYFUNCTION("""COMPUTED_VALUE"""),"Estrela 4")</f>
        <v>Estrela 4</v>
      </c>
      <c r="P3297" s="5">
        <f>IFERROR(__xludf.DUMMYFUNCTION("""COMPUTED_VALUE"""),824.0)</f>
        <v>824</v>
      </c>
      <c r="Q3297" s="5" t="str">
        <f>IFERROR(__xludf.DUMMYFUNCTION("""COMPUTED_VALUE"""),"Glengarry Glen Ross")</f>
        <v>Glengarry Glen Ross</v>
      </c>
      <c r="R3297" s="5" t="str">
        <f>IFERROR(__xludf.DUMMYFUNCTION("""COMPUTED_VALUE"""),"Alan Arkin")</f>
        <v>Alan Arkin</v>
      </c>
      <c r="S3297" s="5" t="str">
        <f>IFERROR(__xludf.DUMMYFUNCTION("""COMPUTED_VALUE"""),"Estrela 4")</f>
        <v>Estrela 4</v>
      </c>
    </row>
    <row r="3298">
      <c r="G3298" s="5" t="str">
        <f>IFERROR(__xludf.DUMMYFUNCTION("""COMPUTED_VALUE"""),"825🤙🏼A Few Good Men🤙🏼Tom Cruise🤙🏼Estrela 1")</f>
        <v>825🤙🏼A Few Good Men🤙🏼Tom Cruise🤙🏼Estrela 1</v>
      </c>
      <c r="H3298" s="5">
        <f>IFERROR(__xludf.DUMMYFUNCTION("SPLiT(G3298, ""🤙🏼"",FALSE,FALSE)"),825.0)</f>
        <v>825</v>
      </c>
      <c r="I3298" s="5" t="str">
        <f>IFERROR(__xludf.DUMMYFUNCTION("""COMPUTED_VALUE"""),"A Few Good Men")</f>
        <v>A Few Good Men</v>
      </c>
      <c r="J3298" s="5" t="str">
        <f>IFERROR(__xludf.DUMMYFUNCTION("""COMPUTED_VALUE"""),"Tom Cruise")</f>
        <v>Tom Cruise</v>
      </c>
      <c r="K3298" s="5" t="str">
        <f>IFERROR(__xludf.DUMMYFUNCTION("""COMPUTED_VALUE"""),"Estrela 1")</f>
        <v>Estrela 1</v>
      </c>
      <c r="P3298" s="5">
        <f>IFERROR(__xludf.DUMMYFUNCTION("""COMPUTED_VALUE"""),825.0)</f>
        <v>825</v>
      </c>
      <c r="Q3298" s="5" t="str">
        <f>IFERROR(__xludf.DUMMYFUNCTION("""COMPUTED_VALUE"""),"A Few Good Men")</f>
        <v>A Few Good Men</v>
      </c>
      <c r="R3298" s="5" t="str">
        <f>IFERROR(__xludf.DUMMYFUNCTION("""COMPUTED_VALUE"""),"Tom Cruise")</f>
        <v>Tom Cruise</v>
      </c>
      <c r="S3298" s="5" t="str">
        <f>IFERROR(__xludf.DUMMYFUNCTION("""COMPUTED_VALUE"""),"Estrela 1")</f>
        <v>Estrela 1</v>
      </c>
    </row>
    <row r="3299">
      <c r="G3299" s="5" t="str">
        <f>IFERROR(__xludf.DUMMYFUNCTION("""COMPUTED_VALUE"""),"825🤙🏼A Few Good Men🤙🏼Jack Nicholson🤙🏼Estrela 2")</f>
        <v>825🤙🏼A Few Good Men🤙🏼Jack Nicholson🤙🏼Estrela 2</v>
      </c>
      <c r="H3299" s="5">
        <f>IFERROR(__xludf.DUMMYFUNCTION("SPLiT(G3299, ""🤙🏼"",FALSE,FALSE)"),825.0)</f>
        <v>825</v>
      </c>
      <c r="I3299" s="5" t="str">
        <f>IFERROR(__xludf.DUMMYFUNCTION("""COMPUTED_VALUE"""),"A Few Good Men")</f>
        <v>A Few Good Men</v>
      </c>
      <c r="J3299" s="5" t="str">
        <f>IFERROR(__xludf.DUMMYFUNCTION("""COMPUTED_VALUE"""),"Jack Nicholson")</f>
        <v>Jack Nicholson</v>
      </c>
      <c r="K3299" s="5" t="str">
        <f>IFERROR(__xludf.DUMMYFUNCTION("""COMPUTED_VALUE"""),"Estrela 2")</f>
        <v>Estrela 2</v>
      </c>
      <c r="P3299" s="5">
        <f>IFERROR(__xludf.DUMMYFUNCTION("""COMPUTED_VALUE"""),825.0)</f>
        <v>825</v>
      </c>
      <c r="Q3299" s="5" t="str">
        <f>IFERROR(__xludf.DUMMYFUNCTION("""COMPUTED_VALUE"""),"A Few Good Men")</f>
        <v>A Few Good Men</v>
      </c>
      <c r="R3299" s="5" t="str">
        <f>IFERROR(__xludf.DUMMYFUNCTION("""COMPUTED_VALUE"""),"Jack Nicholson")</f>
        <v>Jack Nicholson</v>
      </c>
      <c r="S3299" s="5" t="str">
        <f>IFERROR(__xludf.DUMMYFUNCTION("""COMPUTED_VALUE"""),"Estrela 2")</f>
        <v>Estrela 2</v>
      </c>
    </row>
    <row r="3300">
      <c r="G3300" s="5" t="str">
        <f>IFERROR(__xludf.DUMMYFUNCTION("""COMPUTED_VALUE"""),"825🤙🏼A Few Good Men🤙🏼Demi Moore🤙🏼Estrela 3")</f>
        <v>825🤙🏼A Few Good Men🤙🏼Demi Moore🤙🏼Estrela 3</v>
      </c>
      <c r="H3300" s="5">
        <f>IFERROR(__xludf.DUMMYFUNCTION("SPLiT(G3300, ""🤙🏼"",FALSE,FALSE)"),825.0)</f>
        <v>825</v>
      </c>
      <c r="I3300" s="5" t="str">
        <f>IFERROR(__xludf.DUMMYFUNCTION("""COMPUTED_VALUE"""),"A Few Good Men")</f>
        <v>A Few Good Men</v>
      </c>
      <c r="J3300" s="5" t="str">
        <f>IFERROR(__xludf.DUMMYFUNCTION("""COMPUTED_VALUE"""),"Demi Moore")</f>
        <v>Demi Moore</v>
      </c>
      <c r="K3300" s="5" t="str">
        <f>IFERROR(__xludf.DUMMYFUNCTION("""COMPUTED_VALUE"""),"Estrela 3")</f>
        <v>Estrela 3</v>
      </c>
      <c r="P3300" s="5">
        <f>IFERROR(__xludf.DUMMYFUNCTION("""COMPUTED_VALUE"""),825.0)</f>
        <v>825</v>
      </c>
      <c r="Q3300" s="5" t="str">
        <f>IFERROR(__xludf.DUMMYFUNCTION("""COMPUTED_VALUE"""),"A Few Good Men")</f>
        <v>A Few Good Men</v>
      </c>
      <c r="R3300" s="5" t="str">
        <f>IFERROR(__xludf.DUMMYFUNCTION("""COMPUTED_VALUE"""),"Demi Moore")</f>
        <v>Demi Moore</v>
      </c>
      <c r="S3300" s="5" t="str">
        <f>IFERROR(__xludf.DUMMYFUNCTION("""COMPUTED_VALUE"""),"Estrela 3")</f>
        <v>Estrela 3</v>
      </c>
    </row>
    <row r="3301">
      <c r="G3301" s="5" t="str">
        <f>IFERROR(__xludf.DUMMYFUNCTION("""COMPUTED_VALUE"""),"825🤙🏼A Few Good Men🤙🏼Kevin Bacon🤙🏼Estrela 4")</f>
        <v>825🤙🏼A Few Good Men🤙🏼Kevin Bacon🤙🏼Estrela 4</v>
      </c>
      <c r="H3301" s="5">
        <f>IFERROR(__xludf.DUMMYFUNCTION("SPLiT(G3301, ""🤙🏼"",FALSE,FALSE)"),825.0)</f>
        <v>825</v>
      </c>
      <c r="I3301" s="5" t="str">
        <f>IFERROR(__xludf.DUMMYFUNCTION("""COMPUTED_VALUE"""),"A Few Good Men")</f>
        <v>A Few Good Men</v>
      </c>
      <c r="J3301" s="5" t="str">
        <f>IFERROR(__xludf.DUMMYFUNCTION("""COMPUTED_VALUE"""),"Kevin Bacon")</f>
        <v>Kevin Bacon</v>
      </c>
      <c r="K3301" s="5" t="str">
        <f>IFERROR(__xludf.DUMMYFUNCTION("""COMPUTED_VALUE"""),"Estrela 4")</f>
        <v>Estrela 4</v>
      </c>
      <c r="P3301" s="5">
        <f>IFERROR(__xludf.DUMMYFUNCTION("""COMPUTED_VALUE"""),825.0)</f>
        <v>825</v>
      </c>
      <c r="Q3301" s="5" t="str">
        <f>IFERROR(__xludf.DUMMYFUNCTION("""COMPUTED_VALUE"""),"A Few Good Men")</f>
        <v>A Few Good Men</v>
      </c>
      <c r="R3301" s="5" t="str">
        <f>IFERROR(__xludf.DUMMYFUNCTION("""COMPUTED_VALUE"""),"Kevin Bacon")</f>
        <v>Kevin Bacon</v>
      </c>
      <c r="S3301" s="5" t="str">
        <f>IFERROR(__xludf.DUMMYFUNCTION("""COMPUTED_VALUE"""),"Estrela 4")</f>
        <v>Estrela 4</v>
      </c>
    </row>
    <row r="3302">
      <c r="G3302" s="5" t="str">
        <f>IFERROR(__xludf.DUMMYFUNCTION("""COMPUTED_VALUE"""),"826🤙🏼Fried Green Tomatoes🤙🏼Kathy Bates🤙🏼Estrela 1")</f>
        <v>826🤙🏼Fried Green Tomatoes🤙🏼Kathy Bates🤙🏼Estrela 1</v>
      </c>
      <c r="H3302" s="5">
        <f>IFERROR(__xludf.DUMMYFUNCTION("SPLiT(G3302, ""🤙🏼"",FALSE,FALSE)"),826.0)</f>
        <v>826</v>
      </c>
      <c r="I3302" s="5" t="str">
        <f>IFERROR(__xludf.DUMMYFUNCTION("""COMPUTED_VALUE"""),"Fried Green Tomatoes")</f>
        <v>Fried Green Tomatoes</v>
      </c>
      <c r="J3302" s="5" t="str">
        <f>IFERROR(__xludf.DUMMYFUNCTION("""COMPUTED_VALUE"""),"Kathy Bates")</f>
        <v>Kathy Bates</v>
      </c>
      <c r="K3302" s="5" t="str">
        <f>IFERROR(__xludf.DUMMYFUNCTION("""COMPUTED_VALUE"""),"Estrela 1")</f>
        <v>Estrela 1</v>
      </c>
      <c r="P3302" s="5">
        <f>IFERROR(__xludf.DUMMYFUNCTION("""COMPUTED_VALUE"""),826.0)</f>
        <v>826</v>
      </c>
      <c r="Q3302" s="5" t="str">
        <f>IFERROR(__xludf.DUMMYFUNCTION("""COMPUTED_VALUE"""),"Fried Green Tomatoes")</f>
        <v>Fried Green Tomatoes</v>
      </c>
      <c r="R3302" s="5" t="str">
        <f>IFERROR(__xludf.DUMMYFUNCTION("""COMPUTED_VALUE"""),"Kathy Bates")</f>
        <v>Kathy Bates</v>
      </c>
      <c r="S3302" s="5" t="str">
        <f>IFERROR(__xludf.DUMMYFUNCTION("""COMPUTED_VALUE"""),"Estrela 1")</f>
        <v>Estrela 1</v>
      </c>
    </row>
    <row r="3303">
      <c r="G3303" s="5" t="str">
        <f>IFERROR(__xludf.DUMMYFUNCTION("""COMPUTED_VALUE"""),"826🤙🏼Fried Green Tomatoes🤙🏼Jessica Tandy🤙🏼Estrela 2")</f>
        <v>826🤙🏼Fried Green Tomatoes🤙🏼Jessica Tandy🤙🏼Estrela 2</v>
      </c>
      <c r="H3303" s="5">
        <f>IFERROR(__xludf.DUMMYFUNCTION("SPLiT(G3303, ""🤙🏼"",FALSE,FALSE)"),826.0)</f>
        <v>826</v>
      </c>
      <c r="I3303" s="5" t="str">
        <f>IFERROR(__xludf.DUMMYFUNCTION("""COMPUTED_VALUE"""),"Fried Green Tomatoes")</f>
        <v>Fried Green Tomatoes</v>
      </c>
      <c r="J3303" s="5" t="str">
        <f>IFERROR(__xludf.DUMMYFUNCTION("""COMPUTED_VALUE"""),"Jessica Tandy")</f>
        <v>Jessica Tandy</v>
      </c>
      <c r="K3303" s="5" t="str">
        <f>IFERROR(__xludf.DUMMYFUNCTION("""COMPUTED_VALUE"""),"Estrela 2")</f>
        <v>Estrela 2</v>
      </c>
      <c r="P3303" s="5">
        <f>IFERROR(__xludf.DUMMYFUNCTION("""COMPUTED_VALUE"""),826.0)</f>
        <v>826</v>
      </c>
      <c r="Q3303" s="5" t="str">
        <f>IFERROR(__xludf.DUMMYFUNCTION("""COMPUTED_VALUE"""),"Fried Green Tomatoes")</f>
        <v>Fried Green Tomatoes</v>
      </c>
      <c r="R3303" s="5" t="str">
        <f>IFERROR(__xludf.DUMMYFUNCTION("""COMPUTED_VALUE"""),"Jessica Tandy")</f>
        <v>Jessica Tandy</v>
      </c>
      <c r="S3303" s="5" t="str">
        <f>IFERROR(__xludf.DUMMYFUNCTION("""COMPUTED_VALUE"""),"Estrela 2")</f>
        <v>Estrela 2</v>
      </c>
    </row>
    <row r="3304">
      <c r="G3304" s="5" t="str">
        <f>IFERROR(__xludf.DUMMYFUNCTION("""COMPUTED_VALUE"""),"826🤙🏼Fried Green Tomatoes🤙🏼Mary Stuart Masterson🤙🏼Estrela 3")</f>
        <v>826🤙🏼Fried Green Tomatoes🤙🏼Mary Stuart Masterson🤙🏼Estrela 3</v>
      </c>
      <c r="H3304" s="5">
        <f>IFERROR(__xludf.DUMMYFUNCTION("SPLiT(G3304, ""🤙🏼"",FALSE,FALSE)"),826.0)</f>
        <v>826</v>
      </c>
      <c r="I3304" s="5" t="str">
        <f>IFERROR(__xludf.DUMMYFUNCTION("""COMPUTED_VALUE"""),"Fried Green Tomatoes")</f>
        <v>Fried Green Tomatoes</v>
      </c>
      <c r="J3304" s="5" t="str">
        <f>IFERROR(__xludf.DUMMYFUNCTION("""COMPUTED_VALUE"""),"Mary Stuart Masterson")</f>
        <v>Mary Stuart Masterson</v>
      </c>
      <c r="K3304" s="5" t="str">
        <f>IFERROR(__xludf.DUMMYFUNCTION("""COMPUTED_VALUE"""),"Estrela 3")</f>
        <v>Estrela 3</v>
      </c>
      <c r="P3304" s="5">
        <f>IFERROR(__xludf.DUMMYFUNCTION("""COMPUTED_VALUE"""),826.0)</f>
        <v>826</v>
      </c>
      <c r="Q3304" s="5" t="str">
        <f>IFERROR(__xludf.DUMMYFUNCTION("""COMPUTED_VALUE"""),"Fried Green Tomatoes")</f>
        <v>Fried Green Tomatoes</v>
      </c>
      <c r="R3304" s="5" t="str">
        <f>IFERROR(__xludf.DUMMYFUNCTION("""COMPUTED_VALUE"""),"Mary Stuart Masterson")</f>
        <v>Mary Stuart Masterson</v>
      </c>
      <c r="S3304" s="5" t="str">
        <f>IFERROR(__xludf.DUMMYFUNCTION("""COMPUTED_VALUE"""),"Estrela 3")</f>
        <v>Estrela 3</v>
      </c>
    </row>
    <row r="3305">
      <c r="G3305" s="5" t="str">
        <f>IFERROR(__xludf.DUMMYFUNCTION("""COMPUTED_VALUE"""),"826🤙🏼Fried Green Tomatoes🤙🏼Mary-Louise Parker🤙🏼Estrela 4")</f>
        <v>826🤙🏼Fried Green Tomatoes🤙🏼Mary-Louise Parker🤙🏼Estrela 4</v>
      </c>
      <c r="H3305" s="5">
        <f>IFERROR(__xludf.DUMMYFUNCTION("SPLiT(G3305, ""🤙🏼"",FALSE,FALSE)"),826.0)</f>
        <v>826</v>
      </c>
      <c r="I3305" s="5" t="str">
        <f>IFERROR(__xludf.DUMMYFUNCTION("""COMPUTED_VALUE"""),"Fried Green Tomatoes")</f>
        <v>Fried Green Tomatoes</v>
      </c>
      <c r="J3305" s="5" t="str">
        <f>IFERROR(__xludf.DUMMYFUNCTION("""COMPUTED_VALUE"""),"Mary-Louise Parker")</f>
        <v>Mary-Louise Parker</v>
      </c>
      <c r="K3305" s="5" t="str">
        <f>IFERROR(__xludf.DUMMYFUNCTION("""COMPUTED_VALUE"""),"Estrela 4")</f>
        <v>Estrela 4</v>
      </c>
      <c r="P3305" s="5">
        <f>IFERROR(__xludf.DUMMYFUNCTION("""COMPUTED_VALUE"""),826.0)</f>
        <v>826</v>
      </c>
      <c r="Q3305" s="5" t="str">
        <f>IFERROR(__xludf.DUMMYFUNCTION("""COMPUTED_VALUE"""),"Fried Green Tomatoes")</f>
        <v>Fried Green Tomatoes</v>
      </c>
      <c r="R3305" s="5" t="str">
        <f>IFERROR(__xludf.DUMMYFUNCTION("""COMPUTED_VALUE"""),"Mary-Louise Parker")</f>
        <v>Mary-Louise Parker</v>
      </c>
      <c r="S3305" s="5" t="str">
        <f>IFERROR(__xludf.DUMMYFUNCTION("""COMPUTED_VALUE"""),"Estrela 4")</f>
        <v>Estrela 4</v>
      </c>
    </row>
    <row r="3306">
      <c r="G3306" s="5" t="str">
        <f>IFERROR(__xludf.DUMMYFUNCTION("""COMPUTED_VALUE"""),"827🤙🏼Barton Fink🤙🏼Ethan Coen🤙🏼Estrela 1")</f>
        <v>827🤙🏼Barton Fink🤙🏼Ethan Coen🤙🏼Estrela 1</v>
      </c>
      <c r="H3306" s="5">
        <f>IFERROR(__xludf.DUMMYFUNCTION("SPLiT(G3306, ""🤙🏼"",FALSE,FALSE)"),827.0)</f>
        <v>827</v>
      </c>
      <c r="I3306" s="5" t="str">
        <f>IFERROR(__xludf.DUMMYFUNCTION("""COMPUTED_VALUE"""),"Barton Fink")</f>
        <v>Barton Fink</v>
      </c>
      <c r="J3306" s="5" t="str">
        <f>IFERROR(__xludf.DUMMYFUNCTION("""COMPUTED_VALUE"""),"Ethan Coen")</f>
        <v>Ethan Coen</v>
      </c>
      <c r="K3306" s="5" t="str">
        <f>IFERROR(__xludf.DUMMYFUNCTION("""COMPUTED_VALUE"""),"Estrela 1")</f>
        <v>Estrela 1</v>
      </c>
      <c r="P3306" s="5">
        <f>IFERROR(__xludf.DUMMYFUNCTION("""COMPUTED_VALUE"""),827.0)</f>
        <v>827</v>
      </c>
      <c r="Q3306" s="5" t="str">
        <f>IFERROR(__xludf.DUMMYFUNCTION("""COMPUTED_VALUE"""),"Barton Fink")</f>
        <v>Barton Fink</v>
      </c>
      <c r="R3306" s="5" t="str">
        <f>IFERROR(__xludf.DUMMYFUNCTION("""COMPUTED_VALUE"""),"Ethan Coen")</f>
        <v>Ethan Coen</v>
      </c>
      <c r="S3306" s="5" t="str">
        <f>IFERROR(__xludf.DUMMYFUNCTION("""COMPUTED_VALUE"""),"Estrela 1")</f>
        <v>Estrela 1</v>
      </c>
    </row>
    <row r="3307">
      <c r="G3307" s="5" t="str">
        <f>IFERROR(__xludf.DUMMYFUNCTION("""COMPUTED_VALUE"""),"827🤙🏼Barton Fink🤙🏼John Turturro🤙🏼Estrela 2")</f>
        <v>827🤙🏼Barton Fink🤙🏼John Turturro🤙🏼Estrela 2</v>
      </c>
      <c r="H3307" s="5">
        <f>IFERROR(__xludf.DUMMYFUNCTION("SPLiT(G3307, ""🤙🏼"",FALSE,FALSE)"),827.0)</f>
        <v>827</v>
      </c>
      <c r="I3307" s="5" t="str">
        <f>IFERROR(__xludf.DUMMYFUNCTION("""COMPUTED_VALUE"""),"Barton Fink")</f>
        <v>Barton Fink</v>
      </c>
      <c r="J3307" s="5" t="str">
        <f>IFERROR(__xludf.DUMMYFUNCTION("""COMPUTED_VALUE"""),"John Turturro")</f>
        <v>John Turturro</v>
      </c>
      <c r="K3307" s="5" t="str">
        <f>IFERROR(__xludf.DUMMYFUNCTION("""COMPUTED_VALUE"""),"Estrela 2")</f>
        <v>Estrela 2</v>
      </c>
      <c r="P3307" s="5">
        <f>IFERROR(__xludf.DUMMYFUNCTION("""COMPUTED_VALUE"""),827.0)</f>
        <v>827</v>
      </c>
      <c r="Q3307" s="5" t="str">
        <f>IFERROR(__xludf.DUMMYFUNCTION("""COMPUTED_VALUE"""),"Barton Fink")</f>
        <v>Barton Fink</v>
      </c>
      <c r="R3307" s="5" t="str">
        <f>IFERROR(__xludf.DUMMYFUNCTION("""COMPUTED_VALUE"""),"John Turturro")</f>
        <v>John Turturro</v>
      </c>
      <c r="S3307" s="5" t="str">
        <f>IFERROR(__xludf.DUMMYFUNCTION("""COMPUTED_VALUE"""),"Estrela 2")</f>
        <v>Estrela 2</v>
      </c>
    </row>
    <row r="3308">
      <c r="G3308" s="5" t="str">
        <f>IFERROR(__xludf.DUMMYFUNCTION("""COMPUTED_VALUE"""),"827🤙🏼Barton Fink🤙🏼John Goodman🤙🏼Estrela 3")</f>
        <v>827🤙🏼Barton Fink🤙🏼John Goodman🤙🏼Estrela 3</v>
      </c>
      <c r="H3308" s="5">
        <f>IFERROR(__xludf.DUMMYFUNCTION("SPLiT(G3308, ""🤙🏼"",FALSE,FALSE)"),827.0)</f>
        <v>827</v>
      </c>
      <c r="I3308" s="5" t="str">
        <f>IFERROR(__xludf.DUMMYFUNCTION("""COMPUTED_VALUE"""),"Barton Fink")</f>
        <v>Barton Fink</v>
      </c>
      <c r="J3308" s="5" t="str">
        <f>IFERROR(__xludf.DUMMYFUNCTION("""COMPUTED_VALUE"""),"John Goodman")</f>
        <v>John Goodman</v>
      </c>
      <c r="K3308" s="5" t="str">
        <f>IFERROR(__xludf.DUMMYFUNCTION("""COMPUTED_VALUE"""),"Estrela 3")</f>
        <v>Estrela 3</v>
      </c>
      <c r="P3308" s="5">
        <f>IFERROR(__xludf.DUMMYFUNCTION("""COMPUTED_VALUE"""),827.0)</f>
        <v>827</v>
      </c>
      <c r="Q3308" s="5" t="str">
        <f>IFERROR(__xludf.DUMMYFUNCTION("""COMPUTED_VALUE"""),"Barton Fink")</f>
        <v>Barton Fink</v>
      </c>
      <c r="R3308" s="5" t="str">
        <f>IFERROR(__xludf.DUMMYFUNCTION("""COMPUTED_VALUE"""),"John Goodman")</f>
        <v>John Goodman</v>
      </c>
      <c r="S3308" s="5" t="str">
        <f>IFERROR(__xludf.DUMMYFUNCTION("""COMPUTED_VALUE"""),"Estrela 3")</f>
        <v>Estrela 3</v>
      </c>
    </row>
    <row r="3309">
      <c r="G3309" s="5" t="str">
        <f>IFERROR(__xludf.DUMMYFUNCTION("""COMPUTED_VALUE"""),"827🤙🏼Barton Fink🤙🏼Judy Davis🤙🏼Estrela 4")</f>
        <v>827🤙🏼Barton Fink🤙🏼Judy Davis🤙🏼Estrela 4</v>
      </c>
      <c r="H3309" s="5">
        <f>IFERROR(__xludf.DUMMYFUNCTION("SPLiT(G3309, ""🤙🏼"",FALSE,FALSE)"),827.0)</f>
        <v>827</v>
      </c>
      <c r="I3309" s="5" t="str">
        <f>IFERROR(__xludf.DUMMYFUNCTION("""COMPUTED_VALUE"""),"Barton Fink")</f>
        <v>Barton Fink</v>
      </c>
      <c r="J3309" s="5" t="str">
        <f>IFERROR(__xludf.DUMMYFUNCTION("""COMPUTED_VALUE"""),"Judy Davis")</f>
        <v>Judy Davis</v>
      </c>
      <c r="K3309" s="5" t="str">
        <f>IFERROR(__xludf.DUMMYFUNCTION("""COMPUTED_VALUE"""),"Estrela 4")</f>
        <v>Estrela 4</v>
      </c>
      <c r="P3309" s="5">
        <f>IFERROR(__xludf.DUMMYFUNCTION("""COMPUTED_VALUE"""),827.0)</f>
        <v>827</v>
      </c>
      <c r="Q3309" s="5" t="str">
        <f>IFERROR(__xludf.DUMMYFUNCTION("""COMPUTED_VALUE"""),"Barton Fink")</f>
        <v>Barton Fink</v>
      </c>
      <c r="R3309" s="5" t="str">
        <f>IFERROR(__xludf.DUMMYFUNCTION("""COMPUTED_VALUE"""),"Judy Davis")</f>
        <v>Judy Davis</v>
      </c>
      <c r="S3309" s="5" t="str">
        <f>IFERROR(__xludf.DUMMYFUNCTION("""COMPUTED_VALUE"""),"Estrela 4")</f>
        <v>Estrela 4</v>
      </c>
    </row>
    <row r="3310">
      <c r="G3310" s="5" t="str">
        <f>IFERROR(__xludf.DUMMYFUNCTION("""COMPUTED_VALUE"""),"828🤙🏼Miller's Crossing🤙🏼Ethan Coen🤙🏼Estrela 1")</f>
        <v>828🤙🏼Miller's Crossing🤙🏼Ethan Coen🤙🏼Estrela 1</v>
      </c>
      <c r="H3310" s="5">
        <f>IFERROR(__xludf.DUMMYFUNCTION("SPLiT(G3310, ""🤙🏼"",FALSE,FALSE)"),828.0)</f>
        <v>828</v>
      </c>
      <c r="I3310" s="5" t="str">
        <f>IFERROR(__xludf.DUMMYFUNCTION("""COMPUTED_VALUE"""),"Miller's Crossing")</f>
        <v>Miller's Crossing</v>
      </c>
      <c r="J3310" s="5" t="str">
        <f>IFERROR(__xludf.DUMMYFUNCTION("""COMPUTED_VALUE"""),"Ethan Coen")</f>
        <v>Ethan Coen</v>
      </c>
      <c r="K3310" s="5" t="str">
        <f>IFERROR(__xludf.DUMMYFUNCTION("""COMPUTED_VALUE"""),"Estrela 1")</f>
        <v>Estrela 1</v>
      </c>
      <c r="P3310" s="5">
        <f>IFERROR(__xludf.DUMMYFUNCTION("""COMPUTED_VALUE"""),828.0)</f>
        <v>828</v>
      </c>
      <c r="Q3310" s="5" t="str">
        <f>IFERROR(__xludf.DUMMYFUNCTION("""COMPUTED_VALUE"""),"Miller's Crossing")</f>
        <v>Miller's Crossing</v>
      </c>
      <c r="R3310" s="5" t="str">
        <f>IFERROR(__xludf.DUMMYFUNCTION("""COMPUTED_VALUE"""),"Ethan Coen")</f>
        <v>Ethan Coen</v>
      </c>
      <c r="S3310" s="5" t="str">
        <f>IFERROR(__xludf.DUMMYFUNCTION("""COMPUTED_VALUE"""),"Estrela 1")</f>
        <v>Estrela 1</v>
      </c>
    </row>
    <row r="3311">
      <c r="G3311" s="5" t="str">
        <f>IFERROR(__xludf.DUMMYFUNCTION("""COMPUTED_VALUE"""),"828🤙🏼Miller's Crossing🤙🏼Gabriel Byrne🤙🏼Estrela 2")</f>
        <v>828🤙🏼Miller's Crossing🤙🏼Gabriel Byrne🤙🏼Estrela 2</v>
      </c>
      <c r="H3311" s="5">
        <f>IFERROR(__xludf.DUMMYFUNCTION("SPLiT(G3311, ""🤙🏼"",FALSE,FALSE)"),828.0)</f>
        <v>828</v>
      </c>
      <c r="I3311" s="5" t="str">
        <f>IFERROR(__xludf.DUMMYFUNCTION("""COMPUTED_VALUE"""),"Miller's Crossing")</f>
        <v>Miller's Crossing</v>
      </c>
      <c r="J3311" s="5" t="str">
        <f>IFERROR(__xludf.DUMMYFUNCTION("""COMPUTED_VALUE"""),"Gabriel Byrne")</f>
        <v>Gabriel Byrne</v>
      </c>
      <c r="K3311" s="5" t="str">
        <f>IFERROR(__xludf.DUMMYFUNCTION("""COMPUTED_VALUE"""),"Estrela 2")</f>
        <v>Estrela 2</v>
      </c>
      <c r="P3311" s="5">
        <f>IFERROR(__xludf.DUMMYFUNCTION("""COMPUTED_VALUE"""),828.0)</f>
        <v>828</v>
      </c>
      <c r="Q3311" s="5" t="str">
        <f>IFERROR(__xludf.DUMMYFUNCTION("""COMPUTED_VALUE"""),"Miller's Crossing")</f>
        <v>Miller's Crossing</v>
      </c>
      <c r="R3311" s="5" t="str">
        <f>IFERROR(__xludf.DUMMYFUNCTION("""COMPUTED_VALUE"""),"Gabriel Byrne")</f>
        <v>Gabriel Byrne</v>
      </c>
      <c r="S3311" s="5" t="str">
        <f>IFERROR(__xludf.DUMMYFUNCTION("""COMPUTED_VALUE"""),"Estrela 2")</f>
        <v>Estrela 2</v>
      </c>
    </row>
    <row r="3312">
      <c r="G3312" s="5" t="str">
        <f>IFERROR(__xludf.DUMMYFUNCTION("""COMPUTED_VALUE"""),"828🤙🏼Miller's Crossing🤙🏼Albert Finney🤙🏼Estrela 3")</f>
        <v>828🤙🏼Miller's Crossing🤙🏼Albert Finney🤙🏼Estrela 3</v>
      </c>
      <c r="H3312" s="5">
        <f>IFERROR(__xludf.DUMMYFUNCTION("SPLiT(G3312, ""🤙🏼"",FALSE,FALSE)"),828.0)</f>
        <v>828</v>
      </c>
      <c r="I3312" s="5" t="str">
        <f>IFERROR(__xludf.DUMMYFUNCTION("""COMPUTED_VALUE"""),"Miller's Crossing")</f>
        <v>Miller's Crossing</v>
      </c>
      <c r="J3312" s="5" t="str">
        <f>IFERROR(__xludf.DUMMYFUNCTION("""COMPUTED_VALUE"""),"Albert Finney")</f>
        <v>Albert Finney</v>
      </c>
      <c r="K3312" s="5" t="str">
        <f>IFERROR(__xludf.DUMMYFUNCTION("""COMPUTED_VALUE"""),"Estrela 3")</f>
        <v>Estrela 3</v>
      </c>
      <c r="P3312" s="5">
        <f>IFERROR(__xludf.DUMMYFUNCTION("""COMPUTED_VALUE"""),828.0)</f>
        <v>828</v>
      </c>
      <c r="Q3312" s="5" t="str">
        <f>IFERROR(__xludf.DUMMYFUNCTION("""COMPUTED_VALUE"""),"Miller's Crossing")</f>
        <v>Miller's Crossing</v>
      </c>
      <c r="R3312" s="5" t="str">
        <f>IFERROR(__xludf.DUMMYFUNCTION("""COMPUTED_VALUE"""),"Albert Finney")</f>
        <v>Albert Finney</v>
      </c>
      <c r="S3312" s="5" t="str">
        <f>IFERROR(__xludf.DUMMYFUNCTION("""COMPUTED_VALUE"""),"Estrela 3")</f>
        <v>Estrela 3</v>
      </c>
    </row>
    <row r="3313">
      <c r="G3313" s="5" t="str">
        <f>IFERROR(__xludf.DUMMYFUNCTION("""COMPUTED_VALUE"""),"828🤙🏼Miller's Crossing🤙🏼John Turturro🤙🏼Estrela 4")</f>
        <v>828🤙🏼Miller's Crossing🤙🏼John Turturro🤙🏼Estrela 4</v>
      </c>
      <c r="H3313" s="5">
        <f>IFERROR(__xludf.DUMMYFUNCTION("SPLiT(G3313, ""🤙🏼"",FALSE,FALSE)"),828.0)</f>
        <v>828</v>
      </c>
      <c r="I3313" s="5" t="str">
        <f>IFERROR(__xludf.DUMMYFUNCTION("""COMPUTED_VALUE"""),"Miller's Crossing")</f>
        <v>Miller's Crossing</v>
      </c>
      <c r="J3313" s="5" t="str">
        <f>IFERROR(__xludf.DUMMYFUNCTION("""COMPUTED_VALUE"""),"John Turturro")</f>
        <v>John Turturro</v>
      </c>
      <c r="K3313" s="5" t="str">
        <f>IFERROR(__xludf.DUMMYFUNCTION("""COMPUTED_VALUE"""),"Estrela 4")</f>
        <v>Estrela 4</v>
      </c>
      <c r="P3313" s="5">
        <f>IFERROR(__xludf.DUMMYFUNCTION("""COMPUTED_VALUE"""),828.0)</f>
        <v>828</v>
      </c>
      <c r="Q3313" s="5" t="str">
        <f>IFERROR(__xludf.DUMMYFUNCTION("""COMPUTED_VALUE"""),"Miller's Crossing")</f>
        <v>Miller's Crossing</v>
      </c>
      <c r="R3313" s="5" t="str">
        <f>IFERROR(__xludf.DUMMYFUNCTION("""COMPUTED_VALUE"""),"John Turturro")</f>
        <v>John Turturro</v>
      </c>
      <c r="S3313" s="5" t="str">
        <f>IFERROR(__xludf.DUMMYFUNCTION("""COMPUTED_VALUE"""),"Estrela 4")</f>
        <v>Estrela 4</v>
      </c>
    </row>
    <row r="3314">
      <c r="G3314" s="5" t="str">
        <f>IFERROR(__xludf.DUMMYFUNCTION("""COMPUTED_VALUE"""),"829🤙🏼Who Framed Roger Rabbit🤙🏼Bob Hoskins🤙🏼Estrela 1")</f>
        <v>829🤙🏼Who Framed Roger Rabbit🤙🏼Bob Hoskins🤙🏼Estrela 1</v>
      </c>
      <c r="H3314" s="5">
        <f>IFERROR(__xludf.DUMMYFUNCTION("SPLiT(G3314, ""🤙🏼"",FALSE,FALSE)"),829.0)</f>
        <v>829</v>
      </c>
      <c r="I3314" s="5" t="str">
        <f>IFERROR(__xludf.DUMMYFUNCTION("""COMPUTED_VALUE"""),"Who Framed Roger Rabbit")</f>
        <v>Who Framed Roger Rabbit</v>
      </c>
      <c r="J3314" s="5" t="str">
        <f>IFERROR(__xludf.DUMMYFUNCTION("""COMPUTED_VALUE"""),"Bob Hoskins")</f>
        <v>Bob Hoskins</v>
      </c>
      <c r="K3314" s="5" t="str">
        <f>IFERROR(__xludf.DUMMYFUNCTION("""COMPUTED_VALUE"""),"Estrela 1")</f>
        <v>Estrela 1</v>
      </c>
      <c r="P3314" s="5">
        <f>IFERROR(__xludf.DUMMYFUNCTION("""COMPUTED_VALUE"""),829.0)</f>
        <v>829</v>
      </c>
      <c r="Q3314" s="5" t="str">
        <f>IFERROR(__xludf.DUMMYFUNCTION("""COMPUTED_VALUE"""),"Who Framed Roger Rabbit")</f>
        <v>Who Framed Roger Rabbit</v>
      </c>
      <c r="R3314" s="5" t="str">
        <f>IFERROR(__xludf.DUMMYFUNCTION("""COMPUTED_VALUE"""),"Bob Hoskins")</f>
        <v>Bob Hoskins</v>
      </c>
      <c r="S3314" s="5" t="str">
        <f>IFERROR(__xludf.DUMMYFUNCTION("""COMPUTED_VALUE"""),"Estrela 1")</f>
        <v>Estrela 1</v>
      </c>
    </row>
    <row r="3315">
      <c r="G3315" s="5" t="str">
        <f>IFERROR(__xludf.DUMMYFUNCTION("""COMPUTED_VALUE"""),"829🤙🏼Who Framed Roger Rabbit🤙🏼Christopher Lloyd🤙🏼Estrela 2")</f>
        <v>829🤙🏼Who Framed Roger Rabbit🤙🏼Christopher Lloyd🤙🏼Estrela 2</v>
      </c>
      <c r="H3315" s="5">
        <f>IFERROR(__xludf.DUMMYFUNCTION("SPLiT(G3315, ""🤙🏼"",FALSE,FALSE)"),829.0)</f>
        <v>829</v>
      </c>
      <c r="I3315" s="5" t="str">
        <f>IFERROR(__xludf.DUMMYFUNCTION("""COMPUTED_VALUE"""),"Who Framed Roger Rabbit")</f>
        <v>Who Framed Roger Rabbit</v>
      </c>
      <c r="J3315" s="5" t="str">
        <f>IFERROR(__xludf.DUMMYFUNCTION("""COMPUTED_VALUE"""),"Christopher Lloyd")</f>
        <v>Christopher Lloyd</v>
      </c>
      <c r="K3315" s="5" t="str">
        <f>IFERROR(__xludf.DUMMYFUNCTION("""COMPUTED_VALUE"""),"Estrela 2")</f>
        <v>Estrela 2</v>
      </c>
      <c r="P3315" s="5">
        <f>IFERROR(__xludf.DUMMYFUNCTION("""COMPUTED_VALUE"""),829.0)</f>
        <v>829</v>
      </c>
      <c r="Q3315" s="5" t="str">
        <f>IFERROR(__xludf.DUMMYFUNCTION("""COMPUTED_VALUE"""),"Who Framed Roger Rabbit")</f>
        <v>Who Framed Roger Rabbit</v>
      </c>
      <c r="R3315" s="5" t="str">
        <f>IFERROR(__xludf.DUMMYFUNCTION("""COMPUTED_VALUE"""),"Christopher Lloyd")</f>
        <v>Christopher Lloyd</v>
      </c>
      <c r="S3315" s="5" t="str">
        <f>IFERROR(__xludf.DUMMYFUNCTION("""COMPUTED_VALUE"""),"Estrela 2")</f>
        <v>Estrela 2</v>
      </c>
    </row>
    <row r="3316">
      <c r="G3316" s="5" t="str">
        <f>IFERROR(__xludf.DUMMYFUNCTION("""COMPUTED_VALUE"""),"829🤙🏼Who Framed Roger Rabbit🤙🏼Joanna Cassidy🤙🏼Estrela 3")</f>
        <v>829🤙🏼Who Framed Roger Rabbit🤙🏼Joanna Cassidy🤙🏼Estrela 3</v>
      </c>
      <c r="H3316" s="5">
        <f>IFERROR(__xludf.DUMMYFUNCTION("SPLiT(G3316, ""🤙🏼"",FALSE,FALSE)"),829.0)</f>
        <v>829</v>
      </c>
      <c r="I3316" s="5" t="str">
        <f>IFERROR(__xludf.DUMMYFUNCTION("""COMPUTED_VALUE"""),"Who Framed Roger Rabbit")</f>
        <v>Who Framed Roger Rabbit</v>
      </c>
      <c r="J3316" s="5" t="str">
        <f>IFERROR(__xludf.DUMMYFUNCTION("""COMPUTED_VALUE"""),"Joanna Cassidy")</f>
        <v>Joanna Cassidy</v>
      </c>
      <c r="K3316" s="5" t="str">
        <f>IFERROR(__xludf.DUMMYFUNCTION("""COMPUTED_VALUE"""),"Estrela 3")</f>
        <v>Estrela 3</v>
      </c>
      <c r="P3316" s="5">
        <f>IFERROR(__xludf.DUMMYFUNCTION("""COMPUTED_VALUE"""),829.0)</f>
        <v>829</v>
      </c>
      <c r="Q3316" s="5" t="str">
        <f>IFERROR(__xludf.DUMMYFUNCTION("""COMPUTED_VALUE"""),"Who Framed Roger Rabbit")</f>
        <v>Who Framed Roger Rabbit</v>
      </c>
      <c r="R3316" s="5" t="str">
        <f>IFERROR(__xludf.DUMMYFUNCTION("""COMPUTED_VALUE"""),"Joanna Cassidy")</f>
        <v>Joanna Cassidy</v>
      </c>
      <c r="S3316" s="5" t="str">
        <f>IFERROR(__xludf.DUMMYFUNCTION("""COMPUTED_VALUE"""),"Estrela 3")</f>
        <v>Estrela 3</v>
      </c>
    </row>
    <row r="3317">
      <c r="G3317" s="5" t="str">
        <f>IFERROR(__xludf.DUMMYFUNCTION("""COMPUTED_VALUE"""),"829🤙🏼Who Framed Roger Rabbit🤙🏼Charles Fleischer🤙🏼Estrela 4")</f>
        <v>829🤙🏼Who Framed Roger Rabbit🤙🏼Charles Fleischer🤙🏼Estrela 4</v>
      </c>
      <c r="H3317" s="5">
        <f>IFERROR(__xludf.DUMMYFUNCTION("SPLiT(G3317, ""🤙🏼"",FALSE,FALSE)"),829.0)</f>
        <v>829</v>
      </c>
      <c r="I3317" s="5" t="str">
        <f>IFERROR(__xludf.DUMMYFUNCTION("""COMPUTED_VALUE"""),"Who Framed Roger Rabbit")</f>
        <v>Who Framed Roger Rabbit</v>
      </c>
      <c r="J3317" s="5" t="str">
        <f>IFERROR(__xludf.DUMMYFUNCTION("""COMPUTED_VALUE"""),"Charles Fleischer")</f>
        <v>Charles Fleischer</v>
      </c>
      <c r="K3317" s="5" t="str">
        <f>IFERROR(__xludf.DUMMYFUNCTION("""COMPUTED_VALUE"""),"Estrela 4")</f>
        <v>Estrela 4</v>
      </c>
      <c r="P3317" s="5">
        <f>IFERROR(__xludf.DUMMYFUNCTION("""COMPUTED_VALUE"""),829.0)</f>
        <v>829</v>
      </c>
      <c r="Q3317" s="5" t="str">
        <f>IFERROR(__xludf.DUMMYFUNCTION("""COMPUTED_VALUE"""),"Who Framed Roger Rabbit")</f>
        <v>Who Framed Roger Rabbit</v>
      </c>
      <c r="R3317" s="5" t="str">
        <f>IFERROR(__xludf.DUMMYFUNCTION("""COMPUTED_VALUE"""),"Charles Fleischer")</f>
        <v>Charles Fleischer</v>
      </c>
      <c r="S3317" s="5" t="str">
        <f>IFERROR(__xludf.DUMMYFUNCTION("""COMPUTED_VALUE"""),"Estrela 4")</f>
        <v>Estrela 4</v>
      </c>
    </row>
    <row r="3318">
      <c r="G3318" s="5" t="str">
        <f>IFERROR(__xludf.DUMMYFUNCTION("""COMPUTED_VALUE"""),"830🤙🏼Spoorloos🤙🏼Bernard-Pierre Donnadieu🤙🏼Estrela 1")</f>
        <v>830🤙🏼Spoorloos🤙🏼Bernard-Pierre Donnadieu🤙🏼Estrela 1</v>
      </c>
      <c r="H3318" s="5">
        <f>IFERROR(__xludf.DUMMYFUNCTION("SPLiT(G3318, ""🤙🏼"",FALSE,FALSE)"),830.0)</f>
        <v>830</v>
      </c>
      <c r="I3318" s="5" t="str">
        <f>IFERROR(__xludf.DUMMYFUNCTION("""COMPUTED_VALUE"""),"Spoorloos")</f>
        <v>Spoorloos</v>
      </c>
      <c r="J3318" s="5" t="str">
        <f>IFERROR(__xludf.DUMMYFUNCTION("""COMPUTED_VALUE"""),"Bernard-Pierre Donnadieu")</f>
        <v>Bernard-Pierre Donnadieu</v>
      </c>
      <c r="K3318" s="5" t="str">
        <f>IFERROR(__xludf.DUMMYFUNCTION("""COMPUTED_VALUE"""),"Estrela 1")</f>
        <v>Estrela 1</v>
      </c>
      <c r="P3318" s="5">
        <f>IFERROR(__xludf.DUMMYFUNCTION("""COMPUTED_VALUE"""),830.0)</f>
        <v>830</v>
      </c>
      <c r="Q3318" s="5" t="str">
        <f>IFERROR(__xludf.DUMMYFUNCTION("""COMPUTED_VALUE"""),"Spoorloos")</f>
        <v>Spoorloos</v>
      </c>
      <c r="R3318" s="5" t="str">
        <f>IFERROR(__xludf.DUMMYFUNCTION("""COMPUTED_VALUE"""),"Bernard-Pierre Donnadieu")</f>
        <v>Bernard-Pierre Donnadieu</v>
      </c>
      <c r="S3318" s="5" t="str">
        <f>IFERROR(__xludf.DUMMYFUNCTION("""COMPUTED_VALUE"""),"Estrela 1")</f>
        <v>Estrela 1</v>
      </c>
    </row>
    <row r="3319">
      <c r="G3319" s="5" t="str">
        <f>IFERROR(__xludf.DUMMYFUNCTION("""COMPUTED_VALUE"""),"830🤙🏼Spoorloos🤙🏼Gene Bervoets🤙🏼Estrela 2")</f>
        <v>830🤙🏼Spoorloos🤙🏼Gene Bervoets🤙🏼Estrela 2</v>
      </c>
      <c r="H3319" s="5">
        <f>IFERROR(__xludf.DUMMYFUNCTION("SPLiT(G3319, ""🤙🏼"",FALSE,FALSE)"),830.0)</f>
        <v>830</v>
      </c>
      <c r="I3319" s="5" t="str">
        <f>IFERROR(__xludf.DUMMYFUNCTION("""COMPUTED_VALUE"""),"Spoorloos")</f>
        <v>Spoorloos</v>
      </c>
      <c r="J3319" s="5" t="str">
        <f>IFERROR(__xludf.DUMMYFUNCTION("""COMPUTED_VALUE"""),"Gene Bervoets")</f>
        <v>Gene Bervoets</v>
      </c>
      <c r="K3319" s="5" t="str">
        <f>IFERROR(__xludf.DUMMYFUNCTION("""COMPUTED_VALUE"""),"Estrela 2")</f>
        <v>Estrela 2</v>
      </c>
      <c r="P3319" s="5">
        <f>IFERROR(__xludf.DUMMYFUNCTION("""COMPUTED_VALUE"""),830.0)</f>
        <v>830</v>
      </c>
      <c r="Q3319" s="5" t="str">
        <f>IFERROR(__xludf.DUMMYFUNCTION("""COMPUTED_VALUE"""),"Spoorloos")</f>
        <v>Spoorloos</v>
      </c>
      <c r="R3319" s="5" t="str">
        <f>IFERROR(__xludf.DUMMYFUNCTION("""COMPUTED_VALUE"""),"Gene Bervoets")</f>
        <v>Gene Bervoets</v>
      </c>
      <c r="S3319" s="5" t="str">
        <f>IFERROR(__xludf.DUMMYFUNCTION("""COMPUTED_VALUE"""),"Estrela 2")</f>
        <v>Estrela 2</v>
      </c>
    </row>
    <row r="3320">
      <c r="G3320" s="5" t="str">
        <f>IFERROR(__xludf.DUMMYFUNCTION("""COMPUTED_VALUE"""),"830🤙🏼Spoorloos🤙🏼Johanna ter Steege🤙🏼Estrela 3")</f>
        <v>830🤙🏼Spoorloos🤙🏼Johanna ter Steege🤙🏼Estrela 3</v>
      </c>
      <c r="H3320" s="5">
        <f>IFERROR(__xludf.DUMMYFUNCTION("SPLiT(G3320, ""🤙🏼"",FALSE,FALSE)"),830.0)</f>
        <v>830</v>
      </c>
      <c r="I3320" s="5" t="str">
        <f>IFERROR(__xludf.DUMMYFUNCTION("""COMPUTED_VALUE"""),"Spoorloos")</f>
        <v>Spoorloos</v>
      </c>
      <c r="J3320" s="5" t="str">
        <f>IFERROR(__xludf.DUMMYFUNCTION("""COMPUTED_VALUE"""),"Johanna ter Steege")</f>
        <v>Johanna ter Steege</v>
      </c>
      <c r="K3320" s="5" t="str">
        <f>IFERROR(__xludf.DUMMYFUNCTION("""COMPUTED_VALUE"""),"Estrela 3")</f>
        <v>Estrela 3</v>
      </c>
      <c r="P3320" s="5">
        <f>IFERROR(__xludf.DUMMYFUNCTION("""COMPUTED_VALUE"""),830.0)</f>
        <v>830</v>
      </c>
      <c r="Q3320" s="5" t="str">
        <f>IFERROR(__xludf.DUMMYFUNCTION("""COMPUTED_VALUE"""),"Spoorloos")</f>
        <v>Spoorloos</v>
      </c>
      <c r="R3320" s="5" t="str">
        <f>IFERROR(__xludf.DUMMYFUNCTION("""COMPUTED_VALUE"""),"Johanna ter Steege")</f>
        <v>Johanna ter Steege</v>
      </c>
      <c r="S3320" s="5" t="str">
        <f>IFERROR(__xludf.DUMMYFUNCTION("""COMPUTED_VALUE"""),"Estrela 3")</f>
        <v>Estrela 3</v>
      </c>
    </row>
    <row r="3321">
      <c r="G3321" s="5" t="str">
        <f>IFERROR(__xludf.DUMMYFUNCTION("""COMPUTED_VALUE"""),"830🤙🏼Spoorloos🤙🏼Gwen Eckhaus🤙🏼Estrela 4")</f>
        <v>830🤙🏼Spoorloos🤙🏼Gwen Eckhaus🤙🏼Estrela 4</v>
      </c>
      <c r="H3321" s="5">
        <f>IFERROR(__xludf.DUMMYFUNCTION("SPLiT(G3321, ""🤙🏼"",FALSE,FALSE)"),830.0)</f>
        <v>830</v>
      </c>
      <c r="I3321" s="5" t="str">
        <f>IFERROR(__xludf.DUMMYFUNCTION("""COMPUTED_VALUE"""),"Spoorloos")</f>
        <v>Spoorloos</v>
      </c>
      <c r="J3321" s="5" t="str">
        <f>IFERROR(__xludf.DUMMYFUNCTION("""COMPUTED_VALUE"""),"Gwen Eckhaus")</f>
        <v>Gwen Eckhaus</v>
      </c>
      <c r="K3321" s="5" t="str">
        <f>IFERROR(__xludf.DUMMYFUNCTION("""COMPUTED_VALUE"""),"Estrela 4")</f>
        <v>Estrela 4</v>
      </c>
      <c r="P3321" s="5">
        <f>IFERROR(__xludf.DUMMYFUNCTION("""COMPUTED_VALUE"""),830.0)</f>
        <v>830</v>
      </c>
      <c r="Q3321" s="5" t="str">
        <f>IFERROR(__xludf.DUMMYFUNCTION("""COMPUTED_VALUE"""),"Spoorloos")</f>
        <v>Spoorloos</v>
      </c>
      <c r="R3321" s="5" t="str">
        <f>IFERROR(__xludf.DUMMYFUNCTION("""COMPUTED_VALUE"""),"Gwen Eckhaus")</f>
        <v>Gwen Eckhaus</v>
      </c>
      <c r="S3321" s="5" t="str">
        <f>IFERROR(__xludf.DUMMYFUNCTION("""COMPUTED_VALUE"""),"Estrela 4")</f>
        <v>Estrela 4</v>
      </c>
    </row>
    <row r="3322">
      <c r="G3322" s="5" t="str">
        <f>IFERROR(__xludf.DUMMYFUNCTION("""COMPUTED_VALUE"""),"831🤙🏼Withnail &amp; I🤙🏼Richard E. Grant🤙🏼Estrela 1")</f>
        <v>831🤙🏼Withnail &amp; I🤙🏼Richard E. Grant🤙🏼Estrela 1</v>
      </c>
      <c r="H3322" s="5">
        <f>IFERROR(__xludf.DUMMYFUNCTION("SPLiT(G3322, ""🤙🏼"",FALSE,FALSE)"),831.0)</f>
        <v>831</v>
      </c>
      <c r="I3322" s="5" t="str">
        <f>IFERROR(__xludf.DUMMYFUNCTION("""COMPUTED_VALUE"""),"Withnail &amp; I")</f>
        <v>Withnail &amp; I</v>
      </c>
      <c r="J3322" s="5" t="str">
        <f>IFERROR(__xludf.DUMMYFUNCTION("""COMPUTED_VALUE"""),"Richard E. Grant")</f>
        <v>Richard E. Grant</v>
      </c>
      <c r="K3322" s="5" t="str">
        <f>IFERROR(__xludf.DUMMYFUNCTION("""COMPUTED_VALUE"""),"Estrela 1")</f>
        <v>Estrela 1</v>
      </c>
      <c r="P3322" s="5">
        <f>IFERROR(__xludf.DUMMYFUNCTION("""COMPUTED_VALUE"""),831.0)</f>
        <v>831</v>
      </c>
      <c r="Q3322" s="5" t="str">
        <f>IFERROR(__xludf.DUMMYFUNCTION("""COMPUTED_VALUE"""),"Withnail &amp; I")</f>
        <v>Withnail &amp; I</v>
      </c>
      <c r="R3322" s="5" t="str">
        <f>IFERROR(__xludf.DUMMYFUNCTION("""COMPUTED_VALUE"""),"Richard E. Grant")</f>
        <v>Richard E. Grant</v>
      </c>
      <c r="S3322" s="5" t="str">
        <f>IFERROR(__xludf.DUMMYFUNCTION("""COMPUTED_VALUE"""),"Estrela 1")</f>
        <v>Estrela 1</v>
      </c>
    </row>
    <row r="3323">
      <c r="G3323" s="5" t="str">
        <f>IFERROR(__xludf.DUMMYFUNCTION("""COMPUTED_VALUE"""),"831🤙🏼Withnail &amp; I🤙🏼Paul McGann🤙🏼Estrela 2")</f>
        <v>831🤙🏼Withnail &amp; I🤙🏼Paul McGann🤙🏼Estrela 2</v>
      </c>
      <c r="H3323" s="5">
        <f>IFERROR(__xludf.DUMMYFUNCTION("SPLiT(G3323, ""🤙🏼"",FALSE,FALSE)"),831.0)</f>
        <v>831</v>
      </c>
      <c r="I3323" s="5" t="str">
        <f>IFERROR(__xludf.DUMMYFUNCTION("""COMPUTED_VALUE"""),"Withnail &amp; I")</f>
        <v>Withnail &amp; I</v>
      </c>
      <c r="J3323" s="5" t="str">
        <f>IFERROR(__xludf.DUMMYFUNCTION("""COMPUTED_VALUE"""),"Paul McGann")</f>
        <v>Paul McGann</v>
      </c>
      <c r="K3323" s="5" t="str">
        <f>IFERROR(__xludf.DUMMYFUNCTION("""COMPUTED_VALUE"""),"Estrela 2")</f>
        <v>Estrela 2</v>
      </c>
      <c r="P3323" s="5">
        <f>IFERROR(__xludf.DUMMYFUNCTION("""COMPUTED_VALUE"""),831.0)</f>
        <v>831</v>
      </c>
      <c r="Q3323" s="5" t="str">
        <f>IFERROR(__xludf.DUMMYFUNCTION("""COMPUTED_VALUE"""),"Withnail &amp; I")</f>
        <v>Withnail &amp; I</v>
      </c>
      <c r="R3323" s="5" t="str">
        <f>IFERROR(__xludf.DUMMYFUNCTION("""COMPUTED_VALUE"""),"Paul McGann")</f>
        <v>Paul McGann</v>
      </c>
      <c r="S3323" s="5" t="str">
        <f>IFERROR(__xludf.DUMMYFUNCTION("""COMPUTED_VALUE"""),"Estrela 2")</f>
        <v>Estrela 2</v>
      </c>
    </row>
    <row r="3324">
      <c r="G3324" s="5" t="str">
        <f>IFERROR(__xludf.DUMMYFUNCTION("""COMPUTED_VALUE"""),"831🤙🏼Withnail &amp; I🤙🏼Richard Griffiths🤙🏼Estrela 3")</f>
        <v>831🤙🏼Withnail &amp; I🤙🏼Richard Griffiths🤙🏼Estrela 3</v>
      </c>
      <c r="H3324" s="5">
        <f>IFERROR(__xludf.DUMMYFUNCTION("SPLiT(G3324, ""🤙🏼"",FALSE,FALSE)"),831.0)</f>
        <v>831</v>
      </c>
      <c r="I3324" s="5" t="str">
        <f>IFERROR(__xludf.DUMMYFUNCTION("""COMPUTED_VALUE"""),"Withnail &amp; I")</f>
        <v>Withnail &amp; I</v>
      </c>
      <c r="J3324" s="5" t="str">
        <f>IFERROR(__xludf.DUMMYFUNCTION("""COMPUTED_VALUE"""),"Richard Griffiths")</f>
        <v>Richard Griffiths</v>
      </c>
      <c r="K3324" s="5" t="str">
        <f>IFERROR(__xludf.DUMMYFUNCTION("""COMPUTED_VALUE"""),"Estrela 3")</f>
        <v>Estrela 3</v>
      </c>
      <c r="P3324" s="5">
        <f>IFERROR(__xludf.DUMMYFUNCTION("""COMPUTED_VALUE"""),831.0)</f>
        <v>831</v>
      </c>
      <c r="Q3324" s="5" t="str">
        <f>IFERROR(__xludf.DUMMYFUNCTION("""COMPUTED_VALUE"""),"Withnail &amp; I")</f>
        <v>Withnail &amp; I</v>
      </c>
      <c r="R3324" s="5" t="str">
        <f>IFERROR(__xludf.DUMMYFUNCTION("""COMPUTED_VALUE"""),"Richard Griffiths")</f>
        <v>Richard Griffiths</v>
      </c>
      <c r="S3324" s="5" t="str">
        <f>IFERROR(__xludf.DUMMYFUNCTION("""COMPUTED_VALUE"""),"Estrela 3")</f>
        <v>Estrela 3</v>
      </c>
    </row>
    <row r="3325">
      <c r="G3325" s="5" t="str">
        <f>IFERROR(__xludf.DUMMYFUNCTION("""COMPUTED_VALUE"""),"831🤙🏼Withnail &amp; I🤙🏼Ralph Brown🤙🏼Estrela 4")</f>
        <v>831🤙🏼Withnail &amp; I🤙🏼Ralph Brown🤙🏼Estrela 4</v>
      </c>
      <c r="H3325" s="5">
        <f>IFERROR(__xludf.DUMMYFUNCTION("SPLiT(G3325, ""🤙🏼"",FALSE,FALSE)"),831.0)</f>
        <v>831</v>
      </c>
      <c r="I3325" s="5" t="str">
        <f>IFERROR(__xludf.DUMMYFUNCTION("""COMPUTED_VALUE"""),"Withnail &amp; I")</f>
        <v>Withnail &amp; I</v>
      </c>
      <c r="J3325" s="5" t="str">
        <f>IFERROR(__xludf.DUMMYFUNCTION("""COMPUTED_VALUE"""),"Ralph Brown")</f>
        <v>Ralph Brown</v>
      </c>
      <c r="K3325" s="5" t="str">
        <f>IFERROR(__xludf.DUMMYFUNCTION("""COMPUTED_VALUE"""),"Estrela 4")</f>
        <v>Estrela 4</v>
      </c>
      <c r="P3325" s="5">
        <f>IFERROR(__xludf.DUMMYFUNCTION("""COMPUTED_VALUE"""),831.0)</f>
        <v>831</v>
      </c>
      <c r="Q3325" s="5" t="str">
        <f>IFERROR(__xludf.DUMMYFUNCTION("""COMPUTED_VALUE"""),"Withnail &amp; I")</f>
        <v>Withnail &amp; I</v>
      </c>
      <c r="R3325" s="5" t="str">
        <f>IFERROR(__xludf.DUMMYFUNCTION("""COMPUTED_VALUE"""),"Ralph Brown")</f>
        <v>Ralph Brown</v>
      </c>
      <c r="S3325" s="5" t="str">
        <f>IFERROR(__xludf.DUMMYFUNCTION("""COMPUTED_VALUE"""),"Estrela 4")</f>
        <v>Estrela 4</v>
      </c>
    </row>
    <row r="3326">
      <c r="G3326" s="5" t="str">
        <f>IFERROR(__xludf.DUMMYFUNCTION("""COMPUTED_VALUE"""),"832🤙🏼The Last Emperor🤙🏼John Lone🤙🏼Estrela 1")</f>
        <v>832🤙🏼The Last Emperor🤙🏼John Lone🤙🏼Estrela 1</v>
      </c>
      <c r="H3326" s="5">
        <f>IFERROR(__xludf.DUMMYFUNCTION("SPLiT(G3326, ""🤙🏼"",FALSE,FALSE)"),832.0)</f>
        <v>832</v>
      </c>
      <c r="I3326" s="5" t="str">
        <f>IFERROR(__xludf.DUMMYFUNCTION("""COMPUTED_VALUE"""),"The Last Emperor")</f>
        <v>The Last Emperor</v>
      </c>
      <c r="J3326" s="5" t="str">
        <f>IFERROR(__xludf.DUMMYFUNCTION("""COMPUTED_VALUE"""),"John Lone")</f>
        <v>John Lone</v>
      </c>
      <c r="K3326" s="5" t="str">
        <f>IFERROR(__xludf.DUMMYFUNCTION("""COMPUTED_VALUE"""),"Estrela 1")</f>
        <v>Estrela 1</v>
      </c>
      <c r="P3326" s="5">
        <f>IFERROR(__xludf.DUMMYFUNCTION("""COMPUTED_VALUE"""),832.0)</f>
        <v>832</v>
      </c>
      <c r="Q3326" s="5" t="str">
        <f>IFERROR(__xludf.DUMMYFUNCTION("""COMPUTED_VALUE"""),"The Last Emperor")</f>
        <v>The Last Emperor</v>
      </c>
      <c r="R3326" s="5" t="str">
        <f>IFERROR(__xludf.DUMMYFUNCTION("""COMPUTED_VALUE"""),"John Lone")</f>
        <v>John Lone</v>
      </c>
      <c r="S3326" s="5" t="str">
        <f>IFERROR(__xludf.DUMMYFUNCTION("""COMPUTED_VALUE"""),"Estrela 1")</f>
        <v>Estrela 1</v>
      </c>
    </row>
    <row r="3327">
      <c r="G3327" s="5" t="str">
        <f>IFERROR(__xludf.DUMMYFUNCTION("""COMPUTED_VALUE"""),"832🤙🏼The Last Emperor🤙🏼Joan Chen🤙🏼Estrela 2")</f>
        <v>832🤙🏼The Last Emperor🤙🏼Joan Chen🤙🏼Estrela 2</v>
      </c>
      <c r="H3327" s="5">
        <f>IFERROR(__xludf.DUMMYFUNCTION("SPLiT(G3327, ""🤙🏼"",FALSE,FALSE)"),832.0)</f>
        <v>832</v>
      </c>
      <c r="I3327" s="5" t="str">
        <f>IFERROR(__xludf.DUMMYFUNCTION("""COMPUTED_VALUE"""),"The Last Emperor")</f>
        <v>The Last Emperor</v>
      </c>
      <c r="J3327" s="5" t="str">
        <f>IFERROR(__xludf.DUMMYFUNCTION("""COMPUTED_VALUE"""),"Joan Chen")</f>
        <v>Joan Chen</v>
      </c>
      <c r="K3327" s="5" t="str">
        <f>IFERROR(__xludf.DUMMYFUNCTION("""COMPUTED_VALUE"""),"Estrela 2")</f>
        <v>Estrela 2</v>
      </c>
      <c r="P3327" s="5">
        <f>IFERROR(__xludf.DUMMYFUNCTION("""COMPUTED_VALUE"""),832.0)</f>
        <v>832</v>
      </c>
      <c r="Q3327" s="5" t="str">
        <f>IFERROR(__xludf.DUMMYFUNCTION("""COMPUTED_VALUE"""),"The Last Emperor")</f>
        <v>The Last Emperor</v>
      </c>
      <c r="R3327" s="5" t="str">
        <f>IFERROR(__xludf.DUMMYFUNCTION("""COMPUTED_VALUE"""),"Joan Chen")</f>
        <v>Joan Chen</v>
      </c>
      <c r="S3327" s="5" t="str">
        <f>IFERROR(__xludf.DUMMYFUNCTION("""COMPUTED_VALUE"""),"Estrela 2")</f>
        <v>Estrela 2</v>
      </c>
    </row>
    <row r="3328">
      <c r="G3328" s="5" t="str">
        <f>IFERROR(__xludf.DUMMYFUNCTION("""COMPUTED_VALUE"""),"832🤙🏼The Last Emperor🤙🏼Peter O'Toole🤙🏼Estrela 3")</f>
        <v>832🤙🏼The Last Emperor🤙🏼Peter O'Toole🤙🏼Estrela 3</v>
      </c>
      <c r="H3328" s="5">
        <f>IFERROR(__xludf.DUMMYFUNCTION("SPLiT(G3328, ""🤙🏼"",FALSE,FALSE)"),832.0)</f>
        <v>832</v>
      </c>
      <c r="I3328" s="5" t="str">
        <f>IFERROR(__xludf.DUMMYFUNCTION("""COMPUTED_VALUE"""),"The Last Emperor")</f>
        <v>The Last Emperor</v>
      </c>
      <c r="J3328" s="5" t="str">
        <f>IFERROR(__xludf.DUMMYFUNCTION("""COMPUTED_VALUE"""),"Peter O'Toole")</f>
        <v>Peter O'Toole</v>
      </c>
      <c r="K3328" s="5" t="str">
        <f>IFERROR(__xludf.DUMMYFUNCTION("""COMPUTED_VALUE"""),"Estrela 3")</f>
        <v>Estrela 3</v>
      </c>
      <c r="P3328" s="5">
        <f>IFERROR(__xludf.DUMMYFUNCTION("""COMPUTED_VALUE"""),832.0)</f>
        <v>832</v>
      </c>
      <c r="Q3328" s="5" t="str">
        <f>IFERROR(__xludf.DUMMYFUNCTION("""COMPUTED_VALUE"""),"The Last Emperor")</f>
        <v>The Last Emperor</v>
      </c>
      <c r="R3328" s="5" t="str">
        <f>IFERROR(__xludf.DUMMYFUNCTION("""COMPUTED_VALUE"""),"Peter O'Toole")</f>
        <v>Peter O'Toole</v>
      </c>
      <c r="S3328" s="5" t="str">
        <f>IFERROR(__xludf.DUMMYFUNCTION("""COMPUTED_VALUE"""),"Estrela 3")</f>
        <v>Estrela 3</v>
      </c>
    </row>
    <row r="3329">
      <c r="G3329" s="5" t="str">
        <f>IFERROR(__xludf.DUMMYFUNCTION("""COMPUTED_VALUE"""),"832🤙🏼The Last Emperor🤙🏼Ruocheng Ying🤙🏼Estrela 4")</f>
        <v>832🤙🏼The Last Emperor🤙🏼Ruocheng Ying🤙🏼Estrela 4</v>
      </c>
      <c r="H3329" s="5">
        <f>IFERROR(__xludf.DUMMYFUNCTION("SPLiT(G3329, ""🤙🏼"",FALSE,FALSE)"),832.0)</f>
        <v>832</v>
      </c>
      <c r="I3329" s="5" t="str">
        <f>IFERROR(__xludf.DUMMYFUNCTION("""COMPUTED_VALUE"""),"The Last Emperor")</f>
        <v>The Last Emperor</v>
      </c>
      <c r="J3329" s="5" t="str">
        <f>IFERROR(__xludf.DUMMYFUNCTION("""COMPUTED_VALUE"""),"Ruocheng Ying")</f>
        <v>Ruocheng Ying</v>
      </c>
      <c r="K3329" s="5" t="str">
        <f>IFERROR(__xludf.DUMMYFUNCTION("""COMPUTED_VALUE"""),"Estrela 4")</f>
        <v>Estrela 4</v>
      </c>
      <c r="P3329" s="5">
        <f>IFERROR(__xludf.DUMMYFUNCTION("""COMPUTED_VALUE"""),832.0)</f>
        <v>832</v>
      </c>
      <c r="Q3329" s="5" t="str">
        <f>IFERROR(__xludf.DUMMYFUNCTION("""COMPUTED_VALUE"""),"The Last Emperor")</f>
        <v>The Last Emperor</v>
      </c>
      <c r="R3329" s="5" t="str">
        <f>IFERROR(__xludf.DUMMYFUNCTION("""COMPUTED_VALUE"""),"Ruocheng Ying")</f>
        <v>Ruocheng Ying</v>
      </c>
      <c r="S3329" s="5" t="str">
        <f>IFERROR(__xludf.DUMMYFUNCTION("""COMPUTED_VALUE"""),"Estrela 4")</f>
        <v>Estrela 4</v>
      </c>
    </row>
    <row r="3330">
      <c r="G3330" s="5" t="str">
        <f>IFERROR(__xludf.DUMMYFUNCTION("""COMPUTED_VALUE"""),"833🤙🏼Empire of the Sun🤙🏼Christian Bale🤙🏼Estrela 1")</f>
        <v>833🤙🏼Empire of the Sun🤙🏼Christian Bale🤙🏼Estrela 1</v>
      </c>
      <c r="H3330" s="5">
        <f>IFERROR(__xludf.DUMMYFUNCTION("SPLiT(G3330, ""🤙🏼"",FALSE,FALSE)"),833.0)</f>
        <v>833</v>
      </c>
      <c r="I3330" s="5" t="str">
        <f>IFERROR(__xludf.DUMMYFUNCTION("""COMPUTED_VALUE"""),"Empire of the Sun")</f>
        <v>Empire of the Sun</v>
      </c>
      <c r="J3330" s="5" t="str">
        <f>IFERROR(__xludf.DUMMYFUNCTION("""COMPUTED_VALUE"""),"Christian Bale")</f>
        <v>Christian Bale</v>
      </c>
      <c r="K3330" s="5" t="str">
        <f>IFERROR(__xludf.DUMMYFUNCTION("""COMPUTED_VALUE"""),"Estrela 1")</f>
        <v>Estrela 1</v>
      </c>
      <c r="P3330" s="5">
        <f>IFERROR(__xludf.DUMMYFUNCTION("""COMPUTED_VALUE"""),833.0)</f>
        <v>833</v>
      </c>
      <c r="Q3330" s="5" t="str">
        <f>IFERROR(__xludf.DUMMYFUNCTION("""COMPUTED_VALUE"""),"Empire of the Sun")</f>
        <v>Empire of the Sun</v>
      </c>
      <c r="R3330" s="5" t="str">
        <f>IFERROR(__xludf.DUMMYFUNCTION("""COMPUTED_VALUE"""),"Christian Bale")</f>
        <v>Christian Bale</v>
      </c>
      <c r="S3330" s="5" t="str">
        <f>IFERROR(__xludf.DUMMYFUNCTION("""COMPUTED_VALUE"""),"Estrela 1")</f>
        <v>Estrela 1</v>
      </c>
    </row>
    <row r="3331">
      <c r="G3331" s="5" t="str">
        <f>IFERROR(__xludf.DUMMYFUNCTION("""COMPUTED_VALUE"""),"833🤙🏼Empire of the Sun🤙🏼John Malkovich🤙🏼Estrela 2")</f>
        <v>833🤙🏼Empire of the Sun🤙🏼John Malkovich🤙🏼Estrela 2</v>
      </c>
      <c r="H3331" s="5">
        <f>IFERROR(__xludf.DUMMYFUNCTION("SPLiT(G3331, ""🤙🏼"",FALSE,FALSE)"),833.0)</f>
        <v>833</v>
      </c>
      <c r="I3331" s="5" t="str">
        <f>IFERROR(__xludf.DUMMYFUNCTION("""COMPUTED_VALUE"""),"Empire of the Sun")</f>
        <v>Empire of the Sun</v>
      </c>
      <c r="J3331" s="5" t="str">
        <f>IFERROR(__xludf.DUMMYFUNCTION("""COMPUTED_VALUE"""),"John Malkovich")</f>
        <v>John Malkovich</v>
      </c>
      <c r="K3331" s="5" t="str">
        <f>IFERROR(__xludf.DUMMYFUNCTION("""COMPUTED_VALUE"""),"Estrela 2")</f>
        <v>Estrela 2</v>
      </c>
      <c r="P3331" s="5">
        <f>IFERROR(__xludf.DUMMYFUNCTION("""COMPUTED_VALUE"""),833.0)</f>
        <v>833</v>
      </c>
      <c r="Q3331" s="5" t="str">
        <f>IFERROR(__xludf.DUMMYFUNCTION("""COMPUTED_VALUE"""),"Empire of the Sun")</f>
        <v>Empire of the Sun</v>
      </c>
      <c r="R3331" s="5" t="str">
        <f>IFERROR(__xludf.DUMMYFUNCTION("""COMPUTED_VALUE"""),"John Malkovich")</f>
        <v>John Malkovich</v>
      </c>
      <c r="S3331" s="5" t="str">
        <f>IFERROR(__xludf.DUMMYFUNCTION("""COMPUTED_VALUE"""),"Estrela 2")</f>
        <v>Estrela 2</v>
      </c>
    </row>
    <row r="3332">
      <c r="G3332" s="5" t="str">
        <f>IFERROR(__xludf.DUMMYFUNCTION("""COMPUTED_VALUE"""),"833🤙🏼Empire of the Sun🤙🏼Miranda Richardson🤙🏼Estrela 3")</f>
        <v>833🤙🏼Empire of the Sun🤙🏼Miranda Richardson🤙🏼Estrela 3</v>
      </c>
      <c r="H3332" s="5">
        <f>IFERROR(__xludf.DUMMYFUNCTION("SPLiT(G3332, ""🤙🏼"",FALSE,FALSE)"),833.0)</f>
        <v>833</v>
      </c>
      <c r="I3332" s="5" t="str">
        <f>IFERROR(__xludf.DUMMYFUNCTION("""COMPUTED_VALUE"""),"Empire of the Sun")</f>
        <v>Empire of the Sun</v>
      </c>
      <c r="J3332" s="5" t="str">
        <f>IFERROR(__xludf.DUMMYFUNCTION("""COMPUTED_VALUE"""),"Miranda Richardson")</f>
        <v>Miranda Richardson</v>
      </c>
      <c r="K3332" s="5" t="str">
        <f>IFERROR(__xludf.DUMMYFUNCTION("""COMPUTED_VALUE"""),"Estrela 3")</f>
        <v>Estrela 3</v>
      </c>
      <c r="P3332" s="5">
        <f>IFERROR(__xludf.DUMMYFUNCTION("""COMPUTED_VALUE"""),833.0)</f>
        <v>833</v>
      </c>
      <c r="Q3332" s="5" t="str">
        <f>IFERROR(__xludf.DUMMYFUNCTION("""COMPUTED_VALUE"""),"Empire of the Sun")</f>
        <v>Empire of the Sun</v>
      </c>
      <c r="R3332" s="5" t="str">
        <f>IFERROR(__xludf.DUMMYFUNCTION("""COMPUTED_VALUE"""),"Miranda Richardson")</f>
        <v>Miranda Richardson</v>
      </c>
      <c r="S3332" s="5" t="str">
        <f>IFERROR(__xludf.DUMMYFUNCTION("""COMPUTED_VALUE"""),"Estrela 3")</f>
        <v>Estrela 3</v>
      </c>
    </row>
    <row r="3333">
      <c r="G3333" s="5" t="str">
        <f>IFERROR(__xludf.DUMMYFUNCTION("""COMPUTED_VALUE"""),"833🤙🏼Empire of the Sun🤙🏼Nigel Havers🤙🏼Estrela 4")</f>
        <v>833🤙🏼Empire of the Sun🤙🏼Nigel Havers🤙🏼Estrela 4</v>
      </c>
      <c r="H3333" s="5">
        <f>IFERROR(__xludf.DUMMYFUNCTION("SPLiT(G3333, ""🤙🏼"",FALSE,FALSE)"),833.0)</f>
        <v>833</v>
      </c>
      <c r="I3333" s="5" t="str">
        <f>IFERROR(__xludf.DUMMYFUNCTION("""COMPUTED_VALUE"""),"Empire of the Sun")</f>
        <v>Empire of the Sun</v>
      </c>
      <c r="J3333" s="5" t="str">
        <f>IFERROR(__xludf.DUMMYFUNCTION("""COMPUTED_VALUE"""),"Nigel Havers")</f>
        <v>Nigel Havers</v>
      </c>
      <c r="K3333" s="5" t="str">
        <f>IFERROR(__xludf.DUMMYFUNCTION("""COMPUTED_VALUE"""),"Estrela 4")</f>
        <v>Estrela 4</v>
      </c>
      <c r="P3333" s="5">
        <f>IFERROR(__xludf.DUMMYFUNCTION("""COMPUTED_VALUE"""),833.0)</f>
        <v>833</v>
      </c>
      <c r="Q3333" s="5" t="str">
        <f>IFERROR(__xludf.DUMMYFUNCTION("""COMPUTED_VALUE"""),"Empire of the Sun")</f>
        <v>Empire of the Sun</v>
      </c>
      <c r="R3333" s="5" t="str">
        <f>IFERROR(__xludf.DUMMYFUNCTION("""COMPUTED_VALUE"""),"Nigel Havers")</f>
        <v>Nigel Havers</v>
      </c>
      <c r="S3333" s="5" t="str">
        <f>IFERROR(__xludf.DUMMYFUNCTION("""COMPUTED_VALUE"""),"Estrela 4")</f>
        <v>Estrela 4</v>
      </c>
    </row>
    <row r="3334">
      <c r="G3334" s="5" t="str">
        <f>IFERROR(__xludf.DUMMYFUNCTION("""COMPUTED_VALUE"""),"834🤙🏼Der Name der Rose🤙🏼Sean Connery🤙🏼Estrela 1")</f>
        <v>834🤙🏼Der Name der Rose🤙🏼Sean Connery🤙🏼Estrela 1</v>
      </c>
      <c r="H3334" s="5">
        <f>IFERROR(__xludf.DUMMYFUNCTION("SPLiT(G3334, ""🤙🏼"",FALSE,FALSE)"),834.0)</f>
        <v>834</v>
      </c>
      <c r="I3334" s="5" t="str">
        <f>IFERROR(__xludf.DUMMYFUNCTION("""COMPUTED_VALUE"""),"Der Name der Rose")</f>
        <v>Der Name der Rose</v>
      </c>
      <c r="J3334" s="5" t="str">
        <f>IFERROR(__xludf.DUMMYFUNCTION("""COMPUTED_VALUE"""),"Sean Connery")</f>
        <v>Sean Connery</v>
      </c>
      <c r="K3334" s="5" t="str">
        <f>IFERROR(__xludf.DUMMYFUNCTION("""COMPUTED_VALUE"""),"Estrela 1")</f>
        <v>Estrela 1</v>
      </c>
      <c r="P3334" s="5">
        <f>IFERROR(__xludf.DUMMYFUNCTION("""COMPUTED_VALUE"""),834.0)</f>
        <v>834</v>
      </c>
      <c r="Q3334" s="5" t="str">
        <f>IFERROR(__xludf.DUMMYFUNCTION("""COMPUTED_VALUE"""),"Der Name der Rose")</f>
        <v>Der Name der Rose</v>
      </c>
      <c r="R3334" s="5" t="str">
        <f>IFERROR(__xludf.DUMMYFUNCTION("""COMPUTED_VALUE"""),"Sean Connery")</f>
        <v>Sean Connery</v>
      </c>
      <c r="S3334" s="5" t="str">
        <f>IFERROR(__xludf.DUMMYFUNCTION("""COMPUTED_VALUE"""),"Estrela 1")</f>
        <v>Estrela 1</v>
      </c>
    </row>
    <row r="3335">
      <c r="G3335" s="5" t="str">
        <f>IFERROR(__xludf.DUMMYFUNCTION("""COMPUTED_VALUE"""),"834🤙🏼Der Name der Rose🤙🏼Christian Slater🤙🏼Estrela 2")</f>
        <v>834🤙🏼Der Name der Rose🤙🏼Christian Slater🤙🏼Estrela 2</v>
      </c>
      <c r="H3335" s="5">
        <f>IFERROR(__xludf.DUMMYFUNCTION("SPLiT(G3335, ""🤙🏼"",FALSE,FALSE)"),834.0)</f>
        <v>834</v>
      </c>
      <c r="I3335" s="5" t="str">
        <f>IFERROR(__xludf.DUMMYFUNCTION("""COMPUTED_VALUE"""),"Der Name der Rose")</f>
        <v>Der Name der Rose</v>
      </c>
      <c r="J3335" s="5" t="str">
        <f>IFERROR(__xludf.DUMMYFUNCTION("""COMPUTED_VALUE"""),"Christian Slater")</f>
        <v>Christian Slater</v>
      </c>
      <c r="K3335" s="5" t="str">
        <f>IFERROR(__xludf.DUMMYFUNCTION("""COMPUTED_VALUE"""),"Estrela 2")</f>
        <v>Estrela 2</v>
      </c>
      <c r="P3335" s="5">
        <f>IFERROR(__xludf.DUMMYFUNCTION("""COMPUTED_VALUE"""),834.0)</f>
        <v>834</v>
      </c>
      <c r="Q3335" s="5" t="str">
        <f>IFERROR(__xludf.DUMMYFUNCTION("""COMPUTED_VALUE"""),"Der Name der Rose")</f>
        <v>Der Name der Rose</v>
      </c>
      <c r="R3335" s="5" t="str">
        <f>IFERROR(__xludf.DUMMYFUNCTION("""COMPUTED_VALUE"""),"Christian Slater")</f>
        <v>Christian Slater</v>
      </c>
      <c r="S3335" s="5" t="str">
        <f>IFERROR(__xludf.DUMMYFUNCTION("""COMPUTED_VALUE"""),"Estrela 2")</f>
        <v>Estrela 2</v>
      </c>
    </row>
    <row r="3336">
      <c r="G3336" s="5" t="str">
        <f>IFERROR(__xludf.DUMMYFUNCTION("""COMPUTED_VALUE"""),"834🤙🏼Der Name der Rose🤙🏼Helmut Qualtinger🤙🏼Estrela 3")</f>
        <v>834🤙🏼Der Name der Rose🤙🏼Helmut Qualtinger🤙🏼Estrela 3</v>
      </c>
      <c r="H3336" s="5">
        <f>IFERROR(__xludf.DUMMYFUNCTION("SPLiT(G3336, ""🤙🏼"",FALSE,FALSE)"),834.0)</f>
        <v>834</v>
      </c>
      <c r="I3336" s="5" t="str">
        <f>IFERROR(__xludf.DUMMYFUNCTION("""COMPUTED_VALUE"""),"Der Name der Rose")</f>
        <v>Der Name der Rose</v>
      </c>
      <c r="J3336" s="5" t="str">
        <f>IFERROR(__xludf.DUMMYFUNCTION("""COMPUTED_VALUE"""),"Helmut Qualtinger")</f>
        <v>Helmut Qualtinger</v>
      </c>
      <c r="K3336" s="5" t="str">
        <f>IFERROR(__xludf.DUMMYFUNCTION("""COMPUTED_VALUE"""),"Estrela 3")</f>
        <v>Estrela 3</v>
      </c>
      <c r="P3336" s="5">
        <f>IFERROR(__xludf.DUMMYFUNCTION("""COMPUTED_VALUE"""),834.0)</f>
        <v>834</v>
      </c>
      <c r="Q3336" s="5" t="str">
        <f>IFERROR(__xludf.DUMMYFUNCTION("""COMPUTED_VALUE"""),"Der Name der Rose")</f>
        <v>Der Name der Rose</v>
      </c>
      <c r="R3336" s="5" t="str">
        <f>IFERROR(__xludf.DUMMYFUNCTION("""COMPUTED_VALUE"""),"Helmut Qualtinger")</f>
        <v>Helmut Qualtinger</v>
      </c>
      <c r="S3336" s="5" t="str">
        <f>IFERROR(__xludf.DUMMYFUNCTION("""COMPUTED_VALUE"""),"Estrela 3")</f>
        <v>Estrela 3</v>
      </c>
    </row>
    <row r="3337">
      <c r="G3337" s="5" t="str">
        <f>IFERROR(__xludf.DUMMYFUNCTION("""COMPUTED_VALUE"""),"834🤙🏼Der Name der Rose🤙🏼Elya Baskin🤙🏼Estrela 4")</f>
        <v>834🤙🏼Der Name der Rose🤙🏼Elya Baskin🤙🏼Estrela 4</v>
      </c>
      <c r="H3337" s="5">
        <f>IFERROR(__xludf.DUMMYFUNCTION("SPLiT(G3337, ""🤙🏼"",FALSE,FALSE)"),834.0)</f>
        <v>834</v>
      </c>
      <c r="I3337" s="5" t="str">
        <f>IFERROR(__xludf.DUMMYFUNCTION("""COMPUTED_VALUE"""),"Der Name der Rose")</f>
        <v>Der Name der Rose</v>
      </c>
      <c r="J3337" s="5" t="str">
        <f>IFERROR(__xludf.DUMMYFUNCTION("""COMPUTED_VALUE"""),"Elya Baskin")</f>
        <v>Elya Baskin</v>
      </c>
      <c r="K3337" s="5" t="str">
        <f>IFERROR(__xludf.DUMMYFUNCTION("""COMPUTED_VALUE"""),"Estrela 4")</f>
        <v>Estrela 4</v>
      </c>
      <c r="P3337" s="5">
        <f>IFERROR(__xludf.DUMMYFUNCTION("""COMPUTED_VALUE"""),834.0)</f>
        <v>834</v>
      </c>
      <c r="Q3337" s="5" t="str">
        <f>IFERROR(__xludf.DUMMYFUNCTION("""COMPUTED_VALUE"""),"Der Name der Rose")</f>
        <v>Der Name der Rose</v>
      </c>
      <c r="R3337" s="5" t="str">
        <f>IFERROR(__xludf.DUMMYFUNCTION("""COMPUTED_VALUE"""),"Elya Baskin")</f>
        <v>Elya Baskin</v>
      </c>
      <c r="S3337" s="5" t="str">
        <f>IFERROR(__xludf.DUMMYFUNCTION("""COMPUTED_VALUE"""),"Estrela 4")</f>
        <v>Estrela 4</v>
      </c>
    </row>
    <row r="3338">
      <c r="G3338" s="5" t="str">
        <f>IFERROR(__xludf.DUMMYFUNCTION("""COMPUTED_VALUE"""),"835🤙🏼Blue Velvet🤙🏼Isabella Rossellini🤙🏼Estrela 1")</f>
        <v>835🤙🏼Blue Velvet🤙🏼Isabella Rossellini🤙🏼Estrela 1</v>
      </c>
      <c r="H3338" s="5">
        <f>IFERROR(__xludf.DUMMYFUNCTION("SPLiT(G3338, ""🤙🏼"",FALSE,FALSE)"),835.0)</f>
        <v>835</v>
      </c>
      <c r="I3338" s="5" t="str">
        <f>IFERROR(__xludf.DUMMYFUNCTION("""COMPUTED_VALUE"""),"Blue Velvet")</f>
        <v>Blue Velvet</v>
      </c>
      <c r="J3338" s="5" t="str">
        <f>IFERROR(__xludf.DUMMYFUNCTION("""COMPUTED_VALUE"""),"Isabella Rossellini")</f>
        <v>Isabella Rossellini</v>
      </c>
      <c r="K3338" s="5" t="str">
        <f>IFERROR(__xludf.DUMMYFUNCTION("""COMPUTED_VALUE"""),"Estrela 1")</f>
        <v>Estrela 1</v>
      </c>
      <c r="P3338" s="5">
        <f>IFERROR(__xludf.DUMMYFUNCTION("""COMPUTED_VALUE"""),835.0)</f>
        <v>835</v>
      </c>
      <c r="Q3338" s="5" t="str">
        <f>IFERROR(__xludf.DUMMYFUNCTION("""COMPUTED_VALUE"""),"Blue Velvet")</f>
        <v>Blue Velvet</v>
      </c>
      <c r="R3338" s="5" t="str">
        <f>IFERROR(__xludf.DUMMYFUNCTION("""COMPUTED_VALUE"""),"Isabella Rossellini")</f>
        <v>Isabella Rossellini</v>
      </c>
      <c r="S3338" s="5" t="str">
        <f>IFERROR(__xludf.DUMMYFUNCTION("""COMPUTED_VALUE"""),"Estrela 1")</f>
        <v>Estrela 1</v>
      </c>
    </row>
    <row r="3339">
      <c r="G3339" s="5" t="str">
        <f>IFERROR(__xludf.DUMMYFUNCTION("""COMPUTED_VALUE"""),"835🤙🏼Blue Velvet🤙🏼Kyle MacLachlan🤙🏼Estrela 2")</f>
        <v>835🤙🏼Blue Velvet🤙🏼Kyle MacLachlan🤙🏼Estrela 2</v>
      </c>
      <c r="H3339" s="5">
        <f>IFERROR(__xludf.DUMMYFUNCTION("SPLiT(G3339, ""🤙🏼"",FALSE,FALSE)"),835.0)</f>
        <v>835</v>
      </c>
      <c r="I3339" s="5" t="str">
        <f>IFERROR(__xludf.DUMMYFUNCTION("""COMPUTED_VALUE"""),"Blue Velvet")</f>
        <v>Blue Velvet</v>
      </c>
      <c r="J3339" s="5" t="str">
        <f>IFERROR(__xludf.DUMMYFUNCTION("""COMPUTED_VALUE"""),"Kyle MacLachlan")</f>
        <v>Kyle MacLachlan</v>
      </c>
      <c r="K3339" s="5" t="str">
        <f>IFERROR(__xludf.DUMMYFUNCTION("""COMPUTED_VALUE"""),"Estrela 2")</f>
        <v>Estrela 2</v>
      </c>
      <c r="P3339" s="5">
        <f>IFERROR(__xludf.DUMMYFUNCTION("""COMPUTED_VALUE"""),835.0)</f>
        <v>835</v>
      </c>
      <c r="Q3339" s="5" t="str">
        <f>IFERROR(__xludf.DUMMYFUNCTION("""COMPUTED_VALUE"""),"Blue Velvet")</f>
        <v>Blue Velvet</v>
      </c>
      <c r="R3339" s="5" t="str">
        <f>IFERROR(__xludf.DUMMYFUNCTION("""COMPUTED_VALUE"""),"Kyle MacLachlan")</f>
        <v>Kyle MacLachlan</v>
      </c>
      <c r="S3339" s="5" t="str">
        <f>IFERROR(__xludf.DUMMYFUNCTION("""COMPUTED_VALUE"""),"Estrela 2")</f>
        <v>Estrela 2</v>
      </c>
    </row>
    <row r="3340">
      <c r="G3340" s="5" t="str">
        <f>IFERROR(__xludf.DUMMYFUNCTION("""COMPUTED_VALUE"""),"835🤙🏼Blue Velvet🤙🏼Dennis Hopper🤙🏼Estrela 3")</f>
        <v>835🤙🏼Blue Velvet🤙🏼Dennis Hopper🤙🏼Estrela 3</v>
      </c>
      <c r="H3340" s="5">
        <f>IFERROR(__xludf.DUMMYFUNCTION("SPLiT(G3340, ""🤙🏼"",FALSE,FALSE)"),835.0)</f>
        <v>835</v>
      </c>
      <c r="I3340" s="5" t="str">
        <f>IFERROR(__xludf.DUMMYFUNCTION("""COMPUTED_VALUE"""),"Blue Velvet")</f>
        <v>Blue Velvet</v>
      </c>
      <c r="J3340" s="5" t="str">
        <f>IFERROR(__xludf.DUMMYFUNCTION("""COMPUTED_VALUE"""),"Dennis Hopper")</f>
        <v>Dennis Hopper</v>
      </c>
      <c r="K3340" s="5" t="str">
        <f>IFERROR(__xludf.DUMMYFUNCTION("""COMPUTED_VALUE"""),"Estrela 3")</f>
        <v>Estrela 3</v>
      </c>
      <c r="P3340" s="5">
        <f>IFERROR(__xludf.DUMMYFUNCTION("""COMPUTED_VALUE"""),835.0)</f>
        <v>835</v>
      </c>
      <c r="Q3340" s="5" t="str">
        <f>IFERROR(__xludf.DUMMYFUNCTION("""COMPUTED_VALUE"""),"Blue Velvet")</f>
        <v>Blue Velvet</v>
      </c>
      <c r="R3340" s="5" t="str">
        <f>IFERROR(__xludf.DUMMYFUNCTION("""COMPUTED_VALUE"""),"Dennis Hopper")</f>
        <v>Dennis Hopper</v>
      </c>
      <c r="S3340" s="5" t="str">
        <f>IFERROR(__xludf.DUMMYFUNCTION("""COMPUTED_VALUE"""),"Estrela 3")</f>
        <v>Estrela 3</v>
      </c>
    </row>
    <row r="3341">
      <c r="G3341" s="5" t="str">
        <f>IFERROR(__xludf.DUMMYFUNCTION("""COMPUTED_VALUE"""),"835🤙🏼Blue Velvet🤙🏼Laura Dern🤙🏼Estrela 4")</f>
        <v>835🤙🏼Blue Velvet🤙🏼Laura Dern🤙🏼Estrela 4</v>
      </c>
      <c r="H3341" s="5">
        <f>IFERROR(__xludf.DUMMYFUNCTION("SPLiT(G3341, ""🤙🏼"",FALSE,FALSE)"),835.0)</f>
        <v>835</v>
      </c>
      <c r="I3341" s="5" t="str">
        <f>IFERROR(__xludf.DUMMYFUNCTION("""COMPUTED_VALUE"""),"Blue Velvet")</f>
        <v>Blue Velvet</v>
      </c>
      <c r="J3341" s="5" t="str">
        <f>IFERROR(__xludf.DUMMYFUNCTION("""COMPUTED_VALUE"""),"Laura Dern")</f>
        <v>Laura Dern</v>
      </c>
      <c r="K3341" s="5" t="str">
        <f>IFERROR(__xludf.DUMMYFUNCTION("""COMPUTED_VALUE"""),"Estrela 4")</f>
        <v>Estrela 4</v>
      </c>
      <c r="P3341" s="5">
        <f>IFERROR(__xludf.DUMMYFUNCTION("""COMPUTED_VALUE"""),835.0)</f>
        <v>835</v>
      </c>
      <c r="Q3341" s="5" t="str">
        <f>IFERROR(__xludf.DUMMYFUNCTION("""COMPUTED_VALUE"""),"Blue Velvet")</f>
        <v>Blue Velvet</v>
      </c>
      <c r="R3341" s="5" t="str">
        <f>IFERROR(__xludf.DUMMYFUNCTION("""COMPUTED_VALUE"""),"Laura Dern")</f>
        <v>Laura Dern</v>
      </c>
      <c r="S3341" s="5" t="str">
        <f>IFERROR(__xludf.DUMMYFUNCTION("""COMPUTED_VALUE"""),"Estrela 4")</f>
        <v>Estrela 4</v>
      </c>
    </row>
    <row r="3342">
      <c r="G3342" s="5" t="str">
        <f>IFERROR(__xludf.DUMMYFUNCTION("""COMPUTED_VALUE"""),"836🤙🏼The Purple Rose of Cairo🤙🏼Mia Farrow🤙🏼Estrela 1")</f>
        <v>836🤙🏼The Purple Rose of Cairo🤙🏼Mia Farrow🤙🏼Estrela 1</v>
      </c>
      <c r="H3342" s="5">
        <f>IFERROR(__xludf.DUMMYFUNCTION("SPLiT(G3342, ""🤙🏼"",FALSE,FALSE)"),836.0)</f>
        <v>836</v>
      </c>
      <c r="I3342" s="5" t="str">
        <f>IFERROR(__xludf.DUMMYFUNCTION("""COMPUTED_VALUE"""),"The Purple Rose of Cairo")</f>
        <v>The Purple Rose of Cairo</v>
      </c>
      <c r="J3342" s="5" t="str">
        <f>IFERROR(__xludf.DUMMYFUNCTION("""COMPUTED_VALUE"""),"Mia Farrow")</f>
        <v>Mia Farrow</v>
      </c>
      <c r="K3342" s="5" t="str">
        <f>IFERROR(__xludf.DUMMYFUNCTION("""COMPUTED_VALUE"""),"Estrela 1")</f>
        <v>Estrela 1</v>
      </c>
      <c r="P3342" s="5">
        <f>IFERROR(__xludf.DUMMYFUNCTION("""COMPUTED_VALUE"""),836.0)</f>
        <v>836</v>
      </c>
      <c r="Q3342" s="5" t="str">
        <f>IFERROR(__xludf.DUMMYFUNCTION("""COMPUTED_VALUE"""),"The Purple Rose of Cairo")</f>
        <v>The Purple Rose of Cairo</v>
      </c>
      <c r="R3342" s="5" t="str">
        <f>IFERROR(__xludf.DUMMYFUNCTION("""COMPUTED_VALUE"""),"Mia Farrow")</f>
        <v>Mia Farrow</v>
      </c>
      <c r="S3342" s="5" t="str">
        <f>IFERROR(__xludf.DUMMYFUNCTION("""COMPUTED_VALUE"""),"Estrela 1")</f>
        <v>Estrela 1</v>
      </c>
    </row>
    <row r="3343">
      <c r="G3343" s="5" t="str">
        <f>IFERROR(__xludf.DUMMYFUNCTION("""COMPUTED_VALUE"""),"836🤙🏼The Purple Rose of Cairo🤙🏼Jeff Daniels🤙🏼Estrela 2")</f>
        <v>836🤙🏼The Purple Rose of Cairo🤙🏼Jeff Daniels🤙🏼Estrela 2</v>
      </c>
      <c r="H3343" s="5">
        <f>IFERROR(__xludf.DUMMYFUNCTION("SPLiT(G3343, ""🤙🏼"",FALSE,FALSE)"),836.0)</f>
        <v>836</v>
      </c>
      <c r="I3343" s="5" t="str">
        <f>IFERROR(__xludf.DUMMYFUNCTION("""COMPUTED_VALUE"""),"The Purple Rose of Cairo")</f>
        <v>The Purple Rose of Cairo</v>
      </c>
      <c r="J3343" s="5" t="str">
        <f>IFERROR(__xludf.DUMMYFUNCTION("""COMPUTED_VALUE"""),"Jeff Daniels")</f>
        <v>Jeff Daniels</v>
      </c>
      <c r="K3343" s="5" t="str">
        <f>IFERROR(__xludf.DUMMYFUNCTION("""COMPUTED_VALUE"""),"Estrela 2")</f>
        <v>Estrela 2</v>
      </c>
      <c r="P3343" s="5">
        <f>IFERROR(__xludf.DUMMYFUNCTION("""COMPUTED_VALUE"""),836.0)</f>
        <v>836</v>
      </c>
      <c r="Q3343" s="5" t="str">
        <f>IFERROR(__xludf.DUMMYFUNCTION("""COMPUTED_VALUE"""),"The Purple Rose of Cairo")</f>
        <v>The Purple Rose of Cairo</v>
      </c>
      <c r="R3343" s="5" t="str">
        <f>IFERROR(__xludf.DUMMYFUNCTION("""COMPUTED_VALUE"""),"Jeff Daniels")</f>
        <v>Jeff Daniels</v>
      </c>
      <c r="S3343" s="5" t="str">
        <f>IFERROR(__xludf.DUMMYFUNCTION("""COMPUTED_VALUE"""),"Estrela 2")</f>
        <v>Estrela 2</v>
      </c>
    </row>
    <row r="3344">
      <c r="G3344" s="5" t="str">
        <f>IFERROR(__xludf.DUMMYFUNCTION("""COMPUTED_VALUE"""),"836🤙🏼The Purple Rose of Cairo🤙🏼Danny Aiello🤙🏼Estrela 3")</f>
        <v>836🤙🏼The Purple Rose of Cairo🤙🏼Danny Aiello🤙🏼Estrela 3</v>
      </c>
      <c r="H3344" s="5">
        <f>IFERROR(__xludf.DUMMYFUNCTION("SPLiT(G3344, ""🤙🏼"",FALSE,FALSE)"),836.0)</f>
        <v>836</v>
      </c>
      <c r="I3344" s="5" t="str">
        <f>IFERROR(__xludf.DUMMYFUNCTION("""COMPUTED_VALUE"""),"The Purple Rose of Cairo")</f>
        <v>The Purple Rose of Cairo</v>
      </c>
      <c r="J3344" s="5" t="str">
        <f>IFERROR(__xludf.DUMMYFUNCTION("""COMPUTED_VALUE"""),"Danny Aiello")</f>
        <v>Danny Aiello</v>
      </c>
      <c r="K3344" s="5" t="str">
        <f>IFERROR(__xludf.DUMMYFUNCTION("""COMPUTED_VALUE"""),"Estrela 3")</f>
        <v>Estrela 3</v>
      </c>
      <c r="P3344" s="5">
        <f>IFERROR(__xludf.DUMMYFUNCTION("""COMPUTED_VALUE"""),836.0)</f>
        <v>836</v>
      </c>
      <c r="Q3344" s="5" t="str">
        <f>IFERROR(__xludf.DUMMYFUNCTION("""COMPUTED_VALUE"""),"The Purple Rose of Cairo")</f>
        <v>The Purple Rose of Cairo</v>
      </c>
      <c r="R3344" s="5" t="str">
        <f>IFERROR(__xludf.DUMMYFUNCTION("""COMPUTED_VALUE"""),"Danny Aiello")</f>
        <v>Danny Aiello</v>
      </c>
      <c r="S3344" s="5" t="str">
        <f>IFERROR(__xludf.DUMMYFUNCTION("""COMPUTED_VALUE"""),"Estrela 3")</f>
        <v>Estrela 3</v>
      </c>
    </row>
    <row r="3345">
      <c r="G3345" s="5" t="str">
        <f>IFERROR(__xludf.DUMMYFUNCTION("""COMPUTED_VALUE"""),"836🤙🏼The Purple Rose of Cairo🤙🏼Irving Metzman🤙🏼Estrela 4")</f>
        <v>836🤙🏼The Purple Rose of Cairo🤙🏼Irving Metzman🤙🏼Estrela 4</v>
      </c>
      <c r="H3345" s="5">
        <f>IFERROR(__xludf.DUMMYFUNCTION("SPLiT(G3345, ""🤙🏼"",FALSE,FALSE)"),836.0)</f>
        <v>836</v>
      </c>
      <c r="I3345" s="5" t="str">
        <f>IFERROR(__xludf.DUMMYFUNCTION("""COMPUTED_VALUE"""),"The Purple Rose of Cairo")</f>
        <v>The Purple Rose of Cairo</v>
      </c>
      <c r="J3345" s="5" t="str">
        <f>IFERROR(__xludf.DUMMYFUNCTION("""COMPUTED_VALUE"""),"Irving Metzman")</f>
        <v>Irving Metzman</v>
      </c>
      <c r="K3345" s="5" t="str">
        <f>IFERROR(__xludf.DUMMYFUNCTION("""COMPUTED_VALUE"""),"Estrela 4")</f>
        <v>Estrela 4</v>
      </c>
      <c r="P3345" s="5">
        <f>IFERROR(__xludf.DUMMYFUNCTION("""COMPUTED_VALUE"""),836.0)</f>
        <v>836</v>
      </c>
      <c r="Q3345" s="5" t="str">
        <f>IFERROR(__xludf.DUMMYFUNCTION("""COMPUTED_VALUE"""),"The Purple Rose of Cairo")</f>
        <v>The Purple Rose of Cairo</v>
      </c>
      <c r="R3345" s="5" t="str">
        <f>IFERROR(__xludf.DUMMYFUNCTION("""COMPUTED_VALUE"""),"Irving Metzman")</f>
        <v>Irving Metzman</v>
      </c>
      <c r="S3345" s="5" t="str">
        <f>IFERROR(__xludf.DUMMYFUNCTION("""COMPUTED_VALUE"""),"Estrela 4")</f>
        <v>Estrela 4</v>
      </c>
    </row>
    <row r="3346">
      <c r="G3346" s="5" t="str">
        <f>IFERROR(__xludf.DUMMYFUNCTION("""COMPUTED_VALUE"""),"837🤙🏼After Hours🤙🏼Griffin Dunne🤙🏼Estrela 1")</f>
        <v>837🤙🏼After Hours🤙🏼Griffin Dunne🤙🏼Estrela 1</v>
      </c>
      <c r="H3346" s="5">
        <f>IFERROR(__xludf.DUMMYFUNCTION("SPLiT(G3346, ""🤙🏼"",FALSE,FALSE)"),837.0)</f>
        <v>837</v>
      </c>
      <c r="I3346" s="5" t="str">
        <f>IFERROR(__xludf.DUMMYFUNCTION("""COMPUTED_VALUE"""),"After Hours")</f>
        <v>After Hours</v>
      </c>
      <c r="J3346" s="5" t="str">
        <f>IFERROR(__xludf.DUMMYFUNCTION("""COMPUTED_VALUE"""),"Griffin Dunne")</f>
        <v>Griffin Dunne</v>
      </c>
      <c r="K3346" s="5" t="str">
        <f>IFERROR(__xludf.DUMMYFUNCTION("""COMPUTED_VALUE"""),"Estrela 1")</f>
        <v>Estrela 1</v>
      </c>
      <c r="P3346" s="5">
        <f>IFERROR(__xludf.DUMMYFUNCTION("""COMPUTED_VALUE"""),837.0)</f>
        <v>837</v>
      </c>
      <c r="Q3346" s="5" t="str">
        <f>IFERROR(__xludf.DUMMYFUNCTION("""COMPUTED_VALUE"""),"After Hours")</f>
        <v>After Hours</v>
      </c>
      <c r="R3346" s="5" t="str">
        <f>IFERROR(__xludf.DUMMYFUNCTION("""COMPUTED_VALUE"""),"Griffin Dunne")</f>
        <v>Griffin Dunne</v>
      </c>
      <c r="S3346" s="5" t="str">
        <f>IFERROR(__xludf.DUMMYFUNCTION("""COMPUTED_VALUE"""),"Estrela 1")</f>
        <v>Estrela 1</v>
      </c>
    </row>
    <row r="3347">
      <c r="G3347" s="5" t="str">
        <f>IFERROR(__xludf.DUMMYFUNCTION("""COMPUTED_VALUE"""),"837🤙🏼After Hours🤙🏼Rosanna Arquette🤙🏼Estrela 2")</f>
        <v>837🤙🏼After Hours🤙🏼Rosanna Arquette🤙🏼Estrela 2</v>
      </c>
      <c r="H3347" s="5">
        <f>IFERROR(__xludf.DUMMYFUNCTION("SPLiT(G3347, ""🤙🏼"",FALSE,FALSE)"),837.0)</f>
        <v>837</v>
      </c>
      <c r="I3347" s="5" t="str">
        <f>IFERROR(__xludf.DUMMYFUNCTION("""COMPUTED_VALUE"""),"After Hours")</f>
        <v>After Hours</v>
      </c>
      <c r="J3347" s="5" t="str">
        <f>IFERROR(__xludf.DUMMYFUNCTION("""COMPUTED_VALUE"""),"Rosanna Arquette")</f>
        <v>Rosanna Arquette</v>
      </c>
      <c r="K3347" s="5" t="str">
        <f>IFERROR(__xludf.DUMMYFUNCTION("""COMPUTED_VALUE"""),"Estrela 2")</f>
        <v>Estrela 2</v>
      </c>
      <c r="P3347" s="5">
        <f>IFERROR(__xludf.DUMMYFUNCTION("""COMPUTED_VALUE"""),837.0)</f>
        <v>837</v>
      </c>
      <c r="Q3347" s="5" t="str">
        <f>IFERROR(__xludf.DUMMYFUNCTION("""COMPUTED_VALUE"""),"After Hours")</f>
        <v>After Hours</v>
      </c>
      <c r="R3347" s="5" t="str">
        <f>IFERROR(__xludf.DUMMYFUNCTION("""COMPUTED_VALUE"""),"Rosanna Arquette")</f>
        <v>Rosanna Arquette</v>
      </c>
      <c r="S3347" s="5" t="str">
        <f>IFERROR(__xludf.DUMMYFUNCTION("""COMPUTED_VALUE"""),"Estrela 2")</f>
        <v>Estrela 2</v>
      </c>
    </row>
    <row r="3348">
      <c r="G3348" s="5" t="str">
        <f>IFERROR(__xludf.DUMMYFUNCTION("""COMPUTED_VALUE"""),"837🤙🏼After Hours🤙🏼Verna Bloom🤙🏼Estrela 3")</f>
        <v>837🤙🏼After Hours🤙🏼Verna Bloom🤙🏼Estrela 3</v>
      </c>
      <c r="H3348" s="5">
        <f>IFERROR(__xludf.DUMMYFUNCTION("SPLiT(G3348, ""🤙🏼"",FALSE,FALSE)"),837.0)</f>
        <v>837</v>
      </c>
      <c r="I3348" s="5" t="str">
        <f>IFERROR(__xludf.DUMMYFUNCTION("""COMPUTED_VALUE"""),"After Hours")</f>
        <v>After Hours</v>
      </c>
      <c r="J3348" s="5" t="str">
        <f>IFERROR(__xludf.DUMMYFUNCTION("""COMPUTED_VALUE"""),"Verna Bloom")</f>
        <v>Verna Bloom</v>
      </c>
      <c r="K3348" s="5" t="str">
        <f>IFERROR(__xludf.DUMMYFUNCTION("""COMPUTED_VALUE"""),"Estrela 3")</f>
        <v>Estrela 3</v>
      </c>
      <c r="P3348" s="5">
        <f>IFERROR(__xludf.DUMMYFUNCTION("""COMPUTED_VALUE"""),837.0)</f>
        <v>837</v>
      </c>
      <c r="Q3348" s="5" t="str">
        <f>IFERROR(__xludf.DUMMYFUNCTION("""COMPUTED_VALUE"""),"After Hours")</f>
        <v>After Hours</v>
      </c>
      <c r="R3348" s="5" t="str">
        <f>IFERROR(__xludf.DUMMYFUNCTION("""COMPUTED_VALUE"""),"Verna Bloom")</f>
        <v>Verna Bloom</v>
      </c>
      <c r="S3348" s="5" t="str">
        <f>IFERROR(__xludf.DUMMYFUNCTION("""COMPUTED_VALUE"""),"Estrela 3")</f>
        <v>Estrela 3</v>
      </c>
    </row>
    <row r="3349">
      <c r="G3349" s="5" t="str">
        <f>IFERROR(__xludf.DUMMYFUNCTION("""COMPUTED_VALUE"""),"837🤙🏼After Hours🤙🏼Tommy Chong🤙🏼Estrela 4")</f>
        <v>837🤙🏼After Hours🤙🏼Tommy Chong🤙🏼Estrela 4</v>
      </c>
      <c r="H3349" s="5">
        <f>IFERROR(__xludf.DUMMYFUNCTION("SPLiT(G3349, ""🤙🏼"",FALSE,FALSE)"),837.0)</f>
        <v>837</v>
      </c>
      <c r="I3349" s="5" t="str">
        <f>IFERROR(__xludf.DUMMYFUNCTION("""COMPUTED_VALUE"""),"After Hours")</f>
        <v>After Hours</v>
      </c>
      <c r="J3349" s="5" t="str">
        <f>IFERROR(__xludf.DUMMYFUNCTION("""COMPUTED_VALUE"""),"Tommy Chong")</f>
        <v>Tommy Chong</v>
      </c>
      <c r="K3349" s="5" t="str">
        <f>IFERROR(__xludf.DUMMYFUNCTION("""COMPUTED_VALUE"""),"Estrela 4")</f>
        <v>Estrela 4</v>
      </c>
      <c r="P3349" s="5">
        <f>IFERROR(__xludf.DUMMYFUNCTION("""COMPUTED_VALUE"""),837.0)</f>
        <v>837</v>
      </c>
      <c r="Q3349" s="5" t="str">
        <f>IFERROR(__xludf.DUMMYFUNCTION("""COMPUTED_VALUE"""),"After Hours")</f>
        <v>After Hours</v>
      </c>
      <c r="R3349" s="5" t="str">
        <f>IFERROR(__xludf.DUMMYFUNCTION("""COMPUTED_VALUE"""),"Tommy Chong")</f>
        <v>Tommy Chong</v>
      </c>
      <c r="S3349" s="5" t="str">
        <f>IFERROR(__xludf.DUMMYFUNCTION("""COMPUTED_VALUE"""),"Estrela 4")</f>
        <v>Estrela 4</v>
      </c>
    </row>
    <row r="3350">
      <c r="G3350" s="5" t="str">
        <f>IFERROR(__xludf.DUMMYFUNCTION("""COMPUTED_VALUE"""),"838🤙🏼Zelig🤙🏼Woody Allen🤙🏼Estrela 1")</f>
        <v>838🤙🏼Zelig🤙🏼Woody Allen🤙🏼Estrela 1</v>
      </c>
      <c r="H3350" s="5">
        <f>IFERROR(__xludf.DUMMYFUNCTION("SPLiT(G3350, ""🤙🏼"",FALSE,FALSE)"),838.0)</f>
        <v>838</v>
      </c>
      <c r="I3350" s="5" t="str">
        <f>IFERROR(__xludf.DUMMYFUNCTION("""COMPUTED_VALUE"""),"Zelig")</f>
        <v>Zelig</v>
      </c>
      <c r="J3350" s="5" t="str">
        <f>IFERROR(__xludf.DUMMYFUNCTION("""COMPUTED_VALUE"""),"Woody Allen")</f>
        <v>Woody Allen</v>
      </c>
      <c r="K3350" s="5" t="str">
        <f>IFERROR(__xludf.DUMMYFUNCTION("""COMPUTED_VALUE"""),"Estrela 1")</f>
        <v>Estrela 1</v>
      </c>
      <c r="P3350" s="5">
        <f>IFERROR(__xludf.DUMMYFUNCTION("""COMPUTED_VALUE"""),838.0)</f>
        <v>838</v>
      </c>
      <c r="Q3350" s="5" t="str">
        <f>IFERROR(__xludf.DUMMYFUNCTION("""COMPUTED_VALUE"""),"Zelig")</f>
        <v>Zelig</v>
      </c>
      <c r="R3350" s="5" t="str">
        <f>IFERROR(__xludf.DUMMYFUNCTION("""COMPUTED_VALUE"""),"Woody Allen")</f>
        <v>Woody Allen</v>
      </c>
      <c r="S3350" s="5" t="str">
        <f>IFERROR(__xludf.DUMMYFUNCTION("""COMPUTED_VALUE"""),"Estrela 1")</f>
        <v>Estrela 1</v>
      </c>
    </row>
    <row r="3351">
      <c r="G3351" s="5" t="str">
        <f>IFERROR(__xludf.DUMMYFUNCTION("""COMPUTED_VALUE"""),"838🤙🏼Zelig🤙🏼Mia Farrow🤙🏼Estrela 2")</f>
        <v>838🤙🏼Zelig🤙🏼Mia Farrow🤙🏼Estrela 2</v>
      </c>
      <c r="H3351" s="5">
        <f>IFERROR(__xludf.DUMMYFUNCTION("SPLiT(G3351, ""🤙🏼"",FALSE,FALSE)"),838.0)</f>
        <v>838</v>
      </c>
      <c r="I3351" s="5" t="str">
        <f>IFERROR(__xludf.DUMMYFUNCTION("""COMPUTED_VALUE"""),"Zelig")</f>
        <v>Zelig</v>
      </c>
      <c r="J3351" s="5" t="str">
        <f>IFERROR(__xludf.DUMMYFUNCTION("""COMPUTED_VALUE"""),"Mia Farrow")</f>
        <v>Mia Farrow</v>
      </c>
      <c r="K3351" s="5" t="str">
        <f>IFERROR(__xludf.DUMMYFUNCTION("""COMPUTED_VALUE"""),"Estrela 2")</f>
        <v>Estrela 2</v>
      </c>
      <c r="P3351" s="5">
        <f>IFERROR(__xludf.DUMMYFUNCTION("""COMPUTED_VALUE"""),838.0)</f>
        <v>838</v>
      </c>
      <c r="Q3351" s="5" t="str">
        <f>IFERROR(__xludf.DUMMYFUNCTION("""COMPUTED_VALUE"""),"Zelig")</f>
        <v>Zelig</v>
      </c>
      <c r="R3351" s="5" t="str">
        <f>IFERROR(__xludf.DUMMYFUNCTION("""COMPUTED_VALUE"""),"Mia Farrow")</f>
        <v>Mia Farrow</v>
      </c>
      <c r="S3351" s="5" t="str">
        <f>IFERROR(__xludf.DUMMYFUNCTION("""COMPUTED_VALUE"""),"Estrela 2")</f>
        <v>Estrela 2</v>
      </c>
    </row>
    <row r="3352">
      <c r="G3352" s="5" t="str">
        <f>IFERROR(__xludf.DUMMYFUNCTION("""COMPUTED_VALUE"""),"838🤙🏼Zelig🤙🏼Patrick Horgan🤙🏼Estrela 3")</f>
        <v>838🤙🏼Zelig🤙🏼Patrick Horgan🤙🏼Estrela 3</v>
      </c>
      <c r="H3352" s="5">
        <f>IFERROR(__xludf.DUMMYFUNCTION("SPLiT(G3352, ""🤙🏼"",FALSE,FALSE)"),838.0)</f>
        <v>838</v>
      </c>
      <c r="I3352" s="5" t="str">
        <f>IFERROR(__xludf.DUMMYFUNCTION("""COMPUTED_VALUE"""),"Zelig")</f>
        <v>Zelig</v>
      </c>
      <c r="J3352" s="5" t="str">
        <f>IFERROR(__xludf.DUMMYFUNCTION("""COMPUTED_VALUE"""),"Patrick Horgan")</f>
        <v>Patrick Horgan</v>
      </c>
      <c r="K3352" s="5" t="str">
        <f>IFERROR(__xludf.DUMMYFUNCTION("""COMPUTED_VALUE"""),"Estrela 3")</f>
        <v>Estrela 3</v>
      </c>
      <c r="P3352" s="5">
        <f>IFERROR(__xludf.DUMMYFUNCTION("""COMPUTED_VALUE"""),838.0)</f>
        <v>838</v>
      </c>
      <c r="Q3352" s="5" t="str">
        <f>IFERROR(__xludf.DUMMYFUNCTION("""COMPUTED_VALUE"""),"Zelig")</f>
        <v>Zelig</v>
      </c>
      <c r="R3352" s="5" t="str">
        <f>IFERROR(__xludf.DUMMYFUNCTION("""COMPUTED_VALUE"""),"Patrick Horgan")</f>
        <v>Patrick Horgan</v>
      </c>
      <c r="S3352" s="5" t="str">
        <f>IFERROR(__xludf.DUMMYFUNCTION("""COMPUTED_VALUE"""),"Estrela 3")</f>
        <v>Estrela 3</v>
      </c>
    </row>
    <row r="3353">
      <c r="G3353" s="5" t="str">
        <f>IFERROR(__xludf.DUMMYFUNCTION("""COMPUTED_VALUE"""),"838🤙🏼Zelig🤙🏼John Buckwalter🤙🏼Estrela 4")</f>
        <v>838🤙🏼Zelig🤙🏼John Buckwalter🤙🏼Estrela 4</v>
      </c>
      <c r="H3353" s="5">
        <f>IFERROR(__xludf.DUMMYFUNCTION("SPLiT(G3353, ""🤙🏼"",FALSE,FALSE)"),838.0)</f>
        <v>838</v>
      </c>
      <c r="I3353" s="5" t="str">
        <f>IFERROR(__xludf.DUMMYFUNCTION("""COMPUTED_VALUE"""),"Zelig")</f>
        <v>Zelig</v>
      </c>
      <c r="J3353" s="5" t="str">
        <f>IFERROR(__xludf.DUMMYFUNCTION("""COMPUTED_VALUE"""),"John Buckwalter")</f>
        <v>John Buckwalter</v>
      </c>
      <c r="K3353" s="5" t="str">
        <f>IFERROR(__xludf.DUMMYFUNCTION("""COMPUTED_VALUE"""),"Estrela 4")</f>
        <v>Estrela 4</v>
      </c>
      <c r="P3353" s="5">
        <f>IFERROR(__xludf.DUMMYFUNCTION("""COMPUTED_VALUE"""),838.0)</f>
        <v>838</v>
      </c>
      <c r="Q3353" s="5" t="str">
        <f>IFERROR(__xludf.DUMMYFUNCTION("""COMPUTED_VALUE"""),"Zelig")</f>
        <v>Zelig</v>
      </c>
      <c r="R3353" s="5" t="str">
        <f>IFERROR(__xludf.DUMMYFUNCTION("""COMPUTED_VALUE"""),"John Buckwalter")</f>
        <v>John Buckwalter</v>
      </c>
      <c r="S3353" s="5" t="str">
        <f>IFERROR(__xludf.DUMMYFUNCTION("""COMPUTED_VALUE"""),"Estrela 4")</f>
        <v>Estrela 4</v>
      </c>
    </row>
    <row r="3354">
      <c r="G3354" s="5" t="str">
        <f>IFERROR(__xludf.DUMMYFUNCTION("""COMPUTED_VALUE"""),"839🤙🏼The Verdict🤙🏼Paul Newman🤙🏼Estrela 1")</f>
        <v>839🤙🏼The Verdict🤙🏼Paul Newman🤙🏼Estrela 1</v>
      </c>
      <c r="H3354" s="5">
        <f>IFERROR(__xludf.DUMMYFUNCTION("SPLiT(G3354, ""🤙🏼"",FALSE,FALSE)"),839.0)</f>
        <v>839</v>
      </c>
      <c r="I3354" s="5" t="str">
        <f>IFERROR(__xludf.DUMMYFUNCTION("""COMPUTED_VALUE"""),"The Verdict")</f>
        <v>The Verdict</v>
      </c>
      <c r="J3354" s="5" t="str">
        <f>IFERROR(__xludf.DUMMYFUNCTION("""COMPUTED_VALUE"""),"Paul Newman")</f>
        <v>Paul Newman</v>
      </c>
      <c r="K3354" s="5" t="str">
        <f>IFERROR(__xludf.DUMMYFUNCTION("""COMPUTED_VALUE"""),"Estrela 1")</f>
        <v>Estrela 1</v>
      </c>
      <c r="P3354" s="5">
        <f>IFERROR(__xludf.DUMMYFUNCTION("""COMPUTED_VALUE"""),839.0)</f>
        <v>839</v>
      </c>
      <c r="Q3354" s="5" t="str">
        <f>IFERROR(__xludf.DUMMYFUNCTION("""COMPUTED_VALUE"""),"The Verdict")</f>
        <v>The Verdict</v>
      </c>
      <c r="R3354" s="5" t="str">
        <f>IFERROR(__xludf.DUMMYFUNCTION("""COMPUTED_VALUE"""),"Paul Newman")</f>
        <v>Paul Newman</v>
      </c>
      <c r="S3354" s="5" t="str">
        <f>IFERROR(__xludf.DUMMYFUNCTION("""COMPUTED_VALUE"""),"Estrela 1")</f>
        <v>Estrela 1</v>
      </c>
    </row>
    <row r="3355">
      <c r="G3355" s="5" t="str">
        <f>IFERROR(__xludf.DUMMYFUNCTION("""COMPUTED_VALUE"""),"839🤙🏼The Verdict🤙🏼Charlotte Rampling🤙🏼Estrela 2")</f>
        <v>839🤙🏼The Verdict🤙🏼Charlotte Rampling🤙🏼Estrela 2</v>
      </c>
      <c r="H3355" s="5">
        <f>IFERROR(__xludf.DUMMYFUNCTION("SPLiT(G3355, ""🤙🏼"",FALSE,FALSE)"),839.0)</f>
        <v>839</v>
      </c>
      <c r="I3355" s="5" t="str">
        <f>IFERROR(__xludf.DUMMYFUNCTION("""COMPUTED_VALUE"""),"The Verdict")</f>
        <v>The Verdict</v>
      </c>
      <c r="J3355" s="5" t="str">
        <f>IFERROR(__xludf.DUMMYFUNCTION("""COMPUTED_VALUE"""),"Charlotte Rampling")</f>
        <v>Charlotte Rampling</v>
      </c>
      <c r="K3355" s="5" t="str">
        <f>IFERROR(__xludf.DUMMYFUNCTION("""COMPUTED_VALUE"""),"Estrela 2")</f>
        <v>Estrela 2</v>
      </c>
      <c r="P3355" s="5">
        <f>IFERROR(__xludf.DUMMYFUNCTION("""COMPUTED_VALUE"""),839.0)</f>
        <v>839</v>
      </c>
      <c r="Q3355" s="5" t="str">
        <f>IFERROR(__xludf.DUMMYFUNCTION("""COMPUTED_VALUE"""),"The Verdict")</f>
        <v>The Verdict</v>
      </c>
      <c r="R3355" s="5" t="str">
        <f>IFERROR(__xludf.DUMMYFUNCTION("""COMPUTED_VALUE"""),"Charlotte Rampling")</f>
        <v>Charlotte Rampling</v>
      </c>
      <c r="S3355" s="5" t="str">
        <f>IFERROR(__xludf.DUMMYFUNCTION("""COMPUTED_VALUE"""),"Estrela 2")</f>
        <v>Estrela 2</v>
      </c>
    </row>
    <row r="3356">
      <c r="G3356" s="5" t="str">
        <f>IFERROR(__xludf.DUMMYFUNCTION("""COMPUTED_VALUE"""),"839🤙🏼The Verdict🤙🏼Jack Warden🤙🏼Estrela 3")</f>
        <v>839🤙🏼The Verdict🤙🏼Jack Warden🤙🏼Estrela 3</v>
      </c>
      <c r="H3356" s="5">
        <f>IFERROR(__xludf.DUMMYFUNCTION("SPLiT(G3356, ""🤙🏼"",FALSE,FALSE)"),839.0)</f>
        <v>839</v>
      </c>
      <c r="I3356" s="5" t="str">
        <f>IFERROR(__xludf.DUMMYFUNCTION("""COMPUTED_VALUE"""),"The Verdict")</f>
        <v>The Verdict</v>
      </c>
      <c r="J3356" s="5" t="str">
        <f>IFERROR(__xludf.DUMMYFUNCTION("""COMPUTED_VALUE"""),"Jack Warden")</f>
        <v>Jack Warden</v>
      </c>
      <c r="K3356" s="5" t="str">
        <f>IFERROR(__xludf.DUMMYFUNCTION("""COMPUTED_VALUE"""),"Estrela 3")</f>
        <v>Estrela 3</v>
      </c>
      <c r="P3356" s="5">
        <f>IFERROR(__xludf.DUMMYFUNCTION("""COMPUTED_VALUE"""),839.0)</f>
        <v>839</v>
      </c>
      <c r="Q3356" s="5" t="str">
        <f>IFERROR(__xludf.DUMMYFUNCTION("""COMPUTED_VALUE"""),"The Verdict")</f>
        <v>The Verdict</v>
      </c>
      <c r="R3356" s="5" t="str">
        <f>IFERROR(__xludf.DUMMYFUNCTION("""COMPUTED_VALUE"""),"Jack Warden")</f>
        <v>Jack Warden</v>
      </c>
      <c r="S3356" s="5" t="str">
        <f>IFERROR(__xludf.DUMMYFUNCTION("""COMPUTED_VALUE"""),"Estrela 3")</f>
        <v>Estrela 3</v>
      </c>
    </row>
    <row r="3357">
      <c r="G3357" s="5" t="str">
        <f>IFERROR(__xludf.DUMMYFUNCTION("""COMPUTED_VALUE"""),"839🤙🏼The Verdict🤙🏼James Mason🤙🏼Estrela 4")</f>
        <v>839🤙🏼The Verdict🤙🏼James Mason🤙🏼Estrela 4</v>
      </c>
      <c r="H3357" s="5">
        <f>IFERROR(__xludf.DUMMYFUNCTION("SPLiT(G3357, ""🤙🏼"",FALSE,FALSE)"),839.0)</f>
        <v>839</v>
      </c>
      <c r="I3357" s="5" t="str">
        <f>IFERROR(__xludf.DUMMYFUNCTION("""COMPUTED_VALUE"""),"The Verdict")</f>
        <v>The Verdict</v>
      </c>
      <c r="J3357" s="5" t="str">
        <f>IFERROR(__xludf.DUMMYFUNCTION("""COMPUTED_VALUE"""),"James Mason")</f>
        <v>James Mason</v>
      </c>
      <c r="K3357" s="5" t="str">
        <f>IFERROR(__xludf.DUMMYFUNCTION("""COMPUTED_VALUE"""),"Estrela 4")</f>
        <v>Estrela 4</v>
      </c>
      <c r="P3357" s="5">
        <f>IFERROR(__xludf.DUMMYFUNCTION("""COMPUTED_VALUE"""),839.0)</f>
        <v>839</v>
      </c>
      <c r="Q3357" s="5" t="str">
        <f>IFERROR(__xludf.DUMMYFUNCTION("""COMPUTED_VALUE"""),"The Verdict")</f>
        <v>The Verdict</v>
      </c>
      <c r="R3357" s="5" t="str">
        <f>IFERROR(__xludf.DUMMYFUNCTION("""COMPUTED_VALUE"""),"James Mason")</f>
        <v>James Mason</v>
      </c>
      <c r="S3357" s="5" t="str">
        <f>IFERROR(__xludf.DUMMYFUNCTION("""COMPUTED_VALUE"""),"Estrela 4")</f>
        <v>Estrela 4</v>
      </c>
    </row>
    <row r="3358">
      <c r="G3358" s="5" t="str">
        <f>IFERROR(__xludf.DUMMYFUNCTION("""COMPUTED_VALUE"""),"840🤙🏼Star Trek II: The Wrath of Khan🤙🏼William Shatner🤙🏼Estrela 1")</f>
        <v>840🤙🏼Star Trek II: The Wrath of Khan🤙🏼William Shatner🤙🏼Estrela 1</v>
      </c>
      <c r="H3358" s="5">
        <f>IFERROR(__xludf.DUMMYFUNCTION("SPLiT(G3358, ""🤙🏼"",FALSE,FALSE)"),840.0)</f>
        <v>840</v>
      </c>
      <c r="I3358" s="5" t="str">
        <f>IFERROR(__xludf.DUMMYFUNCTION("""COMPUTED_VALUE"""),"Star Trek II: The Wrath of Khan")</f>
        <v>Star Trek II: The Wrath of Khan</v>
      </c>
      <c r="J3358" s="5" t="str">
        <f>IFERROR(__xludf.DUMMYFUNCTION("""COMPUTED_VALUE"""),"William Shatner")</f>
        <v>William Shatner</v>
      </c>
      <c r="K3358" s="5" t="str">
        <f>IFERROR(__xludf.DUMMYFUNCTION("""COMPUTED_VALUE"""),"Estrela 1")</f>
        <v>Estrela 1</v>
      </c>
      <c r="P3358" s="5">
        <f>IFERROR(__xludf.DUMMYFUNCTION("""COMPUTED_VALUE"""),840.0)</f>
        <v>840</v>
      </c>
      <c r="Q3358" s="5" t="str">
        <f>IFERROR(__xludf.DUMMYFUNCTION("""COMPUTED_VALUE"""),"Star Trek II: The Wrath of Khan")</f>
        <v>Star Trek II: The Wrath of Khan</v>
      </c>
      <c r="R3358" s="5" t="str">
        <f>IFERROR(__xludf.DUMMYFUNCTION("""COMPUTED_VALUE"""),"William Shatner")</f>
        <v>William Shatner</v>
      </c>
      <c r="S3358" s="5" t="str">
        <f>IFERROR(__xludf.DUMMYFUNCTION("""COMPUTED_VALUE"""),"Estrela 1")</f>
        <v>Estrela 1</v>
      </c>
    </row>
    <row r="3359">
      <c r="G3359" s="5" t="str">
        <f>IFERROR(__xludf.DUMMYFUNCTION("""COMPUTED_VALUE"""),"840🤙🏼Star Trek II: The Wrath of Khan🤙🏼Leonard Nimoy🤙🏼Estrela 2")</f>
        <v>840🤙🏼Star Trek II: The Wrath of Khan🤙🏼Leonard Nimoy🤙🏼Estrela 2</v>
      </c>
      <c r="H3359" s="5">
        <f>IFERROR(__xludf.DUMMYFUNCTION("SPLiT(G3359, ""🤙🏼"",FALSE,FALSE)"),840.0)</f>
        <v>840</v>
      </c>
      <c r="I3359" s="5" t="str">
        <f>IFERROR(__xludf.DUMMYFUNCTION("""COMPUTED_VALUE"""),"Star Trek II: The Wrath of Khan")</f>
        <v>Star Trek II: The Wrath of Khan</v>
      </c>
      <c r="J3359" s="5" t="str">
        <f>IFERROR(__xludf.DUMMYFUNCTION("""COMPUTED_VALUE"""),"Leonard Nimoy")</f>
        <v>Leonard Nimoy</v>
      </c>
      <c r="K3359" s="5" t="str">
        <f>IFERROR(__xludf.DUMMYFUNCTION("""COMPUTED_VALUE"""),"Estrela 2")</f>
        <v>Estrela 2</v>
      </c>
      <c r="P3359" s="5">
        <f>IFERROR(__xludf.DUMMYFUNCTION("""COMPUTED_VALUE"""),840.0)</f>
        <v>840</v>
      </c>
      <c r="Q3359" s="5" t="str">
        <f>IFERROR(__xludf.DUMMYFUNCTION("""COMPUTED_VALUE"""),"Star Trek II: The Wrath of Khan")</f>
        <v>Star Trek II: The Wrath of Khan</v>
      </c>
      <c r="R3359" s="5" t="str">
        <f>IFERROR(__xludf.DUMMYFUNCTION("""COMPUTED_VALUE"""),"Leonard Nimoy")</f>
        <v>Leonard Nimoy</v>
      </c>
      <c r="S3359" s="5" t="str">
        <f>IFERROR(__xludf.DUMMYFUNCTION("""COMPUTED_VALUE"""),"Estrela 2")</f>
        <v>Estrela 2</v>
      </c>
    </row>
    <row r="3360">
      <c r="G3360" s="5" t="str">
        <f>IFERROR(__xludf.DUMMYFUNCTION("""COMPUTED_VALUE"""),"840🤙🏼Star Trek II: The Wrath of Khan🤙🏼DeForest Kelley🤙🏼Estrela 3")</f>
        <v>840🤙🏼Star Trek II: The Wrath of Khan🤙🏼DeForest Kelley🤙🏼Estrela 3</v>
      </c>
      <c r="H3360" s="5">
        <f>IFERROR(__xludf.DUMMYFUNCTION("SPLiT(G3360, ""🤙🏼"",FALSE,FALSE)"),840.0)</f>
        <v>840</v>
      </c>
      <c r="I3360" s="5" t="str">
        <f>IFERROR(__xludf.DUMMYFUNCTION("""COMPUTED_VALUE"""),"Star Trek II: The Wrath of Khan")</f>
        <v>Star Trek II: The Wrath of Khan</v>
      </c>
      <c r="J3360" s="5" t="str">
        <f>IFERROR(__xludf.DUMMYFUNCTION("""COMPUTED_VALUE"""),"DeForest Kelley")</f>
        <v>DeForest Kelley</v>
      </c>
      <c r="K3360" s="5" t="str">
        <f>IFERROR(__xludf.DUMMYFUNCTION("""COMPUTED_VALUE"""),"Estrela 3")</f>
        <v>Estrela 3</v>
      </c>
      <c r="P3360" s="5">
        <f>IFERROR(__xludf.DUMMYFUNCTION("""COMPUTED_VALUE"""),840.0)</f>
        <v>840</v>
      </c>
      <c r="Q3360" s="5" t="str">
        <f>IFERROR(__xludf.DUMMYFUNCTION("""COMPUTED_VALUE"""),"Star Trek II: The Wrath of Khan")</f>
        <v>Star Trek II: The Wrath of Khan</v>
      </c>
      <c r="R3360" s="5" t="str">
        <f>IFERROR(__xludf.DUMMYFUNCTION("""COMPUTED_VALUE"""),"DeForest Kelley")</f>
        <v>DeForest Kelley</v>
      </c>
      <c r="S3360" s="5" t="str">
        <f>IFERROR(__xludf.DUMMYFUNCTION("""COMPUTED_VALUE"""),"Estrela 3")</f>
        <v>Estrela 3</v>
      </c>
    </row>
    <row r="3361">
      <c r="G3361" s="5" t="str">
        <f>IFERROR(__xludf.DUMMYFUNCTION("""COMPUTED_VALUE"""),"840🤙🏼Star Trek II: The Wrath of Khan🤙🏼James Doohan🤙🏼Estrela 4")</f>
        <v>840🤙🏼Star Trek II: The Wrath of Khan🤙🏼James Doohan🤙🏼Estrela 4</v>
      </c>
      <c r="H3361" s="5">
        <f>IFERROR(__xludf.DUMMYFUNCTION("SPLiT(G3361, ""🤙🏼"",FALSE,FALSE)"),840.0)</f>
        <v>840</v>
      </c>
      <c r="I3361" s="5" t="str">
        <f>IFERROR(__xludf.DUMMYFUNCTION("""COMPUTED_VALUE"""),"Star Trek II: The Wrath of Khan")</f>
        <v>Star Trek II: The Wrath of Khan</v>
      </c>
      <c r="J3361" s="5" t="str">
        <f>IFERROR(__xludf.DUMMYFUNCTION("""COMPUTED_VALUE"""),"James Doohan")</f>
        <v>James Doohan</v>
      </c>
      <c r="K3361" s="5" t="str">
        <f>IFERROR(__xludf.DUMMYFUNCTION("""COMPUTED_VALUE"""),"Estrela 4")</f>
        <v>Estrela 4</v>
      </c>
      <c r="P3361" s="5">
        <f>IFERROR(__xludf.DUMMYFUNCTION("""COMPUTED_VALUE"""),840.0)</f>
        <v>840</v>
      </c>
      <c r="Q3361" s="5" t="str">
        <f>IFERROR(__xludf.DUMMYFUNCTION("""COMPUTED_VALUE"""),"Star Trek II: The Wrath of Khan")</f>
        <v>Star Trek II: The Wrath of Khan</v>
      </c>
      <c r="R3361" s="5" t="str">
        <f>IFERROR(__xludf.DUMMYFUNCTION("""COMPUTED_VALUE"""),"James Doohan")</f>
        <v>James Doohan</v>
      </c>
      <c r="S3361" s="5" t="str">
        <f>IFERROR(__xludf.DUMMYFUNCTION("""COMPUTED_VALUE"""),"Estrela 4")</f>
        <v>Estrela 4</v>
      </c>
    </row>
    <row r="3362">
      <c r="G3362" s="5" t="str">
        <f>IFERROR(__xludf.DUMMYFUNCTION("""COMPUTED_VALUE"""),"841🤙🏼First Blood🤙🏼Sylvester Stallone🤙🏼Estrela 1")</f>
        <v>841🤙🏼First Blood🤙🏼Sylvester Stallone🤙🏼Estrela 1</v>
      </c>
      <c r="H3362" s="5">
        <f>IFERROR(__xludf.DUMMYFUNCTION("SPLiT(G3362, ""🤙🏼"",FALSE,FALSE)"),841.0)</f>
        <v>841</v>
      </c>
      <c r="I3362" s="5" t="str">
        <f>IFERROR(__xludf.DUMMYFUNCTION("""COMPUTED_VALUE"""),"First Blood")</f>
        <v>First Blood</v>
      </c>
      <c r="J3362" s="5" t="str">
        <f>IFERROR(__xludf.DUMMYFUNCTION("""COMPUTED_VALUE"""),"Sylvester Stallone")</f>
        <v>Sylvester Stallone</v>
      </c>
      <c r="K3362" s="5" t="str">
        <f>IFERROR(__xludf.DUMMYFUNCTION("""COMPUTED_VALUE"""),"Estrela 1")</f>
        <v>Estrela 1</v>
      </c>
      <c r="P3362" s="5">
        <f>IFERROR(__xludf.DUMMYFUNCTION("""COMPUTED_VALUE"""),841.0)</f>
        <v>841</v>
      </c>
      <c r="Q3362" s="5" t="str">
        <f>IFERROR(__xludf.DUMMYFUNCTION("""COMPUTED_VALUE"""),"First Blood")</f>
        <v>First Blood</v>
      </c>
      <c r="R3362" s="5" t="str">
        <f>IFERROR(__xludf.DUMMYFUNCTION("""COMPUTED_VALUE"""),"Sylvester Stallone")</f>
        <v>Sylvester Stallone</v>
      </c>
      <c r="S3362" s="5" t="str">
        <f>IFERROR(__xludf.DUMMYFUNCTION("""COMPUTED_VALUE"""),"Estrela 1")</f>
        <v>Estrela 1</v>
      </c>
    </row>
    <row r="3363">
      <c r="G3363" s="5" t="str">
        <f>IFERROR(__xludf.DUMMYFUNCTION("""COMPUTED_VALUE"""),"841🤙🏼First Blood🤙🏼Brian Dennehy🤙🏼Estrela 2")</f>
        <v>841🤙🏼First Blood🤙🏼Brian Dennehy🤙🏼Estrela 2</v>
      </c>
      <c r="H3363" s="5">
        <f>IFERROR(__xludf.DUMMYFUNCTION("SPLiT(G3363, ""🤙🏼"",FALSE,FALSE)"),841.0)</f>
        <v>841</v>
      </c>
      <c r="I3363" s="5" t="str">
        <f>IFERROR(__xludf.DUMMYFUNCTION("""COMPUTED_VALUE"""),"First Blood")</f>
        <v>First Blood</v>
      </c>
      <c r="J3363" s="5" t="str">
        <f>IFERROR(__xludf.DUMMYFUNCTION("""COMPUTED_VALUE"""),"Brian Dennehy")</f>
        <v>Brian Dennehy</v>
      </c>
      <c r="K3363" s="5" t="str">
        <f>IFERROR(__xludf.DUMMYFUNCTION("""COMPUTED_VALUE"""),"Estrela 2")</f>
        <v>Estrela 2</v>
      </c>
      <c r="P3363" s="5">
        <f>IFERROR(__xludf.DUMMYFUNCTION("""COMPUTED_VALUE"""),841.0)</f>
        <v>841</v>
      </c>
      <c r="Q3363" s="5" t="str">
        <f>IFERROR(__xludf.DUMMYFUNCTION("""COMPUTED_VALUE"""),"First Blood")</f>
        <v>First Blood</v>
      </c>
      <c r="R3363" s="5" t="str">
        <f>IFERROR(__xludf.DUMMYFUNCTION("""COMPUTED_VALUE"""),"Brian Dennehy")</f>
        <v>Brian Dennehy</v>
      </c>
      <c r="S3363" s="5" t="str">
        <f>IFERROR(__xludf.DUMMYFUNCTION("""COMPUTED_VALUE"""),"Estrela 2")</f>
        <v>Estrela 2</v>
      </c>
    </row>
    <row r="3364">
      <c r="G3364" s="5" t="str">
        <f>IFERROR(__xludf.DUMMYFUNCTION("""COMPUTED_VALUE"""),"841🤙🏼First Blood🤙🏼Richard Crenna🤙🏼Estrela 3")</f>
        <v>841🤙🏼First Blood🤙🏼Richard Crenna🤙🏼Estrela 3</v>
      </c>
      <c r="H3364" s="5">
        <f>IFERROR(__xludf.DUMMYFUNCTION("SPLiT(G3364, ""🤙🏼"",FALSE,FALSE)"),841.0)</f>
        <v>841</v>
      </c>
      <c r="I3364" s="5" t="str">
        <f>IFERROR(__xludf.DUMMYFUNCTION("""COMPUTED_VALUE"""),"First Blood")</f>
        <v>First Blood</v>
      </c>
      <c r="J3364" s="5" t="str">
        <f>IFERROR(__xludf.DUMMYFUNCTION("""COMPUTED_VALUE"""),"Richard Crenna")</f>
        <v>Richard Crenna</v>
      </c>
      <c r="K3364" s="5" t="str">
        <f>IFERROR(__xludf.DUMMYFUNCTION("""COMPUTED_VALUE"""),"Estrela 3")</f>
        <v>Estrela 3</v>
      </c>
      <c r="P3364" s="5">
        <f>IFERROR(__xludf.DUMMYFUNCTION("""COMPUTED_VALUE"""),841.0)</f>
        <v>841</v>
      </c>
      <c r="Q3364" s="5" t="str">
        <f>IFERROR(__xludf.DUMMYFUNCTION("""COMPUTED_VALUE"""),"First Blood")</f>
        <v>First Blood</v>
      </c>
      <c r="R3364" s="5" t="str">
        <f>IFERROR(__xludf.DUMMYFUNCTION("""COMPUTED_VALUE"""),"Richard Crenna")</f>
        <v>Richard Crenna</v>
      </c>
      <c r="S3364" s="5" t="str">
        <f>IFERROR(__xludf.DUMMYFUNCTION("""COMPUTED_VALUE"""),"Estrela 3")</f>
        <v>Estrela 3</v>
      </c>
    </row>
    <row r="3365">
      <c r="G3365" s="5" t="str">
        <f>IFERROR(__xludf.DUMMYFUNCTION("""COMPUTED_VALUE"""),"841🤙🏼First Blood🤙🏼Bill McKinney🤙🏼Estrela 4")</f>
        <v>841🤙🏼First Blood🤙🏼Bill McKinney🤙🏼Estrela 4</v>
      </c>
      <c r="H3365" s="5">
        <f>IFERROR(__xludf.DUMMYFUNCTION("SPLiT(G3365, ""🤙🏼"",FALSE,FALSE)"),841.0)</f>
        <v>841</v>
      </c>
      <c r="I3365" s="5" t="str">
        <f>IFERROR(__xludf.DUMMYFUNCTION("""COMPUTED_VALUE"""),"First Blood")</f>
        <v>First Blood</v>
      </c>
      <c r="J3365" s="5" t="str">
        <f>IFERROR(__xludf.DUMMYFUNCTION("""COMPUTED_VALUE"""),"Bill McKinney")</f>
        <v>Bill McKinney</v>
      </c>
      <c r="K3365" s="5" t="str">
        <f>IFERROR(__xludf.DUMMYFUNCTION("""COMPUTED_VALUE"""),"Estrela 4")</f>
        <v>Estrela 4</v>
      </c>
      <c r="P3365" s="5">
        <f>IFERROR(__xludf.DUMMYFUNCTION("""COMPUTED_VALUE"""),841.0)</f>
        <v>841</v>
      </c>
      <c r="Q3365" s="5" t="str">
        <f>IFERROR(__xludf.DUMMYFUNCTION("""COMPUTED_VALUE"""),"First Blood")</f>
        <v>First Blood</v>
      </c>
      <c r="R3365" s="5" t="str">
        <f>IFERROR(__xludf.DUMMYFUNCTION("""COMPUTED_VALUE"""),"Bill McKinney")</f>
        <v>Bill McKinney</v>
      </c>
      <c r="S3365" s="5" t="str">
        <f>IFERROR(__xludf.DUMMYFUNCTION("""COMPUTED_VALUE"""),"Estrela 4")</f>
        <v>Estrela 4</v>
      </c>
    </row>
    <row r="3366">
      <c r="G3366" s="5" t="str">
        <f>IFERROR(__xludf.DUMMYFUNCTION("""COMPUTED_VALUE"""),"842🤙🏼Ordinary People🤙🏼Donald Sutherland🤙🏼Estrela 1")</f>
        <v>842🤙🏼Ordinary People🤙🏼Donald Sutherland🤙🏼Estrela 1</v>
      </c>
      <c r="H3366" s="5">
        <f>IFERROR(__xludf.DUMMYFUNCTION("SPLiT(G3366, ""🤙🏼"",FALSE,FALSE)"),842.0)</f>
        <v>842</v>
      </c>
      <c r="I3366" s="5" t="str">
        <f>IFERROR(__xludf.DUMMYFUNCTION("""COMPUTED_VALUE"""),"Ordinary People")</f>
        <v>Ordinary People</v>
      </c>
      <c r="J3366" s="5" t="str">
        <f>IFERROR(__xludf.DUMMYFUNCTION("""COMPUTED_VALUE"""),"Donald Sutherland")</f>
        <v>Donald Sutherland</v>
      </c>
      <c r="K3366" s="5" t="str">
        <f>IFERROR(__xludf.DUMMYFUNCTION("""COMPUTED_VALUE"""),"Estrela 1")</f>
        <v>Estrela 1</v>
      </c>
      <c r="P3366" s="5">
        <f>IFERROR(__xludf.DUMMYFUNCTION("""COMPUTED_VALUE"""),842.0)</f>
        <v>842</v>
      </c>
      <c r="Q3366" s="5" t="str">
        <f>IFERROR(__xludf.DUMMYFUNCTION("""COMPUTED_VALUE"""),"Ordinary People")</f>
        <v>Ordinary People</v>
      </c>
      <c r="R3366" s="5" t="str">
        <f>IFERROR(__xludf.DUMMYFUNCTION("""COMPUTED_VALUE"""),"Donald Sutherland")</f>
        <v>Donald Sutherland</v>
      </c>
      <c r="S3366" s="5" t="str">
        <f>IFERROR(__xludf.DUMMYFUNCTION("""COMPUTED_VALUE"""),"Estrela 1")</f>
        <v>Estrela 1</v>
      </c>
    </row>
    <row r="3367">
      <c r="G3367" s="5" t="str">
        <f>IFERROR(__xludf.DUMMYFUNCTION("""COMPUTED_VALUE"""),"842🤙🏼Ordinary People🤙🏼Mary Tyler Moore🤙🏼Estrela 2")</f>
        <v>842🤙🏼Ordinary People🤙🏼Mary Tyler Moore🤙🏼Estrela 2</v>
      </c>
      <c r="H3367" s="5">
        <f>IFERROR(__xludf.DUMMYFUNCTION("SPLiT(G3367, ""🤙🏼"",FALSE,FALSE)"),842.0)</f>
        <v>842</v>
      </c>
      <c r="I3367" s="5" t="str">
        <f>IFERROR(__xludf.DUMMYFUNCTION("""COMPUTED_VALUE"""),"Ordinary People")</f>
        <v>Ordinary People</v>
      </c>
      <c r="J3367" s="5" t="str">
        <f>IFERROR(__xludf.DUMMYFUNCTION("""COMPUTED_VALUE"""),"Mary Tyler Moore")</f>
        <v>Mary Tyler Moore</v>
      </c>
      <c r="K3367" s="5" t="str">
        <f>IFERROR(__xludf.DUMMYFUNCTION("""COMPUTED_VALUE"""),"Estrela 2")</f>
        <v>Estrela 2</v>
      </c>
      <c r="P3367" s="5">
        <f>IFERROR(__xludf.DUMMYFUNCTION("""COMPUTED_VALUE"""),842.0)</f>
        <v>842</v>
      </c>
      <c r="Q3367" s="5" t="str">
        <f>IFERROR(__xludf.DUMMYFUNCTION("""COMPUTED_VALUE"""),"Ordinary People")</f>
        <v>Ordinary People</v>
      </c>
      <c r="R3367" s="5" t="str">
        <f>IFERROR(__xludf.DUMMYFUNCTION("""COMPUTED_VALUE"""),"Mary Tyler Moore")</f>
        <v>Mary Tyler Moore</v>
      </c>
      <c r="S3367" s="5" t="str">
        <f>IFERROR(__xludf.DUMMYFUNCTION("""COMPUTED_VALUE"""),"Estrela 2")</f>
        <v>Estrela 2</v>
      </c>
    </row>
    <row r="3368">
      <c r="G3368" s="5" t="str">
        <f>IFERROR(__xludf.DUMMYFUNCTION("""COMPUTED_VALUE"""),"842🤙🏼Ordinary People🤙🏼Judd Hirsch🤙🏼Estrela 3")</f>
        <v>842🤙🏼Ordinary People🤙🏼Judd Hirsch🤙🏼Estrela 3</v>
      </c>
      <c r="H3368" s="5">
        <f>IFERROR(__xludf.DUMMYFUNCTION("SPLiT(G3368, ""🤙🏼"",FALSE,FALSE)"),842.0)</f>
        <v>842</v>
      </c>
      <c r="I3368" s="5" t="str">
        <f>IFERROR(__xludf.DUMMYFUNCTION("""COMPUTED_VALUE"""),"Ordinary People")</f>
        <v>Ordinary People</v>
      </c>
      <c r="J3368" s="5" t="str">
        <f>IFERROR(__xludf.DUMMYFUNCTION("""COMPUTED_VALUE"""),"Judd Hirsch")</f>
        <v>Judd Hirsch</v>
      </c>
      <c r="K3368" s="5" t="str">
        <f>IFERROR(__xludf.DUMMYFUNCTION("""COMPUTED_VALUE"""),"Estrela 3")</f>
        <v>Estrela 3</v>
      </c>
      <c r="P3368" s="5">
        <f>IFERROR(__xludf.DUMMYFUNCTION("""COMPUTED_VALUE"""),842.0)</f>
        <v>842</v>
      </c>
      <c r="Q3368" s="5" t="str">
        <f>IFERROR(__xludf.DUMMYFUNCTION("""COMPUTED_VALUE"""),"Ordinary People")</f>
        <v>Ordinary People</v>
      </c>
      <c r="R3368" s="5" t="str">
        <f>IFERROR(__xludf.DUMMYFUNCTION("""COMPUTED_VALUE"""),"Judd Hirsch")</f>
        <v>Judd Hirsch</v>
      </c>
      <c r="S3368" s="5" t="str">
        <f>IFERROR(__xludf.DUMMYFUNCTION("""COMPUTED_VALUE"""),"Estrela 3")</f>
        <v>Estrela 3</v>
      </c>
    </row>
    <row r="3369">
      <c r="G3369" s="5" t="str">
        <f>IFERROR(__xludf.DUMMYFUNCTION("""COMPUTED_VALUE"""),"842🤙🏼Ordinary People🤙🏼Timothy Hutton🤙🏼Estrela 4")</f>
        <v>842🤙🏼Ordinary People🤙🏼Timothy Hutton🤙🏼Estrela 4</v>
      </c>
      <c r="H3369" s="5">
        <f>IFERROR(__xludf.DUMMYFUNCTION("SPLiT(G3369, ""🤙🏼"",FALSE,FALSE)"),842.0)</f>
        <v>842</v>
      </c>
      <c r="I3369" s="5" t="str">
        <f>IFERROR(__xludf.DUMMYFUNCTION("""COMPUTED_VALUE"""),"Ordinary People")</f>
        <v>Ordinary People</v>
      </c>
      <c r="J3369" s="5" t="str">
        <f>IFERROR(__xludf.DUMMYFUNCTION("""COMPUTED_VALUE"""),"Timothy Hutton")</f>
        <v>Timothy Hutton</v>
      </c>
      <c r="K3369" s="5" t="str">
        <f>IFERROR(__xludf.DUMMYFUNCTION("""COMPUTED_VALUE"""),"Estrela 4")</f>
        <v>Estrela 4</v>
      </c>
      <c r="P3369" s="5">
        <f>IFERROR(__xludf.DUMMYFUNCTION("""COMPUTED_VALUE"""),842.0)</f>
        <v>842</v>
      </c>
      <c r="Q3369" s="5" t="str">
        <f>IFERROR(__xludf.DUMMYFUNCTION("""COMPUTED_VALUE"""),"Ordinary People")</f>
        <v>Ordinary People</v>
      </c>
      <c r="R3369" s="5" t="str">
        <f>IFERROR(__xludf.DUMMYFUNCTION("""COMPUTED_VALUE"""),"Timothy Hutton")</f>
        <v>Timothy Hutton</v>
      </c>
      <c r="S3369" s="5" t="str">
        <f>IFERROR(__xludf.DUMMYFUNCTION("""COMPUTED_VALUE"""),"Estrela 4")</f>
        <v>Estrela 4</v>
      </c>
    </row>
    <row r="3370">
      <c r="G3370" s="5" t="str">
        <f>IFERROR(__xludf.DUMMYFUNCTION("""COMPUTED_VALUE"""),"843🤙🏼Airplane!🤙🏼David Zucker🤙🏼Estrela 1")</f>
        <v>843🤙🏼Airplane!🤙🏼David Zucker🤙🏼Estrela 1</v>
      </c>
      <c r="H3370" s="5">
        <f>IFERROR(__xludf.DUMMYFUNCTION("SPLiT(G3370, ""🤙🏼"",FALSE,FALSE)"),843.0)</f>
        <v>843</v>
      </c>
      <c r="I3370" s="5" t="str">
        <f>IFERROR(__xludf.DUMMYFUNCTION("""COMPUTED_VALUE"""),"Airplane!")</f>
        <v>Airplane!</v>
      </c>
      <c r="J3370" s="5" t="str">
        <f>IFERROR(__xludf.DUMMYFUNCTION("""COMPUTED_VALUE"""),"David Zucker")</f>
        <v>David Zucker</v>
      </c>
      <c r="K3370" s="5" t="str">
        <f>IFERROR(__xludf.DUMMYFUNCTION("""COMPUTED_VALUE"""),"Estrela 1")</f>
        <v>Estrela 1</v>
      </c>
      <c r="P3370" s="5">
        <f>IFERROR(__xludf.DUMMYFUNCTION("""COMPUTED_VALUE"""),843.0)</f>
        <v>843</v>
      </c>
      <c r="Q3370" s="5" t="str">
        <f>IFERROR(__xludf.DUMMYFUNCTION("""COMPUTED_VALUE"""),"Airplane!")</f>
        <v>Airplane!</v>
      </c>
      <c r="R3370" s="5" t="str">
        <f>IFERROR(__xludf.DUMMYFUNCTION("""COMPUTED_VALUE"""),"David Zucker")</f>
        <v>David Zucker</v>
      </c>
      <c r="S3370" s="5" t="str">
        <f>IFERROR(__xludf.DUMMYFUNCTION("""COMPUTED_VALUE"""),"Estrela 1")</f>
        <v>Estrela 1</v>
      </c>
    </row>
    <row r="3371">
      <c r="G3371" s="5" t="str">
        <f>IFERROR(__xludf.DUMMYFUNCTION("""COMPUTED_VALUE"""),"843🤙🏼Airplane!🤙🏼Jerry Zucker🤙🏼Estrela 2")</f>
        <v>843🤙🏼Airplane!🤙🏼Jerry Zucker🤙🏼Estrela 2</v>
      </c>
      <c r="H3371" s="5">
        <f>IFERROR(__xludf.DUMMYFUNCTION("SPLiT(G3371, ""🤙🏼"",FALSE,FALSE)"),843.0)</f>
        <v>843</v>
      </c>
      <c r="I3371" s="5" t="str">
        <f>IFERROR(__xludf.DUMMYFUNCTION("""COMPUTED_VALUE"""),"Airplane!")</f>
        <v>Airplane!</v>
      </c>
      <c r="J3371" s="5" t="str">
        <f>IFERROR(__xludf.DUMMYFUNCTION("""COMPUTED_VALUE"""),"Jerry Zucker")</f>
        <v>Jerry Zucker</v>
      </c>
      <c r="K3371" s="5" t="str">
        <f>IFERROR(__xludf.DUMMYFUNCTION("""COMPUTED_VALUE"""),"Estrela 2")</f>
        <v>Estrela 2</v>
      </c>
      <c r="P3371" s="5">
        <f>IFERROR(__xludf.DUMMYFUNCTION("""COMPUTED_VALUE"""),843.0)</f>
        <v>843</v>
      </c>
      <c r="Q3371" s="5" t="str">
        <f>IFERROR(__xludf.DUMMYFUNCTION("""COMPUTED_VALUE"""),"Airplane!")</f>
        <v>Airplane!</v>
      </c>
      <c r="R3371" s="5" t="str">
        <f>IFERROR(__xludf.DUMMYFUNCTION("""COMPUTED_VALUE"""),"Jerry Zucker")</f>
        <v>Jerry Zucker</v>
      </c>
      <c r="S3371" s="5" t="str">
        <f>IFERROR(__xludf.DUMMYFUNCTION("""COMPUTED_VALUE"""),"Estrela 2")</f>
        <v>Estrela 2</v>
      </c>
    </row>
    <row r="3372">
      <c r="G3372" s="5" t="str">
        <f>IFERROR(__xludf.DUMMYFUNCTION("""COMPUTED_VALUE"""),"843🤙🏼Airplane!🤙🏼Robert Hays🤙🏼Estrela 3")</f>
        <v>843🤙🏼Airplane!🤙🏼Robert Hays🤙🏼Estrela 3</v>
      </c>
      <c r="H3372" s="5">
        <f>IFERROR(__xludf.DUMMYFUNCTION("SPLiT(G3372, ""🤙🏼"",FALSE,FALSE)"),843.0)</f>
        <v>843</v>
      </c>
      <c r="I3372" s="5" t="str">
        <f>IFERROR(__xludf.DUMMYFUNCTION("""COMPUTED_VALUE"""),"Airplane!")</f>
        <v>Airplane!</v>
      </c>
      <c r="J3372" s="5" t="str">
        <f>IFERROR(__xludf.DUMMYFUNCTION("""COMPUTED_VALUE"""),"Robert Hays")</f>
        <v>Robert Hays</v>
      </c>
      <c r="K3372" s="5" t="str">
        <f>IFERROR(__xludf.DUMMYFUNCTION("""COMPUTED_VALUE"""),"Estrela 3")</f>
        <v>Estrela 3</v>
      </c>
      <c r="P3372" s="5">
        <f>IFERROR(__xludf.DUMMYFUNCTION("""COMPUTED_VALUE"""),843.0)</f>
        <v>843</v>
      </c>
      <c r="Q3372" s="5" t="str">
        <f>IFERROR(__xludf.DUMMYFUNCTION("""COMPUTED_VALUE"""),"Airplane!")</f>
        <v>Airplane!</v>
      </c>
      <c r="R3372" s="5" t="str">
        <f>IFERROR(__xludf.DUMMYFUNCTION("""COMPUTED_VALUE"""),"Robert Hays")</f>
        <v>Robert Hays</v>
      </c>
      <c r="S3372" s="5" t="str">
        <f>IFERROR(__xludf.DUMMYFUNCTION("""COMPUTED_VALUE"""),"Estrela 3")</f>
        <v>Estrela 3</v>
      </c>
    </row>
    <row r="3373">
      <c r="G3373" s="5" t="str">
        <f>IFERROR(__xludf.DUMMYFUNCTION("""COMPUTED_VALUE"""),"843🤙🏼Airplane!🤙🏼Julie Hagerty🤙🏼Estrela 4")</f>
        <v>843🤙🏼Airplane!🤙🏼Julie Hagerty🤙🏼Estrela 4</v>
      </c>
      <c r="H3373" s="5">
        <f>IFERROR(__xludf.DUMMYFUNCTION("SPLiT(G3373, ""🤙🏼"",FALSE,FALSE)"),843.0)</f>
        <v>843</v>
      </c>
      <c r="I3373" s="5" t="str">
        <f>IFERROR(__xludf.DUMMYFUNCTION("""COMPUTED_VALUE"""),"Airplane!")</f>
        <v>Airplane!</v>
      </c>
      <c r="J3373" s="5" t="str">
        <f>IFERROR(__xludf.DUMMYFUNCTION("""COMPUTED_VALUE"""),"Julie Hagerty")</f>
        <v>Julie Hagerty</v>
      </c>
      <c r="K3373" s="5" t="str">
        <f>IFERROR(__xludf.DUMMYFUNCTION("""COMPUTED_VALUE"""),"Estrela 4")</f>
        <v>Estrela 4</v>
      </c>
      <c r="P3373" s="5">
        <f>IFERROR(__xludf.DUMMYFUNCTION("""COMPUTED_VALUE"""),843.0)</f>
        <v>843</v>
      </c>
      <c r="Q3373" s="5" t="str">
        <f>IFERROR(__xludf.DUMMYFUNCTION("""COMPUTED_VALUE"""),"Airplane!")</f>
        <v>Airplane!</v>
      </c>
      <c r="R3373" s="5" t="str">
        <f>IFERROR(__xludf.DUMMYFUNCTION("""COMPUTED_VALUE"""),"Julie Hagerty")</f>
        <v>Julie Hagerty</v>
      </c>
      <c r="S3373" s="5" t="str">
        <f>IFERROR(__xludf.DUMMYFUNCTION("""COMPUTED_VALUE"""),"Estrela 4")</f>
        <v>Estrela 4</v>
      </c>
    </row>
    <row r="3374">
      <c r="G3374" s="5" t="str">
        <f>IFERROR(__xludf.DUMMYFUNCTION("""COMPUTED_VALUE"""),"844🤙🏼Rupan sansei: Kariosutoro no shiro🤙🏼Yasuo Yamada🤙🏼Estrela 1")</f>
        <v>844🤙🏼Rupan sansei: Kariosutoro no shiro🤙🏼Yasuo Yamada🤙🏼Estrela 1</v>
      </c>
      <c r="H3374" s="5">
        <f>IFERROR(__xludf.DUMMYFUNCTION("SPLiT(G3374, ""🤙🏼"",FALSE,FALSE)"),844.0)</f>
        <v>844</v>
      </c>
      <c r="I3374" s="5" t="str">
        <f>IFERROR(__xludf.DUMMYFUNCTION("""COMPUTED_VALUE"""),"Rupan sansei: Kariosutoro no shiro")</f>
        <v>Rupan sansei: Kariosutoro no shiro</v>
      </c>
      <c r="J3374" s="5" t="str">
        <f>IFERROR(__xludf.DUMMYFUNCTION("""COMPUTED_VALUE"""),"Yasuo Yamada")</f>
        <v>Yasuo Yamada</v>
      </c>
      <c r="K3374" s="5" t="str">
        <f>IFERROR(__xludf.DUMMYFUNCTION("""COMPUTED_VALUE"""),"Estrela 1")</f>
        <v>Estrela 1</v>
      </c>
      <c r="P3374" s="5">
        <f>IFERROR(__xludf.DUMMYFUNCTION("""COMPUTED_VALUE"""),844.0)</f>
        <v>844</v>
      </c>
      <c r="Q3374" s="5" t="str">
        <f>IFERROR(__xludf.DUMMYFUNCTION("""COMPUTED_VALUE"""),"Rupan sansei: Kariosutoro no shiro")</f>
        <v>Rupan sansei: Kariosutoro no shiro</v>
      </c>
      <c r="R3374" s="5" t="str">
        <f>IFERROR(__xludf.DUMMYFUNCTION("""COMPUTED_VALUE"""),"Yasuo Yamada")</f>
        <v>Yasuo Yamada</v>
      </c>
      <c r="S3374" s="5" t="str">
        <f>IFERROR(__xludf.DUMMYFUNCTION("""COMPUTED_VALUE"""),"Estrela 1")</f>
        <v>Estrela 1</v>
      </c>
    </row>
    <row r="3375">
      <c r="G3375" s="5" t="str">
        <f>IFERROR(__xludf.DUMMYFUNCTION("""COMPUTED_VALUE"""),"844🤙🏼Rupan sansei: Kariosutoro no shiro🤙🏼Eiko Masuyama🤙🏼Estrela 2")</f>
        <v>844🤙🏼Rupan sansei: Kariosutoro no shiro🤙🏼Eiko Masuyama🤙🏼Estrela 2</v>
      </c>
      <c r="H3375" s="5">
        <f>IFERROR(__xludf.DUMMYFUNCTION("SPLiT(G3375, ""🤙🏼"",FALSE,FALSE)"),844.0)</f>
        <v>844</v>
      </c>
      <c r="I3375" s="5" t="str">
        <f>IFERROR(__xludf.DUMMYFUNCTION("""COMPUTED_VALUE"""),"Rupan sansei: Kariosutoro no shiro")</f>
        <v>Rupan sansei: Kariosutoro no shiro</v>
      </c>
      <c r="J3375" s="5" t="str">
        <f>IFERROR(__xludf.DUMMYFUNCTION("""COMPUTED_VALUE"""),"Eiko Masuyama")</f>
        <v>Eiko Masuyama</v>
      </c>
      <c r="K3375" s="5" t="str">
        <f>IFERROR(__xludf.DUMMYFUNCTION("""COMPUTED_VALUE"""),"Estrela 2")</f>
        <v>Estrela 2</v>
      </c>
      <c r="P3375" s="5">
        <f>IFERROR(__xludf.DUMMYFUNCTION("""COMPUTED_VALUE"""),844.0)</f>
        <v>844</v>
      </c>
      <c r="Q3375" s="5" t="str">
        <f>IFERROR(__xludf.DUMMYFUNCTION("""COMPUTED_VALUE"""),"Rupan sansei: Kariosutoro no shiro")</f>
        <v>Rupan sansei: Kariosutoro no shiro</v>
      </c>
      <c r="R3375" s="5" t="str">
        <f>IFERROR(__xludf.DUMMYFUNCTION("""COMPUTED_VALUE"""),"Eiko Masuyama")</f>
        <v>Eiko Masuyama</v>
      </c>
      <c r="S3375" s="5" t="str">
        <f>IFERROR(__xludf.DUMMYFUNCTION("""COMPUTED_VALUE"""),"Estrela 2")</f>
        <v>Estrela 2</v>
      </c>
    </row>
    <row r="3376">
      <c r="G3376" s="5" t="str">
        <f>IFERROR(__xludf.DUMMYFUNCTION("""COMPUTED_VALUE"""),"844🤙🏼Rupan sansei: Kariosutoro no shiro🤙🏼Kiyoshi Kobayashi🤙🏼Estrela 3")</f>
        <v>844🤙🏼Rupan sansei: Kariosutoro no shiro🤙🏼Kiyoshi Kobayashi🤙🏼Estrela 3</v>
      </c>
      <c r="H3376" s="5">
        <f>IFERROR(__xludf.DUMMYFUNCTION("SPLiT(G3376, ""🤙🏼"",FALSE,FALSE)"),844.0)</f>
        <v>844</v>
      </c>
      <c r="I3376" s="5" t="str">
        <f>IFERROR(__xludf.DUMMYFUNCTION("""COMPUTED_VALUE"""),"Rupan sansei: Kariosutoro no shiro")</f>
        <v>Rupan sansei: Kariosutoro no shiro</v>
      </c>
      <c r="J3376" s="5" t="str">
        <f>IFERROR(__xludf.DUMMYFUNCTION("""COMPUTED_VALUE"""),"Kiyoshi Kobayashi")</f>
        <v>Kiyoshi Kobayashi</v>
      </c>
      <c r="K3376" s="5" t="str">
        <f>IFERROR(__xludf.DUMMYFUNCTION("""COMPUTED_VALUE"""),"Estrela 3")</f>
        <v>Estrela 3</v>
      </c>
      <c r="P3376" s="5">
        <f>IFERROR(__xludf.DUMMYFUNCTION("""COMPUTED_VALUE"""),844.0)</f>
        <v>844</v>
      </c>
      <c r="Q3376" s="5" t="str">
        <f>IFERROR(__xludf.DUMMYFUNCTION("""COMPUTED_VALUE"""),"Rupan sansei: Kariosutoro no shiro")</f>
        <v>Rupan sansei: Kariosutoro no shiro</v>
      </c>
      <c r="R3376" s="5" t="str">
        <f>IFERROR(__xludf.DUMMYFUNCTION("""COMPUTED_VALUE"""),"Kiyoshi Kobayashi")</f>
        <v>Kiyoshi Kobayashi</v>
      </c>
      <c r="S3376" s="5" t="str">
        <f>IFERROR(__xludf.DUMMYFUNCTION("""COMPUTED_VALUE"""),"Estrela 3")</f>
        <v>Estrela 3</v>
      </c>
    </row>
    <row r="3377">
      <c r="G3377" s="5" t="str">
        <f>IFERROR(__xludf.DUMMYFUNCTION("""COMPUTED_VALUE"""),"844🤙🏼Rupan sansei: Kariosutoro no shiro🤙🏼Makio Inoue🤙🏼Estrela 4")</f>
        <v>844🤙🏼Rupan sansei: Kariosutoro no shiro🤙🏼Makio Inoue🤙🏼Estrela 4</v>
      </c>
      <c r="H3377" s="5">
        <f>IFERROR(__xludf.DUMMYFUNCTION("SPLiT(G3377, ""🤙🏼"",FALSE,FALSE)"),844.0)</f>
        <v>844</v>
      </c>
      <c r="I3377" s="5" t="str">
        <f>IFERROR(__xludf.DUMMYFUNCTION("""COMPUTED_VALUE"""),"Rupan sansei: Kariosutoro no shiro")</f>
        <v>Rupan sansei: Kariosutoro no shiro</v>
      </c>
      <c r="J3377" s="5" t="str">
        <f>IFERROR(__xludf.DUMMYFUNCTION("""COMPUTED_VALUE"""),"Makio Inoue")</f>
        <v>Makio Inoue</v>
      </c>
      <c r="K3377" s="5" t="str">
        <f>IFERROR(__xludf.DUMMYFUNCTION("""COMPUTED_VALUE"""),"Estrela 4")</f>
        <v>Estrela 4</v>
      </c>
      <c r="P3377" s="5">
        <f>IFERROR(__xludf.DUMMYFUNCTION("""COMPUTED_VALUE"""),844.0)</f>
        <v>844</v>
      </c>
      <c r="Q3377" s="5" t="str">
        <f>IFERROR(__xludf.DUMMYFUNCTION("""COMPUTED_VALUE"""),"Rupan sansei: Kariosutoro no shiro")</f>
        <v>Rupan sansei: Kariosutoro no shiro</v>
      </c>
      <c r="R3377" s="5" t="str">
        <f>IFERROR(__xludf.DUMMYFUNCTION("""COMPUTED_VALUE"""),"Makio Inoue")</f>
        <v>Makio Inoue</v>
      </c>
      <c r="S3377" s="5" t="str">
        <f>IFERROR(__xludf.DUMMYFUNCTION("""COMPUTED_VALUE"""),"Estrela 4")</f>
        <v>Estrela 4</v>
      </c>
    </row>
    <row r="3378">
      <c r="G3378" s="5" t="str">
        <f>IFERROR(__xludf.DUMMYFUNCTION("""COMPUTED_VALUE"""),"845🤙🏼Halloween🤙🏼Donald Pleasence🤙🏼Estrela 1")</f>
        <v>845🤙🏼Halloween🤙🏼Donald Pleasence🤙🏼Estrela 1</v>
      </c>
      <c r="H3378" s="5">
        <f>IFERROR(__xludf.DUMMYFUNCTION("SPLiT(G3378, ""🤙🏼"",FALSE,FALSE)"),845.0)</f>
        <v>845</v>
      </c>
      <c r="I3378" s="5" t="str">
        <f>IFERROR(__xludf.DUMMYFUNCTION("""COMPUTED_VALUE"""),"Halloween")</f>
        <v>Halloween</v>
      </c>
      <c r="J3378" s="5" t="str">
        <f>IFERROR(__xludf.DUMMYFUNCTION("""COMPUTED_VALUE"""),"Donald Pleasence")</f>
        <v>Donald Pleasence</v>
      </c>
      <c r="K3378" s="5" t="str">
        <f>IFERROR(__xludf.DUMMYFUNCTION("""COMPUTED_VALUE"""),"Estrela 1")</f>
        <v>Estrela 1</v>
      </c>
      <c r="P3378" s="5">
        <f>IFERROR(__xludf.DUMMYFUNCTION("""COMPUTED_VALUE"""),845.0)</f>
        <v>845</v>
      </c>
      <c r="Q3378" s="5" t="str">
        <f>IFERROR(__xludf.DUMMYFUNCTION("""COMPUTED_VALUE"""),"Halloween")</f>
        <v>Halloween</v>
      </c>
      <c r="R3378" s="5" t="str">
        <f>IFERROR(__xludf.DUMMYFUNCTION("""COMPUTED_VALUE"""),"Donald Pleasence")</f>
        <v>Donald Pleasence</v>
      </c>
      <c r="S3378" s="5" t="str">
        <f>IFERROR(__xludf.DUMMYFUNCTION("""COMPUTED_VALUE"""),"Estrela 1")</f>
        <v>Estrela 1</v>
      </c>
    </row>
    <row r="3379">
      <c r="G3379" s="5" t="str">
        <f>IFERROR(__xludf.DUMMYFUNCTION("""COMPUTED_VALUE"""),"845🤙🏼Halloween🤙🏼Jamie Lee Curtis🤙🏼Estrela 2")</f>
        <v>845🤙🏼Halloween🤙🏼Jamie Lee Curtis🤙🏼Estrela 2</v>
      </c>
      <c r="H3379" s="5">
        <f>IFERROR(__xludf.DUMMYFUNCTION("SPLiT(G3379, ""🤙🏼"",FALSE,FALSE)"),845.0)</f>
        <v>845</v>
      </c>
      <c r="I3379" s="5" t="str">
        <f>IFERROR(__xludf.DUMMYFUNCTION("""COMPUTED_VALUE"""),"Halloween")</f>
        <v>Halloween</v>
      </c>
      <c r="J3379" s="5" t="str">
        <f>IFERROR(__xludf.DUMMYFUNCTION("""COMPUTED_VALUE"""),"Jamie Lee Curtis")</f>
        <v>Jamie Lee Curtis</v>
      </c>
      <c r="K3379" s="5" t="str">
        <f>IFERROR(__xludf.DUMMYFUNCTION("""COMPUTED_VALUE"""),"Estrela 2")</f>
        <v>Estrela 2</v>
      </c>
      <c r="P3379" s="5">
        <f>IFERROR(__xludf.DUMMYFUNCTION("""COMPUTED_VALUE"""),845.0)</f>
        <v>845</v>
      </c>
      <c r="Q3379" s="5" t="str">
        <f>IFERROR(__xludf.DUMMYFUNCTION("""COMPUTED_VALUE"""),"Halloween")</f>
        <v>Halloween</v>
      </c>
      <c r="R3379" s="5" t="str">
        <f>IFERROR(__xludf.DUMMYFUNCTION("""COMPUTED_VALUE"""),"Jamie Lee Curtis")</f>
        <v>Jamie Lee Curtis</v>
      </c>
      <c r="S3379" s="5" t="str">
        <f>IFERROR(__xludf.DUMMYFUNCTION("""COMPUTED_VALUE"""),"Estrela 2")</f>
        <v>Estrela 2</v>
      </c>
    </row>
    <row r="3380">
      <c r="G3380" s="5" t="str">
        <f>IFERROR(__xludf.DUMMYFUNCTION("""COMPUTED_VALUE"""),"845🤙🏼Halloween🤙🏼Tony Moran🤙🏼Estrela 3")</f>
        <v>845🤙🏼Halloween🤙🏼Tony Moran🤙🏼Estrela 3</v>
      </c>
      <c r="H3380" s="5">
        <f>IFERROR(__xludf.DUMMYFUNCTION("SPLiT(G3380, ""🤙🏼"",FALSE,FALSE)"),845.0)</f>
        <v>845</v>
      </c>
      <c r="I3380" s="5" t="str">
        <f>IFERROR(__xludf.DUMMYFUNCTION("""COMPUTED_VALUE"""),"Halloween")</f>
        <v>Halloween</v>
      </c>
      <c r="J3380" s="5" t="str">
        <f>IFERROR(__xludf.DUMMYFUNCTION("""COMPUTED_VALUE"""),"Tony Moran")</f>
        <v>Tony Moran</v>
      </c>
      <c r="K3380" s="5" t="str">
        <f>IFERROR(__xludf.DUMMYFUNCTION("""COMPUTED_VALUE"""),"Estrela 3")</f>
        <v>Estrela 3</v>
      </c>
      <c r="P3380" s="5">
        <f>IFERROR(__xludf.DUMMYFUNCTION("""COMPUTED_VALUE"""),845.0)</f>
        <v>845</v>
      </c>
      <c r="Q3380" s="5" t="str">
        <f>IFERROR(__xludf.DUMMYFUNCTION("""COMPUTED_VALUE"""),"Halloween")</f>
        <v>Halloween</v>
      </c>
      <c r="R3380" s="5" t="str">
        <f>IFERROR(__xludf.DUMMYFUNCTION("""COMPUTED_VALUE"""),"Tony Moran")</f>
        <v>Tony Moran</v>
      </c>
      <c r="S3380" s="5" t="str">
        <f>IFERROR(__xludf.DUMMYFUNCTION("""COMPUTED_VALUE"""),"Estrela 3")</f>
        <v>Estrela 3</v>
      </c>
    </row>
    <row r="3381">
      <c r="G3381" s="5" t="str">
        <f>IFERROR(__xludf.DUMMYFUNCTION("""COMPUTED_VALUE"""),"845🤙🏼Halloween🤙🏼Nancy Kyes🤙🏼Estrela 4")</f>
        <v>845🤙🏼Halloween🤙🏼Nancy Kyes🤙🏼Estrela 4</v>
      </c>
      <c r="H3381" s="5">
        <f>IFERROR(__xludf.DUMMYFUNCTION("SPLiT(G3381, ""🤙🏼"",FALSE,FALSE)"),845.0)</f>
        <v>845</v>
      </c>
      <c r="I3381" s="5" t="str">
        <f>IFERROR(__xludf.DUMMYFUNCTION("""COMPUTED_VALUE"""),"Halloween")</f>
        <v>Halloween</v>
      </c>
      <c r="J3381" s="5" t="str">
        <f>IFERROR(__xludf.DUMMYFUNCTION("""COMPUTED_VALUE"""),"Nancy Kyes")</f>
        <v>Nancy Kyes</v>
      </c>
      <c r="K3381" s="5" t="str">
        <f>IFERROR(__xludf.DUMMYFUNCTION("""COMPUTED_VALUE"""),"Estrela 4")</f>
        <v>Estrela 4</v>
      </c>
      <c r="P3381" s="5">
        <f>IFERROR(__xludf.DUMMYFUNCTION("""COMPUTED_VALUE"""),845.0)</f>
        <v>845</v>
      </c>
      <c r="Q3381" s="5" t="str">
        <f>IFERROR(__xludf.DUMMYFUNCTION("""COMPUTED_VALUE"""),"Halloween")</f>
        <v>Halloween</v>
      </c>
      <c r="R3381" s="5" t="str">
        <f>IFERROR(__xludf.DUMMYFUNCTION("""COMPUTED_VALUE"""),"Nancy Kyes")</f>
        <v>Nancy Kyes</v>
      </c>
      <c r="S3381" s="5" t="str">
        <f>IFERROR(__xludf.DUMMYFUNCTION("""COMPUTED_VALUE"""),"Estrela 4")</f>
        <v>Estrela 4</v>
      </c>
    </row>
    <row r="3382">
      <c r="G3382" s="5" t="str">
        <f>IFERROR(__xludf.DUMMYFUNCTION("""COMPUTED_VALUE"""),"846🤙🏼Le locataire🤙🏼Roman Polanski🤙🏼Estrela 1")</f>
        <v>846🤙🏼Le locataire🤙🏼Roman Polanski🤙🏼Estrela 1</v>
      </c>
      <c r="H3382" s="5">
        <f>IFERROR(__xludf.DUMMYFUNCTION("SPLiT(G3382, ""🤙🏼"",FALSE,FALSE)"),846.0)</f>
        <v>846</v>
      </c>
      <c r="I3382" s="5" t="str">
        <f>IFERROR(__xludf.DUMMYFUNCTION("""COMPUTED_VALUE"""),"Le locataire")</f>
        <v>Le locataire</v>
      </c>
      <c r="J3382" s="5" t="str">
        <f>IFERROR(__xludf.DUMMYFUNCTION("""COMPUTED_VALUE"""),"Roman Polanski")</f>
        <v>Roman Polanski</v>
      </c>
      <c r="K3382" s="5" t="str">
        <f>IFERROR(__xludf.DUMMYFUNCTION("""COMPUTED_VALUE"""),"Estrela 1")</f>
        <v>Estrela 1</v>
      </c>
      <c r="P3382" s="5">
        <f>IFERROR(__xludf.DUMMYFUNCTION("""COMPUTED_VALUE"""),846.0)</f>
        <v>846</v>
      </c>
      <c r="Q3382" s="5" t="str">
        <f>IFERROR(__xludf.DUMMYFUNCTION("""COMPUTED_VALUE"""),"Le locataire")</f>
        <v>Le locataire</v>
      </c>
      <c r="R3382" s="5" t="str">
        <f>IFERROR(__xludf.DUMMYFUNCTION("""COMPUTED_VALUE"""),"Roman Polanski")</f>
        <v>Roman Polanski</v>
      </c>
      <c r="S3382" s="5" t="str">
        <f>IFERROR(__xludf.DUMMYFUNCTION("""COMPUTED_VALUE"""),"Estrela 1")</f>
        <v>Estrela 1</v>
      </c>
    </row>
    <row r="3383">
      <c r="G3383" s="5" t="str">
        <f>IFERROR(__xludf.DUMMYFUNCTION("""COMPUTED_VALUE"""),"846🤙🏼Le locataire🤙🏼Isabelle Adjani🤙🏼Estrela 2")</f>
        <v>846🤙🏼Le locataire🤙🏼Isabelle Adjani🤙🏼Estrela 2</v>
      </c>
      <c r="H3383" s="5">
        <f>IFERROR(__xludf.DUMMYFUNCTION("SPLiT(G3383, ""🤙🏼"",FALSE,FALSE)"),846.0)</f>
        <v>846</v>
      </c>
      <c r="I3383" s="5" t="str">
        <f>IFERROR(__xludf.DUMMYFUNCTION("""COMPUTED_VALUE"""),"Le locataire")</f>
        <v>Le locataire</v>
      </c>
      <c r="J3383" s="5" t="str">
        <f>IFERROR(__xludf.DUMMYFUNCTION("""COMPUTED_VALUE"""),"Isabelle Adjani")</f>
        <v>Isabelle Adjani</v>
      </c>
      <c r="K3383" s="5" t="str">
        <f>IFERROR(__xludf.DUMMYFUNCTION("""COMPUTED_VALUE"""),"Estrela 2")</f>
        <v>Estrela 2</v>
      </c>
      <c r="P3383" s="5">
        <f>IFERROR(__xludf.DUMMYFUNCTION("""COMPUTED_VALUE"""),846.0)</f>
        <v>846</v>
      </c>
      <c r="Q3383" s="5" t="str">
        <f>IFERROR(__xludf.DUMMYFUNCTION("""COMPUTED_VALUE"""),"Le locataire")</f>
        <v>Le locataire</v>
      </c>
      <c r="R3383" s="5" t="str">
        <f>IFERROR(__xludf.DUMMYFUNCTION("""COMPUTED_VALUE"""),"Isabelle Adjani")</f>
        <v>Isabelle Adjani</v>
      </c>
      <c r="S3383" s="5" t="str">
        <f>IFERROR(__xludf.DUMMYFUNCTION("""COMPUTED_VALUE"""),"Estrela 2")</f>
        <v>Estrela 2</v>
      </c>
    </row>
    <row r="3384">
      <c r="G3384" s="5" t="str">
        <f>IFERROR(__xludf.DUMMYFUNCTION("""COMPUTED_VALUE"""),"846🤙🏼Le locataire🤙🏼Melvyn Douglas🤙🏼Estrela 3")</f>
        <v>846🤙🏼Le locataire🤙🏼Melvyn Douglas🤙🏼Estrela 3</v>
      </c>
      <c r="H3384" s="5">
        <f>IFERROR(__xludf.DUMMYFUNCTION("SPLiT(G3384, ""🤙🏼"",FALSE,FALSE)"),846.0)</f>
        <v>846</v>
      </c>
      <c r="I3384" s="5" t="str">
        <f>IFERROR(__xludf.DUMMYFUNCTION("""COMPUTED_VALUE"""),"Le locataire")</f>
        <v>Le locataire</v>
      </c>
      <c r="J3384" s="5" t="str">
        <f>IFERROR(__xludf.DUMMYFUNCTION("""COMPUTED_VALUE"""),"Melvyn Douglas")</f>
        <v>Melvyn Douglas</v>
      </c>
      <c r="K3384" s="5" t="str">
        <f>IFERROR(__xludf.DUMMYFUNCTION("""COMPUTED_VALUE"""),"Estrela 3")</f>
        <v>Estrela 3</v>
      </c>
      <c r="P3384" s="5">
        <f>IFERROR(__xludf.DUMMYFUNCTION("""COMPUTED_VALUE"""),846.0)</f>
        <v>846</v>
      </c>
      <c r="Q3384" s="5" t="str">
        <f>IFERROR(__xludf.DUMMYFUNCTION("""COMPUTED_VALUE"""),"Le locataire")</f>
        <v>Le locataire</v>
      </c>
      <c r="R3384" s="5" t="str">
        <f>IFERROR(__xludf.DUMMYFUNCTION("""COMPUTED_VALUE"""),"Melvyn Douglas")</f>
        <v>Melvyn Douglas</v>
      </c>
      <c r="S3384" s="5" t="str">
        <f>IFERROR(__xludf.DUMMYFUNCTION("""COMPUTED_VALUE"""),"Estrela 3")</f>
        <v>Estrela 3</v>
      </c>
    </row>
    <row r="3385">
      <c r="G3385" s="5" t="str">
        <f>IFERROR(__xludf.DUMMYFUNCTION("""COMPUTED_VALUE"""),"846🤙🏼Le locataire🤙🏼Jo Van Fleet🤙🏼Estrela 4")</f>
        <v>846🤙🏼Le locataire🤙🏼Jo Van Fleet🤙🏼Estrela 4</v>
      </c>
      <c r="H3385" s="5">
        <f>IFERROR(__xludf.DUMMYFUNCTION("SPLiT(G3385, ""🤙🏼"",FALSE,FALSE)"),846.0)</f>
        <v>846</v>
      </c>
      <c r="I3385" s="5" t="str">
        <f>IFERROR(__xludf.DUMMYFUNCTION("""COMPUTED_VALUE"""),"Le locataire")</f>
        <v>Le locataire</v>
      </c>
      <c r="J3385" s="5" t="str">
        <f>IFERROR(__xludf.DUMMYFUNCTION("""COMPUTED_VALUE"""),"Jo Van Fleet")</f>
        <v>Jo Van Fleet</v>
      </c>
      <c r="K3385" s="5" t="str">
        <f>IFERROR(__xludf.DUMMYFUNCTION("""COMPUTED_VALUE"""),"Estrela 4")</f>
        <v>Estrela 4</v>
      </c>
      <c r="P3385" s="5">
        <f>IFERROR(__xludf.DUMMYFUNCTION("""COMPUTED_VALUE"""),846.0)</f>
        <v>846</v>
      </c>
      <c r="Q3385" s="5" t="str">
        <f>IFERROR(__xludf.DUMMYFUNCTION("""COMPUTED_VALUE"""),"Le locataire")</f>
        <v>Le locataire</v>
      </c>
      <c r="R3385" s="5" t="str">
        <f>IFERROR(__xludf.DUMMYFUNCTION("""COMPUTED_VALUE"""),"Jo Van Fleet")</f>
        <v>Jo Van Fleet</v>
      </c>
      <c r="S3385" s="5" t="str">
        <f>IFERROR(__xludf.DUMMYFUNCTION("""COMPUTED_VALUE"""),"Estrela 4")</f>
        <v>Estrela 4</v>
      </c>
    </row>
    <row r="3386">
      <c r="G3386" s="5" t="str">
        <f>IFERROR(__xludf.DUMMYFUNCTION("""COMPUTED_VALUE"""),"847🤙🏼Love and Death🤙🏼Woody Allen🤙🏼Estrela 1")</f>
        <v>847🤙🏼Love and Death🤙🏼Woody Allen🤙🏼Estrela 1</v>
      </c>
      <c r="H3386" s="5">
        <f>IFERROR(__xludf.DUMMYFUNCTION("SPLiT(G3386, ""🤙🏼"",FALSE,FALSE)"),847.0)</f>
        <v>847</v>
      </c>
      <c r="I3386" s="5" t="str">
        <f>IFERROR(__xludf.DUMMYFUNCTION("""COMPUTED_VALUE"""),"Love and Death")</f>
        <v>Love and Death</v>
      </c>
      <c r="J3386" s="5" t="str">
        <f>IFERROR(__xludf.DUMMYFUNCTION("""COMPUTED_VALUE"""),"Woody Allen")</f>
        <v>Woody Allen</v>
      </c>
      <c r="K3386" s="5" t="str">
        <f>IFERROR(__xludf.DUMMYFUNCTION("""COMPUTED_VALUE"""),"Estrela 1")</f>
        <v>Estrela 1</v>
      </c>
      <c r="P3386" s="5">
        <f>IFERROR(__xludf.DUMMYFUNCTION("""COMPUTED_VALUE"""),847.0)</f>
        <v>847</v>
      </c>
      <c r="Q3386" s="5" t="str">
        <f>IFERROR(__xludf.DUMMYFUNCTION("""COMPUTED_VALUE"""),"Love and Death")</f>
        <v>Love and Death</v>
      </c>
      <c r="R3386" s="5" t="str">
        <f>IFERROR(__xludf.DUMMYFUNCTION("""COMPUTED_VALUE"""),"Woody Allen")</f>
        <v>Woody Allen</v>
      </c>
      <c r="S3386" s="5" t="str">
        <f>IFERROR(__xludf.DUMMYFUNCTION("""COMPUTED_VALUE"""),"Estrela 1")</f>
        <v>Estrela 1</v>
      </c>
    </row>
    <row r="3387">
      <c r="G3387" s="5" t="str">
        <f>IFERROR(__xludf.DUMMYFUNCTION("""COMPUTED_VALUE"""),"847🤙🏼Love and Death🤙🏼Diane Keaton🤙🏼Estrela 2")</f>
        <v>847🤙🏼Love and Death🤙🏼Diane Keaton🤙🏼Estrela 2</v>
      </c>
      <c r="H3387" s="5">
        <f>IFERROR(__xludf.DUMMYFUNCTION("SPLiT(G3387, ""🤙🏼"",FALSE,FALSE)"),847.0)</f>
        <v>847</v>
      </c>
      <c r="I3387" s="5" t="str">
        <f>IFERROR(__xludf.DUMMYFUNCTION("""COMPUTED_VALUE"""),"Love and Death")</f>
        <v>Love and Death</v>
      </c>
      <c r="J3387" s="5" t="str">
        <f>IFERROR(__xludf.DUMMYFUNCTION("""COMPUTED_VALUE"""),"Diane Keaton")</f>
        <v>Diane Keaton</v>
      </c>
      <c r="K3387" s="5" t="str">
        <f>IFERROR(__xludf.DUMMYFUNCTION("""COMPUTED_VALUE"""),"Estrela 2")</f>
        <v>Estrela 2</v>
      </c>
      <c r="P3387" s="5">
        <f>IFERROR(__xludf.DUMMYFUNCTION("""COMPUTED_VALUE"""),847.0)</f>
        <v>847</v>
      </c>
      <c r="Q3387" s="5" t="str">
        <f>IFERROR(__xludf.DUMMYFUNCTION("""COMPUTED_VALUE"""),"Love and Death")</f>
        <v>Love and Death</v>
      </c>
      <c r="R3387" s="5" t="str">
        <f>IFERROR(__xludf.DUMMYFUNCTION("""COMPUTED_VALUE"""),"Diane Keaton")</f>
        <v>Diane Keaton</v>
      </c>
      <c r="S3387" s="5" t="str">
        <f>IFERROR(__xludf.DUMMYFUNCTION("""COMPUTED_VALUE"""),"Estrela 2")</f>
        <v>Estrela 2</v>
      </c>
    </row>
    <row r="3388">
      <c r="G3388" s="5" t="str">
        <f>IFERROR(__xludf.DUMMYFUNCTION("""COMPUTED_VALUE"""),"847🤙🏼Love and Death🤙🏼Georges Adet🤙🏼Estrela 3")</f>
        <v>847🤙🏼Love and Death🤙🏼Georges Adet🤙🏼Estrela 3</v>
      </c>
      <c r="H3388" s="5">
        <f>IFERROR(__xludf.DUMMYFUNCTION("SPLiT(G3388, ""🤙🏼"",FALSE,FALSE)"),847.0)</f>
        <v>847</v>
      </c>
      <c r="I3388" s="5" t="str">
        <f>IFERROR(__xludf.DUMMYFUNCTION("""COMPUTED_VALUE"""),"Love and Death")</f>
        <v>Love and Death</v>
      </c>
      <c r="J3388" s="5" t="str">
        <f>IFERROR(__xludf.DUMMYFUNCTION("""COMPUTED_VALUE"""),"Georges Adet")</f>
        <v>Georges Adet</v>
      </c>
      <c r="K3388" s="5" t="str">
        <f>IFERROR(__xludf.DUMMYFUNCTION("""COMPUTED_VALUE"""),"Estrela 3")</f>
        <v>Estrela 3</v>
      </c>
      <c r="P3388" s="5">
        <f>IFERROR(__xludf.DUMMYFUNCTION("""COMPUTED_VALUE"""),847.0)</f>
        <v>847</v>
      </c>
      <c r="Q3388" s="5" t="str">
        <f>IFERROR(__xludf.DUMMYFUNCTION("""COMPUTED_VALUE"""),"Love and Death")</f>
        <v>Love and Death</v>
      </c>
      <c r="R3388" s="5" t="str">
        <f>IFERROR(__xludf.DUMMYFUNCTION("""COMPUTED_VALUE"""),"Georges Adet")</f>
        <v>Georges Adet</v>
      </c>
      <c r="S3388" s="5" t="str">
        <f>IFERROR(__xludf.DUMMYFUNCTION("""COMPUTED_VALUE"""),"Estrela 3")</f>
        <v>Estrela 3</v>
      </c>
    </row>
    <row r="3389">
      <c r="G3389" s="5" t="str">
        <f>IFERROR(__xludf.DUMMYFUNCTION("""COMPUTED_VALUE"""),"847🤙🏼Love and Death🤙🏼Frank Adu🤙🏼Estrela 4")</f>
        <v>847🤙🏼Love and Death🤙🏼Frank Adu🤙🏼Estrela 4</v>
      </c>
      <c r="H3389" s="5">
        <f>IFERROR(__xludf.DUMMYFUNCTION("SPLiT(G3389, ""🤙🏼"",FALSE,FALSE)"),847.0)</f>
        <v>847</v>
      </c>
      <c r="I3389" s="5" t="str">
        <f>IFERROR(__xludf.DUMMYFUNCTION("""COMPUTED_VALUE"""),"Love and Death")</f>
        <v>Love and Death</v>
      </c>
      <c r="J3389" s="5" t="str">
        <f>IFERROR(__xludf.DUMMYFUNCTION("""COMPUTED_VALUE"""),"Frank Adu")</f>
        <v>Frank Adu</v>
      </c>
      <c r="K3389" s="5" t="str">
        <f>IFERROR(__xludf.DUMMYFUNCTION("""COMPUTED_VALUE"""),"Estrela 4")</f>
        <v>Estrela 4</v>
      </c>
      <c r="P3389" s="5">
        <f>IFERROR(__xludf.DUMMYFUNCTION("""COMPUTED_VALUE"""),847.0)</f>
        <v>847</v>
      </c>
      <c r="Q3389" s="5" t="str">
        <f>IFERROR(__xludf.DUMMYFUNCTION("""COMPUTED_VALUE"""),"Love and Death")</f>
        <v>Love and Death</v>
      </c>
      <c r="R3389" s="5" t="str">
        <f>IFERROR(__xludf.DUMMYFUNCTION("""COMPUTED_VALUE"""),"Frank Adu")</f>
        <v>Frank Adu</v>
      </c>
      <c r="S3389" s="5" t="str">
        <f>IFERROR(__xludf.DUMMYFUNCTION("""COMPUTED_VALUE"""),"Estrela 4")</f>
        <v>Estrela 4</v>
      </c>
    </row>
    <row r="3390">
      <c r="G3390" s="5" t="str">
        <f>IFERROR(__xludf.DUMMYFUNCTION("""COMPUTED_VALUE"""),"848🤙🏼The Taking of Pelham One Two Three🤙🏼Walter Matthau🤙🏼Estrela 1")</f>
        <v>848🤙🏼The Taking of Pelham One Two Three🤙🏼Walter Matthau🤙🏼Estrela 1</v>
      </c>
      <c r="H3390" s="5">
        <f>IFERROR(__xludf.DUMMYFUNCTION("SPLiT(G3390, ""🤙🏼"",FALSE,FALSE)"),848.0)</f>
        <v>848</v>
      </c>
      <c r="I3390" s="5" t="str">
        <f>IFERROR(__xludf.DUMMYFUNCTION("""COMPUTED_VALUE"""),"The Taking of Pelham One Two Three")</f>
        <v>The Taking of Pelham One Two Three</v>
      </c>
      <c r="J3390" s="5" t="str">
        <f>IFERROR(__xludf.DUMMYFUNCTION("""COMPUTED_VALUE"""),"Walter Matthau")</f>
        <v>Walter Matthau</v>
      </c>
      <c r="K3390" s="5" t="str">
        <f>IFERROR(__xludf.DUMMYFUNCTION("""COMPUTED_VALUE"""),"Estrela 1")</f>
        <v>Estrela 1</v>
      </c>
      <c r="P3390" s="5">
        <f>IFERROR(__xludf.DUMMYFUNCTION("""COMPUTED_VALUE"""),848.0)</f>
        <v>848</v>
      </c>
      <c r="Q3390" s="5" t="str">
        <f>IFERROR(__xludf.DUMMYFUNCTION("""COMPUTED_VALUE"""),"The Taking of Pelham One Two Three")</f>
        <v>The Taking of Pelham One Two Three</v>
      </c>
      <c r="R3390" s="5" t="str">
        <f>IFERROR(__xludf.DUMMYFUNCTION("""COMPUTED_VALUE"""),"Walter Matthau")</f>
        <v>Walter Matthau</v>
      </c>
      <c r="S3390" s="5" t="str">
        <f>IFERROR(__xludf.DUMMYFUNCTION("""COMPUTED_VALUE"""),"Estrela 1")</f>
        <v>Estrela 1</v>
      </c>
    </row>
    <row r="3391">
      <c r="G3391" s="5" t="str">
        <f>IFERROR(__xludf.DUMMYFUNCTION("""COMPUTED_VALUE"""),"848🤙🏼The Taking of Pelham One Two Three🤙🏼Robert Shaw🤙🏼Estrela 2")</f>
        <v>848🤙🏼The Taking of Pelham One Two Three🤙🏼Robert Shaw🤙🏼Estrela 2</v>
      </c>
      <c r="H3391" s="5">
        <f>IFERROR(__xludf.DUMMYFUNCTION("SPLiT(G3391, ""🤙🏼"",FALSE,FALSE)"),848.0)</f>
        <v>848</v>
      </c>
      <c r="I3391" s="5" t="str">
        <f>IFERROR(__xludf.DUMMYFUNCTION("""COMPUTED_VALUE"""),"The Taking of Pelham One Two Three")</f>
        <v>The Taking of Pelham One Two Three</v>
      </c>
      <c r="J3391" s="5" t="str">
        <f>IFERROR(__xludf.DUMMYFUNCTION("""COMPUTED_VALUE"""),"Robert Shaw")</f>
        <v>Robert Shaw</v>
      </c>
      <c r="K3391" s="5" t="str">
        <f>IFERROR(__xludf.DUMMYFUNCTION("""COMPUTED_VALUE"""),"Estrela 2")</f>
        <v>Estrela 2</v>
      </c>
      <c r="P3391" s="5">
        <f>IFERROR(__xludf.DUMMYFUNCTION("""COMPUTED_VALUE"""),848.0)</f>
        <v>848</v>
      </c>
      <c r="Q3391" s="5" t="str">
        <f>IFERROR(__xludf.DUMMYFUNCTION("""COMPUTED_VALUE"""),"The Taking of Pelham One Two Three")</f>
        <v>The Taking of Pelham One Two Three</v>
      </c>
      <c r="R3391" s="5" t="str">
        <f>IFERROR(__xludf.DUMMYFUNCTION("""COMPUTED_VALUE"""),"Robert Shaw")</f>
        <v>Robert Shaw</v>
      </c>
      <c r="S3391" s="5" t="str">
        <f>IFERROR(__xludf.DUMMYFUNCTION("""COMPUTED_VALUE"""),"Estrela 2")</f>
        <v>Estrela 2</v>
      </c>
    </row>
    <row r="3392">
      <c r="G3392" s="5" t="str">
        <f>IFERROR(__xludf.DUMMYFUNCTION("""COMPUTED_VALUE"""),"848🤙🏼The Taking of Pelham One Two Three🤙🏼Martin Balsam🤙🏼Estrela 3")</f>
        <v>848🤙🏼The Taking of Pelham One Two Three🤙🏼Martin Balsam🤙🏼Estrela 3</v>
      </c>
      <c r="H3392" s="5">
        <f>IFERROR(__xludf.DUMMYFUNCTION("SPLiT(G3392, ""🤙🏼"",FALSE,FALSE)"),848.0)</f>
        <v>848</v>
      </c>
      <c r="I3392" s="5" t="str">
        <f>IFERROR(__xludf.DUMMYFUNCTION("""COMPUTED_VALUE"""),"The Taking of Pelham One Two Three")</f>
        <v>The Taking of Pelham One Two Three</v>
      </c>
      <c r="J3392" s="5" t="str">
        <f>IFERROR(__xludf.DUMMYFUNCTION("""COMPUTED_VALUE"""),"Martin Balsam")</f>
        <v>Martin Balsam</v>
      </c>
      <c r="K3392" s="5" t="str">
        <f>IFERROR(__xludf.DUMMYFUNCTION("""COMPUTED_VALUE"""),"Estrela 3")</f>
        <v>Estrela 3</v>
      </c>
      <c r="P3392" s="5">
        <f>IFERROR(__xludf.DUMMYFUNCTION("""COMPUTED_VALUE"""),848.0)</f>
        <v>848</v>
      </c>
      <c r="Q3392" s="5" t="str">
        <f>IFERROR(__xludf.DUMMYFUNCTION("""COMPUTED_VALUE"""),"The Taking of Pelham One Two Three")</f>
        <v>The Taking of Pelham One Two Three</v>
      </c>
      <c r="R3392" s="5" t="str">
        <f>IFERROR(__xludf.DUMMYFUNCTION("""COMPUTED_VALUE"""),"Martin Balsam")</f>
        <v>Martin Balsam</v>
      </c>
      <c r="S3392" s="5" t="str">
        <f>IFERROR(__xludf.DUMMYFUNCTION("""COMPUTED_VALUE"""),"Estrela 3")</f>
        <v>Estrela 3</v>
      </c>
    </row>
    <row r="3393">
      <c r="G3393" s="5" t="str">
        <f>IFERROR(__xludf.DUMMYFUNCTION("""COMPUTED_VALUE"""),"848🤙🏼The Taking of Pelham One Two Three🤙🏼Hector Elizondo🤙🏼Estrela 4")</f>
        <v>848🤙🏼The Taking of Pelham One Two Three🤙🏼Hector Elizondo🤙🏼Estrela 4</v>
      </c>
      <c r="H3393" s="5">
        <f>IFERROR(__xludf.DUMMYFUNCTION("SPLiT(G3393, ""🤙🏼"",FALSE,FALSE)"),848.0)</f>
        <v>848</v>
      </c>
      <c r="I3393" s="5" t="str">
        <f>IFERROR(__xludf.DUMMYFUNCTION("""COMPUTED_VALUE"""),"The Taking of Pelham One Two Three")</f>
        <v>The Taking of Pelham One Two Three</v>
      </c>
      <c r="J3393" s="5" t="str">
        <f>IFERROR(__xludf.DUMMYFUNCTION("""COMPUTED_VALUE"""),"Hector Elizondo")</f>
        <v>Hector Elizondo</v>
      </c>
      <c r="K3393" s="5" t="str">
        <f>IFERROR(__xludf.DUMMYFUNCTION("""COMPUTED_VALUE"""),"Estrela 4")</f>
        <v>Estrela 4</v>
      </c>
      <c r="P3393" s="5">
        <f>IFERROR(__xludf.DUMMYFUNCTION("""COMPUTED_VALUE"""),848.0)</f>
        <v>848</v>
      </c>
      <c r="Q3393" s="5" t="str">
        <f>IFERROR(__xludf.DUMMYFUNCTION("""COMPUTED_VALUE"""),"The Taking of Pelham One Two Three")</f>
        <v>The Taking of Pelham One Two Three</v>
      </c>
      <c r="R3393" s="5" t="str">
        <f>IFERROR(__xludf.DUMMYFUNCTION("""COMPUTED_VALUE"""),"Hector Elizondo")</f>
        <v>Hector Elizondo</v>
      </c>
      <c r="S3393" s="5" t="str">
        <f>IFERROR(__xludf.DUMMYFUNCTION("""COMPUTED_VALUE"""),"Estrela 4")</f>
        <v>Estrela 4</v>
      </c>
    </row>
    <row r="3394">
      <c r="G3394" s="5" t="str">
        <f>IFERROR(__xludf.DUMMYFUNCTION("""COMPUTED_VALUE"""),"849🤙🏼Blazing Saddles🤙🏼Cleavon Little🤙🏼Estrela 1")</f>
        <v>849🤙🏼Blazing Saddles🤙🏼Cleavon Little🤙🏼Estrela 1</v>
      </c>
      <c r="H3394" s="5">
        <f>IFERROR(__xludf.DUMMYFUNCTION("SPLiT(G3394, ""🤙🏼"",FALSE,FALSE)"),849.0)</f>
        <v>849</v>
      </c>
      <c r="I3394" s="5" t="str">
        <f>IFERROR(__xludf.DUMMYFUNCTION("""COMPUTED_VALUE"""),"Blazing Saddles")</f>
        <v>Blazing Saddles</v>
      </c>
      <c r="J3394" s="5" t="str">
        <f>IFERROR(__xludf.DUMMYFUNCTION("""COMPUTED_VALUE"""),"Cleavon Little")</f>
        <v>Cleavon Little</v>
      </c>
      <c r="K3394" s="5" t="str">
        <f>IFERROR(__xludf.DUMMYFUNCTION("""COMPUTED_VALUE"""),"Estrela 1")</f>
        <v>Estrela 1</v>
      </c>
      <c r="P3394" s="5">
        <f>IFERROR(__xludf.DUMMYFUNCTION("""COMPUTED_VALUE"""),849.0)</f>
        <v>849</v>
      </c>
      <c r="Q3394" s="5" t="str">
        <f>IFERROR(__xludf.DUMMYFUNCTION("""COMPUTED_VALUE"""),"Blazing Saddles")</f>
        <v>Blazing Saddles</v>
      </c>
      <c r="R3394" s="5" t="str">
        <f>IFERROR(__xludf.DUMMYFUNCTION("""COMPUTED_VALUE"""),"Cleavon Little")</f>
        <v>Cleavon Little</v>
      </c>
      <c r="S3394" s="5" t="str">
        <f>IFERROR(__xludf.DUMMYFUNCTION("""COMPUTED_VALUE"""),"Estrela 1")</f>
        <v>Estrela 1</v>
      </c>
    </row>
    <row r="3395">
      <c r="G3395" s="5" t="str">
        <f>IFERROR(__xludf.DUMMYFUNCTION("""COMPUTED_VALUE"""),"849🤙🏼Blazing Saddles🤙🏼Gene Wilder🤙🏼Estrela 2")</f>
        <v>849🤙🏼Blazing Saddles🤙🏼Gene Wilder🤙🏼Estrela 2</v>
      </c>
      <c r="H3395" s="5">
        <f>IFERROR(__xludf.DUMMYFUNCTION("SPLiT(G3395, ""🤙🏼"",FALSE,FALSE)"),849.0)</f>
        <v>849</v>
      </c>
      <c r="I3395" s="5" t="str">
        <f>IFERROR(__xludf.DUMMYFUNCTION("""COMPUTED_VALUE"""),"Blazing Saddles")</f>
        <v>Blazing Saddles</v>
      </c>
      <c r="J3395" s="5" t="str">
        <f>IFERROR(__xludf.DUMMYFUNCTION("""COMPUTED_VALUE"""),"Gene Wilder")</f>
        <v>Gene Wilder</v>
      </c>
      <c r="K3395" s="5" t="str">
        <f>IFERROR(__xludf.DUMMYFUNCTION("""COMPUTED_VALUE"""),"Estrela 2")</f>
        <v>Estrela 2</v>
      </c>
      <c r="P3395" s="5">
        <f>IFERROR(__xludf.DUMMYFUNCTION("""COMPUTED_VALUE"""),849.0)</f>
        <v>849</v>
      </c>
      <c r="Q3395" s="5" t="str">
        <f>IFERROR(__xludf.DUMMYFUNCTION("""COMPUTED_VALUE"""),"Blazing Saddles")</f>
        <v>Blazing Saddles</v>
      </c>
      <c r="R3395" s="5" t="str">
        <f>IFERROR(__xludf.DUMMYFUNCTION("""COMPUTED_VALUE"""),"Gene Wilder")</f>
        <v>Gene Wilder</v>
      </c>
      <c r="S3395" s="5" t="str">
        <f>IFERROR(__xludf.DUMMYFUNCTION("""COMPUTED_VALUE"""),"Estrela 2")</f>
        <v>Estrela 2</v>
      </c>
    </row>
    <row r="3396">
      <c r="G3396" s="5" t="str">
        <f>IFERROR(__xludf.DUMMYFUNCTION("""COMPUTED_VALUE"""),"849🤙🏼Blazing Saddles🤙🏼Slim Pickens🤙🏼Estrela 3")</f>
        <v>849🤙🏼Blazing Saddles🤙🏼Slim Pickens🤙🏼Estrela 3</v>
      </c>
      <c r="H3396" s="5">
        <f>IFERROR(__xludf.DUMMYFUNCTION("SPLiT(G3396, ""🤙🏼"",FALSE,FALSE)"),849.0)</f>
        <v>849</v>
      </c>
      <c r="I3396" s="5" t="str">
        <f>IFERROR(__xludf.DUMMYFUNCTION("""COMPUTED_VALUE"""),"Blazing Saddles")</f>
        <v>Blazing Saddles</v>
      </c>
      <c r="J3396" s="5" t="str">
        <f>IFERROR(__xludf.DUMMYFUNCTION("""COMPUTED_VALUE"""),"Slim Pickens")</f>
        <v>Slim Pickens</v>
      </c>
      <c r="K3396" s="5" t="str">
        <f>IFERROR(__xludf.DUMMYFUNCTION("""COMPUTED_VALUE"""),"Estrela 3")</f>
        <v>Estrela 3</v>
      </c>
      <c r="P3396" s="5">
        <f>IFERROR(__xludf.DUMMYFUNCTION("""COMPUTED_VALUE"""),849.0)</f>
        <v>849</v>
      </c>
      <c r="Q3396" s="5" t="str">
        <f>IFERROR(__xludf.DUMMYFUNCTION("""COMPUTED_VALUE"""),"Blazing Saddles")</f>
        <v>Blazing Saddles</v>
      </c>
      <c r="R3396" s="5" t="str">
        <f>IFERROR(__xludf.DUMMYFUNCTION("""COMPUTED_VALUE"""),"Slim Pickens")</f>
        <v>Slim Pickens</v>
      </c>
      <c r="S3396" s="5" t="str">
        <f>IFERROR(__xludf.DUMMYFUNCTION("""COMPUTED_VALUE"""),"Estrela 3")</f>
        <v>Estrela 3</v>
      </c>
    </row>
    <row r="3397">
      <c r="G3397" s="5" t="str">
        <f>IFERROR(__xludf.DUMMYFUNCTION("""COMPUTED_VALUE"""),"849🤙🏼Blazing Saddles🤙🏼Harvey Korman🤙🏼Estrela 4")</f>
        <v>849🤙🏼Blazing Saddles🤙🏼Harvey Korman🤙🏼Estrela 4</v>
      </c>
      <c r="H3397" s="5">
        <f>IFERROR(__xludf.DUMMYFUNCTION("SPLiT(G3397, ""🤙🏼"",FALSE,FALSE)"),849.0)</f>
        <v>849</v>
      </c>
      <c r="I3397" s="5" t="str">
        <f>IFERROR(__xludf.DUMMYFUNCTION("""COMPUTED_VALUE"""),"Blazing Saddles")</f>
        <v>Blazing Saddles</v>
      </c>
      <c r="J3397" s="5" t="str">
        <f>IFERROR(__xludf.DUMMYFUNCTION("""COMPUTED_VALUE"""),"Harvey Korman")</f>
        <v>Harvey Korman</v>
      </c>
      <c r="K3397" s="5" t="str">
        <f>IFERROR(__xludf.DUMMYFUNCTION("""COMPUTED_VALUE"""),"Estrela 4")</f>
        <v>Estrela 4</v>
      </c>
      <c r="P3397" s="5">
        <f>IFERROR(__xludf.DUMMYFUNCTION("""COMPUTED_VALUE"""),849.0)</f>
        <v>849</v>
      </c>
      <c r="Q3397" s="5" t="str">
        <f>IFERROR(__xludf.DUMMYFUNCTION("""COMPUTED_VALUE"""),"Blazing Saddles")</f>
        <v>Blazing Saddles</v>
      </c>
      <c r="R3397" s="5" t="str">
        <f>IFERROR(__xludf.DUMMYFUNCTION("""COMPUTED_VALUE"""),"Harvey Korman")</f>
        <v>Harvey Korman</v>
      </c>
      <c r="S3397" s="5" t="str">
        <f>IFERROR(__xludf.DUMMYFUNCTION("""COMPUTED_VALUE"""),"Estrela 4")</f>
        <v>Estrela 4</v>
      </c>
    </row>
    <row r="3398">
      <c r="G3398" s="5" t="str">
        <f>IFERROR(__xludf.DUMMYFUNCTION("""COMPUTED_VALUE"""),"850🤙🏼Serpico🤙🏼Al Pacino🤙🏼Estrela 1")</f>
        <v>850🤙🏼Serpico🤙🏼Al Pacino🤙🏼Estrela 1</v>
      </c>
      <c r="H3398" s="5">
        <f>IFERROR(__xludf.DUMMYFUNCTION("SPLiT(G3398, ""🤙🏼"",FALSE,FALSE)"),850.0)</f>
        <v>850</v>
      </c>
      <c r="I3398" s="5" t="str">
        <f>IFERROR(__xludf.DUMMYFUNCTION("""COMPUTED_VALUE"""),"Serpico")</f>
        <v>Serpico</v>
      </c>
      <c r="J3398" s="5" t="str">
        <f>IFERROR(__xludf.DUMMYFUNCTION("""COMPUTED_VALUE"""),"Al Pacino")</f>
        <v>Al Pacino</v>
      </c>
      <c r="K3398" s="5" t="str">
        <f>IFERROR(__xludf.DUMMYFUNCTION("""COMPUTED_VALUE"""),"Estrela 1")</f>
        <v>Estrela 1</v>
      </c>
      <c r="P3398" s="5">
        <f>IFERROR(__xludf.DUMMYFUNCTION("""COMPUTED_VALUE"""),850.0)</f>
        <v>850</v>
      </c>
      <c r="Q3398" s="5" t="str">
        <f>IFERROR(__xludf.DUMMYFUNCTION("""COMPUTED_VALUE"""),"Serpico")</f>
        <v>Serpico</v>
      </c>
      <c r="R3398" s="5" t="str">
        <f>IFERROR(__xludf.DUMMYFUNCTION("""COMPUTED_VALUE"""),"Al Pacino")</f>
        <v>Al Pacino</v>
      </c>
      <c r="S3398" s="5" t="str">
        <f>IFERROR(__xludf.DUMMYFUNCTION("""COMPUTED_VALUE"""),"Estrela 1")</f>
        <v>Estrela 1</v>
      </c>
    </row>
    <row r="3399">
      <c r="G3399" s="5" t="str">
        <f>IFERROR(__xludf.DUMMYFUNCTION("""COMPUTED_VALUE"""),"850🤙🏼Serpico🤙🏼John Randolph🤙🏼Estrela 2")</f>
        <v>850🤙🏼Serpico🤙🏼John Randolph🤙🏼Estrela 2</v>
      </c>
      <c r="H3399" s="5">
        <f>IFERROR(__xludf.DUMMYFUNCTION("SPLiT(G3399, ""🤙🏼"",FALSE,FALSE)"),850.0)</f>
        <v>850</v>
      </c>
      <c r="I3399" s="5" t="str">
        <f>IFERROR(__xludf.DUMMYFUNCTION("""COMPUTED_VALUE"""),"Serpico")</f>
        <v>Serpico</v>
      </c>
      <c r="J3399" s="5" t="str">
        <f>IFERROR(__xludf.DUMMYFUNCTION("""COMPUTED_VALUE"""),"John Randolph")</f>
        <v>John Randolph</v>
      </c>
      <c r="K3399" s="5" t="str">
        <f>IFERROR(__xludf.DUMMYFUNCTION("""COMPUTED_VALUE"""),"Estrela 2")</f>
        <v>Estrela 2</v>
      </c>
      <c r="P3399" s="5">
        <f>IFERROR(__xludf.DUMMYFUNCTION("""COMPUTED_VALUE"""),850.0)</f>
        <v>850</v>
      </c>
      <c r="Q3399" s="5" t="str">
        <f>IFERROR(__xludf.DUMMYFUNCTION("""COMPUTED_VALUE"""),"Serpico")</f>
        <v>Serpico</v>
      </c>
      <c r="R3399" s="5" t="str">
        <f>IFERROR(__xludf.DUMMYFUNCTION("""COMPUTED_VALUE"""),"John Randolph")</f>
        <v>John Randolph</v>
      </c>
      <c r="S3399" s="5" t="str">
        <f>IFERROR(__xludf.DUMMYFUNCTION("""COMPUTED_VALUE"""),"Estrela 2")</f>
        <v>Estrela 2</v>
      </c>
    </row>
    <row r="3400">
      <c r="G3400" s="5" t="str">
        <f>IFERROR(__xludf.DUMMYFUNCTION("""COMPUTED_VALUE"""),"850🤙🏼Serpico🤙🏼Jack Kehoe🤙🏼Estrela 3")</f>
        <v>850🤙🏼Serpico🤙🏼Jack Kehoe🤙🏼Estrela 3</v>
      </c>
      <c r="H3400" s="5">
        <f>IFERROR(__xludf.DUMMYFUNCTION("SPLiT(G3400, ""🤙🏼"",FALSE,FALSE)"),850.0)</f>
        <v>850</v>
      </c>
      <c r="I3400" s="5" t="str">
        <f>IFERROR(__xludf.DUMMYFUNCTION("""COMPUTED_VALUE"""),"Serpico")</f>
        <v>Serpico</v>
      </c>
      <c r="J3400" s="5" t="str">
        <f>IFERROR(__xludf.DUMMYFUNCTION("""COMPUTED_VALUE"""),"Jack Kehoe")</f>
        <v>Jack Kehoe</v>
      </c>
      <c r="K3400" s="5" t="str">
        <f>IFERROR(__xludf.DUMMYFUNCTION("""COMPUTED_VALUE"""),"Estrela 3")</f>
        <v>Estrela 3</v>
      </c>
      <c r="P3400" s="5">
        <f>IFERROR(__xludf.DUMMYFUNCTION("""COMPUTED_VALUE"""),850.0)</f>
        <v>850</v>
      </c>
      <c r="Q3400" s="5" t="str">
        <f>IFERROR(__xludf.DUMMYFUNCTION("""COMPUTED_VALUE"""),"Serpico")</f>
        <v>Serpico</v>
      </c>
      <c r="R3400" s="5" t="str">
        <f>IFERROR(__xludf.DUMMYFUNCTION("""COMPUTED_VALUE"""),"Jack Kehoe")</f>
        <v>Jack Kehoe</v>
      </c>
      <c r="S3400" s="5" t="str">
        <f>IFERROR(__xludf.DUMMYFUNCTION("""COMPUTED_VALUE"""),"Estrela 3")</f>
        <v>Estrela 3</v>
      </c>
    </row>
    <row r="3401">
      <c r="G3401" s="5" t="str">
        <f>IFERROR(__xludf.DUMMYFUNCTION("""COMPUTED_VALUE"""),"850🤙🏼Serpico🤙🏼Biff McGuire🤙🏼Estrela 4")</f>
        <v>850🤙🏼Serpico🤙🏼Biff McGuire🤙🏼Estrela 4</v>
      </c>
      <c r="H3401" s="5">
        <f>IFERROR(__xludf.DUMMYFUNCTION("SPLiT(G3401, ""🤙🏼"",FALSE,FALSE)"),850.0)</f>
        <v>850</v>
      </c>
      <c r="I3401" s="5" t="str">
        <f>IFERROR(__xludf.DUMMYFUNCTION("""COMPUTED_VALUE"""),"Serpico")</f>
        <v>Serpico</v>
      </c>
      <c r="J3401" s="5" t="str">
        <f>IFERROR(__xludf.DUMMYFUNCTION("""COMPUTED_VALUE"""),"Biff McGuire")</f>
        <v>Biff McGuire</v>
      </c>
      <c r="K3401" s="5" t="str">
        <f>IFERROR(__xludf.DUMMYFUNCTION("""COMPUTED_VALUE"""),"Estrela 4")</f>
        <v>Estrela 4</v>
      </c>
      <c r="P3401" s="5">
        <f>IFERROR(__xludf.DUMMYFUNCTION("""COMPUTED_VALUE"""),850.0)</f>
        <v>850</v>
      </c>
      <c r="Q3401" s="5" t="str">
        <f>IFERROR(__xludf.DUMMYFUNCTION("""COMPUTED_VALUE"""),"Serpico")</f>
        <v>Serpico</v>
      </c>
      <c r="R3401" s="5" t="str">
        <f>IFERROR(__xludf.DUMMYFUNCTION("""COMPUTED_VALUE"""),"Biff McGuire")</f>
        <v>Biff McGuire</v>
      </c>
      <c r="S3401" s="5" t="str">
        <f>IFERROR(__xludf.DUMMYFUNCTION("""COMPUTED_VALUE"""),"Estrela 4")</f>
        <v>Estrela 4</v>
      </c>
    </row>
    <row r="3402">
      <c r="G3402" s="5" t="str">
        <f>IFERROR(__xludf.DUMMYFUNCTION("""COMPUTED_VALUE"""),"851🤙🏼Enter the Dragon🤙🏼Bruce Lee🤙🏼Estrela 1")</f>
        <v>851🤙🏼Enter the Dragon🤙🏼Bruce Lee🤙🏼Estrela 1</v>
      </c>
      <c r="H3402" s="5">
        <f>IFERROR(__xludf.DUMMYFUNCTION("SPLiT(G3402, ""🤙🏼"",FALSE,FALSE)"),851.0)</f>
        <v>851</v>
      </c>
      <c r="I3402" s="5" t="str">
        <f>IFERROR(__xludf.DUMMYFUNCTION("""COMPUTED_VALUE"""),"Enter the Dragon")</f>
        <v>Enter the Dragon</v>
      </c>
      <c r="J3402" s="5" t="str">
        <f>IFERROR(__xludf.DUMMYFUNCTION("""COMPUTED_VALUE"""),"Bruce Lee")</f>
        <v>Bruce Lee</v>
      </c>
      <c r="K3402" s="5" t="str">
        <f>IFERROR(__xludf.DUMMYFUNCTION("""COMPUTED_VALUE"""),"Estrela 1")</f>
        <v>Estrela 1</v>
      </c>
      <c r="P3402" s="5">
        <f>IFERROR(__xludf.DUMMYFUNCTION("""COMPUTED_VALUE"""),851.0)</f>
        <v>851</v>
      </c>
      <c r="Q3402" s="5" t="str">
        <f>IFERROR(__xludf.DUMMYFUNCTION("""COMPUTED_VALUE"""),"Enter the Dragon")</f>
        <v>Enter the Dragon</v>
      </c>
      <c r="R3402" s="5" t="str">
        <f>IFERROR(__xludf.DUMMYFUNCTION("""COMPUTED_VALUE"""),"Bruce Lee")</f>
        <v>Bruce Lee</v>
      </c>
      <c r="S3402" s="5" t="str">
        <f>IFERROR(__xludf.DUMMYFUNCTION("""COMPUTED_VALUE"""),"Estrela 1")</f>
        <v>Estrela 1</v>
      </c>
    </row>
    <row r="3403">
      <c r="G3403" s="5" t="str">
        <f>IFERROR(__xludf.DUMMYFUNCTION("""COMPUTED_VALUE"""),"851🤙🏼Enter the Dragon🤙🏼John Saxon🤙🏼Estrela 2")</f>
        <v>851🤙🏼Enter the Dragon🤙🏼John Saxon🤙🏼Estrela 2</v>
      </c>
      <c r="H3403" s="5">
        <f>IFERROR(__xludf.DUMMYFUNCTION("SPLiT(G3403, ""🤙🏼"",FALSE,FALSE)"),851.0)</f>
        <v>851</v>
      </c>
      <c r="I3403" s="5" t="str">
        <f>IFERROR(__xludf.DUMMYFUNCTION("""COMPUTED_VALUE"""),"Enter the Dragon")</f>
        <v>Enter the Dragon</v>
      </c>
      <c r="J3403" s="5" t="str">
        <f>IFERROR(__xludf.DUMMYFUNCTION("""COMPUTED_VALUE"""),"John Saxon")</f>
        <v>John Saxon</v>
      </c>
      <c r="K3403" s="5" t="str">
        <f>IFERROR(__xludf.DUMMYFUNCTION("""COMPUTED_VALUE"""),"Estrela 2")</f>
        <v>Estrela 2</v>
      </c>
      <c r="P3403" s="5">
        <f>IFERROR(__xludf.DUMMYFUNCTION("""COMPUTED_VALUE"""),851.0)</f>
        <v>851</v>
      </c>
      <c r="Q3403" s="5" t="str">
        <f>IFERROR(__xludf.DUMMYFUNCTION("""COMPUTED_VALUE"""),"Enter the Dragon")</f>
        <v>Enter the Dragon</v>
      </c>
      <c r="R3403" s="5" t="str">
        <f>IFERROR(__xludf.DUMMYFUNCTION("""COMPUTED_VALUE"""),"John Saxon")</f>
        <v>John Saxon</v>
      </c>
      <c r="S3403" s="5" t="str">
        <f>IFERROR(__xludf.DUMMYFUNCTION("""COMPUTED_VALUE"""),"Estrela 2")</f>
        <v>Estrela 2</v>
      </c>
    </row>
    <row r="3404">
      <c r="G3404" s="5" t="str">
        <f>IFERROR(__xludf.DUMMYFUNCTION("""COMPUTED_VALUE"""),"851🤙🏼Enter the Dragon🤙🏼Jim Kelly🤙🏼Estrela 3")</f>
        <v>851🤙🏼Enter the Dragon🤙🏼Jim Kelly🤙🏼Estrela 3</v>
      </c>
      <c r="H3404" s="5">
        <f>IFERROR(__xludf.DUMMYFUNCTION("SPLiT(G3404, ""🤙🏼"",FALSE,FALSE)"),851.0)</f>
        <v>851</v>
      </c>
      <c r="I3404" s="5" t="str">
        <f>IFERROR(__xludf.DUMMYFUNCTION("""COMPUTED_VALUE"""),"Enter the Dragon")</f>
        <v>Enter the Dragon</v>
      </c>
      <c r="J3404" s="5" t="str">
        <f>IFERROR(__xludf.DUMMYFUNCTION("""COMPUTED_VALUE"""),"Jim Kelly")</f>
        <v>Jim Kelly</v>
      </c>
      <c r="K3404" s="5" t="str">
        <f>IFERROR(__xludf.DUMMYFUNCTION("""COMPUTED_VALUE"""),"Estrela 3")</f>
        <v>Estrela 3</v>
      </c>
      <c r="P3404" s="5">
        <f>IFERROR(__xludf.DUMMYFUNCTION("""COMPUTED_VALUE"""),851.0)</f>
        <v>851</v>
      </c>
      <c r="Q3404" s="5" t="str">
        <f>IFERROR(__xludf.DUMMYFUNCTION("""COMPUTED_VALUE"""),"Enter the Dragon")</f>
        <v>Enter the Dragon</v>
      </c>
      <c r="R3404" s="5" t="str">
        <f>IFERROR(__xludf.DUMMYFUNCTION("""COMPUTED_VALUE"""),"Jim Kelly")</f>
        <v>Jim Kelly</v>
      </c>
      <c r="S3404" s="5" t="str">
        <f>IFERROR(__xludf.DUMMYFUNCTION("""COMPUTED_VALUE"""),"Estrela 3")</f>
        <v>Estrela 3</v>
      </c>
    </row>
    <row r="3405">
      <c r="G3405" s="5" t="str">
        <f>IFERROR(__xludf.DUMMYFUNCTION("""COMPUTED_VALUE"""),"851🤙🏼Enter the Dragon🤙🏼Ahna Capri🤙🏼Estrela 4")</f>
        <v>851🤙🏼Enter the Dragon🤙🏼Ahna Capri🤙🏼Estrela 4</v>
      </c>
      <c r="H3405" s="5">
        <f>IFERROR(__xludf.DUMMYFUNCTION("SPLiT(G3405, ""🤙🏼"",FALSE,FALSE)"),851.0)</f>
        <v>851</v>
      </c>
      <c r="I3405" s="5" t="str">
        <f>IFERROR(__xludf.DUMMYFUNCTION("""COMPUTED_VALUE"""),"Enter the Dragon")</f>
        <v>Enter the Dragon</v>
      </c>
      <c r="J3405" s="5" t="str">
        <f>IFERROR(__xludf.DUMMYFUNCTION("""COMPUTED_VALUE"""),"Ahna Capri")</f>
        <v>Ahna Capri</v>
      </c>
      <c r="K3405" s="5" t="str">
        <f>IFERROR(__xludf.DUMMYFUNCTION("""COMPUTED_VALUE"""),"Estrela 4")</f>
        <v>Estrela 4</v>
      </c>
      <c r="P3405" s="5">
        <f>IFERROR(__xludf.DUMMYFUNCTION("""COMPUTED_VALUE"""),851.0)</f>
        <v>851</v>
      </c>
      <c r="Q3405" s="5" t="str">
        <f>IFERROR(__xludf.DUMMYFUNCTION("""COMPUTED_VALUE"""),"Enter the Dragon")</f>
        <v>Enter the Dragon</v>
      </c>
      <c r="R3405" s="5" t="str">
        <f>IFERROR(__xludf.DUMMYFUNCTION("""COMPUTED_VALUE"""),"Ahna Capri")</f>
        <v>Ahna Capri</v>
      </c>
      <c r="S3405" s="5" t="str">
        <f>IFERROR(__xludf.DUMMYFUNCTION("""COMPUTED_VALUE"""),"Estrela 4")</f>
        <v>Estrela 4</v>
      </c>
    </row>
    <row r="3406">
      <c r="G3406" s="5" t="str">
        <f>IFERROR(__xludf.DUMMYFUNCTION("""COMPUTED_VALUE"""),"852🤙🏼Deliverance🤙🏼Jon Voight🤙🏼Estrela 1")</f>
        <v>852🤙🏼Deliverance🤙🏼Jon Voight🤙🏼Estrela 1</v>
      </c>
      <c r="H3406" s="5">
        <f>IFERROR(__xludf.DUMMYFUNCTION("SPLiT(G3406, ""🤙🏼"",FALSE,FALSE)"),852.0)</f>
        <v>852</v>
      </c>
      <c r="I3406" s="5" t="str">
        <f>IFERROR(__xludf.DUMMYFUNCTION("""COMPUTED_VALUE"""),"Deliverance")</f>
        <v>Deliverance</v>
      </c>
      <c r="J3406" s="5" t="str">
        <f>IFERROR(__xludf.DUMMYFUNCTION("""COMPUTED_VALUE"""),"Jon Voight")</f>
        <v>Jon Voight</v>
      </c>
      <c r="K3406" s="5" t="str">
        <f>IFERROR(__xludf.DUMMYFUNCTION("""COMPUTED_VALUE"""),"Estrela 1")</f>
        <v>Estrela 1</v>
      </c>
      <c r="P3406" s="5">
        <f>IFERROR(__xludf.DUMMYFUNCTION("""COMPUTED_VALUE"""),852.0)</f>
        <v>852</v>
      </c>
      <c r="Q3406" s="5" t="str">
        <f>IFERROR(__xludf.DUMMYFUNCTION("""COMPUTED_VALUE"""),"Deliverance")</f>
        <v>Deliverance</v>
      </c>
      <c r="R3406" s="5" t="str">
        <f>IFERROR(__xludf.DUMMYFUNCTION("""COMPUTED_VALUE"""),"Jon Voight")</f>
        <v>Jon Voight</v>
      </c>
      <c r="S3406" s="5" t="str">
        <f>IFERROR(__xludf.DUMMYFUNCTION("""COMPUTED_VALUE"""),"Estrela 1")</f>
        <v>Estrela 1</v>
      </c>
    </row>
    <row r="3407">
      <c r="G3407" s="5" t="str">
        <f>IFERROR(__xludf.DUMMYFUNCTION("""COMPUTED_VALUE"""),"852🤙🏼Deliverance🤙🏼Burt Reynolds🤙🏼Estrela 2")</f>
        <v>852🤙🏼Deliverance🤙🏼Burt Reynolds🤙🏼Estrela 2</v>
      </c>
      <c r="H3407" s="5">
        <f>IFERROR(__xludf.DUMMYFUNCTION("SPLiT(G3407, ""🤙🏼"",FALSE,FALSE)"),852.0)</f>
        <v>852</v>
      </c>
      <c r="I3407" s="5" t="str">
        <f>IFERROR(__xludf.DUMMYFUNCTION("""COMPUTED_VALUE"""),"Deliverance")</f>
        <v>Deliverance</v>
      </c>
      <c r="J3407" s="5" t="str">
        <f>IFERROR(__xludf.DUMMYFUNCTION("""COMPUTED_VALUE"""),"Burt Reynolds")</f>
        <v>Burt Reynolds</v>
      </c>
      <c r="K3407" s="5" t="str">
        <f>IFERROR(__xludf.DUMMYFUNCTION("""COMPUTED_VALUE"""),"Estrela 2")</f>
        <v>Estrela 2</v>
      </c>
      <c r="P3407" s="5">
        <f>IFERROR(__xludf.DUMMYFUNCTION("""COMPUTED_VALUE"""),852.0)</f>
        <v>852</v>
      </c>
      <c r="Q3407" s="5" t="str">
        <f>IFERROR(__xludf.DUMMYFUNCTION("""COMPUTED_VALUE"""),"Deliverance")</f>
        <v>Deliverance</v>
      </c>
      <c r="R3407" s="5" t="str">
        <f>IFERROR(__xludf.DUMMYFUNCTION("""COMPUTED_VALUE"""),"Burt Reynolds")</f>
        <v>Burt Reynolds</v>
      </c>
      <c r="S3407" s="5" t="str">
        <f>IFERROR(__xludf.DUMMYFUNCTION("""COMPUTED_VALUE"""),"Estrela 2")</f>
        <v>Estrela 2</v>
      </c>
    </row>
    <row r="3408">
      <c r="G3408" s="5" t="str">
        <f>IFERROR(__xludf.DUMMYFUNCTION("""COMPUTED_VALUE"""),"852🤙🏼Deliverance🤙🏼Ned Beatty🤙🏼Estrela 3")</f>
        <v>852🤙🏼Deliverance🤙🏼Ned Beatty🤙🏼Estrela 3</v>
      </c>
      <c r="H3408" s="5">
        <f>IFERROR(__xludf.DUMMYFUNCTION("SPLiT(G3408, ""🤙🏼"",FALSE,FALSE)"),852.0)</f>
        <v>852</v>
      </c>
      <c r="I3408" s="5" t="str">
        <f>IFERROR(__xludf.DUMMYFUNCTION("""COMPUTED_VALUE"""),"Deliverance")</f>
        <v>Deliverance</v>
      </c>
      <c r="J3408" s="5" t="str">
        <f>IFERROR(__xludf.DUMMYFUNCTION("""COMPUTED_VALUE"""),"Ned Beatty")</f>
        <v>Ned Beatty</v>
      </c>
      <c r="K3408" s="5" t="str">
        <f>IFERROR(__xludf.DUMMYFUNCTION("""COMPUTED_VALUE"""),"Estrela 3")</f>
        <v>Estrela 3</v>
      </c>
      <c r="P3408" s="5">
        <f>IFERROR(__xludf.DUMMYFUNCTION("""COMPUTED_VALUE"""),852.0)</f>
        <v>852</v>
      </c>
      <c r="Q3408" s="5" t="str">
        <f>IFERROR(__xludf.DUMMYFUNCTION("""COMPUTED_VALUE"""),"Deliverance")</f>
        <v>Deliverance</v>
      </c>
      <c r="R3408" s="5" t="str">
        <f>IFERROR(__xludf.DUMMYFUNCTION("""COMPUTED_VALUE"""),"Ned Beatty")</f>
        <v>Ned Beatty</v>
      </c>
      <c r="S3408" s="5" t="str">
        <f>IFERROR(__xludf.DUMMYFUNCTION("""COMPUTED_VALUE"""),"Estrela 3")</f>
        <v>Estrela 3</v>
      </c>
    </row>
    <row r="3409">
      <c r="G3409" s="5" t="str">
        <f>IFERROR(__xludf.DUMMYFUNCTION("""COMPUTED_VALUE"""),"852🤙🏼Deliverance🤙🏼Ronny Cox🤙🏼Estrela 4")</f>
        <v>852🤙🏼Deliverance🤙🏼Ronny Cox🤙🏼Estrela 4</v>
      </c>
      <c r="H3409" s="5">
        <f>IFERROR(__xludf.DUMMYFUNCTION("SPLiT(G3409, ""🤙🏼"",FALSE,FALSE)"),852.0)</f>
        <v>852</v>
      </c>
      <c r="I3409" s="5" t="str">
        <f>IFERROR(__xludf.DUMMYFUNCTION("""COMPUTED_VALUE"""),"Deliverance")</f>
        <v>Deliverance</v>
      </c>
      <c r="J3409" s="5" t="str">
        <f>IFERROR(__xludf.DUMMYFUNCTION("""COMPUTED_VALUE"""),"Ronny Cox")</f>
        <v>Ronny Cox</v>
      </c>
      <c r="K3409" s="5" t="str">
        <f>IFERROR(__xludf.DUMMYFUNCTION("""COMPUTED_VALUE"""),"Estrela 4")</f>
        <v>Estrela 4</v>
      </c>
      <c r="P3409" s="5">
        <f>IFERROR(__xludf.DUMMYFUNCTION("""COMPUTED_VALUE"""),852.0)</f>
        <v>852</v>
      </c>
      <c r="Q3409" s="5" t="str">
        <f>IFERROR(__xludf.DUMMYFUNCTION("""COMPUTED_VALUE"""),"Deliverance")</f>
        <v>Deliverance</v>
      </c>
      <c r="R3409" s="5" t="str">
        <f>IFERROR(__xludf.DUMMYFUNCTION("""COMPUTED_VALUE"""),"Ronny Cox")</f>
        <v>Ronny Cox</v>
      </c>
      <c r="S3409" s="5" t="str">
        <f>IFERROR(__xludf.DUMMYFUNCTION("""COMPUTED_VALUE"""),"Estrela 4")</f>
        <v>Estrela 4</v>
      </c>
    </row>
    <row r="3410">
      <c r="G3410" s="5" t="str">
        <f>IFERROR(__xludf.DUMMYFUNCTION("""COMPUTED_VALUE"""),"853🤙🏼The French Connection🤙🏼Gene Hackman🤙🏼Estrela 1")</f>
        <v>853🤙🏼The French Connection🤙🏼Gene Hackman🤙🏼Estrela 1</v>
      </c>
      <c r="H3410" s="5">
        <f>IFERROR(__xludf.DUMMYFUNCTION("SPLiT(G3410, ""🤙🏼"",FALSE,FALSE)"),853.0)</f>
        <v>853</v>
      </c>
      <c r="I3410" s="5" t="str">
        <f>IFERROR(__xludf.DUMMYFUNCTION("""COMPUTED_VALUE"""),"The French Connection")</f>
        <v>The French Connection</v>
      </c>
      <c r="J3410" s="5" t="str">
        <f>IFERROR(__xludf.DUMMYFUNCTION("""COMPUTED_VALUE"""),"Gene Hackman")</f>
        <v>Gene Hackman</v>
      </c>
      <c r="K3410" s="5" t="str">
        <f>IFERROR(__xludf.DUMMYFUNCTION("""COMPUTED_VALUE"""),"Estrela 1")</f>
        <v>Estrela 1</v>
      </c>
      <c r="P3410" s="5">
        <f>IFERROR(__xludf.DUMMYFUNCTION("""COMPUTED_VALUE"""),853.0)</f>
        <v>853</v>
      </c>
      <c r="Q3410" s="5" t="str">
        <f>IFERROR(__xludf.DUMMYFUNCTION("""COMPUTED_VALUE"""),"The French Connection")</f>
        <v>The French Connection</v>
      </c>
      <c r="R3410" s="5" t="str">
        <f>IFERROR(__xludf.DUMMYFUNCTION("""COMPUTED_VALUE"""),"Gene Hackman")</f>
        <v>Gene Hackman</v>
      </c>
      <c r="S3410" s="5" t="str">
        <f>IFERROR(__xludf.DUMMYFUNCTION("""COMPUTED_VALUE"""),"Estrela 1")</f>
        <v>Estrela 1</v>
      </c>
    </row>
    <row r="3411">
      <c r="G3411" s="5" t="str">
        <f>IFERROR(__xludf.DUMMYFUNCTION("""COMPUTED_VALUE"""),"853🤙🏼The French Connection🤙🏼Roy Scheider🤙🏼Estrela 2")</f>
        <v>853🤙🏼The French Connection🤙🏼Roy Scheider🤙🏼Estrela 2</v>
      </c>
      <c r="H3411" s="5">
        <f>IFERROR(__xludf.DUMMYFUNCTION("SPLiT(G3411, ""🤙🏼"",FALSE,FALSE)"),853.0)</f>
        <v>853</v>
      </c>
      <c r="I3411" s="5" t="str">
        <f>IFERROR(__xludf.DUMMYFUNCTION("""COMPUTED_VALUE"""),"The French Connection")</f>
        <v>The French Connection</v>
      </c>
      <c r="J3411" s="5" t="str">
        <f>IFERROR(__xludf.DUMMYFUNCTION("""COMPUTED_VALUE"""),"Roy Scheider")</f>
        <v>Roy Scheider</v>
      </c>
      <c r="K3411" s="5" t="str">
        <f>IFERROR(__xludf.DUMMYFUNCTION("""COMPUTED_VALUE"""),"Estrela 2")</f>
        <v>Estrela 2</v>
      </c>
      <c r="P3411" s="5">
        <f>IFERROR(__xludf.DUMMYFUNCTION("""COMPUTED_VALUE"""),853.0)</f>
        <v>853</v>
      </c>
      <c r="Q3411" s="5" t="str">
        <f>IFERROR(__xludf.DUMMYFUNCTION("""COMPUTED_VALUE"""),"The French Connection")</f>
        <v>The French Connection</v>
      </c>
      <c r="R3411" s="5" t="str">
        <f>IFERROR(__xludf.DUMMYFUNCTION("""COMPUTED_VALUE"""),"Roy Scheider")</f>
        <v>Roy Scheider</v>
      </c>
      <c r="S3411" s="5" t="str">
        <f>IFERROR(__xludf.DUMMYFUNCTION("""COMPUTED_VALUE"""),"Estrela 2")</f>
        <v>Estrela 2</v>
      </c>
    </row>
    <row r="3412">
      <c r="G3412" s="5" t="str">
        <f>IFERROR(__xludf.DUMMYFUNCTION("""COMPUTED_VALUE"""),"853🤙🏼The French Connection🤙🏼Fernando Rey🤙🏼Estrela 3")</f>
        <v>853🤙🏼The French Connection🤙🏼Fernando Rey🤙🏼Estrela 3</v>
      </c>
      <c r="H3412" s="5">
        <f>IFERROR(__xludf.DUMMYFUNCTION("SPLiT(G3412, ""🤙🏼"",FALSE,FALSE)"),853.0)</f>
        <v>853</v>
      </c>
      <c r="I3412" s="5" t="str">
        <f>IFERROR(__xludf.DUMMYFUNCTION("""COMPUTED_VALUE"""),"The French Connection")</f>
        <v>The French Connection</v>
      </c>
      <c r="J3412" s="5" t="str">
        <f>IFERROR(__xludf.DUMMYFUNCTION("""COMPUTED_VALUE"""),"Fernando Rey")</f>
        <v>Fernando Rey</v>
      </c>
      <c r="K3412" s="5" t="str">
        <f>IFERROR(__xludf.DUMMYFUNCTION("""COMPUTED_VALUE"""),"Estrela 3")</f>
        <v>Estrela 3</v>
      </c>
      <c r="P3412" s="5">
        <f>IFERROR(__xludf.DUMMYFUNCTION("""COMPUTED_VALUE"""),853.0)</f>
        <v>853</v>
      </c>
      <c r="Q3412" s="5" t="str">
        <f>IFERROR(__xludf.DUMMYFUNCTION("""COMPUTED_VALUE"""),"The French Connection")</f>
        <v>The French Connection</v>
      </c>
      <c r="R3412" s="5" t="str">
        <f>IFERROR(__xludf.DUMMYFUNCTION("""COMPUTED_VALUE"""),"Fernando Rey")</f>
        <v>Fernando Rey</v>
      </c>
      <c r="S3412" s="5" t="str">
        <f>IFERROR(__xludf.DUMMYFUNCTION("""COMPUTED_VALUE"""),"Estrela 3")</f>
        <v>Estrela 3</v>
      </c>
    </row>
    <row r="3413">
      <c r="G3413" s="5" t="str">
        <f>IFERROR(__xludf.DUMMYFUNCTION("""COMPUTED_VALUE"""),"853🤙🏼The French Connection🤙🏼Tony Lo Bianco🤙🏼Estrela 4")</f>
        <v>853🤙🏼The French Connection🤙🏼Tony Lo Bianco🤙🏼Estrela 4</v>
      </c>
      <c r="H3413" s="5">
        <f>IFERROR(__xludf.DUMMYFUNCTION("SPLiT(G3413, ""🤙🏼"",FALSE,FALSE)"),853.0)</f>
        <v>853</v>
      </c>
      <c r="I3413" s="5" t="str">
        <f>IFERROR(__xludf.DUMMYFUNCTION("""COMPUTED_VALUE"""),"The French Connection")</f>
        <v>The French Connection</v>
      </c>
      <c r="J3413" s="5" t="str">
        <f>IFERROR(__xludf.DUMMYFUNCTION("""COMPUTED_VALUE"""),"Tony Lo Bianco")</f>
        <v>Tony Lo Bianco</v>
      </c>
      <c r="K3413" s="5" t="str">
        <f>IFERROR(__xludf.DUMMYFUNCTION("""COMPUTED_VALUE"""),"Estrela 4")</f>
        <v>Estrela 4</v>
      </c>
      <c r="P3413" s="5">
        <f>IFERROR(__xludf.DUMMYFUNCTION("""COMPUTED_VALUE"""),853.0)</f>
        <v>853</v>
      </c>
      <c r="Q3413" s="5" t="str">
        <f>IFERROR(__xludf.DUMMYFUNCTION("""COMPUTED_VALUE"""),"The French Connection")</f>
        <v>The French Connection</v>
      </c>
      <c r="R3413" s="5" t="str">
        <f>IFERROR(__xludf.DUMMYFUNCTION("""COMPUTED_VALUE"""),"Tony Lo Bianco")</f>
        <v>Tony Lo Bianco</v>
      </c>
      <c r="S3413" s="5" t="str">
        <f>IFERROR(__xludf.DUMMYFUNCTION("""COMPUTED_VALUE"""),"Estrela 4")</f>
        <v>Estrela 4</v>
      </c>
    </row>
    <row r="3414">
      <c r="G3414" s="5" t="str">
        <f>IFERROR(__xludf.DUMMYFUNCTION("""COMPUTED_VALUE"""),"854🤙🏼Dirty Harry🤙🏼Clint Eastwood🤙🏼Estrela 1")</f>
        <v>854🤙🏼Dirty Harry🤙🏼Clint Eastwood🤙🏼Estrela 1</v>
      </c>
      <c r="H3414" s="5">
        <f>IFERROR(__xludf.DUMMYFUNCTION("SPLiT(G3414, ""🤙🏼"",FALSE,FALSE)"),854.0)</f>
        <v>854</v>
      </c>
      <c r="I3414" s="5" t="str">
        <f>IFERROR(__xludf.DUMMYFUNCTION("""COMPUTED_VALUE"""),"Dirty Harry")</f>
        <v>Dirty Harry</v>
      </c>
      <c r="J3414" s="5" t="str">
        <f>IFERROR(__xludf.DUMMYFUNCTION("""COMPUTED_VALUE"""),"Clint Eastwood")</f>
        <v>Clint Eastwood</v>
      </c>
      <c r="K3414" s="5" t="str">
        <f>IFERROR(__xludf.DUMMYFUNCTION("""COMPUTED_VALUE"""),"Estrela 1")</f>
        <v>Estrela 1</v>
      </c>
      <c r="P3414" s="5">
        <f>IFERROR(__xludf.DUMMYFUNCTION("""COMPUTED_VALUE"""),854.0)</f>
        <v>854</v>
      </c>
      <c r="Q3414" s="5" t="str">
        <f>IFERROR(__xludf.DUMMYFUNCTION("""COMPUTED_VALUE"""),"Dirty Harry")</f>
        <v>Dirty Harry</v>
      </c>
      <c r="R3414" s="5" t="str">
        <f>IFERROR(__xludf.DUMMYFUNCTION("""COMPUTED_VALUE"""),"Clint Eastwood")</f>
        <v>Clint Eastwood</v>
      </c>
      <c r="S3414" s="5" t="str">
        <f>IFERROR(__xludf.DUMMYFUNCTION("""COMPUTED_VALUE"""),"Estrela 1")</f>
        <v>Estrela 1</v>
      </c>
    </row>
    <row r="3415">
      <c r="G3415" s="5" t="str">
        <f>IFERROR(__xludf.DUMMYFUNCTION("""COMPUTED_VALUE"""),"854🤙🏼Dirty Harry🤙🏼Andrew Robinson🤙🏼Estrela 2")</f>
        <v>854🤙🏼Dirty Harry🤙🏼Andrew Robinson🤙🏼Estrela 2</v>
      </c>
      <c r="H3415" s="5">
        <f>IFERROR(__xludf.DUMMYFUNCTION("SPLiT(G3415, ""🤙🏼"",FALSE,FALSE)"),854.0)</f>
        <v>854</v>
      </c>
      <c r="I3415" s="5" t="str">
        <f>IFERROR(__xludf.DUMMYFUNCTION("""COMPUTED_VALUE"""),"Dirty Harry")</f>
        <v>Dirty Harry</v>
      </c>
      <c r="J3415" s="5" t="str">
        <f>IFERROR(__xludf.DUMMYFUNCTION("""COMPUTED_VALUE"""),"Andrew Robinson")</f>
        <v>Andrew Robinson</v>
      </c>
      <c r="K3415" s="5" t="str">
        <f>IFERROR(__xludf.DUMMYFUNCTION("""COMPUTED_VALUE"""),"Estrela 2")</f>
        <v>Estrela 2</v>
      </c>
      <c r="P3415" s="5">
        <f>IFERROR(__xludf.DUMMYFUNCTION("""COMPUTED_VALUE"""),854.0)</f>
        <v>854</v>
      </c>
      <c r="Q3415" s="5" t="str">
        <f>IFERROR(__xludf.DUMMYFUNCTION("""COMPUTED_VALUE"""),"Dirty Harry")</f>
        <v>Dirty Harry</v>
      </c>
      <c r="R3415" s="5" t="str">
        <f>IFERROR(__xludf.DUMMYFUNCTION("""COMPUTED_VALUE"""),"Andrew Robinson")</f>
        <v>Andrew Robinson</v>
      </c>
      <c r="S3415" s="5" t="str">
        <f>IFERROR(__xludf.DUMMYFUNCTION("""COMPUTED_VALUE"""),"Estrela 2")</f>
        <v>Estrela 2</v>
      </c>
    </row>
    <row r="3416">
      <c r="G3416" s="5" t="str">
        <f>IFERROR(__xludf.DUMMYFUNCTION("""COMPUTED_VALUE"""),"854🤙🏼Dirty Harry🤙🏼Harry Guardino🤙🏼Estrela 3")</f>
        <v>854🤙🏼Dirty Harry🤙🏼Harry Guardino🤙🏼Estrela 3</v>
      </c>
      <c r="H3416" s="5">
        <f>IFERROR(__xludf.DUMMYFUNCTION("SPLiT(G3416, ""🤙🏼"",FALSE,FALSE)"),854.0)</f>
        <v>854</v>
      </c>
      <c r="I3416" s="5" t="str">
        <f>IFERROR(__xludf.DUMMYFUNCTION("""COMPUTED_VALUE"""),"Dirty Harry")</f>
        <v>Dirty Harry</v>
      </c>
      <c r="J3416" s="5" t="str">
        <f>IFERROR(__xludf.DUMMYFUNCTION("""COMPUTED_VALUE"""),"Harry Guardino")</f>
        <v>Harry Guardino</v>
      </c>
      <c r="K3416" s="5" t="str">
        <f>IFERROR(__xludf.DUMMYFUNCTION("""COMPUTED_VALUE"""),"Estrela 3")</f>
        <v>Estrela 3</v>
      </c>
      <c r="P3416" s="5">
        <f>IFERROR(__xludf.DUMMYFUNCTION("""COMPUTED_VALUE"""),854.0)</f>
        <v>854</v>
      </c>
      <c r="Q3416" s="5" t="str">
        <f>IFERROR(__xludf.DUMMYFUNCTION("""COMPUTED_VALUE"""),"Dirty Harry")</f>
        <v>Dirty Harry</v>
      </c>
      <c r="R3416" s="5" t="str">
        <f>IFERROR(__xludf.DUMMYFUNCTION("""COMPUTED_VALUE"""),"Harry Guardino")</f>
        <v>Harry Guardino</v>
      </c>
      <c r="S3416" s="5" t="str">
        <f>IFERROR(__xludf.DUMMYFUNCTION("""COMPUTED_VALUE"""),"Estrela 3")</f>
        <v>Estrela 3</v>
      </c>
    </row>
    <row r="3417">
      <c r="G3417" s="5" t="str">
        <f>IFERROR(__xludf.DUMMYFUNCTION("""COMPUTED_VALUE"""),"854🤙🏼Dirty Harry🤙🏼Reni Santoni🤙🏼Estrela 4")</f>
        <v>854🤙🏼Dirty Harry🤙🏼Reni Santoni🤙🏼Estrela 4</v>
      </c>
      <c r="H3417" s="5">
        <f>IFERROR(__xludf.DUMMYFUNCTION("SPLiT(G3417, ""🤙🏼"",FALSE,FALSE)"),854.0)</f>
        <v>854</v>
      </c>
      <c r="I3417" s="5" t="str">
        <f>IFERROR(__xludf.DUMMYFUNCTION("""COMPUTED_VALUE"""),"Dirty Harry")</f>
        <v>Dirty Harry</v>
      </c>
      <c r="J3417" s="5" t="str">
        <f>IFERROR(__xludf.DUMMYFUNCTION("""COMPUTED_VALUE"""),"Reni Santoni")</f>
        <v>Reni Santoni</v>
      </c>
      <c r="K3417" s="5" t="str">
        <f>IFERROR(__xludf.DUMMYFUNCTION("""COMPUTED_VALUE"""),"Estrela 4")</f>
        <v>Estrela 4</v>
      </c>
      <c r="P3417" s="5">
        <f>IFERROR(__xludf.DUMMYFUNCTION("""COMPUTED_VALUE"""),854.0)</f>
        <v>854</v>
      </c>
      <c r="Q3417" s="5" t="str">
        <f>IFERROR(__xludf.DUMMYFUNCTION("""COMPUTED_VALUE"""),"Dirty Harry")</f>
        <v>Dirty Harry</v>
      </c>
      <c r="R3417" s="5" t="str">
        <f>IFERROR(__xludf.DUMMYFUNCTION("""COMPUTED_VALUE"""),"Reni Santoni")</f>
        <v>Reni Santoni</v>
      </c>
      <c r="S3417" s="5" t="str">
        <f>IFERROR(__xludf.DUMMYFUNCTION("""COMPUTED_VALUE"""),"Estrela 4")</f>
        <v>Estrela 4</v>
      </c>
    </row>
    <row r="3418">
      <c r="G3418" s="5" t="str">
        <f>IFERROR(__xludf.DUMMYFUNCTION("""COMPUTED_VALUE"""),"855🤙🏼Where Eagles Dare🤙🏼Richard Burton🤙🏼Estrela 1")</f>
        <v>855🤙🏼Where Eagles Dare🤙🏼Richard Burton🤙🏼Estrela 1</v>
      </c>
      <c r="H3418" s="5">
        <f>IFERROR(__xludf.DUMMYFUNCTION("SPLiT(G3418, ""🤙🏼"",FALSE,FALSE)"),855.0)</f>
        <v>855</v>
      </c>
      <c r="I3418" s="5" t="str">
        <f>IFERROR(__xludf.DUMMYFUNCTION("""COMPUTED_VALUE"""),"Where Eagles Dare")</f>
        <v>Where Eagles Dare</v>
      </c>
      <c r="J3418" s="5" t="str">
        <f>IFERROR(__xludf.DUMMYFUNCTION("""COMPUTED_VALUE"""),"Richard Burton")</f>
        <v>Richard Burton</v>
      </c>
      <c r="K3418" s="5" t="str">
        <f>IFERROR(__xludf.DUMMYFUNCTION("""COMPUTED_VALUE"""),"Estrela 1")</f>
        <v>Estrela 1</v>
      </c>
      <c r="P3418" s="5">
        <f>IFERROR(__xludf.DUMMYFUNCTION("""COMPUTED_VALUE"""),855.0)</f>
        <v>855</v>
      </c>
      <c r="Q3418" s="5" t="str">
        <f>IFERROR(__xludf.DUMMYFUNCTION("""COMPUTED_VALUE"""),"Where Eagles Dare")</f>
        <v>Where Eagles Dare</v>
      </c>
      <c r="R3418" s="5" t="str">
        <f>IFERROR(__xludf.DUMMYFUNCTION("""COMPUTED_VALUE"""),"Richard Burton")</f>
        <v>Richard Burton</v>
      </c>
      <c r="S3418" s="5" t="str">
        <f>IFERROR(__xludf.DUMMYFUNCTION("""COMPUTED_VALUE"""),"Estrela 1")</f>
        <v>Estrela 1</v>
      </c>
    </row>
    <row r="3419">
      <c r="G3419" s="5" t="str">
        <f>IFERROR(__xludf.DUMMYFUNCTION("""COMPUTED_VALUE"""),"855🤙🏼Where Eagles Dare🤙🏼Clint Eastwood🤙🏼Estrela 2")</f>
        <v>855🤙🏼Where Eagles Dare🤙🏼Clint Eastwood🤙🏼Estrela 2</v>
      </c>
      <c r="H3419" s="5">
        <f>IFERROR(__xludf.DUMMYFUNCTION("SPLiT(G3419, ""🤙🏼"",FALSE,FALSE)"),855.0)</f>
        <v>855</v>
      </c>
      <c r="I3419" s="5" t="str">
        <f>IFERROR(__xludf.DUMMYFUNCTION("""COMPUTED_VALUE"""),"Where Eagles Dare")</f>
        <v>Where Eagles Dare</v>
      </c>
      <c r="J3419" s="5" t="str">
        <f>IFERROR(__xludf.DUMMYFUNCTION("""COMPUTED_VALUE"""),"Clint Eastwood")</f>
        <v>Clint Eastwood</v>
      </c>
      <c r="K3419" s="5" t="str">
        <f>IFERROR(__xludf.DUMMYFUNCTION("""COMPUTED_VALUE"""),"Estrela 2")</f>
        <v>Estrela 2</v>
      </c>
      <c r="P3419" s="5">
        <f>IFERROR(__xludf.DUMMYFUNCTION("""COMPUTED_VALUE"""),855.0)</f>
        <v>855</v>
      </c>
      <c r="Q3419" s="5" t="str">
        <f>IFERROR(__xludf.DUMMYFUNCTION("""COMPUTED_VALUE"""),"Where Eagles Dare")</f>
        <v>Where Eagles Dare</v>
      </c>
      <c r="R3419" s="5" t="str">
        <f>IFERROR(__xludf.DUMMYFUNCTION("""COMPUTED_VALUE"""),"Clint Eastwood")</f>
        <v>Clint Eastwood</v>
      </c>
      <c r="S3419" s="5" t="str">
        <f>IFERROR(__xludf.DUMMYFUNCTION("""COMPUTED_VALUE"""),"Estrela 2")</f>
        <v>Estrela 2</v>
      </c>
    </row>
    <row r="3420">
      <c r="G3420" s="5" t="str">
        <f>IFERROR(__xludf.DUMMYFUNCTION("""COMPUTED_VALUE"""),"855🤙🏼Where Eagles Dare🤙🏼Mary Ure🤙🏼Estrela 3")</f>
        <v>855🤙🏼Where Eagles Dare🤙🏼Mary Ure🤙🏼Estrela 3</v>
      </c>
      <c r="H3420" s="5">
        <f>IFERROR(__xludf.DUMMYFUNCTION("SPLiT(G3420, ""🤙🏼"",FALSE,FALSE)"),855.0)</f>
        <v>855</v>
      </c>
      <c r="I3420" s="5" t="str">
        <f>IFERROR(__xludf.DUMMYFUNCTION("""COMPUTED_VALUE"""),"Where Eagles Dare")</f>
        <v>Where Eagles Dare</v>
      </c>
      <c r="J3420" s="5" t="str">
        <f>IFERROR(__xludf.DUMMYFUNCTION("""COMPUTED_VALUE"""),"Mary Ure")</f>
        <v>Mary Ure</v>
      </c>
      <c r="K3420" s="5" t="str">
        <f>IFERROR(__xludf.DUMMYFUNCTION("""COMPUTED_VALUE"""),"Estrela 3")</f>
        <v>Estrela 3</v>
      </c>
      <c r="P3420" s="5">
        <f>IFERROR(__xludf.DUMMYFUNCTION("""COMPUTED_VALUE"""),855.0)</f>
        <v>855</v>
      </c>
      <c r="Q3420" s="5" t="str">
        <f>IFERROR(__xludf.DUMMYFUNCTION("""COMPUTED_VALUE"""),"Where Eagles Dare")</f>
        <v>Where Eagles Dare</v>
      </c>
      <c r="R3420" s="5" t="str">
        <f>IFERROR(__xludf.DUMMYFUNCTION("""COMPUTED_VALUE"""),"Mary Ure")</f>
        <v>Mary Ure</v>
      </c>
      <c r="S3420" s="5" t="str">
        <f>IFERROR(__xludf.DUMMYFUNCTION("""COMPUTED_VALUE"""),"Estrela 3")</f>
        <v>Estrela 3</v>
      </c>
    </row>
    <row r="3421">
      <c r="G3421" s="5" t="str">
        <f>IFERROR(__xludf.DUMMYFUNCTION("""COMPUTED_VALUE"""),"855🤙🏼Where Eagles Dare🤙🏼Patrick Wymark🤙🏼Estrela 4")</f>
        <v>855🤙🏼Where Eagles Dare🤙🏼Patrick Wymark🤙🏼Estrela 4</v>
      </c>
      <c r="H3421" s="5">
        <f>IFERROR(__xludf.DUMMYFUNCTION("SPLiT(G3421, ""🤙🏼"",FALSE,FALSE)"),855.0)</f>
        <v>855</v>
      </c>
      <c r="I3421" s="5" t="str">
        <f>IFERROR(__xludf.DUMMYFUNCTION("""COMPUTED_VALUE"""),"Where Eagles Dare")</f>
        <v>Where Eagles Dare</v>
      </c>
      <c r="J3421" s="5" t="str">
        <f>IFERROR(__xludf.DUMMYFUNCTION("""COMPUTED_VALUE"""),"Patrick Wymark")</f>
        <v>Patrick Wymark</v>
      </c>
      <c r="K3421" s="5" t="str">
        <f>IFERROR(__xludf.DUMMYFUNCTION("""COMPUTED_VALUE"""),"Estrela 4")</f>
        <v>Estrela 4</v>
      </c>
      <c r="P3421" s="5">
        <f>IFERROR(__xludf.DUMMYFUNCTION("""COMPUTED_VALUE"""),855.0)</f>
        <v>855</v>
      </c>
      <c r="Q3421" s="5" t="str">
        <f>IFERROR(__xludf.DUMMYFUNCTION("""COMPUTED_VALUE"""),"Where Eagles Dare")</f>
        <v>Where Eagles Dare</v>
      </c>
      <c r="R3421" s="5" t="str">
        <f>IFERROR(__xludf.DUMMYFUNCTION("""COMPUTED_VALUE"""),"Patrick Wymark")</f>
        <v>Patrick Wymark</v>
      </c>
      <c r="S3421" s="5" t="str">
        <f>IFERROR(__xludf.DUMMYFUNCTION("""COMPUTED_VALUE"""),"Estrela 4")</f>
        <v>Estrela 4</v>
      </c>
    </row>
    <row r="3422">
      <c r="G3422" s="5" t="str">
        <f>IFERROR(__xludf.DUMMYFUNCTION("""COMPUTED_VALUE"""),"856🤙🏼The Odd Couple🤙🏼Jack Lemmon🤙🏼Estrela 1")</f>
        <v>856🤙🏼The Odd Couple🤙🏼Jack Lemmon🤙🏼Estrela 1</v>
      </c>
      <c r="H3422" s="5">
        <f>IFERROR(__xludf.DUMMYFUNCTION("SPLiT(G3422, ""🤙🏼"",FALSE,FALSE)"),856.0)</f>
        <v>856</v>
      </c>
      <c r="I3422" s="5" t="str">
        <f>IFERROR(__xludf.DUMMYFUNCTION("""COMPUTED_VALUE"""),"The Odd Couple")</f>
        <v>The Odd Couple</v>
      </c>
      <c r="J3422" s="5" t="str">
        <f>IFERROR(__xludf.DUMMYFUNCTION("""COMPUTED_VALUE"""),"Jack Lemmon")</f>
        <v>Jack Lemmon</v>
      </c>
      <c r="K3422" s="5" t="str">
        <f>IFERROR(__xludf.DUMMYFUNCTION("""COMPUTED_VALUE"""),"Estrela 1")</f>
        <v>Estrela 1</v>
      </c>
      <c r="P3422" s="5">
        <f>IFERROR(__xludf.DUMMYFUNCTION("""COMPUTED_VALUE"""),856.0)</f>
        <v>856</v>
      </c>
      <c r="Q3422" s="5" t="str">
        <f>IFERROR(__xludf.DUMMYFUNCTION("""COMPUTED_VALUE"""),"The Odd Couple")</f>
        <v>The Odd Couple</v>
      </c>
      <c r="R3422" s="5" t="str">
        <f>IFERROR(__xludf.DUMMYFUNCTION("""COMPUTED_VALUE"""),"Jack Lemmon")</f>
        <v>Jack Lemmon</v>
      </c>
      <c r="S3422" s="5" t="str">
        <f>IFERROR(__xludf.DUMMYFUNCTION("""COMPUTED_VALUE"""),"Estrela 1")</f>
        <v>Estrela 1</v>
      </c>
    </row>
    <row r="3423">
      <c r="G3423" s="5" t="str">
        <f>IFERROR(__xludf.DUMMYFUNCTION("""COMPUTED_VALUE"""),"856🤙🏼The Odd Couple🤙🏼Walter Matthau🤙🏼Estrela 2")</f>
        <v>856🤙🏼The Odd Couple🤙🏼Walter Matthau🤙🏼Estrela 2</v>
      </c>
      <c r="H3423" s="5">
        <f>IFERROR(__xludf.DUMMYFUNCTION("SPLiT(G3423, ""🤙🏼"",FALSE,FALSE)"),856.0)</f>
        <v>856</v>
      </c>
      <c r="I3423" s="5" t="str">
        <f>IFERROR(__xludf.DUMMYFUNCTION("""COMPUTED_VALUE"""),"The Odd Couple")</f>
        <v>The Odd Couple</v>
      </c>
      <c r="J3423" s="5" t="str">
        <f>IFERROR(__xludf.DUMMYFUNCTION("""COMPUTED_VALUE"""),"Walter Matthau")</f>
        <v>Walter Matthau</v>
      </c>
      <c r="K3423" s="5" t="str">
        <f>IFERROR(__xludf.DUMMYFUNCTION("""COMPUTED_VALUE"""),"Estrela 2")</f>
        <v>Estrela 2</v>
      </c>
      <c r="P3423" s="5">
        <f>IFERROR(__xludf.DUMMYFUNCTION("""COMPUTED_VALUE"""),856.0)</f>
        <v>856</v>
      </c>
      <c r="Q3423" s="5" t="str">
        <f>IFERROR(__xludf.DUMMYFUNCTION("""COMPUTED_VALUE"""),"The Odd Couple")</f>
        <v>The Odd Couple</v>
      </c>
      <c r="R3423" s="5" t="str">
        <f>IFERROR(__xludf.DUMMYFUNCTION("""COMPUTED_VALUE"""),"Walter Matthau")</f>
        <v>Walter Matthau</v>
      </c>
      <c r="S3423" s="5" t="str">
        <f>IFERROR(__xludf.DUMMYFUNCTION("""COMPUTED_VALUE"""),"Estrela 2")</f>
        <v>Estrela 2</v>
      </c>
    </row>
    <row r="3424">
      <c r="G3424" s="5" t="str">
        <f>IFERROR(__xludf.DUMMYFUNCTION("""COMPUTED_VALUE"""),"856🤙🏼The Odd Couple🤙🏼John Fiedler🤙🏼Estrela 3")</f>
        <v>856🤙🏼The Odd Couple🤙🏼John Fiedler🤙🏼Estrela 3</v>
      </c>
      <c r="H3424" s="5">
        <f>IFERROR(__xludf.DUMMYFUNCTION("SPLiT(G3424, ""🤙🏼"",FALSE,FALSE)"),856.0)</f>
        <v>856</v>
      </c>
      <c r="I3424" s="5" t="str">
        <f>IFERROR(__xludf.DUMMYFUNCTION("""COMPUTED_VALUE"""),"The Odd Couple")</f>
        <v>The Odd Couple</v>
      </c>
      <c r="J3424" s="5" t="str">
        <f>IFERROR(__xludf.DUMMYFUNCTION("""COMPUTED_VALUE"""),"John Fiedler")</f>
        <v>John Fiedler</v>
      </c>
      <c r="K3424" s="5" t="str">
        <f>IFERROR(__xludf.DUMMYFUNCTION("""COMPUTED_VALUE"""),"Estrela 3")</f>
        <v>Estrela 3</v>
      </c>
      <c r="P3424" s="5">
        <f>IFERROR(__xludf.DUMMYFUNCTION("""COMPUTED_VALUE"""),856.0)</f>
        <v>856</v>
      </c>
      <c r="Q3424" s="5" t="str">
        <f>IFERROR(__xludf.DUMMYFUNCTION("""COMPUTED_VALUE"""),"The Odd Couple")</f>
        <v>The Odd Couple</v>
      </c>
      <c r="R3424" s="5" t="str">
        <f>IFERROR(__xludf.DUMMYFUNCTION("""COMPUTED_VALUE"""),"John Fiedler")</f>
        <v>John Fiedler</v>
      </c>
      <c r="S3424" s="5" t="str">
        <f>IFERROR(__xludf.DUMMYFUNCTION("""COMPUTED_VALUE"""),"Estrela 3")</f>
        <v>Estrela 3</v>
      </c>
    </row>
    <row r="3425">
      <c r="G3425" s="5" t="str">
        <f>IFERROR(__xludf.DUMMYFUNCTION("""COMPUTED_VALUE"""),"856🤙🏼The Odd Couple🤙🏼Herb Edelman🤙🏼Estrela 4")</f>
        <v>856🤙🏼The Odd Couple🤙🏼Herb Edelman🤙🏼Estrela 4</v>
      </c>
      <c r="H3425" s="5">
        <f>IFERROR(__xludf.DUMMYFUNCTION("SPLiT(G3425, ""🤙🏼"",FALSE,FALSE)"),856.0)</f>
        <v>856</v>
      </c>
      <c r="I3425" s="5" t="str">
        <f>IFERROR(__xludf.DUMMYFUNCTION("""COMPUTED_VALUE"""),"The Odd Couple")</f>
        <v>The Odd Couple</v>
      </c>
      <c r="J3425" s="5" t="str">
        <f>IFERROR(__xludf.DUMMYFUNCTION("""COMPUTED_VALUE"""),"Herb Edelman")</f>
        <v>Herb Edelman</v>
      </c>
      <c r="K3425" s="5" t="str">
        <f>IFERROR(__xludf.DUMMYFUNCTION("""COMPUTED_VALUE"""),"Estrela 4")</f>
        <v>Estrela 4</v>
      </c>
      <c r="P3425" s="5">
        <f>IFERROR(__xludf.DUMMYFUNCTION("""COMPUTED_VALUE"""),856.0)</f>
        <v>856</v>
      </c>
      <c r="Q3425" s="5" t="str">
        <f>IFERROR(__xludf.DUMMYFUNCTION("""COMPUTED_VALUE"""),"The Odd Couple")</f>
        <v>The Odd Couple</v>
      </c>
      <c r="R3425" s="5" t="str">
        <f>IFERROR(__xludf.DUMMYFUNCTION("""COMPUTED_VALUE"""),"Herb Edelman")</f>
        <v>Herb Edelman</v>
      </c>
      <c r="S3425" s="5" t="str">
        <f>IFERROR(__xludf.DUMMYFUNCTION("""COMPUTED_VALUE"""),"Estrela 4")</f>
        <v>Estrela 4</v>
      </c>
    </row>
    <row r="3426">
      <c r="G3426" s="5" t="str">
        <f>IFERROR(__xludf.DUMMYFUNCTION("""COMPUTED_VALUE"""),"857🤙🏼The Dirty Dozen🤙🏼Lee Marvin🤙🏼Estrela 1")</f>
        <v>857🤙🏼The Dirty Dozen🤙🏼Lee Marvin🤙🏼Estrela 1</v>
      </c>
      <c r="H3426" s="5">
        <f>IFERROR(__xludf.DUMMYFUNCTION("SPLiT(G3426, ""🤙🏼"",FALSE,FALSE)"),857.0)</f>
        <v>857</v>
      </c>
      <c r="I3426" s="5" t="str">
        <f>IFERROR(__xludf.DUMMYFUNCTION("""COMPUTED_VALUE"""),"The Dirty Dozen")</f>
        <v>The Dirty Dozen</v>
      </c>
      <c r="J3426" s="5" t="str">
        <f>IFERROR(__xludf.DUMMYFUNCTION("""COMPUTED_VALUE"""),"Lee Marvin")</f>
        <v>Lee Marvin</v>
      </c>
      <c r="K3426" s="5" t="str">
        <f>IFERROR(__xludf.DUMMYFUNCTION("""COMPUTED_VALUE"""),"Estrela 1")</f>
        <v>Estrela 1</v>
      </c>
      <c r="P3426" s="5">
        <f>IFERROR(__xludf.DUMMYFUNCTION("""COMPUTED_VALUE"""),857.0)</f>
        <v>857</v>
      </c>
      <c r="Q3426" s="5" t="str">
        <f>IFERROR(__xludf.DUMMYFUNCTION("""COMPUTED_VALUE"""),"The Dirty Dozen")</f>
        <v>The Dirty Dozen</v>
      </c>
      <c r="R3426" s="5" t="str">
        <f>IFERROR(__xludf.DUMMYFUNCTION("""COMPUTED_VALUE"""),"Lee Marvin")</f>
        <v>Lee Marvin</v>
      </c>
      <c r="S3426" s="5" t="str">
        <f>IFERROR(__xludf.DUMMYFUNCTION("""COMPUTED_VALUE"""),"Estrela 1")</f>
        <v>Estrela 1</v>
      </c>
    </row>
    <row r="3427">
      <c r="G3427" s="5" t="str">
        <f>IFERROR(__xludf.DUMMYFUNCTION("""COMPUTED_VALUE"""),"857🤙🏼The Dirty Dozen🤙🏼Ernest Borgnine🤙🏼Estrela 2")</f>
        <v>857🤙🏼The Dirty Dozen🤙🏼Ernest Borgnine🤙🏼Estrela 2</v>
      </c>
      <c r="H3427" s="5">
        <f>IFERROR(__xludf.DUMMYFUNCTION("SPLiT(G3427, ""🤙🏼"",FALSE,FALSE)"),857.0)</f>
        <v>857</v>
      </c>
      <c r="I3427" s="5" t="str">
        <f>IFERROR(__xludf.DUMMYFUNCTION("""COMPUTED_VALUE"""),"The Dirty Dozen")</f>
        <v>The Dirty Dozen</v>
      </c>
      <c r="J3427" s="5" t="str">
        <f>IFERROR(__xludf.DUMMYFUNCTION("""COMPUTED_VALUE"""),"Ernest Borgnine")</f>
        <v>Ernest Borgnine</v>
      </c>
      <c r="K3427" s="5" t="str">
        <f>IFERROR(__xludf.DUMMYFUNCTION("""COMPUTED_VALUE"""),"Estrela 2")</f>
        <v>Estrela 2</v>
      </c>
      <c r="P3427" s="5">
        <f>IFERROR(__xludf.DUMMYFUNCTION("""COMPUTED_VALUE"""),857.0)</f>
        <v>857</v>
      </c>
      <c r="Q3427" s="5" t="str">
        <f>IFERROR(__xludf.DUMMYFUNCTION("""COMPUTED_VALUE"""),"The Dirty Dozen")</f>
        <v>The Dirty Dozen</v>
      </c>
      <c r="R3427" s="5" t="str">
        <f>IFERROR(__xludf.DUMMYFUNCTION("""COMPUTED_VALUE"""),"Ernest Borgnine")</f>
        <v>Ernest Borgnine</v>
      </c>
      <c r="S3427" s="5" t="str">
        <f>IFERROR(__xludf.DUMMYFUNCTION("""COMPUTED_VALUE"""),"Estrela 2")</f>
        <v>Estrela 2</v>
      </c>
    </row>
    <row r="3428">
      <c r="G3428" s="5" t="str">
        <f>IFERROR(__xludf.DUMMYFUNCTION("""COMPUTED_VALUE"""),"857🤙🏼The Dirty Dozen🤙🏼Charles Bronson🤙🏼Estrela 3")</f>
        <v>857🤙🏼The Dirty Dozen🤙🏼Charles Bronson🤙🏼Estrela 3</v>
      </c>
      <c r="H3428" s="5">
        <f>IFERROR(__xludf.DUMMYFUNCTION("SPLiT(G3428, ""🤙🏼"",FALSE,FALSE)"),857.0)</f>
        <v>857</v>
      </c>
      <c r="I3428" s="5" t="str">
        <f>IFERROR(__xludf.DUMMYFUNCTION("""COMPUTED_VALUE"""),"The Dirty Dozen")</f>
        <v>The Dirty Dozen</v>
      </c>
      <c r="J3428" s="5" t="str">
        <f>IFERROR(__xludf.DUMMYFUNCTION("""COMPUTED_VALUE"""),"Charles Bronson")</f>
        <v>Charles Bronson</v>
      </c>
      <c r="K3428" s="5" t="str">
        <f>IFERROR(__xludf.DUMMYFUNCTION("""COMPUTED_VALUE"""),"Estrela 3")</f>
        <v>Estrela 3</v>
      </c>
      <c r="P3428" s="5">
        <f>IFERROR(__xludf.DUMMYFUNCTION("""COMPUTED_VALUE"""),857.0)</f>
        <v>857</v>
      </c>
      <c r="Q3428" s="5" t="str">
        <f>IFERROR(__xludf.DUMMYFUNCTION("""COMPUTED_VALUE"""),"The Dirty Dozen")</f>
        <v>The Dirty Dozen</v>
      </c>
      <c r="R3428" s="5" t="str">
        <f>IFERROR(__xludf.DUMMYFUNCTION("""COMPUTED_VALUE"""),"Charles Bronson")</f>
        <v>Charles Bronson</v>
      </c>
      <c r="S3428" s="5" t="str">
        <f>IFERROR(__xludf.DUMMYFUNCTION("""COMPUTED_VALUE"""),"Estrela 3")</f>
        <v>Estrela 3</v>
      </c>
    </row>
    <row r="3429">
      <c r="G3429" s="5" t="str">
        <f>IFERROR(__xludf.DUMMYFUNCTION("""COMPUTED_VALUE"""),"857🤙🏼The Dirty Dozen🤙🏼John Cassavetes🤙🏼Estrela 4")</f>
        <v>857🤙🏼The Dirty Dozen🤙🏼John Cassavetes🤙🏼Estrela 4</v>
      </c>
      <c r="H3429" s="5">
        <f>IFERROR(__xludf.DUMMYFUNCTION("SPLiT(G3429, ""🤙🏼"",FALSE,FALSE)"),857.0)</f>
        <v>857</v>
      </c>
      <c r="I3429" s="5" t="str">
        <f>IFERROR(__xludf.DUMMYFUNCTION("""COMPUTED_VALUE"""),"The Dirty Dozen")</f>
        <v>The Dirty Dozen</v>
      </c>
      <c r="J3429" s="5" t="str">
        <f>IFERROR(__xludf.DUMMYFUNCTION("""COMPUTED_VALUE"""),"John Cassavetes")</f>
        <v>John Cassavetes</v>
      </c>
      <c r="K3429" s="5" t="str">
        <f>IFERROR(__xludf.DUMMYFUNCTION("""COMPUTED_VALUE"""),"Estrela 4")</f>
        <v>Estrela 4</v>
      </c>
      <c r="P3429" s="5">
        <f>IFERROR(__xludf.DUMMYFUNCTION("""COMPUTED_VALUE"""),857.0)</f>
        <v>857</v>
      </c>
      <c r="Q3429" s="5" t="str">
        <f>IFERROR(__xludf.DUMMYFUNCTION("""COMPUTED_VALUE"""),"The Dirty Dozen")</f>
        <v>The Dirty Dozen</v>
      </c>
      <c r="R3429" s="5" t="str">
        <f>IFERROR(__xludf.DUMMYFUNCTION("""COMPUTED_VALUE"""),"John Cassavetes")</f>
        <v>John Cassavetes</v>
      </c>
      <c r="S3429" s="5" t="str">
        <f>IFERROR(__xludf.DUMMYFUNCTION("""COMPUTED_VALUE"""),"Estrela 4")</f>
        <v>Estrela 4</v>
      </c>
    </row>
    <row r="3430">
      <c r="G3430" s="5" t="str">
        <f>IFERROR(__xludf.DUMMYFUNCTION("""COMPUTED_VALUE"""),"858🤙🏼Belle de jour🤙🏼Catherine Deneuve🤙🏼Estrela 1")</f>
        <v>858🤙🏼Belle de jour🤙🏼Catherine Deneuve🤙🏼Estrela 1</v>
      </c>
      <c r="H3430" s="5">
        <f>IFERROR(__xludf.DUMMYFUNCTION("SPLiT(G3430, ""🤙🏼"",FALSE,FALSE)"),858.0)</f>
        <v>858</v>
      </c>
      <c r="I3430" s="5" t="str">
        <f>IFERROR(__xludf.DUMMYFUNCTION("""COMPUTED_VALUE"""),"Belle de jour")</f>
        <v>Belle de jour</v>
      </c>
      <c r="J3430" s="5" t="str">
        <f>IFERROR(__xludf.DUMMYFUNCTION("""COMPUTED_VALUE"""),"Catherine Deneuve")</f>
        <v>Catherine Deneuve</v>
      </c>
      <c r="K3430" s="5" t="str">
        <f>IFERROR(__xludf.DUMMYFUNCTION("""COMPUTED_VALUE"""),"Estrela 1")</f>
        <v>Estrela 1</v>
      </c>
      <c r="P3430" s="5">
        <f>IFERROR(__xludf.DUMMYFUNCTION("""COMPUTED_VALUE"""),858.0)</f>
        <v>858</v>
      </c>
      <c r="Q3430" s="5" t="str">
        <f>IFERROR(__xludf.DUMMYFUNCTION("""COMPUTED_VALUE"""),"Belle de jour")</f>
        <v>Belle de jour</v>
      </c>
      <c r="R3430" s="5" t="str">
        <f>IFERROR(__xludf.DUMMYFUNCTION("""COMPUTED_VALUE"""),"Catherine Deneuve")</f>
        <v>Catherine Deneuve</v>
      </c>
      <c r="S3430" s="5" t="str">
        <f>IFERROR(__xludf.DUMMYFUNCTION("""COMPUTED_VALUE"""),"Estrela 1")</f>
        <v>Estrela 1</v>
      </c>
    </row>
    <row r="3431">
      <c r="G3431" s="5" t="str">
        <f>IFERROR(__xludf.DUMMYFUNCTION("""COMPUTED_VALUE"""),"858🤙🏼Belle de jour🤙🏼Jean Sorel🤙🏼Estrela 2")</f>
        <v>858🤙🏼Belle de jour🤙🏼Jean Sorel🤙🏼Estrela 2</v>
      </c>
      <c r="H3431" s="5">
        <f>IFERROR(__xludf.DUMMYFUNCTION("SPLiT(G3431, ""🤙🏼"",FALSE,FALSE)"),858.0)</f>
        <v>858</v>
      </c>
      <c r="I3431" s="5" t="str">
        <f>IFERROR(__xludf.DUMMYFUNCTION("""COMPUTED_VALUE"""),"Belle de jour")</f>
        <v>Belle de jour</v>
      </c>
      <c r="J3431" s="5" t="str">
        <f>IFERROR(__xludf.DUMMYFUNCTION("""COMPUTED_VALUE"""),"Jean Sorel")</f>
        <v>Jean Sorel</v>
      </c>
      <c r="K3431" s="5" t="str">
        <f>IFERROR(__xludf.DUMMYFUNCTION("""COMPUTED_VALUE"""),"Estrela 2")</f>
        <v>Estrela 2</v>
      </c>
      <c r="P3431" s="5">
        <f>IFERROR(__xludf.DUMMYFUNCTION("""COMPUTED_VALUE"""),858.0)</f>
        <v>858</v>
      </c>
      <c r="Q3431" s="5" t="str">
        <f>IFERROR(__xludf.DUMMYFUNCTION("""COMPUTED_VALUE"""),"Belle de jour")</f>
        <v>Belle de jour</v>
      </c>
      <c r="R3431" s="5" t="str">
        <f>IFERROR(__xludf.DUMMYFUNCTION("""COMPUTED_VALUE"""),"Jean Sorel")</f>
        <v>Jean Sorel</v>
      </c>
      <c r="S3431" s="5" t="str">
        <f>IFERROR(__xludf.DUMMYFUNCTION("""COMPUTED_VALUE"""),"Estrela 2")</f>
        <v>Estrela 2</v>
      </c>
    </row>
    <row r="3432">
      <c r="G3432" s="5" t="str">
        <f>IFERROR(__xludf.DUMMYFUNCTION("""COMPUTED_VALUE"""),"858🤙🏼Belle de jour🤙🏼Michel Piccoli🤙🏼Estrela 3")</f>
        <v>858🤙🏼Belle de jour🤙🏼Michel Piccoli🤙🏼Estrela 3</v>
      </c>
      <c r="H3432" s="5">
        <f>IFERROR(__xludf.DUMMYFUNCTION("SPLiT(G3432, ""🤙🏼"",FALSE,FALSE)"),858.0)</f>
        <v>858</v>
      </c>
      <c r="I3432" s="5" t="str">
        <f>IFERROR(__xludf.DUMMYFUNCTION("""COMPUTED_VALUE"""),"Belle de jour")</f>
        <v>Belle de jour</v>
      </c>
      <c r="J3432" s="5" t="str">
        <f>IFERROR(__xludf.DUMMYFUNCTION("""COMPUTED_VALUE"""),"Michel Piccoli")</f>
        <v>Michel Piccoli</v>
      </c>
      <c r="K3432" s="5" t="str">
        <f>IFERROR(__xludf.DUMMYFUNCTION("""COMPUTED_VALUE"""),"Estrela 3")</f>
        <v>Estrela 3</v>
      </c>
      <c r="P3432" s="5">
        <f>IFERROR(__xludf.DUMMYFUNCTION("""COMPUTED_VALUE"""),858.0)</f>
        <v>858</v>
      </c>
      <c r="Q3432" s="5" t="str">
        <f>IFERROR(__xludf.DUMMYFUNCTION("""COMPUTED_VALUE"""),"Belle de jour")</f>
        <v>Belle de jour</v>
      </c>
      <c r="R3432" s="5" t="str">
        <f>IFERROR(__xludf.DUMMYFUNCTION("""COMPUTED_VALUE"""),"Michel Piccoli")</f>
        <v>Michel Piccoli</v>
      </c>
      <c r="S3432" s="5" t="str">
        <f>IFERROR(__xludf.DUMMYFUNCTION("""COMPUTED_VALUE"""),"Estrela 3")</f>
        <v>Estrela 3</v>
      </c>
    </row>
    <row r="3433">
      <c r="G3433" s="5" t="str">
        <f>IFERROR(__xludf.DUMMYFUNCTION("""COMPUTED_VALUE"""),"858🤙🏼Belle de jour🤙🏼Geneviève Page🤙🏼Estrela 4")</f>
        <v>858🤙🏼Belle de jour🤙🏼Geneviève Page🤙🏼Estrela 4</v>
      </c>
      <c r="H3433" s="5">
        <f>IFERROR(__xludf.DUMMYFUNCTION("SPLiT(G3433, ""🤙🏼"",FALSE,FALSE)"),858.0)</f>
        <v>858</v>
      </c>
      <c r="I3433" s="5" t="str">
        <f>IFERROR(__xludf.DUMMYFUNCTION("""COMPUTED_VALUE"""),"Belle de jour")</f>
        <v>Belle de jour</v>
      </c>
      <c r="J3433" s="5" t="str">
        <f>IFERROR(__xludf.DUMMYFUNCTION("""COMPUTED_VALUE"""),"Geneviève Page")</f>
        <v>Geneviève Page</v>
      </c>
      <c r="K3433" s="5" t="str">
        <f>IFERROR(__xludf.DUMMYFUNCTION("""COMPUTED_VALUE"""),"Estrela 4")</f>
        <v>Estrela 4</v>
      </c>
      <c r="P3433" s="5">
        <f>IFERROR(__xludf.DUMMYFUNCTION("""COMPUTED_VALUE"""),858.0)</f>
        <v>858</v>
      </c>
      <c r="Q3433" s="5" t="str">
        <f>IFERROR(__xludf.DUMMYFUNCTION("""COMPUTED_VALUE"""),"Belle de jour")</f>
        <v>Belle de jour</v>
      </c>
      <c r="R3433" s="5" t="str">
        <f>IFERROR(__xludf.DUMMYFUNCTION("""COMPUTED_VALUE"""),"Geneviève Page")</f>
        <v>Geneviève Page</v>
      </c>
      <c r="S3433" s="5" t="str">
        <f>IFERROR(__xludf.DUMMYFUNCTION("""COMPUTED_VALUE"""),"Estrela 4")</f>
        <v>Estrela 4</v>
      </c>
    </row>
    <row r="3434">
      <c r="G3434" s="5" t="str">
        <f>IFERROR(__xludf.DUMMYFUNCTION("""COMPUTED_VALUE"""),"859🤙🏼A Man for All Seasons🤙🏼Paul Scofield🤙🏼Estrela 1")</f>
        <v>859🤙🏼A Man for All Seasons🤙🏼Paul Scofield🤙🏼Estrela 1</v>
      </c>
      <c r="H3434" s="5">
        <f>IFERROR(__xludf.DUMMYFUNCTION("SPLiT(G3434, ""🤙🏼"",FALSE,FALSE)"),859.0)</f>
        <v>859</v>
      </c>
      <c r="I3434" s="5" t="str">
        <f>IFERROR(__xludf.DUMMYFUNCTION("""COMPUTED_VALUE"""),"A Man for All Seasons")</f>
        <v>A Man for All Seasons</v>
      </c>
      <c r="J3434" s="5" t="str">
        <f>IFERROR(__xludf.DUMMYFUNCTION("""COMPUTED_VALUE"""),"Paul Scofield")</f>
        <v>Paul Scofield</v>
      </c>
      <c r="K3434" s="5" t="str">
        <f>IFERROR(__xludf.DUMMYFUNCTION("""COMPUTED_VALUE"""),"Estrela 1")</f>
        <v>Estrela 1</v>
      </c>
      <c r="P3434" s="5">
        <f>IFERROR(__xludf.DUMMYFUNCTION("""COMPUTED_VALUE"""),859.0)</f>
        <v>859</v>
      </c>
      <c r="Q3434" s="5" t="str">
        <f>IFERROR(__xludf.DUMMYFUNCTION("""COMPUTED_VALUE"""),"A Man for All Seasons")</f>
        <v>A Man for All Seasons</v>
      </c>
      <c r="R3434" s="5" t="str">
        <f>IFERROR(__xludf.DUMMYFUNCTION("""COMPUTED_VALUE"""),"Paul Scofield")</f>
        <v>Paul Scofield</v>
      </c>
      <c r="S3434" s="5" t="str">
        <f>IFERROR(__xludf.DUMMYFUNCTION("""COMPUTED_VALUE"""),"Estrela 1")</f>
        <v>Estrela 1</v>
      </c>
    </row>
    <row r="3435">
      <c r="G3435" s="5" t="str">
        <f>IFERROR(__xludf.DUMMYFUNCTION("""COMPUTED_VALUE"""),"859🤙🏼A Man for All Seasons🤙🏼Wendy Hiller🤙🏼Estrela 2")</f>
        <v>859🤙🏼A Man for All Seasons🤙🏼Wendy Hiller🤙🏼Estrela 2</v>
      </c>
      <c r="H3435" s="5">
        <f>IFERROR(__xludf.DUMMYFUNCTION("SPLiT(G3435, ""🤙🏼"",FALSE,FALSE)"),859.0)</f>
        <v>859</v>
      </c>
      <c r="I3435" s="5" t="str">
        <f>IFERROR(__xludf.DUMMYFUNCTION("""COMPUTED_VALUE"""),"A Man for All Seasons")</f>
        <v>A Man for All Seasons</v>
      </c>
      <c r="J3435" s="5" t="str">
        <f>IFERROR(__xludf.DUMMYFUNCTION("""COMPUTED_VALUE"""),"Wendy Hiller")</f>
        <v>Wendy Hiller</v>
      </c>
      <c r="K3435" s="5" t="str">
        <f>IFERROR(__xludf.DUMMYFUNCTION("""COMPUTED_VALUE"""),"Estrela 2")</f>
        <v>Estrela 2</v>
      </c>
      <c r="P3435" s="5">
        <f>IFERROR(__xludf.DUMMYFUNCTION("""COMPUTED_VALUE"""),859.0)</f>
        <v>859</v>
      </c>
      <c r="Q3435" s="5" t="str">
        <f>IFERROR(__xludf.DUMMYFUNCTION("""COMPUTED_VALUE"""),"A Man for All Seasons")</f>
        <v>A Man for All Seasons</v>
      </c>
      <c r="R3435" s="5" t="str">
        <f>IFERROR(__xludf.DUMMYFUNCTION("""COMPUTED_VALUE"""),"Wendy Hiller")</f>
        <v>Wendy Hiller</v>
      </c>
      <c r="S3435" s="5" t="str">
        <f>IFERROR(__xludf.DUMMYFUNCTION("""COMPUTED_VALUE"""),"Estrela 2")</f>
        <v>Estrela 2</v>
      </c>
    </row>
    <row r="3436">
      <c r="G3436" s="5" t="str">
        <f>IFERROR(__xludf.DUMMYFUNCTION("""COMPUTED_VALUE"""),"859🤙🏼A Man for All Seasons🤙🏼Robert Shaw🤙🏼Estrela 3")</f>
        <v>859🤙🏼A Man for All Seasons🤙🏼Robert Shaw🤙🏼Estrela 3</v>
      </c>
      <c r="H3436" s="5">
        <f>IFERROR(__xludf.DUMMYFUNCTION("SPLiT(G3436, ""🤙🏼"",FALSE,FALSE)"),859.0)</f>
        <v>859</v>
      </c>
      <c r="I3436" s="5" t="str">
        <f>IFERROR(__xludf.DUMMYFUNCTION("""COMPUTED_VALUE"""),"A Man for All Seasons")</f>
        <v>A Man for All Seasons</v>
      </c>
      <c r="J3436" s="5" t="str">
        <f>IFERROR(__xludf.DUMMYFUNCTION("""COMPUTED_VALUE"""),"Robert Shaw")</f>
        <v>Robert Shaw</v>
      </c>
      <c r="K3436" s="5" t="str">
        <f>IFERROR(__xludf.DUMMYFUNCTION("""COMPUTED_VALUE"""),"Estrela 3")</f>
        <v>Estrela 3</v>
      </c>
      <c r="P3436" s="5">
        <f>IFERROR(__xludf.DUMMYFUNCTION("""COMPUTED_VALUE"""),859.0)</f>
        <v>859</v>
      </c>
      <c r="Q3436" s="5" t="str">
        <f>IFERROR(__xludf.DUMMYFUNCTION("""COMPUTED_VALUE"""),"A Man for All Seasons")</f>
        <v>A Man for All Seasons</v>
      </c>
      <c r="R3436" s="5" t="str">
        <f>IFERROR(__xludf.DUMMYFUNCTION("""COMPUTED_VALUE"""),"Robert Shaw")</f>
        <v>Robert Shaw</v>
      </c>
      <c r="S3436" s="5" t="str">
        <f>IFERROR(__xludf.DUMMYFUNCTION("""COMPUTED_VALUE"""),"Estrela 3")</f>
        <v>Estrela 3</v>
      </c>
    </row>
    <row r="3437">
      <c r="G3437" s="5" t="str">
        <f>IFERROR(__xludf.DUMMYFUNCTION("""COMPUTED_VALUE"""),"859🤙🏼A Man for All Seasons🤙🏼Leo McKern🤙🏼Estrela 4")</f>
        <v>859🤙🏼A Man for All Seasons🤙🏼Leo McKern🤙🏼Estrela 4</v>
      </c>
      <c r="H3437" s="5">
        <f>IFERROR(__xludf.DUMMYFUNCTION("SPLiT(G3437, ""🤙🏼"",FALSE,FALSE)"),859.0)</f>
        <v>859</v>
      </c>
      <c r="I3437" s="5" t="str">
        <f>IFERROR(__xludf.DUMMYFUNCTION("""COMPUTED_VALUE"""),"A Man for All Seasons")</f>
        <v>A Man for All Seasons</v>
      </c>
      <c r="J3437" s="5" t="str">
        <f>IFERROR(__xludf.DUMMYFUNCTION("""COMPUTED_VALUE"""),"Leo McKern")</f>
        <v>Leo McKern</v>
      </c>
      <c r="K3437" s="5" t="str">
        <f>IFERROR(__xludf.DUMMYFUNCTION("""COMPUTED_VALUE"""),"Estrela 4")</f>
        <v>Estrela 4</v>
      </c>
      <c r="P3437" s="5">
        <f>IFERROR(__xludf.DUMMYFUNCTION("""COMPUTED_VALUE"""),859.0)</f>
        <v>859</v>
      </c>
      <c r="Q3437" s="5" t="str">
        <f>IFERROR(__xludf.DUMMYFUNCTION("""COMPUTED_VALUE"""),"A Man for All Seasons")</f>
        <v>A Man for All Seasons</v>
      </c>
      <c r="R3437" s="5" t="str">
        <f>IFERROR(__xludf.DUMMYFUNCTION("""COMPUTED_VALUE"""),"Leo McKern")</f>
        <v>Leo McKern</v>
      </c>
      <c r="S3437" s="5" t="str">
        <f>IFERROR(__xludf.DUMMYFUNCTION("""COMPUTED_VALUE"""),"Estrela 4")</f>
        <v>Estrela 4</v>
      </c>
    </row>
    <row r="3438">
      <c r="G3438" s="5" t="str">
        <f>IFERROR(__xludf.DUMMYFUNCTION("""COMPUTED_VALUE"""),"860🤙🏼Repulsion🤙🏼Catherine Deneuve🤙🏼Estrela 1")</f>
        <v>860🤙🏼Repulsion🤙🏼Catherine Deneuve🤙🏼Estrela 1</v>
      </c>
      <c r="H3438" s="5">
        <f>IFERROR(__xludf.DUMMYFUNCTION("SPLiT(G3438, ""🤙🏼"",FALSE,FALSE)"),860.0)</f>
        <v>860</v>
      </c>
      <c r="I3438" s="5" t="str">
        <f>IFERROR(__xludf.DUMMYFUNCTION("""COMPUTED_VALUE"""),"Repulsion")</f>
        <v>Repulsion</v>
      </c>
      <c r="J3438" s="5" t="str">
        <f>IFERROR(__xludf.DUMMYFUNCTION("""COMPUTED_VALUE"""),"Catherine Deneuve")</f>
        <v>Catherine Deneuve</v>
      </c>
      <c r="K3438" s="5" t="str">
        <f>IFERROR(__xludf.DUMMYFUNCTION("""COMPUTED_VALUE"""),"Estrela 1")</f>
        <v>Estrela 1</v>
      </c>
      <c r="P3438" s="5">
        <f>IFERROR(__xludf.DUMMYFUNCTION("""COMPUTED_VALUE"""),860.0)</f>
        <v>860</v>
      </c>
      <c r="Q3438" s="5" t="str">
        <f>IFERROR(__xludf.DUMMYFUNCTION("""COMPUTED_VALUE"""),"Repulsion")</f>
        <v>Repulsion</v>
      </c>
      <c r="R3438" s="5" t="str">
        <f>IFERROR(__xludf.DUMMYFUNCTION("""COMPUTED_VALUE"""),"Catherine Deneuve")</f>
        <v>Catherine Deneuve</v>
      </c>
      <c r="S3438" s="5" t="str">
        <f>IFERROR(__xludf.DUMMYFUNCTION("""COMPUTED_VALUE"""),"Estrela 1")</f>
        <v>Estrela 1</v>
      </c>
    </row>
    <row r="3439">
      <c r="G3439" s="5" t="str">
        <f>IFERROR(__xludf.DUMMYFUNCTION("""COMPUTED_VALUE"""),"860🤙🏼Repulsion🤙🏼Ian Hendry🤙🏼Estrela 2")</f>
        <v>860🤙🏼Repulsion🤙🏼Ian Hendry🤙🏼Estrela 2</v>
      </c>
      <c r="H3439" s="5">
        <f>IFERROR(__xludf.DUMMYFUNCTION("SPLiT(G3439, ""🤙🏼"",FALSE,FALSE)"),860.0)</f>
        <v>860</v>
      </c>
      <c r="I3439" s="5" t="str">
        <f>IFERROR(__xludf.DUMMYFUNCTION("""COMPUTED_VALUE"""),"Repulsion")</f>
        <v>Repulsion</v>
      </c>
      <c r="J3439" s="5" t="str">
        <f>IFERROR(__xludf.DUMMYFUNCTION("""COMPUTED_VALUE"""),"Ian Hendry")</f>
        <v>Ian Hendry</v>
      </c>
      <c r="K3439" s="5" t="str">
        <f>IFERROR(__xludf.DUMMYFUNCTION("""COMPUTED_VALUE"""),"Estrela 2")</f>
        <v>Estrela 2</v>
      </c>
      <c r="P3439" s="5">
        <f>IFERROR(__xludf.DUMMYFUNCTION("""COMPUTED_VALUE"""),860.0)</f>
        <v>860</v>
      </c>
      <c r="Q3439" s="5" t="str">
        <f>IFERROR(__xludf.DUMMYFUNCTION("""COMPUTED_VALUE"""),"Repulsion")</f>
        <v>Repulsion</v>
      </c>
      <c r="R3439" s="5" t="str">
        <f>IFERROR(__xludf.DUMMYFUNCTION("""COMPUTED_VALUE"""),"Ian Hendry")</f>
        <v>Ian Hendry</v>
      </c>
      <c r="S3439" s="5" t="str">
        <f>IFERROR(__xludf.DUMMYFUNCTION("""COMPUTED_VALUE"""),"Estrela 2")</f>
        <v>Estrela 2</v>
      </c>
    </row>
    <row r="3440">
      <c r="G3440" s="5" t="str">
        <f>IFERROR(__xludf.DUMMYFUNCTION("""COMPUTED_VALUE"""),"860🤙🏼Repulsion🤙🏼John Fraser🤙🏼Estrela 3")</f>
        <v>860🤙🏼Repulsion🤙🏼John Fraser🤙🏼Estrela 3</v>
      </c>
      <c r="H3440" s="5">
        <f>IFERROR(__xludf.DUMMYFUNCTION("SPLiT(G3440, ""🤙🏼"",FALSE,FALSE)"),860.0)</f>
        <v>860</v>
      </c>
      <c r="I3440" s="5" t="str">
        <f>IFERROR(__xludf.DUMMYFUNCTION("""COMPUTED_VALUE"""),"Repulsion")</f>
        <v>Repulsion</v>
      </c>
      <c r="J3440" s="5" t="str">
        <f>IFERROR(__xludf.DUMMYFUNCTION("""COMPUTED_VALUE"""),"John Fraser")</f>
        <v>John Fraser</v>
      </c>
      <c r="K3440" s="5" t="str">
        <f>IFERROR(__xludf.DUMMYFUNCTION("""COMPUTED_VALUE"""),"Estrela 3")</f>
        <v>Estrela 3</v>
      </c>
      <c r="P3440" s="5">
        <f>IFERROR(__xludf.DUMMYFUNCTION("""COMPUTED_VALUE"""),860.0)</f>
        <v>860</v>
      </c>
      <c r="Q3440" s="5" t="str">
        <f>IFERROR(__xludf.DUMMYFUNCTION("""COMPUTED_VALUE"""),"Repulsion")</f>
        <v>Repulsion</v>
      </c>
      <c r="R3440" s="5" t="str">
        <f>IFERROR(__xludf.DUMMYFUNCTION("""COMPUTED_VALUE"""),"John Fraser")</f>
        <v>John Fraser</v>
      </c>
      <c r="S3440" s="5" t="str">
        <f>IFERROR(__xludf.DUMMYFUNCTION("""COMPUTED_VALUE"""),"Estrela 3")</f>
        <v>Estrela 3</v>
      </c>
    </row>
    <row r="3441">
      <c r="G3441" s="5" t="str">
        <f>IFERROR(__xludf.DUMMYFUNCTION("""COMPUTED_VALUE"""),"860🤙🏼Repulsion🤙🏼Yvonne Furneaux🤙🏼Estrela 4")</f>
        <v>860🤙🏼Repulsion🤙🏼Yvonne Furneaux🤙🏼Estrela 4</v>
      </c>
      <c r="H3441" s="5">
        <f>IFERROR(__xludf.DUMMYFUNCTION("SPLiT(G3441, ""🤙🏼"",FALSE,FALSE)"),860.0)</f>
        <v>860</v>
      </c>
      <c r="I3441" s="5" t="str">
        <f>IFERROR(__xludf.DUMMYFUNCTION("""COMPUTED_VALUE"""),"Repulsion")</f>
        <v>Repulsion</v>
      </c>
      <c r="J3441" s="5" t="str">
        <f>IFERROR(__xludf.DUMMYFUNCTION("""COMPUTED_VALUE"""),"Yvonne Furneaux")</f>
        <v>Yvonne Furneaux</v>
      </c>
      <c r="K3441" s="5" t="str">
        <f>IFERROR(__xludf.DUMMYFUNCTION("""COMPUTED_VALUE"""),"Estrela 4")</f>
        <v>Estrela 4</v>
      </c>
      <c r="P3441" s="5">
        <f>IFERROR(__xludf.DUMMYFUNCTION("""COMPUTED_VALUE"""),860.0)</f>
        <v>860</v>
      </c>
      <c r="Q3441" s="5" t="str">
        <f>IFERROR(__xludf.DUMMYFUNCTION("""COMPUTED_VALUE"""),"Repulsion")</f>
        <v>Repulsion</v>
      </c>
      <c r="R3441" s="5" t="str">
        <f>IFERROR(__xludf.DUMMYFUNCTION("""COMPUTED_VALUE"""),"Yvonne Furneaux")</f>
        <v>Yvonne Furneaux</v>
      </c>
      <c r="S3441" s="5" t="str">
        <f>IFERROR(__xludf.DUMMYFUNCTION("""COMPUTED_VALUE"""),"Estrela 4")</f>
        <v>Estrela 4</v>
      </c>
    </row>
    <row r="3442">
      <c r="G3442" s="5" t="str">
        <f>IFERROR(__xludf.DUMMYFUNCTION("""COMPUTED_VALUE"""),"861🤙🏼Zulu🤙🏼Stanley Baker🤙🏼Estrela 1")</f>
        <v>861🤙🏼Zulu🤙🏼Stanley Baker🤙🏼Estrela 1</v>
      </c>
      <c r="H3442" s="5">
        <f>IFERROR(__xludf.DUMMYFUNCTION("SPLiT(G3442, ""🤙🏼"",FALSE,FALSE)"),861.0)</f>
        <v>861</v>
      </c>
      <c r="I3442" s="5" t="str">
        <f>IFERROR(__xludf.DUMMYFUNCTION("""COMPUTED_VALUE"""),"Zulu")</f>
        <v>Zulu</v>
      </c>
      <c r="J3442" s="5" t="str">
        <f>IFERROR(__xludf.DUMMYFUNCTION("""COMPUTED_VALUE"""),"Stanley Baker")</f>
        <v>Stanley Baker</v>
      </c>
      <c r="K3442" s="5" t="str">
        <f>IFERROR(__xludf.DUMMYFUNCTION("""COMPUTED_VALUE"""),"Estrela 1")</f>
        <v>Estrela 1</v>
      </c>
      <c r="P3442" s="5">
        <f>IFERROR(__xludf.DUMMYFUNCTION("""COMPUTED_VALUE"""),861.0)</f>
        <v>861</v>
      </c>
      <c r="Q3442" s="5" t="str">
        <f>IFERROR(__xludf.DUMMYFUNCTION("""COMPUTED_VALUE"""),"Zulu")</f>
        <v>Zulu</v>
      </c>
      <c r="R3442" s="5" t="str">
        <f>IFERROR(__xludf.DUMMYFUNCTION("""COMPUTED_VALUE"""),"Stanley Baker")</f>
        <v>Stanley Baker</v>
      </c>
      <c r="S3442" s="5" t="str">
        <f>IFERROR(__xludf.DUMMYFUNCTION("""COMPUTED_VALUE"""),"Estrela 1")</f>
        <v>Estrela 1</v>
      </c>
    </row>
    <row r="3443">
      <c r="G3443" s="5" t="str">
        <f>IFERROR(__xludf.DUMMYFUNCTION("""COMPUTED_VALUE"""),"861🤙🏼Zulu🤙🏼Jack Hawkins🤙🏼Estrela 2")</f>
        <v>861🤙🏼Zulu🤙🏼Jack Hawkins🤙🏼Estrela 2</v>
      </c>
      <c r="H3443" s="5">
        <f>IFERROR(__xludf.DUMMYFUNCTION("SPLiT(G3443, ""🤙🏼"",FALSE,FALSE)"),861.0)</f>
        <v>861</v>
      </c>
      <c r="I3443" s="5" t="str">
        <f>IFERROR(__xludf.DUMMYFUNCTION("""COMPUTED_VALUE"""),"Zulu")</f>
        <v>Zulu</v>
      </c>
      <c r="J3443" s="5" t="str">
        <f>IFERROR(__xludf.DUMMYFUNCTION("""COMPUTED_VALUE"""),"Jack Hawkins")</f>
        <v>Jack Hawkins</v>
      </c>
      <c r="K3443" s="5" t="str">
        <f>IFERROR(__xludf.DUMMYFUNCTION("""COMPUTED_VALUE"""),"Estrela 2")</f>
        <v>Estrela 2</v>
      </c>
      <c r="P3443" s="5">
        <f>IFERROR(__xludf.DUMMYFUNCTION("""COMPUTED_VALUE"""),861.0)</f>
        <v>861</v>
      </c>
      <c r="Q3443" s="5" t="str">
        <f>IFERROR(__xludf.DUMMYFUNCTION("""COMPUTED_VALUE"""),"Zulu")</f>
        <v>Zulu</v>
      </c>
      <c r="R3443" s="5" t="str">
        <f>IFERROR(__xludf.DUMMYFUNCTION("""COMPUTED_VALUE"""),"Jack Hawkins")</f>
        <v>Jack Hawkins</v>
      </c>
      <c r="S3443" s="5" t="str">
        <f>IFERROR(__xludf.DUMMYFUNCTION("""COMPUTED_VALUE"""),"Estrela 2")</f>
        <v>Estrela 2</v>
      </c>
    </row>
    <row r="3444">
      <c r="G3444" s="5" t="str">
        <f>IFERROR(__xludf.DUMMYFUNCTION("""COMPUTED_VALUE"""),"861🤙🏼Zulu🤙🏼Ulla Jacobsson🤙🏼Estrela 3")</f>
        <v>861🤙🏼Zulu🤙🏼Ulla Jacobsson🤙🏼Estrela 3</v>
      </c>
      <c r="H3444" s="5">
        <f>IFERROR(__xludf.DUMMYFUNCTION("SPLiT(G3444, ""🤙🏼"",FALSE,FALSE)"),861.0)</f>
        <v>861</v>
      </c>
      <c r="I3444" s="5" t="str">
        <f>IFERROR(__xludf.DUMMYFUNCTION("""COMPUTED_VALUE"""),"Zulu")</f>
        <v>Zulu</v>
      </c>
      <c r="J3444" s="5" t="str">
        <f>IFERROR(__xludf.DUMMYFUNCTION("""COMPUTED_VALUE"""),"Ulla Jacobsson")</f>
        <v>Ulla Jacobsson</v>
      </c>
      <c r="K3444" s="5" t="str">
        <f>IFERROR(__xludf.DUMMYFUNCTION("""COMPUTED_VALUE"""),"Estrela 3")</f>
        <v>Estrela 3</v>
      </c>
      <c r="P3444" s="5">
        <f>IFERROR(__xludf.DUMMYFUNCTION("""COMPUTED_VALUE"""),861.0)</f>
        <v>861</v>
      </c>
      <c r="Q3444" s="5" t="str">
        <f>IFERROR(__xludf.DUMMYFUNCTION("""COMPUTED_VALUE"""),"Zulu")</f>
        <v>Zulu</v>
      </c>
      <c r="R3444" s="5" t="str">
        <f>IFERROR(__xludf.DUMMYFUNCTION("""COMPUTED_VALUE"""),"Ulla Jacobsson")</f>
        <v>Ulla Jacobsson</v>
      </c>
      <c r="S3444" s="5" t="str">
        <f>IFERROR(__xludf.DUMMYFUNCTION("""COMPUTED_VALUE"""),"Estrela 3")</f>
        <v>Estrela 3</v>
      </c>
    </row>
    <row r="3445">
      <c r="G3445" s="5" t="str">
        <f>IFERROR(__xludf.DUMMYFUNCTION("""COMPUTED_VALUE"""),"861🤙🏼Zulu🤙🏼James Booth🤙🏼Estrela 4")</f>
        <v>861🤙🏼Zulu🤙🏼James Booth🤙🏼Estrela 4</v>
      </c>
      <c r="H3445" s="5">
        <f>IFERROR(__xludf.DUMMYFUNCTION("SPLiT(G3445, ""🤙🏼"",FALSE,FALSE)"),861.0)</f>
        <v>861</v>
      </c>
      <c r="I3445" s="5" t="str">
        <f>IFERROR(__xludf.DUMMYFUNCTION("""COMPUTED_VALUE"""),"Zulu")</f>
        <v>Zulu</v>
      </c>
      <c r="J3445" s="5" t="str">
        <f>IFERROR(__xludf.DUMMYFUNCTION("""COMPUTED_VALUE"""),"James Booth")</f>
        <v>James Booth</v>
      </c>
      <c r="K3445" s="5" t="str">
        <f>IFERROR(__xludf.DUMMYFUNCTION("""COMPUTED_VALUE"""),"Estrela 4")</f>
        <v>Estrela 4</v>
      </c>
      <c r="P3445" s="5">
        <f>IFERROR(__xludf.DUMMYFUNCTION("""COMPUTED_VALUE"""),861.0)</f>
        <v>861</v>
      </c>
      <c r="Q3445" s="5" t="str">
        <f>IFERROR(__xludf.DUMMYFUNCTION("""COMPUTED_VALUE"""),"Zulu")</f>
        <v>Zulu</v>
      </c>
      <c r="R3445" s="5" t="str">
        <f>IFERROR(__xludf.DUMMYFUNCTION("""COMPUTED_VALUE"""),"James Booth")</f>
        <v>James Booth</v>
      </c>
      <c r="S3445" s="5" t="str">
        <f>IFERROR(__xludf.DUMMYFUNCTION("""COMPUTED_VALUE"""),"Estrela 4")</f>
        <v>Estrela 4</v>
      </c>
    </row>
    <row r="3446">
      <c r="G3446" s="5" t="str">
        <f>IFERROR(__xludf.DUMMYFUNCTION("""COMPUTED_VALUE"""),"862🤙🏼Goldfinger🤙🏼Sean Connery🤙🏼Estrela 1")</f>
        <v>862🤙🏼Goldfinger🤙🏼Sean Connery🤙🏼Estrela 1</v>
      </c>
      <c r="H3446" s="5">
        <f>IFERROR(__xludf.DUMMYFUNCTION("SPLiT(G3446, ""🤙🏼"",FALSE,FALSE)"),862.0)</f>
        <v>862</v>
      </c>
      <c r="I3446" s="5" t="str">
        <f>IFERROR(__xludf.DUMMYFUNCTION("""COMPUTED_VALUE"""),"Goldfinger")</f>
        <v>Goldfinger</v>
      </c>
      <c r="J3446" s="5" t="str">
        <f>IFERROR(__xludf.DUMMYFUNCTION("""COMPUTED_VALUE"""),"Sean Connery")</f>
        <v>Sean Connery</v>
      </c>
      <c r="K3446" s="5" t="str">
        <f>IFERROR(__xludf.DUMMYFUNCTION("""COMPUTED_VALUE"""),"Estrela 1")</f>
        <v>Estrela 1</v>
      </c>
      <c r="P3446" s="5">
        <f>IFERROR(__xludf.DUMMYFUNCTION("""COMPUTED_VALUE"""),862.0)</f>
        <v>862</v>
      </c>
      <c r="Q3446" s="5" t="str">
        <f>IFERROR(__xludf.DUMMYFUNCTION("""COMPUTED_VALUE"""),"Goldfinger")</f>
        <v>Goldfinger</v>
      </c>
      <c r="R3446" s="5" t="str">
        <f>IFERROR(__xludf.DUMMYFUNCTION("""COMPUTED_VALUE"""),"Sean Connery")</f>
        <v>Sean Connery</v>
      </c>
      <c r="S3446" s="5" t="str">
        <f>IFERROR(__xludf.DUMMYFUNCTION("""COMPUTED_VALUE"""),"Estrela 1")</f>
        <v>Estrela 1</v>
      </c>
    </row>
    <row r="3447">
      <c r="G3447" s="5" t="str">
        <f>IFERROR(__xludf.DUMMYFUNCTION("""COMPUTED_VALUE"""),"862🤙🏼Goldfinger🤙🏼Gert Fröbe🤙🏼Estrela 2")</f>
        <v>862🤙🏼Goldfinger🤙🏼Gert Fröbe🤙🏼Estrela 2</v>
      </c>
      <c r="H3447" s="5">
        <f>IFERROR(__xludf.DUMMYFUNCTION("SPLiT(G3447, ""🤙🏼"",FALSE,FALSE)"),862.0)</f>
        <v>862</v>
      </c>
      <c r="I3447" s="5" t="str">
        <f>IFERROR(__xludf.DUMMYFUNCTION("""COMPUTED_VALUE"""),"Goldfinger")</f>
        <v>Goldfinger</v>
      </c>
      <c r="J3447" s="5" t="str">
        <f>IFERROR(__xludf.DUMMYFUNCTION("""COMPUTED_VALUE"""),"Gert Fröbe")</f>
        <v>Gert Fröbe</v>
      </c>
      <c r="K3447" s="5" t="str">
        <f>IFERROR(__xludf.DUMMYFUNCTION("""COMPUTED_VALUE"""),"Estrela 2")</f>
        <v>Estrela 2</v>
      </c>
      <c r="P3447" s="5">
        <f>IFERROR(__xludf.DUMMYFUNCTION("""COMPUTED_VALUE"""),862.0)</f>
        <v>862</v>
      </c>
      <c r="Q3447" s="5" t="str">
        <f>IFERROR(__xludf.DUMMYFUNCTION("""COMPUTED_VALUE"""),"Goldfinger")</f>
        <v>Goldfinger</v>
      </c>
      <c r="R3447" s="5" t="str">
        <f>IFERROR(__xludf.DUMMYFUNCTION("""COMPUTED_VALUE"""),"Gert Fröbe")</f>
        <v>Gert Fröbe</v>
      </c>
      <c r="S3447" s="5" t="str">
        <f>IFERROR(__xludf.DUMMYFUNCTION("""COMPUTED_VALUE"""),"Estrela 2")</f>
        <v>Estrela 2</v>
      </c>
    </row>
    <row r="3448">
      <c r="G3448" s="5" t="str">
        <f>IFERROR(__xludf.DUMMYFUNCTION("""COMPUTED_VALUE"""),"862🤙🏼Goldfinger🤙🏼Honor Blackman🤙🏼Estrela 3")</f>
        <v>862🤙🏼Goldfinger🤙🏼Honor Blackman🤙🏼Estrela 3</v>
      </c>
      <c r="H3448" s="5">
        <f>IFERROR(__xludf.DUMMYFUNCTION("SPLiT(G3448, ""🤙🏼"",FALSE,FALSE)"),862.0)</f>
        <v>862</v>
      </c>
      <c r="I3448" s="5" t="str">
        <f>IFERROR(__xludf.DUMMYFUNCTION("""COMPUTED_VALUE"""),"Goldfinger")</f>
        <v>Goldfinger</v>
      </c>
      <c r="J3448" s="5" t="str">
        <f>IFERROR(__xludf.DUMMYFUNCTION("""COMPUTED_VALUE"""),"Honor Blackman")</f>
        <v>Honor Blackman</v>
      </c>
      <c r="K3448" s="5" t="str">
        <f>IFERROR(__xludf.DUMMYFUNCTION("""COMPUTED_VALUE"""),"Estrela 3")</f>
        <v>Estrela 3</v>
      </c>
      <c r="P3448" s="5">
        <f>IFERROR(__xludf.DUMMYFUNCTION("""COMPUTED_VALUE"""),862.0)</f>
        <v>862</v>
      </c>
      <c r="Q3448" s="5" t="str">
        <f>IFERROR(__xludf.DUMMYFUNCTION("""COMPUTED_VALUE"""),"Goldfinger")</f>
        <v>Goldfinger</v>
      </c>
      <c r="R3448" s="5" t="str">
        <f>IFERROR(__xludf.DUMMYFUNCTION("""COMPUTED_VALUE"""),"Honor Blackman")</f>
        <v>Honor Blackman</v>
      </c>
      <c r="S3448" s="5" t="str">
        <f>IFERROR(__xludf.DUMMYFUNCTION("""COMPUTED_VALUE"""),"Estrela 3")</f>
        <v>Estrela 3</v>
      </c>
    </row>
    <row r="3449">
      <c r="G3449" s="5" t="str">
        <f>IFERROR(__xludf.DUMMYFUNCTION("""COMPUTED_VALUE"""),"862🤙🏼Goldfinger🤙🏼Shirley Eaton🤙🏼Estrela 4")</f>
        <v>862🤙🏼Goldfinger🤙🏼Shirley Eaton🤙🏼Estrela 4</v>
      </c>
      <c r="H3449" s="5">
        <f>IFERROR(__xludf.DUMMYFUNCTION("SPLiT(G3449, ""🤙🏼"",FALSE,FALSE)"),862.0)</f>
        <v>862</v>
      </c>
      <c r="I3449" s="5" t="str">
        <f>IFERROR(__xludf.DUMMYFUNCTION("""COMPUTED_VALUE"""),"Goldfinger")</f>
        <v>Goldfinger</v>
      </c>
      <c r="J3449" s="5" t="str">
        <f>IFERROR(__xludf.DUMMYFUNCTION("""COMPUTED_VALUE"""),"Shirley Eaton")</f>
        <v>Shirley Eaton</v>
      </c>
      <c r="K3449" s="5" t="str">
        <f>IFERROR(__xludf.DUMMYFUNCTION("""COMPUTED_VALUE"""),"Estrela 4")</f>
        <v>Estrela 4</v>
      </c>
      <c r="P3449" s="5">
        <f>IFERROR(__xludf.DUMMYFUNCTION("""COMPUTED_VALUE"""),862.0)</f>
        <v>862</v>
      </c>
      <c r="Q3449" s="5" t="str">
        <f>IFERROR(__xludf.DUMMYFUNCTION("""COMPUTED_VALUE"""),"Goldfinger")</f>
        <v>Goldfinger</v>
      </c>
      <c r="R3449" s="5" t="str">
        <f>IFERROR(__xludf.DUMMYFUNCTION("""COMPUTED_VALUE"""),"Shirley Eaton")</f>
        <v>Shirley Eaton</v>
      </c>
      <c r="S3449" s="5" t="str">
        <f>IFERROR(__xludf.DUMMYFUNCTION("""COMPUTED_VALUE"""),"Estrela 4")</f>
        <v>Estrela 4</v>
      </c>
    </row>
    <row r="3450">
      <c r="G3450" s="5" t="str">
        <f>IFERROR(__xludf.DUMMYFUNCTION("""COMPUTED_VALUE"""),"863🤙🏼The Birds🤙🏼Rod Taylor🤙🏼Estrela 1")</f>
        <v>863🤙🏼The Birds🤙🏼Rod Taylor🤙🏼Estrela 1</v>
      </c>
      <c r="H3450" s="5">
        <f>IFERROR(__xludf.DUMMYFUNCTION("SPLiT(G3450, ""🤙🏼"",FALSE,FALSE)"),863.0)</f>
        <v>863</v>
      </c>
      <c r="I3450" s="5" t="str">
        <f>IFERROR(__xludf.DUMMYFUNCTION("""COMPUTED_VALUE"""),"The Birds")</f>
        <v>The Birds</v>
      </c>
      <c r="J3450" s="5" t="str">
        <f>IFERROR(__xludf.DUMMYFUNCTION("""COMPUTED_VALUE"""),"Rod Taylor")</f>
        <v>Rod Taylor</v>
      </c>
      <c r="K3450" s="5" t="str">
        <f>IFERROR(__xludf.DUMMYFUNCTION("""COMPUTED_VALUE"""),"Estrela 1")</f>
        <v>Estrela 1</v>
      </c>
      <c r="P3450" s="5">
        <f>IFERROR(__xludf.DUMMYFUNCTION("""COMPUTED_VALUE"""),863.0)</f>
        <v>863</v>
      </c>
      <c r="Q3450" s="5" t="str">
        <f>IFERROR(__xludf.DUMMYFUNCTION("""COMPUTED_VALUE"""),"The Birds")</f>
        <v>The Birds</v>
      </c>
      <c r="R3450" s="5" t="str">
        <f>IFERROR(__xludf.DUMMYFUNCTION("""COMPUTED_VALUE"""),"Rod Taylor")</f>
        <v>Rod Taylor</v>
      </c>
      <c r="S3450" s="5" t="str">
        <f>IFERROR(__xludf.DUMMYFUNCTION("""COMPUTED_VALUE"""),"Estrela 1")</f>
        <v>Estrela 1</v>
      </c>
    </row>
    <row r="3451">
      <c r="G3451" s="5" t="str">
        <f>IFERROR(__xludf.DUMMYFUNCTION("""COMPUTED_VALUE"""),"863🤙🏼The Birds🤙🏼Tippi Hedren🤙🏼Estrela 2")</f>
        <v>863🤙🏼The Birds🤙🏼Tippi Hedren🤙🏼Estrela 2</v>
      </c>
      <c r="H3451" s="5">
        <f>IFERROR(__xludf.DUMMYFUNCTION("SPLiT(G3451, ""🤙🏼"",FALSE,FALSE)"),863.0)</f>
        <v>863</v>
      </c>
      <c r="I3451" s="5" t="str">
        <f>IFERROR(__xludf.DUMMYFUNCTION("""COMPUTED_VALUE"""),"The Birds")</f>
        <v>The Birds</v>
      </c>
      <c r="J3451" s="5" t="str">
        <f>IFERROR(__xludf.DUMMYFUNCTION("""COMPUTED_VALUE"""),"Tippi Hedren")</f>
        <v>Tippi Hedren</v>
      </c>
      <c r="K3451" s="5" t="str">
        <f>IFERROR(__xludf.DUMMYFUNCTION("""COMPUTED_VALUE"""),"Estrela 2")</f>
        <v>Estrela 2</v>
      </c>
      <c r="P3451" s="5">
        <f>IFERROR(__xludf.DUMMYFUNCTION("""COMPUTED_VALUE"""),863.0)</f>
        <v>863</v>
      </c>
      <c r="Q3451" s="5" t="str">
        <f>IFERROR(__xludf.DUMMYFUNCTION("""COMPUTED_VALUE"""),"The Birds")</f>
        <v>The Birds</v>
      </c>
      <c r="R3451" s="5" t="str">
        <f>IFERROR(__xludf.DUMMYFUNCTION("""COMPUTED_VALUE"""),"Tippi Hedren")</f>
        <v>Tippi Hedren</v>
      </c>
      <c r="S3451" s="5" t="str">
        <f>IFERROR(__xludf.DUMMYFUNCTION("""COMPUTED_VALUE"""),"Estrela 2")</f>
        <v>Estrela 2</v>
      </c>
    </row>
    <row r="3452">
      <c r="G3452" s="5" t="str">
        <f>IFERROR(__xludf.DUMMYFUNCTION("""COMPUTED_VALUE"""),"863🤙🏼The Birds🤙🏼Jessica Tandy🤙🏼Estrela 3")</f>
        <v>863🤙🏼The Birds🤙🏼Jessica Tandy🤙🏼Estrela 3</v>
      </c>
      <c r="H3452" s="5">
        <f>IFERROR(__xludf.DUMMYFUNCTION("SPLiT(G3452, ""🤙🏼"",FALSE,FALSE)"),863.0)</f>
        <v>863</v>
      </c>
      <c r="I3452" s="5" t="str">
        <f>IFERROR(__xludf.DUMMYFUNCTION("""COMPUTED_VALUE"""),"The Birds")</f>
        <v>The Birds</v>
      </c>
      <c r="J3452" s="5" t="str">
        <f>IFERROR(__xludf.DUMMYFUNCTION("""COMPUTED_VALUE"""),"Jessica Tandy")</f>
        <v>Jessica Tandy</v>
      </c>
      <c r="K3452" s="5" t="str">
        <f>IFERROR(__xludf.DUMMYFUNCTION("""COMPUTED_VALUE"""),"Estrela 3")</f>
        <v>Estrela 3</v>
      </c>
      <c r="P3452" s="5">
        <f>IFERROR(__xludf.DUMMYFUNCTION("""COMPUTED_VALUE"""),863.0)</f>
        <v>863</v>
      </c>
      <c r="Q3452" s="5" t="str">
        <f>IFERROR(__xludf.DUMMYFUNCTION("""COMPUTED_VALUE"""),"The Birds")</f>
        <v>The Birds</v>
      </c>
      <c r="R3452" s="5" t="str">
        <f>IFERROR(__xludf.DUMMYFUNCTION("""COMPUTED_VALUE"""),"Jessica Tandy")</f>
        <v>Jessica Tandy</v>
      </c>
      <c r="S3452" s="5" t="str">
        <f>IFERROR(__xludf.DUMMYFUNCTION("""COMPUTED_VALUE"""),"Estrela 3")</f>
        <v>Estrela 3</v>
      </c>
    </row>
    <row r="3453">
      <c r="G3453" s="5" t="str">
        <f>IFERROR(__xludf.DUMMYFUNCTION("""COMPUTED_VALUE"""),"863🤙🏼The Birds🤙🏼Suzanne Pleshette🤙🏼Estrela 4")</f>
        <v>863🤙🏼The Birds🤙🏼Suzanne Pleshette🤙🏼Estrela 4</v>
      </c>
      <c r="H3453" s="5">
        <f>IFERROR(__xludf.DUMMYFUNCTION("SPLiT(G3453, ""🤙🏼"",FALSE,FALSE)"),863.0)</f>
        <v>863</v>
      </c>
      <c r="I3453" s="5" t="str">
        <f>IFERROR(__xludf.DUMMYFUNCTION("""COMPUTED_VALUE"""),"The Birds")</f>
        <v>The Birds</v>
      </c>
      <c r="J3453" s="5" t="str">
        <f>IFERROR(__xludf.DUMMYFUNCTION("""COMPUTED_VALUE"""),"Suzanne Pleshette")</f>
        <v>Suzanne Pleshette</v>
      </c>
      <c r="K3453" s="5" t="str">
        <f>IFERROR(__xludf.DUMMYFUNCTION("""COMPUTED_VALUE"""),"Estrela 4")</f>
        <v>Estrela 4</v>
      </c>
      <c r="P3453" s="5">
        <f>IFERROR(__xludf.DUMMYFUNCTION("""COMPUTED_VALUE"""),863.0)</f>
        <v>863</v>
      </c>
      <c r="Q3453" s="5" t="str">
        <f>IFERROR(__xludf.DUMMYFUNCTION("""COMPUTED_VALUE"""),"The Birds")</f>
        <v>The Birds</v>
      </c>
      <c r="R3453" s="5" t="str">
        <f>IFERROR(__xludf.DUMMYFUNCTION("""COMPUTED_VALUE"""),"Suzanne Pleshette")</f>
        <v>Suzanne Pleshette</v>
      </c>
      <c r="S3453" s="5" t="str">
        <f>IFERROR(__xludf.DUMMYFUNCTION("""COMPUTED_VALUE"""),"Estrela 4")</f>
        <v>Estrela 4</v>
      </c>
    </row>
    <row r="3454">
      <c r="G3454" s="5" t="str">
        <f>IFERROR(__xludf.DUMMYFUNCTION("""COMPUTED_VALUE"""),"864🤙🏼Cape Fear🤙🏼Gregory Peck🤙🏼Estrela 1")</f>
        <v>864🤙🏼Cape Fear🤙🏼Gregory Peck🤙🏼Estrela 1</v>
      </c>
      <c r="H3454" s="5">
        <f>IFERROR(__xludf.DUMMYFUNCTION("SPLiT(G3454, ""🤙🏼"",FALSE,FALSE)"),864.0)</f>
        <v>864</v>
      </c>
      <c r="I3454" s="5" t="str">
        <f>IFERROR(__xludf.DUMMYFUNCTION("""COMPUTED_VALUE"""),"Cape Fear")</f>
        <v>Cape Fear</v>
      </c>
      <c r="J3454" s="5" t="str">
        <f>IFERROR(__xludf.DUMMYFUNCTION("""COMPUTED_VALUE"""),"Gregory Peck")</f>
        <v>Gregory Peck</v>
      </c>
      <c r="K3454" s="5" t="str">
        <f>IFERROR(__xludf.DUMMYFUNCTION("""COMPUTED_VALUE"""),"Estrela 1")</f>
        <v>Estrela 1</v>
      </c>
      <c r="P3454" s="5">
        <f>IFERROR(__xludf.DUMMYFUNCTION("""COMPUTED_VALUE"""),864.0)</f>
        <v>864</v>
      </c>
      <c r="Q3454" s="5" t="str">
        <f>IFERROR(__xludf.DUMMYFUNCTION("""COMPUTED_VALUE"""),"Cape Fear")</f>
        <v>Cape Fear</v>
      </c>
      <c r="R3454" s="5" t="str">
        <f>IFERROR(__xludf.DUMMYFUNCTION("""COMPUTED_VALUE"""),"Gregory Peck")</f>
        <v>Gregory Peck</v>
      </c>
      <c r="S3454" s="5" t="str">
        <f>IFERROR(__xludf.DUMMYFUNCTION("""COMPUTED_VALUE"""),"Estrela 1")</f>
        <v>Estrela 1</v>
      </c>
    </row>
    <row r="3455">
      <c r="G3455" s="5" t="str">
        <f>IFERROR(__xludf.DUMMYFUNCTION("""COMPUTED_VALUE"""),"864🤙🏼Cape Fear🤙🏼Robert Mitchum🤙🏼Estrela 2")</f>
        <v>864🤙🏼Cape Fear🤙🏼Robert Mitchum🤙🏼Estrela 2</v>
      </c>
      <c r="H3455" s="5">
        <f>IFERROR(__xludf.DUMMYFUNCTION("SPLiT(G3455, ""🤙🏼"",FALSE,FALSE)"),864.0)</f>
        <v>864</v>
      </c>
      <c r="I3455" s="5" t="str">
        <f>IFERROR(__xludf.DUMMYFUNCTION("""COMPUTED_VALUE"""),"Cape Fear")</f>
        <v>Cape Fear</v>
      </c>
      <c r="J3455" s="5" t="str">
        <f>IFERROR(__xludf.DUMMYFUNCTION("""COMPUTED_VALUE"""),"Robert Mitchum")</f>
        <v>Robert Mitchum</v>
      </c>
      <c r="K3455" s="5" t="str">
        <f>IFERROR(__xludf.DUMMYFUNCTION("""COMPUTED_VALUE"""),"Estrela 2")</f>
        <v>Estrela 2</v>
      </c>
      <c r="P3455" s="5">
        <f>IFERROR(__xludf.DUMMYFUNCTION("""COMPUTED_VALUE"""),864.0)</f>
        <v>864</v>
      </c>
      <c r="Q3455" s="5" t="str">
        <f>IFERROR(__xludf.DUMMYFUNCTION("""COMPUTED_VALUE"""),"Cape Fear")</f>
        <v>Cape Fear</v>
      </c>
      <c r="R3455" s="5" t="str">
        <f>IFERROR(__xludf.DUMMYFUNCTION("""COMPUTED_VALUE"""),"Robert Mitchum")</f>
        <v>Robert Mitchum</v>
      </c>
      <c r="S3455" s="5" t="str">
        <f>IFERROR(__xludf.DUMMYFUNCTION("""COMPUTED_VALUE"""),"Estrela 2")</f>
        <v>Estrela 2</v>
      </c>
    </row>
    <row r="3456">
      <c r="G3456" s="5" t="str">
        <f>IFERROR(__xludf.DUMMYFUNCTION("""COMPUTED_VALUE"""),"864🤙🏼Cape Fear🤙🏼Polly Bergen🤙🏼Estrela 3")</f>
        <v>864🤙🏼Cape Fear🤙🏼Polly Bergen🤙🏼Estrela 3</v>
      </c>
      <c r="H3456" s="5">
        <f>IFERROR(__xludf.DUMMYFUNCTION("SPLiT(G3456, ""🤙🏼"",FALSE,FALSE)"),864.0)</f>
        <v>864</v>
      </c>
      <c r="I3456" s="5" t="str">
        <f>IFERROR(__xludf.DUMMYFUNCTION("""COMPUTED_VALUE"""),"Cape Fear")</f>
        <v>Cape Fear</v>
      </c>
      <c r="J3456" s="5" t="str">
        <f>IFERROR(__xludf.DUMMYFUNCTION("""COMPUTED_VALUE"""),"Polly Bergen")</f>
        <v>Polly Bergen</v>
      </c>
      <c r="K3456" s="5" t="str">
        <f>IFERROR(__xludf.DUMMYFUNCTION("""COMPUTED_VALUE"""),"Estrela 3")</f>
        <v>Estrela 3</v>
      </c>
      <c r="P3456" s="5">
        <f>IFERROR(__xludf.DUMMYFUNCTION("""COMPUTED_VALUE"""),864.0)</f>
        <v>864</v>
      </c>
      <c r="Q3456" s="5" t="str">
        <f>IFERROR(__xludf.DUMMYFUNCTION("""COMPUTED_VALUE"""),"Cape Fear")</f>
        <v>Cape Fear</v>
      </c>
      <c r="R3456" s="5" t="str">
        <f>IFERROR(__xludf.DUMMYFUNCTION("""COMPUTED_VALUE"""),"Polly Bergen")</f>
        <v>Polly Bergen</v>
      </c>
      <c r="S3456" s="5" t="str">
        <f>IFERROR(__xludf.DUMMYFUNCTION("""COMPUTED_VALUE"""),"Estrela 3")</f>
        <v>Estrela 3</v>
      </c>
    </row>
    <row r="3457">
      <c r="G3457" s="5" t="str">
        <f>IFERROR(__xludf.DUMMYFUNCTION("""COMPUTED_VALUE"""),"864🤙🏼Cape Fear🤙🏼Lori Martin🤙🏼Estrela 4")</f>
        <v>864🤙🏼Cape Fear🤙🏼Lori Martin🤙🏼Estrela 4</v>
      </c>
      <c r="H3457" s="5">
        <f>IFERROR(__xludf.DUMMYFUNCTION("SPLiT(G3457, ""🤙🏼"",FALSE,FALSE)"),864.0)</f>
        <v>864</v>
      </c>
      <c r="I3457" s="5" t="str">
        <f>IFERROR(__xludf.DUMMYFUNCTION("""COMPUTED_VALUE"""),"Cape Fear")</f>
        <v>Cape Fear</v>
      </c>
      <c r="J3457" s="5" t="str">
        <f>IFERROR(__xludf.DUMMYFUNCTION("""COMPUTED_VALUE"""),"Lori Martin")</f>
        <v>Lori Martin</v>
      </c>
      <c r="K3457" s="5" t="str">
        <f>IFERROR(__xludf.DUMMYFUNCTION("""COMPUTED_VALUE"""),"Estrela 4")</f>
        <v>Estrela 4</v>
      </c>
      <c r="P3457" s="5">
        <f>IFERROR(__xludf.DUMMYFUNCTION("""COMPUTED_VALUE"""),864.0)</f>
        <v>864</v>
      </c>
      <c r="Q3457" s="5" t="str">
        <f>IFERROR(__xludf.DUMMYFUNCTION("""COMPUTED_VALUE"""),"Cape Fear")</f>
        <v>Cape Fear</v>
      </c>
      <c r="R3457" s="5" t="str">
        <f>IFERROR(__xludf.DUMMYFUNCTION("""COMPUTED_VALUE"""),"Lori Martin")</f>
        <v>Lori Martin</v>
      </c>
      <c r="S3457" s="5" t="str">
        <f>IFERROR(__xludf.DUMMYFUNCTION("""COMPUTED_VALUE"""),"Estrela 4")</f>
        <v>Estrela 4</v>
      </c>
    </row>
    <row r="3458">
      <c r="G3458" s="5" t="str">
        <f>IFERROR(__xludf.DUMMYFUNCTION("""COMPUTED_VALUE"""),"865🤙🏼Peeping Tom🤙🏼Karlheinz Böhm🤙🏼Estrela 1")</f>
        <v>865🤙🏼Peeping Tom🤙🏼Karlheinz Böhm🤙🏼Estrela 1</v>
      </c>
      <c r="H3458" s="5">
        <f>IFERROR(__xludf.DUMMYFUNCTION("SPLiT(G3458, ""🤙🏼"",FALSE,FALSE)"),865.0)</f>
        <v>865</v>
      </c>
      <c r="I3458" s="5" t="str">
        <f>IFERROR(__xludf.DUMMYFUNCTION("""COMPUTED_VALUE"""),"Peeping Tom")</f>
        <v>Peeping Tom</v>
      </c>
      <c r="J3458" s="5" t="str">
        <f>IFERROR(__xludf.DUMMYFUNCTION("""COMPUTED_VALUE"""),"Karlheinz Böhm")</f>
        <v>Karlheinz Böhm</v>
      </c>
      <c r="K3458" s="5" t="str">
        <f>IFERROR(__xludf.DUMMYFUNCTION("""COMPUTED_VALUE"""),"Estrela 1")</f>
        <v>Estrela 1</v>
      </c>
      <c r="P3458" s="5">
        <f>IFERROR(__xludf.DUMMYFUNCTION("""COMPUTED_VALUE"""),865.0)</f>
        <v>865</v>
      </c>
      <c r="Q3458" s="5" t="str">
        <f>IFERROR(__xludf.DUMMYFUNCTION("""COMPUTED_VALUE"""),"Peeping Tom")</f>
        <v>Peeping Tom</v>
      </c>
      <c r="R3458" s="5" t="str">
        <f>IFERROR(__xludf.DUMMYFUNCTION("""COMPUTED_VALUE"""),"Karlheinz Böhm")</f>
        <v>Karlheinz Böhm</v>
      </c>
      <c r="S3458" s="5" t="str">
        <f>IFERROR(__xludf.DUMMYFUNCTION("""COMPUTED_VALUE"""),"Estrela 1")</f>
        <v>Estrela 1</v>
      </c>
    </row>
    <row r="3459">
      <c r="G3459" s="5" t="str">
        <f>IFERROR(__xludf.DUMMYFUNCTION("""COMPUTED_VALUE"""),"865🤙🏼Peeping Tom🤙🏼Anna Massey🤙🏼Estrela 2")</f>
        <v>865🤙🏼Peeping Tom🤙🏼Anna Massey🤙🏼Estrela 2</v>
      </c>
      <c r="H3459" s="5">
        <f>IFERROR(__xludf.DUMMYFUNCTION("SPLiT(G3459, ""🤙🏼"",FALSE,FALSE)"),865.0)</f>
        <v>865</v>
      </c>
      <c r="I3459" s="5" t="str">
        <f>IFERROR(__xludf.DUMMYFUNCTION("""COMPUTED_VALUE"""),"Peeping Tom")</f>
        <v>Peeping Tom</v>
      </c>
      <c r="J3459" s="5" t="str">
        <f>IFERROR(__xludf.DUMMYFUNCTION("""COMPUTED_VALUE"""),"Anna Massey")</f>
        <v>Anna Massey</v>
      </c>
      <c r="K3459" s="5" t="str">
        <f>IFERROR(__xludf.DUMMYFUNCTION("""COMPUTED_VALUE"""),"Estrela 2")</f>
        <v>Estrela 2</v>
      </c>
      <c r="P3459" s="5">
        <f>IFERROR(__xludf.DUMMYFUNCTION("""COMPUTED_VALUE"""),865.0)</f>
        <v>865</v>
      </c>
      <c r="Q3459" s="5" t="str">
        <f>IFERROR(__xludf.DUMMYFUNCTION("""COMPUTED_VALUE"""),"Peeping Tom")</f>
        <v>Peeping Tom</v>
      </c>
      <c r="R3459" s="5" t="str">
        <f>IFERROR(__xludf.DUMMYFUNCTION("""COMPUTED_VALUE"""),"Anna Massey")</f>
        <v>Anna Massey</v>
      </c>
      <c r="S3459" s="5" t="str">
        <f>IFERROR(__xludf.DUMMYFUNCTION("""COMPUTED_VALUE"""),"Estrela 2")</f>
        <v>Estrela 2</v>
      </c>
    </row>
    <row r="3460">
      <c r="G3460" s="5" t="str">
        <f>IFERROR(__xludf.DUMMYFUNCTION("""COMPUTED_VALUE"""),"865🤙🏼Peeping Tom🤙🏼Moira Shearer🤙🏼Estrela 3")</f>
        <v>865🤙🏼Peeping Tom🤙🏼Moira Shearer🤙🏼Estrela 3</v>
      </c>
      <c r="H3460" s="5">
        <f>IFERROR(__xludf.DUMMYFUNCTION("SPLiT(G3460, ""🤙🏼"",FALSE,FALSE)"),865.0)</f>
        <v>865</v>
      </c>
      <c r="I3460" s="5" t="str">
        <f>IFERROR(__xludf.DUMMYFUNCTION("""COMPUTED_VALUE"""),"Peeping Tom")</f>
        <v>Peeping Tom</v>
      </c>
      <c r="J3460" s="5" t="str">
        <f>IFERROR(__xludf.DUMMYFUNCTION("""COMPUTED_VALUE"""),"Moira Shearer")</f>
        <v>Moira Shearer</v>
      </c>
      <c r="K3460" s="5" t="str">
        <f>IFERROR(__xludf.DUMMYFUNCTION("""COMPUTED_VALUE"""),"Estrela 3")</f>
        <v>Estrela 3</v>
      </c>
      <c r="P3460" s="5">
        <f>IFERROR(__xludf.DUMMYFUNCTION("""COMPUTED_VALUE"""),865.0)</f>
        <v>865</v>
      </c>
      <c r="Q3460" s="5" t="str">
        <f>IFERROR(__xludf.DUMMYFUNCTION("""COMPUTED_VALUE"""),"Peeping Tom")</f>
        <v>Peeping Tom</v>
      </c>
      <c r="R3460" s="5" t="str">
        <f>IFERROR(__xludf.DUMMYFUNCTION("""COMPUTED_VALUE"""),"Moira Shearer")</f>
        <v>Moira Shearer</v>
      </c>
      <c r="S3460" s="5" t="str">
        <f>IFERROR(__xludf.DUMMYFUNCTION("""COMPUTED_VALUE"""),"Estrela 3")</f>
        <v>Estrela 3</v>
      </c>
    </row>
    <row r="3461">
      <c r="G3461" s="5" t="str">
        <f>IFERROR(__xludf.DUMMYFUNCTION("""COMPUTED_VALUE"""),"865🤙🏼Peeping Tom🤙🏼Maxine Audley🤙🏼Estrela 4")</f>
        <v>865🤙🏼Peeping Tom🤙🏼Maxine Audley🤙🏼Estrela 4</v>
      </c>
      <c r="H3461" s="5">
        <f>IFERROR(__xludf.DUMMYFUNCTION("SPLiT(G3461, ""🤙🏼"",FALSE,FALSE)"),865.0)</f>
        <v>865</v>
      </c>
      <c r="I3461" s="5" t="str">
        <f>IFERROR(__xludf.DUMMYFUNCTION("""COMPUTED_VALUE"""),"Peeping Tom")</f>
        <v>Peeping Tom</v>
      </c>
      <c r="J3461" s="5" t="str">
        <f>IFERROR(__xludf.DUMMYFUNCTION("""COMPUTED_VALUE"""),"Maxine Audley")</f>
        <v>Maxine Audley</v>
      </c>
      <c r="K3461" s="5" t="str">
        <f>IFERROR(__xludf.DUMMYFUNCTION("""COMPUTED_VALUE"""),"Estrela 4")</f>
        <v>Estrela 4</v>
      </c>
      <c r="P3461" s="5">
        <f>IFERROR(__xludf.DUMMYFUNCTION("""COMPUTED_VALUE"""),865.0)</f>
        <v>865</v>
      </c>
      <c r="Q3461" s="5" t="str">
        <f>IFERROR(__xludf.DUMMYFUNCTION("""COMPUTED_VALUE"""),"Peeping Tom")</f>
        <v>Peeping Tom</v>
      </c>
      <c r="R3461" s="5" t="str">
        <f>IFERROR(__xludf.DUMMYFUNCTION("""COMPUTED_VALUE"""),"Maxine Audley")</f>
        <v>Maxine Audley</v>
      </c>
      <c r="S3461" s="5" t="str">
        <f>IFERROR(__xludf.DUMMYFUNCTION("""COMPUTED_VALUE"""),"Estrela 4")</f>
        <v>Estrela 4</v>
      </c>
    </row>
    <row r="3462">
      <c r="G3462" s="5" t="str">
        <f>IFERROR(__xludf.DUMMYFUNCTION("""COMPUTED_VALUE"""),"866🤙🏼The Magnificent Seven🤙🏼Yul Brynner🤙🏼Estrela 1")</f>
        <v>866🤙🏼The Magnificent Seven🤙🏼Yul Brynner🤙🏼Estrela 1</v>
      </c>
      <c r="H3462" s="5">
        <f>IFERROR(__xludf.DUMMYFUNCTION("SPLiT(G3462, ""🤙🏼"",FALSE,FALSE)"),866.0)</f>
        <v>866</v>
      </c>
      <c r="I3462" s="5" t="str">
        <f>IFERROR(__xludf.DUMMYFUNCTION("""COMPUTED_VALUE"""),"The Magnificent Seven")</f>
        <v>The Magnificent Seven</v>
      </c>
      <c r="J3462" s="5" t="str">
        <f>IFERROR(__xludf.DUMMYFUNCTION("""COMPUTED_VALUE"""),"Yul Brynner")</f>
        <v>Yul Brynner</v>
      </c>
      <c r="K3462" s="5" t="str">
        <f>IFERROR(__xludf.DUMMYFUNCTION("""COMPUTED_VALUE"""),"Estrela 1")</f>
        <v>Estrela 1</v>
      </c>
      <c r="P3462" s="5">
        <f>IFERROR(__xludf.DUMMYFUNCTION("""COMPUTED_VALUE"""),866.0)</f>
        <v>866</v>
      </c>
      <c r="Q3462" s="5" t="str">
        <f>IFERROR(__xludf.DUMMYFUNCTION("""COMPUTED_VALUE"""),"The Magnificent Seven")</f>
        <v>The Magnificent Seven</v>
      </c>
      <c r="R3462" s="5" t="str">
        <f>IFERROR(__xludf.DUMMYFUNCTION("""COMPUTED_VALUE"""),"Yul Brynner")</f>
        <v>Yul Brynner</v>
      </c>
      <c r="S3462" s="5" t="str">
        <f>IFERROR(__xludf.DUMMYFUNCTION("""COMPUTED_VALUE"""),"Estrela 1")</f>
        <v>Estrela 1</v>
      </c>
    </row>
    <row r="3463">
      <c r="G3463" s="5" t="str">
        <f>IFERROR(__xludf.DUMMYFUNCTION("""COMPUTED_VALUE"""),"866🤙🏼The Magnificent Seven🤙🏼Steve McQueen🤙🏼Estrela 2")</f>
        <v>866🤙🏼The Magnificent Seven🤙🏼Steve McQueen🤙🏼Estrela 2</v>
      </c>
      <c r="H3463" s="5">
        <f>IFERROR(__xludf.DUMMYFUNCTION("SPLiT(G3463, ""🤙🏼"",FALSE,FALSE)"),866.0)</f>
        <v>866</v>
      </c>
      <c r="I3463" s="5" t="str">
        <f>IFERROR(__xludf.DUMMYFUNCTION("""COMPUTED_VALUE"""),"The Magnificent Seven")</f>
        <v>The Magnificent Seven</v>
      </c>
      <c r="J3463" s="5" t="str">
        <f>IFERROR(__xludf.DUMMYFUNCTION("""COMPUTED_VALUE"""),"Steve McQueen")</f>
        <v>Steve McQueen</v>
      </c>
      <c r="K3463" s="5" t="str">
        <f>IFERROR(__xludf.DUMMYFUNCTION("""COMPUTED_VALUE"""),"Estrela 2")</f>
        <v>Estrela 2</v>
      </c>
      <c r="P3463" s="5">
        <f>IFERROR(__xludf.DUMMYFUNCTION("""COMPUTED_VALUE"""),866.0)</f>
        <v>866</v>
      </c>
      <c r="Q3463" s="5" t="str">
        <f>IFERROR(__xludf.DUMMYFUNCTION("""COMPUTED_VALUE"""),"The Magnificent Seven")</f>
        <v>The Magnificent Seven</v>
      </c>
      <c r="R3463" s="5" t="str">
        <f>IFERROR(__xludf.DUMMYFUNCTION("""COMPUTED_VALUE"""),"Steve McQueen")</f>
        <v>Steve McQueen</v>
      </c>
      <c r="S3463" s="5" t="str">
        <f>IFERROR(__xludf.DUMMYFUNCTION("""COMPUTED_VALUE"""),"Estrela 2")</f>
        <v>Estrela 2</v>
      </c>
    </row>
    <row r="3464">
      <c r="G3464" s="5" t="str">
        <f>IFERROR(__xludf.DUMMYFUNCTION("""COMPUTED_VALUE"""),"866🤙🏼The Magnificent Seven🤙🏼Charles Bronson🤙🏼Estrela 3")</f>
        <v>866🤙🏼The Magnificent Seven🤙🏼Charles Bronson🤙🏼Estrela 3</v>
      </c>
      <c r="H3464" s="5">
        <f>IFERROR(__xludf.DUMMYFUNCTION("SPLiT(G3464, ""🤙🏼"",FALSE,FALSE)"),866.0)</f>
        <v>866</v>
      </c>
      <c r="I3464" s="5" t="str">
        <f>IFERROR(__xludf.DUMMYFUNCTION("""COMPUTED_VALUE"""),"The Magnificent Seven")</f>
        <v>The Magnificent Seven</v>
      </c>
      <c r="J3464" s="5" t="str">
        <f>IFERROR(__xludf.DUMMYFUNCTION("""COMPUTED_VALUE"""),"Charles Bronson")</f>
        <v>Charles Bronson</v>
      </c>
      <c r="K3464" s="5" t="str">
        <f>IFERROR(__xludf.DUMMYFUNCTION("""COMPUTED_VALUE"""),"Estrela 3")</f>
        <v>Estrela 3</v>
      </c>
      <c r="P3464" s="5">
        <f>IFERROR(__xludf.DUMMYFUNCTION("""COMPUTED_VALUE"""),866.0)</f>
        <v>866</v>
      </c>
      <c r="Q3464" s="5" t="str">
        <f>IFERROR(__xludf.DUMMYFUNCTION("""COMPUTED_VALUE"""),"The Magnificent Seven")</f>
        <v>The Magnificent Seven</v>
      </c>
      <c r="R3464" s="5" t="str">
        <f>IFERROR(__xludf.DUMMYFUNCTION("""COMPUTED_VALUE"""),"Charles Bronson")</f>
        <v>Charles Bronson</v>
      </c>
      <c r="S3464" s="5" t="str">
        <f>IFERROR(__xludf.DUMMYFUNCTION("""COMPUTED_VALUE"""),"Estrela 3")</f>
        <v>Estrela 3</v>
      </c>
    </row>
    <row r="3465">
      <c r="G3465" s="5" t="str">
        <f>IFERROR(__xludf.DUMMYFUNCTION("""COMPUTED_VALUE"""),"866🤙🏼The Magnificent Seven🤙🏼Eli Wallach🤙🏼Estrela 4")</f>
        <v>866🤙🏼The Magnificent Seven🤙🏼Eli Wallach🤙🏼Estrela 4</v>
      </c>
      <c r="H3465" s="5">
        <f>IFERROR(__xludf.DUMMYFUNCTION("SPLiT(G3465, ""🤙🏼"",FALSE,FALSE)"),866.0)</f>
        <v>866</v>
      </c>
      <c r="I3465" s="5" t="str">
        <f>IFERROR(__xludf.DUMMYFUNCTION("""COMPUTED_VALUE"""),"The Magnificent Seven")</f>
        <v>The Magnificent Seven</v>
      </c>
      <c r="J3465" s="5" t="str">
        <f>IFERROR(__xludf.DUMMYFUNCTION("""COMPUTED_VALUE"""),"Eli Wallach")</f>
        <v>Eli Wallach</v>
      </c>
      <c r="K3465" s="5" t="str">
        <f>IFERROR(__xludf.DUMMYFUNCTION("""COMPUTED_VALUE"""),"Estrela 4")</f>
        <v>Estrela 4</v>
      </c>
      <c r="P3465" s="5">
        <f>IFERROR(__xludf.DUMMYFUNCTION("""COMPUTED_VALUE"""),866.0)</f>
        <v>866</v>
      </c>
      <c r="Q3465" s="5" t="str">
        <f>IFERROR(__xludf.DUMMYFUNCTION("""COMPUTED_VALUE"""),"The Magnificent Seven")</f>
        <v>The Magnificent Seven</v>
      </c>
      <c r="R3465" s="5" t="str">
        <f>IFERROR(__xludf.DUMMYFUNCTION("""COMPUTED_VALUE"""),"Eli Wallach")</f>
        <v>Eli Wallach</v>
      </c>
      <c r="S3465" s="5" t="str">
        <f>IFERROR(__xludf.DUMMYFUNCTION("""COMPUTED_VALUE"""),"Estrela 4")</f>
        <v>Estrela 4</v>
      </c>
    </row>
    <row r="3466">
      <c r="G3466" s="5" t="str">
        <f>IFERROR(__xludf.DUMMYFUNCTION("""COMPUTED_VALUE"""),"867🤙🏼Les yeux sans visage🤙🏼Pierre Brasseur🤙🏼Estrela 1")</f>
        <v>867🤙🏼Les yeux sans visage🤙🏼Pierre Brasseur🤙🏼Estrela 1</v>
      </c>
      <c r="H3466" s="5">
        <f>IFERROR(__xludf.DUMMYFUNCTION("SPLiT(G3466, ""🤙🏼"",FALSE,FALSE)"),867.0)</f>
        <v>867</v>
      </c>
      <c r="I3466" s="5" t="str">
        <f>IFERROR(__xludf.DUMMYFUNCTION("""COMPUTED_VALUE"""),"Les yeux sans visage")</f>
        <v>Les yeux sans visage</v>
      </c>
      <c r="J3466" s="5" t="str">
        <f>IFERROR(__xludf.DUMMYFUNCTION("""COMPUTED_VALUE"""),"Pierre Brasseur")</f>
        <v>Pierre Brasseur</v>
      </c>
      <c r="K3466" s="5" t="str">
        <f>IFERROR(__xludf.DUMMYFUNCTION("""COMPUTED_VALUE"""),"Estrela 1")</f>
        <v>Estrela 1</v>
      </c>
      <c r="P3466" s="5">
        <f>IFERROR(__xludf.DUMMYFUNCTION("""COMPUTED_VALUE"""),867.0)</f>
        <v>867</v>
      </c>
      <c r="Q3466" s="5" t="str">
        <f>IFERROR(__xludf.DUMMYFUNCTION("""COMPUTED_VALUE"""),"Les yeux sans visage")</f>
        <v>Les yeux sans visage</v>
      </c>
      <c r="R3466" s="5" t="str">
        <f>IFERROR(__xludf.DUMMYFUNCTION("""COMPUTED_VALUE"""),"Pierre Brasseur")</f>
        <v>Pierre Brasseur</v>
      </c>
      <c r="S3466" s="5" t="str">
        <f>IFERROR(__xludf.DUMMYFUNCTION("""COMPUTED_VALUE"""),"Estrela 1")</f>
        <v>Estrela 1</v>
      </c>
    </row>
    <row r="3467">
      <c r="G3467" s="5" t="str">
        <f>IFERROR(__xludf.DUMMYFUNCTION("""COMPUTED_VALUE"""),"867🤙🏼Les yeux sans visage🤙🏼Alida Valli🤙🏼Estrela 2")</f>
        <v>867🤙🏼Les yeux sans visage🤙🏼Alida Valli🤙🏼Estrela 2</v>
      </c>
      <c r="H3467" s="5">
        <f>IFERROR(__xludf.DUMMYFUNCTION("SPLiT(G3467, ""🤙🏼"",FALSE,FALSE)"),867.0)</f>
        <v>867</v>
      </c>
      <c r="I3467" s="5" t="str">
        <f>IFERROR(__xludf.DUMMYFUNCTION("""COMPUTED_VALUE"""),"Les yeux sans visage")</f>
        <v>Les yeux sans visage</v>
      </c>
      <c r="J3467" s="5" t="str">
        <f>IFERROR(__xludf.DUMMYFUNCTION("""COMPUTED_VALUE"""),"Alida Valli")</f>
        <v>Alida Valli</v>
      </c>
      <c r="K3467" s="5" t="str">
        <f>IFERROR(__xludf.DUMMYFUNCTION("""COMPUTED_VALUE"""),"Estrela 2")</f>
        <v>Estrela 2</v>
      </c>
      <c r="P3467" s="5">
        <f>IFERROR(__xludf.DUMMYFUNCTION("""COMPUTED_VALUE"""),867.0)</f>
        <v>867</v>
      </c>
      <c r="Q3467" s="5" t="str">
        <f>IFERROR(__xludf.DUMMYFUNCTION("""COMPUTED_VALUE"""),"Les yeux sans visage")</f>
        <v>Les yeux sans visage</v>
      </c>
      <c r="R3467" s="5" t="str">
        <f>IFERROR(__xludf.DUMMYFUNCTION("""COMPUTED_VALUE"""),"Alida Valli")</f>
        <v>Alida Valli</v>
      </c>
      <c r="S3467" s="5" t="str">
        <f>IFERROR(__xludf.DUMMYFUNCTION("""COMPUTED_VALUE"""),"Estrela 2")</f>
        <v>Estrela 2</v>
      </c>
    </row>
    <row r="3468">
      <c r="G3468" s="5" t="str">
        <f>IFERROR(__xludf.DUMMYFUNCTION("""COMPUTED_VALUE"""),"867🤙🏼Les yeux sans visage🤙🏼Juliette Mayniel🤙🏼Estrela 3")</f>
        <v>867🤙🏼Les yeux sans visage🤙🏼Juliette Mayniel🤙🏼Estrela 3</v>
      </c>
      <c r="H3468" s="5">
        <f>IFERROR(__xludf.DUMMYFUNCTION("SPLiT(G3468, ""🤙🏼"",FALSE,FALSE)"),867.0)</f>
        <v>867</v>
      </c>
      <c r="I3468" s="5" t="str">
        <f>IFERROR(__xludf.DUMMYFUNCTION("""COMPUTED_VALUE"""),"Les yeux sans visage")</f>
        <v>Les yeux sans visage</v>
      </c>
      <c r="J3468" s="5" t="str">
        <f>IFERROR(__xludf.DUMMYFUNCTION("""COMPUTED_VALUE"""),"Juliette Mayniel")</f>
        <v>Juliette Mayniel</v>
      </c>
      <c r="K3468" s="5" t="str">
        <f>IFERROR(__xludf.DUMMYFUNCTION("""COMPUTED_VALUE"""),"Estrela 3")</f>
        <v>Estrela 3</v>
      </c>
      <c r="P3468" s="5">
        <f>IFERROR(__xludf.DUMMYFUNCTION("""COMPUTED_VALUE"""),867.0)</f>
        <v>867</v>
      </c>
      <c r="Q3468" s="5" t="str">
        <f>IFERROR(__xludf.DUMMYFUNCTION("""COMPUTED_VALUE"""),"Les yeux sans visage")</f>
        <v>Les yeux sans visage</v>
      </c>
      <c r="R3468" s="5" t="str">
        <f>IFERROR(__xludf.DUMMYFUNCTION("""COMPUTED_VALUE"""),"Juliette Mayniel")</f>
        <v>Juliette Mayniel</v>
      </c>
      <c r="S3468" s="5" t="str">
        <f>IFERROR(__xludf.DUMMYFUNCTION("""COMPUTED_VALUE"""),"Estrela 3")</f>
        <v>Estrela 3</v>
      </c>
    </row>
    <row r="3469">
      <c r="G3469" s="5" t="str">
        <f>IFERROR(__xludf.DUMMYFUNCTION("""COMPUTED_VALUE"""),"867🤙🏼Les yeux sans visage🤙🏼Alexandre Rignault🤙🏼Estrela 4")</f>
        <v>867🤙🏼Les yeux sans visage🤙🏼Alexandre Rignault🤙🏼Estrela 4</v>
      </c>
      <c r="H3469" s="5">
        <f>IFERROR(__xludf.DUMMYFUNCTION("SPLiT(G3469, ""🤙🏼"",FALSE,FALSE)"),867.0)</f>
        <v>867</v>
      </c>
      <c r="I3469" s="5" t="str">
        <f>IFERROR(__xludf.DUMMYFUNCTION("""COMPUTED_VALUE"""),"Les yeux sans visage")</f>
        <v>Les yeux sans visage</v>
      </c>
      <c r="J3469" s="5" t="str">
        <f>IFERROR(__xludf.DUMMYFUNCTION("""COMPUTED_VALUE"""),"Alexandre Rignault")</f>
        <v>Alexandre Rignault</v>
      </c>
      <c r="K3469" s="5" t="str">
        <f>IFERROR(__xludf.DUMMYFUNCTION("""COMPUTED_VALUE"""),"Estrela 4")</f>
        <v>Estrela 4</v>
      </c>
      <c r="P3469" s="5">
        <f>IFERROR(__xludf.DUMMYFUNCTION("""COMPUTED_VALUE"""),867.0)</f>
        <v>867</v>
      </c>
      <c r="Q3469" s="5" t="str">
        <f>IFERROR(__xludf.DUMMYFUNCTION("""COMPUTED_VALUE"""),"Les yeux sans visage")</f>
        <v>Les yeux sans visage</v>
      </c>
      <c r="R3469" s="5" t="str">
        <f>IFERROR(__xludf.DUMMYFUNCTION("""COMPUTED_VALUE"""),"Alexandre Rignault")</f>
        <v>Alexandre Rignault</v>
      </c>
      <c r="S3469" s="5" t="str">
        <f>IFERROR(__xludf.DUMMYFUNCTION("""COMPUTED_VALUE"""),"Estrela 4")</f>
        <v>Estrela 4</v>
      </c>
    </row>
    <row r="3470">
      <c r="G3470" s="5" t="str">
        <f>IFERROR(__xludf.DUMMYFUNCTION("""COMPUTED_VALUE"""),"868🤙🏼Invasion of the Body Snatchers🤙🏼Kevin McCarthy🤙🏼Estrela 1")</f>
        <v>868🤙🏼Invasion of the Body Snatchers🤙🏼Kevin McCarthy🤙🏼Estrela 1</v>
      </c>
      <c r="H3470" s="5">
        <f>IFERROR(__xludf.DUMMYFUNCTION("SPLiT(G3470, ""🤙🏼"",FALSE,FALSE)"),868.0)</f>
        <v>868</v>
      </c>
      <c r="I3470" s="5" t="str">
        <f>IFERROR(__xludf.DUMMYFUNCTION("""COMPUTED_VALUE"""),"Invasion of the Body Snatchers")</f>
        <v>Invasion of the Body Snatchers</v>
      </c>
      <c r="J3470" s="5" t="str">
        <f>IFERROR(__xludf.DUMMYFUNCTION("""COMPUTED_VALUE"""),"Kevin McCarthy")</f>
        <v>Kevin McCarthy</v>
      </c>
      <c r="K3470" s="5" t="str">
        <f>IFERROR(__xludf.DUMMYFUNCTION("""COMPUTED_VALUE"""),"Estrela 1")</f>
        <v>Estrela 1</v>
      </c>
      <c r="P3470" s="5">
        <f>IFERROR(__xludf.DUMMYFUNCTION("""COMPUTED_VALUE"""),868.0)</f>
        <v>868</v>
      </c>
      <c r="Q3470" s="5" t="str">
        <f>IFERROR(__xludf.DUMMYFUNCTION("""COMPUTED_VALUE"""),"Invasion of the Body Snatchers")</f>
        <v>Invasion of the Body Snatchers</v>
      </c>
      <c r="R3470" s="5" t="str">
        <f>IFERROR(__xludf.DUMMYFUNCTION("""COMPUTED_VALUE"""),"Kevin McCarthy")</f>
        <v>Kevin McCarthy</v>
      </c>
      <c r="S3470" s="5" t="str">
        <f>IFERROR(__xludf.DUMMYFUNCTION("""COMPUTED_VALUE"""),"Estrela 1")</f>
        <v>Estrela 1</v>
      </c>
    </row>
    <row r="3471">
      <c r="G3471" s="5" t="str">
        <f>IFERROR(__xludf.DUMMYFUNCTION("""COMPUTED_VALUE"""),"868🤙🏼Invasion of the Body Snatchers🤙🏼Dana Wynter🤙🏼Estrela 2")</f>
        <v>868🤙🏼Invasion of the Body Snatchers🤙🏼Dana Wynter🤙🏼Estrela 2</v>
      </c>
      <c r="H3471" s="5">
        <f>IFERROR(__xludf.DUMMYFUNCTION("SPLiT(G3471, ""🤙🏼"",FALSE,FALSE)"),868.0)</f>
        <v>868</v>
      </c>
      <c r="I3471" s="5" t="str">
        <f>IFERROR(__xludf.DUMMYFUNCTION("""COMPUTED_VALUE"""),"Invasion of the Body Snatchers")</f>
        <v>Invasion of the Body Snatchers</v>
      </c>
      <c r="J3471" s="5" t="str">
        <f>IFERROR(__xludf.DUMMYFUNCTION("""COMPUTED_VALUE"""),"Dana Wynter")</f>
        <v>Dana Wynter</v>
      </c>
      <c r="K3471" s="5" t="str">
        <f>IFERROR(__xludf.DUMMYFUNCTION("""COMPUTED_VALUE"""),"Estrela 2")</f>
        <v>Estrela 2</v>
      </c>
      <c r="P3471" s="5">
        <f>IFERROR(__xludf.DUMMYFUNCTION("""COMPUTED_VALUE"""),868.0)</f>
        <v>868</v>
      </c>
      <c r="Q3471" s="5" t="str">
        <f>IFERROR(__xludf.DUMMYFUNCTION("""COMPUTED_VALUE"""),"Invasion of the Body Snatchers")</f>
        <v>Invasion of the Body Snatchers</v>
      </c>
      <c r="R3471" s="5" t="str">
        <f>IFERROR(__xludf.DUMMYFUNCTION("""COMPUTED_VALUE"""),"Dana Wynter")</f>
        <v>Dana Wynter</v>
      </c>
      <c r="S3471" s="5" t="str">
        <f>IFERROR(__xludf.DUMMYFUNCTION("""COMPUTED_VALUE"""),"Estrela 2")</f>
        <v>Estrela 2</v>
      </c>
    </row>
    <row r="3472">
      <c r="G3472" s="5" t="str">
        <f>IFERROR(__xludf.DUMMYFUNCTION("""COMPUTED_VALUE"""),"868🤙🏼Invasion of the Body Snatchers🤙🏼Larry Gates🤙🏼Estrela 3")</f>
        <v>868🤙🏼Invasion of the Body Snatchers🤙🏼Larry Gates🤙🏼Estrela 3</v>
      </c>
      <c r="H3472" s="5">
        <f>IFERROR(__xludf.DUMMYFUNCTION("SPLiT(G3472, ""🤙🏼"",FALSE,FALSE)"),868.0)</f>
        <v>868</v>
      </c>
      <c r="I3472" s="5" t="str">
        <f>IFERROR(__xludf.DUMMYFUNCTION("""COMPUTED_VALUE"""),"Invasion of the Body Snatchers")</f>
        <v>Invasion of the Body Snatchers</v>
      </c>
      <c r="J3472" s="5" t="str">
        <f>IFERROR(__xludf.DUMMYFUNCTION("""COMPUTED_VALUE"""),"Larry Gates")</f>
        <v>Larry Gates</v>
      </c>
      <c r="K3472" s="5" t="str">
        <f>IFERROR(__xludf.DUMMYFUNCTION("""COMPUTED_VALUE"""),"Estrela 3")</f>
        <v>Estrela 3</v>
      </c>
      <c r="P3472" s="5">
        <f>IFERROR(__xludf.DUMMYFUNCTION("""COMPUTED_VALUE"""),868.0)</f>
        <v>868</v>
      </c>
      <c r="Q3472" s="5" t="str">
        <f>IFERROR(__xludf.DUMMYFUNCTION("""COMPUTED_VALUE"""),"Invasion of the Body Snatchers")</f>
        <v>Invasion of the Body Snatchers</v>
      </c>
      <c r="R3472" s="5" t="str">
        <f>IFERROR(__xludf.DUMMYFUNCTION("""COMPUTED_VALUE"""),"Larry Gates")</f>
        <v>Larry Gates</v>
      </c>
      <c r="S3472" s="5" t="str">
        <f>IFERROR(__xludf.DUMMYFUNCTION("""COMPUTED_VALUE"""),"Estrela 3")</f>
        <v>Estrela 3</v>
      </c>
    </row>
    <row r="3473">
      <c r="G3473" s="5" t="str">
        <f>IFERROR(__xludf.DUMMYFUNCTION("""COMPUTED_VALUE"""),"868🤙🏼Invasion of the Body Snatchers🤙🏼King Donovan🤙🏼Estrela 4")</f>
        <v>868🤙🏼Invasion of the Body Snatchers🤙🏼King Donovan🤙🏼Estrela 4</v>
      </c>
      <c r="H3473" s="5">
        <f>IFERROR(__xludf.DUMMYFUNCTION("SPLiT(G3473, ""🤙🏼"",FALSE,FALSE)"),868.0)</f>
        <v>868</v>
      </c>
      <c r="I3473" s="5" t="str">
        <f>IFERROR(__xludf.DUMMYFUNCTION("""COMPUTED_VALUE"""),"Invasion of the Body Snatchers")</f>
        <v>Invasion of the Body Snatchers</v>
      </c>
      <c r="J3473" s="5" t="str">
        <f>IFERROR(__xludf.DUMMYFUNCTION("""COMPUTED_VALUE"""),"King Donovan")</f>
        <v>King Donovan</v>
      </c>
      <c r="K3473" s="5" t="str">
        <f>IFERROR(__xludf.DUMMYFUNCTION("""COMPUTED_VALUE"""),"Estrela 4")</f>
        <v>Estrela 4</v>
      </c>
      <c r="P3473" s="5">
        <f>IFERROR(__xludf.DUMMYFUNCTION("""COMPUTED_VALUE"""),868.0)</f>
        <v>868</v>
      </c>
      <c r="Q3473" s="5" t="str">
        <f>IFERROR(__xludf.DUMMYFUNCTION("""COMPUTED_VALUE"""),"Invasion of the Body Snatchers")</f>
        <v>Invasion of the Body Snatchers</v>
      </c>
      <c r="R3473" s="5" t="str">
        <f>IFERROR(__xludf.DUMMYFUNCTION("""COMPUTED_VALUE"""),"King Donovan")</f>
        <v>King Donovan</v>
      </c>
      <c r="S3473" s="5" t="str">
        <f>IFERROR(__xludf.DUMMYFUNCTION("""COMPUTED_VALUE"""),"Estrela 4")</f>
        <v>Estrela 4</v>
      </c>
    </row>
    <row r="3474">
      <c r="G3474" s="5" t="str">
        <f>IFERROR(__xludf.DUMMYFUNCTION("""COMPUTED_VALUE"""),"869🤙🏼Rebel Without a Cause🤙🏼James Dean🤙🏼Estrela 1")</f>
        <v>869🤙🏼Rebel Without a Cause🤙🏼James Dean🤙🏼Estrela 1</v>
      </c>
      <c r="H3474" s="5">
        <f>IFERROR(__xludf.DUMMYFUNCTION("SPLiT(G3474, ""🤙🏼"",FALSE,FALSE)"),869.0)</f>
        <v>869</v>
      </c>
      <c r="I3474" s="5" t="str">
        <f>IFERROR(__xludf.DUMMYFUNCTION("""COMPUTED_VALUE"""),"Rebel Without a Cause")</f>
        <v>Rebel Without a Cause</v>
      </c>
      <c r="J3474" s="5" t="str">
        <f>IFERROR(__xludf.DUMMYFUNCTION("""COMPUTED_VALUE"""),"James Dean")</f>
        <v>James Dean</v>
      </c>
      <c r="K3474" s="5" t="str">
        <f>IFERROR(__xludf.DUMMYFUNCTION("""COMPUTED_VALUE"""),"Estrela 1")</f>
        <v>Estrela 1</v>
      </c>
      <c r="P3474" s="5">
        <f>IFERROR(__xludf.DUMMYFUNCTION("""COMPUTED_VALUE"""),869.0)</f>
        <v>869</v>
      </c>
      <c r="Q3474" s="5" t="str">
        <f>IFERROR(__xludf.DUMMYFUNCTION("""COMPUTED_VALUE"""),"Rebel Without a Cause")</f>
        <v>Rebel Without a Cause</v>
      </c>
      <c r="R3474" s="5" t="str">
        <f>IFERROR(__xludf.DUMMYFUNCTION("""COMPUTED_VALUE"""),"James Dean")</f>
        <v>James Dean</v>
      </c>
      <c r="S3474" s="5" t="str">
        <f>IFERROR(__xludf.DUMMYFUNCTION("""COMPUTED_VALUE"""),"Estrela 1")</f>
        <v>Estrela 1</v>
      </c>
    </row>
    <row r="3475">
      <c r="G3475" s="5" t="str">
        <f>IFERROR(__xludf.DUMMYFUNCTION("""COMPUTED_VALUE"""),"869🤙🏼Rebel Without a Cause🤙🏼Natalie Wood🤙🏼Estrela 2")</f>
        <v>869🤙🏼Rebel Without a Cause🤙🏼Natalie Wood🤙🏼Estrela 2</v>
      </c>
      <c r="H3475" s="5">
        <f>IFERROR(__xludf.DUMMYFUNCTION("SPLiT(G3475, ""🤙🏼"",FALSE,FALSE)"),869.0)</f>
        <v>869</v>
      </c>
      <c r="I3475" s="5" t="str">
        <f>IFERROR(__xludf.DUMMYFUNCTION("""COMPUTED_VALUE"""),"Rebel Without a Cause")</f>
        <v>Rebel Without a Cause</v>
      </c>
      <c r="J3475" s="5" t="str">
        <f>IFERROR(__xludf.DUMMYFUNCTION("""COMPUTED_VALUE"""),"Natalie Wood")</f>
        <v>Natalie Wood</v>
      </c>
      <c r="K3475" s="5" t="str">
        <f>IFERROR(__xludf.DUMMYFUNCTION("""COMPUTED_VALUE"""),"Estrela 2")</f>
        <v>Estrela 2</v>
      </c>
      <c r="P3475" s="5">
        <f>IFERROR(__xludf.DUMMYFUNCTION("""COMPUTED_VALUE"""),869.0)</f>
        <v>869</v>
      </c>
      <c r="Q3475" s="5" t="str">
        <f>IFERROR(__xludf.DUMMYFUNCTION("""COMPUTED_VALUE"""),"Rebel Without a Cause")</f>
        <v>Rebel Without a Cause</v>
      </c>
      <c r="R3475" s="5" t="str">
        <f>IFERROR(__xludf.DUMMYFUNCTION("""COMPUTED_VALUE"""),"Natalie Wood")</f>
        <v>Natalie Wood</v>
      </c>
      <c r="S3475" s="5" t="str">
        <f>IFERROR(__xludf.DUMMYFUNCTION("""COMPUTED_VALUE"""),"Estrela 2")</f>
        <v>Estrela 2</v>
      </c>
    </row>
    <row r="3476">
      <c r="G3476" s="5" t="str">
        <f>IFERROR(__xludf.DUMMYFUNCTION("""COMPUTED_VALUE"""),"869🤙🏼Rebel Without a Cause🤙🏼Sal Mineo🤙🏼Estrela 3")</f>
        <v>869🤙🏼Rebel Without a Cause🤙🏼Sal Mineo🤙🏼Estrela 3</v>
      </c>
      <c r="H3476" s="5">
        <f>IFERROR(__xludf.DUMMYFUNCTION("SPLiT(G3476, ""🤙🏼"",FALSE,FALSE)"),869.0)</f>
        <v>869</v>
      </c>
      <c r="I3476" s="5" t="str">
        <f>IFERROR(__xludf.DUMMYFUNCTION("""COMPUTED_VALUE"""),"Rebel Without a Cause")</f>
        <v>Rebel Without a Cause</v>
      </c>
      <c r="J3476" s="5" t="str">
        <f>IFERROR(__xludf.DUMMYFUNCTION("""COMPUTED_VALUE"""),"Sal Mineo")</f>
        <v>Sal Mineo</v>
      </c>
      <c r="K3476" s="5" t="str">
        <f>IFERROR(__xludf.DUMMYFUNCTION("""COMPUTED_VALUE"""),"Estrela 3")</f>
        <v>Estrela 3</v>
      </c>
      <c r="P3476" s="5">
        <f>IFERROR(__xludf.DUMMYFUNCTION("""COMPUTED_VALUE"""),869.0)</f>
        <v>869</v>
      </c>
      <c r="Q3476" s="5" t="str">
        <f>IFERROR(__xludf.DUMMYFUNCTION("""COMPUTED_VALUE"""),"Rebel Without a Cause")</f>
        <v>Rebel Without a Cause</v>
      </c>
      <c r="R3476" s="5" t="str">
        <f>IFERROR(__xludf.DUMMYFUNCTION("""COMPUTED_VALUE"""),"Sal Mineo")</f>
        <v>Sal Mineo</v>
      </c>
      <c r="S3476" s="5" t="str">
        <f>IFERROR(__xludf.DUMMYFUNCTION("""COMPUTED_VALUE"""),"Estrela 3")</f>
        <v>Estrela 3</v>
      </c>
    </row>
    <row r="3477">
      <c r="G3477" s="5" t="str">
        <f>IFERROR(__xludf.DUMMYFUNCTION("""COMPUTED_VALUE"""),"869🤙🏼Rebel Without a Cause🤙🏼Jim Backus🤙🏼Estrela 4")</f>
        <v>869🤙🏼Rebel Without a Cause🤙🏼Jim Backus🤙🏼Estrela 4</v>
      </c>
      <c r="H3477" s="5">
        <f>IFERROR(__xludf.DUMMYFUNCTION("SPLiT(G3477, ""🤙🏼"",FALSE,FALSE)"),869.0)</f>
        <v>869</v>
      </c>
      <c r="I3477" s="5" t="str">
        <f>IFERROR(__xludf.DUMMYFUNCTION("""COMPUTED_VALUE"""),"Rebel Without a Cause")</f>
        <v>Rebel Without a Cause</v>
      </c>
      <c r="J3477" s="5" t="str">
        <f>IFERROR(__xludf.DUMMYFUNCTION("""COMPUTED_VALUE"""),"Jim Backus")</f>
        <v>Jim Backus</v>
      </c>
      <c r="K3477" s="5" t="str">
        <f>IFERROR(__xludf.DUMMYFUNCTION("""COMPUTED_VALUE"""),"Estrela 4")</f>
        <v>Estrela 4</v>
      </c>
      <c r="P3477" s="5">
        <f>IFERROR(__xludf.DUMMYFUNCTION("""COMPUTED_VALUE"""),869.0)</f>
        <v>869</v>
      </c>
      <c r="Q3477" s="5" t="str">
        <f>IFERROR(__xludf.DUMMYFUNCTION("""COMPUTED_VALUE"""),"Rebel Without a Cause")</f>
        <v>Rebel Without a Cause</v>
      </c>
      <c r="R3477" s="5" t="str">
        <f>IFERROR(__xludf.DUMMYFUNCTION("""COMPUTED_VALUE"""),"Jim Backus")</f>
        <v>Jim Backus</v>
      </c>
      <c r="S3477" s="5" t="str">
        <f>IFERROR(__xludf.DUMMYFUNCTION("""COMPUTED_VALUE"""),"Estrela 4")</f>
        <v>Estrela 4</v>
      </c>
    </row>
    <row r="3478">
      <c r="G3478" s="5" t="str">
        <f>IFERROR(__xludf.DUMMYFUNCTION("""COMPUTED_VALUE"""),"870🤙🏼The Ladykillers🤙🏼Alec Guinness🤙🏼Estrela 1")</f>
        <v>870🤙🏼The Ladykillers🤙🏼Alec Guinness🤙🏼Estrela 1</v>
      </c>
      <c r="H3478" s="5">
        <f>IFERROR(__xludf.DUMMYFUNCTION("SPLiT(G3478, ""🤙🏼"",FALSE,FALSE)"),870.0)</f>
        <v>870</v>
      </c>
      <c r="I3478" s="5" t="str">
        <f>IFERROR(__xludf.DUMMYFUNCTION("""COMPUTED_VALUE"""),"The Ladykillers")</f>
        <v>The Ladykillers</v>
      </c>
      <c r="J3478" s="5" t="str">
        <f>IFERROR(__xludf.DUMMYFUNCTION("""COMPUTED_VALUE"""),"Alec Guinness")</f>
        <v>Alec Guinness</v>
      </c>
      <c r="K3478" s="5" t="str">
        <f>IFERROR(__xludf.DUMMYFUNCTION("""COMPUTED_VALUE"""),"Estrela 1")</f>
        <v>Estrela 1</v>
      </c>
      <c r="P3478" s="5">
        <f>IFERROR(__xludf.DUMMYFUNCTION("""COMPUTED_VALUE"""),870.0)</f>
        <v>870</v>
      </c>
      <c r="Q3478" s="5" t="str">
        <f>IFERROR(__xludf.DUMMYFUNCTION("""COMPUTED_VALUE"""),"The Ladykillers")</f>
        <v>The Ladykillers</v>
      </c>
      <c r="R3478" s="5" t="str">
        <f>IFERROR(__xludf.DUMMYFUNCTION("""COMPUTED_VALUE"""),"Alec Guinness")</f>
        <v>Alec Guinness</v>
      </c>
      <c r="S3478" s="5" t="str">
        <f>IFERROR(__xludf.DUMMYFUNCTION("""COMPUTED_VALUE"""),"Estrela 1")</f>
        <v>Estrela 1</v>
      </c>
    </row>
    <row r="3479">
      <c r="G3479" s="5" t="str">
        <f>IFERROR(__xludf.DUMMYFUNCTION("""COMPUTED_VALUE"""),"870🤙🏼The Ladykillers🤙🏼Peter Sellers🤙🏼Estrela 2")</f>
        <v>870🤙🏼The Ladykillers🤙🏼Peter Sellers🤙🏼Estrela 2</v>
      </c>
      <c r="H3479" s="5">
        <f>IFERROR(__xludf.DUMMYFUNCTION("SPLiT(G3479, ""🤙🏼"",FALSE,FALSE)"),870.0)</f>
        <v>870</v>
      </c>
      <c r="I3479" s="5" t="str">
        <f>IFERROR(__xludf.DUMMYFUNCTION("""COMPUTED_VALUE"""),"The Ladykillers")</f>
        <v>The Ladykillers</v>
      </c>
      <c r="J3479" s="5" t="str">
        <f>IFERROR(__xludf.DUMMYFUNCTION("""COMPUTED_VALUE"""),"Peter Sellers")</f>
        <v>Peter Sellers</v>
      </c>
      <c r="K3479" s="5" t="str">
        <f>IFERROR(__xludf.DUMMYFUNCTION("""COMPUTED_VALUE"""),"Estrela 2")</f>
        <v>Estrela 2</v>
      </c>
      <c r="P3479" s="5">
        <f>IFERROR(__xludf.DUMMYFUNCTION("""COMPUTED_VALUE"""),870.0)</f>
        <v>870</v>
      </c>
      <c r="Q3479" s="5" t="str">
        <f>IFERROR(__xludf.DUMMYFUNCTION("""COMPUTED_VALUE"""),"The Ladykillers")</f>
        <v>The Ladykillers</v>
      </c>
      <c r="R3479" s="5" t="str">
        <f>IFERROR(__xludf.DUMMYFUNCTION("""COMPUTED_VALUE"""),"Peter Sellers")</f>
        <v>Peter Sellers</v>
      </c>
      <c r="S3479" s="5" t="str">
        <f>IFERROR(__xludf.DUMMYFUNCTION("""COMPUTED_VALUE"""),"Estrela 2")</f>
        <v>Estrela 2</v>
      </c>
    </row>
    <row r="3480">
      <c r="G3480" s="5" t="str">
        <f>IFERROR(__xludf.DUMMYFUNCTION("""COMPUTED_VALUE"""),"870🤙🏼The Ladykillers🤙🏼Cecil Parker🤙🏼Estrela 3")</f>
        <v>870🤙🏼The Ladykillers🤙🏼Cecil Parker🤙🏼Estrela 3</v>
      </c>
      <c r="H3480" s="5">
        <f>IFERROR(__xludf.DUMMYFUNCTION("SPLiT(G3480, ""🤙🏼"",FALSE,FALSE)"),870.0)</f>
        <v>870</v>
      </c>
      <c r="I3480" s="5" t="str">
        <f>IFERROR(__xludf.DUMMYFUNCTION("""COMPUTED_VALUE"""),"The Ladykillers")</f>
        <v>The Ladykillers</v>
      </c>
      <c r="J3480" s="5" t="str">
        <f>IFERROR(__xludf.DUMMYFUNCTION("""COMPUTED_VALUE"""),"Cecil Parker")</f>
        <v>Cecil Parker</v>
      </c>
      <c r="K3480" s="5" t="str">
        <f>IFERROR(__xludf.DUMMYFUNCTION("""COMPUTED_VALUE"""),"Estrela 3")</f>
        <v>Estrela 3</v>
      </c>
      <c r="P3480" s="5">
        <f>IFERROR(__xludf.DUMMYFUNCTION("""COMPUTED_VALUE"""),870.0)</f>
        <v>870</v>
      </c>
      <c r="Q3480" s="5" t="str">
        <f>IFERROR(__xludf.DUMMYFUNCTION("""COMPUTED_VALUE"""),"The Ladykillers")</f>
        <v>The Ladykillers</v>
      </c>
      <c r="R3480" s="5" t="str">
        <f>IFERROR(__xludf.DUMMYFUNCTION("""COMPUTED_VALUE"""),"Cecil Parker")</f>
        <v>Cecil Parker</v>
      </c>
      <c r="S3480" s="5" t="str">
        <f>IFERROR(__xludf.DUMMYFUNCTION("""COMPUTED_VALUE"""),"Estrela 3")</f>
        <v>Estrela 3</v>
      </c>
    </row>
    <row r="3481">
      <c r="G3481" s="5" t="str">
        <f>IFERROR(__xludf.DUMMYFUNCTION("""COMPUTED_VALUE"""),"870🤙🏼The Ladykillers🤙🏼Herbert Lom🤙🏼Estrela 4")</f>
        <v>870🤙🏼The Ladykillers🤙🏼Herbert Lom🤙🏼Estrela 4</v>
      </c>
      <c r="H3481" s="5">
        <f>IFERROR(__xludf.DUMMYFUNCTION("SPLiT(G3481, ""🤙🏼"",FALSE,FALSE)"),870.0)</f>
        <v>870</v>
      </c>
      <c r="I3481" s="5" t="str">
        <f>IFERROR(__xludf.DUMMYFUNCTION("""COMPUTED_VALUE"""),"The Ladykillers")</f>
        <v>The Ladykillers</v>
      </c>
      <c r="J3481" s="5" t="str">
        <f>IFERROR(__xludf.DUMMYFUNCTION("""COMPUTED_VALUE"""),"Herbert Lom")</f>
        <v>Herbert Lom</v>
      </c>
      <c r="K3481" s="5" t="str">
        <f>IFERROR(__xludf.DUMMYFUNCTION("""COMPUTED_VALUE"""),"Estrela 4")</f>
        <v>Estrela 4</v>
      </c>
      <c r="P3481" s="5">
        <f>IFERROR(__xludf.DUMMYFUNCTION("""COMPUTED_VALUE"""),870.0)</f>
        <v>870</v>
      </c>
      <c r="Q3481" s="5" t="str">
        <f>IFERROR(__xludf.DUMMYFUNCTION("""COMPUTED_VALUE"""),"The Ladykillers")</f>
        <v>The Ladykillers</v>
      </c>
      <c r="R3481" s="5" t="str">
        <f>IFERROR(__xludf.DUMMYFUNCTION("""COMPUTED_VALUE"""),"Herbert Lom")</f>
        <v>Herbert Lom</v>
      </c>
      <c r="S3481" s="5" t="str">
        <f>IFERROR(__xludf.DUMMYFUNCTION("""COMPUTED_VALUE"""),"Estrela 4")</f>
        <v>Estrela 4</v>
      </c>
    </row>
    <row r="3482">
      <c r="G3482" s="5" t="str">
        <f>IFERROR(__xludf.DUMMYFUNCTION("""COMPUTED_VALUE"""),"871🤙🏼Sabrina🤙🏼Humphrey Bogart🤙🏼Estrela 1")</f>
        <v>871🤙🏼Sabrina🤙🏼Humphrey Bogart🤙🏼Estrela 1</v>
      </c>
      <c r="H3482" s="5">
        <f>IFERROR(__xludf.DUMMYFUNCTION("SPLiT(G3482, ""🤙🏼"",FALSE,FALSE)"),871.0)</f>
        <v>871</v>
      </c>
      <c r="I3482" s="5" t="str">
        <f>IFERROR(__xludf.DUMMYFUNCTION("""COMPUTED_VALUE"""),"Sabrina")</f>
        <v>Sabrina</v>
      </c>
      <c r="J3482" s="5" t="str">
        <f>IFERROR(__xludf.DUMMYFUNCTION("""COMPUTED_VALUE"""),"Humphrey Bogart")</f>
        <v>Humphrey Bogart</v>
      </c>
      <c r="K3482" s="5" t="str">
        <f>IFERROR(__xludf.DUMMYFUNCTION("""COMPUTED_VALUE"""),"Estrela 1")</f>
        <v>Estrela 1</v>
      </c>
      <c r="P3482" s="5">
        <f>IFERROR(__xludf.DUMMYFUNCTION("""COMPUTED_VALUE"""),871.0)</f>
        <v>871</v>
      </c>
      <c r="Q3482" s="5" t="str">
        <f>IFERROR(__xludf.DUMMYFUNCTION("""COMPUTED_VALUE"""),"Sabrina")</f>
        <v>Sabrina</v>
      </c>
      <c r="R3482" s="5" t="str">
        <f>IFERROR(__xludf.DUMMYFUNCTION("""COMPUTED_VALUE"""),"Humphrey Bogart")</f>
        <v>Humphrey Bogart</v>
      </c>
      <c r="S3482" s="5" t="str">
        <f>IFERROR(__xludf.DUMMYFUNCTION("""COMPUTED_VALUE"""),"Estrela 1")</f>
        <v>Estrela 1</v>
      </c>
    </row>
    <row r="3483">
      <c r="G3483" s="5" t="str">
        <f>IFERROR(__xludf.DUMMYFUNCTION("""COMPUTED_VALUE"""),"871🤙🏼Sabrina🤙🏼Audrey Hepburn🤙🏼Estrela 2")</f>
        <v>871🤙🏼Sabrina🤙🏼Audrey Hepburn🤙🏼Estrela 2</v>
      </c>
      <c r="H3483" s="5">
        <f>IFERROR(__xludf.DUMMYFUNCTION("SPLiT(G3483, ""🤙🏼"",FALSE,FALSE)"),871.0)</f>
        <v>871</v>
      </c>
      <c r="I3483" s="5" t="str">
        <f>IFERROR(__xludf.DUMMYFUNCTION("""COMPUTED_VALUE"""),"Sabrina")</f>
        <v>Sabrina</v>
      </c>
      <c r="J3483" s="5" t="str">
        <f>IFERROR(__xludf.DUMMYFUNCTION("""COMPUTED_VALUE"""),"Audrey Hepburn")</f>
        <v>Audrey Hepburn</v>
      </c>
      <c r="K3483" s="5" t="str">
        <f>IFERROR(__xludf.DUMMYFUNCTION("""COMPUTED_VALUE"""),"Estrela 2")</f>
        <v>Estrela 2</v>
      </c>
      <c r="P3483" s="5">
        <f>IFERROR(__xludf.DUMMYFUNCTION("""COMPUTED_VALUE"""),871.0)</f>
        <v>871</v>
      </c>
      <c r="Q3483" s="5" t="str">
        <f>IFERROR(__xludf.DUMMYFUNCTION("""COMPUTED_VALUE"""),"Sabrina")</f>
        <v>Sabrina</v>
      </c>
      <c r="R3483" s="5" t="str">
        <f>IFERROR(__xludf.DUMMYFUNCTION("""COMPUTED_VALUE"""),"Audrey Hepburn")</f>
        <v>Audrey Hepburn</v>
      </c>
      <c r="S3483" s="5" t="str">
        <f>IFERROR(__xludf.DUMMYFUNCTION("""COMPUTED_VALUE"""),"Estrela 2")</f>
        <v>Estrela 2</v>
      </c>
    </row>
    <row r="3484">
      <c r="G3484" s="5" t="str">
        <f>IFERROR(__xludf.DUMMYFUNCTION("""COMPUTED_VALUE"""),"871🤙🏼Sabrina🤙🏼William Holden🤙🏼Estrela 3")</f>
        <v>871🤙🏼Sabrina🤙🏼William Holden🤙🏼Estrela 3</v>
      </c>
      <c r="H3484" s="5">
        <f>IFERROR(__xludf.DUMMYFUNCTION("SPLiT(G3484, ""🤙🏼"",FALSE,FALSE)"),871.0)</f>
        <v>871</v>
      </c>
      <c r="I3484" s="5" t="str">
        <f>IFERROR(__xludf.DUMMYFUNCTION("""COMPUTED_VALUE"""),"Sabrina")</f>
        <v>Sabrina</v>
      </c>
      <c r="J3484" s="5" t="str">
        <f>IFERROR(__xludf.DUMMYFUNCTION("""COMPUTED_VALUE"""),"William Holden")</f>
        <v>William Holden</v>
      </c>
      <c r="K3484" s="5" t="str">
        <f>IFERROR(__xludf.DUMMYFUNCTION("""COMPUTED_VALUE"""),"Estrela 3")</f>
        <v>Estrela 3</v>
      </c>
      <c r="P3484" s="5">
        <f>IFERROR(__xludf.DUMMYFUNCTION("""COMPUTED_VALUE"""),871.0)</f>
        <v>871</v>
      </c>
      <c r="Q3484" s="5" t="str">
        <f>IFERROR(__xludf.DUMMYFUNCTION("""COMPUTED_VALUE"""),"Sabrina")</f>
        <v>Sabrina</v>
      </c>
      <c r="R3484" s="5" t="str">
        <f>IFERROR(__xludf.DUMMYFUNCTION("""COMPUTED_VALUE"""),"William Holden")</f>
        <v>William Holden</v>
      </c>
      <c r="S3484" s="5" t="str">
        <f>IFERROR(__xludf.DUMMYFUNCTION("""COMPUTED_VALUE"""),"Estrela 3")</f>
        <v>Estrela 3</v>
      </c>
    </row>
    <row r="3485">
      <c r="G3485" s="5" t="str">
        <f>IFERROR(__xludf.DUMMYFUNCTION("""COMPUTED_VALUE"""),"871🤙🏼Sabrina🤙🏼Walter Hampden🤙🏼Estrela 4")</f>
        <v>871🤙🏼Sabrina🤙🏼Walter Hampden🤙🏼Estrela 4</v>
      </c>
      <c r="H3485" s="5">
        <f>IFERROR(__xludf.DUMMYFUNCTION("SPLiT(G3485, ""🤙🏼"",FALSE,FALSE)"),871.0)</f>
        <v>871</v>
      </c>
      <c r="I3485" s="5" t="str">
        <f>IFERROR(__xludf.DUMMYFUNCTION("""COMPUTED_VALUE"""),"Sabrina")</f>
        <v>Sabrina</v>
      </c>
      <c r="J3485" s="5" t="str">
        <f>IFERROR(__xludf.DUMMYFUNCTION("""COMPUTED_VALUE"""),"Walter Hampden")</f>
        <v>Walter Hampden</v>
      </c>
      <c r="K3485" s="5" t="str">
        <f>IFERROR(__xludf.DUMMYFUNCTION("""COMPUTED_VALUE"""),"Estrela 4")</f>
        <v>Estrela 4</v>
      </c>
      <c r="P3485" s="5">
        <f>IFERROR(__xludf.DUMMYFUNCTION("""COMPUTED_VALUE"""),871.0)</f>
        <v>871</v>
      </c>
      <c r="Q3485" s="5" t="str">
        <f>IFERROR(__xludf.DUMMYFUNCTION("""COMPUTED_VALUE"""),"Sabrina")</f>
        <v>Sabrina</v>
      </c>
      <c r="R3485" s="5" t="str">
        <f>IFERROR(__xludf.DUMMYFUNCTION("""COMPUTED_VALUE"""),"Walter Hampden")</f>
        <v>Walter Hampden</v>
      </c>
      <c r="S3485" s="5" t="str">
        <f>IFERROR(__xludf.DUMMYFUNCTION("""COMPUTED_VALUE"""),"Estrela 4")</f>
        <v>Estrela 4</v>
      </c>
    </row>
    <row r="3486">
      <c r="G3486" s="5" t="str">
        <f>IFERROR(__xludf.DUMMYFUNCTION("""COMPUTED_VALUE"""),"872🤙🏼The Quiet Man🤙🏼John Wayne🤙🏼Estrela 1")</f>
        <v>872🤙🏼The Quiet Man🤙🏼John Wayne🤙🏼Estrela 1</v>
      </c>
      <c r="H3486" s="5">
        <f>IFERROR(__xludf.DUMMYFUNCTION("SPLiT(G3486, ""🤙🏼"",FALSE,FALSE)"),872.0)</f>
        <v>872</v>
      </c>
      <c r="I3486" s="5" t="str">
        <f>IFERROR(__xludf.DUMMYFUNCTION("""COMPUTED_VALUE"""),"The Quiet Man")</f>
        <v>The Quiet Man</v>
      </c>
      <c r="J3486" s="5" t="str">
        <f>IFERROR(__xludf.DUMMYFUNCTION("""COMPUTED_VALUE"""),"John Wayne")</f>
        <v>John Wayne</v>
      </c>
      <c r="K3486" s="5" t="str">
        <f>IFERROR(__xludf.DUMMYFUNCTION("""COMPUTED_VALUE"""),"Estrela 1")</f>
        <v>Estrela 1</v>
      </c>
      <c r="P3486" s="5">
        <f>IFERROR(__xludf.DUMMYFUNCTION("""COMPUTED_VALUE"""),872.0)</f>
        <v>872</v>
      </c>
      <c r="Q3486" s="5" t="str">
        <f>IFERROR(__xludf.DUMMYFUNCTION("""COMPUTED_VALUE"""),"The Quiet Man")</f>
        <v>The Quiet Man</v>
      </c>
      <c r="R3486" s="5" t="str">
        <f>IFERROR(__xludf.DUMMYFUNCTION("""COMPUTED_VALUE"""),"John Wayne")</f>
        <v>John Wayne</v>
      </c>
      <c r="S3486" s="5" t="str">
        <f>IFERROR(__xludf.DUMMYFUNCTION("""COMPUTED_VALUE"""),"Estrela 1")</f>
        <v>Estrela 1</v>
      </c>
    </row>
    <row r="3487">
      <c r="G3487" s="5" t="str">
        <f>IFERROR(__xludf.DUMMYFUNCTION("""COMPUTED_VALUE"""),"872🤙🏼The Quiet Man🤙🏼Maureen O'Hara🤙🏼Estrela 2")</f>
        <v>872🤙🏼The Quiet Man🤙🏼Maureen O'Hara🤙🏼Estrela 2</v>
      </c>
      <c r="H3487" s="5">
        <f>IFERROR(__xludf.DUMMYFUNCTION("SPLiT(G3487, ""🤙🏼"",FALSE,FALSE)"),872.0)</f>
        <v>872</v>
      </c>
      <c r="I3487" s="5" t="str">
        <f>IFERROR(__xludf.DUMMYFUNCTION("""COMPUTED_VALUE"""),"The Quiet Man")</f>
        <v>The Quiet Man</v>
      </c>
      <c r="J3487" s="5" t="str">
        <f>IFERROR(__xludf.DUMMYFUNCTION("""COMPUTED_VALUE"""),"Maureen O'Hara")</f>
        <v>Maureen O'Hara</v>
      </c>
      <c r="K3487" s="5" t="str">
        <f>IFERROR(__xludf.DUMMYFUNCTION("""COMPUTED_VALUE"""),"Estrela 2")</f>
        <v>Estrela 2</v>
      </c>
      <c r="P3487" s="5">
        <f>IFERROR(__xludf.DUMMYFUNCTION("""COMPUTED_VALUE"""),872.0)</f>
        <v>872</v>
      </c>
      <c r="Q3487" s="5" t="str">
        <f>IFERROR(__xludf.DUMMYFUNCTION("""COMPUTED_VALUE"""),"The Quiet Man")</f>
        <v>The Quiet Man</v>
      </c>
      <c r="R3487" s="5" t="str">
        <f>IFERROR(__xludf.DUMMYFUNCTION("""COMPUTED_VALUE"""),"Maureen O'Hara")</f>
        <v>Maureen O'Hara</v>
      </c>
      <c r="S3487" s="5" t="str">
        <f>IFERROR(__xludf.DUMMYFUNCTION("""COMPUTED_VALUE"""),"Estrela 2")</f>
        <v>Estrela 2</v>
      </c>
    </row>
    <row r="3488">
      <c r="G3488" s="5" t="str">
        <f>IFERROR(__xludf.DUMMYFUNCTION("""COMPUTED_VALUE"""),"872🤙🏼The Quiet Man🤙🏼Barry Fitzgerald🤙🏼Estrela 3")</f>
        <v>872🤙🏼The Quiet Man🤙🏼Barry Fitzgerald🤙🏼Estrela 3</v>
      </c>
      <c r="H3488" s="5">
        <f>IFERROR(__xludf.DUMMYFUNCTION("SPLiT(G3488, ""🤙🏼"",FALSE,FALSE)"),872.0)</f>
        <v>872</v>
      </c>
      <c r="I3488" s="5" t="str">
        <f>IFERROR(__xludf.DUMMYFUNCTION("""COMPUTED_VALUE"""),"The Quiet Man")</f>
        <v>The Quiet Man</v>
      </c>
      <c r="J3488" s="5" t="str">
        <f>IFERROR(__xludf.DUMMYFUNCTION("""COMPUTED_VALUE"""),"Barry Fitzgerald")</f>
        <v>Barry Fitzgerald</v>
      </c>
      <c r="K3488" s="5" t="str">
        <f>IFERROR(__xludf.DUMMYFUNCTION("""COMPUTED_VALUE"""),"Estrela 3")</f>
        <v>Estrela 3</v>
      </c>
      <c r="P3488" s="5">
        <f>IFERROR(__xludf.DUMMYFUNCTION("""COMPUTED_VALUE"""),872.0)</f>
        <v>872</v>
      </c>
      <c r="Q3488" s="5" t="str">
        <f>IFERROR(__xludf.DUMMYFUNCTION("""COMPUTED_VALUE"""),"The Quiet Man")</f>
        <v>The Quiet Man</v>
      </c>
      <c r="R3488" s="5" t="str">
        <f>IFERROR(__xludf.DUMMYFUNCTION("""COMPUTED_VALUE"""),"Barry Fitzgerald")</f>
        <v>Barry Fitzgerald</v>
      </c>
      <c r="S3488" s="5" t="str">
        <f>IFERROR(__xludf.DUMMYFUNCTION("""COMPUTED_VALUE"""),"Estrela 3")</f>
        <v>Estrela 3</v>
      </c>
    </row>
    <row r="3489">
      <c r="G3489" s="5" t="str">
        <f>IFERROR(__xludf.DUMMYFUNCTION("""COMPUTED_VALUE"""),"872🤙🏼The Quiet Man🤙🏼Ward Bond🤙🏼Estrela 4")</f>
        <v>872🤙🏼The Quiet Man🤙🏼Ward Bond🤙🏼Estrela 4</v>
      </c>
      <c r="H3489" s="5">
        <f>IFERROR(__xludf.DUMMYFUNCTION("SPLiT(G3489, ""🤙🏼"",FALSE,FALSE)"),872.0)</f>
        <v>872</v>
      </c>
      <c r="I3489" s="5" t="str">
        <f>IFERROR(__xludf.DUMMYFUNCTION("""COMPUTED_VALUE"""),"The Quiet Man")</f>
        <v>The Quiet Man</v>
      </c>
      <c r="J3489" s="5" t="str">
        <f>IFERROR(__xludf.DUMMYFUNCTION("""COMPUTED_VALUE"""),"Ward Bond")</f>
        <v>Ward Bond</v>
      </c>
      <c r="K3489" s="5" t="str">
        <f>IFERROR(__xludf.DUMMYFUNCTION("""COMPUTED_VALUE"""),"Estrela 4")</f>
        <v>Estrela 4</v>
      </c>
      <c r="P3489" s="5">
        <f>IFERROR(__xludf.DUMMYFUNCTION("""COMPUTED_VALUE"""),872.0)</f>
        <v>872</v>
      </c>
      <c r="Q3489" s="5" t="str">
        <f>IFERROR(__xludf.DUMMYFUNCTION("""COMPUTED_VALUE"""),"The Quiet Man")</f>
        <v>The Quiet Man</v>
      </c>
      <c r="R3489" s="5" t="str">
        <f>IFERROR(__xludf.DUMMYFUNCTION("""COMPUTED_VALUE"""),"Ward Bond")</f>
        <v>Ward Bond</v>
      </c>
      <c r="S3489" s="5" t="str">
        <f>IFERROR(__xludf.DUMMYFUNCTION("""COMPUTED_VALUE"""),"Estrela 4")</f>
        <v>Estrela 4</v>
      </c>
    </row>
    <row r="3490">
      <c r="G3490" s="5" t="str">
        <f>IFERROR(__xludf.DUMMYFUNCTION("""COMPUTED_VALUE"""),"873🤙🏼The Day the Earth Stood Still🤙🏼Michael Rennie🤙🏼Estrela 1")</f>
        <v>873🤙🏼The Day the Earth Stood Still🤙🏼Michael Rennie🤙🏼Estrela 1</v>
      </c>
      <c r="H3490" s="5">
        <f>IFERROR(__xludf.DUMMYFUNCTION("SPLiT(G3490, ""🤙🏼"",FALSE,FALSE)"),873.0)</f>
        <v>873</v>
      </c>
      <c r="I3490" s="5" t="str">
        <f>IFERROR(__xludf.DUMMYFUNCTION("""COMPUTED_VALUE"""),"The Day the Earth Stood Still")</f>
        <v>The Day the Earth Stood Still</v>
      </c>
      <c r="J3490" s="5" t="str">
        <f>IFERROR(__xludf.DUMMYFUNCTION("""COMPUTED_VALUE"""),"Michael Rennie")</f>
        <v>Michael Rennie</v>
      </c>
      <c r="K3490" s="5" t="str">
        <f>IFERROR(__xludf.DUMMYFUNCTION("""COMPUTED_VALUE"""),"Estrela 1")</f>
        <v>Estrela 1</v>
      </c>
      <c r="P3490" s="5">
        <f>IFERROR(__xludf.DUMMYFUNCTION("""COMPUTED_VALUE"""),873.0)</f>
        <v>873</v>
      </c>
      <c r="Q3490" s="5" t="str">
        <f>IFERROR(__xludf.DUMMYFUNCTION("""COMPUTED_VALUE"""),"The Day the Earth Stood Still")</f>
        <v>The Day the Earth Stood Still</v>
      </c>
      <c r="R3490" s="5" t="str">
        <f>IFERROR(__xludf.DUMMYFUNCTION("""COMPUTED_VALUE"""),"Michael Rennie")</f>
        <v>Michael Rennie</v>
      </c>
      <c r="S3490" s="5" t="str">
        <f>IFERROR(__xludf.DUMMYFUNCTION("""COMPUTED_VALUE"""),"Estrela 1")</f>
        <v>Estrela 1</v>
      </c>
    </row>
    <row r="3491">
      <c r="G3491" s="5" t="str">
        <f>IFERROR(__xludf.DUMMYFUNCTION("""COMPUTED_VALUE"""),"873🤙🏼The Day the Earth Stood Still🤙🏼Patricia Neal🤙🏼Estrela 2")</f>
        <v>873🤙🏼The Day the Earth Stood Still🤙🏼Patricia Neal🤙🏼Estrela 2</v>
      </c>
      <c r="H3491" s="5">
        <f>IFERROR(__xludf.DUMMYFUNCTION("SPLiT(G3491, ""🤙🏼"",FALSE,FALSE)"),873.0)</f>
        <v>873</v>
      </c>
      <c r="I3491" s="5" t="str">
        <f>IFERROR(__xludf.DUMMYFUNCTION("""COMPUTED_VALUE"""),"The Day the Earth Stood Still")</f>
        <v>The Day the Earth Stood Still</v>
      </c>
      <c r="J3491" s="5" t="str">
        <f>IFERROR(__xludf.DUMMYFUNCTION("""COMPUTED_VALUE"""),"Patricia Neal")</f>
        <v>Patricia Neal</v>
      </c>
      <c r="K3491" s="5" t="str">
        <f>IFERROR(__xludf.DUMMYFUNCTION("""COMPUTED_VALUE"""),"Estrela 2")</f>
        <v>Estrela 2</v>
      </c>
      <c r="P3491" s="5">
        <f>IFERROR(__xludf.DUMMYFUNCTION("""COMPUTED_VALUE"""),873.0)</f>
        <v>873</v>
      </c>
      <c r="Q3491" s="5" t="str">
        <f>IFERROR(__xludf.DUMMYFUNCTION("""COMPUTED_VALUE"""),"The Day the Earth Stood Still")</f>
        <v>The Day the Earth Stood Still</v>
      </c>
      <c r="R3491" s="5" t="str">
        <f>IFERROR(__xludf.DUMMYFUNCTION("""COMPUTED_VALUE"""),"Patricia Neal")</f>
        <v>Patricia Neal</v>
      </c>
      <c r="S3491" s="5" t="str">
        <f>IFERROR(__xludf.DUMMYFUNCTION("""COMPUTED_VALUE"""),"Estrela 2")</f>
        <v>Estrela 2</v>
      </c>
    </row>
    <row r="3492">
      <c r="G3492" s="5" t="str">
        <f>IFERROR(__xludf.DUMMYFUNCTION("""COMPUTED_VALUE"""),"873🤙🏼The Day the Earth Stood Still🤙🏼Hugh Marlowe🤙🏼Estrela 3")</f>
        <v>873🤙🏼The Day the Earth Stood Still🤙🏼Hugh Marlowe🤙🏼Estrela 3</v>
      </c>
      <c r="H3492" s="5">
        <f>IFERROR(__xludf.DUMMYFUNCTION("SPLiT(G3492, ""🤙🏼"",FALSE,FALSE)"),873.0)</f>
        <v>873</v>
      </c>
      <c r="I3492" s="5" t="str">
        <f>IFERROR(__xludf.DUMMYFUNCTION("""COMPUTED_VALUE"""),"The Day the Earth Stood Still")</f>
        <v>The Day the Earth Stood Still</v>
      </c>
      <c r="J3492" s="5" t="str">
        <f>IFERROR(__xludf.DUMMYFUNCTION("""COMPUTED_VALUE"""),"Hugh Marlowe")</f>
        <v>Hugh Marlowe</v>
      </c>
      <c r="K3492" s="5" t="str">
        <f>IFERROR(__xludf.DUMMYFUNCTION("""COMPUTED_VALUE"""),"Estrela 3")</f>
        <v>Estrela 3</v>
      </c>
      <c r="P3492" s="5">
        <f>IFERROR(__xludf.DUMMYFUNCTION("""COMPUTED_VALUE"""),873.0)</f>
        <v>873</v>
      </c>
      <c r="Q3492" s="5" t="str">
        <f>IFERROR(__xludf.DUMMYFUNCTION("""COMPUTED_VALUE"""),"The Day the Earth Stood Still")</f>
        <v>The Day the Earth Stood Still</v>
      </c>
      <c r="R3492" s="5" t="str">
        <f>IFERROR(__xludf.DUMMYFUNCTION("""COMPUTED_VALUE"""),"Hugh Marlowe")</f>
        <v>Hugh Marlowe</v>
      </c>
      <c r="S3492" s="5" t="str">
        <f>IFERROR(__xludf.DUMMYFUNCTION("""COMPUTED_VALUE"""),"Estrela 3")</f>
        <v>Estrela 3</v>
      </c>
    </row>
    <row r="3493">
      <c r="G3493" s="5" t="str">
        <f>IFERROR(__xludf.DUMMYFUNCTION("""COMPUTED_VALUE"""),"873🤙🏼The Day the Earth Stood Still🤙🏼Sam Jaffe🤙🏼Estrela 4")</f>
        <v>873🤙🏼The Day the Earth Stood Still🤙🏼Sam Jaffe🤙🏼Estrela 4</v>
      </c>
      <c r="H3493" s="5">
        <f>IFERROR(__xludf.DUMMYFUNCTION("SPLiT(G3493, ""🤙🏼"",FALSE,FALSE)"),873.0)</f>
        <v>873</v>
      </c>
      <c r="I3493" s="5" t="str">
        <f>IFERROR(__xludf.DUMMYFUNCTION("""COMPUTED_VALUE"""),"The Day the Earth Stood Still")</f>
        <v>The Day the Earth Stood Still</v>
      </c>
      <c r="J3493" s="5" t="str">
        <f>IFERROR(__xludf.DUMMYFUNCTION("""COMPUTED_VALUE"""),"Sam Jaffe")</f>
        <v>Sam Jaffe</v>
      </c>
      <c r="K3493" s="5" t="str">
        <f>IFERROR(__xludf.DUMMYFUNCTION("""COMPUTED_VALUE"""),"Estrela 4")</f>
        <v>Estrela 4</v>
      </c>
      <c r="P3493" s="5">
        <f>IFERROR(__xludf.DUMMYFUNCTION("""COMPUTED_VALUE"""),873.0)</f>
        <v>873</v>
      </c>
      <c r="Q3493" s="5" t="str">
        <f>IFERROR(__xludf.DUMMYFUNCTION("""COMPUTED_VALUE"""),"The Day the Earth Stood Still")</f>
        <v>The Day the Earth Stood Still</v>
      </c>
      <c r="R3493" s="5" t="str">
        <f>IFERROR(__xludf.DUMMYFUNCTION("""COMPUTED_VALUE"""),"Sam Jaffe")</f>
        <v>Sam Jaffe</v>
      </c>
      <c r="S3493" s="5" t="str">
        <f>IFERROR(__xludf.DUMMYFUNCTION("""COMPUTED_VALUE"""),"Estrela 4")</f>
        <v>Estrela 4</v>
      </c>
    </row>
    <row r="3494">
      <c r="G3494" s="5" t="str">
        <f>IFERROR(__xludf.DUMMYFUNCTION("""COMPUTED_VALUE"""),"874🤙🏼The African Queen🤙🏼Humphrey Bogart🤙🏼Estrela 1")</f>
        <v>874🤙🏼The African Queen🤙🏼Humphrey Bogart🤙🏼Estrela 1</v>
      </c>
      <c r="H3494" s="5">
        <f>IFERROR(__xludf.DUMMYFUNCTION("SPLiT(G3494, ""🤙🏼"",FALSE,FALSE)"),874.0)</f>
        <v>874</v>
      </c>
      <c r="I3494" s="5" t="str">
        <f>IFERROR(__xludf.DUMMYFUNCTION("""COMPUTED_VALUE"""),"The African Queen")</f>
        <v>The African Queen</v>
      </c>
      <c r="J3494" s="5" t="str">
        <f>IFERROR(__xludf.DUMMYFUNCTION("""COMPUTED_VALUE"""),"Humphrey Bogart")</f>
        <v>Humphrey Bogart</v>
      </c>
      <c r="K3494" s="5" t="str">
        <f>IFERROR(__xludf.DUMMYFUNCTION("""COMPUTED_VALUE"""),"Estrela 1")</f>
        <v>Estrela 1</v>
      </c>
      <c r="P3494" s="5">
        <f>IFERROR(__xludf.DUMMYFUNCTION("""COMPUTED_VALUE"""),874.0)</f>
        <v>874</v>
      </c>
      <c r="Q3494" s="5" t="str">
        <f>IFERROR(__xludf.DUMMYFUNCTION("""COMPUTED_VALUE"""),"The African Queen")</f>
        <v>The African Queen</v>
      </c>
      <c r="R3494" s="5" t="str">
        <f>IFERROR(__xludf.DUMMYFUNCTION("""COMPUTED_VALUE"""),"Humphrey Bogart")</f>
        <v>Humphrey Bogart</v>
      </c>
      <c r="S3494" s="5" t="str">
        <f>IFERROR(__xludf.DUMMYFUNCTION("""COMPUTED_VALUE"""),"Estrela 1")</f>
        <v>Estrela 1</v>
      </c>
    </row>
    <row r="3495">
      <c r="G3495" s="5" t="str">
        <f>IFERROR(__xludf.DUMMYFUNCTION("""COMPUTED_VALUE"""),"874🤙🏼The African Queen🤙🏼Katharine Hepburn🤙🏼Estrela 2")</f>
        <v>874🤙🏼The African Queen🤙🏼Katharine Hepburn🤙🏼Estrela 2</v>
      </c>
      <c r="H3495" s="5">
        <f>IFERROR(__xludf.DUMMYFUNCTION("SPLiT(G3495, ""🤙🏼"",FALSE,FALSE)"),874.0)</f>
        <v>874</v>
      </c>
      <c r="I3495" s="5" t="str">
        <f>IFERROR(__xludf.DUMMYFUNCTION("""COMPUTED_VALUE"""),"The African Queen")</f>
        <v>The African Queen</v>
      </c>
      <c r="J3495" s="5" t="str">
        <f>IFERROR(__xludf.DUMMYFUNCTION("""COMPUTED_VALUE"""),"Katharine Hepburn")</f>
        <v>Katharine Hepburn</v>
      </c>
      <c r="K3495" s="5" t="str">
        <f>IFERROR(__xludf.DUMMYFUNCTION("""COMPUTED_VALUE"""),"Estrela 2")</f>
        <v>Estrela 2</v>
      </c>
      <c r="P3495" s="5">
        <f>IFERROR(__xludf.DUMMYFUNCTION("""COMPUTED_VALUE"""),874.0)</f>
        <v>874</v>
      </c>
      <c r="Q3495" s="5" t="str">
        <f>IFERROR(__xludf.DUMMYFUNCTION("""COMPUTED_VALUE"""),"The African Queen")</f>
        <v>The African Queen</v>
      </c>
      <c r="R3495" s="5" t="str">
        <f>IFERROR(__xludf.DUMMYFUNCTION("""COMPUTED_VALUE"""),"Katharine Hepburn")</f>
        <v>Katharine Hepburn</v>
      </c>
      <c r="S3495" s="5" t="str">
        <f>IFERROR(__xludf.DUMMYFUNCTION("""COMPUTED_VALUE"""),"Estrela 2")</f>
        <v>Estrela 2</v>
      </c>
    </row>
    <row r="3496">
      <c r="G3496" s="5" t="str">
        <f>IFERROR(__xludf.DUMMYFUNCTION("""COMPUTED_VALUE"""),"874🤙🏼The African Queen🤙🏼Robert Morley🤙🏼Estrela 3")</f>
        <v>874🤙🏼The African Queen🤙🏼Robert Morley🤙🏼Estrela 3</v>
      </c>
      <c r="H3496" s="5">
        <f>IFERROR(__xludf.DUMMYFUNCTION("SPLiT(G3496, ""🤙🏼"",FALSE,FALSE)"),874.0)</f>
        <v>874</v>
      </c>
      <c r="I3496" s="5" t="str">
        <f>IFERROR(__xludf.DUMMYFUNCTION("""COMPUTED_VALUE"""),"The African Queen")</f>
        <v>The African Queen</v>
      </c>
      <c r="J3496" s="5" t="str">
        <f>IFERROR(__xludf.DUMMYFUNCTION("""COMPUTED_VALUE"""),"Robert Morley")</f>
        <v>Robert Morley</v>
      </c>
      <c r="K3496" s="5" t="str">
        <f>IFERROR(__xludf.DUMMYFUNCTION("""COMPUTED_VALUE"""),"Estrela 3")</f>
        <v>Estrela 3</v>
      </c>
      <c r="P3496" s="5">
        <f>IFERROR(__xludf.DUMMYFUNCTION("""COMPUTED_VALUE"""),874.0)</f>
        <v>874</v>
      </c>
      <c r="Q3496" s="5" t="str">
        <f>IFERROR(__xludf.DUMMYFUNCTION("""COMPUTED_VALUE"""),"The African Queen")</f>
        <v>The African Queen</v>
      </c>
      <c r="R3496" s="5" t="str">
        <f>IFERROR(__xludf.DUMMYFUNCTION("""COMPUTED_VALUE"""),"Robert Morley")</f>
        <v>Robert Morley</v>
      </c>
      <c r="S3496" s="5" t="str">
        <f>IFERROR(__xludf.DUMMYFUNCTION("""COMPUTED_VALUE"""),"Estrela 3")</f>
        <v>Estrela 3</v>
      </c>
    </row>
    <row r="3497">
      <c r="G3497" s="5" t="str">
        <f>IFERROR(__xludf.DUMMYFUNCTION("""COMPUTED_VALUE"""),"874🤙🏼The African Queen🤙🏼Peter Bull🤙🏼Estrela 4")</f>
        <v>874🤙🏼The African Queen🤙🏼Peter Bull🤙🏼Estrela 4</v>
      </c>
      <c r="H3497" s="5">
        <f>IFERROR(__xludf.DUMMYFUNCTION("SPLiT(G3497, ""🤙🏼"",FALSE,FALSE)"),874.0)</f>
        <v>874</v>
      </c>
      <c r="I3497" s="5" t="str">
        <f>IFERROR(__xludf.DUMMYFUNCTION("""COMPUTED_VALUE"""),"The African Queen")</f>
        <v>The African Queen</v>
      </c>
      <c r="J3497" s="5" t="str">
        <f>IFERROR(__xludf.DUMMYFUNCTION("""COMPUTED_VALUE"""),"Peter Bull")</f>
        <v>Peter Bull</v>
      </c>
      <c r="K3497" s="5" t="str">
        <f>IFERROR(__xludf.DUMMYFUNCTION("""COMPUTED_VALUE"""),"Estrela 4")</f>
        <v>Estrela 4</v>
      </c>
      <c r="P3497" s="5">
        <f>IFERROR(__xludf.DUMMYFUNCTION("""COMPUTED_VALUE"""),874.0)</f>
        <v>874</v>
      </c>
      <c r="Q3497" s="5" t="str">
        <f>IFERROR(__xludf.DUMMYFUNCTION("""COMPUTED_VALUE"""),"The African Queen")</f>
        <v>The African Queen</v>
      </c>
      <c r="R3497" s="5" t="str">
        <f>IFERROR(__xludf.DUMMYFUNCTION("""COMPUTED_VALUE"""),"Peter Bull")</f>
        <v>Peter Bull</v>
      </c>
      <c r="S3497" s="5" t="str">
        <f>IFERROR(__xludf.DUMMYFUNCTION("""COMPUTED_VALUE"""),"Estrela 4")</f>
        <v>Estrela 4</v>
      </c>
    </row>
    <row r="3498">
      <c r="G3498" s="5" t="str">
        <f>IFERROR(__xludf.DUMMYFUNCTION("""COMPUTED_VALUE"""),"875🤙🏼Gilda🤙🏼Rita Hayworth🤙🏼Estrela 1")</f>
        <v>875🤙🏼Gilda🤙🏼Rita Hayworth🤙🏼Estrela 1</v>
      </c>
      <c r="H3498" s="5">
        <f>IFERROR(__xludf.DUMMYFUNCTION("SPLiT(G3498, ""🤙🏼"",FALSE,FALSE)"),875.0)</f>
        <v>875</v>
      </c>
      <c r="I3498" s="5" t="str">
        <f>IFERROR(__xludf.DUMMYFUNCTION("""COMPUTED_VALUE"""),"Gilda")</f>
        <v>Gilda</v>
      </c>
      <c r="J3498" s="5" t="str">
        <f>IFERROR(__xludf.DUMMYFUNCTION("""COMPUTED_VALUE"""),"Rita Hayworth")</f>
        <v>Rita Hayworth</v>
      </c>
      <c r="K3498" s="5" t="str">
        <f>IFERROR(__xludf.DUMMYFUNCTION("""COMPUTED_VALUE"""),"Estrela 1")</f>
        <v>Estrela 1</v>
      </c>
      <c r="P3498" s="5">
        <f>IFERROR(__xludf.DUMMYFUNCTION("""COMPUTED_VALUE"""),875.0)</f>
        <v>875</v>
      </c>
      <c r="Q3498" s="5" t="str">
        <f>IFERROR(__xludf.DUMMYFUNCTION("""COMPUTED_VALUE"""),"Gilda")</f>
        <v>Gilda</v>
      </c>
      <c r="R3498" s="5" t="str">
        <f>IFERROR(__xludf.DUMMYFUNCTION("""COMPUTED_VALUE"""),"Rita Hayworth")</f>
        <v>Rita Hayworth</v>
      </c>
      <c r="S3498" s="5" t="str">
        <f>IFERROR(__xludf.DUMMYFUNCTION("""COMPUTED_VALUE"""),"Estrela 1")</f>
        <v>Estrela 1</v>
      </c>
    </row>
    <row r="3499">
      <c r="G3499" s="5" t="str">
        <f>IFERROR(__xludf.DUMMYFUNCTION("""COMPUTED_VALUE"""),"875🤙🏼Gilda🤙🏼Glenn Ford🤙🏼Estrela 2")</f>
        <v>875🤙🏼Gilda🤙🏼Glenn Ford🤙🏼Estrela 2</v>
      </c>
      <c r="H3499" s="5">
        <f>IFERROR(__xludf.DUMMYFUNCTION("SPLiT(G3499, ""🤙🏼"",FALSE,FALSE)"),875.0)</f>
        <v>875</v>
      </c>
      <c r="I3499" s="5" t="str">
        <f>IFERROR(__xludf.DUMMYFUNCTION("""COMPUTED_VALUE"""),"Gilda")</f>
        <v>Gilda</v>
      </c>
      <c r="J3499" s="5" t="str">
        <f>IFERROR(__xludf.DUMMYFUNCTION("""COMPUTED_VALUE"""),"Glenn Ford")</f>
        <v>Glenn Ford</v>
      </c>
      <c r="K3499" s="5" t="str">
        <f>IFERROR(__xludf.DUMMYFUNCTION("""COMPUTED_VALUE"""),"Estrela 2")</f>
        <v>Estrela 2</v>
      </c>
      <c r="P3499" s="5">
        <f>IFERROR(__xludf.DUMMYFUNCTION("""COMPUTED_VALUE"""),875.0)</f>
        <v>875</v>
      </c>
      <c r="Q3499" s="5" t="str">
        <f>IFERROR(__xludf.DUMMYFUNCTION("""COMPUTED_VALUE"""),"Gilda")</f>
        <v>Gilda</v>
      </c>
      <c r="R3499" s="5" t="str">
        <f>IFERROR(__xludf.DUMMYFUNCTION("""COMPUTED_VALUE"""),"Glenn Ford")</f>
        <v>Glenn Ford</v>
      </c>
      <c r="S3499" s="5" t="str">
        <f>IFERROR(__xludf.DUMMYFUNCTION("""COMPUTED_VALUE"""),"Estrela 2")</f>
        <v>Estrela 2</v>
      </c>
    </row>
    <row r="3500">
      <c r="G3500" s="5" t="str">
        <f>IFERROR(__xludf.DUMMYFUNCTION("""COMPUTED_VALUE"""),"875🤙🏼Gilda🤙🏼George Macready🤙🏼Estrela 3")</f>
        <v>875🤙🏼Gilda🤙🏼George Macready🤙🏼Estrela 3</v>
      </c>
      <c r="H3500" s="5">
        <f>IFERROR(__xludf.DUMMYFUNCTION("SPLiT(G3500, ""🤙🏼"",FALSE,FALSE)"),875.0)</f>
        <v>875</v>
      </c>
      <c r="I3500" s="5" t="str">
        <f>IFERROR(__xludf.DUMMYFUNCTION("""COMPUTED_VALUE"""),"Gilda")</f>
        <v>Gilda</v>
      </c>
      <c r="J3500" s="5" t="str">
        <f>IFERROR(__xludf.DUMMYFUNCTION("""COMPUTED_VALUE"""),"George Macready")</f>
        <v>George Macready</v>
      </c>
      <c r="K3500" s="5" t="str">
        <f>IFERROR(__xludf.DUMMYFUNCTION("""COMPUTED_VALUE"""),"Estrela 3")</f>
        <v>Estrela 3</v>
      </c>
      <c r="P3500" s="5">
        <f>IFERROR(__xludf.DUMMYFUNCTION("""COMPUTED_VALUE"""),875.0)</f>
        <v>875</v>
      </c>
      <c r="Q3500" s="5" t="str">
        <f>IFERROR(__xludf.DUMMYFUNCTION("""COMPUTED_VALUE"""),"Gilda")</f>
        <v>Gilda</v>
      </c>
      <c r="R3500" s="5" t="str">
        <f>IFERROR(__xludf.DUMMYFUNCTION("""COMPUTED_VALUE"""),"George Macready")</f>
        <v>George Macready</v>
      </c>
      <c r="S3500" s="5" t="str">
        <f>IFERROR(__xludf.DUMMYFUNCTION("""COMPUTED_VALUE"""),"Estrela 3")</f>
        <v>Estrela 3</v>
      </c>
    </row>
    <row r="3501">
      <c r="G3501" s="5" t="str">
        <f>IFERROR(__xludf.DUMMYFUNCTION("""COMPUTED_VALUE"""),"875🤙🏼Gilda🤙🏼Joseph Calleia🤙🏼Estrela 4")</f>
        <v>875🤙🏼Gilda🤙🏼Joseph Calleia🤙🏼Estrela 4</v>
      </c>
      <c r="H3501" s="5">
        <f>IFERROR(__xludf.DUMMYFUNCTION("SPLiT(G3501, ""🤙🏼"",FALSE,FALSE)"),875.0)</f>
        <v>875</v>
      </c>
      <c r="I3501" s="5" t="str">
        <f>IFERROR(__xludf.DUMMYFUNCTION("""COMPUTED_VALUE"""),"Gilda")</f>
        <v>Gilda</v>
      </c>
      <c r="J3501" s="5" t="str">
        <f>IFERROR(__xludf.DUMMYFUNCTION("""COMPUTED_VALUE"""),"Joseph Calleia")</f>
        <v>Joseph Calleia</v>
      </c>
      <c r="K3501" s="5" t="str">
        <f>IFERROR(__xludf.DUMMYFUNCTION("""COMPUTED_VALUE"""),"Estrela 4")</f>
        <v>Estrela 4</v>
      </c>
      <c r="P3501" s="5">
        <f>IFERROR(__xludf.DUMMYFUNCTION("""COMPUTED_VALUE"""),875.0)</f>
        <v>875</v>
      </c>
      <c r="Q3501" s="5" t="str">
        <f>IFERROR(__xludf.DUMMYFUNCTION("""COMPUTED_VALUE"""),"Gilda")</f>
        <v>Gilda</v>
      </c>
      <c r="R3501" s="5" t="str">
        <f>IFERROR(__xludf.DUMMYFUNCTION("""COMPUTED_VALUE"""),"Joseph Calleia")</f>
        <v>Joseph Calleia</v>
      </c>
      <c r="S3501" s="5" t="str">
        <f>IFERROR(__xludf.DUMMYFUNCTION("""COMPUTED_VALUE"""),"Estrela 4")</f>
        <v>Estrela 4</v>
      </c>
    </row>
    <row r="3502">
      <c r="G3502" s="5" t="str">
        <f>IFERROR(__xludf.DUMMYFUNCTION("""COMPUTED_VALUE"""),"876🤙🏼Fantasia🤙🏼Samuel Armstrong🤙🏼Estrela 1")</f>
        <v>876🤙🏼Fantasia🤙🏼Samuel Armstrong🤙🏼Estrela 1</v>
      </c>
      <c r="H3502" s="5">
        <f>IFERROR(__xludf.DUMMYFUNCTION("SPLiT(G3502, ""🤙🏼"",FALSE,FALSE)"),876.0)</f>
        <v>876</v>
      </c>
      <c r="I3502" s="5" t="str">
        <f>IFERROR(__xludf.DUMMYFUNCTION("""COMPUTED_VALUE"""),"Fantasia")</f>
        <v>Fantasia</v>
      </c>
      <c r="J3502" s="5" t="str">
        <f>IFERROR(__xludf.DUMMYFUNCTION("""COMPUTED_VALUE"""),"Samuel Armstrong")</f>
        <v>Samuel Armstrong</v>
      </c>
      <c r="K3502" s="5" t="str">
        <f>IFERROR(__xludf.DUMMYFUNCTION("""COMPUTED_VALUE"""),"Estrela 1")</f>
        <v>Estrela 1</v>
      </c>
      <c r="P3502" s="5">
        <f>IFERROR(__xludf.DUMMYFUNCTION("""COMPUTED_VALUE"""),876.0)</f>
        <v>876</v>
      </c>
      <c r="Q3502" s="5" t="str">
        <f>IFERROR(__xludf.DUMMYFUNCTION("""COMPUTED_VALUE"""),"Fantasia")</f>
        <v>Fantasia</v>
      </c>
      <c r="R3502" s="5" t="str">
        <f>IFERROR(__xludf.DUMMYFUNCTION("""COMPUTED_VALUE"""),"Samuel Armstrong")</f>
        <v>Samuel Armstrong</v>
      </c>
      <c r="S3502" s="5" t="str">
        <f>IFERROR(__xludf.DUMMYFUNCTION("""COMPUTED_VALUE"""),"Estrela 1")</f>
        <v>Estrela 1</v>
      </c>
    </row>
    <row r="3503">
      <c r="G3503" s="5" t="str">
        <f>IFERROR(__xludf.DUMMYFUNCTION("""COMPUTED_VALUE"""),"876🤙🏼Fantasia🤙🏼Ford Beebe Jr.🤙🏼Estrela 2")</f>
        <v>876🤙🏼Fantasia🤙🏼Ford Beebe Jr.🤙🏼Estrela 2</v>
      </c>
      <c r="H3503" s="5">
        <f>IFERROR(__xludf.DUMMYFUNCTION("SPLiT(G3503, ""🤙🏼"",FALSE,FALSE)"),876.0)</f>
        <v>876</v>
      </c>
      <c r="I3503" s="5" t="str">
        <f>IFERROR(__xludf.DUMMYFUNCTION("""COMPUTED_VALUE"""),"Fantasia")</f>
        <v>Fantasia</v>
      </c>
      <c r="J3503" s="5" t="str">
        <f>IFERROR(__xludf.DUMMYFUNCTION("""COMPUTED_VALUE"""),"Ford Beebe Jr.")</f>
        <v>Ford Beebe Jr.</v>
      </c>
      <c r="K3503" s="5" t="str">
        <f>IFERROR(__xludf.DUMMYFUNCTION("""COMPUTED_VALUE"""),"Estrela 2")</f>
        <v>Estrela 2</v>
      </c>
      <c r="P3503" s="5">
        <f>IFERROR(__xludf.DUMMYFUNCTION("""COMPUTED_VALUE"""),876.0)</f>
        <v>876</v>
      </c>
      <c r="Q3503" s="5" t="str">
        <f>IFERROR(__xludf.DUMMYFUNCTION("""COMPUTED_VALUE"""),"Fantasia")</f>
        <v>Fantasia</v>
      </c>
      <c r="R3503" s="5" t="str">
        <f>IFERROR(__xludf.DUMMYFUNCTION("""COMPUTED_VALUE"""),"Ford Beebe Jr.")</f>
        <v>Ford Beebe Jr.</v>
      </c>
      <c r="S3503" s="5" t="str">
        <f>IFERROR(__xludf.DUMMYFUNCTION("""COMPUTED_VALUE"""),"Estrela 2")</f>
        <v>Estrela 2</v>
      </c>
    </row>
    <row r="3504">
      <c r="G3504" s="5" t="str">
        <f>IFERROR(__xludf.DUMMYFUNCTION("""COMPUTED_VALUE"""),"876🤙🏼Fantasia🤙🏼Norman Ferguson🤙🏼Estrela 3")</f>
        <v>876🤙🏼Fantasia🤙🏼Norman Ferguson🤙🏼Estrela 3</v>
      </c>
      <c r="H3504" s="5">
        <f>IFERROR(__xludf.DUMMYFUNCTION("SPLiT(G3504, ""🤙🏼"",FALSE,FALSE)"),876.0)</f>
        <v>876</v>
      </c>
      <c r="I3504" s="5" t="str">
        <f>IFERROR(__xludf.DUMMYFUNCTION("""COMPUTED_VALUE"""),"Fantasia")</f>
        <v>Fantasia</v>
      </c>
      <c r="J3504" s="5" t="str">
        <f>IFERROR(__xludf.DUMMYFUNCTION("""COMPUTED_VALUE"""),"Norman Ferguson")</f>
        <v>Norman Ferguson</v>
      </c>
      <c r="K3504" s="5" t="str">
        <f>IFERROR(__xludf.DUMMYFUNCTION("""COMPUTED_VALUE"""),"Estrela 3")</f>
        <v>Estrela 3</v>
      </c>
      <c r="P3504" s="5">
        <f>IFERROR(__xludf.DUMMYFUNCTION("""COMPUTED_VALUE"""),876.0)</f>
        <v>876</v>
      </c>
      <c r="Q3504" s="5" t="str">
        <f>IFERROR(__xludf.DUMMYFUNCTION("""COMPUTED_VALUE"""),"Fantasia")</f>
        <v>Fantasia</v>
      </c>
      <c r="R3504" s="5" t="str">
        <f>IFERROR(__xludf.DUMMYFUNCTION("""COMPUTED_VALUE"""),"Norman Ferguson")</f>
        <v>Norman Ferguson</v>
      </c>
      <c r="S3504" s="5" t="str">
        <f>IFERROR(__xludf.DUMMYFUNCTION("""COMPUTED_VALUE"""),"Estrela 3")</f>
        <v>Estrela 3</v>
      </c>
    </row>
    <row r="3505">
      <c r="G3505" s="5" t="str">
        <f>IFERROR(__xludf.DUMMYFUNCTION("""COMPUTED_VALUE"""),"876🤙🏼Fantasia🤙🏼David Hand🤙🏼Estrela 4")</f>
        <v>876🤙🏼Fantasia🤙🏼David Hand🤙🏼Estrela 4</v>
      </c>
      <c r="H3505" s="5">
        <f>IFERROR(__xludf.DUMMYFUNCTION("SPLiT(G3505, ""🤙🏼"",FALSE,FALSE)"),876.0)</f>
        <v>876</v>
      </c>
      <c r="I3505" s="5" t="str">
        <f>IFERROR(__xludf.DUMMYFUNCTION("""COMPUTED_VALUE"""),"Fantasia")</f>
        <v>Fantasia</v>
      </c>
      <c r="J3505" s="5" t="str">
        <f>IFERROR(__xludf.DUMMYFUNCTION("""COMPUTED_VALUE"""),"David Hand")</f>
        <v>David Hand</v>
      </c>
      <c r="K3505" s="5" t="str">
        <f>IFERROR(__xludf.DUMMYFUNCTION("""COMPUTED_VALUE"""),"Estrela 4")</f>
        <v>Estrela 4</v>
      </c>
      <c r="P3505" s="5">
        <f>IFERROR(__xludf.DUMMYFUNCTION("""COMPUTED_VALUE"""),876.0)</f>
        <v>876</v>
      </c>
      <c r="Q3505" s="5" t="str">
        <f>IFERROR(__xludf.DUMMYFUNCTION("""COMPUTED_VALUE"""),"Fantasia")</f>
        <v>Fantasia</v>
      </c>
      <c r="R3505" s="5" t="str">
        <f>IFERROR(__xludf.DUMMYFUNCTION("""COMPUTED_VALUE"""),"David Hand")</f>
        <v>David Hand</v>
      </c>
      <c r="S3505" s="5" t="str">
        <f>IFERROR(__xludf.DUMMYFUNCTION("""COMPUTED_VALUE"""),"Estrela 4")</f>
        <v>Estrela 4</v>
      </c>
    </row>
    <row r="3506">
      <c r="G3506" s="5" t="str">
        <f>IFERROR(__xludf.DUMMYFUNCTION("""COMPUTED_VALUE"""),"877🤙🏼The Invisible Man🤙🏼Claude Rains🤙🏼Estrela 1")</f>
        <v>877🤙🏼The Invisible Man🤙🏼Claude Rains🤙🏼Estrela 1</v>
      </c>
      <c r="H3506" s="5">
        <f>IFERROR(__xludf.DUMMYFUNCTION("SPLiT(G3506, ""🤙🏼"",FALSE,FALSE)"),877.0)</f>
        <v>877</v>
      </c>
      <c r="I3506" s="5" t="str">
        <f>IFERROR(__xludf.DUMMYFUNCTION("""COMPUTED_VALUE"""),"The Invisible Man")</f>
        <v>The Invisible Man</v>
      </c>
      <c r="J3506" s="5" t="str">
        <f>IFERROR(__xludf.DUMMYFUNCTION("""COMPUTED_VALUE"""),"Claude Rains")</f>
        <v>Claude Rains</v>
      </c>
      <c r="K3506" s="5" t="str">
        <f>IFERROR(__xludf.DUMMYFUNCTION("""COMPUTED_VALUE"""),"Estrela 1")</f>
        <v>Estrela 1</v>
      </c>
      <c r="P3506" s="5">
        <f>IFERROR(__xludf.DUMMYFUNCTION("""COMPUTED_VALUE"""),877.0)</f>
        <v>877</v>
      </c>
      <c r="Q3506" s="5" t="str">
        <f>IFERROR(__xludf.DUMMYFUNCTION("""COMPUTED_VALUE"""),"The Invisible Man")</f>
        <v>The Invisible Man</v>
      </c>
      <c r="R3506" s="5" t="str">
        <f>IFERROR(__xludf.DUMMYFUNCTION("""COMPUTED_VALUE"""),"Claude Rains")</f>
        <v>Claude Rains</v>
      </c>
      <c r="S3506" s="5" t="str">
        <f>IFERROR(__xludf.DUMMYFUNCTION("""COMPUTED_VALUE"""),"Estrela 1")</f>
        <v>Estrela 1</v>
      </c>
    </row>
    <row r="3507">
      <c r="G3507" s="5" t="str">
        <f>IFERROR(__xludf.DUMMYFUNCTION("""COMPUTED_VALUE"""),"877🤙🏼The Invisible Man🤙🏼Gloria Stuart🤙🏼Estrela 2")</f>
        <v>877🤙🏼The Invisible Man🤙🏼Gloria Stuart🤙🏼Estrela 2</v>
      </c>
      <c r="H3507" s="5">
        <f>IFERROR(__xludf.DUMMYFUNCTION("SPLiT(G3507, ""🤙🏼"",FALSE,FALSE)"),877.0)</f>
        <v>877</v>
      </c>
      <c r="I3507" s="5" t="str">
        <f>IFERROR(__xludf.DUMMYFUNCTION("""COMPUTED_VALUE"""),"The Invisible Man")</f>
        <v>The Invisible Man</v>
      </c>
      <c r="J3507" s="5" t="str">
        <f>IFERROR(__xludf.DUMMYFUNCTION("""COMPUTED_VALUE"""),"Gloria Stuart")</f>
        <v>Gloria Stuart</v>
      </c>
      <c r="K3507" s="5" t="str">
        <f>IFERROR(__xludf.DUMMYFUNCTION("""COMPUTED_VALUE"""),"Estrela 2")</f>
        <v>Estrela 2</v>
      </c>
      <c r="P3507" s="5">
        <f>IFERROR(__xludf.DUMMYFUNCTION("""COMPUTED_VALUE"""),877.0)</f>
        <v>877</v>
      </c>
      <c r="Q3507" s="5" t="str">
        <f>IFERROR(__xludf.DUMMYFUNCTION("""COMPUTED_VALUE"""),"The Invisible Man")</f>
        <v>The Invisible Man</v>
      </c>
      <c r="R3507" s="5" t="str">
        <f>IFERROR(__xludf.DUMMYFUNCTION("""COMPUTED_VALUE"""),"Gloria Stuart")</f>
        <v>Gloria Stuart</v>
      </c>
      <c r="S3507" s="5" t="str">
        <f>IFERROR(__xludf.DUMMYFUNCTION("""COMPUTED_VALUE"""),"Estrela 2")</f>
        <v>Estrela 2</v>
      </c>
    </row>
    <row r="3508">
      <c r="G3508" s="5" t="str">
        <f>IFERROR(__xludf.DUMMYFUNCTION("""COMPUTED_VALUE"""),"877🤙🏼The Invisible Man🤙🏼William Harrigan🤙🏼Estrela 3")</f>
        <v>877🤙🏼The Invisible Man🤙🏼William Harrigan🤙🏼Estrela 3</v>
      </c>
      <c r="H3508" s="5">
        <f>IFERROR(__xludf.DUMMYFUNCTION("SPLiT(G3508, ""🤙🏼"",FALSE,FALSE)"),877.0)</f>
        <v>877</v>
      </c>
      <c r="I3508" s="5" t="str">
        <f>IFERROR(__xludf.DUMMYFUNCTION("""COMPUTED_VALUE"""),"The Invisible Man")</f>
        <v>The Invisible Man</v>
      </c>
      <c r="J3508" s="5" t="str">
        <f>IFERROR(__xludf.DUMMYFUNCTION("""COMPUTED_VALUE"""),"William Harrigan")</f>
        <v>William Harrigan</v>
      </c>
      <c r="K3508" s="5" t="str">
        <f>IFERROR(__xludf.DUMMYFUNCTION("""COMPUTED_VALUE"""),"Estrela 3")</f>
        <v>Estrela 3</v>
      </c>
      <c r="P3508" s="5">
        <f>IFERROR(__xludf.DUMMYFUNCTION("""COMPUTED_VALUE"""),877.0)</f>
        <v>877</v>
      </c>
      <c r="Q3508" s="5" t="str">
        <f>IFERROR(__xludf.DUMMYFUNCTION("""COMPUTED_VALUE"""),"The Invisible Man")</f>
        <v>The Invisible Man</v>
      </c>
      <c r="R3508" s="5" t="str">
        <f>IFERROR(__xludf.DUMMYFUNCTION("""COMPUTED_VALUE"""),"William Harrigan")</f>
        <v>William Harrigan</v>
      </c>
      <c r="S3508" s="5" t="str">
        <f>IFERROR(__xludf.DUMMYFUNCTION("""COMPUTED_VALUE"""),"Estrela 3")</f>
        <v>Estrela 3</v>
      </c>
    </row>
    <row r="3509">
      <c r="G3509" s="5" t="str">
        <f>IFERROR(__xludf.DUMMYFUNCTION("""COMPUTED_VALUE"""),"877🤙🏼The Invisible Man🤙🏼Henry Travers🤙🏼Estrela 4")</f>
        <v>877🤙🏼The Invisible Man🤙🏼Henry Travers🤙🏼Estrela 4</v>
      </c>
      <c r="H3509" s="5">
        <f>IFERROR(__xludf.DUMMYFUNCTION("SPLiT(G3509, ""🤙🏼"",FALSE,FALSE)"),877.0)</f>
        <v>877</v>
      </c>
      <c r="I3509" s="5" t="str">
        <f>IFERROR(__xludf.DUMMYFUNCTION("""COMPUTED_VALUE"""),"The Invisible Man")</f>
        <v>The Invisible Man</v>
      </c>
      <c r="J3509" s="5" t="str">
        <f>IFERROR(__xludf.DUMMYFUNCTION("""COMPUTED_VALUE"""),"Henry Travers")</f>
        <v>Henry Travers</v>
      </c>
      <c r="K3509" s="5" t="str">
        <f>IFERROR(__xludf.DUMMYFUNCTION("""COMPUTED_VALUE"""),"Estrela 4")</f>
        <v>Estrela 4</v>
      </c>
      <c r="P3509" s="5">
        <f>IFERROR(__xludf.DUMMYFUNCTION("""COMPUTED_VALUE"""),877.0)</f>
        <v>877</v>
      </c>
      <c r="Q3509" s="5" t="str">
        <f>IFERROR(__xludf.DUMMYFUNCTION("""COMPUTED_VALUE"""),"The Invisible Man")</f>
        <v>The Invisible Man</v>
      </c>
      <c r="R3509" s="5" t="str">
        <f>IFERROR(__xludf.DUMMYFUNCTION("""COMPUTED_VALUE"""),"Henry Travers")</f>
        <v>Henry Travers</v>
      </c>
      <c r="S3509" s="5" t="str">
        <f>IFERROR(__xludf.DUMMYFUNCTION("""COMPUTED_VALUE"""),"Estrela 4")</f>
        <v>Estrela 4</v>
      </c>
    </row>
    <row r="3510">
      <c r="G3510" s="5" t="str">
        <f>IFERROR(__xludf.DUMMYFUNCTION("""COMPUTED_VALUE"""),"878🤙🏼Dark Waters🤙🏼Mark Ruffalo🤙🏼Estrela 1")</f>
        <v>878🤙🏼Dark Waters🤙🏼Mark Ruffalo🤙🏼Estrela 1</v>
      </c>
      <c r="H3510" s="5">
        <f>IFERROR(__xludf.DUMMYFUNCTION("SPLiT(G3510, ""🤙🏼"",FALSE,FALSE)"),878.0)</f>
        <v>878</v>
      </c>
      <c r="I3510" s="5" t="str">
        <f>IFERROR(__xludf.DUMMYFUNCTION("""COMPUTED_VALUE"""),"Dark Waters")</f>
        <v>Dark Waters</v>
      </c>
      <c r="J3510" s="5" t="str">
        <f>IFERROR(__xludf.DUMMYFUNCTION("""COMPUTED_VALUE"""),"Mark Ruffalo")</f>
        <v>Mark Ruffalo</v>
      </c>
      <c r="K3510" s="5" t="str">
        <f>IFERROR(__xludf.DUMMYFUNCTION("""COMPUTED_VALUE"""),"Estrela 1")</f>
        <v>Estrela 1</v>
      </c>
      <c r="P3510" s="5">
        <f>IFERROR(__xludf.DUMMYFUNCTION("""COMPUTED_VALUE"""),878.0)</f>
        <v>878</v>
      </c>
      <c r="Q3510" s="5" t="str">
        <f>IFERROR(__xludf.DUMMYFUNCTION("""COMPUTED_VALUE"""),"Dark Waters")</f>
        <v>Dark Waters</v>
      </c>
      <c r="R3510" s="5" t="str">
        <f>IFERROR(__xludf.DUMMYFUNCTION("""COMPUTED_VALUE"""),"Mark Ruffalo")</f>
        <v>Mark Ruffalo</v>
      </c>
      <c r="S3510" s="5" t="str">
        <f>IFERROR(__xludf.DUMMYFUNCTION("""COMPUTED_VALUE"""),"Estrela 1")</f>
        <v>Estrela 1</v>
      </c>
    </row>
    <row r="3511">
      <c r="G3511" s="5" t="str">
        <f>IFERROR(__xludf.DUMMYFUNCTION("""COMPUTED_VALUE"""),"878🤙🏼Dark Waters🤙🏼Anne Hathaway🤙🏼Estrela 2")</f>
        <v>878🤙🏼Dark Waters🤙🏼Anne Hathaway🤙🏼Estrela 2</v>
      </c>
      <c r="H3511" s="5">
        <f>IFERROR(__xludf.DUMMYFUNCTION("SPLiT(G3511, ""🤙🏼"",FALSE,FALSE)"),878.0)</f>
        <v>878</v>
      </c>
      <c r="I3511" s="5" t="str">
        <f>IFERROR(__xludf.DUMMYFUNCTION("""COMPUTED_VALUE"""),"Dark Waters")</f>
        <v>Dark Waters</v>
      </c>
      <c r="J3511" s="5" t="str">
        <f>IFERROR(__xludf.DUMMYFUNCTION("""COMPUTED_VALUE"""),"Anne Hathaway")</f>
        <v>Anne Hathaway</v>
      </c>
      <c r="K3511" s="5" t="str">
        <f>IFERROR(__xludf.DUMMYFUNCTION("""COMPUTED_VALUE"""),"Estrela 2")</f>
        <v>Estrela 2</v>
      </c>
      <c r="P3511" s="5">
        <f>IFERROR(__xludf.DUMMYFUNCTION("""COMPUTED_VALUE"""),878.0)</f>
        <v>878</v>
      </c>
      <c r="Q3511" s="5" t="str">
        <f>IFERROR(__xludf.DUMMYFUNCTION("""COMPUTED_VALUE"""),"Dark Waters")</f>
        <v>Dark Waters</v>
      </c>
      <c r="R3511" s="5" t="str">
        <f>IFERROR(__xludf.DUMMYFUNCTION("""COMPUTED_VALUE"""),"Anne Hathaway")</f>
        <v>Anne Hathaway</v>
      </c>
      <c r="S3511" s="5" t="str">
        <f>IFERROR(__xludf.DUMMYFUNCTION("""COMPUTED_VALUE"""),"Estrela 2")</f>
        <v>Estrela 2</v>
      </c>
    </row>
    <row r="3512">
      <c r="G3512" s="5" t="str">
        <f>IFERROR(__xludf.DUMMYFUNCTION("""COMPUTED_VALUE"""),"878🤙🏼Dark Waters🤙🏼Tim Robbins🤙🏼Estrela 3")</f>
        <v>878🤙🏼Dark Waters🤙🏼Tim Robbins🤙🏼Estrela 3</v>
      </c>
      <c r="H3512" s="5">
        <f>IFERROR(__xludf.DUMMYFUNCTION("SPLiT(G3512, ""🤙🏼"",FALSE,FALSE)"),878.0)</f>
        <v>878</v>
      </c>
      <c r="I3512" s="5" t="str">
        <f>IFERROR(__xludf.DUMMYFUNCTION("""COMPUTED_VALUE"""),"Dark Waters")</f>
        <v>Dark Waters</v>
      </c>
      <c r="J3512" s="5" t="str">
        <f>IFERROR(__xludf.DUMMYFUNCTION("""COMPUTED_VALUE"""),"Tim Robbins")</f>
        <v>Tim Robbins</v>
      </c>
      <c r="K3512" s="5" t="str">
        <f>IFERROR(__xludf.DUMMYFUNCTION("""COMPUTED_VALUE"""),"Estrela 3")</f>
        <v>Estrela 3</v>
      </c>
      <c r="P3512" s="5">
        <f>IFERROR(__xludf.DUMMYFUNCTION("""COMPUTED_VALUE"""),878.0)</f>
        <v>878</v>
      </c>
      <c r="Q3512" s="5" t="str">
        <f>IFERROR(__xludf.DUMMYFUNCTION("""COMPUTED_VALUE"""),"Dark Waters")</f>
        <v>Dark Waters</v>
      </c>
      <c r="R3512" s="5" t="str">
        <f>IFERROR(__xludf.DUMMYFUNCTION("""COMPUTED_VALUE"""),"Tim Robbins")</f>
        <v>Tim Robbins</v>
      </c>
      <c r="S3512" s="5" t="str">
        <f>IFERROR(__xludf.DUMMYFUNCTION("""COMPUTED_VALUE"""),"Estrela 3")</f>
        <v>Estrela 3</v>
      </c>
    </row>
    <row r="3513">
      <c r="G3513" s="5" t="str">
        <f>IFERROR(__xludf.DUMMYFUNCTION("""COMPUTED_VALUE"""),"878🤙🏼Dark Waters🤙🏼Bill Pullman🤙🏼Estrela 4")</f>
        <v>878🤙🏼Dark Waters🤙🏼Bill Pullman🤙🏼Estrela 4</v>
      </c>
      <c r="H3513" s="5">
        <f>IFERROR(__xludf.DUMMYFUNCTION("SPLiT(G3513, ""🤙🏼"",FALSE,FALSE)"),878.0)</f>
        <v>878</v>
      </c>
      <c r="I3513" s="5" t="str">
        <f>IFERROR(__xludf.DUMMYFUNCTION("""COMPUTED_VALUE"""),"Dark Waters")</f>
        <v>Dark Waters</v>
      </c>
      <c r="J3513" s="5" t="str">
        <f>IFERROR(__xludf.DUMMYFUNCTION("""COMPUTED_VALUE"""),"Bill Pullman")</f>
        <v>Bill Pullman</v>
      </c>
      <c r="K3513" s="5" t="str">
        <f>IFERROR(__xludf.DUMMYFUNCTION("""COMPUTED_VALUE"""),"Estrela 4")</f>
        <v>Estrela 4</v>
      </c>
      <c r="P3513" s="5">
        <f>IFERROR(__xludf.DUMMYFUNCTION("""COMPUTED_VALUE"""),878.0)</f>
        <v>878</v>
      </c>
      <c r="Q3513" s="5" t="str">
        <f>IFERROR(__xludf.DUMMYFUNCTION("""COMPUTED_VALUE"""),"Dark Waters")</f>
        <v>Dark Waters</v>
      </c>
      <c r="R3513" s="5" t="str">
        <f>IFERROR(__xludf.DUMMYFUNCTION("""COMPUTED_VALUE"""),"Bill Pullman")</f>
        <v>Bill Pullman</v>
      </c>
      <c r="S3513" s="5" t="str">
        <f>IFERROR(__xludf.DUMMYFUNCTION("""COMPUTED_VALUE"""),"Estrela 4")</f>
        <v>Estrela 4</v>
      </c>
    </row>
    <row r="3514">
      <c r="G3514" s="5" t="str">
        <f>IFERROR(__xludf.DUMMYFUNCTION("""COMPUTED_VALUE"""),"879🤙🏼Searching🤙🏼John Cho🤙🏼Estrela 1")</f>
        <v>879🤙🏼Searching🤙🏼John Cho🤙🏼Estrela 1</v>
      </c>
      <c r="H3514" s="5">
        <f>IFERROR(__xludf.DUMMYFUNCTION("SPLiT(G3514, ""🤙🏼"",FALSE,FALSE)"),879.0)</f>
        <v>879</v>
      </c>
      <c r="I3514" s="5" t="str">
        <f>IFERROR(__xludf.DUMMYFUNCTION("""COMPUTED_VALUE"""),"Searching")</f>
        <v>Searching</v>
      </c>
      <c r="J3514" s="5" t="str">
        <f>IFERROR(__xludf.DUMMYFUNCTION("""COMPUTED_VALUE"""),"John Cho")</f>
        <v>John Cho</v>
      </c>
      <c r="K3514" s="5" t="str">
        <f>IFERROR(__xludf.DUMMYFUNCTION("""COMPUTED_VALUE"""),"Estrela 1")</f>
        <v>Estrela 1</v>
      </c>
      <c r="P3514" s="5">
        <f>IFERROR(__xludf.DUMMYFUNCTION("""COMPUTED_VALUE"""),879.0)</f>
        <v>879</v>
      </c>
      <c r="Q3514" s="5" t="str">
        <f>IFERROR(__xludf.DUMMYFUNCTION("""COMPUTED_VALUE"""),"Searching")</f>
        <v>Searching</v>
      </c>
      <c r="R3514" s="5" t="str">
        <f>IFERROR(__xludf.DUMMYFUNCTION("""COMPUTED_VALUE"""),"John Cho")</f>
        <v>John Cho</v>
      </c>
      <c r="S3514" s="5" t="str">
        <f>IFERROR(__xludf.DUMMYFUNCTION("""COMPUTED_VALUE"""),"Estrela 1")</f>
        <v>Estrela 1</v>
      </c>
    </row>
    <row r="3515">
      <c r="G3515" s="5" t="str">
        <f>IFERROR(__xludf.DUMMYFUNCTION("""COMPUTED_VALUE"""),"879🤙🏼Searching🤙🏼Debra Messing🤙🏼Estrela 2")</f>
        <v>879🤙🏼Searching🤙🏼Debra Messing🤙🏼Estrela 2</v>
      </c>
      <c r="H3515" s="5">
        <f>IFERROR(__xludf.DUMMYFUNCTION("SPLiT(G3515, ""🤙🏼"",FALSE,FALSE)"),879.0)</f>
        <v>879</v>
      </c>
      <c r="I3515" s="5" t="str">
        <f>IFERROR(__xludf.DUMMYFUNCTION("""COMPUTED_VALUE"""),"Searching")</f>
        <v>Searching</v>
      </c>
      <c r="J3515" s="5" t="str">
        <f>IFERROR(__xludf.DUMMYFUNCTION("""COMPUTED_VALUE"""),"Debra Messing")</f>
        <v>Debra Messing</v>
      </c>
      <c r="K3515" s="5" t="str">
        <f>IFERROR(__xludf.DUMMYFUNCTION("""COMPUTED_VALUE"""),"Estrela 2")</f>
        <v>Estrela 2</v>
      </c>
      <c r="P3515" s="5">
        <f>IFERROR(__xludf.DUMMYFUNCTION("""COMPUTED_VALUE"""),879.0)</f>
        <v>879</v>
      </c>
      <c r="Q3515" s="5" t="str">
        <f>IFERROR(__xludf.DUMMYFUNCTION("""COMPUTED_VALUE"""),"Searching")</f>
        <v>Searching</v>
      </c>
      <c r="R3515" s="5" t="str">
        <f>IFERROR(__xludf.DUMMYFUNCTION("""COMPUTED_VALUE"""),"Debra Messing")</f>
        <v>Debra Messing</v>
      </c>
      <c r="S3515" s="5" t="str">
        <f>IFERROR(__xludf.DUMMYFUNCTION("""COMPUTED_VALUE"""),"Estrela 2")</f>
        <v>Estrela 2</v>
      </c>
    </row>
    <row r="3516">
      <c r="G3516" s="5" t="str">
        <f>IFERROR(__xludf.DUMMYFUNCTION("""COMPUTED_VALUE"""),"879🤙🏼Searching🤙🏼Joseph Lee🤙🏼Estrela 3")</f>
        <v>879🤙🏼Searching🤙🏼Joseph Lee🤙🏼Estrela 3</v>
      </c>
      <c r="H3516" s="5">
        <f>IFERROR(__xludf.DUMMYFUNCTION("SPLiT(G3516, ""🤙🏼"",FALSE,FALSE)"),879.0)</f>
        <v>879</v>
      </c>
      <c r="I3516" s="5" t="str">
        <f>IFERROR(__xludf.DUMMYFUNCTION("""COMPUTED_VALUE"""),"Searching")</f>
        <v>Searching</v>
      </c>
      <c r="J3516" s="5" t="str">
        <f>IFERROR(__xludf.DUMMYFUNCTION("""COMPUTED_VALUE"""),"Joseph Lee")</f>
        <v>Joseph Lee</v>
      </c>
      <c r="K3516" s="5" t="str">
        <f>IFERROR(__xludf.DUMMYFUNCTION("""COMPUTED_VALUE"""),"Estrela 3")</f>
        <v>Estrela 3</v>
      </c>
      <c r="P3516" s="5">
        <f>IFERROR(__xludf.DUMMYFUNCTION("""COMPUTED_VALUE"""),879.0)</f>
        <v>879</v>
      </c>
      <c r="Q3516" s="5" t="str">
        <f>IFERROR(__xludf.DUMMYFUNCTION("""COMPUTED_VALUE"""),"Searching")</f>
        <v>Searching</v>
      </c>
      <c r="R3516" s="5" t="str">
        <f>IFERROR(__xludf.DUMMYFUNCTION("""COMPUTED_VALUE"""),"Joseph Lee")</f>
        <v>Joseph Lee</v>
      </c>
      <c r="S3516" s="5" t="str">
        <f>IFERROR(__xludf.DUMMYFUNCTION("""COMPUTED_VALUE"""),"Estrela 3")</f>
        <v>Estrela 3</v>
      </c>
    </row>
    <row r="3517">
      <c r="G3517" s="5" t="str">
        <f>IFERROR(__xludf.DUMMYFUNCTION("""COMPUTED_VALUE"""),"879🤙🏼Searching🤙🏼Michelle La🤙🏼Estrela 4")</f>
        <v>879🤙🏼Searching🤙🏼Michelle La🤙🏼Estrela 4</v>
      </c>
      <c r="H3517" s="5">
        <f>IFERROR(__xludf.DUMMYFUNCTION("SPLiT(G3517, ""🤙🏼"",FALSE,FALSE)"),879.0)</f>
        <v>879</v>
      </c>
      <c r="I3517" s="5" t="str">
        <f>IFERROR(__xludf.DUMMYFUNCTION("""COMPUTED_VALUE"""),"Searching")</f>
        <v>Searching</v>
      </c>
      <c r="J3517" s="5" t="str">
        <f>IFERROR(__xludf.DUMMYFUNCTION("""COMPUTED_VALUE"""),"Michelle La")</f>
        <v>Michelle La</v>
      </c>
      <c r="K3517" s="5" t="str">
        <f>IFERROR(__xludf.DUMMYFUNCTION("""COMPUTED_VALUE"""),"Estrela 4")</f>
        <v>Estrela 4</v>
      </c>
      <c r="P3517" s="5">
        <f>IFERROR(__xludf.DUMMYFUNCTION("""COMPUTED_VALUE"""),879.0)</f>
        <v>879</v>
      </c>
      <c r="Q3517" s="5" t="str">
        <f>IFERROR(__xludf.DUMMYFUNCTION("""COMPUTED_VALUE"""),"Searching")</f>
        <v>Searching</v>
      </c>
      <c r="R3517" s="5" t="str">
        <f>IFERROR(__xludf.DUMMYFUNCTION("""COMPUTED_VALUE"""),"Michelle La")</f>
        <v>Michelle La</v>
      </c>
      <c r="S3517" s="5" t="str">
        <f>IFERROR(__xludf.DUMMYFUNCTION("""COMPUTED_VALUE"""),"Estrela 4")</f>
        <v>Estrela 4</v>
      </c>
    </row>
    <row r="3518">
      <c r="G3518" s="5" t="str">
        <f>IFERROR(__xludf.DUMMYFUNCTION("""COMPUTED_VALUE"""),"880🤙🏼Once Upon a Time... in Hollywood🤙🏼Leonardo DiCaprio🤙🏼Estrela 1")</f>
        <v>880🤙🏼Once Upon a Time... in Hollywood🤙🏼Leonardo DiCaprio🤙🏼Estrela 1</v>
      </c>
      <c r="H3518" s="5">
        <f>IFERROR(__xludf.DUMMYFUNCTION("SPLiT(G3518, ""🤙🏼"",FALSE,FALSE)"),880.0)</f>
        <v>880</v>
      </c>
      <c r="I3518" s="5" t="str">
        <f>IFERROR(__xludf.DUMMYFUNCTION("""COMPUTED_VALUE"""),"Once Upon a Time... in Hollywood")</f>
        <v>Once Upon a Time... in Hollywood</v>
      </c>
      <c r="J3518" s="5" t="str">
        <f>IFERROR(__xludf.DUMMYFUNCTION("""COMPUTED_VALUE"""),"Leonardo DiCaprio")</f>
        <v>Leonardo DiCaprio</v>
      </c>
      <c r="K3518" s="5" t="str">
        <f>IFERROR(__xludf.DUMMYFUNCTION("""COMPUTED_VALUE"""),"Estrela 1")</f>
        <v>Estrela 1</v>
      </c>
      <c r="P3518" s="5">
        <f>IFERROR(__xludf.DUMMYFUNCTION("""COMPUTED_VALUE"""),880.0)</f>
        <v>880</v>
      </c>
      <c r="Q3518" s="5" t="str">
        <f>IFERROR(__xludf.DUMMYFUNCTION("""COMPUTED_VALUE"""),"Once Upon a Time... in Hollywood")</f>
        <v>Once Upon a Time... in Hollywood</v>
      </c>
      <c r="R3518" s="5" t="str">
        <f>IFERROR(__xludf.DUMMYFUNCTION("""COMPUTED_VALUE"""),"Leonardo DiCaprio")</f>
        <v>Leonardo DiCaprio</v>
      </c>
      <c r="S3518" s="5" t="str">
        <f>IFERROR(__xludf.DUMMYFUNCTION("""COMPUTED_VALUE"""),"Estrela 1")</f>
        <v>Estrela 1</v>
      </c>
    </row>
    <row r="3519">
      <c r="G3519" s="5" t="str">
        <f>IFERROR(__xludf.DUMMYFUNCTION("""COMPUTED_VALUE"""),"880🤙🏼Once Upon a Time... in Hollywood🤙🏼Brad Pitt🤙🏼Estrela 2")</f>
        <v>880🤙🏼Once Upon a Time... in Hollywood🤙🏼Brad Pitt🤙🏼Estrela 2</v>
      </c>
      <c r="H3519" s="5">
        <f>IFERROR(__xludf.DUMMYFUNCTION("SPLiT(G3519, ""🤙🏼"",FALSE,FALSE)"),880.0)</f>
        <v>880</v>
      </c>
      <c r="I3519" s="5" t="str">
        <f>IFERROR(__xludf.DUMMYFUNCTION("""COMPUTED_VALUE"""),"Once Upon a Time... in Hollywood")</f>
        <v>Once Upon a Time... in Hollywood</v>
      </c>
      <c r="J3519" s="5" t="str">
        <f>IFERROR(__xludf.DUMMYFUNCTION("""COMPUTED_VALUE"""),"Brad Pitt")</f>
        <v>Brad Pitt</v>
      </c>
      <c r="K3519" s="5" t="str">
        <f>IFERROR(__xludf.DUMMYFUNCTION("""COMPUTED_VALUE"""),"Estrela 2")</f>
        <v>Estrela 2</v>
      </c>
      <c r="P3519" s="5">
        <f>IFERROR(__xludf.DUMMYFUNCTION("""COMPUTED_VALUE"""),880.0)</f>
        <v>880</v>
      </c>
      <c r="Q3519" s="5" t="str">
        <f>IFERROR(__xludf.DUMMYFUNCTION("""COMPUTED_VALUE"""),"Once Upon a Time... in Hollywood")</f>
        <v>Once Upon a Time... in Hollywood</v>
      </c>
      <c r="R3519" s="5" t="str">
        <f>IFERROR(__xludf.DUMMYFUNCTION("""COMPUTED_VALUE"""),"Brad Pitt")</f>
        <v>Brad Pitt</v>
      </c>
      <c r="S3519" s="5" t="str">
        <f>IFERROR(__xludf.DUMMYFUNCTION("""COMPUTED_VALUE"""),"Estrela 2")</f>
        <v>Estrela 2</v>
      </c>
    </row>
    <row r="3520">
      <c r="G3520" s="5" t="str">
        <f>IFERROR(__xludf.DUMMYFUNCTION("""COMPUTED_VALUE"""),"880🤙🏼Once Upon a Time... in Hollywood🤙🏼Margot Robbie🤙🏼Estrela 3")</f>
        <v>880🤙🏼Once Upon a Time... in Hollywood🤙🏼Margot Robbie🤙🏼Estrela 3</v>
      </c>
      <c r="H3520" s="5">
        <f>IFERROR(__xludf.DUMMYFUNCTION("SPLiT(G3520, ""🤙🏼"",FALSE,FALSE)"),880.0)</f>
        <v>880</v>
      </c>
      <c r="I3520" s="5" t="str">
        <f>IFERROR(__xludf.DUMMYFUNCTION("""COMPUTED_VALUE"""),"Once Upon a Time... in Hollywood")</f>
        <v>Once Upon a Time... in Hollywood</v>
      </c>
      <c r="J3520" s="5" t="str">
        <f>IFERROR(__xludf.DUMMYFUNCTION("""COMPUTED_VALUE"""),"Margot Robbie")</f>
        <v>Margot Robbie</v>
      </c>
      <c r="K3520" s="5" t="str">
        <f>IFERROR(__xludf.DUMMYFUNCTION("""COMPUTED_VALUE"""),"Estrela 3")</f>
        <v>Estrela 3</v>
      </c>
      <c r="P3520" s="5">
        <f>IFERROR(__xludf.DUMMYFUNCTION("""COMPUTED_VALUE"""),880.0)</f>
        <v>880</v>
      </c>
      <c r="Q3520" s="5" t="str">
        <f>IFERROR(__xludf.DUMMYFUNCTION("""COMPUTED_VALUE"""),"Once Upon a Time... in Hollywood")</f>
        <v>Once Upon a Time... in Hollywood</v>
      </c>
      <c r="R3520" s="5" t="str">
        <f>IFERROR(__xludf.DUMMYFUNCTION("""COMPUTED_VALUE"""),"Margot Robbie")</f>
        <v>Margot Robbie</v>
      </c>
      <c r="S3520" s="5" t="str">
        <f>IFERROR(__xludf.DUMMYFUNCTION("""COMPUTED_VALUE"""),"Estrela 3")</f>
        <v>Estrela 3</v>
      </c>
    </row>
    <row r="3521">
      <c r="G3521" s="5" t="str">
        <f>IFERROR(__xludf.DUMMYFUNCTION("""COMPUTED_VALUE"""),"880🤙🏼Once Upon a Time... in Hollywood🤙🏼Emile Hirsch🤙🏼Estrela 4")</f>
        <v>880🤙🏼Once Upon a Time... in Hollywood🤙🏼Emile Hirsch🤙🏼Estrela 4</v>
      </c>
      <c r="H3521" s="5">
        <f>IFERROR(__xludf.DUMMYFUNCTION("SPLiT(G3521, ""🤙🏼"",FALSE,FALSE)"),880.0)</f>
        <v>880</v>
      </c>
      <c r="I3521" s="5" t="str">
        <f>IFERROR(__xludf.DUMMYFUNCTION("""COMPUTED_VALUE"""),"Once Upon a Time... in Hollywood")</f>
        <v>Once Upon a Time... in Hollywood</v>
      </c>
      <c r="J3521" s="5" t="str">
        <f>IFERROR(__xludf.DUMMYFUNCTION("""COMPUTED_VALUE"""),"Emile Hirsch")</f>
        <v>Emile Hirsch</v>
      </c>
      <c r="K3521" s="5" t="str">
        <f>IFERROR(__xludf.DUMMYFUNCTION("""COMPUTED_VALUE"""),"Estrela 4")</f>
        <v>Estrela 4</v>
      </c>
      <c r="P3521" s="5">
        <f>IFERROR(__xludf.DUMMYFUNCTION("""COMPUTED_VALUE"""),880.0)</f>
        <v>880</v>
      </c>
      <c r="Q3521" s="5" t="str">
        <f>IFERROR(__xludf.DUMMYFUNCTION("""COMPUTED_VALUE"""),"Once Upon a Time... in Hollywood")</f>
        <v>Once Upon a Time... in Hollywood</v>
      </c>
      <c r="R3521" s="5" t="str">
        <f>IFERROR(__xludf.DUMMYFUNCTION("""COMPUTED_VALUE"""),"Emile Hirsch")</f>
        <v>Emile Hirsch</v>
      </c>
      <c r="S3521" s="5" t="str">
        <f>IFERROR(__xludf.DUMMYFUNCTION("""COMPUTED_VALUE"""),"Estrela 4")</f>
        <v>Estrela 4</v>
      </c>
    </row>
    <row r="3522">
      <c r="G3522" s="5" t="str">
        <f>IFERROR(__xludf.DUMMYFUNCTION("""COMPUTED_VALUE"""),"881🤙🏼Nelyubov🤙🏼Maryana Spivak🤙🏼Estrela 1")</f>
        <v>881🤙🏼Nelyubov🤙🏼Maryana Spivak🤙🏼Estrela 1</v>
      </c>
      <c r="H3522" s="5">
        <f>IFERROR(__xludf.DUMMYFUNCTION("SPLiT(G3522, ""🤙🏼"",FALSE,FALSE)"),881.0)</f>
        <v>881</v>
      </c>
      <c r="I3522" s="5" t="str">
        <f>IFERROR(__xludf.DUMMYFUNCTION("""COMPUTED_VALUE"""),"Nelyubov")</f>
        <v>Nelyubov</v>
      </c>
      <c r="J3522" s="5" t="str">
        <f>IFERROR(__xludf.DUMMYFUNCTION("""COMPUTED_VALUE"""),"Maryana Spivak")</f>
        <v>Maryana Spivak</v>
      </c>
      <c r="K3522" s="5" t="str">
        <f>IFERROR(__xludf.DUMMYFUNCTION("""COMPUTED_VALUE"""),"Estrela 1")</f>
        <v>Estrela 1</v>
      </c>
      <c r="P3522" s="5">
        <f>IFERROR(__xludf.DUMMYFUNCTION("""COMPUTED_VALUE"""),881.0)</f>
        <v>881</v>
      </c>
      <c r="Q3522" s="5" t="str">
        <f>IFERROR(__xludf.DUMMYFUNCTION("""COMPUTED_VALUE"""),"Nelyubov")</f>
        <v>Nelyubov</v>
      </c>
      <c r="R3522" s="5" t="str">
        <f>IFERROR(__xludf.DUMMYFUNCTION("""COMPUTED_VALUE"""),"Maryana Spivak")</f>
        <v>Maryana Spivak</v>
      </c>
      <c r="S3522" s="5" t="str">
        <f>IFERROR(__xludf.DUMMYFUNCTION("""COMPUTED_VALUE"""),"Estrela 1")</f>
        <v>Estrela 1</v>
      </c>
    </row>
    <row r="3523">
      <c r="G3523" s="5" t="str">
        <f>IFERROR(__xludf.DUMMYFUNCTION("""COMPUTED_VALUE"""),"881🤙🏼Nelyubov🤙🏼Aleksey Rozin🤙🏼Estrela 2")</f>
        <v>881🤙🏼Nelyubov🤙🏼Aleksey Rozin🤙🏼Estrela 2</v>
      </c>
      <c r="H3523" s="5">
        <f>IFERROR(__xludf.DUMMYFUNCTION("SPLiT(G3523, ""🤙🏼"",FALSE,FALSE)"),881.0)</f>
        <v>881</v>
      </c>
      <c r="I3523" s="5" t="str">
        <f>IFERROR(__xludf.DUMMYFUNCTION("""COMPUTED_VALUE"""),"Nelyubov")</f>
        <v>Nelyubov</v>
      </c>
      <c r="J3523" s="5" t="str">
        <f>IFERROR(__xludf.DUMMYFUNCTION("""COMPUTED_VALUE"""),"Aleksey Rozin")</f>
        <v>Aleksey Rozin</v>
      </c>
      <c r="K3523" s="5" t="str">
        <f>IFERROR(__xludf.DUMMYFUNCTION("""COMPUTED_VALUE"""),"Estrela 2")</f>
        <v>Estrela 2</v>
      </c>
      <c r="P3523" s="5">
        <f>IFERROR(__xludf.DUMMYFUNCTION("""COMPUTED_VALUE"""),881.0)</f>
        <v>881</v>
      </c>
      <c r="Q3523" s="5" t="str">
        <f>IFERROR(__xludf.DUMMYFUNCTION("""COMPUTED_VALUE"""),"Nelyubov")</f>
        <v>Nelyubov</v>
      </c>
      <c r="R3523" s="5" t="str">
        <f>IFERROR(__xludf.DUMMYFUNCTION("""COMPUTED_VALUE"""),"Aleksey Rozin")</f>
        <v>Aleksey Rozin</v>
      </c>
      <c r="S3523" s="5" t="str">
        <f>IFERROR(__xludf.DUMMYFUNCTION("""COMPUTED_VALUE"""),"Estrela 2")</f>
        <v>Estrela 2</v>
      </c>
    </row>
    <row r="3524">
      <c r="G3524" s="5" t="str">
        <f>IFERROR(__xludf.DUMMYFUNCTION("""COMPUTED_VALUE"""),"881🤙🏼Nelyubov🤙🏼Matvey Novikov🤙🏼Estrela 3")</f>
        <v>881🤙🏼Nelyubov🤙🏼Matvey Novikov🤙🏼Estrela 3</v>
      </c>
      <c r="H3524" s="5">
        <f>IFERROR(__xludf.DUMMYFUNCTION("SPLiT(G3524, ""🤙🏼"",FALSE,FALSE)"),881.0)</f>
        <v>881</v>
      </c>
      <c r="I3524" s="5" t="str">
        <f>IFERROR(__xludf.DUMMYFUNCTION("""COMPUTED_VALUE"""),"Nelyubov")</f>
        <v>Nelyubov</v>
      </c>
      <c r="J3524" s="5" t="str">
        <f>IFERROR(__xludf.DUMMYFUNCTION("""COMPUTED_VALUE"""),"Matvey Novikov")</f>
        <v>Matvey Novikov</v>
      </c>
      <c r="K3524" s="5" t="str">
        <f>IFERROR(__xludf.DUMMYFUNCTION("""COMPUTED_VALUE"""),"Estrela 3")</f>
        <v>Estrela 3</v>
      </c>
      <c r="P3524" s="5">
        <f>IFERROR(__xludf.DUMMYFUNCTION("""COMPUTED_VALUE"""),881.0)</f>
        <v>881</v>
      </c>
      <c r="Q3524" s="5" t="str">
        <f>IFERROR(__xludf.DUMMYFUNCTION("""COMPUTED_VALUE"""),"Nelyubov")</f>
        <v>Nelyubov</v>
      </c>
      <c r="R3524" s="5" t="str">
        <f>IFERROR(__xludf.DUMMYFUNCTION("""COMPUTED_VALUE"""),"Matvey Novikov")</f>
        <v>Matvey Novikov</v>
      </c>
      <c r="S3524" s="5" t="str">
        <f>IFERROR(__xludf.DUMMYFUNCTION("""COMPUTED_VALUE"""),"Estrela 3")</f>
        <v>Estrela 3</v>
      </c>
    </row>
    <row r="3525">
      <c r="G3525" s="5" t="str">
        <f>IFERROR(__xludf.DUMMYFUNCTION("""COMPUTED_VALUE"""),"881🤙🏼Nelyubov🤙🏼Marina Vasileva🤙🏼Estrela 4")</f>
        <v>881🤙🏼Nelyubov🤙🏼Marina Vasileva🤙🏼Estrela 4</v>
      </c>
      <c r="H3525" s="5">
        <f>IFERROR(__xludf.DUMMYFUNCTION("SPLiT(G3525, ""🤙🏼"",FALSE,FALSE)"),881.0)</f>
        <v>881</v>
      </c>
      <c r="I3525" s="5" t="str">
        <f>IFERROR(__xludf.DUMMYFUNCTION("""COMPUTED_VALUE"""),"Nelyubov")</f>
        <v>Nelyubov</v>
      </c>
      <c r="J3525" s="5" t="str">
        <f>IFERROR(__xludf.DUMMYFUNCTION("""COMPUTED_VALUE"""),"Marina Vasileva")</f>
        <v>Marina Vasileva</v>
      </c>
      <c r="K3525" s="5" t="str">
        <f>IFERROR(__xludf.DUMMYFUNCTION("""COMPUTED_VALUE"""),"Estrela 4")</f>
        <v>Estrela 4</v>
      </c>
      <c r="P3525" s="5">
        <f>IFERROR(__xludf.DUMMYFUNCTION("""COMPUTED_VALUE"""),881.0)</f>
        <v>881</v>
      </c>
      <c r="Q3525" s="5" t="str">
        <f>IFERROR(__xludf.DUMMYFUNCTION("""COMPUTED_VALUE"""),"Nelyubov")</f>
        <v>Nelyubov</v>
      </c>
      <c r="R3525" s="5" t="str">
        <f>IFERROR(__xludf.DUMMYFUNCTION("""COMPUTED_VALUE"""),"Marina Vasileva")</f>
        <v>Marina Vasileva</v>
      </c>
      <c r="S3525" s="5" t="str">
        <f>IFERROR(__xludf.DUMMYFUNCTION("""COMPUTED_VALUE"""),"Estrela 4")</f>
        <v>Estrela 4</v>
      </c>
    </row>
    <row r="3526">
      <c r="G3526" s="5" t="str">
        <f>IFERROR(__xludf.DUMMYFUNCTION("""COMPUTED_VALUE"""),"882🤙🏼The Florida Project🤙🏼Brooklynn Prince🤙🏼Estrela 1")</f>
        <v>882🤙🏼The Florida Project🤙🏼Brooklynn Prince🤙🏼Estrela 1</v>
      </c>
      <c r="H3526" s="5">
        <f>IFERROR(__xludf.DUMMYFUNCTION("SPLiT(G3526, ""🤙🏼"",FALSE,FALSE)"),882.0)</f>
        <v>882</v>
      </c>
      <c r="I3526" s="5" t="str">
        <f>IFERROR(__xludf.DUMMYFUNCTION("""COMPUTED_VALUE"""),"The Florida Project")</f>
        <v>The Florida Project</v>
      </c>
      <c r="J3526" s="5" t="str">
        <f>IFERROR(__xludf.DUMMYFUNCTION("""COMPUTED_VALUE"""),"Brooklynn Prince")</f>
        <v>Brooklynn Prince</v>
      </c>
      <c r="K3526" s="5" t="str">
        <f>IFERROR(__xludf.DUMMYFUNCTION("""COMPUTED_VALUE"""),"Estrela 1")</f>
        <v>Estrela 1</v>
      </c>
      <c r="P3526" s="5">
        <f>IFERROR(__xludf.DUMMYFUNCTION("""COMPUTED_VALUE"""),882.0)</f>
        <v>882</v>
      </c>
      <c r="Q3526" s="5" t="str">
        <f>IFERROR(__xludf.DUMMYFUNCTION("""COMPUTED_VALUE"""),"The Florida Project")</f>
        <v>The Florida Project</v>
      </c>
      <c r="R3526" s="5" t="str">
        <f>IFERROR(__xludf.DUMMYFUNCTION("""COMPUTED_VALUE"""),"Brooklynn Prince")</f>
        <v>Brooklynn Prince</v>
      </c>
      <c r="S3526" s="5" t="str">
        <f>IFERROR(__xludf.DUMMYFUNCTION("""COMPUTED_VALUE"""),"Estrela 1")</f>
        <v>Estrela 1</v>
      </c>
    </row>
    <row r="3527">
      <c r="G3527" s="5" t="str">
        <f>IFERROR(__xludf.DUMMYFUNCTION("""COMPUTED_VALUE"""),"882🤙🏼The Florida Project🤙🏼Bria Vinaite🤙🏼Estrela 2")</f>
        <v>882🤙🏼The Florida Project🤙🏼Bria Vinaite🤙🏼Estrela 2</v>
      </c>
      <c r="H3527" s="5">
        <f>IFERROR(__xludf.DUMMYFUNCTION("SPLiT(G3527, ""🤙🏼"",FALSE,FALSE)"),882.0)</f>
        <v>882</v>
      </c>
      <c r="I3527" s="5" t="str">
        <f>IFERROR(__xludf.DUMMYFUNCTION("""COMPUTED_VALUE"""),"The Florida Project")</f>
        <v>The Florida Project</v>
      </c>
      <c r="J3527" s="5" t="str">
        <f>IFERROR(__xludf.DUMMYFUNCTION("""COMPUTED_VALUE"""),"Bria Vinaite")</f>
        <v>Bria Vinaite</v>
      </c>
      <c r="K3527" s="5" t="str">
        <f>IFERROR(__xludf.DUMMYFUNCTION("""COMPUTED_VALUE"""),"Estrela 2")</f>
        <v>Estrela 2</v>
      </c>
      <c r="P3527" s="5">
        <f>IFERROR(__xludf.DUMMYFUNCTION("""COMPUTED_VALUE"""),882.0)</f>
        <v>882</v>
      </c>
      <c r="Q3527" s="5" t="str">
        <f>IFERROR(__xludf.DUMMYFUNCTION("""COMPUTED_VALUE"""),"The Florida Project")</f>
        <v>The Florida Project</v>
      </c>
      <c r="R3527" s="5" t="str">
        <f>IFERROR(__xludf.DUMMYFUNCTION("""COMPUTED_VALUE"""),"Bria Vinaite")</f>
        <v>Bria Vinaite</v>
      </c>
      <c r="S3527" s="5" t="str">
        <f>IFERROR(__xludf.DUMMYFUNCTION("""COMPUTED_VALUE"""),"Estrela 2")</f>
        <v>Estrela 2</v>
      </c>
    </row>
    <row r="3528">
      <c r="G3528" s="5" t="str">
        <f>IFERROR(__xludf.DUMMYFUNCTION("""COMPUTED_VALUE"""),"882🤙🏼The Florida Project🤙🏼Willem Dafoe🤙🏼Estrela 3")</f>
        <v>882🤙🏼The Florida Project🤙🏼Willem Dafoe🤙🏼Estrela 3</v>
      </c>
      <c r="H3528" s="5">
        <f>IFERROR(__xludf.DUMMYFUNCTION("SPLiT(G3528, ""🤙🏼"",FALSE,FALSE)"),882.0)</f>
        <v>882</v>
      </c>
      <c r="I3528" s="5" t="str">
        <f>IFERROR(__xludf.DUMMYFUNCTION("""COMPUTED_VALUE"""),"The Florida Project")</f>
        <v>The Florida Project</v>
      </c>
      <c r="J3528" s="5" t="str">
        <f>IFERROR(__xludf.DUMMYFUNCTION("""COMPUTED_VALUE"""),"Willem Dafoe")</f>
        <v>Willem Dafoe</v>
      </c>
      <c r="K3528" s="5" t="str">
        <f>IFERROR(__xludf.DUMMYFUNCTION("""COMPUTED_VALUE"""),"Estrela 3")</f>
        <v>Estrela 3</v>
      </c>
      <c r="P3528" s="5">
        <f>IFERROR(__xludf.DUMMYFUNCTION("""COMPUTED_VALUE"""),882.0)</f>
        <v>882</v>
      </c>
      <c r="Q3528" s="5" t="str">
        <f>IFERROR(__xludf.DUMMYFUNCTION("""COMPUTED_VALUE"""),"The Florida Project")</f>
        <v>The Florida Project</v>
      </c>
      <c r="R3528" s="5" t="str">
        <f>IFERROR(__xludf.DUMMYFUNCTION("""COMPUTED_VALUE"""),"Willem Dafoe")</f>
        <v>Willem Dafoe</v>
      </c>
      <c r="S3528" s="5" t="str">
        <f>IFERROR(__xludf.DUMMYFUNCTION("""COMPUTED_VALUE"""),"Estrela 3")</f>
        <v>Estrela 3</v>
      </c>
    </row>
    <row r="3529">
      <c r="G3529" s="5" t="str">
        <f>IFERROR(__xludf.DUMMYFUNCTION("""COMPUTED_VALUE"""),"882🤙🏼The Florida Project🤙🏼Christopher Rivera🤙🏼Estrela 4")</f>
        <v>882🤙🏼The Florida Project🤙🏼Christopher Rivera🤙🏼Estrela 4</v>
      </c>
      <c r="H3529" s="5">
        <f>IFERROR(__xludf.DUMMYFUNCTION("SPLiT(G3529, ""🤙🏼"",FALSE,FALSE)"),882.0)</f>
        <v>882</v>
      </c>
      <c r="I3529" s="5" t="str">
        <f>IFERROR(__xludf.DUMMYFUNCTION("""COMPUTED_VALUE"""),"The Florida Project")</f>
        <v>The Florida Project</v>
      </c>
      <c r="J3529" s="5" t="str">
        <f>IFERROR(__xludf.DUMMYFUNCTION("""COMPUTED_VALUE"""),"Christopher Rivera")</f>
        <v>Christopher Rivera</v>
      </c>
      <c r="K3529" s="5" t="str">
        <f>IFERROR(__xludf.DUMMYFUNCTION("""COMPUTED_VALUE"""),"Estrela 4")</f>
        <v>Estrela 4</v>
      </c>
      <c r="P3529" s="5">
        <f>IFERROR(__xludf.DUMMYFUNCTION("""COMPUTED_VALUE"""),882.0)</f>
        <v>882</v>
      </c>
      <c r="Q3529" s="5" t="str">
        <f>IFERROR(__xludf.DUMMYFUNCTION("""COMPUTED_VALUE"""),"The Florida Project")</f>
        <v>The Florida Project</v>
      </c>
      <c r="R3529" s="5" t="str">
        <f>IFERROR(__xludf.DUMMYFUNCTION("""COMPUTED_VALUE"""),"Christopher Rivera")</f>
        <v>Christopher Rivera</v>
      </c>
      <c r="S3529" s="5" t="str">
        <f>IFERROR(__xludf.DUMMYFUNCTION("""COMPUTED_VALUE"""),"Estrela 4")</f>
        <v>Estrela 4</v>
      </c>
    </row>
    <row r="3530">
      <c r="G3530" s="5" t="str">
        <f>IFERROR(__xludf.DUMMYFUNCTION("""COMPUTED_VALUE"""),"883🤙🏼Just Mercy🤙🏼Michael B. Jordan🤙🏼Estrela 1")</f>
        <v>883🤙🏼Just Mercy🤙🏼Michael B. Jordan🤙🏼Estrela 1</v>
      </c>
      <c r="H3530" s="5">
        <f>IFERROR(__xludf.DUMMYFUNCTION("SPLiT(G3530, ""🤙🏼"",FALSE,FALSE)"),883.0)</f>
        <v>883</v>
      </c>
      <c r="I3530" s="5" t="str">
        <f>IFERROR(__xludf.DUMMYFUNCTION("""COMPUTED_VALUE"""),"Just Mercy")</f>
        <v>Just Mercy</v>
      </c>
      <c r="J3530" s="5" t="str">
        <f>IFERROR(__xludf.DUMMYFUNCTION("""COMPUTED_VALUE"""),"Michael B. Jordan")</f>
        <v>Michael B. Jordan</v>
      </c>
      <c r="K3530" s="5" t="str">
        <f>IFERROR(__xludf.DUMMYFUNCTION("""COMPUTED_VALUE"""),"Estrela 1")</f>
        <v>Estrela 1</v>
      </c>
      <c r="P3530" s="5">
        <f>IFERROR(__xludf.DUMMYFUNCTION("""COMPUTED_VALUE"""),883.0)</f>
        <v>883</v>
      </c>
      <c r="Q3530" s="5" t="str">
        <f>IFERROR(__xludf.DUMMYFUNCTION("""COMPUTED_VALUE"""),"Just Mercy")</f>
        <v>Just Mercy</v>
      </c>
      <c r="R3530" s="5" t="str">
        <f>IFERROR(__xludf.DUMMYFUNCTION("""COMPUTED_VALUE"""),"Michael B. Jordan")</f>
        <v>Michael B. Jordan</v>
      </c>
      <c r="S3530" s="5" t="str">
        <f>IFERROR(__xludf.DUMMYFUNCTION("""COMPUTED_VALUE"""),"Estrela 1")</f>
        <v>Estrela 1</v>
      </c>
    </row>
    <row r="3531">
      <c r="G3531" s="5" t="str">
        <f>IFERROR(__xludf.DUMMYFUNCTION("""COMPUTED_VALUE"""),"883🤙🏼Just Mercy🤙🏼Jamie Foxx🤙🏼Estrela 2")</f>
        <v>883🤙🏼Just Mercy🤙🏼Jamie Foxx🤙🏼Estrela 2</v>
      </c>
      <c r="H3531" s="5">
        <f>IFERROR(__xludf.DUMMYFUNCTION("SPLiT(G3531, ""🤙🏼"",FALSE,FALSE)"),883.0)</f>
        <v>883</v>
      </c>
      <c r="I3531" s="5" t="str">
        <f>IFERROR(__xludf.DUMMYFUNCTION("""COMPUTED_VALUE"""),"Just Mercy")</f>
        <v>Just Mercy</v>
      </c>
      <c r="J3531" s="5" t="str">
        <f>IFERROR(__xludf.DUMMYFUNCTION("""COMPUTED_VALUE"""),"Jamie Foxx")</f>
        <v>Jamie Foxx</v>
      </c>
      <c r="K3531" s="5" t="str">
        <f>IFERROR(__xludf.DUMMYFUNCTION("""COMPUTED_VALUE"""),"Estrela 2")</f>
        <v>Estrela 2</v>
      </c>
      <c r="P3531" s="5">
        <f>IFERROR(__xludf.DUMMYFUNCTION("""COMPUTED_VALUE"""),883.0)</f>
        <v>883</v>
      </c>
      <c r="Q3531" s="5" t="str">
        <f>IFERROR(__xludf.DUMMYFUNCTION("""COMPUTED_VALUE"""),"Just Mercy")</f>
        <v>Just Mercy</v>
      </c>
      <c r="R3531" s="5" t="str">
        <f>IFERROR(__xludf.DUMMYFUNCTION("""COMPUTED_VALUE"""),"Jamie Foxx")</f>
        <v>Jamie Foxx</v>
      </c>
      <c r="S3531" s="5" t="str">
        <f>IFERROR(__xludf.DUMMYFUNCTION("""COMPUTED_VALUE"""),"Estrela 2")</f>
        <v>Estrela 2</v>
      </c>
    </row>
    <row r="3532">
      <c r="G3532" s="5" t="str">
        <f>IFERROR(__xludf.DUMMYFUNCTION("""COMPUTED_VALUE"""),"883🤙🏼Just Mercy🤙🏼Brie Larson🤙🏼Estrela 3")</f>
        <v>883🤙🏼Just Mercy🤙🏼Brie Larson🤙🏼Estrela 3</v>
      </c>
      <c r="H3532" s="5">
        <f>IFERROR(__xludf.DUMMYFUNCTION("SPLiT(G3532, ""🤙🏼"",FALSE,FALSE)"),883.0)</f>
        <v>883</v>
      </c>
      <c r="I3532" s="5" t="str">
        <f>IFERROR(__xludf.DUMMYFUNCTION("""COMPUTED_VALUE"""),"Just Mercy")</f>
        <v>Just Mercy</v>
      </c>
      <c r="J3532" s="5" t="str">
        <f>IFERROR(__xludf.DUMMYFUNCTION("""COMPUTED_VALUE"""),"Brie Larson")</f>
        <v>Brie Larson</v>
      </c>
      <c r="K3532" s="5" t="str">
        <f>IFERROR(__xludf.DUMMYFUNCTION("""COMPUTED_VALUE"""),"Estrela 3")</f>
        <v>Estrela 3</v>
      </c>
      <c r="P3532" s="5">
        <f>IFERROR(__xludf.DUMMYFUNCTION("""COMPUTED_VALUE"""),883.0)</f>
        <v>883</v>
      </c>
      <c r="Q3532" s="5" t="str">
        <f>IFERROR(__xludf.DUMMYFUNCTION("""COMPUTED_VALUE"""),"Just Mercy")</f>
        <v>Just Mercy</v>
      </c>
      <c r="R3532" s="5" t="str">
        <f>IFERROR(__xludf.DUMMYFUNCTION("""COMPUTED_VALUE"""),"Brie Larson")</f>
        <v>Brie Larson</v>
      </c>
      <c r="S3532" s="5" t="str">
        <f>IFERROR(__xludf.DUMMYFUNCTION("""COMPUTED_VALUE"""),"Estrela 3")</f>
        <v>Estrela 3</v>
      </c>
    </row>
    <row r="3533">
      <c r="G3533" s="5" t="str">
        <f>IFERROR(__xludf.DUMMYFUNCTION("""COMPUTED_VALUE"""),"883🤙🏼Just Mercy🤙🏼Charlie Pye Jr.🤙🏼Estrela 4")</f>
        <v>883🤙🏼Just Mercy🤙🏼Charlie Pye Jr.🤙🏼Estrela 4</v>
      </c>
      <c r="H3533" s="5">
        <f>IFERROR(__xludf.DUMMYFUNCTION("SPLiT(G3533, ""🤙🏼"",FALSE,FALSE)"),883.0)</f>
        <v>883</v>
      </c>
      <c r="I3533" s="5" t="str">
        <f>IFERROR(__xludf.DUMMYFUNCTION("""COMPUTED_VALUE"""),"Just Mercy")</f>
        <v>Just Mercy</v>
      </c>
      <c r="J3533" s="5" t="str">
        <f>IFERROR(__xludf.DUMMYFUNCTION("""COMPUTED_VALUE"""),"Charlie Pye Jr.")</f>
        <v>Charlie Pye Jr.</v>
      </c>
      <c r="K3533" s="5" t="str">
        <f>IFERROR(__xludf.DUMMYFUNCTION("""COMPUTED_VALUE"""),"Estrela 4")</f>
        <v>Estrela 4</v>
      </c>
      <c r="P3533" s="5">
        <f>IFERROR(__xludf.DUMMYFUNCTION("""COMPUTED_VALUE"""),883.0)</f>
        <v>883</v>
      </c>
      <c r="Q3533" s="5" t="str">
        <f>IFERROR(__xludf.DUMMYFUNCTION("""COMPUTED_VALUE"""),"Just Mercy")</f>
        <v>Just Mercy</v>
      </c>
      <c r="R3533" s="5" t="str">
        <f>IFERROR(__xludf.DUMMYFUNCTION("""COMPUTED_VALUE"""),"Charlie Pye Jr.")</f>
        <v>Charlie Pye Jr.</v>
      </c>
      <c r="S3533" s="5" t="str">
        <f>IFERROR(__xludf.DUMMYFUNCTION("""COMPUTED_VALUE"""),"Estrela 4")</f>
        <v>Estrela 4</v>
      </c>
    </row>
    <row r="3534">
      <c r="G3534" s="5" t="str">
        <f>IFERROR(__xludf.DUMMYFUNCTION("""COMPUTED_VALUE"""),"884🤙🏼Gifted🤙🏼Chris Evans🤙🏼Estrela 1")</f>
        <v>884🤙🏼Gifted🤙🏼Chris Evans🤙🏼Estrela 1</v>
      </c>
      <c r="H3534" s="5">
        <f>IFERROR(__xludf.DUMMYFUNCTION("SPLiT(G3534, ""🤙🏼"",FALSE,FALSE)"),884.0)</f>
        <v>884</v>
      </c>
      <c r="I3534" s="5" t="str">
        <f>IFERROR(__xludf.DUMMYFUNCTION("""COMPUTED_VALUE"""),"Gifted")</f>
        <v>Gifted</v>
      </c>
      <c r="J3534" s="5" t="str">
        <f>IFERROR(__xludf.DUMMYFUNCTION("""COMPUTED_VALUE"""),"Chris Evans")</f>
        <v>Chris Evans</v>
      </c>
      <c r="K3534" s="5" t="str">
        <f>IFERROR(__xludf.DUMMYFUNCTION("""COMPUTED_VALUE"""),"Estrela 1")</f>
        <v>Estrela 1</v>
      </c>
      <c r="P3534" s="5">
        <f>IFERROR(__xludf.DUMMYFUNCTION("""COMPUTED_VALUE"""),884.0)</f>
        <v>884</v>
      </c>
      <c r="Q3534" s="5" t="str">
        <f>IFERROR(__xludf.DUMMYFUNCTION("""COMPUTED_VALUE"""),"Gifted")</f>
        <v>Gifted</v>
      </c>
      <c r="R3534" s="5" t="str">
        <f>IFERROR(__xludf.DUMMYFUNCTION("""COMPUTED_VALUE"""),"Chris Evans")</f>
        <v>Chris Evans</v>
      </c>
      <c r="S3534" s="5" t="str">
        <f>IFERROR(__xludf.DUMMYFUNCTION("""COMPUTED_VALUE"""),"Estrela 1")</f>
        <v>Estrela 1</v>
      </c>
    </row>
    <row r="3535">
      <c r="G3535" s="5" t="str">
        <f>IFERROR(__xludf.DUMMYFUNCTION("""COMPUTED_VALUE"""),"884🤙🏼Gifted🤙🏼Mckenna Grace🤙🏼Estrela 2")</f>
        <v>884🤙🏼Gifted🤙🏼Mckenna Grace🤙🏼Estrela 2</v>
      </c>
      <c r="H3535" s="5">
        <f>IFERROR(__xludf.DUMMYFUNCTION("SPLiT(G3535, ""🤙🏼"",FALSE,FALSE)"),884.0)</f>
        <v>884</v>
      </c>
      <c r="I3535" s="5" t="str">
        <f>IFERROR(__xludf.DUMMYFUNCTION("""COMPUTED_VALUE"""),"Gifted")</f>
        <v>Gifted</v>
      </c>
      <c r="J3535" s="5" t="str">
        <f>IFERROR(__xludf.DUMMYFUNCTION("""COMPUTED_VALUE"""),"Mckenna Grace")</f>
        <v>Mckenna Grace</v>
      </c>
      <c r="K3535" s="5" t="str">
        <f>IFERROR(__xludf.DUMMYFUNCTION("""COMPUTED_VALUE"""),"Estrela 2")</f>
        <v>Estrela 2</v>
      </c>
      <c r="P3535" s="5">
        <f>IFERROR(__xludf.DUMMYFUNCTION("""COMPUTED_VALUE"""),884.0)</f>
        <v>884</v>
      </c>
      <c r="Q3535" s="5" t="str">
        <f>IFERROR(__xludf.DUMMYFUNCTION("""COMPUTED_VALUE"""),"Gifted")</f>
        <v>Gifted</v>
      </c>
      <c r="R3535" s="5" t="str">
        <f>IFERROR(__xludf.DUMMYFUNCTION("""COMPUTED_VALUE"""),"Mckenna Grace")</f>
        <v>Mckenna Grace</v>
      </c>
      <c r="S3535" s="5" t="str">
        <f>IFERROR(__xludf.DUMMYFUNCTION("""COMPUTED_VALUE"""),"Estrela 2")</f>
        <v>Estrela 2</v>
      </c>
    </row>
    <row r="3536">
      <c r="G3536" s="5" t="str">
        <f>IFERROR(__xludf.DUMMYFUNCTION("""COMPUTED_VALUE"""),"884🤙🏼Gifted🤙🏼Lindsay Duncan🤙🏼Estrela 3")</f>
        <v>884🤙🏼Gifted🤙🏼Lindsay Duncan🤙🏼Estrela 3</v>
      </c>
      <c r="H3536" s="5">
        <f>IFERROR(__xludf.DUMMYFUNCTION("SPLiT(G3536, ""🤙🏼"",FALSE,FALSE)"),884.0)</f>
        <v>884</v>
      </c>
      <c r="I3536" s="5" t="str">
        <f>IFERROR(__xludf.DUMMYFUNCTION("""COMPUTED_VALUE"""),"Gifted")</f>
        <v>Gifted</v>
      </c>
      <c r="J3536" s="5" t="str">
        <f>IFERROR(__xludf.DUMMYFUNCTION("""COMPUTED_VALUE"""),"Lindsay Duncan")</f>
        <v>Lindsay Duncan</v>
      </c>
      <c r="K3536" s="5" t="str">
        <f>IFERROR(__xludf.DUMMYFUNCTION("""COMPUTED_VALUE"""),"Estrela 3")</f>
        <v>Estrela 3</v>
      </c>
      <c r="P3536" s="5">
        <f>IFERROR(__xludf.DUMMYFUNCTION("""COMPUTED_VALUE"""),884.0)</f>
        <v>884</v>
      </c>
      <c r="Q3536" s="5" t="str">
        <f>IFERROR(__xludf.DUMMYFUNCTION("""COMPUTED_VALUE"""),"Gifted")</f>
        <v>Gifted</v>
      </c>
      <c r="R3536" s="5" t="str">
        <f>IFERROR(__xludf.DUMMYFUNCTION("""COMPUTED_VALUE"""),"Lindsay Duncan")</f>
        <v>Lindsay Duncan</v>
      </c>
      <c r="S3536" s="5" t="str">
        <f>IFERROR(__xludf.DUMMYFUNCTION("""COMPUTED_VALUE"""),"Estrela 3")</f>
        <v>Estrela 3</v>
      </c>
    </row>
    <row r="3537">
      <c r="G3537" s="5" t="str">
        <f>IFERROR(__xludf.DUMMYFUNCTION("""COMPUTED_VALUE"""),"884🤙🏼Gifted🤙🏼Octavia Spencer🤙🏼Estrela 4")</f>
        <v>884🤙🏼Gifted🤙🏼Octavia Spencer🤙🏼Estrela 4</v>
      </c>
      <c r="H3537" s="5">
        <f>IFERROR(__xludf.DUMMYFUNCTION("SPLiT(G3537, ""🤙🏼"",FALSE,FALSE)"),884.0)</f>
        <v>884</v>
      </c>
      <c r="I3537" s="5" t="str">
        <f>IFERROR(__xludf.DUMMYFUNCTION("""COMPUTED_VALUE"""),"Gifted")</f>
        <v>Gifted</v>
      </c>
      <c r="J3537" s="5" t="str">
        <f>IFERROR(__xludf.DUMMYFUNCTION("""COMPUTED_VALUE"""),"Octavia Spencer")</f>
        <v>Octavia Spencer</v>
      </c>
      <c r="K3537" s="5" t="str">
        <f>IFERROR(__xludf.DUMMYFUNCTION("""COMPUTED_VALUE"""),"Estrela 4")</f>
        <v>Estrela 4</v>
      </c>
      <c r="P3537" s="5">
        <f>IFERROR(__xludf.DUMMYFUNCTION("""COMPUTED_VALUE"""),884.0)</f>
        <v>884</v>
      </c>
      <c r="Q3537" s="5" t="str">
        <f>IFERROR(__xludf.DUMMYFUNCTION("""COMPUTED_VALUE"""),"Gifted")</f>
        <v>Gifted</v>
      </c>
      <c r="R3537" s="5" t="str">
        <f>IFERROR(__xludf.DUMMYFUNCTION("""COMPUTED_VALUE"""),"Octavia Spencer")</f>
        <v>Octavia Spencer</v>
      </c>
      <c r="S3537" s="5" t="str">
        <f>IFERROR(__xludf.DUMMYFUNCTION("""COMPUTED_VALUE"""),"Estrela 4")</f>
        <v>Estrela 4</v>
      </c>
    </row>
    <row r="3538">
      <c r="G3538" s="5" t="str">
        <f>IFERROR(__xludf.DUMMYFUNCTION("""COMPUTED_VALUE"""),"885🤙🏼The Peanut Butter Falcon🤙🏼Michael Schwartz🤙🏼Estrela 1")</f>
        <v>885🤙🏼The Peanut Butter Falcon🤙🏼Michael Schwartz🤙🏼Estrela 1</v>
      </c>
      <c r="H3538" s="5">
        <f>IFERROR(__xludf.DUMMYFUNCTION("SPLiT(G3538, ""🤙🏼"",FALSE,FALSE)"),885.0)</f>
        <v>885</v>
      </c>
      <c r="I3538" s="5" t="str">
        <f>IFERROR(__xludf.DUMMYFUNCTION("""COMPUTED_VALUE"""),"The Peanut Butter Falcon")</f>
        <v>The Peanut Butter Falcon</v>
      </c>
      <c r="J3538" s="5" t="str">
        <f>IFERROR(__xludf.DUMMYFUNCTION("""COMPUTED_VALUE"""),"Michael Schwartz")</f>
        <v>Michael Schwartz</v>
      </c>
      <c r="K3538" s="5" t="str">
        <f>IFERROR(__xludf.DUMMYFUNCTION("""COMPUTED_VALUE"""),"Estrela 1")</f>
        <v>Estrela 1</v>
      </c>
      <c r="P3538" s="5">
        <f>IFERROR(__xludf.DUMMYFUNCTION("""COMPUTED_VALUE"""),885.0)</f>
        <v>885</v>
      </c>
      <c r="Q3538" s="5" t="str">
        <f>IFERROR(__xludf.DUMMYFUNCTION("""COMPUTED_VALUE"""),"The Peanut Butter Falcon")</f>
        <v>The Peanut Butter Falcon</v>
      </c>
      <c r="R3538" s="5" t="str">
        <f>IFERROR(__xludf.DUMMYFUNCTION("""COMPUTED_VALUE"""),"Michael Schwartz")</f>
        <v>Michael Schwartz</v>
      </c>
      <c r="S3538" s="5" t="str">
        <f>IFERROR(__xludf.DUMMYFUNCTION("""COMPUTED_VALUE"""),"Estrela 1")</f>
        <v>Estrela 1</v>
      </c>
    </row>
    <row r="3539">
      <c r="G3539" s="5" t="str">
        <f>IFERROR(__xludf.DUMMYFUNCTION("""COMPUTED_VALUE"""),"885🤙🏼The Peanut Butter Falcon🤙🏼Zack Gottsagen🤙🏼Estrela 2")</f>
        <v>885🤙🏼The Peanut Butter Falcon🤙🏼Zack Gottsagen🤙🏼Estrela 2</v>
      </c>
      <c r="H3539" s="5">
        <f>IFERROR(__xludf.DUMMYFUNCTION("SPLiT(G3539, ""🤙🏼"",FALSE,FALSE)"),885.0)</f>
        <v>885</v>
      </c>
      <c r="I3539" s="5" t="str">
        <f>IFERROR(__xludf.DUMMYFUNCTION("""COMPUTED_VALUE"""),"The Peanut Butter Falcon")</f>
        <v>The Peanut Butter Falcon</v>
      </c>
      <c r="J3539" s="5" t="str">
        <f>IFERROR(__xludf.DUMMYFUNCTION("""COMPUTED_VALUE"""),"Zack Gottsagen")</f>
        <v>Zack Gottsagen</v>
      </c>
      <c r="K3539" s="5" t="str">
        <f>IFERROR(__xludf.DUMMYFUNCTION("""COMPUTED_VALUE"""),"Estrela 2")</f>
        <v>Estrela 2</v>
      </c>
      <c r="P3539" s="5">
        <f>IFERROR(__xludf.DUMMYFUNCTION("""COMPUTED_VALUE"""),885.0)</f>
        <v>885</v>
      </c>
      <c r="Q3539" s="5" t="str">
        <f>IFERROR(__xludf.DUMMYFUNCTION("""COMPUTED_VALUE"""),"The Peanut Butter Falcon")</f>
        <v>The Peanut Butter Falcon</v>
      </c>
      <c r="R3539" s="5" t="str">
        <f>IFERROR(__xludf.DUMMYFUNCTION("""COMPUTED_VALUE"""),"Zack Gottsagen")</f>
        <v>Zack Gottsagen</v>
      </c>
      <c r="S3539" s="5" t="str">
        <f>IFERROR(__xludf.DUMMYFUNCTION("""COMPUTED_VALUE"""),"Estrela 2")</f>
        <v>Estrela 2</v>
      </c>
    </row>
    <row r="3540">
      <c r="G3540" s="5" t="str">
        <f>IFERROR(__xludf.DUMMYFUNCTION("""COMPUTED_VALUE"""),"885🤙🏼The Peanut Butter Falcon🤙🏼Ann Owens🤙🏼Estrela 3")</f>
        <v>885🤙🏼The Peanut Butter Falcon🤙🏼Ann Owens🤙🏼Estrela 3</v>
      </c>
      <c r="H3540" s="5">
        <f>IFERROR(__xludf.DUMMYFUNCTION("SPLiT(G3540, ""🤙🏼"",FALSE,FALSE)"),885.0)</f>
        <v>885</v>
      </c>
      <c r="I3540" s="5" t="str">
        <f>IFERROR(__xludf.DUMMYFUNCTION("""COMPUTED_VALUE"""),"The Peanut Butter Falcon")</f>
        <v>The Peanut Butter Falcon</v>
      </c>
      <c r="J3540" s="5" t="str">
        <f>IFERROR(__xludf.DUMMYFUNCTION("""COMPUTED_VALUE"""),"Ann Owens")</f>
        <v>Ann Owens</v>
      </c>
      <c r="K3540" s="5" t="str">
        <f>IFERROR(__xludf.DUMMYFUNCTION("""COMPUTED_VALUE"""),"Estrela 3")</f>
        <v>Estrela 3</v>
      </c>
      <c r="P3540" s="5">
        <f>IFERROR(__xludf.DUMMYFUNCTION("""COMPUTED_VALUE"""),885.0)</f>
        <v>885</v>
      </c>
      <c r="Q3540" s="5" t="str">
        <f>IFERROR(__xludf.DUMMYFUNCTION("""COMPUTED_VALUE"""),"The Peanut Butter Falcon")</f>
        <v>The Peanut Butter Falcon</v>
      </c>
      <c r="R3540" s="5" t="str">
        <f>IFERROR(__xludf.DUMMYFUNCTION("""COMPUTED_VALUE"""),"Ann Owens")</f>
        <v>Ann Owens</v>
      </c>
      <c r="S3540" s="5" t="str">
        <f>IFERROR(__xludf.DUMMYFUNCTION("""COMPUTED_VALUE"""),"Estrela 3")</f>
        <v>Estrela 3</v>
      </c>
    </row>
    <row r="3541">
      <c r="G3541" s="5" t="str">
        <f>IFERROR(__xludf.DUMMYFUNCTION("""COMPUTED_VALUE"""),"885🤙🏼The Peanut Butter Falcon🤙🏼Dakota Johnson🤙🏼Estrela 4")</f>
        <v>885🤙🏼The Peanut Butter Falcon🤙🏼Dakota Johnson🤙🏼Estrela 4</v>
      </c>
      <c r="H3541" s="5">
        <f>IFERROR(__xludf.DUMMYFUNCTION("SPLiT(G3541, ""🤙🏼"",FALSE,FALSE)"),885.0)</f>
        <v>885</v>
      </c>
      <c r="I3541" s="5" t="str">
        <f>IFERROR(__xludf.DUMMYFUNCTION("""COMPUTED_VALUE"""),"The Peanut Butter Falcon")</f>
        <v>The Peanut Butter Falcon</v>
      </c>
      <c r="J3541" s="5" t="str">
        <f>IFERROR(__xludf.DUMMYFUNCTION("""COMPUTED_VALUE"""),"Dakota Johnson")</f>
        <v>Dakota Johnson</v>
      </c>
      <c r="K3541" s="5" t="str">
        <f>IFERROR(__xludf.DUMMYFUNCTION("""COMPUTED_VALUE"""),"Estrela 4")</f>
        <v>Estrela 4</v>
      </c>
      <c r="P3541" s="5">
        <f>IFERROR(__xludf.DUMMYFUNCTION("""COMPUTED_VALUE"""),885.0)</f>
        <v>885</v>
      </c>
      <c r="Q3541" s="5" t="str">
        <f>IFERROR(__xludf.DUMMYFUNCTION("""COMPUTED_VALUE"""),"The Peanut Butter Falcon")</f>
        <v>The Peanut Butter Falcon</v>
      </c>
      <c r="R3541" s="5" t="str">
        <f>IFERROR(__xludf.DUMMYFUNCTION("""COMPUTED_VALUE"""),"Dakota Johnson")</f>
        <v>Dakota Johnson</v>
      </c>
      <c r="S3541" s="5" t="str">
        <f>IFERROR(__xludf.DUMMYFUNCTION("""COMPUTED_VALUE"""),"Estrela 4")</f>
        <v>Estrela 4</v>
      </c>
    </row>
    <row r="3542">
      <c r="G3542" s="5" t="str">
        <f>IFERROR(__xludf.DUMMYFUNCTION("""COMPUTED_VALUE"""),"886🤙🏼Victoria🤙🏼Laia Costa🤙🏼Estrela 1")</f>
        <v>886🤙🏼Victoria🤙🏼Laia Costa🤙🏼Estrela 1</v>
      </c>
      <c r="H3542" s="5">
        <f>IFERROR(__xludf.DUMMYFUNCTION("SPLiT(G3542, ""🤙🏼"",FALSE,FALSE)"),886.0)</f>
        <v>886</v>
      </c>
      <c r="I3542" s="5" t="str">
        <f>IFERROR(__xludf.DUMMYFUNCTION("""COMPUTED_VALUE"""),"Victoria")</f>
        <v>Victoria</v>
      </c>
      <c r="J3542" s="5" t="str">
        <f>IFERROR(__xludf.DUMMYFUNCTION("""COMPUTED_VALUE"""),"Laia Costa")</f>
        <v>Laia Costa</v>
      </c>
      <c r="K3542" s="5" t="str">
        <f>IFERROR(__xludf.DUMMYFUNCTION("""COMPUTED_VALUE"""),"Estrela 1")</f>
        <v>Estrela 1</v>
      </c>
      <c r="P3542" s="5">
        <f>IFERROR(__xludf.DUMMYFUNCTION("""COMPUTED_VALUE"""),886.0)</f>
        <v>886</v>
      </c>
      <c r="Q3542" s="5" t="str">
        <f>IFERROR(__xludf.DUMMYFUNCTION("""COMPUTED_VALUE"""),"Victoria")</f>
        <v>Victoria</v>
      </c>
      <c r="R3542" s="5" t="str">
        <f>IFERROR(__xludf.DUMMYFUNCTION("""COMPUTED_VALUE"""),"Laia Costa")</f>
        <v>Laia Costa</v>
      </c>
      <c r="S3542" s="5" t="str">
        <f>IFERROR(__xludf.DUMMYFUNCTION("""COMPUTED_VALUE"""),"Estrela 1")</f>
        <v>Estrela 1</v>
      </c>
    </row>
    <row r="3543">
      <c r="G3543" s="5" t="str">
        <f>IFERROR(__xludf.DUMMYFUNCTION("""COMPUTED_VALUE"""),"886🤙🏼Victoria🤙🏼Frederick Lau🤙🏼Estrela 2")</f>
        <v>886🤙🏼Victoria🤙🏼Frederick Lau🤙🏼Estrela 2</v>
      </c>
      <c r="H3543" s="5">
        <f>IFERROR(__xludf.DUMMYFUNCTION("SPLiT(G3543, ""🤙🏼"",FALSE,FALSE)"),886.0)</f>
        <v>886</v>
      </c>
      <c r="I3543" s="5" t="str">
        <f>IFERROR(__xludf.DUMMYFUNCTION("""COMPUTED_VALUE"""),"Victoria")</f>
        <v>Victoria</v>
      </c>
      <c r="J3543" s="5" t="str">
        <f>IFERROR(__xludf.DUMMYFUNCTION("""COMPUTED_VALUE"""),"Frederick Lau")</f>
        <v>Frederick Lau</v>
      </c>
      <c r="K3543" s="5" t="str">
        <f>IFERROR(__xludf.DUMMYFUNCTION("""COMPUTED_VALUE"""),"Estrela 2")</f>
        <v>Estrela 2</v>
      </c>
      <c r="P3543" s="5">
        <f>IFERROR(__xludf.DUMMYFUNCTION("""COMPUTED_VALUE"""),886.0)</f>
        <v>886</v>
      </c>
      <c r="Q3543" s="5" t="str">
        <f>IFERROR(__xludf.DUMMYFUNCTION("""COMPUTED_VALUE"""),"Victoria")</f>
        <v>Victoria</v>
      </c>
      <c r="R3543" s="5" t="str">
        <f>IFERROR(__xludf.DUMMYFUNCTION("""COMPUTED_VALUE"""),"Frederick Lau")</f>
        <v>Frederick Lau</v>
      </c>
      <c r="S3543" s="5" t="str">
        <f>IFERROR(__xludf.DUMMYFUNCTION("""COMPUTED_VALUE"""),"Estrela 2")</f>
        <v>Estrela 2</v>
      </c>
    </row>
    <row r="3544">
      <c r="G3544" s="5" t="str">
        <f>IFERROR(__xludf.DUMMYFUNCTION("""COMPUTED_VALUE"""),"886🤙🏼Victoria🤙🏼Franz Rogowski🤙🏼Estrela 3")</f>
        <v>886🤙🏼Victoria🤙🏼Franz Rogowski🤙🏼Estrela 3</v>
      </c>
      <c r="H3544" s="5">
        <f>IFERROR(__xludf.DUMMYFUNCTION("SPLiT(G3544, ""🤙🏼"",FALSE,FALSE)"),886.0)</f>
        <v>886</v>
      </c>
      <c r="I3544" s="5" t="str">
        <f>IFERROR(__xludf.DUMMYFUNCTION("""COMPUTED_VALUE"""),"Victoria")</f>
        <v>Victoria</v>
      </c>
      <c r="J3544" s="5" t="str">
        <f>IFERROR(__xludf.DUMMYFUNCTION("""COMPUTED_VALUE"""),"Franz Rogowski")</f>
        <v>Franz Rogowski</v>
      </c>
      <c r="K3544" s="5" t="str">
        <f>IFERROR(__xludf.DUMMYFUNCTION("""COMPUTED_VALUE"""),"Estrela 3")</f>
        <v>Estrela 3</v>
      </c>
      <c r="P3544" s="5">
        <f>IFERROR(__xludf.DUMMYFUNCTION("""COMPUTED_VALUE"""),886.0)</f>
        <v>886</v>
      </c>
      <c r="Q3544" s="5" t="str">
        <f>IFERROR(__xludf.DUMMYFUNCTION("""COMPUTED_VALUE"""),"Victoria")</f>
        <v>Victoria</v>
      </c>
      <c r="R3544" s="5" t="str">
        <f>IFERROR(__xludf.DUMMYFUNCTION("""COMPUTED_VALUE"""),"Franz Rogowski")</f>
        <v>Franz Rogowski</v>
      </c>
      <c r="S3544" s="5" t="str">
        <f>IFERROR(__xludf.DUMMYFUNCTION("""COMPUTED_VALUE"""),"Estrela 3")</f>
        <v>Estrela 3</v>
      </c>
    </row>
    <row r="3545">
      <c r="G3545" s="5" t="str">
        <f>IFERROR(__xludf.DUMMYFUNCTION("""COMPUTED_VALUE"""),"886🤙🏼Victoria🤙🏼Burak Yigit🤙🏼Estrela 4")</f>
        <v>886🤙🏼Victoria🤙🏼Burak Yigit🤙🏼Estrela 4</v>
      </c>
      <c r="H3545" s="5">
        <f>IFERROR(__xludf.DUMMYFUNCTION("SPLiT(G3545, ""🤙🏼"",FALSE,FALSE)"),886.0)</f>
        <v>886</v>
      </c>
      <c r="I3545" s="5" t="str">
        <f>IFERROR(__xludf.DUMMYFUNCTION("""COMPUTED_VALUE"""),"Victoria")</f>
        <v>Victoria</v>
      </c>
      <c r="J3545" s="5" t="str">
        <f>IFERROR(__xludf.DUMMYFUNCTION("""COMPUTED_VALUE"""),"Burak Yigit")</f>
        <v>Burak Yigit</v>
      </c>
      <c r="K3545" s="5" t="str">
        <f>IFERROR(__xludf.DUMMYFUNCTION("""COMPUTED_VALUE"""),"Estrela 4")</f>
        <v>Estrela 4</v>
      </c>
      <c r="P3545" s="5">
        <f>IFERROR(__xludf.DUMMYFUNCTION("""COMPUTED_VALUE"""),886.0)</f>
        <v>886</v>
      </c>
      <c r="Q3545" s="5" t="str">
        <f>IFERROR(__xludf.DUMMYFUNCTION("""COMPUTED_VALUE"""),"Victoria")</f>
        <v>Victoria</v>
      </c>
      <c r="R3545" s="5" t="str">
        <f>IFERROR(__xludf.DUMMYFUNCTION("""COMPUTED_VALUE"""),"Burak Yigit")</f>
        <v>Burak Yigit</v>
      </c>
      <c r="S3545" s="5" t="str">
        <f>IFERROR(__xludf.DUMMYFUNCTION("""COMPUTED_VALUE"""),"Estrela 4")</f>
        <v>Estrela 4</v>
      </c>
    </row>
    <row r="3546">
      <c r="G3546" s="5" t="str">
        <f>IFERROR(__xludf.DUMMYFUNCTION("""COMPUTED_VALUE"""),"887🤙🏼Mustang🤙🏼Günes Sensoy🤙🏼Estrela 1")</f>
        <v>887🤙🏼Mustang🤙🏼Günes Sensoy🤙🏼Estrela 1</v>
      </c>
      <c r="H3546" s="5">
        <f>IFERROR(__xludf.DUMMYFUNCTION("SPLiT(G3546, ""🤙🏼"",FALSE,FALSE)"),887.0)</f>
        <v>887</v>
      </c>
      <c r="I3546" s="5" t="str">
        <f>IFERROR(__xludf.DUMMYFUNCTION("""COMPUTED_VALUE"""),"Mustang")</f>
        <v>Mustang</v>
      </c>
      <c r="J3546" s="5" t="str">
        <f>IFERROR(__xludf.DUMMYFUNCTION("""COMPUTED_VALUE"""),"Günes Sensoy")</f>
        <v>Günes Sensoy</v>
      </c>
      <c r="K3546" s="5" t="str">
        <f>IFERROR(__xludf.DUMMYFUNCTION("""COMPUTED_VALUE"""),"Estrela 1")</f>
        <v>Estrela 1</v>
      </c>
      <c r="P3546" s="5">
        <f>IFERROR(__xludf.DUMMYFUNCTION("""COMPUTED_VALUE"""),887.0)</f>
        <v>887</v>
      </c>
      <c r="Q3546" s="5" t="str">
        <f>IFERROR(__xludf.DUMMYFUNCTION("""COMPUTED_VALUE"""),"Mustang")</f>
        <v>Mustang</v>
      </c>
      <c r="R3546" s="5" t="str">
        <f>IFERROR(__xludf.DUMMYFUNCTION("""COMPUTED_VALUE"""),"Günes Sensoy")</f>
        <v>Günes Sensoy</v>
      </c>
      <c r="S3546" s="5" t="str">
        <f>IFERROR(__xludf.DUMMYFUNCTION("""COMPUTED_VALUE"""),"Estrela 1")</f>
        <v>Estrela 1</v>
      </c>
    </row>
    <row r="3547">
      <c r="G3547" s="5" t="str">
        <f>IFERROR(__xludf.DUMMYFUNCTION("""COMPUTED_VALUE"""),"887🤙🏼Mustang🤙🏼Doga Zeynep Doguslu🤙🏼Estrela 2")</f>
        <v>887🤙🏼Mustang🤙🏼Doga Zeynep Doguslu🤙🏼Estrela 2</v>
      </c>
      <c r="H3547" s="5">
        <f>IFERROR(__xludf.DUMMYFUNCTION("SPLiT(G3547, ""🤙🏼"",FALSE,FALSE)"),887.0)</f>
        <v>887</v>
      </c>
      <c r="I3547" s="5" t="str">
        <f>IFERROR(__xludf.DUMMYFUNCTION("""COMPUTED_VALUE"""),"Mustang")</f>
        <v>Mustang</v>
      </c>
      <c r="J3547" s="5" t="str">
        <f>IFERROR(__xludf.DUMMYFUNCTION("""COMPUTED_VALUE"""),"Doga Zeynep Doguslu")</f>
        <v>Doga Zeynep Doguslu</v>
      </c>
      <c r="K3547" s="5" t="str">
        <f>IFERROR(__xludf.DUMMYFUNCTION("""COMPUTED_VALUE"""),"Estrela 2")</f>
        <v>Estrela 2</v>
      </c>
      <c r="P3547" s="5">
        <f>IFERROR(__xludf.DUMMYFUNCTION("""COMPUTED_VALUE"""),887.0)</f>
        <v>887</v>
      </c>
      <c r="Q3547" s="5" t="str">
        <f>IFERROR(__xludf.DUMMYFUNCTION("""COMPUTED_VALUE"""),"Mustang")</f>
        <v>Mustang</v>
      </c>
      <c r="R3547" s="5" t="str">
        <f>IFERROR(__xludf.DUMMYFUNCTION("""COMPUTED_VALUE"""),"Doga Zeynep Doguslu")</f>
        <v>Doga Zeynep Doguslu</v>
      </c>
      <c r="S3547" s="5" t="str">
        <f>IFERROR(__xludf.DUMMYFUNCTION("""COMPUTED_VALUE"""),"Estrela 2")</f>
        <v>Estrela 2</v>
      </c>
    </row>
    <row r="3548">
      <c r="G3548" s="5" t="str">
        <f>IFERROR(__xludf.DUMMYFUNCTION("""COMPUTED_VALUE"""),"887🤙🏼Mustang🤙🏼Tugba Sunguroglu🤙🏼Estrela 3")</f>
        <v>887🤙🏼Mustang🤙🏼Tugba Sunguroglu🤙🏼Estrela 3</v>
      </c>
      <c r="H3548" s="5">
        <f>IFERROR(__xludf.DUMMYFUNCTION("SPLiT(G3548, ""🤙🏼"",FALSE,FALSE)"),887.0)</f>
        <v>887</v>
      </c>
      <c r="I3548" s="5" t="str">
        <f>IFERROR(__xludf.DUMMYFUNCTION("""COMPUTED_VALUE"""),"Mustang")</f>
        <v>Mustang</v>
      </c>
      <c r="J3548" s="5" t="str">
        <f>IFERROR(__xludf.DUMMYFUNCTION("""COMPUTED_VALUE"""),"Tugba Sunguroglu")</f>
        <v>Tugba Sunguroglu</v>
      </c>
      <c r="K3548" s="5" t="str">
        <f>IFERROR(__xludf.DUMMYFUNCTION("""COMPUTED_VALUE"""),"Estrela 3")</f>
        <v>Estrela 3</v>
      </c>
      <c r="P3548" s="5">
        <f>IFERROR(__xludf.DUMMYFUNCTION("""COMPUTED_VALUE"""),887.0)</f>
        <v>887</v>
      </c>
      <c r="Q3548" s="5" t="str">
        <f>IFERROR(__xludf.DUMMYFUNCTION("""COMPUTED_VALUE"""),"Mustang")</f>
        <v>Mustang</v>
      </c>
      <c r="R3548" s="5" t="str">
        <f>IFERROR(__xludf.DUMMYFUNCTION("""COMPUTED_VALUE"""),"Tugba Sunguroglu")</f>
        <v>Tugba Sunguroglu</v>
      </c>
      <c r="S3548" s="5" t="str">
        <f>IFERROR(__xludf.DUMMYFUNCTION("""COMPUTED_VALUE"""),"Estrela 3")</f>
        <v>Estrela 3</v>
      </c>
    </row>
    <row r="3549">
      <c r="G3549" s="5" t="str">
        <f>IFERROR(__xludf.DUMMYFUNCTION("""COMPUTED_VALUE"""),"887🤙🏼Mustang🤙🏼Elit Iscan🤙🏼Estrela 4")</f>
        <v>887🤙🏼Mustang🤙🏼Elit Iscan🤙🏼Estrela 4</v>
      </c>
      <c r="H3549" s="5">
        <f>IFERROR(__xludf.DUMMYFUNCTION("SPLiT(G3549, ""🤙🏼"",FALSE,FALSE)"),887.0)</f>
        <v>887</v>
      </c>
      <c r="I3549" s="5" t="str">
        <f>IFERROR(__xludf.DUMMYFUNCTION("""COMPUTED_VALUE"""),"Mustang")</f>
        <v>Mustang</v>
      </c>
      <c r="J3549" s="5" t="str">
        <f>IFERROR(__xludf.DUMMYFUNCTION("""COMPUTED_VALUE"""),"Elit Iscan")</f>
        <v>Elit Iscan</v>
      </c>
      <c r="K3549" s="5" t="str">
        <f>IFERROR(__xludf.DUMMYFUNCTION("""COMPUTED_VALUE"""),"Estrela 4")</f>
        <v>Estrela 4</v>
      </c>
      <c r="P3549" s="5">
        <f>IFERROR(__xludf.DUMMYFUNCTION("""COMPUTED_VALUE"""),887.0)</f>
        <v>887</v>
      </c>
      <c r="Q3549" s="5" t="str">
        <f>IFERROR(__xludf.DUMMYFUNCTION("""COMPUTED_VALUE"""),"Mustang")</f>
        <v>Mustang</v>
      </c>
      <c r="R3549" s="5" t="str">
        <f>IFERROR(__xludf.DUMMYFUNCTION("""COMPUTED_VALUE"""),"Elit Iscan")</f>
        <v>Elit Iscan</v>
      </c>
      <c r="S3549" s="5" t="str">
        <f>IFERROR(__xludf.DUMMYFUNCTION("""COMPUTED_VALUE"""),"Estrela 4")</f>
        <v>Estrela 4</v>
      </c>
    </row>
    <row r="3550">
      <c r="G3550" s="5" t="str">
        <f>IFERROR(__xludf.DUMMYFUNCTION("""COMPUTED_VALUE"""),"888🤙🏼Guardians of the Galaxy Vol. 2🤙🏼Chris Pratt🤙🏼Estrela 1")</f>
        <v>888🤙🏼Guardians of the Galaxy Vol. 2🤙🏼Chris Pratt🤙🏼Estrela 1</v>
      </c>
      <c r="H3550" s="5">
        <f>IFERROR(__xludf.DUMMYFUNCTION("SPLiT(G3550, ""🤙🏼"",FALSE,FALSE)"),888.0)</f>
        <v>888</v>
      </c>
      <c r="I3550" s="5" t="str">
        <f>IFERROR(__xludf.DUMMYFUNCTION("""COMPUTED_VALUE"""),"Guardians of the Galaxy Vol. 2")</f>
        <v>Guardians of the Galaxy Vol. 2</v>
      </c>
      <c r="J3550" s="5" t="str">
        <f>IFERROR(__xludf.DUMMYFUNCTION("""COMPUTED_VALUE"""),"Chris Pratt")</f>
        <v>Chris Pratt</v>
      </c>
      <c r="K3550" s="5" t="str">
        <f>IFERROR(__xludf.DUMMYFUNCTION("""COMPUTED_VALUE"""),"Estrela 1")</f>
        <v>Estrela 1</v>
      </c>
      <c r="P3550" s="5">
        <f>IFERROR(__xludf.DUMMYFUNCTION("""COMPUTED_VALUE"""),888.0)</f>
        <v>888</v>
      </c>
      <c r="Q3550" s="5" t="str">
        <f>IFERROR(__xludf.DUMMYFUNCTION("""COMPUTED_VALUE"""),"Guardians of the Galaxy Vol. 2")</f>
        <v>Guardians of the Galaxy Vol. 2</v>
      </c>
      <c r="R3550" s="5" t="str">
        <f>IFERROR(__xludf.DUMMYFUNCTION("""COMPUTED_VALUE"""),"Chris Pratt")</f>
        <v>Chris Pratt</v>
      </c>
      <c r="S3550" s="5" t="str">
        <f>IFERROR(__xludf.DUMMYFUNCTION("""COMPUTED_VALUE"""),"Estrela 1")</f>
        <v>Estrela 1</v>
      </c>
    </row>
    <row r="3551">
      <c r="G3551" s="5" t="str">
        <f>IFERROR(__xludf.DUMMYFUNCTION("""COMPUTED_VALUE"""),"888🤙🏼Guardians of the Galaxy Vol. 2🤙🏼Zoe Saldana🤙🏼Estrela 2")</f>
        <v>888🤙🏼Guardians of the Galaxy Vol. 2🤙🏼Zoe Saldana🤙🏼Estrela 2</v>
      </c>
      <c r="H3551" s="5">
        <f>IFERROR(__xludf.DUMMYFUNCTION("SPLiT(G3551, ""🤙🏼"",FALSE,FALSE)"),888.0)</f>
        <v>888</v>
      </c>
      <c r="I3551" s="5" t="str">
        <f>IFERROR(__xludf.DUMMYFUNCTION("""COMPUTED_VALUE"""),"Guardians of the Galaxy Vol. 2")</f>
        <v>Guardians of the Galaxy Vol. 2</v>
      </c>
      <c r="J3551" s="5" t="str">
        <f>IFERROR(__xludf.DUMMYFUNCTION("""COMPUTED_VALUE"""),"Zoe Saldana")</f>
        <v>Zoe Saldana</v>
      </c>
      <c r="K3551" s="5" t="str">
        <f>IFERROR(__xludf.DUMMYFUNCTION("""COMPUTED_VALUE"""),"Estrela 2")</f>
        <v>Estrela 2</v>
      </c>
      <c r="P3551" s="5">
        <f>IFERROR(__xludf.DUMMYFUNCTION("""COMPUTED_VALUE"""),888.0)</f>
        <v>888</v>
      </c>
      <c r="Q3551" s="5" t="str">
        <f>IFERROR(__xludf.DUMMYFUNCTION("""COMPUTED_VALUE"""),"Guardians of the Galaxy Vol. 2")</f>
        <v>Guardians of the Galaxy Vol. 2</v>
      </c>
      <c r="R3551" s="5" t="str">
        <f>IFERROR(__xludf.DUMMYFUNCTION("""COMPUTED_VALUE"""),"Zoe Saldana")</f>
        <v>Zoe Saldana</v>
      </c>
      <c r="S3551" s="5" t="str">
        <f>IFERROR(__xludf.DUMMYFUNCTION("""COMPUTED_VALUE"""),"Estrela 2")</f>
        <v>Estrela 2</v>
      </c>
    </row>
    <row r="3552">
      <c r="G3552" s="5" t="str">
        <f>IFERROR(__xludf.DUMMYFUNCTION("""COMPUTED_VALUE"""),"888🤙🏼Guardians of the Galaxy Vol. 2🤙🏼Dave Bautista🤙🏼Estrela 3")</f>
        <v>888🤙🏼Guardians of the Galaxy Vol. 2🤙🏼Dave Bautista🤙🏼Estrela 3</v>
      </c>
      <c r="H3552" s="5">
        <f>IFERROR(__xludf.DUMMYFUNCTION("SPLiT(G3552, ""🤙🏼"",FALSE,FALSE)"),888.0)</f>
        <v>888</v>
      </c>
      <c r="I3552" s="5" t="str">
        <f>IFERROR(__xludf.DUMMYFUNCTION("""COMPUTED_VALUE"""),"Guardians of the Galaxy Vol. 2")</f>
        <v>Guardians of the Galaxy Vol. 2</v>
      </c>
      <c r="J3552" s="5" t="str">
        <f>IFERROR(__xludf.DUMMYFUNCTION("""COMPUTED_VALUE"""),"Dave Bautista")</f>
        <v>Dave Bautista</v>
      </c>
      <c r="K3552" s="5" t="str">
        <f>IFERROR(__xludf.DUMMYFUNCTION("""COMPUTED_VALUE"""),"Estrela 3")</f>
        <v>Estrela 3</v>
      </c>
      <c r="P3552" s="5">
        <f>IFERROR(__xludf.DUMMYFUNCTION("""COMPUTED_VALUE"""),888.0)</f>
        <v>888</v>
      </c>
      <c r="Q3552" s="5" t="str">
        <f>IFERROR(__xludf.DUMMYFUNCTION("""COMPUTED_VALUE"""),"Guardians of the Galaxy Vol. 2")</f>
        <v>Guardians of the Galaxy Vol. 2</v>
      </c>
      <c r="R3552" s="5" t="str">
        <f>IFERROR(__xludf.DUMMYFUNCTION("""COMPUTED_VALUE"""),"Dave Bautista")</f>
        <v>Dave Bautista</v>
      </c>
      <c r="S3552" s="5" t="str">
        <f>IFERROR(__xludf.DUMMYFUNCTION("""COMPUTED_VALUE"""),"Estrela 3")</f>
        <v>Estrela 3</v>
      </c>
    </row>
    <row r="3553">
      <c r="G3553" s="5" t="str">
        <f>IFERROR(__xludf.DUMMYFUNCTION("""COMPUTED_VALUE"""),"888🤙🏼Guardians of the Galaxy Vol. 2🤙🏼Vin Diesel🤙🏼Estrela 4")</f>
        <v>888🤙🏼Guardians of the Galaxy Vol. 2🤙🏼Vin Diesel🤙🏼Estrela 4</v>
      </c>
      <c r="H3553" s="5">
        <f>IFERROR(__xludf.DUMMYFUNCTION("SPLiT(G3553, ""🤙🏼"",FALSE,FALSE)"),888.0)</f>
        <v>888</v>
      </c>
      <c r="I3553" s="5" t="str">
        <f>IFERROR(__xludf.DUMMYFUNCTION("""COMPUTED_VALUE"""),"Guardians of the Galaxy Vol. 2")</f>
        <v>Guardians of the Galaxy Vol. 2</v>
      </c>
      <c r="J3553" s="5" t="str">
        <f>IFERROR(__xludf.DUMMYFUNCTION("""COMPUTED_VALUE"""),"Vin Diesel")</f>
        <v>Vin Diesel</v>
      </c>
      <c r="K3553" s="5" t="str">
        <f>IFERROR(__xludf.DUMMYFUNCTION("""COMPUTED_VALUE"""),"Estrela 4")</f>
        <v>Estrela 4</v>
      </c>
      <c r="P3553" s="5">
        <f>IFERROR(__xludf.DUMMYFUNCTION("""COMPUTED_VALUE"""),888.0)</f>
        <v>888</v>
      </c>
      <c r="Q3553" s="5" t="str">
        <f>IFERROR(__xludf.DUMMYFUNCTION("""COMPUTED_VALUE"""),"Guardians of the Galaxy Vol. 2")</f>
        <v>Guardians of the Galaxy Vol. 2</v>
      </c>
      <c r="R3553" s="5" t="str">
        <f>IFERROR(__xludf.DUMMYFUNCTION("""COMPUTED_VALUE"""),"Vin Diesel")</f>
        <v>Vin Diesel</v>
      </c>
      <c r="S3553" s="5" t="str">
        <f>IFERROR(__xludf.DUMMYFUNCTION("""COMPUTED_VALUE"""),"Estrela 4")</f>
        <v>Estrela 4</v>
      </c>
    </row>
    <row r="3554">
      <c r="G3554" s="5" t="str">
        <f>IFERROR(__xludf.DUMMYFUNCTION("""COMPUTED_VALUE"""),"889🤙🏼Baby Driver🤙🏼Ansel Elgort🤙🏼Estrela 1")</f>
        <v>889🤙🏼Baby Driver🤙🏼Ansel Elgort🤙🏼Estrela 1</v>
      </c>
      <c r="H3554" s="5">
        <f>IFERROR(__xludf.DUMMYFUNCTION("SPLiT(G3554, ""🤙🏼"",FALSE,FALSE)"),889.0)</f>
        <v>889</v>
      </c>
      <c r="I3554" s="5" t="str">
        <f>IFERROR(__xludf.DUMMYFUNCTION("""COMPUTED_VALUE"""),"Baby Driver")</f>
        <v>Baby Driver</v>
      </c>
      <c r="J3554" s="5" t="str">
        <f>IFERROR(__xludf.DUMMYFUNCTION("""COMPUTED_VALUE"""),"Ansel Elgort")</f>
        <v>Ansel Elgort</v>
      </c>
      <c r="K3554" s="5" t="str">
        <f>IFERROR(__xludf.DUMMYFUNCTION("""COMPUTED_VALUE"""),"Estrela 1")</f>
        <v>Estrela 1</v>
      </c>
      <c r="P3554" s="5">
        <f>IFERROR(__xludf.DUMMYFUNCTION("""COMPUTED_VALUE"""),889.0)</f>
        <v>889</v>
      </c>
      <c r="Q3554" s="5" t="str">
        <f>IFERROR(__xludf.DUMMYFUNCTION("""COMPUTED_VALUE"""),"Baby Driver")</f>
        <v>Baby Driver</v>
      </c>
      <c r="R3554" s="5" t="str">
        <f>IFERROR(__xludf.DUMMYFUNCTION("""COMPUTED_VALUE"""),"Ansel Elgort")</f>
        <v>Ansel Elgort</v>
      </c>
      <c r="S3554" s="5" t="str">
        <f>IFERROR(__xludf.DUMMYFUNCTION("""COMPUTED_VALUE"""),"Estrela 1")</f>
        <v>Estrela 1</v>
      </c>
    </row>
    <row r="3555">
      <c r="G3555" s="5" t="str">
        <f>IFERROR(__xludf.DUMMYFUNCTION("""COMPUTED_VALUE"""),"889🤙🏼Baby Driver🤙🏼Jon Bernthal🤙🏼Estrela 2")</f>
        <v>889🤙🏼Baby Driver🤙🏼Jon Bernthal🤙🏼Estrela 2</v>
      </c>
      <c r="H3555" s="5">
        <f>IFERROR(__xludf.DUMMYFUNCTION("SPLiT(G3555, ""🤙🏼"",FALSE,FALSE)"),889.0)</f>
        <v>889</v>
      </c>
      <c r="I3555" s="5" t="str">
        <f>IFERROR(__xludf.DUMMYFUNCTION("""COMPUTED_VALUE"""),"Baby Driver")</f>
        <v>Baby Driver</v>
      </c>
      <c r="J3555" s="5" t="str">
        <f>IFERROR(__xludf.DUMMYFUNCTION("""COMPUTED_VALUE"""),"Jon Bernthal")</f>
        <v>Jon Bernthal</v>
      </c>
      <c r="K3555" s="5" t="str">
        <f>IFERROR(__xludf.DUMMYFUNCTION("""COMPUTED_VALUE"""),"Estrela 2")</f>
        <v>Estrela 2</v>
      </c>
      <c r="P3555" s="5">
        <f>IFERROR(__xludf.DUMMYFUNCTION("""COMPUTED_VALUE"""),889.0)</f>
        <v>889</v>
      </c>
      <c r="Q3555" s="5" t="str">
        <f>IFERROR(__xludf.DUMMYFUNCTION("""COMPUTED_VALUE"""),"Baby Driver")</f>
        <v>Baby Driver</v>
      </c>
      <c r="R3555" s="5" t="str">
        <f>IFERROR(__xludf.DUMMYFUNCTION("""COMPUTED_VALUE"""),"Jon Bernthal")</f>
        <v>Jon Bernthal</v>
      </c>
      <c r="S3555" s="5" t="str">
        <f>IFERROR(__xludf.DUMMYFUNCTION("""COMPUTED_VALUE"""),"Estrela 2")</f>
        <v>Estrela 2</v>
      </c>
    </row>
    <row r="3556">
      <c r="G3556" s="5" t="str">
        <f>IFERROR(__xludf.DUMMYFUNCTION("""COMPUTED_VALUE"""),"889🤙🏼Baby Driver🤙🏼Jon Hamm🤙🏼Estrela 3")</f>
        <v>889🤙🏼Baby Driver🤙🏼Jon Hamm🤙🏼Estrela 3</v>
      </c>
      <c r="H3556" s="5">
        <f>IFERROR(__xludf.DUMMYFUNCTION("SPLiT(G3556, ""🤙🏼"",FALSE,FALSE)"),889.0)</f>
        <v>889</v>
      </c>
      <c r="I3556" s="5" t="str">
        <f>IFERROR(__xludf.DUMMYFUNCTION("""COMPUTED_VALUE"""),"Baby Driver")</f>
        <v>Baby Driver</v>
      </c>
      <c r="J3556" s="5" t="str">
        <f>IFERROR(__xludf.DUMMYFUNCTION("""COMPUTED_VALUE"""),"Jon Hamm")</f>
        <v>Jon Hamm</v>
      </c>
      <c r="K3556" s="5" t="str">
        <f>IFERROR(__xludf.DUMMYFUNCTION("""COMPUTED_VALUE"""),"Estrela 3")</f>
        <v>Estrela 3</v>
      </c>
      <c r="P3556" s="5">
        <f>IFERROR(__xludf.DUMMYFUNCTION("""COMPUTED_VALUE"""),889.0)</f>
        <v>889</v>
      </c>
      <c r="Q3556" s="5" t="str">
        <f>IFERROR(__xludf.DUMMYFUNCTION("""COMPUTED_VALUE"""),"Baby Driver")</f>
        <v>Baby Driver</v>
      </c>
      <c r="R3556" s="5" t="str">
        <f>IFERROR(__xludf.DUMMYFUNCTION("""COMPUTED_VALUE"""),"Jon Hamm")</f>
        <v>Jon Hamm</v>
      </c>
      <c r="S3556" s="5" t="str">
        <f>IFERROR(__xludf.DUMMYFUNCTION("""COMPUTED_VALUE"""),"Estrela 3")</f>
        <v>Estrela 3</v>
      </c>
    </row>
    <row r="3557">
      <c r="G3557" s="5" t="str">
        <f>IFERROR(__xludf.DUMMYFUNCTION("""COMPUTED_VALUE"""),"889🤙🏼Baby Driver🤙🏼Eiza González🤙🏼Estrela 4")</f>
        <v>889🤙🏼Baby Driver🤙🏼Eiza González🤙🏼Estrela 4</v>
      </c>
      <c r="H3557" s="5">
        <f>IFERROR(__xludf.DUMMYFUNCTION("SPLiT(G3557, ""🤙🏼"",FALSE,FALSE)"),889.0)</f>
        <v>889</v>
      </c>
      <c r="I3557" s="5" t="str">
        <f>IFERROR(__xludf.DUMMYFUNCTION("""COMPUTED_VALUE"""),"Baby Driver")</f>
        <v>Baby Driver</v>
      </c>
      <c r="J3557" s="5" t="str">
        <f>IFERROR(__xludf.DUMMYFUNCTION("""COMPUTED_VALUE"""),"Eiza González")</f>
        <v>Eiza González</v>
      </c>
      <c r="K3557" s="5" t="str">
        <f>IFERROR(__xludf.DUMMYFUNCTION("""COMPUTED_VALUE"""),"Estrela 4")</f>
        <v>Estrela 4</v>
      </c>
      <c r="P3557" s="5">
        <f>IFERROR(__xludf.DUMMYFUNCTION("""COMPUTED_VALUE"""),889.0)</f>
        <v>889</v>
      </c>
      <c r="Q3557" s="5" t="str">
        <f>IFERROR(__xludf.DUMMYFUNCTION("""COMPUTED_VALUE"""),"Baby Driver")</f>
        <v>Baby Driver</v>
      </c>
      <c r="R3557" s="5" t="str">
        <f>IFERROR(__xludf.DUMMYFUNCTION("""COMPUTED_VALUE"""),"Eiza González")</f>
        <v>Eiza González</v>
      </c>
      <c r="S3557" s="5" t="str">
        <f>IFERROR(__xludf.DUMMYFUNCTION("""COMPUTED_VALUE"""),"Estrela 4")</f>
        <v>Estrela 4</v>
      </c>
    </row>
    <row r="3558">
      <c r="G3558" s="5" t="str">
        <f>IFERROR(__xludf.DUMMYFUNCTION("""COMPUTED_VALUE"""),"890🤙🏼Only the Brave🤙🏼Josh Brolin🤙🏼Estrela 1")</f>
        <v>890🤙🏼Only the Brave🤙🏼Josh Brolin🤙🏼Estrela 1</v>
      </c>
      <c r="H3558" s="5">
        <f>IFERROR(__xludf.DUMMYFUNCTION("SPLiT(G3558, ""🤙🏼"",FALSE,FALSE)"),890.0)</f>
        <v>890</v>
      </c>
      <c r="I3558" s="5" t="str">
        <f>IFERROR(__xludf.DUMMYFUNCTION("""COMPUTED_VALUE"""),"Only the Brave")</f>
        <v>Only the Brave</v>
      </c>
      <c r="J3558" s="5" t="str">
        <f>IFERROR(__xludf.DUMMYFUNCTION("""COMPUTED_VALUE"""),"Josh Brolin")</f>
        <v>Josh Brolin</v>
      </c>
      <c r="K3558" s="5" t="str">
        <f>IFERROR(__xludf.DUMMYFUNCTION("""COMPUTED_VALUE"""),"Estrela 1")</f>
        <v>Estrela 1</v>
      </c>
      <c r="P3558" s="5">
        <f>IFERROR(__xludf.DUMMYFUNCTION("""COMPUTED_VALUE"""),890.0)</f>
        <v>890</v>
      </c>
      <c r="Q3558" s="5" t="str">
        <f>IFERROR(__xludf.DUMMYFUNCTION("""COMPUTED_VALUE"""),"Only the Brave")</f>
        <v>Only the Brave</v>
      </c>
      <c r="R3558" s="5" t="str">
        <f>IFERROR(__xludf.DUMMYFUNCTION("""COMPUTED_VALUE"""),"Josh Brolin")</f>
        <v>Josh Brolin</v>
      </c>
      <c r="S3558" s="5" t="str">
        <f>IFERROR(__xludf.DUMMYFUNCTION("""COMPUTED_VALUE"""),"Estrela 1")</f>
        <v>Estrela 1</v>
      </c>
    </row>
    <row r="3559">
      <c r="G3559" s="5" t="str">
        <f>IFERROR(__xludf.DUMMYFUNCTION("""COMPUTED_VALUE"""),"890🤙🏼Only the Brave🤙🏼Miles Teller🤙🏼Estrela 2")</f>
        <v>890🤙🏼Only the Brave🤙🏼Miles Teller🤙🏼Estrela 2</v>
      </c>
      <c r="H3559" s="5">
        <f>IFERROR(__xludf.DUMMYFUNCTION("SPLiT(G3559, ""🤙🏼"",FALSE,FALSE)"),890.0)</f>
        <v>890</v>
      </c>
      <c r="I3559" s="5" t="str">
        <f>IFERROR(__xludf.DUMMYFUNCTION("""COMPUTED_VALUE"""),"Only the Brave")</f>
        <v>Only the Brave</v>
      </c>
      <c r="J3559" s="5" t="str">
        <f>IFERROR(__xludf.DUMMYFUNCTION("""COMPUTED_VALUE"""),"Miles Teller")</f>
        <v>Miles Teller</v>
      </c>
      <c r="K3559" s="5" t="str">
        <f>IFERROR(__xludf.DUMMYFUNCTION("""COMPUTED_VALUE"""),"Estrela 2")</f>
        <v>Estrela 2</v>
      </c>
      <c r="P3559" s="5">
        <f>IFERROR(__xludf.DUMMYFUNCTION("""COMPUTED_VALUE"""),890.0)</f>
        <v>890</v>
      </c>
      <c r="Q3559" s="5" t="str">
        <f>IFERROR(__xludf.DUMMYFUNCTION("""COMPUTED_VALUE"""),"Only the Brave")</f>
        <v>Only the Brave</v>
      </c>
      <c r="R3559" s="5" t="str">
        <f>IFERROR(__xludf.DUMMYFUNCTION("""COMPUTED_VALUE"""),"Miles Teller")</f>
        <v>Miles Teller</v>
      </c>
      <c r="S3559" s="5" t="str">
        <f>IFERROR(__xludf.DUMMYFUNCTION("""COMPUTED_VALUE"""),"Estrela 2")</f>
        <v>Estrela 2</v>
      </c>
    </row>
    <row r="3560">
      <c r="G3560" s="5" t="str">
        <f>IFERROR(__xludf.DUMMYFUNCTION("""COMPUTED_VALUE"""),"890🤙🏼Only the Brave🤙🏼Jeff Bridges🤙🏼Estrela 3")</f>
        <v>890🤙🏼Only the Brave🤙🏼Jeff Bridges🤙🏼Estrela 3</v>
      </c>
      <c r="H3560" s="5">
        <f>IFERROR(__xludf.DUMMYFUNCTION("SPLiT(G3560, ""🤙🏼"",FALSE,FALSE)"),890.0)</f>
        <v>890</v>
      </c>
      <c r="I3560" s="5" t="str">
        <f>IFERROR(__xludf.DUMMYFUNCTION("""COMPUTED_VALUE"""),"Only the Brave")</f>
        <v>Only the Brave</v>
      </c>
      <c r="J3560" s="5" t="str">
        <f>IFERROR(__xludf.DUMMYFUNCTION("""COMPUTED_VALUE"""),"Jeff Bridges")</f>
        <v>Jeff Bridges</v>
      </c>
      <c r="K3560" s="5" t="str">
        <f>IFERROR(__xludf.DUMMYFUNCTION("""COMPUTED_VALUE"""),"Estrela 3")</f>
        <v>Estrela 3</v>
      </c>
      <c r="P3560" s="5">
        <f>IFERROR(__xludf.DUMMYFUNCTION("""COMPUTED_VALUE"""),890.0)</f>
        <v>890</v>
      </c>
      <c r="Q3560" s="5" t="str">
        <f>IFERROR(__xludf.DUMMYFUNCTION("""COMPUTED_VALUE"""),"Only the Brave")</f>
        <v>Only the Brave</v>
      </c>
      <c r="R3560" s="5" t="str">
        <f>IFERROR(__xludf.DUMMYFUNCTION("""COMPUTED_VALUE"""),"Jeff Bridges")</f>
        <v>Jeff Bridges</v>
      </c>
      <c r="S3560" s="5" t="str">
        <f>IFERROR(__xludf.DUMMYFUNCTION("""COMPUTED_VALUE"""),"Estrela 3")</f>
        <v>Estrela 3</v>
      </c>
    </row>
    <row r="3561">
      <c r="G3561" s="5" t="str">
        <f>IFERROR(__xludf.DUMMYFUNCTION("""COMPUTED_VALUE"""),"890🤙🏼Only the Brave🤙🏼Jennifer Connelly🤙🏼Estrela 4")</f>
        <v>890🤙🏼Only the Brave🤙🏼Jennifer Connelly🤙🏼Estrela 4</v>
      </c>
      <c r="H3561" s="5">
        <f>IFERROR(__xludf.DUMMYFUNCTION("SPLiT(G3561, ""🤙🏼"",FALSE,FALSE)"),890.0)</f>
        <v>890</v>
      </c>
      <c r="I3561" s="5" t="str">
        <f>IFERROR(__xludf.DUMMYFUNCTION("""COMPUTED_VALUE"""),"Only the Brave")</f>
        <v>Only the Brave</v>
      </c>
      <c r="J3561" s="5" t="str">
        <f>IFERROR(__xludf.DUMMYFUNCTION("""COMPUTED_VALUE"""),"Jennifer Connelly")</f>
        <v>Jennifer Connelly</v>
      </c>
      <c r="K3561" s="5" t="str">
        <f>IFERROR(__xludf.DUMMYFUNCTION("""COMPUTED_VALUE"""),"Estrela 4")</f>
        <v>Estrela 4</v>
      </c>
      <c r="P3561" s="5">
        <f>IFERROR(__xludf.DUMMYFUNCTION("""COMPUTED_VALUE"""),890.0)</f>
        <v>890</v>
      </c>
      <c r="Q3561" s="5" t="str">
        <f>IFERROR(__xludf.DUMMYFUNCTION("""COMPUTED_VALUE"""),"Only the Brave")</f>
        <v>Only the Brave</v>
      </c>
      <c r="R3561" s="5" t="str">
        <f>IFERROR(__xludf.DUMMYFUNCTION("""COMPUTED_VALUE"""),"Jennifer Connelly")</f>
        <v>Jennifer Connelly</v>
      </c>
      <c r="S3561" s="5" t="str">
        <f>IFERROR(__xludf.DUMMYFUNCTION("""COMPUTED_VALUE"""),"Estrela 4")</f>
        <v>Estrela 4</v>
      </c>
    </row>
    <row r="3562">
      <c r="G3562" s="5" t="str">
        <f>IFERROR(__xludf.DUMMYFUNCTION("""COMPUTED_VALUE"""),"891🤙🏼Bridge of Spies🤙🏼Tom Hanks🤙🏼Estrela 1")</f>
        <v>891🤙🏼Bridge of Spies🤙🏼Tom Hanks🤙🏼Estrela 1</v>
      </c>
      <c r="H3562" s="5">
        <f>IFERROR(__xludf.DUMMYFUNCTION("SPLiT(G3562, ""🤙🏼"",FALSE,FALSE)"),891.0)</f>
        <v>891</v>
      </c>
      <c r="I3562" s="5" t="str">
        <f>IFERROR(__xludf.DUMMYFUNCTION("""COMPUTED_VALUE"""),"Bridge of Spies")</f>
        <v>Bridge of Spies</v>
      </c>
      <c r="J3562" s="5" t="str">
        <f>IFERROR(__xludf.DUMMYFUNCTION("""COMPUTED_VALUE"""),"Tom Hanks")</f>
        <v>Tom Hanks</v>
      </c>
      <c r="K3562" s="5" t="str">
        <f>IFERROR(__xludf.DUMMYFUNCTION("""COMPUTED_VALUE"""),"Estrela 1")</f>
        <v>Estrela 1</v>
      </c>
      <c r="P3562" s="5">
        <f>IFERROR(__xludf.DUMMYFUNCTION("""COMPUTED_VALUE"""),891.0)</f>
        <v>891</v>
      </c>
      <c r="Q3562" s="5" t="str">
        <f>IFERROR(__xludf.DUMMYFUNCTION("""COMPUTED_VALUE"""),"Bridge of Spies")</f>
        <v>Bridge of Spies</v>
      </c>
      <c r="R3562" s="5" t="str">
        <f>IFERROR(__xludf.DUMMYFUNCTION("""COMPUTED_VALUE"""),"Tom Hanks")</f>
        <v>Tom Hanks</v>
      </c>
      <c r="S3562" s="5" t="str">
        <f>IFERROR(__xludf.DUMMYFUNCTION("""COMPUTED_VALUE"""),"Estrela 1")</f>
        <v>Estrela 1</v>
      </c>
    </row>
    <row r="3563">
      <c r="G3563" s="5" t="str">
        <f>IFERROR(__xludf.DUMMYFUNCTION("""COMPUTED_VALUE"""),"891🤙🏼Bridge of Spies🤙🏼Mark Rylance🤙🏼Estrela 2")</f>
        <v>891🤙🏼Bridge of Spies🤙🏼Mark Rylance🤙🏼Estrela 2</v>
      </c>
      <c r="H3563" s="5">
        <f>IFERROR(__xludf.DUMMYFUNCTION("SPLiT(G3563, ""🤙🏼"",FALSE,FALSE)"),891.0)</f>
        <v>891</v>
      </c>
      <c r="I3563" s="5" t="str">
        <f>IFERROR(__xludf.DUMMYFUNCTION("""COMPUTED_VALUE"""),"Bridge of Spies")</f>
        <v>Bridge of Spies</v>
      </c>
      <c r="J3563" s="5" t="str">
        <f>IFERROR(__xludf.DUMMYFUNCTION("""COMPUTED_VALUE"""),"Mark Rylance")</f>
        <v>Mark Rylance</v>
      </c>
      <c r="K3563" s="5" t="str">
        <f>IFERROR(__xludf.DUMMYFUNCTION("""COMPUTED_VALUE"""),"Estrela 2")</f>
        <v>Estrela 2</v>
      </c>
      <c r="P3563" s="5">
        <f>IFERROR(__xludf.DUMMYFUNCTION("""COMPUTED_VALUE"""),891.0)</f>
        <v>891</v>
      </c>
      <c r="Q3563" s="5" t="str">
        <f>IFERROR(__xludf.DUMMYFUNCTION("""COMPUTED_VALUE"""),"Bridge of Spies")</f>
        <v>Bridge of Spies</v>
      </c>
      <c r="R3563" s="5" t="str">
        <f>IFERROR(__xludf.DUMMYFUNCTION("""COMPUTED_VALUE"""),"Mark Rylance")</f>
        <v>Mark Rylance</v>
      </c>
      <c r="S3563" s="5" t="str">
        <f>IFERROR(__xludf.DUMMYFUNCTION("""COMPUTED_VALUE"""),"Estrela 2")</f>
        <v>Estrela 2</v>
      </c>
    </row>
    <row r="3564">
      <c r="G3564" s="5" t="str">
        <f>IFERROR(__xludf.DUMMYFUNCTION("""COMPUTED_VALUE"""),"891🤙🏼Bridge of Spies🤙🏼Alan Alda🤙🏼Estrela 3")</f>
        <v>891🤙🏼Bridge of Spies🤙🏼Alan Alda🤙🏼Estrela 3</v>
      </c>
      <c r="H3564" s="5">
        <f>IFERROR(__xludf.DUMMYFUNCTION("SPLiT(G3564, ""🤙🏼"",FALSE,FALSE)"),891.0)</f>
        <v>891</v>
      </c>
      <c r="I3564" s="5" t="str">
        <f>IFERROR(__xludf.DUMMYFUNCTION("""COMPUTED_VALUE"""),"Bridge of Spies")</f>
        <v>Bridge of Spies</v>
      </c>
      <c r="J3564" s="5" t="str">
        <f>IFERROR(__xludf.DUMMYFUNCTION("""COMPUTED_VALUE"""),"Alan Alda")</f>
        <v>Alan Alda</v>
      </c>
      <c r="K3564" s="5" t="str">
        <f>IFERROR(__xludf.DUMMYFUNCTION("""COMPUTED_VALUE"""),"Estrela 3")</f>
        <v>Estrela 3</v>
      </c>
      <c r="P3564" s="5">
        <f>IFERROR(__xludf.DUMMYFUNCTION("""COMPUTED_VALUE"""),891.0)</f>
        <v>891</v>
      </c>
      <c r="Q3564" s="5" t="str">
        <f>IFERROR(__xludf.DUMMYFUNCTION("""COMPUTED_VALUE"""),"Bridge of Spies")</f>
        <v>Bridge of Spies</v>
      </c>
      <c r="R3564" s="5" t="str">
        <f>IFERROR(__xludf.DUMMYFUNCTION("""COMPUTED_VALUE"""),"Alan Alda")</f>
        <v>Alan Alda</v>
      </c>
      <c r="S3564" s="5" t="str">
        <f>IFERROR(__xludf.DUMMYFUNCTION("""COMPUTED_VALUE"""),"Estrela 3")</f>
        <v>Estrela 3</v>
      </c>
    </row>
    <row r="3565">
      <c r="G3565" s="5" t="str">
        <f>IFERROR(__xludf.DUMMYFUNCTION("""COMPUTED_VALUE"""),"891🤙🏼Bridge of Spies🤙🏼Amy Ryan🤙🏼Estrela 4")</f>
        <v>891🤙🏼Bridge of Spies🤙🏼Amy Ryan🤙🏼Estrela 4</v>
      </c>
      <c r="H3565" s="5">
        <f>IFERROR(__xludf.DUMMYFUNCTION("SPLiT(G3565, ""🤙🏼"",FALSE,FALSE)"),891.0)</f>
        <v>891</v>
      </c>
      <c r="I3565" s="5" t="str">
        <f>IFERROR(__xludf.DUMMYFUNCTION("""COMPUTED_VALUE"""),"Bridge of Spies")</f>
        <v>Bridge of Spies</v>
      </c>
      <c r="J3565" s="5" t="str">
        <f>IFERROR(__xludf.DUMMYFUNCTION("""COMPUTED_VALUE"""),"Amy Ryan")</f>
        <v>Amy Ryan</v>
      </c>
      <c r="K3565" s="5" t="str">
        <f>IFERROR(__xludf.DUMMYFUNCTION("""COMPUTED_VALUE"""),"Estrela 4")</f>
        <v>Estrela 4</v>
      </c>
      <c r="P3565" s="5">
        <f>IFERROR(__xludf.DUMMYFUNCTION("""COMPUTED_VALUE"""),891.0)</f>
        <v>891</v>
      </c>
      <c r="Q3565" s="5" t="str">
        <f>IFERROR(__xludf.DUMMYFUNCTION("""COMPUTED_VALUE"""),"Bridge of Spies")</f>
        <v>Bridge of Spies</v>
      </c>
      <c r="R3565" s="5" t="str">
        <f>IFERROR(__xludf.DUMMYFUNCTION("""COMPUTED_VALUE"""),"Amy Ryan")</f>
        <v>Amy Ryan</v>
      </c>
      <c r="S3565" s="5" t="str">
        <f>IFERROR(__xludf.DUMMYFUNCTION("""COMPUTED_VALUE"""),"Estrela 4")</f>
        <v>Estrela 4</v>
      </c>
    </row>
    <row r="3566">
      <c r="G3566" s="5" t="str">
        <f>IFERROR(__xludf.DUMMYFUNCTION("""COMPUTED_VALUE"""),"892🤙🏼Incredibles 2🤙🏼Craig T. Nelson🤙🏼Estrela 1")</f>
        <v>892🤙🏼Incredibles 2🤙🏼Craig T. Nelson🤙🏼Estrela 1</v>
      </c>
      <c r="H3566" s="5">
        <f>IFERROR(__xludf.DUMMYFUNCTION("SPLiT(G3566, ""🤙🏼"",FALSE,FALSE)"),892.0)</f>
        <v>892</v>
      </c>
      <c r="I3566" s="5" t="str">
        <f>IFERROR(__xludf.DUMMYFUNCTION("""COMPUTED_VALUE"""),"Incredibles 2")</f>
        <v>Incredibles 2</v>
      </c>
      <c r="J3566" s="5" t="str">
        <f>IFERROR(__xludf.DUMMYFUNCTION("""COMPUTED_VALUE"""),"Craig T. Nelson")</f>
        <v>Craig T. Nelson</v>
      </c>
      <c r="K3566" s="5" t="str">
        <f>IFERROR(__xludf.DUMMYFUNCTION("""COMPUTED_VALUE"""),"Estrela 1")</f>
        <v>Estrela 1</v>
      </c>
      <c r="P3566" s="5">
        <f>IFERROR(__xludf.DUMMYFUNCTION("""COMPUTED_VALUE"""),892.0)</f>
        <v>892</v>
      </c>
      <c r="Q3566" s="5" t="str">
        <f>IFERROR(__xludf.DUMMYFUNCTION("""COMPUTED_VALUE"""),"Incredibles 2")</f>
        <v>Incredibles 2</v>
      </c>
      <c r="R3566" s="5" t="str">
        <f>IFERROR(__xludf.DUMMYFUNCTION("""COMPUTED_VALUE"""),"Craig T. Nelson")</f>
        <v>Craig T. Nelson</v>
      </c>
      <c r="S3566" s="5" t="str">
        <f>IFERROR(__xludf.DUMMYFUNCTION("""COMPUTED_VALUE"""),"Estrela 1")</f>
        <v>Estrela 1</v>
      </c>
    </row>
    <row r="3567">
      <c r="G3567" s="5" t="str">
        <f>IFERROR(__xludf.DUMMYFUNCTION("""COMPUTED_VALUE"""),"892🤙🏼Incredibles 2🤙🏼Holly Hunter🤙🏼Estrela 2")</f>
        <v>892🤙🏼Incredibles 2🤙🏼Holly Hunter🤙🏼Estrela 2</v>
      </c>
      <c r="H3567" s="5">
        <f>IFERROR(__xludf.DUMMYFUNCTION("SPLiT(G3567, ""🤙🏼"",FALSE,FALSE)"),892.0)</f>
        <v>892</v>
      </c>
      <c r="I3567" s="5" t="str">
        <f>IFERROR(__xludf.DUMMYFUNCTION("""COMPUTED_VALUE"""),"Incredibles 2")</f>
        <v>Incredibles 2</v>
      </c>
      <c r="J3567" s="5" t="str">
        <f>IFERROR(__xludf.DUMMYFUNCTION("""COMPUTED_VALUE"""),"Holly Hunter")</f>
        <v>Holly Hunter</v>
      </c>
      <c r="K3567" s="5" t="str">
        <f>IFERROR(__xludf.DUMMYFUNCTION("""COMPUTED_VALUE"""),"Estrela 2")</f>
        <v>Estrela 2</v>
      </c>
      <c r="P3567" s="5">
        <f>IFERROR(__xludf.DUMMYFUNCTION("""COMPUTED_VALUE"""),892.0)</f>
        <v>892</v>
      </c>
      <c r="Q3567" s="5" t="str">
        <f>IFERROR(__xludf.DUMMYFUNCTION("""COMPUTED_VALUE"""),"Incredibles 2")</f>
        <v>Incredibles 2</v>
      </c>
      <c r="R3567" s="5" t="str">
        <f>IFERROR(__xludf.DUMMYFUNCTION("""COMPUTED_VALUE"""),"Holly Hunter")</f>
        <v>Holly Hunter</v>
      </c>
      <c r="S3567" s="5" t="str">
        <f>IFERROR(__xludf.DUMMYFUNCTION("""COMPUTED_VALUE"""),"Estrela 2")</f>
        <v>Estrela 2</v>
      </c>
    </row>
    <row r="3568">
      <c r="G3568" s="5" t="str">
        <f>IFERROR(__xludf.DUMMYFUNCTION("""COMPUTED_VALUE"""),"892🤙🏼Incredibles 2🤙🏼Sarah Vowell🤙🏼Estrela 3")</f>
        <v>892🤙🏼Incredibles 2🤙🏼Sarah Vowell🤙🏼Estrela 3</v>
      </c>
      <c r="H3568" s="5">
        <f>IFERROR(__xludf.DUMMYFUNCTION("SPLiT(G3568, ""🤙🏼"",FALSE,FALSE)"),892.0)</f>
        <v>892</v>
      </c>
      <c r="I3568" s="5" t="str">
        <f>IFERROR(__xludf.DUMMYFUNCTION("""COMPUTED_VALUE"""),"Incredibles 2")</f>
        <v>Incredibles 2</v>
      </c>
      <c r="J3568" s="5" t="str">
        <f>IFERROR(__xludf.DUMMYFUNCTION("""COMPUTED_VALUE"""),"Sarah Vowell")</f>
        <v>Sarah Vowell</v>
      </c>
      <c r="K3568" s="5" t="str">
        <f>IFERROR(__xludf.DUMMYFUNCTION("""COMPUTED_VALUE"""),"Estrela 3")</f>
        <v>Estrela 3</v>
      </c>
      <c r="P3568" s="5">
        <f>IFERROR(__xludf.DUMMYFUNCTION("""COMPUTED_VALUE"""),892.0)</f>
        <v>892</v>
      </c>
      <c r="Q3568" s="5" t="str">
        <f>IFERROR(__xludf.DUMMYFUNCTION("""COMPUTED_VALUE"""),"Incredibles 2")</f>
        <v>Incredibles 2</v>
      </c>
      <c r="R3568" s="5" t="str">
        <f>IFERROR(__xludf.DUMMYFUNCTION("""COMPUTED_VALUE"""),"Sarah Vowell")</f>
        <v>Sarah Vowell</v>
      </c>
      <c r="S3568" s="5" t="str">
        <f>IFERROR(__xludf.DUMMYFUNCTION("""COMPUTED_VALUE"""),"Estrela 3")</f>
        <v>Estrela 3</v>
      </c>
    </row>
    <row r="3569">
      <c r="G3569" s="5" t="str">
        <f>IFERROR(__xludf.DUMMYFUNCTION("""COMPUTED_VALUE"""),"892🤙🏼Incredibles 2🤙🏼Huck Milner🤙🏼Estrela 4")</f>
        <v>892🤙🏼Incredibles 2🤙🏼Huck Milner🤙🏼Estrela 4</v>
      </c>
      <c r="H3569" s="5">
        <f>IFERROR(__xludf.DUMMYFUNCTION("SPLiT(G3569, ""🤙🏼"",FALSE,FALSE)"),892.0)</f>
        <v>892</v>
      </c>
      <c r="I3569" s="5" t="str">
        <f>IFERROR(__xludf.DUMMYFUNCTION("""COMPUTED_VALUE"""),"Incredibles 2")</f>
        <v>Incredibles 2</v>
      </c>
      <c r="J3569" s="5" t="str">
        <f>IFERROR(__xludf.DUMMYFUNCTION("""COMPUTED_VALUE"""),"Huck Milner")</f>
        <v>Huck Milner</v>
      </c>
      <c r="K3569" s="5" t="str">
        <f>IFERROR(__xludf.DUMMYFUNCTION("""COMPUTED_VALUE"""),"Estrela 4")</f>
        <v>Estrela 4</v>
      </c>
      <c r="P3569" s="5">
        <f>IFERROR(__xludf.DUMMYFUNCTION("""COMPUTED_VALUE"""),892.0)</f>
        <v>892</v>
      </c>
      <c r="Q3569" s="5" t="str">
        <f>IFERROR(__xludf.DUMMYFUNCTION("""COMPUTED_VALUE"""),"Incredibles 2")</f>
        <v>Incredibles 2</v>
      </c>
      <c r="R3569" s="5" t="str">
        <f>IFERROR(__xludf.DUMMYFUNCTION("""COMPUTED_VALUE"""),"Huck Milner")</f>
        <v>Huck Milner</v>
      </c>
      <c r="S3569" s="5" t="str">
        <f>IFERROR(__xludf.DUMMYFUNCTION("""COMPUTED_VALUE"""),"Estrela 4")</f>
        <v>Estrela 4</v>
      </c>
    </row>
    <row r="3570">
      <c r="G3570" s="5" t="str">
        <f>IFERROR(__xludf.DUMMYFUNCTION("""COMPUTED_VALUE"""),"893🤙🏼Moana🤙🏼John Musker🤙🏼Estrela 1")</f>
        <v>893🤙🏼Moana🤙🏼John Musker🤙🏼Estrela 1</v>
      </c>
      <c r="H3570" s="5">
        <f>IFERROR(__xludf.DUMMYFUNCTION("SPLiT(G3570, ""🤙🏼"",FALSE,FALSE)"),893.0)</f>
        <v>893</v>
      </c>
      <c r="I3570" s="5" t="str">
        <f>IFERROR(__xludf.DUMMYFUNCTION("""COMPUTED_VALUE"""),"Moana")</f>
        <v>Moana</v>
      </c>
      <c r="J3570" s="5" t="str">
        <f>IFERROR(__xludf.DUMMYFUNCTION("""COMPUTED_VALUE"""),"John Musker")</f>
        <v>John Musker</v>
      </c>
      <c r="K3570" s="5" t="str">
        <f>IFERROR(__xludf.DUMMYFUNCTION("""COMPUTED_VALUE"""),"Estrela 1")</f>
        <v>Estrela 1</v>
      </c>
      <c r="P3570" s="5">
        <f>IFERROR(__xludf.DUMMYFUNCTION("""COMPUTED_VALUE"""),893.0)</f>
        <v>893</v>
      </c>
      <c r="Q3570" s="5" t="str">
        <f>IFERROR(__xludf.DUMMYFUNCTION("""COMPUTED_VALUE"""),"Moana")</f>
        <v>Moana</v>
      </c>
      <c r="R3570" s="5" t="str">
        <f>IFERROR(__xludf.DUMMYFUNCTION("""COMPUTED_VALUE"""),"John Musker")</f>
        <v>John Musker</v>
      </c>
      <c r="S3570" s="5" t="str">
        <f>IFERROR(__xludf.DUMMYFUNCTION("""COMPUTED_VALUE"""),"Estrela 1")</f>
        <v>Estrela 1</v>
      </c>
    </row>
    <row r="3571">
      <c r="G3571" s="5" t="str">
        <f>IFERROR(__xludf.DUMMYFUNCTION("""COMPUTED_VALUE"""),"893🤙🏼Moana🤙🏼Don Hall🤙🏼Estrela 2")</f>
        <v>893🤙🏼Moana🤙🏼Don Hall🤙🏼Estrela 2</v>
      </c>
      <c r="H3571" s="5">
        <f>IFERROR(__xludf.DUMMYFUNCTION("SPLiT(G3571, ""🤙🏼"",FALSE,FALSE)"),893.0)</f>
        <v>893</v>
      </c>
      <c r="I3571" s="5" t="str">
        <f>IFERROR(__xludf.DUMMYFUNCTION("""COMPUTED_VALUE"""),"Moana")</f>
        <v>Moana</v>
      </c>
      <c r="J3571" s="5" t="str">
        <f>IFERROR(__xludf.DUMMYFUNCTION("""COMPUTED_VALUE"""),"Don Hall")</f>
        <v>Don Hall</v>
      </c>
      <c r="K3571" s="5" t="str">
        <f>IFERROR(__xludf.DUMMYFUNCTION("""COMPUTED_VALUE"""),"Estrela 2")</f>
        <v>Estrela 2</v>
      </c>
      <c r="P3571" s="5">
        <f>IFERROR(__xludf.DUMMYFUNCTION("""COMPUTED_VALUE"""),893.0)</f>
        <v>893</v>
      </c>
      <c r="Q3571" s="5" t="str">
        <f>IFERROR(__xludf.DUMMYFUNCTION("""COMPUTED_VALUE"""),"Moana")</f>
        <v>Moana</v>
      </c>
      <c r="R3571" s="5" t="str">
        <f>IFERROR(__xludf.DUMMYFUNCTION("""COMPUTED_VALUE"""),"Don Hall")</f>
        <v>Don Hall</v>
      </c>
      <c r="S3571" s="5" t="str">
        <f>IFERROR(__xludf.DUMMYFUNCTION("""COMPUTED_VALUE"""),"Estrela 2")</f>
        <v>Estrela 2</v>
      </c>
    </row>
    <row r="3572">
      <c r="G3572" s="5" t="str">
        <f>IFERROR(__xludf.DUMMYFUNCTION("""COMPUTED_VALUE"""),"893🤙🏼Moana🤙🏼Chris Williams🤙🏼Estrela 3")</f>
        <v>893🤙🏼Moana🤙🏼Chris Williams🤙🏼Estrela 3</v>
      </c>
      <c r="H3572" s="5">
        <f>IFERROR(__xludf.DUMMYFUNCTION("SPLiT(G3572, ""🤙🏼"",FALSE,FALSE)"),893.0)</f>
        <v>893</v>
      </c>
      <c r="I3572" s="5" t="str">
        <f>IFERROR(__xludf.DUMMYFUNCTION("""COMPUTED_VALUE"""),"Moana")</f>
        <v>Moana</v>
      </c>
      <c r="J3572" s="5" t="str">
        <f>IFERROR(__xludf.DUMMYFUNCTION("""COMPUTED_VALUE"""),"Chris Williams")</f>
        <v>Chris Williams</v>
      </c>
      <c r="K3572" s="5" t="str">
        <f>IFERROR(__xludf.DUMMYFUNCTION("""COMPUTED_VALUE"""),"Estrela 3")</f>
        <v>Estrela 3</v>
      </c>
      <c r="P3572" s="5">
        <f>IFERROR(__xludf.DUMMYFUNCTION("""COMPUTED_VALUE"""),893.0)</f>
        <v>893</v>
      </c>
      <c r="Q3572" s="5" t="str">
        <f>IFERROR(__xludf.DUMMYFUNCTION("""COMPUTED_VALUE"""),"Moana")</f>
        <v>Moana</v>
      </c>
      <c r="R3572" s="5" t="str">
        <f>IFERROR(__xludf.DUMMYFUNCTION("""COMPUTED_VALUE"""),"Chris Williams")</f>
        <v>Chris Williams</v>
      </c>
      <c r="S3572" s="5" t="str">
        <f>IFERROR(__xludf.DUMMYFUNCTION("""COMPUTED_VALUE"""),"Estrela 3")</f>
        <v>Estrela 3</v>
      </c>
    </row>
    <row r="3573">
      <c r="G3573" s="5" t="str">
        <f>IFERROR(__xludf.DUMMYFUNCTION("""COMPUTED_VALUE"""),"893🤙🏼Moana🤙🏼Auli'i Cravalho🤙🏼Estrela 4")</f>
        <v>893🤙🏼Moana🤙🏼Auli'i Cravalho🤙🏼Estrela 4</v>
      </c>
      <c r="H3573" s="5">
        <f>IFERROR(__xludf.DUMMYFUNCTION("SPLiT(G3573, ""🤙🏼"",FALSE,FALSE)"),893.0)</f>
        <v>893</v>
      </c>
      <c r="I3573" s="5" t="str">
        <f>IFERROR(__xludf.DUMMYFUNCTION("""COMPUTED_VALUE"""),"Moana")</f>
        <v>Moana</v>
      </c>
      <c r="J3573" s="5" t="str">
        <f>IFERROR(__xludf.DUMMYFUNCTION("""COMPUTED_VALUE"""),"Auli'i Cravalho")</f>
        <v>Auli'i Cravalho</v>
      </c>
      <c r="K3573" s="5" t="str">
        <f>IFERROR(__xludf.DUMMYFUNCTION("""COMPUTED_VALUE"""),"Estrela 4")</f>
        <v>Estrela 4</v>
      </c>
      <c r="P3573" s="5">
        <f>IFERROR(__xludf.DUMMYFUNCTION("""COMPUTED_VALUE"""),893.0)</f>
        <v>893</v>
      </c>
      <c r="Q3573" s="5" t="str">
        <f>IFERROR(__xludf.DUMMYFUNCTION("""COMPUTED_VALUE"""),"Moana")</f>
        <v>Moana</v>
      </c>
      <c r="R3573" s="5" t="str">
        <f>IFERROR(__xludf.DUMMYFUNCTION("""COMPUTED_VALUE"""),"Auli'i Cravalho")</f>
        <v>Auli'i Cravalho</v>
      </c>
      <c r="S3573" s="5" t="str">
        <f>IFERROR(__xludf.DUMMYFUNCTION("""COMPUTED_VALUE"""),"Estrela 4")</f>
        <v>Estrela 4</v>
      </c>
    </row>
    <row r="3574">
      <c r="G3574" s="5" t="str">
        <f>IFERROR(__xludf.DUMMYFUNCTION("""COMPUTED_VALUE"""),"894🤙🏼Sicario🤙🏼Emily Blunt🤙🏼Estrela 1")</f>
        <v>894🤙🏼Sicario🤙🏼Emily Blunt🤙🏼Estrela 1</v>
      </c>
      <c r="H3574" s="5">
        <f>IFERROR(__xludf.DUMMYFUNCTION("SPLiT(G3574, ""🤙🏼"",FALSE,FALSE)"),894.0)</f>
        <v>894</v>
      </c>
      <c r="I3574" s="5" t="str">
        <f>IFERROR(__xludf.DUMMYFUNCTION("""COMPUTED_VALUE"""),"Sicario")</f>
        <v>Sicario</v>
      </c>
      <c r="J3574" s="5" t="str">
        <f>IFERROR(__xludf.DUMMYFUNCTION("""COMPUTED_VALUE"""),"Emily Blunt")</f>
        <v>Emily Blunt</v>
      </c>
      <c r="K3574" s="5" t="str">
        <f>IFERROR(__xludf.DUMMYFUNCTION("""COMPUTED_VALUE"""),"Estrela 1")</f>
        <v>Estrela 1</v>
      </c>
      <c r="P3574" s="5">
        <f>IFERROR(__xludf.DUMMYFUNCTION("""COMPUTED_VALUE"""),894.0)</f>
        <v>894</v>
      </c>
      <c r="Q3574" s="5" t="str">
        <f>IFERROR(__xludf.DUMMYFUNCTION("""COMPUTED_VALUE"""),"Sicario")</f>
        <v>Sicario</v>
      </c>
      <c r="R3574" s="5" t="str">
        <f>IFERROR(__xludf.DUMMYFUNCTION("""COMPUTED_VALUE"""),"Emily Blunt")</f>
        <v>Emily Blunt</v>
      </c>
      <c r="S3574" s="5" t="str">
        <f>IFERROR(__xludf.DUMMYFUNCTION("""COMPUTED_VALUE"""),"Estrela 1")</f>
        <v>Estrela 1</v>
      </c>
    </row>
    <row r="3575">
      <c r="G3575" s="5" t="str">
        <f>IFERROR(__xludf.DUMMYFUNCTION("""COMPUTED_VALUE"""),"894🤙🏼Sicario🤙🏼Josh Brolin🤙🏼Estrela 2")</f>
        <v>894🤙🏼Sicario🤙🏼Josh Brolin🤙🏼Estrela 2</v>
      </c>
      <c r="H3575" s="5">
        <f>IFERROR(__xludf.DUMMYFUNCTION("SPLiT(G3575, ""🤙🏼"",FALSE,FALSE)"),894.0)</f>
        <v>894</v>
      </c>
      <c r="I3575" s="5" t="str">
        <f>IFERROR(__xludf.DUMMYFUNCTION("""COMPUTED_VALUE"""),"Sicario")</f>
        <v>Sicario</v>
      </c>
      <c r="J3575" s="5" t="str">
        <f>IFERROR(__xludf.DUMMYFUNCTION("""COMPUTED_VALUE"""),"Josh Brolin")</f>
        <v>Josh Brolin</v>
      </c>
      <c r="K3575" s="5" t="str">
        <f>IFERROR(__xludf.DUMMYFUNCTION("""COMPUTED_VALUE"""),"Estrela 2")</f>
        <v>Estrela 2</v>
      </c>
      <c r="P3575" s="5">
        <f>IFERROR(__xludf.DUMMYFUNCTION("""COMPUTED_VALUE"""),894.0)</f>
        <v>894</v>
      </c>
      <c r="Q3575" s="5" t="str">
        <f>IFERROR(__xludf.DUMMYFUNCTION("""COMPUTED_VALUE"""),"Sicario")</f>
        <v>Sicario</v>
      </c>
      <c r="R3575" s="5" t="str">
        <f>IFERROR(__xludf.DUMMYFUNCTION("""COMPUTED_VALUE"""),"Josh Brolin")</f>
        <v>Josh Brolin</v>
      </c>
      <c r="S3575" s="5" t="str">
        <f>IFERROR(__xludf.DUMMYFUNCTION("""COMPUTED_VALUE"""),"Estrela 2")</f>
        <v>Estrela 2</v>
      </c>
    </row>
    <row r="3576">
      <c r="G3576" s="5" t="str">
        <f>IFERROR(__xludf.DUMMYFUNCTION("""COMPUTED_VALUE"""),"894🤙🏼Sicario🤙🏼Benicio Del Toro🤙🏼Estrela 3")</f>
        <v>894🤙🏼Sicario🤙🏼Benicio Del Toro🤙🏼Estrela 3</v>
      </c>
      <c r="H3576" s="5">
        <f>IFERROR(__xludf.DUMMYFUNCTION("SPLiT(G3576, ""🤙🏼"",FALSE,FALSE)"),894.0)</f>
        <v>894</v>
      </c>
      <c r="I3576" s="5" t="str">
        <f>IFERROR(__xludf.DUMMYFUNCTION("""COMPUTED_VALUE"""),"Sicario")</f>
        <v>Sicario</v>
      </c>
      <c r="J3576" s="5" t="str">
        <f>IFERROR(__xludf.DUMMYFUNCTION("""COMPUTED_VALUE"""),"Benicio Del Toro")</f>
        <v>Benicio Del Toro</v>
      </c>
      <c r="K3576" s="5" t="str">
        <f>IFERROR(__xludf.DUMMYFUNCTION("""COMPUTED_VALUE"""),"Estrela 3")</f>
        <v>Estrela 3</v>
      </c>
      <c r="P3576" s="5">
        <f>IFERROR(__xludf.DUMMYFUNCTION("""COMPUTED_VALUE"""),894.0)</f>
        <v>894</v>
      </c>
      <c r="Q3576" s="5" t="str">
        <f>IFERROR(__xludf.DUMMYFUNCTION("""COMPUTED_VALUE"""),"Sicario")</f>
        <v>Sicario</v>
      </c>
      <c r="R3576" s="5" t="str">
        <f>IFERROR(__xludf.DUMMYFUNCTION("""COMPUTED_VALUE"""),"Benicio Del Toro")</f>
        <v>Benicio Del Toro</v>
      </c>
      <c r="S3576" s="5" t="str">
        <f>IFERROR(__xludf.DUMMYFUNCTION("""COMPUTED_VALUE"""),"Estrela 3")</f>
        <v>Estrela 3</v>
      </c>
    </row>
    <row r="3577">
      <c r="G3577" s="5" t="str">
        <f>IFERROR(__xludf.DUMMYFUNCTION("""COMPUTED_VALUE"""),"894🤙🏼Sicario🤙🏼Jon Bernthal🤙🏼Estrela 4")</f>
        <v>894🤙🏼Sicario🤙🏼Jon Bernthal🤙🏼Estrela 4</v>
      </c>
      <c r="H3577" s="5">
        <f>IFERROR(__xludf.DUMMYFUNCTION("SPLiT(G3577, ""🤙🏼"",FALSE,FALSE)"),894.0)</f>
        <v>894</v>
      </c>
      <c r="I3577" s="5" t="str">
        <f>IFERROR(__xludf.DUMMYFUNCTION("""COMPUTED_VALUE"""),"Sicario")</f>
        <v>Sicario</v>
      </c>
      <c r="J3577" s="5" t="str">
        <f>IFERROR(__xludf.DUMMYFUNCTION("""COMPUTED_VALUE"""),"Jon Bernthal")</f>
        <v>Jon Bernthal</v>
      </c>
      <c r="K3577" s="5" t="str">
        <f>IFERROR(__xludf.DUMMYFUNCTION("""COMPUTED_VALUE"""),"Estrela 4")</f>
        <v>Estrela 4</v>
      </c>
      <c r="P3577" s="5">
        <f>IFERROR(__xludf.DUMMYFUNCTION("""COMPUTED_VALUE"""),894.0)</f>
        <v>894</v>
      </c>
      <c r="Q3577" s="5" t="str">
        <f>IFERROR(__xludf.DUMMYFUNCTION("""COMPUTED_VALUE"""),"Sicario")</f>
        <v>Sicario</v>
      </c>
      <c r="R3577" s="5" t="str">
        <f>IFERROR(__xludf.DUMMYFUNCTION("""COMPUTED_VALUE"""),"Jon Bernthal")</f>
        <v>Jon Bernthal</v>
      </c>
      <c r="S3577" s="5" t="str">
        <f>IFERROR(__xludf.DUMMYFUNCTION("""COMPUTED_VALUE"""),"Estrela 4")</f>
        <v>Estrela 4</v>
      </c>
    </row>
    <row r="3578">
      <c r="G3578" s="5" t="str">
        <f>IFERROR(__xludf.DUMMYFUNCTION("""COMPUTED_VALUE"""),"895🤙🏼Creed🤙🏼Michael B. Jordan🤙🏼Estrela 1")</f>
        <v>895🤙🏼Creed🤙🏼Michael B. Jordan🤙🏼Estrela 1</v>
      </c>
      <c r="H3578" s="5">
        <f>IFERROR(__xludf.DUMMYFUNCTION("SPLiT(G3578, ""🤙🏼"",FALSE,FALSE)"),895.0)</f>
        <v>895</v>
      </c>
      <c r="I3578" s="5" t="str">
        <f>IFERROR(__xludf.DUMMYFUNCTION("""COMPUTED_VALUE"""),"Creed")</f>
        <v>Creed</v>
      </c>
      <c r="J3578" s="5" t="str">
        <f>IFERROR(__xludf.DUMMYFUNCTION("""COMPUTED_VALUE"""),"Michael B. Jordan")</f>
        <v>Michael B. Jordan</v>
      </c>
      <c r="K3578" s="5" t="str">
        <f>IFERROR(__xludf.DUMMYFUNCTION("""COMPUTED_VALUE"""),"Estrela 1")</f>
        <v>Estrela 1</v>
      </c>
      <c r="P3578" s="5">
        <f>IFERROR(__xludf.DUMMYFUNCTION("""COMPUTED_VALUE"""),895.0)</f>
        <v>895</v>
      </c>
      <c r="Q3578" s="5" t="str">
        <f>IFERROR(__xludf.DUMMYFUNCTION("""COMPUTED_VALUE"""),"Creed")</f>
        <v>Creed</v>
      </c>
      <c r="R3578" s="5" t="str">
        <f>IFERROR(__xludf.DUMMYFUNCTION("""COMPUTED_VALUE"""),"Michael B. Jordan")</f>
        <v>Michael B. Jordan</v>
      </c>
      <c r="S3578" s="5" t="str">
        <f>IFERROR(__xludf.DUMMYFUNCTION("""COMPUTED_VALUE"""),"Estrela 1")</f>
        <v>Estrela 1</v>
      </c>
    </row>
    <row r="3579">
      <c r="G3579" s="5" t="str">
        <f>IFERROR(__xludf.DUMMYFUNCTION("""COMPUTED_VALUE"""),"895🤙🏼Creed🤙🏼Sylvester Stallone🤙🏼Estrela 2")</f>
        <v>895🤙🏼Creed🤙🏼Sylvester Stallone🤙🏼Estrela 2</v>
      </c>
      <c r="H3579" s="5">
        <f>IFERROR(__xludf.DUMMYFUNCTION("SPLiT(G3579, ""🤙🏼"",FALSE,FALSE)"),895.0)</f>
        <v>895</v>
      </c>
      <c r="I3579" s="5" t="str">
        <f>IFERROR(__xludf.DUMMYFUNCTION("""COMPUTED_VALUE"""),"Creed")</f>
        <v>Creed</v>
      </c>
      <c r="J3579" s="5" t="str">
        <f>IFERROR(__xludf.DUMMYFUNCTION("""COMPUTED_VALUE"""),"Sylvester Stallone")</f>
        <v>Sylvester Stallone</v>
      </c>
      <c r="K3579" s="5" t="str">
        <f>IFERROR(__xludf.DUMMYFUNCTION("""COMPUTED_VALUE"""),"Estrela 2")</f>
        <v>Estrela 2</v>
      </c>
      <c r="P3579" s="5">
        <f>IFERROR(__xludf.DUMMYFUNCTION("""COMPUTED_VALUE"""),895.0)</f>
        <v>895</v>
      </c>
      <c r="Q3579" s="5" t="str">
        <f>IFERROR(__xludf.DUMMYFUNCTION("""COMPUTED_VALUE"""),"Creed")</f>
        <v>Creed</v>
      </c>
      <c r="R3579" s="5" t="str">
        <f>IFERROR(__xludf.DUMMYFUNCTION("""COMPUTED_VALUE"""),"Sylvester Stallone")</f>
        <v>Sylvester Stallone</v>
      </c>
      <c r="S3579" s="5" t="str">
        <f>IFERROR(__xludf.DUMMYFUNCTION("""COMPUTED_VALUE"""),"Estrela 2")</f>
        <v>Estrela 2</v>
      </c>
    </row>
    <row r="3580">
      <c r="G3580" s="5" t="str">
        <f>IFERROR(__xludf.DUMMYFUNCTION("""COMPUTED_VALUE"""),"895🤙🏼Creed🤙🏼Tessa Thompson🤙🏼Estrela 3")</f>
        <v>895🤙🏼Creed🤙🏼Tessa Thompson🤙🏼Estrela 3</v>
      </c>
      <c r="H3580" s="5">
        <f>IFERROR(__xludf.DUMMYFUNCTION("SPLiT(G3580, ""🤙🏼"",FALSE,FALSE)"),895.0)</f>
        <v>895</v>
      </c>
      <c r="I3580" s="5" t="str">
        <f>IFERROR(__xludf.DUMMYFUNCTION("""COMPUTED_VALUE"""),"Creed")</f>
        <v>Creed</v>
      </c>
      <c r="J3580" s="5" t="str">
        <f>IFERROR(__xludf.DUMMYFUNCTION("""COMPUTED_VALUE"""),"Tessa Thompson")</f>
        <v>Tessa Thompson</v>
      </c>
      <c r="K3580" s="5" t="str">
        <f>IFERROR(__xludf.DUMMYFUNCTION("""COMPUTED_VALUE"""),"Estrela 3")</f>
        <v>Estrela 3</v>
      </c>
      <c r="P3580" s="5">
        <f>IFERROR(__xludf.DUMMYFUNCTION("""COMPUTED_VALUE"""),895.0)</f>
        <v>895</v>
      </c>
      <c r="Q3580" s="5" t="str">
        <f>IFERROR(__xludf.DUMMYFUNCTION("""COMPUTED_VALUE"""),"Creed")</f>
        <v>Creed</v>
      </c>
      <c r="R3580" s="5" t="str">
        <f>IFERROR(__xludf.DUMMYFUNCTION("""COMPUTED_VALUE"""),"Tessa Thompson")</f>
        <v>Tessa Thompson</v>
      </c>
      <c r="S3580" s="5" t="str">
        <f>IFERROR(__xludf.DUMMYFUNCTION("""COMPUTED_VALUE"""),"Estrela 3")</f>
        <v>Estrela 3</v>
      </c>
    </row>
    <row r="3581">
      <c r="G3581" s="5" t="str">
        <f>IFERROR(__xludf.DUMMYFUNCTION("""COMPUTED_VALUE"""),"895🤙🏼Creed🤙🏼Phylicia Rashad🤙🏼Estrela 4")</f>
        <v>895🤙🏼Creed🤙🏼Phylicia Rashad🤙🏼Estrela 4</v>
      </c>
      <c r="H3581" s="5">
        <f>IFERROR(__xludf.DUMMYFUNCTION("SPLiT(G3581, ""🤙🏼"",FALSE,FALSE)"),895.0)</f>
        <v>895</v>
      </c>
      <c r="I3581" s="5" t="str">
        <f>IFERROR(__xludf.DUMMYFUNCTION("""COMPUTED_VALUE"""),"Creed")</f>
        <v>Creed</v>
      </c>
      <c r="J3581" s="5" t="str">
        <f>IFERROR(__xludf.DUMMYFUNCTION("""COMPUTED_VALUE"""),"Phylicia Rashad")</f>
        <v>Phylicia Rashad</v>
      </c>
      <c r="K3581" s="5" t="str">
        <f>IFERROR(__xludf.DUMMYFUNCTION("""COMPUTED_VALUE"""),"Estrela 4")</f>
        <v>Estrela 4</v>
      </c>
      <c r="P3581" s="5">
        <f>IFERROR(__xludf.DUMMYFUNCTION("""COMPUTED_VALUE"""),895.0)</f>
        <v>895</v>
      </c>
      <c r="Q3581" s="5" t="str">
        <f>IFERROR(__xludf.DUMMYFUNCTION("""COMPUTED_VALUE"""),"Creed")</f>
        <v>Creed</v>
      </c>
      <c r="R3581" s="5" t="str">
        <f>IFERROR(__xludf.DUMMYFUNCTION("""COMPUTED_VALUE"""),"Phylicia Rashad")</f>
        <v>Phylicia Rashad</v>
      </c>
      <c r="S3581" s="5" t="str">
        <f>IFERROR(__xludf.DUMMYFUNCTION("""COMPUTED_VALUE"""),"Estrela 4")</f>
        <v>Estrela 4</v>
      </c>
    </row>
    <row r="3582">
      <c r="G3582" s="5" t="str">
        <f>IFERROR(__xludf.DUMMYFUNCTION("""COMPUTED_VALUE"""),"896🤙🏼Leviafan🤙🏼Aleksey Serebryakov🤙🏼Estrela 1")</f>
        <v>896🤙🏼Leviafan🤙🏼Aleksey Serebryakov🤙🏼Estrela 1</v>
      </c>
      <c r="H3582" s="5">
        <f>IFERROR(__xludf.DUMMYFUNCTION("SPLiT(G3582, ""🤙🏼"",FALSE,FALSE)"),896.0)</f>
        <v>896</v>
      </c>
      <c r="I3582" s="5" t="str">
        <f>IFERROR(__xludf.DUMMYFUNCTION("""COMPUTED_VALUE"""),"Leviafan")</f>
        <v>Leviafan</v>
      </c>
      <c r="J3582" s="5" t="str">
        <f>IFERROR(__xludf.DUMMYFUNCTION("""COMPUTED_VALUE"""),"Aleksey Serebryakov")</f>
        <v>Aleksey Serebryakov</v>
      </c>
      <c r="K3582" s="5" t="str">
        <f>IFERROR(__xludf.DUMMYFUNCTION("""COMPUTED_VALUE"""),"Estrela 1")</f>
        <v>Estrela 1</v>
      </c>
      <c r="P3582" s="5">
        <f>IFERROR(__xludf.DUMMYFUNCTION("""COMPUTED_VALUE"""),896.0)</f>
        <v>896</v>
      </c>
      <c r="Q3582" s="5" t="str">
        <f>IFERROR(__xludf.DUMMYFUNCTION("""COMPUTED_VALUE"""),"Leviafan")</f>
        <v>Leviafan</v>
      </c>
      <c r="R3582" s="5" t="str">
        <f>IFERROR(__xludf.DUMMYFUNCTION("""COMPUTED_VALUE"""),"Aleksey Serebryakov")</f>
        <v>Aleksey Serebryakov</v>
      </c>
      <c r="S3582" s="5" t="str">
        <f>IFERROR(__xludf.DUMMYFUNCTION("""COMPUTED_VALUE"""),"Estrela 1")</f>
        <v>Estrela 1</v>
      </c>
    </row>
    <row r="3583">
      <c r="G3583" s="5" t="str">
        <f>IFERROR(__xludf.DUMMYFUNCTION("""COMPUTED_VALUE"""),"896🤙🏼Leviafan🤙🏼Elena Lyadova🤙🏼Estrela 2")</f>
        <v>896🤙🏼Leviafan🤙🏼Elena Lyadova🤙🏼Estrela 2</v>
      </c>
      <c r="H3583" s="5">
        <f>IFERROR(__xludf.DUMMYFUNCTION("SPLiT(G3583, ""🤙🏼"",FALSE,FALSE)"),896.0)</f>
        <v>896</v>
      </c>
      <c r="I3583" s="5" t="str">
        <f>IFERROR(__xludf.DUMMYFUNCTION("""COMPUTED_VALUE"""),"Leviafan")</f>
        <v>Leviafan</v>
      </c>
      <c r="J3583" s="5" t="str">
        <f>IFERROR(__xludf.DUMMYFUNCTION("""COMPUTED_VALUE"""),"Elena Lyadova")</f>
        <v>Elena Lyadova</v>
      </c>
      <c r="K3583" s="5" t="str">
        <f>IFERROR(__xludf.DUMMYFUNCTION("""COMPUTED_VALUE"""),"Estrela 2")</f>
        <v>Estrela 2</v>
      </c>
      <c r="P3583" s="5">
        <f>IFERROR(__xludf.DUMMYFUNCTION("""COMPUTED_VALUE"""),896.0)</f>
        <v>896</v>
      </c>
      <c r="Q3583" s="5" t="str">
        <f>IFERROR(__xludf.DUMMYFUNCTION("""COMPUTED_VALUE"""),"Leviafan")</f>
        <v>Leviafan</v>
      </c>
      <c r="R3583" s="5" t="str">
        <f>IFERROR(__xludf.DUMMYFUNCTION("""COMPUTED_VALUE"""),"Elena Lyadova")</f>
        <v>Elena Lyadova</v>
      </c>
      <c r="S3583" s="5" t="str">
        <f>IFERROR(__xludf.DUMMYFUNCTION("""COMPUTED_VALUE"""),"Estrela 2")</f>
        <v>Estrela 2</v>
      </c>
    </row>
    <row r="3584">
      <c r="G3584" s="5" t="str">
        <f>IFERROR(__xludf.DUMMYFUNCTION("""COMPUTED_VALUE"""),"896🤙🏼Leviafan🤙🏼Roman Madyanov🤙🏼Estrela 3")</f>
        <v>896🤙🏼Leviafan🤙🏼Roman Madyanov🤙🏼Estrela 3</v>
      </c>
      <c r="H3584" s="5">
        <f>IFERROR(__xludf.DUMMYFUNCTION("SPLiT(G3584, ""🤙🏼"",FALSE,FALSE)"),896.0)</f>
        <v>896</v>
      </c>
      <c r="I3584" s="5" t="str">
        <f>IFERROR(__xludf.DUMMYFUNCTION("""COMPUTED_VALUE"""),"Leviafan")</f>
        <v>Leviafan</v>
      </c>
      <c r="J3584" s="5" t="str">
        <f>IFERROR(__xludf.DUMMYFUNCTION("""COMPUTED_VALUE"""),"Roman Madyanov")</f>
        <v>Roman Madyanov</v>
      </c>
      <c r="K3584" s="5" t="str">
        <f>IFERROR(__xludf.DUMMYFUNCTION("""COMPUTED_VALUE"""),"Estrela 3")</f>
        <v>Estrela 3</v>
      </c>
      <c r="P3584" s="5">
        <f>IFERROR(__xludf.DUMMYFUNCTION("""COMPUTED_VALUE"""),896.0)</f>
        <v>896</v>
      </c>
      <c r="Q3584" s="5" t="str">
        <f>IFERROR(__xludf.DUMMYFUNCTION("""COMPUTED_VALUE"""),"Leviafan")</f>
        <v>Leviafan</v>
      </c>
      <c r="R3584" s="5" t="str">
        <f>IFERROR(__xludf.DUMMYFUNCTION("""COMPUTED_VALUE"""),"Roman Madyanov")</f>
        <v>Roman Madyanov</v>
      </c>
      <c r="S3584" s="5" t="str">
        <f>IFERROR(__xludf.DUMMYFUNCTION("""COMPUTED_VALUE"""),"Estrela 3")</f>
        <v>Estrela 3</v>
      </c>
    </row>
    <row r="3585">
      <c r="G3585" s="5" t="str">
        <f>IFERROR(__xludf.DUMMYFUNCTION("""COMPUTED_VALUE"""),"896🤙🏼Leviafan🤙🏼Vladimir Vdovichenkov🤙🏼Estrela 4")</f>
        <v>896🤙🏼Leviafan🤙🏼Vladimir Vdovichenkov🤙🏼Estrela 4</v>
      </c>
      <c r="H3585" s="5">
        <f>IFERROR(__xludf.DUMMYFUNCTION("SPLiT(G3585, ""🤙🏼"",FALSE,FALSE)"),896.0)</f>
        <v>896</v>
      </c>
      <c r="I3585" s="5" t="str">
        <f>IFERROR(__xludf.DUMMYFUNCTION("""COMPUTED_VALUE"""),"Leviafan")</f>
        <v>Leviafan</v>
      </c>
      <c r="J3585" s="5" t="str">
        <f>IFERROR(__xludf.DUMMYFUNCTION("""COMPUTED_VALUE"""),"Vladimir Vdovichenkov")</f>
        <v>Vladimir Vdovichenkov</v>
      </c>
      <c r="K3585" s="5" t="str">
        <f>IFERROR(__xludf.DUMMYFUNCTION("""COMPUTED_VALUE"""),"Estrela 4")</f>
        <v>Estrela 4</v>
      </c>
      <c r="P3585" s="5">
        <f>IFERROR(__xludf.DUMMYFUNCTION("""COMPUTED_VALUE"""),896.0)</f>
        <v>896</v>
      </c>
      <c r="Q3585" s="5" t="str">
        <f>IFERROR(__xludf.DUMMYFUNCTION("""COMPUTED_VALUE"""),"Leviafan")</f>
        <v>Leviafan</v>
      </c>
      <c r="R3585" s="5" t="str">
        <f>IFERROR(__xludf.DUMMYFUNCTION("""COMPUTED_VALUE"""),"Vladimir Vdovichenkov")</f>
        <v>Vladimir Vdovichenkov</v>
      </c>
      <c r="S3585" s="5" t="str">
        <f>IFERROR(__xludf.DUMMYFUNCTION("""COMPUTED_VALUE"""),"Estrela 4")</f>
        <v>Estrela 4</v>
      </c>
    </row>
    <row r="3586">
      <c r="G3586" s="5" t="str">
        <f>IFERROR(__xludf.DUMMYFUNCTION("""COMPUTED_VALUE"""),"897🤙🏼Hell or High Water🤙🏼Chris Pine🤙🏼Estrela 1")</f>
        <v>897🤙🏼Hell or High Water🤙🏼Chris Pine🤙🏼Estrela 1</v>
      </c>
      <c r="H3586" s="5">
        <f>IFERROR(__xludf.DUMMYFUNCTION("SPLiT(G3586, ""🤙🏼"",FALSE,FALSE)"),897.0)</f>
        <v>897</v>
      </c>
      <c r="I3586" s="5" t="str">
        <f>IFERROR(__xludf.DUMMYFUNCTION("""COMPUTED_VALUE"""),"Hell or High Water")</f>
        <v>Hell or High Water</v>
      </c>
      <c r="J3586" s="5" t="str">
        <f>IFERROR(__xludf.DUMMYFUNCTION("""COMPUTED_VALUE"""),"Chris Pine")</f>
        <v>Chris Pine</v>
      </c>
      <c r="K3586" s="5" t="str">
        <f>IFERROR(__xludf.DUMMYFUNCTION("""COMPUTED_VALUE"""),"Estrela 1")</f>
        <v>Estrela 1</v>
      </c>
      <c r="P3586" s="5">
        <f>IFERROR(__xludf.DUMMYFUNCTION("""COMPUTED_VALUE"""),897.0)</f>
        <v>897</v>
      </c>
      <c r="Q3586" s="5" t="str">
        <f>IFERROR(__xludf.DUMMYFUNCTION("""COMPUTED_VALUE"""),"Hell or High Water")</f>
        <v>Hell or High Water</v>
      </c>
      <c r="R3586" s="5" t="str">
        <f>IFERROR(__xludf.DUMMYFUNCTION("""COMPUTED_VALUE"""),"Chris Pine")</f>
        <v>Chris Pine</v>
      </c>
      <c r="S3586" s="5" t="str">
        <f>IFERROR(__xludf.DUMMYFUNCTION("""COMPUTED_VALUE"""),"Estrela 1")</f>
        <v>Estrela 1</v>
      </c>
    </row>
    <row r="3587">
      <c r="G3587" s="5" t="str">
        <f>IFERROR(__xludf.DUMMYFUNCTION("""COMPUTED_VALUE"""),"897🤙🏼Hell or High Water🤙🏼Ben Foster🤙🏼Estrela 2")</f>
        <v>897🤙🏼Hell or High Water🤙🏼Ben Foster🤙🏼Estrela 2</v>
      </c>
      <c r="H3587" s="5">
        <f>IFERROR(__xludf.DUMMYFUNCTION("SPLiT(G3587, ""🤙🏼"",FALSE,FALSE)"),897.0)</f>
        <v>897</v>
      </c>
      <c r="I3587" s="5" t="str">
        <f>IFERROR(__xludf.DUMMYFUNCTION("""COMPUTED_VALUE"""),"Hell or High Water")</f>
        <v>Hell or High Water</v>
      </c>
      <c r="J3587" s="5" t="str">
        <f>IFERROR(__xludf.DUMMYFUNCTION("""COMPUTED_VALUE"""),"Ben Foster")</f>
        <v>Ben Foster</v>
      </c>
      <c r="K3587" s="5" t="str">
        <f>IFERROR(__xludf.DUMMYFUNCTION("""COMPUTED_VALUE"""),"Estrela 2")</f>
        <v>Estrela 2</v>
      </c>
      <c r="P3587" s="5">
        <f>IFERROR(__xludf.DUMMYFUNCTION("""COMPUTED_VALUE"""),897.0)</f>
        <v>897</v>
      </c>
      <c r="Q3587" s="5" t="str">
        <f>IFERROR(__xludf.DUMMYFUNCTION("""COMPUTED_VALUE"""),"Hell or High Water")</f>
        <v>Hell or High Water</v>
      </c>
      <c r="R3587" s="5" t="str">
        <f>IFERROR(__xludf.DUMMYFUNCTION("""COMPUTED_VALUE"""),"Ben Foster")</f>
        <v>Ben Foster</v>
      </c>
      <c r="S3587" s="5" t="str">
        <f>IFERROR(__xludf.DUMMYFUNCTION("""COMPUTED_VALUE"""),"Estrela 2")</f>
        <v>Estrela 2</v>
      </c>
    </row>
    <row r="3588">
      <c r="G3588" s="5" t="str">
        <f>IFERROR(__xludf.DUMMYFUNCTION("""COMPUTED_VALUE"""),"897🤙🏼Hell or High Water🤙🏼Jeff Bridges🤙🏼Estrela 3")</f>
        <v>897🤙🏼Hell or High Water🤙🏼Jeff Bridges🤙🏼Estrela 3</v>
      </c>
      <c r="H3588" s="5">
        <f>IFERROR(__xludf.DUMMYFUNCTION("SPLiT(G3588, ""🤙🏼"",FALSE,FALSE)"),897.0)</f>
        <v>897</v>
      </c>
      <c r="I3588" s="5" t="str">
        <f>IFERROR(__xludf.DUMMYFUNCTION("""COMPUTED_VALUE"""),"Hell or High Water")</f>
        <v>Hell or High Water</v>
      </c>
      <c r="J3588" s="5" t="str">
        <f>IFERROR(__xludf.DUMMYFUNCTION("""COMPUTED_VALUE"""),"Jeff Bridges")</f>
        <v>Jeff Bridges</v>
      </c>
      <c r="K3588" s="5" t="str">
        <f>IFERROR(__xludf.DUMMYFUNCTION("""COMPUTED_VALUE"""),"Estrela 3")</f>
        <v>Estrela 3</v>
      </c>
      <c r="P3588" s="5">
        <f>IFERROR(__xludf.DUMMYFUNCTION("""COMPUTED_VALUE"""),897.0)</f>
        <v>897</v>
      </c>
      <c r="Q3588" s="5" t="str">
        <f>IFERROR(__xludf.DUMMYFUNCTION("""COMPUTED_VALUE"""),"Hell or High Water")</f>
        <v>Hell or High Water</v>
      </c>
      <c r="R3588" s="5" t="str">
        <f>IFERROR(__xludf.DUMMYFUNCTION("""COMPUTED_VALUE"""),"Jeff Bridges")</f>
        <v>Jeff Bridges</v>
      </c>
      <c r="S3588" s="5" t="str">
        <f>IFERROR(__xludf.DUMMYFUNCTION("""COMPUTED_VALUE"""),"Estrela 3")</f>
        <v>Estrela 3</v>
      </c>
    </row>
    <row r="3589">
      <c r="G3589" s="5" t="str">
        <f>IFERROR(__xludf.DUMMYFUNCTION("""COMPUTED_VALUE"""),"897🤙🏼Hell or High Water🤙🏼Gil Birmingham🤙🏼Estrela 4")</f>
        <v>897🤙🏼Hell or High Water🤙🏼Gil Birmingham🤙🏼Estrela 4</v>
      </c>
      <c r="H3589" s="5">
        <f>IFERROR(__xludf.DUMMYFUNCTION("SPLiT(G3589, ""🤙🏼"",FALSE,FALSE)"),897.0)</f>
        <v>897</v>
      </c>
      <c r="I3589" s="5" t="str">
        <f>IFERROR(__xludf.DUMMYFUNCTION("""COMPUTED_VALUE"""),"Hell or High Water")</f>
        <v>Hell or High Water</v>
      </c>
      <c r="J3589" s="5" t="str">
        <f>IFERROR(__xludf.DUMMYFUNCTION("""COMPUTED_VALUE"""),"Gil Birmingham")</f>
        <v>Gil Birmingham</v>
      </c>
      <c r="K3589" s="5" t="str">
        <f>IFERROR(__xludf.DUMMYFUNCTION("""COMPUTED_VALUE"""),"Estrela 4")</f>
        <v>Estrela 4</v>
      </c>
      <c r="P3589" s="5">
        <f>IFERROR(__xludf.DUMMYFUNCTION("""COMPUTED_VALUE"""),897.0)</f>
        <v>897</v>
      </c>
      <c r="Q3589" s="5" t="str">
        <f>IFERROR(__xludf.DUMMYFUNCTION("""COMPUTED_VALUE"""),"Hell or High Water")</f>
        <v>Hell or High Water</v>
      </c>
      <c r="R3589" s="5" t="str">
        <f>IFERROR(__xludf.DUMMYFUNCTION("""COMPUTED_VALUE"""),"Gil Birmingham")</f>
        <v>Gil Birmingham</v>
      </c>
      <c r="S3589" s="5" t="str">
        <f>IFERROR(__xludf.DUMMYFUNCTION("""COMPUTED_VALUE"""),"Estrela 4")</f>
        <v>Estrela 4</v>
      </c>
    </row>
    <row r="3590">
      <c r="G3590" s="5" t="str">
        <f>IFERROR(__xludf.DUMMYFUNCTION("""COMPUTED_VALUE"""),"898🤙🏼Philomena🤙🏼Judi Dench🤙🏼Estrela 1")</f>
        <v>898🤙🏼Philomena🤙🏼Judi Dench🤙🏼Estrela 1</v>
      </c>
      <c r="H3590" s="5">
        <f>IFERROR(__xludf.DUMMYFUNCTION("SPLiT(G3590, ""🤙🏼"",FALSE,FALSE)"),898.0)</f>
        <v>898</v>
      </c>
      <c r="I3590" s="5" t="str">
        <f>IFERROR(__xludf.DUMMYFUNCTION("""COMPUTED_VALUE"""),"Philomena")</f>
        <v>Philomena</v>
      </c>
      <c r="J3590" s="5" t="str">
        <f>IFERROR(__xludf.DUMMYFUNCTION("""COMPUTED_VALUE"""),"Judi Dench")</f>
        <v>Judi Dench</v>
      </c>
      <c r="K3590" s="5" t="str">
        <f>IFERROR(__xludf.DUMMYFUNCTION("""COMPUTED_VALUE"""),"Estrela 1")</f>
        <v>Estrela 1</v>
      </c>
      <c r="P3590" s="5">
        <f>IFERROR(__xludf.DUMMYFUNCTION("""COMPUTED_VALUE"""),898.0)</f>
        <v>898</v>
      </c>
      <c r="Q3590" s="5" t="str">
        <f>IFERROR(__xludf.DUMMYFUNCTION("""COMPUTED_VALUE"""),"Philomena")</f>
        <v>Philomena</v>
      </c>
      <c r="R3590" s="5" t="str">
        <f>IFERROR(__xludf.DUMMYFUNCTION("""COMPUTED_VALUE"""),"Judi Dench")</f>
        <v>Judi Dench</v>
      </c>
      <c r="S3590" s="5" t="str">
        <f>IFERROR(__xludf.DUMMYFUNCTION("""COMPUTED_VALUE"""),"Estrela 1")</f>
        <v>Estrela 1</v>
      </c>
    </row>
    <row r="3591">
      <c r="G3591" s="5" t="str">
        <f>IFERROR(__xludf.DUMMYFUNCTION("""COMPUTED_VALUE"""),"898🤙🏼Philomena🤙🏼Steve Coogan🤙🏼Estrela 2")</f>
        <v>898🤙🏼Philomena🤙🏼Steve Coogan🤙🏼Estrela 2</v>
      </c>
      <c r="H3591" s="5">
        <f>IFERROR(__xludf.DUMMYFUNCTION("SPLiT(G3591, ""🤙🏼"",FALSE,FALSE)"),898.0)</f>
        <v>898</v>
      </c>
      <c r="I3591" s="5" t="str">
        <f>IFERROR(__xludf.DUMMYFUNCTION("""COMPUTED_VALUE"""),"Philomena")</f>
        <v>Philomena</v>
      </c>
      <c r="J3591" s="5" t="str">
        <f>IFERROR(__xludf.DUMMYFUNCTION("""COMPUTED_VALUE"""),"Steve Coogan")</f>
        <v>Steve Coogan</v>
      </c>
      <c r="K3591" s="5" t="str">
        <f>IFERROR(__xludf.DUMMYFUNCTION("""COMPUTED_VALUE"""),"Estrela 2")</f>
        <v>Estrela 2</v>
      </c>
      <c r="P3591" s="5">
        <f>IFERROR(__xludf.DUMMYFUNCTION("""COMPUTED_VALUE"""),898.0)</f>
        <v>898</v>
      </c>
      <c r="Q3591" s="5" t="str">
        <f>IFERROR(__xludf.DUMMYFUNCTION("""COMPUTED_VALUE"""),"Philomena")</f>
        <v>Philomena</v>
      </c>
      <c r="R3591" s="5" t="str">
        <f>IFERROR(__xludf.DUMMYFUNCTION("""COMPUTED_VALUE"""),"Steve Coogan")</f>
        <v>Steve Coogan</v>
      </c>
      <c r="S3591" s="5" t="str">
        <f>IFERROR(__xludf.DUMMYFUNCTION("""COMPUTED_VALUE"""),"Estrela 2")</f>
        <v>Estrela 2</v>
      </c>
    </row>
    <row r="3592">
      <c r="G3592" s="5" t="str">
        <f>IFERROR(__xludf.DUMMYFUNCTION("""COMPUTED_VALUE"""),"898🤙🏼Philomena🤙🏼Sophie Kennedy Clark🤙🏼Estrela 3")</f>
        <v>898🤙🏼Philomena🤙🏼Sophie Kennedy Clark🤙🏼Estrela 3</v>
      </c>
      <c r="H3592" s="5">
        <f>IFERROR(__xludf.DUMMYFUNCTION("SPLiT(G3592, ""🤙🏼"",FALSE,FALSE)"),898.0)</f>
        <v>898</v>
      </c>
      <c r="I3592" s="5" t="str">
        <f>IFERROR(__xludf.DUMMYFUNCTION("""COMPUTED_VALUE"""),"Philomena")</f>
        <v>Philomena</v>
      </c>
      <c r="J3592" s="5" t="str">
        <f>IFERROR(__xludf.DUMMYFUNCTION("""COMPUTED_VALUE"""),"Sophie Kennedy Clark")</f>
        <v>Sophie Kennedy Clark</v>
      </c>
      <c r="K3592" s="5" t="str">
        <f>IFERROR(__xludf.DUMMYFUNCTION("""COMPUTED_VALUE"""),"Estrela 3")</f>
        <v>Estrela 3</v>
      </c>
      <c r="P3592" s="5">
        <f>IFERROR(__xludf.DUMMYFUNCTION("""COMPUTED_VALUE"""),898.0)</f>
        <v>898</v>
      </c>
      <c r="Q3592" s="5" t="str">
        <f>IFERROR(__xludf.DUMMYFUNCTION("""COMPUTED_VALUE"""),"Philomena")</f>
        <v>Philomena</v>
      </c>
      <c r="R3592" s="5" t="str">
        <f>IFERROR(__xludf.DUMMYFUNCTION("""COMPUTED_VALUE"""),"Sophie Kennedy Clark")</f>
        <v>Sophie Kennedy Clark</v>
      </c>
      <c r="S3592" s="5" t="str">
        <f>IFERROR(__xludf.DUMMYFUNCTION("""COMPUTED_VALUE"""),"Estrela 3")</f>
        <v>Estrela 3</v>
      </c>
    </row>
    <row r="3593">
      <c r="G3593" s="5" t="str">
        <f>IFERROR(__xludf.DUMMYFUNCTION("""COMPUTED_VALUE"""),"898🤙🏼Philomena🤙🏼Mare Winningham🤙🏼Estrela 4")</f>
        <v>898🤙🏼Philomena🤙🏼Mare Winningham🤙🏼Estrela 4</v>
      </c>
      <c r="H3593" s="5">
        <f>IFERROR(__xludf.DUMMYFUNCTION("SPLiT(G3593, ""🤙🏼"",FALSE,FALSE)"),898.0)</f>
        <v>898</v>
      </c>
      <c r="I3593" s="5" t="str">
        <f>IFERROR(__xludf.DUMMYFUNCTION("""COMPUTED_VALUE"""),"Philomena")</f>
        <v>Philomena</v>
      </c>
      <c r="J3593" s="5" t="str">
        <f>IFERROR(__xludf.DUMMYFUNCTION("""COMPUTED_VALUE"""),"Mare Winningham")</f>
        <v>Mare Winningham</v>
      </c>
      <c r="K3593" s="5" t="str">
        <f>IFERROR(__xludf.DUMMYFUNCTION("""COMPUTED_VALUE"""),"Estrela 4")</f>
        <v>Estrela 4</v>
      </c>
      <c r="P3593" s="5">
        <f>IFERROR(__xludf.DUMMYFUNCTION("""COMPUTED_VALUE"""),898.0)</f>
        <v>898</v>
      </c>
      <c r="Q3593" s="5" t="str">
        <f>IFERROR(__xludf.DUMMYFUNCTION("""COMPUTED_VALUE"""),"Philomena")</f>
        <v>Philomena</v>
      </c>
      <c r="R3593" s="5" t="str">
        <f>IFERROR(__xludf.DUMMYFUNCTION("""COMPUTED_VALUE"""),"Mare Winningham")</f>
        <v>Mare Winningham</v>
      </c>
      <c r="S3593" s="5" t="str">
        <f>IFERROR(__xludf.DUMMYFUNCTION("""COMPUTED_VALUE"""),"Estrela 4")</f>
        <v>Estrela 4</v>
      </c>
    </row>
    <row r="3594">
      <c r="G3594" s="5" t="str">
        <f>IFERROR(__xludf.DUMMYFUNCTION("""COMPUTED_VALUE"""),"899🤙🏼Dawn of the Planet of the Apes🤙🏼Gary Oldman🤙🏼Estrela 1")</f>
        <v>899🤙🏼Dawn of the Planet of the Apes🤙🏼Gary Oldman🤙🏼Estrela 1</v>
      </c>
      <c r="H3594" s="5">
        <f>IFERROR(__xludf.DUMMYFUNCTION("SPLiT(G3594, ""🤙🏼"",FALSE,FALSE)"),899.0)</f>
        <v>899</v>
      </c>
      <c r="I3594" s="5" t="str">
        <f>IFERROR(__xludf.DUMMYFUNCTION("""COMPUTED_VALUE"""),"Dawn of the Planet of the Apes")</f>
        <v>Dawn of the Planet of the Apes</v>
      </c>
      <c r="J3594" s="5" t="str">
        <f>IFERROR(__xludf.DUMMYFUNCTION("""COMPUTED_VALUE"""),"Gary Oldman")</f>
        <v>Gary Oldman</v>
      </c>
      <c r="K3594" s="5" t="str">
        <f>IFERROR(__xludf.DUMMYFUNCTION("""COMPUTED_VALUE"""),"Estrela 1")</f>
        <v>Estrela 1</v>
      </c>
      <c r="P3594" s="5">
        <f>IFERROR(__xludf.DUMMYFUNCTION("""COMPUTED_VALUE"""),899.0)</f>
        <v>899</v>
      </c>
      <c r="Q3594" s="5" t="str">
        <f>IFERROR(__xludf.DUMMYFUNCTION("""COMPUTED_VALUE"""),"Dawn of the Planet of the Apes")</f>
        <v>Dawn of the Planet of the Apes</v>
      </c>
      <c r="R3594" s="5" t="str">
        <f>IFERROR(__xludf.DUMMYFUNCTION("""COMPUTED_VALUE"""),"Gary Oldman")</f>
        <v>Gary Oldman</v>
      </c>
      <c r="S3594" s="5" t="str">
        <f>IFERROR(__xludf.DUMMYFUNCTION("""COMPUTED_VALUE"""),"Estrela 1")</f>
        <v>Estrela 1</v>
      </c>
    </row>
    <row r="3595">
      <c r="G3595" s="5" t="str">
        <f>IFERROR(__xludf.DUMMYFUNCTION("""COMPUTED_VALUE"""),"899🤙🏼Dawn of the Planet of the Apes🤙🏼Keri Russell🤙🏼Estrela 2")</f>
        <v>899🤙🏼Dawn of the Planet of the Apes🤙🏼Keri Russell🤙🏼Estrela 2</v>
      </c>
      <c r="H3595" s="5">
        <f>IFERROR(__xludf.DUMMYFUNCTION("SPLiT(G3595, ""🤙🏼"",FALSE,FALSE)"),899.0)</f>
        <v>899</v>
      </c>
      <c r="I3595" s="5" t="str">
        <f>IFERROR(__xludf.DUMMYFUNCTION("""COMPUTED_VALUE"""),"Dawn of the Planet of the Apes")</f>
        <v>Dawn of the Planet of the Apes</v>
      </c>
      <c r="J3595" s="5" t="str">
        <f>IFERROR(__xludf.DUMMYFUNCTION("""COMPUTED_VALUE"""),"Keri Russell")</f>
        <v>Keri Russell</v>
      </c>
      <c r="K3595" s="5" t="str">
        <f>IFERROR(__xludf.DUMMYFUNCTION("""COMPUTED_VALUE"""),"Estrela 2")</f>
        <v>Estrela 2</v>
      </c>
      <c r="P3595" s="5">
        <f>IFERROR(__xludf.DUMMYFUNCTION("""COMPUTED_VALUE"""),899.0)</f>
        <v>899</v>
      </c>
      <c r="Q3595" s="5" t="str">
        <f>IFERROR(__xludf.DUMMYFUNCTION("""COMPUTED_VALUE"""),"Dawn of the Planet of the Apes")</f>
        <v>Dawn of the Planet of the Apes</v>
      </c>
      <c r="R3595" s="5" t="str">
        <f>IFERROR(__xludf.DUMMYFUNCTION("""COMPUTED_VALUE"""),"Keri Russell")</f>
        <v>Keri Russell</v>
      </c>
      <c r="S3595" s="5" t="str">
        <f>IFERROR(__xludf.DUMMYFUNCTION("""COMPUTED_VALUE"""),"Estrela 2")</f>
        <v>Estrela 2</v>
      </c>
    </row>
    <row r="3596">
      <c r="G3596" s="5" t="str">
        <f>IFERROR(__xludf.DUMMYFUNCTION("""COMPUTED_VALUE"""),"899🤙🏼Dawn of the Planet of the Apes🤙🏼Andy Serkis🤙🏼Estrela 3")</f>
        <v>899🤙🏼Dawn of the Planet of the Apes🤙🏼Andy Serkis🤙🏼Estrela 3</v>
      </c>
      <c r="H3596" s="5">
        <f>IFERROR(__xludf.DUMMYFUNCTION("SPLiT(G3596, ""🤙🏼"",FALSE,FALSE)"),899.0)</f>
        <v>899</v>
      </c>
      <c r="I3596" s="5" t="str">
        <f>IFERROR(__xludf.DUMMYFUNCTION("""COMPUTED_VALUE"""),"Dawn of the Planet of the Apes")</f>
        <v>Dawn of the Planet of the Apes</v>
      </c>
      <c r="J3596" s="5" t="str">
        <f>IFERROR(__xludf.DUMMYFUNCTION("""COMPUTED_VALUE"""),"Andy Serkis")</f>
        <v>Andy Serkis</v>
      </c>
      <c r="K3596" s="5" t="str">
        <f>IFERROR(__xludf.DUMMYFUNCTION("""COMPUTED_VALUE"""),"Estrela 3")</f>
        <v>Estrela 3</v>
      </c>
      <c r="P3596" s="5">
        <f>IFERROR(__xludf.DUMMYFUNCTION("""COMPUTED_VALUE"""),899.0)</f>
        <v>899</v>
      </c>
      <c r="Q3596" s="5" t="str">
        <f>IFERROR(__xludf.DUMMYFUNCTION("""COMPUTED_VALUE"""),"Dawn of the Planet of the Apes")</f>
        <v>Dawn of the Planet of the Apes</v>
      </c>
      <c r="R3596" s="5" t="str">
        <f>IFERROR(__xludf.DUMMYFUNCTION("""COMPUTED_VALUE"""),"Andy Serkis")</f>
        <v>Andy Serkis</v>
      </c>
      <c r="S3596" s="5" t="str">
        <f>IFERROR(__xludf.DUMMYFUNCTION("""COMPUTED_VALUE"""),"Estrela 3")</f>
        <v>Estrela 3</v>
      </c>
    </row>
    <row r="3597">
      <c r="G3597" s="5" t="str">
        <f>IFERROR(__xludf.DUMMYFUNCTION("""COMPUTED_VALUE"""),"899🤙🏼Dawn of the Planet of the Apes🤙🏼Kodi Smit-McPhee🤙🏼Estrela 4")</f>
        <v>899🤙🏼Dawn of the Planet of the Apes🤙🏼Kodi Smit-McPhee🤙🏼Estrela 4</v>
      </c>
      <c r="H3597" s="5">
        <f>IFERROR(__xludf.DUMMYFUNCTION("SPLiT(G3597, ""🤙🏼"",FALSE,FALSE)"),899.0)</f>
        <v>899</v>
      </c>
      <c r="I3597" s="5" t="str">
        <f>IFERROR(__xludf.DUMMYFUNCTION("""COMPUTED_VALUE"""),"Dawn of the Planet of the Apes")</f>
        <v>Dawn of the Planet of the Apes</v>
      </c>
      <c r="J3597" s="5" t="str">
        <f>IFERROR(__xludf.DUMMYFUNCTION("""COMPUTED_VALUE"""),"Kodi Smit-McPhee")</f>
        <v>Kodi Smit-McPhee</v>
      </c>
      <c r="K3597" s="5" t="str">
        <f>IFERROR(__xludf.DUMMYFUNCTION("""COMPUTED_VALUE"""),"Estrela 4")</f>
        <v>Estrela 4</v>
      </c>
      <c r="P3597" s="5">
        <f>IFERROR(__xludf.DUMMYFUNCTION("""COMPUTED_VALUE"""),899.0)</f>
        <v>899</v>
      </c>
      <c r="Q3597" s="5" t="str">
        <f>IFERROR(__xludf.DUMMYFUNCTION("""COMPUTED_VALUE"""),"Dawn of the Planet of the Apes")</f>
        <v>Dawn of the Planet of the Apes</v>
      </c>
      <c r="R3597" s="5" t="str">
        <f>IFERROR(__xludf.DUMMYFUNCTION("""COMPUTED_VALUE"""),"Kodi Smit-McPhee")</f>
        <v>Kodi Smit-McPhee</v>
      </c>
      <c r="S3597" s="5" t="str">
        <f>IFERROR(__xludf.DUMMYFUNCTION("""COMPUTED_VALUE"""),"Estrela 4")</f>
        <v>Estrela 4</v>
      </c>
    </row>
    <row r="3598">
      <c r="G3598" s="5" t="str">
        <f>IFERROR(__xludf.DUMMYFUNCTION("""COMPUTED_VALUE"""),"900🤙🏼El cuerpo🤙🏼Jose Coronado🤙🏼Estrela 1")</f>
        <v>900🤙🏼El cuerpo🤙🏼Jose Coronado🤙🏼Estrela 1</v>
      </c>
      <c r="H3598" s="5">
        <f>IFERROR(__xludf.DUMMYFUNCTION("SPLiT(G3598, ""🤙🏼"",FALSE,FALSE)"),900.0)</f>
        <v>900</v>
      </c>
      <c r="I3598" s="5" t="str">
        <f>IFERROR(__xludf.DUMMYFUNCTION("""COMPUTED_VALUE"""),"El cuerpo")</f>
        <v>El cuerpo</v>
      </c>
      <c r="J3598" s="5" t="str">
        <f>IFERROR(__xludf.DUMMYFUNCTION("""COMPUTED_VALUE"""),"Jose Coronado")</f>
        <v>Jose Coronado</v>
      </c>
      <c r="K3598" s="5" t="str">
        <f>IFERROR(__xludf.DUMMYFUNCTION("""COMPUTED_VALUE"""),"Estrela 1")</f>
        <v>Estrela 1</v>
      </c>
      <c r="P3598" s="5">
        <f>IFERROR(__xludf.DUMMYFUNCTION("""COMPUTED_VALUE"""),900.0)</f>
        <v>900</v>
      </c>
      <c r="Q3598" s="5" t="str">
        <f>IFERROR(__xludf.DUMMYFUNCTION("""COMPUTED_VALUE"""),"El cuerpo")</f>
        <v>El cuerpo</v>
      </c>
      <c r="R3598" s="5" t="str">
        <f>IFERROR(__xludf.DUMMYFUNCTION("""COMPUTED_VALUE"""),"Jose Coronado")</f>
        <v>Jose Coronado</v>
      </c>
      <c r="S3598" s="5" t="str">
        <f>IFERROR(__xludf.DUMMYFUNCTION("""COMPUTED_VALUE"""),"Estrela 1")</f>
        <v>Estrela 1</v>
      </c>
    </row>
    <row r="3599">
      <c r="G3599" s="5" t="str">
        <f>IFERROR(__xludf.DUMMYFUNCTION("""COMPUTED_VALUE"""),"900🤙🏼El cuerpo🤙🏼Hugo Silva🤙🏼Estrela 2")</f>
        <v>900🤙🏼El cuerpo🤙🏼Hugo Silva🤙🏼Estrela 2</v>
      </c>
      <c r="H3599" s="5">
        <f>IFERROR(__xludf.DUMMYFUNCTION("SPLiT(G3599, ""🤙🏼"",FALSE,FALSE)"),900.0)</f>
        <v>900</v>
      </c>
      <c r="I3599" s="5" t="str">
        <f>IFERROR(__xludf.DUMMYFUNCTION("""COMPUTED_VALUE"""),"El cuerpo")</f>
        <v>El cuerpo</v>
      </c>
      <c r="J3599" s="5" t="str">
        <f>IFERROR(__xludf.DUMMYFUNCTION("""COMPUTED_VALUE"""),"Hugo Silva")</f>
        <v>Hugo Silva</v>
      </c>
      <c r="K3599" s="5" t="str">
        <f>IFERROR(__xludf.DUMMYFUNCTION("""COMPUTED_VALUE"""),"Estrela 2")</f>
        <v>Estrela 2</v>
      </c>
      <c r="P3599" s="5">
        <f>IFERROR(__xludf.DUMMYFUNCTION("""COMPUTED_VALUE"""),900.0)</f>
        <v>900</v>
      </c>
      <c r="Q3599" s="5" t="str">
        <f>IFERROR(__xludf.DUMMYFUNCTION("""COMPUTED_VALUE"""),"El cuerpo")</f>
        <v>El cuerpo</v>
      </c>
      <c r="R3599" s="5" t="str">
        <f>IFERROR(__xludf.DUMMYFUNCTION("""COMPUTED_VALUE"""),"Hugo Silva")</f>
        <v>Hugo Silva</v>
      </c>
      <c r="S3599" s="5" t="str">
        <f>IFERROR(__xludf.DUMMYFUNCTION("""COMPUTED_VALUE"""),"Estrela 2")</f>
        <v>Estrela 2</v>
      </c>
    </row>
    <row r="3600">
      <c r="G3600" s="5" t="str">
        <f>IFERROR(__xludf.DUMMYFUNCTION("""COMPUTED_VALUE"""),"900🤙🏼El cuerpo🤙🏼Belén Rueda🤙🏼Estrela 3")</f>
        <v>900🤙🏼El cuerpo🤙🏼Belén Rueda🤙🏼Estrela 3</v>
      </c>
      <c r="H3600" s="5">
        <f>IFERROR(__xludf.DUMMYFUNCTION("SPLiT(G3600, ""🤙🏼"",FALSE,FALSE)"),900.0)</f>
        <v>900</v>
      </c>
      <c r="I3600" s="5" t="str">
        <f>IFERROR(__xludf.DUMMYFUNCTION("""COMPUTED_VALUE"""),"El cuerpo")</f>
        <v>El cuerpo</v>
      </c>
      <c r="J3600" s="5" t="str">
        <f>IFERROR(__xludf.DUMMYFUNCTION("""COMPUTED_VALUE"""),"Belén Rueda")</f>
        <v>Belén Rueda</v>
      </c>
      <c r="K3600" s="5" t="str">
        <f>IFERROR(__xludf.DUMMYFUNCTION("""COMPUTED_VALUE"""),"Estrela 3")</f>
        <v>Estrela 3</v>
      </c>
      <c r="P3600" s="5">
        <f>IFERROR(__xludf.DUMMYFUNCTION("""COMPUTED_VALUE"""),900.0)</f>
        <v>900</v>
      </c>
      <c r="Q3600" s="5" t="str">
        <f>IFERROR(__xludf.DUMMYFUNCTION("""COMPUTED_VALUE"""),"El cuerpo")</f>
        <v>El cuerpo</v>
      </c>
      <c r="R3600" s="5" t="str">
        <f>IFERROR(__xludf.DUMMYFUNCTION("""COMPUTED_VALUE"""),"Belén Rueda")</f>
        <v>Belén Rueda</v>
      </c>
      <c r="S3600" s="5" t="str">
        <f>IFERROR(__xludf.DUMMYFUNCTION("""COMPUTED_VALUE"""),"Estrela 3")</f>
        <v>Estrela 3</v>
      </c>
    </row>
    <row r="3601">
      <c r="G3601" s="5" t="str">
        <f>IFERROR(__xludf.DUMMYFUNCTION("""COMPUTED_VALUE"""),"900🤙🏼El cuerpo🤙🏼Aura Garrido🤙🏼Estrela 4")</f>
        <v>900🤙🏼El cuerpo🤙🏼Aura Garrido🤙🏼Estrela 4</v>
      </c>
      <c r="H3601" s="5">
        <f>IFERROR(__xludf.DUMMYFUNCTION("SPLiT(G3601, ""🤙🏼"",FALSE,FALSE)"),900.0)</f>
        <v>900</v>
      </c>
      <c r="I3601" s="5" t="str">
        <f>IFERROR(__xludf.DUMMYFUNCTION("""COMPUTED_VALUE"""),"El cuerpo")</f>
        <v>El cuerpo</v>
      </c>
      <c r="J3601" s="5" t="str">
        <f>IFERROR(__xludf.DUMMYFUNCTION("""COMPUTED_VALUE"""),"Aura Garrido")</f>
        <v>Aura Garrido</v>
      </c>
      <c r="K3601" s="5" t="str">
        <f>IFERROR(__xludf.DUMMYFUNCTION("""COMPUTED_VALUE"""),"Estrela 4")</f>
        <v>Estrela 4</v>
      </c>
      <c r="P3601" s="5">
        <f>IFERROR(__xludf.DUMMYFUNCTION("""COMPUTED_VALUE"""),900.0)</f>
        <v>900</v>
      </c>
      <c r="Q3601" s="5" t="str">
        <f>IFERROR(__xludf.DUMMYFUNCTION("""COMPUTED_VALUE"""),"El cuerpo")</f>
        <v>El cuerpo</v>
      </c>
      <c r="R3601" s="5" t="str">
        <f>IFERROR(__xludf.DUMMYFUNCTION("""COMPUTED_VALUE"""),"Aura Garrido")</f>
        <v>Aura Garrido</v>
      </c>
      <c r="S3601" s="5" t="str">
        <f>IFERROR(__xludf.DUMMYFUNCTION("""COMPUTED_VALUE"""),"Estrela 4")</f>
        <v>Estrela 4</v>
      </c>
    </row>
    <row r="3602">
      <c r="G3602" s="5" t="str">
        <f>IFERROR(__xludf.DUMMYFUNCTION("""COMPUTED_VALUE"""),"901🤙🏼Serbuan maut🤙🏼Iko Uwais🤙🏼Estrela 1")</f>
        <v>901🤙🏼Serbuan maut🤙🏼Iko Uwais🤙🏼Estrela 1</v>
      </c>
      <c r="H3602" s="5">
        <f>IFERROR(__xludf.DUMMYFUNCTION("SPLiT(G3602, ""🤙🏼"",FALSE,FALSE)"),901.0)</f>
        <v>901</v>
      </c>
      <c r="I3602" s="5" t="str">
        <f>IFERROR(__xludf.DUMMYFUNCTION("""COMPUTED_VALUE"""),"Serbuan maut")</f>
        <v>Serbuan maut</v>
      </c>
      <c r="J3602" s="5" t="str">
        <f>IFERROR(__xludf.DUMMYFUNCTION("""COMPUTED_VALUE"""),"Iko Uwais")</f>
        <v>Iko Uwais</v>
      </c>
      <c r="K3602" s="5" t="str">
        <f>IFERROR(__xludf.DUMMYFUNCTION("""COMPUTED_VALUE"""),"Estrela 1")</f>
        <v>Estrela 1</v>
      </c>
      <c r="P3602" s="5">
        <f>IFERROR(__xludf.DUMMYFUNCTION("""COMPUTED_VALUE"""),901.0)</f>
        <v>901</v>
      </c>
      <c r="Q3602" s="5" t="str">
        <f>IFERROR(__xludf.DUMMYFUNCTION("""COMPUTED_VALUE"""),"Serbuan maut")</f>
        <v>Serbuan maut</v>
      </c>
      <c r="R3602" s="5" t="str">
        <f>IFERROR(__xludf.DUMMYFUNCTION("""COMPUTED_VALUE"""),"Iko Uwais")</f>
        <v>Iko Uwais</v>
      </c>
      <c r="S3602" s="5" t="str">
        <f>IFERROR(__xludf.DUMMYFUNCTION("""COMPUTED_VALUE"""),"Estrela 1")</f>
        <v>Estrela 1</v>
      </c>
    </row>
    <row r="3603">
      <c r="G3603" s="5" t="str">
        <f>IFERROR(__xludf.DUMMYFUNCTION("""COMPUTED_VALUE"""),"901🤙🏼Serbuan maut🤙🏼Ananda George🤙🏼Estrela 2")</f>
        <v>901🤙🏼Serbuan maut🤙🏼Ananda George🤙🏼Estrela 2</v>
      </c>
      <c r="H3603" s="5">
        <f>IFERROR(__xludf.DUMMYFUNCTION("SPLiT(G3603, ""🤙🏼"",FALSE,FALSE)"),901.0)</f>
        <v>901</v>
      </c>
      <c r="I3603" s="5" t="str">
        <f>IFERROR(__xludf.DUMMYFUNCTION("""COMPUTED_VALUE"""),"Serbuan maut")</f>
        <v>Serbuan maut</v>
      </c>
      <c r="J3603" s="5" t="str">
        <f>IFERROR(__xludf.DUMMYFUNCTION("""COMPUTED_VALUE"""),"Ananda George")</f>
        <v>Ananda George</v>
      </c>
      <c r="K3603" s="5" t="str">
        <f>IFERROR(__xludf.DUMMYFUNCTION("""COMPUTED_VALUE"""),"Estrela 2")</f>
        <v>Estrela 2</v>
      </c>
      <c r="P3603" s="5">
        <f>IFERROR(__xludf.DUMMYFUNCTION("""COMPUTED_VALUE"""),901.0)</f>
        <v>901</v>
      </c>
      <c r="Q3603" s="5" t="str">
        <f>IFERROR(__xludf.DUMMYFUNCTION("""COMPUTED_VALUE"""),"Serbuan maut")</f>
        <v>Serbuan maut</v>
      </c>
      <c r="R3603" s="5" t="str">
        <f>IFERROR(__xludf.DUMMYFUNCTION("""COMPUTED_VALUE"""),"Ananda George")</f>
        <v>Ananda George</v>
      </c>
      <c r="S3603" s="5" t="str">
        <f>IFERROR(__xludf.DUMMYFUNCTION("""COMPUTED_VALUE"""),"Estrela 2")</f>
        <v>Estrela 2</v>
      </c>
    </row>
    <row r="3604">
      <c r="G3604" s="5" t="str">
        <f>IFERROR(__xludf.DUMMYFUNCTION("""COMPUTED_VALUE"""),"901🤙🏼Serbuan maut🤙🏼Ray Sahetapy🤙🏼Estrela 3")</f>
        <v>901🤙🏼Serbuan maut🤙🏼Ray Sahetapy🤙🏼Estrela 3</v>
      </c>
      <c r="H3604" s="5">
        <f>IFERROR(__xludf.DUMMYFUNCTION("SPLiT(G3604, ""🤙🏼"",FALSE,FALSE)"),901.0)</f>
        <v>901</v>
      </c>
      <c r="I3604" s="5" t="str">
        <f>IFERROR(__xludf.DUMMYFUNCTION("""COMPUTED_VALUE"""),"Serbuan maut")</f>
        <v>Serbuan maut</v>
      </c>
      <c r="J3604" s="5" t="str">
        <f>IFERROR(__xludf.DUMMYFUNCTION("""COMPUTED_VALUE"""),"Ray Sahetapy")</f>
        <v>Ray Sahetapy</v>
      </c>
      <c r="K3604" s="5" t="str">
        <f>IFERROR(__xludf.DUMMYFUNCTION("""COMPUTED_VALUE"""),"Estrela 3")</f>
        <v>Estrela 3</v>
      </c>
      <c r="P3604" s="5">
        <f>IFERROR(__xludf.DUMMYFUNCTION("""COMPUTED_VALUE"""),901.0)</f>
        <v>901</v>
      </c>
      <c r="Q3604" s="5" t="str">
        <f>IFERROR(__xludf.DUMMYFUNCTION("""COMPUTED_VALUE"""),"Serbuan maut")</f>
        <v>Serbuan maut</v>
      </c>
      <c r="R3604" s="5" t="str">
        <f>IFERROR(__xludf.DUMMYFUNCTION("""COMPUTED_VALUE"""),"Ray Sahetapy")</f>
        <v>Ray Sahetapy</v>
      </c>
      <c r="S3604" s="5" t="str">
        <f>IFERROR(__xludf.DUMMYFUNCTION("""COMPUTED_VALUE"""),"Estrela 3")</f>
        <v>Estrela 3</v>
      </c>
    </row>
    <row r="3605">
      <c r="G3605" s="5" t="str">
        <f>IFERROR(__xludf.DUMMYFUNCTION("""COMPUTED_VALUE"""),"901🤙🏼Serbuan maut🤙🏼Donny Alamsyah🤙🏼Estrela 4")</f>
        <v>901🤙🏼Serbuan maut🤙🏼Donny Alamsyah🤙🏼Estrela 4</v>
      </c>
      <c r="H3605" s="5">
        <f>IFERROR(__xludf.DUMMYFUNCTION("SPLiT(G3605, ""🤙🏼"",FALSE,FALSE)"),901.0)</f>
        <v>901</v>
      </c>
      <c r="I3605" s="5" t="str">
        <f>IFERROR(__xludf.DUMMYFUNCTION("""COMPUTED_VALUE"""),"Serbuan maut")</f>
        <v>Serbuan maut</v>
      </c>
      <c r="J3605" s="5" t="str">
        <f>IFERROR(__xludf.DUMMYFUNCTION("""COMPUTED_VALUE"""),"Donny Alamsyah")</f>
        <v>Donny Alamsyah</v>
      </c>
      <c r="K3605" s="5" t="str">
        <f>IFERROR(__xludf.DUMMYFUNCTION("""COMPUTED_VALUE"""),"Estrela 4")</f>
        <v>Estrela 4</v>
      </c>
      <c r="P3605" s="5">
        <f>IFERROR(__xludf.DUMMYFUNCTION("""COMPUTED_VALUE"""),901.0)</f>
        <v>901</v>
      </c>
      <c r="Q3605" s="5" t="str">
        <f>IFERROR(__xludf.DUMMYFUNCTION("""COMPUTED_VALUE"""),"Serbuan maut")</f>
        <v>Serbuan maut</v>
      </c>
      <c r="R3605" s="5" t="str">
        <f>IFERROR(__xludf.DUMMYFUNCTION("""COMPUTED_VALUE"""),"Donny Alamsyah")</f>
        <v>Donny Alamsyah</v>
      </c>
      <c r="S3605" s="5" t="str">
        <f>IFERROR(__xludf.DUMMYFUNCTION("""COMPUTED_VALUE"""),"Estrela 4")</f>
        <v>Estrela 4</v>
      </c>
    </row>
    <row r="3606">
      <c r="G3606" s="5" t="str">
        <f>IFERROR(__xludf.DUMMYFUNCTION("""COMPUTED_VALUE"""),"902🤙🏼End of Watch🤙🏼Jake Gyllenhaal🤙🏼Estrela 1")</f>
        <v>902🤙🏼End of Watch🤙🏼Jake Gyllenhaal🤙🏼Estrela 1</v>
      </c>
      <c r="H3606" s="5">
        <f>IFERROR(__xludf.DUMMYFUNCTION("SPLiT(G3606, ""🤙🏼"",FALSE,FALSE)"),902.0)</f>
        <v>902</v>
      </c>
      <c r="I3606" s="5" t="str">
        <f>IFERROR(__xludf.DUMMYFUNCTION("""COMPUTED_VALUE"""),"End of Watch")</f>
        <v>End of Watch</v>
      </c>
      <c r="J3606" s="5" t="str">
        <f>IFERROR(__xludf.DUMMYFUNCTION("""COMPUTED_VALUE"""),"Jake Gyllenhaal")</f>
        <v>Jake Gyllenhaal</v>
      </c>
      <c r="K3606" s="5" t="str">
        <f>IFERROR(__xludf.DUMMYFUNCTION("""COMPUTED_VALUE"""),"Estrela 1")</f>
        <v>Estrela 1</v>
      </c>
      <c r="P3606" s="5">
        <f>IFERROR(__xludf.DUMMYFUNCTION("""COMPUTED_VALUE"""),902.0)</f>
        <v>902</v>
      </c>
      <c r="Q3606" s="5" t="str">
        <f>IFERROR(__xludf.DUMMYFUNCTION("""COMPUTED_VALUE"""),"End of Watch")</f>
        <v>End of Watch</v>
      </c>
      <c r="R3606" s="5" t="str">
        <f>IFERROR(__xludf.DUMMYFUNCTION("""COMPUTED_VALUE"""),"Jake Gyllenhaal")</f>
        <v>Jake Gyllenhaal</v>
      </c>
      <c r="S3606" s="5" t="str">
        <f>IFERROR(__xludf.DUMMYFUNCTION("""COMPUTED_VALUE"""),"Estrela 1")</f>
        <v>Estrela 1</v>
      </c>
    </row>
    <row r="3607">
      <c r="G3607" s="5" t="str">
        <f>IFERROR(__xludf.DUMMYFUNCTION("""COMPUTED_VALUE"""),"902🤙🏼End of Watch🤙🏼Michael Peña🤙🏼Estrela 2")</f>
        <v>902🤙🏼End of Watch🤙🏼Michael Peña🤙🏼Estrela 2</v>
      </c>
      <c r="H3607" s="5">
        <f>IFERROR(__xludf.DUMMYFUNCTION("SPLiT(G3607, ""🤙🏼"",FALSE,FALSE)"),902.0)</f>
        <v>902</v>
      </c>
      <c r="I3607" s="5" t="str">
        <f>IFERROR(__xludf.DUMMYFUNCTION("""COMPUTED_VALUE"""),"End of Watch")</f>
        <v>End of Watch</v>
      </c>
      <c r="J3607" s="5" t="str">
        <f>IFERROR(__xludf.DUMMYFUNCTION("""COMPUTED_VALUE"""),"Michael Peña")</f>
        <v>Michael Peña</v>
      </c>
      <c r="K3607" s="5" t="str">
        <f>IFERROR(__xludf.DUMMYFUNCTION("""COMPUTED_VALUE"""),"Estrela 2")</f>
        <v>Estrela 2</v>
      </c>
      <c r="P3607" s="5">
        <f>IFERROR(__xludf.DUMMYFUNCTION("""COMPUTED_VALUE"""),902.0)</f>
        <v>902</v>
      </c>
      <c r="Q3607" s="5" t="str">
        <f>IFERROR(__xludf.DUMMYFUNCTION("""COMPUTED_VALUE"""),"End of Watch")</f>
        <v>End of Watch</v>
      </c>
      <c r="R3607" s="5" t="str">
        <f>IFERROR(__xludf.DUMMYFUNCTION("""COMPUTED_VALUE"""),"Michael Peña")</f>
        <v>Michael Peña</v>
      </c>
      <c r="S3607" s="5" t="str">
        <f>IFERROR(__xludf.DUMMYFUNCTION("""COMPUTED_VALUE"""),"Estrela 2")</f>
        <v>Estrela 2</v>
      </c>
    </row>
    <row r="3608">
      <c r="G3608" s="5" t="str">
        <f>IFERROR(__xludf.DUMMYFUNCTION("""COMPUTED_VALUE"""),"902🤙🏼End of Watch🤙🏼Anna Kendrick🤙🏼Estrela 3")</f>
        <v>902🤙🏼End of Watch🤙🏼Anna Kendrick🤙🏼Estrela 3</v>
      </c>
      <c r="H3608" s="5">
        <f>IFERROR(__xludf.DUMMYFUNCTION("SPLiT(G3608, ""🤙🏼"",FALSE,FALSE)"),902.0)</f>
        <v>902</v>
      </c>
      <c r="I3608" s="5" t="str">
        <f>IFERROR(__xludf.DUMMYFUNCTION("""COMPUTED_VALUE"""),"End of Watch")</f>
        <v>End of Watch</v>
      </c>
      <c r="J3608" s="5" t="str">
        <f>IFERROR(__xludf.DUMMYFUNCTION("""COMPUTED_VALUE"""),"Anna Kendrick")</f>
        <v>Anna Kendrick</v>
      </c>
      <c r="K3608" s="5" t="str">
        <f>IFERROR(__xludf.DUMMYFUNCTION("""COMPUTED_VALUE"""),"Estrela 3")</f>
        <v>Estrela 3</v>
      </c>
      <c r="P3608" s="5">
        <f>IFERROR(__xludf.DUMMYFUNCTION("""COMPUTED_VALUE"""),902.0)</f>
        <v>902</v>
      </c>
      <c r="Q3608" s="5" t="str">
        <f>IFERROR(__xludf.DUMMYFUNCTION("""COMPUTED_VALUE"""),"End of Watch")</f>
        <v>End of Watch</v>
      </c>
      <c r="R3608" s="5" t="str">
        <f>IFERROR(__xludf.DUMMYFUNCTION("""COMPUTED_VALUE"""),"Anna Kendrick")</f>
        <v>Anna Kendrick</v>
      </c>
      <c r="S3608" s="5" t="str">
        <f>IFERROR(__xludf.DUMMYFUNCTION("""COMPUTED_VALUE"""),"Estrela 3")</f>
        <v>Estrela 3</v>
      </c>
    </row>
    <row r="3609">
      <c r="G3609" s="5" t="str">
        <f>IFERROR(__xludf.DUMMYFUNCTION("""COMPUTED_VALUE"""),"902🤙🏼End of Watch🤙🏼America Ferrera🤙🏼Estrela 4")</f>
        <v>902🤙🏼End of Watch🤙🏼America Ferrera🤙🏼Estrela 4</v>
      </c>
      <c r="H3609" s="5">
        <f>IFERROR(__xludf.DUMMYFUNCTION("SPLiT(G3609, ""🤙🏼"",FALSE,FALSE)"),902.0)</f>
        <v>902</v>
      </c>
      <c r="I3609" s="5" t="str">
        <f>IFERROR(__xludf.DUMMYFUNCTION("""COMPUTED_VALUE"""),"End of Watch")</f>
        <v>End of Watch</v>
      </c>
      <c r="J3609" s="5" t="str">
        <f>IFERROR(__xludf.DUMMYFUNCTION("""COMPUTED_VALUE"""),"America Ferrera")</f>
        <v>America Ferrera</v>
      </c>
      <c r="K3609" s="5" t="str">
        <f>IFERROR(__xludf.DUMMYFUNCTION("""COMPUTED_VALUE"""),"Estrela 4")</f>
        <v>Estrela 4</v>
      </c>
      <c r="P3609" s="5">
        <f>IFERROR(__xludf.DUMMYFUNCTION("""COMPUTED_VALUE"""),902.0)</f>
        <v>902</v>
      </c>
      <c r="Q3609" s="5" t="str">
        <f>IFERROR(__xludf.DUMMYFUNCTION("""COMPUTED_VALUE"""),"End of Watch")</f>
        <v>End of Watch</v>
      </c>
      <c r="R3609" s="5" t="str">
        <f>IFERROR(__xludf.DUMMYFUNCTION("""COMPUTED_VALUE"""),"America Ferrera")</f>
        <v>America Ferrera</v>
      </c>
      <c r="S3609" s="5" t="str">
        <f>IFERROR(__xludf.DUMMYFUNCTION("""COMPUTED_VALUE"""),"Estrela 4")</f>
        <v>Estrela 4</v>
      </c>
    </row>
    <row r="3610">
      <c r="G3610" s="5" t="str">
        <f>IFERROR(__xludf.DUMMYFUNCTION("""COMPUTED_VALUE"""),"903🤙🏼Kari-gurashi no Arietti🤙🏼Amy Poehler🤙🏼Estrela 1")</f>
        <v>903🤙🏼Kari-gurashi no Arietti🤙🏼Amy Poehler🤙🏼Estrela 1</v>
      </c>
      <c r="H3610" s="5">
        <f>IFERROR(__xludf.DUMMYFUNCTION("SPLiT(G3610, ""🤙🏼"",FALSE,FALSE)"),903.0)</f>
        <v>903</v>
      </c>
      <c r="I3610" s="5" t="str">
        <f>IFERROR(__xludf.DUMMYFUNCTION("""COMPUTED_VALUE"""),"Kari-gurashi no Arietti")</f>
        <v>Kari-gurashi no Arietti</v>
      </c>
      <c r="J3610" s="5" t="str">
        <f>IFERROR(__xludf.DUMMYFUNCTION("""COMPUTED_VALUE"""),"Amy Poehler")</f>
        <v>Amy Poehler</v>
      </c>
      <c r="K3610" s="5" t="str">
        <f>IFERROR(__xludf.DUMMYFUNCTION("""COMPUTED_VALUE"""),"Estrela 1")</f>
        <v>Estrela 1</v>
      </c>
      <c r="P3610" s="5">
        <f>IFERROR(__xludf.DUMMYFUNCTION("""COMPUTED_VALUE"""),903.0)</f>
        <v>903</v>
      </c>
      <c r="Q3610" s="5" t="str">
        <f>IFERROR(__xludf.DUMMYFUNCTION("""COMPUTED_VALUE"""),"Kari-gurashi no Arietti")</f>
        <v>Kari-gurashi no Arietti</v>
      </c>
      <c r="R3610" s="5" t="str">
        <f>IFERROR(__xludf.DUMMYFUNCTION("""COMPUTED_VALUE"""),"Amy Poehler")</f>
        <v>Amy Poehler</v>
      </c>
      <c r="S3610" s="5" t="str">
        <f>IFERROR(__xludf.DUMMYFUNCTION("""COMPUTED_VALUE"""),"Estrela 1")</f>
        <v>Estrela 1</v>
      </c>
    </row>
    <row r="3611">
      <c r="G3611" s="5" t="str">
        <f>IFERROR(__xludf.DUMMYFUNCTION("""COMPUTED_VALUE"""),"903🤙🏼Kari-gurashi no Arietti🤙🏼Mirai Shida🤙🏼Estrela 2")</f>
        <v>903🤙🏼Kari-gurashi no Arietti🤙🏼Mirai Shida🤙🏼Estrela 2</v>
      </c>
      <c r="H3611" s="5">
        <f>IFERROR(__xludf.DUMMYFUNCTION("SPLiT(G3611, ""🤙🏼"",FALSE,FALSE)"),903.0)</f>
        <v>903</v>
      </c>
      <c r="I3611" s="5" t="str">
        <f>IFERROR(__xludf.DUMMYFUNCTION("""COMPUTED_VALUE"""),"Kari-gurashi no Arietti")</f>
        <v>Kari-gurashi no Arietti</v>
      </c>
      <c r="J3611" s="5" t="str">
        <f>IFERROR(__xludf.DUMMYFUNCTION("""COMPUTED_VALUE"""),"Mirai Shida")</f>
        <v>Mirai Shida</v>
      </c>
      <c r="K3611" s="5" t="str">
        <f>IFERROR(__xludf.DUMMYFUNCTION("""COMPUTED_VALUE"""),"Estrela 2")</f>
        <v>Estrela 2</v>
      </c>
      <c r="P3611" s="5">
        <f>IFERROR(__xludf.DUMMYFUNCTION("""COMPUTED_VALUE"""),903.0)</f>
        <v>903</v>
      </c>
      <c r="Q3611" s="5" t="str">
        <f>IFERROR(__xludf.DUMMYFUNCTION("""COMPUTED_VALUE"""),"Kari-gurashi no Arietti")</f>
        <v>Kari-gurashi no Arietti</v>
      </c>
      <c r="R3611" s="5" t="str">
        <f>IFERROR(__xludf.DUMMYFUNCTION("""COMPUTED_VALUE"""),"Mirai Shida")</f>
        <v>Mirai Shida</v>
      </c>
      <c r="S3611" s="5" t="str">
        <f>IFERROR(__xludf.DUMMYFUNCTION("""COMPUTED_VALUE"""),"Estrela 2")</f>
        <v>Estrela 2</v>
      </c>
    </row>
    <row r="3612">
      <c r="G3612" s="5" t="str">
        <f>IFERROR(__xludf.DUMMYFUNCTION("""COMPUTED_VALUE"""),"903🤙🏼Kari-gurashi no Arietti🤙🏼Ryûnosuke Kamiki🤙🏼Estrela 3")</f>
        <v>903🤙🏼Kari-gurashi no Arietti🤙🏼Ryûnosuke Kamiki🤙🏼Estrela 3</v>
      </c>
      <c r="H3612" s="5">
        <f>IFERROR(__xludf.DUMMYFUNCTION("SPLiT(G3612, ""🤙🏼"",FALSE,FALSE)"),903.0)</f>
        <v>903</v>
      </c>
      <c r="I3612" s="5" t="str">
        <f>IFERROR(__xludf.DUMMYFUNCTION("""COMPUTED_VALUE"""),"Kari-gurashi no Arietti")</f>
        <v>Kari-gurashi no Arietti</v>
      </c>
      <c r="J3612" s="5" t="str">
        <f>IFERROR(__xludf.DUMMYFUNCTION("""COMPUTED_VALUE"""),"Ryûnosuke Kamiki")</f>
        <v>Ryûnosuke Kamiki</v>
      </c>
      <c r="K3612" s="5" t="str">
        <f>IFERROR(__xludf.DUMMYFUNCTION("""COMPUTED_VALUE"""),"Estrela 3")</f>
        <v>Estrela 3</v>
      </c>
      <c r="P3612" s="5">
        <f>IFERROR(__xludf.DUMMYFUNCTION("""COMPUTED_VALUE"""),903.0)</f>
        <v>903</v>
      </c>
      <c r="Q3612" s="5" t="str">
        <f>IFERROR(__xludf.DUMMYFUNCTION("""COMPUTED_VALUE"""),"Kari-gurashi no Arietti")</f>
        <v>Kari-gurashi no Arietti</v>
      </c>
      <c r="R3612" s="5" t="str">
        <f>IFERROR(__xludf.DUMMYFUNCTION("""COMPUTED_VALUE"""),"Ryûnosuke Kamiki")</f>
        <v>Ryûnosuke Kamiki</v>
      </c>
      <c r="S3612" s="5" t="str">
        <f>IFERROR(__xludf.DUMMYFUNCTION("""COMPUTED_VALUE"""),"Estrela 3")</f>
        <v>Estrela 3</v>
      </c>
    </row>
    <row r="3613">
      <c r="G3613" s="5" t="str">
        <f>IFERROR(__xludf.DUMMYFUNCTION("""COMPUTED_VALUE"""),"903🤙🏼Kari-gurashi no Arietti🤙🏼Tatsuya Fujiwara🤙🏼Estrela 4")</f>
        <v>903🤙🏼Kari-gurashi no Arietti🤙🏼Tatsuya Fujiwara🤙🏼Estrela 4</v>
      </c>
      <c r="H3613" s="5">
        <f>IFERROR(__xludf.DUMMYFUNCTION("SPLiT(G3613, ""🤙🏼"",FALSE,FALSE)"),903.0)</f>
        <v>903</v>
      </c>
      <c r="I3613" s="5" t="str">
        <f>IFERROR(__xludf.DUMMYFUNCTION("""COMPUTED_VALUE"""),"Kari-gurashi no Arietti")</f>
        <v>Kari-gurashi no Arietti</v>
      </c>
      <c r="J3613" s="5" t="str">
        <f>IFERROR(__xludf.DUMMYFUNCTION("""COMPUTED_VALUE"""),"Tatsuya Fujiwara")</f>
        <v>Tatsuya Fujiwara</v>
      </c>
      <c r="K3613" s="5" t="str">
        <f>IFERROR(__xludf.DUMMYFUNCTION("""COMPUTED_VALUE"""),"Estrela 4")</f>
        <v>Estrela 4</v>
      </c>
      <c r="P3613" s="5">
        <f>IFERROR(__xludf.DUMMYFUNCTION("""COMPUTED_VALUE"""),903.0)</f>
        <v>903</v>
      </c>
      <c r="Q3613" s="5" t="str">
        <f>IFERROR(__xludf.DUMMYFUNCTION("""COMPUTED_VALUE"""),"Kari-gurashi no Arietti")</f>
        <v>Kari-gurashi no Arietti</v>
      </c>
      <c r="R3613" s="5" t="str">
        <f>IFERROR(__xludf.DUMMYFUNCTION("""COMPUTED_VALUE"""),"Tatsuya Fujiwara")</f>
        <v>Tatsuya Fujiwara</v>
      </c>
      <c r="S3613" s="5" t="str">
        <f>IFERROR(__xludf.DUMMYFUNCTION("""COMPUTED_VALUE"""),"Estrela 4")</f>
        <v>Estrela 4</v>
      </c>
    </row>
    <row r="3614">
      <c r="G3614" s="5" t="str">
        <f>IFERROR(__xludf.DUMMYFUNCTION("""COMPUTED_VALUE"""),"904🤙🏼A Star Is Born🤙🏼Lady Gaga🤙🏼Estrela 1")</f>
        <v>904🤙🏼A Star Is Born🤙🏼Lady Gaga🤙🏼Estrela 1</v>
      </c>
      <c r="H3614" s="5">
        <f>IFERROR(__xludf.DUMMYFUNCTION("SPLiT(G3614, ""🤙🏼"",FALSE,FALSE)"),904.0)</f>
        <v>904</v>
      </c>
      <c r="I3614" s="5" t="str">
        <f>IFERROR(__xludf.DUMMYFUNCTION("""COMPUTED_VALUE"""),"A Star Is Born")</f>
        <v>A Star Is Born</v>
      </c>
      <c r="J3614" s="5" t="str">
        <f>IFERROR(__xludf.DUMMYFUNCTION("""COMPUTED_VALUE"""),"Lady Gaga")</f>
        <v>Lady Gaga</v>
      </c>
      <c r="K3614" s="5" t="str">
        <f>IFERROR(__xludf.DUMMYFUNCTION("""COMPUTED_VALUE"""),"Estrela 1")</f>
        <v>Estrela 1</v>
      </c>
      <c r="P3614" s="5">
        <f>IFERROR(__xludf.DUMMYFUNCTION("""COMPUTED_VALUE"""),904.0)</f>
        <v>904</v>
      </c>
      <c r="Q3614" s="5" t="str">
        <f>IFERROR(__xludf.DUMMYFUNCTION("""COMPUTED_VALUE"""),"A Star Is Born")</f>
        <v>A Star Is Born</v>
      </c>
      <c r="R3614" s="5" t="str">
        <f>IFERROR(__xludf.DUMMYFUNCTION("""COMPUTED_VALUE"""),"Lady Gaga")</f>
        <v>Lady Gaga</v>
      </c>
      <c r="S3614" s="5" t="str">
        <f>IFERROR(__xludf.DUMMYFUNCTION("""COMPUTED_VALUE"""),"Estrela 1")</f>
        <v>Estrela 1</v>
      </c>
    </row>
    <row r="3615">
      <c r="G3615" s="5" t="str">
        <f>IFERROR(__xludf.DUMMYFUNCTION("""COMPUTED_VALUE"""),"904🤙🏼A Star Is Born🤙🏼Bradley Cooper🤙🏼Estrela 2")</f>
        <v>904🤙🏼A Star Is Born🤙🏼Bradley Cooper🤙🏼Estrela 2</v>
      </c>
      <c r="H3615" s="5">
        <f>IFERROR(__xludf.DUMMYFUNCTION("SPLiT(G3615, ""🤙🏼"",FALSE,FALSE)"),904.0)</f>
        <v>904</v>
      </c>
      <c r="I3615" s="5" t="str">
        <f>IFERROR(__xludf.DUMMYFUNCTION("""COMPUTED_VALUE"""),"A Star Is Born")</f>
        <v>A Star Is Born</v>
      </c>
      <c r="J3615" s="5" t="str">
        <f>IFERROR(__xludf.DUMMYFUNCTION("""COMPUTED_VALUE"""),"Bradley Cooper")</f>
        <v>Bradley Cooper</v>
      </c>
      <c r="K3615" s="5" t="str">
        <f>IFERROR(__xludf.DUMMYFUNCTION("""COMPUTED_VALUE"""),"Estrela 2")</f>
        <v>Estrela 2</v>
      </c>
      <c r="P3615" s="5">
        <f>IFERROR(__xludf.DUMMYFUNCTION("""COMPUTED_VALUE"""),904.0)</f>
        <v>904</v>
      </c>
      <c r="Q3615" s="5" t="str">
        <f>IFERROR(__xludf.DUMMYFUNCTION("""COMPUTED_VALUE"""),"A Star Is Born")</f>
        <v>A Star Is Born</v>
      </c>
      <c r="R3615" s="5" t="str">
        <f>IFERROR(__xludf.DUMMYFUNCTION("""COMPUTED_VALUE"""),"Bradley Cooper")</f>
        <v>Bradley Cooper</v>
      </c>
      <c r="S3615" s="5" t="str">
        <f>IFERROR(__xludf.DUMMYFUNCTION("""COMPUTED_VALUE"""),"Estrela 2")</f>
        <v>Estrela 2</v>
      </c>
    </row>
    <row r="3616">
      <c r="G3616" s="5" t="str">
        <f>IFERROR(__xludf.DUMMYFUNCTION("""COMPUTED_VALUE"""),"904🤙🏼A Star Is Born🤙🏼Sam Elliott🤙🏼Estrela 3")</f>
        <v>904🤙🏼A Star Is Born🤙🏼Sam Elliott🤙🏼Estrela 3</v>
      </c>
      <c r="H3616" s="5">
        <f>IFERROR(__xludf.DUMMYFUNCTION("SPLiT(G3616, ""🤙🏼"",FALSE,FALSE)"),904.0)</f>
        <v>904</v>
      </c>
      <c r="I3616" s="5" t="str">
        <f>IFERROR(__xludf.DUMMYFUNCTION("""COMPUTED_VALUE"""),"A Star Is Born")</f>
        <v>A Star Is Born</v>
      </c>
      <c r="J3616" s="5" t="str">
        <f>IFERROR(__xludf.DUMMYFUNCTION("""COMPUTED_VALUE"""),"Sam Elliott")</f>
        <v>Sam Elliott</v>
      </c>
      <c r="K3616" s="5" t="str">
        <f>IFERROR(__xludf.DUMMYFUNCTION("""COMPUTED_VALUE"""),"Estrela 3")</f>
        <v>Estrela 3</v>
      </c>
      <c r="P3616" s="5">
        <f>IFERROR(__xludf.DUMMYFUNCTION("""COMPUTED_VALUE"""),904.0)</f>
        <v>904</v>
      </c>
      <c r="Q3616" s="5" t="str">
        <f>IFERROR(__xludf.DUMMYFUNCTION("""COMPUTED_VALUE"""),"A Star Is Born")</f>
        <v>A Star Is Born</v>
      </c>
      <c r="R3616" s="5" t="str">
        <f>IFERROR(__xludf.DUMMYFUNCTION("""COMPUTED_VALUE"""),"Sam Elliott")</f>
        <v>Sam Elliott</v>
      </c>
      <c r="S3616" s="5" t="str">
        <f>IFERROR(__xludf.DUMMYFUNCTION("""COMPUTED_VALUE"""),"Estrela 3")</f>
        <v>Estrela 3</v>
      </c>
    </row>
    <row r="3617">
      <c r="G3617" s="5" t="str">
        <f>IFERROR(__xludf.DUMMYFUNCTION("""COMPUTED_VALUE"""),"904🤙🏼A Star Is Born🤙🏼Greg Grunberg🤙🏼Estrela 4")</f>
        <v>904🤙🏼A Star Is Born🤙🏼Greg Grunberg🤙🏼Estrela 4</v>
      </c>
      <c r="H3617" s="5">
        <f>IFERROR(__xludf.DUMMYFUNCTION("SPLiT(G3617, ""🤙🏼"",FALSE,FALSE)"),904.0)</f>
        <v>904</v>
      </c>
      <c r="I3617" s="5" t="str">
        <f>IFERROR(__xludf.DUMMYFUNCTION("""COMPUTED_VALUE"""),"A Star Is Born")</f>
        <v>A Star Is Born</v>
      </c>
      <c r="J3617" s="5" t="str">
        <f>IFERROR(__xludf.DUMMYFUNCTION("""COMPUTED_VALUE"""),"Greg Grunberg")</f>
        <v>Greg Grunberg</v>
      </c>
      <c r="K3617" s="5" t="str">
        <f>IFERROR(__xludf.DUMMYFUNCTION("""COMPUTED_VALUE"""),"Estrela 4")</f>
        <v>Estrela 4</v>
      </c>
      <c r="P3617" s="5">
        <f>IFERROR(__xludf.DUMMYFUNCTION("""COMPUTED_VALUE"""),904.0)</f>
        <v>904</v>
      </c>
      <c r="Q3617" s="5" t="str">
        <f>IFERROR(__xludf.DUMMYFUNCTION("""COMPUTED_VALUE"""),"A Star Is Born")</f>
        <v>A Star Is Born</v>
      </c>
      <c r="R3617" s="5" t="str">
        <f>IFERROR(__xludf.DUMMYFUNCTION("""COMPUTED_VALUE"""),"Greg Grunberg")</f>
        <v>Greg Grunberg</v>
      </c>
      <c r="S3617" s="5" t="str">
        <f>IFERROR(__xludf.DUMMYFUNCTION("""COMPUTED_VALUE"""),"Estrela 4")</f>
        <v>Estrela 4</v>
      </c>
    </row>
    <row r="3618">
      <c r="G3618" s="5" t="str">
        <f>IFERROR(__xludf.DUMMYFUNCTION("""COMPUTED_VALUE"""),"905🤙🏼True Grit🤙🏼Joel Coen🤙🏼Estrela 1")</f>
        <v>905🤙🏼True Grit🤙🏼Joel Coen🤙🏼Estrela 1</v>
      </c>
      <c r="H3618" s="5">
        <f>IFERROR(__xludf.DUMMYFUNCTION("SPLiT(G3618, ""🤙🏼"",FALSE,FALSE)"),905.0)</f>
        <v>905</v>
      </c>
      <c r="I3618" s="5" t="str">
        <f>IFERROR(__xludf.DUMMYFUNCTION("""COMPUTED_VALUE"""),"True Grit")</f>
        <v>True Grit</v>
      </c>
      <c r="J3618" s="5" t="str">
        <f>IFERROR(__xludf.DUMMYFUNCTION("""COMPUTED_VALUE"""),"Joel Coen")</f>
        <v>Joel Coen</v>
      </c>
      <c r="K3618" s="5" t="str">
        <f>IFERROR(__xludf.DUMMYFUNCTION("""COMPUTED_VALUE"""),"Estrela 1")</f>
        <v>Estrela 1</v>
      </c>
      <c r="P3618" s="5">
        <f>IFERROR(__xludf.DUMMYFUNCTION("""COMPUTED_VALUE"""),905.0)</f>
        <v>905</v>
      </c>
      <c r="Q3618" s="5" t="str">
        <f>IFERROR(__xludf.DUMMYFUNCTION("""COMPUTED_VALUE"""),"True Grit")</f>
        <v>True Grit</v>
      </c>
      <c r="R3618" s="5" t="str">
        <f>IFERROR(__xludf.DUMMYFUNCTION("""COMPUTED_VALUE"""),"Joel Coen")</f>
        <v>Joel Coen</v>
      </c>
      <c r="S3618" s="5" t="str">
        <f>IFERROR(__xludf.DUMMYFUNCTION("""COMPUTED_VALUE"""),"Estrela 1")</f>
        <v>Estrela 1</v>
      </c>
    </row>
    <row r="3619">
      <c r="G3619" s="5" t="str">
        <f>IFERROR(__xludf.DUMMYFUNCTION("""COMPUTED_VALUE"""),"905🤙🏼True Grit🤙🏼Jeff Bridges🤙🏼Estrela 2")</f>
        <v>905🤙🏼True Grit🤙🏼Jeff Bridges🤙🏼Estrela 2</v>
      </c>
      <c r="H3619" s="5">
        <f>IFERROR(__xludf.DUMMYFUNCTION("SPLiT(G3619, ""🤙🏼"",FALSE,FALSE)"),905.0)</f>
        <v>905</v>
      </c>
      <c r="I3619" s="5" t="str">
        <f>IFERROR(__xludf.DUMMYFUNCTION("""COMPUTED_VALUE"""),"True Grit")</f>
        <v>True Grit</v>
      </c>
      <c r="J3619" s="5" t="str">
        <f>IFERROR(__xludf.DUMMYFUNCTION("""COMPUTED_VALUE"""),"Jeff Bridges")</f>
        <v>Jeff Bridges</v>
      </c>
      <c r="K3619" s="5" t="str">
        <f>IFERROR(__xludf.DUMMYFUNCTION("""COMPUTED_VALUE"""),"Estrela 2")</f>
        <v>Estrela 2</v>
      </c>
      <c r="P3619" s="5">
        <f>IFERROR(__xludf.DUMMYFUNCTION("""COMPUTED_VALUE"""),905.0)</f>
        <v>905</v>
      </c>
      <c r="Q3619" s="5" t="str">
        <f>IFERROR(__xludf.DUMMYFUNCTION("""COMPUTED_VALUE"""),"True Grit")</f>
        <v>True Grit</v>
      </c>
      <c r="R3619" s="5" t="str">
        <f>IFERROR(__xludf.DUMMYFUNCTION("""COMPUTED_VALUE"""),"Jeff Bridges")</f>
        <v>Jeff Bridges</v>
      </c>
      <c r="S3619" s="5" t="str">
        <f>IFERROR(__xludf.DUMMYFUNCTION("""COMPUTED_VALUE"""),"Estrela 2")</f>
        <v>Estrela 2</v>
      </c>
    </row>
    <row r="3620">
      <c r="G3620" s="5" t="str">
        <f>IFERROR(__xludf.DUMMYFUNCTION("""COMPUTED_VALUE"""),"905🤙🏼True Grit🤙🏼Matt Damon🤙🏼Estrela 3")</f>
        <v>905🤙🏼True Grit🤙🏼Matt Damon🤙🏼Estrela 3</v>
      </c>
      <c r="H3620" s="5">
        <f>IFERROR(__xludf.DUMMYFUNCTION("SPLiT(G3620, ""🤙🏼"",FALSE,FALSE)"),905.0)</f>
        <v>905</v>
      </c>
      <c r="I3620" s="5" t="str">
        <f>IFERROR(__xludf.DUMMYFUNCTION("""COMPUTED_VALUE"""),"True Grit")</f>
        <v>True Grit</v>
      </c>
      <c r="J3620" s="5" t="str">
        <f>IFERROR(__xludf.DUMMYFUNCTION("""COMPUTED_VALUE"""),"Matt Damon")</f>
        <v>Matt Damon</v>
      </c>
      <c r="K3620" s="5" t="str">
        <f>IFERROR(__xludf.DUMMYFUNCTION("""COMPUTED_VALUE"""),"Estrela 3")</f>
        <v>Estrela 3</v>
      </c>
      <c r="P3620" s="5">
        <f>IFERROR(__xludf.DUMMYFUNCTION("""COMPUTED_VALUE"""),905.0)</f>
        <v>905</v>
      </c>
      <c r="Q3620" s="5" t="str">
        <f>IFERROR(__xludf.DUMMYFUNCTION("""COMPUTED_VALUE"""),"True Grit")</f>
        <v>True Grit</v>
      </c>
      <c r="R3620" s="5" t="str">
        <f>IFERROR(__xludf.DUMMYFUNCTION("""COMPUTED_VALUE"""),"Matt Damon")</f>
        <v>Matt Damon</v>
      </c>
      <c r="S3620" s="5" t="str">
        <f>IFERROR(__xludf.DUMMYFUNCTION("""COMPUTED_VALUE"""),"Estrela 3")</f>
        <v>Estrela 3</v>
      </c>
    </row>
    <row r="3621">
      <c r="G3621" s="5" t="str">
        <f>IFERROR(__xludf.DUMMYFUNCTION("""COMPUTED_VALUE"""),"905🤙🏼True Grit🤙🏼Hailee Steinfeld🤙🏼Estrela 4")</f>
        <v>905🤙🏼True Grit🤙🏼Hailee Steinfeld🤙🏼Estrela 4</v>
      </c>
      <c r="H3621" s="5">
        <f>IFERROR(__xludf.DUMMYFUNCTION("SPLiT(G3621, ""🤙🏼"",FALSE,FALSE)"),905.0)</f>
        <v>905</v>
      </c>
      <c r="I3621" s="5" t="str">
        <f>IFERROR(__xludf.DUMMYFUNCTION("""COMPUTED_VALUE"""),"True Grit")</f>
        <v>True Grit</v>
      </c>
      <c r="J3621" s="5" t="str">
        <f>IFERROR(__xludf.DUMMYFUNCTION("""COMPUTED_VALUE"""),"Hailee Steinfeld")</f>
        <v>Hailee Steinfeld</v>
      </c>
      <c r="K3621" s="5" t="str">
        <f>IFERROR(__xludf.DUMMYFUNCTION("""COMPUTED_VALUE"""),"Estrela 4")</f>
        <v>Estrela 4</v>
      </c>
      <c r="P3621" s="5">
        <f>IFERROR(__xludf.DUMMYFUNCTION("""COMPUTED_VALUE"""),905.0)</f>
        <v>905</v>
      </c>
      <c r="Q3621" s="5" t="str">
        <f>IFERROR(__xludf.DUMMYFUNCTION("""COMPUTED_VALUE"""),"True Grit")</f>
        <v>True Grit</v>
      </c>
      <c r="R3621" s="5" t="str">
        <f>IFERROR(__xludf.DUMMYFUNCTION("""COMPUTED_VALUE"""),"Hailee Steinfeld")</f>
        <v>Hailee Steinfeld</v>
      </c>
      <c r="S3621" s="5" t="str">
        <f>IFERROR(__xludf.DUMMYFUNCTION("""COMPUTED_VALUE"""),"Estrela 4")</f>
        <v>Estrela 4</v>
      </c>
    </row>
    <row r="3622">
      <c r="G3622" s="5" t="str">
        <f>IFERROR(__xludf.DUMMYFUNCTION("""COMPUTED_VALUE"""),"906🤙🏼Hævnen🤙🏼Mikael Persbrandt🤙🏼Estrela 1")</f>
        <v>906🤙🏼Hævnen🤙🏼Mikael Persbrandt🤙🏼Estrela 1</v>
      </c>
      <c r="H3622" s="5">
        <f>IFERROR(__xludf.DUMMYFUNCTION("SPLiT(G3622, ""🤙🏼"",FALSE,FALSE)"),906.0)</f>
        <v>906</v>
      </c>
      <c r="I3622" s="5" t="str">
        <f>IFERROR(__xludf.DUMMYFUNCTION("""COMPUTED_VALUE"""),"Hævnen")</f>
        <v>Hævnen</v>
      </c>
      <c r="J3622" s="5" t="str">
        <f>IFERROR(__xludf.DUMMYFUNCTION("""COMPUTED_VALUE"""),"Mikael Persbrandt")</f>
        <v>Mikael Persbrandt</v>
      </c>
      <c r="K3622" s="5" t="str">
        <f>IFERROR(__xludf.DUMMYFUNCTION("""COMPUTED_VALUE"""),"Estrela 1")</f>
        <v>Estrela 1</v>
      </c>
      <c r="P3622" s="5">
        <f>IFERROR(__xludf.DUMMYFUNCTION("""COMPUTED_VALUE"""),906.0)</f>
        <v>906</v>
      </c>
      <c r="Q3622" s="5" t="str">
        <f>IFERROR(__xludf.DUMMYFUNCTION("""COMPUTED_VALUE"""),"Hævnen")</f>
        <v>Hævnen</v>
      </c>
      <c r="R3622" s="5" t="str">
        <f>IFERROR(__xludf.DUMMYFUNCTION("""COMPUTED_VALUE"""),"Mikael Persbrandt")</f>
        <v>Mikael Persbrandt</v>
      </c>
      <c r="S3622" s="5" t="str">
        <f>IFERROR(__xludf.DUMMYFUNCTION("""COMPUTED_VALUE"""),"Estrela 1")</f>
        <v>Estrela 1</v>
      </c>
    </row>
    <row r="3623">
      <c r="G3623" s="5" t="str">
        <f>IFERROR(__xludf.DUMMYFUNCTION("""COMPUTED_VALUE"""),"906🤙🏼Hævnen🤙🏼Trine Dyrholm🤙🏼Estrela 2")</f>
        <v>906🤙🏼Hævnen🤙🏼Trine Dyrholm🤙🏼Estrela 2</v>
      </c>
      <c r="H3623" s="5">
        <f>IFERROR(__xludf.DUMMYFUNCTION("SPLiT(G3623, ""🤙🏼"",FALSE,FALSE)"),906.0)</f>
        <v>906</v>
      </c>
      <c r="I3623" s="5" t="str">
        <f>IFERROR(__xludf.DUMMYFUNCTION("""COMPUTED_VALUE"""),"Hævnen")</f>
        <v>Hævnen</v>
      </c>
      <c r="J3623" s="5" t="str">
        <f>IFERROR(__xludf.DUMMYFUNCTION("""COMPUTED_VALUE"""),"Trine Dyrholm")</f>
        <v>Trine Dyrholm</v>
      </c>
      <c r="K3623" s="5" t="str">
        <f>IFERROR(__xludf.DUMMYFUNCTION("""COMPUTED_VALUE"""),"Estrela 2")</f>
        <v>Estrela 2</v>
      </c>
      <c r="P3623" s="5">
        <f>IFERROR(__xludf.DUMMYFUNCTION("""COMPUTED_VALUE"""),906.0)</f>
        <v>906</v>
      </c>
      <c r="Q3623" s="5" t="str">
        <f>IFERROR(__xludf.DUMMYFUNCTION("""COMPUTED_VALUE"""),"Hævnen")</f>
        <v>Hævnen</v>
      </c>
      <c r="R3623" s="5" t="str">
        <f>IFERROR(__xludf.DUMMYFUNCTION("""COMPUTED_VALUE"""),"Trine Dyrholm")</f>
        <v>Trine Dyrholm</v>
      </c>
      <c r="S3623" s="5" t="str">
        <f>IFERROR(__xludf.DUMMYFUNCTION("""COMPUTED_VALUE"""),"Estrela 2")</f>
        <v>Estrela 2</v>
      </c>
    </row>
    <row r="3624">
      <c r="G3624" s="5" t="str">
        <f>IFERROR(__xludf.DUMMYFUNCTION("""COMPUTED_VALUE"""),"906🤙🏼Hævnen🤙🏼Markus Rygaard🤙🏼Estrela 3")</f>
        <v>906🤙🏼Hævnen🤙🏼Markus Rygaard🤙🏼Estrela 3</v>
      </c>
      <c r="H3624" s="5">
        <f>IFERROR(__xludf.DUMMYFUNCTION("SPLiT(G3624, ""🤙🏼"",FALSE,FALSE)"),906.0)</f>
        <v>906</v>
      </c>
      <c r="I3624" s="5" t="str">
        <f>IFERROR(__xludf.DUMMYFUNCTION("""COMPUTED_VALUE"""),"Hævnen")</f>
        <v>Hævnen</v>
      </c>
      <c r="J3624" s="5" t="str">
        <f>IFERROR(__xludf.DUMMYFUNCTION("""COMPUTED_VALUE"""),"Markus Rygaard")</f>
        <v>Markus Rygaard</v>
      </c>
      <c r="K3624" s="5" t="str">
        <f>IFERROR(__xludf.DUMMYFUNCTION("""COMPUTED_VALUE"""),"Estrela 3")</f>
        <v>Estrela 3</v>
      </c>
      <c r="P3624" s="5">
        <f>IFERROR(__xludf.DUMMYFUNCTION("""COMPUTED_VALUE"""),906.0)</f>
        <v>906</v>
      </c>
      <c r="Q3624" s="5" t="str">
        <f>IFERROR(__xludf.DUMMYFUNCTION("""COMPUTED_VALUE"""),"Hævnen")</f>
        <v>Hævnen</v>
      </c>
      <c r="R3624" s="5" t="str">
        <f>IFERROR(__xludf.DUMMYFUNCTION("""COMPUTED_VALUE"""),"Markus Rygaard")</f>
        <v>Markus Rygaard</v>
      </c>
      <c r="S3624" s="5" t="str">
        <f>IFERROR(__xludf.DUMMYFUNCTION("""COMPUTED_VALUE"""),"Estrela 3")</f>
        <v>Estrela 3</v>
      </c>
    </row>
    <row r="3625">
      <c r="G3625" s="5" t="str">
        <f>IFERROR(__xludf.DUMMYFUNCTION("""COMPUTED_VALUE"""),"906🤙🏼Hævnen🤙🏼Wil Johnson🤙🏼Estrela 4")</f>
        <v>906🤙🏼Hævnen🤙🏼Wil Johnson🤙🏼Estrela 4</v>
      </c>
      <c r="H3625" s="5">
        <f>IFERROR(__xludf.DUMMYFUNCTION("SPLiT(G3625, ""🤙🏼"",FALSE,FALSE)"),906.0)</f>
        <v>906</v>
      </c>
      <c r="I3625" s="5" t="str">
        <f>IFERROR(__xludf.DUMMYFUNCTION("""COMPUTED_VALUE"""),"Hævnen")</f>
        <v>Hævnen</v>
      </c>
      <c r="J3625" s="5" t="str">
        <f>IFERROR(__xludf.DUMMYFUNCTION("""COMPUTED_VALUE"""),"Wil Johnson")</f>
        <v>Wil Johnson</v>
      </c>
      <c r="K3625" s="5" t="str">
        <f>IFERROR(__xludf.DUMMYFUNCTION("""COMPUTED_VALUE"""),"Estrela 4")</f>
        <v>Estrela 4</v>
      </c>
      <c r="P3625" s="5">
        <f>IFERROR(__xludf.DUMMYFUNCTION("""COMPUTED_VALUE"""),906.0)</f>
        <v>906</v>
      </c>
      <c r="Q3625" s="5" t="str">
        <f>IFERROR(__xludf.DUMMYFUNCTION("""COMPUTED_VALUE"""),"Hævnen")</f>
        <v>Hævnen</v>
      </c>
      <c r="R3625" s="5" t="str">
        <f>IFERROR(__xludf.DUMMYFUNCTION("""COMPUTED_VALUE"""),"Wil Johnson")</f>
        <v>Wil Johnson</v>
      </c>
      <c r="S3625" s="5" t="str">
        <f>IFERROR(__xludf.DUMMYFUNCTION("""COMPUTED_VALUE"""),"Estrela 4")</f>
        <v>Estrela 4</v>
      </c>
    </row>
    <row r="3626">
      <c r="G3626" s="5" t="str">
        <f>IFERROR(__xludf.DUMMYFUNCTION("""COMPUTED_VALUE"""),"907🤙🏼Despicable Me🤙🏼Chris Renaud🤙🏼Estrela 1")</f>
        <v>907🤙🏼Despicable Me🤙🏼Chris Renaud🤙🏼Estrela 1</v>
      </c>
      <c r="H3626" s="5">
        <f>IFERROR(__xludf.DUMMYFUNCTION("SPLiT(G3626, ""🤙🏼"",FALSE,FALSE)"),907.0)</f>
        <v>907</v>
      </c>
      <c r="I3626" s="5" t="str">
        <f>IFERROR(__xludf.DUMMYFUNCTION("""COMPUTED_VALUE"""),"Despicable Me")</f>
        <v>Despicable Me</v>
      </c>
      <c r="J3626" s="5" t="str">
        <f>IFERROR(__xludf.DUMMYFUNCTION("""COMPUTED_VALUE"""),"Chris Renaud")</f>
        <v>Chris Renaud</v>
      </c>
      <c r="K3626" s="5" t="str">
        <f>IFERROR(__xludf.DUMMYFUNCTION("""COMPUTED_VALUE"""),"Estrela 1")</f>
        <v>Estrela 1</v>
      </c>
      <c r="P3626" s="5">
        <f>IFERROR(__xludf.DUMMYFUNCTION("""COMPUTED_VALUE"""),907.0)</f>
        <v>907</v>
      </c>
      <c r="Q3626" s="5" t="str">
        <f>IFERROR(__xludf.DUMMYFUNCTION("""COMPUTED_VALUE"""),"Despicable Me")</f>
        <v>Despicable Me</v>
      </c>
      <c r="R3626" s="5" t="str">
        <f>IFERROR(__xludf.DUMMYFUNCTION("""COMPUTED_VALUE"""),"Chris Renaud")</f>
        <v>Chris Renaud</v>
      </c>
      <c r="S3626" s="5" t="str">
        <f>IFERROR(__xludf.DUMMYFUNCTION("""COMPUTED_VALUE"""),"Estrela 1")</f>
        <v>Estrela 1</v>
      </c>
    </row>
    <row r="3627">
      <c r="G3627" s="5" t="str">
        <f>IFERROR(__xludf.DUMMYFUNCTION("""COMPUTED_VALUE"""),"907🤙🏼Despicable Me🤙🏼Steve Carell🤙🏼Estrela 2")</f>
        <v>907🤙🏼Despicable Me🤙🏼Steve Carell🤙🏼Estrela 2</v>
      </c>
      <c r="H3627" s="5">
        <f>IFERROR(__xludf.DUMMYFUNCTION("SPLiT(G3627, ""🤙🏼"",FALSE,FALSE)"),907.0)</f>
        <v>907</v>
      </c>
      <c r="I3627" s="5" t="str">
        <f>IFERROR(__xludf.DUMMYFUNCTION("""COMPUTED_VALUE"""),"Despicable Me")</f>
        <v>Despicable Me</v>
      </c>
      <c r="J3627" s="5" t="str">
        <f>IFERROR(__xludf.DUMMYFUNCTION("""COMPUTED_VALUE"""),"Steve Carell")</f>
        <v>Steve Carell</v>
      </c>
      <c r="K3627" s="5" t="str">
        <f>IFERROR(__xludf.DUMMYFUNCTION("""COMPUTED_VALUE"""),"Estrela 2")</f>
        <v>Estrela 2</v>
      </c>
      <c r="P3627" s="5">
        <f>IFERROR(__xludf.DUMMYFUNCTION("""COMPUTED_VALUE"""),907.0)</f>
        <v>907</v>
      </c>
      <c r="Q3627" s="5" t="str">
        <f>IFERROR(__xludf.DUMMYFUNCTION("""COMPUTED_VALUE"""),"Despicable Me")</f>
        <v>Despicable Me</v>
      </c>
      <c r="R3627" s="5" t="str">
        <f>IFERROR(__xludf.DUMMYFUNCTION("""COMPUTED_VALUE"""),"Steve Carell")</f>
        <v>Steve Carell</v>
      </c>
      <c r="S3627" s="5" t="str">
        <f>IFERROR(__xludf.DUMMYFUNCTION("""COMPUTED_VALUE"""),"Estrela 2")</f>
        <v>Estrela 2</v>
      </c>
    </row>
    <row r="3628">
      <c r="G3628" s="5" t="str">
        <f>IFERROR(__xludf.DUMMYFUNCTION("""COMPUTED_VALUE"""),"907🤙🏼Despicable Me🤙🏼Jason Segel🤙🏼Estrela 3")</f>
        <v>907🤙🏼Despicable Me🤙🏼Jason Segel🤙🏼Estrela 3</v>
      </c>
      <c r="H3628" s="5">
        <f>IFERROR(__xludf.DUMMYFUNCTION("SPLiT(G3628, ""🤙🏼"",FALSE,FALSE)"),907.0)</f>
        <v>907</v>
      </c>
      <c r="I3628" s="5" t="str">
        <f>IFERROR(__xludf.DUMMYFUNCTION("""COMPUTED_VALUE"""),"Despicable Me")</f>
        <v>Despicable Me</v>
      </c>
      <c r="J3628" s="5" t="str">
        <f>IFERROR(__xludf.DUMMYFUNCTION("""COMPUTED_VALUE"""),"Jason Segel")</f>
        <v>Jason Segel</v>
      </c>
      <c r="K3628" s="5" t="str">
        <f>IFERROR(__xludf.DUMMYFUNCTION("""COMPUTED_VALUE"""),"Estrela 3")</f>
        <v>Estrela 3</v>
      </c>
      <c r="P3628" s="5">
        <f>IFERROR(__xludf.DUMMYFUNCTION("""COMPUTED_VALUE"""),907.0)</f>
        <v>907</v>
      </c>
      <c r="Q3628" s="5" t="str">
        <f>IFERROR(__xludf.DUMMYFUNCTION("""COMPUTED_VALUE"""),"Despicable Me")</f>
        <v>Despicable Me</v>
      </c>
      <c r="R3628" s="5" t="str">
        <f>IFERROR(__xludf.DUMMYFUNCTION("""COMPUTED_VALUE"""),"Jason Segel")</f>
        <v>Jason Segel</v>
      </c>
      <c r="S3628" s="5" t="str">
        <f>IFERROR(__xludf.DUMMYFUNCTION("""COMPUTED_VALUE"""),"Estrela 3")</f>
        <v>Estrela 3</v>
      </c>
    </row>
    <row r="3629">
      <c r="G3629" s="5" t="str">
        <f>IFERROR(__xludf.DUMMYFUNCTION("""COMPUTED_VALUE"""),"907🤙🏼Despicable Me🤙🏼Russell Brand🤙🏼Estrela 4")</f>
        <v>907🤙🏼Despicable Me🤙🏼Russell Brand🤙🏼Estrela 4</v>
      </c>
      <c r="H3629" s="5">
        <f>IFERROR(__xludf.DUMMYFUNCTION("SPLiT(G3629, ""🤙🏼"",FALSE,FALSE)"),907.0)</f>
        <v>907</v>
      </c>
      <c r="I3629" s="5" t="str">
        <f>IFERROR(__xludf.DUMMYFUNCTION("""COMPUTED_VALUE"""),"Despicable Me")</f>
        <v>Despicable Me</v>
      </c>
      <c r="J3629" s="5" t="str">
        <f>IFERROR(__xludf.DUMMYFUNCTION("""COMPUTED_VALUE"""),"Russell Brand")</f>
        <v>Russell Brand</v>
      </c>
      <c r="K3629" s="5" t="str">
        <f>IFERROR(__xludf.DUMMYFUNCTION("""COMPUTED_VALUE"""),"Estrela 4")</f>
        <v>Estrela 4</v>
      </c>
      <c r="P3629" s="5">
        <f>IFERROR(__xludf.DUMMYFUNCTION("""COMPUTED_VALUE"""),907.0)</f>
        <v>907</v>
      </c>
      <c r="Q3629" s="5" t="str">
        <f>IFERROR(__xludf.DUMMYFUNCTION("""COMPUTED_VALUE"""),"Despicable Me")</f>
        <v>Despicable Me</v>
      </c>
      <c r="R3629" s="5" t="str">
        <f>IFERROR(__xludf.DUMMYFUNCTION("""COMPUTED_VALUE"""),"Russell Brand")</f>
        <v>Russell Brand</v>
      </c>
      <c r="S3629" s="5" t="str">
        <f>IFERROR(__xludf.DUMMYFUNCTION("""COMPUTED_VALUE"""),"Estrela 4")</f>
        <v>Estrela 4</v>
      </c>
    </row>
    <row r="3630">
      <c r="G3630" s="5" t="str">
        <f>IFERROR(__xludf.DUMMYFUNCTION("""COMPUTED_VALUE"""),"908🤙🏼50/50🤙🏼Joseph Gordon-Levitt🤙🏼Estrela 1")</f>
        <v>908🤙🏼50/50🤙🏼Joseph Gordon-Levitt🤙🏼Estrela 1</v>
      </c>
      <c r="H3630" s="5">
        <f>IFERROR(__xludf.DUMMYFUNCTION("SPLiT(G3630, ""🤙🏼"",FALSE,FALSE)"),908.0)</f>
        <v>908</v>
      </c>
      <c r="I3630" s="5" t="str">
        <f>IFERROR(__xludf.DUMMYFUNCTION("""COMPUTED_VALUE"""),"50/50")</f>
        <v>50/50</v>
      </c>
      <c r="J3630" s="5" t="str">
        <f>IFERROR(__xludf.DUMMYFUNCTION("""COMPUTED_VALUE"""),"Joseph Gordon-Levitt")</f>
        <v>Joseph Gordon-Levitt</v>
      </c>
      <c r="K3630" s="5" t="str">
        <f>IFERROR(__xludf.DUMMYFUNCTION("""COMPUTED_VALUE"""),"Estrela 1")</f>
        <v>Estrela 1</v>
      </c>
      <c r="P3630" s="5">
        <f>IFERROR(__xludf.DUMMYFUNCTION("""COMPUTED_VALUE"""),908.0)</f>
        <v>908</v>
      </c>
      <c r="Q3630" s="5" t="str">
        <f>IFERROR(__xludf.DUMMYFUNCTION("""COMPUTED_VALUE"""),"50/50")</f>
        <v>50/50</v>
      </c>
      <c r="R3630" s="5" t="str">
        <f>IFERROR(__xludf.DUMMYFUNCTION("""COMPUTED_VALUE"""),"Joseph Gordon-Levitt")</f>
        <v>Joseph Gordon-Levitt</v>
      </c>
      <c r="S3630" s="5" t="str">
        <f>IFERROR(__xludf.DUMMYFUNCTION("""COMPUTED_VALUE"""),"Estrela 1")</f>
        <v>Estrela 1</v>
      </c>
    </row>
    <row r="3631">
      <c r="G3631" s="5" t="str">
        <f>IFERROR(__xludf.DUMMYFUNCTION("""COMPUTED_VALUE"""),"908🤙🏼50/50🤙🏼Seth Rogen🤙🏼Estrela 2")</f>
        <v>908🤙🏼50/50🤙🏼Seth Rogen🤙🏼Estrela 2</v>
      </c>
      <c r="H3631" s="5">
        <f>IFERROR(__xludf.DUMMYFUNCTION("SPLiT(G3631, ""🤙🏼"",FALSE,FALSE)"),908.0)</f>
        <v>908</v>
      </c>
      <c r="I3631" s="5" t="str">
        <f>IFERROR(__xludf.DUMMYFUNCTION("""COMPUTED_VALUE"""),"50/50")</f>
        <v>50/50</v>
      </c>
      <c r="J3631" s="5" t="str">
        <f>IFERROR(__xludf.DUMMYFUNCTION("""COMPUTED_VALUE"""),"Seth Rogen")</f>
        <v>Seth Rogen</v>
      </c>
      <c r="K3631" s="5" t="str">
        <f>IFERROR(__xludf.DUMMYFUNCTION("""COMPUTED_VALUE"""),"Estrela 2")</f>
        <v>Estrela 2</v>
      </c>
      <c r="P3631" s="5">
        <f>IFERROR(__xludf.DUMMYFUNCTION("""COMPUTED_VALUE"""),908.0)</f>
        <v>908</v>
      </c>
      <c r="Q3631" s="5" t="str">
        <f>IFERROR(__xludf.DUMMYFUNCTION("""COMPUTED_VALUE"""),"50/50")</f>
        <v>50/50</v>
      </c>
      <c r="R3631" s="5" t="str">
        <f>IFERROR(__xludf.DUMMYFUNCTION("""COMPUTED_VALUE"""),"Seth Rogen")</f>
        <v>Seth Rogen</v>
      </c>
      <c r="S3631" s="5" t="str">
        <f>IFERROR(__xludf.DUMMYFUNCTION("""COMPUTED_VALUE"""),"Estrela 2")</f>
        <v>Estrela 2</v>
      </c>
    </row>
    <row r="3632">
      <c r="G3632" s="5" t="str">
        <f>IFERROR(__xludf.DUMMYFUNCTION("""COMPUTED_VALUE"""),"908🤙🏼50/50🤙🏼Anna Kendrick🤙🏼Estrela 3")</f>
        <v>908🤙🏼50/50🤙🏼Anna Kendrick🤙🏼Estrela 3</v>
      </c>
      <c r="H3632" s="5">
        <f>IFERROR(__xludf.DUMMYFUNCTION("SPLiT(G3632, ""🤙🏼"",FALSE,FALSE)"),908.0)</f>
        <v>908</v>
      </c>
      <c r="I3632" s="5" t="str">
        <f>IFERROR(__xludf.DUMMYFUNCTION("""COMPUTED_VALUE"""),"50/50")</f>
        <v>50/50</v>
      </c>
      <c r="J3632" s="5" t="str">
        <f>IFERROR(__xludf.DUMMYFUNCTION("""COMPUTED_VALUE"""),"Anna Kendrick")</f>
        <v>Anna Kendrick</v>
      </c>
      <c r="K3632" s="5" t="str">
        <f>IFERROR(__xludf.DUMMYFUNCTION("""COMPUTED_VALUE"""),"Estrela 3")</f>
        <v>Estrela 3</v>
      </c>
      <c r="P3632" s="5">
        <f>IFERROR(__xludf.DUMMYFUNCTION("""COMPUTED_VALUE"""),908.0)</f>
        <v>908</v>
      </c>
      <c r="Q3632" s="5" t="str">
        <f>IFERROR(__xludf.DUMMYFUNCTION("""COMPUTED_VALUE"""),"50/50")</f>
        <v>50/50</v>
      </c>
      <c r="R3632" s="5" t="str">
        <f>IFERROR(__xludf.DUMMYFUNCTION("""COMPUTED_VALUE"""),"Anna Kendrick")</f>
        <v>Anna Kendrick</v>
      </c>
      <c r="S3632" s="5" t="str">
        <f>IFERROR(__xludf.DUMMYFUNCTION("""COMPUTED_VALUE"""),"Estrela 3")</f>
        <v>Estrela 3</v>
      </c>
    </row>
    <row r="3633">
      <c r="G3633" s="5" t="str">
        <f>IFERROR(__xludf.DUMMYFUNCTION("""COMPUTED_VALUE"""),"908🤙🏼50/50🤙🏼Bryce Dallas Howard🤙🏼Estrela 4")</f>
        <v>908🤙🏼50/50🤙🏼Bryce Dallas Howard🤙🏼Estrela 4</v>
      </c>
      <c r="H3633" s="5">
        <f>IFERROR(__xludf.DUMMYFUNCTION("SPLiT(G3633, ""🤙🏼"",FALSE,FALSE)"),908.0)</f>
        <v>908</v>
      </c>
      <c r="I3633" s="5" t="str">
        <f>IFERROR(__xludf.DUMMYFUNCTION("""COMPUTED_VALUE"""),"50/50")</f>
        <v>50/50</v>
      </c>
      <c r="J3633" s="5" t="str">
        <f>IFERROR(__xludf.DUMMYFUNCTION("""COMPUTED_VALUE"""),"Bryce Dallas Howard")</f>
        <v>Bryce Dallas Howard</v>
      </c>
      <c r="K3633" s="5" t="str">
        <f>IFERROR(__xludf.DUMMYFUNCTION("""COMPUTED_VALUE"""),"Estrela 4")</f>
        <v>Estrela 4</v>
      </c>
      <c r="P3633" s="5">
        <f>IFERROR(__xludf.DUMMYFUNCTION("""COMPUTED_VALUE"""),908.0)</f>
        <v>908</v>
      </c>
      <c r="Q3633" s="5" t="str">
        <f>IFERROR(__xludf.DUMMYFUNCTION("""COMPUTED_VALUE"""),"50/50")</f>
        <v>50/50</v>
      </c>
      <c r="R3633" s="5" t="str">
        <f>IFERROR(__xludf.DUMMYFUNCTION("""COMPUTED_VALUE"""),"Bryce Dallas Howard")</f>
        <v>Bryce Dallas Howard</v>
      </c>
      <c r="S3633" s="5" t="str">
        <f>IFERROR(__xludf.DUMMYFUNCTION("""COMPUTED_VALUE"""),"Estrela 4")</f>
        <v>Estrela 4</v>
      </c>
    </row>
    <row r="3634">
      <c r="G3634" s="5" t="str">
        <f>IFERROR(__xludf.DUMMYFUNCTION("""COMPUTED_VALUE"""),"909🤙🏼Kick-Ass🤙🏼Aaron Taylor-Johnson🤙🏼Estrela 1")</f>
        <v>909🤙🏼Kick-Ass🤙🏼Aaron Taylor-Johnson🤙🏼Estrela 1</v>
      </c>
      <c r="H3634" s="5">
        <f>IFERROR(__xludf.DUMMYFUNCTION("SPLiT(G3634, ""🤙🏼"",FALSE,FALSE)"),909.0)</f>
        <v>909</v>
      </c>
      <c r="I3634" s="5" t="str">
        <f>IFERROR(__xludf.DUMMYFUNCTION("""COMPUTED_VALUE"""),"Kick-Ass")</f>
        <v>Kick-Ass</v>
      </c>
      <c r="J3634" s="5" t="str">
        <f>IFERROR(__xludf.DUMMYFUNCTION("""COMPUTED_VALUE"""),"Aaron Taylor-Johnson")</f>
        <v>Aaron Taylor-Johnson</v>
      </c>
      <c r="K3634" s="5" t="str">
        <f>IFERROR(__xludf.DUMMYFUNCTION("""COMPUTED_VALUE"""),"Estrela 1")</f>
        <v>Estrela 1</v>
      </c>
      <c r="P3634" s="5">
        <f>IFERROR(__xludf.DUMMYFUNCTION("""COMPUTED_VALUE"""),909.0)</f>
        <v>909</v>
      </c>
      <c r="Q3634" s="5" t="str">
        <f>IFERROR(__xludf.DUMMYFUNCTION("""COMPUTED_VALUE"""),"Kick-Ass")</f>
        <v>Kick-Ass</v>
      </c>
      <c r="R3634" s="5" t="str">
        <f>IFERROR(__xludf.DUMMYFUNCTION("""COMPUTED_VALUE"""),"Aaron Taylor-Johnson")</f>
        <v>Aaron Taylor-Johnson</v>
      </c>
      <c r="S3634" s="5" t="str">
        <f>IFERROR(__xludf.DUMMYFUNCTION("""COMPUTED_VALUE"""),"Estrela 1")</f>
        <v>Estrela 1</v>
      </c>
    </row>
    <row r="3635">
      <c r="G3635" s="5" t="str">
        <f>IFERROR(__xludf.DUMMYFUNCTION("""COMPUTED_VALUE"""),"909🤙🏼Kick-Ass🤙🏼Nicolas Cage🤙🏼Estrela 2")</f>
        <v>909🤙🏼Kick-Ass🤙🏼Nicolas Cage🤙🏼Estrela 2</v>
      </c>
      <c r="H3635" s="5">
        <f>IFERROR(__xludf.DUMMYFUNCTION("SPLiT(G3635, ""🤙🏼"",FALSE,FALSE)"),909.0)</f>
        <v>909</v>
      </c>
      <c r="I3635" s="5" t="str">
        <f>IFERROR(__xludf.DUMMYFUNCTION("""COMPUTED_VALUE"""),"Kick-Ass")</f>
        <v>Kick-Ass</v>
      </c>
      <c r="J3635" s="5" t="str">
        <f>IFERROR(__xludf.DUMMYFUNCTION("""COMPUTED_VALUE"""),"Nicolas Cage")</f>
        <v>Nicolas Cage</v>
      </c>
      <c r="K3635" s="5" t="str">
        <f>IFERROR(__xludf.DUMMYFUNCTION("""COMPUTED_VALUE"""),"Estrela 2")</f>
        <v>Estrela 2</v>
      </c>
      <c r="P3635" s="5">
        <f>IFERROR(__xludf.DUMMYFUNCTION("""COMPUTED_VALUE"""),909.0)</f>
        <v>909</v>
      </c>
      <c r="Q3635" s="5" t="str">
        <f>IFERROR(__xludf.DUMMYFUNCTION("""COMPUTED_VALUE"""),"Kick-Ass")</f>
        <v>Kick-Ass</v>
      </c>
      <c r="R3635" s="5" t="str">
        <f>IFERROR(__xludf.DUMMYFUNCTION("""COMPUTED_VALUE"""),"Nicolas Cage")</f>
        <v>Nicolas Cage</v>
      </c>
      <c r="S3635" s="5" t="str">
        <f>IFERROR(__xludf.DUMMYFUNCTION("""COMPUTED_VALUE"""),"Estrela 2")</f>
        <v>Estrela 2</v>
      </c>
    </row>
    <row r="3636">
      <c r="G3636" s="5" t="str">
        <f>IFERROR(__xludf.DUMMYFUNCTION("""COMPUTED_VALUE"""),"909🤙🏼Kick-Ass🤙🏼Chloë Grace Moretz🤙🏼Estrela 3")</f>
        <v>909🤙🏼Kick-Ass🤙🏼Chloë Grace Moretz🤙🏼Estrela 3</v>
      </c>
      <c r="H3636" s="5">
        <f>IFERROR(__xludf.DUMMYFUNCTION("SPLiT(G3636, ""🤙🏼"",FALSE,FALSE)"),909.0)</f>
        <v>909</v>
      </c>
      <c r="I3636" s="5" t="str">
        <f>IFERROR(__xludf.DUMMYFUNCTION("""COMPUTED_VALUE"""),"Kick-Ass")</f>
        <v>Kick-Ass</v>
      </c>
      <c r="J3636" s="5" t="str">
        <f>IFERROR(__xludf.DUMMYFUNCTION("""COMPUTED_VALUE"""),"Chloë Grace Moretz")</f>
        <v>Chloë Grace Moretz</v>
      </c>
      <c r="K3636" s="5" t="str">
        <f>IFERROR(__xludf.DUMMYFUNCTION("""COMPUTED_VALUE"""),"Estrela 3")</f>
        <v>Estrela 3</v>
      </c>
      <c r="P3636" s="5">
        <f>IFERROR(__xludf.DUMMYFUNCTION("""COMPUTED_VALUE"""),909.0)</f>
        <v>909</v>
      </c>
      <c r="Q3636" s="5" t="str">
        <f>IFERROR(__xludf.DUMMYFUNCTION("""COMPUTED_VALUE"""),"Kick-Ass")</f>
        <v>Kick-Ass</v>
      </c>
      <c r="R3636" s="5" t="str">
        <f>IFERROR(__xludf.DUMMYFUNCTION("""COMPUTED_VALUE"""),"Chloë Grace Moretz")</f>
        <v>Chloë Grace Moretz</v>
      </c>
      <c r="S3636" s="5" t="str">
        <f>IFERROR(__xludf.DUMMYFUNCTION("""COMPUTED_VALUE"""),"Estrela 3")</f>
        <v>Estrela 3</v>
      </c>
    </row>
    <row r="3637">
      <c r="G3637" s="5" t="str">
        <f>IFERROR(__xludf.DUMMYFUNCTION("""COMPUTED_VALUE"""),"909🤙🏼Kick-Ass🤙🏼Garrett M. Brown🤙🏼Estrela 4")</f>
        <v>909🤙🏼Kick-Ass🤙🏼Garrett M. Brown🤙🏼Estrela 4</v>
      </c>
      <c r="H3637" s="5">
        <f>IFERROR(__xludf.DUMMYFUNCTION("SPLiT(G3637, ""🤙🏼"",FALSE,FALSE)"),909.0)</f>
        <v>909</v>
      </c>
      <c r="I3637" s="5" t="str">
        <f>IFERROR(__xludf.DUMMYFUNCTION("""COMPUTED_VALUE"""),"Kick-Ass")</f>
        <v>Kick-Ass</v>
      </c>
      <c r="J3637" s="5" t="str">
        <f>IFERROR(__xludf.DUMMYFUNCTION("""COMPUTED_VALUE"""),"Garrett M. Brown")</f>
        <v>Garrett M. Brown</v>
      </c>
      <c r="K3637" s="5" t="str">
        <f>IFERROR(__xludf.DUMMYFUNCTION("""COMPUTED_VALUE"""),"Estrela 4")</f>
        <v>Estrela 4</v>
      </c>
      <c r="P3637" s="5">
        <f>IFERROR(__xludf.DUMMYFUNCTION("""COMPUTED_VALUE"""),909.0)</f>
        <v>909</v>
      </c>
      <c r="Q3637" s="5" t="str">
        <f>IFERROR(__xludf.DUMMYFUNCTION("""COMPUTED_VALUE"""),"Kick-Ass")</f>
        <v>Kick-Ass</v>
      </c>
      <c r="R3637" s="5" t="str">
        <f>IFERROR(__xludf.DUMMYFUNCTION("""COMPUTED_VALUE"""),"Garrett M. Brown")</f>
        <v>Garrett M. Brown</v>
      </c>
      <c r="S3637" s="5" t="str">
        <f>IFERROR(__xludf.DUMMYFUNCTION("""COMPUTED_VALUE"""),"Estrela 4")</f>
        <v>Estrela 4</v>
      </c>
    </row>
    <row r="3638">
      <c r="G3638" s="5" t="str">
        <f>IFERROR(__xludf.DUMMYFUNCTION("""COMPUTED_VALUE"""),"910🤙🏼Celda 211🤙🏼Luis Tosar🤙🏼Estrela 1")</f>
        <v>910🤙🏼Celda 211🤙🏼Luis Tosar🤙🏼Estrela 1</v>
      </c>
      <c r="H3638" s="5">
        <f>IFERROR(__xludf.DUMMYFUNCTION("SPLiT(G3638, ""🤙🏼"",FALSE,FALSE)"),910.0)</f>
        <v>910</v>
      </c>
      <c r="I3638" s="5" t="str">
        <f>IFERROR(__xludf.DUMMYFUNCTION("""COMPUTED_VALUE"""),"Celda 211")</f>
        <v>Celda 211</v>
      </c>
      <c r="J3638" s="5" t="str">
        <f>IFERROR(__xludf.DUMMYFUNCTION("""COMPUTED_VALUE"""),"Luis Tosar")</f>
        <v>Luis Tosar</v>
      </c>
      <c r="K3638" s="5" t="str">
        <f>IFERROR(__xludf.DUMMYFUNCTION("""COMPUTED_VALUE"""),"Estrela 1")</f>
        <v>Estrela 1</v>
      </c>
      <c r="P3638" s="5">
        <f>IFERROR(__xludf.DUMMYFUNCTION("""COMPUTED_VALUE"""),910.0)</f>
        <v>910</v>
      </c>
      <c r="Q3638" s="5" t="str">
        <f>IFERROR(__xludf.DUMMYFUNCTION("""COMPUTED_VALUE"""),"Celda 211")</f>
        <v>Celda 211</v>
      </c>
      <c r="R3638" s="5" t="str">
        <f>IFERROR(__xludf.DUMMYFUNCTION("""COMPUTED_VALUE"""),"Luis Tosar")</f>
        <v>Luis Tosar</v>
      </c>
      <c r="S3638" s="5" t="str">
        <f>IFERROR(__xludf.DUMMYFUNCTION("""COMPUTED_VALUE"""),"Estrela 1")</f>
        <v>Estrela 1</v>
      </c>
    </row>
    <row r="3639">
      <c r="G3639" s="5" t="str">
        <f>IFERROR(__xludf.DUMMYFUNCTION("""COMPUTED_VALUE"""),"910🤙🏼Celda 211🤙🏼Alberto Ammann🤙🏼Estrela 2")</f>
        <v>910🤙🏼Celda 211🤙🏼Alberto Ammann🤙🏼Estrela 2</v>
      </c>
      <c r="H3639" s="5">
        <f>IFERROR(__xludf.DUMMYFUNCTION("SPLiT(G3639, ""🤙🏼"",FALSE,FALSE)"),910.0)</f>
        <v>910</v>
      </c>
      <c r="I3639" s="5" t="str">
        <f>IFERROR(__xludf.DUMMYFUNCTION("""COMPUTED_VALUE"""),"Celda 211")</f>
        <v>Celda 211</v>
      </c>
      <c r="J3639" s="5" t="str">
        <f>IFERROR(__xludf.DUMMYFUNCTION("""COMPUTED_VALUE"""),"Alberto Ammann")</f>
        <v>Alberto Ammann</v>
      </c>
      <c r="K3639" s="5" t="str">
        <f>IFERROR(__xludf.DUMMYFUNCTION("""COMPUTED_VALUE"""),"Estrela 2")</f>
        <v>Estrela 2</v>
      </c>
      <c r="P3639" s="5">
        <f>IFERROR(__xludf.DUMMYFUNCTION("""COMPUTED_VALUE"""),910.0)</f>
        <v>910</v>
      </c>
      <c r="Q3639" s="5" t="str">
        <f>IFERROR(__xludf.DUMMYFUNCTION("""COMPUTED_VALUE"""),"Celda 211")</f>
        <v>Celda 211</v>
      </c>
      <c r="R3639" s="5" t="str">
        <f>IFERROR(__xludf.DUMMYFUNCTION("""COMPUTED_VALUE"""),"Alberto Ammann")</f>
        <v>Alberto Ammann</v>
      </c>
      <c r="S3639" s="5" t="str">
        <f>IFERROR(__xludf.DUMMYFUNCTION("""COMPUTED_VALUE"""),"Estrela 2")</f>
        <v>Estrela 2</v>
      </c>
    </row>
    <row r="3640">
      <c r="G3640" s="5" t="str">
        <f>IFERROR(__xludf.DUMMYFUNCTION("""COMPUTED_VALUE"""),"910🤙🏼Celda 211🤙🏼Antonio Resines🤙🏼Estrela 3")</f>
        <v>910🤙🏼Celda 211🤙🏼Antonio Resines🤙🏼Estrela 3</v>
      </c>
      <c r="H3640" s="5">
        <f>IFERROR(__xludf.DUMMYFUNCTION("SPLiT(G3640, ""🤙🏼"",FALSE,FALSE)"),910.0)</f>
        <v>910</v>
      </c>
      <c r="I3640" s="5" t="str">
        <f>IFERROR(__xludf.DUMMYFUNCTION("""COMPUTED_VALUE"""),"Celda 211")</f>
        <v>Celda 211</v>
      </c>
      <c r="J3640" s="5" t="str">
        <f>IFERROR(__xludf.DUMMYFUNCTION("""COMPUTED_VALUE"""),"Antonio Resines")</f>
        <v>Antonio Resines</v>
      </c>
      <c r="K3640" s="5" t="str">
        <f>IFERROR(__xludf.DUMMYFUNCTION("""COMPUTED_VALUE"""),"Estrela 3")</f>
        <v>Estrela 3</v>
      </c>
      <c r="P3640" s="5">
        <f>IFERROR(__xludf.DUMMYFUNCTION("""COMPUTED_VALUE"""),910.0)</f>
        <v>910</v>
      </c>
      <c r="Q3640" s="5" t="str">
        <f>IFERROR(__xludf.DUMMYFUNCTION("""COMPUTED_VALUE"""),"Celda 211")</f>
        <v>Celda 211</v>
      </c>
      <c r="R3640" s="5" t="str">
        <f>IFERROR(__xludf.DUMMYFUNCTION("""COMPUTED_VALUE"""),"Antonio Resines")</f>
        <v>Antonio Resines</v>
      </c>
      <c r="S3640" s="5" t="str">
        <f>IFERROR(__xludf.DUMMYFUNCTION("""COMPUTED_VALUE"""),"Estrela 3")</f>
        <v>Estrela 3</v>
      </c>
    </row>
    <row r="3641">
      <c r="G3641" s="5" t="str">
        <f>IFERROR(__xludf.DUMMYFUNCTION("""COMPUTED_VALUE"""),"910🤙🏼Celda 211🤙🏼Manuel Morón🤙🏼Estrela 4")</f>
        <v>910🤙🏼Celda 211🤙🏼Manuel Morón🤙🏼Estrela 4</v>
      </c>
      <c r="H3641" s="5">
        <f>IFERROR(__xludf.DUMMYFUNCTION("SPLiT(G3641, ""🤙🏼"",FALSE,FALSE)"),910.0)</f>
        <v>910</v>
      </c>
      <c r="I3641" s="5" t="str">
        <f>IFERROR(__xludf.DUMMYFUNCTION("""COMPUTED_VALUE"""),"Celda 211")</f>
        <v>Celda 211</v>
      </c>
      <c r="J3641" s="5" t="str">
        <f>IFERROR(__xludf.DUMMYFUNCTION("""COMPUTED_VALUE"""),"Manuel Morón")</f>
        <v>Manuel Morón</v>
      </c>
      <c r="K3641" s="5" t="str">
        <f>IFERROR(__xludf.DUMMYFUNCTION("""COMPUTED_VALUE"""),"Estrela 4")</f>
        <v>Estrela 4</v>
      </c>
      <c r="P3641" s="5">
        <f>IFERROR(__xludf.DUMMYFUNCTION("""COMPUTED_VALUE"""),910.0)</f>
        <v>910</v>
      </c>
      <c r="Q3641" s="5" t="str">
        <f>IFERROR(__xludf.DUMMYFUNCTION("""COMPUTED_VALUE"""),"Celda 211")</f>
        <v>Celda 211</v>
      </c>
      <c r="R3641" s="5" t="str">
        <f>IFERROR(__xludf.DUMMYFUNCTION("""COMPUTED_VALUE"""),"Manuel Morón")</f>
        <v>Manuel Morón</v>
      </c>
      <c r="S3641" s="5" t="str">
        <f>IFERROR(__xludf.DUMMYFUNCTION("""COMPUTED_VALUE"""),"Estrela 4")</f>
        <v>Estrela 4</v>
      </c>
    </row>
    <row r="3642">
      <c r="G3642" s="5" t="str">
        <f>IFERROR(__xludf.DUMMYFUNCTION("""COMPUTED_VALUE"""),"911🤙🏼Moneyball🤙🏼Brad Pitt🤙🏼Estrela 1")</f>
        <v>911🤙🏼Moneyball🤙🏼Brad Pitt🤙🏼Estrela 1</v>
      </c>
      <c r="H3642" s="5">
        <f>IFERROR(__xludf.DUMMYFUNCTION("SPLiT(G3642, ""🤙🏼"",FALSE,FALSE)"),911.0)</f>
        <v>911</v>
      </c>
      <c r="I3642" s="5" t="str">
        <f>IFERROR(__xludf.DUMMYFUNCTION("""COMPUTED_VALUE"""),"Moneyball")</f>
        <v>Moneyball</v>
      </c>
      <c r="J3642" s="5" t="str">
        <f>IFERROR(__xludf.DUMMYFUNCTION("""COMPUTED_VALUE"""),"Brad Pitt")</f>
        <v>Brad Pitt</v>
      </c>
      <c r="K3642" s="5" t="str">
        <f>IFERROR(__xludf.DUMMYFUNCTION("""COMPUTED_VALUE"""),"Estrela 1")</f>
        <v>Estrela 1</v>
      </c>
      <c r="P3642" s="5">
        <f>IFERROR(__xludf.DUMMYFUNCTION("""COMPUTED_VALUE"""),911.0)</f>
        <v>911</v>
      </c>
      <c r="Q3642" s="5" t="str">
        <f>IFERROR(__xludf.DUMMYFUNCTION("""COMPUTED_VALUE"""),"Moneyball")</f>
        <v>Moneyball</v>
      </c>
      <c r="R3642" s="5" t="str">
        <f>IFERROR(__xludf.DUMMYFUNCTION("""COMPUTED_VALUE"""),"Brad Pitt")</f>
        <v>Brad Pitt</v>
      </c>
      <c r="S3642" s="5" t="str">
        <f>IFERROR(__xludf.DUMMYFUNCTION("""COMPUTED_VALUE"""),"Estrela 1")</f>
        <v>Estrela 1</v>
      </c>
    </row>
    <row r="3643">
      <c r="G3643" s="5" t="str">
        <f>IFERROR(__xludf.DUMMYFUNCTION("""COMPUTED_VALUE"""),"911🤙🏼Moneyball🤙🏼Robin Wright🤙🏼Estrela 2")</f>
        <v>911🤙🏼Moneyball🤙🏼Robin Wright🤙🏼Estrela 2</v>
      </c>
      <c r="H3643" s="5">
        <f>IFERROR(__xludf.DUMMYFUNCTION("SPLiT(G3643, ""🤙🏼"",FALSE,FALSE)"),911.0)</f>
        <v>911</v>
      </c>
      <c r="I3643" s="5" t="str">
        <f>IFERROR(__xludf.DUMMYFUNCTION("""COMPUTED_VALUE"""),"Moneyball")</f>
        <v>Moneyball</v>
      </c>
      <c r="J3643" s="5" t="str">
        <f>IFERROR(__xludf.DUMMYFUNCTION("""COMPUTED_VALUE"""),"Robin Wright")</f>
        <v>Robin Wright</v>
      </c>
      <c r="K3643" s="5" t="str">
        <f>IFERROR(__xludf.DUMMYFUNCTION("""COMPUTED_VALUE"""),"Estrela 2")</f>
        <v>Estrela 2</v>
      </c>
      <c r="P3643" s="5">
        <f>IFERROR(__xludf.DUMMYFUNCTION("""COMPUTED_VALUE"""),911.0)</f>
        <v>911</v>
      </c>
      <c r="Q3643" s="5" t="str">
        <f>IFERROR(__xludf.DUMMYFUNCTION("""COMPUTED_VALUE"""),"Moneyball")</f>
        <v>Moneyball</v>
      </c>
      <c r="R3643" s="5" t="str">
        <f>IFERROR(__xludf.DUMMYFUNCTION("""COMPUTED_VALUE"""),"Robin Wright")</f>
        <v>Robin Wright</v>
      </c>
      <c r="S3643" s="5" t="str">
        <f>IFERROR(__xludf.DUMMYFUNCTION("""COMPUTED_VALUE"""),"Estrela 2")</f>
        <v>Estrela 2</v>
      </c>
    </row>
    <row r="3644">
      <c r="G3644" s="5" t="str">
        <f>IFERROR(__xludf.DUMMYFUNCTION("""COMPUTED_VALUE"""),"911🤙🏼Moneyball🤙🏼Jonah Hill🤙🏼Estrela 3")</f>
        <v>911🤙🏼Moneyball🤙🏼Jonah Hill🤙🏼Estrela 3</v>
      </c>
      <c r="H3644" s="5">
        <f>IFERROR(__xludf.DUMMYFUNCTION("SPLiT(G3644, ""🤙🏼"",FALSE,FALSE)"),911.0)</f>
        <v>911</v>
      </c>
      <c r="I3644" s="5" t="str">
        <f>IFERROR(__xludf.DUMMYFUNCTION("""COMPUTED_VALUE"""),"Moneyball")</f>
        <v>Moneyball</v>
      </c>
      <c r="J3644" s="5" t="str">
        <f>IFERROR(__xludf.DUMMYFUNCTION("""COMPUTED_VALUE"""),"Jonah Hill")</f>
        <v>Jonah Hill</v>
      </c>
      <c r="K3644" s="5" t="str">
        <f>IFERROR(__xludf.DUMMYFUNCTION("""COMPUTED_VALUE"""),"Estrela 3")</f>
        <v>Estrela 3</v>
      </c>
      <c r="P3644" s="5">
        <f>IFERROR(__xludf.DUMMYFUNCTION("""COMPUTED_VALUE"""),911.0)</f>
        <v>911</v>
      </c>
      <c r="Q3644" s="5" t="str">
        <f>IFERROR(__xludf.DUMMYFUNCTION("""COMPUTED_VALUE"""),"Moneyball")</f>
        <v>Moneyball</v>
      </c>
      <c r="R3644" s="5" t="str">
        <f>IFERROR(__xludf.DUMMYFUNCTION("""COMPUTED_VALUE"""),"Jonah Hill")</f>
        <v>Jonah Hill</v>
      </c>
      <c r="S3644" s="5" t="str">
        <f>IFERROR(__xludf.DUMMYFUNCTION("""COMPUTED_VALUE"""),"Estrela 3")</f>
        <v>Estrela 3</v>
      </c>
    </row>
    <row r="3645">
      <c r="G3645" s="5" t="str">
        <f>IFERROR(__xludf.DUMMYFUNCTION("""COMPUTED_VALUE"""),"911🤙🏼Moneyball🤙🏼Philip Seymour Hoffman🤙🏼Estrela 4")</f>
        <v>911🤙🏼Moneyball🤙🏼Philip Seymour Hoffman🤙🏼Estrela 4</v>
      </c>
      <c r="H3645" s="5">
        <f>IFERROR(__xludf.DUMMYFUNCTION("SPLiT(G3645, ""🤙🏼"",FALSE,FALSE)"),911.0)</f>
        <v>911</v>
      </c>
      <c r="I3645" s="5" t="str">
        <f>IFERROR(__xludf.DUMMYFUNCTION("""COMPUTED_VALUE"""),"Moneyball")</f>
        <v>Moneyball</v>
      </c>
      <c r="J3645" s="5" t="str">
        <f>IFERROR(__xludf.DUMMYFUNCTION("""COMPUTED_VALUE"""),"Philip Seymour Hoffman")</f>
        <v>Philip Seymour Hoffman</v>
      </c>
      <c r="K3645" s="5" t="str">
        <f>IFERROR(__xludf.DUMMYFUNCTION("""COMPUTED_VALUE"""),"Estrela 4")</f>
        <v>Estrela 4</v>
      </c>
      <c r="P3645" s="5">
        <f>IFERROR(__xludf.DUMMYFUNCTION("""COMPUTED_VALUE"""),911.0)</f>
        <v>911</v>
      </c>
      <c r="Q3645" s="5" t="str">
        <f>IFERROR(__xludf.DUMMYFUNCTION("""COMPUTED_VALUE"""),"Moneyball")</f>
        <v>Moneyball</v>
      </c>
      <c r="R3645" s="5" t="str">
        <f>IFERROR(__xludf.DUMMYFUNCTION("""COMPUTED_VALUE"""),"Philip Seymour Hoffman")</f>
        <v>Philip Seymour Hoffman</v>
      </c>
      <c r="S3645" s="5" t="str">
        <f>IFERROR(__xludf.DUMMYFUNCTION("""COMPUTED_VALUE"""),"Estrela 4")</f>
        <v>Estrela 4</v>
      </c>
    </row>
    <row r="3646">
      <c r="G3646" s="5" t="str">
        <f>IFERROR(__xludf.DUMMYFUNCTION("""COMPUTED_VALUE"""),"912🤙🏼La piel que habito🤙🏼Antonio Banderas🤙🏼Estrela 1")</f>
        <v>912🤙🏼La piel que habito🤙🏼Antonio Banderas🤙🏼Estrela 1</v>
      </c>
      <c r="H3646" s="5">
        <f>IFERROR(__xludf.DUMMYFUNCTION("SPLiT(G3646, ""🤙🏼"",FALSE,FALSE)"),912.0)</f>
        <v>912</v>
      </c>
      <c r="I3646" s="5" t="str">
        <f>IFERROR(__xludf.DUMMYFUNCTION("""COMPUTED_VALUE"""),"La piel que habito")</f>
        <v>La piel que habito</v>
      </c>
      <c r="J3646" s="5" t="str">
        <f>IFERROR(__xludf.DUMMYFUNCTION("""COMPUTED_VALUE"""),"Antonio Banderas")</f>
        <v>Antonio Banderas</v>
      </c>
      <c r="K3646" s="5" t="str">
        <f>IFERROR(__xludf.DUMMYFUNCTION("""COMPUTED_VALUE"""),"Estrela 1")</f>
        <v>Estrela 1</v>
      </c>
      <c r="P3646" s="5">
        <f>IFERROR(__xludf.DUMMYFUNCTION("""COMPUTED_VALUE"""),912.0)</f>
        <v>912</v>
      </c>
      <c r="Q3646" s="5" t="str">
        <f>IFERROR(__xludf.DUMMYFUNCTION("""COMPUTED_VALUE"""),"La piel que habito")</f>
        <v>La piel que habito</v>
      </c>
      <c r="R3646" s="5" t="str">
        <f>IFERROR(__xludf.DUMMYFUNCTION("""COMPUTED_VALUE"""),"Antonio Banderas")</f>
        <v>Antonio Banderas</v>
      </c>
      <c r="S3646" s="5" t="str">
        <f>IFERROR(__xludf.DUMMYFUNCTION("""COMPUTED_VALUE"""),"Estrela 1")</f>
        <v>Estrela 1</v>
      </c>
    </row>
    <row r="3647">
      <c r="G3647" s="5" t="str">
        <f>IFERROR(__xludf.DUMMYFUNCTION("""COMPUTED_VALUE"""),"912🤙🏼La piel que habito🤙🏼Elena Anaya🤙🏼Estrela 2")</f>
        <v>912🤙🏼La piel que habito🤙🏼Elena Anaya🤙🏼Estrela 2</v>
      </c>
      <c r="H3647" s="5">
        <f>IFERROR(__xludf.DUMMYFUNCTION("SPLiT(G3647, ""🤙🏼"",FALSE,FALSE)"),912.0)</f>
        <v>912</v>
      </c>
      <c r="I3647" s="5" t="str">
        <f>IFERROR(__xludf.DUMMYFUNCTION("""COMPUTED_VALUE"""),"La piel que habito")</f>
        <v>La piel que habito</v>
      </c>
      <c r="J3647" s="5" t="str">
        <f>IFERROR(__xludf.DUMMYFUNCTION("""COMPUTED_VALUE"""),"Elena Anaya")</f>
        <v>Elena Anaya</v>
      </c>
      <c r="K3647" s="5" t="str">
        <f>IFERROR(__xludf.DUMMYFUNCTION("""COMPUTED_VALUE"""),"Estrela 2")</f>
        <v>Estrela 2</v>
      </c>
      <c r="P3647" s="5">
        <f>IFERROR(__xludf.DUMMYFUNCTION("""COMPUTED_VALUE"""),912.0)</f>
        <v>912</v>
      </c>
      <c r="Q3647" s="5" t="str">
        <f>IFERROR(__xludf.DUMMYFUNCTION("""COMPUTED_VALUE"""),"La piel que habito")</f>
        <v>La piel que habito</v>
      </c>
      <c r="R3647" s="5" t="str">
        <f>IFERROR(__xludf.DUMMYFUNCTION("""COMPUTED_VALUE"""),"Elena Anaya")</f>
        <v>Elena Anaya</v>
      </c>
      <c r="S3647" s="5" t="str">
        <f>IFERROR(__xludf.DUMMYFUNCTION("""COMPUTED_VALUE"""),"Estrela 2")</f>
        <v>Estrela 2</v>
      </c>
    </row>
    <row r="3648">
      <c r="G3648" s="5" t="str">
        <f>IFERROR(__xludf.DUMMYFUNCTION("""COMPUTED_VALUE"""),"912🤙🏼La piel que habito🤙🏼Jan Cornet🤙🏼Estrela 3")</f>
        <v>912🤙🏼La piel que habito🤙🏼Jan Cornet🤙🏼Estrela 3</v>
      </c>
      <c r="H3648" s="5">
        <f>IFERROR(__xludf.DUMMYFUNCTION("SPLiT(G3648, ""🤙🏼"",FALSE,FALSE)"),912.0)</f>
        <v>912</v>
      </c>
      <c r="I3648" s="5" t="str">
        <f>IFERROR(__xludf.DUMMYFUNCTION("""COMPUTED_VALUE"""),"La piel que habito")</f>
        <v>La piel que habito</v>
      </c>
      <c r="J3648" s="5" t="str">
        <f>IFERROR(__xludf.DUMMYFUNCTION("""COMPUTED_VALUE"""),"Jan Cornet")</f>
        <v>Jan Cornet</v>
      </c>
      <c r="K3648" s="5" t="str">
        <f>IFERROR(__xludf.DUMMYFUNCTION("""COMPUTED_VALUE"""),"Estrela 3")</f>
        <v>Estrela 3</v>
      </c>
      <c r="P3648" s="5">
        <f>IFERROR(__xludf.DUMMYFUNCTION("""COMPUTED_VALUE"""),912.0)</f>
        <v>912</v>
      </c>
      <c r="Q3648" s="5" t="str">
        <f>IFERROR(__xludf.DUMMYFUNCTION("""COMPUTED_VALUE"""),"La piel que habito")</f>
        <v>La piel que habito</v>
      </c>
      <c r="R3648" s="5" t="str">
        <f>IFERROR(__xludf.DUMMYFUNCTION("""COMPUTED_VALUE"""),"Jan Cornet")</f>
        <v>Jan Cornet</v>
      </c>
      <c r="S3648" s="5" t="str">
        <f>IFERROR(__xludf.DUMMYFUNCTION("""COMPUTED_VALUE"""),"Estrela 3")</f>
        <v>Estrela 3</v>
      </c>
    </row>
    <row r="3649">
      <c r="G3649" s="5" t="str">
        <f>IFERROR(__xludf.DUMMYFUNCTION("""COMPUTED_VALUE"""),"912🤙🏼La piel que habito🤙🏼Marisa Paredes🤙🏼Estrela 4")</f>
        <v>912🤙🏼La piel que habito🤙🏼Marisa Paredes🤙🏼Estrela 4</v>
      </c>
      <c r="H3649" s="5">
        <f>IFERROR(__xludf.DUMMYFUNCTION("SPLiT(G3649, ""🤙🏼"",FALSE,FALSE)"),912.0)</f>
        <v>912</v>
      </c>
      <c r="I3649" s="5" t="str">
        <f>IFERROR(__xludf.DUMMYFUNCTION("""COMPUTED_VALUE"""),"La piel que habito")</f>
        <v>La piel que habito</v>
      </c>
      <c r="J3649" s="5" t="str">
        <f>IFERROR(__xludf.DUMMYFUNCTION("""COMPUTED_VALUE"""),"Marisa Paredes")</f>
        <v>Marisa Paredes</v>
      </c>
      <c r="K3649" s="5" t="str">
        <f>IFERROR(__xludf.DUMMYFUNCTION("""COMPUTED_VALUE"""),"Estrela 4")</f>
        <v>Estrela 4</v>
      </c>
      <c r="P3649" s="5">
        <f>IFERROR(__xludf.DUMMYFUNCTION("""COMPUTED_VALUE"""),912.0)</f>
        <v>912</v>
      </c>
      <c r="Q3649" s="5" t="str">
        <f>IFERROR(__xludf.DUMMYFUNCTION("""COMPUTED_VALUE"""),"La piel que habito")</f>
        <v>La piel que habito</v>
      </c>
      <c r="R3649" s="5" t="str">
        <f>IFERROR(__xludf.DUMMYFUNCTION("""COMPUTED_VALUE"""),"Marisa Paredes")</f>
        <v>Marisa Paredes</v>
      </c>
      <c r="S3649" s="5" t="str">
        <f>IFERROR(__xludf.DUMMYFUNCTION("""COMPUTED_VALUE"""),"Estrela 4")</f>
        <v>Estrela 4</v>
      </c>
    </row>
    <row r="3650">
      <c r="G3650" s="5" t="str">
        <f>IFERROR(__xludf.DUMMYFUNCTION("""COMPUTED_VALUE"""),"913🤙🏼Zombieland🤙🏼Jesse Eisenberg🤙🏼Estrela 1")</f>
        <v>913🤙🏼Zombieland🤙🏼Jesse Eisenberg🤙🏼Estrela 1</v>
      </c>
      <c r="H3650" s="5">
        <f>IFERROR(__xludf.DUMMYFUNCTION("SPLiT(G3650, ""🤙🏼"",FALSE,FALSE)"),913.0)</f>
        <v>913</v>
      </c>
      <c r="I3650" s="5" t="str">
        <f>IFERROR(__xludf.DUMMYFUNCTION("""COMPUTED_VALUE"""),"Zombieland")</f>
        <v>Zombieland</v>
      </c>
      <c r="J3650" s="5" t="str">
        <f>IFERROR(__xludf.DUMMYFUNCTION("""COMPUTED_VALUE"""),"Jesse Eisenberg")</f>
        <v>Jesse Eisenberg</v>
      </c>
      <c r="K3650" s="5" t="str">
        <f>IFERROR(__xludf.DUMMYFUNCTION("""COMPUTED_VALUE"""),"Estrela 1")</f>
        <v>Estrela 1</v>
      </c>
      <c r="P3650" s="5">
        <f>IFERROR(__xludf.DUMMYFUNCTION("""COMPUTED_VALUE"""),913.0)</f>
        <v>913</v>
      </c>
      <c r="Q3650" s="5" t="str">
        <f>IFERROR(__xludf.DUMMYFUNCTION("""COMPUTED_VALUE"""),"Zombieland")</f>
        <v>Zombieland</v>
      </c>
      <c r="R3650" s="5" t="str">
        <f>IFERROR(__xludf.DUMMYFUNCTION("""COMPUTED_VALUE"""),"Jesse Eisenberg")</f>
        <v>Jesse Eisenberg</v>
      </c>
      <c r="S3650" s="5" t="str">
        <f>IFERROR(__xludf.DUMMYFUNCTION("""COMPUTED_VALUE"""),"Estrela 1")</f>
        <v>Estrela 1</v>
      </c>
    </row>
    <row r="3651">
      <c r="G3651" s="5" t="str">
        <f>IFERROR(__xludf.DUMMYFUNCTION("""COMPUTED_VALUE"""),"913🤙🏼Zombieland🤙🏼Emma Stone🤙🏼Estrela 2")</f>
        <v>913🤙🏼Zombieland🤙🏼Emma Stone🤙🏼Estrela 2</v>
      </c>
      <c r="H3651" s="5">
        <f>IFERROR(__xludf.DUMMYFUNCTION("SPLiT(G3651, ""🤙🏼"",FALSE,FALSE)"),913.0)</f>
        <v>913</v>
      </c>
      <c r="I3651" s="5" t="str">
        <f>IFERROR(__xludf.DUMMYFUNCTION("""COMPUTED_VALUE"""),"Zombieland")</f>
        <v>Zombieland</v>
      </c>
      <c r="J3651" s="5" t="str">
        <f>IFERROR(__xludf.DUMMYFUNCTION("""COMPUTED_VALUE"""),"Emma Stone")</f>
        <v>Emma Stone</v>
      </c>
      <c r="K3651" s="5" t="str">
        <f>IFERROR(__xludf.DUMMYFUNCTION("""COMPUTED_VALUE"""),"Estrela 2")</f>
        <v>Estrela 2</v>
      </c>
      <c r="P3651" s="5">
        <f>IFERROR(__xludf.DUMMYFUNCTION("""COMPUTED_VALUE"""),913.0)</f>
        <v>913</v>
      </c>
      <c r="Q3651" s="5" t="str">
        <f>IFERROR(__xludf.DUMMYFUNCTION("""COMPUTED_VALUE"""),"Zombieland")</f>
        <v>Zombieland</v>
      </c>
      <c r="R3651" s="5" t="str">
        <f>IFERROR(__xludf.DUMMYFUNCTION("""COMPUTED_VALUE"""),"Emma Stone")</f>
        <v>Emma Stone</v>
      </c>
      <c r="S3651" s="5" t="str">
        <f>IFERROR(__xludf.DUMMYFUNCTION("""COMPUTED_VALUE"""),"Estrela 2")</f>
        <v>Estrela 2</v>
      </c>
    </row>
    <row r="3652">
      <c r="G3652" s="5" t="str">
        <f>IFERROR(__xludf.DUMMYFUNCTION("""COMPUTED_VALUE"""),"913🤙🏼Zombieland🤙🏼Woody Harrelson🤙🏼Estrela 3")</f>
        <v>913🤙🏼Zombieland🤙🏼Woody Harrelson🤙🏼Estrela 3</v>
      </c>
      <c r="H3652" s="5">
        <f>IFERROR(__xludf.DUMMYFUNCTION("SPLiT(G3652, ""🤙🏼"",FALSE,FALSE)"),913.0)</f>
        <v>913</v>
      </c>
      <c r="I3652" s="5" t="str">
        <f>IFERROR(__xludf.DUMMYFUNCTION("""COMPUTED_VALUE"""),"Zombieland")</f>
        <v>Zombieland</v>
      </c>
      <c r="J3652" s="5" t="str">
        <f>IFERROR(__xludf.DUMMYFUNCTION("""COMPUTED_VALUE"""),"Woody Harrelson")</f>
        <v>Woody Harrelson</v>
      </c>
      <c r="K3652" s="5" t="str">
        <f>IFERROR(__xludf.DUMMYFUNCTION("""COMPUTED_VALUE"""),"Estrela 3")</f>
        <v>Estrela 3</v>
      </c>
      <c r="P3652" s="5">
        <f>IFERROR(__xludf.DUMMYFUNCTION("""COMPUTED_VALUE"""),913.0)</f>
        <v>913</v>
      </c>
      <c r="Q3652" s="5" t="str">
        <f>IFERROR(__xludf.DUMMYFUNCTION("""COMPUTED_VALUE"""),"Zombieland")</f>
        <v>Zombieland</v>
      </c>
      <c r="R3652" s="5" t="str">
        <f>IFERROR(__xludf.DUMMYFUNCTION("""COMPUTED_VALUE"""),"Woody Harrelson")</f>
        <v>Woody Harrelson</v>
      </c>
      <c r="S3652" s="5" t="str">
        <f>IFERROR(__xludf.DUMMYFUNCTION("""COMPUTED_VALUE"""),"Estrela 3")</f>
        <v>Estrela 3</v>
      </c>
    </row>
    <row r="3653">
      <c r="G3653" s="5" t="str">
        <f>IFERROR(__xludf.DUMMYFUNCTION("""COMPUTED_VALUE"""),"913🤙🏼Zombieland🤙🏼Abigail Breslin🤙🏼Estrela 4")</f>
        <v>913🤙🏼Zombieland🤙🏼Abigail Breslin🤙🏼Estrela 4</v>
      </c>
      <c r="H3653" s="5">
        <f>IFERROR(__xludf.DUMMYFUNCTION("SPLiT(G3653, ""🤙🏼"",FALSE,FALSE)"),913.0)</f>
        <v>913</v>
      </c>
      <c r="I3653" s="5" t="str">
        <f>IFERROR(__xludf.DUMMYFUNCTION("""COMPUTED_VALUE"""),"Zombieland")</f>
        <v>Zombieland</v>
      </c>
      <c r="J3653" s="5" t="str">
        <f>IFERROR(__xludf.DUMMYFUNCTION("""COMPUTED_VALUE"""),"Abigail Breslin")</f>
        <v>Abigail Breslin</v>
      </c>
      <c r="K3653" s="5" t="str">
        <f>IFERROR(__xludf.DUMMYFUNCTION("""COMPUTED_VALUE"""),"Estrela 4")</f>
        <v>Estrela 4</v>
      </c>
      <c r="P3653" s="5">
        <f>IFERROR(__xludf.DUMMYFUNCTION("""COMPUTED_VALUE"""),913.0)</f>
        <v>913</v>
      </c>
      <c r="Q3653" s="5" t="str">
        <f>IFERROR(__xludf.DUMMYFUNCTION("""COMPUTED_VALUE"""),"Zombieland")</f>
        <v>Zombieland</v>
      </c>
      <c r="R3653" s="5" t="str">
        <f>IFERROR(__xludf.DUMMYFUNCTION("""COMPUTED_VALUE"""),"Abigail Breslin")</f>
        <v>Abigail Breslin</v>
      </c>
      <c r="S3653" s="5" t="str">
        <f>IFERROR(__xludf.DUMMYFUNCTION("""COMPUTED_VALUE"""),"Estrela 4")</f>
        <v>Estrela 4</v>
      </c>
    </row>
    <row r="3654">
      <c r="G3654" s="5" t="str">
        <f>IFERROR(__xludf.DUMMYFUNCTION("""COMPUTED_VALUE"""),"914🤙🏼Die Welle🤙🏼Jürgen Vogel🤙🏼Estrela 1")</f>
        <v>914🤙🏼Die Welle🤙🏼Jürgen Vogel🤙🏼Estrela 1</v>
      </c>
      <c r="H3654" s="5">
        <f>IFERROR(__xludf.DUMMYFUNCTION("SPLiT(G3654, ""🤙🏼"",FALSE,FALSE)"),914.0)</f>
        <v>914</v>
      </c>
      <c r="I3654" s="5" t="str">
        <f>IFERROR(__xludf.DUMMYFUNCTION("""COMPUTED_VALUE"""),"Die Welle")</f>
        <v>Die Welle</v>
      </c>
      <c r="J3654" s="5" t="str">
        <f>IFERROR(__xludf.DUMMYFUNCTION("""COMPUTED_VALUE"""),"Jürgen Vogel")</f>
        <v>Jürgen Vogel</v>
      </c>
      <c r="K3654" s="5" t="str">
        <f>IFERROR(__xludf.DUMMYFUNCTION("""COMPUTED_VALUE"""),"Estrela 1")</f>
        <v>Estrela 1</v>
      </c>
      <c r="P3654" s="5">
        <f>IFERROR(__xludf.DUMMYFUNCTION("""COMPUTED_VALUE"""),914.0)</f>
        <v>914</v>
      </c>
      <c r="Q3654" s="5" t="str">
        <f>IFERROR(__xludf.DUMMYFUNCTION("""COMPUTED_VALUE"""),"Die Welle")</f>
        <v>Die Welle</v>
      </c>
      <c r="R3654" s="5" t="str">
        <f>IFERROR(__xludf.DUMMYFUNCTION("""COMPUTED_VALUE"""),"Jürgen Vogel")</f>
        <v>Jürgen Vogel</v>
      </c>
      <c r="S3654" s="5" t="str">
        <f>IFERROR(__xludf.DUMMYFUNCTION("""COMPUTED_VALUE"""),"Estrela 1")</f>
        <v>Estrela 1</v>
      </c>
    </row>
    <row r="3655">
      <c r="G3655" s="5" t="str">
        <f>IFERROR(__xludf.DUMMYFUNCTION("""COMPUTED_VALUE"""),"914🤙🏼Die Welle🤙🏼Frederick Lau🤙🏼Estrela 2")</f>
        <v>914🤙🏼Die Welle🤙🏼Frederick Lau🤙🏼Estrela 2</v>
      </c>
      <c r="H3655" s="5">
        <f>IFERROR(__xludf.DUMMYFUNCTION("SPLiT(G3655, ""🤙🏼"",FALSE,FALSE)"),914.0)</f>
        <v>914</v>
      </c>
      <c r="I3655" s="5" t="str">
        <f>IFERROR(__xludf.DUMMYFUNCTION("""COMPUTED_VALUE"""),"Die Welle")</f>
        <v>Die Welle</v>
      </c>
      <c r="J3655" s="5" t="str">
        <f>IFERROR(__xludf.DUMMYFUNCTION("""COMPUTED_VALUE"""),"Frederick Lau")</f>
        <v>Frederick Lau</v>
      </c>
      <c r="K3655" s="5" t="str">
        <f>IFERROR(__xludf.DUMMYFUNCTION("""COMPUTED_VALUE"""),"Estrela 2")</f>
        <v>Estrela 2</v>
      </c>
      <c r="P3655" s="5">
        <f>IFERROR(__xludf.DUMMYFUNCTION("""COMPUTED_VALUE"""),914.0)</f>
        <v>914</v>
      </c>
      <c r="Q3655" s="5" t="str">
        <f>IFERROR(__xludf.DUMMYFUNCTION("""COMPUTED_VALUE"""),"Die Welle")</f>
        <v>Die Welle</v>
      </c>
      <c r="R3655" s="5" t="str">
        <f>IFERROR(__xludf.DUMMYFUNCTION("""COMPUTED_VALUE"""),"Frederick Lau")</f>
        <v>Frederick Lau</v>
      </c>
      <c r="S3655" s="5" t="str">
        <f>IFERROR(__xludf.DUMMYFUNCTION("""COMPUTED_VALUE"""),"Estrela 2")</f>
        <v>Estrela 2</v>
      </c>
    </row>
    <row r="3656">
      <c r="G3656" s="5" t="str">
        <f>IFERROR(__xludf.DUMMYFUNCTION("""COMPUTED_VALUE"""),"914🤙🏼Die Welle🤙🏼Max Riemelt🤙🏼Estrela 3")</f>
        <v>914🤙🏼Die Welle🤙🏼Max Riemelt🤙🏼Estrela 3</v>
      </c>
      <c r="H3656" s="5">
        <f>IFERROR(__xludf.DUMMYFUNCTION("SPLiT(G3656, ""🤙🏼"",FALSE,FALSE)"),914.0)</f>
        <v>914</v>
      </c>
      <c r="I3656" s="5" t="str">
        <f>IFERROR(__xludf.DUMMYFUNCTION("""COMPUTED_VALUE"""),"Die Welle")</f>
        <v>Die Welle</v>
      </c>
      <c r="J3656" s="5" t="str">
        <f>IFERROR(__xludf.DUMMYFUNCTION("""COMPUTED_VALUE"""),"Max Riemelt")</f>
        <v>Max Riemelt</v>
      </c>
      <c r="K3656" s="5" t="str">
        <f>IFERROR(__xludf.DUMMYFUNCTION("""COMPUTED_VALUE"""),"Estrela 3")</f>
        <v>Estrela 3</v>
      </c>
      <c r="P3656" s="5">
        <f>IFERROR(__xludf.DUMMYFUNCTION("""COMPUTED_VALUE"""),914.0)</f>
        <v>914</v>
      </c>
      <c r="Q3656" s="5" t="str">
        <f>IFERROR(__xludf.DUMMYFUNCTION("""COMPUTED_VALUE"""),"Die Welle")</f>
        <v>Die Welle</v>
      </c>
      <c r="R3656" s="5" t="str">
        <f>IFERROR(__xludf.DUMMYFUNCTION("""COMPUTED_VALUE"""),"Max Riemelt")</f>
        <v>Max Riemelt</v>
      </c>
      <c r="S3656" s="5" t="str">
        <f>IFERROR(__xludf.DUMMYFUNCTION("""COMPUTED_VALUE"""),"Estrela 3")</f>
        <v>Estrela 3</v>
      </c>
    </row>
    <row r="3657">
      <c r="G3657" s="5" t="str">
        <f>IFERROR(__xludf.DUMMYFUNCTION("""COMPUTED_VALUE"""),"914🤙🏼Die Welle🤙🏼Jennifer Ulrich🤙🏼Estrela 4")</f>
        <v>914🤙🏼Die Welle🤙🏼Jennifer Ulrich🤙🏼Estrela 4</v>
      </c>
      <c r="H3657" s="5">
        <f>IFERROR(__xludf.DUMMYFUNCTION("SPLiT(G3657, ""🤙🏼"",FALSE,FALSE)"),914.0)</f>
        <v>914</v>
      </c>
      <c r="I3657" s="5" t="str">
        <f>IFERROR(__xludf.DUMMYFUNCTION("""COMPUTED_VALUE"""),"Die Welle")</f>
        <v>Die Welle</v>
      </c>
      <c r="J3657" s="5" t="str">
        <f>IFERROR(__xludf.DUMMYFUNCTION("""COMPUTED_VALUE"""),"Jennifer Ulrich")</f>
        <v>Jennifer Ulrich</v>
      </c>
      <c r="K3657" s="5" t="str">
        <f>IFERROR(__xludf.DUMMYFUNCTION("""COMPUTED_VALUE"""),"Estrela 4")</f>
        <v>Estrela 4</v>
      </c>
      <c r="P3657" s="5">
        <f>IFERROR(__xludf.DUMMYFUNCTION("""COMPUTED_VALUE"""),914.0)</f>
        <v>914</v>
      </c>
      <c r="Q3657" s="5" t="str">
        <f>IFERROR(__xludf.DUMMYFUNCTION("""COMPUTED_VALUE"""),"Die Welle")</f>
        <v>Die Welle</v>
      </c>
      <c r="R3657" s="5" t="str">
        <f>IFERROR(__xludf.DUMMYFUNCTION("""COMPUTED_VALUE"""),"Jennifer Ulrich")</f>
        <v>Jennifer Ulrich</v>
      </c>
      <c r="S3657" s="5" t="str">
        <f>IFERROR(__xludf.DUMMYFUNCTION("""COMPUTED_VALUE"""),"Estrela 4")</f>
        <v>Estrela 4</v>
      </c>
    </row>
    <row r="3658">
      <c r="G3658" s="5" t="str">
        <f>IFERROR(__xludf.DUMMYFUNCTION("""COMPUTED_VALUE"""),"915🤙🏼Sherlock Holmes🤙🏼Robert Downey Jr.🤙🏼Estrela 1")</f>
        <v>915🤙🏼Sherlock Holmes🤙🏼Robert Downey Jr.🤙🏼Estrela 1</v>
      </c>
      <c r="H3658" s="5">
        <f>IFERROR(__xludf.DUMMYFUNCTION("SPLiT(G3658, ""🤙🏼"",FALSE,FALSE)"),915.0)</f>
        <v>915</v>
      </c>
      <c r="I3658" s="5" t="str">
        <f>IFERROR(__xludf.DUMMYFUNCTION("""COMPUTED_VALUE"""),"Sherlock Holmes")</f>
        <v>Sherlock Holmes</v>
      </c>
      <c r="J3658" s="5" t="str">
        <f>IFERROR(__xludf.DUMMYFUNCTION("""COMPUTED_VALUE"""),"Robert Downey Jr.")</f>
        <v>Robert Downey Jr.</v>
      </c>
      <c r="K3658" s="5" t="str">
        <f>IFERROR(__xludf.DUMMYFUNCTION("""COMPUTED_VALUE"""),"Estrela 1")</f>
        <v>Estrela 1</v>
      </c>
      <c r="P3658" s="5">
        <f>IFERROR(__xludf.DUMMYFUNCTION("""COMPUTED_VALUE"""),915.0)</f>
        <v>915</v>
      </c>
      <c r="Q3658" s="5" t="str">
        <f>IFERROR(__xludf.DUMMYFUNCTION("""COMPUTED_VALUE"""),"Sherlock Holmes")</f>
        <v>Sherlock Holmes</v>
      </c>
      <c r="R3658" s="5" t="str">
        <f>IFERROR(__xludf.DUMMYFUNCTION("""COMPUTED_VALUE"""),"Robert Downey Jr.")</f>
        <v>Robert Downey Jr.</v>
      </c>
      <c r="S3658" s="5" t="str">
        <f>IFERROR(__xludf.DUMMYFUNCTION("""COMPUTED_VALUE"""),"Estrela 1")</f>
        <v>Estrela 1</v>
      </c>
    </row>
    <row r="3659">
      <c r="G3659" s="5" t="str">
        <f>IFERROR(__xludf.DUMMYFUNCTION("""COMPUTED_VALUE"""),"915🤙🏼Sherlock Holmes🤙🏼Jude Law🤙🏼Estrela 2")</f>
        <v>915🤙🏼Sherlock Holmes🤙🏼Jude Law🤙🏼Estrela 2</v>
      </c>
      <c r="H3659" s="5">
        <f>IFERROR(__xludf.DUMMYFUNCTION("SPLiT(G3659, ""🤙🏼"",FALSE,FALSE)"),915.0)</f>
        <v>915</v>
      </c>
      <c r="I3659" s="5" t="str">
        <f>IFERROR(__xludf.DUMMYFUNCTION("""COMPUTED_VALUE"""),"Sherlock Holmes")</f>
        <v>Sherlock Holmes</v>
      </c>
      <c r="J3659" s="5" t="str">
        <f>IFERROR(__xludf.DUMMYFUNCTION("""COMPUTED_VALUE"""),"Jude Law")</f>
        <v>Jude Law</v>
      </c>
      <c r="K3659" s="5" t="str">
        <f>IFERROR(__xludf.DUMMYFUNCTION("""COMPUTED_VALUE"""),"Estrela 2")</f>
        <v>Estrela 2</v>
      </c>
      <c r="P3659" s="5">
        <f>IFERROR(__xludf.DUMMYFUNCTION("""COMPUTED_VALUE"""),915.0)</f>
        <v>915</v>
      </c>
      <c r="Q3659" s="5" t="str">
        <f>IFERROR(__xludf.DUMMYFUNCTION("""COMPUTED_VALUE"""),"Sherlock Holmes")</f>
        <v>Sherlock Holmes</v>
      </c>
      <c r="R3659" s="5" t="str">
        <f>IFERROR(__xludf.DUMMYFUNCTION("""COMPUTED_VALUE"""),"Jude Law")</f>
        <v>Jude Law</v>
      </c>
      <c r="S3659" s="5" t="str">
        <f>IFERROR(__xludf.DUMMYFUNCTION("""COMPUTED_VALUE"""),"Estrela 2")</f>
        <v>Estrela 2</v>
      </c>
    </row>
    <row r="3660">
      <c r="G3660" s="5" t="str">
        <f>IFERROR(__xludf.DUMMYFUNCTION("""COMPUTED_VALUE"""),"915🤙🏼Sherlock Holmes🤙🏼Rachel McAdams🤙🏼Estrela 3")</f>
        <v>915🤙🏼Sherlock Holmes🤙🏼Rachel McAdams🤙🏼Estrela 3</v>
      </c>
      <c r="H3660" s="5">
        <f>IFERROR(__xludf.DUMMYFUNCTION("SPLiT(G3660, ""🤙🏼"",FALSE,FALSE)"),915.0)</f>
        <v>915</v>
      </c>
      <c r="I3660" s="5" t="str">
        <f>IFERROR(__xludf.DUMMYFUNCTION("""COMPUTED_VALUE"""),"Sherlock Holmes")</f>
        <v>Sherlock Holmes</v>
      </c>
      <c r="J3660" s="5" t="str">
        <f>IFERROR(__xludf.DUMMYFUNCTION("""COMPUTED_VALUE"""),"Rachel McAdams")</f>
        <v>Rachel McAdams</v>
      </c>
      <c r="K3660" s="5" t="str">
        <f>IFERROR(__xludf.DUMMYFUNCTION("""COMPUTED_VALUE"""),"Estrela 3")</f>
        <v>Estrela 3</v>
      </c>
      <c r="P3660" s="5">
        <f>IFERROR(__xludf.DUMMYFUNCTION("""COMPUTED_VALUE"""),915.0)</f>
        <v>915</v>
      </c>
      <c r="Q3660" s="5" t="str">
        <f>IFERROR(__xludf.DUMMYFUNCTION("""COMPUTED_VALUE"""),"Sherlock Holmes")</f>
        <v>Sherlock Holmes</v>
      </c>
      <c r="R3660" s="5" t="str">
        <f>IFERROR(__xludf.DUMMYFUNCTION("""COMPUTED_VALUE"""),"Rachel McAdams")</f>
        <v>Rachel McAdams</v>
      </c>
      <c r="S3660" s="5" t="str">
        <f>IFERROR(__xludf.DUMMYFUNCTION("""COMPUTED_VALUE"""),"Estrela 3")</f>
        <v>Estrela 3</v>
      </c>
    </row>
    <row r="3661">
      <c r="G3661" s="5" t="str">
        <f>IFERROR(__xludf.DUMMYFUNCTION("""COMPUTED_VALUE"""),"915🤙🏼Sherlock Holmes🤙🏼Mark Strong🤙🏼Estrela 4")</f>
        <v>915🤙🏼Sherlock Holmes🤙🏼Mark Strong🤙🏼Estrela 4</v>
      </c>
      <c r="H3661" s="5">
        <f>IFERROR(__xludf.DUMMYFUNCTION("SPLiT(G3661, ""🤙🏼"",FALSE,FALSE)"),915.0)</f>
        <v>915</v>
      </c>
      <c r="I3661" s="5" t="str">
        <f>IFERROR(__xludf.DUMMYFUNCTION("""COMPUTED_VALUE"""),"Sherlock Holmes")</f>
        <v>Sherlock Holmes</v>
      </c>
      <c r="J3661" s="5" t="str">
        <f>IFERROR(__xludf.DUMMYFUNCTION("""COMPUTED_VALUE"""),"Mark Strong")</f>
        <v>Mark Strong</v>
      </c>
      <c r="K3661" s="5" t="str">
        <f>IFERROR(__xludf.DUMMYFUNCTION("""COMPUTED_VALUE"""),"Estrela 4")</f>
        <v>Estrela 4</v>
      </c>
      <c r="P3661" s="5">
        <f>IFERROR(__xludf.DUMMYFUNCTION("""COMPUTED_VALUE"""),915.0)</f>
        <v>915</v>
      </c>
      <c r="Q3661" s="5" t="str">
        <f>IFERROR(__xludf.DUMMYFUNCTION("""COMPUTED_VALUE"""),"Sherlock Holmes")</f>
        <v>Sherlock Holmes</v>
      </c>
      <c r="R3661" s="5" t="str">
        <f>IFERROR(__xludf.DUMMYFUNCTION("""COMPUTED_VALUE"""),"Mark Strong")</f>
        <v>Mark Strong</v>
      </c>
      <c r="S3661" s="5" t="str">
        <f>IFERROR(__xludf.DUMMYFUNCTION("""COMPUTED_VALUE"""),"Estrela 4")</f>
        <v>Estrela 4</v>
      </c>
    </row>
    <row r="3662">
      <c r="G3662" s="5" t="str">
        <f>IFERROR(__xludf.DUMMYFUNCTION("""COMPUTED_VALUE"""),"916🤙🏼The Blind Side🤙🏼Quinton Aaron🤙🏼Estrela 1")</f>
        <v>916🤙🏼The Blind Side🤙🏼Quinton Aaron🤙🏼Estrela 1</v>
      </c>
      <c r="H3662" s="5">
        <f>IFERROR(__xludf.DUMMYFUNCTION("SPLiT(G3662, ""🤙🏼"",FALSE,FALSE)"),916.0)</f>
        <v>916</v>
      </c>
      <c r="I3662" s="5" t="str">
        <f>IFERROR(__xludf.DUMMYFUNCTION("""COMPUTED_VALUE"""),"The Blind Side")</f>
        <v>The Blind Side</v>
      </c>
      <c r="J3662" s="5" t="str">
        <f>IFERROR(__xludf.DUMMYFUNCTION("""COMPUTED_VALUE"""),"Quinton Aaron")</f>
        <v>Quinton Aaron</v>
      </c>
      <c r="K3662" s="5" t="str">
        <f>IFERROR(__xludf.DUMMYFUNCTION("""COMPUTED_VALUE"""),"Estrela 1")</f>
        <v>Estrela 1</v>
      </c>
      <c r="P3662" s="5">
        <f>IFERROR(__xludf.DUMMYFUNCTION("""COMPUTED_VALUE"""),916.0)</f>
        <v>916</v>
      </c>
      <c r="Q3662" s="5" t="str">
        <f>IFERROR(__xludf.DUMMYFUNCTION("""COMPUTED_VALUE"""),"The Blind Side")</f>
        <v>The Blind Side</v>
      </c>
      <c r="R3662" s="5" t="str">
        <f>IFERROR(__xludf.DUMMYFUNCTION("""COMPUTED_VALUE"""),"Quinton Aaron")</f>
        <v>Quinton Aaron</v>
      </c>
      <c r="S3662" s="5" t="str">
        <f>IFERROR(__xludf.DUMMYFUNCTION("""COMPUTED_VALUE"""),"Estrela 1")</f>
        <v>Estrela 1</v>
      </c>
    </row>
    <row r="3663">
      <c r="G3663" s="5" t="str">
        <f>IFERROR(__xludf.DUMMYFUNCTION("""COMPUTED_VALUE"""),"916🤙🏼The Blind Side🤙🏼Sandra Bullock🤙🏼Estrela 2")</f>
        <v>916🤙🏼The Blind Side🤙🏼Sandra Bullock🤙🏼Estrela 2</v>
      </c>
      <c r="H3663" s="5">
        <f>IFERROR(__xludf.DUMMYFUNCTION("SPLiT(G3663, ""🤙🏼"",FALSE,FALSE)"),916.0)</f>
        <v>916</v>
      </c>
      <c r="I3663" s="5" t="str">
        <f>IFERROR(__xludf.DUMMYFUNCTION("""COMPUTED_VALUE"""),"The Blind Side")</f>
        <v>The Blind Side</v>
      </c>
      <c r="J3663" s="5" t="str">
        <f>IFERROR(__xludf.DUMMYFUNCTION("""COMPUTED_VALUE"""),"Sandra Bullock")</f>
        <v>Sandra Bullock</v>
      </c>
      <c r="K3663" s="5" t="str">
        <f>IFERROR(__xludf.DUMMYFUNCTION("""COMPUTED_VALUE"""),"Estrela 2")</f>
        <v>Estrela 2</v>
      </c>
      <c r="P3663" s="5">
        <f>IFERROR(__xludf.DUMMYFUNCTION("""COMPUTED_VALUE"""),916.0)</f>
        <v>916</v>
      </c>
      <c r="Q3663" s="5" t="str">
        <f>IFERROR(__xludf.DUMMYFUNCTION("""COMPUTED_VALUE"""),"The Blind Side")</f>
        <v>The Blind Side</v>
      </c>
      <c r="R3663" s="5" t="str">
        <f>IFERROR(__xludf.DUMMYFUNCTION("""COMPUTED_VALUE"""),"Sandra Bullock")</f>
        <v>Sandra Bullock</v>
      </c>
      <c r="S3663" s="5" t="str">
        <f>IFERROR(__xludf.DUMMYFUNCTION("""COMPUTED_VALUE"""),"Estrela 2")</f>
        <v>Estrela 2</v>
      </c>
    </row>
    <row r="3664">
      <c r="G3664" s="5" t="str">
        <f>IFERROR(__xludf.DUMMYFUNCTION("""COMPUTED_VALUE"""),"916🤙🏼The Blind Side🤙🏼Tim McGraw🤙🏼Estrela 3")</f>
        <v>916🤙🏼The Blind Side🤙🏼Tim McGraw🤙🏼Estrela 3</v>
      </c>
      <c r="H3664" s="5">
        <f>IFERROR(__xludf.DUMMYFUNCTION("SPLiT(G3664, ""🤙🏼"",FALSE,FALSE)"),916.0)</f>
        <v>916</v>
      </c>
      <c r="I3664" s="5" t="str">
        <f>IFERROR(__xludf.DUMMYFUNCTION("""COMPUTED_VALUE"""),"The Blind Side")</f>
        <v>The Blind Side</v>
      </c>
      <c r="J3664" s="5" t="str">
        <f>IFERROR(__xludf.DUMMYFUNCTION("""COMPUTED_VALUE"""),"Tim McGraw")</f>
        <v>Tim McGraw</v>
      </c>
      <c r="K3664" s="5" t="str">
        <f>IFERROR(__xludf.DUMMYFUNCTION("""COMPUTED_VALUE"""),"Estrela 3")</f>
        <v>Estrela 3</v>
      </c>
      <c r="P3664" s="5">
        <f>IFERROR(__xludf.DUMMYFUNCTION("""COMPUTED_VALUE"""),916.0)</f>
        <v>916</v>
      </c>
      <c r="Q3664" s="5" t="str">
        <f>IFERROR(__xludf.DUMMYFUNCTION("""COMPUTED_VALUE"""),"The Blind Side")</f>
        <v>The Blind Side</v>
      </c>
      <c r="R3664" s="5" t="str">
        <f>IFERROR(__xludf.DUMMYFUNCTION("""COMPUTED_VALUE"""),"Tim McGraw")</f>
        <v>Tim McGraw</v>
      </c>
      <c r="S3664" s="5" t="str">
        <f>IFERROR(__xludf.DUMMYFUNCTION("""COMPUTED_VALUE"""),"Estrela 3")</f>
        <v>Estrela 3</v>
      </c>
    </row>
    <row r="3665">
      <c r="G3665" s="5" t="str">
        <f>IFERROR(__xludf.DUMMYFUNCTION("""COMPUTED_VALUE"""),"916🤙🏼The Blind Side🤙🏼Jae Head🤙🏼Estrela 4")</f>
        <v>916🤙🏼The Blind Side🤙🏼Jae Head🤙🏼Estrela 4</v>
      </c>
      <c r="H3665" s="5">
        <f>IFERROR(__xludf.DUMMYFUNCTION("SPLiT(G3665, ""🤙🏼"",FALSE,FALSE)"),916.0)</f>
        <v>916</v>
      </c>
      <c r="I3665" s="5" t="str">
        <f>IFERROR(__xludf.DUMMYFUNCTION("""COMPUTED_VALUE"""),"The Blind Side")</f>
        <v>The Blind Side</v>
      </c>
      <c r="J3665" s="5" t="str">
        <f>IFERROR(__xludf.DUMMYFUNCTION("""COMPUTED_VALUE"""),"Jae Head")</f>
        <v>Jae Head</v>
      </c>
      <c r="K3665" s="5" t="str">
        <f>IFERROR(__xludf.DUMMYFUNCTION("""COMPUTED_VALUE"""),"Estrela 4")</f>
        <v>Estrela 4</v>
      </c>
      <c r="P3665" s="5">
        <f>IFERROR(__xludf.DUMMYFUNCTION("""COMPUTED_VALUE"""),916.0)</f>
        <v>916</v>
      </c>
      <c r="Q3665" s="5" t="str">
        <f>IFERROR(__xludf.DUMMYFUNCTION("""COMPUTED_VALUE"""),"The Blind Side")</f>
        <v>The Blind Side</v>
      </c>
      <c r="R3665" s="5" t="str">
        <f>IFERROR(__xludf.DUMMYFUNCTION("""COMPUTED_VALUE"""),"Jae Head")</f>
        <v>Jae Head</v>
      </c>
      <c r="S3665" s="5" t="str">
        <f>IFERROR(__xludf.DUMMYFUNCTION("""COMPUTED_VALUE"""),"Estrela 4")</f>
        <v>Estrela 4</v>
      </c>
    </row>
    <row r="3666">
      <c r="G3666" s="5" t="str">
        <f>IFERROR(__xludf.DUMMYFUNCTION("""COMPUTED_VALUE"""),"917🤙🏼The Visitor🤙🏼Richard Jenkins🤙🏼Estrela 1")</f>
        <v>917🤙🏼The Visitor🤙🏼Richard Jenkins🤙🏼Estrela 1</v>
      </c>
      <c r="H3666" s="5">
        <f>IFERROR(__xludf.DUMMYFUNCTION("SPLiT(G3666, ""🤙🏼"",FALSE,FALSE)"),917.0)</f>
        <v>917</v>
      </c>
      <c r="I3666" s="5" t="str">
        <f>IFERROR(__xludf.DUMMYFUNCTION("""COMPUTED_VALUE"""),"The Visitor")</f>
        <v>The Visitor</v>
      </c>
      <c r="J3666" s="5" t="str">
        <f>IFERROR(__xludf.DUMMYFUNCTION("""COMPUTED_VALUE"""),"Richard Jenkins")</f>
        <v>Richard Jenkins</v>
      </c>
      <c r="K3666" s="5" t="str">
        <f>IFERROR(__xludf.DUMMYFUNCTION("""COMPUTED_VALUE"""),"Estrela 1")</f>
        <v>Estrela 1</v>
      </c>
      <c r="P3666" s="5">
        <f>IFERROR(__xludf.DUMMYFUNCTION("""COMPUTED_VALUE"""),917.0)</f>
        <v>917</v>
      </c>
      <c r="Q3666" s="5" t="str">
        <f>IFERROR(__xludf.DUMMYFUNCTION("""COMPUTED_VALUE"""),"The Visitor")</f>
        <v>The Visitor</v>
      </c>
      <c r="R3666" s="5" t="str">
        <f>IFERROR(__xludf.DUMMYFUNCTION("""COMPUTED_VALUE"""),"Richard Jenkins")</f>
        <v>Richard Jenkins</v>
      </c>
      <c r="S3666" s="5" t="str">
        <f>IFERROR(__xludf.DUMMYFUNCTION("""COMPUTED_VALUE"""),"Estrela 1")</f>
        <v>Estrela 1</v>
      </c>
    </row>
    <row r="3667">
      <c r="G3667" s="5" t="str">
        <f>IFERROR(__xludf.DUMMYFUNCTION("""COMPUTED_VALUE"""),"917🤙🏼The Visitor🤙🏼Haaz Sleiman🤙🏼Estrela 2")</f>
        <v>917🤙🏼The Visitor🤙🏼Haaz Sleiman🤙🏼Estrela 2</v>
      </c>
      <c r="H3667" s="5">
        <f>IFERROR(__xludf.DUMMYFUNCTION("SPLiT(G3667, ""🤙🏼"",FALSE,FALSE)"),917.0)</f>
        <v>917</v>
      </c>
      <c r="I3667" s="5" t="str">
        <f>IFERROR(__xludf.DUMMYFUNCTION("""COMPUTED_VALUE"""),"The Visitor")</f>
        <v>The Visitor</v>
      </c>
      <c r="J3667" s="5" t="str">
        <f>IFERROR(__xludf.DUMMYFUNCTION("""COMPUTED_VALUE"""),"Haaz Sleiman")</f>
        <v>Haaz Sleiman</v>
      </c>
      <c r="K3667" s="5" t="str">
        <f>IFERROR(__xludf.DUMMYFUNCTION("""COMPUTED_VALUE"""),"Estrela 2")</f>
        <v>Estrela 2</v>
      </c>
      <c r="P3667" s="5">
        <f>IFERROR(__xludf.DUMMYFUNCTION("""COMPUTED_VALUE"""),917.0)</f>
        <v>917</v>
      </c>
      <c r="Q3667" s="5" t="str">
        <f>IFERROR(__xludf.DUMMYFUNCTION("""COMPUTED_VALUE"""),"The Visitor")</f>
        <v>The Visitor</v>
      </c>
      <c r="R3667" s="5" t="str">
        <f>IFERROR(__xludf.DUMMYFUNCTION("""COMPUTED_VALUE"""),"Haaz Sleiman")</f>
        <v>Haaz Sleiman</v>
      </c>
      <c r="S3667" s="5" t="str">
        <f>IFERROR(__xludf.DUMMYFUNCTION("""COMPUTED_VALUE"""),"Estrela 2")</f>
        <v>Estrela 2</v>
      </c>
    </row>
    <row r="3668">
      <c r="G3668" s="5" t="str">
        <f>IFERROR(__xludf.DUMMYFUNCTION("""COMPUTED_VALUE"""),"917🤙🏼The Visitor🤙🏼Danai Gurira🤙🏼Estrela 3")</f>
        <v>917🤙🏼The Visitor🤙🏼Danai Gurira🤙🏼Estrela 3</v>
      </c>
      <c r="H3668" s="5">
        <f>IFERROR(__xludf.DUMMYFUNCTION("SPLiT(G3668, ""🤙🏼"",FALSE,FALSE)"),917.0)</f>
        <v>917</v>
      </c>
      <c r="I3668" s="5" t="str">
        <f>IFERROR(__xludf.DUMMYFUNCTION("""COMPUTED_VALUE"""),"The Visitor")</f>
        <v>The Visitor</v>
      </c>
      <c r="J3668" s="5" t="str">
        <f>IFERROR(__xludf.DUMMYFUNCTION("""COMPUTED_VALUE"""),"Danai Gurira")</f>
        <v>Danai Gurira</v>
      </c>
      <c r="K3668" s="5" t="str">
        <f>IFERROR(__xludf.DUMMYFUNCTION("""COMPUTED_VALUE"""),"Estrela 3")</f>
        <v>Estrela 3</v>
      </c>
      <c r="P3668" s="5">
        <f>IFERROR(__xludf.DUMMYFUNCTION("""COMPUTED_VALUE"""),917.0)</f>
        <v>917</v>
      </c>
      <c r="Q3668" s="5" t="str">
        <f>IFERROR(__xludf.DUMMYFUNCTION("""COMPUTED_VALUE"""),"The Visitor")</f>
        <v>The Visitor</v>
      </c>
      <c r="R3668" s="5" t="str">
        <f>IFERROR(__xludf.DUMMYFUNCTION("""COMPUTED_VALUE"""),"Danai Gurira")</f>
        <v>Danai Gurira</v>
      </c>
      <c r="S3668" s="5" t="str">
        <f>IFERROR(__xludf.DUMMYFUNCTION("""COMPUTED_VALUE"""),"Estrela 3")</f>
        <v>Estrela 3</v>
      </c>
    </row>
    <row r="3669">
      <c r="G3669" s="5" t="str">
        <f>IFERROR(__xludf.DUMMYFUNCTION("""COMPUTED_VALUE"""),"917🤙🏼The Visitor🤙🏼Hiam Abbass🤙🏼Estrela 4")</f>
        <v>917🤙🏼The Visitor🤙🏼Hiam Abbass🤙🏼Estrela 4</v>
      </c>
      <c r="H3669" s="5">
        <f>IFERROR(__xludf.DUMMYFUNCTION("SPLiT(G3669, ""🤙🏼"",FALSE,FALSE)"),917.0)</f>
        <v>917</v>
      </c>
      <c r="I3669" s="5" t="str">
        <f>IFERROR(__xludf.DUMMYFUNCTION("""COMPUTED_VALUE"""),"The Visitor")</f>
        <v>The Visitor</v>
      </c>
      <c r="J3669" s="5" t="str">
        <f>IFERROR(__xludf.DUMMYFUNCTION("""COMPUTED_VALUE"""),"Hiam Abbass")</f>
        <v>Hiam Abbass</v>
      </c>
      <c r="K3669" s="5" t="str">
        <f>IFERROR(__xludf.DUMMYFUNCTION("""COMPUTED_VALUE"""),"Estrela 4")</f>
        <v>Estrela 4</v>
      </c>
      <c r="P3669" s="5">
        <f>IFERROR(__xludf.DUMMYFUNCTION("""COMPUTED_VALUE"""),917.0)</f>
        <v>917</v>
      </c>
      <c r="Q3669" s="5" t="str">
        <f>IFERROR(__xludf.DUMMYFUNCTION("""COMPUTED_VALUE"""),"The Visitor")</f>
        <v>The Visitor</v>
      </c>
      <c r="R3669" s="5" t="str">
        <f>IFERROR(__xludf.DUMMYFUNCTION("""COMPUTED_VALUE"""),"Hiam Abbass")</f>
        <v>Hiam Abbass</v>
      </c>
      <c r="S3669" s="5" t="str">
        <f>IFERROR(__xludf.DUMMYFUNCTION("""COMPUTED_VALUE"""),"Estrela 4")</f>
        <v>Estrela 4</v>
      </c>
    </row>
    <row r="3670">
      <c r="G3670" s="5" t="str">
        <f>IFERROR(__xludf.DUMMYFUNCTION("""COMPUTED_VALUE"""),"918🤙🏼Seven Pounds🤙🏼Will Smith🤙🏼Estrela 1")</f>
        <v>918🤙🏼Seven Pounds🤙🏼Will Smith🤙🏼Estrela 1</v>
      </c>
      <c r="H3670" s="5">
        <f>IFERROR(__xludf.DUMMYFUNCTION("SPLiT(G3670, ""🤙🏼"",FALSE,FALSE)"),918.0)</f>
        <v>918</v>
      </c>
      <c r="I3670" s="5" t="str">
        <f>IFERROR(__xludf.DUMMYFUNCTION("""COMPUTED_VALUE"""),"Seven Pounds")</f>
        <v>Seven Pounds</v>
      </c>
      <c r="J3670" s="5" t="str">
        <f>IFERROR(__xludf.DUMMYFUNCTION("""COMPUTED_VALUE"""),"Will Smith")</f>
        <v>Will Smith</v>
      </c>
      <c r="K3670" s="5" t="str">
        <f>IFERROR(__xludf.DUMMYFUNCTION("""COMPUTED_VALUE"""),"Estrela 1")</f>
        <v>Estrela 1</v>
      </c>
      <c r="P3670" s="5">
        <f>IFERROR(__xludf.DUMMYFUNCTION("""COMPUTED_VALUE"""),918.0)</f>
        <v>918</v>
      </c>
      <c r="Q3670" s="5" t="str">
        <f>IFERROR(__xludf.DUMMYFUNCTION("""COMPUTED_VALUE"""),"Seven Pounds")</f>
        <v>Seven Pounds</v>
      </c>
      <c r="R3670" s="5" t="str">
        <f>IFERROR(__xludf.DUMMYFUNCTION("""COMPUTED_VALUE"""),"Will Smith")</f>
        <v>Will Smith</v>
      </c>
      <c r="S3670" s="5" t="str">
        <f>IFERROR(__xludf.DUMMYFUNCTION("""COMPUTED_VALUE"""),"Estrela 1")</f>
        <v>Estrela 1</v>
      </c>
    </row>
    <row r="3671">
      <c r="G3671" s="5" t="str">
        <f>IFERROR(__xludf.DUMMYFUNCTION("""COMPUTED_VALUE"""),"918🤙🏼Seven Pounds🤙🏼Rosario Dawson🤙🏼Estrela 2")</f>
        <v>918🤙🏼Seven Pounds🤙🏼Rosario Dawson🤙🏼Estrela 2</v>
      </c>
      <c r="H3671" s="5">
        <f>IFERROR(__xludf.DUMMYFUNCTION("SPLiT(G3671, ""🤙🏼"",FALSE,FALSE)"),918.0)</f>
        <v>918</v>
      </c>
      <c r="I3671" s="5" t="str">
        <f>IFERROR(__xludf.DUMMYFUNCTION("""COMPUTED_VALUE"""),"Seven Pounds")</f>
        <v>Seven Pounds</v>
      </c>
      <c r="J3671" s="5" t="str">
        <f>IFERROR(__xludf.DUMMYFUNCTION("""COMPUTED_VALUE"""),"Rosario Dawson")</f>
        <v>Rosario Dawson</v>
      </c>
      <c r="K3671" s="5" t="str">
        <f>IFERROR(__xludf.DUMMYFUNCTION("""COMPUTED_VALUE"""),"Estrela 2")</f>
        <v>Estrela 2</v>
      </c>
      <c r="P3671" s="5">
        <f>IFERROR(__xludf.DUMMYFUNCTION("""COMPUTED_VALUE"""),918.0)</f>
        <v>918</v>
      </c>
      <c r="Q3671" s="5" t="str">
        <f>IFERROR(__xludf.DUMMYFUNCTION("""COMPUTED_VALUE"""),"Seven Pounds")</f>
        <v>Seven Pounds</v>
      </c>
      <c r="R3671" s="5" t="str">
        <f>IFERROR(__xludf.DUMMYFUNCTION("""COMPUTED_VALUE"""),"Rosario Dawson")</f>
        <v>Rosario Dawson</v>
      </c>
      <c r="S3671" s="5" t="str">
        <f>IFERROR(__xludf.DUMMYFUNCTION("""COMPUTED_VALUE"""),"Estrela 2")</f>
        <v>Estrela 2</v>
      </c>
    </row>
    <row r="3672">
      <c r="G3672" s="5" t="str">
        <f>IFERROR(__xludf.DUMMYFUNCTION("""COMPUTED_VALUE"""),"918🤙🏼Seven Pounds🤙🏼Woody Harrelson🤙🏼Estrela 3")</f>
        <v>918🤙🏼Seven Pounds🤙🏼Woody Harrelson🤙🏼Estrela 3</v>
      </c>
      <c r="H3672" s="5">
        <f>IFERROR(__xludf.DUMMYFUNCTION("SPLiT(G3672, ""🤙🏼"",FALSE,FALSE)"),918.0)</f>
        <v>918</v>
      </c>
      <c r="I3672" s="5" t="str">
        <f>IFERROR(__xludf.DUMMYFUNCTION("""COMPUTED_VALUE"""),"Seven Pounds")</f>
        <v>Seven Pounds</v>
      </c>
      <c r="J3672" s="5" t="str">
        <f>IFERROR(__xludf.DUMMYFUNCTION("""COMPUTED_VALUE"""),"Woody Harrelson")</f>
        <v>Woody Harrelson</v>
      </c>
      <c r="K3672" s="5" t="str">
        <f>IFERROR(__xludf.DUMMYFUNCTION("""COMPUTED_VALUE"""),"Estrela 3")</f>
        <v>Estrela 3</v>
      </c>
      <c r="P3672" s="5">
        <f>IFERROR(__xludf.DUMMYFUNCTION("""COMPUTED_VALUE"""),918.0)</f>
        <v>918</v>
      </c>
      <c r="Q3672" s="5" t="str">
        <f>IFERROR(__xludf.DUMMYFUNCTION("""COMPUTED_VALUE"""),"Seven Pounds")</f>
        <v>Seven Pounds</v>
      </c>
      <c r="R3672" s="5" t="str">
        <f>IFERROR(__xludf.DUMMYFUNCTION("""COMPUTED_VALUE"""),"Woody Harrelson")</f>
        <v>Woody Harrelson</v>
      </c>
      <c r="S3672" s="5" t="str">
        <f>IFERROR(__xludf.DUMMYFUNCTION("""COMPUTED_VALUE"""),"Estrela 3")</f>
        <v>Estrela 3</v>
      </c>
    </row>
    <row r="3673">
      <c r="G3673" s="5" t="str">
        <f>IFERROR(__xludf.DUMMYFUNCTION("""COMPUTED_VALUE"""),"918🤙🏼Seven Pounds🤙🏼Michael Ealy🤙🏼Estrela 4")</f>
        <v>918🤙🏼Seven Pounds🤙🏼Michael Ealy🤙🏼Estrela 4</v>
      </c>
      <c r="H3673" s="5">
        <f>IFERROR(__xludf.DUMMYFUNCTION("SPLiT(G3673, ""🤙🏼"",FALSE,FALSE)"),918.0)</f>
        <v>918</v>
      </c>
      <c r="I3673" s="5" t="str">
        <f>IFERROR(__xludf.DUMMYFUNCTION("""COMPUTED_VALUE"""),"Seven Pounds")</f>
        <v>Seven Pounds</v>
      </c>
      <c r="J3673" s="5" t="str">
        <f>IFERROR(__xludf.DUMMYFUNCTION("""COMPUTED_VALUE"""),"Michael Ealy")</f>
        <v>Michael Ealy</v>
      </c>
      <c r="K3673" s="5" t="str">
        <f>IFERROR(__xludf.DUMMYFUNCTION("""COMPUTED_VALUE"""),"Estrela 4")</f>
        <v>Estrela 4</v>
      </c>
      <c r="P3673" s="5">
        <f>IFERROR(__xludf.DUMMYFUNCTION("""COMPUTED_VALUE"""),918.0)</f>
        <v>918</v>
      </c>
      <c r="Q3673" s="5" t="str">
        <f>IFERROR(__xludf.DUMMYFUNCTION("""COMPUTED_VALUE"""),"Seven Pounds")</f>
        <v>Seven Pounds</v>
      </c>
      <c r="R3673" s="5" t="str">
        <f>IFERROR(__xludf.DUMMYFUNCTION("""COMPUTED_VALUE"""),"Michael Ealy")</f>
        <v>Michael Ealy</v>
      </c>
      <c r="S3673" s="5" t="str">
        <f>IFERROR(__xludf.DUMMYFUNCTION("""COMPUTED_VALUE"""),"Estrela 4")</f>
        <v>Estrela 4</v>
      </c>
    </row>
    <row r="3674">
      <c r="G3674" s="5" t="str">
        <f>IFERROR(__xludf.DUMMYFUNCTION("""COMPUTED_VALUE"""),"919🤙🏼Eastern Promises🤙🏼Naomi Watts🤙🏼Estrela 1")</f>
        <v>919🤙🏼Eastern Promises🤙🏼Naomi Watts🤙🏼Estrela 1</v>
      </c>
      <c r="H3674" s="5">
        <f>IFERROR(__xludf.DUMMYFUNCTION("SPLiT(G3674, ""🤙🏼"",FALSE,FALSE)"),919.0)</f>
        <v>919</v>
      </c>
      <c r="I3674" s="5" t="str">
        <f>IFERROR(__xludf.DUMMYFUNCTION("""COMPUTED_VALUE"""),"Eastern Promises")</f>
        <v>Eastern Promises</v>
      </c>
      <c r="J3674" s="5" t="str">
        <f>IFERROR(__xludf.DUMMYFUNCTION("""COMPUTED_VALUE"""),"Naomi Watts")</f>
        <v>Naomi Watts</v>
      </c>
      <c r="K3674" s="5" t="str">
        <f>IFERROR(__xludf.DUMMYFUNCTION("""COMPUTED_VALUE"""),"Estrela 1")</f>
        <v>Estrela 1</v>
      </c>
      <c r="P3674" s="5">
        <f>IFERROR(__xludf.DUMMYFUNCTION("""COMPUTED_VALUE"""),919.0)</f>
        <v>919</v>
      </c>
      <c r="Q3674" s="5" t="str">
        <f>IFERROR(__xludf.DUMMYFUNCTION("""COMPUTED_VALUE"""),"Eastern Promises")</f>
        <v>Eastern Promises</v>
      </c>
      <c r="R3674" s="5" t="str">
        <f>IFERROR(__xludf.DUMMYFUNCTION("""COMPUTED_VALUE"""),"Naomi Watts")</f>
        <v>Naomi Watts</v>
      </c>
      <c r="S3674" s="5" t="str">
        <f>IFERROR(__xludf.DUMMYFUNCTION("""COMPUTED_VALUE"""),"Estrela 1")</f>
        <v>Estrela 1</v>
      </c>
    </row>
    <row r="3675">
      <c r="G3675" s="5" t="str">
        <f>IFERROR(__xludf.DUMMYFUNCTION("""COMPUTED_VALUE"""),"919🤙🏼Eastern Promises🤙🏼Viggo Mortensen🤙🏼Estrela 2")</f>
        <v>919🤙🏼Eastern Promises🤙🏼Viggo Mortensen🤙🏼Estrela 2</v>
      </c>
      <c r="H3675" s="5">
        <f>IFERROR(__xludf.DUMMYFUNCTION("SPLiT(G3675, ""🤙🏼"",FALSE,FALSE)"),919.0)</f>
        <v>919</v>
      </c>
      <c r="I3675" s="5" t="str">
        <f>IFERROR(__xludf.DUMMYFUNCTION("""COMPUTED_VALUE"""),"Eastern Promises")</f>
        <v>Eastern Promises</v>
      </c>
      <c r="J3675" s="5" t="str">
        <f>IFERROR(__xludf.DUMMYFUNCTION("""COMPUTED_VALUE"""),"Viggo Mortensen")</f>
        <v>Viggo Mortensen</v>
      </c>
      <c r="K3675" s="5" t="str">
        <f>IFERROR(__xludf.DUMMYFUNCTION("""COMPUTED_VALUE"""),"Estrela 2")</f>
        <v>Estrela 2</v>
      </c>
      <c r="P3675" s="5">
        <f>IFERROR(__xludf.DUMMYFUNCTION("""COMPUTED_VALUE"""),919.0)</f>
        <v>919</v>
      </c>
      <c r="Q3675" s="5" t="str">
        <f>IFERROR(__xludf.DUMMYFUNCTION("""COMPUTED_VALUE"""),"Eastern Promises")</f>
        <v>Eastern Promises</v>
      </c>
      <c r="R3675" s="5" t="str">
        <f>IFERROR(__xludf.DUMMYFUNCTION("""COMPUTED_VALUE"""),"Viggo Mortensen")</f>
        <v>Viggo Mortensen</v>
      </c>
      <c r="S3675" s="5" t="str">
        <f>IFERROR(__xludf.DUMMYFUNCTION("""COMPUTED_VALUE"""),"Estrela 2")</f>
        <v>Estrela 2</v>
      </c>
    </row>
    <row r="3676">
      <c r="G3676" s="5" t="str">
        <f>IFERROR(__xludf.DUMMYFUNCTION("""COMPUTED_VALUE"""),"919🤙🏼Eastern Promises🤙🏼Armin Mueller-Stahl🤙🏼Estrela 3")</f>
        <v>919🤙🏼Eastern Promises🤙🏼Armin Mueller-Stahl🤙🏼Estrela 3</v>
      </c>
      <c r="H3676" s="5">
        <f>IFERROR(__xludf.DUMMYFUNCTION("SPLiT(G3676, ""🤙🏼"",FALSE,FALSE)"),919.0)</f>
        <v>919</v>
      </c>
      <c r="I3676" s="5" t="str">
        <f>IFERROR(__xludf.DUMMYFUNCTION("""COMPUTED_VALUE"""),"Eastern Promises")</f>
        <v>Eastern Promises</v>
      </c>
      <c r="J3676" s="5" t="str">
        <f>IFERROR(__xludf.DUMMYFUNCTION("""COMPUTED_VALUE"""),"Armin Mueller-Stahl")</f>
        <v>Armin Mueller-Stahl</v>
      </c>
      <c r="K3676" s="5" t="str">
        <f>IFERROR(__xludf.DUMMYFUNCTION("""COMPUTED_VALUE"""),"Estrela 3")</f>
        <v>Estrela 3</v>
      </c>
      <c r="P3676" s="5">
        <f>IFERROR(__xludf.DUMMYFUNCTION("""COMPUTED_VALUE"""),919.0)</f>
        <v>919</v>
      </c>
      <c r="Q3676" s="5" t="str">
        <f>IFERROR(__xludf.DUMMYFUNCTION("""COMPUTED_VALUE"""),"Eastern Promises")</f>
        <v>Eastern Promises</v>
      </c>
      <c r="R3676" s="5" t="str">
        <f>IFERROR(__xludf.DUMMYFUNCTION("""COMPUTED_VALUE"""),"Armin Mueller-Stahl")</f>
        <v>Armin Mueller-Stahl</v>
      </c>
      <c r="S3676" s="5" t="str">
        <f>IFERROR(__xludf.DUMMYFUNCTION("""COMPUTED_VALUE"""),"Estrela 3")</f>
        <v>Estrela 3</v>
      </c>
    </row>
    <row r="3677">
      <c r="G3677" s="5" t="str">
        <f>IFERROR(__xludf.DUMMYFUNCTION("""COMPUTED_VALUE"""),"919🤙🏼Eastern Promises🤙🏼Josef Altin🤙🏼Estrela 4")</f>
        <v>919🤙🏼Eastern Promises🤙🏼Josef Altin🤙🏼Estrela 4</v>
      </c>
      <c r="H3677" s="5">
        <f>IFERROR(__xludf.DUMMYFUNCTION("SPLiT(G3677, ""🤙🏼"",FALSE,FALSE)"),919.0)</f>
        <v>919</v>
      </c>
      <c r="I3677" s="5" t="str">
        <f>IFERROR(__xludf.DUMMYFUNCTION("""COMPUTED_VALUE"""),"Eastern Promises")</f>
        <v>Eastern Promises</v>
      </c>
      <c r="J3677" s="5" t="str">
        <f>IFERROR(__xludf.DUMMYFUNCTION("""COMPUTED_VALUE"""),"Josef Altin")</f>
        <v>Josef Altin</v>
      </c>
      <c r="K3677" s="5" t="str">
        <f>IFERROR(__xludf.DUMMYFUNCTION("""COMPUTED_VALUE"""),"Estrela 4")</f>
        <v>Estrela 4</v>
      </c>
      <c r="P3677" s="5">
        <f>IFERROR(__xludf.DUMMYFUNCTION("""COMPUTED_VALUE"""),919.0)</f>
        <v>919</v>
      </c>
      <c r="Q3677" s="5" t="str">
        <f>IFERROR(__xludf.DUMMYFUNCTION("""COMPUTED_VALUE"""),"Eastern Promises")</f>
        <v>Eastern Promises</v>
      </c>
      <c r="R3677" s="5" t="str">
        <f>IFERROR(__xludf.DUMMYFUNCTION("""COMPUTED_VALUE"""),"Josef Altin")</f>
        <v>Josef Altin</v>
      </c>
      <c r="S3677" s="5" t="str">
        <f>IFERROR(__xludf.DUMMYFUNCTION("""COMPUTED_VALUE"""),"Estrela 4")</f>
        <v>Estrela 4</v>
      </c>
    </row>
    <row r="3678">
      <c r="G3678" s="5" t="str">
        <f>IFERROR(__xludf.DUMMYFUNCTION("""COMPUTED_VALUE"""),"920🤙🏼Stardust🤙🏼Charlie Cox🤙🏼Estrela 1")</f>
        <v>920🤙🏼Stardust🤙🏼Charlie Cox🤙🏼Estrela 1</v>
      </c>
      <c r="H3678" s="5">
        <f>IFERROR(__xludf.DUMMYFUNCTION("SPLiT(G3678, ""🤙🏼"",FALSE,FALSE)"),920.0)</f>
        <v>920</v>
      </c>
      <c r="I3678" s="5" t="str">
        <f>IFERROR(__xludf.DUMMYFUNCTION("""COMPUTED_VALUE"""),"Stardust")</f>
        <v>Stardust</v>
      </c>
      <c r="J3678" s="5" t="str">
        <f>IFERROR(__xludf.DUMMYFUNCTION("""COMPUTED_VALUE"""),"Charlie Cox")</f>
        <v>Charlie Cox</v>
      </c>
      <c r="K3678" s="5" t="str">
        <f>IFERROR(__xludf.DUMMYFUNCTION("""COMPUTED_VALUE"""),"Estrela 1")</f>
        <v>Estrela 1</v>
      </c>
      <c r="P3678" s="5">
        <f>IFERROR(__xludf.DUMMYFUNCTION("""COMPUTED_VALUE"""),920.0)</f>
        <v>920</v>
      </c>
      <c r="Q3678" s="5" t="str">
        <f>IFERROR(__xludf.DUMMYFUNCTION("""COMPUTED_VALUE"""),"Stardust")</f>
        <v>Stardust</v>
      </c>
      <c r="R3678" s="5" t="str">
        <f>IFERROR(__xludf.DUMMYFUNCTION("""COMPUTED_VALUE"""),"Charlie Cox")</f>
        <v>Charlie Cox</v>
      </c>
      <c r="S3678" s="5" t="str">
        <f>IFERROR(__xludf.DUMMYFUNCTION("""COMPUTED_VALUE"""),"Estrela 1")</f>
        <v>Estrela 1</v>
      </c>
    </row>
    <row r="3679">
      <c r="G3679" s="5" t="str">
        <f>IFERROR(__xludf.DUMMYFUNCTION("""COMPUTED_VALUE"""),"920🤙🏼Stardust🤙🏼Claire Danes🤙🏼Estrela 2")</f>
        <v>920🤙🏼Stardust🤙🏼Claire Danes🤙🏼Estrela 2</v>
      </c>
      <c r="H3679" s="5">
        <f>IFERROR(__xludf.DUMMYFUNCTION("SPLiT(G3679, ""🤙🏼"",FALSE,FALSE)"),920.0)</f>
        <v>920</v>
      </c>
      <c r="I3679" s="5" t="str">
        <f>IFERROR(__xludf.DUMMYFUNCTION("""COMPUTED_VALUE"""),"Stardust")</f>
        <v>Stardust</v>
      </c>
      <c r="J3679" s="5" t="str">
        <f>IFERROR(__xludf.DUMMYFUNCTION("""COMPUTED_VALUE"""),"Claire Danes")</f>
        <v>Claire Danes</v>
      </c>
      <c r="K3679" s="5" t="str">
        <f>IFERROR(__xludf.DUMMYFUNCTION("""COMPUTED_VALUE"""),"Estrela 2")</f>
        <v>Estrela 2</v>
      </c>
      <c r="P3679" s="5">
        <f>IFERROR(__xludf.DUMMYFUNCTION("""COMPUTED_VALUE"""),920.0)</f>
        <v>920</v>
      </c>
      <c r="Q3679" s="5" t="str">
        <f>IFERROR(__xludf.DUMMYFUNCTION("""COMPUTED_VALUE"""),"Stardust")</f>
        <v>Stardust</v>
      </c>
      <c r="R3679" s="5" t="str">
        <f>IFERROR(__xludf.DUMMYFUNCTION("""COMPUTED_VALUE"""),"Claire Danes")</f>
        <v>Claire Danes</v>
      </c>
      <c r="S3679" s="5" t="str">
        <f>IFERROR(__xludf.DUMMYFUNCTION("""COMPUTED_VALUE"""),"Estrela 2")</f>
        <v>Estrela 2</v>
      </c>
    </row>
    <row r="3680">
      <c r="G3680" s="5" t="str">
        <f>IFERROR(__xludf.DUMMYFUNCTION("""COMPUTED_VALUE"""),"920🤙🏼Stardust🤙🏼Sienna Miller🤙🏼Estrela 3")</f>
        <v>920🤙🏼Stardust🤙🏼Sienna Miller🤙🏼Estrela 3</v>
      </c>
      <c r="H3680" s="5">
        <f>IFERROR(__xludf.DUMMYFUNCTION("SPLiT(G3680, ""🤙🏼"",FALSE,FALSE)"),920.0)</f>
        <v>920</v>
      </c>
      <c r="I3680" s="5" t="str">
        <f>IFERROR(__xludf.DUMMYFUNCTION("""COMPUTED_VALUE"""),"Stardust")</f>
        <v>Stardust</v>
      </c>
      <c r="J3680" s="5" t="str">
        <f>IFERROR(__xludf.DUMMYFUNCTION("""COMPUTED_VALUE"""),"Sienna Miller")</f>
        <v>Sienna Miller</v>
      </c>
      <c r="K3680" s="5" t="str">
        <f>IFERROR(__xludf.DUMMYFUNCTION("""COMPUTED_VALUE"""),"Estrela 3")</f>
        <v>Estrela 3</v>
      </c>
      <c r="P3680" s="5">
        <f>IFERROR(__xludf.DUMMYFUNCTION("""COMPUTED_VALUE"""),920.0)</f>
        <v>920</v>
      </c>
      <c r="Q3680" s="5" t="str">
        <f>IFERROR(__xludf.DUMMYFUNCTION("""COMPUTED_VALUE"""),"Stardust")</f>
        <v>Stardust</v>
      </c>
      <c r="R3680" s="5" t="str">
        <f>IFERROR(__xludf.DUMMYFUNCTION("""COMPUTED_VALUE"""),"Sienna Miller")</f>
        <v>Sienna Miller</v>
      </c>
      <c r="S3680" s="5" t="str">
        <f>IFERROR(__xludf.DUMMYFUNCTION("""COMPUTED_VALUE"""),"Estrela 3")</f>
        <v>Estrela 3</v>
      </c>
    </row>
    <row r="3681">
      <c r="G3681" s="5" t="str">
        <f>IFERROR(__xludf.DUMMYFUNCTION("""COMPUTED_VALUE"""),"920🤙🏼Stardust🤙🏼Ian McKellen🤙🏼Estrela 4")</f>
        <v>920🤙🏼Stardust🤙🏼Ian McKellen🤙🏼Estrela 4</v>
      </c>
      <c r="H3681" s="5">
        <f>IFERROR(__xludf.DUMMYFUNCTION("SPLiT(G3681, ""🤙🏼"",FALSE,FALSE)"),920.0)</f>
        <v>920</v>
      </c>
      <c r="I3681" s="5" t="str">
        <f>IFERROR(__xludf.DUMMYFUNCTION("""COMPUTED_VALUE"""),"Stardust")</f>
        <v>Stardust</v>
      </c>
      <c r="J3681" s="5" t="str">
        <f>IFERROR(__xludf.DUMMYFUNCTION("""COMPUTED_VALUE"""),"Ian McKellen")</f>
        <v>Ian McKellen</v>
      </c>
      <c r="K3681" s="5" t="str">
        <f>IFERROR(__xludf.DUMMYFUNCTION("""COMPUTED_VALUE"""),"Estrela 4")</f>
        <v>Estrela 4</v>
      </c>
      <c r="P3681" s="5">
        <f>IFERROR(__xludf.DUMMYFUNCTION("""COMPUTED_VALUE"""),920.0)</f>
        <v>920</v>
      </c>
      <c r="Q3681" s="5" t="str">
        <f>IFERROR(__xludf.DUMMYFUNCTION("""COMPUTED_VALUE"""),"Stardust")</f>
        <v>Stardust</v>
      </c>
      <c r="R3681" s="5" t="str">
        <f>IFERROR(__xludf.DUMMYFUNCTION("""COMPUTED_VALUE"""),"Ian McKellen")</f>
        <v>Ian McKellen</v>
      </c>
      <c r="S3681" s="5" t="str">
        <f>IFERROR(__xludf.DUMMYFUNCTION("""COMPUTED_VALUE"""),"Estrela 4")</f>
        <v>Estrela 4</v>
      </c>
    </row>
    <row r="3682">
      <c r="G3682" s="5" t="str">
        <f>IFERROR(__xludf.DUMMYFUNCTION("""COMPUTED_VALUE"""),"921🤙🏼The Secret of Kells🤙🏼Nora Twomey🤙🏼Estrela 1")</f>
        <v>921🤙🏼The Secret of Kells🤙🏼Nora Twomey🤙🏼Estrela 1</v>
      </c>
      <c r="H3682" s="5">
        <f>IFERROR(__xludf.DUMMYFUNCTION("SPLiT(G3682, ""🤙🏼"",FALSE,FALSE)"),921.0)</f>
        <v>921</v>
      </c>
      <c r="I3682" s="5" t="str">
        <f>IFERROR(__xludf.DUMMYFUNCTION("""COMPUTED_VALUE"""),"The Secret of Kells")</f>
        <v>The Secret of Kells</v>
      </c>
      <c r="J3682" s="5" t="str">
        <f>IFERROR(__xludf.DUMMYFUNCTION("""COMPUTED_VALUE"""),"Nora Twomey")</f>
        <v>Nora Twomey</v>
      </c>
      <c r="K3682" s="5" t="str">
        <f>IFERROR(__xludf.DUMMYFUNCTION("""COMPUTED_VALUE"""),"Estrela 1")</f>
        <v>Estrela 1</v>
      </c>
      <c r="P3682" s="5">
        <f>IFERROR(__xludf.DUMMYFUNCTION("""COMPUTED_VALUE"""),921.0)</f>
        <v>921</v>
      </c>
      <c r="Q3682" s="5" t="str">
        <f>IFERROR(__xludf.DUMMYFUNCTION("""COMPUTED_VALUE"""),"The Secret of Kells")</f>
        <v>The Secret of Kells</v>
      </c>
      <c r="R3682" s="5" t="str">
        <f>IFERROR(__xludf.DUMMYFUNCTION("""COMPUTED_VALUE"""),"Nora Twomey")</f>
        <v>Nora Twomey</v>
      </c>
      <c r="S3682" s="5" t="str">
        <f>IFERROR(__xludf.DUMMYFUNCTION("""COMPUTED_VALUE"""),"Estrela 1")</f>
        <v>Estrela 1</v>
      </c>
    </row>
    <row r="3683">
      <c r="G3683" s="5" t="str">
        <f>IFERROR(__xludf.DUMMYFUNCTION("""COMPUTED_VALUE"""),"921🤙🏼The Secret of Kells🤙🏼Evan McGuire🤙🏼Estrela 2")</f>
        <v>921🤙🏼The Secret of Kells🤙🏼Evan McGuire🤙🏼Estrela 2</v>
      </c>
      <c r="H3683" s="5">
        <f>IFERROR(__xludf.DUMMYFUNCTION("SPLiT(G3683, ""🤙🏼"",FALSE,FALSE)"),921.0)</f>
        <v>921</v>
      </c>
      <c r="I3683" s="5" t="str">
        <f>IFERROR(__xludf.DUMMYFUNCTION("""COMPUTED_VALUE"""),"The Secret of Kells")</f>
        <v>The Secret of Kells</v>
      </c>
      <c r="J3683" s="5" t="str">
        <f>IFERROR(__xludf.DUMMYFUNCTION("""COMPUTED_VALUE"""),"Evan McGuire")</f>
        <v>Evan McGuire</v>
      </c>
      <c r="K3683" s="5" t="str">
        <f>IFERROR(__xludf.DUMMYFUNCTION("""COMPUTED_VALUE"""),"Estrela 2")</f>
        <v>Estrela 2</v>
      </c>
      <c r="P3683" s="5">
        <f>IFERROR(__xludf.DUMMYFUNCTION("""COMPUTED_VALUE"""),921.0)</f>
        <v>921</v>
      </c>
      <c r="Q3683" s="5" t="str">
        <f>IFERROR(__xludf.DUMMYFUNCTION("""COMPUTED_VALUE"""),"The Secret of Kells")</f>
        <v>The Secret of Kells</v>
      </c>
      <c r="R3683" s="5" t="str">
        <f>IFERROR(__xludf.DUMMYFUNCTION("""COMPUTED_VALUE"""),"Evan McGuire")</f>
        <v>Evan McGuire</v>
      </c>
      <c r="S3683" s="5" t="str">
        <f>IFERROR(__xludf.DUMMYFUNCTION("""COMPUTED_VALUE"""),"Estrela 2")</f>
        <v>Estrela 2</v>
      </c>
    </row>
    <row r="3684">
      <c r="G3684" s="5" t="str">
        <f>IFERROR(__xludf.DUMMYFUNCTION("""COMPUTED_VALUE"""),"921🤙🏼The Secret of Kells🤙🏼Brendan Gleeson🤙🏼Estrela 3")</f>
        <v>921🤙🏼The Secret of Kells🤙🏼Brendan Gleeson🤙🏼Estrela 3</v>
      </c>
      <c r="H3684" s="5">
        <f>IFERROR(__xludf.DUMMYFUNCTION("SPLiT(G3684, ""🤙🏼"",FALSE,FALSE)"),921.0)</f>
        <v>921</v>
      </c>
      <c r="I3684" s="5" t="str">
        <f>IFERROR(__xludf.DUMMYFUNCTION("""COMPUTED_VALUE"""),"The Secret of Kells")</f>
        <v>The Secret of Kells</v>
      </c>
      <c r="J3684" s="5" t="str">
        <f>IFERROR(__xludf.DUMMYFUNCTION("""COMPUTED_VALUE"""),"Brendan Gleeson")</f>
        <v>Brendan Gleeson</v>
      </c>
      <c r="K3684" s="5" t="str">
        <f>IFERROR(__xludf.DUMMYFUNCTION("""COMPUTED_VALUE"""),"Estrela 3")</f>
        <v>Estrela 3</v>
      </c>
      <c r="P3684" s="5">
        <f>IFERROR(__xludf.DUMMYFUNCTION("""COMPUTED_VALUE"""),921.0)</f>
        <v>921</v>
      </c>
      <c r="Q3684" s="5" t="str">
        <f>IFERROR(__xludf.DUMMYFUNCTION("""COMPUTED_VALUE"""),"The Secret of Kells")</f>
        <v>The Secret of Kells</v>
      </c>
      <c r="R3684" s="5" t="str">
        <f>IFERROR(__xludf.DUMMYFUNCTION("""COMPUTED_VALUE"""),"Brendan Gleeson")</f>
        <v>Brendan Gleeson</v>
      </c>
      <c r="S3684" s="5" t="str">
        <f>IFERROR(__xludf.DUMMYFUNCTION("""COMPUTED_VALUE"""),"Estrela 3")</f>
        <v>Estrela 3</v>
      </c>
    </row>
    <row r="3685">
      <c r="G3685" s="5" t="str">
        <f>IFERROR(__xludf.DUMMYFUNCTION("""COMPUTED_VALUE"""),"921🤙🏼The Secret of Kells🤙🏼Mick Lally🤙🏼Estrela 4")</f>
        <v>921🤙🏼The Secret of Kells🤙🏼Mick Lally🤙🏼Estrela 4</v>
      </c>
      <c r="H3685" s="5">
        <f>IFERROR(__xludf.DUMMYFUNCTION("SPLiT(G3685, ""🤙🏼"",FALSE,FALSE)"),921.0)</f>
        <v>921</v>
      </c>
      <c r="I3685" s="5" t="str">
        <f>IFERROR(__xludf.DUMMYFUNCTION("""COMPUTED_VALUE"""),"The Secret of Kells")</f>
        <v>The Secret of Kells</v>
      </c>
      <c r="J3685" s="5" t="str">
        <f>IFERROR(__xludf.DUMMYFUNCTION("""COMPUTED_VALUE"""),"Mick Lally")</f>
        <v>Mick Lally</v>
      </c>
      <c r="K3685" s="5" t="str">
        <f>IFERROR(__xludf.DUMMYFUNCTION("""COMPUTED_VALUE"""),"Estrela 4")</f>
        <v>Estrela 4</v>
      </c>
      <c r="P3685" s="5">
        <f>IFERROR(__xludf.DUMMYFUNCTION("""COMPUTED_VALUE"""),921.0)</f>
        <v>921</v>
      </c>
      <c r="Q3685" s="5" t="str">
        <f>IFERROR(__xludf.DUMMYFUNCTION("""COMPUTED_VALUE"""),"The Secret of Kells")</f>
        <v>The Secret of Kells</v>
      </c>
      <c r="R3685" s="5" t="str">
        <f>IFERROR(__xludf.DUMMYFUNCTION("""COMPUTED_VALUE"""),"Mick Lally")</f>
        <v>Mick Lally</v>
      </c>
      <c r="S3685" s="5" t="str">
        <f>IFERROR(__xludf.DUMMYFUNCTION("""COMPUTED_VALUE"""),"Estrela 4")</f>
        <v>Estrela 4</v>
      </c>
    </row>
    <row r="3686">
      <c r="G3686" s="5" t="str">
        <f>IFERROR(__xludf.DUMMYFUNCTION("""COMPUTED_VALUE"""),"922🤙🏼Inside Man🤙🏼Denzel Washington🤙🏼Estrela 1")</f>
        <v>922🤙🏼Inside Man🤙🏼Denzel Washington🤙🏼Estrela 1</v>
      </c>
      <c r="H3686" s="5">
        <f>IFERROR(__xludf.DUMMYFUNCTION("SPLiT(G3686, ""🤙🏼"",FALSE,FALSE)"),922.0)</f>
        <v>922</v>
      </c>
      <c r="I3686" s="5" t="str">
        <f>IFERROR(__xludf.DUMMYFUNCTION("""COMPUTED_VALUE"""),"Inside Man")</f>
        <v>Inside Man</v>
      </c>
      <c r="J3686" s="5" t="str">
        <f>IFERROR(__xludf.DUMMYFUNCTION("""COMPUTED_VALUE"""),"Denzel Washington")</f>
        <v>Denzel Washington</v>
      </c>
      <c r="K3686" s="5" t="str">
        <f>IFERROR(__xludf.DUMMYFUNCTION("""COMPUTED_VALUE"""),"Estrela 1")</f>
        <v>Estrela 1</v>
      </c>
      <c r="P3686" s="5">
        <f>IFERROR(__xludf.DUMMYFUNCTION("""COMPUTED_VALUE"""),922.0)</f>
        <v>922</v>
      </c>
      <c r="Q3686" s="5" t="str">
        <f>IFERROR(__xludf.DUMMYFUNCTION("""COMPUTED_VALUE"""),"Inside Man")</f>
        <v>Inside Man</v>
      </c>
      <c r="R3686" s="5" t="str">
        <f>IFERROR(__xludf.DUMMYFUNCTION("""COMPUTED_VALUE"""),"Denzel Washington")</f>
        <v>Denzel Washington</v>
      </c>
      <c r="S3686" s="5" t="str">
        <f>IFERROR(__xludf.DUMMYFUNCTION("""COMPUTED_VALUE"""),"Estrela 1")</f>
        <v>Estrela 1</v>
      </c>
    </row>
    <row r="3687">
      <c r="G3687" s="5" t="str">
        <f>IFERROR(__xludf.DUMMYFUNCTION("""COMPUTED_VALUE"""),"922🤙🏼Inside Man🤙🏼Clive Owen🤙🏼Estrela 2")</f>
        <v>922🤙🏼Inside Man🤙🏼Clive Owen🤙🏼Estrela 2</v>
      </c>
      <c r="H3687" s="5">
        <f>IFERROR(__xludf.DUMMYFUNCTION("SPLiT(G3687, ""🤙🏼"",FALSE,FALSE)"),922.0)</f>
        <v>922</v>
      </c>
      <c r="I3687" s="5" t="str">
        <f>IFERROR(__xludf.DUMMYFUNCTION("""COMPUTED_VALUE"""),"Inside Man")</f>
        <v>Inside Man</v>
      </c>
      <c r="J3687" s="5" t="str">
        <f>IFERROR(__xludf.DUMMYFUNCTION("""COMPUTED_VALUE"""),"Clive Owen")</f>
        <v>Clive Owen</v>
      </c>
      <c r="K3687" s="5" t="str">
        <f>IFERROR(__xludf.DUMMYFUNCTION("""COMPUTED_VALUE"""),"Estrela 2")</f>
        <v>Estrela 2</v>
      </c>
      <c r="P3687" s="5">
        <f>IFERROR(__xludf.DUMMYFUNCTION("""COMPUTED_VALUE"""),922.0)</f>
        <v>922</v>
      </c>
      <c r="Q3687" s="5" t="str">
        <f>IFERROR(__xludf.DUMMYFUNCTION("""COMPUTED_VALUE"""),"Inside Man")</f>
        <v>Inside Man</v>
      </c>
      <c r="R3687" s="5" t="str">
        <f>IFERROR(__xludf.DUMMYFUNCTION("""COMPUTED_VALUE"""),"Clive Owen")</f>
        <v>Clive Owen</v>
      </c>
      <c r="S3687" s="5" t="str">
        <f>IFERROR(__xludf.DUMMYFUNCTION("""COMPUTED_VALUE"""),"Estrela 2")</f>
        <v>Estrela 2</v>
      </c>
    </row>
    <row r="3688">
      <c r="G3688" s="5" t="str">
        <f>IFERROR(__xludf.DUMMYFUNCTION("""COMPUTED_VALUE"""),"922🤙🏼Inside Man🤙🏼Jodie Foster🤙🏼Estrela 3")</f>
        <v>922🤙🏼Inside Man🤙🏼Jodie Foster🤙🏼Estrela 3</v>
      </c>
      <c r="H3688" s="5">
        <f>IFERROR(__xludf.DUMMYFUNCTION("SPLiT(G3688, ""🤙🏼"",FALSE,FALSE)"),922.0)</f>
        <v>922</v>
      </c>
      <c r="I3688" s="5" t="str">
        <f>IFERROR(__xludf.DUMMYFUNCTION("""COMPUTED_VALUE"""),"Inside Man")</f>
        <v>Inside Man</v>
      </c>
      <c r="J3688" s="5" t="str">
        <f>IFERROR(__xludf.DUMMYFUNCTION("""COMPUTED_VALUE"""),"Jodie Foster")</f>
        <v>Jodie Foster</v>
      </c>
      <c r="K3688" s="5" t="str">
        <f>IFERROR(__xludf.DUMMYFUNCTION("""COMPUTED_VALUE"""),"Estrela 3")</f>
        <v>Estrela 3</v>
      </c>
      <c r="P3688" s="5">
        <f>IFERROR(__xludf.DUMMYFUNCTION("""COMPUTED_VALUE"""),922.0)</f>
        <v>922</v>
      </c>
      <c r="Q3688" s="5" t="str">
        <f>IFERROR(__xludf.DUMMYFUNCTION("""COMPUTED_VALUE"""),"Inside Man")</f>
        <v>Inside Man</v>
      </c>
      <c r="R3688" s="5" t="str">
        <f>IFERROR(__xludf.DUMMYFUNCTION("""COMPUTED_VALUE"""),"Jodie Foster")</f>
        <v>Jodie Foster</v>
      </c>
      <c r="S3688" s="5" t="str">
        <f>IFERROR(__xludf.DUMMYFUNCTION("""COMPUTED_VALUE"""),"Estrela 3")</f>
        <v>Estrela 3</v>
      </c>
    </row>
    <row r="3689">
      <c r="G3689" s="5" t="str">
        <f>IFERROR(__xludf.DUMMYFUNCTION("""COMPUTED_VALUE"""),"922🤙🏼Inside Man🤙🏼Christopher Plummer🤙🏼Estrela 4")</f>
        <v>922🤙🏼Inside Man🤙🏼Christopher Plummer🤙🏼Estrela 4</v>
      </c>
      <c r="H3689" s="5">
        <f>IFERROR(__xludf.DUMMYFUNCTION("SPLiT(G3689, ""🤙🏼"",FALSE,FALSE)"),922.0)</f>
        <v>922</v>
      </c>
      <c r="I3689" s="5" t="str">
        <f>IFERROR(__xludf.DUMMYFUNCTION("""COMPUTED_VALUE"""),"Inside Man")</f>
        <v>Inside Man</v>
      </c>
      <c r="J3689" s="5" t="str">
        <f>IFERROR(__xludf.DUMMYFUNCTION("""COMPUTED_VALUE"""),"Christopher Plummer")</f>
        <v>Christopher Plummer</v>
      </c>
      <c r="K3689" s="5" t="str">
        <f>IFERROR(__xludf.DUMMYFUNCTION("""COMPUTED_VALUE"""),"Estrela 4")</f>
        <v>Estrela 4</v>
      </c>
      <c r="P3689" s="5">
        <f>IFERROR(__xludf.DUMMYFUNCTION("""COMPUTED_VALUE"""),922.0)</f>
        <v>922</v>
      </c>
      <c r="Q3689" s="5" t="str">
        <f>IFERROR(__xludf.DUMMYFUNCTION("""COMPUTED_VALUE"""),"Inside Man")</f>
        <v>Inside Man</v>
      </c>
      <c r="R3689" s="5" t="str">
        <f>IFERROR(__xludf.DUMMYFUNCTION("""COMPUTED_VALUE"""),"Christopher Plummer")</f>
        <v>Christopher Plummer</v>
      </c>
      <c r="S3689" s="5" t="str">
        <f>IFERROR(__xludf.DUMMYFUNCTION("""COMPUTED_VALUE"""),"Estrela 4")</f>
        <v>Estrela 4</v>
      </c>
    </row>
    <row r="3690">
      <c r="G3690" s="5" t="str">
        <f>IFERROR(__xludf.DUMMYFUNCTION("""COMPUTED_VALUE"""),"923🤙🏼Gone Baby Gone🤙🏼Morgan Freeman🤙🏼Estrela 1")</f>
        <v>923🤙🏼Gone Baby Gone🤙🏼Morgan Freeman🤙🏼Estrela 1</v>
      </c>
      <c r="H3690" s="5">
        <f>IFERROR(__xludf.DUMMYFUNCTION("SPLiT(G3690, ""🤙🏼"",FALSE,FALSE)"),923.0)</f>
        <v>923</v>
      </c>
      <c r="I3690" s="5" t="str">
        <f>IFERROR(__xludf.DUMMYFUNCTION("""COMPUTED_VALUE"""),"Gone Baby Gone")</f>
        <v>Gone Baby Gone</v>
      </c>
      <c r="J3690" s="5" t="str">
        <f>IFERROR(__xludf.DUMMYFUNCTION("""COMPUTED_VALUE"""),"Morgan Freeman")</f>
        <v>Morgan Freeman</v>
      </c>
      <c r="K3690" s="5" t="str">
        <f>IFERROR(__xludf.DUMMYFUNCTION("""COMPUTED_VALUE"""),"Estrela 1")</f>
        <v>Estrela 1</v>
      </c>
      <c r="P3690" s="5">
        <f>IFERROR(__xludf.DUMMYFUNCTION("""COMPUTED_VALUE"""),923.0)</f>
        <v>923</v>
      </c>
      <c r="Q3690" s="5" t="str">
        <f>IFERROR(__xludf.DUMMYFUNCTION("""COMPUTED_VALUE"""),"Gone Baby Gone")</f>
        <v>Gone Baby Gone</v>
      </c>
      <c r="R3690" s="5" t="str">
        <f>IFERROR(__xludf.DUMMYFUNCTION("""COMPUTED_VALUE"""),"Morgan Freeman")</f>
        <v>Morgan Freeman</v>
      </c>
      <c r="S3690" s="5" t="str">
        <f>IFERROR(__xludf.DUMMYFUNCTION("""COMPUTED_VALUE"""),"Estrela 1")</f>
        <v>Estrela 1</v>
      </c>
    </row>
    <row r="3691">
      <c r="G3691" s="5" t="str">
        <f>IFERROR(__xludf.DUMMYFUNCTION("""COMPUTED_VALUE"""),"923🤙🏼Gone Baby Gone🤙🏼Ed Harris🤙🏼Estrela 2")</f>
        <v>923🤙🏼Gone Baby Gone🤙🏼Ed Harris🤙🏼Estrela 2</v>
      </c>
      <c r="H3691" s="5">
        <f>IFERROR(__xludf.DUMMYFUNCTION("SPLiT(G3691, ""🤙🏼"",FALSE,FALSE)"),923.0)</f>
        <v>923</v>
      </c>
      <c r="I3691" s="5" t="str">
        <f>IFERROR(__xludf.DUMMYFUNCTION("""COMPUTED_VALUE"""),"Gone Baby Gone")</f>
        <v>Gone Baby Gone</v>
      </c>
      <c r="J3691" s="5" t="str">
        <f>IFERROR(__xludf.DUMMYFUNCTION("""COMPUTED_VALUE"""),"Ed Harris")</f>
        <v>Ed Harris</v>
      </c>
      <c r="K3691" s="5" t="str">
        <f>IFERROR(__xludf.DUMMYFUNCTION("""COMPUTED_VALUE"""),"Estrela 2")</f>
        <v>Estrela 2</v>
      </c>
      <c r="P3691" s="5">
        <f>IFERROR(__xludf.DUMMYFUNCTION("""COMPUTED_VALUE"""),923.0)</f>
        <v>923</v>
      </c>
      <c r="Q3691" s="5" t="str">
        <f>IFERROR(__xludf.DUMMYFUNCTION("""COMPUTED_VALUE"""),"Gone Baby Gone")</f>
        <v>Gone Baby Gone</v>
      </c>
      <c r="R3691" s="5" t="str">
        <f>IFERROR(__xludf.DUMMYFUNCTION("""COMPUTED_VALUE"""),"Ed Harris")</f>
        <v>Ed Harris</v>
      </c>
      <c r="S3691" s="5" t="str">
        <f>IFERROR(__xludf.DUMMYFUNCTION("""COMPUTED_VALUE"""),"Estrela 2")</f>
        <v>Estrela 2</v>
      </c>
    </row>
    <row r="3692">
      <c r="G3692" s="5" t="str">
        <f>IFERROR(__xludf.DUMMYFUNCTION("""COMPUTED_VALUE"""),"923🤙🏼Gone Baby Gone🤙🏼Casey Affleck🤙🏼Estrela 3")</f>
        <v>923🤙🏼Gone Baby Gone🤙🏼Casey Affleck🤙🏼Estrela 3</v>
      </c>
      <c r="H3692" s="5">
        <f>IFERROR(__xludf.DUMMYFUNCTION("SPLiT(G3692, ""🤙🏼"",FALSE,FALSE)"),923.0)</f>
        <v>923</v>
      </c>
      <c r="I3692" s="5" t="str">
        <f>IFERROR(__xludf.DUMMYFUNCTION("""COMPUTED_VALUE"""),"Gone Baby Gone")</f>
        <v>Gone Baby Gone</v>
      </c>
      <c r="J3692" s="5" t="str">
        <f>IFERROR(__xludf.DUMMYFUNCTION("""COMPUTED_VALUE"""),"Casey Affleck")</f>
        <v>Casey Affleck</v>
      </c>
      <c r="K3692" s="5" t="str">
        <f>IFERROR(__xludf.DUMMYFUNCTION("""COMPUTED_VALUE"""),"Estrela 3")</f>
        <v>Estrela 3</v>
      </c>
      <c r="P3692" s="5">
        <f>IFERROR(__xludf.DUMMYFUNCTION("""COMPUTED_VALUE"""),923.0)</f>
        <v>923</v>
      </c>
      <c r="Q3692" s="5" t="str">
        <f>IFERROR(__xludf.DUMMYFUNCTION("""COMPUTED_VALUE"""),"Gone Baby Gone")</f>
        <v>Gone Baby Gone</v>
      </c>
      <c r="R3692" s="5" t="str">
        <f>IFERROR(__xludf.DUMMYFUNCTION("""COMPUTED_VALUE"""),"Casey Affleck")</f>
        <v>Casey Affleck</v>
      </c>
      <c r="S3692" s="5" t="str">
        <f>IFERROR(__xludf.DUMMYFUNCTION("""COMPUTED_VALUE"""),"Estrela 3")</f>
        <v>Estrela 3</v>
      </c>
    </row>
    <row r="3693">
      <c r="G3693" s="5" t="str">
        <f>IFERROR(__xludf.DUMMYFUNCTION("""COMPUTED_VALUE"""),"923🤙🏼Gone Baby Gone🤙🏼Michelle Monaghan🤙🏼Estrela 4")</f>
        <v>923🤙🏼Gone Baby Gone🤙🏼Michelle Monaghan🤙🏼Estrela 4</v>
      </c>
      <c r="H3693" s="5">
        <f>IFERROR(__xludf.DUMMYFUNCTION("SPLiT(G3693, ""🤙🏼"",FALSE,FALSE)"),923.0)</f>
        <v>923</v>
      </c>
      <c r="I3693" s="5" t="str">
        <f>IFERROR(__xludf.DUMMYFUNCTION("""COMPUTED_VALUE"""),"Gone Baby Gone")</f>
        <v>Gone Baby Gone</v>
      </c>
      <c r="J3693" s="5" t="str">
        <f>IFERROR(__xludf.DUMMYFUNCTION("""COMPUTED_VALUE"""),"Michelle Monaghan")</f>
        <v>Michelle Monaghan</v>
      </c>
      <c r="K3693" s="5" t="str">
        <f>IFERROR(__xludf.DUMMYFUNCTION("""COMPUTED_VALUE"""),"Estrela 4")</f>
        <v>Estrela 4</v>
      </c>
      <c r="P3693" s="5">
        <f>IFERROR(__xludf.DUMMYFUNCTION("""COMPUTED_VALUE"""),923.0)</f>
        <v>923</v>
      </c>
      <c r="Q3693" s="5" t="str">
        <f>IFERROR(__xludf.DUMMYFUNCTION("""COMPUTED_VALUE"""),"Gone Baby Gone")</f>
        <v>Gone Baby Gone</v>
      </c>
      <c r="R3693" s="5" t="str">
        <f>IFERROR(__xludf.DUMMYFUNCTION("""COMPUTED_VALUE"""),"Michelle Monaghan")</f>
        <v>Michelle Monaghan</v>
      </c>
      <c r="S3693" s="5" t="str">
        <f>IFERROR(__xludf.DUMMYFUNCTION("""COMPUTED_VALUE"""),"Estrela 4")</f>
        <v>Estrela 4</v>
      </c>
    </row>
    <row r="3694">
      <c r="G3694" s="5" t="str">
        <f>IFERROR(__xludf.DUMMYFUNCTION("""COMPUTED_VALUE"""),"924🤙🏼La Vie En Rose🤙🏼Marion Cotillard🤙🏼Estrela 1")</f>
        <v>924🤙🏼La Vie En Rose🤙🏼Marion Cotillard🤙🏼Estrela 1</v>
      </c>
      <c r="H3694" s="5">
        <f>IFERROR(__xludf.DUMMYFUNCTION("SPLiT(G3694, ""🤙🏼"",FALSE,FALSE)"),924.0)</f>
        <v>924</v>
      </c>
      <c r="I3694" s="5" t="str">
        <f>IFERROR(__xludf.DUMMYFUNCTION("""COMPUTED_VALUE"""),"La Vie En Rose")</f>
        <v>La Vie En Rose</v>
      </c>
      <c r="J3694" s="5" t="str">
        <f>IFERROR(__xludf.DUMMYFUNCTION("""COMPUTED_VALUE"""),"Marion Cotillard")</f>
        <v>Marion Cotillard</v>
      </c>
      <c r="K3694" s="5" t="str">
        <f>IFERROR(__xludf.DUMMYFUNCTION("""COMPUTED_VALUE"""),"Estrela 1")</f>
        <v>Estrela 1</v>
      </c>
      <c r="P3694" s="5">
        <f>IFERROR(__xludf.DUMMYFUNCTION("""COMPUTED_VALUE"""),924.0)</f>
        <v>924</v>
      </c>
      <c r="Q3694" s="5" t="str">
        <f>IFERROR(__xludf.DUMMYFUNCTION("""COMPUTED_VALUE"""),"La Vie En Rose")</f>
        <v>La Vie En Rose</v>
      </c>
      <c r="R3694" s="5" t="str">
        <f>IFERROR(__xludf.DUMMYFUNCTION("""COMPUTED_VALUE"""),"Marion Cotillard")</f>
        <v>Marion Cotillard</v>
      </c>
      <c r="S3694" s="5" t="str">
        <f>IFERROR(__xludf.DUMMYFUNCTION("""COMPUTED_VALUE"""),"Estrela 1")</f>
        <v>Estrela 1</v>
      </c>
    </row>
    <row r="3695">
      <c r="G3695" s="5" t="str">
        <f>IFERROR(__xludf.DUMMYFUNCTION("""COMPUTED_VALUE"""),"924🤙🏼La Vie En Rose🤙🏼Sylvie Testud🤙🏼Estrela 2")</f>
        <v>924🤙🏼La Vie En Rose🤙🏼Sylvie Testud🤙🏼Estrela 2</v>
      </c>
      <c r="H3695" s="5">
        <f>IFERROR(__xludf.DUMMYFUNCTION("SPLiT(G3695, ""🤙🏼"",FALSE,FALSE)"),924.0)</f>
        <v>924</v>
      </c>
      <c r="I3695" s="5" t="str">
        <f>IFERROR(__xludf.DUMMYFUNCTION("""COMPUTED_VALUE"""),"La Vie En Rose")</f>
        <v>La Vie En Rose</v>
      </c>
      <c r="J3695" s="5" t="str">
        <f>IFERROR(__xludf.DUMMYFUNCTION("""COMPUTED_VALUE"""),"Sylvie Testud")</f>
        <v>Sylvie Testud</v>
      </c>
      <c r="K3695" s="5" t="str">
        <f>IFERROR(__xludf.DUMMYFUNCTION("""COMPUTED_VALUE"""),"Estrela 2")</f>
        <v>Estrela 2</v>
      </c>
      <c r="P3695" s="5">
        <f>IFERROR(__xludf.DUMMYFUNCTION("""COMPUTED_VALUE"""),924.0)</f>
        <v>924</v>
      </c>
      <c r="Q3695" s="5" t="str">
        <f>IFERROR(__xludf.DUMMYFUNCTION("""COMPUTED_VALUE"""),"La Vie En Rose")</f>
        <v>La Vie En Rose</v>
      </c>
      <c r="R3695" s="5" t="str">
        <f>IFERROR(__xludf.DUMMYFUNCTION("""COMPUTED_VALUE"""),"Sylvie Testud")</f>
        <v>Sylvie Testud</v>
      </c>
      <c r="S3695" s="5" t="str">
        <f>IFERROR(__xludf.DUMMYFUNCTION("""COMPUTED_VALUE"""),"Estrela 2")</f>
        <v>Estrela 2</v>
      </c>
    </row>
    <row r="3696">
      <c r="G3696" s="5" t="str">
        <f>IFERROR(__xludf.DUMMYFUNCTION("""COMPUTED_VALUE"""),"924🤙🏼La Vie En Rose🤙🏼Pascal Greggory🤙🏼Estrela 3")</f>
        <v>924🤙🏼La Vie En Rose🤙🏼Pascal Greggory🤙🏼Estrela 3</v>
      </c>
      <c r="H3696" s="5">
        <f>IFERROR(__xludf.DUMMYFUNCTION("SPLiT(G3696, ""🤙🏼"",FALSE,FALSE)"),924.0)</f>
        <v>924</v>
      </c>
      <c r="I3696" s="5" t="str">
        <f>IFERROR(__xludf.DUMMYFUNCTION("""COMPUTED_VALUE"""),"La Vie En Rose")</f>
        <v>La Vie En Rose</v>
      </c>
      <c r="J3696" s="5" t="str">
        <f>IFERROR(__xludf.DUMMYFUNCTION("""COMPUTED_VALUE"""),"Pascal Greggory")</f>
        <v>Pascal Greggory</v>
      </c>
      <c r="K3696" s="5" t="str">
        <f>IFERROR(__xludf.DUMMYFUNCTION("""COMPUTED_VALUE"""),"Estrela 3")</f>
        <v>Estrela 3</v>
      </c>
      <c r="P3696" s="5">
        <f>IFERROR(__xludf.DUMMYFUNCTION("""COMPUTED_VALUE"""),924.0)</f>
        <v>924</v>
      </c>
      <c r="Q3696" s="5" t="str">
        <f>IFERROR(__xludf.DUMMYFUNCTION("""COMPUTED_VALUE"""),"La Vie En Rose")</f>
        <v>La Vie En Rose</v>
      </c>
      <c r="R3696" s="5" t="str">
        <f>IFERROR(__xludf.DUMMYFUNCTION("""COMPUTED_VALUE"""),"Pascal Greggory")</f>
        <v>Pascal Greggory</v>
      </c>
      <c r="S3696" s="5" t="str">
        <f>IFERROR(__xludf.DUMMYFUNCTION("""COMPUTED_VALUE"""),"Estrela 3")</f>
        <v>Estrela 3</v>
      </c>
    </row>
    <row r="3697">
      <c r="G3697" s="5" t="str">
        <f>IFERROR(__xludf.DUMMYFUNCTION("""COMPUTED_VALUE"""),"924🤙🏼La Vie En Rose🤙🏼Emmanuelle Seigner🤙🏼Estrela 4")</f>
        <v>924🤙🏼La Vie En Rose🤙🏼Emmanuelle Seigner🤙🏼Estrela 4</v>
      </c>
      <c r="H3697" s="5">
        <f>IFERROR(__xludf.DUMMYFUNCTION("SPLiT(G3697, ""🤙🏼"",FALSE,FALSE)"),924.0)</f>
        <v>924</v>
      </c>
      <c r="I3697" s="5" t="str">
        <f>IFERROR(__xludf.DUMMYFUNCTION("""COMPUTED_VALUE"""),"La Vie En Rose")</f>
        <v>La Vie En Rose</v>
      </c>
      <c r="J3697" s="5" t="str">
        <f>IFERROR(__xludf.DUMMYFUNCTION("""COMPUTED_VALUE"""),"Emmanuelle Seigner")</f>
        <v>Emmanuelle Seigner</v>
      </c>
      <c r="K3697" s="5" t="str">
        <f>IFERROR(__xludf.DUMMYFUNCTION("""COMPUTED_VALUE"""),"Estrela 4")</f>
        <v>Estrela 4</v>
      </c>
      <c r="P3697" s="5">
        <f>IFERROR(__xludf.DUMMYFUNCTION("""COMPUTED_VALUE"""),924.0)</f>
        <v>924</v>
      </c>
      <c r="Q3697" s="5" t="str">
        <f>IFERROR(__xludf.DUMMYFUNCTION("""COMPUTED_VALUE"""),"La Vie En Rose")</f>
        <v>La Vie En Rose</v>
      </c>
      <c r="R3697" s="5" t="str">
        <f>IFERROR(__xludf.DUMMYFUNCTION("""COMPUTED_VALUE"""),"Emmanuelle Seigner")</f>
        <v>Emmanuelle Seigner</v>
      </c>
      <c r="S3697" s="5" t="str">
        <f>IFERROR(__xludf.DUMMYFUNCTION("""COMPUTED_VALUE"""),"Estrela 4")</f>
        <v>Estrela 4</v>
      </c>
    </row>
    <row r="3698">
      <c r="G3698" s="5" t="str">
        <f>IFERROR(__xludf.DUMMYFUNCTION("""COMPUTED_VALUE"""),"925🤙🏼Huo Yuan Jia🤙🏼Jet Li🤙🏼Estrela 1")</f>
        <v>925🤙🏼Huo Yuan Jia🤙🏼Jet Li🤙🏼Estrela 1</v>
      </c>
      <c r="H3698" s="5">
        <f>IFERROR(__xludf.DUMMYFUNCTION("SPLiT(G3698, ""🤙🏼"",FALSE,FALSE)"),925.0)</f>
        <v>925</v>
      </c>
      <c r="I3698" s="5" t="str">
        <f>IFERROR(__xludf.DUMMYFUNCTION("""COMPUTED_VALUE"""),"Huo Yuan Jia")</f>
        <v>Huo Yuan Jia</v>
      </c>
      <c r="J3698" s="5" t="str">
        <f>IFERROR(__xludf.DUMMYFUNCTION("""COMPUTED_VALUE"""),"Jet Li")</f>
        <v>Jet Li</v>
      </c>
      <c r="K3698" s="5" t="str">
        <f>IFERROR(__xludf.DUMMYFUNCTION("""COMPUTED_VALUE"""),"Estrela 1")</f>
        <v>Estrela 1</v>
      </c>
      <c r="P3698" s="5">
        <f>IFERROR(__xludf.DUMMYFUNCTION("""COMPUTED_VALUE"""),925.0)</f>
        <v>925</v>
      </c>
      <c r="Q3698" s="5" t="str">
        <f>IFERROR(__xludf.DUMMYFUNCTION("""COMPUTED_VALUE"""),"Huo Yuan Jia")</f>
        <v>Huo Yuan Jia</v>
      </c>
      <c r="R3698" s="5" t="str">
        <f>IFERROR(__xludf.DUMMYFUNCTION("""COMPUTED_VALUE"""),"Jet Li")</f>
        <v>Jet Li</v>
      </c>
      <c r="S3698" s="5" t="str">
        <f>IFERROR(__xludf.DUMMYFUNCTION("""COMPUTED_VALUE"""),"Estrela 1")</f>
        <v>Estrela 1</v>
      </c>
    </row>
    <row r="3699">
      <c r="G3699" s="5" t="str">
        <f>IFERROR(__xludf.DUMMYFUNCTION("""COMPUTED_VALUE"""),"925🤙🏼Huo Yuan Jia🤙🏼Li Sun🤙🏼Estrela 2")</f>
        <v>925🤙🏼Huo Yuan Jia🤙🏼Li Sun🤙🏼Estrela 2</v>
      </c>
      <c r="H3699" s="5">
        <f>IFERROR(__xludf.DUMMYFUNCTION("SPLiT(G3699, ""🤙🏼"",FALSE,FALSE)"),925.0)</f>
        <v>925</v>
      </c>
      <c r="I3699" s="5" t="str">
        <f>IFERROR(__xludf.DUMMYFUNCTION("""COMPUTED_VALUE"""),"Huo Yuan Jia")</f>
        <v>Huo Yuan Jia</v>
      </c>
      <c r="J3699" s="5" t="str">
        <f>IFERROR(__xludf.DUMMYFUNCTION("""COMPUTED_VALUE"""),"Li Sun")</f>
        <v>Li Sun</v>
      </c>
      <c r="K3699" s="5" t="str">
        <f>IFERROR(__xludf.DUMMYFUNCTION("""COMPUTED_VALUE"""),"Estrela 2")</f>
        <v>Estrela 2</v>
      </c>
      <c r="P3699" s="5">
        <f>IFERROR(__xludf.DUMMYFUNCTION("""COMPUTED_VALUE"""),925.0)</f>
        <v>925</v>
      </c>
      <c r="Q3699" s="5" t="str">
        <f>IFERROR(__xludf.DUMMYFUNCTION("""COMPUTED_VALUE"""),"Huo Yuan Jia")</f>
        <v>Huo Yuan Jia</v>
      </c>
      <c r="R3699" s="5" t="str">
        <f>IFERROR(__xludf.DUMMYFUNCTION("""COMPUTED_VALUE"""),"Li Sun")</f>
        <v>Li Sun</v>
      </c>
      <c r="S3699" s="5" t="str">
        <f>IFERROR(__xludf.DUMMYFUNCTION("""COMPUTED_VALUE"""),"Estrela 2")</f>
        <v>Estrela 2</v>
      </c>
    </row>
    <row r="3700">
      <c r="G3700" s="5" t="str">
        <f>IFERROR(__xludf.DUMMYFUNCTION("""COMPUTED_VALUE"""),"925🤙🏼Huo Yuan Jia🤙🏼Yong Dong🤙🏼Estrela 3")</f>
        <v>925🤙🏼Huo Yuan Jia🤙🏼Yong Dong🤙🏼Estrela 3</v>
      </c>
      <c r="H3700" s="5">
        <f>IFERROR(__xludf.DUMMYFUNCTION("SPLiT(G3700, ""🤙🏼"",FALSE,FALSE)"),925.0)</f>
        <v>925</v>
      </c>
      <c r="I3700" s="5" t="str">
        <f>IFERROR(__xludf.DUMMYFUNCTION("""COMPUTED_VALUE"""),"Huo Yuan Jia")</f>
        <v>Huo Yuan Jia</v>
      </c>
      <c r="J3700" s="5" t="str">
        <f>IFERROR(__xludf.DUMMYFUNCTION("""COMPUTED_VALUE"""),"Yong Dong")</f>
        <v>Yong Dong</v>
      </c>
      <c r="K3700" s="5" t="str">
        <f>IFERROR(__xludf.DUMMYFUNCTION("""COMPUTED_VALUE"""),"Estrela 3")</f>
        <v>Estrela 3</v>
      </c>
      <c r="P3700" s="5">
        <f>IFERROR(__xludf.DUMMYFUNCTION("""COMPUTED_VALUE"""),925.0)</f>
        <v>925</v>
      </c>
      <c r="Q3700" s="5" t="str">
        <f>IFERROR(__xludf.DUMMYFUNCTION("""COMPUTED_VALUE"""),"Huo Yuan Jia")</f>
        <v>Huo Yuan Jia</v>
      </c>
      <c r="R3700" s="5" t="str">
        <f>IFERROR(__xludf.DUMMYFUNCTION("""COMPUTED_VALUE"""),"Yong Dong")</f>
        <v>Yong Dong</v>
      </c>
      <c r="S3700" s="5" t="str">
        <f>IFERROR(__xludf.DUMMYFUNCTION("""COMPUTED_VALUE"""),"Estrela 3")</f>
        <v>Estrela 3</v>
      </c>
    </row>
    <row r="3701">
      <c r="G3701" s="5" t="str">
        <f>IFERROR(__xludf.DUMMYFUNCTION("""COMPUTED_VALUE"""),"925🤙🏼Huo Yuan Jia🤙🏼Yun Qu🤙🏼Estrela 4")</f>
        <v>925🤙🏼Huo Yuan Jia🤙🏼Yun Qu🤙🏼Estrela 4</v>
      </c>
      <c r="H3701" s="5">
        <f>IFERROR(__xludf.DUMMYFUNCTION("SPLiT(G3701, ""🤙🏼"",FALSE,FALSE)"),925.0)</f>
        <v>925</v>
      </c>
      <c r="I3701" s="5" t="str">
        <f>IFERROR(__xludf.DUMMYFUNCTION("""COMPUTED_VALUE"""),"Huo Yuan Jia")</f>
        <v>Huo Yuan Jia</v>
      </c>
      <c r="J3701" s="5" t="str">
        <f>IFERROR(__xludf.DUMMYFUNCTION("""COMPUTED_VALUE"""),"Yun Qu")</f>
        <v>Yun Qu</v>
      </c>
      <c r="K3701" s="5" t="str">
        <f>IFERROR(__xludf.DUMMYFUNCTION("""COMPUTED_VALUE"""),"Estrela 4")</f>
        <v>Estrela 4</v>
      </c>
      <c r="P3701" s="5">
        <f>IFERROR(__xludf.DUMMYFUNCTION("""COMPUTED_VALUE"""),925.0)</f>
        <v>925</v>
      </c>
      <c r="Q3701" s="5" t="str">
        <f>IFERROR(__xludf.DUMMYFUNCTION("""COMPUTED_VALUE"""),"Huo Yuan Jia")</f>
        <v>Huo Yuan Jia</v>
      </c>
      <c r="R3701" s="5" t="str">
        <f>IFERROR(__xludf.DUMMYFUNCTION("""COMPUTED_VALUE"""),"Yun Qu")</f>
        <v>Yun Qu</v>
      </c>
      <c r="S3701" s="5" t="str">
        <f>IFERROR(__xludf.DUMMYFUNCTION("""COMPUTED_VALUE"""),"Estrela 4")</f>
        <v>Estrela 4</v>
      </c>
    </row>
    <row r="3702">
      <c r="G3702" s="5" t="str">
        <f>IFERROR(__xludf.DUMMYFUNCTION("""COMPUTED_VALUE"""),"926🤙🏼The Illusionist🤙🏼Edward Norton🤙🏼Estrela 1")</f>
        <v>926🤙🏼The Illusionist🤙🏼Edward Norton🤙🏼Estrela 1</v>
      </c>
      <c r="H3702" s="5">
        <f>IFERROR(__xludf.DUMMYFUNCTION("SPLiT(G3702, ""🤙🏼"",FALSE,FALSE)"),926.0)</f>
        <v>926</v>
      </c>
      <c r="I3702" s="5" t="str">
        <f>IFERROR(__xludf.DUMMYFUNCTION("""COMPUTED_VALUE"""),"The Illusionist")</f>
        <v>The Illusionist</v>
      </c>
      <c r="J3702" s="5" t="str">
        <f>IFERROR(__xludf.DUMMYFUNCTION("""COMPUTED_VALUE"""),"Edward Norton")</f>
        <v>Edward Norton</v>
      </c>
      <c r="K3702" s="5" t="str">
        <f>IFERROR(__xludf.DUMMYFUNCTION("""COMPUTED_VALUE"""),"Estrela 1")</f>
        <v>Estrela 1</v>
      </c>
      <c r="P3702" s="5">
        <f>IFERROR(__xludf.DUMMYFUNCTION("""COMPUTED_VALUE"""),926.0)</f>
        <v>926</v>
      </c>
      <c r="Q3702" s="5" t="str">
        <f>IFERROR(__xludf.DUMMYFUNCTION("""COMPUTED_VALUE"""),"The Illusionist")</f>
        <v>The Illusionist</v>
      </c>
      <c r="R3702" s="5" t="str">
        <f>IFERROR(__xludf.DUMMYFUNCTION("""COMPUTED_VALUE"""),"Edward Norton")</f>
        <v>Edward Norton</v>
      </c>
      <c r="S3702" s="5" t="str">
        <f>IFERROR(__xludf.DUMMYFUNCTION("""COMPUTED_VALUE"""),"Estrela 1")</f>
        <v>Estrela 1</v>
      </c>
    </row>
    <row r="3703">
      <c r="G3703" s="5" t="str">
        <f>IFERROR(__xludf.DUMMYFUNCTION("""COMPUTED_VALUE"""),"926🤙🏼The Illusionist🤙🏼Jessica Biel🤙🏼Estrela 2")</f>
        <v>926🤙🏼The Illusionist🤙🏼Jessica Biel🤙🏼Estrela 2</v>
      </c>
      <c r="H3703" s="5">
        <f>IFERROR(__xludf.DUMMYFUNCTION("SPLiT(G3703, ""🤙🏼"",FALSE,FALSE)"),926.0)</f>
        <v>926</v>
      </c>
      <c r="I3703" s="5" t="str">
        <f>IFERROR(__xludf.DUMMYFUNCTION("""COMPUTED_VALUE"""),"The Illusionist")</f>
        <v>The Illusionist</v>
      </c>
      <c r="J3703" s="5" t="str">
        <f>IFERROR(__xludf.DUMMYFUNCTION("""COMPUTED_VALUE"""),"Jessica Biel")</f>
        <v>Jessica Biel</v>
      </c>
      <c r="K3703" s="5" t="str">
        <f>IFERROR(__xludf.DUMMYFUNCTION("""COMPUTED_VALUE"""),"Estrela 2")</f>
        <v>Estrela 2</v>
      </c>
      <c r="P3703" s="5">
        <f>IFERROR(__xludf.DUMMYFUNCTION("""COMPUTED_VALUE"""),926.0)</f>
        <v>926</v>
      </c>
      <c r="Q3703" s="5" t="str">
        <f>IFERROR(__xludf.DUMMYFUNCTION("""COMPUTED_VALUE"""),"The Illusionist")</f>
        <v>The Illusionist</v>
      </c>
      <c r="R3703" s="5" t="str">
        <f>IFERROR(__xludf.DUMMYFUNCTION("""COMPUTED_VALUE"""),"Jessica Biel")</f>
        <v>Jessica Biel</v>
      </c>
      <c r="S3703" s="5" t="str">
        <f>IFERROR(__xludf.DUMMYFUNCTION("""COMPUTED_VALUE"""),"Estrela 2")</f>
        <v>Estrela 2</v>
      </c>
    </row>
    <row r="3704">
      <c r="G3704" s="5" t="str">
        <f>IFERROR(__xludf.DUMMYFUNCTION("""COMPUTED_VALUE"""),"926🤙🏼The Illusionist🤙🏼Paul Giamatti🤙🏼Estrela 3")</f>
        <v>926🤙🏼The Illusionist🤙🏼Paul Giamatti🤙🏼Estrela 3</v>
      </c>
      <c r="H3704" s="5">
        <f>IFERROR(__xludf.DUMMYFUNCTION("SPLiT(G3704, ""🤙🏼"",FALSE,FALSE)"),926.0)</f>
        <v>926</v>
      </c>
      <c r="I3704" s="5" t="str">
        <f>IFERROR(__xludf.DUMMYFUNCTION("""COMPUTED_VALUE"""),"The Illusionist")</f>
        <v>The Illusionist</v>
      </c>
      <c r="J3704" s="5" t="str">
        <f>IFERROR(__xludf.DUMMYFUNCTION("""COMPUTED_VALUE"""),"Paul Giamatti")</f>
        <v>Paul Giamatti</v>
      </c>
      <c r="K3704" s="5" t="str">
        <f>IFERROR(__xludf.DUMMYFUNCTION("""COMPUTED_VALUE"""),"Estrela 3")</f>
        <v>Estrela 3</v>
      </c>
      <c r="P3704" s="5">
        <f>IFERROR(__xludf.DUMMYFUNCTION("""COMPUTED_VALUE"""),926.0)</f>
        <v>926</v>
      </c>
      <c r="Q3704" s="5" t="str">
        <f>IFERROR(__xludf.DUMMYFUNCTION("""COMPUTED_VALUE"""),"The Illusionist")</f>
        <v>The Illusionist</v>
      </c>
      <c r="R3704" s="5" t="str">
        <f>IFERROR(__xludf.DUMMYFUNCTION("""COMPUTED_VALUE"""),"Paul Giamatti")</f>
        <v>Paul Giamatti</v>
      </c>
      <c r="S3704" s="5" t="str">
        <f>IFERROR(__xludf.DUMMYFUNCTION("""COMPUTED_VALUE"""),"Estrela 3")</f>
        <v>Estrela 3</v>
      </c>
    </row>
    <row r="3705">
      <c r="G3705" s="5" t="str">
        <f>IFERROR(__xludf.DUMMYFUNCTION("""COMPUTED_VALUE"""),"926🤙🏼The Illusionist🤙🏼Rufus Sewell🤙🏼Estrela 4")</f>
        <v>926🤙🏼The Illusionist🤙🏼Rufus Sewell🤙🏼Estrela 4</v>
      </c>
      <c r="H3705" s="5">
        <f>IFERROR(__xludf.DUMMYFUNCTION("SPLiT(G3705, ""🤙🏼"",FALSE,FALSE)"),926.0)</f>
        <v>926</v>
      </c>
      <c r="I3705" s="5" t="str">
        <f>IFERROR(__xludf.DUMMYFUNCTION("""COMPUTED_VALUE"""),"The Illusionist")</f>
        <v>The Illusionist</v>
      </c>
      <c r="J3705" s="5" t="str">
        <f>IFERROR(__xludf.DUMMYFUNCTION("""COMPUTED_VALUE"""),"Rufus Sewell")</f>
        <v>Rufus Sewell</v>
      </c>
      <c r="K3705" s="5" t="str">
        <f>IFERROR(__xludf.DUMMYFUNCTION("""COMPUTED_VALUE"""),"Estrela 4")</f>
        <v>Estrela 4</v>
      </c>
      <c r="P3705" s="5">
        <f>IFERROR(__xludf.DUMMYFUNCTION("""COMPUTED_VALUE"""),926.0)</f>
        <v>926</v>
      </c>
      <c r="Q3705" s="5" t="str">
        <f>IFERROR(__xludf.DUMMYFUNCTION("""COMPUTED_VALUE"""),"The Illusionist")</f>
        <v>The Illusionist</v>
      </c>
      <c r="R3705" s="5" t="str">
        <f>IFERROR(__xludf.DUMMYFUNCTION("""COMPUTED_VALUE"""),"Rufus Sewell")</f>
        <v>Rufus Sewell</v>
      </c>
      <c r="S3705" s="5" t="str">
        <f>IFERROR(__xludf.DUMMYFUNCTION("""COMPUTED_VALUE"""),"Estrela 4")</f>
        <v>Estrela 4</v>
      </c>
    </row>
    <row r="3706">
      <c r="G3706" s="5" t="str">
        <f>IFERROR(__xludf.DUMMYFUNCTION("""COMPUTED_VALUE"""),"927🤙🏼Dead Man's Shoes🤙🏼Paddy Considine🤙🏼Estrela 1")</f>
        <v>927🤙🏼Dead Man's Shoes🤙🏼Paddy Considine🤙🏼Estrela 1</v>
      </c>
      <c r="H3706" s="5">
        <f>IFERROR(__xludf.DUMMYFUNCTION("SPLiT(G3706, ""🤙🏼"",FALSE,FALSE)"),927.0)</f>
        <v>927</v>
      </c>
      <c r="I3706" s="5" t="str">
        <f>IFERROR(__xludf.DUMMYFUNCTION("""COMPUTED_VALUE"""),"Dead Man's Shoes")</f>
        <v>Dead Man's Shoes</v>
      </c>
      <c r="J3706" s="5" t="str">
        <f>IFERROR(__xludf.DUMMYFUNCTION("""COMPUTED_VALUE"""),"Paddy Considine")</f>
        <v>Paddy Considine</v>
      </c>
      <c r="K3706" s="5" t="str">
        <f>IFERROR(__xludf.DUMMYFUNCTION("""COMPUTED_VALUE"""),"Estrela 1")</f>
        <v>Estrela 1</v>
      </c>
      <c r="P3706" s="5">
        <f>IFERROR(__xludf.DUMMYFUNCTION("""COMPUTED_VALUE"""),927.0)</f>
        <v>927</v>
      </c>
      <c r="Q3706" s="5" t="str">
        <f>IFERROR(__xludf.DUMMYFUNCTION("""COMPUTED_VALUE"""),"Dead Man's Shoes")</f>
        <v>Dead Man's Shoes</v>
      </c>
      <c r="R3706" s="5" t="str">
        <f>IFERROR(__xludf.DUMMYFUNCTION("""COMPUTED_VALUE"""),"Paddy Considine")</f>
        <v>Paddy Considine</v>
      </c>
      <c r="S3706" s="5" t="str">
        <f>IFERROR(__xludf.DUMMYFUNCTION("""COMPUTED_VALUE"""),"Estrela 1")</f>
        <v>Estrela 1</v>
      </c>
    </row>
    <row r="3707">
      <c r="G3707" s="5" t="str">
        <f>IFERROR(__xludf.DUMMYFUNCTION("""COMPUTED_VALUE"""),"927🤙🏼Dead Man's Shoes🤙🏼Gary Stretch🤙🏼Estrela 2")</f>
        <v>927🤙🏼Dead Man's Shoes🤙🏼Gary Stretch🤙🏼Estrela 2</v>
      </c>
      <c r="H3707" s="5">
        <f>IFERROR(__xludf.DUMMYFUNCTION("SPLiT(G3707, ""🤙🏼"",FALSE,FALSE)"),927.0)</f>
        <v>927</v>
      </c>
      <c r="I3707" s="5" t="str">
        <f>IFERROR(__xludf.DUMMYFUNCTION("""COMPUTED_VALUE"""),"Dead Man's Shoes")</f>
        <v>Dead Man's Shoes</v>
      </c>
      <c r="J3707" s="5" t="str">
        <f>IFERROR(__xludf.DUMMYFUNCTION("""COMPUTED_VALUE"""),"Gary Stretch")</f>
        <v>Gary Stretch</v>
      </c>
      <c r="K3707" s="5" t="str">
        <f>IFERROR(__xludf.DUMMYFUNCTION("""COMPUTED_VALUE"""),"Estrela 2")</f>
        <v>Estrela 2</v>
      </c>
      <c r="P3707" s="5">
        <f>IFERROR(__xludf.DUMMYFUNCTION("""COMPUTED_VALUE"""),927.0)</f>
        <v>927</v>
      </c>
      <c r="Q3707" s="5" t="str">
        <f>IFERROR(__xludf.DUMMYFUNCTION("""COMPUTED_VALUE"""),"Dead Man's Shoes")</f>
        <v>Dead Man's Shoes</v>
      </c>
      <c r="R3707" s="5" t="str">
        <f>IFERROR(__xludf.DUMMYFUNCTION("""COMPUTED_VALUE"""),"Gary Stretch")</f>
        <v>Gary Stretch</v>
      </c>
      <c r="S3707" s="5" t="str">
        <f>IFERROR(__xludf.DUMMYFUNCTION("""COMPUTED_VALUE"""),"Estrela 2")</f>
        <v>Estrela 2</v>
      </c>
    </row>
    <row r="3708">
      <c r="G3708" s="5" t="str">
        <f>IFERROR(__xludf.DUMMYFUNCTION("""COMPUTED_VALUE"""),"927🤙🏼Dead Man's Shoes🤙🏼Toby Kebbell🤙🏼Estrela 3")</f>
        <v>927🤙🏼Dead Man's Shoes🤙🏼Toby Kebbell🤙🏼Estrela 3</v>
      </c>
      <c r="H3708" s="5">
        <f>IFERROR(__xludf.DUMMYFUNCTION("SPLiT(G3708, ""🤙🏼"",FALSE,FALSE)"),927.0)</f>
        <v>927</v>
      </c>
      <c r="I3708" s="5" t="str">
        <f>IFERROR(__xludf.DUMMYFUNCTION("""COMPUTED_VALUE"""),"Dead Man's Shoes")</f>
        <v>Dead Man's Shoes</v>
      </c>
      <c r="J3708" s="5" t="str">
        <f>IFERROR(__xludf.DUMMYFUNCTION("""COMPUTED_VALUE"""),"Toby Kebbell")</f>
        <v>Toby Kebbell</v>
      </c>
      <c r="K3708" s="5" t="str">
        <f>IFERROR(__xludf.DUMMYFUNCTION("""COMPUTED_VALUE"""),"Estrela 3")</f>
        <v>Estrela 3</v>
      </c>
      <c r="P3708" s="5">
        <f>IFERROR(__xludf.DUMMYFUNCTION("""COMPUTED_VALUE"""),927.0)</f>
        <v>927</v>
      </c>
      <c r="Q3708" s="5" t="str">
        <f>IFERROR(__xludf.DUMMYFUNCTION("""COMPUTED_VALUE"""),"Dead Man's Shoes")</f>
        <v>Dead Man's Shoes</v>
      </c>
      <c r="R3708" s="5" t="str">
        <f>IFERROR(__xludf.DUMMYFUNCTION("""COMPUTED_VALUE"""),"Toby Kebbell")</f>
        <v>Toby Kebbell</v>
      </c>
      <c r="S3708" s="5" t="str">
        <f>IFERROR(__xludf.DUMMYFUNCTION("""COMPUTED_VALUE"""),"Estrela 3")</f>
        <v>Estrela 3</v>
      </c>
    </row>
    <row r="3709">
      <c r="G3709" s="5" t="str">
        <f>IFERROR(__xludf.DUMMYFUNCTION("""COMPUTED_VALUE"""),"927🤙🏼Dead Man's Shoes🤙🏼Stuart Wolfenden🤙🏼Estrela 4")</f>
        <v>927🤙🏼Dead Man's Shoes🤙🏼Stuart Wolfenden🤙🏼Estrela 4</v>
      </c>
      <c r="H3709" s="5">
        <f>IFERROR(__xludf.DUMMYFUNCTION("SPLiT(G3709, ""🤙🏼"",FALSE,FALSE)"),927.0)</f>
        <v>927</v>
      </c>
      <c r="I3709" s="5" t="str">
        <f>IFERROR(__xludf.DUMMYFUNCTION("""COMPUTED_VALUE"""),"Dead Man's Shoes")</f>
        <v>Dead Man's Shoes</v>
      </c>
      <c r="J3709" s="5" t="str">
        <f>IFERROR(__xludf.DUMMYFUNCTION("""COMPUTED_VALUE"""),"Stuart Wolfenden")</f>
        <v>Stuart Wolfenden</v>
      </c>
      <c r="K3709" s="5" t="str">
        <f>IFERROR(__xludf.DUMMYFUNCTION("""COMPUTED_VALUE"""),"Estrela 4")</f>
        <v>Estrela 4</v>
      </c>
      <c r="P3709" s="5">
        <f>IFERROR(__xludf.DUMMYFUNCTION("""COMPUTED_VALUE"""),927.0)</f>
        <v>927</v>
      </c>
      <c r="Q3709" s="5" t="str">
        <f>IFERROR(__xludf.DUMMYFUNCTION("""COMPUTED_VALUE"""),"Dead Man's Shoes")</f>
        <v>Dead Man's Shoes</v>
      </c>
      <c r="R3709" s="5" t="str">
        <f>IFERROR(__xludf.DUMMYFUNCTION("""COMPUTED_VALUE"""),"Stuart Wolfenden")</f>
        <v>Stuart Wolfenden</v>
      </c>
      <c r="S3709" s="5" t="str">
        <f>IFERROR(__xludf.DUMMYFUNCTION("""COMPUTED_VALUE"""),"Estrela 4")</f>
        <v>Estrela 4</v>
      </c>
    </row>
    <row r="3710">
      <c r="G3710" s="5" t="str">
        <f>IFERROR(__xludf.DUMMYFUNCTION("""COMPUTED_VALUE"""),"928🤙🏼Harry Potter and the Half-Blood Prince🤙🏼Daniel Radcliffe🤙🏼Estrela 1")</f>
        <v>928🤙🏼Harry Potter and the Half-Blood Prince🤙🏼Daniel Radcliffe🤙🏼Estrela 1</v>
      </c>
      <c r="H3710" s="5">
        <f>IFERROR(__xludf.DUMMYFUNCTION("SPLiT(G3710, ""🤙🏼"",FALSE,FALSE)"),928.0)</f>
        <v>928</v>
      </c>
      <c r="I3710" s="5" t="str">
        <f>IFERROR(__xludf.DUMMYFUNCTION("""COMPUTED_VALUE"""),"Harry Potter and the Half-Blood Prince")</f>
        <v>Harry Potter and the Half-Blood Prince</v>
      </c>
      <c r="J3710" s="5" t="str">
        <f>IFERROR(__xludf.DUMMYFUNCTION("""COMPUTED_VALUE"""),"Daniel Radcliffe")</f>
        <v>Daniel Radcliffe</v>
      </c>
      <c r="K3710" s="5" t="str">
        <f>IFERROR(__xludf.DUMMYFUNCTION("""COMPUTED_VALUE"""),"Estrela 1")</f>
        <v>Estrela 1</v>
      </c>
      <c r="P3710" s="5">
        <f>IFERROR(__xludf.DUMMYFUNCTION("""COMPUTED_VALUE"""),928.0)</f>
        <v>928</v>
      </c>
      <c r="Q3710" s="5" t="str">
        <f>IFERROR(__xludf.DUMMYFUNCTION("""COMPUTED_VALUE"""),"Harry Potter and the Half-Blood Prince")</f>
        <v>Harry Potter and the Half-Blood Prince</v>
      </c>
      <c r="R3710" s="5" t="str">
        <f>IFERROR(__xludf.DUMMYFUNCTION("""COMPUTED_VALUE"""),"Daniel Radcliffe")</f>
        <v>Daniel Radcliffe</v>
      </c>
      <c r="S3710" s="5" t="str">
        <f>IFERROR(__xludf.DUMMYFUNCTION("""COMPUTED_VALUE"""),"Estrela 1")</f>
        <v>Estrela 1</v>
      </c>
    </row>
    <row r="3711">
      <c r="G3711" s="5" t="str">
        <f>IFERROR(__xludf.DUMMYFUNCTION("""COMPUTED_VALUE"""),"928🤙🏼Harry Potter and the Half-Blood Prince🤙🏼Emma Watson🤙🏼Estrela 2")</f>
        <v>928🤙🏼Harry Potter and the Half-Blood Prince🤙🏼Emma Watson🤙🏼Estrela 2</v>
      </c>
      <c r="H3711" s="5">
        <f>IFERROR(__xludf.DUMMYFUNCTION("SPLiT(G3711, ""🤙🏼"",FALSE,FALSE)"),928.0)</f>
        <v>928</v>
      </c>
      <c r="I3711" s="5" t="str">
        <f>IFERROR(__xludf.DUMMYFUNCTION("""COMPUTED_VALUE"""),"Harry Potter and the Half-Blood Prince")</f>
        <v>Harry Potter and the Half-Blood Prince</v>
      </c>
      <c r="J3711" s="5" t="str">
        <f>IFERROR(__xludf.DUMMYFUNCTION("""COMPUTED_VALUE"""),"Emma Watson")</f>
        <v>Emma Watson</v>
      </c>
      <c r="K3711" s="5" t="str">
        <f>IFERROR(__xludf.DUMMYFUNCTION("""COMPUTED_VALUE"""),"Estrela 2")</f>
        <v>Estrela 2</v>
      </c>
      <c r="P3711" s="5">
        <f>IFERROR(__xludf.DUMMYFUNCTION("""COMPUTED_VALUE"""),928.0)</f>
        <v>928</v>
      </c>
      <c r="Q3711" s="5" t="str">
        <f>IFERROR(__xludf.DUMMYFUNCTION("""COMPUTED_VALUE"""),"Harry Potter and the Half-Blood Prince")</f>
        <v>Harry Potter and the Half-Blood Prince</v>
      </c>
      <c r="R3711" s="5" t="str">
        <f>IFERROR(__xludf.DUMMYFUNCTION("""COMPUTED_VALUE"""),"Emma Watson")</f>
        <v>Emma Watson</v>
      </c>
      <c r="S3711" s="5" t="str">
        <f>IFERROR(__xludf.DUMMYFUNCTION("""COMPUTED_VALUE"""),"Estrela 2")</f>
        <v>Estrela 2</v>
      </c>
    </row>
    <row r="3712">
      <c r="G3712" s="5" t="str">
        <f>IFERROR(__xludf.DUMMYFUNCTION("""COMPUTED_VALUE"""),"928🤙🏼Harry Potter and the Half-Blood Prince🤙🏼Rupert Grint🤙🏼Estrela 3")</f>
        <v>928🤙🏼Harry Potter and the Half-Blood Prince🤙🏼Rupert Grint🤙🏼Estrela 3</v>
      </c>
      <c r="H3712" s="5">
        <f>IFERROR(__xludf.DUMMYFUNCTION("SPLiT(G3712, ""🤙🏼"",FALSE,FALSE)"),928.0)</f>
        <v>928</v>
      </c>
      <c r="I3712" s="5" t="str">
        <f>IFERROR(__xludf.DUMMYFUNCTION("""COMPUTED_VALUE"""),"Harry Potter and the Half-Blood Prince")</f>
        <v>Harry Potter and the Half-Blood Prince</v>
      </c>
      <c r="J3712" s="5" t="str">
        <f>IFERROR(__xludf.DUMMYFUNCTION("""COMPUTED_VALUE"""),"Rupert Grint")</f>
        <v>Rupert Grint</v>
      </c>
      <c r="K3712" s="5" t="str">
        <f>IFERROR(__xludf.DUMMYFUNCTION("""COMPUTED_VALUE"""),"Estrela 3")</f>
        <v>Estrela 3</v>
      </c>
      <c r="P3712" s="5">
        <f>IFERROR(__xludf.DUMMYFUNCTION("""COMPUTED_VALUE"""),928.0)</f>
        <v>928</v>
      </c>
      <c r="Q3712" s="5" t="str">
        <f>IFERROR(__xludf.DUMMYFUNCTION("""COMPUTED_VALUE"""),"Harry Potter and the Half-Blood Prince")</f>
        <v>Harry Potter and the Half-Blood Prince</v>
      </c>
      <c r="R3712" s="5" t="str">
        <f>IFERROR(__xludf.DUMMYFUNCTION("""COMPUTED_VALUE"""),"Rupert Grint")</f>
        <v>Rupert Grint</v>
      </c>
      <c r="S3712" s="5" t="str">
        <f>IFERROR(__xludf.DUMMYFUNCTION("""COMPUTED_VALUE"""),"Estrela 3")</f>
        <v>Estrela 3</v>
      </c>
    </row>
    <row r="3713">
      <c r="G3713" s="5" t="str">
        <f>IFERROR(__xludf.DUMMYFUNCTION("""COMPUTED_VALUE"""),"928🤙🏼Harry Potter and the Half-Blood Prince🤙🏼Michael Gambon🤙🏼Estrela 4")</f>
        <v>928🤙🏼Harry Potter and the Half-Blood Prince🤙🏼Michael Gambon🤙🏼Estrela 4</v>
      </c>
      <c r="H3713" s="5">
        <f>IFERROR(__xludf.DUMMYFUNCTION("SPLiT(G3713, ""🤙🏼"",FALSE,FALSE)"),928.0)</f>
        <v>928</v>
      </c>
      <c r="I3713" s="5" t="str">
        <f>IFERROR(__xludf.DUMMYFUNCTION("""COMPUTED_VALUE"""),"Harry Potter and the Half-Blood Prince")</f>
        <v>Harry Potter and the Half-Blood Prince</v>
      </c>
      <c r="J3713" s="5" t="str">
        <f>IFERROR(__xludf.DUMMYFUNCTION("""COMPUTED_VALUE"""),"Michael Gambon")</f>
        <v>Michael Gambon</v>
      </c>
      <c r="K3713" s="5" t="str">
        <f>IFERROR(__xludf.DUMMYFUNCTION("""COMPUTED_VALUE"""),"Estrela 4")</f>
        <v>Estrela 4</v>
      </c>
      <c r="P3713" s="5">
        <f>IFERROR(__xludf.DUMMYFUNCTION("""COMPUTED_VALUE"""),928.0)</f>
        <v>928</v>
      </c>
      <c r="Q3713" s="5" t="str">
        <f>IFERROR(__xludf.DUMMYFUNCTION("""COMPUTED_VALUE"""),"Harry Potter and the Half-Blood Prince")</f>
        <v>Harry Potter and the Half-Blood Prince</v>
      </c>
      <c r="R3713" s="5" t="str">
        <f>IFERROR(__xludf.DUMMYFUNCTION("""COMPUTED_VALUE"""),"Michael Gambon")</f>
        <v>Michael Gambon</v>
      </c>
      <c r="S3713" s="5" t="str">
        <f>IFERROR(__xludf.DUMMYFUNCTION("""COMPUTED_VALUE"""),"Estrela 4")</f>
        <v>Estrela 4</v>
      </c>
    </row>
    <row r="3714">
      <c r="G3714" s="5" t="str">
        <f>IFERROR(__xludf.DUMMYFUNCTION("""COMPUTED_VALUE"""),"929🤙🏼300🤙🏼Gerard Butler🤙🏼Estrela 1")</f>
        <v>929🤙🏼300🤙🏼Gerard Butler🤙🏼Estrela 1</v>
      </c>
      <c r="H3714" s="5">
        <f>IFERROR(__xludf.DUMMYFUNCTION("SPLiT(G3714, ""🤙🏼"",FALSE,FALSE)"),929.0)</f>
        <v>929</v>
      </c>
      <c r="I3714" s="5">
        <f>IFERROR(__xludf.DUMMYFUNCTION("""COMPUTED_VALUE"""),300.0)</f>
        <v>300</v>
      </c>
      <c r="J3714" s="5" t="str">
        <f>IFERROR(__xludf.DUMMYFUNCTION("""COMPUTED_VALUE"""),"Gerard Butler")</f>
        <v>Gerard Butler</v>
      </c>
      <c r="K3714" s="5" t="str">
        <f>IFERROR(__xludf.DUMMYFUNCTION("""COMPUTED_VALUE"""),"Estrela 1")</f>
        <v>Estrela 1</v>
      </c>
      <c r="P3714" s="5">
        <f>IFERROR(__xludf.DUMMYFUNCTION("""COMPUTED_VALUE"""),929.0)</f>
        <v>929</v>
      </c>
      <c r="Q3714" s="5">
        <f>IFERROR(__xludf.DUMMYFUNCTION("""COMPUTED_VALUE"""),300.0)</f>
        <v>300</v>
      </c>
      <c r="R3714" s="5" t="str">
        <f>IFERROR(__xludf.DUMMYFUNCTION("""COMPUTED_VALUE"""),"Gerard Butler")</f>
        <v>Gerard Butler</v>
      </c>
      <c r="S3714" s="5" t="str">
        <f>IFERROR(__xludf.DUMMYFUNCTION("""COMPUTED_VALUE"""),"Estrela 1")</f>
        <v>Estrela 1</v>
      </c>
    </row>
    <row r="3715">
      <c r="G3715" s="5" t="str">
        <f>IFERROR(__xludf.DUMMYFUNCTION("""COMPUTED_VALUE"""),"929🤙🏼300🤙🏼Lena Headey🤙🏼Estrela 2")</f>
        <v>929🤙🏼300🤙🏼Lena Headey🤙🏼Estrela 2</v>
      </c>
      <c r="H3715" s="5">
        <f>IFERROR(__xludf.DUMMYFUNCTION("SPLiT(G3715, ""🤙🏼"",FALSE,FALSE)"),929.0)</f>
        <v>929</v>
      </c>
      <c r="I3715" s="5">
        <f>IFERROR(__xludf.DUMMYFUNCTION("""COMPUTED_VALUE"""),300.0)</f>
        <v>300</v>
      </c>
      <c r="J3715" s="5" t="str">
        <f>IFERROR(__xludf.DUMMYFUNCTION("""COMPUTED_VALUE"""),"Lena Headey")</f>
        <v>Lena Headey</v>
      </c>
      <c r="K3715" s="5" t="str">
        <f>IFERROR(__xludf.DUMMYFUNCTION("""COMPUTED_VALUE"""),"Estrela 2")</f>
        <v>Estrela 2</v>
      </c>
      <c r="P3715" s="5">
        <f>IFERROR(__xludf.DUMMYFUNCTION("""COMPUTED_VALUE"""),929.0)</f>
        <v>929</v>
      </c>
      <c r="Q3715" s="5">
        <f>IFERROR(__xludf.DUMMYFUNCTION("""COMPUTED_VALUE"""),300.0)</f>
        <v>300</v>
      </c>
      <c r="R3715" s="5" t="str">
        <f>IFERROR(__xludf.DUMMYFUNCTION("""COMPUTED_VALUE"""),"Lena Headey")</f>
        <v>Lena Headey</v>
      </c>
      <c r="S3715" s="5" t="str">
        <f>IFERROR(__xludf.DUMMYFUNCTION("""COMPUTED_VALUE"""),"Estrela 2")</f>
        <v>Estrela 2</v>
      </c>
    </row>
    <row r="3716">
      <c r="G3716" s="5" t="str">
        <f>IFERROR(__xludf.DUMMYFUNCTION("""COMPUTED_VALUE"""),"929🤙🏼300🤙🏼David Wenham🤙🏼Estrela 3")</f>
        <v>929🤙🏼300🤙🏼David Wenham🤙🏼Estrela 3</v>
      </c>
      <c r="H3716" s="5">
        <f>IFERROR(__xludf.DUMMYFUNCTION("SPLiT(G3716, ""🤙🏼"",FALSE,FALSE)"),929.0)</f>
        <v>929</v>
      </c>
      <c r="I3716" s="5">
        <f>IFERROR(__xludf.DUMMYFUNCTION("""COMPUTED_VALUE"""),300.0)</f>
        <v>300</v>
      </c>
      <c r="J3716" s="5" t="str">
        <f>IFERROR(__xludf.DUMMYFUNCTION("""COMPUTED_VALUE"""),"David Wenham")</f>
        <v>David Wenham</v>
      </c>
      <c r="K3716" s="5" t="str">
        <f>IFERROR(__xludf.DUMMYFUNCTION("""COMPUTED_VALUE"""),"Estrela 3")</f>
        <v>Estrela 3</v>
      </c>
      <c r="P3716" s="5">
        <f>IFERROR(__xludf.DUMMYFUNCTION("""COMPUTED_VALUE"""),929.0)</f>
        <v>929</v>
      </c>
      <c r="Q3716" s="5">
        <f>IFERROR(__xludf.DUMMYFUNCTION("""COMPUTED_VALUE"""),300.0)</f>
        <v>300</v>
      </c>
      <c r="R3716" s="5" t="str">
        <f>IFERROR(__xludf.DUMMYFUNCTION("""COMPUTED_VALUE"""),"David Wenham")</f>
        <v>David Wenham</v>
      </c>
      <c r="S3716" s="5" t="str">
        <f>IFERROR(__xludf.DUMMYFUNCTION("""COMPUTED_VALUE"""),"Estrela 3")</f>
        <v>Estrela 3</v>
      </c>
    </row>
    <row r="3717">
      <c r="G3717" s="5" t="str">
        <f>IFERROR(__xludf.DUMMYFUNCTION("""COMPUTED_VALUE"""),"929🤙🏼300🤙🏼Dominic West🤙🏼Estrela 4")</f>
        <v>929🤙🏼300🤙🏼Dominic West🤙🏼Estrela 4</v>
      </c>
      <c r="H3717" s="5">
        <f>IFERROR(__xludf.DUMMYFUNCTION("SPLiT(G3717, ""🤙🏼"",FALSE,FALSE)"),929.0)</f>
        <v>929</v>
      </c>
      <c r="I3717" s="5">
        <f>IFERROR(__xludf.DUMMYFUNCTION("""COMPUTED_VALUE"""),300.0)</f>
        <v>300</v>
      </c>
      <c r="J3717" s="5" t="str">
        <f>IFERROR(__xludf.DUMMYFUNCTION("""COMPUTED_VALUE"""),"Dominic West")</f>
        <v>Dominic West</v>
      </c>
      <c r="K3717" s="5" t="str">
        <f>IFERROR(__xludf.DUMMYFUNCTION("""COMPUTED_VALUE"""),"Estrela 4")</f>
        <v>Estrela 4</v>
      </c>
      <c r="P3717" s="5">
        <f>IFERROR(__xludf.DUMMYFUNCTION("""COMPUTED_VALUE"""),929.0)</f>
        <v>929</v>
      </c>
      <c r="Q3717" s="5">
        <f>IFERROR(__xludf.DUMMYFUNCTION("""COMPUTED_VALUE"""),300.0)</f>
        <v>300</v>
      </c>
      <c r="R3717" s="5" t="str">
        <f>IFERROR(__xludf.DUMMYFUNCTION("""COMPUTED_VALUE"""),"Dominic West")</f>
        <v>Dominic West</v>
      </c>
      <c r="S3717" s="5" t="str">
        <f>IFERROR(__xludf.DUMMYFUNCTION("""COMPUTED_VALUE"""),"Estrela 4")</f>
        <v>Estrela 4</v>
      </c>
    </row>
    <row r="3718">
      <c r="G3718" s="5" t="str">
        <f>IFERROR(__xludf.DUMMYFUNCTION("""COMPUTED_VALUE"""),"930🤙🏼Match Point🤙🏼Scarlett Johansson🤙🏼Estrela 1")</f>
        <v>930🤙🏼Match Point🤙🏼Scarlett Johansson🤙🏼Estrela 1</v>
      </c>
      <c r="H3718" s="5">
        <f>IFERROR(__xludf.DUMMYFUNCTION("SPLiT(G3718, ""🤙🏼"",FALSE,FALSE)"),930.0)</f>
        <v>930</v>
      </c>
      <c r="I3718" s="5" t="str">
        <f>IFERROR(__xludf.DUMMYFUNCTION("""COMPUTED_VALUE"""),"Match Point")</f>
        <v>Match Point</v>
      </c>
      <c r="J3718" s="5" t="str">
        <f>IFERROR(__xludf.DUMMYFUNCTION("""COMPUTED_VALUE"""),"Scarlett Johansson")</f>
        <v>Scarlett Johansson</v>
      </c>
      <c r="K3718" s="5" t="str">
        <f>IFERROR(__xludf.DUMMYFUNCTION("""COMPUTED_VALUE"""),"Estrela 1")</f>
        <v>Estrela 1</v>
      </c>
      <c r="P3718" s="5">
        <f>IFERROR(__xludf.DUMMYFUNCTION("""COMPUTED_VALUE"""),930.0)</f>
        <v>930</v>
      </c>
      <c r="Q3718" s="5" t="str">
        <f>IFERROR(__xludf.DUMMYFUNCTION("""COMPUTED_VALUE"""),"Match Point")</f>
        <v>Match Point</v>
      </c>
      <c r="R3718" s="5" t="str">
        <f>IFERROR(__xludf.DUMMYFUNCTION("""COMPUTED_VALUE"""),"Scarlett Johansson")</f>
        <v>Scarlett Johansson</v>
      </c>
      <c r="S3718" s="5" t="str">
        <f>IFERROR(__xludf.DUMMYFUNCTION("""COMPUTED_VALUE"""),"Estrela 1")</f>
        <v>Estrela 1</v>
      </c>
    </row>
    <row r="3719">
      <c r="G3719" s="5" t="str">
        <f>IFERROR(__xludf.DUMMYFUNCTION("""COMPUTED_VALUE"""),"930🤙🏼Match Point🤙🏼Jonathan Rhys Meyers🤙🏼Estrela 2")</f>
        <v>930🤙🏼Match Point🤙🏼Jonathan Rhys Meyers🤙🏼Estrela 2</v>
      </c>
      <c r="H3719" s="5">
        <f>IFERROR(__xludf.DUMMYFUNCTION("SPLiT(G3719, ""🤙🏼"",FALSE,FALSE)"),930.0)</f>
        <v>930</v>
      </c>
      <c r="I3719" s="5" t="str">
        <f>IFERROR(__xludf.DUMMYFUNCTION("""COMPUTED_VALUE"""),"Match Point")</f>
        <v>Match Point</v>
      </c>
      <c r="J3719" s="5" t="str">
        <f>IFERROR(__xludf.DUMMYFUNCTION("""COMPUTED_VALUE"""),"Jonathan Rhys Meyers")</f>
        <v>Jonathan Rhys Meyers</v>
      </c>
      <c r="K3719" s="5" t="str">
        <f>IFERROR(__xludf.DUMMYFUNCTION("""COMPUTED_VALUE"""),"Estrela 2")</f>
        <v>Estrela 2</v>
      </c>
      <c r="P3719" s="5">
        <f>IFERROR(__xludf.DUMMYFUNCTION("""COMPUTED_VALUE"""),930.0)</f>
        <v>930</v>
      </c>
      <c r="Q3719" s="5" t="str">
        <f>IFERROR(__xludf.DUMMYFUNCTION("""COMPUTED_VALUE"""),"Match Point")</f>
        <v>Match Point</v>
      </c>
      <c r="R3719" s="5" t="str">
        <f>IFERROR(__xludf.DUMMYFUNCTION("""COMPUTED_VALUE"""),"Jonathan Rhys Meyers")</f>
        <v>Jonathan Rhys Meyers</v>
      </c>
      <c r="S3719" s="5" t="str">
        <f>IFERROR(__xludf.DUMMYFUNCTION("""COMPUTED_VALUE"""),"Estrela 2")</f>
        <v>Estrela 2</v>
      </c>
    </row>
    <row r="3720">
      <c r="G3720" s="5" t="str">
        <f>IFERROR(__xludf.DUMMYFUNCTION("""COMPUTED_VALUE"""),"930🤙🏼Match Point🤙🏼Emily Mortimer🤙🏼Estrela 3")</f>
        <v>930🤙🏼Match Point🤙🏼Emily Mortimer🤙🏼Estrela 3</v>
      </c>
      <c r="H3720" s="5">
        <f>IFERROR(__xludf.DUMMYFUNCTION("SPLiT(G3720, ""🤙🏼"",FALSE,FALSE)"),930.0)</f>
        <v>930</v>
      </c>
      <c r="I3720" s="5" t="str">
        <f>IFERROR(__xludf.DUMMYFUNCTION("""COMPUTED_VALUE"""),"Match Point")</f>
        <v>Match Point</v>
      </c>
      <c r="J3720" s="5" t="str">
        <f>IFERROR(__xludf.DUMMYFUNCTION("""COMPUTED_VALUE"""),"Emily Mortimer")</f>
        <v>Emily Mortimer</v>
      </c>
      <c r="K3720" s="5" t="str">
        <f>IFERROR(__xludf.DUMMYFUNCTION("""COMPUTED_VALUE"""),"Estrela 3")</f>
        <v>Estrela 3</v>
      </c>
      <c r="P3720" s="5">
        <f>IFERROR(__xludf.DUMMYFUNCTION("""COMPUTED_VALUE"""),930.0)</f>
        <v>930</v>
      </c>
      <c r="Q3720" s="5" t="str">
        <f>IFERROR(__xludf.DUMMYFUNCTION("""COMPUTED_VALUE"""),"Match Point")</f>
        <v>Match Point</v>
      </c>
      <c r="R3720" s="5" t="str">
        <f>IFERROR(__xludf.DUMMYFUNCTION("""COMPUTED_VALUE"""),"Emily Mortimer")</f>
        <v>Emily Mortimer</v>
      </c>
      <c r="S3720" s="5" t="str">
        <f>IFERROR(__xludf.DUMMYFUNCTION("""COMPUTED_VALUE"""),"Estrela 3")</f>
        <v>Estrela 3</v>
      </c>
    </row>
    <row r="3721">
      <c r="G3721" s="5" t="str">
        <f>IFERROR(__xludf.DUMMYFUNCTION("""COMPUTED_VALUE"""),"930🤙🏼Match Point🤙🏼Matthew Goode🤙🏼Estrela 4")</f>
        <v>930🤙🏼Match Point🤙🏼Matthew Goode🤙🏼Estrela 4</v>
      </c>
      <c r="H3721" s="5">
        <f>IFERROR(__xludf.DUMMYFUNCTION("SPLiT(G3721, ""🤙🏼"",FALSE,FALSE)"),930.0)</f>
        <v>930</v>
      </c>
      <c r="I3721" s="5" t="str">
        <f>IFERROR(__xludf.DUMMYFUNCTION("""COMPUTED_VALUE"""),"Match Point")</f>
        <v>Match Point</v>
      </c>
      <c r="J3721" s="5" t="str">
        <f>IFERROR(__xludf.DUMMYFUNCTION("""COMPUTED_VALUE"""),"Matthew Goode")</f>
        <v>Matthew Goode</v>
      </c>
      <c r="K3721" s="5" t="str">
        <f>IFERROR(__xludf.DUMMYFUNCTION("""COMPUTED_VALUE"""),"Estrela 4")</f>
        <v>Estrela 4</v>
      </c>
      <c r="P3721" s="5">
        <f>IFERROR(__xludf.DUMMYFUNCTION("""COMPUTED_VALUE"""),930.0)</f>
        <v>930</v>
      </c>
      <c r="Q3721" s="5" t="str">
        <f>IFERROR(__xludf.DUMMYFUNCTION("""COMPUTED_VALUE"""),"Match Point")</f>
        <v>Match Point</v>
      </c>
      <c r="R3721" s="5" t="str">
        <f>IFERROR(__xludf.DUMMYFUNCTION("""COMPUTED_VALUE"""),"Matthew Goode")</f>
        <v>Matthew Goode</v>
      </c>
      <c r="S3721" s="5" t="str">
        <f>IFERROR(__xludf.DUMMYFUNCTION("""COMPUTED_VALUE"""),"Estrela 4")</f>
        <v>Estrela 4</v>
      </c>
    </row>
    <row r="3722">
      <c r="G3722" s="5" t="str">
        <f>IFERROR(__xludf.DUMMYFUNCTION("""COMPUTED_VALUE"""),"931🤙🏼Watchmen🤙🏼Jackie Earle Haley🤙🏼Estrela 1")</f>
        <v>931🤙🏼Watchmen🤙🏼Jackie Earle Haley🤙🏼Estrela 1</v>
      </c>
      <c r="H3722" s="5">
        <f>IFERROR(__xludf.DUMMYFUNCTION("SPLiT(G3722, ""🤙🏼"",FALSE,FALSE)"),931.0)</f>
        <v>931</v>
      </c>
      <c r="I3722" s="5" t="str">
        <f>IFERROR(__xludf.DUMMYFUNCTION("""COMPUTED_VALUE"""),"Watchmen")</f>
        <v>Watchmen</v>
      </c>
      <c r="J3722" s="5" t="str">
        <f>IFERROR(__xludf.DUMMYFUNCTION("""COMPUTED_VALUE"""),"Jackie Earle Haley")</f>
        <v>Jackie Earle Haley</v>
      </c>
      <c r="K3722" s="5" t="str">
        <f>IFERROR(__xludf.DUMMYFUNCTION("""COMPUTED_VALUE"""),"Estrela 1")</f>
        <v>Estrela 1</v>
      </c>
      <c r="P3722" s="5">
        <f>IFERROR(__xludf.DUMMYFUNCTION("""COMPUTED_VALUE"""),931.0)</f>
        <v>931</v>
      </c>
      <c r="Q3722" s="5" t="str">
        <f>IFERROR(__xludf.DUMMYFUNCTION("""COMPUTED_VALUE"""),"Watchmen")</f>
        <v>Watchmen</v>
      </c>
      <c r="R3722" s="5" t="str">
        <f>IFERROR(__xludf.DUMMYFUNCTION("""COMPUTED_VALUE"""),"Jackie Earle Haley")</f>
        <v>Jackie Earle Haley</v>
      </c>
      <c r="S3722" s="5" t="str">
        <f>IFERROR(__xludf.DUMMYFUNCTION("""COMPUTED_VALUE"""),"Estrela 1")</f>
        <v>Estrela 1</v>
      </c>
    </row>
    <row r="3723">
      <c r="G3723" s="5" t="str">
        <f>IFERROR(__xludf.DUMMYFUNCTION("""COMPUTED_VALUE"""),"931🤙🏼Watchmen🤙🏼Patrick Wilson🤙🏼Estrela 2")</f>
        <v>931🤙🏼Watchmen🤙🏼Patrick Wilson🤙🏼Estrela 2</v>
      </c>
      <c r="H3723" s="5">
        <f>IFERROR(__xludf.DUMMYFUNCTION("SPLiT(G3723, ""🤙🏼"",FALSE,FALSE)"),931.0)</f>
        <v>931</v>
      </c>
      <c r="I3723" s="5" t="str">
        <f>IFERROR(__xludf.DUMMYFUNCTION("""COMPUTED_VALUE"""),"Watchmen")</f>
        <v>Watchmen</v>
      </c>
      <c r="J3723" s="5" t="str">
        <f>IFERROR(__xludf.DUMMYFUNCTION("""COMPUTED_VALUE"""),"Patrick Wilson")</f>
        <v>Patrick Wilson</v>
      </c>
      <c r="K3723" s="5" t="str">
        <f>IFERROR(__xludf.DUMMYFUNCTION("""COMPUTED_VALUE"""),"Estrela 2")</f>
        <v>Estrela 2</v>
      </c>
      <c r="P3723" s="5">
        <f>IFERROR(__xludf.DUMMYFUNCTION("""COMPUTED_VALUE"""),931.0)</f>
        <v>931</v>
      </c>
      <c r="Q3723" s="5" t="str">
        <f>IFERROR(__xludf.DUMMYFUNCTION("""COMPUTED_VALUE"""),"Watchmen")</f>
        <v>Watchmen</v>
      </c>
      <c r="R3723" s="5" t="str">
        <f>IFERROR(__xludf.DUMMYFUNCTION("""COMPUTED_VALUE"""),"Patrick Wilson")</f>
        <v>Patrick Wilson</v>
      </c>
      <c r="S3723" s="5" t="str">
        <f>IFERROR(__xludf.DUMMYFUNCTION("""COMPUTED_VALUE"""),"Estrela 2")</f>
        <v>Estrela 2</v>
      </c>
    </row>
    <row r="3724">
      <c r="G3724" s="5" t="str">
        <f>IFERROR(__xludf.DUMMYFUNCTION("""COMPUTED_VALUE"""),"931🤙🏼Watchmen🤙🏼Carla Gugino🤙🏼Estrela 3")</f>
        <v>931🤙🏼Watchmen🤙🏼Carla Gugino🤙🏼Estrela 3</v>
      </c>
      <c r="H3724" s="5">
        <f>IFERROR(__xludf.DUMMYFUNCTION("SPLiT(G3724, ""🤙🏼"",FALSE,FALSE)"),931.0)</f>
        <v>931</v>
      </c>
      <c r="I3724" s="5" t="str">
        <f>IFERROR(__xludf.DUMMYFUNCTION("""COMPUTED_VALUE"""),"Watchmen")</f>
        <v>Watchmen</v>
      </c>
      <c r="J3724" s="5" t="str">
        <f>IFERROR(__xludf.DUMMYFUNCTION("""COMPUTED_VALUE"""),"Carla Gugino")</f>
        <v>Carla Gugino</v>
      </c>
      <c r="K3724" s="5" t="str">
        <f>IFERROR(__xludf.DUMMYFUNCTION("""COMPUTED_VALUE"""),"Estrela 3")</f>
        <v>Estrela 3</v>
      </c>
      <c r="P3724" s="5">
        <f>IFERROR(__xludf.DUMMYFUNCTION("""COMPUTED_VALUE"""),931.0)</f>
        <v>931</v>
      </c>
      <c r="Q3724" s="5" t="str">
        <f>IFERROR(__xludf.DUMMYFUNCTION("""COMPUTED_VALUE"""),"Watchmen")</f>
        <v>Watchmen</v>
      </c>
      <c r="R3724" s="5" t="str">
        <f>IFERROR(__xludf.DUMMYFUNCTION("""COMPUTED_VALUE"""),"Carla Gugino")</f>
        <v>Carla Gugino</v>
      </c>
      <c r="S3724" s="5" t="str">
        <f>IFERROR(__xludf.DUMMYFUNCTION("""COMPUTED_VALUE"""),"Estrela 3")</f>
        <v>Estrela 3</v>
      </c>
    </row>
    <row r="3725">
      <c r="G3725" s="5" t="str">
        <f>IFERROR(__xludf.DUMMYFUNCTION("""COMPUTED_VALUE"""),"931🤙🏼Watchmen🤙🏼Malin Akerman🤙🏼Estrela 4")</f>
        <v>931🤙🏼Watchmen🤙🏼Malin Akerman🤙🏼Estrela 4</v>
      </c>
      <c r="H3725" s="5">
        <f>IFERROR(__xludf.DUMMYFUNCTION("SPLiT(G3725, ""🤙🏼"",FALSE,FALSE)"),931.0)</f>
        <v>931</v>
      </c>
      <c r="I3725" s="5" t="str">
        <f>IFERROR(__xludf.DUMMYFUNCTION("""COMPUTED_VALUE"""),"Watchmen")</f>
        <v>Watchmen</v>
      </c>
      <c r="J3725" s="5" t="str">
        <f>IFERROR(__xludf.DUMMYFUNCTION("""COMPUTED_VALUE"""),"Malin Akerman")</f>
        <v>Malin Akerman</v>
      </c>
      <c r="K3725" s="5" t="str">
        <f>IFERROR(__xludf.DUMMYFUNCTION("""COMPUTED_VALUE"""),"Estrela 4")</f>
        <v>Estrela 4</v>
      </c>
      <c r="P3725" s="5">
        <f>IFERROR(__xludf.DUMMYFUNCTION("""COMPUTED_VALUE"""),931.0)</f>
        <v>931</v>
      </c>
      <c r="Q3725" s="5" t="str">
        <f>IFERROR(__xludf.DUMMYFUNCTION("""COMPUTED_VALUE"""),"Watchmen")</f>
        <v>Watchmen</v>
      </c>
      <c r="R3725" s="5" t="str">
        <f>IFERROR(__xludf.DUMMYFUNCTION("""COMPUTED_VALUE"""),"Malin Akerman")</f>
        <v>Malin Akerman</v>
      </c>
      <c r="S3725" s="5" t="str">
        <f>IFERROR(__xludf.DUMMYFUNCTION("""COMPUTED_VALUE"""),"Estrela 4")</f>
        <v>Estrela 4</v>
      </c>
    </row>
    <row r="3726">
      <c r="G3726" s="5" t="str">
        <f>IFERROR(__xludf.DUMMYFUNCTION("""COMPUTED_VALUE"""),"932🤙🏼Lord of War🤙🏼Nicolas Cage🤙🏼Estrela 1")</f>
        <v>932🤙🏼Lord of War🤙🏼Nicolas Cage🤙🏼Estrela 1</v>
      </c>
      <c r="H3726" s="5">
        <f>IFERROR(__xludf.DUMMYFUNCTION("SPLiT(G3726, ""🤙🏼"",FALSE,FALSE)"),932.0)</f>
        <v>932</v>
      </c>
      <c r="I3726" s="5" t="str">
        <f>IFERROR(__xludf.DUMMYFUNCTION("""COMPUTED_VALUE"""),"Lord of War")</f>
        <v>Lord of War</v>
      </c>
      <c r="J3726" s="5" t="str">
        <f>IFERROR(__xludf.DUMMYFUNCTION("""COMPUTED_VALUE"""),"Nicolas Cage")</f>
        <v>Nicolas Cage</v>
      </c>
      <c r="K3726" s="5" t="str">
        <f>IFERROR(__xludf.DUMMYFUNCTION("""COMPUTED_VALUE"""),"Estrela 1")</f>
        <v>Estrela 1</v>
      </c>
      <c r="P3726" s="5">
        <f>IFERROR(__xludf.DUMMYFUNCTION("""COMPUTED_VALUE"""),932.0)</f>
        <v>932</v>
      </c>
      <c r="Q3726" s="5" t="str">
        <f>IFERROR(__xludf.DUMMYFUNCTION("""COMPUTED_VALUE"""),"Lord of War")</f>
        <v>Lord of War</v>
      </c>
      <c r="R3726" s="5" t="str">
        <f>IFERROR(__xludf.DUMMYFUNCTION("""COMPUTED_VALUE"""),"Nicolas Cage")</f>
        <v>Nicolas Cage</v>
      </c>
      <c r="S3726" s="5" t="str">
        <f>IFERROR(__xludf.DUMMYFUNCTION("""COMPUTED_VALUE"""),"Estrela 1")</f>
        <v>Estrela 1</v>
      </c>
    </row>
    <row r="3727">
      <c r="G3727" s="5" t="str">
        <f>IFERROR(__xludf.DUMMYFUNCTION("""COMPUTED_VALUE"""),"932🤙🏼Lord of War🤙🏼Ethan Hawke🤙🏼Estrela 2")</f>
        <v>932🤙🏼Lord of War🤙🏼Ethan Hawke🤙🏼Estrela 2</v>
      </c>
      <c r="H3727" s="5">
        <f>IFERROR(__xludf.DUMMYFUNCTION("SPLiT(G3727, ""🤙🏼"",FALSE,FALSE)"),932.0)</f>
        <v>932</v>
      </c>
      <c r="I3727" s="5" t="str">
        <f>IFERROR(__xludf.DUMMYFUNCTION("""COMPUTED_VALUE"""),"Lord of War")</f>
        <v>Lord of War</v>
      </c>
      <c r="J3727" s="5" t="str">
        <f>IFERROR(__xludf.DUMMYFUNCTION("""COMPUTED_VALUE"""),"Ethan Hawke")</f>
        <v>Ethan Hawke</v>
      </c>
      <c r="K3727" s="5" t="str">
        <f>IFERROR(__xludf.DUMMYFUNCTION("""COMPUTED_VALUE"""),"Estrela 2")</f>
        <v>Estrela 2</v>
      </c>
      <c r="P3727" s="5">
        <f>IFERROR(__xludf.DUMMYFUNCTION("""COMPUTED_VALUE"""),932.0)</f>
        <v>932</v>
      </c>
      <c r="Q3727" s="5" t="str">
        <f>IFERROR(__xludf.DUMMYFUNCTION("""COMPUTED_VALUE"""),"Lord of War")</f>
        <v>Lord of War</v>
      </c>
      <c r="R3727" s="5" t="str">
        <f>IFERROR(__xludf.DUMMYFUNCTION("""COMPUTED_VALUE"""),"Ethan Hawke")</f>
        <v>Ethan Hawke</v>
      </c>
      <c r="S3727" s="5" t="str">
        <f>IFERROR(__xludf.DUMMYFUNCTION("""COMPUTED_VALUE"""),"Estrela 2")</f>
        <v>Estrela 2</v>
      </c>
    </row>
    <row r="3728">
      <c r="G3728" s="5" t="str">
        <f>IFERROR(__xludf.DUMMYFUNCTION("""COMPUTED_VALUE"""),"932🤙🏼Lord of War🤙🏼Jared Leto🤙🏼Estrela 3")</f>
        <v>932🤙🏼Lord of War🤙🏼Jared Leto🤙🏼Estrela 3</v>
      </c>
      <c r="H3728" s="5">
        <f>IFERROR(__xludf.DUMMYFUNCTION("SPLiT(G3728, ""🤙🏼"",FALSE,FALSE)"),932.0)</f>
        <v>932</v>
      </c>
      <c r="I3728" s="5" t="str">
        <f>IFERROR(__xludf.DUMMYFUNCTION("""COMPUTED_VALUE"""),"Lord of War")</f>
        <v>Lord of War</v>
      </c>
      <c r="J3728" s="5" t="str">
        <f>IFERROR(__xludf.DUMMYFUNCTION("""COMPUTED_VALUE"""),"Jared Leto")</f>
        <v>Jared Leto</v>
      </c>
      <c r="K3728" s="5" t="str">
        <f>IFERROR(__xludf.DUMMYFUNCTION("""COMPUTED_VALUE"""),"Estrela 3")</f>
        <v>Estrela 3</v>
      </c>
      <c r="P3728" s="5">
        <f>IFERROR(__xludf.DUMMYFUNCTION("""COMPUTED_VALUE"""),932.0)</f>
        <v>932</v>
      </c>
      <c r="Q3728" s="5" t="str">
        <f>IFERROR(__xludf.DUMMYFUNCTION("""COMPUTED_VALUE"""),"Lord of War")</f>
        <v>Lord of War</v>
      </c>
      <c r="R3728" s="5" t="str">
        <f>IFERROR(__xludf.DUMMYFUNCTION("""COMPUTED_VALUE"""),"Jared Leto")</f>
        <v>Jared Leto</v>
      </c>
      <c r="S3728" s="5" t="str">
        <f>IFERROR(__xludf.DUMMYFUNCTION("""COMPUTED_VALUE"""),"Estrela 3")</f>
        <v>Estrela 3</v>
      </c>
    </row>
    <row r="3729">
      <c r="G3729" s="5" t="str">
        <f>IFERROR(__xludf.DUMMYFUNCTION("""COMPUTED_VALUE"""),"932🤙🏼Lord of War🤙🏼Bridget Moynahan🤙🏼Estrela 4")</f>
        <v>932🤙🏼Lord of War🤙🏼Bridget Moynahan🤙🏼Estrela 4</v>
      </c>
      <c r="H3729" s="5">
        <f>IFERROR(__xludf.DUMMYFUNCTION("SPLiT(G3729, ""🤙🏼"",FALSE,FALSE)"),932.0)</f>
        <v>932</v>
      </c>
      <c r="I3729" s="5" t="str">
        <f>IFERROR(__xludf.DUMMYFUNCTION("""COMPUTED_VALUE"""),"Lord of War")</f>
        <v>Lord of War</v>
      </c>
      <c r="J3729" s="5" t="str">
        <f>IFERROR(__xludf.DUMMYFUNCTION("""COMPUTED_VALUE"""),"Bridget Moynahan")</f>
        <v>Bridget Moynahan</v>
      </c>
      <c r="K3729" s="5" t="str">
        <f>IFERROR(__xludf.DUMMYFUNCTION("""COMPUTED_VALUE"""),"Estrela 4")</f>
        <v>Estrela 4</v>
      </c>
      <c r="P3729" s="5">
        <f>IFERROR(__xludf.DUMMYFUNCTION("""COMPUTED_VALUE"""),932.0)</f>
        <v>932</v>
      </c>
      <c r="Q3729" s="5" t="str">
        <f>IFERROR(__xludf.DUMMYFUNCTION("""COMPUTED_VALUE"""),"Lord of War")</f>
        <v>Lord of War</v>
      </c>
      <c r="R3729" s="5" t="str">
        <f>IFERROR(__xludf.DUMMYFUNCTION("""COMPUTED_VALUE"""),"Bridget Moynahan")</f>
        <v>Bridget Moynahan</v>
      </c>
      <c r="S3729" s="5" t="str">
        <f>IFERROR(__xludf.DUMMYFUNCTION("""COMPUTED_VALUE"""),"Estrela 4")</f>
        <v>Estrela 4</v>
      </c>
    </row>
    <row r="3730">
      <c r="G3730" s="5" t="str">
        <f>IFERROR(__xludf.DUMMYFUNCTION("""COMPUTED_VALUE"""),"933🤙🏼Saw🤙🏼Cary Elwes🤙🏼Estrela 1")</f>
        <v>933🤙🏼Saw🤙🏼Cary Elwes🤙🏼Estrela 1</v>
      </c>
      <c r="H3730" s="5">
        <f>IFERROR(__xludf.DUMMYFUNCTION("SPLiT(G3730, ""🤙🏼"",FALSE,FALSE)"),933.0)</f>
        <v>933</v>
      </c>
      <c r="I3730" s="5" t="str">
        <f>IFERROR(__xludf.DUMMYFUNCTION("""COMPUTED_VALUE"""),"Saw")</f>
        <v>Saw</v>
      </c>
      <c r="J3730" s="5" t="str">
        <f>IFERROR(__xludf.DUMMYFUNCTION("""COMPUTED_VALUE"""),"Cary Elwes")</f>
        <v>Cary Elwes</v>
      </c>
      <c r="K3730" s="5" t="str">
        <f>IFERROR(__xludf.DUMMYFUNCTION("""COMPUTED_VALUE"""),"Estrela 1")</f>
        <v>Estrela 1</v>
      </c>
      <c r="P3730" s="5">
        <f>IFERROR(__xludf.DUMMYFUNCTION("""COMPUTED_VALUE"""),933.0)</f>
        <v>933</v>
      </c>
      <c r="Q3730" s="5" t="str">
        <f>IFERROR(__xludf.DUMMYFUNCTION("""COMPUTED_VALUE"""),"Saw")</f>
        <v>Saw</v>
      </c>
      <c r="R3730" s="5" t="str">
        <f>IFERROR(__xludf.DUMMYFUNCTION("""COMPUTED_VALUE"""),"Cary Elwes")</f>
        <v>Cary Elwes</v>
      </c>
      <c r="S3730" s="5" t="str">
        <f>IFERROR(__xludf.DUMMYFUNCTION("""COMPUTED_VALUE"""),"Estrela 1")</f>
        <v>Estrela 1</v>
      </c>
    </row>
    <row r="3731">
      <c r="G3731" s="5" t="str">
        <f>IFERROR(__xludf.DUMMYFUNCTION("""COMPUTED_VALUE"""),"933🤙🏼Saw🤙🏼Leigh Whannell🤙🏼Estrela 2")</f>
        <v>933🤙🏼Saw🤙🏼Leigh Whannell🤙🏼Estrela 2</v>
      </c>
      <c r="H3731" s="5">
        <f>IFERROR(__xludf.DUMMYFUNCTION("SPLiT(G3731, ""🤙🏼"",FALSE,FALSE)"),933.0)</f>
        <v>933</v>
      </c>
      <c r="I3731" s="5" t="str">
        <f>IFERROR(__xludf.DUMMYFUNCTION("""COMPUTED_VALUE"""),"Saw")</f>
        <v>Saw</v>
      </c>
      <c r="J3731" s="5" t="str">
        <f>IFERROR(__xludf.DUMMYFUNCTION("""COMPUTED_VALUE"""),"Leigh Whannell")</f>
        <v>Leigh Whannell</v>
      </c>
      <c r="K3731" s="5" t="str">
        <f>IFERROR(__xludf.DUMMYFUNCTION("""COMPUTED_VALUE"""),"Estrela 2")</f>
        <v>Estrela 2</v>
      </c>
      <c r="P3731" s="5">
        <f>IFERROR(__xludf.DUMMYFUNCTION("""COMPUTED_VALUE"""),933.0)</f>
        <v>933</v>
      </c>
      <c r="Q3731" s="5" t="str">
        <f>IFERROR(__xludf.DUMMYFUNCTION("""COMPUTED_VALUE"""),"Saw")</f>
        <v>Saw</v>
      </c>
      <c r="R3731" s="5" t="str">
        <f>IFERROR(__xludf.DUMMYFUNCTION("""COMPUTED_VALUE"""),"Leigh Whannell")</f>
        <v>Leigh Whannell</v>
      </c>
      <c r="S3731" s="5" t="str">
        <f>IFERROR(__xludf.DUMMYFUNCTION("""COMPUTED_VALUE"""),"Estrela 2")</f>
        <v>Estrela 2</v>
      </c>
    </row>
    <row r="3732">
      <c r="G3732" s="5" t="str">
        <f>IFERROR(__xludf.DUMMYFUNCTION("""COMPUTED_VALUE"""),"933🤙🏼Saw🤙🏼Danny Glover🤙🏼Estrela 3")</f>
        <v>933🤙🏼Saw🤙🏼Danny Glover🤙🏼Estrela 3</v>
      </c>
      <c r="H3732" s="5">
        <f>IFERROR(__xludf.DUMMYFUNCTION("SPLiT(G3732, ""🤙🏼"",FALSE,FALSE)"),933.0)</f>
        <v>933</v>
      </c>
      <c r="I3732" s="5" t="str">
        <f>IFERROR(__xludf.DUMMYFUNCTION("""COMPUTED_VALUE"""),"Saw")</f>
        <v>Saw</v>
      </c>
      <c r="J3732" s="5" t="str">
        <f>IFERROR(__xludf.DUMMYFUNCTION("""COMPUTED_VALUE"""),"Danny Glover")</f>
        <v>Danny Glover</v>
      </c>
      <c r="K3732" s="5" t="str">
        <f>IFERROR(__xludf.DUMMYFUNCTION("""COMPUTED_VALUE"""),"Estrela 3")</f>
        <v>Estrela 3</v>
      </c>
      <c r="P3732" s="5">
        <f>IFERROR(__xludf.DUMMYFUNCTION("""COMPUTED_VALUE"""),933.0)</f>
        <v>933</v>
      </c>
      <c r="Q3732" s="5" t="str">
        <f>IFERROR(__xludf.DUMMYFUNCTION("""COMPUTED_VALUE"""),"Saw")</f>
        <v>Saw</v>
      </c>
      <c r="R3732" s="5" t="str">
        <f>IFERROR(__xludf.DUMMYFUNCTION("""COMPUTED_VALUE"""),"Danny Glover")</f>
        <v>Danny Glover</v>
      </c>
      <c r="S3732" s="5" t="str">
        <f>IFERROR(__xludf.DUMMYFUNCTION("""COMPUTED_VALUE"""),"Estrela 3")</f>
        <v>Estrela 3</v>
      </c>
    </row>
    <row r="3733">
      <c r="G3733" s="5" t="str">
        <f>IFERROR(__xludf.DUMMYFUNCTION("""COMPUTED_VALUE"""),"933🤙🏼Saw🤙🏼Ken Leung🤙🏼Estrela 4")</f>
        <v>933🤙🏼Saw🤙🏼Ken Leung🤙🏼Estrela 4</v>
      </c>
      <c r="H3733" s="5">
        <f>IFERROR(__xludf.DUMMYFUNCTION("SPLiT(G3733, ""🤙🏼"",FALSE,FALSE)"),933.0)</f>
        <v>933</v>
      </c>
      <c r="I3733" s="5" t="str">
        <f>IFERROR(__xludf.DUMMYFUNCTION("""COMPUTED_VALUE"""),"Saw")</f>
        <v>Saw</v>
      </c>
      <c r="J3733" s="5" t="str">
        <f>IFERROR(__xludf.DUMMYFUNCTION("""COMPUTED_VALUE"""),"Ken Leung")</f>
        <v>Ken Leung</v>
      </c>
      <c r="K3733" s="5" t="str">
        <f>IFERROR(__xludf.DUMMYFUNCTION("""COMPUTED_VALUE"""),"Estrela 4")</f>
        <v>Estrela 4</v>
      </c>
      <c r="P3733" s="5">
        <f>IFERROR(__xludf.DUMMYFUNCTION("""COMPUTED_VALUE"""),933.0)</f>
        <v>933</v>
      </c>
      <c r="Q3733" s="5" t="str">
        <f>IFERROR(__xludf.DUMMYFUNCTION("""COMPUTED_VALUE"""),"Saw")</f>
        <v>Saw</v>
      </c>
      <c r="R3733" s="5" t="str">
        <f>IFERROR(__xludf.DUMMYFUNCTION("""COMPUTED_VALUE"""),"Ken Leung")</f>
        <v>Ken Leung</v>
      </c>
      <c r="S3733" s="5" t="str">
        <f>IFERROR(__xludf.DUMMYFUNCTION("""COMPUTED_VALUE"""),"Estrela 4")</f>
        <v>Estrela 4</v>
      </c>
    </row>
    <row r="3734">
      <c r="G3734" s="5" t="str">
        <f>IFERROR(__xludf.DUMMYFUNCTION("""COMPUTED_VALUE"""),"934🤙🏼Synecdoche, New York🤙🏼Philip Seymour Hoffman🤙🏼Estrela 1")</f>
        <v>934🤙🏼Synecdoche, New York🤙🏼Philip Seymour Hoffman🤙🏼Estrela 1</v>
      </c>
      <c r="H3734" s="5">
        <f>IFERROR(__xludf.DUMMYFUNCTION("SPLiT(G3734, ""🤙🏼"",FALSE,FALSE)"),934.0)</f>
        <v>934</v>
      </c>
      <c r="I3734" s="5" t="str">
        <f>IFERROR(__xludf.DUMMYFUNCTION("""COMPUTED_VALUE"""),"Synecdoche, New York")</f>
        <v>Synecdoche, New York</v>
      </c>
      <c r="J3734" s="5" t="str">
        <f>IFERROR(__xludf.DUMMYFUNCTION("""COMPUTED_VALUE"""),"Philip Seymour Hoffman")</f>
        <v>Philip Seymour Hoffman</v>
      </c>
      <c r="K3734" s="5" t="str">
        <f>IFERROR(__xludf.DUMMYFUNCTION("""COMPUTED_VALUE"""),"Estrela 1")</f>
        <v>Estrela 1</v>
      </c>
      <c r="P3734" s="5">
        <f>IFERROR(__xludf.DUMMYFUNCTION("""COMPUTED_VALUE"""),934.0)</f>
        <v>934</v>
      </c>
      <c r="Q3734" s="5" t="str">
        <f>IFERROR(__xludf.DUMMYFUNCTION("""COMPUTED_VALUE"""),"Synecdoche, New York")</f>
        <v>Synecdoche, New York</v>
      </c>
      <c r="R3734" s="5" t="str">
        <f>IFERROR(__xludf.DUMMYFUNCTION("""COMPUTED_VALUE"""),"Philip Seymour Hoffman")</f>
        <v>Philip Seymour Hoffman</v>
      </c>
      <c r="S3734" s="5" t="str">
        <f>IFERROR(__xludf.DUMMYFUNCTION("""COMPUTED_VALUE"""),"Estrela 1")</f>
        <v>Estrela 1</v>
      </c>
    </row>
    <row r="3735">
      <c r="G3735" s="5" t="str">
        <f>IFERROR(__xludf.DUMMYFUNCTION("""COMPUTED_VALUE"""),"934🤙🏼Synecdoche, New York🤙🏼Samantha Morton🤙🏼Estrela 2")</f>
        <v>934🤙🏼Synecdoche, New York🤙🏼Samantha Morton🤙🏼Estrela 2</v>
      </c>
      <c r="H3735" s="5">
        <f>IFERROR(__xludf.DUMMYFUNCTION("SPLiT(G3735, ""🤙🏼"",FALSE,FALSE)"),934.0)</f>
        <v>934</v>
      </c>
      <c r="I3735" s="5" t="str">
        <f>IFERROR(__xludf.DUMMYFUNCTION("""COMPUTED_VALUE"""),"Synecdoche, New York")</f>
        <v>Synecdoche, New York</v>
      </c>
      <c r="J3735" s="5" t="str">
        <f>IFERROR(__xludf.DUMMYFUNCTION("""COMPUTED_VALUE"""),"Samantha Morton")</f>
        <v>Samantha Morton</v>
      </c>
      <c r="K3735" s="5" t="str">
        <f>IFERROR(__xludf.DUMMYFUNCTION("""COMPUTED_VALUE"""),"Estrela 2")</f>
        <v>Estrela 2</v>
      </c>
      <c r="P3735" s="5">
        <f>IFERROR(__xludf.DUMMYFUNCTION("""COMPUTED_VALUE"""),934.0)</f>
        <v>934</v>
      </c>
      <c r="Q3735" s="5" t="str">
        <f>IFERROR(__xludf.DUMMYFUNCTION("""COMPUTED_VALUE"""),"Synecdoche, New York")</f>
        <v>Synecdoche, New York</v>
      </c>
      <c r="R3735" s="5" t="str">
        <f>IFERROR(__xludf.DUMMYFUNCTION("""COMPUTED_VALUE"""),"Samantha Morton")</f>
        <v>Samantha Morton</v>
      </c>
      <c r="S3735" s="5" t="str">
        <f>IFERROR(__xludf.DUMMYFUNCTION("""COMPUTED_VALUE"""),"Estrela 2")</f>
        <v>Estrela 2</v>
      </c>
    </row>
    <row r="3736">
      <c r="G3736" s="5" t="str">
        <f>IFERROR(__xludf.DUMMYFUNCTION("""COMPUTED_VALUE"""),"934🤙🏼Synecdoche, New York🤙🏼Michelle Williams🤙🏼Estrela 3")</f>
        <v>934🤙🏼Synecdoche, New York🤙🏼Michelle Williams🤙🏼Estrela 3</v>
      </c>
      <c r="H3736" s="5">
        <f>IFERROR(__xludf.DUMMYFUNCTION("SPLiT(G3736, ""🤙🏼"",FALSE,FALSE)"),934.0)</f>
        <v>934</v>
      </c>
      <c r="I3736" s="5" t="str">
        <f>IFERROR(__xludf.DUMMYFUNCTION("""COMPUTED_VALUE"""),"Synecdoche, New York")</f>
        <v>Synecdoche, New York</v>
      </c>
      <c r="J3736" s="5" t="str">
        <f>IFERROR(__xludf.DUMMYFUNCTION("""COMPUTED_VALUE"""),"Michelle Williams")</f>
        <v>Michelle Williams</v>
      </c>
      <c r="K3736" s="5" t="str">
        <f>IFERROR(__xludf.DUMMYFUNCTION("""COMPUTED_VALUE"""),"Estrela 3")</f>
        <v>Estrela 3</v>
      </c>
      <c r="P3736" s="5">
        <f>IFERROR(__xludf.DUMMYFUNCTION("""COMPUTED_VALUE"""),934.0)</f>
        <v>934</v>
      </c>
      <c r="Q3736" s="5" t="str">
        <f>IFERROR(__xludf.DUMMYFUNCTION("""COMPUTED_VALUE"""),"Synecdoche, New York")</f>
        <v>Synecdoche, New York</v>
      </c>
      <c r="R3736" s="5" t="str">
        <f>IFERROR(__xludf.DUMMYFUNCTION("""COMPUTED_VALUE"""),"Michelle Williams")</f>
        <v>Michelle Williams</v>
      </c>
      <c r="S3736" s="5" t="str">
        <f>IFERROR(__xludf.DUMMYFUNCTION("""COMPUTED_VALUE"""),"Estrela 3")</f>
        <v>Estrela 3</v>
      </c>
    </row>
    <row r="3737">
      <c r="G3737" s="5" t="str">
        <f>IFERROR(__xludf.DUMMYFUNCTION("""COMPUTED_VALUE"""),"934🤙🏼Synecdoche, New York🤙🏼Catherine Keener🤙🏼Estrela 4")</f>
        <v>934🤙🏼Synecdoche, New York🤙🏼Catherine Keener🤙🏼Estrela 4</v>
      </c>
      <c r="H3737" s="5">
        <f>IFERROR(__xludf.DUMMYFUNCTION("SPLiT(G3737, ""🤙🏼"",FALSE,FALSE)"),934.0)</f>
        <v>934</v>
      </c>
      <c r="I3737" s="5" t="str">
        <f>IFERROR(__xludf.DUMMYFUNCTION("""COMPUTED_VALUE"""),"Synecdoche, New York")</f>
        <v>Synecdoche, New York</v>
      </c>
      <c r="J3737" s="5" t="str">
        <f>IFERROR(__xludf.DUMMYFUNCTION("""COMPUTED_VALUE"""),"Catherine Keener")</f>
        <v>Catherine Keener</v>
      </c>
      <c r="K3737" s="5" t="str">
        <f>IFERROR(__xludf.DUMMYFUNCTION("""COMPUTED_VALUE"""),"Estrela 4")</f>
        <v>Estrela 4</v>
      </c>
      <c r="P3737" s="5">
        <f>IFERROR(__xludf.DUMMYFUNCTION("""COMPUTED_VALUE"""),934.0)</f>
        <v>934</v>
      </c>
      <c r="Q3737" s="5" t="str">
        <f>IFERROR(__xludf.DUMMYFUNCTION("""COMPUTED_VALUE"""),"Synecdoche, New York")</f>
        <v>Synecdoche, New York</v>
      </c>
      <c r="R3737" s="5" t="str">
        <f>IFERROR(__xludf.DUMMYFUNCTION("""COMPUTED_VALUE"""),"Catherine Keener")</f>
        <v>Catherine Keener</v>
      </c>
      <c r="S3737" s="5" t="str">
        <f>IFERROR(__xludf.DUMMYFUNCTION("""COMPUTED_VALUE"""),"Estrela 4")</f>
        <v>Estrela 4</v>
      </c>
    </row>
    <row r="3738">
      <c r="G3738" s="5" t="str">
        <f>IFERROR(__xludf.DUMMYFUNCTION("""COMPUTED_VALUE"""),"935🤙🏼Mysterious Skin🤙🏼Brady Corbet🤙🏼Estrela 1")</f>
        <v>935🤙🏼Mysterious Skin🤙🏼Brady Corbet🤙🏼Estrela 1</v>
      </c>
      <c r="H3738" s="5">
        <f>IFERROR(__xludf.DUMMYFUNCTION("SPLiT(G3738, ""🤙🏼"",FALSE,FALSE)"),935.0)</f>
        <v>935</v>
      </c>
      <c r="I3738" s="5" t="str">
        <f>IFERROR(__xludf.DUMMYFUNCTION("""COMPUTED_VALUE"""),"Mysterious Skin")</f>
        <v>Mysterious Skin</v>
      </c>
      <c r="J3738" s="5" t="str">
        <f>IFERROR(__xludf.DUMMYFUNCTION("""COMPUTED_VALUE"""),"Brady Corbet")</f>
        <v>Brady Corbet</v>
      </c>
      <c r="K3738" s="5" t="str">
        <f>IFERROR(__xludf.DUMMYFUNCTION("""COMPUTED_VALUE"""),"Estrela 1")</f>
        <v>Estrela 1</v>
      </c>
      <c r="P3738" s="5">
        <f>IFERROR(__xludf.DUMMYFUNCTION("""COMPUTED_VALUE"""),935.0)</f>
        <v>935</v>
      </c>
      <c r="Q3738" s="5" t="str">
        <f>IFERROR(__xludf.DUMMYFUNCTION("""COMPUTED_VALUE"""),"Mysterious Skin")</f>
        <v>Mysterious Skin</v>
      </c>
      <c r="R3738" s="5" t="str">
        <f>IFERROR(__xludf.DUMMYFUNCTION("""COMPUTED_VALUE"""),"Brady Corbet")</f>
        <v>Brady Corbet</v>
      </c>
      <c r="S3738" s="5" t="str">
        <f>IFERROR(__xludf.DUMMYFUNCTION("""COMPUTED_VALUE"""),"Estrela 1")</f>
        <v>Estrela 1</v>
      </c>
    </row>
    <row r="3739">
      <c r="G3739" s="5" t="str">
        <f>IFERROR(__xludf.DUMMYFUNCTION("""COMPUTED_VALUE"""),"935🤙🏼Mysterious Skin🤙🏼Joseph Gordon-Levitt🤙🏼Estrela 2")</f>
        <v>935🤙🏼Mysterious Skin🤙🏼Joseph Gordon-Levitt🤙🏼Estrela 2</v>
      </c>
      <c r="H3739" s="5">
        <f>IFERROR(__xludf.DUMMYFUNCTION("SPLiT(G3739, ""🤙🏼"",FALSE,FALSE)"),935.0)</f>
        <v>935</v>
      </c>
      <c r="I3739" s="5" t="str">
        <f>IFERROR(__xludf.DUMMYFUNCTION("""COMPUTED_VALUE"""),"Mysterious Skin")</f>
        <v>Mysterious Skin</v>
      </c>
      <c r="J3739" s="5" t="str">
        <f>IFERROR(__xludf.DUMMYFUNCTION("""COMPUTED_VALUE"""),"Joseph Gordon-Levitt")</f>
        <v>Joseph Gordon-Levitt</v>
      </c>
      <c r="K3739" s="5" t="str">
        <f>IFERROR(__xludf.DUMMYFUNCTION("""COMPUTED_VALUE"""),"Estrela 2")</f>
        <v>Estrela 2</v>
      </c>
      <c r="P3739" s="5">
        <f>IFERROR(__xludf.DUMMYFUNCTION("""COMPUTED_VALUE"""),935.0)</f>
        <v>935</v>
      </c>
      <c r="Q3739" s="5" t="str">
        <f>IFERROR(__xludf.DUMMYFUNCTION("""COMPUTED_VALUE"""),"Mysterious Skin")</f>
        <v>Mysterious Skin</v>
      </c>
      <c r="R3739" s="5" t="str">
        <f>IFERROR(__xludf.DUMMYFUNCTION("""COMPUTED_VALUE"""),"Joseph Gordon-Levitt")</f>
        <v>Joseph Gordon-Levitt</v>
      </c>
      <c r="S3739" s="5" t="str">
        <f>IFERROR(__xludf.DUMMYFUNCTION("""COMPUTED_VALUE"""),"Estrela 2")</f>
        <v>Estrela 2</v>
      </c>
    </row>
    <row r="3740">
      <c r="G3740" s="5" t="str">
        <f>IFERROR(__xludf.DUMMYFUNCTION("""COMPUTED_VALUE"""),"935🤙🏼Mysterious Skin🤙🏼Elisabeth Shue🤙🏼Estrela 3")</f>
        <v>935🤙🏼Mysterious Skin🤙🏼Elisabeth Shue🤙🏼Estrela 3</v>
      </c>
      <c r="H3740" s="5">
        <f>IFERROR(__xludf.DUMMYFUNCTION("SPLiT(G3740, ""🤙🏼"",FALSE,FALSE)"),935.0)</f>
        <v>935</v>
      </c>
      <c r="I3740" s="5" t="str">
        <f>IFERROR(__xludf.DUMMYFUNCTION("""COMPUTED_VALUE"""),"Mysterious Skin")</f>
        <v>Mysterious Skin</v>
      </c>
      <c r="J3740" s="5" t="str">
        <f>IFERROR(__xludf.DUMMYFUNCTION("""COMPUTED_VALUE"""),"Elisabeth Shue")</f>
        <v>Elisabeth Shue</v>
      </c>
      <c r="K3740" s="5" t="str">
        <f>IFERROR(__xludf.DUMMYFUNCTION("""COMPUTED_VALUE"""),"Estrela 3")</f>
        <v>Estrela 3</v>
      </c>
      <c r="P3740" s="5">
        <f>IFERROR(__xludf.DUMMYFUNCTION("""COMPUTED_VALUE"""),935.0)</f>
        <v>935</v>
      </c>
      <c r="Q3740" s="5" t="str">
        <f>IFERROR(__xludf.DUMMYFUNCTION("""COMPUTED_VALUE"""),"Mysterious Skin")</f>
        <v>Mysterious Skin</v>
      </c>
      <c r="R3740" s="5" t="str">
        <f>IFERROR(__xludf.DUMMYFUNCTION("""COMPUTED_VALUE"""),"Elisabeth Shue")</f>
        <v>Elisabeth Shue</v>
      </c>
      <c r="S3740" s="5" t="str">
        <f>IFERROR(__xludf.DUMMYFUNCTION("""COMPUTED_VALUE"""),"Estrela 3")</f>
        <v>Estrela 3</v>
      </c>
    </row>
    <row r="3741">
      <c r="G3741" s="5" t="str">
        <f>IFERROR(__xludf.DUMMYFUNCTION("""COMPUTED_VALUE"""),"935🤙🏼Mysterious Skin🤙🏼Chase Ellison🤙🏼Estrela 4")</f>
        <v>935🤙🏼Mysterious Skin🤙🏼Chase Ellison🤙🏼Estrela 4</v>
      </c>
      <c r="H3741" s="5">
        <f>IFERROR(__xludf.DUMMYFUNCTION("SPLiT(G3741, ""🤙🏼"",FALSE,FALSE)"),935.0)</f>
        <v>935</v>
      </c>
      <c r="I3741" s="5" t="str">
        <f>IFERROR(__xludf.DUMMYFUNCTION("""COMPUTED_VALUE"""),"Mysterious Skin")</f>
        <v>Mysterious Skin</v>
      </c>
      <c r="J3741" s="5" t="str">
        <f>IFERROR(__xludf.DUMMYFUNCTION("""COMPUTED_VALUE"""),"Chase Ellison")</f>
        <v>Chase Ellison</v>
      </c>
      <c r="K3741" s="5" t="str">
        <f>IFERROR(__xludf.DUMMYFUNCTION("""COMPUTED_VALUE"""),"Estrela 4")</f>
        <v>Estrela 4</v>
      </c>
      <c r="P3741" s="5">
        <f>IFERROR(__xludf.DUMMYFUNCTION("""COMPUTED_VALUE"""),935.0)</f>
        <v>935</v>
      </c>
      <c r="Q3741" s="5" t="str">
        <f>IFERROR(__xludf.DUMMYFUNCTION("""COMPUTED_VALUE"""),"Mysterious Skin")</f>
        <v>Mysterious Skin</v>
      </c>
      <c r="R3741" s="5" t="str">
        <f>IFERROR(__xludf.DUMMYFUNCTION("""COMPUTED_VALUE"""),"Chase Ellison")</f>
        <v>Chase Ellison</v>
      </c>
      <c r="S3741" s="5" t="str">
        <f>IFERROR(__xludf.DUMMYFUNCTION("""COMPUTED_VALUE"""),"Estrela 4")</f>
        <v>Estrela 4</v>
      </c>
    </row>
    <row r="3742">
      <c r="G3742" s="5" t="str">
        <f>IFERROR(__xludf.DUMMYFUNCTION("""COMPUTED_VALUE"""),"936🤙🏼Jeux d'enfants🤙🏼Guillaume Canet🤙🏼Estrela 1")</f>
        <v>936🤙🏼Jeux d'enfants🤙🏼Guillaume Canet🤙🏼Estrela 1</v>
      </c>
      <c r="H3742" s="5">
        <f>IFERROR(__xludf.DUMMYFUNCTION("SPLiT(G3742, ""🤙🏼"",FALSE,FALSE)"),936.0)</f>
        <v>936</v>
      </c>
      <c r="I3742" s="5" t="str">
        <f>IFERROR(__xludf.DUMMYFUNCTION("""COMPUTED_VALUE"""),"Jeux d'enfants")</f>
        <v>Jeux d'enfants</v>
      </c>
      <c r="J3742" s="5" t="str">
        <f>IFERROR(__xludf.DUMMYFUNCTION("""COMPUTED_VALUE"""),"Guillaume Canet")</f>
        <v>Guillaume Canet</v>
      </c>
      <c r="K3742" s="5" t="str">
        <f>IFERROR(__xludf.DUMMYFUNCTION("""COMPUTED_VALUE"""),"Estrela 1")</f>
        <v>Estrela 1</v>
      </c>
      <c r="P3742" s="5">
        <f>IFERROR(__xludf.DUMMYFUNCTION("""COMPUTED_VALUE"""),936.0)</f>
        <v>936</v>
      </c>
      <c r="Q3742" s="5" t="str">
        <f>IFERROR(__xludf.DUMMYFUNCTION("""COMPUTED_VALUE"""),"Jeux d'enfants")</f>
        <v>Jeux d'enfants</v>
      </c>
      <c r="R3742" s="5" t="str">
        <f>IFERROR(__xludf.DUMMYFUNCTION("""COMPUTED_VALUE"""),"Guillaume Canet")</f>
        <v>Guillaume Canet</v>
      </c>
      <c r="S3742" s="5" t="str">
        <f>IFERROR(__xludf.DUMMYFUNCTION("""COMPUTED_VALUE"""),"Estrela 1")</f>
        <v>Estrela 1</v>
      </c>
    </row>
    <row r="3743">
      <c r="G3743" s="5" t="str">
        <f>IFERROR(__xludf.DUMMYFUNCTION("""COMPUTED_VALUE"""),"936🤙🏼Jeux d'enfants🤙🏼Marion Cotillard🤙🏼Estrela 2")</f>
        <v>936🤙🏼Jeux d'enfants🤙🏼Marion Cotillard🤙🏼Estrela 2</v>
      </c>
      <c r="H3743" s="5">
        <f>IFERROR(__xludf.DUMMYFUNCTION("SPLiT(G3743, ""🤙🏼"",FALSE,FALSE)"),936.0)</f>
        <v>936</v>
      </c>
      <c r="I3743" s="5" t="str">
        <f>IFERROR(__xludf.DUMMYFUNCTION("""COMPUTED_VALUE"""),"Jeux d'enfants")</f>
        <v>Jeux d'enfants</v>
      </c>
      <c r="J3743" s="5" t="str">
        <f>IFERROR(__xludf.DUMMYFUNCTION("""COMPUTED_VALUE"""),"Marion Cotillard")</f>
        <v>Marion Cotillard</v>
      </c>
      <c r="K3743" s="5" t="str">
        <f>IFERROR(__xludf.DUMMYFUNCTION("""COMPUTED_VALUE"""),"Estrela 2")</f>
        <v>Estrela 2</v>
      </c>
      <c r="P3743" s="5">
        <f>IFERROR(__xludf.DUMMYFUNCTION("""COMPUTED_VALUE"""),936.0)</f>
        <v>936</v>
      </c>
      <c r="Q3743" s="5" t="str">
        <f>IFERROR(__xludf.DUMMYFUNCTION("""COMPUTED_VALUE"""),"Jeux d'enfants")</f>
        <v>Jeux d'enfants</v>
      </c>
      <c r="R3743" s="5" t="str">
        <f>IFERROR(__xludf.DUMMYFUNCTION("""COMPUTED_VALUE"""),"Marion Cotillard")</f>
        <v>Marion Cotillard</v>
      </c>
      <c r="S3743" s="5" t="str">
        <f>IFERROR(__xludf.DUMMYFUNCTION("""COMPUTED_VALUE"""),"Estrela 2")</f>
        <v>Estrela 2</v>
      </c>
    </row>
    <row r="3744">
      <c r="G3744" s="5" t="str">
        <f>IFERROR(__xludf.DUMMYFUNCTION("""COMPUTED_VALUE"""),"936🤙🏼Jeux d'enfants🤙🏼Thibault Verhaeghe🤙🏼Estrela 3")</f>
        <v>936🤙🏼Jeux d'enfants🤙🏼Thibault Verhaeghe🤙🏼Estrela 3</v>
      </c>
      <c r="H3744" s="5">
        <f>IFERROR(__xludf.DUMMYFUNCTION("SPLiT(G3744, ""🤙🏼"",FALSE,FALSE)"),936.0)</f>
        <v>936</v>
      </c>
      <c r="I3744" s="5" t="str">
        <f>IFERROR(__xludf.DUMMYFUNCTION("""COMPUTED_VALUE"""),"Jeux d'enfants")</f>
        <v>Jeux d'enfants</v>
      </c>
      <c r="J3744" s="5" t="str">
        <f>IFERROR(__xludf.DUMMYFUNCTION("""COMPUTED_VALUE"""),"Thibault Verhaeghe")</f>
        <v>Thibault Verhaeghe</v>
      </c>
      <c r="K3744" s="5" t="str">
        <f>IFERROR(__xludf.DUMMYFUNCTION("""COMPUTED_VALUE"""),"Estrela 3")</f>
        <v>Estrela 3</v>
      </c>
      <c r="P3744" s="5">
        <f>IFERROR(__xludf.DUMMYFUNCTION("""COMPUTED_VALUE"""),936.0)</f>
        <v>936</v>
      </c>
      <c r="Q3744" s="5" t="str">
        <f>IFERROR(__xludf.DUMMYFUNCTION("""COMPUTED_VALUE"""),"Jeux d'enfants")</f>
        <v>Jeux d'enfants</v>
      </c>
      <c r="R3744" s="5" t="str">
        <f>IFERROR(__xludf.DUMMYFUNCTION("""COMPUTED_VALUE"""),"Thibault Verhaeghe")</f>
        <v>Thibault Verhaeghe</v>
      </c>
      <c r="S3744" s="5" t="str">
        <f>IFERROR(__xludf.DUMMYFUNCTION("""COMPUTED_VALUE"""),"Estrela 3")</f>
        <v>Estrela 3</v>
      </c>
    </row>
    <row r="3745">
      <c r="G3745" s="5" t="str">
        <f>IFERROR(__xludf.DUMMYFUNCTION("""COMPUTED_VALUE"""),"936🤙🏼Jeux d'enfants🤙🏼Joséphine Lebas-Joly🤙🏼Estrela 4")</f>
        <v>936🤙🏼Jeux d'enfants🤙🏼Joséphine Lebas-Joly🤙🏼Estrela 4</v>
      </c>
      <c r="H3745" s="5">
        <f>IFERROR(__xludf.DUMMYFUNCTION("SPLiT(G3745, ""🤙🏼"",FALSE,FALSE)"),936.0)</f>
        <v>936</v>
      </c>
      <c r="I3745" s="5" t="str">
        <f>IFERROR(__xludf.DUMMYFUNCTION("""COMPUTED_VALUE"""),"Jeux d'enfants")</f>
        <v>Jeux d'enfants</v>
      </c>
      <c r="J3745" s="5" t="str">
        <f>IFERROR(__xludf.DUMMYFUNCTION("""COMPUTED_VALUE"""),"Joséphine Lebas-Joly")</f>
        <v>Joséphine Lebas-Joly</v>
      </c>
      <c r="K3745" s="5" t="str">
        <f>IFERROR(__xludf.DUMMYFUNCTION("""COMPUTED_VALUE"""),"Estrela 4")</f>
        <v>Estrela 4</v>
      </c>
      <c r="P3745" s="5">
        <f>IFERROR(__xludf.DUMMYFUNCTION("""COMPUTED_VALUE"""),936.0)</f>
        <v>936</v>
      </c>
      <c r="Q3745" s="5" t="str">
        <f>IFERROR(__xludf.DUMMYFUNCTION("""COMPUTED_VALUE"""),"Jeux d'enfants")</f>
        <v>Jeux d'enfants</v>
      </c>
      <c r="R3745" s="5" t="str">
        <f>IFERROR(__xludf.DUMMYFUNCTION("""COMPUTED_VALUE"""),"Joséphine Lebas-Joly")</f>
        <v>Joséphine Lebas-Joly</v>
      </c>
      <c r="S3745" s="5" t="str">
        <f>IFERROR(__xludf.DUMMYFUNCTION("""COMPUTED_VALUE"""),"Estrela 4")</f>
        <v>Estrela 4</v>
      </c>
    </row>
    <row r="3746">
      <c r="G3746" s="5" t="str">
        <f>IFERROR(__xludf.DUMMYFUNCTION("""COMPUTED_VALUE"""),"937🤙🏼Un long dimanche de fiançailles🤙🏼Audrey Tautou🤙🏼Estrela 1")</f>
        <v>937🤙🏼Un long dimanche de fiançailles🤙🏼Audrey Tautou🤙🏼Estrela 1</v>
      </c>
      <c r="H3746" s="5">
        <f>IFERROR(__xludf.DUMMYFUNCTION("SPLiT(G3746, ""🤙🏼"",FALSE,FALSE)"),937.0)</f>
        <v>937</v>
      </c>
      <c r="I3746" s="5" t="str">
        <f>IFERROR(__xludf.DUMMYFUNCTION("""COMPUTED_VALUE"""),"Un long dimanche de fiançailles")</f>
        <v>Un long dimanche de fiançailles</v>
      </c>
      <c r="J3746" s="5" t="str">
        <f>IFERROR(__xludf.DUMMYFUNCTION("""COMPUTED_VALUE"""),"Audrey Tautou")</f>
        <v>Audrey Tautou</v>
      </c>
      <c r="K3746" s="5" t="str">
        <f>IFERROR(__xludf.DUMMYFUNCTION("""COMPUTED_VALUE"""),"Estrela 1")</f>
        <v>Estrela 1</v>
      </c>
      <c r="P3746" s="5">
        <f>IFERROR(__xludf.DUMMYFUNCTION("""COMPUTED_VALUE"""),937.0)</f>
        <v>937</v>
      </c>
      <c r="Q3746" s="5" t="str">
        <f>IFERROR(__xludf.DUMMYFUNCTION("""COMPUTED_VALUE"""),"Un long dimanche de fiançailles")</f>
        <v>Un long dimanche de fiançailles</v>
      </c>
      <c r="R3746" s="5" t="str">
        <f>IFERROR(__xludf.DUMMYFUNCTION("""COMPUTED_VALUE"""),"Audrey Tautou")</f>
        <v>Audrey Tautou</v>
      </c>
      <c r="S3746" s="5" t="str">
        <f>IFERROR(__xludf.DUMMYFUNCTION("""COMPUTED_VALUE"""),"Estrela 1")</f>
        <v>Estrela 1</v>
      </c>
    </row>
    <row r="3747">
      <c r="G3747" s="5" t="str">
        <f>IFERROR(__xludf.DUMMYFUNCTION("""COMPUTED_VALUE"""),"937🤙🏼Un long dimanche de fiançailles🤙🏼Gaspard Ulliel🤙🏼Estrela 2")</f>
        <v>937🤙🏼Un long dimanche de fiançailles🤙🏼Gaspard Ulliel🤙🏼Estrela 2</v>
      </c>
      <c r="H3747" s="5">
        <f>IFERROR(__xludf.DUMMYFUNCTION("SPLiT(G3747, ""🤙🏼"",FALSE,FALSE)"),937.0)</f>
        <v>937</v>
      </c>
      <c r="I3747" s="5" t="str">
        <f>IFERROR(__xludf.DUMMYFUNCTION("""COMPUTED_VALUE"""),"Un long dimanche de fiançailles")</f>
        <v>Un long dimanche de fiançailles</v>
      </c>
      <c r="J3747" s="5" t="str">
        <f>IFERROR(__xludf.DUMMYFUNCTION("""COMPUTED_VALUE"""),"Gaspard Ulliel")</f>
        <v>Gaspard Ulliel</v>
      </c>
      <c r="K3747" s="5" t="str">
        <f>IFERROR(__xludf.DUMMYFUNCTION("""COMPUTED_VALUE"""),"Estrela 2")</f>
        <v>Estrela 2</v>
      </c>
      <c r="P3747" s="5">
        <f>IFERROR(__xludf.DUMMYFUNCTION("""COMPUTED_VALUE"""),937.0)</f>
        <v>937</v>
      </c>
      <c r="Q3747" s="5" t="str">
        <f>IFERROR(__xludf.DUMMYFUNCTION("""COMPUTED_VALUE"""),"Un long dimanche de fiançailles")</f>
        <v>Un long dimanche de fiançailles</v>
      </c>
      <c r="R3747" s="5" t="str">
        <f>IFERROR(__xludf.DUMMYFUNCTION("""COMPUTED_VALUE"""),"Gaspard Ulliel")</f>
        <v>Gaspard Ulliel</v>
      </c>
      <c r="S3747" s="5" t="str">
        <f>IFERROR(__xludf.DUMMYFUNCTION("""COMPUTED_VALUE"""),"Estrela 2")</f>
        <v>Estrela 2</v>
      </c>
    </row>
    <row r="3748">
      <c r="G3748" s="5" t="str">
        <f>IFERROR(__xludf.DUMMYFUNCTION("""COMPUTED_VALUE"""),"937🤙🏼Un long dimanche de fiançailles🤙🏼Jodie Foster🤙🏼Estrela 3")</f>
        <v>937🤙🏼Un long dimanche de fiançailles🤙🏼Jodie Foster🤙🏼Estrela 3</v>
      </c>
      <c r="H3748" s="5">
        <f>IFERROR(__xludf.DUMMYFUNCTION("SPLiT(G3748, ""🤙🏼"",FALSE,FALSE)"),937.0)</f>
        <v>937</v>
      </c>
      <c r="I3748" s="5" t="str">
        <f>IFERROR(__xludf.DUMMYFUNCTION("""COMPUTED_VALUE"""),"Un long dimanche de fiançailles")</f>
        <v>Un long dimanche de fiançailles</v>
      </c>
      <c r="J3748" s="5" t="str">
        <f>IFERROR(__xludf.DUMMYFUNCTION("""COMPUTED_VALUE"""),"Jodie Foster")</f>
        <v>Jodie Foster</v>
      </c>
      <c r="K3748" s="5" t="str">
        <f>IFERROR(__xludf.DUMMYFUNCTION("""COMPUTED_VALUE"""),"Estrela 3")</f>
        <v>Estrela 3</v>
      </c>
      <c r="P3748" s="5">
        <f>IFERROR(__xludf.DUMMYFUNCTION("""COMPUTED_VALUE"""),937.0)</f>
        <v>937</v>
      </c>
      <c r="Q3748" s="5" t="str">
        <f>IFERROR(__xludf.DUMMYFUNCTION("""COMPUTED_VALUE"""),"Un long dimanche de fiançailles")</f>
        <v>Un long dimanche de fiançailles</v>
      </c>
      <c r="R3748" s="5" t="str">
        <f>IFERROR(__xludf.DUMMYFUNCTION("""COMPUTED_VALUE"""),"Jodie Foster")</f>
        <v>Jodie Foster</v>
      </c>
      <c r="S3748" s="5" t="str">
        <f>IFERROR(__xludf.DUMMYFUNCTION("""COMPUTED_VALUE"""),"Estrela 3")</f>
        <v>Estrela 3</v>
      </c>
    </row>
    <row r="3749">
      <c r="G3749" s="5" t="str">
        <f>IFERROR(__xludf.DUMMYFUNCTION("""COMPUTED_VALUE"""),"937🤙🏼Un long dimanche de fiançailles🤙🏼Dominique Pinon🤙🏼Estrela 4")</f>
        <v>937🤙🏼Un long dimanche de fiançailles🤙🏼Dominique Pinon🤙🏼Estrela 4</v>
      </c>
      <c r="H3749" s="5">
        <f>IFERROR(__xludf.DUMMYFUNCTION("SPLiT(G3749, ""🤙🏼"",FALSE,FALSE)"),937.0)</f>
        <v>937</v>
      </c>
      <c r="I3749" s="5" t="str">
        <f>IFERROR(__xludf.DUMMYFUNCTION("""COMPUTED_VALUE"""),"Un long dimanche de fiançailles")</f>
        <v>Un long dimanche de fiançailles</v>
      </c>
      <c r="J3749" s="5" t="str">
        <f>IFERROR(__xludf.DUMMYFUNCTION("""COMPUTED_VALUE"""),"Dominique Pinon")</f>
        <v>Dominique Pinon</v>
      </c>
      <c r="K3749" s="5" t="str">
        <f>IFERROR(__xludf.DUMMYFUNCTION("""COMPUTED_VALUE"""),"Estrela 4")</f>
        <v>Estrela 4</v>
      </c>
      <c r="P3749" s="5">
        <f>IFERROR(__xludf.DUMMYFUNCTION("""COMPUTED_VALUE"""),937.0)</f>
        <v>937</v>
      </c>
      <c r="Q3749" s="5" t="str">
        <f>IFERROR(__xludf.DUMMYFUNCTION("""COMPUTED_VALUE"""),"Un long dimanche de fiançailles")</f>
        <v>Un long dimanche de fiançailles</v>
      </c>
      <c r="R3749" s="5" t="str">
        <f>IFERROR(__xludf.DUMMYFUNCTION("""COMPUTED_VALUE"""),"Dominique Pinon")</f>
        <v>Dominique Pinon</v>
      </c>
      <c r="S3749" s="5" t="str">
        <f>IFERROR(__xludf.DUMMYFUNCTION("""COMPUTED_VALUE"""),"Estrela 4")</f>
        <v>Estrela 4</v>
      </c>
    </row>
    <row r="3750">
      <c r="G3750" s="5" t="str">
        <f>IFERROR(__xludf.DUMMYFUNCTION("""COMPUTED_VALUE"""),"938🤙🏼The Station Agent🤙🏼Peter Dinklage🤙🏼Estrela 1")</f>
        <v>938🤙🏼The Station Agent🤙🏼Peter Dinklage🤙🏼Estrela 1</v>
      </c>
      <c r="H3750" s="5">
        <f>IFERROR(__xludf.DUMMYFUNCTION("SPLiT(G3750, ""🤙🏼"",FALSE,FALSE)"),938.0)</f>
        <v>938</v>
      </c>
      <c r="I3750" s="5" t="str">
        <f>IFERROR(__xludf.DUMMYFUNCTION("""COMPUTED_VALUE"""),"The Station Agent")</f>
        <v>The Station Agent</v>
      </c>
      <c r="J3750" s="5" t="str">
        <f>IFERROR(__xludf.DUMMYFUNCTION("""COMPUTED_VALUE"""),"Peter Dinklage")</f>
        <v>Peter Dinklage</v>
      </c>
      <c r="K3750" s="5" t="str">
        <f>IFERROR(__xludf.DUMMYFUNCTION("""COMPUTED_VALUE"""),"Estrela 1")</f>
        <v>Estrela 1</v>
      </c>
      <c r="P3750" s="5">
        <f>IFERROR(__xludf.DUMMYFUNCTION("""COMPUTED_VALUE"""),938.0)</f>
        <v>938</v>
      </c>
      <c r="Q3750" s="5" t="str">
        <f>IFERROR(__xludf.DUMMYFUNCTION("""COMPUTED_VALUE"""),"The Station Agent")</f>
        <v>The Station Agent</v>
      </c>
      <c r="R3750" s="5" t="str">
        <f>IFERROR(__xludf.DUMMYFUNCTION("""COMPUTED_VALUE"""),"Peter Dinklage")</f>
        <v>Peter Dinklage</v>
      </c>
      <c r="S3750" s="5" t="str">
        <f>IFERROR(__xludf.DUMMYFUNCTION("""COMPUTED_VALUE"""),"Estrela 1")</f>
        <v>Estrela 1</v>
      </c>
    </row>
    <row r="3751">
      <c r="G3751" s="5" t="str">
        <f>IFERROR(__xludf.DUMMYFUNCTION("""COMPUTED_VALUE"""),"938🤙🏼The Station Agent🤙🏼Patricia Clarkson🤙🏼Estrela 2")</f>
        <v>938🤙🏼The Station Agent🤙🏼Patricia Clarkson🤙🏼Estrela 2</v>
      </c>
      <c r="H3751" s="5">
        <f>IFERROR(__xludf.DUMMYFUNCTION("SPLiT(G3751, ""🤙🏼"",FALSE,FALSE)"),938.0)</f>
        <v>938</v>
      </c>
      <c r="I3751" s="5" t="str">
        <f>IFERROR(__xludf.DUMMYFUNCTION("""COMPUTED_VALUE"""),"The Station Agent")</f>
        <v>The Station Agent</v>
      </c>
      <c r="J3751" s="5" t="str">
        <f>IFERROR(__xludf.DUMMYFUNCTION("""COMPUTED_VALUE"""),"Patricia Clarkson")</f>
        <v>Patricia Clarkson</v>
      </c>
      <c r="K3751" s="5" t="str">
        <f>IFERROR(__xludf.DUMMYFUNCTION("""COMPUTED_VALUE"""),"Estrela 2")</f>
        <v>Estrela 2</v>
      </c>
      <c r="P3751" s="5">
        <f>IFERROR(__xludf.DUMMYFUNCTION("""COMPUTED_VALUE"""),938.0)</f>
        <v>938</v>
      </c>
      <c r="Q3751" s="5" t="str">
        <f>IFERROR(__xludf.DUMMYFUNCTION("""COMPUTED_VALUE"""),"The Station Agent")</f>
        <v>The Station Agent</v>
      </c>
      <c r="R3751" s="5" t="str">
        <f>IFERROR(__xludf.DUMMYFUNCTION("""COMPUTED_VALUE"""),"Patricia Clarkson")</f>
        <v>Patricia Clarkson</v>
      </c>
      <c r="S3751" s="5" t="str">
        <f>IFERROR(__xludf.DUMMYFUNCTION("""COMPUTED_VALUE"""),"Estrela 2")</f>
        <v>Estrela 2</v>
      </c>
    </row>
    <row r="3752">
      <c r="G3752" s="5" t="str">
        <f>IFERROR(__xludf.DUMMYFUNCTION("""COMPUTED_VALUE"""),"938🤙🏼The Station Agent🤙🏼Bobby Cannavale🤙🏼Estrela 3")</f>
        <v>938🤙🏼The Station Agent🤙🏼Bobby Cannavale🤙🏼Estrela 3</v>
      </c>
      <c r="H3752" s="5">
        <f>IFERROR(__xludf.DUMMYFUNCTION("SPLiT(G3752, ""🤙🏼"",FALSE,FALSE)"),938.0)</f>
        <v>938</v>
      </c>
      <c r="I3752" s="5" t="str">
        <f>IFERROR(__xludf.DUMMYFUNCTION("""COMPUTED_VALUE"""),"The Station Agent")</f>
        <v>The Station Agent</v>
      </c>
      <c r="J3752" s="5" t="str">
        <f>IFERROR(__xludf.DUMMYFUNCTION("""COMPUTED_VALUE"""),"Bobby Cannavale")</f>
        <v>Bobby Cannavale</v>
      </c>
      <c r="K3752" s="5" t="str">
        <f>IFERROR(__xludf.DUMMYFUNCTION("""COMPUTED_VALUE"""),"Estrela 3")</f>
        <v>Estrela 3</v>
      </c>
      <c r="P3752" s="5">
        <f>IFERROR(__xludf.DUMMYFUNCTION("""COMPUTED_VALUE"""),938.0)</f>
        <v>938</v>
      </c>
      <c r="Q3752" s="5" t="str">
        <f>IFERROR(__xludf.DUMMYFUNCTION("""COMPUTED_VALUE"""),"The Station Agent")</f>
        <v>The Station Agent</v>
      </c>
      <c r="R3752" s="5" t="str">
        <f>IFERROR(__xludf.DUMMYFUNCTION("""COMPUTED_VALUE"""),"Bobby Cannavale")</f>
        <v>Bobby Cannavale</v>
      </c>
      <c r="S3752" s="5" t="str">
        <f>IFERROR(__xludf.DUMMYFUNCTION("""COMPUTED_VALUE"""),"Estrela 3")</f>
        <v>Estrela 3</v>
      </c>
    </row>
    <row r="3753">
      <c r="G3753" s="5" t="str">
        <f>IFERROR(__xludf.DUMMYFUNCTION("""COMPUTED_VALUE"""),"938🤙🏼The Station Agent🤙🏼Paul Benjamin🤙🏼Estrela 4")</f>
        <v>938🤙🏼The Station Agent🤙🏼Paul Benjamin🤙🏼Estrela 4</v>
      </c>
      <c r="H3753" s="5">
        <f>IFERROR(__xludf.DUMMYFUNCTION("SPLiT(G3753, ""🤙🏼"",FALSE,FALSE)"),938.0)</f>
        <v>938</v>
      </c>
      <c r="I3753" s="5" t="str">
        <f>IFERROR(__xludf.DUMMYFUNCTION("""COMPUTED_VALUE"""),"The Station Agent")</f>
        <v>The Station Agent</v>
      </c>
      <c r="J3753" s="5" t="str">
        <f>IFERROR(__xludf.DUMMYFUNCTION("""COMPUTED_VALUE"""),"Paul Benjamin")</f>
        <v>Paul Benjamin</v>
      </c>
      <c r="K3753" s="5" t="str">
        <f>IFERROR(__xludf.DUMMYFUNCTION("""COMPUTED_VALUE"""),"Estrela 4")</f>
        <v>Estrela 4</v>
      </c>
      <c r="P3753" s="5">
        <f>IFERROR(__xludf.DUMMYFUNCTION("""COMPUTED_VALUE"""),938.0)</f>
        <v>938</v>
      </c>
      <c r="Q3753" s="5" t="str">
        <f>IFERROR(__xludf.DUMMYFUNCTION("""COMPUTED_VALUE"""),"The Station Agent")</f>
        <v>The Station Agent</v>
      </c>
      <c r="R3753" s="5" t="str">
        <f>IFERROR(__xludf.DUMMYFUNCTION("""COMPUTED_VALUE"""),"Paul Benjamin")</f>
        <v>Paul Benjamin</v>
      </c>
      <c r="S3753" s="5" t="str">
        <f>IFERROR(__xludf.DUMMYFUNCTION("""COMPUTED_VALUE"""),"Estrela 4")</f>
        <v>Estrela 4</v>
      </c>
    </row>
    <row r="3754">
      <c r="G3754" s="5" t="str">
        <f>IFERROR(__xludf.DUMMYFUNCTION("""COMPUTED_VALUE"""),"939🤙🏼21 Grams🤙🏼Sean Penn🤙🏼Estrela 1")</f>
        <v>939🤙🏼21 Grams🤙🏼Sean Penn🤙🏼Estrela 1</v>
      </c>
      <c r="H3754" s="5">
        <f>IFERROR(__xludf.DUMMYFUNCTION("SPLiT(G3754, ""🤙🏼"",FALSE,FALSE)"),939.0)</f>
        <v>939</v>
      </c>
      <c r="I3754" s="5" t="str">
        <f>IFERROR(__xludf.DUMMYFUNCTION("""COMPUTED_VALUE"""),"21 Grams")</f>
        <v>21 Grams</v>
      </c>
      <c r="J3754" s="5" t="str">
        <f>IFERROR(__xludf.DUMMYFUNCTION("""COMPUTED_VALUE"""),"Sean Penn")</f>
        <v>Sean Penn</v>
      </c>
      <c r="K3754" s="5" t="str">
        <f>IFERROR(__xludf.DUMMYFUNCTION("""COMPUTED_VALUE"""),"Estrela 1")</f>
        <v>Estrela 1</v>
      </c>
      <c r="P3754" s="5">
        <f>IFERROR(__xludf.DUMMYFUNCTION("""COMPUTED_VALUE"""),939.0)</f>
        <v>939</v>
      </c>
      <c r="Q3754" s="5" t="str">
        <f>IFERROR(__xludf.DUMMYFUNCTION("""COMPUTED_VALUE"""),"21 Grams")</f>
        <v>21 Grams</v>
      </c>
      <c r="R3754" s="5" t="str">
        <f>IFERROR(__xludf.DUMMYFUNCTION("""COMPUTED_VALUE"""),"Sean Penn")</f>
        <v>Sean Penn</v>
      </c>
      <c r="S3754" s="5" t="str">
        <f>IFERROR(__xludf.DUMMYFUNCTION("""COMPUTED_VALUE"""),"Estrela 1")</f>
        <v>Estrela 1</v>
      </c>
    </row>
    <row r="3755">
      <c r="G3755" s="5" t="str">
        <f>IFERROR(__xludf.DUMMYFUNCTION("""COMPUTED_VALUE"""),"939🤙🏼21 Grams🤙🏼Benicio Del Toro🤙🏼Estrela 2")</f>
        <v>939🤙🏼21 Grams🤙🏼Benicio Del Toro🤙🏼Estrela 2</v>
      </c>
      <c r="H3755" s="5">
        <f>IFERROR(__xludf.DUMMYFUNCTION("SPLiT(G3755, ""🤙🏼"",FALSE,FALSE)"),939.0)</f>
        <v>939</v>
      </c>
      <c r="I3755" s="5" t="str">
        <f>IFERROR(__xludf.DUMMYFUNCTION("""COMPUTED_VALUE"""),"21 Grams")</f>
        <v>21 Grams</v>
      </c>
      <c r="J3755" s="5" t="str">
        <f>IFERROR(__xludf.DUMMYFUNCTION("""COMPUTED_VALUE"""),"Benicio Del Toro")</f>
        <v>Benicio Del Toro</v>
      </c>
      <c r="K3755" s="5" t="str">
        <f>IFERROR(__xludf.DUMMYFUNCTION("""COMPUTED_VALUE"""),"Estrela 2")</f>
        <v>Estrela 2</v>
      </c>
      <c r="P3755" s="5">
        <f>IFERROR(__xludf.DUMMYFUNCTION("""COMPUTED_VALUE"""),939.0)</f>
        <v>939</v>
      </c>
      <c r="Q3755" s="5" t="str">
        <f>IFERROR(__xludf.DUMMYFUNCTION("""COMPUTED_VALUE"""),"21 Grams")</f>
        <v>21 Grams</v>
      </c>
      <c r="R3755" s="5" t="str">
        <f>IFERROR(__xludf.DUMMYFUNCTION("""COMPUTED_VALUE"""),"Benicio Del Toro")</f>
        <v>Benicio Del Toro</v>
      </c>
      <c r="S3755" s="5" t="str">
        <f>IFERROR(__xludf.DUMMYFUNCTION("""COMPUTED_VALUE"""),"Estrela 2")</f>
        <v>Estrela 2</v>
      </c>
    </row>
    <row r="3756">
      <c r="G3756" s="5" t="str">
        <f>IFERROR(__xludf.DUMMYFUNCTION("""COMPUTED_VALUE"""),"939🤙🏼21 Grams🤙🏼Naomi Watts🤙🏼Estrela 3")</f>
        <v>939🤙🏼21 Grams🤙🏼Naomi Watts🤙🏼Estrela 3</v>
      </c>
      <c r="H3756" s="5">
        <f>IFERROR(__xludf.DUMMYFUNCTION("SPLiT(G3756, ""🤙🏼"",FALSE,FALSE)"),939.0)</f>
        <v>939</v>
      </c>
      <c r="I3756" s="5" t="str">
        <f>IFERROR(__xludf.DUMMYFUNCTION("""COMPUTED_VALUE"""),"21 Grams")</f>
        <v>21 Grams</v>
      </c>
      <c r="J3756" s="5" t="str">
        <f>IFERROR(__xludf.DUMMYFUNCTION("""COMPUTED_VALUE"""),"Naomi Watts")</f>
        <v>Naomi Watts</v>
      </c>
      <c r="K3756" s="5" t="str">
        <f>IFERROR(__xludf.DUMMYFUNCTION("""COMPUTED_VALUE"""),"Estrela 3")</f>
        <v>Estrela 3</v>
      </c>
      <c r="P3756" s="5">
        <f>IFERROR(__xludf.DUMMYFUNCTION("""COMPUTED_VALUE"""),939.0)</f>
        <v>939</v>
      </c>
      <c r="Q3756" s="5" t="str">
        <f>IFERROR(__xludf.DUMMYFUNCTION("""COMPUTED_VALUE"""),"21 Grams")</f>
        <v>21 Grams</v>
      </c>
      <c r="R3756" s="5" t="str">
        <f>IFERROR(__xludf.DUMMYFUNCTION("""COMPUTED_VALUE"""),"Naomi Watts")</f>
        <v>Naomi Watts</v>
      </c>
      <c r="S3756" s="5" t="str">
        <f>IFERROR(__xludf.DUMMYFUNCTION("""COMPUTED_VALUE"""),"Estrela 3")</f>
        <v>Estrela 3</v>
      </c>
    </row>
    <row r="3757">
      <c r="G3757" s="5" t="str">
        <f>IFERROR(__xludf.DUMMYFUNCTION("""COMPUTED_VALUE"""),"939🤙🏼21 Grams🤙🏼Danny Huston🤙🏼Estrela 4")</f>
        <v>939🤙🏼21 Grams🤙🏼Danny Huston🤙🏼Estrela 4</v>
      </c>
      <c r="H3757" s="5">
        <f>IFERROR(__xludf.DUMMYFUNCTION("SPLiT(G3757, ""🤙🏼"",FALSE,FALSE)"),939.0)</f>
        <v>939</v>
      </c>
      <c r="I3757" s="5" t="str">
        <f>IFERROR(__xludf.DUMMYFUNCTION("""COMPUTED_VALUE"""),"21 Grams")</f>
        <v>21 Grams</v>
      </c>
      <c r="J3757" s="5" t="str">
        <f>IFERROR(__xludf.DUMMYFUNCTION("""COMPUTED_VALUE"""),"Danny Huston")</f>
        <v>Danny Huston</v>
      </c>
      <c r="K3757" s="5" t="str">
        <f>IFERROR(__xludf.DUMMYFUNCTION("""COMPUTED_VALUE"""),"Estrela 4")</f>
        <v>Estrela 4</v>
      </c>
      <c r="P3757" s="5">
        <f>IFERROR(__xludf.DUMMYFUNCTION("""COMPUTED_VALUE"""),939.0)</f>
        <v>939</v>
      </c>
      <c r="Q3757" s="5" t="str">
        <f>IFERROR(__xludf.DUMMYFUNCTION("""COMPUTED_VALUE"""),"21 Grams")</f>
        <v>21 Grams</v>
      </c>
      <c r="R3757" s="5" t="str">
        <f>IFERROR(__xludf.DUMMYFUNCTION("""COMPUTED_VALUE"""),"Danny Huston")</f>
        <v>Danny Huston</v>
      </c>
      <c r="S3757" s="5" t="str">
        <f>IFERROR(__xludf.DUMMYFUNCTION("""COMPUTED_VALUE"""),"Estrela 4")</f>
        <v>Estrela 4</v>
      </c>
    </row>
    <row r="3758">
      <c r="G3758" s="5" t="str">
        <f>IFERROR(__xludf.DUMMYFUNCTION("""COMPUTED_VALUE"""),"940🤙🏼Boksuneun naui geot🤙🏼Kang-ho Song🤙🏼Estrela 1")</f>
        <v>940🤙🏼Boksuneun naui geot🤙🏼Kang-ho Song🤙🏼Estrela 1</v>
      </c>
      <c r="H3758" s="5">
        <f>IFERROR(__xludf.DUMMYFUNCTION("SPLiT(G3758, ""🤙🏼"",FALSE,FALSE)"),940.0)</f>
        <v>940</v>
      </c>
      <c r="I3758" s="5" t="str">
        <f>IFERROR(__xludf.DUMMYFUNCTION("""COMPUTED_VALUE"""),"Boksuneun naui geot")</f>
        <v>Boksuneun naui geot</v>
      </c>
      <c r="J3758" s="5" t="str">
        <f>IFERROR(__xludf.DUMMYFUNCTION("""COMPUTED_VALUE"""),"Kang-ho Song")</f>
        <v>Kang-ho Song</v>
      </c>
      <c r="K3758" s="5" t="str">
        <f>IFERROR(__xludf.DUMMYFUNCTION("""COMPUTED_VALUE"""),"Estrela 1")</f>
        <v>Estrela 1</v>
      </c>
      <c r="P3758" s="5">
        <f>IFERROR(__xludf.DUMMYFUNCTION("""COMPUTED_VALUE"""),940.0)</f>
        <v>940</v>
      </c>
      <c r="Q3758" s="5" t="str">
        <f>IFERROR(__xludf.DUMMYFUNCTION("""COMPUTED_VALUE"""),"Boksuneun naui geot")</f>
        <v>Boksuneun naui geot</v>
      </c>
      <c r="R3758" s="5" t="str">
        <f>IFERROR(__xludf.DUMMYFUNCTION("""COMPUTED_VALUE"""),"Kang-ho Song")</f>
        <v>Kang-ho Song</v>
      </c>
      <c r="S3758" s="5" t="str">
        <f>IFERROR(__xludf.DUMMYFUNCTION("""COMPUTED_VALUE"""),"Estrela 1")</f>
        <v>Estrela 1</v>
      </c>
    </row>
    <row r="3759">
      <c r="G3759" s="5" t="str">
        <f>IFERROR(__xludf.DUMMYFUNCTION("""COMPUTED_VALUE"""),"940🤙🏼Boksuneun naui geot🤙🏼Shin Ha-kyun🤙🏼Estrela 2")</f>
        <v>940🤙🏼Boksuneun naui geot🤙🏼Shin Ha-kyun🤙🏼Estrela 2</v>
      </c>
      <c r="H3759" s="5">
        <f>IFERROR(__xludf.DUMMYFUNCTION("SPLiT(G3759, ""🤙🏼"",FALSE,FALSE)"),940.0)</f>
        <v>940</v>
      </c>
      <c r="I3759" s="5" t="str">
        <f>IFERROR(__xludf.DUMMYFUNCTION("""COMPUTED_VALUE"""),"Boksuneun naui geot")</f>
        <v>Boksuneun naui geot</v>
      </c>
      <c r="J3759" s="5" t="str">
        <f>IFERROR(__xludf.DUMMYFUNCTION("""COMPUTED_VALUE"""),"Shin Ha-kyun")</f>
        <v>Shin Ha-kyun</v>
      </c>
      <c r="K3759" s="5" t="str">
        <f>IFERROR(__xludf.DUMMYFUNCTION("""COMPUTED_VALUE"""),"Estrela 2")</f>
        <v>Estrela 2</v>
      </c>
      <c r="P3759" s="5">
        <f>IFERROR(__xludf.DUMMYFUNCTION("""COMPUTED_VALUE"""),940.0)</f>
        <v>940</v>
      </c>
      <c r="Q3759" s="5" t="str">
        <f>IFERROR(__xludf.DUMMYFUNCTION("""COMPUTED_VALUE"""),"Boksuneun naui geot")</f>
        <v>Boksuneun naui geot</v>
      </c>
      <c r="R3759" s="5" t="str">
        <f>IFERROR(__xludf.DUMMYFUNCTION("""COMPUTED_VALUE"""),"Shin Ha-kyun")</f>
        <v>Shin Ha-kyun</v>
      </c>
      <c r="S3759" s="5" t="str">
        <f>IFERROR(__xludf.DUMMYFUNCTION("""COMPUTED_VALUE"""),"Estrela 2")</f>
        <v>Estrela 2</v>
      </c>
    </row>
    <row r="3760">
      <c r="G3760" s="5" t="str">
        <f>IFERROR(__xludf.DUMMYFUNCTION("""COMPUTED_VALUE"""),"940🤙🏼Boksuneun naui geot🤙🏼Bae Doona🤙🏼Estrela 3")</f>
        <v>940🤙🏼Boksuneun naui geot🤙🏼Bae Doona🤙🏼Estrela 3</v>
      </c>
      <c r="H3760" s="5">
        <f>IFERROR(__xludf.DUMMYFUNCTION("SPLiT(G3760, ""🤙🏼"",FALSE,FALSE)"),940.0)</f>
        <v>940</v>
      </c>
      <c r="I3760" s="5" t="str">
        <f>IFERROR(__xludf.DUMMYFUNCTION("""COMPUTED_VALUE"""),"Boksuneun naui geot")</f>
        <v>Boksuneun naui geot</v>
      </c>
      <c r="J3760" s="5" t="str">
        <f>IFERROR(__xludf.DUMMYFUNCTION("""COMPUTED_VALUE"""),"Bae Doona")</f>
        <v>Bae Doona</v>
      </c>
      <c r="K3760" s="5" t="str">
        <f>IFERROR(__xludf.DUMMYFUNCTION("""COMPUTED_VALUE"""),"Estrela 3")</f>
        <v>Estrela 3</v>
      </c>
      <c r="P3760" s="5">
        <f>IFERROR(__xludf.DUMMYFUNCTION("""COMPUTED_VALUE"""),940.0)</f>
        <v>940</v>
      </c>
      <c r="Q3760" s="5" t="str">
        <f>IFERROR(__xludf.DUMMYFUNCTION("""COMPUTED_VALUE"""),"Boksuneun naui geot")</f>
        <v>Boksuneun naui geot</v>
      </c>
      <c r="R3760" s="5" t="str">
        <f>IFERROR(__xludf.DUMMYFUNCTION("""COMPUTED_VALUE"""),"Bae Doona")</f>
        <v>Bae Doona</v>
      </c>
      <c r="S3760" s="5" t="str">
        <f>IFERROR(__xludf.DUMMYFUNCTION("""COMPUTED_VALUE"""),"Estrela 3")</f>
        <v>Estrela 3</v>
      </c>
    </row>
    <row r="3761">
      <c r="G3761" s="5" t="str">
        <f>IFERROR(__xludf.DUMMYFUNCTION("""COMPUTED_VALUE"""),"940🤙🏼Boksuneun naui geot🤙🏼Ji-Eun Lim🤙🏼Estrela 4")</f>
        <v>940🤙🏼Boksuneun naui geot🤙🏼Ji-Eun Lim🤙🏼Estrela 4</v>
      </c>
      <c r="H3761" s="5">
        <f>IFERROR(__xludf.DUMMYFUNCTION("SPLiT(G3761, ""🤙🏼"",FALSE,FALSE)"),940.0)</f>
        <v>940</v>
      </c>
      <c r="I3761" s="5" t="str">
        <f>IFERROR(__xludf.DUMMYFUNCTION("""COMPUTED_VALUE"""),"Boksuneun naui geot")</f>
        <v>Boksuneun naui geot</v>
      </c>
      <c r="J3761" s="5" t="str">
        <f>IFERROR(__xludf.DUMMYFUNCTION("""COMPUTED_VALUE"""),"Ji-Eun Lim")</f>
        <v>Ji-Eun Lim</v>
      </c>
      <c r="K3761" s="5" t="str">
        <f>IFERROR(__xludf.DUMMYFUNCTION("""COMPUTED_VALUE"""),"Estrela 4")</f>
        <v>Estrela 4</v>
      </c>
      <c r="P3761" s="5">
        <f>IFERROR(__xludf.DUMMYFUNCTION("""COMPUTED_VALUE"""),940.0)</f>
        <v>940</v>
      </c>
      <c r="Q3761" s="5" t="str">
        <f>IFERROR(__xludf.DUMMYFUNCTION("""COMPUTED_VALUE"""),"Boksuneun naui geot")</f>
        <v>Boksuneun naui geot</v>
      </c>
      <c r="R3761" s="5" t="str">
        <f>IFERROR(__xludf.DUMMYFUNCTION("""COMPUTED_VALUE"""),"Ji-Eun Lim")</f>
        <v>Ji-Eun Lim</v>
      </c>
      <c r="S3761" s="5" t="str">
        <f>IFERROR(__xludf.DUMMYFUNCTION("""COMPUTED_VALUE"""),"Estrela 4")</f>
        <v>Estrela 4</v>
      </c>
    </row>
    <row r="3762">
      <c r="G3762" s="5" t="str">
        <f>IFERROR(__xludf.DUMMYFUNCTION("""COMPUTED_VALUE"""),"941🤙🏼Finding Neverland🤙🏼Johnny Depp🤙🏼Estrela 1")</f>
        <v>941🤙🏼Finding Neverland🤙🏼Johnny Depp🤙🏼Estrela 1</v>
      </c>
      <c r="H3762" s="5">
        <f>IFERROR(__xludf.DUMMYFUNCTION("SPLiT(G3762, ""🤙🏼"",FALSE,FALSE)"),941.0)</f>
        <v>941</v>
      </c>
      <c r="I3762" s="5" t="str">
        <f>IFERROR(__xludf.DUMMYFUNCTION("""COMPUTED_VALUE"""),"Finding Neverland")</f>
        <v>Finding Neverland</v>
      </c>
      <c r="J3762" s="5" t="str">
        <f>IFERROR(__xludf.DUMMYFUNCTION("""COMPUTED_VALUE"""),"Johnny Depp")</f>
        <v>Johnny Depp</v>
      </c>
      <c r="K3762" s="5" t="str">
        <f>IFERROR(__xludf.DUMMYFUNCTION("""COMPUTED_VALUE"""),"Estrela 1")</f>
        <v>Estrela 1</v>
      </c>
      <c r="P3762" s="5">
        <f>IFERROR(__xludf.DUMMYFUNCTION("""COMPUTED_VALUE"""),941.0)</f>
        <v>941</v>
      </c>
      <c r="Q3762" s="5" t="str">
        <f>IFERROR(__xludf.DUMMYFUNCTION("""COMPUTED_VALUE"""),"Finding Neverland")</f>
        <v>Finding Neverland</v>
      </c>
      <c r="R3762" s="5" t="str">
        <f>IFERROR(__xludf.DUMMYFUNCTION("""COMPUTED_VALUE"""),"Johnny Depp")</f>
        <v>Johnny Depp</v>
      </c>
      <c r="S3762" s="5" t="str">
        <f>IFERROR(__xludf.DUMMYFUNCTION("""COMPUTED_VALUE"""),"Estrela 1")</f>
        <v>Estrela 1</v>
      </c>
    </row>
    <row r="3763">
      <c r="G3763" s="5" t="str">
        <f>IFERROR(__xludf.DUMMYFUNCTION("""COMPUTED_VALUE"""),"941🤙🏼Finding Neverland🤙🏼Kate Winslet🤙🏼Estrela 2")</f>
        <v>941🤙🏼Finding Neverland🤙🏼Kate Winslet🤙🏼Estrela 2</v>
      </c>
      <c r="H3763" s="5">
        <f>IFERROR(__xludf.DUMMYFUNCTION("SPLiT(G3763, ""🤙🏼"",FALSE,FALSE)"),941.0)</f>
        <v>941</v>
      </c>
      <c r="I3763" s="5" t="str">
        <f>IFERROR(__xludf.DUMMYFUNCTION("""COMPUTED_VALUE"""),"Finding Neverland")</f>
        <v>Finding Neverland</v>
      </c>
      <c r="J3763" s="5" t="str">
        <f>IFERROR(__xludf.DUMMYFUNCTION("""COMPUTED_VALUE"""),"Kate Winslet")</f>
        <v>Kate Winslet</v>
      </c>
      <c r="K3763" s="5" t="str">
        <f>IFERROR(__xludf.DUMMYFUNCTION("""COMPUTED_VALUE"""),"Estrela 2")</f>
        <v>Estrela 2</v>
      </c>
      <c r="P3763" s="5">
        <f>IFERROR(__xludf.DUMMYFUNCTION("""COMPUTED_VALUE"""),941.0)</f>
        <v>941</v>
      </c>
      <c r="Q3763" s="5" t="str">
        <f>IFERROR(__xludf.DUMMYFUNCTION("""COMPUTED_VALUE"""),"Finding Neverland")</f>
        <v>Finding Neverland</v>
      </c>
      <c r="R3763" s="5" t="str">
        <f>IFERROR(__xludf.DUMMYFUNCTION("""COMPUTED_VALUE"""),"Kate Winslet")</f>
        <v>Kate Winslet</v>
      </c>
      <c r="S3763" s="5" t="str">
        <f>IFERROR(__xludf.DUMMYFUNCTION("""COMPUTED_VALUE"""),"Estrela 2")</f>
        <v>Estrela 2</v>
      </c>
    </row>
    <row r="3764">
      <c r="G3764" s="5" t="str">
        <f>IFERROR(__xludf.DUMMYFUNCTION("""COMPUTED_VALUE"""),"941🤙🏼Finding Neverland🤙🏼Julie Christie🤙🏼Estrela 3")</f>
        <v>941🤙🏼Finding Neverland🤙🏼Julie Christie🤙🏼Estrela 3</v>
      </c>
      <c r="H3764" s="5">
        <f>IFERROR(__xludf.DUMMYFUNCTION("SPLiT(G3764, ""🤙🏼"",FALSE,FALSE)"),941.0)</f>
        <v>941</v>
      </c>
      <c r="I3764" s="5" t="str">
        <f>IFERROR(__xludf.DUMMYFUNCTION("""COMPUTED_VALUE"""),"Finding Neverland")</f>
        <v>Finding Neverland</v>
      </c>
      <c r="J3764" s="5" t="str">
        <f>IFERROR(__xludf.DUMMYFUNCTION("""COMPUTED_VALUE"""),"Julie Christie")</f>
        <v>Julie Christie</v>
      </c>
      <c r="K3764" s="5" t="str">
        <f>IFERROR(__xludf.DUMMYFUNCTION("""COMPUTED_VALUE"""),"Estrela 3")</f>
        <v>Estrela 3</v>
      </c>
      <c r="P3764" s="5">
        <f>IFERROR(__xludf.DUMMYFUNCTION("""COMPUTED_VALUE"""),941.0)</f>
        <v>941</v>
      </c>
      <c r="Q3764" s="5" t="str">
        <f>IFERROR(__xludf.DUMMYFUNCTION("""COMPUTED_VALUE"""),"Finding Neverland")</f>
        <v>Finding Neverland</v>
      </c>
      <c r="R3764" s="5" t="str">
        <f>IFERROR(__xludf.DUMMYFUNCTION("""COMPUTED_VALUE"""),"Julie Christie")</f>
        <v>Julie Christie</v>
      </c>
      <c r="S3764" s="5" t="str">
        <f>IFERROR(__xludf.DUMMYFUNCTION("""COMPUTED_VALUE"""),"Estrela 3")</f>
        <v>Estrela 3</v>
      </c>
    </row>
    <row r="3765">
      <c r="G3765" s="5" t="str">
        <f>IFERROR(__xludf.DUMMYFUNCTION("""COMPUTED_VALUE"""),"941🤙🏼Finding Neverland🤙🏼Radha Mitchell🤙🏼Estrela 4")</f>
        <v>941🤙🏼Finding Neverland🤙🏼Radha Mitchell🤙🏼Estrela 4</v>
      </c>
      <c r="H3765" s="5">
        <f>IFERROR(__xludf.DUMMYFUNCTION("SPLiT(G3765, ""🤙🏼"",FALSE,FALSE)"),941.0)</f>
        <v>941</v>
      </c>
      <c r="I3765" s="5" t="str">
        <f>IFERROR(__xludf.DUMMYFUNCTION("""COMPUTED_VALUE"""),"Finding Neverland")</f>
        <v>Finding Neverland</v>
      </c>
      <c r="J3765" s="5" t="str">
        <f>IFERROR(__xludf.DUMMYFUNCTION("""COMPUTED_VALUE"""),"Radha Mitchell")</f>
        <v>Radha Mitchell</v>
      </c>
      <c r="K3765" s="5" t="str">
        <f>IFERROR(__xludf.DUMMYFUNCTION("""COMPUTED_VALUE"""),"Estrela 4")</f>
        <v>Estrela 4</v>
      </c>
      <c r="P3765" s="5">
        <f>IFERROR(__xludf.DUMMYFUNCTION("""COMPUTED_VALUE"""),941.0)</f>
        <v>941</v>
      </c>
      <c r="Q3765" s="5" t="str">
        <f>IFERROR(__xludf.DUMMYFUNCTION("""COMPUTED_VALUE"""),"Finding Neverland")</f>
        <v>Finding Neverland</v>
      </c>
      <c r="R3765" s="5" t="str">
        <f>IFERROR(__xludf.DUMMYFUNCTION("""COMPUTED_VALUE"""),"Radha Mitchell")</f>
        <v>Radha Mitchell</v>
      </c>
      <c r="S3765" s="5" t="str">
        <f>IFERROR(__xludf.DUMMYFUNCTION("""COMPUTED_VALUE"""),"Estrela 4")</f>
        <v>Estrela 4</v>
      </c>
    </row>
    <row r="3766">
      <c r="G3766" s="5" t="str">
        <f>IFERROR(__xludf.DUMMYFUNCTION("""COMPUTED_VALUE"""),"942🤙🏼25th Hour🤙🏼Edward Norton🤙🏼Estrela 1")</f>
        <v>942🤙🏼25th Hour🤙🏼Edward Norton🤙🏼Estrela 1</v>
      </c>
      <c r="H3766" s="5">
        <f>IFERROR(__xludf.DUMMYFUNCTION("SPLiT(G3766, ""🤙🏼"",FALSE,FALSE)"),942.0)</f>
        <v>942</v>
      </c>
      <c r="I3766" s="5" t="str">
        <f>IFERROR(__xludf.DUMMYFUNCTION("""COMPUTED_VALUE"""),"25th Hour")</f>
        <v>25th Hour</v>
      </c>
      <c r="J3766" s="5" t="str">
        <f>IFERROR(__xludf.DUMMYFUNCTION("""COMPUTED_VALUE"""),"Edward Norton")</f>
        <v>Edward Norton</v>
      </c>
      <c r="K3766" s="5" t="str">
        <f>IFERROR(__xludf.DUMMYFUNCTION("""COMPUTED_VALUE"""),"Estrela 1")</f>
        <v>Estrela 1</v>
      </c>
      <c r="P3766" s="5">
        <f>IFERROR(__xludf.DUMMYFUNCTION("""COMPUTED_VALUE"""),942.0)</f>
        <v>942</v>
      </c>
      <c r="Q3766" s="5" t="str">
        <f>IFERROR(__xludf.DUMMYFUNCTION("""COMPUTED_VALUE"""),"25th Hour")</f>
        <v>25th Hour</v>
      </c>
      <c r="R3766" s="5" t="str">
        <f>IFERROR(__xludf.DUMMYFUNCTION("""COMPUTED_VALUE"""),"Edward Norton")</f>
        <v>Edward Norton</v>
      </c>
      <c r="S3766" s="5" t="str">
        <f>IFERROR(__xludf.DUMMYFUNCTION("""COMPUTED_VALUE"""),"Estrela 1")</f>
        <v>Estrela 1</v>
      </c>
    </row>
    <row r="3767">
      <c r="G3767" s="5" t="str">
        <f>IFERROR(__xludf.DUMMYFUNCTION("""COMPUTED_VALUE"""),"942🤙🏼25th Hour🤙🏼Barry Pepper🤙🏼Estrela 2")</f>
        <v>942🤙🏼25th Hour🤙🏼Barry Pepper🤙🏼Estrela 2</v>
      </c>
      <c r="H3767" s="5">
        <f>IFERROR(__xludf.DUMMYFUNCTION("SPLiT(G3767, ""🤙🏼"",FALSE,FALSE)"),942.0)</f>
        <v>942</v>
      </c>
      <c r="I3767" s="5" t="str">
        <f>IFERROR(__xludf.DUMMYFUNCTION("""COMPUTED_VALUE"""),"25th Hour")</f>
        <v>25th Hour</v>
      </c>
      <c r="J3767" s="5" t="str">
        <f>IFERROR(__xludf.DUMMYFUNCTION("""COMPUTED_VALUE"""),"Barry Pepper")</f>
        <v>Barry Pepper</v>
      </c>
      <c r="K3767" s="5" t="str">
        <f>IFERROR(__xludf.DUMMYFUNCTION("""COMPUTED_VALUE"""),"Estrela 2")</f>
        <v>Estrela 2</v>
      </c>
      <c r="P3767" s="5">
        <f>IFERROR(__xludf.DUMMYFUNCTION("""COMPUTED_VALUE"""),942.0)</f>
        <v>942</v>
      </c>
      <c r="Q3767" s="5" t="str">
        <f>IFERROR(__xludf.DUMMYFUNCTION("""COMPUTED_VALUE"""),"25th Hour")</f>
        <v>25th Hour</v>
      </c>
      <c r="R3767" s="5" t="str">
        <f>IFERROR(__xludf.DUMMYFUNCTION("""COMPUTED_VALUE"""),"Barry Pepper")</f>
        <v>Barry Pepper</v>
      </c>
      <c r="S3767" s="5" t="str">
        <f>IFERROR(__xludf.DUMMYFUNCTION("""COMPUTED_VALUE"""),"Estrela 2")</f>
        <v>Estrela 2</v>
      </c>
    </row>
    <row r="3768">
      <c r="G3768" s="5" t="str">
        <f>IFERROR(__xludf.DUMMYFUNCTION("""COMPUTED_VALUE"""),"942🤙🏼25th Hour🤙🏼Philip Seymour Hoffman🤙🏼Estrela 3")</f>
        <v>942🤙🏼25th Hour🤙🏼Philip Seymour Hoffman🤙🏼Estrela 3</v>
      </c>
      <c r="H3768" s="5">
        <f>IFERROR(__xludf.DUMMYFUNCTION("SPLiT(G3768, ""🤙🏼"",FALSE,FALSE)"),942.0)</f>
        <v>942</v>
      </c>
      <c r="I3768" s="5" t="str">
        <f>IFERROR(__xludf.DUMMYFUNCTION("""COMPUTED_VALUE"""),"25th Hour")</f>
        <v>25th Hour</v>
      </c>
      <c r="J3768" s="5" t="str">
        <f>IFERROR(__xludf.DUMMYFUNCTION("""COMPUTED_VALUE"""),"Philip Seymour Hoffman")</f>
        <v>Philip Seymour Hoffman</v>
      </c>
      <c r="K3768" s="5" t="str">
        <f>IFERROR(__xludf.DUMMYFUNCTION("""COMPUTED_VALUE"""),"Estrela 3")</f>
        <v>Estrela 3</v>
      </c>
      <c r="P3768" s="5">
        <f>IFERROR(__xludf.DUMMYFUNCTION("""COMPUTED_VALUE"""),942.0)</f>
        <v>942</v>
      </c>
      <c r="Q3768" s="5" t="str">
        <f>IFERROR(__xludf.DUMMYFUNCTION("""COMPUTED_VALUE"""),"25th Hour")</f>
        <v>25th Hour</v>
      </c>
      <c r="R3768" s="5" t="str">
        <f>IFERROR(__xludf.DUMMYFUNCTION("""COMPUTED_VALUE"""),"Philip Seymour Hoffman")</f>
        <v>Philip Seymour Hoffman</v>
      </c>
      <c r="S3768" s="5" t="str">
        <f>IFERROR(__xludf.DUMMYFUNCTION("""COMPUTED_VALUE"""),"Estrela 3")</f>
        <v>Estrela 3</v>
      </c>
    </row>
    <row r="3769">
      <c r="G3769" s="5" t="str">
        <f>IFERROR(__xludf.DUMMYFUNCTION("""COMPUTED_VALUE"""),"942🤙🏼25th Hour🤙🏼Rosario Dawson🤙🏼Estrela 4")</f>
        <v>942🤙🏼25th Hour🤙🏼Rosario Dawson🤙🏼Estrela 4</v>
      </c>
      <c r="H3769" s="5">
        <f>IFERROR(__xludf.DUMMYFUNCTION("SPLiT(G3769, ""🤙🏼"",FALSE,FALSE)"),942.0)</f>
        <v>942</v>
      </c>
      <c r="I3769" s="5" t="str">
        <f>IFERROR(__xludf.DUMMYFUNCTION("""COMPUTED_VALUE"""),"25th Hour")</f>
        <v>25th Hour</v>
      </c>
      <c r="J3769" s="5" t="str">
        <f>IFERROR(__xludf.DUMMYFUNCTION("""COMPUTED_VALUE"""),"Rosario Dawson")</f>
        <v>Rosario Dawson</v>
      </c>
      <c r="K3769" s="5" t="str">
        <f>IFERROR(__xludf.DUMMYFUNCTION("""COMPUTED_VALUE"""),"Estrela 4")</f>
        <v>Estrela 4</v>
      </c>
      <c r="P3769" s="5">
        <f>IFERROR(__xludf.DUMMYFUNCTION("""COMPUTED_VALUE"""),942.0)</f>
        <v>942</v>
      </c>
      <c r="Q3769" s="5" t="str">
        <f>IFERROR(__xludf.DUMMYFUNCTION("""COMPUTED_VALUE"""),"25th Hour")</f>
        <v>25th Hour</v>
      </c>
      <c r="R3769" s="5" t="str">
        <f>IFERROR(__xludf.DUMMYFUNCTION("""COMPUTED_VALUE"""),"Rosario Dawson")</f>
        <v>Rosario Dawson</v>
      </c>
      <c r="S3769" s="5" t="str">
        <f>IFERROR(__xludf.DUMMYFUNCTION("""COMPUTED_VALUE"""),"Estrela 4")</f>
        <v>Estrela 4</v>
      </c>
    </row>
    <row r="3770">
      <c r="G3770" s="5" t="str">
        <f>IFERROR(__xludf.DUMMYFUNCTION("""COMPUTED_VALUE"""),"943🤙🏼The Butterfly Effect🤙🏼J. Mackye Gruber🤙🏼Estrela 1")</f>
        <v>943🤙🏼The Butterfly Effect🤙🏼J. Mackye Gruber🤙🏼Estrela 1</v>
      </c>
      <c r="H3770" s="5">
        <f>IFERROR(__xludf.DUMMYFUNCTION("SPLiT(G3770, ""🤙🏼"",FALSE,FALSE)"),943.0)</f>
        <v>943</v>
      </c>
      <c r="I3770" s="5" t="str">
        <f>IFERROR(__xludf.DUMMYFUNCTION("""COMPUTED_VALUE"""),"The Butterfly Effect")</f>
        <v>The Butterfly Effect</v>
      </c>
      <c r="J3770" s="5" t="str">
        <f>IFERROR(__xludf.DUMMYFUNCTION("""COMPUTED_VALUE"""),"J. Mackye Gruber")</f>
        <v>J. Mackye Gruber</v>
      </c>
      <c r="K3770" s="5" t="str">
        <f>IFERROR(__xludf.DUMMYFUNCTION("""COMPUTED_VALUE"""),"Estrela 1")</f>
        <v>Estrela 1</v>
      </c>
      <c r="P3770" s="5">
        <f>IFERROR(__xludf.DUMMYFUNCTION("""COMPUTED_VALUE"""),943.0)</f>
        <v>943</v>
      </c>
      <c r="Q3770" s="5" t="str">
        <f>IFERROR(__xludf.DUMMYFUNCTION("""COMPUTED_VALUE"""),"The Butterfly Effect")</f>
        <v>The Butterfly Effect</v>
      </c>
      <c r="R3770" s="5" t="str">
        <f>IFERROR(__xludf.DUMMYFUNCTION("""COMPUTED_VALUE"""),"J. Mackye Gruber")</f>
        <v>J. Mackye Gruber</v>
      </c>
      <c r="S3770" s="5" t="str">
        <f>IFERROR(__xludf.DUMMYFUNCTION("""COMPUTED_VALUE"""),"Estrela 1")</f>
        <v>Estrela 1</v>
      </c>
    </row>
    <row r="3771">
      <c r="G3771" s="5" t="str">
        <f>IFERROR(__xludf.DUMMYFUNCTION("""COMPUTED_VALUE"""),"943🤙🏼The Butterfly Effect🤙🏼Ashton Kutcher🤙🏼Estrela 2")</f>
        <v>943🤙🏼The Butterfly Effect🤙🏼Ashton Kutcher🤙🏼Estrela 2</v>
      </c>
      <c r="H3771" s="5">
        <f>IFERROR(__xludf.DUMMYFUNCTION("SPLiT(G3771, ""🤙🏼"",FALSE,FALSE)"),943.0)</f>
        <v>943</v>
      </c>
      <c r="I3771" s="5" t="str">
        <f>IFERROR(__xludf.DUMMYFUNCTION("""COMPUTED_VALUE"""),"The Butterfly Effect")</f>
        <v>The Butterfly Effect</v>
      </c>
      <c r="J3771" s="5" t="str">
        <f>IFERROR(__xludf.DUMMYFUNCTION("""COMPUTED_VALUE"""),"Ashton Kutcher")</f>
        <v>Ashton Kutcher</v>
      </c>
      <c r="K3771" s="5" t="str">
        <f>IFERROR(__xludf.DUMMYFUNCTION("""COMPUTED_VALUE"""),"Estrela 2")</f>
        <v>Estrela 2</v>
      </c>
      <c r="P3771" s="5">
        <f>IFERROR(__xludf.DUMMYFUNCTION("""COMPUTED_VALUE"""),943.0)</f>
        <v>943</v>
      </c>
      <c r="Q3771" s="5" t="str">
        <f>IFERROR(__xludf.DUMMYFUNCTION("""COMPUTED_VALUE"""),"The Butterfly Effect")</f>
        <v>The Butterfly Effect</v>
      </c>
      <c r="R3771" s="5" t="str">
        <f>IFERROR(__xludf.DUMMYFUNCTION("""COMPUTED_VALUE"""),"Ashton Kutcher")</f>
        <v>Ashton Kutcher</v>
      </c>
      <c r="S3771" s="5" t="str">
        <f>IFERROR(__xludf.DUMMYFUNCTION("""COMPUTED_VALUE"""),"Estrela 2")</f>
        <v>Estrela 2</v>
      </c>
    </row>
    <row r="3772">
      <c r="G3772" s="5" t="str">
        <f>IFERROR(__xludf.DUMMYFUNCTION("""COMPUTED_VALUE"""),"943🤙🏼The Butterfly Effect🤙🏼Amy Smart🤙🏼Estrela 3")</f>
        <v>943🤙🏼The Butterfly Effect🤙🏼Amy Smart🤙🏼Estrela 3</v>
      </c>
      <c r="H3772" s="5">
        <f>IFERROR(__xludf.DUMMYFUNCTION("SPLiT(G3772, ""🤙🏼"",FALSE,FALSE)"),943.0)</f>
        <v>943</v>
      </c>
      <c r="I3772" s="5" t="str">
        <f>IFERROR(__xludf.DUMMYFUNCTION("""COMPUTED_VALUE"""),"The Butterfly Effect")</f>
        <v>The Butterfly Effect</v>
      </c>
      <c r="J3772" s="5" t="str">
        <f>IFERROR(__xludf.DUMMYFUNCTION("""COMPUTED_VALUE"""),"Amy Smart")</f>
        <v>Amy Smart</v>
      </c>
      <c r="K3772" s="5" t="str">
        <f>IFERROR(__xludf.DUMMYFUNCTION("""COMPUTED_VALUE"""),"Estrela 3")</f>
        <v>Estrela 3</v>
      </c>
      <c r="P3772" s="5">
        <f>IFERROR(__xludf.DUMMYFUNCTION("""COMPUTED_VALUE"""),943.0)</f>
        <v>943</v>
      </c>
      <c r="Q3772" s="5" t="str">
        <f>IFERROR(__xludf.DUMMYFUNCTION("""COMPUTED_VALUE"""),"The Butterfly Effect")</f>
        <v>The Butterfly Effect</v>
      </c>
      <c r="R3772" s="5" t="str">
        <f>IFERROR(__xludf.DUMMYFUNCTION("""COMPUTED_VALUE"""),"Amy Smart")</f>
        <v>Amy Smart</v>
      </c>
      <c r="S3772" s="5" t="str">
        <f>IFERROR(__xludf.DUMMYFUNCTION("""COMPUTED_VALUE"""),"Estrela 3")</f>
        <v>Estrela 3</v>
      </c>
    </row>
    <row r="3773">
      <c r="G3773" s="5" t="str">
        <f>IFERROR(__xludf.DUMMYFUNCTION("""COMPUTED_VALUE"""),"943🤙🏼The Butterfly Effect🤙🏼Melora Walters🤙🏼Estrela 4")</f>
        <v>943🤙🏼The Butterfly Effect🤙🏼Melora Walters🤙🏼Estrela 4</v>
      </c>
      <c r="H3773" s="5">
        <f>IFERROR(__xludf.DUMMYFUNCTION("SPLiT(G3773, ""🤙🏼"",FALSE,FALSE)"),943.0)</f>
        <v>943</v>
      </c>
      <c r="I3773" s="5" t="str">
        <f>IFERROR(__xludf.DUMMYFUNCTION("""COMPUTED_VALUE"""),"The Butterfly Effect")</f>
        <v>The Butterfly Effect</v>
      </c>
      <c r="J3773" s="5" t="str">
        <f>IFERROR(__xludf.DUMMYFUNCTION("""COMPUTED_VALUE"""),"Melora Walters")</f>
        <v>Melora Walters</v>
      </c>
      <c r="K3773" s="5" t="str">
        <f>IFERROR(__xludf.DUMMYFUNCTION("""COMPUTED_VALUE"""),"Estrela 4")</f>
        <v>Estrela 4</v>
      </c>
      <c r="P3773" s="5">
        <f>IFERROR(__xludf.DUMMYFUNCTION("""COMPUTED_VALUE"""),943.0)</f>
        <v>943</v>
      </c>
      <c r="Q3773" s="5" t="str">
        <f>IFERROR(__xludf.DUMMYFUNCTION("""COMPUTED_VALUE"""),"The Butterfly Effect")</f>
        <v>The Butterfly Effect</v>
      </c>
      <c r="R3773" s="5" t="str">
        <f>IFERROR(__xludf.DUMMYFUNCTION("""COMPUTED_VALUE"""),"Melora Walters")</f>
        <v>Melora Walters</v>
      </c>
      <c r="S3773" s="5" t="str">
        <f>IFERROR(__xludf.DUMMYFUNCTION("""COMPUTED_VALUE"""),"Estrela 4")</f>
        <v>Estrela 4</v>
      </c>
    </row>
    <row r="3774">
      <c r="G3774" s="5" t="str">
        <f>IFERROR(__xludf.DUMMYFUNCTION("""COMPUTED_VALUE"""),"944🤙🏼28 Days Later...🤙🏼Cillian Murphy🤙🏼Estrela 1")</f>
        <v>944🤙🏼28 Days Later...🤙🏼Cillian Murphy🤙🏼Estrela 1</v>
      </c>
      <c r="H3774" s="5">
        <f>IFERROR(__xludf.DUMMYFUNCTION("SPLiT(G3774, ""🤙🏼"",FALSE,FALSE)"),944.0)</f>
        <v>944</v>
      </c>
      <c r="I3774" s="5" t="str">
        <f>IFERROR(__xludf.DUMMYFUNCTION("""COMPUTED_VALUE"""),"28 Days Later...")</f>
        <v>28 Days Later...</v>
      </c>
      <c r="J3774" s="5" t="str">
        <f>IFERROR(__xludf.DUMMYFUNCTION("""COMPUTED_VALUE"""),"Cillian Murphy")</f>
        <v>Cillian Murphy</v>
      </c>
      <c r="K3774" s="5" t="str">
        <f>IFERROR(__xludf.DUMMYFUNCTION("""COMPUTED_VALUE"""),"Estrela 1")</f>
        <v>Estrela 1</v>
      </c>
      <c r="P3774" s="5">
        <f>IFERROR(__xludf.DUMMYFUNCTION("""COMPUTED_VALUE"""),944.0)</f>
        <v>944</v>
      </c>
      <c r="Q3774" s="5" t="str">
        <f>IFERROR(__xludf.DUMMYFUNCTION("""COMPUTED_VALUE"""),"28 Days Later...")</f>
        <v>28 Days Later...</v>
      </c>
      <c r="R3774" s="5" t="str">
        <f>IFERROR(__xludf.DUMMYFUNCTION("""COMPUTED_VALUE"""),"Cillian Murphy")</f>
        <v>Cillian Murphy</v>
      </c>
      <c r="S3774" s="5" t="str">
        <f>IFERROR(__xludf.DUMMYFUNCTION("""COMPUTED_VALUE"""),"Estrela 1")</f>
        <v>Estrela 1</v>
      </c>
    </row>
    <row r="3775">
      <c r="G3775" s="5" t="str">
        <f>IFERROR(__xludf.DUMMYFUNCTION("""COMPUTED_VALUE"""),"944🤙🏼28 Days Later...🤙🏼Naomie Harris🤙🏼Estrela 2")</f>
        <v>944🤙🏼28 Days Later...🤙🏼Naomie Harris🤙🏼Estrela 2</v>
      </c>
      <c r="H3775" s="5">
        <f>IFERROR(__xludf.DUMMYFUNCTION("SPLiT(G3775, ""🤙🏼"",FALSE,FALSE)"),944.0)</f>
        <v>944</v>
      </c>
      <c r="I3775" s="5" t="str">
        <f>IFERROR(__xludf.DUMMYFUNCTION("""COMPUTED_VALUE"""),"28 Days Later...")</f>
        <v>28 Days Later...</v>
      </c>
      <c r="J3775" s="5" t="str">
        <f>IFERROR(__xludf.DUMMYFUNCTION("""COMPUTED_VALUE"""),"Naomie Harris")</f>
        <v>Naomie Harris</v>
      </c>
      <c r="K3775" s="5" t="str">
        <f>IFERROR(__xludf.DUMMYFUNCTION("""COMPUTED_VALUE"""),"Estrela 2")</f>
        <v>Estrela 2</v>
      </c>
      <c r="P3775" s="5">
        <f>IFERROR(__xludf.DUMMYFUNCTION("""COMPUTED_VALUE"""),944.0)</f>
        <v>944</v>
      </c>
      <c r="Q3775" s="5" t="str">
        <f>IFERROR(__xludf.DUMMYFUNCTION("""COMPUTED_VALUE"""),"28 Days Later...")</f>
        <v>28 Days Later...</v>
      </c>
      <c r="R3775" s="5" t="str">
        <f>IFERROR(__xludf.DUMMYFUNCTION("""COMPUTED_VALUE"""),"Naomie Harris")</f>
        <v>Naomie Harris</v>
      </c>
      <c r="S3775" s="5" t="str">
        <f>IFERROR(__xludf.DUMMYFUNCTION("""COMPUTED_VALUE"""),"Estrela 2")</f>
        <v>Estrela 2</v>
      </c>
    </row>
    <row r="3776">
      <c r="G3776" s="5" t="str">
        <f>IFERROR(__xludf.DUMMYFUNCTION("""COMPUTED_VALUE"""),"944🤙🏼28 Days Later...🤙🏼Christopher Eccleston🤙🏼Estrela 3")</f>
        <v>944🤙🏼28 Days Later...🤙🏼Christopher Eccleston🤙🏼Estrela 3</v>
      </c>
      <c r="H3776" s="5">
        <f>IFERROR(__xludf.DUMMYFUNCTION("SPLiT(G3776, ""🤙🏼"",FALSE,FALSE)"),944.0)</f>
        <v>944</v>
      </c>
      <c r="I3776" s="5" t="str">
        <f>IFERROR(__xludf.DUMMYFUNCTION("""COMPUTED_VALUE"""),"28 Days Later...")</f>
        <v>28 Days Later...</v>
      </c>
      <c r="J3776" s="5" t="str">
        <f>IFERROR(__xludf.DUMMYFUNCTION("""COMPUTED_VALUE"""),"Christopher Eccleston")</f>
        <v>Christopher Eccleston</v>
      </c>
      <c r="K3776" s="5" t="str">
        <f>IFERROR(__xludf.DUMMYFUNCTION("""COMPUTED_VALUE"""),"Estrela 3")</f>
        <v>Estrela 3</v>
      </c>
      <c r="P3776" s="5">
        <f>IFERROR(__xludf.DUMMYFUNCTION("""COMPUTED_VALUE"""),944.0)</f>
        <v>944</v>
      </c>
      <c r="Q3776" s="5" t="str">
        <f>IFERROR(__xludf.DUMMYFUNCTION("""COMPUTED_VALUE"""),"28 Days Later...")</f>
        <v>28 Days Later...</v>
      </c>
      <c r="R3776" s="5" t="str">
        <f>IFERROR(__xludf.DUMMYFUNCTION("""COMPUTED_VALUE"""),"Christopher Eccleston")</f>
        <v>Christopher Eccleston</v>
      </c>
      <c r="S3776" s="5" t="str">
        <f>IFERROR(__xludf.DUMMYFUNCTION("""COMPUTED_VALUE"""),"Estrela 3")</f>
        <v>Estrela 3</v>
      </c>
    </row>
    <row r="3777">
      <c r="G3777" s="5" t="str">
        <f>IFERROR(__xludf.DUMMYFUNCTION("""COMPUTED_VALUE"""),"944🤙🏼28 Days Later...🤙🏼Alex Palmer🤙🏼Estrela 4")</f>
        <v>944🤙🏼28 Days Later...🤙🏼Alex Palmer🤙🏼Estrela 4</v>
      </c>
      <c r="H3777" s="5">
        <f>IFERROR(__xludf.DUMMYFUNCTION("SPLiT(G3777, ""🤙🏼"",FALSE,FALSE)"),944.0)</f>
        <v>944</v>
      </c>
      <c r="I3777" s="5" t="str">
        <f>IFERROR(__xludf.DUMMYFUNCTION("""COMPUTED_VALUE"""),"28 Days Later...")</f>
        <v>28 Days Later...</v>
      </c>
      <c r="J3777" s="5" t="str">
        <f>IFERROR(__xludf.DUMMYFUNCTION("""COMPUTED_VALUE"""),"Alex Palmer")</f>
        <v>Alex Palmer</v>
      </c>
      <c r="K3777" s="5" t="str">
        <f>IFERROR(__xludf.DUMMYFUNCTION("""COMPUTED_VALUE"""),"Estrela 4")</f>
        <v>Estrela 4</v>
      </c>
      <c r="P3777" s="5">
        <f>IFERROR(__xludf.DUMMYFUNCTION("""COMPUTED_VALUE"""),944.0)</f>
        <v>944</v>
      </c>
      <c r="Q3777" s="5" t="str">
        <f>IFERROR(__xludf.DUMMYFUNCTION("""COMPUTED_VALUE"""),"28 Days Later...")</f>
        <v>28 Days Later...</v>
      </c>
      <c r="R3777" s="5" t="str">
        <f>IFERROR(__xludf.DUMMYFUNCTION("""COMPUTED_VALUE"""),"Alex Palmer")</f>
        <v>Alex Palmer</v>
      </c>
      <c r="S3777" s="5" t="str">
        <f>IFERROR(__xludf.DUMMYFUNCTION("""COMPUTED_VALUE"""),"Estrela 4")</f>
        <v>Estrela 4</v>
      </c>
    </row>
    <row r="3778">
      <c r="G3778" s="5" t="str">
        <f>IFERROR(__xludf.DUMMYFUNCTION("""COMPUTED_VALUE"""),"945🤙🏼Batoru rowaiaru🤙🏼Tatsuya Fujiwara🤙🏼Estrela 1")</f>
        <v>945🤙🏼Batoru rowaiaru🤙🏼Tatsuya Fujiwara🤙🏼Estrela 1</v>
      </c>
      <c r="H3778" s="5">
        <f>IFERROR(__xludf.DUMMYFUNCTION("SPLiT(G3778, ""🤙🏼"",FALSE,FALSE)"),945.0)</f>
        <v>945</v>
      </c>
      <c r="I3778" s="5" t="str">
        <f>IFERROR(__xludf.DUMMYFUNCTION("""COMPUTED_VALUE"""),"Batoru rowaiaru")</f>
        <v>Batoru rowaiaru</v>
      </c>
      <c r="J3778" s="5" t="str">
        <f>IFERROR(__xludf.DUMMYFUNCTION("""COMPUTED_VALUE"""),"Tatsuya Fujiwara")</f>
        <v>Tatsuya Fujiwara</v>
      </c>
      <c r="K3778" s="5" t="str">
        <f>IFERROR(__xludf.DUMMYFUNCTION("""COMPUTED_VALUE"""),"Estrela 1")</f>
        <v>Estrela 1</v>
      </c>
      <c r="P3778" s="5">
        <f>IFERROR(__xludf.DUMMYFUNCTION("""COMPUTED_VALUE"""),945.0)</f>
        <v>945</v>
      </c>
      <c r="Q3778" s="5" t="str">
        <f>IFERROR(__xludf.DUMMYFUNCTION("""COMPUTED_VALUE"""),"Batoru rowaiaru")</f>
        <v>Batoru rowaiaru</v>
      </c>
      <c r="R3778" s="5" t="str">
        <f>IFERROR(__xludf.DUMMYFUNCTION("""COMPUTED_VALUE"""),"Tatsuya Fujiwara")</f>
        <v>Tatsuya Fujiwara</v>
      </c>
      <c r="S3778" s="5" t="str">
        <f>IFERROR(__xludf.DUMMYFUNCTION("""COMPUTED_VALUE"""),"Estrela 1")</f>
        <v>Estrela 1</v>
      </c>
    </row>
    <row r="3779">
      <c r="G3779" s="5" t="str">
        <f>IFERROR(__xludf.DUMMYFUNCTION("""COMPUTED_VALUE"""),"945🤙🏼Batoru rowaiaru🤙🏼Aki Maeda🤙🏼Estrela 2")</f>
        <v>945🤙🏼Batoru rowaiaru🤙🏼Aki Maeda🤙🏼Estrela 2</v>
      </c>
      <c r="H3779" s="5">
        <f>IFERROR(__xludf.DUMMYFUNCTION("SPLiT(G3779, ""🤙🏼"",FALSE,FALSE)"),945.0)</f>
        <v>945</v>
      </c>
      <c r="I3779" s="5" t="str">
        <f>IFERROR(__xludf.DUMMYFUNCTION("""COMPUTED_VALUE"""),"Batoru rowaiaru")</f>
        <v>Batoru rowaiaru</v>
      </c>
      <c r="J3779" s="5" t="str">
        <f>IFERROR(__xludf.DUMMYFUNCTION("""COMPUTED_VALUE"""),"Aki Maeda")</f>
        <v>Aki Maeda</v>
      </c>
      <c r="K3779" s="5" t="str">
        <f>IFERROR(__xludf.DUMMYFUNCTION("""COMPUTED_VALUE"""),"Estrela 2")</f>
        <v>Estrela 2</v>
      </c>
      <c r="P3779" s="5">
        <f>IFERROR(__xludf.DUMMYFUNCTION("""COMPUTED_VALUE"""),945.0)</f>
        <v>945</v>
      </c>
      <c r="Q3779" s="5" t="str">
        <f>IFERROR(__xludf.DUMMYFUNCTION("""COMPUTED_VALUE"""),"Batoru rowaiaru")</f>
        <v>Batoru rowaiaru</v>
      </c>
      <c r="R3779" s="5" t="str">
        <f>IFERROR(__xludf.DUMMYFUNCTION("""COMPUTED_VALUE"""),"Aki Maeda")</f>
        <v>Aki Maeda</v>
      </c>
      <c r="S3779" s="5" t="str">
        <f>IFERROR(__xludf.DUMMYFUNCTION("""COMPUTED_VALUE"""),"Estrela 2")</f>
        <v>Estrela 2</v>
      </c>
    </row>
    <row r="3780">
      <c r="G3780" s="5" t="str">
        <f>IFERROR(__xludf.DUMMYFUNCTION("""COMPUTED_VALUE"""),"945🤙🏼Batoru rowaiaru🤙🏼Tarô Yamamoto🤙🏼Estrela 3")</f>
        <v>945🤙🏼Batoru rowaiaru🤙🏼Tarô Yamamoto🤙🏼Estrela 3</v>
      </c>
      <c r="H3780" s="5">
        <f>IFERROR(__xludf.DUMMYFUNCTION("SPLiT(G3780, ""🤙🏼"",FALSE,FALSE)"),945.0)</f>
        <v>945</v>
      </c>
      <c r="I3780" s="5" t="str">
        <f>IFERROR(__xludf.DUMMYFUNCTION("""COMPUTED_VALUE"""),"Batoru rowaiaru")</f>
        <v>Batoru rowaiaru</v>
      </c>
      <c r="J3780" s="5" t="str">
        <f>IFERROR(__xludf.DUMMYFUNCTION("""COMPUTED_VALUE"""),"Tarô Yamamoto")</f>
        <v>Tarô Yamamoto</v>
      </c>
      <c r="K3780" s="5" t="str">
        <f>IFERROR(__xludf.DUMMYFUNCTION("""COMPUTED_VALUE"""),"Estrela 3")</f>
        <v>Estrela 3</v>
      </c>
      <c r="P3780" s="5">
        <f>IFERROR(__xludf.DUMMYFUNCTION("""COMPUTED_VALUE"""),945.0)</f>
        <v>945</v>
      </c>
      <c r="Q3780" s="5" t="str">
        <f>IFERROR(__xludf.DUMMYFUNCTION("""COMPUTED_VALUE"""),"Batoru rowaiaru")</f>
        <v>Batoru rowaiaru</v>
      </c>
      <c r="R3780" s="5" t="str">
        <f>IFERROR(__xludf.DUMMYFUNCTION("""COMPUTED_VALUE"""),"Tarô Yamamoto")</f>
        <v>Tarô Yamamoto</v>
      </c>
      <c r="S3780" s="5" t="str">
        <f>IFERROR(__xludf.DUMMYFUNCTION("""COMPUTED_VALUE"""),"Estrela 3")</f>
        <v>Estrela 3</v>
      </c>
    </row>
    <row r="3781">
      <c r="G3781" s="5" t="str">
        <f>IFERROR(__xludf.DUMMYFUNCTION("""COMPUTED_VALUE"""),"945🤙🏼Batoru rowaiaru🤙🏼Takeshi Kitano🤙🏼Estrela 4")</f>
        <v>945🤙🏼Batoru rowaiaru🤙🏼Takeshi Kitano🤙🏼Estrela 4</v>
      </c>
      <c r="H3781" s="5">
        <f>IFERROR(__xludf.DUMMYFUNCTION("SPLiT(G3781, ""🤙🏼"",FALSE,FALSE)"),945.0)</f>
        <v>945</v>
      </c>
      <c r="I3781" s="5" t="str">
        <f>IFERROR(__xludf.DUMMYFUNCTION("""COMPUTED_VALUE"""),"Batoru rowaiaru")</f>
        <v>Batoru rowaiaru</v>
      </c>
      <c r="J3781" s="5" t="str">
        <f>IFERROR(__xludf.DUMMYFUNCTION("""COMPUTED_VALUE"""),"Takeshi Kitano")</f>
        <v>Takeshi Kitano</v>
      </c>
      <c r="K3781" s="5" t="str">
        <f>IFERROR(__xludf.DUMMYFUNCTION("""COMPUTED_VALUE"""),"Estrela 4")</f>
        <v>Estrela 4</v>
      </c>
      <c r="P3781" s="5">
        <f>IFERROR(__xludf.DUMMYFUNCTION("""COMPUTED_VALUE"""),945.0)</f>
        <v>945</v>
      </c>
      <c r="Q3781" s="5" t="str">
        <f>IFERROR(__xludf.DUMMYFUNCTION("""COMPUTED_VALUE"""),"Batoru rowaiaru")</f>
        <v>Batoru rowaiaru</v>
      </c>
      <c r="R3781" s="5" t="str">
        <f>IFERROR(__xludf.DUMMYFUNCTION("""COMPUTED_VALUE"""),"Takeshi Kitano")</f>
        <v>Takeshi Kitano</v>
      </c>
      <c r="S3781" s="5" t="str">
        <f>IFERROR(__xludf.DUMMYFUNCTION("""COMPUTED_VALUE"""),"Estrela 4")</f>
        <v>Estrela 4</v>
      </c>
    </row>
    <row r="3782">
      <c r="G3782" s="5" t="str">
        <f>IFERROR(__xludf.DUMMYFUNCTION("""COMPUTED_VALUE"""),"946🤙🏼The Royal Tenenbaums🤙🏼Gene Hackman🤙🏼Estrela 1")</f>
        <v>946🤙🏼The Royal Tenenbaums🤙🏼Gene Hackman🤙🏼Estrela 1</v>
      </c>
      <c r="H3782" s="5">
        <f>IFERROR(__xludf.DUMMYFUNCTION("SPLiT(G3782, ""🤙🏼"",FALSE,FALSE)"),946.0)</f>
        <v>946</v>
      </c>
      <c r="I3782" s="5" t="str">
        <f>IFERROR(__xludf.DUMMYFUNCTION("""COMPUTED_VALUE"""),"The Royal Tenenbaums")</f>
        <v>The Royal Tenenbaums</v>
      </c>
      <c r="J3782" s="5" t="str">
        <f>IFERROR(__xludf.DUMMYFUNCTION("""COMPUTED_VALUE"""),"Gene Hackman")</f>
        <v>Gene Hackman</v>
      </c>
      <c r="K3782" s="5" t="str">
        <f>IFERROR(__xludf.DUMMYFUNCTION("""COMPUTED_VALUE"""),"Estrela 1")</f>
        <v>Estrela 1</v>
      </c>
      <c r="P3782" s="5">
        <f>IFERROR(__xludf.DUMMYFUNCTION("""COMPUTED_VALUE"""),946.0)</f>
        <v>946</v>
      </c>
      <c r="Q3782" s="5" t="str">
        <f>IFERROR(__xludf.DUMMYFUNCTION("""COMPUTED_VALUE"""),"The Royal Tenenbaums")</f>
        <v>The Royal Tenenbaums</v>
      </c>
      <c r="R3782" s="5" t="str">
        <f>IFERROR(__xludf.DUMMYFUNCTION("""COMPUTED_VALUE"""),"Gene Hackman")</f>
        <v>Gene Hackman</v>
      </c>
      <c r="S3782" s="5" t="str">
        <f>IFERROR(__xludf.DUMMYFUNCTION("""COMPUTED_VALUE"""),"Estrela 1")</f>
        <v>Estrela 1</v>
      </c>
    </row>
    <row r="3783">
      <c r="G3783" s="5" t="str">
        <f>IFERROR(__xludf.DUMMYFUNCTION("""COMPUTED_VALUE"""),"946🤙🏼The Royal Tenenbaums🤙🏼Gwyneth Paltrow🤙🏼Estrela 2")</f>
        <v>946🤙🏼The Royal Tenenbaums🤙🏼Gwyneth Paltrow🤙🏼Estrela 2</v>
      </c>
      <c r="H3783" s="5">
        <f>IFERROR(__xludf.DUMMYFUNCTION("SPLiT(G3783, ""🤙🏼"",FALSE,FALSE)"),946.0)</f>
        <v>946</v>
      </c>
      <c r="I3783" s="5" t="str">
        <f>IFERROR(__xludf.DUMMYFUNCTION("""COMPUTED_VALUE"""),"The Royal Tenenbaums")</f>
        <v>The Royal Tenenbaums</v>
      </c>
      <c r="J3783" s="5" t="str">
        <f>IFERROR(__xludf.DUMMYFUNCTION("""COMPUTED_VALUE"""),"Gwyneth Paltrow")</f>
        <v>Gwyneth Paltrow</v>
      </c>
      <c r="K3783" s="5" t="str">
        <f>IFERROR(__xludf.DUMMYFUNCTION("""COMPUTED_VALUE"""),"Estrela 2")</f>
        <v>Estrela 2</v>
      </c>
      <c r="P3783" s="5">
        <f>IFERROR(__xludf.DUMMYFUNCTION("""COMPUTED_VALUE"""),946.0)</f>
        <v>946</v>
      </c>
      <c r="Q3783" s="5" t="str">
        <f>IFERROR(__xludf.DUMMYFUNCTION("""COMPUTED_VALUE"""),"The Royal Tenenbaums")</f>
        <v>The Royal Tenenbaums</v>
      </c>
      <c r="R3783" s="5" t="str">
        <f>IFERROR(__xludf.DUMMYFUNCTION("""COMPUTED_VALUE"""),"Gwyneth Paltrow")</f>
        <v>Gwyneth Paltrow</v>
      </c>
      <c r="S3783" s="5" t="str">
        <f>IFERROR(__xludf.DUMMYFUNCTION("""COMPUTED_VALUE"""),"Estrela 2")</f>
        <v>Estrela 2</v>
      </c>
    </row>
    <row r="3784">
      <c r="G3784" s="5" t="str">
        <f>IFERROR(__xludf.DUMMYFUNCTION("""COMPUTED_VALUE"""),"946🤙🏼The Royal Tenenbaums🤙🏼Anjelica Huston🤙🏼Estrela 3")</f>
        <v>946🤙🏼The Royal Tenenbaums🤙🏼Anjelica Huston🤙🏼Estrela 3</v>
      </c>
      <c r="H3784" s="5">
        <f>IFERROR(__xludf.DUMMYFUNCTION("SPLiT(G3784, ""🤙🏼"",FALSE,FALSE)"),946.0)</f>
        <v>946</v>
      </c>
      <c r="I3784" s="5" t="str">
        <f>IFERROR(__xludf.DUMMYFUNCTION("""COMPUTED_VALUE"""),"The Royal Tenenbaums")</f>
        <v>The Royal Tenenbaums</v>
      </c>
      <c r="J3784" s="5" t="str">
        <f>IFERROR(__xludf.DUMMYFUNCTION("""COMPUTED_VALUE"""),"Anjelica Huston")</f>
        <v>Anjelica Huston</v>
      </c>
      <c r="K3784" s="5" t="str">
        <f>IFERROR(__xludf.DUMMYFUNCTION("""COMPUTED_VALUE"""),"Estrela 3")</f>
        <v>Estrela 3</v>
      </c>
      <c r="P3784" s="5">
        <f>IFERROR(__xludf.DUMMYFUNCTION("""COMPUTED_VALUE"""),946.0)</f>
        <v>946</v>
      </c>
      <c r="Q3784" s="5" t="str">
        <f>IFERROR(__xludf.DUMMYFUNCTION("""COMPUTED_VALUE"""),"The Royal Tenenbaums")</f>
        <v>The Royal Tenenbaums</v>
      </c>
      <c r="R3784" s="5" t="str">
        <f>IFERROR(__xludf.DUMMYFUNCTION("""COMPUTED_VALUE"""),"Anjelica Huston")</f>
        <v>Anjelica Huston</v>
      </c>
      <c r="S3784" s="5" t="str">
        <f>IFERROR(__xludf.DUMMYFUNCTION("""COMPUTED_VALUE"""),"Estrela 3")</f>
        <v>Estrela 3</v>
      </c>
    </row>
    <row r="3785">
      <c r="G3785" s="5" t="str">
        <f>IFERROR(__xludf.DUMMYFUNCTION("""COMPUTED_VALUE"""),"946🤙🏼The Royal Tenenbaums🤙🏼Ben Stiller🤙🏼Estrela 4")</f>
        <v>946🤙🏼The Royal Tenenbaums🤙🏼Ben Stiller🤙🏼Estrela 4</v>
      </c>
      <c r="H3785" s="5">
        <f>IFERROR(__xludf.DUMMYFUNCTION("SPLiT(G3785, ""🤙🏼"",FALSE,FALSE)"),946.0)</f>
        <v>946</v>
      </c>
      <c r="I3785" s="5" t="str">
        <f>IFERROR(__xludf.DUMMYFUNCTION("""COMPUTED_VALUE"""),"The Royal Tenenbaums")</f>
        <v>The Royal Tenenbaums</v>
      </c>
      <c r="J3785" s="5" t="str">
        <f>IFERROR(__xludf.DUMMYFUNCTION("""COMPUTED_VALUE"""),"Ben Stiller")</f>
        <v>Ben Stiller</v>
      </c>
      <c r="K3785" s="5" t="str">
        <f>IFERROR(__xludf.DUMMYFUNCTION("""COMPUTED_VALUE"""),"Estrela 4")</f>
        <v>Estrela 4</v>
      </c>
      <c r="P3785" s="5">
        <f>IFERROR(__xludf.DUMMYFUNCTION("""COMPUTED_VALUE"""),946.0)</f>
        <v>946</v>
      </c>
      <c r="Q3785" s="5" t="str">
        <f>IFERROR(__xludf.DUMMYFUNCTION("""COMPUTED_VALUE"""),"The Royal Tenenbaums")</f>
        <v>The Royal Tenenbaums</v>
      </c>
      <c r="R3785" s="5" t="str">
        <f>IFERROR(__xludf.DUMMYFUNCTION("""COMPUTED_VALUE"""),"Ben Stiller")</f>
        <v>Ben Stiller</v>
      </c>
      <c r="S3785" s="5" t="str">
        <f>IFERROR(__xludf.DUMMYFUNCTION("""COMPUTED_VALUE"""),"Estrela 4")</f>
        <v>Estrela 4</v>
      </c>
    </row>
    <row r="3786">
      <c r="G3786" s="5" t="str">
        <f>IFERROR(__xludf.DUMMYFUNCTION("""COMPUTED_VALUE"""),"947🤙🏼Y tu mamá también🤙🏼Maribel Verdú🤙🏼Estrela 1")</f>
        <v>947🤙🏼Y tu mamá también🤙🏼Maribel Verdú🤙🏼Estrela 1</v>
      </c>
      <c r="H3786" s="5">
        <f>IFERROR(__xludf.DUMMYFUNCTION("SPLiT(G3786, ""🤙🏼"",FALSE,FALSE)"),947.0)</f>
        <v>947</v>
      </c>
      <c r="I3786" s="5" t="str">
        <f>IFERROR(__xludf.DUMMYFUNCTION("""COMPUTED_VALUE"""),"Y tu mamá también")</f>
        <v>Y tu mamá también</v>
      </c>
      <c r="J3786" s="5" t="str">
        <f>IFERROR(__xludf.DUMMYFUNCTION("""COMPUTED_VALUE"""),"Maribel Verdú")</f>
        <v>Maribel Verdú</v>
      </c>
      <c r="K3786" s="5" t="str">
        <f>IFERROR(__xludf.DUMMYFUNCTION("""COMPUTED_VALUE"""),"Estrela 1")</f>
        <v>Estrela 1</v>
      </c>
      <c r="P3786" s="5">
        <f>IFERROR(__xludf.DUMMYFUNCTION("""COMPUTED_VALUE"""),947.0)</f>
        <v>947</v>
      </c>
      <c r="Q3786" s="5" t="str">
        <f>IFERROR(__xludf.DUMMYFUNCTION("""COMPUTED_VALUE"""),"Y tu mamá también")</f>
        <v>Y tu mamá también</v>
      </c>
      <c r="R3786" s="5" t="str">
        <f>IFERROR(__xludf.DUMMYFUNCTION("""COMPUTED_VALUE"""),"Maribel Verdú")</f>
        <v>Maribel Verdú</v>
      </c>
      <c r="S3786" s="5" t="str">
        <f>IFERROR(__xludf.DUMMYFUNCTION("""COMPUTED_VALUE"""),"Estrela 1")</f>
        <v>Estrela 1</v>
      </c>
    </row>
    <row r="3787">
      <c r="G3787" s="5" t="str">
        <f>IFERROR(__xludf.DUMMYFUNCTION("""COMPUTED_VALUE"""),"947🤙🏼Y tu mamá también🤙🏼Gael García Bernal🤙🏼Estrela 2")</f>
        <v>947🤙🏼Y tu mamá también🤙🏼Gael García Bernal🤙🏼Estrela 2</v>
      </c>
      <c r="H3787" s="5">
        <f>IFERROR(__xludf.DUMMYFUNCTION("SPLiT(G3787, ""🤙🏼"",FALSE,FALSE)"),947.0)</f>
        <v>947</v>
      </c>
      <c r="I3787" s="5" t="str">
        <f>IFERROR(__xludf.DUMMYFUNCTION("""COMPUTED_VALUE"""),"Y tu mamá también")</f>
        <v>Y tu mamá también</v>
      </c>
      <c r="J3787" s="5" t="str">
        <f>IFERROR(__xludf.DUMMYFUNCTION("""COMPUTED_VALUE"""),"Gael García Bernal")</f>
        <v>Gael García Bernal</v>
      </c>
      <c r="K3787" s="5" t="str">
        <f>IFERROR(__xludf.DUMMYFUNCTION("""COMPUTED_VALUE"""),"Estrela 2")</f>
        <v>Estrela 2</v>
      </c>
      <c r="P3787" s="5">
        <f>IFERROR(__xludf.DUMMYFUNCTION("""COMPUTED_VALUE"""),947.0)</f>
        <v>947</v>
      </c>
      <c r="Q3787" s="5" t="str">
        <f>IFERROR(__xludf.DUMMYFUNCTION("""COMPUTED_VALUE"""),"Y tu mamá también")</f>
        <v>Y tu mamá también</v>
      </c>
      <c r="R3787" s="5" t="str">
        <f>IFERROR(__xludf.DUMMYFUNCTION("""COMPUTED_VALUE"""),"Gael García Bernal")</f>
        <v>Gael García Bernal</v>
      </c>
      <c r="S3787" s="5" t="str">
        <f>IFERROR(__xludf.DUMMYFUNCTION("""COMPUTED_VALUE"""),"Estrela 2")</f>
        <v>Estrela 2</v>
      </c>
    </row>
    <row r="3788">
      <c r="G3788" s="5" t="str">
        <f>IFERROR(__xludf.DUMMYFUNCTION("""COMPUTED_VALUE"""),"947🤙🏼Y tu mamá también🤙🏼Daniel Giménez Cacho🤙🏼Estrela 3")</f>
        <v>947🤙🏼Y tu mamá también🤙🏼Daniel Giménez Cacho🤙🏼Estrela 3</v>
      </c>
      <c r="H3788" s="5">
        <f>IFERROR(__xludf.DUMMYFUNCTION("SPLiT(G3788, ""🤙🏼"",FALSE,FALSE)"),947.0)</f>
        <v>947</v>
      </c>
      <c r="I3788" s="5" t="str">
        <f>IFERROR(__xludf.DUMMYFUNCTION("""COMPUTED_VALUE"""),"Y tu mamá también")</f>
        <v>Y tu mamá también</v>
      </c>
      <c r="J3788" s="5" t="str">
        <f>IFERROR(__xludf.DUMMYFUNCTION("""COMPUTED_VALUE"""),"Daniel Giménez Cacho")</f>
        <v>Daniel Giménez Cacho</v>
      </c>
      <c r="K3788" s="5" t="str">
        <f>IFERROR(__xludf.DUMMYFUNCTION("""COMPUTED_VALUE"""),"Estrela 3")</f>
        <v>Estrela 3</v>
      </c>
      <c r="P3788" s="5">
        <f>IFERROR(__xludf.DUMMYFUNCTION("""COMPUTED_VALUE"""),947.0)</f>
        <v>947</v>
      </c>
      <c r="Q3788" s="5" t="str">
        <f>IFERROR(__xludf.DUMMYFUNCTION("""COMPUTED_VALUE"""),"Y tu mamá también")</f>
        <v>Y tu mamá también</v>
      </c>
      <c r="R3788" s="5" t="str">
        <f>IFERROR(__xludf.DUMMYFUNCTION("""COMPUTED_VALUE"""),"Daniel Giménez Cacho")</f>
        <v>Daniel Giménez Cacho</v>
      </c>
      <c r="S3788" s="5" t="str">
        <f>IFERROR(__xludf.DUMMYFUNCTION("""COMPUTED_VALUE"""),"Estrela 3")</f>
        <v>Estrela 3</v>
      </c>
    </row>
    <row r="3789">
      <c r="G3789" s="5" t="str">
        <f>IFERROR(__xludf.DUMMYFUNCTION("""COMPUTED_VALUE"""),"947🤙🏼Y tu mamá también🤙🏼Ana López Mercado🤙🏼Estrela 4")</f>
        <v>947🤙🏼Y tu mamá también🤙🏼Ana López Mercado🤙🏼Estrela 4</v>
      </c>
      <c r="H3789" s="5">
        <f>IFERROR(__xludf.DUMMYFUNCTION("SPLiT(G3789, ""🤙🏼"",FALSE,FALSE)"),947.0)</f>
        <v>947</v>
      </c>
      <c r="I3789" s="5" t="str">
        <f>IFERROR(__xludf.DUMMYFUNCTION("""COMPUTED_VALUE"""),"Y tu mamá también")</f>
        <v>Y tu mamá también</v>
      </c>
      <c r="J3789" s="5" t="str">
        <f>IFERROR(__xludf.DUMMYFUNCTION("""COMPUTED_VALUE"""),"Ana López Mercado")</f>
        <v>Ana López Mercado</v>
      </c>
      <c r="K3789" s="5" t="str">
        <f>IFERROR(__xludf.DUMMYFUNCTION("""COMPUTED_VALUE"""),"Estrela 4")</f>
        <v>Estrela 4</v>
      </c>
      <c r="P3789" s="5">
        <f>IFERROR(__xludf.DUMMYFUNCTION("""COMPUTED_VALUE"""),947.0)</f>
        <v>947</v>
      </c>
      <c r="Q3789" s="5" t="str">
        <f>IFERROR(__xludf.DUMMYFUNCTION("""COMPUTED_VALUE"""),"Y tu mamá también")</f>
        <v>Y tu mamá también</v>
      </c>
      <c r="R3789" s="5" t="str">
        <f>IFERROR(__xludf.DUMMYFUNCTION("""COMPUTED_VALUE"""),"Ana López Mercado")</f>
        <v>Ana López Mercado</v>
      </c>
      <c r="S3789" s="5" t="str">
        <f>IFERROR(__xludf.DUMMYFUNCTION("""COMPUTED_VALUE"""),"Estrela 4")</f>
        <v>Estrela 4</v>
      </c>
    </row>
    <row r="3790">
      <c r="G3790" s="5" t="str">
        <f>IFERROR(__xludf.DUMMYFUNCTION("""COMPUTED_VALUE"""),"948🤙🏼Harry Potter and the Sorcerer's Stone🤙🏼Daniel Radcliffe🤙🏼Estrela 1")</f>
        <v>948🤙🏼Harry Potter and the Sorcerer's Stone🤙🏼Daniel Radcliffe🤙🏼Estrela 1</v>
      </c>
      <c r="H3790" s="5">
        <f>IFERROR(__xludf.DUMMYFUNCTION("SPLiT(G3790, ""🤙🏼"",FALSE,FALSE)"),948.0)</f>
        <v>948</v>
      </c>
      <c r="I3790" s="5" t="str">
        <f>IFERROR(__xludf.DUMMYFUNCTION("""COMPUTED_VALUE"""),"Harry Potter and the Sorcerer's Stone")</f>
        <v>Harry Potter and the Sorcerer's Stone</v>
      </c>
      <c r="J3790" s="5" t="str">
        <f>IFERROR(__xludf.DUMMYFUNCTION("""COMPUTED_VALUE"""),"Daniel Radcliffe")</f>
        <v>Daniel Radcliffe</v>
      </c>
      <c r="K3790" s="5" t="str">
        <f>IFERROR(__xludf.DUMMYFUNCTION("""COMPUTED_VALUE"""),"Estrela 1")</f>
        <v>Estrela 1</v>
      </c>
      <c r="P3790" s="5">
        <f>IFERROR(__xludf.DUMMYFUNCTION("""COMPUTED_VALUE"""),948.0)</f>
        <v>948</v>
      </c>
      <c r="Q3790" s="5" t="str">
        <f>IFERROR(__xludf.DUMMYFUNCTION("""COMPUTED_VALUE"""),"Harry Potter and the Sorcerer's Stone")</f>
        <v>Harry Potter and the Sorcerer's Stone</v>
      </c>
      <c r="R3790" s="5" t="str">
        <f>IFERROR(__xludf.DUMMYFUNCTION("""COMPUTED_VALUE"""),"Daniel Radcliffe")</f>
        <v>Daniel Radcliffe</v>
      </c>
      <c r="S3790" s="5" t="str">
        <f>IFERROR(__xludf.DUMMYFUNCTION("""COMPUTED_VALUE"""),"Estrela 1")</f>
        <v>Estrela 1</v>
      </c>
    </row>
    <row r="3791">
      <c r="G3791" s="5" t="str">
        <f>IFERROR(__xludf.DUMMYFUNCTION("""COMPUTED_VALUE"""),"948🤙🏼Harry Potter and the Sorcerer's Stone🤙🏼Rupert Grint🤙🏼Estrela 2")</f>
        <v>948🤙🏼Harry Potter and the Sorcerer's Stone🤙🏼Rupert Grint🤙🏼Estrela 2</v>
      </c>
      <c r="H3791" s="5">
        <f>IFERROR(__xludf.DUMMYFUNCTION("SPLiT(G3791, ""🤙🏼"",FALSE,FALSE)"),948.0)</f>
        <v>948</v>
      </c>
      <c r="I3791" s="5" t="str">
        <f>IFERROR(__xludf.DUMMYFUNCTION("""COMPUTED_VALUE"""),"Harry Potter and the Sorcerer's Stone")</f>
        <v>Harry Potter and the Sorcerer's Stone</v>
      </c>
      <c r="J3791" s="5" t="str">
        <f>IFERROR(__xludf.DUMMYFUNCTION("""COMPUTED_VALUE"""),"Rupert Grint")</f>
        <v>Rupert Grint</v>
      </c>
      <c r="K3791" s="5" t="str">
        <f>IFERROR(__xludf.DUMMYFUNCTION("""COMPUTED_VALUE"""),"Estrela 2")</f>
        <v>Estrela 2</v>
      </c>
      <c r="P3791" s="5">
        <f>IFERROR(__xludf.DUMMYFUNCTION("""COMPUTED_VALUE"""),948.0)</f>
        <v>948</v>
      </c>
      <c r="Q3791" s="5" t="str">
        <f>IFERROR(__xludf.DUMMYFUNCTION("""COMPUTED_VALUE"""),"Harry Potter and the Sorcerer's Stone")</f>
        <v>Harry Potter and the Sorcerer's Stone</v>
      </c>
      <c r="R3791" s="5" t="str">
        <f>IFERROR(__xludf.DUMMYFUNCTION("""COMPUTED_VALUE"""),"Rupert Grint")</f>
        <v>Rupert Grint</v>
      </c>
      <c r="S3791" s="5" t="str">
        <f>IFERROR(__xludf.DUMMYFUNCTION("""COMPUTED_VALUE"""),"Estrela 2")</f>
        <v>Estrela 2</v>
      </c>
    </row>
    <row r="3792">
      <c r="G3792" s="5" t="str">
        <f>IFERROR(__xludf.DUMMYFUNCTION("""COMPUTED_VALUE"""),"948🤙🏼Harry Potter and the Sorcerer's Stone🤙🏼Richard Harris🤙🏼Estrela 3")</f>
        <v>948🤙🏼Harry Potter and the Sorcerer's Stone🤙🏼Richard Harris🤙🏼Estrela 3</v>
      </c>
      <c r="H3792" s="5">
        <f>IFERROR(__xludf.DUMMYFUNCTION("SPLiT(G3792, ""🤙🏼"",FALSE,FALSE)"),948.0)</f>
        <v>948</v>
      </c>
      <c r="I3792" s="5" t="str">
        <f>IFERROR(__xludf.DUMMYFUNCTION("""COMPUTED_VALUE"""),"Harry Potter and the Sorcerer's Stone")</f>
        <v>Harry Potter and the Sorcerer's Stone</v>
      </c>
      <c r="J3792" s="5" t="str">
        <f>IFERROR(__xludf.DUMMYFUNCTION("""COMPUTED_VALUE"""),"Richard Harris")</f>
        <v>Richard Harris</v>
      </c>
      <c r="K3792" s="5" t="str">
        <f>IFERROR(__xludf.DUMMYFUNCTION("""COMPUTED_VALUE"""),"Estrela 3")</f>
        <v>Estrela 3</v>
      </c>
      <c r="P3792" s="5">
        <f>IFERROR(__xludf.DUMMYFUNCTION("""COMPUTED_VALUE"""),948.0)</f>
        <v>948</v>
      </c>
      <c r="Q3792" s="5" t="str">
        <f>IFERROR(__xludf.DUMMYFUNCTION("""COMPUTED_VALUE"""),"Harry Potter and the Sorcerer's Stone")</f>
        <v>Harry Potter and the Sorcerer's Stone</v>
      </c>
      <c r="R3792" s="5" t="str">
        <f>IFERROR(__xludf.DUMMYFUNCTION("""COMPUTED_VALUE"""),"Richard Harris")</f>
        <v>Richard Harris</v>
      </c>
      <c r="S3792" s="5" t="str">
        <f>IFERROR(__xludf.DUMMYFUNCTION("""COMPUTED_VALUE"""),"Estrela 3")</f>
        <v>Estrela 3</v>
      </c>
    </row>
    <row r="3793">
      <c r="G3793" s="5" t="str">
        <f>IFERROR(__xludf.DUMMYFUNCTION("""COMPUTED_VALUE"""),"948🤙🏼Harry Potter and the Sorcerer's Stone🤙🏼Maggie Smith🤙🏼Estrela 4")</f>
        <v>948🤙🏼Harry Potter and the Sorcerer's Stone🤙🏼Maggie Smith🤙🏼Estrela 4</v>
      </c>
      <c r="H3793" s="5">
        <f>IFERROR(__xludf.DUMMYFUNCTION("SPLiT(G3793, ""🤙🏼"",FALSE,FALSE)"),948.0)</f>
        <v>948</v>
      </c>
      <c r="I3793" s="5" t="str">
        <f>IFERROR(__xludf.DUMMYFUNCTION("""COMPUTED_VALUE"""),"Harry Potter and the Sorcerer's Stone")</f>
        <v>Harry Potter and the Sorcerer's Stone</v>
      </c>
      <c r="J3793" s="5" t="str">
        <f>IFERROR(__xludf.DUMMYFUNCTION("""COMPUTED_VALUE"""),"Maggie Smith")</f>
        <v>Maggie Smith</v>
      </c>
      <c r="K3793" s="5" t="str">
        <f>IFERROR(__xludf.DUMMYFUNCTION("""COMPUTED_VALUE"""),"Estrela 4")</f>
        <v>Estrela 4</v>
      </c>
      <c r="P3793" s="5">
        <f>IFERROR(__xludf.DUMMYFUNCTION("""COMPUTED_VALUE"""),948.0)</f>
        <v>948</v>
      </c>
      <c r="Q3793" s="5" t="str">
        <f>IFERROR(__xludf.DUMMYFUNCTION("""COMPUTED_VALUE"""),"Harry Potter and the Sorcerer's Stone")</f>
        <v>Harry Potter and the Sorcerer's Stone</v>
      </c>
      <c r="R3793" s="5" t="str">
        <f>IFERROR(__xludf.DUMMYFUNCTION("""COMPUTED_VALUE"""),"Maggie Smith")</f>
        <v>Maggie Smith</v>
      </c>
      <c r="S3793" s="5" t="str">
        <f>IFERROR(__xludf.DUMMYFUNCTION("""COMPUTED_VALUE"""),"Estrela 4")</f>
        <v>Estrela 4</v>
      </c>
    </row>
    <row r="3794">
      <c r="G3794" s="5" t="str">
        <f>IFERROR(__xludf.DUMMYFUNCTION("""COMPUTED_VALUE"""),"949🤙🏼The Others🤙🏼Nicole Kidman🤙🏼Estrela 1")</f>
        <v>949🤙🏼The Others🤙🏼Nicole Kidman🤙🏼Estrela 1</v>
      </c>
      <c r="H3794" s="5">
        <f>IFERROR(__xludf.DUMMYFUNCTION("SPLiT(G3794, ""🤙🏼"",FALSE,FALSE)"),949.0)</f>
        <v>949</v>
      </c>
      <c r="I3794" s="5" t="str">
        <f>IFERROR(__xludf.DUMMYFUNCTION("""COMPUTED_VALUE"""),"The Others")</f>
        <v>The Others</v>
      </c>
      <c r="J3794" s="5" t="str">
        <f>IFERROR(__xludf.DUMMYFUNCTION("""COMPUTED_VALUE"""),"Nicole Kidman")</f>
        <v>Nicole Kidman</v>
      </c>
      <c r="K3794" s="5" t="str">
        <f>IFERROR(__xludf.DUMMYFUNCTION("""COMPUTED_VALUE"""),"Estrela 1")</f>
        <v>Estrela 1</v>
      </c>
      <c r="P3794" s="5">
        <f>IFERROR(__xludf.DUMMYFUNCTION("""COMPUTED_VALUE"""),949.0)</f>
        <v>949</v>
      </c>
      <c r="Q3794" s="5" t="str">
        <f>IFERROR(__xludf.DUMMYFUNCTION("""COMPUTED_VALUE"""),"The Others")</f>
        <v>The Others</v>
      </c>
      <c r="R3794" s="5" t="str">
        <f>IFERROR(__xludf.DUMMYFUNCTION("""COMPUTED_VALUE"""),"Nicole Kidman")</f>
        <v>Nicole Kidman</v>
      </c>
      <c r="S3794" s="5" t="str">
        <f>IFERROR(__xludf.DUMMYFUNCTION("""COMPUTED_VALUE"""),"Estrela 1")</f>
        <v>Estrela 1</v>
      </c>
    </row>
    <row r="3795">
      <c r="G3795" s="5" t="str">
        <f>IFERROR(__xludf.DUMMYFUNCTION("""COMPUTED_VALUE"""),"949🤙🏼The Others🤙🏼Christopher Eccleston🤙🏼Estrela 2")</f>
        <v>949🤙🏼The Others🤙🏼Christopher Eccleston🤙🏼Estrela 2</v>
      </c>
      <c r="H3795" s="5">
        <f>IFERROR(__xludf.DUMMYFUNCTION("SPLiT(G3795, ""🤙🏼"",FALSE,FALSE)"),949.0)</f>
        <v>949</v>
      </c>
      <c r="I3795" s="5" t="str">
        <f>IFERROR(__xludf.DUMMYFUNCTION("""COMPUTED_VALUE"""),"The Others")</f>
        <v>The Others</v>
      </c>
      <c r="J3795" s="5" t="str">
        <f>IFERROR(__xludf.DUMMYFUNCTION("""COMPUTED_VALUE"""),"Christopher Eccleston")</f>
        <v>Christopher Eccleston</v>
      </c>
      <c r="K3795" s="5" t="str">
        <f>IFERROR(__xludf.DUMMYFUNCTION("""COMPUTED_VALUE"""),"Estrela 2")</f>
        <v>Estrela 2</v>
      </c>
      <c r="P3795" s="5">
        <f>IFERROR(__xludf.DUMMYFUNCTION("""COMPUTED_VALUE"""),949.0)</f>
        <v>949</v>
      </c>
      <c r="Q3795" s="5" t="str">
        <f>IFERROR(__xludf.DUMMYFUNCTION("""COMPUTED_VALUE"""),"The Others")</f>
        <v>The Others</v>
      </c>
      <c r="R3795" s="5" t="str">
        <f>IFERROR(__xludf.DUMMYFUNCTION("""COMPUTED_VALUE"""),"Christopher Eccleston")</f>
        <v>Christopher Eccleston</v>
      </c>
      <c r="S3795" s="5" t="str">
        <f>IFERROR(__xludf.DUMMYFUNCTION("""COMPUTED_VALUE"""),"Estrela 2")</f>
        <v>Estrela 2</v>
      </c>
    </row>
    <row r="3796">
      <c r="G3796" s="5" t="str">
        <f>IFERROR(__xludf.DUMMYFUNCTION("""COMPUTED_VALUE"""),"949🤙🏼The Others🤙🏼Fionnula Flanagan🤙🏼Estrela 3")</f>
        <v>949🤙🏼The Others🤙🏼Fionnula Flanagan🤙🏼Estrela 3</v>
      </c>
      <c r="H3796" s="5">
        <f>IFERROR(__xludf.DUMMYFUNCTION("SPLiT(G3796, ""🤙🏼"",FALSE,FALSE)"),949.0)</f>
        <v>949</v>
      </c>
      <c r="I3796" s="5" t="str">
        <f>IFERROR(__xludf.DUMMYFUNCTION("""COMPUTED_VALUE"""),"The Others")</f>
        <v>The Others</v>
      </c>
      <c r="J3796" s="5" t="str">
        <f>IFERROR(__xludf.DUMMYFUNCTION("""COMPUTED_VALUE"""),"Fionnula Flanagan")</f>
        <v>Fionnula Flanagan</v>
      </c>
      <c r="K3796" s="5" t="str">
        <f>IFERROR(__xludf.DUMMYFUNCTION("""COMPUTED_VALUE"""),"Estrela 3")</f>
        <v>Estrela 3</v>
      </c>
      <c r="P3796" s="5">
        <f>IFERROR(__xludf.DUMMYFUNCTION("""COMPUTED_VALUE"""),949.0)</f>
        <v>949</v>
      </c>
      <c r="Q3796" s="5" t="str">
        <f>IFERROR(__xludf.DUMMYFUNCTION("""COMPUTED_VALUE"""),"The Others")</f>
        <v>The Others</v>
      </c>
      <c r="R3796" s="5" t="str">
        <f>IFERROR(__xludf.DUMMYFUNCTION("""COMPUTED_VALUE"""),"Fionnula Flanagan")</f>
        <v>Fionnula Flanagan</v>
      </c>
      <c r="S3796" s="5" t="str">
        <f>IFERROR(__xludf.DUMMYFUNCTION("""COMPUTED_VALUE"""),"Estrela 3")</f>
        <v>Estrela 3</v>
      </c>
    </row>
    <row r="3797">
      <c r="G3797" s="5" t="str">
        <f>IFERROR(__xludf.DUMMYFUNCTION("""COMPUTED_VALUE"""),"949🤙🏼The Others🤙🏼Alakina Mann🤙🏼Estrela 4")</f>
        <v>949🤙🏼The Others🤙🏼Alakina Mann🤙🏼Estrela 4</v>
      </c>
      <c r="H3797" s="5">
        <f>IFERROR(__xludf.DUMMYFUNCTION("SPLiT(G3797, ""🤙🏼"",FALSE,FALSE)"),949.0)</f>
        <v>949</v>
      </c>
      <c r="I3797" s="5" t="str">
        <f>IFERROR(__xludf.DUMMYFUNCTION("""COMPUTED_VALUE"""),"The Others")</f>
        <v>The Others</v>
      </c>
      <c r="J3797" s="5" t="str">
        <f>IFERROR(__xludf.DUMMYFUNCTION("""COMPUTED_VALUE"""),"Alakina Mann")</f>
        <v>Alakina Mann</v>
      </c>
      <c r="K3797" s="5" t="str">
        <f>IFERROR(__xludf.DUMMYFUNCTION("""COMPUTED_VALUE"""),"Estrela 4")</f>
        <v>Estrela 4</v>
      </c>
      <c r="P3797" s="5">
        <f>IFERROR(__xludf.DUMMYFUNCTION("""COMPUTED_VALUE"""),949.0)</f>
        <v>949</v>
      </c>
      <c r="Q3797" s="5" t="str">
        <f>IFERROR(__xludf.DUMMYFUNCTION("""COMPUTED_VALUE"""),"The Others")</f>
        <v>The Others</v>
      </c>
      <c r="R3797" s="5" t="str">
        <f>IFERROR(__xludf.DUMMYFUNCTION("""COMPUTED_VALUE"""),"Alakina Mann")</f>
        <v>Alakina Mann</v>
      </c>
      <c r="S3797" s="5" t="str">
        <f>IFERROR(__xludf.DUMMYFUNCTION("""COMPUTED_VALUE"""),"Estrela 4")</f>
        <v>Estrela 4</v>
      </c>
    </row>
    <row r="3798">
      <c r="G3798" s="5" t="str">
        <f>IFERROR(__xludf.DUMMYFUNCTION("""COMPUTED_VALUE"""),"950🤙🏼Blow🤙🏼Johnny Depp🤙🏼Estrela 1")</f>
        <v>950🤙🏼Blow🤙🏼Johnny Depp🤙🏼Estrela 1</v>
      </c>
      <c r="H3798" s="5">
        <f>IFERROR(__xludf.DUMMYFUNCTION("SPLiT(G3798, ""🤙🏼"",FALSE,FALSE)"),950.0)</f>
        <v>950</v>
      </c>
      <c r="I3798" s="5" t="str">
        <f>IFERROR(__xludf.DUMMYFUNCTION("""COMPUTED_VALUE"""),"Blow")</f>
        <v>Blow</v>
      </c>
      <c r="J3798" s="5" t="str">
        <f>IFERROR(__xludf.DUMMYFUNCTION("""COMPUTED_VALUE"""),"Johnny Depp")</f>
        <v>Johnny Depp</v>
      </c>
      <c r="K3798" s="5" t="str">
        <f>IFERROR(__xludf.DUMMYFUNCTION("""COMPUTED_VALUE"""),"Estrela 1")</f>
        <v>Estrela 1</v>
      </c>
      <c r="P3798" s="5">
        <f>IFERROR(__xludf.DUMMYFUNCTION("""COMPUTED_VALUE"""),950.0)</f>
        <v>950</v>
      </c>
      <c r="Q3798" s="5" t="str">
        <f>IFERROR(__xludf.DUMMYFUNCTION("""COMPUTED_VALUE"""),"Blow")</f>
        <v>Blow</v>
      </c>
      <c r="R3798" s="5" t="str">
        <f>IFERROR(__xludf.DUMMYFUNCTION("""COMPUTED_VALUE"""),"Johnny Depp")</f>
        <v>Johnny Depp</v>
      </c>
      <c r="S3798" s="5" t="str">
        <f>IFERROR(__xludf.DUMMYFUNCTION("""COMPUTED_VALUE"""),"Estrela 1")</f>
        <v>Estrela 1</v>
      </c>
    </row>
    <row r="3799">
      <c r="G3799" s="5" t="str">
        <f>IFERROR(__xludf.DUMMYFUNCTION("""COMPUTED_VALUE"""),"950🤙🏼Blow🤙🏼Penélope Cruz🤙🏼Estrela 2")</f>
        <v>950🤙🏼Blow🤙🏼Penélope Cruz🤙🏼Estrela 2</v>
      </c>
      <c r="H3799" s="5">
        <f>IFERROR(__xludf.DUMMYFUNCTION("SPLiT(G3799, ""🤙🏼"",FALSE,FALSE)"),950.0)</f>
        <v>950</v>
      </c>
      <c r="I3799" s="5" t="str">
        <f>IFERROR(__xludf.DUMMYFUNCTION("""COMPUTED_VALUE"""),"Blow")</f>
        <v>Blow</v>
      </c>
      <c r="J3799" s="5" t="str">
        <f>IFERROR(__xludf.DUMMYFUNCTION("""COMPUTED_VALUE"""),"Penélope Cruz")</f>
        <v>Penélope Cruz</v>
      </c>
      <c r="K3799" s="5" t="str">
        <f>IFERROR(__xludf.DUMMYFUNCTION("""COMPUTED_VALUE"""),"Estrela 2")</f>
        <v>Estrela 2</v>
      </c>
      <c r="P3799" s="5">
        <f>IFERROR(__xludf.DUMMYFUNCTION("""COMPUTED_VALUE"""),950.0)</f>
        <v>950</v>
      </c>
      <c r="Q3799" s="5" t="str">
        <f>IFERROR(__xludf.DUMMYFUNCTION("""COMPUTED_VALUE"""),"Blow")</f>
        <v>Blow</v>
      </c>
      <c r="R3799" s="5" t="str">
        <f>IFERROR(__xludf.DUMMYFUNCTION("""COMPUTED_VALUE"""),"Penélope Cruz")</f>
        <v>Penélope Cruz</v>
      </c>
      <c r="S3799" s="5" t="str">
        <f>IFERROR(__xludf.DUMMYFUNCTION("""COMPUTED_VALUE"""),"Estrela 2")</f>
        <v>Estrela 2</v>
      </c>
    </row>
    <row r="3800">
      <c r="G3800" s="5" t="str">
        <f>IFERROR(__xludf.DUMMYFUNCTION("""COMPUTED_VALUE"""),"950🤙🏼Blow🤙🏼Franka Potente🤙🏼Estrela 3")</f>
        <v>950🤙🏼Blow🤙🏼Franka Potente🤙🏼Estrela 3</v>
      </c>
      <c r="H3800" s="5">
        <f>IFERROR(__xludf.DUMMYFUNCTION("SPLiT(G3800, ""🤙🏼"",FALSE,FALSE)"),950.0)</f>
        <v>950</v>
      </c>
      <c r="I3800" s="5" t="str">
        <f>IFERROR(__xludf.DUMMYFUNCTION("""COMPUTED_VALUE"""),"Blow")</f>
        <v>Blow</v>
      </c>
      <c r="J3800" s="5" t="str">
        <f>IFERROR(__xludf.DUMMYFUNCTION("""COMPUTED_VALUE"""),"Franka Potente")</f>
        <v>Franka Potente</v>
      </c>
      <c r="K3800" s="5" t="str">
        <f>IFERROR(__xludf.DUMMYFUNCTION("""COMPUTED_VALUE"""),"Estrela 3")</f>
        <v>Estrela 3</v>
      </c>
      <c r="P3800" s="5">
        <f>IFERROR(__xludf.DUMMYFUNCTION("""COMPUTED_VALUE"""),950.0)</f>
        <v>950</v>
      </c>
      <c r="Q3800" s="5" t="str">
        <f>IFERROR(__xludf.DUMMYFUNCTION("""COMPUTED_VALUE"""),"Blow")</f>
        <v>Blow</v>
      </c>
      <c r="R3800" s="5" t="str">
        <f>IFERROR(__xludf.DUMMYFUNCTION("""COMPUTED_VALUE"""),"Franka Potente")</f>
        <v>Franka Potente</v>
      </c>
      <c r="S3800" s="5" t="str">
        <f>IFERROR(__xludf.DUMMYFUNCTION("""COMPUTED_VALUE"""),"Estrela 3")</f>
        <v>Estrela 3</v>
      </c>
    </row>
    <row r="3801">
      <c r="G3801" s="5" t="str">
        <f>IFERROR(__xludf.DUMMYFUNCTION("""COMPUTED_VALUE"""),"950🤙🏼Blow🤙🏼Rachel Griffiths🤙🏼Estrela 4")</f>
        <v>950🤙🏼Blow🤙🏼Rachel Griffiths🤙🏼Estrela 4</v>
      </c>
      <c r="H3801" s="5">
        <f>IFERROR(__xludf.DUMMYFUNCTION("SPLiT(G3801, ""🤙🏼"",FALSE,FALSE)"),950.0)</f>
        <v>950</v>
      </c>
      <c r="I3801" s="5" t="str">
        <f>IFERROR(__xludf.DUMMYFUNCTION("""COMPUTED_VALUE"""),"Blow")</f>
        <v>Blow</v>
      </c>
      <c r="J3801" s="5" t="str">
        <f>IFERROR(__xludf.DUMMYFUNCTION("""COMPUTED_VALUE"""),"Rachel Griffiths")</f>
        <v>Rachel Griffiths</v>
      </c>
      <c r="K3801" s="5" t="str">
        <f>IFERROR(__xludf.DUMMYFUNCTION("""COMPUTED_VALUE"""),"Estrela 4")</f>
        <v>Estrela 4</v>
      </c>
      <c r="P3801" s="5">
        <f>IFERROR(__xludf.DUMMYFUNCTION("""COMPUTED_VALUE"""),950.0)</f>
        <v>950</v>
      </c>
      <c r="Q3801" s="5" t="str">
        <f>IFERROR(__xludf.DUMMYFUNCTION("""COMPUTED_VALUE"""),"Blow")</f>
        <v>Blow</v>
      </c>
      <c r="R3801" s="5" t="str">
        <f>IFERROR(__xludf.DUMMYFUNCTION("""COMPUTED_VALUE"""),"Rachel Griffiths")</f>
        <v>Rachel Griffiths</v>
      </c>
      <c r="S3801" s="5" t="str">
        <f>IFERROR(__xludf.DUMMYFUNCTION("""COMPUTED_VALUE"""),"Estrela 4")</f>
        <v>Estrela 4</v>
      </c>
    </row>
    <row r="3802">
      <c r="G3802" s="5" t="str">
        <f>IFERROR(__xludf.DUMMYFUNCTION("""COMPUTED_VALUE"""),"951🤙🏼Enemy at the Gates🤙🏼Jude Law🤙🏼Estrela 1")</f>
        <v>951🤙🏼Enemy at the Gates🤙🏼Jude Law🤙🏼Estrela 1</v>
      </c>
      <c r="H3802" s="5">
        <f>IFERROR(__xludf.DUMMYFUNCTION("SPLiT(G3802, ""🤙🏼"",FALSE,FALSE)"),951.0)</f>
        <v>951</v>
      </c>
      <c r="I3802" s="5" t="str">
        <f>IFERROR(__xludf.DUMMYFUNCTION("""COMPUTED_VALUE"""),"Enemy at the Gates")</f>
        <v>Enemy at the Gates</v>
      </c>
      <c r="J3802" s="5" t="str">
        <f>IFERROR(__xludf.DUMMYFUNCTION("""COMPUTED_VALUE"""),"Jude Law")</f>
        <v>Jude Law</v>
      </c>
      <c r="K3802" s="5" t="str">
        <f>IFERROR(__xludf.DUMMYFUNCTION("""COMPUTED_VALUE"""),"Estrela 1")</f>
        <v>Estrela 1</v>
      </c>
      <c r="P3802" s="5">
        <f>IFERROR(__xludf.DUMMYFUNCTION("""COMPUTED_VALUE"""),951.0)</f>
        <v>951</v>
      </c>
      <c r="Q3802" s="5" t="str">
        <f>IFERROR(__xludf.DUMMYFUNCTION("""COMPUTED_VALUE"""),"Enemy at the Gates")</f>
        <v>Enemy at the Gates</v>
      </c>
      <c r="R3802" s="5" t="str">
        <f>IFERROR(__xludf.DUMMYFUNCTION("""COMPUTED_VALUE"""),"Jude Law")</f>
        <v>Jude Law</v>
      </c>
      <c r="S3802" s="5" t="str">
        <f>IFERROR(__xludf.DUMMYFUNCTION("""COMPUTED_VALUE"""),"Estrela 1")</f>
        <v>Estrela 1</v>
      </c>
    </row>
    <row r="3803">
      <c r="G3803" s="5" t="str">
        <f>IFERROR(__xludf.DUMMYFUNCTION("""COMPUTED_VALUE"""),"951🤙🏼Enemy at the Gates🤙🏼Ed Harris🤙🏼Estrela 2")</f>
        <v>951🤙🏼Enemy at the Gates🤙🏼Ed Harris🤙🏼Estrela 2</v>
      </c>
      <c r="H3803" s="5">
        <f>IFERROR(__xludf.DUMMYFUNCTION("SPLiT(G3803, ""🤙🏼"",FALSE,FALSE)"),951.0)</f>
        <v>951</v>
      </c>
      <c r="I3803" s="5" t="str">
        <f>IFERROR(__xludf.DUMMYFUNCTION("""COMPUTED_VALUE"""),"Enemy at the Gates")</f>
        <v>Enemy at the Gates</v>
      </c>
      <c r="J3803" s="5" t="str">
        <f>IFERROR(__xludf.DUMMYFUNCTION("""COMPUTED_VALUE"""),"Ed Harris")</f>
        <v>Ed Harris</v>
      </c>
      <c r="K3803" s="5" t="str">
        <f>IFERROR(__xludf.DUMMYFUNCTION("""COMPUTED_VALUE"""),"Estrela 2")</f>
        <v>Estrela 2</v>
      </c>
      <c r="P3803" s="5">
        <f>IFERROR(__xludf.DUMMYFUNCTION("""COMPUTED_VALUE"""),951.0)</f>
        <v>951</v>
      </c>
      <c r="Q3803" s="5" t="str">
        <f>IFERROR(__xludf.DUMMYFUNCTION("""COMPUTED_VALUE"""),"Enemy at the Gates")</f>
        <v>Enemy at the Gates</v>
      </c>
      <c r="R3803" s="5" t="str">
        <f>IFERROR(__xludf.DUMMYFUNCTION("""COMPUTED_VALUE"""),"Ed Harris")</f>
        <v>Ed Harris</v>
      </c>
      <c r="S3803" s="5" t="str">
        <f>IFERROR(__xludf.DUMMYFUNCTION("""COMPUTED_VALUE"""),"Estrela 2")</f>
        <v>Estrela 2</v>
      </c>
    </row>
    <row r="3804">
      <c r="G3804" s="5" t="str">
        <f>IFERROR(__xludf.DUMMYFUNCTION("""COMPUTED_VALUE"""),"951🤙🏼Enemy at the Gates🤙🏼Joseph Fiennes🤙🏼Estrela 3")</f>
        <v>951🤙🏼Enemy at the Gates🤙🏼Joseph Fiennes🤙🏼Estrela 3</v>
      </c>
      <c r="H3804" s="5">
        <f>IFERROR(__xludf.DUMMYFUNCTION("SPLiT(G3804, ""🤙🏼"",FALSE,FALSE)"),951.0)</f>
        <v>951</v>
      </c>
      <c r="I3804" s="5" t="str">
        <f>IFERROR(__xludf.DUMMYFUNCTION("""COMPUTED_VALUE"""),"Enemy at the Gates")</f>
        <v>Enemy at the Gates</v>
      </c>
      <c r="J3804" s="5" t="str">
        <f>IFERROR(__xludf.DUMMYFUNCTION("""COMPUTED_VALUE"""),"Joseph Fiennes")</f>
        <v>Joseph Fiennes</v>
      </c>
      <c r="K3804" s="5" t="str">
        <f>IFERROR(__xludf.DUMMYFUNCTION("""COMPUTED_VALUE"""),"Estrela 3")</f>
        <v>Estrela 3</v>
      </c>
      <c r="P3804" s="5">
        <f>IFERROR(__xludf.DUMMYFUNCTION("""COMPUTED_VALUE"""),951.0)</f>
        <v>951</v>
      </c>
      <c r="Q3804" s="5" t="str">
        <f>IFERROR(__xludf.DUMMYFUNCTION("""COMPUTED_VALUE"""),"Enemy at the Gates")</f>
        <v>Enemy at the Gates</v>
      </c>
      <c r="R3804" s="5" t="str">
        <f>IFERROR(__xludf.DUMMYFUNCTION("""COMPUTED_VALUE"""),"Joseph Fiennes")</f>
        <v>Joseph Fiennes</v>
      </c>
      <c r="S3804" s="5" t="str">
        <f>IFERROR(__xludf.DUMMYFUNCTION("""COMPUTED_VALUE"""),"Estrela 3")</f>
        <v>Estrela 3</v>
      </c>
    </row>
    <row r="3805">
      <c r="G3805" s="5" t="str">
        <f>IFERROR(__xludf.DUMMYFUNCTION("""COMPUTED_VALUE"""),"951🤙🏼Enemy at the Gates🤙🏼Rachel Weisz🤙🏼Estrela 4")</f>
        <v>951🤙🏼Enemy at the Gates🤙🏼Rachel Weisz🤙🏼Estrela 4</v>
      </c>
      <c r="H3805" s="5">
        <f>IFERROR(__xludf.DUMMYFUNCTION("SPLiT(G3805, ""🤙🏼"",FALSE,FALSE)"),951.0)</f>
        <v>951</v>
      </c>
      <c r="I3805" s="5" t="str">
        <f>IFERROR(__xludf.DUMMYFUNCTION("""COMPUTED_VALUE"""),"Enemy at the Gates")</f>
        <v>Enemy at the Gates</v>
      </c>
      <c r="J3805" s="5" t="str">
        <f>IFERROR(__xludf.DUMMYFUNCTION("""COMPUTED_VALUE"""),"Rachel Weisz")</f>
        <v>Rachel Weisz</v>
      </c>
      <c r="K3805" s="5" t="str">
        <f>IFERROR(__xludf.DUMMYFUNCTION("""COMPUTED_VALUE"""),"Estrela 4")</f>
        <v>Estrela 4</v>
      </c>
      <c r="P3805" s="5">
        <f>IFERROR(__xludf.DUMMYFUNCTION("""COMPUTED_VALUE"""),951.0)</f>
        <v>951</v>
      </c>
      <c r="Q3805" s="5" t="str">
        <f>IFERROR(__xludf.DUMMYFUNCTION("""COMPUTED_VALUE"""),"Enemy at the Gates")</f>
        <v>Enemy at the Gates</v>
      </c>
      <c r="R3805" s="5" t="str">
        <f>IFERROR(__xludf.DUMMYFUNCTION("""COMPUTED_VALUE"""),"Rachel Weisz")</f>
        <v>Rachel Weisz</v>
      </c>
      <c r="S3805" s="5" t="str">
        <f>IFERROR(__xludf.DUMMYFUNCTION("""COMPUTED_VALUE"""),"Estrela 4")</f>
        <v>Estrela 4</v>
      </c>
    </row>
    <row r="3806">
      <c r="G3806" s="5" t="str">
        <f>IFERROR(__xludf.DUMMYFUNCTION("""COMPUTED_VALUE"""),"952🤙🏼Minority Report🤙🏼Tom Cruise🤙🏼Estrela 1")</f>
        <v>952🤙🏼Minority Report🤙🏼Tom Cruise🤙🏼Estrela 1</v>
      </c>
      <c r="H3806" s="5">
        <f>IFERROR(__xludf.DUMMYFUNCTION("SPLiT(G3806, ""🤙🏼"",FALSE,FALSE)"),952.0)</f>
        <v>952</v>
      </c>
      <c r="I3806" s="5" t="str">
        <f>IFERROR(__xludf.DUMMYFUNCTION("""COMPUTED_VALUE"""),"Minority Report")</f>
        <v>Minority Report</v>
      </c>
      <c r="J3806" s="5" t="str">
        <f>IFERROR(__xludf.DUMMYFUNCTION("""COMPUTED_VALUE"""),"Tom Cruise")</f>
        <v>Tom Cruise</v>
      </c>
      <c r="K3806" s="5" t="str">
        <f>IFERROR(__xludf.DUMMYFUNCTION("""COMPUTED_VALUE"""),"Estrela 1")</f>
        <v>Estrela 1</v>
      </c>
      <c r="P3806" s="5">
        <f>IFERROR(__xludf.DUMMYFUNCTION("""COMPUTED_VALUE"""),952.0)</f>
        <v>952</v>
      </c>
      <c r="Q3806" s="5" t="str">
        <f>IFERROR(__xludf.DUMMYFUNCTION("""COMPUTED_VALUE"""),"Minority Report")</f>
        <v>Minority Report</v>
      </c>
      <c r="R3806" s="5" t="str">
        <f>IFERROR(__xludf.DUMMYFUNCTION("""COMPUTED_VALUE"""),"Tom Cruise")</f>
        <v>Tom Cruise</v>
      </c>
      <c r="S3806" s="5" t="str">
        <f>IFERROR(__xludf.DUMMYFUNCTION("""COMPUTED_VALUE"""),"Estrela 1")</f>
        <v>Estrela 1</v>
      </c>
    </row>
    <row r="3807">
      <c r="G3807" s="5" t="str">
        <f>IFERROR(__xludf.DUMMYFUNCTION("""COMPUTED_VALUE"""),"952🤙🏼Minority Report🤙🏼Colin Farrell🤙🏼Estrela 2")</f>
        <v>952🤙🏼Minority Report🤙🏼Colin Farrell🤙🏼Estrela 2</v>
      </c>
      <c r="H3807" s="5">
        <f>IFERROR(__xludf.DUMMYFUNCTION("SPLiT(G3807, ""🤙🏼"",FALSE,FALSE)"),952.0)</f>
        <v>952</v>
      </c>
      <c r="I3807" s="5" t="str">
        <f>IFERROR(__xludf.DUMMYFUNCTION("""COMPUTED_VALUE"""),"Minority Report")</f>
        <v>Minority Report</v>
      </c>
      <c r="J3807" s="5" t="str">
        <f>IFERROR(__xludf.DUMMYFUNCTION("""COMPUTED_VALUE"""),"Colin Farrell")</f>
        <v>Colin Farrell</v>
      </c>
      <c r="K3807" s="5" t="str">
        <f>IFERROR(__xludf.DUMMYFUNCTION("""COMPUTED_VALUE"""),"Estrela 2")</f>
        <v>Estrela 2</v>
      </c>
      <c r="P3807" s="5">
        <f>IFERROR(__xludf.DUMMYFUNCTION("""COMPUTED_VALUE"""),952.0)</f>
        <v>952</v>
      </c>
      <c r="Q3807" s="5" t="str">
        <f>IFERROR(__xludf.DUMMYFUNCTION("""COMPUTED_VALUE"""),"Minority Report")</f>
        <v>Minority Report</v>
      </c>
      <c r="R3807" s="5" t="str">
        <f>IFERROR(__xludf.DUMMYFUNCTION("""COMPUTED_VALUE"""),"Colin Farrell")</f>
        <v>Colin Farrell</v>
      </c>
      <c r="S3807" s="5" t="str">
        <f>IFERROR(__xludf.DUMMYFUNCTION("""COMPUTED_VALUE"""),"Estrela 2")</f>
        <v>Estrela 2</v>
      </c>
    </row>
    <row r="3808">
      <c r="G3808" s="5" t="str">
        <f>IFERROR(__xludf.DUMMYFUNCTION("""COMPUTED_VALUE"""),"952🤙🏼Minority Report🤙🏼Samantha Morton🤙🏼Estrela 3")</f>
        <v>952🤙🏼Minority Report🤙🏼Samantha Morton🤙🏼Estrela 3</v>
      </c>
      <c r="H3808" s="5">
        <f>IFERROR(__xludf.DUMMYFUNCTION("SPLiT(G3808, ""🤙🏼"",FALSE,FALSE)"),952.0)</f>
        <v>952</v>
      </c>
      <c r="I3808" s="5" t="str">
        <f>IFERROR(__xludf.DUMMYFUNCTION("""COMPUTED_VALUE"""),"Minority Report")</f>
        <v>Minority Report</v>
      </c>
      <c r="J3808" s="5" t="str">
        <f>IFERROR(__xludf.DUMMYFUNCTION("""COMPUTED_VALUE"""),"Samantha Morton")</f>
        <v>Samantha Morton</v>
      </c>
      <c r="K3808" s="5" t="str">
        <f>IFERROR(__xludf.DUMMYFUNCTION("""COMPUTED_VALUE"""),"Estrela 3")</f>
        <v>Estrela 3</v>
      </c>
      <c r="P3808" s="5">
        <f>IFERROR(__xludf.DUMMYFUNCTION("""COMPUTED_VALUE"""),952.0)</f>
        <v>952</v>
      </c>
      <c r="Q3808" s="5" t="str">
        <f>IFERROR(__xludf.DUMMYFUNCTION("""COMPUTED_VALUE"""),"Minority Report")</f>
        <v>Minority Report</v>
      </c>
      <c r="R3808" s="5" t="str">
        <f>IFERROR(__xludf.DUMMYFUNCTION("""COMPUTED_VALUE"""),"Samantha Morton")</f>
        <v>Samantha Morton</v>
      </c>
      <c r="S3808" s="5" t="str">
        <f>IFERROR(__xludf.DUMMYFUNCTION("""COMPUTED_VALUE"""),"Estrela 3")</f>
        <v>Estrela 3</v>
      </c>
    </row>
    <row r="3809">
      <c r="G3809" s="5" t="str">
        <f>IFERROR(__xludf.DUMMYFUNCTION("""COMPUTED_VALUE"""),"952🤙🏼Minority Report🤙🏼Max von Sydow🤙🏼Estrela 4")</f>
        <v>952🤙🏼Minority Report🤙🏼Max von Sydow🤙🏼Estrela 4</v>
      </c>
      <c r="H3809" s="5">
        <f>IFERROR(__xludf.DUMMYFUNCTION("SPLiT(G3809, ""🤙🏼"",FALSE,FALSE)"),952.0)</f>
        <v>952</v>
      </c>
      <c r="I3809" s="5" t="str">
        <f>IFERROR(__xludf.DUMMYFUNCTION("""COMPUTED_VALUE"""),"Minority Report")</f>
        <v>Minority Report</v>
      </c>
      <c r="J3809" s="5" t="str">
        <f>IFERROR(__xludf.DUMMYFUNCTION("""COMPUTED_VALUE"""),"Max von Sydow")</f>
        <v>Max von Sydow</v>
      </c>
      <c r="K3809" s="5" t="str">
        <f>IFERROR(__xludf.DUMMYFUNCTION("""COMPUTED_VALUE"""),"Estrela 4")</f>
        <v>Estrela 4</v>
      </c>
      <c r="P3809" s="5">
        <f>IFERROR(__xludf.DUMMYFUNCTION("""COMPUTED_VALUE"""),952.0)</f>
        <v>952</v>
      </c>
      <c r="Q3809" s="5" t="str">
        <f>IFERROR(__xludf.DUMMYFUNCTION("""COMPUTED_VALUE"""),"Minority Report")</f>
        <v>Minority Report</v>
      </c>
      <c r="R3809" s="5" t="str">
        <f>IFERROR(__xludf.DUMMYFUNCTION("""COMPUTED_VALUE"""),"Max von Sydow")</f>
        <v>Max von Sydow</v>
      </c>
      <c r="S3809" s="5" t="str">
        <f>IFERROR(__xludf.DUMMYFUNCTION("""COMPUTED_VALUE"""),"Estrela 4")</f>
        <v>Estrela 4</v>
      </c>
    </row>
    <row r="3810">
      <c r="G3810" s="5" t="str">
        <f>IFERROR(__xludf.DUMMYFUNCTION("""COMPUTED_VALUE"""),"953🤙🏼The Hurricane🤙🏼Denzel Washington🤙🏼Estrela 1")</f>
        <v>953🤙🏼The Hurricane🤙🏼Denzel Washington🤙🏼Estrela 1</v>
      </c>
      <c r="H3810" s="5">
        <f>IFERROR(__xludf.DUMMYFUNCTION("SPLiT(G3810, ""🤙🏼"",FALSE,FALSE)"),953.0)</f>
        <v>953</v>
      </c>
      <c r="I3810" s="5" t="str">
        <f>IFERROR(__xludf.DUMMYFUNCTION("""COMPUTED_VALUE"""),"The Hurricane")</f>
        <v>The Hurricane</v>
      </c>
      <c r="J3810" s="5" t="str">
        <f>IFERROR(__xludf.DUMMYFUNCTION("""COMPUTED_VALUE"""),"Denzel Washington")</f>
        <v>Denzel Washington</v>
      </c>
      <c r="K3810" s="5" t="str">
        <f>IFERROR(__xludf.DUMMYFUNCTION("""COMPUTED_VALUE"""),"Estrela 1")</f>
        <v>Estrela 1</v>
      </c>
      <c r="P3810" s="5">
        <f>IFERROR(__xludf.DUMMYFUNCTION("""COMPUTED_VALUE"""),953.0)</f>
        <v>953</v>
      </c>
      <c r="Q3810" s="5" t="str">
        <f>IFERROR(__xludf.DUMMYFUNCTION("""COMPUTED_VALUE"""),"The Hurricane")</f>
        <v>The Hurricane</v>
      </c>
      <c r="R3810" s="5" t="str">
        <f>IFERROR(__xludf.DUMMYFUNCTION("""COMPUTED_VALUE"""),"Denzel Washington")</f>
        <v>Denzel Washington</v>
      </c>
      <c r="S3810" s="5" t="str">
        <f>IFERROR(__xludf.DUMMYFUNCTION("""COMPUTED_VALUE"""),"Estrela 1")</f>
        <v>Estrela 1</v>
      </c>
    </row>
    <row r="3811">
      <c r="G3811" s="5" t="str">
        <f>IFERROR(__xludf.DUMMYFUNCTION("""COMPUTED_VALUE"""),"953🤙🏼The Hurricane🤙🏼Vicellous Shannon🤙🏼Estrela 2")</f>
        <v>953🤙🏼The Hurricane🤙🏼Vicellous Shannon🤙🏼Estrela 2</v>
      </c>
      <c r="H3811" s="5">
        <f>IFERROR(__xludf.DUMMYFUNCTION("SPLiT(G3811, ""🤙🏼"",FALSE,FALSE)"),953.0)</f>
        <v>953</v>
      </c>
      <c r="I3811" s="5" t="str">
        <f>IFERROR(__xludf.DUMMYFUNCTION("""COMPUTED_VALUE"""),"The Hurricane")</f>
        <v>The Hurricane</v>
      </c>
      <c r="J3811" s="5" t="str">
        <f>IFERROR(__xludf.DUMMYFUNCTION("""COMPUTED_VALUE"""),"Vicellous Shannon")</f>
        <v>Vicellous Shannon</v>
      </c>
      <c r="K3811" s="5" t="str">
        <f>IFERROR(__xludf.DUMMYFUNCTION("""COMPUTED_VALUE"""),"Estrela 2")</f>
        <v>Estrela 2</v>
      </c>
      <c r="P3811" s="5">
        <f>IFERROR(__xludf.DUMMYFUNCTION("""COMPUTED_VALUE"""),953.0)</f>
        <v>953</v>
      </c>
      <c r="Q3811" s="5" t="str">
        <f>IFERROR(__xludf.DUMMYFUNCTION("""COMPUTED_VALUE"""),"The Hurricane")</f>
        <v>The Hurricane</v>
      </c>
      <c r="R3811" s="5" t="str">
        <f>IFERROR(__xludf.DUMMYFUNCTION("""COMPUTED_VALUE"""),"Vicellous Shannon")</f>
        <v>Vicellous Shannon</v>
      </c>
      <c r="S3811" s="5" t="str">
        <f>IFERROR(__xludf.DUMMYFUNCTION("""COMPUTED_VALUE"""),"Estrela 2")</f>
        <v>Estrela 2</v>
      </c>
    </row>
    <row r="3812">
      <c r="G3812" s="5" t="str">
        <f>IFERROR(__xludf.DUMMYFUNCTION("""COMPUTED_VALUE"""),"953🤙🏼The Hurricane🤙🏼Deborah Kara Unger🤙🏼Estrela 3")</f>
        <v>953🤙🏼The Hurricane🤙🏼Deborah Kara Unger🤙🏼Estrela 3</v>
      </c>
      <c r="H3812" s="5">
        <f>IFERROR(__xludf.DUMMYFUNCTION("SPLiT(G3812, ""🤙🏼"",FALSE,FALSE)"),953.0)</f>
        <v>953</v>
      </c>
      <c r="I3812" s="5" t="str">
        <f>IFERROR(__xludf.DUMMYFUNCTION("""COMPUTED_VALUE"""),"The Hurricane")</f>
        <v>The Hurricane</v>
      </c>
      <c r="J3812" s="5" t="str">
        <f>IFERROR(__xludf.DUMMYFUNCTION("""COMPUTED_VALUE"""),"Deborah Kara Unger")</f>
        <v>Deborah Kara Unger</v>
      </c>
      <c r="K3812" s="5" t="str">
        <f>IFERROR(__xludf.DUMMYFUNCTION("""COMPUTED_VALUE"""),"Estrela 3")</f>
        <v>Estrela 3</v>
      </c>
      <c r="P3812" s="5">
        <f>IFERROR(__xludf.DUMMYFUNCTION("""COMPUTED_VALUE"""),953.0)</f>
        <v>953</v>
      </c>
      <c r="Q3812" s="5" t="str">
        <f>IFERROR(__xludf.DUMMYFUNCTION("""COMPUTED_VALUE"""),"The Hurricane")</f>
        <v>The Hurricane</v>
      </c>
      <c r="R3812" s="5" t="str">
        <f>IFERROR(__xludf.DUMMYFUNCTION("""COMPUTED_VALUE"""),"Deborah Kara Unger")</f>
        <v>Deborah Kara Unger</v>
      </c>
      <c r="S3812" s="5" t="str">
        <f>IFERROR(__xludf.DUMMYFUNCTION("""COMPUTED_VALUE"""),"Estrela 3")</f>
        <v>Estrela 3</v>
      </c>
    </row>
    <row r="3813">
      <c r="G3813" s="5" t="str">
        <f>IFERROR(__xludf.DUMMYFUNCTION("""COMPUTED_VALUE"""),"953🤙🏼The Hurricane🤙🏼Liev Schreiber🤙🏼Estrela 4")</f>
        <v>953🤙🏼The Hurricane🤙🏼Liev Schreiber🤙🏼Estrela 4</v>
      </c>
      <c r="H3813" s="5">
        <f>IFERROR(__xludf.DUMMYFUNCTION("SPLiT(G3813, ""🤙🏼"",FALSE,FALSE)"),953.0)</f>
        <v>953</v>
      </c>
      <c r="I3813" s="5" t="str">
        <f>IFERROR(__xludf.DUMMYFUNCTION("""COMPUTED_VALUE"""),"The Hurricane")</f>
        <v>The Hurricane</v>
      </c>
      <c r="J3813" s="5" t="str">
        <f>IFERROR(__xludf.DUMMYFUNCTION("""COMPUTED_VALUE"""),"Liev Schreiber")</f>
        <v>Liev Schreiber</v>
      </c>
      <c r="K3813" s="5" t="str">
        <f>IFERROR(__xludf.DUMMYFUNCTION("""COMPUTED_VALUE"""),"Estrela 4")</f>
        <v>Estrela 4</v>
      </c>
      <c r="P3813" s="5">
        <f>IFERROR(__xludf.DUMMYFUNCTION("""COMPUTED_VALUE"""),953.0)</f>
        <v>953</v>
      </c>
      <c r="Q3813" s="5" t="str">
        <f>IFERROR(__xludf.DUMMYFUNCTION("""COMPUTED_VALUE"""),"The Hurricane")</f>
        <v>The Hurricane</v>
      </c>
      <c r="R3813" s="5" t="str">
        <f>IFERROR(__xludf.DUMMYFUNCTION("""COMPUTED_VALUE"""),"Liev Schreiber")</f>
        <v>Liev Schreiber</v>
      </c>
      <c r="S3813" s="5" t="str">
        <f>IFERROR(__xludf.DUMMYFUNCTION("""COMPUTED_VALUE"""),"Estrela 4")</f>
        <v>Estrela 4</v>
      </c>
    </row>
    <row r="3814">
      <c r="G3814" s="5" t="str">
        <f>IFERROR(__xludf.DUMMYFUNCTION("""COMPUTED_VALUE"""),"954🤙🏼American Psycho🤙🏼Christian Bale🤙🏼Estrela 1")</f>
        <v>954🤙🏼American Psycho🤙🏼Christian Bale🤙🏼Estrela 1</v>
      </c>
      <c r="H3814" s="5">
        <f>IFERROR(__xludf.DUMMYFUNCTION("SPLiT(G3814, ""🤙🏼"",FALSE,FALSE)"),954.0)</f>
        <v>954</v>
      </c>
      <c r="I3814" s="5" t="str">
        <f>IFERROR(__xludf.DUMMYFUNCTION("""COMPUTED_VALUE"""),"American Psycho")</f>
        <v>American Psycho</v>
      </c>
      <c r="J3814" s="5" t="str">
        <f>IFERROR(__xludf.DUMMYFUNCTION("""COMPUTED_VALUE"""),"Christian Bale")</f>
        <v>Christian Bale</v>
      </c>
      <c r="K3814" s="5" t="str">
        <f>IFERROR(__xludf.DUMMYFUNCTION("""COMPUTED_VALUE"""),"Estrela 1")</f>
        <v>Estrela 1</v>
      </c>
      <c r="P3814" s="5">
        <f>IFERROR(__xludf.DUMMYFUNCTION("""COMPUTED_VALUE"""),954.0)</f>
        <v>954</v>
      </c>
      <c r="Q3814" s="5" t="str">
        <f>IFERROR(__xludf.DUMMYFUNCTION("""COMPUTED_VALUE"""),"American Psycho")</f>
        <v>American Psycho</v>
      </c>
      <c r="R3814" s="5" t="str">
        <f>IFERROR(__xludf.DUMMYFUNCTION("""COMPUTED_VALUE"""),"Christian Bale")</f>
        <v>Christian Bale</v>
      </c>
      <c r="S3814" s="5" t="str">
        <f>IFERROR(__xludf.DUMMYFUNCTION("""COMPUTED_VALUE"""),"Estrela 1")</f>
        <v>Estrela 1</v>
      </c>
    </row>
    <row r="3815">
      <c r="G3815" s="5" t="str">
        <f>IFERROR(__xludf.DUMMYFUNCTION("""COMPUTED_VALUE"""),"954🤙🏼American Psycho🤙🏼Justin Theroux🤙🏼Estrela 2")</f>
        <v>954🤙🏼American Psycho🤙🏼Justin Theroux🤙🏼Estrela 2</v>
      </c>
      <c r="H3815" s="5">
        <f>IFERROR(__xludf.DUMMYFUNCTION("SPLiT(G3815, ""🤙🏼"",FALSE,FALSE)"),954.0)</f>
        <v>954</v>
      </c>
      <c r="I3815" s="5" t="str">
        <f>IFERROR(__xludf.DUMMYFUNCTION("""COMPUTED_VALUE"""),"American Psycho")</f>
        <v>American Psycho</v>
      </c>
      <c r="J3815" s="5" t="str">
        <f>IFERROR(__xludf.DUMMYFUNCTION("""COMPUTED_VALUE"""),"Justin Theroux")</f>
        <v>Justin Theroux</v>
      </c>
      <c r="K3815" s="5" t="str">
        <f>IFERROR(__xludf.DUMMYFUNCTION("""COMPUTED_VALUE"""),"Estrela 2")</f>
        <v>Estrela 2</v>
      </c>
      <c r="P3815" s="5">
        <f>IFERROR(__xludf.DUMMYFUNCTION("""COMPUTED_VALUE"""),954.0)</f>
        <v>954</v>
      </c>
      <c r="Q3815" s="5" t="str">
        <f>IFERROR(__xludf.DUMMYFUNCTION("""COMPUTED_VALUE"""),"American Psycho")</f>
        <v>American Psycho</v>
      </c>
      <c r="R3815" s="5" t="str">
        <f>IFERROR(__xludf.DUMMYFUNCTION("""COMPUTED_VALUE"""),"Justin Theroux")</f>
        <v>Justin Theroux</v>
      </c>
      <c r="S3815" s="5" t="str">
        <f>IFERROR(__xludf.DUMMYFUNCTION("""COMPUTED_VALUE"""),"Estrela 2")</f>
        <v>Estrela 2</v>
      </c>
    </row>
    <row r="3816">
      <c r="G3816" s="5" t="str">
        <f>IFERROR(__xludf.DUMMYFUNCTION("""COMPUTED_VALUE"""),"954🤙🏼American Psycho🤙🏼Josh Lucas🤙🏼Estrela 3")</f>
        <v>954🤙🏼American Psycho🤙🏼Josh Lucas🤙🏼Estrela 3</v>
      </c>
      <c r="H3816" s="5">
        <f>IFERROR(__xludf.DUMMYFUNCTION("SPLiT(G3816, ""🤙🏼"",FALSE,FALSE)"),954.0)</f>
        <v>954</v>
      </c>
      <c r="I3816" s="5" t="str">
        <f>IFERROR(__xludf.DUMMYFUNCTION("""COMPUTED_VALUE"""),"American Psycho")</f>
        <v>American Psycho</v>
      </c>
      <c r="J3816" s="5" t="str">
        <f>IFERROR(__xludf.DUMMYFUNCTION("""COMPUTED_VALUE"""),"Josh Lucas")</f>
        <v>Josh Lucas</v>
      </c>
      <c r="K3816" s="5" t="str">
        <f>IFERROR(__xludf.DUMMYFUNCTION("""COMPUTED_VALUE"""),"Estrela 3")</f>
        <v>Estrela 3</v>
      </c>
      <c r="P3816" s="5">
        <f>IFERROR(__xludf.DUMMYFUNCTION("""COMPUTED_VALUE"""),954.0)</f>
        <v>954</v>
      </c>
      <c r="Q3816" s="5" t="str">
        <f>IFERROR(__xludf.DUMMYFUNCTION("""COMPUTED_VALUE"""),"American Psycho")</f>
        <v>American Psycho</v>
      </c>
      <c r="R3816" s="5" t="str">
        <f>IFERROR(__xludf.DUMMYFUNCTION("""COMPUTED_VALUE"""),"Josh Lucas")</f>
        <v>Josh Lucas</v>
      </c>
      <c r="S3816" s="5" t="str">
        <f>IFERROR(__xludf.DUMMYFUNCTION("""COMPUTED_VALUE"""),"Estrela 3")</f>
        <v>Estrela 3</v>
      </c>
    </row>
    <row r="3817">
      <c r="G3817" s="5" t="str">
        <f>IFERROR(__xludf.DUMMYFUNCTION("""COMPUTED_VALUE"""),"954🤙🏼American Psycho🤙🏼Bill Sage🤙🏼Estrela 4")</f>
        <v>954🤙🏼American Psycho🤙🏼Bill Sage🤙🏼Estrela 4</v>
      </c>
      <c r="H3817" s="5">
        <f>IFERROR(__xludf.DUMMYFUNCTION("SPLiT(G3817, ""🤙🏼"",FALSE,FALSE)"),954.0)</f>
        <v>954</v>
      </c>
      <c r="I3817" s="5" t="str">
        <f>IFERROR(__xludf.DUMMYFUNCTION("""COMPUTED_VALUE"""),"American Psycho")</f>
        <v>American Psycho</v>
      </c>
      <c r="J3817" s="5" t="str">
        <f>IFERROR(__xludf.DUMMYFUNCTION("""COMPUTED_VALUE"""),"Bill Sage")</f>
        <v>Bill Sage</v>
      </c>
      <c r="K3817" s="5" t="str">
        <f>IFERROR(__xludf.DUMMYFUNCTION("""COMPUTED_VALUE"""),"Estrela 4")</f>
        <v>Estrela 4</v>
      </c>
      <c r="P3817" s="5">
        <f>IFERROR(__xludf.DUMMYFUNCTION("""COMPUTED_VALUE"""),954.0)</f>
        <v>954</v>
      </c>
      <c r="Q3817" s="5" t="str">
        <f>IFERROR(__xludf.DUMMYFUNCTION("""COMPUTED_VALUE"""),"American Psycho")</f>
        <v>American Psycho</v>
      </c>
      <c r="R3817" s="5" t="str">
        <f>IFERROR(__xludf.DUMMYFUNCTION("""COMPUTED_VALUE"""),"Bill Sage")</f>
        <v>Bill Sage</v>
      </c>
      <c r="S3817" s="5" t="str">
        <f>IFERROR(__xludf.DUMMYFUNCTION("""COMPUTED_VALUE"""),"Estrela 4")</f>
        <v>Estrela 4</v>
      </c>
    </row>
    <row r="3818">
      <c r="G3818" s="5" t="str">
        <f>IFERROR(__xludf.DUMMYFUNCTION("""COMPUTED_VALUE"""),"955🤙🏼Lola rennt🤙🏼Franka Potente🤙🏼Estrela 1")</f>
        <v>955🤙🏼Lola rennt🤙🏼Franka Potente🤙🏼Estrela 1</v>
      </c>
      <c r="H3818" s="5">
        <f>IFERROR(__xludf.DUMMYFUNCTION("SPLiT(G3818, ""🤙🏼"",FALSE,FALSE)"),955.0)</f>
        <v>955</v>
      </c>
      <c r="I3818" s="5" t="str">
        <f>IFERROR(__xludf.DUMMYFUNCTION("""COMPUTED_VALUE"""),"Lola rennt")</f>
        <v>Lola rennt</v>
      </c>
      <c r="J3818" s="5" t="str">
        <f>IFERROR(__xludf.DUMMYFUNCTION("""COMPUTED_VALUE"""),"Franka Potente")</f>
        <v>Franka Potente</v>
      </c>
      <c r="K3818" s="5" t="str">
        <f>IFERROR(__xludf.DUMMYFUNCTION("""COMPUTED_VALUE"""),"Estrela 1")</f>
        <v>Estrela 1</v>
      </c>
      <c r="P3818" s="5">
        <f>IFERROR(__xludf.DUMMYFUNCTION("""COMPUTED_VALUE"""),955.0)</f>
        <v>955</v>
      </c>
      <c r="Q3818" s="5" t="str">
        <f>IFERROR(__xludf.DUMMYFUNCTION("""COMPUTED_VALUE"""),"Lola rennt")</f>
        <v>Lola rennt</v>
      </c>
      <c r="R3818" s="5" t="str">
        <f>IFERROR(__xludf.DUMMYFUNCTION("""COMPUTED_VALUE"""),"Franka Potente")</f>
        <v>Franka Potente</v>
      </c>
      <c r="S3818" s="5" t="str">
        <f>IFERROR(__xludf.DUMMYFUNCTION("""COMPUTED_VALUE"""),"Estrela 1")</f>
        <v>Estrela 1</v>
      </c>
    </row>
    <row r="3819">
      <c r="G3819" s="5" t="str">
        <f>IFERROR(__xludf.DUMMYFUNCTION("""COMPUTED_VALUE"""),"955🤙🏼Lola rennt🤙🏼Moritz Bleibtreu🤙🏼Estrela 2")</f>
        <v>955🤙🏼Lola rennt🤙🏼Moritz Bleibtreu🤙🏼Estrela 2</v>
      </c>
      <c r="H3819" s="5">
        <f>IFERROR(__xludf.DUMMYFUNCTION("SPLiT(G3819, ""🤙🏼"",FALSE,FALSE)"),955.0)</f>
        <v>955</v>
      </c>
      <c r="I3819" s="5" t="str">
        <f>IFERROR(__xludf.DUMMYFUNCTION("""COMPUTED_VALUE"""),"Lola rennt")</f>
        <v>Lola rennt</v>
      </c>
      <c r="J3819" s="5" t="str">
        <f>IFERROR(__xludf.DUMMYFUNCTION("""COMPUTED_VALUE"""),"Moritz Bleibtreu")</f>
        <v>Moritz Bleibtreu</v>
      </c>
      <c r="K3819" s="5" t="str">
        <f>IFERROR(__xludf.DUMMYFUNCTION("""COMPUTED_VALUE"""),"Estrela 2")</f>
        <v>Estrela 2</v>
      </c>
      <c r="P3819" s="5">
        <f>IFERROR(__xludf.DUMMYFUNCTION("""COMPUTED_VALUE"""),955.0)</f>
        <v>955</v>
      </c>
      <c r="Q3819" s="5" t="str">
        <f>IFERROR(__xludf.DUMMYFUNCTION("""COMPUTED_VALUE"""),"Lola rennt")</f>
        <v>Lola rennt</v>
      </c>
      <c r="R3819" s="5" t="str">
        <f>IFERROR(__xludf.DUMMYFUNCTION("""COMPUTED_VALUE"""),"Moritz Bleibtreu")</f>
        <v>Moritz Bleibtreu</v>
      </c>
      <c r="S3819" s="5" t="str">
        <f>IFERROR(__xludf.DUMMYFUNCTION("""COMPUTED_VALUE"""),"Estrela 2")</f>
        <v>Estrela 2</v>
      </c>
    </row>
    <row r="3820">
      <c r="G3820" s="5" t="str">
        <f>IFERROR(__xludf.DUMMYFUNCTION("""COMPUTED_VALUE"""),"955🤙🏼Lola rennt🤙🏼Herbert Knaup🤙🏼Estrela 3")</f>
        <v>955🤙🏼Lola rennt🤙🏼Herbert Knaup🤙🏼Estrela 3</v>
      </c>
      <c r="H3820" s="5">
        <f>IFERROR(__xludf.DUMMYFUNCTION("SPLiT(G3820, ""🤙🏼"",FALSE,FALSE)"),955.0)</f>
        <v>955</v>
      </c>
      <c r="I3820" s="5" t="str">
        <f>IFERROR(__xludf.DUMMYFUNCTION("""COMPUTED_VALUE"""),"Lola rennt")</f>
        <v>Lola rennt</v>
      </c>
      <c r="J3820" s="5" t="str">
        <f>IFERROR(__xludf.DUMMYFUNCTION("""COMPUTED_VALUE"""),"Herbert Knaup")</f>
        <v>Herbert Knaup</v>
      </c>
      <c r="K3820" s="5" t="str">
        <f>IFERROR(__xludf.DUMMYFUNCTION("""COMPUTED_VALUE"""),"Estrela 3")</f>
        <v>Estrela 3</v>
      </c>
      <c r="P3820" s="5">
        <f>IFERROR(__xludf.DUMMYFUNCTION("""COMPUTED_VALUE"""),955.0)</f>
        <v>955</v>
      </c>
      <c r="Q3820" s="5" t="str">
        <f>IFERROR(__xludf.DUMMYFUNCTION("""COMPUTED_VALUE"""),"Lola rennt")</f>
        <v>Lola rennt</v>
      </c>
      <c r="R3820" s="5" t="str">
        <f>IFERROR(__xludf.DUMMYFUNCTION("""COMPUTED_VALUE"""),"Herbert Knaup")</f>
        <v>Herbert Knaup</v>
      </c>
      <c r="S3820" s="5" t="str">
        <f>IFERROR(__xludf.DUMMYFUNCTION("""COMPUTED_VALUE"""),"Estrela 3")</f>
        <v>Estrela 3</v>
      </c>
    </row>
    <row r="3821">
      <c r="G3821" s="5" t="str">
        <f>IFERROR(__xludf.DUMMYFUNCTION("""COMPUTED_VALUE"""),"955🤙🏼Lola rennt🤙🏼Nina Petri🤙🏼Estrela 4")</f>
        <v>955🤙🏼Lola rennt🤙🏼Nina Petri🤙🏼Estrela 4</v>
      </c>
      <c r="H3821" s="5">
        <f>IFERROR(__xludf.DUMMYFUNCTION("SPLiT(G3821, ""🤙🏼"",FALSE,FALSE)"),955.0)</f>
        <v>955</v>
      </c>
      <c r="I3821" s="5" t="str">
        <f>IFERROR(__xludf.DUMMYFUNCTION("""COMPUTED_VALUE"""),"Lola rennt")</f>
        <v>Lola rennt</v>
      </c>
      <c r="J3821" s="5" t="str">
        <f>IFERROR(__xludf.DUMMYFUNCTION("""COMPUTED_VALUE"""),"Nina Petri")</f>
        <v>Nina Petri</v>
      </c>
      <c r="K3821" s="5" t="str">
        <f>IFERROR(__xludf.DUMMYFUNCTION("""COMPUTED_VALUE"""),"Estrela 4")</f>
        <v>Estrela 4</v>
      </c>
      <c r="P3821" s="5">
        <f>IFERROR(__xludf.DUMMYFUNCTION("""COMPUTED_VALUE"""),955.0)</f>
        <v>955</v>
      </c>
      <c r="Q3821" s="5" t="str">
        <f>IFERROR(__xludf.DUMMYFUNCTION("""COMPUTED_VALUE"""),"Lola rennt")</f>
        <v>Lola rennt</v>
      </c>
      <c r="R3821" s="5" t="str">
        <f>IFERROR(__xludf.DUMMYFUNCTION("""COMPUTED_VALUE"""),"Nina Petri")</f>
        <v>Nina Petri</v>
      </c>
      <c r="S3821" s="5" t="str">
        <f>IFERROR(__xludf.DUMMYFUNCTION("""COMPUTED_VALUE"""),"Estrela 4")</f>
        <v>Estrela 4</v>
      </c>
    </row>
    <row r="3822">
      <c r="G3822" s="5" t="str">
        <f>IFERROR(__xludf.DUMMYFUNCTION("""COMPUTED_VALUE"""),"956🤙🏼The Thin Red Line🤙🏼Jim Caviezel🤙🏼Estrela 1")</f>
        <v>956🤙🏼The Thin Red Line🤙🏼Jim Caviezel🤙🏼Estrela 1</v>
      </c>
      <c r="H3822" s="5">
        <f>IFERROR(__xludf.DUMMYFUNCTION("SPLiT(G3822, ""🤙🏼"",FALSE,FALSE)"),956.0)</f>
        <v>956</v>
      </c>
      <c r="I3822" s="5" t="str">
        <f>IFERROR(__xludf.DUMMYFUNCTION("""COMPUTED_VALUE"""),"The Thin Red Line")</f>
        <v>The Thin Red Line</v>
      </c>
      <c r="J3822" s="5" t="str">
        <f>IFERROR(__xludf.DUMMYFUNCTION("""COMPUTED_VALUE"""),"Jim Caviezel")</f>
        <v>Jim Caviezel</v>
      </c>
      <c r="K3822" s="5" t="str">
        <f>IFERROR(__xludf.DUMMYFUNCTION("""COMPUTED_VALUE"""),"Estrela 1")</f>
        <v>Estrela 1</v>
      </c>
      <c r="P3822" s="5">
        <f>IFERROR(__xludf.DUMMYFUNCTION("""COMPUTED_VALUE"""),956.0)</f>
        <v>956</v>
      </c>
      <c r="Q3822" s="5" t="str">
        <f>IFERROR(__xludf.DUMMYFUNCTION("""COMPUTED_VALUE"""),"The Thin Red Line")</f>
        <v>The Thin Red Line</v>
      </c>
      <c r="R3822" s="5" t="str">
        <f>IFERROR(__xludf.DUMMYFUNCTION("""COMPUTED_VALUE"""),"Jim Caviezel")</f>
        <v>Jim Caviezel</v>
      </c>
      <c r="S3822" s="5" t="str">
        <f>IFERROR(__xludf.DUMMYFUNCTION("""COMPUTED_VALUE"""),"Estrela 1")</f>
        <v>Estrela 1</v>
      </c>
    </row>
    <row r="3823">
      <c r="G3823" s="5" t="str">
        <f>IFERROR(__xludf.DUMMYFUNCTION("""COMPUTED_VALUE"""),"956🤙🏼The Thin Red Line🤙🏼Sean Penn🤙🏼Estrela 2")</f>
        <v>956🤙🏼The Thin Red Line🤙🏼Sean Penn🤙🏼Estrela 2</v>
      </c>
      <c r="H3823" s="5">
        <f>IFERROR(__xludf.DUMMYFUNCTION("SPLiT(G3823, ""🤙🏼"",FALSE,FALSE)"),956.0)</f>
        <v>956</v>
      </c>
      <c r="I3823" s="5" t="str">
        <f>IFERROR(__xludf.DUMMYFUNCTION("""COMPUTED_VALUE"""),"The Thin Red Line")</f>
        <v>The Thin Red Line</v>
      </c>
      <c r="J3823" s="5" t="str">
        <f>IFERROR(__xludf.DUMMYFUNCTION("""COMPUTED_VALUE"""),"Sean Penn")</f>
        <v>Sean Penn</v>
      </c>
      <c r="K3823" s="5" t="str">
        <f>IFERROR(__xludf.DUMMYFUNCTION("""COMPUTED_VALUE"""),"Estrela 2")</f>
        <v>Estrela 2</v>
      </c>
      <c r="P3823" s="5">
        <f>IFERROR(__xludf.DUMMYFUNCTION("""COMPUTED_VALUE"""),956.0)</f>
        <v>956</v>
      </c>
      <c r="Q3823" s="5" t="str">
        <f>IFERROR(__xludf.DUMMYFUNCTION("""COMPUTED_VALUE"""),"The Thin Red Line")</f>
        <v>The Thin Red Line</v>
      </c>
      <c r="R3823" s="5" t="str">
        <f>IFERROR(__xludf.DUMMYFUNCTION("""COMPUTED_VALUE"""),"Sean Penn")</f>
        <v>Sean Penn</v>
      </c>
      <c r="S3823" s="5" t="str">
        <f>IFERROR(__xludf.DUMMYFUNCTION("""COMPUTED_VALUE"""),"Estrela 2")</f>
        <v>Estrela 2</v>
      </c>
    </row>
    <row r="3824">
      <c r="G3824" s="5" t="str">
        <f>IFERROR(__xludf.DUMMYFUNCTION("""COMPUTED_VALUE"""),"956🤙🏼The Thin Red Line🤙🏼Nick Nolte🤙🏼Estrela 3")</f>
        <v>956🤙🏼The Thin Red Line🤙🏼Nick Nolte🤙🏼Estrela 3</v>
      </c>
      <c r="H3824" s="5">
        <f>IFERROR(__xludf.DUMMYFUNCTION("SPLiT(G3824, ""🤙🏼"",FALSE,FALSE)"),956.0)</f>
        <v>956</v>
      </c>
      <c r="I3824" s="5" t="str">
        <f>IFERROR(__xludf.DUMMYFUNCTION("""COMPUTED_VALUE"""),"The Thin Red Line")</f>
        <v>The Thin Red Line</v>
      </c>
      <c r="J3824" s="5" t="str">
        <f>IFERROR(__xludf.DUMMYFUNCTION("""COMPUTED_VALUE"""),"Nick Nolte")</f>
        <v>Nick Nolte</v>
      </c>
      <c r="K3824" s="5" t="str">
        <f>IFERROR(__xludf.DUMMYFUNCTION("""COMPUTED_VALUE"""),"Estrela 3")</f>
        <v>Estrela 3</v>
      </c>
      <c r="P3824" s="5">
        <f>IFERROR(__xludf.DUMMYFUNCTION("""COMPUTED_VALUE"""),956.0)</f>
        <v>956</v>
      </c>
      <c r="Q3824" s="5" t="str">
        <f>IFERROR(__xludf.DUMMYFUNCTION("""COMPUTED_VALUE"""),"The Thin Red Line")</f>
        <v>The Thin Red Line</v>
      </c>
      <c r="R3824" s="5" t="str">
        <f>IFERROR(__xludf.DUMMYFUNCTION("""COMPUTED_VALUE"""),"Nick Nolte")</f>
        <v>Nick Nolte</v>
      </c>
      <c r="S3824" s="5" t="str">
        <f>IFERROR(__xludf.DUMMYFUNCTION("""COMPUTED_VALUE"""),"Estrela 3")</f>
        <v>Estrela 3</v>
      </c>
    </row>
    <row r="3825">
      <c r="G3825" s="5" t="str">
        <f>IFERROR(__xludf.DUMMYFUNCTION("""COMPUTED_VALUE"""),"956🤙🏼The Thin Red Line🤙🏼Kirk Acevedo🤙🏼Estrela 4")</f>
        <v>956🤙🏼The Thin Red Line🤙🏼Kirk Acevedo🤙🏼Estrela 4</v>
      </c>
      <c r="H3825" s="5">
        <f>IFERROR(__xludf.DUMMYFUNCTION("SPLiT(G3825, ""🤙🏼"",FALSE,FALSE)"),956.0)</f>
        <v>956</v>
      </c>
      <c r="I3825" s="5" t="str">
        <f>IFERROR(__xludf.DUMMYFUNCTION("""COMPUTED_VALUE"""),"The Thin Red Line")</f>
        <v>The Thin Red Line</v>
      </c>
      <c r="J3825" s="5" t="str">
        <f>IFERROR(__xludf.DUMMYFUNCTION("""COMPUTED_VALUE"""),"Kirk Acevedo")</f>
        <v>Kirk Acevedo</v>
      </c>
      <c r="K3825" s="5" t="str">
        <f>IFERROR(__xludf.DUMMYFUNCTION("""COMPUTED_VALUE"""),"Estrela 4")</f>
        <v>Estrela 4</v>
      </c>
      <c r="P3825" s="5">
        <f>IFERROR(__xludf.DUMMYFUNCTION("""COMPUTED_VALUE"""),956.0)</f>
        <v>956</v>
      </c>
      <c r="Q3825" s="5" t="str">
        <f>IFERROR(__xludf.DUMMYFUNCTION("""COMPUTED_VALUE"""),"The Thin Red Line")</f>
        <v>The Thin Red Line</v>
      </c>
      <c r="R3825" s="5" t="str">
        <f>IFERROR(__xludf.DUMMYFUNCTION("""COMPUTED_VALUE"""),"Kirk Acevedo")</f>
        <v>Kirk Acevedo</v>
      </c>
      <c r="S3825" s="5" t="str">
        <f>IFERROR(__xludf.DUMMYFUNCTION("""COMPUTED_VALUE"""),"Estrela 4")</f>
        <v>Estrela 4</v>
      </c>
    </row>
    <row r="3826">
      <c r="G3826" s="5" t="str">
        <f>IFERROR(__xludf.DUMMYFUNCTION("""COMPUTED_VALUE"""),"957🤙🏼Mulan🤙🏼Barry Cook🤙🏼Estrela 1")</f>
        <v>957🤙🏼Mulan🤙🏼Barry Cook🤙🏼Estrela 1</v>
      </c>
      <c r="H3826" s="5">
        <f>IFERROR(__xludf.DUMMYFUNCTION("SPLiT(G3826, ""🤙🏼"",FALSE,FALSE)"),957.0)</f>
        <v>957</v>
      </c>
      <c r="I3826" s="5" t="str">
        <f>IFERROR(__xludf.DUMMYFUNCTION("""COMPUTED_VALUE"""),"Mulan")</f>
        <v>Mulan</v>
      </c>
      <c r="J3826" s="5" t="str">
        <f>IFERROR(__xludf.DUMMYFUNCTION("""COMPUTED_VALUE"""),"Barry Cook")</f>
        <v>Barry Cook</v>
      </c>
      <c r="K3826" s="5" t="str">
        <f>IFERROR(__xludf.DUMMYFUNCTION("""COMPUTED_VALUE"""),"Estrela 1")</f>
        <v>Estrela 1</v>
      </c>
      <c r="P3826" s="5">
        <f>IFERROR(__xludf.DUMMYFUNCTION("""COMPUTED_VALUE"""),957.0)</f>
        <v>957</v>
      </c>
      <c r="Q3826" s="5" t="str">
        <f>IFERROR(__xludf.DUMMYFUNCTION("""COMPUTED_VALUE"""),"Mulan")</f>
        <v>Mulan</v>
      </c>
      <c r="R3826" s="5" t="str">
        <f>IFERROR(__xludf.DUMMYFUNCTION("""COMPUTED_VALUE"""),"Barry Cook")</f>
        <v>Barry Cook</v>
      </c>
      <c r="S3826" s="5" t="str">
        <f>IFERROR(__xludf.DUMMYFUNCTION("""COMPUTED_VALUE"""),"Estrela 1")</f>
        <v>Estrela 1</v>
      </c>
    </row>
    <row r="3827">
      <c r="G3827" s="5" t="str">
        <f>IFERROR(__xludf.DUMMYFUNCTION("""COMPUTED_VALUE"""),"957🤙🏼Mulan🤙🏼Ming-Na Wen🤙🏼Estrela 2")</f>
        <v>957🤙🏼Mulan🤙🏼Ming-Na Wen🤙🏼Estrela 2</v>
      </c>
      <c r="H3827" s="5">
        <f>IFERROR(__xludf.DUMMYFUNCTION("SPLiT(G3827, ""🤙🏼"",FALSE,FALSE)"),957.0)</f>
        <v>957</v>
      </c>
      <c r="I3827" s="5" t="str">
        <f>IFERROR(__xludf.DUMMYFUNCTION("""COMPUTED_VALUE"""),"Mulan")</f>
        <v>Mulan</v>
      </c>
      <c r="J3827" s="5" t="str">
        <f>IFERROR(__xludf.DUMMYFUNCTION("""COMPUTED_VALUE"""),"Ming-Na Wen")</f>
        <v>Ming-Na Wen</v>
      </c>
      <c r="K3827" s="5" t="str">
        <f>IFERROR(__xludf.DUMMYFUNCTION("""COMPUTED_VALUE"""),"Estrela 2")</f>
        <v>Estrela 2</v>
      </c>
      <c r="P3827" s="5">
        <f>IFERROR(__xludf.DUMMYFUNCTION("""COMPUTED_VALUE"""),957.0)</f>
        <v>957</v>
      </c>
      <c r="Q3827" s="5" t="str">
        <f>IFERROR(__xludf.DUMMYFUNCTION("""COMPUTED_VALUE"""),"Mulan")</f>
        <v>Mulan</v>
      </c>
      <c r="R3827" s="5" t="str">
        <f>IFERROR(__xludf.DUMMYFUNCTION("""COMPUTED_VALUE"""),"Ming-Na Wen")</f>
        <v>Ming-Na Wen</v>
      </c>
      <c r="S3827" s="5" t="str">
        <f>IFERROR(__xludf.DUMMYFUNCTION("""COMPUTED_VALUE"""),"Estrela 2")</f>
        <v>Estrela 2</v>
      </c>
    </row>
    <row r="3828">
      <c r="G3828" s="5" t="str">
        <f>IFERROR(__xludf.DUMMYFUNCTION("""COMPUTED_VALUE"""),"957🤙🏼Mulan🤙🏼Eddie Murphy🤙🏼Estrela 3")</f>
        <v>957🤙🏼Mulan🤙🏼Eddie Murphy🤙🏼Estrela 3</v>
      </c>
      <c r="H3828" s="5">
        <f>IFERROR(__xludf.DUMMYFUNCTION("SPLiT(G3828, ""🤙🏼"",FALSE,FALSE)"),957.0)</f>
        <v>957</v>
      </c>
      <c r="I3828" s="5" t="str">
        <f>IFERROR(__xludf.DUMMYFUNCTION("""COMPUTED_VALUE"""),"Mulan")</f>
        <v>Mulan</v>
      </c>
      <c r="J3828" s="5" t="str">
        <f>IFERROR(__xludf.DUMMYFUNCTION("""COMPUTED_VALUE"""),"Eddie Murphy")</f>
        <v>Eddie Murphy</v>
      </c>
      <c r="K3828" s="5" t="str">
        <f>IFERROR(__xludf.DUMMYFUNCTION("""COMPUTED_VALUE"""),"Estrela 3")</f>
        <v>Estrela 3</v>
      </c>
      <c r="P3828" s="5">
        <f>IFERROR(__xludf.DUMMYFUNCTION("""COMPUTED_VALUE"""),957.0)</f>
        <v>957</v>
      </c>
      <c r="Q3828" s="5" t="str">
        <f>IFERROR(__xludf.DUMMYFUNCTION("""COMPUTED_VALUE"""),"Mulan")</f>
        <v>Mulan</v>
      </c>
      <c r="R3828" s="5" t="str">
        <f>IFERROR(__xludf.DUMMYFUNCTION("""COMPUTED_VALUE"""),"Eddie Murphy")</f>
        <v>Eddie Murphy</v>
      </c>
      <c r="S3828" s="5" t="str">
        <f>IFERROR(__xludf.DUMMYFUNCTION("""COMPUTED_VALUE"""),"Estrela 3")</f>
        <v>Estrela 3</v>
      </c>
    </row>
    <row r="3829">
      <c r="G3829" s="5" t="str">
        <f>IFERROR(__xludf.DUMMYFUNCTION("""COMPUTED_VALUE"""),"957🤙🏼Mulan🤙🏼BD Wong🤙🏼Estrela 4")</f>
        <v>957🤙🏼Mulan🤙🏼BD Wong🤙🏼Estrela 4</v>
      </c>
      <c r="H3829" s="5">
        <f>IFERROR(__xludf.DUMMYFUNCTION("SPLiT(G3829, ""🤙🏼"",FALSE,FALSE)"),957.0)</f>
        <v>957</v>
      </c>
      <c r="I3829" s="5" t="str">
        <f>IFERROR(__xludf.DUMMYFUNCTION("""COMPUTED_VALUE"""),"Mulan")</f>
        <v>Mulan</v>
      </c>
      <c r="J3829" s="5" t="str">
        <f>IFERROR(__xludf.DUMMYFUNCTION("""COMPUTED_VALUE"""),"BD Wong")</f>
        <v>BD Wong</v>
      </c>
      <c r="K3829" s="5" t="str">
        <f>IFERROR(__xludf.DUMMYFUNCTION("""COMPUTED_VALUE"""),"Estrela 4")</f>
        <v>Estrela 4</v>
      </c>
      <c r="P3829" s="5">
        <f>IFERROR(__xludf.DUMMYFUNCTION("""COMPUTED_VALUE"""),957.0)</f>
        <v>957</v>
      </c>
      <c r="Q3829" s="5" t="str">
        <f>IFERROR(__xludf.DUMMYFUNCTION("""COMPUTED_VALUE"""),"Mulan")</f>
        <v>Mulan</v>
      </c>
      <c r="R3829" s="5" t="str">
        <f>IFERROR(__xludf.DUMMYFUNCTION("""COMPUTED_VALUE"""),"BD Wong")</f>
        <v>BD Wong</v>
      </c>
      <c r="S3829" s="5" t="str">
        <f>IFERROR(__xludf.DUMMYFUNCTION("""COMPUTED_VALUE"""),"Estrela 4")</f>
        <v>Estrela 4</v>
      </c>
    </row>
    <row r="3830">
      <c r="G3830" s="5" t="str">
        <f>IFERROR(__xludf.DUMMYFUNCTION("""COMPUTED_VALUE"""),"958🤙🏼Fear and Loathing in Las Vegas🤙🏼Johnny Depp🤙🏼Estrela 1")</f>
        <v>958🤙🏼Fear and Loathing in Las Vegas🤙🏼Johnny Depp🤙🏼Estrela 1</v>
      </c>
      <c r="H3830" s="5">
        <f>IFERROR(__xludf.DUMMYFUNCTION("SPLiT(G3830, ""🤙🏼"",FALSE,FALSE)"),958.0)</f>
        <v>958</v>
      </c>
      <c r="I3830" s="5" t="str">
        <f>IFERROR(__xludf.DUMMYFUNCTION("""COMPUTED_VALUE"""),"Fear and Loathing in Las Vegas")</f>
        <v>Fear and Loathing in Las Vegas</v>
      </c>
      <c r="J3830" s="5" t="str">
        <f>IFERROR(__xludf.DUMMYFUNCTION("""COMPUTED_VALUE"""),"Johnny Depp")</f>
        <v>Johnny Depp</v>
      </c>
      <c r="K3830" s="5" t="str">
        <f>IFERROR(__xludf.DUMMYFUNCTION("""COMPUTED_VALUE"""),"Estrela 1")</f>
        <v>Estrela 1</v>
      </c>
      <c r="P3830" s="5">
        <f>IFERROR(__xludf.DUMMYFUNCTION("""COMPUTED_VALUE"""),958.0)</f>
        <v>958</v>
      </c>
      <c r="Q3830" s="5" t="str">
        <f>IFERROR(__xludf.DUMMYFUNCTION("""COMPUTED_VALUE"""),"Fear and Loathing in Las Vegas")</f>
        <v>Fear and Loathing in Las Vegas</v>
      </c>
      <c r="R3830" s="5" t="str">
        <f>IFERROR(__xludf.DUMMYFUNCTION("""COMPUTED_VALUE"""),"Johnny Depp")</f>
        <v>Johnny Depp</v>
      </c>
      <c r="S3830" s="5" t="str">
        <f>IFERROR(__xludf.DUMMYFUNCTION("""COMPUTED_VALUE"""),"Estrela 1")</f>
        <v>Estrela 1</v>
      </c>
    </row>
    <row r="3831">
      <c r="G3831" s="5" t="str">
        <f>IFERROR(__xludf.DUMMYFUNCTION("""COMPUTED_VALUE"""),"958🤙🏼Fear and Loathing in Las Vegas🤙🏼Benicio Del Toro🤙🏼Estrela 2")</f>
        <v>958🤙🏼Fear and Loathing in Las Vegas🤙🏼Benicio Del Toro🤙🏼Estrela 2</v>
      </c>
      <c r="H3831" s="5">
        <f>IFERROR(__xludf.DUMMYFUNCTION("SPLiT(G3831, ""🤙🏼"",FALSE,FALSE)"),958.0)</f>
        <v>958</v>
      </c>
      <c r="I3831" s="5" t="str">
        <f>IFERROR(__xludf.DUMMYFUNCTION("""COMPUTED_VALUE"""),"Fear and Loathing in Las Vegas")</f>
        <v>Fear and Loathing in Las Vegas</v>
      </c>
      <c r="J3831" s="5" t="str">
        <f>IFERROR(__xludf.DUMMYFUNCTION("""COMPUTED_VALUE"""),"Benicio Del Toro")</f>
        <v>Benicio Del Toro</v>
      </c>
      <c r="K3831" s="5" t="str">
        <f>IFERROR(__xludf.DUMMYFUNCTION("""COMPUTED_VALUE"""),"Estrela 2")</f>
        <v>Estrela 2</v>
      </c>
      <c r="P3831" s="5">
        <f>IFERROR(__xludf.DUMMYFUNCTION("""COMPUTED_VALUE"""),958.0)</f>
        <v>958</v>
      </c>
      <c r="Q3831" s="5" t="str">
        <f>IFERROR(__xludf.DUMMYFUNCTION("""COMPUTED_VALUE"""),"Fear and Loathing in Las Vegas")</f>
        <v>Fear and Loathing in Las Vegas</v>
      </c>
      <c r="R3831" s="5" t="str">
        <f>IFERROR(__xludf.DUMMYFUNCTION("""COMPUTED_VALUE"""),"Benicio Del Toro")</f>
        <v>Benicio Del Toro</v>
      </c>
      <c r="S3831" s="5" t="str">
        <f>IFERROR(__xludf.DUMMYFUNCTION("""COMPUTED_VALUE"""),"Estrela 2")</f>
        <v>Estrela 2</v>
      </c>
    </row>
    <row r="3832">
      <c r="G3832" s="5" t="str">
        <f>IFERROR(__xludf.DUMMYFUNCTION("""COMPUTED_VALUE"""),"958🤙🏼Fear and Loathing in Las Vegas🤙🏼Tobey Maguire🤙🏼Estrela 3")</f>
        <v>958🤙🏼Fear and Loathing in Las Vegas🤙🏼Tobey Maguire🤙🏼Estrela 3</v>
      </c>
      <c r="H3832" s="5">
        <f>IFERROR(__xludf.DUMMYFUNCTION("SPLiT(G3832, ""🤙🏼"",FALSE,FALSE)"),958.0)</f>
        <v>958</v>
      </c>
      <c r="I3832" s="5" t="str">
        <f>IFERROR(__xludf.DUMMYFUNCTION("""COMPUTED_VALUE"""),"Fear and Loathing in Las Vegas")</f>
        <v>Fear and Loathing in Las Vegas</v>
      </c>
      <c r="J3832" s="5" t="str">
        <f>IFERROR(__xludf.DUMMYFUNCTION("""COMPUTED_VALUE"""),"Tobey Maguire")</f>
        <v>Tobey Maguire</v>
      </c>
      <c r="K3832" s="5" t="str">
        <f>IFERROR(__xludf.DUMMYFUNCTION("""COMPUTED_VALUE"""),"Estrela 3")</f>
        <v>Estrela 3</v>
      </c>
      <c r="P3832" s="5">
        <f>IFERROR(__xludf.DUMMYFUNCTION("""COMPUTED_VALUE"""),958.0)</f>
        <v>958</v>
      </c>
      <c r="Q3832" s="5" t="str">
        <f>IFERROR(__xludf.DUMMYFUNCTION("""COMPUTED_VALUE"""),"Fear and Loathing in Las Vegas")</f>
        <v>Fear and Loathing in Las Vegas</v>
      </c>
      <c r="R3832" s="5" t="str">
        <f>IFERROR(__xludf.DUMMYFUNCTION("""COMPUTED_VALUE"""),"Tobey Maguire")</f>
        <v>Tobey Maguire</v>
      </c>
      <c r="S3832" s="5" t="str">
        <f>IFERROR(__xludf.DUMMYFUNCTION("""COMPUTED_VALUE"""),"Estrela 3")</f>
        <v>Estrela 3</v>
      </c>
    </row>
    <row r="3833">
      <c r="G3833" s="5" t="str">
        <f>IFERROR(__xludf.DUMMYFUNCTION("""COMPUTED_VALUE"""),"958🤙🏼Fear and Loathing in Las Vegas🤙🏼Michael Lee Gogin🤙🏼Estrela 4")</f>
        <v>958🤙🏼Fear and Loathing in Las Vegas🤙🏼Michael Lee Gogin🤙🏼Estrela 4</v>
      </c>
      <c r="H3833" s="5">
        <f>IFERROR(__xludf.DUMMYFUNCTION("SPLiT(G3833, ""🤙🏼"",FALSE,FALSE)"),958.0)</f>
        <v>958</v>
      </c>
      <c r="I3833" s="5" t="str">
        <f>IFERROR(__xludf.DUMMYFUNCTION("""COMPUTED_VALUE"""),"Fear and Loathing in Las Vegas")</f>
        <v>Fear and Loathing in Las Vegas</v>
      </c>
      <c r="J3833" s="5" t="str">
        <f>IFERROR(__xludf.DUMMYFUNCTION("""COMPUTED_VALUE"""),"Michael Lee Gogin")</f>
        <v>Michael Lee Gogin</v>
      </c>
      <c r="K3833" s="5" t="str">
        <f>IFERROR(__xludf.DUMMYFUNCTION("""COMPUTED_VALUE"""),"Estrela 4")</f>
        <v>Estrela 4</v>
      </c>
      <c r="P3833" s="5">
        <f>IFERROR(__xludf.DUMMYFUNCTION("""COMPUTED_VALUE"""),958.0)</f>
        <v>958</v>
      </c>
      <c r="Q3833" s="5" t="str">
        <f>IFERROR(__xludf.DUMMYFUNCTION("""COMPUTED_VALUE"""),"Fear and Loathing in Las Vegas")</f>
        <v>Fear and Loathing in Las Vegas</v>
      </c>
      <c r="R3833" s="5" t="str">
        <f>IFERROR(__xludf.DUMMYFUNCTION("""COMPUTED_VALUE"""),"Michael Lee Gogin")</f>
        <v>Michael Lee Gogin</v>
      </c>
      <c r="S3833" s="5" t="str">
        <f>IFERROR(__xludf.DUMMYFUNCTION("""COMPUTED_VALUE"""),"Estrela 4")</f>
        <v>Estrela 4</v>
      </c>
    </row>
    <row r="3834">
      <c r="G3834" s="5" t="str">
        <f>IFERROR(__xludf.DUMMYFUNCTION("""COMPUTED_VALUE"""),"959🤙🏼Funny Games🤙🏼Susanne Lothar🤙🏼Estrela 1")</f>
        <v>959🤙🏼Funny Games🤙🏼Susanne Lothar🤙🏼Estrela 1</v>
      </c>
      <c r="H3834" s="5">
        <f>IFERROR(__xludf.DUMMYFUNCTION("SPLiT(G3834, ""🤙🏼"",FALSE,FALSE)"),959.0)</f>
        <v>959</v>
      </c>
      <c r="I3834" s="5" t="str">
        <f>IFERROR(__xludf.DUMMYFUNCTION("""COMPUTED_VALUE"""),"Funny Games")</f>
        <v>Funny Games</v>
      </c>
      <c r="J3834" s="5" t="str">
        <f>IFERROR(__xludf.DUMMYFUNCTION("""COMPUTED_VALUE"""),"Susanne Lothar")</f>
        <v>Susanne Lothar</v>
      </c>
      <c r="K3834" s="5" t="str">
        <f>IFERROR(__xludf.DUMMYFUNCTION("""COMPUTED_VALUE"""),"Estrela 1")</f>
        <v>Estrela 1</v>
      </c>
      <c r="P3834" s="5">
        <f>IFERROR(__xludf.DUMMYFUNCTION("""COMPUTED_VALUE"""),959.0)</f>
        <v>959</v>
      </c>
      <c r="Q3834" s="5" t="str">
        <f>IFERROR(__xludf.DUMMYFUNCTION("""COMPUTED_VALUE"""),"Funny Games")</f>
        <v>Funny Games</v>
      </c>
      <c r="R3834" s="5" t="str">
        <f>IFERROR(__xludf.DUMMYFUNCTION("""COMPUTED_VALUE"""),"Susanne Lothar")</f>
        <v>Susanne Lothar</v>
      </c>
      <c r="S3834" s="5" t="str">
        <f>IFERROR(__xludf.DUMMYFUNCTION("""COMPUTED_VALUE"""),"Estrela 1")</f>
        <v>Estrela 1</v>
      </c>
    </row>
    <row r="3835">
      <c r="G3835" s="5" t="str">
        <f>IFERROR(__xludf.DUMMYFUNCTION("""COMPUTED_VALUE"""),"959🤙🏼Funny Games🤙🏼Ulrich Mühe🤙🏼Estrela 2")</f>
        <v>959🤙🏼Funny Games🤙🏼Ulrich Mühe🤙🏼Estrela 2</v>
      </c>
      <c r="H3835" s="5">
        <f>IFERROR(__xludf.DUMMYFUNCTION("SPLiT(G3835, ""🤙🏼"",FALSE,FALSE)"),959.0)</f>
        <v>959</v>
      </c>
      <c r="I3835" s="5" t="str">
        <f>IFERROR(__xludf.DUMMYFUNCTION("""COMPUTED_VALUE"""),"Funny Games")</f>
        <v>Funny Games</v>
      </c>
      <c r="J3835" s="5" t="str">
        <f>IFERROR(__xludf.DUMMYFUNCTION("""COMPUTED_VALUE"""),"Ulrich Mühe")</f>
        <v>Ulrich Mühe</v>
      </c>
      <c r="K3835" s="5" t="str">
        <f>IFERROR(__xludf.DUMMYFUNCTION("""COMPUTED_VALUE"""),"Estrela 2")</f>
        <v>Estrela 2</v>
      </c>
      <c r="P3835" s="5">
        <f>IFERROR(__xludf.DUMMYFUNCTION("""COMPUTED_VALUE"""),959.0)</f>
        <v>959</v>
      </c>
      <c r="Q3835" s="5" t="str">
        <f>IFERROR(__xludf.DUMMYFUNCTION("""COMPUTED_VALUE"""),"Funny Games")</f>
        <v>Funny Games</v>
      </c>
      <c r="R3835" s="5" t="str">
        <f>IFERROR(__xludf.DUMMYFUNCTION("""COMPUTED_VALUE"""),"Ulrich Mühe")</f>
        <v>Ulrich Mühe</v>
      </c>
      <c r="S3835" s="5" t="str">
        <f>IFERROR(__xludf.DUMMYFUNCTION("""COMPUTED_VALUE"""),"Estrela 2")</f>
        <v>Estrela 2</v>
      </c>
    </row>
    <row r="3836">
      <c r="G3836" s="5" t="str">
        <f>IFERROR(__xludf.DUMMYFUNCTION("""COMPUTED_VALUE"""),"959🤙🏼Funny Games🤙🏼Arno Frisch🤙🏼Estrela 3")</f>
        <v>959🤙🏼Funny Games🤙🏼Arno Frisch🤙🏼Estrela 3</v>
      </c>
      <c r="H3836" s="5">
        <f>IFERROR(__xludf.DUMMYFUNCTION("SPLiT(G3836, ""🤙🏼"",FALSE,FALSE)"),959.0)</f>
        <v>959</v>
      </c>
      <c r="I3836" s="5" t="str">
        <f>IFERROR(__xludf.DUMMYFUNCTION("""COMPUTED_VALUE"""),"Funny Games")</f>
        <v>Funny Games</v>
      </c>
      <c r="J3836" s="5" t="str">
        <f>IFERROR(__xludf.DUMMYFUNCTION("""COMPUTED_VALUE"""),"Arno Frisch")</f>
        <v>Arno Frisch</v>
      </c>
      <c r="K3836" s="5" t="str">
        <f>IFERROR(__xludf.DUMMYFUNCTION("""COMPUTED_VALUE"""),"Estrela 3")</f>
        <v>Estrela 3</v>
      </c>
      <c r="P3836" s="5">
        <f>IFERROR(__xludf.DUMMYFUNCTION("""COMPUTED_VALUE"""),959.0)</f>
        <v>959</v>
      </c>
      <c r="Q3836" s="5" t="str">
        <f>IFERROR(__xludf.DUMMYFUNCTION("""COMPUTED_VALUE"""),"Funny Games")</f>
        <v>Funny Games</v>
      </c>
      <c r="R3836" s="5" t="str">
        <f>IFERROR(__xludf.DUMMYFUNCTION("""COMPUTED_VALUE"""),"Arno Frisch")</f>
        <v>Arno Frisch</v>
      </c>
      <c r="S3836" s="5" t="str">
        <f>IFERROR(__xludf.DUMMYFUNCTION("""COMPUTED_VALUE"""),"Estrela 3")</f>
        <v>Estrela 3</v>
      </c>
    </row>
    <row r="3837">
      <c r="G3837" s="5" t="str">
        <f>IFERROR(__xludf.DUMMYFUNCTION("""COMPUTED_VALUE"""),"959🤙🏼Funny Games🤙🏼Frank Giering🤙🏼Estrela 4")</f>
        <v>959🤙🏼Funny Games🤙🏼Frank Giering🤙🏼Estrela 4</v>
      </c>
      <c r="H3837" s="5">
        <f>IFERROR(__xludf.DUMMYFUNCTION("SPLiT(G3837, ""🤙🏼"",FALSE,FALSE)"),959.0)</f>
        <v>959</v>
      </c>
      <c r="I3837" s="5" t="str">
        <f>IFERROR(__xludf.DUMMYFUNCTION("""COMPUTED_VALUE"""),"Funny Games")</f>
        <v>Funny Games</v>
      </c>
      <c r="J3837" s="5" t="str">
        <f>IFERROR(__xludf.DUMMYFUNCTION("""COMPUTED_VALUE"""),"Frank Giering")</f>
        <v>Frank Giering</v>
      </c>
      <c r="K3837" s="5" t="str">
        <f>IFERROR(__xludf.DUMMYFUNCTION("""COMPUTED_VALUE"""),"Estrela 4")</f>
        <v>Estrela 4</v>
      </c>
      <c r="P3837" s="5">
        <f>IFERROR(__xludf.DUMMYFUNCTION("""COMPUTED_VALUE"""),959.0)</f>
        <v>959</v>
      </c>
      <c r="Q3837" s="5" t="str">
        <f>IFERROR(__xludf.DUMMYFUNCTION("""COMPUTED_VALUE"""),"Funny Games")</f>
        <v>Funny Games</v>
      </c>
      <c r="R3837" s="5" t="str">
        <f>IFERROR(__xludf.DUMMYFUNCTION("""COMPUTED_VALUE"""),"Frank Giering")</f>
        <v>Frank Giering</v>
      </c>
      <c r="S3837" s="5" t="str">
        <f>IFERROR(__xludf.DUMMYFUNCTION("""COMPUTED_VALUE"""),"Estrela 4")</f>
        <v>Estrela 4</v>
      </c>
    </row>
    <row r="3838">
      <c r="G3838" s="5" t="str">
        <f>IFERROR(__xludf.DUMMYFUNCTION("""COMPUTED_VALUE"""),"960🤙🏼Dark City🤙🏼Rufus Sewell🤙🏼Estrela 1")</f>
        <v>960🤙🏼Dark City🤙🏼Rufus Sewell🤙🏼Estrela 1</v>
      </c>
      <c r="H3838" s="5">
        <f>IFERROR(__xludf.DUMMYFUNCTION("SPLiT(G3838, ""🤙🏼"",FALSE,FALSE)"),960.0)</f>
        <v>960</v>
      </c>
      <c r="I3838" s="5" t="str">
        <f>IFERROR(__xludf.DUMMYFUNCTION("""COMPUTED_VALUE"""),"Dark City")</f>
        <v>Dark City</v>
      </c>
      <c r="J3838" s="5" t="str">
        <f>IFERROR(__xludf.DUMMYFUNCTION("""COMPUTED_VALUE"""),"Rufus Sewell")</f>
        <v>Rufus Sewell</v>
      </c>
      <c r="K3838" s="5" t="str">
        <f>IFERROR(__xludf.DUMMYFUNCTION("""COMPUTED_VALUE"""),"Estrela 1")</f>
        <v>Estrela 1</v>
      </c>
      <c r="P3838" s="5">
        <f>IFERROR(__xludf.DUMMYFUNCTION("""COMPUTED_VALUE"""),960.0)</f>
        <v>960</v>
      </c>
      <c r="Q3838" s="5" t="str">
        <f>IFERROR(__xludf.DUMMYFUNCTION("""COMPUTED_VALUE"""),"Dark City")</f>
        <v>Dark City</v>
      </c>
      <c r="R3838" s="5" t="str">
        <f>IFERROR(__xludf.DUMMYFUNCTION("""COMPUTED_VALUE"""),"Rufus Sewell")</f>
        <v>Rufus Sewell</v>
      </c>
      <c r="S3838" s="5" t="str">
        <f>IFERROR(__xludf.DUMMYFUNCTION("""COMPUTED_VALUE"""),"Estrela 1")</f>
        <v>Estrela 1</v>
      </c>
    </row>
    <row r="3839">
      <c r="G3839" s="5" t="str">
        <f>IFERROR(__xludf.DUMMYFUNCTION("""COMPUTED_VALUE"""),"960🤙🏼Dark City🤙🏼Kiefer Sutherland🤙🏼Estrela 2")</f>
        <v>960🤙🏼Dark City🤙🏼Kiefer Sutherland🤙🏼Estrela 2</v>
      </c>
      <c r="H3839" s="5">
        <f>IFERROR(__xludf.DUMMYFUNCTION("SPLiT(G3839, ""🤙🏼"",FALSE,FALSE)"),960.0)</f>
        <v>960</v>
      </c>
      <c r="I3839" s="5" t="str">
        <f>IFERROR(__xludf.DUMMYFUNCTION("""COMPUTED_VALUE"""),"Dark City")</f>
        <v>Dark City</v>
      </c>
      <c r="J3839" s="5" t="str">
        <f>IFERROR(__xludf.DUMMYFUNCTION("""COMPUTED_VALUE"""),"Kiefer Sutherland")</f>
        <v>Kiefer Sutherland</v>
      </c>
      <c r="K3839" s="5" t="str">
        <f>IFERROR(__xludf.DUMMYFUNCTION("""COMPUTED_VALUE"""),"Estrela 2")</f>
        <v>Estrela 2</v>
      </c>
      <c r="P3839" s="5">
        <f>IFERROR(__xludf.DUMMYFUNCTION("""COMPUTED_VALUE"""),960.0)</f>
        <v>960</v>
      </c>
      <c r="Q3839" s="5" t="str">
        <f>IFERROR(__xludf.DUMMYFUNCTION("""COMPUTED_VALUE"""),"Dark City")</f>
        <v>Dark City</v>
      </c>
      <c r="R3839" s="5" t="str">
        <f>IFERROR(__xludf.DUMMYFUNCTION("""COMPUTED_VALUE"""),"Kiefer Sutherland")</f>
        <v>Kiefer Sutherland</v>
      </c>
      <c r="S3839" s="5" t="str">
        <f>IFERROR(__xludf.DUMMYFUNCTION("""COMPUTED_VALUE"""),"Estrela 2")</f>
        <v>Estrela 2</v>
      </c>
    </row>
    <row r="3840">
      <c r="G3840" s="5" t="str">
        <f>IFERROR(__xludf.DUMMYFUNCTION("""COMPUTED_VALUE"""),"960🤙🏼Dark City🤙🏼Jennifer Connelly🤙🏼Estrela 3")</f>
        <v>960🤙🏼Dark City🤙🏼Jennifer Connelly🤙🏼Estrela 3</v>
      </c>
      <c r="H3840" s="5">
        <f>IFERROR(__xludf.DUMMYFUNCTION("SPLiT(G3840, ""🤙🏼"",FALSE,FALSE)"),960.0)</f>
        <v>960</v>
      </c>
      <c r="I3840" s="5" t="str">
        <f>IFERROR(__xludf.DUMMYFUNCTION("""COMPUTED_VALUE"""),"Dark City")</f>
        <v>Dark City</v>
      </c>
      <c r="J3840" s="5" t="str">
        <f>IFERROR(__xludf.DUMMYFUNCTION("""COMPUTED_VALUE"""),"Jennifer Connelly")</f>
        <v>Jennifer Connelly</v>
      </c>
      <c r="K3840" s="5" t="str">
        <f>IFERROR(__xludf.DUMMYFUNCTION("""COMPUTED_VALUE"""),"Estrela 3")</f>
        <v>Estrela 3</v>
      </c>
      <c r="P3840" s="5">
        <f>IFERROR(__xludf.DUMMYFUNCTION("""COMPUTED_VALUE"""),960.0)</f>
        <v>960</v>
      </c>
      <c r="Q3840" s="5" t="str">
        <f>IFERROR(__xludf.DUMMYFUNCTION("""COMPUTED_VALUE"""),"Dark City")</f>
        <v>Dark City</v>
      </c>
      <c r="R3840" s="5" t="str">
        <f>IFERROR(__xludf.DUMMYFUNCTION("""COMPUTED_VALUE"""),"Jennifer Connelly")</f>
        <v>Jennifer Connelly</v>
      </c>
      <c r="S3840" s="5" t="str">
        <f>IFERROR(__xludf.DUMMYFUNCTION("""COMPUTED_VALUE"""),"Estrela 3")</f>
        <v>Estrela 3</v>
      </c>
    </row>
    <row r="3841">
      <c r="G3841" s="5" t="str">
        <f>IFERROR(__xludf.DUMMYFUNCTION("""COMPUTED_VALUE"""),"960🤙🏼Dark City🤙🏼William Hurt🤙🏼Estrela 4")</f>
        <v>960🤙🏼Dark City🤙🏼William Hurt🤙🏼Estrela 4</v>
      </c>
      <c r="H3841" s="5">
        <f>IFERROR(__xludf.DUMMYFUNCTION("SPLiT(G3841, ""🤙🏼"",FALSE,FALSE)"),960.0)</f>
        <v>960</v>
      </c>
      <c r="I3841" s="5" t="str">
        <f>IFERROR(__xludf.DUMMYFUNCTION("""COMPUTED_VALUE"""),"Dark City")</f>
        <v>Dark City</v>
      </c>
      <c r="J3841" s="5" t="str">
        <f>IFERROR(__xludf.DUMMYFUNCTION("""COMPUTED_VALUE"""),"William Hurt")</f>
        <v>William Hurt</v>
      </c>
      <c r="K3841" s="5" t="str">
        <f>IFERROR(__xludf.DUMMYFUNCTION("""COMPUTED_VALUE"""),"Estrela 4")</f>
        <v>Estrela 4</v>
      </c>
      <c r="P3841" s="5">
        <f>IFERROR(__xludf.DUMMYFUNCTION("""COMPUTED_VALUE"""),960.0)</f>
        <v>960</v>
      </c>
      <c r="Q3841" s="5" t="str">
        <f>IFERROR(__xludf.DUMMYFUNCTION("""COMPUTED_VALUE"""),"Dark City")</f>
        <v>Dark City</v>
      </c>
      <c r="R3841" s="5" t="str">
        <f>IFERROR(__xludf.DUMMYFUNCTION("""COMPUTED_VALUE"""),"William Hurt")</f>
        <v>William Hurt</v>
      </c>
      <c r="S3841" s="5" t="str">
        <f>IFERROR(__xludf.DUMMYFUNCTION("""COMPUTED_VALUE"""),"Estrela 4")</f>
        <v>Estrela 4</v>
      </c>
    </row>
    <row r="3842">
      <c r="G3842" s="5" t="str">
        <f>IFERROR(__xludf.DUMMYFUNCTION("""COMPUTED_VALUE"""),"961🤙🏼Sleepers🤙🏼Robert De Niro🤙🏼Estrela 1")</f>
        <v>961🤙🏼Sleepers🤙🏼Robert De Niro🤙🏼Estrela 1</v>
      </c>
      <c r="H3842" s="5">
        <f>IFERROR(__xludf.DUMMYFUNCTION("SPLiT(G3842, ""🤙🏼"",FALSE,FALSE)"),961.0)</f>
        <v>961</v>
      </c>
      <c r="I3842" s="5" t="str">
        <f>IFERROR(__xludf.DUMMYFUNCTION("""COMPUTED_VALUE"""),"Sleepers")</f>
        <v>Sleepers</v>
      </c>
      <c r="J3842" s="5" t="str">
        <f>IFERROR(__xludf.DUMMYFUNCTION("""COMPUTED_VALUE"""),"Robert De Niro")</f>
        <v>Robert De Niro</v>
      </c>
      <c r="K3842" s="5" t="str">
        <f>IFERROR(__xludf.DUMMYFUNCTION("""COMPUTED_VALUE"""),"Estrela 1")</f>
        <v>Estrela 1</v>
      </c>
      <c r="P3842" s="5">
        <f>IFERROR(__xludf.DUMMYFUNCTION("""COMPUTED_VALUE"""),961.0)</f>
        <v>961</v>
      </c>
      <c r="Q3842" s="5" t="str">
        <f>IFERROR(__xludf.DUMMYFUNCTION("""COMPUTED_VALUE"""),"Sleepers")</f>
        <v>Sleepers</v>
      </c>
      <c r="R3842" s="5" t="str">
        <f>IFERROR(__xludf.DUMMYFUNCTION("""COMPUTED_VALUE"""),"Robert De Niro")</f>
        <v>Robert De Niro</v>
      </c>
      <c r="S3842" s="5" t="str">
        <f>IFERROR(__xludf.DUMMYFUNCTION("""COMPUTED_VALUE"""),"Estrela 1")</f>
        <v>Estrela 1</v>
      </c>
    </row>
    <row r="3843">
      <c r="G3843" s="5" t="str">
        <f>IFERROR(__xludf.DUMMYFUNCTION("""COMPUTED_VALUE"""),"961🤙🏼Sleepers🤙🏼Kevin Bacon🤙🏼Estrela 2")</f>
        <v>961🤙🏼Sleepers🤙🏼Kevin Bacon🤙🏼Estrela 2</v>
      </c>
      <c r="H3843" s="5">
        <f>IFERROR(__xludf.DUMMYFUNCTION("SPLiT(G3843, ""🤙🏼"",FALSE,FALSE)"),961.0)</f>
        <v>961</v>
      </c>
      <c r="I3843" s="5" t="str">
        <f>IFERROR(__xludf.DUMMYFUNCTION("""COMPUTED_VALUE"""),"Sleepers")</f>
        <v>Sleepers</v>
      </c>
      <c r="J3843" s="5" t="str">
        <f>IFERROR(__xludf.DUMMYFUNCTION("""COMPUTED_VALUE"""),"Kevin Bacon")</f>
        <v>Kevin Bacon</v>
      </c>
      <c r="K3843" s="5" t="str">
        <f>IFERROR(__xludf.DUMMYFUNCTION("""COMPUTED_VALUE"""),"Estrela 2")</f>
        <v>Estrela 2</v>
      </c>
      <c r="P3843" s="5">
        <f>IFERROR(__xludf.DUMMYFUNCTION("""COMPUTED_VALUE"""),961.0)</f>
        <v>961</v>
      </c>
      <c r="Q3843" s="5" t="str">
        <f>IFERROR(__xludf.DUMMYFUNCTION("""COMPUTED_VALUE"""),"Sleepers")</f>
        <v>Sleepers</v>
      </c>
      <c r="R3843" s="5" t="str">
        <f>IFERROR(__xludf.DUMMYFUNCTION("""COMPUTED_VALUE"""),"Kevin Bacon")</f>
        <v>Kevin Bacon</v>
      </c>
      <c r="S3843" s="5" t="str">
        <f>IFERROR(__xludf.DUMMYFUNCTION("""COMPUTED_VALUE"""),"Estrela 2")</f>
        <v>Estrela 2</v>
      </c>
    </row>
    <row r="3844">
      <c r="G3844" s="5" t="str">
        <f>IFERROR(__xludf.DUMMYFUNCTION("""COMPUTED_VALUE"""),"961🤙🏼Sleepers🤙🏼Brad Pitt🤙🏼Estrela 3")</f>
        <v>961🤙🏼Sleepers🤙🏼Brad Pitt🤙🏼Estrela 3</v>
      </c>
      <c r="H3844" s="5">
        <f>IFERROR(__xludf.DUMMYFUNCTION("SPLiT(G3844, ""🤙🏼"",FALSE,FALSE)"),961.0)</f>
        <v>961</v>
      </c>
      <c r="I3844" s="5" t="str">
        <f>IFERROR(__xludf.DUMMYFUNCTION("""COMPUTED_VALUE"""),"Sleepers")</f>
        <v>Sleepers</v>
      </c>
      <c r="J3844" s="5" t="str">
        <f>IFERROR(__xludf.DUMMYFUNCTION("""COMPUTED_VALUE"""),"Brad Pitt")</f>
        <v>Brad Pitt</v>
      </c>
      <c r="K3844" s="5" t="str">
        <f>IFERROR(__xludf.DUMMYFUNCTION("""COMPUTED_VALUE"""),"Estrela 3")</f>
        <v>Estrela 3</v>
      </c>
      <c r="P3844" s="5">
        <f>IFERROR(__xludf.DUMMYFUNCTION("""COMPUTED_VALUE"""),961.0)</f>
        <v>961</v>
      </c>
      <c r="Q3844" s="5" t="str">
        <f>IFERROR(__xludf.DUMMYFUNCTION("""COMPUTED_VALUE"""),"Sleepers")</f>
        <v>Sleepers</v>
      </c>
      <c r="R3844" s="5" t="str">
        <f>IFERROR(__xludf.DUMMYFUNCTION("""COMPUTED_VALUE"""),"Brad Pitt")</f>
        <v>Brad Pitt</v>
      </c>
      <c r="S3844" s="5" t="str">
        <f>IFERROR(__xludf.DUMMYFUNCTION("""COMPUTED_VALUE"""),"Estrela 3")</f>
        <v>Estrela 3</v>
      </c>
    </row>
    <row r="3845">
      <c r="G3845" s="5" t="str">
        <f>IFERROR(__xludf.DUMMYFUNCTION("""COMPUTED_VALUE"""),"961🤙🏼Sleepers🤙🏼Jason Patric🤙🏼Estrela 4")</f>
        <v>961🤙🏼Sleepers🤙🏼Jason Patric🤙🏼Estrela 4</v>
      </c>
      <c r="H3845" s="5">
        <f>IFERROR(__xludf.DUMMYFUNCTION("SPLiT(G3845, ""🤙🏼"",FALSE,FALSE)"),961.0)</f>
        <v>961</v>
      </c>
      <c r="I3845" s="5" t="str">
        <f>IFERROR(__xludf.DUMMYFUNCTION("""COMPUTED_VALUE"""),"Sleepers")</f>
        <v>Sleepers</v>
      </c>
      <c r="J3845" s="5" t="str">
        <f>IFERROR(__xludf.DUMMYFUNCTION("""COMPUTED_VALUE"""),"Jason Patric")</f>
        <v>Jason Patric</v>
      </c>
      <c r="K3845" s="5" t="str">
        <f>IFERROR(__xludf.DUMMYFUNCTION("""COMPUTED_VALUE"""),"Estrela 4")</f>
        <v>Estrela 4</v>
      </c>
      <c r="P3845" s="5">
        <f>IFERROR(__xludf.DUMMYFUNCTION("""COMPUTED_VALUE"""),961.0)</f>
        <v>961</v>
      </c>
      <c r="Q3845" s="5" t="str">
        <f>IFERROR(__xludf.DUMMYFUNCTION("""COMPUTED_VALUE"""),"Sleepers")</f>
        <v>Sleepers</v>
      </c>
      <c r="R3845" s="5" t="str">
        <f>IFERROR(__xludf.DUMMYFUNCTION("""COMPUTED_VALUE"""),"Jason Patric")</f>
        <v>Jason Patric</v>
      </c>
      <c r="S3845" s="5" t="str">
        <f>IFERROR(__xludf.DUMMYFUNCTION("""COMPUTED_VALUE"""),"Estrela 4")</f>
        <v>Estrela 4</v>
      </c>
    </row>
    <row r="3846">
      <c r="G3846" s="5" t="str">
        <f>IFERROR(__xludf.DUMMYFUNCTION("""COMPUTED_VALUE"""),"962🤙🏼Lost Highway🤙🏼Bill Pullman🤙🏼Estrela 1")</f>
        <v>962🤙🏼Lost Highway🤙🏼Bill Pullman🤙🏼Estrela 1</v>
      </c>
      <c r="H3846" s="5">
        <f>IFERROR(__xludf.DUMMYFUNCTION("SPLiT(G3846, ""🤙🏼"",FALSE,FALSE)"),962.0)</f>
        <v>962</v>
      </c>
      <c r="I3846" s="5" t="str">
        <f>IFERROR(__xludf.DUMMYFUNCTION("""COMPUTED_VALUE"""),"Lost Highway")</f>
        <v>Lost Highway</v>
      </c>
      <c r="J3846" s="5" t="str">
        <f>IFERROR(__xludf.DUMMYFUNCTION("""COMPUTED_VALUE"""),"Bill Pullman")</f>
        <v>Bill Pullman</v>
      </c>
      <c r="K3846" s="5" t="str">
        <f>IFERROR(__xludf.DUMMYFUNCTION("""COMPUTED_VALUE"""),"Estrela 1")</f>
        <v>Estrela 1</v>
      </c>
      <c r="P3846" s="5">
        <f>IFERROR(__xludf.DUMMYFUNCTION("""COMPUTED_VALUE"""),962.0)</f>
        <v>962</v>
      </c>
      <c r="Q3846" s="5" t="str">
        <f>IFERROR(__xludf.DUMMYFUNCTION("""COMPUTED_VALUE"""),"Lost Highway")</f>
        <v>Lost Highway</v>
      </c>
      <c r="R3846" s="5" t="str">
        <f>IFERROR(__xludf.DUMMYFUNCTION("""COMPUTED_VALUE"""),"Bill Pullman")</f>
        <v>Bill Pullman</v>
      </c>
      <c r="S3846" s="5" t="str">
        <f>IFERROR(__xludf.DUMMYFUNCTION("""COMPUTED_VALUE"""),"Estrela 1")</f>
        <v>Estrela 1</v>
      </c>
    </row>
    <row r="3847">
      <c r="G3847" s="5" t="str">
        <f>IFERROR(__xludf.DUMMYFUNCTION("""COMPUTED_VALUE"""),"962🤙🏼Lost Highway🤙🏼Patricia Arquette🤙🏼Estrela 2")</f>
        <v>962🤙🏼Lost Highway🤙🏼Patricia Arquette🤙🏼Estrela 2</v>
      </c>
      <c r="H3847" s="5">
        <f>IFERROR(__xludf.DUMMYFUNCTION("SPLiT(G3847, ""🤙🏼"",FALSE,FALSE)"),962.0)</f>
        <v>962</v>
      </c>
      <c r="I3847" s="5" t="str">
        <f>IFERROR(__xludf.DUMMYFUNCTION("""COMPUTED_VALUE"""),"Lost Highway")</f>
        <v>Lost Highway</v>
      </c>
      <c r="J3847" s="5" t="str">
        <f>IFERROR(__xludf.DUMMYFUNCTION("""COMPUTED_VALUE"""),"Patricia Arquette")</f>
        <v>Patricia Arquette</v>
      </c>
      <c r="K3847" s="5" t="str">
        <f>IFERROR(__xludf.DUMMYFUNCTION("""COMPUTED_VALUE"""),"Estrela 2")</f>
        <v>Estrela 2</v>
      </c>
      <c r="P3847" s="5">
        <f>IFERROR(__xludf.DUMMYFUNCTION("""COMPUTED_VALUE"""),962.0)</f>
        <v>962</v>
      </c>
      <c r="Q3847" s="5" t="str">
        <f>IFERROR(__xludf.DUMMYFUNCTION("""COMPUTED_VALUE"""),"Lost Highway")</f>
        <v>Lost Highway</v>
      </c>
      <c r="R3847" s="5" t="str">
        <f>IFERROR(__xludf.DUMMYFUNCTION("""COMPUTED_VALUE"""),"Patricia Arquette")</f>
        <v>Patricia Arquette</v>
      </c>
      <c r="S3847" s="5" t="str">
        <f>IFERROR(__xludf.DUMMYFUNCTION("""COMPUTED_VALUE"""),"Estrela 2")</f>
        <v>Estrela 2</v>
      </c>
    </row>
    <row r="3848">
      <c r="G3848" s="5" t="str">
        <f>IFERROR(__xludf.DUMMYFUNCTION("""COMPUTED_VALUE"""),"962🤙🏼Lost Highway🤙🏼John Roselius🤙🏼Estrela 3")</f>
        <v>962🤙🏼Lost Highway🤙🏼John Roselius🤙🏼Estrela 3</v>
      </c>
      <c r="H3848" s="5">
        <f>IFERROR(__xludf.DUMMYFUNCTION("SPLiT(G3848, ""🤙🏼"",FALSE,FALSE)"),962.0)</f>
        <v>962</v>
      </c>
      <c r="I3848" s="5" t="str">
        <f>IFERROR(__xludf.DUMMYFUNCTION("""COMPUTED_VALUE"""),"Lost Highway")</f>
        <v>Lost Highway</v>
      </c>
      <c r="J3848" s="5" t="str">
        <f>IFERROR(__xludf.DUMMYFUNCTION("""COMPUTED_VALUE"""),"John Roselius")</f>
        <v>John Roselius</v>
      </c>
      <c r="K3848" s="5" t="str">
        <f>IFERROR(__xludf.DUMMYFUNCTION("""COMPUTED_VALUE"""),"Estrela 3")</f>
        <v>Estrela 3</v>
      </c>
      <c r="P3848" s="5">
        <f>IFERROR(__xludf.DUMMYFUNCTION("""COMPUTED_VALUE"""),962.0)</f>
        <v>962</v>
      </c>
      <c r="Q3848" s="5" t="str">
        <f>IFERROR(__xludf.DUMMYFUNCTION("""COMPUTED_VALUE"""),"Lost Highway")</f>
        <v>Lost Highway</v>
      </c>
      <c r="R3848" s="5" t="str">
        <f>IFERROR(__xludf.DUMMYFUNCTION("""COMPUTED_VALUE"""),"John Roselius")</f>
        <v>John Roselius</v>
      </c>
      <c r="S3848" s="5" t="str">
        <f>IFERROR(__xludf.DUMMYFUNCTION("""COMPUTED_VALUE"""),"Estrela 3")</f>
        <v>Estrela 3</v>
      </c>
    </row>
    <row r="3849">
      <c r="G3849" s="5" t="str">
        <f>IFERROR(__xludf.DUMMYFUNCTION("""COMPUTED_VALUE"""),"962🤙🏼Lost Highway🤙🏼Louis Eppolito🤙🏼Estrela 4")</f>
        <v>962🤙🏼Lost Highway🤙🏼Louis Eppolito🤙🏼Estrela 4</v>
      </c>
      <c r="H3849" s="5">
        <f>IFERROR(__xludf.DUMMYFUNCTION("SPLiT(G3849, ""🤙🏼"",FALSE,FALSE)"),962.0)</f>
        <v>962</v>
      </c>
      <c r="I3849" s="5" t="str">
        <f>IFERROR(__xludf.DUMMYFUNCTION("""COMPUTED_VALUE"""),"Lost Highway")</f>
        <v>Lost Highway</v>
      </c>
      <c r="J3849" s="5" t="str">
        <f>IFERROR(__xludf.DUMMYFUNCTION("""COMPUTED_VALUE"""),"Louis Eppolito")</f>
        <v>Louis Eppolito</v>
      </c>
      <c r="K3849" s="5" t="str">
        <f>IFERROR(__xludf.DUMMYFUNCTION("""COMPUTED_VALUE"""),"Estrela 4")</f>
        <v>Estrela 4</v>
      </c>
      <c r="P3849" s="5">
        <f>IFERROR(__xludf.DUMMYFUNCTION("""COMPUTED_VALUE"""),962.0)</f>
        <v>962</v>
      </c>
      <c r="Q3849" s="5" t="str">
        <f>IFERROR(__xludf.DUMMYFUNCTION("""COMPUTED_VALUE"""),"Lost Highway")</f>
        <v>Lost Highway</v>
      </c>
      <c r="R3849" s="5" t="str">
        <f>IFERROR(__xludf.DUMMYFUNCTION("""COMPUTED_VALUE"""),"Louis Eppolito")</f>
        <v>Louis Eppolito</v>
      </c>
      <c r="S3849" s="5" t="str">
        <f>IFERROR(__xludf.DUMMYFUNCTION("""COMPUTED_VALUE"""),"Estrela 4")</f>
        <v>Estrela 4</v>
      </c>
    </row>
    <row r="3850">
      <c r="G3850" s="5" t="str">
        <f>IFERROR(__xludf.DUMMYFUNCTION("""COMPUTED_VALUE"""),"963🤙🏼Sense and Sensibility🤙🏼Emma Thompson🤙🏼Estrela 1")</f>
        <v>963🤙🏼Sense and Sensibility🤙🏼Emma Thompson🤙🏼Estrela 1</v>
      </c>
      <c r="H3850" s="5">
        <f>IFERROR(__xludf.DUMMYFUNCTION("SPLiT(G3850, ""🤙🏼"",FALSE,FALSE)"),963.0)</f>
        <v>963</v>
      </c>
      <c r="I3850" s="5" t="str">
        <f>IFERROR(__xludf.DUMMYFUNCTION("""COMPUTED_VALUE"""),"Sense and Sensibility")</f>
        <v>Sense and Sensibility</v>
      </c>
      <c r="J3850" s="5" t="str">
        <f>IFERROR(__xludf.DUMMYFUNCTION("""COMPUTED_VALUE"""),"Emma Thompson")</f>
        <v>Emma Thompson</v>
      </c>
      <c r="K3850" s="5" t="str">
        <f>IFERROR(__xludf.DUMMYFUNCTION("""COMPUTED_VALUE"""),"Estrela 1")</f>
        <v>Estrela 1</v>
      </c>
      <c r="P3850" s="5">
        <f>IFERROR(__xludf.DUMMYFUNCTION("""COMPUTED_VALUE"""),963.0)</f>
        <v>963</v>
      </c>
      <c r="Q3850" s="5" t="str">
        <f>IFERROR(__xludf.DUMMYFUNCTION("""COMPUTED_VALUE"""),"Sense and Sensibility")</f>
        <v>Sense and Sensibility</v>
      </c>
      <c r="R3850" s="5" t="str">
        <f>IFERROR(__xludf.DUMMYFUNCTION("""COMPUTED_VALUE"""),"Emma Thompson")</f>
        <v>Emma Thompson</v>
      </c>
      <c r="S3850" s="5" t="str">
        <f>IFERROR(__xludf.DUMMYFUNCTION("""COMPUTED_VALUE"""),"Estrela 1")</f>
        <v>Estrela 1</v>
      </c>
    </row>
    <row r="3851">
      <c r="G3851" s="5" t="str">
        <f>IFERROR(__xludf.DUMMYFUNCTION("""COMPUTED_VALUE"""),"963🤙🏼Sense and Sensibility🤙🏼Kate Winslet🤙🏼Estrela 2")</f>
        <v>963🤙🏼Sense and Sensibility🤙🏼Kate Winslet🤙🏼Estrela 2</v>
      </c>
      <c r="H3851" s="5">
        <f>IFERROR(__xludf.DUMMYFUNCTION("SPLiT(G3851, ""🤙🏼"",FALSE,FALSE)"),963.0)</f>
        <v>963</v>
      </c>
      <c r="I3851" s="5" t="str">
        <f>IFERROR(__xludf.DUMMYFUNCTION("""COMPUTED_VALUE"""),"Sense and Sensibility")</f>
        <v>Sense and Sensibility</v>
      </c>
      <c r="J3851" s="5" t="str">
        <f>IFERROR(__xludf.DUMMYFUNCTION("""COMPUTED_VALUE"""),"Kate Winslet")</f>
        <v>Kate Winslet</v>
      </c>
      <c r="K3851" s="5" t="str">
        <f>IFERROR(__xludf.DUMMYFUNCTION("""COMPUTED_VALUE"""),"Estrela 2")</f>
        <v>Estrela 2</v>
      </c>
      <c r="P3851" s="5">
        <f>IFERROR(__xludf.DUMMYFUNCTION("""COMPUTED_VALUE"""),963.0)</f>
        <v>963</v>
      </c>
      <c r="Q3851" s="5" t="str">
        <f>IFERROR(__xludf.DUMMYFUNCTION("""COMPUTED_VALUE"""),"Sense and Sensibility")</f>
        <v>Sense and Sensibility</v>
      </c>
      <c r="R3851" s="5" t="str">
        <f>IFERROR(__xludf.DUMMYFUNCTION("""COMPUTED_VALUE"""),"Kate Winslet")</f>
        <v>Kate Winslet</v>
      </c>
      <c r="S3851" s="5" t="str">
        <f>IFERROR(__xludf.DUMMYFUNCTION("""COMPUTED_VALUE"""),"Estrela 2")</f>
        <v>Estrela 2</v>
      </c>
    </row>
    <row r="3852">
      <c r="G3852" s="5" t="str">
        <f>IFERROR(__xludf.DUMMYFUNCTION("""COMPUTED_VALUE"""),"963🤙🏼Sense and Sensibility🤙🏼James Fleet🤙🏼Estrela 3")</f>
        <v>963🤙🏼Sense and Sensibility🤙🏼James Fleet🤙🏼Estrela 3</v>
      </c>
      <c r="H3852" s="5">
        <f>IFERROR(__xludf.DUMMYFUNCTION("SPLiT(G3852, ""🤙🏼"",FALSE,FALSE)"),963.0)</f>
        <v>963</v>
      </c>
      <c r="I3852" s="5" t="str">
        <f>IFERROR(__xludf.DUMMYFUNCTION("""COMPUTED_VALUE"""),"Sense and Sensibility")</f>
        <v>Sense and Sensibility</v>
      </c>
      <c r="J3852" s="5" t="str">
        <f>IFERROR(__xludf.DUMMYFUNCTION("""COMPUTED_VALUE"""),"James Fleet")</f>
        <v>James Fleet</v>
      </c>
      <c r="K3852" s="5" t="str">
        <f>IFERROR(__xludf.DUMMYFUNCTION("""COMPUTED_VALUE"""),"Estrela 3")</f>
        <v>Estrela 3</v>
      </c>
      <c r="P3852" s="5">
        <f>IFERROR(__xludf.DUMMYFUNCTION("""COMPUTED_VALUE"""),963.0)</f>
        <v>963</v>
      </c>
      <c r="Q3852" s="5" t="str">
        <f>IFERROR(__xludf.DUMMYFUNCTION("""COMPUTED_VALUE"""),"Sense and Sensibility")</f>
        <v>Sense and Sensibility</v>
      </c>
      <c r="R3852" s="5" t="str">
        <f>IFERROR(__xludf.DUMMYFUNCTION("""COMPUTED_VALUE"""),"James Fleet")</f>
        <v>James Fleet</v>
      </c>
      <c r="S3852" s="5" t="str">
        <f>IFERROR(__xludf.DUMMYFUNCTION("""COMPUTED_VALUE"""),"Estrela 3")</f>
        <v>Estrela 3</v>
      </c>
    </row>
    <row r="3853">
      <c r="G3853" s="5" t="str">
        <f>IFERROR(__xludf.DUMMYFUNCTION("""COMPUTED_VALUE"""),"963🤙🏼Sense and Sensibility🤙🏼Tom Wilkinson🤙🏼Estrela 4")</f>
        <v>963🤙🏼Sense and Sensibility🤙🏼Tom Wilkinson🤙🏼Estrela 4</v>
      </c>
      <c r="H3853" s="5">
        <f>IFERROR(__xludf.DUMMYFUNCTION("SPLiT(G3853, ""🤙🏼"",FALSE,FALSE)"),963.0)</f>
        <v>963</v>
      </c>
      <c r="I3853" s="5" t="str">
        <f>IFERROR(__xludf.DUMMYFUNCTION("""COMPUTED_VALUE"""),"Sense and Sensibility")</f>
        <v>Sense and Sensibility</v>
      </c>
      <c r="J3853" s="5" t="str">
        <f>IFERROR(__xludf.DUMMYFUNCTION("""COMPUTED_VALUE"""),"Tom Wilkinson")</f>
        <v>Tom Wilkinson</v>
      </c>
      <c r="K3853" s="5" t="str">
        <f>IFERROR(__xludf.DUMMYFUNCTION("""COMPUTED_VALUE"""),"Estrela 4")</f>
        <v>Estrela 4</v>
      </c>
      <c r="P3853" s="5">
        <f>IFERROR(__xludf.DUMMYFUNCTION("""COMPUTED_VALUE"""),963.0)</f>
        <v>963</v>
      </c>
      <c r="Q3853" s="5" t="str">
        <f>IFERROR(__xludf.DUMMYFUNCTION("""COMPUTED_VALUE"""),"Sense and Sensibility")</f>
        <v>Sense and Sensibility</v>
      </c>
      <c r="R3853" s="5" t="str">
        <f>IFERROR(__xludf.DUMMYFUNCTION("""COMPUTED_VALUE"""),"Tom Wilkinson")</f>
        <v>Tom Wilkinson</v>
      </c>
      <c r="S3853" s="5" t="str">
        <f>IFERROR(__xludf.DUMMYFUNCTION("""COMPUTED_VALUE"""),"Estrela 4")</f>
        <v>Estrela 4</v>
      </c>
    </row>
    <row r="3854">
      <c r="G3854" s="5" t="str">
        <f>IFERROR(__xludf.DUMMYFUNCTION("""COMPUTED_VALUE"""),"964🤙🏼Die Hard: With a Vengeance🤙🏼Bruce Willis🤙🏼Estrela 1")</f>
        <v>964🤙🏼Die Hard: With a Vengeance🤙🏼Bruce Willis🤙🏼Estrela 1</v>
      </c>
      <c r="H3854" s="5">
        <f>IFERROR(__xludf.DUMMYFUNCTION("SPLiT(G3854, ""🤙🏼"",FALSE,FALSE)"),964.0)</f>
        <v>964</v>
      </c>
      <c r="I3854" s="5" t="str">
        <f>IFERROR(__xludf.DUMMYFUNCTION("""COMPUTED_VALUE"""),"Die Hard: With a Vengeance")</f>
        <v>Die Hard: With a Vengeance</v>
      </c>
      <c r="J3854" s="5" t="str">
        <f>IFERROR(__xludf.DUMMYFUNCTION("""COMPUTED_VALUE"""),"Bruce Willis")</f>
        <v>Bruce Willis</v>
      </c>
      <c r="K3854" s="5" t="str">
        <f>IFERROR(__xludf.DUMMYFUNCTION("""COMPUTED_VALUE"""),"Estrela 1")</f>
        <v>Estrela 1</v>
      </c>
      <c r="P3854" s="5">
        <f>IFERROR(__xludf.DUMMYFUNCTION("""COMPUTED_VALUE"""),964.0)</f>
        <v>964</v>
      </c>
      <c r="Q3854" s="5" t="str">
        <f>IFERROR(__xludf.DUMMYFUNCTION("""COMPUTED_VALUE"""),"Die Hard: With a Vengeance")</f>
        <v>Die Hard: With a Vengeance</v>
      </c>
      <c r="R3854" s="5" t="str">
        <f>IFERROR(__xludf.DUMMYFUNCTION("""COMPUTED_VALUE"""),"Bruce Willis")</f>
        <v>Bruce Willis</v>
      </c>
      <c r="S3854" s="5" t="str">
        <f>IFERROR(__xludf.DUMMYFUNCTION("""COMPUTED_VALUE"""),"Estrela 1")</f>
        <v>Estrela 1</v>
      </c>
    </row>
    <row r="3855">
      <c r="G3855" s="5" t="str">
        <f>IFERROR(__xludf.DUMMYFUNCTION("""COMPUTED_VALUE"""),"964🤙🏼Die Hard: With a Vengeance🤙🏼Jeremy Irons🤙🏼Estrela 2")</f>
        <v>964🤙🏼Die Hard: With a Vengeance🤙🏼Jeremy Irons🤙🏼Estrela 2</v>
      </c>
      <c r="H3855" s="5">
        <f>IFERROR(__xludf.DUMMYFUNCTION("SPLiT(G3855, ""🤙🏼"",FALSE,FALSE)"),964.0)</f>
        <v>964</v>
      </c>
      <c r="I3855" s="5" t="str">
        <f>IFERROR(__xludf.DUMMYFUNCTION("""COMPUTED_VALUE"""),"Die Hard: With a Vengeance")</f>
        <v>Die Hard: With a Vengeance</v>
      </c>
      <c r="J3855" s="5" t="str">
        <f>IFERROR(__xludf.DUMMYFUNCTION("""COMPUTED_VALUE"""),"Jeremy Irons")</f>
        <v>Jeremy Irons</v>
      </c>
      <c r="K3855" s="5" t="str">
        <f>IFERROR(__xludf.DUMMYFUNCTION("""COMPUTED_VALUE"""),"Estrela 2")</f>
        <v>Estrela 2</v>
      </c>
      <c r="P3855" s="5">
        <f>IFERROR(__xludf.DUMMYFUNCTION("""COMPUTED_VALUE"""),964.0)</f>
        <v>964</v>
      </c>
      <c r="Q3855" s="5" t="str">
        <f>IFERROR(__xludf.DUMMYFUNCTION("""COMPUTED_VALUE"""),"Die Hard: With a Vengeance")</f>
        <v>Die Hard: With a Vengeance</v>
      </c>
      <c r="R3855" s="5" t="str">
        <f>IFERROR(__xludf.DUMMYFUNCTION("""COMPUTED_VALUE"""),"Jeremy Irons")</f>
        <v>Jeremy Irons</v>
      </c>
      <c r="S3855" s="5" t="str">
        <f>IFERROR(__xludf.DUMMYFUNCTION("""COMPUTED_VALUE"""),"Estrela 2")</f>
        <v>Estrela 2</v>
      </c>
    </row>
    <row r="3856">
      <c r="G3856" s="5" t="str">
        <f>IFERROR(__xludf.DUMMYFUNCTION("""COMPUTED_VALUE"""),"964🤙🏼Die Hard: With a Vengeance🤙🏼Samuel L. Jackson🤙🏼Estrela 3")</f>
        <v>964🤙🏼Die Hard: With a Vengeance🤙🏼Samuel L. Jackson🤙🏼Estrela 3</v>
      </c>
      <c r="H3856" s="5">
        <f>IFERROR(__xludf.DUMMYFUNCTION("SPLiT(G3856, ""🤙🏼"",FALSE,FALSE)"),964.0)</f>
        <v>964</v>
      </c>
      <c r="I3856" s="5" t="str">
        <f>IFERROR(__xludf.DUMMYFUNCTION("""COMPUTED_VALUE"""),"Die Hard: With a Vengeance")</f>
        <v>Die Hard: With a Vengeance</v>
      </c>
      <c r="J3856" s="5" t="str">
        <f>IFERROR(__xludf.DUMMYFUNCTION("""COMPUTED_VALUE"""),"Samuel L. Jackson")</f>
        <v>Samuel L. Jackson</v>
      </c>
      <c r="K3856" s="5" t="str">
        <f>IFERROR(__xludf.DUMMYFUNCTION("""COMPUTED_VALUE"""),"Estrela 3")</f>
        <v>Estrela 3</v>
      </c>
      <c r="P3856" s="5">
        <f>IFERROR(__xludf.DUMMYFUNCTION("""COMPUTED_VALUE"""),964.0)</f>
        <v>964</v>
      </c>
      <c r="Q3856" s="5" t="str">
        <f>IFERROR(__xludf.DUMMYFUNCTION("""COMPUTED_VALUE"""),"Die Hard: With a Vengeance")</f>
        <v>Die Hard: With a Vengeance</v>
      </c>
      <c r="R3856" s="5" t="str">
        <f>IFERROR(__xludf.DUMMYFUNCTION("""COMPUTED_VALUE"""),"Samuel L. Jackson")</f>
        <v>Samuel L. Jackson</v>
      </c>
      <c r="S3856" s="5" t="str">
        <f>IFERROR(__xludf.DUMMYFUNCTION("""COMPUTED_VALUE"""),"Estrela 3")</f>
        <v>Estrela 3</v>
      </c>
    </row>
    <row r="3857">
      <c r="G3857" s="5" t="str">
        <f>IFERROR(__xludf.DUMMYFUNCTION("""COMPUTED_VALUE"""),"964🤙🏼Die Hard: With a Vengeance🤙🏼Graham Greene🤙🏼Estrela 4")</f>
        <v>964🤙🏼Die Hard: With a Vengeance🤙🏼Graham Greene🤙🏼Estrela 4</v>
      </c>
      <c r="H3857" s="5">
        <f>IFERROR(__xludf.DUMMYFUNCTION("SPLiT(G3857, ""🤙🏼"",FALSE,FALSE)"),964.0)</f>
        <v>964</v>
      </c>
      <c r="I3857" s="5" t="str">
        <f>IFERROR(__xludf.DUMMYFUNCTION("""COMPUTED_VALUE"""),"Die Hard: With a Vengeance")</f>
        <v>Die Hard: With a Vengeance</v>
      </c>
      <c r="J3857" s="5" t="str">
        <f>IFERROR(__xludf.DUMMYFUNCTION("""COMPUTED_VALUE"""),"Graham Greene")</f>
        <v>Graham Greene</v>
      </c>
      <c r="K3857" s="5" t="str">
        <f>IFERROR(__xludf.DUMMYFUNCTION("""COMPUTED_VALUE"""),"Estrela 4")</f>
        <v>Estrela 4</v>
      </c>
      <c r="P3857" s="5">
        <f>IFERROR(__xludf.DUMMYFUNCTION("""COMPUTED_VALUE"""),964.0)</f>
        <v>964</v>
      </c>
      <c r="Q3857" s="5" t="str">
        <f>IFERROR(__xludf.DUMMYFUNCTION("""COMPUTED_VALUE"""),"Die Hard: With a Vengeance")</f>
        <v>Die Hard: With a Vengeance</v>
      </c>
      <c r="R3857" s="5" t="str">
        <f>IFERROR(__xludf.DUMMYFUNCTION("""COMPUTED_VALUE"""),"Graham Greene")</f>
        <v>Graham Greene</v>
      </c>
      <c r="S3857" s="5" t="str">
        <f>IFERROR(__xludf.DUMMYFUNCTION("""COMPUTED_VALUE"""),"Estrela 4")</f>
        <v>Estrela 4</v>
      </c>
    </row>
    <row r="3858">
      <c r="G3858" s="5" t="str">
        <f>IFERROR(__xludf.DUMMYFUNCTION("""COMPUTED_VALUE"""),"965🤙🏼Dead Man🤙🏼Johnny Depp🤙🏼Estrela 1")</f>
        <v>965🤙🏼Dead Man🤙🏼Johnny Depp🤙🏼Estrela 1</v>
      </c>
      <c r="H3858" s="5">
        <f>IFERROR(__xludf.DUMMYFUNCTION("SPLiT(G3858, ""🤙🏼"",FALSE,FALSE)"),965.0)</f>
        <v>965</v>
      </c>
      <c r="I3858" s="5" t="str">
        <f>IFERROR(__xludf.DUMMYFUNCTION("""COMPUTED_VALUE"""),"Dead Man")</f>
        <v>Dead Man</v>
      </c>
      <c r="J3858" s="5" t="str">
        <f>IFERROR(__xludf.DUMMYFUNCTION("""COMPUTED_VALUE"""),"Johnny Depp")</f>
        <v>Johnny Depp</v>
      </c>
      <c r="K3858" s="5" t="str">
        <f>IFERROR(__xludf.DUMMYFUNCTION("""COMPUTED_VALUE"""),"Estrela 1")</f>
        <v>Estrela 1</v>
      </c>
      <c r="P3858" s="5">
        <f>IFERROR(__xludf.DUMMYFUNCTION("""COMPUTED_VALUE"""),965.0)</f>
        <v>965</v>
      </c>
      <c r="Q3858" s="5" t="str">
        <f>IFERROR(__xludf.DUMMYFUNCTION("""COMPUTED_VALUE"""),"Dead Man")</f>
        <v>Dead Man</v>
      </c>
      <c r="R3858" s="5" t="str">
        <f>IFERROR(__xludf.DUMMYFUNCTION("""COMPUTED_VALUE"""),"Johnny Depp")</f>
        <v>Johnny Depp</v>
      </c>
      <c r="S3858" s="5" t="str">
        <f>IFERROR(__xludf.DUMMYFUNCTION("""COMPUTED_VALUE"""),"Estrela 1")</f>
        <v>Estrela 1</v>
      </c>
    </row>
    <row r="3859">
      <c r="G3859" s="5" t="str">
        <f>IFERROR(__xludf.DUMMYFUNCTION("""COMPUTED_VALUE"""),"965🤙🏼Dead Man🤙🏼Gary Farmer🤙🏼Estrela 2")</f>
        <v>965🤙🏼Dead Man🤙🏼Gary Farmer🤙🏼Estrela 2</v>
      </c>
      <c r="H3859" s="5">
        <f>IFERROR(__xludf.DUMMYFUNCTION("SPLiT(G3859, ""🤙🏼"",FALSE,FALSE)"),965.0)</f>
        <v>965</v>
      </c>
      <c r="I3859" s="5" t="str">
        <f>IFERROR(__xludf.DUMMYFUNCTION("""COMPUTED_VALUE"""),"Dead Man")</f>
        <v>Dead Man</v>
      </c>
      <c r="J3859" s="5" t="str">
        <f>IFERROR(__xludf.DUMMYFUNCTION("""COMPUTED_VALUE"""),"Gary Farmer")</f>
        <v>Gary Farmer</v>
      </c>
      <c r="K3859" s="5" t="str">
        <f>IFERROR(__xludf.DUMMYFUNCTION("""COMPUTED_VALUE"""),"Estrela 2")</f>
        <v>Estrela 2</v>
      </c>
      <c r="P3859" s="5">
        <f>IFERROR(__xludf.DUMMYFUNCTION("""COMPUTED_VALUE"""),965.0)</f>
        <v>965</v>
      </c>
      <c r="Q3859" s="5" t="str">
        <f>IFERROR(__xludf.DUMMYFUNCTION("""COMPUTED_VALUE"""),"Dead Man")</f>
        <v>Dead Man</v>
      </c>
      <c r="R3859" s="5" t="str">
        <f>IFERROR(__xludf.DUMMYFUNCTION("""COMPUTED_VALUE"""),"Gary Farmer")</f>
        <v>Gary Farmer</v>
      </c>
      <c r="S3859" s="5" t="str">
        <f>IFERROR(__xludf.DUMMYFUNCTION("""COMPUTED_VALUE"""),"Estrela 2")</f>
        <v>Estrela 2</v>
      </c>
    </row>
    <row r="3860">
      <c r="G3860" s="5" t="str">
        <f>IFERROR(__xludf.DUMMYFUNCTION("""COMPUTED_VALUE"""),"965🤙🏼Dead Man🤙🏼Crispin Glover🤙🏼Estrela 3")</f>
        <v>965🤙🏼Dead Man🤙🏼Crispin Glover🤙🏼Estrela 3</v>
      </c>
      <c r="H3860" s="5">
        <f>IFERROR(__xludf.DUMMYFUNCTION("SPLiT(G3860, ""🤙🏼"",FALSE,FALSE)"),965.0)</f>
        <v>965</v>
      </c>
      <c r="I3860" s="5" t="str">
        <f>IFERROR(__xludf.DUMMYFUNCTION("""COMPUTED_VALUE"""),"Dead Man")</f>
        <v>Dead Man</v>
      </c>
      <c r="J3860" s="5" t="str">
        <f>IFERROR(__xludf.DUMMYFUNCTION("""COMPUTED_VALUE"""),"Crispin Glover")</f>
        <v>Crispin Glover</v>
      </c>
      <c r="K3860" s="5" t="str">
        <f>IFERROR(__xludf.DUMMYFUNCTION("""COMPUTED_VALUE"""),"Estrela 3")</f>
        <v>Estrela 3</v>
      </c>
      <c r="P3860" s="5">
        <f>IFERROR(__xludf.DUMMYFUNCTION("""COMPUTED_VALUE"""),965.0)</f>
        <v>965</v>
      </c>
      <c r="Q3860" s="5" t="str">
        <f>IFERROR(__xludf.DUMMYFUNCTION("""COMPUTED_VALUE"""),"Dead Man")</f>
        <v>Dead Man</v>
      </c>
      <c r="R3860" s="5" t="str">
        <f>IFERROR(__xludf.DUMMYFUNCTION("""COMPUTED_VALUE"""),"Crispin Glover")</f>
        <v>Crispin Glover</v>
      </c>
      <c r="S3860" s="5" t="str">
        <f>IFERROR(__xludf.DUMMYFUNCTION("""COMPUTED_VALUE"""),"Estrela 3")</f>
        <v>Estrela 3</v>
      </c>
    </row>
    <row r="3861">
      <c r="G3861" s="5" t="str">
        <f>IFERROR(__xludf.DUMMYFUNCTION("""COMPUTED_VALUE"""),"965🤙🏼Dead Man🤙🏼Lance Henriksen🤙🏼Estrela 4")</f>
        <v>965🤙🏼Dead Man🤙🏼Lance Henriksen🤙🏼Estrela 4</v>
      </c>
      <c r="H3861" s="5">
        <f>IFERROR(__xludf.DUMMYFUNCTION("SPLiT(G3861, ""🤙🏼"",FALSE,FALSE)"),965.0)</f>
        <v>965</v>
      </c>
      <c r="I3861" s="5" t="str">
        <f>IFERROR(__xludf.DUMMYFUNCTION("""COMPUTED_VALUE"""),"Dead Man")</f>
        <v>Dead Man</v>
      </c>
      <c r="J3861" s="5" t="str">
        <f>IFERROR(__xludf.DUMMYFUNCTION("""COMPUTED_VALUE"""),"Lance Henriksen")</f>
        <v>Lance Henriksen</v>
      </c>
      <c r="K3861" s="5" t="str">
        <f>IFERROR(__xludf.DUMMYFUNCTION("""COMPUTED_VALUE"""),"Estrela 4")</f>
        <v>Estrela 4</v>
      </c>
      <c r="P3861" s="5">
        <f>IFERROR(__xludf.DUMMYFUNCTION("""COMPUTED_VALUE"""),965.0)</f>
        <v>965</v>
      </c>
      <c r="Q3861" s="5" t="str">
        <f>IFERROR(__xludf.DUMMYFUNCTION("""COMPUTED_VALUE"""),"Dead Man")</f>
        <v>Dead Man</v>
      </c>
      <c r="R3861" s="5" t="str">
        <f>IFERROR(__xludf.DUMMYFUNCTION("""COMPUTED_VALUE"""),"Lance Henriksen")</f>
        <v>Lance Henriksen</v>
      </c>
      <c r="S3861" s="5" t="str">
        <f>IFERROR(__xludf.DUMMYFUNCTION("""COMPUTED_VALUE"""),"Estrela 4")</f>
        <v>Estrela 4</v>
      </c>
    </row>
    <row r="3862">
      <c r="G3862" s="5" t="str">
        <f>IFERROR(__xludf.DUMMYFUNCTION("""COMPUTED_VALUE"""),"966🤙🏼The Bridges of Madison County🤙🏼Clint Eastwood🤙🏼Estrela 1")</f>
        <v>966🤙🏼The Bridges of Madison County🤙🏼Clint Eastwood🤙🏼Estrela 1</v>
      </c>
      <c r="H3862" s="5">
        <f>IFERROR(__xludf.DUMMYFUNCTION("SPLiT(G3862, ""🤙🏼"",FALSE,FALSE)"),966.0)</f>
        <v>966</v>
      </c>
      <c r="I3862" s="5" t="str">
        <f>IFERROR(__xludf.DUMMYFUNCTION("""COMPUTED_VALUE"""),"The Bridges of Madison County")</f>
        <v>The Bridges of Madison County</v>
      </c>
      <c r="J3862" s="5" t="str">
        <f>IFERROR(__xludf.DUMMYFUNCTION("""COMPUTED_VALUE"""),"Clint Eastwood")</f>
        <v>Clint Eastwood</v>
      </c>
      <c r="K3862" s="5" t="str">
        <f>IFERROR(__xludf.DUMMYFUNCTION("""COMPUTED_VALUE"""),"Estrela 1")</f>
        <v>Estrela 1</v>
      </c>
      <c r="P3862" s="5">
        <f>IFERROR(__xludf.DUMMYFUNCTION("""COMPUTED_VALUE"""),966.0)</f>
        <v>966</v>
      </c>
      <c r="Q3862" s="5" t="str">
        <f>IFERROR(__xludf.DUMMYFUNCTION("""COMPUTED_VALUE"""),"The Bridges of Madison County")</f>
        <v>The Bridges of Madison County</v>
      </c>
      <c r="R3862" s="5" t="str">
        <f>IFERROR(__xludf.DUMMYFUNCTION("""COMPUTED_VALUE"""),"Clint Eastwood")</f>
        <v>Clint Eastwood</v>
      </c>
      <c r="S3862" s="5" t="str">
        <f>IFERROR(__xludf.DUMMYFUNCTION("""COMPUTED_VALUE"""),"Estrela 1")</f>
        <v>Estrela 1</v>
      </c>
    </row>
    <row r="3863">
      <c r="G3863" s="5" t="str">
        <f>IFERROR(__xludf.DUMMYFUNCTION("""COMPUTED_VALUE"""),"966🤙🏼The Bridges of Madison County🤙🏼Meryl Streep🤙🏼Estrela 2")</f>
        <v>966🤙🏼The Bridges of Madison County🤙🏼Meryl Streep🤙🏼Estrela 2</v>
      </c>
      <c r="H3863" s="5">
        <f>IFERROR(__xludf.DUMMYFUNCTION("SPLiT(G3863, ""🤙🏼"",FALSE,FALSE)"),966.0)</f>
        <v>966</v>
      </c>
      <c r="I3863" s="5" t="str">
        <f>IFERROR(__xludf.DUMMYFUNCTION("""COMPUTED_VALUE"""),"The Bridges of Madison County")</f>
        <v>The Bridges of Madison County</v>
      </c>
      <c r="J3863" s="5" t="str">
        <f>IFERROR(__xludf.DUMMYFUNCTION("""COMPUTED_VALUE"""),"Meryl Streep")</f>
        <v>Meryl Streep</v>
      </c>
      <c r="K3863" s="5" t="str">
        <f>IFERROR(__xludf.DUMMYFUNCTION("""COMPUTED_VALUE"""),"Estrela 2")</f>
        <v>Estrela 2</v>
      </c>
      <c r="P3863" s="5">
        <f>IFERROR(__xludf.DUMMYFUNCTION("""COMPUTED_VALUE"""),966.0)</f>
        <v>966</v>
      </c>
      <c r="Q3863" s="5" t="str">
        <f>IFERROR(__xludf.DUMMYFUNCTION("""COMPUTED_VALUE"""),"The Bridges of Madison County")</f>
        <v>The Bridges of Madison County</v>
      </c>
      <c r="R3863" s="5" t="str">
        <f>IFERROR(__xludf.DUMMYFUNCTION("""COMPUTED_VALUE"""),"Meryl Streep")</f>
        <v>Meryl Streep</v>
      </c>
      <c r="S3863" s="5" t="str">
        <f>IFERROR(__xludf.DUMMYFUNCTION("""COMPUTED_VALUE"""),"Estrela 2")</f>
        <v>Estrela 2</v>
      </c>
    </row>
    <row r="3864">
      <c r="G3864" s="5" t="str">
        <f>IFERROR(__xludf.DUMMYFUNCTION("""COMPUTED_VALUE"""),"966🤙🏼The Bridges of Madison County🤙🏼Annie Corley🤙🏼Estrela 3")</f>
        <v>966🤙🏼The Bridges of Madison County🤙🏼Annie Corley🤙🏼Estrela 3</v>
      </c>
      <c r="H3864" s="5">
        <f>IFERROR(__xludf.DUMMYFUNCTION("SPLiT(G3864, ""🤙🏼"",FALSE,FALSE)"),966.0)</f>
        <v>966</v>
      </c>
      <c r="I3864" s="5" t="str">
        <f>IFERROR(__xludf.DUMMYFUNCTION("""COMPUTED_VALUE"""),"The Bridges of Madison County")</f>
        <v>The Bridges of Madison County</v>
      </c>
      <c r="J3864" s="5" t="str">
        <f>IFERROR(__xludf.DUMMYFUNCTION("""COMPUTED_VALUE"""),"Annie Corley")</f>
        <v>Annie Corley</v>
      </c>
      <c r="K3864" s="5" t="str">
        <f>IFERROR(__xludf.DUMMYFUNCTION("""COMPUTED_VALUE"""),"Estrela 3")</f>
        <v>Estrela 3</v>
      </c>
      <c r="P3864" s="5">
        <f>IFERROR(__xludf.DUMMYFUNCTION("""COMPUTED_VALUE"""),966.0)</f>
        <v>966</v>
      </c>
      <c r="Q3864" s="5" t="str">
        <f>IFERROR(__xludf.DUMMYFUNCTION("""COMPUTED_VALUE"""),"The Bridges of Madison County")</f>
        <v>The Bridges of Madison County</v>
      </c>
      <c r="R3864" s="5" t="str">
        <f>IFERROR(__xludf.DUMMYFUNCTION("""COMPUTED_VALUE"""),"Annie Corley")</f>
        <v>Annie Corley</v>
      </c>
      <c r="S3864" s="5" t="str">
        <f>IFERROR(__xludf.DUMMYFUNCTION("""COMPUTED_VALUE"""),"Estrela 3")</f>
        <v>Estrela 3</v>
      </c>
    </row>
    <row r="3865">
      <c r="G3865" s="5" t="str">
        <f>IFERROR(__xludf.DUMMYFUNCTION("""COMPUTED_VALUE"""),"966🤙🏼The Bridges of Madison County🤙🏼Victor Slezak🤙🏼Estrela 4")</f>
        <v>966🤙🏼The Bridges of Madison County🤙🏼Victor Slezak🤙🏼Estrela 4</v>
      </c>
      <c r="H3865" s="5">
        <f>IFERROR(__xludf.DUMMYFUNCTION("SPLiT(G3865, ""🤙🏼"",FALSE,FALSE)"),966.0)</f>
        <v>966</v>
      </c>
      <c r="I3865" s="5" t="str">
        <f>IFERROR(__xludf.DUMMYFUNCTION("""COMPUTED_VALUE"""),"The Bridges of Madison County")</f>
        <v>The Bridges of Madison County</v>
      </c>
      <c r="J3865" s="5" t="str">
        <f>IFERROR(__xludf.DUMMYFUNCTION("""COMPUTED_VALUE"""),"Victor Slezak")</f>
        <v>Victor Slezak</v>
      </c>
      <c r="K3865" s="5" t="str">
        <f>IFERROR(__xludf.DUMMYFUNCTION("""COMPUTED_VALUE"""),"Estrela 4")</f>
        <v>Estrela 4</v>
      </c>
      <c r="P3865" s="5">
        <f>IFERROR(__xludf.DUMMYFUNCTION("""COMPUTED_VALUE"""),966.0)</f>
        <v>966</v>
      </c>
      <c r="Q3865" s="5" t="str">
        <f>IFERROR(__xludf.DUMMYFUNCTION("""COMPUTED_VALUE"""),"The Bridges of Madison County")</f>
        <v>The Bridges of Madison County</v>
      </c>
      <c r="R3865" s="5" t="str">
        <f>IFERROR(__xludf.DUMMYFUNCTION("""COMPUTED_VALUE"""),"Victor Slezak")</f>
        <v>Victor Slezak</v>
      </c>
      <c r="S3865" s="5" t="str">
        <f>IFERROR(__xludf.DUMMYFUNCTION("""COMPUTED_VALUE"""),"Estrela 4")</f>
        <v>Estrela 4</v>
      </c>
    </row>
    <row r="3866">
      <c r="G3866" s="5" t="str">
        <f>IFERROR(__xludf.DUMMYFUNCTION("""COMPUTED_VALUE"""),"967🤙🏼Apollo 13🤙🏼Tom Hanks🤙🏼Estrela 1")</f>
        <v>967🤙🏼Apollo 13🤙🏼Tom Hanks🤙🏼Estrela 1</v>
      </c>
      <c r="H3866" s="5">
        <f>IFERROR(__xludf.DUMMYFUNCTION("SPLiT(G3866, ""🤙🏼"",FALSE,FALSE)"),967.0)</f>
        <v>967</v>
      </c>
      <c r="I3866" s="5" t="str">
        <f>IFERROR(__xludf.DUMMYFUNCTION("""COMPUTED_VALUE"""),"Apollo 13")</f>
        <v>Apollo 13</v>
      </c>
      <c r="J3866" s="5" t="str">
        <f>IFERROR(__xludf.DUMMYFUNCTION("""COMPUTED_VALUE"""),"Tom Hanks")</f>
        <v>Tom Hanks</v>
      </c>
      <c r="K3866" s="5" t="str">
        <f>IFERROR(__xludf.DUMMYFUNCTION("""COMPUTED_VALUE"""),"Estrela 1")</f>
        <v>Estrela 1</v>
      </c>
      <c r="P3866" s="5">
        <f>IFERROR(__xludf.DUMMYFUNCTION("""COMPUTED_VALUE"""),967.0)</f>
        <v>967</v>
      </c>
      <c r="Q3866" s="5" t="str">
        <f>IFERROR(__xludf.DUMMYFUNCTION("""COMPUTED_VALUE"""),"Apollo 13")</f>
        <v>Apollo 13</v>
      </c>
      <c r="R3866" s="5" t="str">
        <f>IFERROR(__xludf.DUMMYFUNCTION("""COMPUTED_VALUE"""),"Tom Hanks")</f>
        <v>Tom Hanks</v>
      </c>
      <c r="S3866" s="5" t="str">
        <f>IFERROR(__xludf.DUMMYFUNCTION("""COMPUTED_VALUE"""),"Estrela 1")</f>
        <v>Estrela 1</v>
      </c>
    </row>
    <row r="3867">
      <c r="G3867" s="5" t="str">
        <f>IFERROR(__xludf.DUMMYFUNCTION("""COMPUTED_VALUE"""),"967🤙🏼Apollo 13🤙🏼Bill Paxton🤙🏼Estrela 2")</f>
        <v>967🤙🏼Apollo 13🤙🏼Bill Paxton🤙🏼Estrela 2</v>
      </c>
      <c r="H3867" s="5">
        <f>IFERROR(__xludf.DUMMYFUNCTION("SPLiT(G3867, ""🤙🏼"",FALSE,FALSE)"),967.0)</f>
        <v>967</v>
      </c>
      <c r="I3867" s="5" t="str">
        <f>IFERROR(__xludf.DUMMYFUNCTION("""COMPUTED_VALUE"""),"Apollo 13")</f>
        <v>Apollo 13</v>
      </c>
      <c r="J3867" s="5" t="str">
        <f>IFERROR(__xludf.DUMMYFUNCTION("""COMPUTED_VALUE"""),"Bill Paxton")</f>
        <v>Bill Paxton</v>
      </c>
      <c r="K3867" s="5" t="str">
        <f>IFERROR(__xludf.DUMMYFUNCTION("""COMPUTED_VALUE"""),"Estrela 2")</f>
        <v>Estrela 2</v>
      </c>
      <c r="P3867" s="5">
        <f>IFERROR(__xludf.DUMMYFUNCTION("""COMPUTED_VALUE"""),967.0)</f>
        <v>967</v>
      </c>
      <c r="Q3867" s="5" t="str">
        <f>IFERROR(__xludf.DUMMYFUNCTION("""COMPUTED_VALUE"""),"Apollo 13")</f>
        <v>Apollo 13</v>
      </c>
      <c r="R3867" s="5" t="str">
        <f>IFERROR(__xludf.DUMMYFUNCTION("""COMPUTED_VALUE"""),"Bill Paxton")</f>
        <v>Bill Paxton</v>
      </c>
      <c r="S3867" s="5" t="str">
        <f>IFERROR(__xludf.DUMMYFUNCTION("""COMPUTED_VALUE"""),"Estrela 2")</f>
        <v>Estrela 2</v>
      </c>
    </row>
    <row r="3868">
      <c r="G3868" s="5" t="str">
        <f>IFERROR(__xludf.DUMMYFUNCTION("""COMPUTED_VALUE"""),"967🤙🏼Apollo 13🤙🏼Kevin Bacon🤙🏼Estrela 3")</f>
        <v>967🤙🏼Apollo 13🤙🏼Kevin Bacon🤙🏼Estrela 3</v>
      </c>
      <c r="H3868" s="5">
        <f>IFERROR(__xludf.DUMMYFUNCTION("SPLiT(G3868, ""🤙🏼"",FALSE,FALSE)"),967.0)</f>
        <v>967</v>
      </c>
      <c r="I3868" s="5" t="str">
        <f>IFERROR(__xludf.DUMMYFUNCTION("""COMPUTED_VALUE"""),"Apollo 13")</f>
        <v>Apollo 13</v>
      </c>
      <c r="J3868" s="5" t="str">
        <f>IFERROR(__xludf.DUMMYFUNCTION("""COMPUTED_VALUE"""),"Kevin Bacon")</f>
        <v>Kevin Bacon</v>
      </c>
      <c r="K3868" s="5" t="str">
        <f>IFERROR(__xludf.DUMMYFUNCTION("""COMPUTED_VALUE"""),"Estrela 3")</f>
        <v>Estrela 3</v>
      </c>
      <c r="P3868" s="5">
        <f>IFERROR(__xludf.DUMMYFUNCTION("""COMPUTED_VALUE"""),967.0)</f>
        <v>967</v>
      </c>
      <c r="Q3868" s="5" t="str">
        <f>IFERROR(__xludf.DUMMYFUNCTION("""COMPUTED_VALUE"""),"Apollo 13")</f>
        <v>Apollo 13</v>
      </c>
      <c r="R3868" s="5" t="str">
        <f>IFERROR(__xludf.DUMMYFUNCTION("""COMPUTED_VALUE"""),"Kevin Bacon")</f>
        <v>Kevin Bacon</v>
      </c>
      <c r="S3868" s="5" t="str">
        <f>IFERROR(__xludf.DUMMYFUNCTION("""COMPUTED_VALUE"""),"Estrela 3")</f>
        <v>Estrela 3</v>
      </c>
    </row>
    <row r="3869">
      <c r="G3869" s="5" t="str">
        <f>IFERROR(__xludf.DUMMYFUNCTION("""COMPUTED_VALUE"""),"967🤙🏼Apollo 13🤙🏼Gary Sinise🤙🏼Estrela 4")</f>
        <v>967🤙🏼Apollo 13🤙🏼Gary Sinise🤙🏼Estrela 4</v>
      </c>
      <c r="H3869" s="5">
        <f>IFERROR(__xludf.DUMMYFUNCTION("SPLiT(G3869, ""🤙🏼"",FALSE,FALSE)"),967.0)</f>
        <v>967</v>
      </c>
      <c r="I3869" s="5" t="str">
        <f>IFERROR(__xludf.DUMMYFUNCTION("""COMPUTED_VALUE"""),"Apollo 13")</f>
        <v>Apollo 13</v>
      </c>
      <c r="J3869" s="5" t="str">
        <f>IFERROR(__xludf.DUMMYFUNCTION("""COMPUTED_VALUE"""),"Gary Sinise")</f>
        <v>Gary Sinise</v>
      </c>
      <c r="K3869" s="5" t="str">
        <f>IFERROR(__xludf.DUMMYFUNCTION("""COMPUTED_VALUE"""),"Estrela 4")</f>
        <v>Estrela 4</v>
      </c>
      <c r="P3869" s="5">
        <f>IFERROR(__xludf.DUMMYFUNCTION("""COMPUTED_VALUE"""),967.0)</f>
        <v>967</v>
      </c>
      <c r="Q3869" s="5" t="str">
        <f>IFERROR(__xludf.DUMMYFUNCTION("""COMPUTED_VALUE"""),"Apollo 13")</f>
        <v>Apollo 13</v>
      </c>
      <c r="R3869" s="5" t="str">
        <f>IFERROR(__xludf.DUMMYFUNCTION("""COMPUTED_VALUE"""),"Gary Sinise")</f>
        <v>Gary Sinise</v>
      </c>
      <c r="S3869" s="5" t="str">
        <f>IFERROR(__xludf.DUMMYFUNCTION("""COMPUTED_VALUE"""),"Estrela 4")</f>
        <v>Estrela 4</v>
      </c>
    </row>
    <row r="3870">
      <c r="G3870" s="5" t="str">
        <f>IFERROR(__xludf.DUMMYFUNCTION("""COMPUTED_VALUE"""),"968🤙🏼Trois couleurs: Blanc🤙🏼Zbigniew Zamachowski🤙🏼Estrela 1")</f>
        <v>968🤙🏼Trois couleurs: Blanc🤙🏼Zbigniew Zamachowski🤙🏼Estrela 1</v>
      </c>
      <c r="H3870" s="5">
        <f>IFERROR(__xludf.DUMMYFUNCTION("SPLiT(G3870, ""🤙🏼"",FALSE,FALSE)"),968.0)</f>
        <v>968</v>
      </c>
      <c r="I3870" s="5" t="str">
        <f>IFERROR(__xludf.DUMMYFUNCTION("""COMPUTED_VALUE"""),"Trois couleurs: Blanc")</f>
        <v>Trois couleurs: Blanc</v>
      </c>
      <c r="J3870" s="5" t="str">
        <f>IFERROR(__xludf.DUMMYFUNCTION("""COMPUTED_VALUE"""),"Zbigniew Zamachowski")</f>
        <v>Zbigniew Zamachowski</v>
      </c>
      <c r="K3870" s="5" t="str">
        <f>IFERROR(__xludf.DUMMYFUNCTION("""COMPUTED_VALUE"""),"Estrela 1")</f>
        <v>Estrela 1</v>
      </c>
      <c r="P3870" s="5">
        <f>IFERROR(__xludf.DUMMYFUNCTION("""COMPUTED_VALUE"""),968.0)</f>
        <v>968</v>
      </c>
      <c r="Q3870" s="5" t="str">
        <f>IFERROR(__xludf.DUMMYFUNCTION("""COMPUTED_VALUE"""),"Trois couleurs: Blanc")</f>
        <v>Trois couleurs: Blanc</v>
      </c>
      <c r="R3870" s="5" t="str">
        <f>IFERROR(__xludf.DUMMYFUNCTION("""COMPUTED_VALUE"""),"Zbigniew Zamachowski")</f>
        <v>Zbigniew Zamachowski</v>
      </c>
      <c r="S3870" s="5" t="str">
        <f>IFERROR(__xludf.DUMMYFUNCTION("""COMPUTED_VALUE"""),"Estrela 1")</f>
        <v>Estrela 1</v>
      </c>
    </row>
    <row r="3871">
      <c r="G3871" s="5" t="str">
        <f>IFERROR(__xludf.DUMMYFUNCTION("""COMPUTED_VALUE"""),"968🤙🏼Trois couleurs: Blanc🤙🏼Julie Delpy🤙🏼Estrela 2")</f>
        <v>968🤙🏼Trois couleurs: Blanc🤙🏼Julie Delpy🤙🏼Estrela 2</v>
      </c>
      <c r="H3871" s="5">
        <f>IFERROR(__xludf.DUMMYFUNCTION("SPLiT(G3871, ""🤙🏼"",FALSE,FALSE)"),968.0)</f>
        <v>968</v>
      </c>
      <c r="I3871" s="5" t="str">
        <f>IFERROR(__xludf.DUMMYFUNCTION("""COMPUTED_VALUE"""),"Trois couleurs: Blanc")</f>
        <v>Trois couleurs: Blanc</v>
      </c>
      <c r="J3871" s="5" t="str">
        <f>IFERROR(__xludf.DUMMYFUNCTION("""COMPUTED_VALUE"""),"Julie Delpy")</f>
        <v>Julie Delpy</v>
      </c>
      <c r="K3871" s="5" t="str">
        <f>IFERROR(__xludf.DUMMYFUNCTION("""COMPUTED_VALUE"""),"Estrela 2")</f>
        <v>Estrela 2</v>
      </c>
      <c r="P3871" s="5">
        <f>IFERROR(__xludf.DUMMYFUNCTION("""COMPUTED_VALUE"""),968.0)</f>
        <v>968</v>
      </c>
      <c r="Q3871" s="5" t="str">
        <f>IFERROR(__xludf.DUMMYFUNCTION("""COMPUTED_VALUE"""),"Trois couleurs: Blanc")</f>
        <v>Trois couleurs: Blanc</v>
      </c>
      <c r="R3871" s="5" t="str">
        <f>IFERROR(__xludf.DUMMYFUNCTION("""COMPUTED_VALUE"""),"Julie Delpy")</f>
        <v>Julie Delpy</v>
      </c>
      <c r="S3871" s="5" t="str">
        <f>IFERROR(__xludf.DUMMYFUNCTION("""COMPUTED_VALUE"""),"Estrela 2")</f>
        <v>Estrela 2</v>
      </c>
    </row>
    <row r="3872">
      <c r="G3872" s="5" t="str">
        <f>IFERROR(__xludf.DUMMYFUNCTION("""COMPUTED_VALUE"""),"968🤙🏼Trois couleurs: Blanc🤙🏼Janusz Gajos🤙🏼Estrela 3")</f>
        <v>968🤙🏼Trois couleurs: Blanc🤙🏼Janusz Gajos🤙🏼Estrela 3</v>
      </c>
      <c r="H3872" s="5">
        <f>IFERROR(__xludf.DUMMYFUNCTION("SPLiT(G3872, ""🤙🏼"",FALSE,FALSE)"),968.0)</f>
        <v>968</v>
      </c>
      <c r="I3872" s="5" t="str">
        <f>IFERROR(__xludf.DUMMYFUNCTION("""COMPUTED_VALUE"""),"Trois couleurs: Blanc")</f>
        <v>Trois couleurs: Blanc</v>
      </c>
      <c r="J3872" s="5" t="str">
        <f>IFERROR(__xludf.DUMMYFUNCTION("""COMPUTED_VALUE"""),"Janusz Gajos")</f>
        <v>Janusz Gajos</v>
      </c>
      <c r="K3872" s="5" t="str">
        <f>IFERROR(__xludf.DUMMYFUNCTION("""COMPUTED_VALUE"""),"Estrela 3")</f>
        <v>Estrela 3</v>
      </c>
      <c r="P3872" s="5">
        <f>IFERROR(__xludf.DUMMYFUNCTION("""COMPUTED_VALUE"""),968.0)</f>
        <v>968</v>
      </c>
      <c r="Q3872" s="5" t="str">
        <f>IFERROR(__xludf.DUMMYFUNCTION("""COMPUTED_VALUE"""),"Trois couleurs: Blanc")</f>
        <v>Trois couleurs: Blanc</v>
      </c>
      <c r="R3872" s="5" t="str">
        <f>IFERROR(__xludf.DUMMYFUNCTION("""COMPUTED_VALUE"""),"Janusz Gajos")</f>
        <v>Janusz Gajos</v>
      </c>
      <c r="S3872" s="5" t="str">
        <f>IFERROR(__xludf.DUMMYFUNCTION("""COMPUTED_VALUE"""),"Estrela 3")</f>
        <v>Estrela 3</v>
      </c>
    </row>
    <row r="3873">
      <c r="G3873" s="5" t="str">
        <f>IFERROR(__xludf.DUMMYFUNCTION("""COMPUTED_VALUE"""),"968🤙🏼Trois couleurs: Blanc🤙🏼Jerzy Stuhr🤙🏼Estrela 4")</f>
        <v>968🤙🏼Trois couleurs: Blanc🤙🏼Jerzy Stuhr🤙🏼Estrela 4</v>
      </c>
      <c r="H3873" s="5">
        <f>IFERROR(__xludf.DUMMYFUNCTION("SPLiT(G3873, ""🤙🏼"",FALSE,FALSE)"),968.0)</f>
        <v>968</v>
      </c>
      <c r="I3873" s="5" t="str">
        <f>IFERROR(__xludf.DUMMYFUNCTION("""COMPUTED_VALUE"""),"Trois couleurs: Blanc")</f>
        <v>Trois couleurs: Blanc</v>
      </c>
      <c r="J3873" s="5" t="str">
        <f>IFERROR(__xludf.DUMMYFUNCTION("""COMPUTED_VALUE"""),"Jerzy Stuhr")</f>
        <v>Jerzy Stuhr</v>
      </c>
      <c r="K3873" s="5" t="str">
        <f>IFERROR(__xludf.DUMMYFUNCTION("""COMPUTED_VALUE"""),"Estrela 4")</f>
        <v>Estrela 4</v>
      </c>
      <c r="P3873" s="5">
        <f>IFERROR(__xludf.DUMMYFUNCTION("""COMPUTED_VALUE"""),968.0)</f>
        <v>968</v>
      </c>
      <c r="Q3873" s="5" t="str">
        <f>IFERROR(__xludf.DUMMYFUNCTION("""COMPUTED_VALUE"""),"Trois couleurs: Blanc")</f>
        <v>Trois couleurs: Blanc</v>
      </c>
      <c r="R3873" s="5" t="str">
        <f>IFERROR(__xludf.DUMMYFUNCTION("""COMPUTED_VALUE"""),"Jerzy Stuhr")</f>
        <v>Jerzy Stuhr</v>
      </c>
      <c r="S3873" s="5" t="str">
        <f>IFERROR(__xludf.DUMMYFUNCTION("""COMPUTED_VALUE"""),"Estrela 4")</f>
        <v>Estrela 4</v>
      </c>
    </row>
    <row r="3874">
      <c r="G3874" s="5" t="str">
        <f>IFERROR(__xludf.DUMMYFUNCTION("""COMPUTED_VALUE"""),"969🤙🏼Falling Down🤙🏼Michael Douglas🤙🏼Estrela 1")</f>
        <v>969🤙🏼Falling Down🤙🏼Michael Douglas🤙🏼Estrela 1</v>
      </c>
      <c r="H3874" s="5">
        <f>IFERROR(__xludf.DUMMYFUNCTION("SPLiT(G3874, ""🤙🏼"",FALSE,FALSE)"),969.0)</f>
        <v>969</v>
      </c>
      <c r="I3874" s="5" t="str">
        <f>IFERROR(__xludf.DUMMYFUNCTION("""COMPUTED_VALUE"""),"Falling Down")</f>
        <v>Falling Down</v>
      </c>
      <c r="J3874" s="5" t="str">
        <f>IFERROR(__xludf.DUMMYFUNCTION("""COMPUTED_VALUE"""),"Michael Douglas")</f>
        <v>Michael Douglas</v>
      </c>
      <c r="K3874" s="5" t="str">
        <f>IFERROR(__xludf.DUMMYFUNCTION("""COMPUTED_VALUE"""),"Estrela 1")</f>
        <v>Estrela 1</v>
      </c>
      <c r="P3874" s="5">
        <f>IFERROR(__xludf.DUMMYFUNCTION("""COMPUTED_VALUE"""),969.0)</f>
        <v>969</v>
      </c>
      <c r="Q3874" s="5" t="str">
        <f>IFERROR(__xludf.DUMMYFUNCTION("""COMPUTED_VALUE"""),"Falling Down")</f>
        <v>Falling Down</v>
      </c>
      <c r="R3874" s="5" t="str">
        <f>IFERROR(__xludf.DUMMYFUNCTION("""COMPUTED_VALUE"""),"Michael Douglas")</f>
        <v>Michael Douglas</v>
      </c>
      <c r="S3874" s="5" t="str">
        <f>IFERROR(__xludf.DUMMYFUNCTION("""COMPUTED_VALUE"""),"Estrela 1")</f>
        <v>Estrela 1</v>
      </c>
    </row>
    <row r="3875">
      <c r="G3875" s="5" t="str">
        <f>IFERROR(__xludf.DUMMYFUNCTION("""COMPUTED_VALUE"""),"969🤙🏼Falling Down🤙🏼Robert Duvall🤙🏼Estrela 2")</f>
        <v>969🤙🏼Falling Down🤙🏼Robert Duvall🤙🏼Estrela 2</v>
      </c>
      <c r="H3875" s="5">
        <f>IFERROR(__xludf.DUMMYFUNCTION("SPLiT(G3875, ""🤙🏼"",FALSE,FALSE)"),969.0)</f>
        <v>969</v>
      </c>
      <c r="I3875" s="5" t="str">
        <f>IFERROR(__xludf.DUMMYFUNCTION("""COMPUTED_VALUE"""),"Falling Down")</f>
        <v>Falling Down</v>
      </c>
      <c r="J3875" s="5" t="str">
        <f>IFERROR(__xludf.DUMMYFUNCTION("""COMPUTED_VALUE"""),"Robert Duvall")</f>
        <v>Robert Duvall</v>
      </c>
      <c r="K3875" s="5" t="str">
        <f>IFERROR(__xludf.DUMMYFUNCTION("""COMPUTED_VALUE"""),"Estrela 2")</f>
        <v>Estrela 2</v>
      </c>
      <c r="P3875" s="5">
        <f>IFERROR(__xludf.DUMMYFUNCTION("""COMPUTED_VALUE"""),969.0)</f>
        <v>969</v>
      </c>
      <c r="Q3875" s="5" t="str">
        <f>IFERROR(__xludf.DUMMYFUNCTION("""COMPUTED_VALUE"""),"Falling Down")</f>
        <v>Falling Down</v>
      </c>
      <c r="R3875" s="5" t="str">
        <f>IFERROR(__xludf.DUMMYFUNCTION("""COMPUTED_VALUE"""),"Robert Duvall")</f>
        <v>Robert Duvall</v>
      </c>
      <c r="S3875" s="5" t="str">
        <f>IFERROR(__xludf.DUMMYFUNCTION("""COMPUTED_VALUE"""),"Estrela 2")</f>
        <v>Estrela 2</v>
      </c>
    </row>
    <row r="3876">
      <c r="G3876" s="5" t="str">
        <f>IFERROR(__xludf.DUMMYFUNCTION("""COMPUTED_VALUE"""),"969🤙🏼Falling Down🤙🏼Barbara Hershey🤙🏼Estrela 3")</f>
        <v>969🤙🏼Falling Down🤙🏼Barbara Hershey🤙🏼Estrela 3</v>
      </c>
      <c r="H3876" s="5">
        <f>IFERROR(__xludf.DUMMYFUNCTION("SPLiT(G3876, ""🤙🏼"",FALSE,FALSE)"),969.0)</f>
        <v>969</v>
      </c>
      <c r="I3876" s="5" t="str">
        <f>IFERROR(__xludf.DUMMYFUNCTION("""COMPUTED_VALUE"""),"Falling Down")</f>
        <v>Falling Down</v>
      </c>
      <c r="J3876" s="5" t="str">
        <f>IFERROR(__xludf.DUMMYFUNCTION("""COMPUTED_VALUE"""),"Barbara Hershey")</f>
        <v>Barbara Hershey</v>
      </c>
      <c r="K3876" s="5" t="str">
        <f>IFERROR(__xludf.DUMMYFUNCTION("""COMPUTED_VALUE"""),"Estrela 3")</f>
        <v>Estrela 3</v>
      </c>
      <c r="P3876" s="5">
        <f>IFERROR(__xludf.DUMMYFUNCTION("""COMPUTED_VALUE"""),969.0)</f>
        <v>969</v>
      </c>
      <c r="Q3876" s="5" t="str">
        <f>IFERROR(__xludf.DUMMYFUNCTION("""COMPUTED_VALUE"""),"Falling Down")</f>
        <v>Falling Down</v>
      </c>
      <c r="R3876" s="5" t="str">
        <f>IFERROR(__xludf.DUMMYFUNCTION("""COMPUTED_VALUE"""),"Barbara Hershey")</f>
        <v>Barbara Hershey</v>
      </c>
      <c r="S3876" s="5" t="str">
        <f>IFERROR(__xludf.DUMMYFUNCTION("""COMPUTED_VALUE"""),"Estrela 3")</f>
        <v>Estrela 3</v>
      </c>
    </row>
    <row r="3877">
      <c r="G3877" s="5" t="str">
        <f>IFERROR(__xludf.DUMMYFUNCTION("""COMPUTED_VALUE"""),"969🤙🏼Falling Down🤙🏼Rachel Ticotin🤙🏼Estrela 4")</f>
        <v>969🤙🏼Falling Down🤙🏼Rachel Ticotin🤙🏼Estrela 4</v>
      </c>
      <c r="H3877" s="5">
        <f>IFERROR(__xludf.DUMMYFUNCTION("SPLiT(G3877, ""🤙🏼"",FALSE,FALSE)"),969.0)</f>
        <v>969</v>
      </c>
      <c r="I3877" s="5" t="str">
        <f>IFERROR(__xludf.DUMMYFUNCTION("""COMPUTED_VALUE"""),"Falling Down")</f>
        <v>Falling Down</v>
      </c>
      <c r="J3877" s="5" t="str">
        <f>IFERROR(__xludf.DUMMYFUNCTION("""COMPUTED_VALUE"""),"Rachel Ticotin")</f>
        <v>Rachel Ticotin</v>
      </c>
      <c r="K3877" s="5" t="str">
        <f>IFERROR(__xludf.DUMMYFUNCTION("""COMPUTED_VALUE"""),"Estrela 4")</f>
        <v>Estrela 4</v>
      </c>
      <c r="P3877" s="5">
        <f>IFERROR(__xludf.DUMMYFUNCTION("""COMPUTED_VALUE"""),969.0)</f>
        <v>969</v>
      </c>
      <c r="Q3877" s="5" t="str">
        <f>IFERROR(__xludf.DUMMYFUNCTION("""COMPUTED_VALUE"""),"Falling Down")</f>
        <v>Falling Down</v>
      </c>
      <c r="R3877" s="5" t="str">
        <f>IFERROR(__xludf.DUMMYFUNCTION("""COMPUTED_VALUE"""),"Rachel Ticotin")</f>
        <v>Rachel Ticotin</v>
      </c>
      <c r="S3877" s="5" t="str">
        <f>IFERROR(__xludf.DUMMYFUNCTION("""COMPUTED_VALUE"""),"Estrela 4")</f>
        <v>Estrela 4</v>
      </c>
    </row>
    <row r="3878">
      <c r="G3878" s="5" t="str">
        <f>IFERROR(__xludf.DUMMYFUNCTION("""COMPUTED_VALUE"""),"970🤙🏼Dazed and Confused🤙🏼Jason London🤙🏼Estrela 1")</f>
        <v>970🤙🏼Dazed and Confused🤙🏼Jason London🤙🏼Estrela 1</v>
      </c>
      <c r="H3878" s="5">
        <f>IFERROR(__xludf.DUMMYFUNCTION("SPLiT(G3878, ""🤙🏼"",FALSE,FALSE)"),970.0)</f>
        <v>970</v>
      </c>
      <c r="I3878" s="5" t="str">
        <f>IFERROR(__xludf.DUMMYFUNCTION("""COMPUTED_VALUE"""),"Dazed and Confused")</f>
        <v>Dazed and Confused</v>
      </c>
      <c r="J3878" s="5" t="str">
        <f>IFERROR(__xludf.DUMMYFUNCTION("""COMPUTED_VALUE"""),"Jason London")</f>
        <v>Jason London</v>
      </c>
      <c r="K3878" s="5" t="str">
        <f>IFERROR(__xludf.DUMMYFUNCTION("""COMPUTED_VALUE"""),"Estrela 1")</f>
        <v>Estrela 1</v>
      </c>
      <c r="P3878" s="5">
        <f>IFERROR(__xludf.DUMMYFUNCTION("""COMPUTED_VALUE"""),970.0)</f>
        <v>970</v>
      </c>
      <c r="Q3878" s="5" t="str">
        <f>IFERROR(__xludf.DUMMYFUNCTION("""COMPUTED_VALUE"""),"Dazed and Confused")</f>
        <v>Dazed and Confused</v>
      </c>
      <c r="R3878" s="5" t="str">
        <f>IFERROR(__xludf.DUMMYFUNCTION("""COMPUTED_VALUE"""),"Jason London")</f>
        <v>Jason London</v>
      </c>
      <c r="S3878" s="5" t="str">
        <f>IFERROR(__xludf.DUMMYFUNCTION("""COMPUTED_VALUE"""),"Estrela 1")</f>
        <v>Estrela 1</v>
      </c>
    </row>
    <row r="3879">
      <c r="G3879" s="5" t="str">
        <f>IFERROR(__xludf.DUMMYFUNCTION("""COMPUTED_VALUE"""),"970🤙🏼Dazed and Confused🤙🏼Wiley Wiggins🤙🏼Estrela 2")</f>
        <v>970🤙🏼Dazed and Confused🤙🏼Wiley Wiggins🤙🏼Estrela 2</v>
      </c>
      <c r="H3879" s="5">
        <f>IFERROR(__xludf.DUMMYFUNCTION("SPLiT(G3879, ""🤙🏼"",FALSE,FALSE)"),970.0)</f>
        <v>970</v>
      </c>
      <c r="I3879" s="5" t="str">
        <f>IFERROR(__xludf.DUMMYFUNCTION("""COMPUTED_VALUE"""),"Dazed and Confused")</f>
        <v>Dazed and Confused</v>
      </c>
      <c r="J3879" s="5" t="str">
        <f>IFERROR(__xludf.DUMMYFUNCTION("""COMPUTED_VALUE"""),"Wiley Wiggins")</f>
        <v>Wiley Wiggins</v>
      </c>
      <c r="K3879" s="5" t="str">
        <f>IFERROR(__xludf.DUMMYFUNCTION("""COMPUTED_VALUE"""),"Estrela 2")</f>
        <v>Estrela 2</v>
      </c>
      <c r="P3879" s="5">
        <f>IFERROR(__xludf.DUMMYFUNCTION("""COMPUTED_VALUE"""),970.0)</f>
        <v>970</v>
      </c>
      <c r="Q3879" s="5" t="str">
        <f>IFERROR(__xludf.DUMMYFUNCTION("""COMPUTED_VALUE"""),"Dazed and Confused")</f>
        <v>Dazed and Confused</v>
      </c>
      <c r="R3879" s="5" t="str">
        <f>IFERROR(__xludf.DUMMYFUNCTION("""COMPUTED_VALUE"""),"Wiley Wiggins")</f>
        <v>Wiley Wiggins</v>
      </c>
      <c r="S3879" s="5" t="str">
        <f>IFERROR(__xludf.DUMMYFUNCTION("""COMPUTED_VALUE"""),"Estrela 2")</f>
        <v>Estrela 2</v>
      </c>
    </row>
    <row r="3880">
      <c r="G3880" s="5" t="str">
        <f>IFERROR(__xludf.DUMMYFUNCTION("""COMPUTED_VALUE"""),"970🤙🏼Dazed and Confused🤙🏼Matthew McConaughey🤙🏼Estrela 3")</f>
        <v>970🤙🏼Dazed and Confused🤙🏼Matthew McConaughey🤙🏼Estrela 3</v>
      </c>
      <c r="H3880" s="5">
        <f>IFERROR(__xludf.DUMMYFUNCTION("SPLiT(G3880, ""🤙🏼"",FALSE,FALSE)"),970.0)</f>
        <v>970</v>
      </c>
      <c r="I3880" s="5" t="str">
        <f>IFERROR(__xludf.DUMMYFUNCTION("""COMPUTED_VALUE"""),"Dazed and Confused")</f>
        <v>Dazed and Confused</v>
      </c>
      <c r="J3880" s="5" t="str">
        <f>IFERROR(__xludf.DUMMYFUNCTION("""COMPUTED_VALUE"""),"Matthew McConaughey")</f>
        <v>Matthew McConaughey</v>
      </c>
      <c r="K3880" s="5" t="str">
        <f>IFERROR(__xludf.DUMMYFUNCTION("""COMPUTED_VALUE"""),"Estrela 3")</f>
        <v>Estrela 3</v>
      </c>
      <c r="P3880" s="5">
        <f>IFERROR(__xludf.DUMMYFUNCTION("""COMPUTED_VALUE"""),970.0)</f>
        <v>970</v>
      </c>
      <c r="Q3880" s="5" t="str">
        <f>IFERROR(__xludf.DUMMYFUNCTION("""COMPUTED_VALUE"""),"Dazed and Confused")</f>
        <v>Dazed and Confused</v>
      </c>
      <c r="R3880" s="5" t="str">
        <f>IFERROR(__xludf.DUMMYFUNCTION("""COMPUTED_VALUE"""),"Matthew McConaughey")</f>
        <v>Matthew McConaughey</v>
      </c>
      <c r="S3880" s="5" t="str">
        <f>IFERROR(__xludf.DUMMYFUNCTION("""COMPUTED_VALUE"""),"Estrela 3")</f>
        <v>Estrela 3</v>
      </c>
    </row>
    <row r="3881">
      <c r="G3881" s="5" t="str">
        <f>IFERROR(__xludf.DUMMYFUNCTION("""COMPUTED_VALUE"""),"970🤙🏼Dazed and Confused🤙🏼Rory Cochrane🤙🏼Estrela 4")</f>
        <v>970🤙🏼Dazed and Confused🤙🏼Rory Cochrane🤙🏼Estrela 4</v>
      </c>
      <c r="H3881" s="5">
        <f>IFERROR(__xludf.DUMMYFUNCTION("SPLiT(G3881, ""🤙🏼"",FALSE,FALSE)"),970.0)</f>
        <v>970</v>
      </c>
      <c r="I3881" s="5" t="str">
        <f>IFERROR(__xludf.DUMMYFUNCTION("""COMPUTED_VALUE"""),"Dazed and Confused")</f>
        <v>Dazed and Confused</v>
      </c>
      <c r="J3881" s="5" t="str">
        <f>IFERROR(__xludf.DUMMYFUNCTION("""COMPUTED_VALUE"""),"Rory Cochrane")</f>
        <v>Rory Cochrane</v>
      </c>
      <c r="K3881" s="5" t="str">
        <f>IFERROR(__xludf.DUMMYFUNCTION("""COMPUTED_VALUE"""),"Estrela 4")</f>
        <v>Estrela 4</v>
      </c>
      <c r="P3881" s="5">
        <f>IFERROR(__xludf.DUMMYFUNCTION("""COMPUTED_VALUE"""),970.0)</f>
        <v>970</v>
      </c>
      <c r="Q3881" s="5" t="str">
        <f>IFERROR(__xludf.DUMMYFUNCTION("""COMPUTED_VALUE"""),"Dazed and Confused")</f>
        <v>Dazed and Confused</v>
      </c>
      <c r="R3881" s="5" t="str">
        <f>IFERROR(__xludf.DUMMYFUNCTION("""COMPUTED_VALUE"""),"Rory Cochrane")</f>
        <v>Rory Cochrane</v>
      </c>
      <c r="S3881" s="5" t="str">
        <f>IFERROR(__xludf.DUMMYFUNCTION("""COMPUTED_VALUE"""),"Estrela 4")</f>
        <v>Estrela 4</v>
      </c>
    </row>
    <row r="3882">
      <c r="G3882" s="5" t="str">
        <f>IFERROR(__xludf.DUMMYFUNCTION("""COMPUTED_VALUE"""),"971🤙🏼My Cousin Vinny🤙🏼Joe Pesci🤙🏼Estrela 1")</f>
        <v>971🤙🏼My Cousin Vinny🤙🏼Joe Pesci🤙🏼Estrela 1</v>
      </c>
      <c r="H3882" s="5">
        <f>IFERROR(__xludf.DUMMYFUNCTION("SPLiT(G3882, ""🤙🏼"",FALSE,FALSE)"),971.0)</f>
        <v>971</v>
      </c>
      <c r="I3882" s="5" t="str">
        <f>IFERROR(__xludf.DUMMYFUNCTION("""COMPUTED_VALUE"""),"My Cousin Vinny")</f>
        <v>My Cousin Vinny</v>
      </c>
      <c r="J3882" s="5" t="str">
        <f>IFERROR(__xludf.DUMMYFUNCTION("""COMPUTED_VALUE"""),"Joe Pesci")</f>
        <v>Joe Pesci</v>
      </c>
      <c r="K3882" s="5" t="str">
        <f>IFERROR(__xludf.DUMMYFUNCTION("""COMPUTED_VALUE"""),"Estrela 1")</f>
        <v>Estrela 1</v>
      </c>
      <c r="P3882" s="5">
        <f>IFERROR(__xludf.DUMMYFUNCTION("""COMPUTED_VALUE"""),971.0)</f>
        <v>971</v>
      </c>
      <c r="Q3882" s="5" t="str">
        <f>IFERROR(__xludf.DUMMYFUNCTION("""COMPUTED_VALUE"""),"My Cousin Vinny")</f>
        <v>My Cousin Vinny</v>
      </c>
      <c r="R3882" s="5" t="str">
        <f>IFERROR(__xludf.DUMMYFUNCTION("""COMPUTED_VALUE"""),"Joe Pesci")</f>
        <v>Joe Pesci</v>
      </c>
      <c r="S3882" s="5" t="str">
        <f>IFERROR(__xludf.DUMMYFUNCTION("""COMPUTED_VALUE"""),"Estrela 1")</f>
        <v>Estrela 1</v>
      </c>
    </row>
    <row r="3883">
      <c r="G3883" s="5" t="str">
        <f>IFERROR(__xludf.DUMMYFUNCTION("""COMPUTED_VALUE"""),"971🤙🏼My Cousin Vinny🤙🏼Marisa Tomei🤙🏼Estrela 2")</f>
        <v>971🤙🏼My Cousin Vinny🤙🏼Marisa Tomei🤙🏼Estrela 2</v>
      </c>
      <c r="H3883" s="5">
        <f>IFERROR(__xludf.DUMMYFUNCTION("SPLiT(G3883, ""🤙🏼"",FALSE,FALSE)"),971.0)</f>
        <v>971</v>
      </c>
      <c r="I3883" s="5" t="str">
        <f>IFERROR(__xludf.DUMMYFUNCTION("""COMPUTED_VALUE"""),"My Cousin Vinny")</f>
        <v>My Cousin Vinny</v>
      </c>
      <c r="J3883" s="5" t="str">
        <f>IFERROR(__xludf.DUMMYFUNCTION("""COMPUTED_VALUE"""),"Marisa Tomei")</f>
        <v>Marisa Tomei</v>
      </c>
      <c r="K3883" s="5" t="str">
        <f>IFERROR(__xludf.DUMMYFUNCTION("""COMPUTED_VALUE"""),"Estrela 2")</f>
        <v>Estrela 2</v>
      </c>
      <c r="P3883" s="5">
        <f>IFERROR(__xludf.DUMMYFUNCTION("""COMPUTED_VALUE"""),971.0)</f>
        <v>971</v>
      </c>
      <c r="Q3883" s="5" t="str">
        <f>IFERROR(__xludf.DUMMYFUNCTION("""COMPUTED_VALUE"""),"My Cousin Vinny")</f>
        <v>My Cousin Vinny</v>
      </c>
      <c r="R3883" s="5" t="str">
        <f>IFERROR(__xludf.DUMMYFUNCTION("""COMPUTED_VALUE"""),"Marisa Tomei")</f>
        <v>Marisa Tomei</v>
      </c>
      <c r="S3883" s="5" t="str">
        <f>IFERROR(__xludf.DUMMYFUNCTION("""COMPUTED_VALUE"""),"Estrela 2")</f>
        <v>Estrela 2</v>
      </c>
    </row>
    <row r="3884">
      <c r="G3884" s="5" t="str">
        <f>IFERROR(__xludf.DUMMYFUNCTION("""COMPUTED_VALUE"""),"971🤙🏼My Cousin Vinny🤙🏼Ralph Macchio🤙🏼Estrela 3")</f>
        <v>971🤙🏼My Cousin Vinny🤙🏼Ralph Macchio🤙🏼Estrela 3</v>
      </c>
      <c r="H3884" s="5">
        <f>IFERROR(__xludf.DUMMYFUNCTION("SPLiT(G3884, ""🤙🏼"",FALSE,FALSE)"),971.0)</f>
        <v>971</v>
      </c>
      <c r="I3884" s="5" t="str">
        <f>IFERROR(__xludf.DUMMYFUNCTION("""COMPUTED_VALUE"""),"My Cousin Vinny")</f>
        <v>My Cousin Vinny</v>
      </c>
      <c r="J3884" s="5" t="str">
        <f>IFERROR(__xludf.DUMMYFUNCTION("""COMPUTED_VALUE"""),"Ralph Macchio")</f>
        <v>Ralph Macchio</v>
      </c>
      <c r="K3884" s="5" t="str">
        <f>IFERROR(__xludf.DUMMYFUNCTION("""COMPUTED_VALUE"""),"Estrela 3")</f>
        <v>Estrela 3</v>
      </c>
      <c r="P3884" s="5">
        <f>IFERROR(__xludf.DUMMYFUNCTION("""COMPUTED_VALUE"""),971.0)</f>
        <v>971</v>
      </c>
      <c r="Q3884" s="5" t="str">
        <f>IFERROR(__xludf.DUMMYFUNCTION("""COMPUTED_VALUE"""),"My Cousin Vinny")</f>
        <v>My Cousin Vinny</v>
      </c>
      <c r="R3884" s="5" t="str">
        <f>IFERROR(__xludf.DUMMYFUNCTION("""COMPUTED_VALUE"""),"Ralph Macchio")</f>
        <v>Ralph Macchio</v>
      </c>
      <c r="S3884" s="5" t="str">
        <f>IFERROR(__xludf.DUMMYFUNCTION("""COMPUTED_VALUE"""),"Estrela 3")</f>
        <v>Estrela 3</v>
      </c>
    </row>
    <row r="3885">
      <c r="G3885" s="5" t="str">
        <f>IFERROR(__xludf.DUMMYFUNCTION("""COMPUTED_VALUE"""),"971🤙🏼My Cousin Vinny🤙🏼Mitchell Whitfield🤙🏼Estrela 4")</f>
        <v>971🤙🏼My Cousin Vinny🤙🏼Mitchell Whitfield🤙🏼Estrela 4</v>
      </c>
      <c r="H3885" s="5">
        <f>IFERROR(__xludf.DUMMYFUNCTION("SPLiT(G3885, ""🤙🏼"",FALSE,FALSE)"),971.0)</f>
        <v>971</v>
      </c>
      <c r="I3885" s="5" t="str">
        <f>IFERROR(__xludf.DUMMYFUNCTION("""COMPUTED_VALUE"""),"My Cousin Vinny")</f>
        <v>My Cousin Vinny</v>
      </c>
      <c r="J3885" s="5" t="str">
        <f>IFERROR(__xludf.DUMMYFUNCTION("""COMPUTED_VALUE"""),"Mitchell Whitfield")</f>
        <v>Mitchell Whitfield</v>
      </c>
      <c r="K3885" s="5" t="str">
        <f>IFERROR(__xludf.DUMMYFUNCTION("""COMPUTED_VALUE"""),"Estrela 4")</f>
        <v>Estrela 4</v>
      </c>
      <c r="P3885" s="5">
        <f>IFERROR(__xludf.DUMMYFUNCTION("""COMPUTED_VALUE"""),971.0)</f>
        <v>971</v>
      </c>
      <c r="Q3885" s="5" t="str">
        <f>IFERROR(__xludf.DUMMYFUNCTION("""COMPUTED_VALUE"""),"My Cousin Vinny")</f>
        <v>My Cousin Vinny</v>
      </c>
      <c r="R3885" s="5" t="str">
        <f>IFERROR(__xludf.DUMMYFUNCTION("""COMPUTED_VALUE"""),"Mitchell Whitfield")</f>
        <v>Mitchell Whitfield</v>
      </c>
      <c r="S3885" s="5" t="str">
        <f>IFERROR(__xludf.DUMMYFUNCTION("""COMPUTED_VALUE"""),"Estrela 4")</f>
        <v>Estrela 4</v>
      </c>
    </row>
    <row r="3886">
      <c r="G3886" s="5" t="str">
        <f>IFERROR(__xludf.DUMMYFUNCTION("""COMPUTED_VALUE"""),"972🤙🏼Omohide poro poro🤙🏼Miki Imai🤙🏼Estrela 1")</f>
        <v>972🤙🏼Omohide poro poro🤙🏼Miki Imai🤙🏼Estrela 1</v>
      </c>
      <c r="H3886" s="5">
        <f>IFERROR(__xludf.DUMMYFUNCTION("SPLiT(G3886, ""🤙🏼"",FALSE,FALSE)"),972.0)</f>
        <v>972</v>
      </c>
      <c r="I3886" s="5" t="str">
        <f>IFERROR(__xludf.DUMMYFUNCTION("""COMPUTED_VALUE"""),"Omohide poro poro")</f>
        <v>Omohide poro poro</v>
      </c>
      <c r="J3886" s="5" t="str">
        <f>IFERROR(__xludf.DUMMYFUNCTION("""COMPUTED_VALUE"""),"Miki Imai")</f>
        <v>Miki Imai</v>
      </c>
      <c r="K3886" s="5" t="str">
        <f>IFERROR(__xludf.DUMMYFUNCTION("""COMPUTED_VALUE"""),"Estrela 1")</f>
        <v>Estrela 1</v>
      </c>
      <c r="P3886" s="5">
        <f>IFERROR(__xludf.DUMMYFUNCTION("""COMPUTED_VALUE"""),972.0)</f>
        <v>972</v>
      </c>
      <c r="Q3886" s="5" t="str">
        <f>IFERROR(__xludf.DUMMYFUNCTION("""COMPUTED_VALUE"""),"Omohide poro poro")</f>
        <v>Omohide poro poro</v>
      </c>
      <c r="R3886" s="5" t="str">
        <f>IFERROR(__xludf.DUMMYFUNCTION("""COMPUTED_VALUE"""),"Miki Imai")</f>
        <v>Miki Imai</v>
      </c>
      <c r="S3886" s="5" t="str">
        <f>IFERROR(__xludf.DUMMYFUNCTION("""COMPUTED_VALUE"""),"Estrela 1")</f>
        <v>Estrela 1</v>
      </c>
    </row>
    <row r="3887">
      <c r="G3887" s="5" t="str">
        <f>IFERROR(__xludf.DUMMYFUNCTION("""COMPUTED_VALUE"""),"972🤙🏼Omohide poro poro🤙🏼Toshirô Yanagiba🤙🏼Estrela 2")</f>
        <v>972🤙🏼Omohide poro poro🤙🏼Toshirô Yanagiba🤙🏼Estrela 2</v>
      </c>
      <c r="H3887" s="5">
        <f>IFERROR(__xludf.DUMMYFUNCTION("SPLiT(G3887, ""🤙🏼"",FALSE,FALSE)"),972.0)</f>
        <v>972</v>
      </c>
      <c r="I3887" s="5" t="str">
        <f>IFERROR(__xludf.DUMMYFUNCTION("""COMPUTED_VALUE"""),"Omohide poro poro")</f>
        <v>Omohide poro poro</v>
      </c>
      <c r="J3887" s="5" t="str">
        <f>IFERROR(__xludf.DUMMYFUNCTION("""COMPUTED_VALUE"""),"Toshirô Yanagiba")</f>
        <v>Toshirô Yanagiba</v>
      </c>
      <c r="K3887" s="5" t="str">
        <f>IFERROR(__xludf.DUMMYFUNCTION("""COMPUTED_VALUE"""),"Estrela 2")</f>
        <v>Estrela 2</v>
      </c>
      <c r="P3887" s="5">
        <f>IFERROR(__xludf.DUMMYFUNCTION("""COMPUTED_VALUE"""),972.0)</f>
        <v>972</v>
      </c>
      <c r="Q3887" s="5" t="str">
        <f>IFERROR(__xludf.DUMMYFUNCTION("""COMPUTED_VALUE"""),"Omohide poro poro")</f>
        <v>Omohide poro poro</v>
      </c>
      <c r="R3887" s="5" t="str">
        <f>IFERROR(__xludf.DUMMYFUNCTION("""COMPUTED_VALUE"""),"Toshirô Yanagiba")</f>
        <v>Toshirô Yanagiba</v>
      </c>
      <c r="S3887" s="5" t="str">
        <f>IFERROR(__xludf.DUMMYFUNCTION("""COMPUTED_VALUE"""),"Estrela 2")</f>
        <v>Estrela 2</v>
      </c>
    </row>
    <row r="3888">
      <c r="G3888" s="5" t="str">
        <f>IFERROR(__xludf.DUMMYFUNCTION("""COMPUTED_VALUE"""),"972🤙🏼Omohide poro poro🤙🏼Yoko Honna🤙🏼Estrela 3")</f>
        <v>972🤙🏼Omohide poro poro🤙🏼Yoko Honna🤙🏼Estrela 3</v>
      </c>
      <c r="H3888" s="5">
        <f>IFERROR(__xludf.DUMMYFUNCTION("SPLiT(G3888, ""🤙🏼"",FALSE,FALSE)"),972.0)</f>
        <v>972</v>
      </c>
      <c r="I3888" s="5" t="str">
        <f>IFERROR(__xludf.DUMMYFUNCTION("""COMPUTED_VALUE"""),"Omohide poro poro")</f>
        <v>Omohide poro poro</v>
      </c>
      <c r="J3888" s="5" t="str">
        <f>IFERROR(__xludf.DUMMYFUNCTION("""COMPUTED_VALUE"""),"Yoko Honna")</f>
        <v>Yoko Honna</v>
      </c>
      <c r="K3888" s="5" t="str">
        <f>IFERROR(__xludf.DUMMYFUNCTION("""COMPUTED_VALUE"""),"Estrela 3")</f>
        <v>Estrela 3</v>
      </c>
      <c r="P3888" s="5">
        <f>IFERROR(__xludf.DUMMYFUNCTION("""COMPUTED_VALUE"""),972.0)</f>
        <v>972</v>
      </c>
      <c r="Q3888" s="5" t="str">
        <f>IFERROR(__xludf.DUMMYFUNCTION("""COMPUTED_VALUE"""),"Omohide poro poro")</f>
        <v>Omohide poro poro</v>
      </c>
      <c r="R3888" s="5" t="str">
        <f>IFERROR(__xludf.DUMMYFUNCTION("""COMPUTED_VALUE"""),"Yoko Honna")</f>
        <v>Yoko Honna</v>
      </c>
      <c r="S3888" s="5" t="str">
        <f>IFERROR(__xludf.DUMMYFUNCTION("""COMPUTED_VALUE"""),"Estrela 3")</f>
        <v>Estrela 3</v>
      </c>
    </row>
    <row r="3889">
      <c r="G3889" s="5" t="str">
        <f>IFERROR(__xludf.DUMMYFUNCTION("""COMPUTED_VALUE"""),"972🤙🏼Omohide poro poro🤙🏼Mayumi Izuka🤙🏼Estrela 4")</f>
        <v>972🤙🏼Omohide poro poro🤙🏼Mayumi Izuka🤙🏼Estrela 4</v>
      </c>
      <c r="H3889" s="5">
        <f>IFERROR(__xludf.DUMMYFUNCTION("SPLiT(G3889, ""🤙🏼"",FALSE,FALSE)"),972.0)</f>
        <v>972</v>
      </c>
      <c r="I3889" s="5" t="str">
        <f>IFERROR(__xludf.DUMMYFUNCTION("""COMPUTED_VALUE"""),"Omohide poro poro")</f>
        <v>Omohide poro poro</v>
      </c>
      <c r="J3889" s="5" t="str">
        <f>IFERROR(__xludf.DUMMYFUNCTION("""COMPUTED_VALUE"""),"Mayumi Izuka")</f>
        <v>Mayumi Izuka</v>
      </c>
      <c r="K3889" s="5" t="str">
        <f>IFERROR(__xludf.DUMMYFUNCTION("""COMPUTED_VALUE"""),"Estrela 4")</f>
        <v>Estrela 4</v>
      </c>
      <c r="P3889" s="5">
        <f>IFERROR(__xludf.DUMMYFUNCTION("""COMPUTED_VALUE"""),972.0)</f>
        <v>972</v>
      </c>
      <c r="Q3889" s="5" t="str">
        <f>IFERROR(__xludf.DUMMYFUNCTION("""COMPUTED_VALUE"""),"Omohide poro poro")</f>
        <v>Omohide poro poro</v>
      </c>
      <c r="R3889" s="5" t="str">
        <f>IFERROR(__xludf.DUMMYFUNCTION("""COMPUTED_VALUE"""),"Mayumi Izuka")</f>
        <v>Mayumi Izuka</v>
      </c>
      <c r="S3889" s="5" t="str">
        <f>IFERROR(__xludf.DUMMYFUNCTION("""COMPUTED_VALUE"""),"Estrela 4")</f>
        <v>Estrela 4</v>
      </c>
    </row>
    <row r="3890">
      <c r="G3890" s="5" t="str">
        <f>IFERROR(__xludf.DUMMYFUNCTION("""COMPUTED_VALUE"""),"973🤙🏼Delicatessen🤙🏼Jean-Pierre Jeunet🤙🏼Estrela 1")</f>
        <v>973🤙🏼Delicatessen🤙🏼Jean-Pierre Jeunet🤙🏼Estrela 1</v>
      </c>
      <c r="H3890" s="5">
        <f>IFERROR(__xludf.DUMMYFUNCTION("SPLiT(G3890, ""🤙🏼"",FALSE,FALSE)"),973.0)</f>
        <v>973</v>
      </c>
      <c r="I3890" s="5" t="str">
        <f>IFERROR(__xludf.DUMMYFUNCTION("""COMPUTED_VALUE"""),"Delicatessen")</f>
        <v>Delicatessen</v>
      </c>
      <c r="J3890" s="5" t="str">
        <f>IFERROR(__xludf.DUMMYFUNCTION("""COMPUTED_VALUE"""),"Jean-Pierre Jeunet")</f>
        <v>Jean-Pierre Jeunet</v>
      </c>
      <c r="K3890" s="5" t="str">
        <f>IFERROR(__xludf.DUMMYFUNCTION("""COMPUTED_VALUE"""),"Estrela 1")</f>
        <v>Estrela 1</v>
      </c>
      <c r="P3890" s="5">
        <f>IFERROR(__xludf.DUMMYFUNCTION("""COMPUTED_VALUE"""),973.0)</f>
        <v>973</v>
      </c>
      <c r="Q3890" s="5" t="str">
        <f>IFERROR(__xludf.DUMMYFUNCTION("""COMPUTED_VALUE"""),"Delicatessen")</f>
        <v>Delicatessen</v>
      </c>
      <c r="R3890" s="5" t="str">
        <f>IFERROR(__xludf.DUMMYFUNCTION("""COMPUTED_VALUE"""),"Jean-Pierre Jeunet")</f>
        <v>Jean-Pierre Jeunet</v>
      </c>
      <c r="S3890" s="5" t="str">
        <f>IFERROR(__xludf.DUMMYFUNCTION("""COMPUTED_VALUE"""),"Estrela 1")</f>
        <v>Estrela 1</v>
      </c>
    </row>
    <row r="3891">
      <c r="G3891" s="5" t="str">
        <f>IFERROR(__xludf.DUMMYFUNCTION("""COMPUTED_VALUE"""),"973🤙🏼Delicatessen🤙🏼Marie-Laure Dougnac🤙🏼Estrela 2")</f>
        <v>973🤙🏼Delicatessen🤙🏼Marie-Laure Dougnac🤙🏼Estrela 2</v>
      </c>
      <c r="H3891" s="5">
        <f>IFERROR(__xludf.DUMMYFUNCTION("SPLiT(G3891, ""🤙🏼"",FALSE,FALSE)"),973.0)</f>
        <v>973</v>
      </c>
      <c r="I3891" s="5" t="str">
        <f>IFERROR(__xludf.DUMMYFUNCTION("""COMPUTED_VALUE"""),"Delicatessen")</f>
        <v>Delicatessen</v>
      </c>
      <c r="J3891" s="5" t="str">
        <f>IFERROR(__xludf.DUMMYFUNCTION("""COMPUTED_VALUE"""),"Marie-Laure Dougnac")</f>
        <v>Marie-Laure Dougnac</v>
      </c>
      <c r="K3891" s="5" t="str">
        <f>IFERROR(__xludf.DUMMYFUNCTION("""COMPUTED_VALUE"""),"Estrela 2")</f>
        <v>Estrela 2</v>
      </c>
      <c r="P3891" s="5">
        <f>IFERROR(__xludf.DUMMYFUNCTION("""COMPUTED_VALUE"""),973.0)</f>
        <v>973</v>
      </c>
      <c r="Q3891" s="5" t="str">
        <f>IFERROR(__xludf.DUMMYFUNCTION("""COMPUTED_VALUE"""),"Delicatessen")</f>
        <v>Delicatessen</v>
      </c>
      <c r="R3891" s="5" t="str">
        <f>IFERROR(__xludf.DUMMYFUNCTION("""COMPUTED_VALUE"""),"Marie-Laure Dougnac")</f>
        <v>Marie-Laure Dougnac</v>
      </c>
      <c r="S3891" s="5" t="str">
        <f>IFERROR(__xludf.DUMMYFUNCTION("""COMPUTED_VALUE"""),"Estrela 2")</f>
        <v>Estrela 2</v>
      </c>
    </row>
    <row r="3892">
      <c r="G3892" s="5" t="str">
        <f>IFERROR(__xludf.DUMMYFUNCTION("""COMPUTED_VALUE"""),"973🤙🏼Delicatessen🤙🏼Dominique Pinon🤙🏼Estrela 3")</f>
        <v>973🤙🏼Delicatessen🤙🏼Dominique Pinon🤙🏼Estrela 3</v>
      </c>
      <c r="H3892" s="5">
        <f>IFERROR(__xludf.DUMMYFUNCTION("SPLiT(G3892, ""🤙🏼"",FALSE,FALSE)"),973.0)</f>
        <v>973</v>
      </c>
      <c r="I3892" s="5" t="str">
        <f>IFERROR(__xludf.DUMMYFUNCTION("""COMPUTED_VALUE"""),"Delicatessen")</f>
        <v>Delicatessen</v>
      </c>
      <c r="J3892" s="5" t="str">
        <f>IFERROR(__xludf.DUMMYFUNCTION("""COMPUTED_VALUE"""),"Dominique Pinon")</f>
        <v>Dominique Pinon</v>
      </c>
      <c r="K3892" s="5" t="str">
        <f>IFERROR(__xludf.DUMMYFUNCTION("""COMPUTED_VALUE"""),"Estrela 3")</f>
        <v>Estrela 3</v>
      </c>
      <c r="P3892" s="5">
        <f>IFERROR(__xludf.DUMMYFUNCTION("""COMPUTED_VALUE"""),973.0)</f>
        <v>973</v>
      </c>
      <c r="Q3892" s="5" t="str">
        <f>IFERROR(__xludf.DUMMYFUNCTION("""COMPUTED_VALUE"""),"Delicatessen")</f>
        <v>Delicatessen</v>
      </c>
      <c r="R3892" s="5" t="str">
        <f>IFERROR(__xludf.DUMMYFUNCTION("""COMPUTED_VALUE"""),"Dominique Pinon")</f>
        <v>Dominique Pinon</v>
      </c>
      <c r="S3892" s="5" t="str">
        <f>IFERROR(__xludf.DUMMYFUNCTION("""COMPUTED_VALUE"""),"Estrela 3")</f>
        <v>Estrela 3</v>
      </c>
    </row>
    <row r="3893">
      <c r="G3893" s="5" t="str">
        <f>IFERROR(__xludf.DUMMYFUNCTION("""COMPUTED_VALUE"""),"973🤙🏼Delicatessen🤙🏼Pascal Benezech🤙🏼Estrela 4")</f>
        <v>973🤙🏼Delicatessen🤙🏼Pascal Benezech🤙🏼Estrela 4</v>
      </c>
      <c r="H3893" s="5">
        <f>IFERROR(__xludf.DUMMYFUNCTION("SPLiT(G3893, ""🤙🏼"",FALSE,FALSE)"),973.0)</f>
        <v>973</v>
      </c>
      <c r="I3893" s="5" t="str">
        <f>IFERROR(__xludf.DUMMYFUNCTION("""COMPUTED_VALUE"""),"Delicatessen")</f>
        <v>Delicatessen</v>
      </c>
      <c r="J3893" s="5" t="str">
        <f>IFERROR(__xludf.DUMMYFUNCTION("""COMPUTED_VALUE"""),"Pascal Benezech")</f>
        <v>Pascal Benezech</v>
      </c>
      <c r="K3893" s="5" t="str">
        <f>IFERROR(__xludf.DUMMYFUNCTION("""COMPUTED_VALUE"""),"Estrela 4")</f>
        <v>Estrela 4</v>
      </c>
      <c r="P3893" s="5">
        <f>IFERROR(__xludf.DUMMYFUNCTION("""COMPUTED_VALUE"""),973.0)</f>
        <v>973</v>
      </c>
      <c r="Q3893" s="5" t="str">
        <f>IFERROR(__xludf.DUMMYFUNCTION("""COMPUTED_VALUE"""),"Delicatessen")</f>
        <v>Delicatessen</v>
      </c>
      <c r="R3893" s="5" t="str">
        <f>IFERROR(__xludf.DUMMYFUNCTION("""COMPUTED_VALUE"""),"Pascal Benezech")</f>
        <v>Pascal Benezech</v>
      </c>
      <c r="S3893" s="5" t="str">
        <f>IFERROR(__xludf.DUMMYFUNCTION("""COMPUTED_VALUE"""),"Estrela 4")</f>
        <v>Estrela 4</v>
      </c>
    </row>
    <row r="3894">
      <c r="G3894" s="5" t="str">
        <f>IFERROR(__xludf.DUMMYFUNCTION("""COMPUTED_VALUE"""),"974🤙🏼Home Alone🤙🏼Macaulay Culkin🤙🏼Estrela 1")</f>
        <v>974🤙🏼Home Alone🤙🏼Macaulay Culkin🤙🏼Estrela 1</v>
      </c>
      <c r="H3894" s="5">
        <f>IFERROR(__xludf.DUMMYFUNCTION("SPLiT(G3894, ""🤙🏼"",FALSE,FALSE)"),974.0)</f>
        <v>974</v>
      </c>
      <c r="I3894" s="5" t="str">
        <f>IFERROR(__xludf.DUMMYFUNCTION("""COMPUTED_VALUE"""),"Home Alone")</f>
        <v>Home Alone</v>
      </c>
      <c r="J3894" s="5" t="str">
        <f>IFERROR(__xludf.DUMMYFUNCTION("""COMPUTED_VALUE"""),"Macaulay Culkin")</f>
        <v>Macaulay Culkin</v>
      </c>
      <c r="K3894" s="5" t="str">
        <f>IFERROR(__xludf.DUMMYFUNCTION("""COMPUTED_VALUE"""),"Estrela 1")</f>
        <v>Estrela 1</v>
      </c>
      <c r="P3894" s="5">
        <f>IFERROR(__xludf.DUMMYFUNCTION("""COMPUTED_VALUE"""),974.0)</f>
        <v>974</v>
      </c>
      <c r="Q3894" s="5" t="str">
        <f>IFERROR(__xludf.DUMMYFUNCTION("""COMPUTED_VALUE"""),"Home Alone")</f>
        <v>Home Alone</v>
      </c>
      <c r="R3894" s="5" t="str">
        <f>IFERROR(__xludf.DUMMYFUNCTION("""COMPUTED_VALUE"""),"Macaulay Culkin")</f>
        <v>Macaulay Culkin</v>
      </c>
      <c r="S3894" s="5" t="str">
        <f>IFERROR(__xludf.DUMMYFUNCTION("""COMPUTED_VALUE"""),"Estrela 1")</f>
        <v>Estrela 1</v>
      </c>
    </row>
    <row r="3895">
      <c r="G3895" s="5" t="str">
        <f>IFERROR(__xludf.DUMMYFUNCTION("""COMPUTED_VALUE"""),"974🤙🏼Home Alone🤙🏼Joe Pesci🤙🏼Estrela 2")</f>
        <v>974🤙🏼Home Alone🤙🏼Joe Pesci🤙🏼Estrela 2</v>
      </c>
      <c r="H3895" s="5">
        <f>IFERROR(__xludf.DUMMYFUNCTION("SPLiT(G3895, ""🤙🏼"",FALSE,FALSE)"),974.0)</f>
        <v>974</v>
      </c>
      <c r="I3895" s="5" t="str">
        <f>IFERROR(__xludf.DUMMYFUNCTION("""COMPUTED_VALUE"""),"Home Alone")</f>
        <v>Home Alone</v>
      </c>
      <c r="J3895" s="5" t="str">
        <f>IFERROR(__xludf.DUMMYFUNCTION("""COMPUTED_VALUE"""),"Joe Pesci")</f>
        <v>Joe Pesci</v>
      </c>
      <c r="K3895" s="5" t="str">
        <f>IFERROR(__xludf.DUMMYFUNCTION("""COMPUTED_VALUE"""),"Estrela 2")</f>
        <v>Estrela 2</v>
      </c>
      <c r="P3895" s="5">
        <f>IFERROR(__xludf.DUMMYFUNCTION("""COMPUTED_VALUE"""),974.0)</f>
        <v>974</v>
      </c>
      <c r="Q3895" s="5" t="str">
        <f>IFERROR(__xludf.DUMMYFUNCTION("""COMPUTED_VALUE"""),"Home Alone")</f>
        <v>Home Alone</v>
      </c>
      <c r="R3895" s="5" t="str">
        <f>IFERROR(__xludf.DUMMYFUNCTION("""COMPUTED_VALUE"""),"Joe Pesci")</f>
        <v>Joe Pesci</v>
      </c>
      <c r="S3895" s="5" t="str">
        <f>IFERROR(__xludf.DUMMYFUNCTION("""COMPUTED_VALUE"""),"Estrela 2")</f>
        <v>Estrela 2</v>
      </c>
    </row>
    <row r="3896">
      <c r="G3896" s="5" t="str">
        <f>IFERROR(__xludf.DUMMYFUNCTION("""COMPUTED_VALUE"""),"974🤙🏼Home Alone🤙🏼Daniel Stern🤙🏼Estrela 3")</f>
        <v>974🤙🏼Home Alone🤙🏼Daniel Stern🤙🏼Estrela 3</v>
      </c>
      <c r="H3896" s="5">
        <f>IFERROR(__xludf.DUMMYFUNCTION("SPLiT(G3896, ""🤙🏼"",FALSE,FALSE)"),974.0)</f>
        <v>974</v>
      </c>
      <c r="I3896" s="5" t="str">
        <f>IFERROR(__xludf.DUMMYFUNCTION("""COMPUTED_VALUE"""),"Home Alone")</f>
        <v>Home Alone</v>
      </c>
      <c r="J3896" s="5" t="str">
        <f>IFERROR(__xludf.DUMMYFUNCTION("""COMPUTED_VALUE"""),"Daniel Stern")</f>
        <v>Daniel Stern</v>
      </c>
      <c r="K3896" s="5" t="str">
        <f>IFERROR(__xludf.DUMMYFUNCTION("""COMPUTED_VALUE"""),"Estrela 3")</f>
        <v>Estrela 3</v>
      </c>
      <c r="P3896" s="5">
        <f>IFERROR(__xludf.DUMMYFUNCTION("""COMPUTED_VALUE"""),974.0)</f>
        <v>974</v>
      </c>
      <c r="Q3896" s="5" t="str">
        <f>IFERROR(__xludf.DUMMYFUNCTION("""COMPUTED_VALUE"""),"Home Alone")</f>
        <v>Home Alone</v>
      </c>
      <c r="R3896" s="5" t="str">
        <f>IFERROR(__xludf.DUMMYFUNCTION("""COMPUTED_VALUE"""),"Daniel Stern")</f>
        <v>Daniel Stern</v>
      </c>
      <c r="S3896" s="5" t="str">
        <f>IFERROR(__xludf.DUMMYFUNCTION("""COMPUTED_VALUE"""),"Estrela 3")</f>
        <v>Estrela 3</v>
      </c>
    </row>
    <row r="3897">
      <c r="G3897" s="5" t="str">
        <f>IFERROR(__xludf.DUMMYFUNCTION("""COMPUTED_VALUE"""),"974🤙🏼Home Alone🤙🏼John Heard🤙🏼Estrela 4")</f>
        <v>974🤙🏼Home Alone🤙🏼John Heard🤙🏼Estrela 4</v>
      </c>
      <c r="H3897" s="5">
        <f>IFERROR(__xludf.DUMMYFUNCTION("SPLiT(G3897, ""🤙🏼"",FALSE,FALSE)"),974.0)</f>
        <v>974</v>
      </c>
      <c r="I3897" s="5" t="str">
        <f>IFERROR(__xludf.DUMMYFUNCTION("""COMPUTED_VALUE"""),"Home Alone")</f>
        <v>Home Alone</v>
      </c>
      <c r="J3897" s="5" t="str">
        <f>IFERROR(__xludf.DUMMYFUNCTION("""COMPUTED_VALUE"""),"John Heard")</f>
        <v>John Heard</v>
      </c>
      <c r="K3897" s="5" t="str">
        <f>IFERROR(__xludf.DUMMYFUNCTION("""COMPUTED_VALUE"""),"Estrela 4")</f>
        <v>Estrela 4</v>
      </c>
      <c r="P3897" s="5">
        <f>IFERROR(__xludf.DUMMYFUNCTION("""COMPUTED_VALUE"""),974.0)</f>
        <v>974</v>
      </c>
      <c r="Q3897" s="5" t="str">
        <f>IFERROR(__xludf.DUMMYFUNCTION("""COMPUTED_VALUE"""),"Home Alone")</f>
        <v>Home Alone</v>
      </c>
      <c r="R3897" s="5" t="str">
        <f>IFERROR(__xludf.DUMMYFUNCTION("""COMPUTED_VALUE"""),"John Heard")</f>
        <v>John Heard</v>
      </c>
      <c r="S3897" s="5" t="str">
        <f>IFERROR(__xludf.DUMMYFUNCTION("""COMPUTED_VALUE"""),"Estrela 4")</f>
        <v>Estrela 4</v>
      </c>
    </row>
    <row r="3898">
      <c r="G3898" s="5" t="str">
        <f>IFERROR(__xludf.DUMMYFUNCTION("""COMPUTED_VALUE"""),"975🤙🏼The Godfather: Part III🤙🏼Al Pacino🤙🏼Estrela 1")</f>
        <v>975🤙🏼The Godfather: Part III🤙🏼Al Pacino🤙🏼Estrela 1</v>
      </c>
      <c r="H3898" s="5">
        <f>IFERROR(__xludf.DUMMYFUNCTION("SPLiT(G3898, ""🤙🏼"",FALSE,FALSE)"),975.0)</f>
        <v>975</v>
      </c>
      <c r="I3898" s="5" t="str">
        <f>IFERROR(__xludf.DUMMYFUNCTION("""COMPUTED_VALUE"""),"The Godfather: Part III")</f>
        <v>The Godfather: Part III</v>
      </c>
      <c r="J3898" s="5" t="str">
        <f>IFERROR(__xludf.DUMMYFUNCTION("""COMPUTED_VALUE"""),"Al Pacino")</f>
        <v>Al Pacino</v>
      </c>
      <c r="K3898" s="5" t="str">
        <f>IFERROR(__xludf.DUMMYFUNCTION("""COMPUTED_VALUE"""),"Estrela 1")</f>
        <v>Estrela 1</v>
      </c>
      <c r="P3898" s="5">
        <f>IFERROR(__xludf.DUMMYFUNCTION("""COMPUTED_VALUE"""),975.0)</f>
        <v>975</v>
      </c>
      <c r="Q3898" s="5" t="str">
        <f>IFERROR(__xludf.DUMMYFUNCTION("""COMPUTED_VALUE"""),"The Godfather: Part III")</f>
        <v>The Godfather: Part III</v>
      </c>
      <c r="R3898" s="5" t="str">
        <f>IFERROR(__xludf.DUMMYFUNCTION("""COMPUTED_VALUE"""),"Al Pacino")</f>
        <v>Al Pacino</v>
      </c>
      <c r="S3898" s="5" t="str">
        <f>IFERROR(__xludf.DUMMYFUNCTION("""COMPUTED_VALUE"""),"Estrela 1")</f>
        <v>Estrela 1</v>
      </c>
    </row>
    <row r="3899">
      <c r="G3899" s="5" t="str">
        <f>IFERROR(__xludf.DUMMYFUNCTION("""COMPUTED_VALUE"""),"975🤙🏼The Godfather: Part III🤙🏼Diane Keaton🤙🏼Estrela 2")</f>
        <v>975🤙🏼The Godfather: Part III🤙🏼Diane Keaton🤙🏼Estrela 2</v>
      </c>
      <c r="H3899" s="5">
        <f>IFERROR(__xludf.DUMMYFUNCTION("SPLiT(G3899, ""🤙🏼"",FALSE,FALSE)"),975.0)</f>
        <v>975</v>
      </c>
      <c r="I3899" s="5" t="str">
        <f>IFERROR(__xludf.DUMMYFUNCTION("""COMPUTED_VALUE"""),"The Godfather: Part III")</f>
        <v>The Godfather: Part III</v>
      </c>
      <c r="J3899" s="5" t="str">
        <f>IFERROR(__xludf.DUMMYFUNCTION("""COMPUTED_VALUE"""),"Diane Keaton")</f>
        <v>Diane Keaton</v>
      </c>
      <c r="K3899" s="5" t="str">
        <f>IFERROR(__xludf.DUMMYFUNCTION("""COMPUTED_VALUE"""),"Estrela 2")</f>
        <v>Estrela 2</v>
      </c>
      <c r="P3899" s="5">
        <f>IFERROR(__xludf.DUMMYFUNCTION("""COMPUTED_VALUE"""),975.0)</f>
        <v>975</v>
      </c>
      <c r="Q3899" s="5" t="str">
        <f>IFERROR(__xludf.DUMMYFUNCTION("""COMPUTED_VALUE"""),"The Godfather: Part III")</f>
        <v>The Godfather: Part III</v>
      </c>
      <c r="R3899" s="5" t="str">
        <f>IFERROR(__xludf.DUMMYFUNCTION("""COMPUTED_VALUE"""),"Diane Keaton")</f>
        <v>Diane Keaton</v>
      </c>
      <c r="S3899" s="5" t="str">
        <f>IFERROR(__xludf.DUMMYFUNCTION("""COMPUTED_VALUE"""),"Estrela 2")</f>
        <v>Estrela 2</v>
      </c>
    </row>
    <row r="3900">
      <c r="G3900" s="5" t="str">
        <f>IFERROR(__xludf.DUMMYFUNCTION("""COMPUTED_VALUE"""),"975🤙🏼The Godfather: Part III🤙🏼Andy Garcia🤙🏼Estrela 3")</f>
        <v>975🤙🏼The Godfather: Part III🤙🏼Andy Garcia🤙🏼Estrela 3</v>
      </c>
      <c r="H3900" s="5">
        <f>IFERROR(__xludf.DUMMYFUNCTION("SPLiT(G3900, ""🤙🏼"",FALSE,FALSE)"),975.0)</f>
        <v>975</v>
      </c>
      <c r="I3900" s="5" t="str">
        <f>IFERROR(__xludf.DUMMYFUNCTION("""COMPUTED_VALUE"""),"The Godfather: Part III")</f>
        <v>The Godfather: Part III</v>
      </c>
      <c r="J3900" s="5" t="str">
        <f>IFERROR(__xludf.DUMMYFUNCTION("""COMPUTED_VALUE"""),"Andy Garcia")</f>
        <v>Andy Garcia</v>
      </c>
      <c r="K3900" s="5" t="str">
        <f>IFERROR(__xludf.DUMMYFUNCTION("""COMPUTED_VALUE"""),"Estrela 3")</f>
        <v>Estrela 3</v>
      </c>
      <c r="P3900" s="5">
        <f>IFERROR(__xludf.DUMMYFUNCTION("""COMPUTED_VALUE"""),975.0)</f>
        <v>975</v>
      </c>
      <c r="Q3900" s="5" t="str">
        <f>IFERROR(__xludf.DUMMYFUNCTION("""COMPUTED_VALUE"""),"The Godfather: Part III")</f>
        <v>The Godfather: Part III</v>
      </c>
      <c r="R3900" s="5" t="str">
        <f>IFERROR(__xludf.DUMMYFUNCTION("""COMPUTED_VALUE"""),"Andy Garcia")</f>
        <v>Andy Garcia</v>
      </c>
      <c r="S3900" s="5" t="str">
        <f>IFERROR(__xludf.DUMMYFUNCTION("""COMPUTED_VALUE"""),"Estrela 3")</f>
        <v>Estrela 3</v>
      </c>
    </row>
    <row r="3901">
      <c r="G3901" s="5" t="str">
        <f>IFERROR(__xludf.DUMMYFUNCTION("""COMPUTED_VALUE"""),"975🤙🏼The Godfather: Part III🤙🏼Talia Shire🤙🏼Estrela 4")</f>
        <v>975🤙🏼The Godfather: Part III🤙🏼Talia Shire🤙🏼Estrela 4</v>
      </c>
      <c r="H3901" s="5">
        <f>IFERROR(__xludf.DUMMYFUNCTION("SPLiT(G3901, ""🤙🏼"",FALSE,FALSE)"),975.0)</f>
        <v>975</v>
      </c>
      <c r="I3901" s="5" t="str">
        <f>IFERROR(__xludf.DUMMYFUNCTION("""COMPUTED_VALUE"""),"The Godfather: Part III")</f>
        <v>The Godfather: Part III</v>
      </c>
      <c r="J3901" s="5" t="str">
        <f>IFERROR(__xludf.DUMMYFUNCTION("""COMPUTED_VALUE"""),"Talia Shire")</f>
        <v>Talia Shire</v>
      </c>
      <c r="K3901" s="5" t="str">
        <f>IFERROR(__xludf.DUMMYFUNCTION("""COMPUTED_VALUE"""),"Estrela 4")</f>
        <v>Estrela 4</v>
      </c>
      <c r="P3901" s="5">
        <f>IFERROR(__xludf.DUMMYFUNCTION("""COMPUTED_VALUE"""),975.0)</f>
        <v>975</v>
      </c>
      <c r="Q3901" s="5" t="str">
        <f>IFERROR(__xludf.DUMMYFUNCTION("""COMPUTED_VALUE"""),"The Godfather: Part III")</f>
        <v>The Godfather: Part III</v>
      </c>
      <c r="R3901" s="5" t="str">
        <f>IFERROR(__xludf.DUMMYFUNCTION("""COMPUTED_VALUE"""),"Talia Shire")</f>
        <v>Talia Shire</v>
      </c>
      <c r="S3901" s="5" t="str">
        <f>IFERROR(__xludf.DUMMYFUNCTION("""COMPUTED_VALUE"""),"Estrela 4")</f>
        <v>Estrela 4</v>
      </c>
    </row>
    <row r="3902">
      <c r="G3902" s="5" t="str">
        <f>IFERROR(__xludf.DUMMYFUNCTION("""COMPUTED_VALUE"""),"976🤙🏼When Harry Met Sally...🤙🏼Billy Crystal🤙🏼Estrela 1")</f>
        <v>976🤙🏼When Harry Met Sally...🤙🏼Billy Crystal🤙🏼Estrela 1</v>
      </c>
      <c r="H3902" s="5">
        <f>IFERROR(__xludf.DUMMYFUNCTION("SPLiT(G3902, ""🤙🏼"",FALSE,FALSE)"),976.0)</f>
        <v>976</v>
      </c>
      <c r="I3902" s="5" t="str">
        <f>IFERROR(__xludf.DUMMYFUNCTION("""COMPUTED_VALUE"""),"When Harry Met Sally...")</f>
        <v>When Harry Met Sally...</v>
      </c>
      <c r="J3902" s="5" t="str">
        <f>IFERROR(__xludf.DUMMYFUNCTION("""COMPUTED_VALUE"""),"Billy Crystal")</f>
        <v>Billy Crystal</v>
      </c>
      <c r="K3902" s="5" t="str">
        <f>IFERROR(__xludf.DUMMYFUNCTION("""COMPUTED_VALUE"""),"Estrela 1")</f>
        <v>Estrela 1</v>
      </c>
      <c r="P3902" s="5">
        <f>IFERROR(__xludf.DUMMYFUNCTION("""COMPUTED_VALUE"""),976.0)</f>
        <v>976</v>
      </c>
      <c r="Q3902" s="5" t="str">
        <f>IFERROR(__xludf.DUMMYFUNCTION("""COMPUTED_VALUE"""),"When Harry Met Sally...")</f>
        <v>When Harry Met Sally...</v>
      </c>
      <c r="R3902" s="5" t="str">
        <f>IFERROR(__xludf.DUMMYFUNCTION("""COMPUTED_VALUE"""),"Billy Crystal")</f>
        <v>Billy Crystal</v>
      </c>
      <c r="S3902" s="5" t="str">
        <f>IFERROR(__xludf.DUMMYFUNCTION("""COMPUTED_VALUE"""),"Estrela 1")</f>
        <v>Estrela 1</v>
      </c>
    </row>
    <row r="3903">
      <c r="G3903" s="5" t="str">
        <f>IFERROR(__xludf.DUMMYFUNCTION("""COMPUTED_VALUE"""),"976🤙🏼When Harry Met Sally...🤙🏼Meg Ryan🤙🏼Estrela 2")</f>
        <v>976🤙🏼When Harry Met Sally...🤙🏼Meg Ryan🤙🏼Estrela 2</v>
      </c>
      <c r="H3903" s="5">
        <f>IFERROR(__xludf.DUMMYFUNCTION("SPLiT(G3903, ""🤙🏼"",FALSE,FALSE)"),976.0)</f>
        <v>976</v>
      </c>
      <c r="I3903" s="5" t="str">
        <f>IFERROR(__xludf.DUMMYFUNCTION("""COMPUTED_VALUE"""),"When Harry Met Sally...")</f>
        <v>When Harry Met Sally...</v>
      </c>
      <c r="J3903" s="5" t="str">
        <f>IFERROR(__xludf.DUMMYFUNCTION("""COMPUTED_VALUE"""),"Meg Ryan")</f>
        <v>Meg Ryan</v>
      </c>
      <c r="K3903" s="5" t="str">
        <f>IFERROR(__xludf.DUMMYFUNCTION("""COMPUTED_VALUE"""),"Estrela 2")</f>
        <v>Estrela 2</v>
      </c>
      <c r="P3903" s="5">
        <f>IFERROR(__xludf.DUMMYFUNCTION("""COMPUTED_VALUE"""),976.0)</f>
        <v>976</v>
      </c>
      <c r="Q3903" s="5" t="str">
        <f>IFERROR(__xludf.DUMMYFUNCTION("""COMPUTED_VALUE"""),"When Harry Met Sally...")</f>
        <v>When Harry Met Sally...</v>
      </c>
      <c r="R3903" s="5" t="str">
        <f>IFERROR(__xludf.DUMMYFUNCTION("""COMPUTED_VALUE"""),"Meg Ryan")</f>
        <v>Meg Ryan</v>
      </c>
      <c r="S3903" s="5" t="str">
        <f>IFERROR(__xludf.DUMMYFUNCTION("""COMPUTED_VALUE"""),"Estrela 2")</f>
        <v>Estrela 2</v>
      </c>
    </row>
    <row r="3904">
      <c r="G3904" s="5" t="str">
        <f>IFERROR(__xludf.DUMMYFUNCTION("""COMPUTED_VALUE"""),"976🤙🏼When Harry Met Sally...🤙🏼Carrie Fisher🤙🏼Estrela 3")</f>
        <v>976🤙🏼When Harry Met Sally...🤙🏼Carrie Fisher🤙🏼Estrela 3</v>
      </c>
      <c r="H3904" s="5">
        <f>IFERROR(__xludf.DUMMYFUNCTION("SPLiT(G3904, ""🤙🏼"",FALSE,FALSE)"),976.0)</f>
        <v>976</v>
      </c>
      <c r="I3904" s="5" t="str">
        <f>IFERROR(__xludf.DUMMYFUNCTION("""COMPUTED_VALUE"""),"When Harry Met Sally...")</f>
        <v>When Harry Met Sally...</v>
      </c>
      <c r="J3904" s="5" t="str">
        <f>IFERROR(__xludf.DUMMYFUNCTION("""COMPUTED_VALUE"""),"Carrie Fisher")</f>
        <v>Carrie Fisher</v>
      </c>
      <c r="K3904" s="5" t="str">
        <f>IFERROR(__xludf.DUMMYFUNCTION("""COMPUTED_VALUE"""),"Estrela 3")</f>
        <v>Estrela 3</v>
      </c>
      <c r="P3904" s="5">
        <f>IFERROR(__xludf.DUMMYFUNCTION("""COMPUTED_VALUE"""),976.0)</f>
        <v>976</v>
      </c>
      <c r="Q3904" s="5" t="str">
        <f>IFERROR(__xludf.DUMMYFUNCTION("""COMPUTED_VALUE"""),"When Harry Met Sally...")</f>
        <v>When Harry Met Sally...</v>
      </c>
      <c r="R3904" s="5" t="str">
        <f>IFERROR(__xludf.DUMMYFUNCTION("""COMPUTED_VALUE"""),"Carrie Fisher")</f>
        <v>Carrie Fisher</v>
      </c>
      <c r="S3904" s="5" t="str">
        <f>IFERROR(__xludf.DUMMYFUNCTION("""COMPUTED_VALUE"""),"Estrela 3")</f>
        <v>Estrela 3</v>
      </c>
    </row>
    <row r="3905">
      <c r="G3905" s="5" t="str">
        <f>IFERROR(__xludf.DUMMYFUNCTION("""COMPUTED_VALUE"""),"976🤙🏼When Harry Met Sally...🤙🏼Bruno Kirby🤙🏼Estrela 4")</f>
        <v>976🤙🏼When Harry Met Sally...🤙🏼Bruno Kirby🤙🏼Estrela 4</v>
      </c>
      <c r="H3905" s="5">
        <f>IFERROR(__xludf.DUMMYFUNCTION("SPLiT(G3905, ""🤙🏼"",FALSE,FALSE)"),976.0)</f>
        <v>976</v>
      </c>
      <c r="I3905" s="5" t="str">
        <f>IFERROR(__xludf.DUMMYFUNCTION("""COMPUTED_VALUE"""),"When Harry Met Sally...")</f>
        <v>When Harry Met Sally...</v>
      </c>
      <c r="J3905" s="5" t="str">
        <f>IFERROR(__xludf.DUMMYFUNCTION("""COMPUTED_VALUE"""),"Bruno Kirby")</f>
        <v>Bruno Kirby</v>
      </c>
      <c r="K3905" s="5" t="str">
        <f>IFERROR(__xludf.DUMMYFUNCTION("""COMPUTED_VALUE"""),"Estrela 4")</f>
        <v>Estrela 4</v>
      </c>
      <c r="P3905" s="5">
        <f>IFERROR(__xludf.DUMMYFUNCTION("""COMPUTED_VALUE"""),976.0)</f>
        <v>976</v>
      </c>
      <c r="Q3905" s="5" t="str">
        <f>IFERROR(__xludf.DUMMYFUNCTION("""COMPUTED_VALUE"""),"When Harry Met Sally...")</f>
        <v>When Harry Met Sally...</v>
      </c>
      <c r="R3905" s="5" t="str">
        <f>IFERROR(__xludf.DUMMYFUNCTION("""COMPUTED_VALUE"""),"Bruno Kirby")</f>
        <v>Bruno Kirby</v>
      </c>
      <c r="S3905" s="5" t="str">
        <f>IFERROR(__xludf.DUMMYFUNCTION("""COMPUTED_VALUE"""),"Estrela 4")</f>
        <v>Estrela 4</v>
      </c>
    </row>
    <row r="3906">
      <c r="G3906" s="5" t="str">
        <f>IFERROR(__xludf.DUMMYFUNCTION("""COMPUTED_VALUE"""),"977🤙🏼The Little Mermaid🤙🏼John Musker🤙🏼Estrela 1")</f>
        <v>977🤙🏼The Little Mermaid🤙🏼John Musker🤙🏼Estrela 1</v>
      </c>
      <c r="H3906" s="5">
        <f>IFERROR(__xludf.DUMMYFUNCTION("SPLiT(G3906, ""🤙🏼"",FALSE,FALSE)"),977.0)</f>
        <v>977</v>
      </c>
      <c r="I3906" s="5" t="str">
        <f>IFERROR(__xludf.DUMMYFUNCTION("""COMPUTED_VALUE"""),"The Little Mermaid")</f>
        <v>The Little Mermaid</v>
      </c>
      <c r="J3906" s="5" t="str">
        <f>IFERROR(__xludf.DUMMYFUNCTION("""COMPUTED_VALUE"""),"John Musker")</f>
        <v>John Musker</v>
      </c>
      <c r="K3906" s="5" t="str">
        <f>IFERROR(__xludf.DUMMYFUNCTION("""COMPUTED_VALUE"""),"Estrela 1")</f>
        <v>Estrela 1</v>
      </c>
      <c r="P3906" s="5">
        <f>IFERROR(__xludf.DUMMYFUNCTION("""COMPUTED_VALUE"""),977.0)</f>
        <v>977</v>
      </c>
      <c r="Q3906" s="5" t="str">
        <f>IFERROR(__xludf.DUMMYFUNCTION("""COMPUTED_VALUE"""),"The Little Mermaid")</f>
        <v>The Little Mermaid</v>
      </c>
      <c r="R3906" s="5" t="str">
        <f>IFERROR(__xludf.DUMMYFUNCTION("""COMPUTED_VALUE"""),"John Musker")</f>
        <v>John Musker</v>
      </c>
      <c r="S3906" s="5" t="str">
        <f>IFERROR(__xludf.DUMMYFUNCTION("""COMPUTED_VALUE"""),"Estrela 1")</f>
        <v>Estrela 1</v>
      </c>
    </row>
    <row r="3907">
      <c r="G3907" s="5" t="str">
        <f>IFERROR(__xludf.DUMMYFUNCTION("""COMPUTED_VALUE"""),"977🤙🏼The Little Mermaid🤙🏼Jodi Benson🤙🏼Estrela 2")</f>
        <v>977🤙🏼The Little Mermaid🤙🏼Jodi Benson🤙🏼Estrela 2</v>
      </c>
      <c r="H3907" s="5">
        <f>IFERROR(__xludf.DUMMYFUNCTION("SPLiT(G3907, ""🤙🏼"",FALSE,FALSE)"),977.0)</f>
        <v>977</v>
      </c>
      <c r="I3907" s="5" t="str">
        <f>IFERROR(__xludf.DUMMYFUNCTION("""COMPUTED_VALUE"""),"The Little Mermaid")</f>
        <v>The Little Mermaid</v>
      </c>
      <c r="J3907" s="5" t="str">
        <f>IFERROR(__xludf.DUMMYFUNCTION("""COMPUTED_VALUE"""),"Jodi Benson")</f>
        <v>Jodi Benson</v>
      </c>
      <c r="K3907" s="5" t="str">
        <f>IFERROR(__xludf.DUMMYFUNCTION("""COMPUTED_VALUE"""),"Estrela 2")</f>
        <v>Estrela 2</v>
      </c>
      <c r="P3907" s="5">
        <f>IFERROR(__xludf.DUMMYFUNCTION("""COMPUTED_VALUE"""),977.0)</f>
        <v>977</v>
      </c>
      <c r="Q3907" s="5" t="str">
        <f>IFERROR(__xludf.DUMMYFUNCTION("""COMPUTED_VALUE"""),"The Little Mermaid")</f>
        <v>The Little Mermaid</v>
      </c>
      <c r="R3907" s="5" t="str">
        <f>IFERROR(__xludf.DUMMYFUNCTION("""COMPUTED_VALUE"""),"Jodi Benson")</f>
        <v>Jodi Benson</v>
      </c>
      <c r="S3907" s="5" t="str">
        <f>IFERROR(__xludf.DUMMYFUNCTION("""COMPUTED_VALUE"""),"Estrela 2")</f>
        <v>Estrela 2</v>
      </c>
    </row>
    <row r="3908">
      <c r="G3908" s="5" t="str">
        <f>IFERROR(__xludf.DUMMYFUNCTION("""COMPUTED_VALUE"""),"977🤙🏼The Little Mermaid🤙🏼Samuel E. Wright🤙🏼Estrela 3")</f>
        <v>977🤙🏼The Little Mermaid🤙🏼Samuel E. Wright🤙🏼Estrela 3</v>
      </c>
      <c r="H3908" s="5">
        <f>IFERROR(__xludf.DUMMYFUNCTION("SPLiT(G3908, ""🤙🏼"",FALSE,FALSE)"),977.0)</f>
        <v>977</v>
      </c>
      <c r="I3908" s="5" t="str">
        <f>IFERROR(__xludf.DUMMYFUNCTION("""COMPUTED_VALUE"""),"The Little Mermaid")</f>
        <v>The Little Mermaid</v>
      </c>
      <c r="J3908" s="5" t="str">
        <f>IFERROR(__xludf.DUMMYFUNCTION("""COMPUTED_VALUE"""),"Samuel E. Wright")</f>
        <v>Samuel E. Wright</v>
      </c>
      <c r="K3908" s="5" t="str">
        <f>IFERROR(__xludf.DUMMYFUNCTION("""COMPUTED_VALUE"""),"Estrela 3")</f>
        <v>Estrela 3</v>
      </c>
      <c r="P3908" s="5">
        <f>IFERROR(__xludf.DUMMYFUNCTION("""COMPUTED_VALUE"""),977.0)</f>
        <v>977</v>
      </c>
      <c r="Q3908" s="5" t="str">
        <f>IFERROR(__xludf.DUMMYFUNCTION("""COMPUTED_VALUE"""),"The Little Mermaid")</f>
        <v>The Little Mermaid</v>
      </c>
      <c r="R3908" s="5" t="str">
        <f>IFERROR(__xludf.DUMMYFUNCTION("""COMPUTED_VALUE"""),"Samuel E. Wright")</f>
        <v>Samuel E. Wright</v>
      </c>
      <c r="S3908" s="5" t="str">
        <f>IFERROR(__xludf.DUMMYFUNCTION("""COMPUTED_VALUE"""),"Estrela 3")</f>
        <v>Estrela 3</v>
      </c>
    </row>
    <row r="3909">
      <c r="G3909" s="5" t="str">
        <f>IFERROR(__xludf.DUMMYFUNCTION("""COMPUTED_VALUE"""),"977🤙🏼The Little Mermaid🤙🏼Rene Auberjonois🤙🏼Estrela 4")</f>
        <v>977🤙🏼The Little Mermaid🤙🏼Rene Auberjonois🤙🏼Estrela 4</v>
      </c>
      <c r="H3909" s="5">
        <f>IFERROR(__xludf.DUMMYFUNCTION("SPLiT(G3909, ""🤙🏼"",FALSE,FALSE)"),977.0)</f>
        <v>977</v>
      </c>
      <c r="I3909" s="5" t="str">
        <f>IFERROR(__xludf.DUMMYFUNCTION("""COMPUTED_VALUE"""),"The Little Mermaid")</f>
        <v>The Little Mermaid</v>
      </c>
      <c r="J3909" s="5" t="str">
        <f>IFERROR(__xludf.DUMMYFUNCTION("""COMPUTED_VALUE"""),"Rene Auberjonois")</f>
        <v>Rene Auberjonois</v>
      </c>
      <c r="K3909" s="5" t="str">
        <f>IFERROR(__xludf.DUMMYFUNCTION("""COMPUTED_VALUE"""),"Estrela 4")</f>
        <v>Estrela 4</v>
      </c>
      <c r="P3909" s="5">
        <f>IFERROR(__xludf.DUMMYFUNCTION("""COMPUTED_VALUE"""),977.0)</f>
        <v>977</v>
      </c>
      <c r="Q3909" s="5" t="str">
        <f>IFERROR(__xludf.DUMMYFUNCTION("""COMPUTED_VALUE"""),"The Little Mermaid")</f>
        <v>The Little Mermaid</v>
      </c>
      <c r="R3909" s="5" t="str">
        <f>IFERROR(__xludf.DUMMYFUNCTION("""COMPUTED_VALUE"""),"Rene Auberjonois")</f>
        <v>Rene Auberjonois</v>
      </c>
      <c r="S3909" s="5" t="str">
        <f>IFERROR(__xludf.DUMMYFUNCTION("""COMPUTED_VALUE"""),"Estrela 4")</f>
        <v>Estrela 4</v>
      </c>
    </row>
    <row r="3910">
      <c r="G3910" s="5" t="str">
        <f>IFERROR(__xludf.DUMMYFUNCTION("""COMPUTED_VALUE"""),"978🤙🏼The Naked Gun: From the Files of Police Squad!🤙🏼Leslie Nielsen🤙🏼Estrela 1")</f>
        <v>978🤙🏼The Naked Gun: From the Files of Police Squad!🤙🏼Leslie Nielsen🤙🏼Estrela 1</v>
      </c>
      <c r="H3910" s="5">
        <f>IFERROR(__xludf.DUMMYFUNCTION("SPLiT(G3910, ""🤙🏼"",FALSE,FALSE)"),978.0)</f>
        <v>978</v>
      </c>
      <c r="I3910" s="5" t="str">
        <f>IFERROR(__xludf.DUMMYFUNCTION("""COMPUTED_VALUE"""),"The Naked Gun: From the Files of Police Squad!")</f>
        <v>The Naked Gun: From the Files of Police Squad!</v>
      </c>
      <c r="J3910" s="5" t="str">
        <f>IFERROR(__xludf.DUMMYFUNCTION("""COMPUTED_VALUE"""),"Leslie Nielsen")</f>
        <v>Leslie Nielsen</v>
      </c>
      <c r="K3910" s="5" t="str">
        <f>IFERROR(__xludf.DUMMYFUNCTION("""COMPUTED_VALUE"""),"Estrela 1")</f>
        <v>Estrela 1</v>
      </c>
      <c r="P3910" s="5">
        <f>IFERROR(__xludf.DUMMYFUNCTION("""COMPUTED_VALUE"""),978.0)</f>
        <v>978</v>
      </c>
      <c r="Q3910" s="5" t="str">
        <f>IFERROR(__xludf.DUMMYFUNCTION("""COMPUTED_VALUE"""),"The Naked Gun: From the Files of Police Squad!")</f>
        <v>The Naked Gun: From the Files of Police Squad!</v>
      </c>
      <c r="R3910" s="5" t="str">
        <f>IFERROR(__xludf.DUMMYFUNCTION("""COMPUTED_VALUE"""),"Leslie Nielsen")</f>
        <v>Leslie Nielsen</v>
      </c>
      <c r="S3910" s="5" t="str">
        <f>IFERROR(__xludf.DUMMYFUNCTION("""COMPUTED_VALUE"""),"Estrela 1")</f>
        <v>Estrela 1</v>
      </c>
    </row>
    <row r="3911">
      <c r="G3911" s="5" t="str">
        <f>IFERROR(__xludf.DUMMYFUNCTION("""COMPUTED_VALUE"""),"978🤙🏼The Naked Gun: From the Files of Police Squad!🤙🏼Priscilla Presley🤙🏼Estrela 2")</f>
        <v>978🤙🏼The Naked Gun: From the Files of Police Squad!🤙🏼Priscilla Presley🤙🏼Estrela 2</v>
      </c>
      <c r="H3911" s="5">
        <f>IFERROR(__xludf.DUMMYFUNCTION("SPLiT(G3911, ""🤙🏼"",FALSE,FALSE)"),978.0)</f>
        <v>978</v>
      </c>
      <c r="I3911" s="5" t="str">
        <f>IFERROR(__xludf.DUMMYFUNCTION("""COMPUTED_VALUE"""),"The Naked Gun: From the Files of Police Squad!")</f>
        <v>The Naked Gun: From the Files of Police Squad!</v>
      </c>
      <c r="J3911" s="5" t="str">
        <f>IFERROR(__xludf.DUMMYFUNCTION("""COMPUTED_VALUE"""),"Priscilla Presley")</f>
        <v>Priscilla Presley</v>
      </c>
      <c r="K3911" s="5" t="str">
        <f>IFERROR(__xludf.DUMMYFUNCTION("""COMPUTED_VALUE"""),"Estrela 2")</f>
        <v>Estrela 2</v>
      </c>
      <c r="P3911" s="5">
        <f>IFERROR(__xludf.DUMMYFUNCTION("""COMPUTED_VALUE"""),978.0)</f>
        <v>978</v>
      </c>
      <c r="Q3911" s="5" t="str">
        <f>IFERROR(__xludf.DUMMYFUNCTION("""COMPUTED_VALUE"""),"The Naked Gun: From the Files of Police Squad!")</f>
        <v>The Naked Gun: From the Files of Police Squad!</v>
      </c>
      <c r="R3911" s="5" t="str">
        <f>IFERROR(__xludf.DUMMYFUNCTION("""COMPUTED_VALUE"""),"Priscilla Presley")</f>
        <v>Priscilla Presley</v>
      </c>
      <c r="S3911" s="5" t="str">
        <f>IFERROR(__xludf.DUMMYFUNCTION("""COMPUTED_VALUE"""),"Estrela 2")</f>
        <v>Estrela 2</v>
      </c>
    </row>
    <row r="3912">
      <c r="G3912" s="5" t="str">
        <f>IFERROR(__xludf.DUMMYFUNCTION("""COMPUTED_VALUE"""),"978🤙🏼The Naked Gun: From the Files of Police Squad!🤙🏼O.J. Simpson🤙🏼Estrela 3")</f>
        <v>978🤙🏼The Naked Gun: From the Files of Police Squad!🤙🏼O.J. Simpson🤙🏼Estrela 3</v>
      </c>
      <c r="H3912" s="5">
        <f>IFERROR(__xludf.DUMMYFUNCTION("SPLiT(G3912, ""🤙🏼"",FALSE,FALSE)"),978.0)</f>
        <v>978</v>
      </c>
      <c r="I3912" s="5" t="str">
        <f>IFERROR(__xludf.DUMMYFUNCTION("""COMPUTED_VALUE"""),"The Naked Gun: From the Files of Police Squad!")</f>
        <v>The Naked Gun: From the Files of Police Squad!</v>
      </c>
      <c r="J3912" s="5" t="str">
        <f>IFERROR(__xludf.DUMMYFUNCTION("""COMPUTED_VALUE"""),"O.J. Simpson")</f>
        <v>O.J. Simpson</v>
      </c>
      <c r="K3912" s="5" t="str">
        <f>IFERROR(__xludf.DUMMYFUNCTION("""COMPUTED_VALUE"""),"Estrela 3")</f>
        <v>Estrela 3</v>
      </c>
      <c r="P3912" s="5">
        <f>IFERROR(__xludf.DUMMYFUNCTION("""COMPUTED_VALUE"""),978.0)</f>
        <v>978</v>
      </c>
      <c r="Q3912" s="5" t="str">
        <f>IFERROR(__xludf.DUMMYFUNCTION("""COMPUTED_VALUE"""),"The Naked Gun: From the Files of Police Squad!")</f>
        <v>The Naked Gun: From the Files of Police Squad!</v>
      </c>
      <c r="R3912" s="5" t="str">
        <f>IFERROR(__xludf.DUMMYFUNCTION("""COMPUTED_VALUE"""),"O.J. Simpson")</f>
        <v>O.J. Simpson</v>
      </c>
      <c r="S3912" s="5" t="str">
        <f>IFERROR(__xludf.DUMMYFUNCTION("""COMPUTED_VALUE"""),"Estrela 3")</f>
        <v>Estrela 3</v>
      </c>
    </row>
    <row r="3913">
      <c r="G3913" s="5" t="str">
        <f>IFERROR(__xludf.DUMMYFUNCTION("""COMPUTED_VALUE"""),"978🤙🏼The Naked Gun: From the Files of Police Squad!🤙🏼Ricardo Montalban🤙🏼Estrela 4")</f>
        <v>978🤙🏼The Naked Gun: From the Files of Police Squad!🤙🏼Ricardo Montalban🤙🏼Estrela 4</v>
      </c>
      <c r="H3913" s="5">
        <f>IFERROR(__xludf.DUMMYFUNCTION("SPLiT(G3913, ""🤙🏼"",FALSE,FALSE)"),978.0)</f>
        <v>978</v>
      </c>
      <c r="I3913" s="5" t="str">
        <f>IFERROR(__xludf.DUMMYFUNCTION("""COMPUTED_VALUE"""),"The Naked Gun: From the Files of Police Squad!")</f>
        <v>The Naked Gun: From the Files of Police Squad!</v>
      </c>
      <c r="J3913" s="5" t="str">
        <f>IFERROR(__xludf.DUMMYFUNCTION("""COMPUTED_VALUE"""),"Ricardo Montalban")</f>
        <v>Ricardo Montalban</v>
      </c>
      <c r="K3913" s="5" t="str">
        <f>IFERROR(__xludf.DUMMYFUNCTION("""COMPUTED_VALUE"""),"Estrela 4")</f>
        <v>Estrela 4</v>
      </c>
      <c r="P3913" s="5">
        <f>IFERROR(__xludf.DUMMYFUNCTION("""COMPUTED_VALUE"""),978.0)</f>
        <v>978</v>
      </c>
      <c r="Q3913" s="5" t="str">
        <f>IFERROR(__xludf.DUMMYFUNCTION("""COMPUTED_VALUE"""),"The Naked Gun: From the Files of Police Squad!")</f>
        <v>The Naked Gun: From the Files of Police Squad!</v>
      </c>
      <c r="R3913" s="5" t="str">
        <f>IFERROR(__xludf.DUMMYFUNCTION("""COMPUTED_VALUE"""),"Ricardo Montalban")</f>
        <v>Ricardo Montalban</v>
      </c>
      <c r="S3913" s="5" t="str">
        <f>IFERROR(__xludf.DUMMYFUNCTION("""COMPUTED_VALUE"""),"Estrela 4")</f>
        <v>Estrela 4</v>
      </c>
    </row>
    <row r="3914">
      <c r="G3914" s="5" t="str">
        <f>IFERROR(__xludf.DUMMYFUNCTION("""COMPUTED_VALUE"""),"979🤙🏼Planes, Trains &amp; Automobiles🤙🏼Steve Martin🤙🏼Estrela 1")</f>
        <v>979🤙🏼Planes, Trains &amp; Automobiles🤙🏼Steve Martin🤙🏼Estrela 1</v>
      </c>
      <c r="H3914" s="5">
        <f>IFERROR(__xludf.DUMMYFUNCTION("SPLiT(G3914, ""🤙🏼"",FALSE,FALSE)"),979.0)</f>
        <v>979</v>
      </c>
      <c r="I3914" s="5" t="str">
        <f>IFERROR(__xludf.DUMMYFUNCTION("""COMPUTED_VALUE"""),"Planes, Trains &amp; Automobiles")</f>
        <v>Planes, Trains &amp; Automobiles</v>
      </c>
      <c r="J3914" s="5" t="str">
        <f>IFERROR(__xludf.DUMMYFUNCTION("""COMPUTED_VALUE"""),"Steve Martin")</f>
        <v>Steve Martin</v>
      </c>
      <c r="K3914" s="5" t="str">
        <f>IFERROR(__xludf.DUMMYFUNCTION("""COMPUTED_VALUE"""),"Estrela 1")</f>
        <v>Estrela 1</v>
      </c>
      <c r="P3914" s="5">
        <f>IFERROR(__xludf.DUMMYFUNCTION("""COMPUTED_VALUE"""),979.0)</f>
        <v>979</v>
      </c>
      <c r="Q3914" s="5" t="str">
        <f>IFERROR(__xludf.DUMMYFUNCTION("""COMPUTED_VALUE"""),"Planes, Trains &amp; Automobiles")</f>
        <v>Planes, Trains &amp; Automobiles</v>
      </c>
      <c r="R3914" s="5" t="str">
        <f>IFERROR(__xludf.DUMMYFUNCTION("""COMPUTED_VALUE"""),"Steve Martin")</f>
        <v>Steve Martin</v>
      </c>
      <c r="S3914" s="5" t="str">
        <f>IFERROR(__xludf.DUMMYFUNCTION("""COMPUTED_VALUE"""),"Estrela 1")</f>
        <v>Estrela 1</v>
      </c>
    </row>
    <row r="3915">
      <c r="G3915" s="5" t="str">
        <f>IFERROR(__xludf.DUMMYFUNCTION("""COMPUTED_VALUE"""),"979🤙🏼Planes, Trains &amp; Automobiles🤙🏼John Candy🤙🏼Estrela 2")</f>
        <v>979🤙🏼Planes, Trains &amp; Automobiles🤙🏼John Candy🤙🏼Estrela 2</v>
      </c>
      <c r="H3915" s="5">
        <f>IFERROR(__xludf.DUMMYFUNCTION("SPLiT(G3915, ""🤙🏼"",FALSE,FALSE)"),979.0)</f>
        <v>979</v>
      </c>
      <c r="I3915" s="5" t="str">
        <f>IFERROR(__xludf.DUMMYFUNCTION("""COMPUTED_VALUE"""),"Planes, Trains &amp; Automobiles")</f>
        <v>Planes, Trains &amp; Automobiles</v>
      </c>
      <c r="J3915" s="5" t="str">
        <f>IFERROR(__xludf.DUMMYFUNCTION("""COMPUTED_VALUE"""),"John Candy")</f>
        <v>John Candy</v>
      </c>
      <c r="K3915" s="5" t="str">
        <f>IFERROR(__xludf.DUMMYFUNCTION("""COMPUTED_VALUE"""),"Estrela 2")</f>
        <v>Estrela 2</v>
      </c>
      <c r="P3915" s="5">
        <f>IFERROR(__xludf.DUMMYFUNCTION("""COMPUTED_VALUE"""),979.0)</f>
        <v>979</v>
      </c>
      <c r="Q3915" s="5" t="str">
        <f>IFERROR(__xludf.DUMMYFUNCTION("""COMPUTED_VALUE"""),"Planes, Trains &amp; Automobiles")</f>
        <v>Planes, Trains &amp; Automobiles</v>
      </c>
      <c r="R3915" s="5" t="str">
        <f>IFERROR(__xludf.DUMMYFUNCTION("""COMPUTED_VALUE"""),"John Candy")</f>
        <v>John Candy</v>
      </c>
      <c r="S3915" s="5" t="str">
        <f>IFERROR(__xludf.DUMMYFUNCTION("""COMPUTED_VALUE"""),"Estrela 2")</f>
        <v>Estrela 2</v>
      </c>
    </row>
    <row r="3916">
      <c r="G3916" s="5" t="str">
        <f>IFERROR(__xludf.DUMMYFUNCTION("""COMPUTED_VALUE"""),"979🤙🏼Planes, Trains &amp; Automobiles🤙🏼Laila Robins🤙🏼Estrela 3")</f>
        <v>979🤙🏼Planes, Trains &amp; Automobiles🤙🏼Laila Robins🤙🏼Estrela 3</v>
      </c>
      <c r="H3916" s="5">
        <f>IFERROR(__xludf.DUMMYFUNCTION("SPLiT(G3916, ""🤙🏼"",FALSE,FALSE)"),979.0)</f>
        <v>979</v>
      </c>
      <c r="I3916" s="5" t="str">
        <f>IFERROR(__xludf.DUMMYFUNCTION("""COMPUTED_VALUE"""),"Planes, Trains &amp; Automobiles")</f>
        <v>Planes, Trains &amp; Automobiles</v>
      </c>
      <c r="J3916" s="5" t="str">
        <f>IFERROR(__xludf.DUMMYFUNCTION("""COMPUTED_VALUE"""),"Laila Robins")</f>
        <v>Laila Robins</v>
      </c>
      <c r="K3916" s="5" t="str">
        <f>IFERROR(__xludf.DUMMYFUNCTION("""COMPUTED_VALUE"""),"Estrela 3")</f>
        <v>Estrela 3</v>
      </c>
      <c r="P3916" s="5">
        <f>IFERROR(__xludf.DUMMYFUNCTION("""COMPUTED_VALUE"""),979.0)</f>
        <v>979</v>
      </c>
      <c r="Q3916" s="5" t="str">
        <f>IFERROR(__xludf.DUMMYFUNCTION("""COMPUTED_VALUE"""),"Planes, Trains &amp; Automobiles")</f>
        <v>Planes, Trains &amp; Automobiles</v>
      </c>
      <c r="R3916" s="5" t="str">
        <f>IFERROR(__xludf.DUMMYFUNCTION("""COMPUTED_VALUE"""),"Laila Robins")</f>
        <v>Laila Robins</v>
      </c>
      <c r="S3916" s="5" t="str">
        <f>IFERROR(__xludf.DUMMYFUNCTION("""COMPUTED_VALUE"""),"Estrela 3")</f>
        <v>Estrela 3</v>
      </c>
    </row>
    <row r="3917">
      <c r="G3917" s="5" t="str">
        <f>IFERROR(__xludf.DUMMYFUNCTION("""COMPUTED_VALUE"""),"979🤙🏼Planes, Trains &amp; Automobiles🤙🏼Michael McKean🤙🏼Estrela 4")</f>
        <v>979🤙🏼Planes, Trains &amp; Automobiles🤙🏼Michael McKean🤙🏼Estrela 4</v>
      </c>
      <c r="H3917" s="5">
        <f>IFERROR(__xludf.DUMMYFUNCTION("SPLiT(G3917, ""🤙🏼"",FALSE,FALSE)"),979.0)</f>
        <v>979</v>
      </c>
      <c r="I3917" s="5" t="str">
        <f>IFERROR(__xludf.DUMMYFUNCTION("""COMPUTED_VALUE"""),"Planes, Trains &amp; Automobiles")</f>
        <v>Planes, Trains &amp; Automobiles</v>
      </c>
      <c r="J3917" s="5" t="str">
        <f>IFERROR(__xludf.DUMMYFUNCTION("""COMPUTED_VALUE"""),"Michael McKean")</f>
        <v>Michael McKean</v>
      </c>
      <c r="K3917" s="5" t="str">
        <f>IFERROR(__xludf.DUMMYFUNCTION("""COMPUTED_VALUE"""),"Estrela 4")</f>
        <v>Estrela 4</v>
      </c>
      <c r="P3917" s="5">
        <f>IFERROR(__xludf.DUMMYFUNCTION("""COMPUTED_VALUE"""),979.0)</f>
        <v>979</v>
      </c>
      <c r="Q3917" s="5" t="str">
        <f>IFERROR(__xludf.DUMMYFUNCTION("""COMPUTED_VALUE"""),"Planes, Trains &amp; Automobiles")</f>
        <v>Planes, Trains &amp; Automobiles</v>
      </c>
      <c r="R3917" s="5" t="str">
        <f>IFERROR(__xludf.DUMMYFUNCTION("""COMPUTED_VALUE"""),"Michael McKean")</f>
        <v>Michael McKean</v>
      </c>
      <c r="S3917" s="5" t="str">
        <f>IFERROR(__xludf.DUMMYFUNCTION("""COMPUTED_VALUE"""),"Estrela 4")</f>
        <v>Estrela 4</v>
      </c>
    </row>
    <row r="3918">
      <c r="G3918" s="5" t="str">
        <f>IFERROR(__xludf.DUMMYFUNCTION("""COMPUTED_VALUE"""),"980🤙🏼Lethal Weapon🤙🏼Mel Gibson🤙🏼Estrela 1")</f>
        <v>980🤙🏼Lethal Weapon🤙🏼Mel Gibson🤙🏼Estrela 1</v>
      </c>
      <c r="H3918" s="5">
        <f>IFERROR(__xludf.DUMMYFUNCTION("SPLiT(G3918, ""🤙🏼"",FALSE,FALSE)"),980.0)</f>
        <v>980</v>
      </c>
      <c r="I3918" s="5" t="str">
        <f>IFERROR(__xludf.DUMMYFUNCTION("""COMPUTED_VALUE"""),"Lethal Weapon")</f>
        <v>Lethal Weapon</v>
      </c>
      <c r="J3918" s="5" t="str">
        <f>IFERROR(__xludf.DUMMYFUNCTION("""COMPUTED_VALUE"""),"Mel Gibson")</f>
        <v>Mel Gibson</v>
      </c>
      <c r="K3918" s="5" t="str">
        <f>IFERROR(__xludf.DUMMYFUNCTION("""COMPUTED_VALUE"""),"Estrela 1")</f>
        <v>Estrela 1</v>
      </c>
      <c r="P3918" s="5">
        <f>IFERROR(__xludf.DUMMYFUNCTION("""COMPUTED_VALUE"""),980.0)</f>
        <v>980</v>
      </c>
      <c r="Q3918" s="5" t="str">
        <f>IFERROR(__xludf.DUMMYFUNCTION("""COMPUTED_VALUE"""),"Lethal Weapon")</f>
        <v>Lethal Weapon</v>
      </c>
      <c r="R3918" s="5" t="str">
        <f>IFERROR(__xludf.DUMMYFUNCTION("""COMPUTED_VALUE"""),"Mel Gibson")</f>
        <v>Mel Gibson</v>
      </c>
      <c r="S3918" s="5" t="str">
        <f>IFERROR(__xludf.DUMMYFUNCTION("""COMPUTED_VALUE"""),"Estrela 1")</f>
        <v>Estrela 1</v>
      </c>
    </row>
    <row r="3919">
      <c r="G3919" s="5" t="str">
        <f>IFERROR(__xludf.DUMMYFUNCTION("""COMPUTED_VALUE"""),"980🤙🏼Lethal Weapon🤙🏼Danny Glover🤙🏼Estrela 2")</f>
        <v>980🤙🏼Lethal Weapon🤙🏼Danny Glover🤙🏼Estrela 2</v>
      </c>
      <c r="H3919" s="5">
        <f>IFERROR(__xludf.DUMMYFUNCTION("SPLiT(G3919, ""🤙🏼"",FALSE,FALSE)"),980.0)</f>
        <v>980</v>
      </c>
      <c r="I3919" s="5" t="str">
        <f>IFERROR(__xludf.DUMMYFUNCTION("""COMPUTED_VALUE"""),"Lethal Weapon")</f>
        <v>Lethal Weapon</v>
      </c>
      <c r="J3919" s="5" t="str">
        <f>IFERROR(__xludf.DUMMYFUNCTION("""COMPUTED_VALUE"""),"Danny Glover")</f>
        <v>Danny Glover</v>
      </c>
      <c r="K3919" s="5" t="str">
        <f>IFERROR(__xludf.DUMMYFUNCTION("""COMPUTED_VALUE"""),"Estrela 2")</f>
        <v>Estrela 2</v>
      </c>
      <c r="P3919" s="5">
        <f>IFERROR(__xludf.DUMMYFUNCTION("""COMPUTED_VALUE"""),980.0)</f>
        <v>980</v>
      </c>
      <c r="Q3919" s="5" t="str">
        <f>IFERROR(__xludf.DUMMYFUNCTION("""COMPUTED_VALUE"""),"Lethal Weapon")</f>
        <v>Lethal Weapon</v>
      </c>
      <c r="R3919" s="5" t="str">
        <f>IFERROR(__xludf.DUMMYFUNCTION("""COMPUTED_VALUE"""),"Danny Glover")</f>
        <v>Danny Glover</v>
      </c>
      <c r="S3919" s="5" t="str">
        <f>IFERROR(__xludf.DUMMYFUNCTION("""COMPUTED_VALUE"""),"Estrela 2")</f>
        <v>Estrela 2</v>
      </c>
    </row>
    <row r="3920">
      <c r="G3920" s="5" t="str">
        <f>IFERROR(__xludf.DUMMYFUNCTION("""COMPUTED_VALUE"""),"980🤙🏼Lethal Weapon🤙🏼Gary Busey🤙🏼Estrela 3")</f>
        <v>980🤙🏼Lethal Weapon🤙🏼Gary Busey🤙🏼Estrela 3</v>
      </c>
      <c r="H3920" s="5">
        <f>IFERROR(__xludf.DUMMYFUNCTION("SPLiT(G3920, ""🤙🏼"",FALSE,FALSE)"),980.0)</f>
        <v>980</v>
      </c>
      <c r="I3920" s="5" t="str">
        <f>IFERROR(__xludf.DUMMYFUNCTION("""COMPUTED_VALUE"""),"Lethal Weapon")</f>
        <v>Lethal Weapon</v>
      </c>
      <c r="J3920" s="5" t="str">
        <f>IFERROR(__xludf.DUMMYFUNCTION("""COMPUTED_VALUE"""),"Gary Busey")</f>
        <v>Gary Busey</v>
      </c>
      <c r="K3920" s="5" t="str">
        <f>IFERROR(__xludf.DUMMYFUNCTION("""COMPUTED_VALUE"""),"Estrela 3")</f>
        <v>Estrela 3</v>
      </c>
      <c r="P3920" s="5">
        <f>IFERROR(__xludf.DUMMYFUNCTION("""COMPUTED_VALUE"""),980.0)</f>
        <v>980</v>
      </c>
      <c r="Q3920" s="5" t="str">
        <f>IFERROR(__xludf.DUMMYFUNCTION("""COMPUTED_VALUE"""),"Lethal Weapon")</f>
        <v>Lethal Weapon</v>
      </c>
      <c r="R3920" s="5" t="str">
        <f>IFERROR(__xludf.DUMMYFUNCTION("""COMPUTED_VALUE"""),"Gary Busey")</f>
        <v>Gary Busey</v>
      </c>
      <c r="S3920" s="5" t="str">
        <f>IFERROR(__xludf.DUMMYFUNCTION("""COMPUTED_VALUE"""),"Estrela 3")</f>
        <v>Estrela 3</v>
      </c>
    </row>
    <row r="3921">
      <c r="G3921" s="5" t="str">
        <f>IFERROR(__xludf.DUMMYFUNCTION("""COMPUTED_VALUE"""),"980🤙🏼Lethal Weapon🤙🏼Mitchell Ryan🤙🏼Estrela 4")</f>
        <v>980🤙🏼Lethal Weapon🤙🏼Mitchell Ryan🤙🏼Estrela 4</v>
      </c>
      <c r="H3921" s="5">
        <f>IFERROR(__xludf.DUMMYFUNCTION("SPLiT(G3921, ""🤙🏼"",FALSE,FALSE)"),980.0)</f>
        <v>980</v>
      </c>
      <c r="I3921" s="5" t="str">
        <f>IFERROR(__xludf.DUMMYFUNCTION("""COMPUTED_VALUE"""),"Lethal Weapon")</f>
        <v>Lethal Weapon</v>
      </c>
      <c r="J3921" s="5" t="str">
        <f>IFERROR(__xludf.DUMMYFUNCTION("""COMPUTED_VALUE"""),"Mitchell Ryan")</f>
        <v>Mitchell Ryan</v>
      </c>
      <c r="K3921" s="5" t="str">
        <f>IFERROR(__xludf.DUMMYFUNCTION("""COMPUTED_VALUE"""),"Estrela 4")</f>
        <v>Estrela 4</v>
      </c>
      <c r="P3921" s="5">
        <f>IFERROR(__xludf.DUMMYFUNCTION("""COMPUTED_VALUE"""),980.0)</f>
        <v>980</v>
      </c>
      <c r="Q3921" s="5" t="str">
        <f>IFERROR(__xludf.DUMMYFUNCTION("""COMPUTED_VALUE"""),"Lethal Weapon")</f>
        <v>Lethal Weapon</v>
      </c>
      <c r="R3921" s="5" t="str">
        <f>IFERROR(__xludf.DUMMYFUNCTION("""COMPUTED_VALUE"""),"Mitchell Ryan")</f>
        <v>Mitchell Ryan</v>
      </c>
      <c r="S3921" s="5" t="str">
        <f>IFERROR(__xludf.DUMMYFUNCTION("""COMPUTED_VALUE"""),"Estrela 4")</f>
        <v>Estrela 4</v>
      </c>
    </row>
    <row r="3922">
      <c r="G3922" s="5" t="str">
        <f>IFERROR(__xludf.DUMMYFUNCTION("""COMPUTED_VALUE"""),"981🤙🏼Blood Simple🤙🏼Ethan Coen🤙🏼Estrela 1")</f>
        <v>981🤙🏼Blood Simple🤙🏼Ethan Coen🤙🏼Estrela 1</v>
      </c>
      <c r="H3922" s="5">
        <f>IFERROR(__xludf.DUMMYFUNCTION("SPLiT(G3922, ""🤙🏼"",FALSE,FALSE)"),981.0)</f>
        <v>981</v>
      </c>
      <c r="I3922" s="5" t="str">
        <f>IFERROR(__xludf.DUMMYFUNCTION("""COMPUTED_VALUE"""),"Blood Simple")</f>
        <v>Blood Simple</v>
      </c>
      <c r="J3922" s="5" t="str">
        <f>IFERROR(__xludf.DUMMYFUNCTION("""COMPUTED_VALUE"""),"Ethan Coen")</f>
        <v>Ethan Coen</v>
      </c>
      <c r="K3922" s="5" t="str">
        <f>IFERROR(__xludf.DUMMYFUNCTION("""COMPUTED_VALUE"""),"Estrela 1")</f>
        <v>Estrela 1</v>
      </c>
      <c r="P3922" s="5">
        <f>IFERROR(__xludf.DUMMYFUNCTION("""COMPUTED_VALUE"""),981.0)</f>
        <v>981</v>
      </c>
      <c r="Q3922" s="5" t="str">
        <f>IFERROR(__xludf.DUMMYFUNCTION("""COMPUTED_VALUE"""),"Blood Simple")</f>
        <v>Blood Simple</v>
      </c>
      <c r="R3922" s="5" t="str">
        <f>IFERROR(__xludf.DUMMYFUNCTION("""COMPUTED_VALUE"""),"Ethan Coen")</f>
        <v>Ethan Coen</v>
      </c>
      <c r="S3922" s="5" t="str">
        <f>IFERROR(__xludf.DUMMYFUNCTION("""COMPUTED_VALUE"""),"Estrela 1")</f>
        <v>Estrela 1</v>
      </c>
    </row>
    <row r="3923">
      <c r="G3923" s="5" t="str">
        <f>IFERROR(__xludf.DUMMYFUNCTION("""COMPUTED_VALUE"""),"981🤙🏼Blood Simple🤙🏼John Getz🤙🏼Estrela 2")</f>
        <v>981🤙🏼Blood Simple🤙🏼John Getz🤙🏼Estrela 2</v>
      </c>
      <c r="H3923" s="5">
        <f>IFERROR(__xludf.DUMMYFUNCTION("SPLiT(G3923, ""🤙🏼"",FALSE,FALSE)"),981.0)</f>
        <v>981</v>
      </c>
      <c r="I3923" s="5" t="str">
        <f>IFERROR(__xludf.DUMMYFUNCTION("""COMPUTED_VALUE"""),"Blood Simple")</f>
        <v>Blood Simple</v>
      </c>
      <c r="J3923" s="5" t="str">
        <f>IFERROR(__xludf.DUMMYFUNCTION("""COMPUTED_VALUE"""),"John Getz")</f>
        <v>John Getz</v>
      </c>
      <c r="K3923" s="5" t="str">
        <f>IFERROR(__xludf.DUMMYFUNCTION("""COMPUTED_VALUE"""),"Estrela 2")</f>
        <v>Estrela 2</v>
      </c>
      <c r="P3923" s="5">
        <f>IFERROR(__xludf.DUMMYFUNCTION("""COMPUTED_VALUE"""),981.0)</f>
        <v>981</v>
      </c>
      <c r="Q3923" s="5" t="str">
        <f>IFERROR(__xludf.DUMMYFUNCTION("""COMPUTED_VALUE"""),"Blood Simple")</f>
        <v>Blood Simple</v>
      </c>
      <c r="R3923" s="5" t="str">
        <f>IFERROR(__xludf.DUMMYFUNCTION("""COMPUTED_VALUE"""),"John Getz")</f>
        <v>John Getz</v>
      </c>
      <c r="S3923" s="5" t="str">
        <f>IFERROR(__xludf.DUMMYFUNCTION("""COMPUTED_VALUE"""),"Estrela 2")</f>
        <v>Estrela 2</v>
      </c>
    </row>
    <row r="3924">
      <c r="G3924" s="5" t="str">
        <f>IFERROR(__xludf.DUMMYFUNCTION("""COMPUTED_VALUE"""),"981🤙🏼Blood Simple🤙🏼Frances McDormand🤙🏼Estrela 3")</f>
        <v>981🤙🏼Blood Simple🤙🏼Frances McDormand🤙🏼Estrela 3</v>
      </c>
      <c r="H3924" s="5">
        <f>IFERROR(__xludf.DUMMYFUNCTION("SPLiT(G3924, ""🤙🏼"",FALSE,FALSE)"),981.0)</f>
        <v>981</v>
      </c>
      <c r="I3924" s="5" t="str">
        <f>IFERROR(__xludf.DUMMYFUNCTION("""COMPUTED_VALUE"""),"Blood Simple")</f>
        <v>Blood Simple</v>
      </c>
      <c r="J3924" s="5" t="str">
        <f>IFERROR(__xludf.DUMMYFUNCTION("""COMPUTED_VALUE"""),"Frances McDormand")</f>
        <v>Frances McDormand</v>
      </c>
      <c r="K3924" s="5" t="str">
        <f>IFERROR(__xludf.DUMMYFUNCTION("""COMPUTED_VALUE"""),"Estrela 3")</f>
        <v>Estrela 3</v>
      </c>
      <c r="P3924" s="5">
        <f>IFERROR(__xludf.DUMMYFUNCTION("""COMPUTED_VALUE"""),981.0)</f>
        <v>981</v>
      </c>
      <c r="Q3924" s="5" t="str">
        <f>IFERROR(__xludf.DUMMYFUNCTION("""COMPUTED_VALUE"""),"Blood Simple")</f>
        <v>Blood Simple</v>
      </c>
      <c r="R3924" s="5" t="str">
        <f>IFERROR(__xludf.DUMMYFUNCTION("""COMPUTED_VALUE"""),"Frances McDormand")</f>
        <v>Frances McDormand</v>
      </c>
      <c r="S3924" s="5" t="str">
        <f>IFERROR(__xludf.DUMMYFUNCTION("""COMPUTED_VALUE"""),"Estrela 3")</f>
        <v>Estrela 3</v>
      </c>
    </row>
    <row r="3925">
      <c r="G3925" s="5" t="str">
        <f>IFERROR(__xludf.DUMMYFUNCTION("""COMPUTED_VALUE"""),"981🤙🏼Blood Simple🤙🏼Dan Hedaya🤙🏼Estrela 4")</f>
        <v>981🤙🏼Blood Simple🤙🏼Dan Hedaya🤙🏼Estrela 4</v>
      </c>
      <c r="H3925" s="5">
        <f>IFERROR(__xludf.DUMMYFUNCTION("SPLiT(G3925, ""🤙🏼"",FALSE,FALSE)"),981.0)</f>
        <v>981</v>
      </c>
      <c r="I3925" s="5" t="str">
        <f>IFERROR(__xludf.DUMMYFUNCTION("""COMPUTED_VALUE"""),"Blood Simple")</f>
        <v>Blood Simple</v>
      </c>
      <c r="J3925" s="5" t="str">
        <f>IFERROR(__xludf.DUMMYFUNCTION("""COMPUTED_VALUE"""),"Dan Hedaya")</f>
        <v>Dan Hedaya</v>
      </c>
      <c r="K3925" s="5" t="str">
        <f>IFERROR(__xludf.DUMMYFUNCTION("""COMPUTED_VALUE"""),"Estrela 4")</f>
        <v>Estrela 4</v>
      </c>
      <c r="P3925" s="5">
        <f>IFERROR(__xludf.DUMMYFUNCTION("""COMPUTED_VALUE"""),981.0)</f>
        <v>981</v>
      </c>
      <c r="Q3925" s="5" t="str">
        <f>IFERROR(__xludf.DUMMYFUNCTION("""COMPUTED_VALUE"""),"Blood Simple")</f>
        <v>Blood Simple</v>
      </c>
      <c r="R3925" s="5" t="str">
        <f>IFERROR(__xludf.DUMMYFUNCTION("""COMPUTED_VALUE"""),"Dan Hedaya")</f>
        <v>Dan Hedaya</v>
      </c>
      <c r="S3925" s="5" t="str">
        <f>IFERROR(__xludf.DUMMYFUNCTION("""COMPUTED_VALUE"""),"Estrela 4")</f>
        <v>Estrela 4</v>
      </c>
    </row>
    <row r="3926">
      <c r="G3926" s="5" t="str">
        <f>IFERROR(__xludf.DUMMYFUNCTION("""COMPUTED_VALUE"""),"982🤙🏼On Golden Pond🤙🏼Katharine Hepburn🤙🏼Estrela 1")</f>
        <v>982🤙🏼On Golden Pond🤙🏼Katharine Hepburn🤙🏼Estrela 1</v>
      </c>
      <c r="H3926" s="5">
        <f>IFERROR(__xludf.DUMMYFUNCTION("SPLiT(G3926, ""🤙🏼"",FALSE,FALSE)"),982.0)</f>
        <v>982</v>
      </c>
      <c r="I3926" s="5" t="str">
        <f>IFERROR(__xludf.DUMMYFUNCTION("""COMPUTED_VALUE"""),"On Golden Pond")</f>
        <v>On Golden Pond</v>
      </c>
      <c r="J3926" s="5" t="str">
        <f>IFERROR(__xludf.DUMMYFUNCTION("""COMPUTED_VALUE"""),"Katharine Hepburn")</f>
        <v>Katharine Hepburn</v>
      </c>
      <c r="K3926" s="5" t="str">
        <f>IFERROR(__xludf.DUMMYFUNCTION("""COMPUTED_VALUE"""),"Estrela 1")</f>
        <v>Estrela 1</v>
      </c>
      <c r="P3926" s="5">
        <f>IFERROR(__xludf.DUMMYFUNCTION("""COMPUTED_VALUE"""),982.0)</f>
        <v>982</v>
      </c>
      <c r="Q3926" s="5" t="str">
        <f>IFERROR(__xludf.DUMMYFUNCTION("""COMPUTED_VALUE"""),"On Golden Pond")</f>
        <v>On Golden Pond</v>
      </c>
      <c r="R3926" s="5" t="str">
        <f>IFERROR(__xludf.DUMMYFUNCTION("""COMPUTED_VALUE"""),"Katharine Hepburn")</f>
        <v>Katharine Hepburn</v>
      </c>
      <c r="S3926" s="5" t="str">
        <f>IFERROR(__xludf.DUMMYFUNCTION("""COMPUTED_VALUE"""),"Estrela 1")</f>
        <v>Estrela 1</v>
      </c>
    </row>
    <row r="3927">
      <c r="G3927" s="5" t="str">
        <f>IFERROR(__xludf.DUMMYFUNCTION("""COMPUTED_VALUE"""),"982🤙🏼On Golden Pond🤙🏼Henry Fonda🤙🏼Estrela 2")</f>
        <v>982🤙🏼On Golden Pond🤙🏼Henry Fonda🤙🏼Estrela 2</v>
      </c>
      <c r="H3927" s="5">
        <f>IFERROR(__xludf.DUMMYFUNCTION("SPLiT(G3927, ""🤙🏼"",FALSE,FALSE)"),982.0)</f>
        <v>982</v>
      </c>
      <c r="I3927" s="5" t="str">
        <f>IFERROR(__xludf.DUMMYFUNCTION("""COMPUTED_VALUE"""),"On Golden Pond")</f>
        <v>On Golden Pond</v>
      </c>
      <c r="J3927" s="5" t="str">
        <f>IFERROR(__xludf.DUMMYFUNCTION("""COMPUTED_VALUE"""),"Henry Fonda")</f>
        <v>Henry Fonda</v>
      </c>
      <c r="K3927" s="5" t="str">
        <f>IFERROR(__xludf.DUMMYFUNCTION("""COMPUTED_VALUE"""),"Estrela 2")</f>
        <v>Estrela 2</v>
      </c>
      <c r="P3927" s="5">
        <f>IFERROR(__xludf.DUMMYFUNCTION("""COMPUTED_VALUE"""),982.0)</f>
        <v>982</v>
      </c>
      <c r="Q3927" s="5" t="str">
        <f>IFERROR(__xludf.DUMMYFUNCTION("""COMPUTED_VALUE"""),"On Golden Pond")</f>
        <v>On Golden Pond</v>
      </c>
      <c r="R3927" s="5" t="str">
        <f>IFERROR(__xludf.DUMMYFUNCTION("""COMPUTED_VALUE"""),"Henry Fonda")</f>
        <v>Henry Fonda</v>
      </c>
      <c r="S3927" s="5" t="str">
        <f>IFERROR(__xludf.DUMMYFUNCTION("""COMPUTED_VALUE"""),"Estrela 2")</f>
        <v>Estrela 2</v>
      </c>
    </row>
    <row r="3928">
      <c r="G3928" s="5" t="str">
        <f>IFERROR(__xludf.DUMMYFUNCTION("""COMPUTED_VALUE"""),"982🤙🏼On Golden Pond🤙🏼Jane Fonda🤙🏼Estrela 3")</f>
        <v>982🤙🏼On Golden Pond🤙🏼Jane Fonda🤙🏼Estrela 3</v>
      </c>
      <c r="H3928" s="5">
        <f>IFERROR(__xludf.DUMMYFUNCTION("SPLiT(G3928, ""🤙🏼"",FALSE,FALSE)"),982.0)</f>
        <v>982</v>
      </c>
      <c r="I3928" s="5" t="str">
        <f>IFERROR(__xludf.DUMMYFUNCTION("""COMPUTED_VALUE"""),"On Golden Pond")</f>
        <v>On Golden Pond</v>
      </c>
      <c r="J3928" s="5" t="str">
        <f>IFERROR(__xludf.DUMMYFUNCTION("""COMPUTED_VALUE"""),"Jane Fonda")</f>
        <v>Jane Fonda</v>
      </c>
      <c r="K3928" s="5" t="str">
        <f>IFERROR(__xludf.DUMMYFUNCTION("""COMPUTED_VALUE"""),"Estrela 3")</f>
        <v>Estrela 3</v>
      </c>
      <c r="P3928" s="5">
        <f>IFERROR(__xludf.DUMMYFUNCTION("""COMPUTED_VALUE"""),982.0)</f>
        <v>982</v>
      </c>
      <c r="Q3928" s="5" t="str">
        <f>IFERROR(__xludf.DUMMYFUNCTION("""COMPUTED_VALUE"""),"On Golden Pond")</f>
        <v>On Golden Pond</v>
      </c>
      <c r="R3928" s="5" t="str">
        <f>IFERROR(__xludf.DUMMYFUNCTION("""COMPUTED_VALUE"""),"Jane Fonda")</f>
        <v>Jane Fonda</v>
      </c>
      <c r="S3928" s="5" t="str">
        <f>IFERROR(__xludf.DUMMYFUNCTION("""COMPUTED_VALUE"""),"Estrela 3")</f>
        <v>Estrela 3</v>
      </c>
    </row>
    <row r="3929">
      <c r="G3929" s="5" t="str">
        <f>IFERROR(__xludf.DUMMYFUNCTION("""COMPUTED_VALUE"""),"982🤙🏼On Golden Pond🤙🏼Doug McKeon🤙🏼Estrela 4")</f>
        <v>982🤙🏼On Golden Pond🤙🏼Doug McKeon🤙🏼Estrela 4</v>
      </c>
      <c r="H3929" s="5">
        <f>IFERROR(__xludf.DUMMYFUNCTION("SPLiT(G3929, ""🤙🏼"",FALSE,FALSE)"),982.0)</f>
        <v>982</v>
      </c>
      <c r="I3929" s="5" t="str">
        <f>IFERROR(__xludf.DUMMYFUNCTION("""COMPUTED_VALUE"""),"On Golden Pond")</f>
        <v>On Golden Pond</v>
      </c>
      <c r="J3929" s="5" t="str">
        <f>IFERROR(__xludf.DUMMYFUNCTION("""COMPUTED_VALUE"""),"Doug McKeon")</f>
        <v>Doug McKeon</v>
      </c>
      <c r="K3929" s="5" t="str">
        <f>IFERROR(__xludf.DUMMYFUNCTION("""COMPUTED_VALUE"""),"Estrela 4")</f>
        <v>Estrela 4</v>
      </c>
      <c r="P3929" s="5">
        <f>IFERROR(__xludf.DUMMYFUNCTION("""COMPUTED_VALUE"""),982.0)</f>
        <v>982</v>
      </c>
      <c r="Q3929" s="5" t="str">
        <f>IFERROR(__xludf.DUMMYFUNCTION("""COMPUTED_VALUE"""),"On Golden Pond")</f>
        <v>On Golden Pond</v>
      </c>
      <c r="R3929" s="5" t="str">
        <f>IFERROR(__xludf.DUMMYFUNCTION("""COMPUTED_VALUE"""),"Doug McKeon")</f>
        <v>Doug McKeon</v>
      </c>
      <c r="S3929" s="5" t="str">
        <f>IFERROR(__xludf.DUMMYFUNCTION("""COMPUTED_VALUE"""),"Estrela 4")</f>
        <v>Estrela 4</v>
      </c>
    </row>
    <row r="3930">
      <c r="G3930" s="5" t="str">
        <f>IFERROR(__xludf.DUMMYFUNCTION("""COMPUTED_VALUE"""),"983🤙🏼Mad Max 2🤙🏼Mel Gibson🤙🏼Estrela 1")</f>
        <v>983🤙🏼Mad Max 2🤙🏼Mel Gibson🤙🏼Estrela 1</v>
      </c>
      <c r="H3930" s="5">
        <f>IFERROR(__xludf.DUMMYFUNCTION("SPLiT(G3930, ""🤙🏼"",FALSE,FALSE)"),983.0)</f>
        <v>983</v>
      </c>
      <c r="I3930" s="5" t="str">
        <f>IFERROR(__xludf.DUMMYFUNCTION("""COMPUTED_VALUE"""),"Mad Max 2")</f>
        <v>Mad Max 2</v>
      </c>
      <c r="J3930" s="5" t="str">
        <f>IFERROR(__xludf.DUMMYFUNCTION("""COMPUTED_VALUE"""),"Mel Gibson")</f>
        <v>Mel Gibson</v>
      </c>
      <c r="K3930" s="5" t="str">
        <f>IFERROR(__xludf.DUMMYFUNCTION("""COMPUTED_VALUE"""),"Estrela 1")</f>
        <v>Estrela 1</v>
      </c>
      <c r="P3930" s="5">
        <f>IFERROR(__xludf.DUMMYFUNCTION("""COMPUTED_VALUE"""),983.0)</f>
        <v>983</v>
      </c>
      <c r="Q3930" s="5" t="str">
        <f>IFERROR(__xludf.DUMMYFUNCTION("""COMPUTED_VALUE"""),"Mad Max 2")</f>
        <v>Mad Max 2</v>
      </c>
      <c r="R3930" s="5" t="str">
        <f>IFERROR(__xludf.DUMMYFUNCTION("""COMPUTED_VALUE"""),"Mel Gibson")</f>
        <v>Mel Gibson</v>
      </c>
      <c r="S3930" s="5" t="str">
        <f>IFERROR(__xludf.DUMMYFUNCTION("""COMPUTED_VALUE"""),"Estrela 1")</f>
        <v>Estrela 1</v>
      </c>
    </row>
    <row r="3931">
      <c r="G3931" s="5" t="str">
        <f>IFERROR(__xludf.DUMMYFUNCTION("""COMPUTED_VALUE"""),"983🤙🏼Mad Max 2🤙🏼Bruce Spence🤙🏼Estrela 2")</f>
        <v>983🤙🏼Mad Max 2🤙🏼Bruce Spence🤙🏼Estrela 2</v>
      </c>
      <c r="H3931" s="5">
        <f>IFERROR(__xludf.DUMMYFUNCTION("SPLiT(G3931, ""🤙🏼"",FALSE,FALSE)"),983.0)</f>
        <v>983</v>
      </c>
      <c r="I3931" s="5" t="str">
        <f>IFERROR(__xludf.DUMMYFUNCTION("""COMPUTED_VALUE"""),"Mad Max 2")</f>
        <v>Mad Max 2</v>
      </c>
      <c r="J3931" s="5" t="str">
        <f>IFERROR(__xludf.DUMMYFUNCTION("""COMPUTED_VALUE"""),"Bruce Spence")</f>
        <v>Bruce Spence</v>
      </c>
      <c r="K3931" s="5" t="str">
        <f>IFERROR(__xludf.DUMMYFUNCTION("""COMPUTED_VALUE"""),"Estrela 2")</f>
        <v>Estrela 2</v>
      </c>
      <c r="P3931" s="5">
        <f>IFERROR(__xludf.DUMMYFUNCTION("""COMPUTED_VALUE"""),983.0)</f>
        <v>983</v>
      </c>
      <c r="Q3931" s="5" t="str">
        <f>IFERROR(__xludf.DUMMYFUNCTION("""COMPUTED_VALUE"""),"Mad Max 2")</f>
        <v>Mad Max 2</v>
      </c>
      <c r="R3931" s="5" t="str">
        <f>IFERROR(__xludf.DUMMYFUNCTION("""COMPUTED_VALUE"""),"Bruce Spence")</f>
        <v>Bruce Spence</v>
      </c>
      <c r="S3931" s="5" t="str">
        <f>IFERROR(__xludf.DUMMYFUNCTION("""COMPUTED_VALUE"""),"Estrela 2")</f>
        <v>Estrela 2</v>
      </c>
    </row>
    <row r="3932">
      <c r="G3932" s="5" t="str">
        <f>IFERROR(__xludf.DUMMYFUNCTION("""COMPUTED_VALUE"""),"983🤙🏼Mad Max 2🤙🏼Michael Preston🤙🏼Estrela 3")</f>
        <v>983🤙🏼Mad Max 2🤙🏼Michael Preston🤙🏼Estrela 3</v>
      </c>
      <c r="H3932" s="5">
        <f>IFERROR(__xludf.DUMMYFUNCTION("SPLiT(G3932, ""🤙🏼"",FALSE,FALSE)"),983.0)</f>
        <v>983</v>
      </c>
      <c r="I3932" s="5" t="str">
        <f>IFERROR(__xludf.DUMMYFUNCTION("""COMPUTED_VALUE"""),"Mad Max 2")</f>
        <v>Mad Max 2</v>
      </c>
      <c r="J3932" s="5" t="str">
        <f>IFERROR(__xludf.DUMMYFUNCTION("""COMPUTED_VALUE"""),"Michael Preston")</f>
        <v>Michael Preston</v>
      </c>
      <c r="K3932" s="5" t="str">
        <f>IFERROR(__xludf.DUMMYFUNCTION("""COMPUTED_VALUE"""),"Estrela 3")</f>
        <v>Estrela 3</v>
      </c>
      <c r="P3932" s="5">
        <f>IFERROR(__xludf.DUMMYFUNCTION("""COMPUTED_VALUE"""),983.0)</f>
        <v>983</v>
      </c>
      <c r="Q3932" s="5" t="str">
        <f>IFERROR(__xludf.DUMMYFUNCTION("""COMPUTED_VALUE"""),"Mad Max 2")</f>
        <v>Mad Max 2</v>
      </c>
      <c r="R3932" s="5" t="str">
        <f>IFERROR(__xludf.DUMMYFUNCTION("""COMPUTED_VALUE"""),"Michael Preston")</f>
        <v>Michael Preston</v>
      </c>
      <c r="S3932" s="5" t="str">
        <f>IFERROR(__xludf.DUMMYFUNCTION("""COMPUTED_VALUE"""),"Estrela 3")</f>
        <v>Estrela 3</v>
      </c>
    </row>
    <row r="3933">
      <c r="G3933" s="5" t="str">
        <f>IFERROR(__xludf.DUMMYFUNCTION("""COMPUTED_VALUE"""),"983🤙🏼Mad Max 2🤙🏼Max Phipps🤙🏼Estrela 4")</f>
        <v>983🤙🏼Mad Max 2🤙🏼Max Phipps🤙🏼Estrela 4</v>
      </c>
      <c r="H3933" s="5">
        <f>IFERROR(__xludf.DUMMYFUNCTION("SPLiT(G3933, ""🤙🏼"",FALSE,FALSE)"),983.0)</f>
        <v>983</v>
      </c>
      <c r="I3933" s="5" t="str">
        <f>IFERROR(__xludf.DUMMYFUNCTION("""COMPUTED_VALUE"""),"Mad Max 2")</f>
        <v>Mad Max 2</v>
      </c>
      <c r="J3933" s="5" t="str">
        <f>IFERROR(__xludf.DUMMYFUNCTION("""COMPUTED_VALUE"""),"Max Phipps")</f>
        <v>Max Phipps</v>
      </c>
      <c r="K3933" s="5" t="str">
        <f>IFERROR(__xludf.DUMMYFUNCTION("""COMPUTED_VALUE"""),"Estrela 4")</f>
        <v>Estrela 4</v>
      </c>
      <c r="P3933" s="5">
        <f>IFERROR(__xludf.DUMMYFUNCTION("""COMPUTED_VALUE"""),983.0)</f>
        <v>983</v>
      </c>
      <c r="Q3933" s="5" t="str">
        <f>IFERROR(__xludf.DUMMYFUNCTION("""COMPUTED_VALUE"""),"Mad Max 2")</f>
        <v>Mad Max 2</v>
      </c>
      <c r="R3933" s="5" t="str">
        <f>IFERROR(__xludf.DUMMYFUNCTION("""COMPUTED_VALUE"""),"Max Phipps")</f>
        <v>Max Phipps</v>
      </c>
      <c r="S3933" s="5" t="str">
        <f>IFERROR(__xludf.DUMMYFUNCTION("""COMPUTED_VALUE"""),"Estrela 4")</f>
        <v>Estrela 4</v>
      </c>
    </row>
    <row r="3934">
      <c r="G3934" s="5" t="str">
        <f>IFERROR(__xludf.DUMMYFUNCTION("""COMPUTED_VALUE"""),"984🤙🏼The Warriors🤙🏼Michael Beck🤙🏼Estrela 1")</f>
        <v>984🤙🏼The Warriors🤙🏼Michael Beck🤙🏼Estrela 1</v>
      </c>
      <c r="H3934" s="5">
        <f>IFERROR(__xludf.DUMMYFUNCTION("SPLiT(G3934, ""🤙🏼"",FALSE,FALSE)"),984.0)</f>
        <v>984</v>
      </c>
      <c r="I3934" s="5" t="str">
        <f>IFERROR(__xludf.DUMMYFUNCTION("""COMPUTED_VALUE"""),"The Warriors")</f>
        <v>The Warriors</v>
      </c>
      <c r="J3934" s="5" t="str">
        <f>IFERROR(__xludf.DUMMYFUNCTION("""COMPUTED_VALUE"""),"Michael Beck")</f>
        <v>Michael Beck</v>
      </c>
      <c r="K3934" s="5" t="str">
        <f>IFERROR(__xludf.DUMMYFUNCTION("""COMPUTED_VALUE"""),"Estrela 1")</f>
        <v>Estrela 1</v>
      </c>
      <c r="P3934" s="5">
        <f>IFERROR(__xludf.DUMMYFUNCTION("""COMPUTED_VALUE"""),984.0)</f>
        <v>984</v>
      </c>
      <c r="Q3934" s="5" t="str">
        <f>IFERROR(__xludf.DUMMYFUNCTION("""COMPUTED_VALUE"""),"The Warriors")</f>
        <v>The Warriors</v>
      </c>
      <c r="R3934" s="5" t="str">
        <f>IFERROR(__xludf.DUMMYFUNCTION("""COMPUTED_VALUE"""),"Michael Beck")</f>
        <v>Michael Beck</v>
      </c>
      <c r="S3934" s="5" t="str">
        <f>IFERROR(__xludf.DUMMYFUNCTION("""COMPUTED_VALUE"""),"Estrela 1")</f>
        <v>Estrela 1</v>
      </c>
    </row>
    <row r="3935">
      <c r="G3935" s="5" t="str">
        <f>IFERROR(__xludf.DUMMYFUNCTION("""COMPUTED_VALUE"""),"984🤙🏼The Warriors🤙🏼James Remar🤙🏼Estrela 2")</f>
        <v>984🤙🏼The Warriors🤙🏼James Remar🤙🏼Estrela 2</v>
      </c>
      <c r="H3935" s="5">
        <f>IFERROR(__xludf.DUMMYFUNCTION("SPLiT(G3935, ""🤙🏼"",FALSE,FALSE)"),984.0)</f>
        <v>984</v>
      </c>
      <c r="I3935" s="5" t="str">
        <f>IFERROR(__xludf.DUMMYFUNCTION("""COMPUTED_VALUE"""),"The Warriors")</f>
        <v>The Warriors</v>
      </c>
      <c r="J3935" s="5" t="str">
        <f>IFERROR(__xludf.DUMMYFUNCTION("""COMPUTED_VALUE"""),"James Remar")</f>
        <v>James Remar</v>
      </c>
      <c r="K3935" s="5" t="str">
        <f>IFERROR(__xludf.DUMMYFUNCTION("""COMPUTED_VALUE"""),"Estrela 2")</f>
        <v>Estrela 2</v>
      </c>
      <c r="P3935" s="5">
        <f>IFERROR(__xludf.DUMMYFUNCTION("""COMPUTED_VALUE"""),984.0)</f>
        <v>984</v>
      </c>
      <c r="Q3935" s="5" t="str">
        <f>IFERROR(__xludf.DUMMYFUNCTION("""COMPUTED_VALUE"""),"The Warriors")</f>
        <v>The Warriors</v>
      </c>
      <c r="R3935" s="5" t="str">
        <f>IFERROR(__xludf.DUMMYFUNCTION("""COMPUTED_VALUE"""),"James Remar")</f>
        <v>James Remar</v>
      </c>
      <c r="S3935" s="5" t="str">
        <f>IFERROR(__xludf.DUMMYFUNCTION("""COMPUTED_VALUE"""),"Estrela 2")</f>
        <v>Estrela 2</v>
      </c>
    </row>
    <row r="3936">
      <c r="G3936" s="5" t="str">
        <f>IFERROR(__xludf.DUMMYFUNCTION("""COMPUTED_VALUE"""),"984🤙🏼The Warriors🤙🏼Dorsey Wright🤙🏼Estrela 3")</f>
        <v>984🤙🏼The Warriors🤙🏼Dorsey Wright🤙🏼Estrela 3</v>
      </c>
      <c r="H3936" s="5">
        <f>IFERROR(__xludf.DUMMYFUNCTION("SPLiT(G3936, ""🤙🏼"",FALSE,FALSE)"),984.0)</f>
        <v>984</v>
      </c>
      <c r="I3936" s="5" t="str">
        <f>IFERROR(__xludf.DUMMYFUNCTION("""COMPUTED_VALUE"""),"The Warriors")</f>
        <v>The Warriors</v>
      </c>
      <c r="J3936" s="5" t="str">
        <f>IFERROR(__xludf.DUMMYFUNCTION("""COMPUTED_VALUE"""),"Dorsey Wright")</f>
        <v>Dorsey Wright</v>
      </c>
      <c r="K3936" s="5" t="str">
        <f>IFERROR(__xludf.DUMMYFUNCTION("""COMPUTED_VALUE"""),"Estrela 3")</f>
        <v>Estrela 3</v>
      </c>
      <c r="P3936" s="5">
        <f>IFERROR(__xludf.DUMMYFUNCTION("""COMPUTED_VALUE"""),984.0)</f>
        <v>984</v>
      </c>
      <c r="Q3936" s="5" t="str">
        <f>IFERROR(__xludf.DUMMYFUNCTION("""COMPUTED_VALUE"""),"The Warriors")</f>
        <v>The Warriors</v>
      </c>
      <c r="R3936" s="5" t="str">
        <f>IFERROR(__xludf.DUMMYFUNCTION("""COMPUTED_VALUE"""),"Dorsey Wright")</f>
        <v>Dorsey Wright</v>
      </c>
      <c r="S3936" s="5" t="str">
        <f>IFERROR(__xludf.DUMMYFUNCTION("""COMPUTED_VALUE"""),"Estrela 3")</f>
        <v>Estrela 3</v>
      </c>
    </row>
    <row r="3937">
      <c r="G3937" s="5" t="str">
        <f>IFERROR(__xludf.DUMMYFUNCTION("""COMPUTED_VALUE"""),"984🤙🏼The Warriors🤙🏼Brian Tyler🤙🏼Estrela 4")</f>
        <v>984🤙🏼The Warriors🤙🏼Brian Tyler🤙🏼Estrela 4</v>
      </c>
      <c r="H3937" s="5">
        <f>IFERROR(__xludf.DUMMYFUNCTION("SPLiT(G3937, ""🤙🏼"",FALSE,FALSE)"),984.0)</f>
        <v>984</v>
      </c>
      <c r="I3937" s="5" t="str">
        <f>IFERROR(__xludf.DUMMYFUNCTION("""COMPUTED_VALUE"""),"The Warriors")</f>
        <v>The Warriors</v>
      </c>
      <c r="J3937" s="5" t="str">
        <f>IFERROR(__xludf.DUMMYFUNCTION("""COMPUTED_VALUE"""),"Brian Tyler")</f>
        <v>Brian Tyler</v>
      </c>
      <c r="K3937" s="5" t="str">
        <f>IFERROR(__xludf.DUMMYFUNCTION("""COMPUTED_VALUE"""),"Estrela 4")</f>
        <v>Estrela 4</v>
      </c>
      <c r="P3937" s="5">
        <f>IFERROR(__xludf.DUMMYFUNCTION("""COMPUTED_VALUE"""),984.0)</f>
        <v>984</v>
      </c>
      <c r="Q3937" s="5" t="str">
        <f>IFERROR(__xludf.DUMMYFUNCTION("""COMPUTED_VALUE"""),"The Warriors")</f>
        <v>The Warriors</v>
      </c>
      <c r="R3937" s="5" t="str">
        <f>IFERROR(__xludf.DUMMYFUNCTION("""COMPUTED_VALUE"""),"Brian Tyler")</f>
        <v>Brian Tyler</v>
      </c>
      <c r="S3937" s="5" t="str">
        <f>IFERROR(__xludf.DUMMYFUNCTION("""COMPUTED_VALUE"""),"Estrela 4")</f>
        <v>Estrela 4</v>
      </c>
    </row>
    <row r="3938">
      <c r="G3938" s="5" t="str">
        <f>IFERROR(__xludf.DUMMYFUNCTION("""COMPUTED_VALUE"""),"985🤙🏼The Muppet Movie🤙🏼Jim Henson🤙🏼Estrela 1")</f>
        <v>985🤙🏼The Muppet Movie🤙🏼Jim Henson🤙🏼Estrela 1</v>
      </c>
      <c r="H3938" s="5">
        <f>IFERROR(__xludf.DUMMYFUNCTION("SPLiT(G3938, ""🤙🏼"",FALSE,FALSE)"),985.0)</f>
        <v>985</v>
      </c>
      <c r="I3938" s="5" t="str">
        <f>IFERROR(__xludf.DUMMYFUNCTION("""COMPUTED_VALUE"""),"The Muppet Movie")</f>
        <v>The Muppet Movie</v>
      </c>
      <c r="J3938" s="5" t="str">
        <f>IFERROR(__xludf.DUMMYFUNCTION("""COMPUTED_VALUE"""),"Jim Henson")</f>
        <v>Jim Henson</v>
      </c>
      <c r="K3938" s="5" t="str">
        <f>IFERROR(__xludf.DUMMYFUNCTION("""COMPUTED_VALUE"""),"Estrela 1")</f>
        <v>Estrela 1</v>
      </c>
      <c r="P3938" s="5">
        <f>IFERROR(__xludf.DUMMYFUNCTION("""COMPUTED_VALUE"""),985.0)</f>
        <v>985</v>
      </c>
      <c r="Q3938" s="5" t="str">
        <f>IFERROR(__xludf.DUMMYFUNCTION("""COMPUTED_VALUE"""),"The Muppet Movie")</f>
        <v>The Muppet Movie</v>
      </c>
      <c r="R3938" s="5" t="str">
        <f>IFERROR(__xludf.DUMMYFUNCTION("""COMPUTED_VALUE"""),"Jim Henson")</f>
        <v>Jim Henson</v>
      </c>
      <c r="S3938" s="5" t="str">
        <f>IFERROR(__xludf.DUMMYFUNCTION("""COMPUTED_VALUE"""),"Estrela 1")</f>
        <v>Estrela 1</v>
      </c>
    </row>
    <row r="3939">
      <c r="G3939" s="5" t="str">
        <f>IFERROR(__xludf.DUMMYFUNCTION("""COMPUTED_VALUE"""),"985🤙🏼The Muppet Movie🤙🏼Frank Oz🤙🏼Estrela 2")</f>
        <v>985🤙🏼The Muppet Movie🤙🏼Frank Oz🤙🏼Estrela 2</v>
      </c>
      <c r="H3939" s="5">
        <f>IFERROR(__xludf.DUMMYFUNCTION("SPLiT(G3939, ""🤙🏼"",FALSE,FALSE)"),985.0)</f>
        <v>985</v>
      </c>
      <c r="I3939" s="5" t="str">
        <f>IFERROR(__xludf.DUMMYFUNCTION("""COMPUTED_VALUE"""),"The Muppet Movie")</f>
        <v>The Muppet Movie</v>
      </c>
      <c r="J3939" s="5" t="str">
        <f>IFERROR(__xludf.DUMMYFUNCTION("""COMPUTED_VALUE"""),"Frank Oz")</f>
        <v>Frank Oz</v>
      </c>
      <c r="K3939" s="5" t="str">
        <f>IFERROR(__xludf.DUMMYFUNCTION("""COMPUTED_VALUE"""),"Estrela 2")</f>
        <v>Estrela 2</v>
      </c>
      <c r="P3939" s="5">
        <f>IFERROR(__xludf.DUMMYFUNCTION("""COMPUTED_VALUE"""),985.0)</f>
        <v>985</v>
      </c>
      <c r="Q3939" s="5" t="str">
        <f>IFERROR(__xludf.DUMMYFUNCTION("""COMPUTED_VALUE"""),"The Muppet Movie")</f>
        <v>The Muppet Movie</v>
      </c>
      <c r="R3939" s="5" t="str">
        <f>IFERROR(__xludf.DUMMYFUNCTION("""COMPUTED_VALUE"""),"Frank Oz")</f>
        <v>Frank Oz</v>
      </c>
      <c r="S3939" s="5" t="str">
        <f>IFERROR(__xludf.DUMMYFUNCTION("""COMPUTED_VALUE"""),"Estrela 2")</f>
        <v>Estrela 2</v>
      </c>
    </row>
    <row r="3940">
      <c r="G3940" s="5" t="str">
        <f>IFERROR(__xludf.DUMMYFUNCTION("""COMPUTED_VALUE"""),"985🤙🏼The Muppet Movie🤙🏼Jerry Nelson🤙🏼Estrela 3")</f>
        <v>985🤙🏼The Muppet Movie🤙🏼Jerry Nelson🤙🏼Estrela 3</v>
      </c>
      <c r="H3940" s="5">
        <f>IFERROR(__xludf.DUMMYFUNCTION("SPLiT(G3940, ""🤙🏼"",FALSE,FALSE)"),985.0)</f>
        <v>985</v>
      </c>
      <c r="I3940" s="5" t="str">
        <f>IFERROR(__xludf.DUMMYFUNCTION("""COMPUTED_VALUE"""),"The Muppet Movie")</f>
        <v>The Muppet Movie</v>
      </c>
      <c r="J3940" s="5" t="str">
        <f>IFERROR(__xludf.DUMMYFUNCTION("""COMPUTED_VALUE"""),"Jerry Nelson")</f>
        <v>Jerry Nelson</v>
      </c>
      <c r="K3940" s="5" t="str">
        <f>IFERROR(__xludf.DUMMYFUNCTION("""COMPUTED_VALUE"""),"Estrela 3")</f>
        <v>Estrela 3</v>
      </c>
      <c r="P3940" s="5">
        <f>IFERROR(__xludf.DUMMYFUNCTION("""COMPUTED_VALUE"""),985.0)</f>
        <v>985</v>
      </c>
      <c r="Q3940" s="5" t="str">
        <f>IFERROR(__xludf.DUMMYFUNCTION("""COMPUTED_VALUE"""),"The Muppet Movie")</f>
        <v>The Muppet Movie</v>
      </c>
      <c r="R3940" s="5" t="str">
        <f>IFERROR(__xludf.DUMMYFUNCTION("""COMPUTED_VALUE"""),"Jerry Nelson")</f>
        <v>Jerry Nelson</v>
      </c>
      <c r="S3940" s="5" t="str">
        <f>IFERROR(__xludf.DUMMYFUNCTION("""COMPUTED_VALUE"""),"Estrela 3")</f>
        <v>Estrela 3</v>
      </c>
    </row>
    <row r="3941">
      <c r="G3941" s="5" t="str">
        <f>IFERROR(__xludf.DUMMYFUNCTION("""COMPUTED_VALUE"""),"985🤙🏼The Muppet Movie🤙🏼Richard Hunt🤙🏼Estrela 4")</f>
        <v>985🤙🏼The Muppet Movie🤙🏼Richard Hunt🤙🏼Estrela 4</v>
      </c>
      <c r="H3941" s="5">
        <f>IFERROR(__xludf.DUMMYFUNCTION("SPLiT(G3941, ""🤙🏼"",FALSE,FALSE)"),985.0)</f>
        <v>985</v>
      </c>
      <c r="I3941" s="5" t="str">
        <f>IFERROR(__xludf.DUMMYFUNCTION("""COMPUTED_VALUE"""),"The Muppet Movie")</f>
        <v>The Muppet Movie</v>
      </c>
      <c r="J3941" s="5" t="str">
        <f>IFERROR(__xludf.DUMMYFUNCTION("""COMPUTED_VALUE"""),"Richard Hunt")</f>
        <v>Richard Hunt</v>
      </c>
      <c r="K3941" s="5" t="str">
        <f>IFERROR(__xludf.DUMMYFUNCTION("""COMPUTED_VALUE"""),"Estrela 4")</f>
        <v>Estrela 4</v>
      </c>
      <c r="P3941" s="5">
        <f>IFERROR(__xludf.DUMMYFUNCTION("""COMPUTED_VALUE"""),985.0)</f>
        <v>985</v>
      </c>
      <c r="Q3941" s="5" t="str">
        <f>IFERROR(__xludf.DUMMYFUNCTION("""COMPUTED_VALUE"""),"The Muppet Movie")</f>
        <v>The Muppet Movie</v>
      </c>
      <c r="R3941" s="5" t="str">
        <f>IFERROR(__xludf.DUMMYFUNCTION("""COMPUTED_VALUE"""),"Richard Hunt")</f>
        <v>Richard Hunt</v>
      </c>
      <c r="S3941" s="5" t="str">
        <f>IFERROR(__xludf.DUMMYFUNCTION("""COMPUTED_VALUE"""),"Estrela 4")</f>
        <v>Estrela 4</v>
      </c>
    </row>
    <row r="3942">
      <c r="G3942" s="5" t="str">
        <f>IFERROR(__xludf.DUMMYFUNCTION("""COMPUTED_VALUE"""),"986🤙🏼Escape from Alcatraz🤙🏼Clint Eastwood🤙🏼Estrela 1")</f>
        <v>986🤙🏼Escape from Alcatraz🤙🏼Clint Eastwood🤙🏼Estrela 1</v>
      </c>
      <c r="H3942" s="5">
        <f>IFERROR(__xludf.DUMMYFUNCTION("SPLiT(G3942, ""🤙🏼"",FALSE,FALSE)"),986.0)</f>
        <v>986</v>
      </c>
      <c r="I3942" s="5" t="str">
        <f>IFERROR(__xludf.DUMMYFUNCTION("""COMPUTED_VALUE"""),"Escape from Alcatraz")</f>
        <v>Escape from Alcatraz</v>
      </c>
      <c r="J3942" s="5" t="str">
        <f>IFERROR(__xludf.DUMMYFUNCTION("""COMPUTED_VALUE"""),"Clint Eastwood")</f>
        <v>Clint Eastwood</v>
      </c>
      <c r="K3942" s="5" t="str">
        <f>IFERROR(__xludf.DUMMYFUNCTION("""COMPUTED_VALUE"""),"Estrela 1")</f>
        <v>Estrela 1</v>
      </c>
      <c r="P3942" s="5">
        <f>IFERROR(__xludf.DUMMYFUNCTION("""COMPUTED_VALUE"""),986.0)</f>
        <v>986</v>
      </c>
      <c r="Q3942" s="5" t="str">
        <f>IFERROR(__xludf.DUMMYFUNCTION("""COMPUTED_VALUE"""),"Escape from Alcatraz")</f>
        <v>Escape from Alcatraz</v>
      </c>
      <c r="R3942" s="5" t="str">
        <f>IFERROR(__xludf.DUMMYFUNCTION("""COMPUTED_VALUE"""),"Clint Eastwood")</f>
        <v>Clint Eastwood</v>
      </c>
      <c r="S3942" s="5" t="str">
        <f>IFERROR(__xludf.DUMMYFUNCTION("""COMPUTED_VALUE"""),"Estrela 1")</f>
        <v>Estrela 1</v>
      </c>
    </row>
    <row r="3943">
      <c r="G3943" s="5" t="str">
        <f>IFERROR(__xludf.DUMMYFUNCTION("""COMPUTED_VALUE"""),"986🤙🏼Escape from Alcatraz🤙🏼Patrick McGoohan🤙🏼Estrela 2")</f>
        <v>986🤙🏼Escape from Alcatraz🤙🏼Patrick McGoohan🤙🏼Estrela 2</v>
      </c>
      <c r="H3943" s="5">
        <f>IFERROR(__xludf.DUMMYFUNCTION("SPLiT(G3943, ""🤙🏼"",FALSE,FALSE)"),986.0)</f>
        <v>986</v>
      </c>
      <c r="I3943" s="5" t="str">
        <f>IFERROR(__xludf.DUMMYFUNCTION("""COMPUTED_VALUE"""),"Escape from Alcatraz")</f>
        <v>Escape from Alcatraz</v>
      </c>
      <c r="J3943" s="5" t="str">
        <f>IFERROR(__xludf.DUMMYFUNCTION("""COMPUTED_VALUE"""),"Patrick McGoohan")</f>
        <v>Patrick McGoohan</v>
      </c>
      <c r="K3943" s="5" t="str">
        <f>IFERROR(__xludf.DUMMYFUNCTION("""COMPUTED_VALUE"""),"Estrela 2")</f>
        <v>Estrela 2</v>
      </c>
      <c r="P3943" s="5">
        <f>IFERROR(__xludf.DUMMYFUNCTION("""COMPUTED_VALUE"""),986.0)</f>
        <v>986</v>
      </c>
      <c r="Q3943" s="5" t="str">
        <f>IFERROR(__xludf.DUMMYFUNCTION("""COMPUTED_VALUE"""),"Escape from Alcatraz")</f>
        <v>Escape from Alcatraz</v>
      </c>
      <c r="R3943" s="5" t="str">
        <f>IFERROR(__xludf.DUMMYFUNCTION("""COMPUTED_VALUE"""),"Patrick McGoohan")</f>
        <v>Patrick McGoohan</v>
      </c>
      <c r="S3943" s="5" t="str">
        <f>IFERROR(__xludf.DUMMYFUNCTION("""COMPUTED_VALUE"""),"Estrela 2")</f>
        <v>Estrela 2</v>
      </c>
    </row>
    <row r="3944">
      <c r="G3944" s="5" t="str">
        <f>IFERROR(__xludf.DUMMYFUNCTION("""COMPUTED_VALUE"""),"986🤙🏼Escape from Alcatraz🤙🏼Roberts Blossom🤙🏼Estrela 3")</f>
        <v>986🤙🏼Escape from Alcatraz🤙🏼Roberts Blossom🤙🏼Estrela 3</v>
      </c>
      <c r="H3944" s="5">
        <f>IFERROR(__xludf.DUMMYFUNCTION("SPLiT(G3944, ""🤙🏼"",FALSE,FALSE)"),986.0)</f>
        <v>986</v>
      </c>
      <c r="I3944" s="5" t="str">
        <f>IFERROR(__xludf.DUMMYFUNCTION("""COMPUTED_VALUE"""),"Escape from Alcatraz")</f>
        <v>Escape from Alcatraz</v>
      </c>
      <c r="J3944" s="5" t="str">
        <f>IFERROR(__xludf.DUMMYFUNCTION("""COMPUTED_VALUE"""),"Roberts Blossom")</f>
        <v>Roberts Blossom</v>
      </c>
      <c r="K3944" s="5" t="str">
        <f>IFERROR(__xludf.DUMMYFUNCTION("""COMPUTED_VALUE"""),"Estrela 3")</f>
        <v>Estrela 3</v>
      </c>
      <c r="P3944" s="5">
        <f>IFERROR(__xludf.DUMMYFUNCTION("""COMPUTED_VALUE"""),986.0)</f>
        <v>986</v>
      </c>
      <c r="Q3944" s="5" t="str">
        <f>IFERROR(__xludf.DUMMYFUNCTION("""COMPUTED_VALUE"""),"Escape from Alcatraz")</f>
        <v>Escape from Alcatraz</v>
      </c>
      <c r="R3944" s="5" t="str">
        <f>IFERROR(__xludf.DUMMYFUNCTION("""COMPUTED_VALUE"""),"Roberts Blossom")</f>
        <v>Roberts Blossom</v>
      </c>
      <c r="S3944" s="5" t="str">
        <f>IFERROR(__xludf.DUMMYFUNCTION("""COMPUTED_VALUE"""),"Estrela 3")</f>
        <v>Estrela 3</v>
      </c>
    </row>
    <row r="3945">
      <c r="G3945" s="5" t="str">
        <f>IFERROR(__xludf.DUMMYFUNCTION("""COMPUTED_VALUE"""),"986🤙🏼Escape from Alcatraz🤙🏼Jack Thibeau🤙🏼Estrela 4")</f>
        <v>986🤙🏼Escape from Alcatraz🤙🏼Jack Thibeau🤙🏼Estrela 4</v>
      </c>
      <c r="H3945" s="5">
        <f>IFERROR(__xludf.DUMMYFUNCTION("SPLiT(G3945, ""🤙🏼"",FALSE,FALSE)"),986.0)</f>
        <v>986</v>
      </c>
      <c r="I3945" s="5" t="str">
        <f>IFERROR(__xludf.DUMMYFUNCTION("""COMPUTED_VALUE"""),"Escape from Alcatraz")</f>
        <v>Escape from Alcatraz</v>
      </c>
      <c r="J3945" s="5" t="str">
        <f>IFERROR(__xludf.DUMMYFUNCTION("""COMPUTED_VALUE"""),"Jack Thibeau")</f>
        <v>Jack Thibeau</v>
      </c>
      <c r="K3945" s="5" t="str">
        <f>IFERROR(__xludf.DUMMYFUNCTION("""COMPUTED_VALUE"""),"Estrela 4")</f>
        <v>Estrela 4</v>
      </c>
      <c r="P3945" s="5">
        <f>IFERROR(__xludf.DUMMYFUNCTION("""COMPUTED_VALUE"""),986.0)</f>
        <v>986</v>
      </c>
      <c r="Q3945" s="5" t="str">
        <f>IFERROR(__xludf.DUMMYFUNCTION("""COMPUTED_VALUE"""),"Escape from Alcatraz")</f>
        <v>Escape from Alcatraz</v>
      </c>
      <c r="R3945" s="5" t="str">
        <f>IFERROR(__xludf.DUMMYFUNCTION("""COMPUTED_VALUE"""),"Jack Thibeau")</f>
        <v>Jack Thibeau</v>
      </c>
      <c r="S3945" s="5" t="str">
        <f>IFERROR(__xludf.DUMMYFUNCTION("""COMPUTED_VALUE"""),"Estrela 4")</f>
        <v>Estrela 4</v>
      </c>
    </row>
    <row r="3946">
      <c r="G3946" s="5" t="str">
        <f>IFERROR(__xludf.DUMMYFUNCTION("""COMPUTED_VALUE"""),"987🤙🏼Watership Down🤙🏼John Hubley🤙🏼Estrela 1")</f>
        <v>987🤙🏼Watership Down🤙🏼John Hubley🤙🏼Estrela 1</v>
      </c>
      <c r="H3946" s="5">
        <f>IFERROR(__xludf.DUMMYFUNCTION("SPLiT(G3946, ""🤙🏼"",FALSE,FALSE)"),987.0)</f>
        <v>987</v>
      </c>
      <c r="I3946" s="5" t="str">
        <f>IFERROR(__xludf.DUMMYFUNCTION("""COMPUTED_VALUE"""),"Watership Down")</f>
        <v>Watership Down</v>
      </c>
      <c r="J3946" s="5" t="str">
        <f>IFERROR(__xludf.DUMMYFUNCTION("""COMPUTED_VALUE"""),"John Hubley")</f>
        <v>John Hubley</v>
      </c>
      <c r="K3946" s="5" t="str">
        <f>IFERROR(__xludf.DUMMYFUNCTION("""COMPUTED_VALUE"""),"Estrela 1")</f>
        <v>Estrela 1</v>
      </c>
      <c r="P3946" s="5">
        <f>IFERROR(__xludf.DUMMYFUNCTION("""COMPUTED_VALUE"""),987.0)</f>
        <v>987</v>
      </c>
      <c r="Q3946" s="5" t="str">
        <f>IFERROR(__xludf.DUMMYFUNCTION("""COMPUTED_VALUE"""),"Watership Down")</f>
        <v>Watership Down</v>
      </c>
      <c r="R3946" s="5" t="str">
        <f>IFERROR(__xludf.DUMMYFUNCTION("""COMPUTED_VALUE"""),"John Hubley")</f>
        <v>John Hubley</v>
      </c>
      <c r="S3946" s="5" t="str">
        <f>IFERROR(__xludf.DUMMYFUNCTION("""COMPUTED_VALUE"""),"Estrela 1")</f>
        <v>Estrela 1</v>
      </c>
    </row>
    <row r="3947">
      <c r="G3947" s="5" t="str">
        <f>IFERROR(__xludf.DUMMYFUNCTION("""COMPUTED_VALUE"""),"987🤙🏼Watership Down🤙🏼John Hurt🤙🏼Estrela 2")</f>
        <v>987🤙🏼Watership Down🤙🏼John Hurt🤙🏼Estrela 2</v>
      </c>
      <c r="H3947" s="5">
        <f>IFERROR(__xludf.DUMMYFUNCTION("SPLiT(G3947, ""🤙🏼"",FALSE,FALSE)"),987.0)</f>
        <v>987</v>
      </c>
      <c r="I3947" s="5" t="str">
        <f>IFERROR(__xludf.DUMMYFUNCTION("""COMPUTED_VALUE"""),"Watership Down")</f>
        <v>Watership Down</v>
      </c>
      <c r="J3947" s="5" t="str">
        <f>IFERROR(__xludf.DUMMYFUNCTION("""COMPUTED_VALUE"""),"John Hurt")</f>
        <v>John Hurt</v>
      </c>
      <c r="K3947" s="5" t="str">
        <f>IFERROR(__xludf.DUMMYFUNCTION("""COMPUTED_VALUE"""),"Estrela 2")</f>
        <v>Estrela 2</v>
      </c>
      <c r="P3947" s="5">
        <f>IFERROR(__xludf.DUMMYFUNCTION("""COMPUTED_VALUE"""),987.0)</f>
        <v>987</v>
      </c>
      <c r="Q3947" s="5" t="str">
        <f>IFERROR(__xludf.DUMMYFUNCTION("""COMPUTED_VALUE"""),"Watership Down")</f>
        <v>Watership Down</v>
      </c>
      <c r="R3947" s="5" t="str">
        <f>IFERROR(__xludf.DUMMYFUNCTION("""COMPUTED_VALUE"""),"John Hurt")</f>
        <v>John Hurt</v>
      </c>
      <c r="S3947" s="5" t="str">
        <f>IFERROR(__xludf.DUMMYFUNCTION("""COMPUTED_VALUE"""),"Estrela 2")</f>
        <v>Estrela 2</v>
      </c>
    </row>
    <row r="3948">
      <c r="G3948" s="5" t="str">
        <f>IFERROR(__xludf.DUMMYFUNCTION("""COMPUTED_VALUE"""),"987🤙🏼Watership Down🤙🏼Richard Briers🤙🏼Estrela 3")</f>
        <v>987🤙🏼Watership Down🤙🏼Richard Briers🤙🏼Estrela 3</v>
      </c>
      <c r="H3948" s="5">
        <f>IFERROR(__xludf.DUMMYFUNCTION("SPLiT(G3948, ""🤙🏼"",FALSE,FALSE)"),987.0)</f>
        <v>987</v>
      </c>
      <c r="I3948" s="5" t="str">
        <f>IFERROR(__xludf.DUMMYFUNCTION("""COMPUTED_VALUE"""),"Watership Down")</f>
        <v>Watership Down</v>
      </c>
      <c r="J3948" s="5" t="str">
        <f>IFERROR(__xludf.DUMMYFUNCTION("""COMPUTED_VALUE"""),"Richard Briers")</f>
        <v>Richard Briers</v>
      </c>
      <c r="K3948" s="5" t="str">
        <f>IFERROR(__xludf.DUMMYFUNCTION("""COMPUTED_VALUE"""),"Estrela 3")</f>
        <v>Estrela 3</v>
      </c>
      <c r="P3948" s="5">
        <f>IFERROR(__xludf.DUMMYFUNCTION("""COMPUTED_VALUE"""),987.0)</f>
        <v>987</v>
      </c>
      <c r="Q3948" s="5" t="str">
        <f>IFERROR(__xludf.DUMMYFUNCTION("""COMPUTED_VALUE"""),"Watership Down")</f>
        <v>Watership Down</v>
      </c>
      <c r="R3948" s="5" t="str">
        <f>IFERROR(__xludf.DUMMYFUNCTION("""COMPUTED_VALUE"""),"Richard Briers")</f>
        <v>Richard Briers</v>
      </c>
      <c r="S3948" s="5" t="str">
        <f>IFERROR(__xludf.DUMMYFUNCTION("""COMPUTED_VALUE"""),"Estrela 3")</f>
        <v>Estrela 3</v>
      </c>
    </row>
    <row r="3949">
      <c r="G3949" s="5" t="str">
        <f>IFERROR(__xludf.DUMMYFUNCTION("""COMPUTED_VALUE"""),"987🤙🏼Watership Down🤙🏼Ralph Richardson🤙🏼Estrela 4")</f>
        <v>987🤙🏼Watership Down🤙🏼Ralph Richardson🤙🏼Estrela 4</v>
      </c>
      <c r="H3949" s="5">
        <f>IFERROR(__xludf.DUMMYFUNCTION("SPLiT(G3949, ""🤙🏼"",FALSE,FALSE)"),987.0)</f>
        <v>987</v>
      </c>
      <c r="I3949" s="5" t="str">
        <f>IFERROR(__xludf.DUMMYFUNCTION("""COMPUTED_VALUE"""),"Watership Down")</f>
        <v>Watership Down</v>
      </c>
      <c r="J3949" s="5" t="str">
        <f>IFERROR(__xludf.DUMMYFUNCTION("""COMPUTED_VALUE"""),"Ralph Richardson")</f>
        <v>Ralph Richardson</v>
      </c>
      <c r="K3949" s="5" t="str">
        <f>IFERROR(__xludf.DUMMYFUNCTION("""COMPUTED_VALUE"""),"Estrela 4")</f>
        <v>Estrela 4</v>
      </c>
      <c r="P3949" s="5">
        <f>IFERROR(__xludf.DUMMYFUNCTION("""COMPUTED_VALUE"""),987.0)</f>
        <v>987</v>
      </c>
      <c r="Q3949" s="5" t="str">
        <f>IFERROR(__xludf.DUMMYFUNCTION("""COMPUTED_VALUE"""),"Watership Down")</f>
        <v>Watership Down</v>
      </c>
      <c r="R3949" s="5" t="str">
        <f>IFERROR(__xludf.DUMMYFUNCTION("""COMPUTED_VALUE"""),"Ralph Richardson")</f>
        <v>Ralph Richardson</v>
      </c>
      <c r="S3949" s="5" t="str">
        <f>IFERROR(__xludf.DUMMYFUNCTION("""COMPUTED_VALUE"""),"Estrela 4")</f>
        <v>Estrela 4</v>
      </c>
    </row>
    <row r="3950">
      <c r="G3950" s="5" t="str">
        <f>IFERROR(__xludf.DUMMYFUNCTION("""COMPUTED_VALUE"""),"988🤙🏼Midnight Express🤙🏼Brad Davis🤙🏼Estrela 1")</f>
        <v>988🤙🏼Midnight Express🤙🏼Brad Davis🤙🏼Estrela 1</v>
      </c>
      <c r="H3950" s="5">
        <f>IFERROR(__xludf.DUMMYFUNCTION("SPLiT(G3950, ""🤙🏼"",FALSE,FALSE)"),988.0)</f>
        <v>988</v>
      </c>
      <c r="I3950" s="5" t="str">
        <f>IFERROR(__xludf.DUMMYFUNCTION("""COMPUTED_VALUE"""),"Midnight Express")</f>
        <v>Midnight Express</v>
      </c>
      <c r="J3950" s="5" t="str">
        <f>IFERROR(__xludf.DUMMYFUNCTION("""COMPUTED_VALUE"""),"Brad Davis")</f>
        <v>Brad Davis</v>
      </c>
      <c r="K3950" s="5" t="str">
        <f>IFERROR(__xludf.DUMMYFUNCTION("""COMPUTED_VALUE"""),"Estrela 1")</f>
        <v>Estrela 1</v>
      </c>
      <c r="P3950" s="5">
        <f>IFERROR(__xludf.DUMMYFUNCTION("""COMPUTED_VALUE"""),988.0)</f>
        <v>988</v>
      </c>
      <c r="Q3950" s="5" t="str">
        <f>IFERROR(__xludf.DUMMYFUNCTION("""COMPUTED_VALUE"""),"Midnight Express")</f>
        <v>Midnight Express</v>
      </c>
      <c r="R3950" s="5" t="str">
        <f>IFERROR(__xludf.DUMMYFUNCTION("""COMPUTED_VALUE"""),"Brad Davis")</f>
        <v>Brad Davis</v>
      </c>
      <c r="S3950" s="5" t="str">
        <f>IFERROR(__xludf.DUMMYFUNCTION("""COMPUTED_VALUE"""),"Estrela 1")</f>
        <v>Estrela 1</v>
      </c>
    </row>
    <row r="3951">
      <c r="G3951" s="5" t="str">
        <f>IFERROR(__xludf.DUMMYFUNCTION("""COMPUTED_VALUE"""),"988🤙🏼Midnight Express🤙🏼Irene Miracle🤙🏼Estrela 2")</f>
        <v>988🤙🏼Midnight Express🤙🏼Irene Miracle🤙🏼Estrela 2</v>
      </c>
      <c r="H3951" s="5">
        <f>IFERROR(__xludf.DUMMYFUNCTION("SPLiT(G3951, ""🤙🏼"",FALSE,FALSE)"),988.0)</f>
        <v>988</v>
      </c>
      <c r="I3951" s="5" t="str">
        <f>IFERROR(__xludf.DUMMYFUNCTION("""COMPUTED_VALUE"""),"Midnight Express")</f>
        <v>Midnight Express</v>
      </c>
      <c r="J3951" s="5" t="str">
        <f>IFERROR(__xludf.DUMMYFUNCTION("""COMPUTED_VALUE"""),"Irene Miracle")</f>
        <v>Irene Miracle</v>
      </c>
      <c r="K3951" s="5" t="str">
        <f>IFERROR(__xludf.DUMMYFUNCTION("""COMPUTED_VALUE"""),"Estrela 2")</f>
        <v>Estrela 2</v>
      </c>
      <c r="P3951" s="5">
        <f>IFERROR(__xludf.DUMMYFUNCTION("""COMPUTED_VALUE"""),988.0)</f>
        <v>988</v>
      </c>
      <c r="Q3951" s="5" t="str">
        <f>IFERROR(__xludf.DUMMYFUNCTION("""COMPUTED_VALUE"""),"Midnight Express")</f>
        <v>Midnight Express</v>
      </c>
      <c r="R3951" s="5" t="str">
        <f>IFERROR(__xludf.DUMMYFUNCTION("""COMPUTED_VALUE"""),"Irene Miracle")</f>
        <v>Irene Miracle</v>
      </c>
      <c r="S3951" s="5" t="str">
        <f>IFERROR(__xludf.DUMMYFUNCTION("""COMPUTED_VALUE"""),"Estrela 2")</f>
        <v>Estrela 2</v>
      </c>
    </row>
    <row r="3952">
      <c r="G3952" s="5" t="str">
        <f>IFERROR(__xludf.DUMMYFUNCTION("""COMPUTED_VALUE"""),"988🤙🏼Midnight Express🤙🏼Bo Hopkins🤙🏼Estrela 3")</f>
        <v>988🤙🏼Midnight Express🤙🏼Bo Hopkins🤙🏼Estrela 3</v>
      </c>
      <c r="H3952" s="5">
        <f>IFERROR(__xludf.DUMMYFUNCTION("SPLiT(G3952, ""🤙🏼"",FALSE,FALSE)"),988.0)</f>
        <v>988</v>
      </c>
      <c r="I3952" s="5" t="str">
        <f>IFERROR(__xludf.DUMMYFUNCTION("""COMPUTED_VALUE"""),"Midnight Express")</f>
        <v>Midnight Express</v>
      </c>
      <c r="J3952" s="5" t="str">
        <f>IFERROR(__xludf.DUMMYFUNCTION("""COMPUTED_VALUE"""),"Bo Hopkins")</f>
        <v>Bo Hopkins</v>
      </c>
      <c r="K3952" s="5" t="str">
        <f>IFERROR(__xludf.DUMMYFUNCTION("""COMPUTED_VALUE"""),"Estrela 3")</f>
        <v>Estrela 3</v>
      </c>
      <c r="P3952" s="5">
        <f>IFERROR(__xludf.DUMMYFUNCTION("""COMPUTED_VALUE"""),988.0)</f>
        <v>988</v>
      </c>
      <c r="Q3952" s="5" t="str">
        <f>IFERROR(__xludf.DUMMYFUNCTION("""COMPUTED_VALUE"""),"Midnight Express")</f>
        <v>Midnight Express</v>
      </c>
      <c r="R3952" s="5" t="str">
        <f>IFERROR(__xludf.DUMMYFUNCTION("""COMPUTED_VALUE"""),"Bo Hopkins")</f>
        <v>Bo Hopkins</v>
      </c>
      <c r="S3952" s="5" t="str">
        <f>IFERROR(__xludf.DUMMYFUNCTION("""COMPUTED_VALUE"""),"Estrela 3")</f>
        <v>Estrela 3</v>
      </c>
    </row>
    <row r="3953">
      <c r="G3953" s="5" t="str">
        <f>IFERROR(__xludf.DUMMYFUNCTION("""COMPUTED_VALUE"""),"988🤙🏼Midnight Express🤙🏼Paolo Bonacelli🤙🏼Estrela 4")</f>
        <v>988🤙🏼Midnight Express🤙🏼Paolo Bonacelli🤙🏼Estrela 4</v>
      </c>
      <c r="H3953" s="5">
        <f>IFERROR(__xludf.DUMMYFUNCTION("SPLiT(G3953, ""🤙🏼"",FALSE,FALSE)"),988.0)</f>
        <v>988</v>
      </c>
      <c r="I3953" s="5" t="str">
        <f>IFERROR(__xludf.DUMMYFUNCTION("""COMPUTED_VALUE"""),"Midnight Express")</f>
        <v>Midnight Express</v>
      </c>
      <c r="J3953" s="5" t="str">
        <f>IFERROR(__xludf.DUMMYFUNCTION("""COMPUTED_VALUE"""),"Paolo Bonacelli")</f>
        <v>Paolo Bonacelli</v>
      </c>
      <c r="K3953" s="5" t="str">
        <f>IFERROR(__xludf.DUMMYFUNCTION("""COMPUTED_VALUE"""),"Estrela 4")</f>
        <v>Estrela 4</v>
      </c>
      <c r="P3953" s="5">
        <f>IFERROR(__xludf.DUMMYFUNCTION("""COMPUTED_VALUE"""),988.0)</f>
        <v>988</v>
      </c>
      <c r="Q3953" s="5" t="str">
        <f>IFERROR(__xludf.DUMMYFUNCTION("""COMPUTED_VALUE"""),"Midnight Express")</f>
        <v>Midnight Express</v>
      </c>
      <c r="R3953" s="5" t="str">
        <f>IFERROR(__xludf.DUMMYFUNCTION("""COMPUTED_VALUE"""),"Paolo Bonacelli")</f>
        <v>Paolo Bonacelli</v>
      </c>
      <c r="S3953" s="5" t="str">
        <f>IFERROR(__xludf.DUMMYFUNCTION("""COMPUTED_VALUE"""),"Estrela 4")</f>
        <v>Estrela 4</v>
      </c>
    </row>
    <row r="3954">
      <c r="G3954" s="5" t="str">
        <f>IFERROR(__xludf.DUMMYFUNCTION("""COMPUTED_VALUE"""),"989🤙🏼Close Encounters of the Third Kind🤙🏼Richard Dreyfuss🤙🏼Estrela 1")</f>
        <v>989🤙🏼Close Encounters of the Third Kind🤙🏼Richard Dreyfuss🤙🏼Estrela 1</v>
      </c>
      <c r="H3954" s="5">
        <f>IFERROR(__xludf.DUMMYFUNCTION("SPLiT(G3954, ""🤙🏼"",FALSE,FALSE)"),989.0)</f>
        <v>989</v>
      </c>
      <c r="I3954" s="5" t="str">
        <f>IFERROR(__xludf.DUMMYFUNCTION("""COMPUTED_VALUE"""),"Close Encounters of the Third Kind")</f>
        <v>Close Encounters of the Third Kind</v>
      </c>
      <c r="J3954" s="5" t="str">
        <f>IFERROR(__xludf.DUMMYFUNCTION("""COMPUTED_VALUE"""),"Richard Dreyfuss")</f>
        <v>Richard Dreyfuss</v>
      </c>
      <c r="K3954" s="5" t="str">
        <f>IFERROR(__xludf.DUMMYFUNCTION("""COMPUTED_VALUE"""),"Estrela 1")</f>
        <v>Estrela 1</v>
      </c>
      <c r="P3954" s="5">
        <f>IFERROR(__xludf.DUMMYFUNCTION("""COMPUTED_VALUE"""),989.0)</f>
        <v>989</v>
      </c>
      <c r="Q3954" s="5" t="str">
        <f>IFERROR(__xludf.DUMMYFUNCTION("""COMPUTED_VALUE"""),"Close Encounters of the Third Kind")</f>
        <v>Close Encounters of the Third Kind</v>
      </c>
      <c r="R3954" s="5" t="str">
        <f>IFERROR(__xludf.DUMMYFUNCTION("""COMPUTED_VALUE"""),"Richard Dreyfuss")</f>
        <v>Richard Dreyfuss</v>
      </c>
      <c r="S3954" s="5" t="str">
        <f>IFERROR(__xludf.DUMMYFUNCTION("""COMPUTED_VALUE"""),"Estrela 1")</f>
        <v>Estrela 1</v>
      </c>
    </row>
    <row r="3955">
      <c r="G3955" s="5" t="str">
        <f>IFERROR(__xludf.DUMMYFUNCTION("""COMPUTED_VALUE"""),"989🤙🏼Close Encounters of the Third Kind🤙🏼François Truffaut🤙🏼Estrela 2")</f>
        <v>989🤙🏼Close Encounters of the Third Kind🤙🏼François Truffaut🤙🏼Estrela 2</v>
      </c>
      <c r="H3955" s="5">
        <f>IFERROR(__xludf.DUMMYFUNCTION("SPLiT(G3955, ""🤙🏼"",FALSE,FALSE)"),989.0)</f>
        <v>989</v>
      </c>
      <c r="I3955" s="5" t="str">
        <f>IFERROR(__xludf.DUMMYFUNCTION("""COMPUTED_VALUE"""),"Close Encounters of the Third Kind")</f>
        <v>Close Encounters of the Third Kind</v>
      </c>
      <c r="J3955" s="5" t="str">
        <f>IFERROR(__xludf.DUMMYFUNCTION("""COMPUTED_VALUE"""),"François Truffaut")</f>
        <v>François Truffaut</v>
      </c>
      <c r="K3955" s="5" t="str">
        <f>IFERROR(__xludf.DUMMYFUNCTION("""COMPUTED_VALUE"""),"Estrela 2")</f>
        <v>Estrela 2</v>
      </c>
      <c r="P3955" s="5">
        <f>IFERROR(__xludf.DUMMYFUNCTION("""COMPUTED_VALUE"""),989.0)</f>
        <v>989</v>
      </c>
      <c r="Q3955" s="5" t="str">
        <f>IFERROR(__xludf.DUMMYFUNCTION("""COMPUTED_VALUE"""),"Close Encounters of the Third Kind")</f>
        <v>Close Encounters of the Third Kind</v>
      </c>
      <c r="R3955" s="5" t="str">
        <f>IFERROR(__xludf.DUMMYFUNCTION("""COMPUTED_VALUE"""),"François Truffaut")</f>
        <v>François Truffaut</v>
      </c>
      <c r="S3955" s="5" t="str">
        <f>IFERROR(__xludf.DUMMYFUNCTION("""COMPUTED_VALUE"""),"Estrela 2")</f>
        <v>Estrela 2</v>
      </c>
    </row>
    <row r="3956">
      <c r="G3956" s="5" t="str">
        <f>IFERROR(__xludf.DUMMYFUNCTION("""COMPUTED_VALUE"""),"989🤙🏼Close Encounters of the Third Kind🤙🏼Teri Garr🤙🏼Estrela 3")</f>
        <v>989🤙🏼Close Encounters of the Third Kind🤙🏼Teri Garr🤙🏼Estrela 3</v>
      </c>
      <c r="H3956" s="5">
        <f>IFERROR(__xludf.DUMMYFUNCTION("SPLiT(G3956, ""🤙🏼"",FALSE,FALSE)"),989.0)</f>
        <v>989</v>
      </c>
      <c r="I3956" s="5" t="str">
        <f>IFERROR(__xludf.DUMMYFUNCTION("""COMPUTED_VALUE"""),"Close Encounters of the Third Kind")</f>
        <v>Close Encounters of the Third Kind</v>
      </c>
      <c r="J3956" s="5" t="str">
        <f>IFERROR(__xludf.DUMMYFUNCTION("""COMPUTED_VALUE"""),"Teri Garr")</f>
        <v>Teri Garr</v>
      </c>
      <c r="K3956" s="5" t="str">
        <f>IFERROR(__xludf.DUMMYFUNCTION("""COMPUTED_VALUE"""),"Estrela 3")</f>
        <v>Estrela 3</v>
      </c>
      <c r="P3956" s="5">
        <f>IFERROR(__xludf.DUMMYFUNCTION("""COMPUTED_VALUE"""),989.0)</f>
        <v>989</v>
      </c>
      <c r="Q3956" s="5" t="str">
        <f>IFERROR(__xludf.DUMMYFUNCTION("""COMPUTED_VALUE"""),"Close Encounters of the Third Kind")</f>
        <v>Close Encounters of the Third Kind</v>
      </c>
      <c r="R3956" s="5" t="str">
        <f>IFERROR(__xludf.DUMMYFUNCTION("""COMPUTED_VALUE"""),"Teri Garr")</f>
        <v>Teri Garr</v>
      </c>
      <c r="S3956" s="5" t="str">
        <f>IFERROR(__xludf.DUMMYFUNCTION("""COMPUTED_VALUE"""),"Estrela 3")</f>
        <v>Estrela 3</v>
      </c>
    </row>
    <row r="3957">
      <c r="G3957" s="5" t="str">
        <f>IFERROR(__xludf.DUMMYFUNCTION("""COMPUTED_VALUE"""),"989🤙🏼Close Encounters of the Third Kind🤙🏼Melinda Dillon🤙🏼Estrela 4")</f>
        <v>989🤙🏼Close Encounters of the Third Kind🤙🏼Melinda Dillon🤙🏼Estrela 4</v>
      </c>
      <c r="H3957" s="5">
        <f>IFERROR(__xludf.DUMMYFUNCTION("SPLiT(G3957, ""🤙🏼"",FALSE,FALSE)"),989.0)</f>
        <v>989</v>
      </c>
      <c r="I3957" s="5" t="str">
        <f>IFERROR(__xludf.DUMMYFUNCTION("""COMPUTED_VALUE"""),"Close Encounters of the Third Kind")</f>
        <v>Close Encounters of the Third Kind</v>
      </c>
      <c r="J3957" s="5" t="str">
        <f>IFERROR(__xludf.DUMMYFUNCTION("""COMPUTED_VALUE"""),"Melinda Dillon")</f>
        <v>Melinda Dillon</v>
      </c>
      <c r="K3957" s="5" t="str">
        <f>IFERROR(__xludf.DUMMYFUNCTION("""COMPUTED_VALUE"""),"Estrela 4")</f>
        <v>Estrela 4</v>
      </c>
      <c r="P3957" s="5">
        <f>IFERROR(__xludf.DUMMYFUNCTION("""COMPUTED_VALUE"""),989.0)</f>
        <v>989</v>
      </c>
      <c r="Q3957" s="5" t="str">
        <f>IFERROR(__xludf.DUMMYFUNCTION("""COMPUTED_VALUE"""),"Close Encounters of the Third Kind")</f>
        <v>Close Encounters of the Third Kind</v>
      </c>
      <c r="R3957" s="5" t="str">
        <f>IFERROR(__xludf.DUMMYFUNCTION("""COMPUTED_VALUE"""),"Melinda Dillon")</f>
        <v>Melinda Dillon</v>
      </c>
      <c r="S3957" s="5" t="str">
        <f>IFERROR(__xludf.DUMMYFUNCTION("""COMPUTED_VALUE"""),"Estrela 4")</f>
        <v>Estrela 4</v>
      </c>
    </row>
    <row r="3958">
      <c r="G3958" s="5" t="str">
        <f>IFERROR(__xludf.DUMMYFUNCTION("""COMPUTED_VALUE"""),"990🤙🏼The Long Goodbye🤙🏼Elliott Gould🤙🏼Estrela 1")</f>
        <v>990🤙🏼The Long Goodbye🤙🏼Elliott Gould🤙🏼Estrela 1</v>
      </c>
      <c r="H3958" s="5">
        <f>IFERROR(__xludf.DUMMYFUNCTION("SPLiT(G3958, ""🤙🏼"",FALSE,FALSE)"),990.0)</f>
        <v>990</v>
      </c>
      <c r="I3958" s="5" t="str">
        <f>IFERROR(__xludf.DUMMYFUNCTION("""COMPUTED_VALUE"""),"The Long Goodbye")</f>
        <v>The Long Goodbye</v>
      </c>
      <c r="J3958" s="5" t="str">
        <f>IFERROR(__xludf.DUMMYFUNCTION("""COMPUTED_VALUE"""),"Elliott Gould")</f>
        <v>Elliott Gould</v>
      </c>
      <c r="K3958" s="5" t="str">
        <f>IFERROR(__xludf.DUMMYFUNCTION("""COMPUTED_VALUE"""),"Estrela 1")</f>
        <v>Estrela 1</v>
      </c>
      <c r="P3958" s="5">
        <f>IFERROR(__xludf.DUMMYFUNCTION("""COMPUTED_VALUE"""),990.0)</f>
        <v>990</v>
      </c>
      <c r="Q3958" s="5" t="str">
        <f>IFERROR(__xludf.DUMMYFUNCTION("""COMPUTED_VALUE"""),"The Long Goodbye")</f>
        <v>The Long Goodbye</v>
      </c>
      <c r="R3958" s="5" t="str">
        <f>IFERROR(__xludf.DUMMYFUNCTION("""COMPUTED_VALUE"""),"Elliott Gould")</f>
        <v>Elliott Gould</v>
      </c>
      <c r="S3958" s="5" t="str">
        <f>IFERROR(__xludf.DUMMYFUNCTION("""COMPUTED_VALUE"""),"Estrela 1")</f>
        <v>Estrela 1</v>
      </c>
    </row>
    <row r="3959">
      <c r="G3959" s="5" t="str">
        <f>IFERROR(__xludf.DUMMYFUNCTION("""COMPUTED_VALUE"""),"990🤙🏼The Long Goodbye🤙🏼Nina van Pallandt🤙🏼Estrela 2")</f>
        <v>990🤙🏼The Long Goodbye🤙🏼Nina van Pallandt🤙🏼Estrela 2</v>
      </c>
      <c r="H3959" s="5">
        <f>IFERROR(__xludf.DUMMYFUNCTION("SPLiT(G3959, ""🤙🏼"",FALSE,FALSE)"),990.0)</f>
        <v>990</v>
      </c>
      <c r="I3959" s="5" t="str">
        <f>IFERROR(__xludf.DUMMYFUNCTION("""COMPUTED_VALUE"""),"The Long Goodbye")</f>
        <v>The Long Goodbye</v>
      </c>
      <c r="J3959" s="5" t="str">
        <f>IFERROR(__xludf.DUMMYFUNCTION("""COMPUTED_VALUE"""),"Nina van Pallandt")</f>
        <v>Nina van Pallandt</v>
      </c>
      <c r="K3959" s="5" t="str">
        <f>IFERROR(__xludf.DUMMYFUNCTION("""COMPUTED_VALUE"""),"Estrela 2")</f>
        <v>Estrela 2</v>
      </c>
      <c r="P3959" s="5">
        <f>IFERROR(__xludf.DUMMYFUNCTION("""COMPUTED_VALUE"""),990.0)</f>
        <v>990</v>
      </c>
      <c r="Q3959" s="5" t="str">
        <f>IFERROR(__xludf.DUMMYFUNCTION("""COMPUTED_VALUE"""),"The Long Goodbye")</f>
        <v>The Long Goodbye</v>
      </c>
      <c r="R3959" s="5" t="str">
        <f>IFERROR(__xludf.DUMMYFUNCTION("""COMPUTED_VALUE"""),"Nina van Pallandt")</f>
        <v>Nina van Pallandt</v>
      </c>
      <c r="S3959" s="5" t="str">
        <f>IFERROR(__xludf.DUMMYFUNCTION("""COMPUTED_VALUE"""),"Estrela 2")</f>
        <v>Estrela 2</v>
      </c>
    </row>
    <row r="3960">
      <c r="G3960" s="5" t="str">
        <f>IFERROR(__xludf.DUMMYFUNCTION("""COMPUTED_VALUE"""),"990🤙🏼The Long Goodbye🤙🏼Sterling Hayden🤙🏼Estrela 3")</f>
        <v>990🤙🏼The Long Goodbye🤙🏼Sterling Hayden🤙🏼Estrela 3</v>
      </c>
      <c r="H3960" s="5">
        <f>IFERROR(__xludf.DUMMYFUNCTION("SPLiT(G3960, ""🤙🏼"",FALSE,FALSE)"),990.0)</f>
        <v>990</v>
      </c>
      <c r="I3960" s="5" t="str">
        <f>IFERROR(__xludf.DUMMYFUNCTION("""COMPUTED_VALUE"""),"The Long Goodbye")</f>
        <v>The Long Goodbye</v>
      </c>
      <c r="J3960" s="5" t="str">
        <f>IFERROR(__xludf.DUMMYFUNCTION("""COMPUTED_VALUE"""),"Sterling Hayden")</f>
        <v>Sterling Hayden</v>
      </c>
      <c r="K3960" s="5" t="str">
        <f>IFERROR(__xludf.DUMMYFUNCTION("""COMPUTED_VALUE"""),"Estrela 3")</f>
        <v>Estrela 3</v>
      </c>
      <c r="P3960" s="5">
        <f>IFERROR(__xludf.DUMMYFUNCTION("""COMPUTED_VALUE"""),990.0)</f>
        <v>990</v>
      </c>
      <c r="Q3960" s="5" t="str">
        <f>IFERROR(__xludf.DUMMYFUNCTION("""COMPUTED_VALUE"""),"The Long Goodbye")</f>
        <v>The Long Goodbye</v>
      </c>
      <c r="R3960" s="5" t="str">
        <f>IFERROR(__xludf.DUMMYFUNCTION("""COMPUTED_VALUE"""),"Sterling Hayden")</f>
        <v>Sterling Hayden</v>
      </c>
      <c r="S3960" s="5" t="str">
        <f>IFERROR(__xludf.DUMMYFUNCTION("""COMPUTED_VALUE"""),"Estrela 3")</f>
        <v>Estrela 3</v>
      </c>
    </row>
    <row r="3961">
      <c r="G3961" s="5" t="str">
        <f>IFERROR(__xludf.DUMMYFUNCTION("""COMPUTED_VALUE"""),"990🤙🏼The Long Goodbye🤙🏼Mark Rydell🤙🏼Estrela 4")</f>
        <v>990🤙🏼The Long Goodbye🤙🏼Mark Rydell🤙🏼Estrela 4</v>
      </c>
      <c r="H3961" s="5">
        <f>IFERROR(__xludf.DUMMYFUNCTION("SPLiT(G3961, ""🤙🏼"",FALSE,FALSE)"),990.0)</f>
        <v>990</v>
      </c>
      <c r="I3961" s="5" t="str">
        <f>IFERROR(__xludf.DUMMYFUNCTION("""COMPUTED_VALUE"""),"The Long Goodbye")</f>
        <v>The Long Goodbye</v>
      </c>
      <c r="J3961" s="5" t="str">
        <f>IFERROR(__xludf.DUMMYFUNCTION("""COMPUTED_VALUE"""),"Mark Rydell")</f>
        <v>Mark Rydell</v>
      </c>
      <c r="K3961" s="5" t="str">
        <f>IFERROR(__xludf.DUMMYFUNCTION("""COMPUTED_VALUE"""),"Estrela 4")</f>
        <v>Estrela 4</v>
      </c>
      <c r="P3961" s="5">
        <f>IFERROR(__xludf.DUMMYFUNCTION("""COMPUTED_VALUE"""),990.0)</f>
        <v>990</v>
      </c>
      <c r="Q3961" s="5" t="str">
        <f>IFERROR(__xludf.DUMMYFUNCTION("""COMPUTED_VALUE"""),"The Long Goodbye")</f>
        <v>The Long Goodbye</v>
      </c>
      <c r="R3961" s="5" t="str">
        <f>IFERROR(__xludf.DUMMYFUNCTION("""COMPUTED_VALUE"""),"Mark Rydell")</f>
        <v>Mark Rydell</v>
      </c>
      <c r="S3961" s="5" t="str">
        <f>IFERROR(__xludf.DUMMYFUNCTION("""COMPUTED_VALUE"""),"Estrela 4")</f>
        <v>Estrela 4</v>
      </c>
    </row>
    <row r="3962">
      <c r="G3962" s="5" t="str">
        <f>IFERROR(__xludf.DUMMYFUNCTION("""COMPUTED_VALUE"""),"991🤙🏼Giù la testa🤙🏼Rod Steiger🤙🏼Estrela 1")</f>
        <v>991🤙🏼Giù la testa🤙🏼Rod Steiger🤙🏼Estrela 1</v>
      </c>
      <c r="H3962" s="5">
        <f>IFERROR(__xludf.DUMMYFUNCTION("SPLiT(G3962, ""🤙🏼"",FALSE,FALSE)"),991.0)</f>
        <v>991</v>
      </c>
      <c r="I3962" s="5" t="str">
        <f>IFERROR(__xludf.DUMMYFUNCTION("""COMPUTED_VALUE"""),"Giù la testa")</f>
        <v>Giù la testa</v>
      </c>
      <c r="J3962" s="5" t="str">
        <f>IFERROR(__xludf.DUMMYFUNCTION("""COMPUTED_VALUE"""),"Rod Steiger")</f>
        <v>Rod Steiger</v>
      </c>
      <c r="K3962" s="5" t="str">
        <f>IFERROR(__xludf.DUMMYFUNCTION("""COMPUTED_VALUE"""),"Estrela 1")</f>
        <v>Estrela 1</v>
      </c>
      <c r="P3962" s="5">
        <f>IFERROR(__xludf.DUMMYFUNCTION("""COMPUTED_VALUE"""),991.0)</f>
        <v>991</v>
      </c>
      <c r="Q3962" s="5" t="str">
        <f>IFERROR(__xludf.DUMMYFUNCTION("""COMPUTED_VALUE"""),"Giù la testa")</f>
        <v>Giù la testa</v>
      </c>
      <c r="R3962" s="5" t="str">
        <f>IFERROR(__xludf.DUMMYFUNCTION("""COMPUTED_VALUE"""),"Rod Steiger")</f>
        <v>Rod Steiger</v>
      </c>
      <c r="S3962" s="5" t="str">
        <f>IFERROR(__xludf.DUMMYFUNCTION("""COMPUTED_VALUE"""),"Estrela 1")</f>
        <v>Estrela 1</v>
      </c>
    </row>
    <row r="3963">
      <c r="G3963" s="5" t="str">
        <f>IFERROR(__xludf.DUMMYFUNCTION("""COMPUTED_VALUE"""),"991🤙🏼Giù la testa🤙🏼James Coburn🤙🏼Estrela 2")</f>
        <v>991🤙🏼Giù la testa🤙🏼James Coburn🤙🏼Estrela 2</v>
      </c>
      <c r="H3963" s="5">
        <f>IFERROR(__xludf.DUMMYFUNCTION("SPLiT(G3963, ""🤙🏼"",FALSE,FALSE)"),991.0)</f>
        <v>991</v>
      </c>
      <c r="I3963" s="5" t="str">
        <f>IFERROR(__xludf.DUMMYFUNCTION("""COMPUTED_VALUE"""),"Giù la testa")</f>
        <v>Giù la testa</v>
      </c>
      <c r="J3963" s="5" t="str">
        <f>IFERROR(__xludf.DUMMYFUNCTION("""COMPUTED_VALUE"""),"James Coburn")</f>
        <v>James Coburn</v>
      </c>
      <c r="K3963" s="5" t="str">
        <f>IFERROR(__xludf.DUMMYFUNCTION("""COMPUTED_VALUE"""),"Estrela 2")</f>
        <v>Estrela 2</v>
      </c>
      <c r="P3963" s="5">
        <f>IFERROR(__xludf.DUMMYFUNCTION("""COMPUTED_VALUE"""),991.0)</f>
        <v>991</v>
      </c>
      <c r="Q3963" s="5" t="str">
        <f>IFERROR(__xludf.DUMMYFUNCTION("""COMPUTED_VALUE"""),"Giù la testa")</f>
        <v>Giù la testa</v>
      </c>
      <c r="R3963" s="5" t="str">
        <f>IFERROR(__xludf.DUMMYFUNCTION("""COMPUTED_VALUE"""),"James Coburn")</f>
        <v>James Coburn</v>
      </c>
      <c r="S3963" s="5" t="str">
        <f>IFERROR(__xludf.DUMMYFUNCTION("""COMPUTED_VALUE"""),"Estrela 2")</f>
        <v>Estrela 2</v>
      </c>
    </row>
    <row r="3964">
      <c r="G3964" s="5" t="str">
        <f>IFERROR(__xludf.DUMMYFUNCTION("""COMPUTED_VALUE"""),"991🤙🏼Giù la testa🤙🏼Romolo Valli🤙🏼Estrela 3")</f>
        <v>991🤙🏼Giù la testa🤙🏼Romolo Valli🤙🏼Estrela 3</v>
      </c>
      <c r="H3964" s="5">
        <f>IFERROR(__xludf.DUMMYFUNCTION("SPLiT(G3964, ""🤙🏼"",FALSE,FALSE)"),991.0)</f>
        <v>991</v>
      </c>
      <c r="I3964" s="5" t="str">
        <f>IFERROR(__xludf.DUMMYFUNCTION("""COMPUTED_VALUE"""),"Giù la testa")</f>
        <v>Giù la testa</v>
      </c>
      <c r="J3964" s="5" t="str">
        <f>IFERROR(__xludf.DUMMYFUNCTION("""COMPUTED_VALUE"""),"Romolo Valli")</f>
        <v>Romolo Valli</v>
      </c>
      <c r="K3964" s="5" t="str">
        <f>IFERROR(__xludf.DUMMYFUNCTION("""COMPUTED_VALUE"""),"Estrela 3")</f>
        <v>Estrela 3</v>
      </c>
      <c r="P3964" s="5">
        <f>IFERROR(__xludf.DUMMYFUNCTION("""COMPUTED_VALUE"""),991.0)</f>
        <v>991</v>
      </c>
      <c r="Q3964" s="5" t="str">
        <f>IFERROR(__xludf.DUMMYFUNCTION("""COMPUTED_VALUE"""),"Giù la testa")</f>
        <v>Giù la testa</v>
      </c>
      <c r="R3964" s="5" t="str">
        <f>IFERROR(__xludf.DUMMYFUNCTION("""COMPUTED_VALUE"""),"Romolo Valli")</f>
        <v>Romolo Valli</v>
      </c>
      <c r="S3964" s="5" t="str">
        <f>IFERROR(__xludf.DUMMYFUNCTION("""COMPUTED_VALUE"""),"Estrela 3")</f>
        <v>Estrela 3</v>
      </c>
    </row>
    <row r="3965">
      <c r="G3965" s="5" t="str">
        <f>IFERROR(__xludf.DUMMYFUNCTION("""COMPUTED_VALUE"""),"991🤙🏼Giù la testa🤙🏼Maria Monti🤙🏼Estrela 4")</f>
        <v>991🤙🏼Giù la testa🤙🏼Maria Monti🤙🏼Estrela 4</v>
      </c>
      <c r="H3965" s="5">
        <f>IFERROR(__xludf.DUMMYFUNCTION("SPLiT(G3965, ""🤙🏼"",FALSE,FALSE)"),991.0)</f>
        <v>991</v>
      </c>
      <c r="I3965" s="5" t="str">
        <f>IFERROR(__xludf.DUMMYFUNCTION("""COMPUTED_VALUE"""),"Giù la testa")</f>
        <v>Giù la testa</v>
      </c>
      <c r="J3965" s="5" t="str">
        <f>IFERROR(__xludf.DUMMYFUNCTION("""COMPUTED_VALUE"""),"Maria Monti")</f>
        <v>Maria Monti</v>
      </c>
      <c r="K3965" s="5" t="str">
        <f>IFERROR(__xludf.DUMMYFUNCTION("""COMPUTED_VALUE"""),"Estrela 4")</f>
        <v>Estrela 4</v>
      </c>
      <c r="P3965" s="5">
        <f>IFERROR(__xludf.DUMMYFUNCTION("""COMPUTED_VALUE"""),991.0)</f>
        <v>991</v>
      </c>
      <c r="Q3965" s="5" t="str">
        <f>IFERROR(__xludf.DUMMYFUNCTION("""COMPUTED_VALUE"""),"Giù la testa")</f>
        <v>Giù la testa</v>
      </c>
      <c r="R3965" s="5" t="str">
        <f>IFERROR(__xludf.DUMMYFUNCTION("""COMPUTED_VALUE"""),"Maria Monti")</f>
        <v>Maria Monti</v>
      </c>
      <c r="S3965" s="5" t="str">
        <f>IFERROR(__xludf.DUMMYFUNCTION("""COMPUTED_VALUE"""),"Estrela 4")</f>
        <v>Estrela 4</v>
      </c>
    </row>
    <row r="3966">
      <c r="G3966" s="5" t="str">
        <f>IFERROR(__xludf.DUMMYFUNCTION("""COMPUTED_VALUE"""),"992🤙🏼Kelly's Heroes🤙🏼Clint Eastwood🤙🏼Estrela 1")</f>
        <v>992🤙🏼Kelly's Heroes🤙🏼Clint Eastwood🤙🏼Estrela 1</v>
      </c>
      <c r="H3966" s="5">
        <f>IFERROR(__xludf.DUMMYFUNCTION("SPLiT(G3966, ""🤙🏼"",FALSE,FALSE)"),992.0)</f>
        <v>992</v>
      </c>
      <c r="I3966" s="5" t="str">
        <f>IFERROR(__xludf.DUMMYFUNCTION("""COMPUTED_VALUE"""),"Kelly's Heroes")</f>
        <v>Kelly's Heroes</v>
      </c>
      <c r="J3966" s="5" t="str">
        <f>IFERROR(__xludf.DUMMYFUNCTION("""COMPUTED_VALUE"""),"Clint Eastwood")</f>
        <v>Clint Eastwood</v>
      </c>
      <c r="K3966" s="5" t="str">
        <f>IFERROR(__xludf.DUMMYFUNCTION("""COMPUTED_VALUE"""),"Estrela 1")</f>
        <v>Estrela 1</v>
      </c>
      <c r="P3966" s="5">
        <f>IFERROR(__xludf.DUMMYFUNCTION("""COMPUTED_VALUE"""),992.0)</f>
        <v>992</v>
      </c>
      <c r="Q3966" s="5" t="str">
        <f>IFERROR(__xludf.DUMMYFUNCTION("""COMPUTED_VALUE"""),"Kelly's Heroes")</f>
        <v>Kelly's Heroes</v>
      </c>
      <c r="R3966" s="5" t="str">
        <f>IFERROR(__xludf.DUMMYFUNCTION("""COMPUTED_VALUE"""),"Clint Eastwood")</f>
        <v>Clint Eastwood</v>
      </c>
      <c r="S3966" s="5" t="str">
        <f>IFERROR(__xludf.DUMMYFUNCTION("""COMPUTED_VALUE"""),"Estrela 1")</f>
        <v>Estrela 1</v>
      </c>
    </row>
    <row r="3967">
      <c r="G3967" s="5" t="str">
        <f>IFERROR(__xludf.DUMMYFUNCTION("""COMPUTED_VALUE"""),"992🤙🏼Kelly's Heroes🤙🏼Telly Savalas🤙🏼Estrela 2")</f>
        <v>992🤙🏼Kelly's Heroes🤙🏼Telly Savalas🤙🏼Estrela 2</v>
      </c>
      <c r="H3967" s="5">
        <f>IFERROR(__xludf.DUMMYFUNCTION("SPLiT(G3967, ""🤙🏼"",FALSE,FALSE)"),992.0)</f>
        <v>992</v>
      </c>
      <c r="I3967" s="5" t="str">
        <f>IFERROR(__xludf.DUMMYFUNCTION("""COMPUTED_VALUE"""),"Kelly's Heroes")</f>
        <v>Kelly's Heroes</v>
      </c>
      <c r="J3967" s="5" t="str">
        <f>IFERROR(__xludf.DUMMYFUNCTION("""COMPUTED_VALUE"""),"Telly Savalas")</f>
        <v>Telly Savalas</v>
      </c>
      <c r="K3967" s="5" t="str">
        <f>IFERROR(__xludf.DUMMYFUNCTION("""COMPUTED_VALUE"""),"Estrela 2")</f>
        <v>Estrela 2</v>
      </c>
      <c r="P3967" s="5">
        <f>IFERROR(__xludf.DUMMYFUNCTION("""COMPUTED_VALUE"""),992.0)</f>
        <v>992</v>
      </c>
      <c r="Q3967" s="5" t="str">
        <f>IFERROR(__xludf.DUMMYFUNCTION("""COMPUTED_VALUE"""),"Kelly's Heroes")</f>
        <v>Kelly's Heroes</v>
      </c>
      <c r="R3967" s="5" t="str">
        <f>IFERROR(__xludf.DUMMYFUNCTION("""COMPUTED_VALUE"""),"Telly Savalas")</f>
        <v>Telly Savalas</v>
      </c>
      <c r="S3967" s="5" t="str">
        <f>IFERROR(__xludf.DUMMYFUNCTION("""COMPUTED_VALUE"""),"Estrela 2")</f>
        <v>Estrela 2</v>
      </c>
    </row>
    <row r="3968">
      <c r="G3968" s="5" t="str">
        <f>IFERROR(__xludf.DUMMYFUNCTION("""COMPUTED_VALUE"""),"992🤙🏼Kelly's Heroes🤙🏼Don Rickles🤙🏼Estrela 3")</f>
        <v>992🤙🏼Kelly's Heroes🤙🏼Don Rickles🤙🏼Estrela 3</v>
      </c>
      <c r="H3968" s="5">
        <f>IFERROR(__xludf.DUMMYFUNCTION("SPLiT(G3968, ""🤙🏼"",FALSE,FALSE)"),992.0)</f>
        <v>992</v>
      </c>
      <c r="I3968" s="5" t="str">
        <f>IFERROR(__xludf.DUMMYFUNCTION("""COMPUTED_VALUE"""),"Kelly's Heroes")</f>
        <v>Kelly's Heroes</v>
      </c>
      <c r="J3968" s="5" t="str">
        <f>IFERROR(__xludf.DUMMYFUNCTION("""COMPUTED_VALUE"""),"Don Rickles")</f>
        <v>Don Rickles</v>
      </c>
      <c r="K3968" s="5" t="str">
        <f>IFERROR(__xludf.DUMMYFUNCTION("""COMPUTED_VALUE"""),"Estrela 3")</f>
        <v>Estrela 3</v>
      </c>
      <c r="P3968" s="5">
        <f>IFERROR(__xludf.DUMMYFUNCTION("""COMPUTED_VALUE"""),992.0)</f>
        <v>992</v>
      </c>
      <c r="Q3968" s="5" t="str">
        <f>IFERROR(__xludf.DUMMYFUNCTION("""COMPUTED_VALUE"""),"Kelly's Heroes")</f>
        <v>Kelly's Heroes</v>
      </c>
      <c r="R3968" s="5" t="str">
        <f>IFERROR(__xludf.DUMMYFUNCTION("""COMPUTED_VALUE"""),"Don Rickles")</f>
        <v>Don Rickles</v>
      </c>
      <c r="S3968" s="5" t="str">
        <f>IFERROR(__xludf.DUMMYFUNCTION("""COMPUTED_VALUE"""),"Estrela 3")</f>
        <v>Estrela 3</v>
      </c>
    </row>
    <row r="3969">
      <c r="G3969" s="5" t="str">
        <f>IFERROR(__xludf.DUMMYFUNCTION("""COMPUTED_VALUE"""),"992🤙🏼Kelly's Heroes🤙🏼Carroll O'Connor🤙🏼Estrela 4")</f>
        <v>992🤙🏼Kelly's Heroes🤙🏼Carroll O'Connor🤙🏼Estrela 4</v>
      </c>
      <c r="H3969" s="5">
        <f>IFERROR(__xludf.DUMMYFUNCTION("SPLiT(G3969, ""🤙🏼"",FALSE,FALSE)"),992.0)</f>
        <v>992</v>
      </c>
      <c r="I3969" s="5" t="str">
        <f>IFERROR(__xludf.DUMMYFUNCTION("""COMPUTED_VALUE"""),"Kelly's Heroes")</f>
        <v>Kelly's Heroes</v>
      </c>
      <c r="J3969" s="5" t="str">
        <f>IFERROR(__xludf.DUMMYFUNCTION("""COMPUTED_VALUE"""),"Carroll O'Connor")</f>
        <v>Carroll O'Connor</v>
      </c>
      <c r="K3969" s="5" t="str">
        <f>IFERROR(__xludf.DUMMYFUNCTION("""COMPUTED_VALUE"""),"Estrela 4")</f>
        <v>Estrela 4</v>
      </c>
      <c r="P3969" s="5">
        <f>IFERROR(__xludf.DUMMYFUNCTION("""COMPUTED_VALUE"""),992.0)</f>
        <v>992</v>
      </c>
      <c r="Q3969" s="5" t="str">
        <f>IFERROR(__xludf.DUMMYFUNCTION("""COMPUTED_VALUE"""),"Kelly's Heroes")</f>
        <v>Kelly's Heroes</v>
      </c>
      <c r="R3969" s="5" t="str">
        <f>IFERROR(__xludf.DUMMYFUNCTION("""COMPUTED_VALUE"""),"Carroll O'Connor")</f>
        <v>Carroll O'Connor</v>
      </c>
      <c r="S3969" s="5" t="str">
        <f>IFERROR(__xludf.DUMMYFUNCTION("""COMPUTED_VALUE"""),"Estrela 4")</f>
        <v>Estrela 4</v>
      </c>
    </row>
    <row r="3970">
      <c r="G3970" s="5" t="str">
        <f>IFERROR(__xludf.DUMMYFUNCTION("""COMPUTED_VALUE"""),"993🤙🏼The Jungle Book🤙🏼Phil Harris🤙🏼Estrela 1")</f>
        <v>993🤙🏼The Jungle Book🤙🏼Phil Harris🤙🏼Estrela 1</v>
      </c>
      <c r="H3970" s="5">
        <f>IFERROR(__xludf.DUMMYFUNCTION("SPLiT(G3970, ""🤙🏼"",FALSE,FALSE)"),993.0)</f>
        <v>993</v>
      </c>
      <c r="I3970" s="5" t="str">
        <f>IFERROR(__xludf.DUMMYFUNCTION("""COMPUTED_VALUE"""),"The Jungle Book")</f>
        <v>The Jungle Book</v>
      </c>
      <c r="J3970" s="5" t="str">
        <f>IFERROR(__xludf.DUMMYFUNCTION("""COMPUTED_VALUE"""),"Phil Harris")</f>
        <v>Phil Harris</v>
      </c>
      <c r="K3970" s="5" t="str">
        <f>IFERROR(__xludf.DUMMYFUNCTION("""COMPUTED_VALUE"""),"Estrela 1")</f>
        <v>Estrela 1</v>
      </c>
      <c r="P3970" s="5">
        <f>IFERROR(__xludf.DUMMYFUNCTION("""COMPUTED_VALUE"""),993.0)</f>
        <v>993</v>
      </c>
      <c r="Q3970" s="5" t="str">
        <f>IFERROR(__xludf.DUMMYFUNCTION("""COMPUTED_VALUE"""),"The Jungle Book")</f>
        <v>The Jungle Book</v>
      </c>
      <c r="R3970" s="5" t="str">
        <f>IFERROR(__xludf.DUMMYFUNCTION("""COMPUTED_VALUE"""),"Phil Harris")</f>
        <v>Phil Harris</v>
      </c>
      <c r="S3970" s="5" t="str">
        <f>IFERROR(__xludf.DUMMYFUNCTION("""COMPUTED_VALUE"""),"Estrela 1")</f>
        <v>Estrela 1</v>
      </c>
    </row>
    <row r="3971">
      <c r="G3971" s="5" t="str">
        <f>IFERROR(__xludf.DUMMYFUNCTION("""COMPUTED_VALUE"""),"993🤙🏼The Jungle Book🤙🏼Sebastian Cabot🤙🏼Estrela 2")</f>
        <v>993🤙🏼The Jungle Book🤙🏼Sebastian Cabot🤙🏼Estrela 2</v>
      </c>
      <c r="H3971" s="5">
        <f>IFERROR(__xludf.DUMMYFUNCTION("SPLiT(G3971, ""🤙🏼"",FALSE,FALSE)"),993.0)</f>
        <v>993</v>
      </c>
      <c r="I3971" s="5" t="str">
        <f>IFERROR(__xludf.DUMMYFUNCTION("""COMPUTED_VALUE"""),"The Jungle Book")</f>
        <v>The Jungle Book</v>
      </c>
      <c r="J3971" s="5" t="str">
        <f>IFERROR(__xludf.DUMMYFUNCTION("""COMPUTED_VALUE"""),"Sebastian Cabot")</f>
        <v>Sebastian Cabot</v>
      </c>
      <c r="K3971" s="5" t="str">
        <f>IFERROR(__xludf.DUMMYFUNCTION("""COMPUTED_VALUE"""),"Estrela 2")</f>
        <v>Estrela 2</v>
      </c>
      <c r="P3971" s="5">
        <f>IFERROR(__xludf.DUMMYFUNCTION("""COMPUTED_VALUE"""),993.0)</f>
        <v>993</v>
      </c>
      <c r="Q3971" s="5" t="str">
        <f>IFERROR(__xludf.DUMMYFUNCTION("""COMPUTED_VALUE"""),"The Jungle Book")</f>
        <v>The Jungle Book</v>
      </c>
      <c r="R3971" s="5" t="str">
        <f>IFERROR(__xludf.DUMMYFUNCTION("""COMPUTED_VALUE"""),"Sebastian Cabot")</f>
        <v>Sebastian Cabot</v>
      </c>
      <c r="S3971" s="5" t="str">
        <f>IFERROR(__xludf.DUMMYFUNCTION("""COMPUTED_VALUE"""),"Estrela 2")</f>
        <v>Estrela 2</v>
      </c>
    </row>
    <row r="3972">
      <c r="G3972" s="5" t="str">
        <f>IFERROR(__xludf.DUMMYFUNCTION("""COMPUTED_VALUE"""),"993🤙🏼The Jungle Book🤙🏼Louis Prima🤙🏼Estrela 3")</f>
        <v>993🤙🏼The Jungle Book🤙🏼Louis Prima🤙🏼Estrela 3</v>
      </c>
      <c r="H3972" s="5">
        <f>IFERROR(__xludf.DUMMYFUNCTION("SPLiT(G3972, ""🤙🏼"",FALSE,FALSE)"),993.0)</f>
        <v>993</v>
      </c>
      <c r="I3972" s="5" t="str">
        <f>IFERROR(__xludf.DUMMYFUNCTION("""COMPUTED_VALUE"""),"The Jungle Book")</f>
        <v>The Jungle Book</v>
      </c>
      <c r="J3972" s="5" t="str">
        <f>IFERROR(__xludf.DUMMYFUNCTION("""COMPUTED_VALUE"""),"Louis Prima")</f>
        <v>Louis Prima</v>
      </c>
      <c r="K3972" s="5" t="str">
        <f>IFERROR(__xludf.DUMMYFUNCTION("""COMPUTED_VALUE"""),"Estrela 3")</f>
        <v>Estrela 3</v>
      </c>
      <c r="P3972" s="5">
        <f>IFERROR(__xludf.DUMMYFUNCTION("""COMPUTED_VALUE"""),993.0)</f>
        <v>993</v>
      </c>
      <c r="Q3972" s="5" t="str">
        <f>IFERROR(__xludf.DUMMYFUNCTION("""COMPUTED_VALUE"""),"The Jungle Book")</f>
        <v>The Jungle Book</v>
      </c>
      <c r="R3972" s="5" t="str">
        <f>IFERROR(__xludf.DUMMYFUNCTION("""COMPUTED_VALUE"""),"Louis Prima")</f>
        <v>Louis Prima</v>
      </c>
      <c r="S3972" s="5" t="str">
        <f>IFERROR(__xludf.DUMMYFUNCTION("""COMPUTED_VALUE"""),"Estrela 3")</f>
        <v>Estrela 3</v>
      </c>
    </row>
    <row r="3973">
      <c r="G3973" s="5" t="str">
        <f>IFERROR(__xludf.DUMMYFUNCTION("""COMPUTED_VALUE"""),"993🤙🏼The Jungle Book🤙🏼Bruce Reitherman🤙🏼Estrela 4")</f>
        <v>993🤙🏼The Jungle Book🤙🏼Bruce Reitherman🤙🏼Estrela 4</v>
      </c>
      <c r="H3973" s="5">
        <f>IFERROR(__xludf.DUMMYFUNCTION("SPLiT(G3973, ""🤙🏼"",FALSE,FALSE)"),993.0)</f>
        <v>993</v>
      </c>
      <c r="I3973" s="5" t="str">
        <f>IFERROR(__xludf.DUMMYFUNCTION("""COMPUTED_VALUE"""),"The Jungle Book")</f>
        <v>The Jungle Book</v>
      </c>
      <c r="J3973" s="5" t="str">
        <f>IFERROR(__xludf.DUMMYFUNCTION("""COMPUTED_VALUE"""),"Bruce Reitherman")</f>
        <v>Bruce Reitherman</v>
      </c>
      <c r="K3973" s="5" t="str">
        <f>IFERROR(__xludf.DUMMYFUNCTION("""COMPUTED_VALUE"""),"Estrela 4")</f>
        <v>Estrela 4</v>
      </c>
      <c r="P3973" s="5">
        <f>IFERROR(__xludf.DUMMYFUNCTION("""COMPUTED_VALUE"""),993.0)</f>
        <v>993</v>
      </c>
      <c r="Q3973" s="5" t="str">
        <f>IFERROR(__xludf.DUMMYFUNCTION("""COMPUTED_VALUE"""),"The Jungle Book")</f>
        <v>The Jungle Book</v>
      </c>
      <c r="R3973" s="5" t="str">
        <f>IFERROR(__xludf.DUMMYFUNCTION("""COMPUTED_VALUE"""),"Bruce Reitherman")</f>
        <v>Bruce Reitherman</v>
      </c>
      <c r="S3973" s="5" t="str">
        <f>IFERROR(__xludf.DUMMYFUNCTION("""COMPUTED_VALUE"""),"Estrela 4")</f>
        <v>Estrela 4</v>
      </c>
    </row>
    <row r="3974">
      <c r="G3974" s="5" t="str">
        <f>IFERROR(__xludf.DUMMYFUNCTION("""COMPUTED_VALUE"""),"994🤙🏼Blowup🤙🏼David Hemmings🤙🏼Estrela 1")</f>
        <v>994🤙🏼Blowup🤙🏼David Hemmings🤙🏼Estrela 1</v>
      </c>
      <c r="H3974" s="5">
        <f>IFERROR(__xludf.DUMMYFUNCTION("SPLiT(G3974, ""🤙🏼"",FALSE,FALSE)"),994.0)</f>
        <v>994</v>
      </c>
      <c r="I3974" s="5" t="str">
        <f>IFERROR(__xludf.DUMMYFUNCTION("""COMPUTED_VALUE"""),"Blowup")</f>
        <v>Blowup</v>
      </c>
      <c r="J3974" s="5" t="str">
        <f>IFERROR(__xludf.DUMMYFUNCTION("""COMPUTED_VALUE"""),"David Hemmings")</f>
        <v>David Hemmings</v>
      </c>
      <c r="K3974" s="5" t="str">
        <f>IFERROR(__xludf.DUMMYFUNCTION("""COMPUTED_VALUE"""),"Estrela 1")</f>
        <v>Estrela 1</v>
      </c>
      <c r="P3974" s="5">
        <f>IFERROR(__xludf.DUMMYFUNCTION("""COMPUTED_VALUE"""),994.0)</f>
        <v>994</v>
      </c>
      <c r="Q3974" s="5" t="str">
        <f>IFERROR(__xludf.DUMMYFUNCTION("""COMPUTED_VALUE"""),"Blowup")</f>
        <v>Blowup</v>
      </c>
      <c r="R3974" s="5" t="str">
        <f>IFERROR(__xludf.DUMMYFUNCTION("""COMPUTED_VALUE"""),"David Hemmings")</f>
        <v>David Hemmings</v>
      </c>
      <c r="S3974" s="5" t="str">
        <f>IFERROR(__xludf.DUMMYFUNCTION("""COMPUTED_VALUE"""),"Estrela 1")</f>
        <v>Estrela 1</v>
      </c>
    </row>
    <row r="3975">
      <c r="G3975" s="5" t="str">
        <f>IFERROR(__xludf.DUMMYFUNCTION("""COMPUTED_VALUE"""),"994🤙🏼Blowup🤙🏼Vanessa Redgrave🤙🏼Estrela 2")</f>
        <v>994🤙🏼Blowup🤙🏼Vanessa Redgrave🤙🏼Estrela 2</v>
      </c>
      <c r="H3975" s="5">
        <f>IFERROR(__xludf.DUMMYFUNCTION("SPLiT(G3975, ""🤙🏼"",FALSE,FALSE)"),994.0)</f>
        <v>994</v>
      </c>
      <c r="I3975" s="5" t="str">
        <f>IFERROR(__xludf.DUMMYFUNCTION("""COMPUTED_VALUE"""),"Blowup")</f>
        <v>Blowup</v>
      </c>
      <c r="J3975" s="5" t="str">
        <f>IFERROR(__xludf.DUMMYFUNCTION("""COMPUTED_VALUE"""),"Vanessa Redgrave")</f>
        <v>Vanessa Redgrave</v>
      </c>
      <c r="K3975" s="5" t="str">
        <f>IFERROR(__xludf.DUMMYFUNCTION("""COMPUTED_VALUE"""),"Estrela 2")</f>
        <v>Estrela 2</v>
      </c>
      <c r="P3975" s="5">
        <f>IFERROR(__xludf.DUMMYFUNCTION("""COMPUTED_VALUE"""),994.0)</f>
        <v>994</v>
      </c>
      <c r="Q3975" s="5" t="str">
        <f>IFERROR(__xludf.DUMMYFUNCTION("""COMPUTED_VALUE"""),"Blowup")</f>
        <v>Blowup</v>
      </c>
      <c r="R3975" s="5" t="str">
        <f>IFERROR(__xludf.DUMMYFUNCTION("""COMPUTED_VALUE"""),"Vanessa Redgrave")</f>
        <v>Vanessa Redgrave</v>
      </c>
      <c r="S3975" s="5" t="str">
        <f>IFERROR(__xludf.DUMMYFUNCTION("""COMPUTED_VALUE"""),"Estrela 2")</f>
        <v>Estrela 2</v>
      </c>
    </row>
    <row r="3976">
      <c r="G3976" s="5" t="str">
        <f>IFERROR(__xludf.DUMMYFUNCTION("""COMPUTED_VALUE"""),"994🤙🏼Blowup🤙🏼Sarah Miles🤙🏼Estrela 3")</f>
        <v>994🤙🏼Blowup🤙🏼Sarah Miles🤙🏼Estrela 3</v>
      </c>
      <c r="H3976" s="5">
        <f>IFERROR(__xludf.DUMMYFUNCTION("SPLiT(G3976, ""🤙🏼"",FALSE,FALSE)"),994.0)</f>
        <v>994</v>
      </c>
      <c r="I3976" s="5" t="str">
        <f>IFERROR(__xludf.DUMMYFUNCTION("""COMPUTED_VALUE"""),"Blowup")</f>
        <v>Blowup</v>
      </c>
      <c r="J3976" s="5" t="str">
        <f>IFERROR(__xludf.DUMMYFUNCTION("""COMPUTED_VALUE"""),"Sarah Miles")</f>
        <v>Sarah Miles</v>
      </c>
      <c r="K3976" s="5" t="str">
        <f>IFERROR(__xludf.DUMMYFUNCTION("""COMPUTED_VALUE"""),"Estrela 3")</f>
        <v>Estrela 3</v>
      </c>
      <c r="P3976" s="5">
        <f>IFERROR(__xludf.DUMMYFUNCTION("""COMPUTED_VALUE"""),994.0)</f>
        <v>994</v>
      </c>
      <c r="Q3976" s="5" t="str">
        <f>IFERROR(__xludf.DUMMYFUNCTION("""COMPUTED_VALUE"""),"Blowup")</f>
        <v>Blowup</v>
      </c>
      <c r="R3976" s="5" t="str">
        <f>IFERROR(__xludf.DUMMYFUNCTION("""COMPUTED_VALUE"""),"Sarah Miles")</f>
        <v>Sarah Miles</v>
      </c>
      <c r="S3976" s="5" t="str">
        <f>IFERROR(__xludf.DUMMYFUNCTION("""COMPUTED_VALUE"""),"Estrela 3")</f>
        <v>Estrela 3</v>
      </c>
    </row>
    <row r="3977">
      <c r="G3977" s="5" t="str">
        <f>IFERROR(__xludf.DUMMYFUNCTION("""COMPUTED_VALUE"""),"994🤙🏼Blowup🤙🏼John Castle🤙🏼Estrela 4")</f>
        <v>994🤙🏼Blowup🤙🏼John Castle🤙🏼Estrela 4</v>
      </c>
      <c r="H3977" s="5">
        <f>IFERROR(__xludf.DUMMYFUNCTION("SPLiT(G3977, ""🤙🏼"",FALSE,FALSE)"),994.0)</f>
        <v>994</v>
      </c>
      <c r="I3977" s="5" t="str">
        <f>IFERROR(__xludf.DUMMYFUNCTION("""COMPUTED_VALUE"""),"Blowup")</f>
        <v>Blowup</v>
      </c>
      <c r="J3977" s="5" t="str">
        <f>IFERROR(__xludf.DUMMYFUNCTION("""COMPUTED_VALUE"""),"John Castle")</f>
        <v>John Castle</v>
      </c>
      <c r="K3977" s="5" t="str">
        <f>IFERROR(__xludf.DUMMYFUNCTION("""COMPUTED_VALUE"""),"Estrela 4")</f>
        <v>Estrela 4</v>
      </c>
      <c r="P3977" s="5">
        <f>IFERROR(__xludf.DUMMYFUNCTION("""COMPUTED_VALUE"""),994.0)</f>
        <v>994</v>
      </c>
      <c r="Q3977" s="5" t="str">
        <f>IFERROR(__xludf.DUMMYFUNCTION("""COMPUTED_VALUE"""),"Blowup")</f>
        <v>Blowup</v>
      </c>
      <c r="R3977" s="5" t="str">
        <f>IFERROR(__xludf.DUMMYFUNCTION("""COMPUTED_VALUE"""),"John Castle")</f>
        <v>John Castle</v>
      </c>
      <c r="S3977" s="5" t="str">
        <f>IFERROR(__xludf.DUMMYFUNCTION("""COMPUTED_VALUE"""),"Estrela 4")</f>
        <v>Estrela 4</v>
      </c>
    </row>
    <row r="3978">
      <c r="G3978" s="5" t="str">
        <f>IFERROR(__xludf.DUMMYFUNCTION("""COMPUTED_VALUE"""),"995🤙🏼A Hard Day's Night🤙🏼John Lennon🤙🏼Estrela 1")</f>
        <v>995🤙🏼A Hard Day's Night🤙🏼John Lennon🤙🏼Estrela 1</v>
      </c>
      <c r="H3978" s="5">
        <f>IFERROR(__xludf.DUMMYFUNCTION("SPLiT(G3978, ""🤙🏼"",FALSE,FALSE)"),995.0)</f>
        <v>995</v>
      </c>
      <c r="I3978" s="5" t="str">
        <f>IFERROR(__xludf.DUMMYFUNCTION("""COMPUTED_VALUE"""),"A Hard Day's Night")</f>
        <v>A Hard Day's Night</v>
      </c>
      <c r="J3978" s="5" t="str">
        <f>IFERROR(__xludf.DUMMYFUNCTION("""COMPUTED_VALUE"""),"John Lennon")</f>
        <v>John Lennon</v>
      </c>
      <c r="K3978" s="5" t="str">
        <f>IFERROR(__xludf.DUMMYFUNCTION("""COMPUTED_VALUE"""),"Estrela 1")</f>
        <v>Estrela 1</v>
      </c>
      <c r="P3978" s="5">
        <f>IFERROR(__xludf.DUMMYFUNCTION("""COMPUTED_VALUE"""),995.0)</f>
        <v>995</v>
      </c>
      <c r="Q3978" s="5" t="str">
        <f>IFERROR(__xludf.DUMMYFUNCTION("""COMPUTED_VALUE"""),"A Hard Day's Night")</f>
        <v>A Hard Day's Night</v>
      </c>
      <c r="R3978" s="5" t="str">
        <f>IFERROR(__xludf.DUMMYFUNCTION("""COMPUTED_VALUE"""),"John Lennon")</f>
        <v>John Lennon</v>
      </c>
      <c r="S3978" s="5" t="str">
        <f>IFERROR(__xludf.DUMMYFUNCTION("""COMPUTED_VALUE"""),"Estrela 1")</f>
        <v>Estrela 1</v>
      </c>
    </row>
    <row r="3979">
      <c r="G3979" s="5" t="str">
        <f>IFERROR(__xludf.DUMMYFUNCTION("""COMPUTED_VALUE"""),"995🤙🏼A Hard Day's Night🤙🏼Paul McCartney🤙🏼Estrela 2")</f>
        <v>995🤙🏼A Hard Day's Night🤙🏼Paul McCartney🤙🏼Estrela 2</v>
      </c>
      <c r="H3979" s="5">
        <f>IFERROR(__xludf.DUMMYFUNCTION("SPLiT(G3979, ""🤙🏼"",FALSE,FALSE)"),995.0)</f>
        <v>995</v>
      </c>
      <c r="I3979" s="5" t="str">
        <f>IFERROR(__xludf.DUMMYFUNCTION("""COMPUTED_VALUE"""),"A Hard Day's Night")</f>
        <v>A Hard Day's Night</v>
      </c>
      <c r="J3979" s="5" t="str">
        <f>IFERROR(__xludf.DUMMYFUNCTION("""COMPUTED_VALUE"""),"Paul McCartney")</f>
        <v>Paul McCartney</v>
      </c>
      <c r="K3979" s="5" t="str">
        <f>IFERROR(__xludf.DUMMYFUNCTION("""COMPUTED_VALUE"""),"Estrela 2")</f>
        <v>Estrela 2</v>
      </c>
      <c r="P3979" s="5">
        <f>IFERROR(__xludf.DUMMYFUNCTION("""COMPUTED_VALUE"""),995.0)</f>
        <v>995</v>
      </c>
      <c r="Q3979" s="5" t="str">
        <f>IFERROR(__xludf.DUMMYFUNCTION("""COMPUTED_VALUE"""),"A Hard Day's Night")</f>
        <v>A Hard Day's Night</v>
      </c>
      <c r="R3979" s="5" t="str">
        <f>IFERROR(__xludf.DUMMYFUNCTION("""COMPUTED_VALUE"""),"Paul McCartney")</f>
        <v>Paul McCartney</v>
      </c>
      <c r="S3979" s="5" t="str">
        <f>IFERROR(__xludf.DUMMYFUNCTION("""COMPUTED_VALUE"""),"Estrela 2")</f>
        <v>Estrela 2</v>
      </c>
    </row>
    <row r="3980">
      <c r="G3980" s="5" t="str">
        <f>IFERROR(__xludf.DUMMYFUNCTION("""COMPUTED_VALUE"""),"995🤙🏼A Hard Day's Night🤙🏼George Harrison🤙🏼Estrela 3")</f>
        <v>995🤙🏼A Hard Day's Night🤙🏼George Harrison🤙🏼Estrela 3</v>
      </c>
      <c r="H3980" s="5">
        <f>IFERROR(__xludf.DUMMYFUNCTION("SPLiT(G3980, ""🤙🏼"",FALSE,FALSE)"),995.0)</f>
        <v>995</v>
      </c>
      <c r="I3980" s="5" t="str">
        <f>IFERROR(__xludf.DUMMYFUNCTION("""COMPUTED_VALUE"""),"A Hard Day's Night")</f>
        <v>A Hard Day's Night</v>
      </c>
      <c r="J3980" s="5" t="str">
        <f>IFERROR(__xludf.DUMMYFUNCTION("""COMPUTED_VALUE"""),"George Harrison")</f>
        <v>George Harrison</v>
      </c>
      <c r="K3980" s="5" t="str">
        <f>IFERROR(__xludf.DUMMYFUNCTION("""COMPUTED_VALUE"""),"Estrela 3")</f>
        <v>Estrela 3</v>
      </c>
      <c r="P3980" s="5">
        <f>IFERROR(__xludf.DUMMYFUNCTION("""COMPUTED_VALUE"""),995.0)</f>
        <v>995</v>
      </c>
      <c r="Q3980" s="5" t="str">
        <f>IFERROR(__xludf.DUMMYFUNCTION("""COMPUTED_VALUE"""),"A Hard Day's Night")</f>
        <v>A Hard Day's Night</v>
      </c>
      <c r="R3980" s="5" t="str">
        <f>IFERROR(__xludf.DUMMYFUNCTION("""COMPUTED_VALUE"""),"George Harrison")</f>
        <v>George Harrison</v>
      </c>
      <c r="S3980" s="5" t="str">
        <f>IFERROR(__xludf.DUMMYFUNCTION("""COMPUTED_VALUE"""),"Estrela 3")</f>
        <v>Estrela 3</v>
      </c>
    </row>
    <row r="3981">
      <c r="G3981" s="5" t="str">
        <f>IFERROR(__xludf.DUMMYFUNCTION("""COMPUTED_VALUE"""),"995🤙🏼A Hard Day's Night🤙🏼Ringo Starr🤙🏼Estrela 4")</f>
        <v>995🤙🏼A Hard Day's Night🤙🏼Ringo Starr🤙🏼Estrela 4</v>
      </c>
      <c r="H3981" s="5">
        <f>IFERROR(__xludf.DUMMYFUNCTION("SPLiT(G3981, ""🤙🏼"",FALSE,FALSE)"),995.0)</f>
        <v>995</v>
      </c>
      <c r="I3981" s="5" t="str">
        <f>IFERROR(__xludf.DUMMYFUNCTION("""COMPUTED_VALUE"""),"A Hard Day's Night")</f>
        <v>A Hard Day's Night</v>
      </c>
      <c r="J3981" s="5" t="str">
        <f>IFERROR(__xludf.DUMMYFUNCTION("""COMPUTED_VALUE"""),"Ringo Starr")</f>
        <v>Ringo Starr</v>
      </c>
      <c r="K3981" s="5" t="str">
        <f>IFERROR(__xludf.DUMMYFUNCTION("""COMPUTED_VALUE"""),"Estrela 4")</f>
        <v>Estrela 4</v>
      </c>
      <c r="P3981" s="5">
        <f>IFERROR(__xludf.DUMMYFUNCTION("""COMPUTED_VALUE"""),995.0)</f>
        <v>995</v>
      </c>
      <c r="Q3981" s="5" t="str">
        <f>IFERROR(__xludf.DUMMYFUNCTION("""COMPUTED_VALUE"""),"A Hard Day's Night")</f>
        <v>A Hard Day's Night</v>
      </c>
      <c r="R3981" s="5" t="str">
        <f>IFERROR(__xludf.DUMMYFUNCTION("""COMPUTED_VALUE"""),"Ringo Starr")</f>
        <v>Ringo Starr</v>
      </c>
      <c r="S3981" s="5" t="str">
        <f>IFERROR(__xludf.DUMMYFUNCTION("""COMPUTED_VALUE"""),"Estrela 4")</f>
        <v>Estrela 4</v>
      </c>
    </row>
    <row r="3982">
      <c r="G3982" s="5" t="str">
        <f>IFERROR(__xludf.DUMMYFUNCTION("""COMPUTED_VALUE"""),"996🤙🏼Breakfast at Tiffany's🤙🏼Audrey Hepburn🤙🏼Estrela 1")</f>
        <v>996🤙🏼Breakfast at Tiffany's🤙🏼Audrey Hepburn🤙🏼Estrela 1</v>
      </c>
      <c r="H3982" s="5">
        <f>IFERROR(__xludf.DUMMYFUNCTION("SPLiT(G3982, ""🤙🏼"",FALSE,FALSE)"),996.0)</f>
        <v>996</v>
      </c>
      <c r="I3982" s="5" t="str">
        <f>IFERROR(__xludf.DUMMYFUNCTION("""COMPUTED_VALUE"""),"Breakfast at Tiffany's")</f>
        <v>Breakfast at Tiffany's</v>
      </c>
      <c r="J3982" s="5" t="str">
        <f>IFERROR(__xludf.DUMMYFUNCTION("""COMPUTED_VALUE"""),"Audrey Hepburn")</f>
        <v>Audrey Hepburn</v>
      </c>
      <c r="K3982" s="5" t="str">
        <f>IFERROR(__xludf.DUMMYFUNCTION("""COMPUTED_VALUE"""),"Estrela 1")</f>
        <v>Estrela 1</v>
      </c>
      <c r="P3982" s="5">
        <f>IFERROR(__xludf.DUMMYFUNCTION("""COMPUTED_VALUE"""),996.0)</f>
        <v>996</v>
      </c>
      <c r="Q3982" s="5" t="str">
        <f>IFERROR(__xludf.DUMMYFUNCTION("""COMPUTED_VALUE"""),"Breakfast at Tiffany's")</f>
        <v>Breakfast at Tiffany's</v>
      </c>
      <c r="R3982" s="5" t="str">
        <f>IFERROR(__xludf.DUMMYFUNCTION("""COMPUTED_VALUE"""),"Audrey Hepburn")</f>
        <v>Audrey Hepburn</v>
      </c>
      <c r="S3982" s="5" t="str">
        <f>IFERROR(__xludf.DUMMYFUNCTION("""COMPUTED_VALUE"""),"Estrela 1")</f>
        <v>Estrela 1</v>
      </c>
    </row>
    <row r="3983">
      <c r="G3983" s="5" t="str">
        <f>IFERROR(__xludf.DUMMYFUNCTION("""COMPUTED_VALUE"""),"996🤙🏼Breakfast at Tiffany's🤙🏼George Peppard🤙🏼Estrela 2")</f>
        <v>996🤙🏼Breakfast at Tiffany's🤙🏼George Peppard🤙🏼Estrela 2</v>
      </c>
      <c r="H3983" s="5">
        <f>IFERROR(__xludf.DUMMYFUNCTION("SPLiT(G3983, ""🤙🏼"",FALSE,FALSE)"),996.0)</f>
        <v>996</v>
      </c>
      <c r="I3983" s="5" t="str">
        <f>IFERROR(__xludf.DUMMYFUNCTION("""COMPUTED_VALUE"""),"Breakfast at Tiffany's")</f>
        <v>Breakfast at Tiffany's</v>
      </c>
      <c r="J3983" s="5" t="str">
        <f>IFERROR(__xludf.DUMMYFUNCTION("""COMPUTED_VALUE"""),"George Peppard")</f>
        <v>George Peppard</v>
      </c>
      <c r="K3983" s="5" t="str">
        <f>IFERROR(__xludf.DUMMYFUNCTION("""COMPUTED_VALUE"""),"Estrela 2")</f>
        <v>Estrela 2</v>
      </c>
      <c r="P3983" s="5">
        <f>IFERROR(__xludf.DUMMYFUNCTION("""COMPUTED_VALUE"""),996.0)</f>
        <v>996</v>
      </c>
      <c r="Q3983" s="5" t="str">
        <f>IFERROR(__xludf.DUMMYFUNCTION("""COMPUTED_VALUE"""),"Breakfast at Tiffany's")</f>
        <v>Breakfast at Tiffany's</v>
      </c>
      <c r="R3983" s="5" t="str">
        <f>IFERROR(__xludf.DUMMYFUNCTION("""COMPUTED_VALUE"""),"George Peppard")</f>
        <v>George Peppard</v>
      </c>
      <c r="S3983" s="5" t="str">
        <f>IFERROR(__xludf.DUMMYFUNCTION("""COMPUTED_VALUE"""),"Estrela 2")</f>
        <v>Estrela 2</v>
      </c>
    </row>
    <row r="3984">
      <c r="G3984" s="5" t="str">
        <f>IFERROR(__xludf.DUMMYFUNCTION("""COMPUTED_VALUE"""),"996🤙🏼Breakfast at Tiffany's🤙🏼Patricia Neal🤙🏼Estrela 3")</f>
        <v>996🤙🏼Breakfast at Tiffany's🤙🏼Patricia Neal🤙🏼Estrela 3</v>
      </c>
      <c r="H3984" s="5">
        <f>IFERROR(__xludf.DUMMYFUNCTION("SPLiT(G3984, ""🤙🏼"",FALSE,FALSE)"),996.0)</f>
        <v>996</v>
      </c>
      <c r="I3984" s="5" t="str">
        <f>IFERROR(__xludf.DUMMYFUNCTION("""COMPUTED_VALUE"""),"Breakfast at Tiffany's")</f>
        <v>Breakfast at Tiffany's</v>
      </c>
      <c r="J3984" s="5" t="str">
        <f>IFERROR(__xludf.DUMMYFUNCTION("""COMPUTED_VALUE"""),"Patricia Neal")</f>
        <v>Patricia Neal</v>
      </c>
      <c r="K3984" s="5" t="str">
        <f>IFERROR(__xludf.DUMMYFUNCTION("""COMPUTED_VALUE"""),"Estrela 3")</f>
        <v>Estrela 3</v>
      </c>
      <c r="P3984" s="5">
        <f>IFERROR(__xludf.DUMMYFUNCTION("""COMPUTED_VALUE"""),996.0)</f>
        <v>996</v>
      </c>
      <c r="Q3984" s="5" t="str">
        <f>IFERROR(__xludf.DUMMYFUNCTION("""COMPUTED_VALUE"""),"Breakfast at Tiffany's")</f>
        <v>Breakfast at Tiffany's</v>
      </c>
      <c r="R3984" s="5" t="str">
        <f>IFERROR(__xludf.DUMMYFUNCTION("""COMPUTED_VALUE"""),"Patricia Neal")</f>
        <v>Patricia Neal</v>
      </c>
      <c r="S3984" s="5" t="str">
        <f>IFERROR(__xludf.DUMMYFUNCTION("""COMPUTED_VALUE"""),"Estrela 3")</f>
        <v>Estrela 3</v>
      </c>
    </row>
    <row r="3985">
      <c r="G3985" s="5" t="str">
        <f>IFERROR(__xludf.DUMMYFUNCTION("""COMPUTED_VALUE"""),"996🤙🏼Breakfast at Tiffany's🤙🏼Buddy Ebsen🤙🏼Estrela 4")</f>
        <v>996🤙🏼Breakfast at Tiffany's🤙🏼Buddy Ebsen🤙🏼Estrela 4</v>
      </c>
      <c r="H3985" s="5">
        <f>IFERROR(__xludf.DUMMYFUNCTION("SPLiT(G3985, ""🤙🏼"",FALSE,FALSE)"),996.0)</f>
        <v>996</v>
      </c>
      <c r="I3985" s="5" t="str">
        <f>IFERROR(__xludf.DUMMYFUNCTION("""COMPUTED_VALUE"""),"Breakfast at Tiffany's")</f>
        <v>Breakfast at Tiffany's</v>
      </c>
      <c r="J3985" s="5" t="str">
        <f>IFERROR(__xludf.DUMMYFUNCTION("""COMPUTED_VALUE"""),"Buddy Ebsen")</f>
        <v>Buddy Ebsen</v>
      </c>
      <c r="K3985" s="5" t="str">
        <f>IFERROR(__xludf.DUMMYFUNCTION("""COMPUTED_VALUE"""),"Estrela 4")</f>
        <v>Estrela 4</v>
      </c>
      <c r="P3985" s="5">
        <f>IFERROR(__xludf.DUMMYFUNCTION("""COMPUTED_VALUE"""),996.0)</f>
        <v>996</v>
      </c>
      <c r="Q3985" s="5" t="str">
        <f>IFERROR(__xludf.DUMMYFUNCTION("""COMPUTED_VALUE"""),"Breakfast at Tiffany's")</f>
        <v>Breakfast at Tiffany's</v>
      </c>
      <c r="R3985" s="5" t="str">
        <f>IFERROR(__xludf.DUMMYFUNCTION("""COMPUTED_VALUE"""),"Buddy Ebsen")</f>
        <v>Buddy Ebsen</v>
      </c>
      <c r="S3985" s="5" t="str">
        <f>IFERROR(__xludf.DUMMYFUNCTION("""COMPUTED_VALUE"""),"Estrela 4")</f>
        <v>Estrela 4</v>
      </c>
    </row>
    <row r="3986">
      <c r="G3986" s="5" t="str">
        <f>IFERROR(__xludf.DUMMYFUNCTION("""COMPUTED_VALUE"""),"997🤙🏼Giant🤙🏼Elizabeth Taylor🤙🏼Estrela 1")</f>
        <v>997🤙🏼Giant🤙🏼Elizabeth Taylor🤙🏼Estrela 1</v>
      </c>
      <c r="H3986" s="5">
        <f>IFERROR(__xludf.DUMMYFUNCTION("SPLiT(G3986, ""🤙🏼"",FALSE,FALSE)"),997.0)</f>
        <v>997</v>
      </c>
      <c r="I3986" s="5" t="str">
        <f>IFERROR(__xludf.DUMMYFUNCTION("""COMPUTED_VALUE"""),"Giant")</f>
        <v>Giant</v>
      </c>
      <c r="J3986" s="5" t="str">
        <f>IFERROR(__xludf.DUMMYFUNCTION("""COMPUTED_VALUE"""),"Elizabeth Taylor")</f>
        <v>Elizabeth Taylor</v>
      </c>
      <c r="K3986" s="5" t="str">
        <f>IFERROR(__xludf.DUMMYFUNCTION("""COMPUTED_VALUE"""),"Estrela 1")</f>
        <v>Estrela 1</v>
      </c>
      <c r="P3986" s="5">
        <f>IFERROR(__xludf.DUMMYFUNCTION("""COMPUTED_VALUE"""),997.0)</f>
        <v>997</v>
      </c>
      <c r="Q3986" s="5" t="str">
        <f>IFERROR(__xludf.DUMMYFUNCTION("""COMPUTED_VALUE"""),"Giant")</f>
        <v>Giant</v>
      </c>
      <c r="R3986" s="5" t="str">
        <f>IFERROR(__xludf.DUMMYFUNCTION("""COMPUTED_VALUE"""),"Elizabeth Taylor")</f>
        <v>Elizabeth Taylor</v>
      </c>
      <c r="S3986" s="5" t="str">
        <f>IFERROR(__xludf.DUMMYFUNCTION("""COMPUTED_VALUE"""),"Estrela 1")</f>
        <v>Estrela 1</v>
      </c>
    </row>
    <row r="3987">
      <c r="G3987" s="5" t="str">
        <f>IFERROR(__xludf.DUMMYFUNCTION("""COMPUTED_VALUE"""),"997🤙🏼Giant🤙🏼Rock Hudson🤙🏼Estrela 2")</f>
        <v>997🤙🏼Giant🤙🏼Rock Hudson🤙🏼Estrela 2</v>
      </c>
      <c r="H3987" s="5">
        <f>IFERROR(__xludf.DUMMYFUNCTION("SPLiT(G3987, ""🤙🏼"",FALSE,FALSE)"),997.0)</f>
        <v>997</v>
      </c>
      <c r="I3987" s="5" t="str">
        <f>IFERROR(__xludf.DUMMYFUNCTION("""COMPUTED_VALUE"""),"Giant")</f>
        <v>Giant</v>
      </c>
      <c r="J3987" s="5" t="str">
        <f>IFERROR(__xludf.DUMMYFUNCTION("""COMPUTED_VALUE"""),"Rock Hudson")</f>
        <v>Rock Hudson</v>
      </c>
      <c r="K3987" s="5" t="str">
        <f>IFERROR(__xludf.DUMMYFUNCTION("""COMPUTED_VALUE"""),"Estrela 2")</f>
        <v>Estrela 2</v>
      </c>
      <c r="P3987" s="5">
        <f>IFERROR(__xludf.DUMMYFUNCTION("""COMPUTED_VALUE"""),997.0)</f>
        <v>997</v>
      </c>
      <c r="Q3987" s="5" t="str">
        <f>IFERROR(__xludf.DUMMYFUNCTION("""COMPUTED_VALUE"""),"Giant")</f>
        <v>Giant</v>
      </c>
      <c r="R3987" s="5" t="str">
        <f>IFERROR(__xludf.DUMMYFUNCTION("""COMPUTED_VALUE"""),"Rock Hudson")</f>
        <v>Rock Hudson</v>
      </c>
      <c r="S3987" s="5" t="str">
        <f>IFERROR(__xludf.DUMMYFUNCTION("""COMPUTED_VALUE"""),"Estrela 2")</f>
        <v>Estrela 2</v>
      </c>
    </row>
    <row r="3988">
      <c r="G3988" s="5" t="str">
        <f>IFERROR(__xludf.DUMMYFUNCTION("""COMPUTED_VALUE"""),"997🤙🏼Giant🤙🏼James Dean🤙🏼Estrela 3")</f>
        <v>997🤙🏼Giant🤙🏼James Dean🤙🏼Estrela 3</v>
      </c>
      <c r="H3988" s="5">
        <f>IFERROR(__xludf.DUMMYFUNCTION("SPLiT(G3988, ""🤙🏼"",FALSE,FALSE)"),997.0)</f>
        <v>997</v>
      </c>
      <c r="I3988" s="5" t="str">
        <f>IFERROR(__xludf.DUMMYFUNCTION("""COMPUTED_VALUE"""),"Giant")</f>
        <v>Giant</v>
      </c>
      <c r="J3988" s="5" t="str">
        <f>IFERROR(__xludf.DUMMYFUNCTION("""COMPUTED_VALUE"""),"James Dean")</f>
        <v>James Dean</v>
      </c>
      <c r="K3988" s="5" t="str">
        <f>IFERROR(__xludf.DUMMYFUNCTION("""COMPUTED_VALUE"""),"Estrela 3")</f>
        <v>Estrela 3</v>
      </c>
      <c r="P3988" s="5">
        <f>IFERROR(__xludf.DUMMYFUNCTION("""COMPUTED_VALUE"""),997.0)</f>
        <v>997</v>
      </c>
      <c r="Q3988" s="5" t="str">
        <f>IFERROR(__xludf.DUMMYFUNCTION("""COMPUTED_VALUE"""),"Giant")</f>
        <v>Giant</v>
      </c>
      <c r="R3988" s="5" t="str">
        <f>IFERROR(__xludf.DUMMYFUNCTION("""COMPUTED_VALUE"""),"James Dean")</f>
        <v>James Dean</v>
      </c>
      <c r="S3988" s="5" t="str">
        <f>IFERROR(__xludf.DUMMYFUNCTION("""COMPUTED_VALUE"""),"Estrela 3")</f>
        <v>Estrela 3</v>
      </c>
    </row>
    <row r="3989">
      <c r="G3989" s="5" t="str">
        <f>IFERROR(__xludf.DUMMYFUNCTION("""COMPUTED_VALUE"""),"997🤙🏼Giant🤙🏼Carroll Baker🤙🏼Estrela 4")</f>
        <v>997🤙🏼Giant🤙🏼Carroll Baker🤙🏼Estrela 4</v>
      </c>
      <c r="H3989" s="5">
        <f>IFERROR(__xludf.DUMMYFUNCTION("SPLiT(G3989, ""🤙🏼"",FALSE,FALSE)"),997.0)</f>
        <v>997</v>
      </c>
      <c r="I3989" s="5" t="str">
        <f>IFERROR(__xludf.DUMMYFUNCTION("""COMPUTED_VALUE"""),"Giant")</f>
        <v>Giant</v>
      </c>
      <c r="J3989" s="5" t="str">
        <f>IFERROR(__xludf.DUMMYFUNCTION("""COMPUTED_VALUE"""),"Carroll Baker")</f>
        <v>Carroll Baker</v>
      </c>
      <c r="K3989" s="5" t="str">
        <f>IFERROR(__xludf.DUMMYFUNCTION("""COMPUTED_VALUE"""),"Estrela 4")</f>
        <v>Estrela 4</v>
      </c>
      <c r="P3989" s="5">
        <f>IFERROR(__xludf.DUMMYFUNCTION("""COMPUTED_VALUE"""),997.0)</f>
        <v>997</v>
      </c>
      <c r="Q3989" s="5" t="str">
        <f>IFERROR(__xludf.DUMMYFUNCTION("""COMPUTED_VALUE"""),"Giant")</f>
        <v>Giant</v>
      </c>
      <c r="R3989" s="5" t="str">
        <f>IFERROR(__xludf.DUMMYFUNCTION("""COMPUTED_VALUE"""),"Carroll Baker")</f>
        <v>Carroll Baker</v>
      </c>
      <c r="S3989" s="5" t="str">
        <f>IFERROR(__xludf.DUMMYFUNCTION("""COMPUTED_VALUE"""),"Estrela 4")</f>
        <v>Estrela 4</v>
      </c>
    </row>
    <row r="3990">
      <c r="G3990" s="5" t="str">
        <f>IFERROR(__xludf.DUMMYFUNCTION("""COMPUTED_VALUE"""),"998🤙🏼From Here to Eternity🤙🏼Burt Lancaster🤙🏼Estrela 1")</f>
        <v>998🤙🏼From Here to Eternity🤙🏼Burt Lancaster🤙🏼Estrela 1</v>
      </c>
      <c r="H3990" s="5">
        <f>IFERROR(__xludf.DUMMYFUNCTION("SPLiT(G3990, ""🤙🏼"",FALSE,FALSE)"),998.0)</f>
        <v>998</v>
      </c>
      <c r="I3990" s="5" t="str">
        <f>IFERROR(__xludf.DUMMYFUNCTION("""COMPUTED_VALUE"""),"From Here to Eternity")</f>
        <v>From Here to Eternity</v>
      </c>
      <c r="J3990" s="5" t="str">
        <f>IFERROR(__xludf.DUMMYFUNCTION("""COMPUTED_VALUE"""),"Burt Lancaster")</f>
        <v>Burt Lancaster</v>
      </c>
      <c r="K3990" s="5" t="str">
        <f>IFERROR(__xludf.DUMMYFUNCTION("""COMPUTED_VALUE"""),"Estrela 1")</f>
        <v>Estrela 1</v>
      </c>
      <c r="P3990" s="5">
        <f>IFERROR(__xludf.DUMMYFUNCTION("""COMPUTED_VALUE"""),998.0)</f>
        <v>998</v>
      </c>
      <c r="Q3990" s="5" t="str">
        <f>IFERROR(__xludf.DUMMYFUNCTION("""COMPUTED_VALUE"""),"From Here to Eternity")</f>
        <v>From Here to Eternity</v>
      </c>
      <c r="R3990" s="5" t="str">
        <f>IFERROR(__xludf.DUMMYFUNCTION("""COMPUTED_VALUE"""),"Burt Lancaster")</f>
        <v>Burt Lancaster</v>
      </c>
      <c r="S3990" s="5" t="str">
        <f>IFERROR(__xludf.DUMMYFUNCTION("""COMPUTED_VALUE"""),"Estrela 1")</f>
        <v>Estrela 1</v>
      </c>
    </row>
    <row r="3991">
      <c r="G3991" s="5" t="str">
        <f>IFERROR(__xludf.DUMMYFUNCTION("""COMPUTED_VALUE"""),"998🤙🏼From Here to Eternity🤙🏼Montgomery Clift🤙🏼Estrela 2")</f>
        <v>998🤙🏼From Here to Eternity🤙🏼Montgomery Clift🤙🏼Estrela 2</v>
      </c>
      <c r="H3991" s="5">
        <f>IFERROR(__xludf.DUMMYFUNCTION("SPLiT(G3991, ""🤙🏼"",FALSE,FALSE)"),998.0)</f>
        <v>998</v>
      </c>
      <c r="I3991" s="5" t="str">
        <f>IFERROR(__xludf.DUMMYFUNCTION("""COMPUTED_VALUE"""),"From Here to Eternity")</f>
        <v>From Here to Eternity</v>
      </c>
      <c r="J3991" s="5" t="str">
        <f>IFERROR(__xludf.DUMMYFUNCTION("""COMPUTED_VALUE"""),"Montgomery Clift")</f>
        <v>Montgomery Clift</v>
      </c>
      <c r="K3991" s="5" t="str">
        <f>IFERROR(__xludf.DUMMYFUNCTION("""COMPUTED_VALUE"""),"Estrela 2")</f>
        <v>Estrela 2</v>
      </c>
      <c r="P3991" s="5">
        <f>IFERROR(__xludf.DUMMYFUNCTION("""COMPUTED_VALUE"""),998.0)</f>
        <v>998</v>
      </c>
      <c r="Q3991" s="5" t="str">
        <f>IFERROR(__xludf.DUMMYFUNCTION("""COMPUTED_VALUE"""),"From Here to Eternity")</f>
        <v>From Here to Eternity</v>
      </c>
      <c r="R3991" s="5" t="str">
        <f>IFERROR(__xludf.DUMMYFUNCTION("""COMPUTED_VALUE"""),"Montgomery Clift")</f>
        <v>Montgomery Clift</v>
      </c>
      <c r="S3991" s="5" t="str">
        <f>IFERROR(__xludf.DUMMYFUNCTION("""COMPUTED_VALUE"""),"Estrela 2")</f>
        <v>Estrela 2</v>
      </c>
    </row>
    <row r="3992">
      <c r="G3992" s="5" t="str">
        <f>IFERROR(__xludf.DUMMYFUNCTION("""COMPUTED_VALUE"""),"998🤙🏼From Here to Eternity🤙🏼Deborah Kerr🤙🏼Estrela 3")</f>
        <v>998🤙🏼From Here to Eternity🤙🏼Deborah Kerr🤙🏼Estrela 3</v>
      </c>
      <c r="H3992" s="5">
        <f>IFERROR(__xludf.DUMMYFUNCTION("SPLiT(G3992, ""🤙🏼"",FALSE,FALSE)"),998.0)</f>
        <v>998</v>
      </c>
      <c r="I3992" s="5" t="str">
        <f>IFERROR(__xludf.DUMMYFUNCTION("""COMPUTED_VALUE"""),"From Here to Eternity")</f>
        <v>From Here to Eternity</v>
      </c>
      <c r="J3992" s="5" t="str">
        <f>IFERROR(__xludf.DUMMYFUNCTION("""COMPUTED_VALUE"""),"Deborah Kerr")</f>
        <v>Deborah Kerr</v>
      </c>
      <c r="K3992" s="5" t="str">
        <f>IFERROR(__xludf.DUMMYFUNCTION("""COMPUTED_VALUE"""),"Estrela 3")</f>
        <v>Estrela 3</v>
      </c>
      <c r="P3992" s="5">
        <f>IFERROR(__xludf.DUMMYFUNCTION("""COMPUTED_VALUE"""),998.0)</f>
        <v>998</v>
      </c>
      <c r="Q3992" s="5" t="str">
        <f>IFERROR(__xludf.DUMMYFUNCTION("""COMPUTED_VALUE"""),"From Here to Eternity")</f>
        <v>From Here to Eternity</v>
      </c>
      <c r="R3992" s="5" t="str">
        <f>IFERROR(__xludf.DUMMYFUNCTION("""COMPUTED_VALUE"""),"Deborah Kerr")</f>
        <v>Deborah Kerr</v>
      </c>
      <c r="S3992" s="5" t="str">
        <f>IFERROR(__xludf.DUMMYFUNCTION("""COMPUTED_VALUE"""),"Estrela 3")</f>
        <v>Estrela 3</v>
      </c>
    </row>
    <row r="3993">
      <c r="G3993" s="5" t="str">
        <f>IFERROR(__xludf.DUMMYFUNCTION("""COMPUTED_VALUE"""),"998🤙🏼From Here to Eternity🤙🏼Donna Reed🤙🏼Estrela 4")</f>
        <v>998🤙🏼From Here to Eternity🤙🏼Donna Reed🤙🏼Estrela 4</v>
      </c>
      <c r="H3993" s="5">
        <f>IFERROR(__xludf.DUMMYFUNCTION("SPLiT(G3993, ""🤙🏼"",FALSE,FALSE)"),998.0)</f>
        <v>998</v>
      </c>
      <c r="I3993" s="5" t="str">
        <f>IFERROR(__xludf.DUMMYFUNCTION("""COMPUTED_VALUE"""),"From Here to Eternity")</f>
        <v>From Here to Eternity</v>
      </c>
      <c r="J3993" s="5" t="str">
        <f>IFERROR(__xludf.DUMMYFUNCTION("""COMPUTED_VALUE"""),"Donna Reed")</f>
        <v>Donna Reed</v>
      </c>
      <c r="K3993" s="5" t="str">
        <f>IFERROR(__xludf.DUMMYFUNCTION("""COMPUTED_VALUE"""),"Estrela 4")</f>
        <v>Estrela 4</v>
      </c>
      <c r="P3993" s="5">
        <f>IFERROR(__xludf.DUMMYFUNCTION("""COMPUTED_VALUE"""),998.0)</f>
        <v>998</v>
      </c>
      <c r="Q3993" s="5" t="str">
        <f>IFERROR(__xludf.DUMMYFUNCTION("""COMPUTED_VALUE"""),"From Here to Eternity")</f>
        <v>From Here to Eternity</v>
      </c>
      <c r="R3993" s="5" t="str">
        <f>IFERROR(__xludf.DUMMYFUNCTION("""COMPUTED_VALUE"""),"Donna Reed")</f>
        <v>Donna Reed</v>
      </c>
      <c r="S3993" s="5" t="str">
        <f>IFERROR(__xludf.DUMMYFUNCTION("""COMPUTED_VALUE"""),"Estrela 4")</f>
        <v>Estrela 4</v>
      </c>
    </row>
    <row r="3994">
      <c r="G3994" s="5" t="str">
        <f>IFERROR(__xludf.DUMMYFUNCTION("""COMPUTED_VALUE"""),"999🤙🏼Lifeboat🤙🏼Tallulah Bankhead🤙🏼Estrela 1")</f>
        <v>999🤙🏼Lifeboat🤙🏼Tallulah Bankhead🤙🏼Estrela 1</v>
      </c>
      <c r="H3994" s="5">
        <f>IFERROR(__xludf.DUMMYFUNCTION("SPLiT(G3994, ""🤙🏼"",FALSE,FALSE)"),999.0)</f>
        <v>999</v>
      </c>
      <c r="I3994" s="5" t="str">
        <f>IFERROR(__xludf.DUMMYFUNCTION("""COMPUTED_VALUE"""),"Lifeboat")</f>
        <v>Lifeboat</v>
      </c>
      <c r="J3994" s="5" t="str">
        <f>IFERROR(__xludf.DUMMYFUNCTION("""COMPUTED_VALUE"""),"Tallulah Bankhead")</f>
        <v>Tallulah Bankhead</v>
      </c>
      <c r="K3994" s="5" t="str">
        <f>IFERROR(__xludf.DUMMYFUNCTION("""COMPUTED_VALUE"""),"Estrela 1")</f>
        <v>Estrela 1</v>
      </c>
      <c r="P3994" s="5">
        <f>IFERROR(__xludf.DUMMYFUNCTION("""COMPUTED_VALUE"""),999.0)</f>
        <v>999</v>
      </c>
      <c r="Q3994" s="5" t="str">
        <f>IFERROR(__xludf.DUMMYFUNCTION("""COMPUTED_VALUE"""),"Lifeboat")</f>
        <v>Lifeboat</v>
      </c>
      <c r="R3994" s="5" t="str">
        <f>IFERROR(__xludf.DUMMYFUNCTION("""COMPUTED_VALUE"""),"Tallulah Bankhead")</f>
        <v>Tallulah Bankhead</v>
      </c>
      <c r="S3994" s="5" t="str">
        <f>IFERROR(__xludf.DUMMYFUNCTION("""COMPUTED_VALUE"""),"Estrela 1")</f>
        <v>Estrela 1</v>
      </c>
    </row>
    <row r="3995">
      <c r="G3995" s="5" t="str">
        <f>IFERROR(__xludf.DUMMYFUNCTION("""COMPUTED_VALUE"""),"999🤙🏼Lifeboat🤙🏼John Hodiak🤙🏼Estrela 2")</f>
        <v>999🤙🏼Lifeboat🤙🏼John Hodiak🤙🏼Estrela 2</v>
      </c>
      <c r="H3995" s="5">
        <f>IFERROR(__xludf.DUMMYFUNCTION("SPLiT(G3995, ""🤙🏼"",FALSE,FALSE)"),999.0)</f>
        <v>999</v>
      </c>
      <c r="I3995" s="5" t="str">
        <f>IFERROR(__xludf.DUMMYFUNCTION("""COMPUTED_VALUE"""),"Lifeboat")</f>
        <v>Lifeboat</v>
      </c>
      <c r="J3995" s="5" t="str">
        <f>IFERROR(__xludf.DUMMYFUNCTION("""COMPUTED_VALUE"""),"John Hodiak")</f>
        <v>John Hodiak</v>
      </c>
      <c r="K3995" s="5" t="str">
        <f>IFERROR(__xludf.DUMMYFUNCTION("""COMPUTED_VALUE"""),"Estrela 2")</f>
        <v>Estrela 2</v>
      </c>
      <c r="P3995" s="5">
        <f>IFERROR(__xludf.DUMMYFUNCTION("""COMPUTED_VALUE"""),999.0)</f>
        <v>999</v>
      </c>
      <c r="Q3995" s="5" t="str">
        <f>IFERROR(__xludf.DUMMYFUNCTION("""COMPUTED_VALUE"""),"Lifeboat")</f>
        <v>Lifeboat</v>
      </c>
      <c r="R3995" s="5" t="str">
        <f>IFERROR(__xludf.DUMMYFUNCTION("""COMPUTED_VALUE"""),"John Hodiak")</f>
        <v>John Hodiak</v>
      </c>
      <c r="S3995" s="5" t="str">
        <f>IFERROR(__xludf.DUMMYFUNCTION("""COMPUTED_VALUE"""),"Estrela 2")</f>
        <v>Estrela 2</v>
      </c>
    </row>
    <row r="3996">
      <c r="G3996" s="5" t="str">
        <f>IFERROR(__xludf.DUMMYFUNCTION("""COMPUTED_VALUE"""),"999🤙🏼Lifeboat🤙🏼Walter Slezak🤙🏼Estrela 3")</f>
        <v>999🤙🏼Lifeboat🤙🏼Walter Slezak🤙🏼Estrela 3</v>
      </c>
      <c r="H3996" s="5">
        <f>IFERROR(__xludf.DUMMYFUNCTION("SPLiT(G3996, ""🤙🏼"",FALSE,FALSE)"),999.0)</f>
        <v>999</v>
      </c>
      <c r="I3996" s="5" t="str">
        <f>IFERROR(__xludf.DUMMYFUNCTION("""COMPUTED_VALUE"""),"Lifeboat")</f>
        <v>Lifeboat</v>
      </c>
      <c r="J3996" s="5" t="str">
        <f>IFERROR(__xludf.DUMMYFUNCTION("""COMPUTED_VALUE"""),"Walter Slezak")</f>
        <v>Walter Slezak</v>
      </c>
      <c r="K3996" s="5" t="str">
        <f>IFERROR(__xludf.DUMMYFUNCTION("""COMPUTED_VALUE"""),"Estrela 3")</f>
        <v>Estrela 3</v>
      </c>
      <c r="P3996" s="5">
        <f>IFERROR(__xludf.DUMMYFUNCTION("""COMPUTED_VALUE"""),999.0)</f>
        <v>999</v>
      </c>
      <c r="Q3996" s="5" t="str">
        <f>IFERROR(__xludf.DUMMYFUNCTION("""COMPUTED_VALUE"""),"Lifeboat")</f>
        <v>Lifeboat</v>
      </c>
      <c r="R3996" s="5" t="str">
        <f>IFERROR(__xludf.DUMMYFUNCTION("""COMPUTED_VALUE"""),"Walter Slezak")</f>
        <v>Walter Slezak</v>
      </c>
      <c r="S3996" s="5" t="str">
        <f>IFERROR(__xludf.DUMMYFUNCTION("""COMPUTED_VALUE"""),"Estrela 3")</f>
        <v>Estrela 3</v>
      </c>
    </row>
    <row r="3997">
      <c r="G3997" s="5" t="str">
        <f>IFERROR(__xludf.DUMMYFUNCTION("""COMPUTED_VALUE"""),"999🤙🏼Lifeboat🤙🏼William Bendix🤙🏼Estrela 4")</f>
        <v>999🤙🏼Lifeboat🤙🏼William Bendix🤙🏼Estrela 4</v>
      </c>
      <c r="H3997" s="5">
        <f>IFERROR(__xludf.DUMMYFUNCTION("SPLiT(G3997, ""🤙🏼"",FALSE,FALSE)"),999.0)</f>
        <v>999</v>
      </c>
      <c r="I3997" s="5" t="str">
        <f>IFERROR(__xludf.DUMMYFUNCTION("""COMPUTED_VALUE"""),"Lifeboat")</f>
        <v>Lifeboat</v>
      </c>
      <c r="J3997" s="5" t="str">
        <f>IFERROR(__xludf.DUMMYFUNCTION("""COMPUTED_VALUE"""),"William Bendix")</f>
        <v>William Bendix</v>
      </c>
      <c r="K3997" s="5" t="str">
        <f>IFERROR(__xludf.DUMMYFUNCTION("""COMPUTED_VALUE"""),"Estrela 4")</f>
        <v>Estrela 4</v>
      </c>
      <c r="P3997" s="5">
        <f>IFERROR(__xludf.DUMMYFUNCTION("""COMPUTED_VALUE"""),999.0)</f>
        <v>999</v>
      </c>
      <c r="Q3997" s="5" t="str">
        <f>IFERROR(__xludf.DUMMYFUNCTION("""COMPUTED_VALUE"""),"Lifeboat")</f>
        <v>Lifeboat</v>
      </c>
      <c r="R3997" s="5" t="str">
        <f>IFERROR(__xludf.DUMMYFUNCTION("""COMPUTED_VALUE"""),"William Bendix")</f>
        <v>William Bendix</v>
      </c>
      <c r="S3997" s="5" t="str">
        <f>IFERROR(__xludf.DUMMYFUNCTION("""COMPUTED_VALUE"""),"Estrela 4")</f>
        <v>Estrela 4</v>
      </c>
    </row>
    <row r="3998">
      <c r="G3998" s="5" t="str">
        <f>IFERROR(__xludf.DUMMYFUNCTION("""COMPUTED_VALUE"""),"1000🤙🏼The 39 Steps🤙🏼Robert Donat🤙🏼Estrela 1")</f>
        <v>1000🤙🏼The 39 Steps🤙🏼Robert Donat🤙🏼Estrela 1</v>
      </c>
      <c r="H3998" s="5">
        <f>IFERROR(__xludf.DUMMYFUNCTION("SPLiT(G3998, ""🤙🏼"",FALSE,FALSE)"),1000.0)</f>
        <v>1000</v>
      </c>
      <c r="I3998" s="5" t="str">
        <f>IFERROR(__xludf.DUMMYFUNCTION("""COMPUTED_VALUE"""),"The 39 Steps")</f>
        <v>The 39 Steps</v>
      </c>
      <c r="J3998" s="5" t="str">
        <f>IFERROR(__xludf.DUMMYFUNCTION("""COMPUTED_VALUE"""),"Robert Donat")</f>
        <v>Robert Donat</v>
      </c>
      <c r="K3998" s="5" t="str">
        <f>IFERROR(__xludf.DUMMYFUNCTION("""COMPUTED_VALUE"""),"Estrela 1")</f>
        <v>Estrela 1</v>
      </c>
      <c r="P3998" s="5">
        <f>IFERROR(__xludf.DUMMYFUNCTION("""COMPUTED_VALUE"""),1000.0)</f>
        <v>1000</v>
      </c>
      <c r="Q3998" s="5" t="str">
        <f>IFERROR(__xludf.DUMMYFUNCTION("""COMPUTED_VALUE"""),"The 39 Steps")</f>
        <v>The 39 Steps</v>
      </c>
      <c r="R3998" s="5" t="str">
        <f>IFERROR(__xludf.DUMMYFUNCTION("""COMPUTED_VALUE"""),"Robert Donat")</f>
        <v>Robert Donat</v>
      </c>
      <c r="S3998" s="5" t="str">
        <f>IFERROR(__xludf.DUMMYFUNCTION("""COMPUTED_VALUE"""),"Estrela 1")</f>
        <v>Estrela 1</v>
      </c>
    </row>
    <row r="3999">
      <c r="G3999" s="5" t="str">
        <f>IFERROR(__xludf.DUMMYFUNCTION("""COMPUTED_VALUE"""),"1000🤙🏼The 39 Steps🤙🏼Madeleine Carroll🤙🏼Estrela 2")</f>
        <v>1000🤙🏼The 39 Steps🤙🏼Madeleine Carroll🤙🏼Estrela 2</v>
      </c>
      <c r="H3999" s="5">
        <f>IFERROR(__xludf.DUMMYFUNCTION("SPLiT(G3999, ""🤙🏼"",FALSE,FALSE)"),1000.0)</f>
        <v>1000</v>
      </c>
      <c r="I3999" s="5" t="str">
        <f>IFERROR(__xludf.DUMMYFUNCTION("""COMPUTED_VALUE"""),"The 39 Steps")</f>
        <v>The 39 Steps</v>
      </c>
      <c r="J3999" s="5" t="str">
        <f>IFERROR(__xludf.DUMMYFUNCTION("""COMPUTED_VALUE"""),"Madeleine Carroll")</f>
        <v>Madeleine Carroll</v>
      </c>
      <c r="K3999" s="5" t="str">
        <f>IFERROR(__xludf.DUMMYFUNCTION("""COMPUTED_VALUE"""),"Estrela 2")</f>
        <v>Estrela 2</v>
      </c>
      <c r="P3999" s="5">
        <f>IFERROR(__xludf.DUMMYFUNCTION("""COMPUTED_VALUE"""),1000.0)</f>
        <v>1000</v>
      </c>
      <c r="Q3999" s="5" t="str">
        <f>IFERROR(__xludf.DUMMYFUNCTION("""COMPUTED_VALUE"""),"The 39 Steps")</f>
        <v>The 39 Steps</v>
      </c>
      <c r="R3999" s="5" t="str">
        <f>IFERROR(__xludf.DUMMYFUNCTION("""COMPUTED_VALUE"""),"Madeleine Carroll")</f>
        <v>Madeleine Carroll</v>
      </c>
      <c r="S3999" s="5" t="str">
        <f>IFERROR(__xludf.DUMMYFUNCTION("""COMPUTED_VALUE"""),"Estrela 2")</f>
        <v>Estrela 2</v>
      </c>
    </row>
    <row r="4000">
      <c r="G4000" s="5" t="str">
        <f>IFERROR(__xludf.DUMMYFUNCTION("""COMPUTED_VALUE"""),"1000🤙🏼The 39 Steps🤙🏼Lucie Mannheim🤙🏼Estrela 3")</f>
        <v>1000🤙🏼The 39 Steps🤙🏼Lucie Mannheim🤙🏼Estrela 3</v>
      </c>
      <c r="H4000" s="5">
        <f>IFERROR(__xludf.DUMMYFUNCTION("SPLiT(G4000, ""🤙🏼"",FALSE,FALSE)"),1000.0)</f>
        <v>1000</v>
      </c>
      <c r="I4000" s="5" t="str">
        <f>IFERROR(__xludf.DUMMYFUNCTION("""COMPUTED_VALUE"""),"The 39 Steps")</f>
        <v>The 39 Steps</v>
      </c>
      <c r="J4000" s="5" t="str">
        <f>IFERROR(__xludf.DUMMYFUNCTION("""COMPUTED_VALUE"""),"Lucie Mannheim")</f>
        <v>Lucie Mannheim</v>
      </c>
      <c r="K4000" s="5" t="str">
        <f>IFERROR(__xludf.DUMMYFUNCTION("""COMPUTED_VALUE"""),"Estrela 3")</f>
        <v>Estrela 3</v>
      </c>
      <c r="P4000" s="5">
        <f>IFERROR(__xludf.DUMMYFUNCTION("""COMPUTED_VALUE"""),1000.0)</f>
        <v>1000</v>
      </c>
      <c r="Q4000" s="5" t="str">
        <f>IFERROR(__xludf.DUMMYFUNCTION("""COMPUTED_VALUE"""),"The 39 Steps")</f>
        <v>The 39 Steps</v>
      </c>
      <c r="R4000" s="5" t="str">
        <f>IFERROR(__xludf.DUMMYFUNCTION("""COMPUTED_VALUE"""),"Lucie Mannheim")</f>
        <v>Lucie Mannheim</v>
      </c>
      <c r="S4000" s="5" t="str">
        <f>IFERROR(__xludf.DUMMYFUNCTION("""COMPUTED_VALUE"""),"Estrela 3")</f>
        <v>Estrela 3</v>
      </c>
    </row>
    <row r="4001">
      <c r="G4001" s="5" t="str">
        <f>IFERROR(__xludf.DUMMYFUNCTION("""COMPUTED_VALUE"""),"1000🤙🏼The 39 Steps🤙🏼Godfrey Tearle🤙🏼Estrela 4")</f>
        <v>1000🤙🏼The 39 Steps🤙🏼Godfrey Tearle🤙🏼Estrela 4</v>
      </c>
      <c r="H4001" s="5">
        <f>IFERROR(__xludf.DUMMYFUNCTION("SPLiT(G4001, ""🤙🏼"",FALSE,FALSE)"),1000.0)</f>
        <v>1000</v>
      </c>
      <c r="I4001" s="5" t="str">
        <f>IFERROR(__xludf.DUMMYFUNCTION("""COMPUTED_VALUE"""),"The 39 Steps")</f>
        <v>The 39 Steps</v>
      </c>
      <c r="J4001" s="5" t="str">
        <f>IFERROR(__xludf.DUMMYFUNCTION("""COMPUTED_VALUE"""),"Godfrey Tearle")</f>
        <v>Godfrey Tearle</v>
      </c>
      <c r="K4001" s="5" t="str">
        <f>IFERROR(__xludf.DUMMYFUNCTION("""COMPUTED_VALUE"""),"Estrela 4")</f>
        <v>Estrela 4</v>
      </c>
      <c r="P4001" s="5">
        <f>IFERROR(__xludf.DUMMYFUNCTION("""COMPUTED_VALUE"""),1000.0)</f>
        <v>1000</v>
      </c>
      <c r="Q4001" s="5" t="str">
        <f>IFERROR(__xludf.DUMMYFUNCTION("""COMPUTED_VALUE"""),"The 39 Steps")</f>
        <v>The 39 Steps</v>
      </c>
      <c r="R4001" s="5" t="str">
        <f>IFERROR(__xludf.DUMMYFUNCTION("""COMPUTED_VALUE"""),"Godfrey Tearle")</f>
        <v>Godfrey Tearle</v>
      </c>
      <c r="S4001" s="5" t="str">
        <f>IFERROR(__xludf.DUMMYFUNCTION("""COMPUTED_VALUE"""),"Estrela 4")</f>
        <v>Estrela 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270</v>
      </c>
      <c r="B1" s="10" t="s">
        <v>6646</v>
      </c>
    </row>
    <row r="2">
      <c r="A2" s="1" t="s">
        <v>414</v>
      </c>
      <c r="B2" s="1">
        <v>0.0</v>
      </c>
      <c r="C2" s="1" t="str">
        <f t="shared" ref="C2:C29" si="1">IFS(B2&lt;14, "Criança", B2&lt;18, "Adolescente", B2&lt;99, "Adulto", B2=99, "Desconhecido")</f>
        <v>Criança</v>
      </c>
      <c r="F2" s="5" t="str">
        <f>IFERROR(__xludf.DUMMYFUNCTION("UNIQUE(Filmes_raw!E2:E1001)"),"A")</f>
        <v>A</v>
      </c>
      <c r="G2" s="5">
        <f t="shared" ref="G2:G27" si="2">IFNA(MATCH($F2,A$2:A33,0),FALSE)</f>
        <v>9</v>
      </c>
      <c r="H2" s="5" t="str">
        <f t="shared" ref="H2:H27" si="3">IF(G2, "OK", "-")</f>
        <v>OK</v>
      </c>
    </row>
    <row r="3">
      <c r="A3" s="1" t="s">
        <v>270</v>
      </c>
      <c r="B3" s="1">
        <v>0.0</v>
      </c>
      <c r="C3" s="1" t="str">
        <f t="shared" si="1"/>
        <v>Criança</v>
      </c>
      <c r="F3" s="5" t="str">
        <f>IFERROR(__xludf.DUMMYFUNCTION("""COMPUTED_VALUE"""),"UA")</f>
        <v>UA</v>
      </c>
      <c r="G3" s="5">
        <f t="shared" si="2"/>
        <v>7</v>
      </c>
      <c r="H3" s="5" t="str">
        <f t="shared" si="3"/>
        <v>OK</v>
      </c>
    </row>
    <row r="4">
      <c r="A4" s="1" t="s">
        <v>161</v>
      </c>
      <c r="B4" s="1">
        <v>13.0</v>
      </c>
      <c r="C4" s="1" t="str">
        <f t="shared" si="1"/>
        <v>Criança</v>
      </c>
      <c r="F4" s="5" t="str">
        <f>IFERROR(__xludf.DUMMYFUNCTION("""COMPUTED_VALUE"""),"U")</f>
        <v>U</v>
      </c>
      <c r="G4" s="5">
        <f t="shared" si="2"/>
        <v>6</v>
      </c>
      <c r="H4" s="5" t="str">
        <f t="shared" si="3"/>
        <v>OK</v>
      </c>
    </row>
    <row r="5">
      <c r="A5" s="1" t="s">
        <v>212</v>
      </c>
      <c r="B5" s="1">
        <v>18.0</v>
      </c>
      <c r="C5" s="1" t="str">
        <f t="shared" si="1"/>
        <v>Adulto</v>
      </c>
      <c r="F5" s="5" t="str">
        <f>IFERROR(__xludf.DUMMYFUNCTION("""COMPUTED_VALUE"""),"PG-13")</f>
        <v>PG-13</v>
      </c>
      <c r="G5" s="5">
        <f t="shared" si="2"/>
        <v>3</v>
      </c>
      <c r="H5" s="5" t="str">
        <f t="shared" si="3"/>
        <v>OK</v>
      </c>
    </row>
    <row r="6">
      <c r="A6" s="1" t="s">
        <v>6647</v>
      </c>
      <c r="B6" s="1">
        <v>18.0</v>
      </c>
      <c r="C6" s="1" t="str">
        <f t="shared" si="1"/>
        <v>Adulto</v>
      </c>
      <c r="F6" s="5" t="str">
        <f>IFERROR(__xludf.DUMMYFUNCTION("""COMPUTED_VALUE"""),"R")</f>
        <v>R</v>
      </c>
      <c r="G6" s="5">
        <f t="shared" si="2"/>
        <v>4</v>
      </c>
      <c r="H6" s="5" t="str">
        <f t="shared" si="3"/>
        <v>OK</v>
      </c>
    </row>
    <row r="7">
      <c r="A7" s="1" t="s">
        <v>52</v>
      </c>
      <c r="B7" s="1">
        <v>0.0</v>
      </c>
      <c r="C7" s="1" t="str">
        <f t="shared" si="1"/>
        <v>Criança</v>
      </c>
      <c r="F7" s="5">
        <f>IFERROR(__xludf.DUMMYFUNCTION("""COMPUTED_VALUE"""),16.0)</f>
        <v>16</v>
      </c>
      <c r="G7" s="5">
        <f t="shared" si="2"/>
        <v>17</v>
      </c>
      <c r="H7" s="5" t="str">
        <f t="shared" si="3"/>
        <v>OK</v>
      </c>
    </row>
    <row r="8">
      <c r="A8" s="1" t="s">
        <v>37</v>
      </c>
      <c r="B8" s="1">
        <v>12.0</v>
      </c>
      <c r="C8" s="1" t="str">
        <f t="shared" si="1"/>
        <v>Criança</v>
      </c>
      <c r="F8" s="5" t="str">
        <f>IFERROR(__xludf.DUMMYFUNCTION("""COMPUTED_VALUE"""),"PG")</f>
        <v>PG</v>
      </c>
      <c r="G8" s="5">
        <f t="shared" si="2"/>
        <v>2</v>
      </c>
      <c r="H8" s="5" t="str">
        <f t="shared" si="3"/>
        <v>OK</v>
      </c>
    </row>
    <row r="9">
      <c r="A9" s="1" t="s">
        <v>5051</v>
      </c>
      <c r="B9" s="1">
        <v>12.0</v>
      </c>
      <c r="C9" s="1" t="str">
        <f t="shared" si="1"/>
        <v>Criança</v>
      </c>
      <c r="F9" s="5" t="str">
        <f>IFERROR(__xludf.DUMMYFUNCTION("""COMPUTED_VALUE"""),"G")</f>
        <v>G</v>
      </c>
      <c r="G9" s="5">
        <f t="shared" si="2"/>
        <v>1</v>
      </c>
      <c r="H9" s="5" t="str">
        <f t="shared" si="3"/>
        <v>OK</v>
      </c>
    </row>
    <row r="10">
      <c r="A10" s="1" t="s">
        <v>18</v>
      </c>
      <c r="B10" s="1">
        <v>18.0</v>
      </c>
      <c r="C10" s="1" t="str">
        <f t="shared" si="1"/>
        <v>Adulto</v>
      </c>
      <c r="F10" s="5" t="str">
        <f>IFERROR(__xludf.DUMMYFUNCTION("""COMPUTED_VALUE"""),"Passed")</f>
        <v>Passed</v>
      </c>
      <c r="G10" s="5">
        <f t="shared" si="2"/>
        <v>28</v>
      </c>
      <c r="H10" s="5" t="str">
        <f t="shared" si="3"/>
        <v>OK</v>
      </c>
    </row>
    <row r="11">
      <c r="A11" s="1" t="s">
        <v>6648</v>
      </c>
      <c r="B11" s="1">
        <v>0.0</v>
      </c>
      <c r="C11" s="1" t="str">
        <f t="shared" si="1"/>
        <v>Criança</v>
      </c>
      <c r="F11" s="5" t="str">
        <f>IFERROR(__xludf.DUMMYFUNCTION("""COMPUTED_VALUE"""),"TV-14")</f>
        <v>TV-14</v>
      </c>
      <c r="G11" s="5">
        <f t="shared" si="2"/>
        <v>12</v>
      </c>
      <c r="H11" s="5" t="str">
        <f t="shared" si="3"/>
        <v>OK</v>
      </c>
    </row>
    <row r="12">
      <c r="A12" s="1" t="s">
        <v>2296</v>
      </c>
      <c r="B12" s="1">
        <v>0.0</v>
      </c>
      <c r="C12" s="1" t="str">
        <f t="shared" si="1"/>
        <v>Criança</v>
      </c>
      <c r="F12" s="5">
        <f>IFERROR(__xludf.DUMMYFUNCTION("""COMPUTED_VALUE"""),10.0)</f>
        <v>10</v>
      </c>
      <c r="G12" s="5">
        <f t="shared" si="2"/>
        <v>14</v>
      </c>
      <c r="H12" s="5" t="str">
        <f t="shared" si="3"/>
        <v>OK</v>
      </c>
    </row>
    <row r="13">
      <c r="A13" s="1" t="s">
        <v>694</v>
      </c>
      <c r="B13" s="1">
        <v>14.0</v>
      </c>
      <c r="C13" s="1" t="str">
        <f t="shared" si="1"/>
        <v>Adolescente</v>
      </c>
      <c r="F13" s="5">
        <f>IFERROR(__xludf.DUMMYFUNCTION("""COMPUTED_VALUE"""),12.0)</f>
        <v>12</v>
      </c>
      <c r="G13" s="5">
        <f t="shared" si="2"/>
        <v>15</v>
      </c>
      <c r="H13" s="5" t="str">
        <f t="shared" si="3"/>
        <v>OK</v>
      </c>
    </row>
    <row r="14">
      <c r="A14" s="1" t="s">
        <v>1390</v>
      </c>
      <c r="B14" s="1">
        <v>17.0</v>
      </c>
      <c r="C14" s="1" t="str">
        <f t="shared" si="1"/>
        <v>Adolescente</v>
      </c>
      <c r="F14" s="5">
        <f>IFERROR(__xludf.DUMMYFUNCTION("""COMPUTED_VALUE"""),14.0)</f>
        <v>14</v>
      </c>
      <c r="G14" s="5">
        <f t="shared" si="2"/>
        <v>16</v>
      </c>
      <c r="H14" s="5" t="str">
        <f t="shared" si="3"/>
        <v>OK</v>
      </c>
    </row>
    <row r="15">
      <c r="A15" s="1">
        <v>10.0</v>
      </c>
      <c r="B15" s="1">
        <v>10.0</v>
      </c>
      <c r="C15" s="1" t="str">
        <f t="shared" si="1"/>
        <v>Criança</v>
      </c>
      <c r="F15" s="5" t="str">
        <f>IFERROR(__xludf.DUMMYFUNCTION("""COMPUTED_VALUE"""),"TV-MA")</f>
        <v>TV-MA</v>
      </c>
      <c r="G15" s="5">
        <f t="shared" si="2"/>
        <v>13</v>
      </c>
      <c r="H15" s="5" t="str">
        <f t="shared" si="3"/>
        <v>OK</v>
      </c>
    </row>
    <row r="16">
      <c r="A16" s="1">
        <v>12.0</v>
      </c>
      <c r="B16" s="1">
        <v>12.0</v>
      </c>
      <c r="C16" s="1" t="str">
        <f t="shared" si="1"/>
        <v>Criança</v>
      </c>
      <c r="F16" s="5" t="str">
        <f>IFERROR(__xludf.DUMMYFUNCTION("""COMPUTED_VALUE"""),"Unrated")</f>
        <v>Unrated</v>
      </c>
      <c r="G16" s="5">
        <f t="shared" si="2"/>
        <v>25</v>
      </c>
      <c r="H16" s="5" t="str">
        <f t="shared" si="3"/>
        <v>OK</v>
      </c>
    </row>
    <row r="17">
      <c r="A17" s="1">
        <v>14.0</v>
      </c>
      <c r="B17" s="1">
        <v>14.0</v>
      </c>
      <c r="C17" s="1" t="str">
        <f t="shared" si="1"/>
        <v>Adolescente</v>
      </c>
      <c r="F17" s="5" t="str">
        <f>IFERROR(__xludf.DUMMYFUNCTION("""COMPUTED_VALUE"""),"GP")</f>
        <v>GP</v>
      </c>
      <c r="G17" s="5">
        <f t="shared" si="2"/>
        <v>26</v>
      </c>
      <c r="H17" s="5" t="str">
        <f t="shared" si="3"/>
        <v>OK</v>
      </c>
    </row>
    <row r="18">
      <c r="A18" s="1">
        <v>16.0</v>
      </c>
      <c r="B18" s="1">
        <v>16.0</v>
      </c>
      <c r="C18" s="1" t="str">
        <f t="shared" si="1"/>
        <v>Adolescente</v>
      </c>
      <c r="F18" s="5">
        <f>IFERROR(__xludf.DUMMYFUNCTION("""COMPUTED_VALUE"""),18.0)</f>
        <v>18</v>
      </c>
      <c r="G18" s="5">
        <f t="shared" si="2"/>
        <v>18</v>
      </c>
      <c r="H18" s="5" t="str">
        <f t="shared" si="3"/>
        <v>OK</v>
      </c>
    </row>
    <row r="19">
      <c r="A19" s="1">
        <v>18.0</v>
      </c>
      <c r="B19" s="1">
        <v>18.0</v>
      </c>
      <c r="C19" s="1" t="str">
        <f t="shared" si="1"/>
        <v>Adulto</v>
      </c>
      <c r="F19" s="5" t="str">
        <f>IFERROR(__xludf.DUMMYFUNCTION("""COMPUTED_VALUE"""),"Not Rated")</f>
        <v>Not Rated</v>
      </c>
      <c r="G19" s="5">
        <f t="shared" si="2"/>
        <v>21</v>
      </c>
      <c r="H19" s="5" t="str">
        <f t="shared" si="3"/>
        <v>OK</v>
      </c>
    </row>
    <row r="20">
      <c r="A20" s="1" t="s">
        <v>2097</v>
      </c>
      <c r="B20" s="1">
        <v>0.0</v>
      </c>
      <c r="C20" s="1" t="str">
        <f t="shared" si="1"/>
        <v>Criança</v>
      </c>
      <c r="F20" s="5" t="str">
        <f>IFERROR(__xludf.DUMMYFUNCTION("""COMPUTED_VALUE"""),"Approved")</f>
        <v>Approved</v>
      </c>
      <c r="G20" s="5">
        <f t="shared" si="2"/>
        <v>24</v>
      </c>
      <c r="H20" s="5" t="str">
        <f t="shared" si="3"/>
        <v>OK</v>
      </c>
    </row>
    <row r="21">
      <c r="A21" s="1" t="s">
        <v>3542</v>
      </c>
      <c r="B21" s="1">
        <v>12.0</v>
      </c>
      <c r="C21" s="1" t="str">
        <f t="shared" si="1"/>
        <v>Criança</v>
      </c>
      <c r="F21" s="5" t="str">
        <f>IFERROR(__xludf.DUMMYFUNCTION("""COMPUTED_VALUE"""),"not rated")</f>
        <v>not rated</v>
      </c>
      <c r="G21" s="5">
        <f t="shared" si="2"/>
        <v>21</v>
      </c>
      <c r="H21" s="5" t="str">
        <f t="shared" si="3"/>
        <v>OK</v>
      </c>
    </row>
    <row r="22">
      <c r="A22" s="1" t="s">
        <v>4418</v>
      </c>
      <c r="B22" s="1">
        <v>99.0</v>
      </c>
      <c r="C22" s="1" t="str">
        <f t="shared" si="1"/>
        <v>Desconhecido</v>
      </c>
      <c r="F22" s="5" t="str">
        <f>IFERROR(__xludf.DUMMYFUNCTION("""COMPUTED_VALUE"""),"Livre")</f>
        <v>Livre</v>
      </c>
      <c r="G22" s="5">
        <f t="shared" si="2"/>
        <v>19</v>
      </c>
      <c r="H22" s="5" t="str">
        <f t="shared" si="3"/>
        <v>OK</v>
      </c>
    </row>
    <row r="23">
      <c r="A23" s="1" t="s">
        <v>1963</v>
      </c>
      <c r="B23" s="1">
        <v>99.0</v>
      </c>
      <c r="C23" s="1" t="str">
        <f t="shared" si="1"/>
        <v>Desconhecido</v>
      </c>
      <c r="F23" s="5" t="str">
        <f>IFERROR(__xludf.DUMMYFUNCTION("""COMPUTED_VALUE"""),"TV-PG")</f>
        <v>TV-PG</v>
      </c>
      <c r="G23" s="5">
        <f t="shared" si="2"/>
        <v>11</v>
      </c>
      <c r="H23" s="5" t="str">
        <f t="shared" si="3"/>
        <v>OK</v>
      </c>
    </row>
    <row r="24">
      <c r="A24" s="1" t="s">
        <v>2066</v>
      </c>
      <c r="B24" s="1">
        <v>99.0</v>
      </c>
      <c r="C24" s="1" t="str">
        <f t="shared" si="1"/>
        <v>Desconhecido</v>
      </c>
      <c r="F24" s="5" t="str">
        <f>IFERROR(__xludf.DUMMYFUNCTION("""COMPUTED_VALUE"""),"12A")</f>
        <v>12A</v>
      </c>
      <c r="G24" s="5">
        <f t="shared" si="2"/>
        <v>27</v>
      </c>
      <c r="H24" s="5" t="str">
        <f t="shared" si="3"/>
        <v>OK</v>
      </c>
    </row>
    <row r="25">
      <c r="A25" s="1" t="s">
        <v>2047</v>
      </c>
      <c r="B25" s="1">
        <v>18.0</v>
      </c>
      <c r="C25" s="1" t="str">
        <f t="shared" si="1"/>
        <v>Adulto</v>
      </c>
      <c r="F25" s="5" t="str">
        <f>IFERROR(__xludf.DUMMYFUNCTION("""COMPUTED_VALUE"""),"PG-12")</f>
        <v>PG-12</v>
      </c>
      <c r="G25" s="5">
        <f t="shared" si="2"/>
        <v>20</v>
      </c>
      <c r="H25" s="5" t="str">
        <f t="shared" si="3"/>
        <v>OK</v>
      </c>
    </row>
    <row r="26">
      <c r="A26" s="1" t="s">
        <v>1656</v>
      </c>
      <c r="B26" s="1">
        <v>99.0</v>
      </c>
      <c r="C26" s="1" t="str">
        <f t="shared" si="1"/>
        <v>Desconhecido</v>
      </c>
      <c r="F26" s="5" t="str">
        <f>IFERROR(__xludf.DUMMYFUNCTION("""COMPUTED_VALUE"""),"Not rated")</f>
        <v>Not rated</v>
      </c>
      <c r="G26" s="5">
        <f t="shared" si="2"/>
        <v>21</v>
      </c>
      <c r="H26" s="5" t="str">
        <f t="shared" si="3"/>
        <v>OK</v>
      </c>
    </row>
    <row r="27">
      <c r="A27" s="1" t="s">
        <v>1933</v>
      </c>
      <c r="B27" s="1">
        <v>0.0</v>
      </c>
      <c r="C27" s="1" t="str">
        <f t="shared" si="1"/>
        <v>Criança</v>
      </c>
      <c r="F27" s="5" t="str">
        <f>IFERROR(__xludf.DUMMYFUNCTION("""COMPUTED_VALUE"""),"U/A")</f>
        <v>U/A</v>
      </c>
      <c r="G27" s="5">
        <f t="shared" si="2"/>
        <v>8</v>
      </c>
      <c r="H27" s="5" t="str">
        <f t="shared" si="3"/>
        <v>OK</v>
      </c>
    </row>
    <row r="28">
      <c r="A28" s="1" t="s">
        <v>2890</v>
      </c>
      <c r="B28" s="1">
        <v>12.0</v>
      </c>
      <c r="C28" s="1" t="str">
        <f t="shared" si="1"/>
        <v>Criança</v>
      </c>
    </row>
    <row r="29">
      <c r="A29" s="1" t="s">
        <v>627</v>
      </c>
      <c r="B29" s="1">
        <v>18.0</v>
      </c>
      <c r="C29" s="1" t="str">
        <f t="shared" si="1"/>
        <v>Adulto</v>
      </c>
    </row>
  </sheetData>
  <drawing r:id="rId1"/>
</worksheet>
</file>